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_OneDriveWFB\OneDrive - WFB Consultoria(1)\CSL\Calculo IV\Demonstrativos\2019\"/>
    </mc:Choice>
  </mc:AlternateContent>
  <xr:revisionPtr revIDLastSave="293" documentId="13_ncr:1_{C6C2F65C-5AB9-4914-8937-A38A5F437F07}" xr6:coauthVersionLast="44" xr6:coauthVersionMax="45" xr10:uidLastSave="{7D224143-8672-4AE0-9485-C1E2DF6528AF}"/>
  <bookViews>
    <workbookView xWindow="-120" yWindow="-120" windowWidth="38640" windowHeight="15840" tabRatio="904" activeTab="4" xr2:uid="{B144E9CE-0325-43E9-97D5-A1B9ECC5DFFB}"/>
  </bookViews>
  <sheets>
    <sheet name="Instruções" sheetId="48" r:id="rId1"/>
    <sheet name="Setorizacao REP" sheetId="6" r:id="rId2"/>
    <sheet name="Tabela Periodos" sheetId="39" r:id="rId3"/>
    <sheet name="Resumo" sheetId="41" r:id="rId4"/>
    <sheet name="Demonstrativo REP" sheetId="38" r:id="rId5"/>
    <sheet name="Demonstrativo GR" sheetId="43" r:id="rId6"/>
    <sheet name="Demostrativo Venda Detalhada" sheetId="46" r:id="rId7"/>
    <sheet name="IV Venda Tri" sheetId="34" r:id="rId8"/>
    <sheet name="IV Venda Mensal" sheetId="20" r:id="rId9"/>
    <sheet name="IV Demanda REP Mensal" sheetId="15" r:id="rId10"/>
    <sheet name="IV Demanda REP Tri" sheetId="33" r:id="rId11"/>
    <sheet name="IV Visitas REP" sheetId="36" r:id="rId12"/>
    <sheet name="Representantes" sheetId="7" r:id="rId13"/>
    <sheet name="Planilha1" sheetId="54" r:id="rId14"/>
    <sheet name="Demanda Setorizada REP" sheetId="12" r:id="rId15"/>
    <sheet name="IV Demanda GR Tri" sheetId="32" r:id="rId16"/>
    <sheet name="IV Demanda GR Mensal" sheetId="30" r:id="rId17"/>
    <sheet name="IV Visitas - GR" sheetId="35" r:id="rId18"/>
    <sheet name="Demanda Setorizada GR" sheetId="2" r:id="rId19"/>
    <sheet name="Setorizacao GR" sheetId="29" r:id="rId20"/>
    <sheet name="Mapa Distribuidor EQ" sheetId="52" r:id="rId21"/>
    <sheet name="Mapa Distribuidor UN" sheetId="53" r:id="rId22"/>
    <sheet name="Demanda Distribuidores" sheetId="51" r:id="rId23"/>
    <sheet name="Venda Detalhada" sheetId="44" r:id="rId24"/>
    <sheet name="Tabela Valores REP" sheetId="18" r:id="rId25"/>
    <sheet name="Tabela Valores GR" sheetId="19" r:id="rId26"/>
  </sheets>
  <definedNames>
    <definedName name="_xlnm._FilterDatabase" localSheetId="25" hidden="1">'Tabela Valores GR'!$A$3:$F$706</definedName>
    <definedName name="_xlnm._FilterDatabase" localSheetId="24" hidden="1">'Tabela Valores REP'!$A$2:$G$706</definedName>
    <definedName name="Cob_100_GR">'Tabela Valores GR'!$F$4</definedName>
    <definedName name="Cob_100_REP">'Tabela Valores REP'!$F$4</definedName>
    <definedName name="Cob_Max_GR">'Tabela Valores GR'!$G$4</definedName>
    <definedName name="Cob_Max_REP">'Tabela Valores REP'!$G$4</definedName>
    <definedName name="Cob_Min_GR">'Tabela Valores GR'!$E$4</definedName>
    <definedName name="Cob_Min_REP">'Tabela Valores REP'!$E$4</definedName>
    <definedName name="DadosExternos_1" localSheetId="18" hidden="1">'Demanda Setorizada GR'!$A$5:$M$3140</definedName>
    <definedName name="DadosExternos_1" localSheetId="14" hidden="1">'Demanda Setorizada REP'!$A$5:$S$4416</definedName>
    <definedName name="DadosExternos_1" localSheetId="2" hidden="1">'Tabela Periodos'!$A$5:$N$17</definedName>
    <definedName name="DadosExternos_1" localSheetId="23" hidden="1">'Venda Detalhada'!$A$5:$G$889</definedName>
    <definedName name="DadosExternos_2" localSheetId="22" hidden="1">'Demanda Distribuidores'!$A$5:$S$4053</definedName>
    <definedName name="DadosExternos_2" localSheetId="16" hidden="1">'IV Demanda GR Mensal'!$A$5:$P$41</definedName>
    <definedName name="DadosExternos_2" localSheetId="10" hidden="1">'IV Demanda REP Tri'!$A$5:$W$85</definedName>
    <definedName name="DadosExternos_3" localSheetId="15" hidden="1">'IV Demanda GR Tri'!$A$5:$O$17</definedName>
    <definedName name="DadosExternos_3" localSheetId="17" hidden="1">'IV Visitas - GR'!$A$5:$G$23</definedName>
    <definedName name="DadosExternos_3" localSheetId="1" hidden="1">'Setorizacao REP'!$A$5:$O$1325</definedName>
    <definedName name="DadosExternos_4" localSheetId="11" hidden="1">'IV Visitas REP'!$A$5:$Q$119</definedName>
    <definedName name="DadosExternos_4" localSheetId="12" hidden="1">Representantes!$A$5:$O$45</definedName>
    <definedName name="DadosExternos_4" localSheetId="19" hidden="1">'Setorizacao GR'!$A$5:$F$736</definedName>
    <definedName name="DadosExternos_5" localSheetId="8" hidden="1">'IV Venda Mensal'!$A$5:$S$12</definedName>
    <definedName name="DadosExternos_5" localSheetId="7" hidden="1">'IV Venda Tri'!$A$5:$J$8</definedName>
    <definedName name="DadosExternos_5" localSheetId="3" hidden="1">Resumo!$A$18:$B$38</definedName>
    <definedName name="DadosExternos_6" localSheetId="9" hidden="1">'IV Demanda REP Mensal'!$A$5:$AH$245</definedName>
    <definedName name="DadosExternos_6" localSheetId="3" hidden="1">Resumo!$A$12:$B$15</definedName>
    <definedName name="Demonstrativo_Calcular_Recuperavel_Tri">Resumo!$B$7</definedName>
    <definedName name="Demonstrativo_Mes">Resumo!$B$5</definedName>
    <definedName name="Demonstrativo_Tri">Resumo!$B$6</definedName>
    <definedName name="Demostrativo_Ano">Resumo!$B$4</definedName>
    <definedName name="Filtro_Demostrativo_GR_ANO" localSheetId="5">'Demonstrativo GR'!$D$3</definedName>
    <definedName name="Filtro_Demostrativo_GR_GR" localSheetId="5">'Demonstrativo GR'!$D$6</definedName>
    <definedName name="Filtro_Demostrativo_GR_MES" localSheetId="5">'Demonstrativo GR'!$D$4</definedName>
    <definedName name="Filtro_Demostrativo_GR_TRI" localSheetId="5">'Demonstrativo GR'!$D$5</definedName>
    <definedName name="Filtro_Demostrativo_Rep_ANO">'Demonstrativo REP'!$D$3</definedName>
    <definedName name="Filtro_Demostrativo_Rep_MES">'Demonstrativo REP'!$D$4</definedName>
    <definedName name="Filtro_Demostrativo_Rep_REP">'Demonstrativo REP'!$D$6</definedName>
    <definedName name="Filtro_Demostrativo_Rep_TRI">'Demonstrativo REP'!$D$5</definedName>
    <definedName name="Filtro_IV_Ano">'Tabela Periodos'!$C$4</definedName>
    <definedName name="Filtro_IV_Mes">'Tabela Periodos'!$D$4</definedName>
    <definedName name="Filtro_IV_Tri">'Tabela Periodos'!$E$4</definedName>
    <definedName name="Filtro_IV_Tri_Recuperavel">'Tabela Periodos'!$I$4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7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21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Peso_Demanda_GR_BERINERT">'IV Demanda GR Mensal'!$V$1</definedName>
    <definedName name="Peso_Demanda_GR_BERIPLEX">'IV Demanda GR Mensal'!$W$1</definedName>
    <definedName name="Peso_Demanda_GR_HAEMO">'IV Demanda GR Mensal'!$X$1</definedName>
    <definedName name="Peso_Demanda_GR_HIZENTRA">'IV Demanda GR Mensal'!$Y$1</definedName>
    <definedName name="Peso_Demanda_GR_PRIVIGEN">'IV Demanda GR Mensal'!$Z$1</definedName>
    <definedName name="Peso_Venda_ALBUREX">'IV Venda Tri'!$O$1</definedName>
    <definedName name="Peso_Venda_OUTROS">'IV Venda Tri'!$Q$1</definedName>
    <definedName name="Peso_Venda_RHOPYLAC">'IV Venda Tri'!$P$1</definedName>
    <definedName name="Peso_Venda_Total_GR">'IV Venda Tri'!$R$1</definedName>
    <definedName name="Peso_Visitas_GR">'IV Visitas - GR'!$I$1</definedName>
    <definedName name="Peso_Visitas_REP">'IV Visitas REP'!$R$1</definedName>
    <definedName name="SegmentaçãodeDados__FK_Email_Gerente">#N/A</definedName>
    <definedName name="SegmentaçãodeDados_Ano_Fiscal">#N/A</definedName>
    <definedName name="SegmentaçãodeDados_Ano_Fiscal1">#N/A</definedName>
    <definedName name="SegmentaçãodeDados_Email_Representante">#N/A</definedName>
    <definedName name="SegmentaçãodeDados_Mes_Fiscal">#N/A</definedName>
    <definedName name="SegmentaçãodeDados_Mes_Fiscal1">#N/A</definedName>
    <definedName name="SegmentaçãodeDados_Mes_Fiscal2">#N/A</definedName>
    <definedName name="SegmentaçãodeDados_Mes_Fiscal3">#N/A</definedName>
    <definedName name="SegmentaçãodeDados_Tri_Fiscal">#N/A</definedName>
    <definedName name="SegmentaçãodeDados_Tri_Fiscal1">#N/A</definedName>
    <definedName name="SegmentaçãodeDados_Tri_Fiscal2">#N/A</definedName>
    <definedName name="SegmentaçãodeDados_Tri_Fiscal3">#N/A</definedName>
    <definedName name="Tabela_Valores_GR">'Tabela Valores GR'!$A$4:$C$709</definedName>
    <definedName name="Tabela_Valores_REP">'Tabela Valores REP'!$A$4:$C$709</definedName>
    <definedName name="Vlr_100_GR">'Tabela Valores GR'!$F$5</definedName>
    <definedName name="Vlr_100_REP">'Tabela Valores REP'!$F$5</definedName>
    <definedName name="Vlr_Max_GR">'Tabela Valores GR'!$G$5</definedName>
    <definedName name="Vlr_Max_REP">'Tabela Valores REP'!$G$5</definedName>
    <definedName name="Vlr_Min_GR">'Tabela Valores GR'!$E$5</definedName>
    <definedName name="Vlr_Min_REP">'Tabela Valores REP'!$E$5</definedName>
  </definedNames>
  <calcPr calcId="191029"/>
  <pivotCaches>
    <pivotCache cacheId="4" r:id="rId27"/>
    <pivotCache cacheId="5" r:id="rId28"/>
    <pivotCache cacheId="6" r:id="rId29"/>
    <pivotCache cacheId="7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0"/>
        <x14:slicerCache r:id="rId41"/>
        <x14:slicerCache r:id="rId42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IEW_IV_2019_DEMANDA_SETORIZADA_GR_10dfd78c-e9b9-408a-ad78-00a80b01e2c9" name="VIEW_IV_2019_DEMANDA_SETORIZADA_GR" connection="Consulta - VIEW_IV_2019_DEMANDA_SETORIZADA_GR"/>
          <x15:modelTable id="VIEW_IV_2019_ESTABELECIMENTOS_SETORIZACAO_REP_c457b69f-de93-4d80-884e-1b78ab880d04" name="VIEW_IV_2019_ESTABELECIMENTOS_SETORIZACAO_REP" connection="Consulta - VIEW_IV_2019_ESTABELECIMENTOS_SETORIZACAO_REP"/>
          <x15:modelTable id="VIEW_IV_2019_DEMANDA_CONFIG_PESOS_d999b15b-d821-4c3f-a1db-5fc21d63c352" name="VIEW_IV_2019_DEMANDA_CONFIG_PESOS" connection="Consulta - VIEW_IV_2019_DEMANDA_CONFIG_PESOS"/>
          <x15:modelTable id="VIEW_IV_2019_ESTABELECIMENTOS_SETORIZACAO_GR_9b65a133-e1bb-4663-a316-0ddab93bc9ac" name="VIEW_IV_2019_ESTABELECIMENTOS_SETORIZACAO_GR" connection="Consulta - VIEW_IV_2019_ESTABELECIMENTOS_SETORIZACAO_GR"/>
          <x15:modelTable id="VIEW_IV_2019_GR_DEMANDA_06a351a5-4daa-4f16-9a6a-bbfd54472ac7" name="VIEW_IV_2019_GR_DEMANDA" connection="Consulta - VIEW_IV_2019_GR_DEMANDA"/>
          <x15:modelTable id="VIEW_IV_2019_VISITAS_GR_fc797555-ec78-46d8-b2a7-65c7c8c33675" name="VIEW_IV_2019_VISITAS_GR" connection="Consulta - VIEW_IV_2019_VISITAS_GR"/>
          <x15:modelTable id="VIEW_IV_2019_VISITAS_REP_303e4d5c-205b-4b77-bc1d-ebc7a29a801e" name="VIEW_IV_2019_VISITAS_REP" connection="Consulta - VIEW_IV_2019_VISITAS_REP"/>
          <x15:modelTable id="VIEW_IV_2019_REPRESENTANTES_635adaee-4ece-4be3-a035-50c35df60db6" name="VIEW_IV_2019_REPRESENTANTES" connection="Consulta - VIEW_IV_2019_REPRESENTANTES"/>
          <x15:modelTable id="VIEW_IV_2019_GERENTES_dbf3de19-07c8-4f07-b4a0-c049dbdbc79e" name="VIEW_IV_2019_GERENTES" connection="Consulta - VIEW_IV_2019_GERENT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6" i="30" l="1"/>
  <c r="Q7" i="30"/>
  <c r="Q8" i="30"/>
  <c r="Q9" i="30"/>
  <c r="Q10" i="30"/>
  <c r="V10" i="30" s="1"/>
  <c r="Q11" i="30"/>
  <c r="V11" i="30" s="1"/>
  <c r="Q12" i="30"/>
  <c r="V12" i="30" s="1"/>
  <c r="Q13" i="30"/>
  <c r="V13" i="30" s="1"/>
  <c r="Q14" i="30"/>
  <c r="Q15" i="30"/>
  <c r="Q16" i="30"/>
  <c r="Q17" i="30"/>
  <c r="Q18" i="30"/>
  <c r="V18" i="30" s="1"/>
  <c r="Q19" i="30"/>
  <c r="V19" i="30" s="1"/>
  <c r="Q20" i="30"/>
  <c r="V20" i="30" s="1"/>
  <c r="Q21" i="30"/>
  <c r="V21" i="30" s="1"/>
  <c r="Q22" i="30"/>
  <c r="Q23" i="30"/>
  <c r="Q24" i="30"/>
  <c r="Q25" i="30"/>
  <c r="Q26" i="30"/>
  <c r="V26" i="30" s="1"/>
  <c r="Q27" i="30"/>
  <c r="V27" i="30" s="1"/>
  <c r="Q28" i="30"/>
  <c r="V28" i="30" s="1"/>
  <c r="Q29" i="30"/>
  <c r="V29" i="30" s="1"/>
  <c r="Q30" i="30"/>
  <c r="Q31" i="30"/>
  <c r="Q32" i="30"/>
  <c r="Q33" i="30"/>
  <c r="Q34" i="30"/>
  <c r="V34" i="30" s="1"/>
  <c r="Q35" i="30"/>
  <c r="V35" i="30" s="1"/>
  <c r="Q36" i="30"/>
  <c r="V36" i="30" s="1"/>
  <c r="Q37" i="30"/>
  <c r="V37" i="30" s="1"/>
  <c r="Q38" i="30"/>
  <c r="Q39" i="30"/>
  <c r="Q40" i="30"/>
  <c r="Q41" i="30"/>
  <c r="R6" i="30"/>
  <c r="W6" i="30" s="1"/>
  <c r="R7" i="30"/>
  <c r="W7" i="30" s="1"/>
  <c r="AA7" i="32" s="1"/>
  <c r="R8" i="30"/>
  <c r="W8" i="30" s="1"/>
  <c r="AA8" i="32" s="1"/>
  <c r="R9" i="30"/>
  <c r="W9" i="30" s="1"/>
  <c r="R10" i="30"/>
  <c r="R11" i="30"/>
  <c r="R12" i="30"/>
  <c r="R13" i="30"/>
  <c r="R14" i="30"/>
  <c r="W14" i="30" s="1"/>
  <c r="R15" i="30"/>
  <c r="W15" i="30" s="1"/>
  <c r="R16" i="30"/>
  <c r="W16" i="30" s="1"/>
  <c r="AA10" i="32" s="1"/>
  <c r="R17" i="30"/>
  <c r="W17" i="30" s="1"/>
  <c r="AA11" i="32" s="1"/>
  <c r="AF11" i="32" s="1"/>
  <c r="R18" i="30"/>
  <c r="R19" i="30"/>
  <c r="R20" i="30"/>
  <c r="R21" i="30"/>
  <c r="R22" i="30"/>
  <c r="W22" i="30" s="1"/>
  <c r="R23" i="30"/>
  <c r="W23" i="30" s="1"/>
  <c r="R24" i="30"/>
  <c r="W24" i="30" s="1"/>
  <c r="AA12" i="32" s="1"/>
  <c r="R25" i="30"/>
  <c r="W25" i="30" s="1"/>
  <c r="AA13" i="32" s="1"/>
  <c r="AF13" i="32" s="1"/>
  <c r="R26" i="30"/>
  <c r="R27" i="30"/>
  <c r="R28" i="30"/>
  <c r="R29" i="30"/>
  <c r="R30" i="30"/>
  <c r="W30" i="30" s="1"/>
  <c r="R31" i="30"/>
  <c r="W31" i="30" s="1"/>
  <c r="R32" i="30"/>
  <c r="W32" i="30" s="1"/>
  <c r="R33" i="30"/>
  <c r="W33" i="30" s="1"/>
  <c r="AA15" i="32" s="1"/>
  <c r="R34" i="30"/>
  <c r="R35" i="30"/>
  <c r="R36" i="30"/>
  <c r="R37" i="30"/>
  <c r="R38" i="30"/>
  <c r="W38" i="30" s="1"/>
  <c r="R39" i="30"/>
  <c r="W39" i="30" s="1"/>
  <c r="R40" i="30"/>
  <c r="W40" i="30" s="1"/>
  <c r="R41" i="30"/>
  <c r="W41" i="30" s="1"/>
  <c r="S6" i="30"/>
  <c r="S7" i="30"/>
  <c r="S8" i="30"/>
  <c r="S9" i="30"/>
  <c r="S10" i="30"/>
  <c r="X10" i="30" s="1"/>
  <c r="S11" i="30"/>
  <c r="X11" i="30" s="1"/>
  <c r="AB8" i="32" s="1"/>
  <c r="S12" i="30"/>
  <c r="X12" i="30" s="1"/>
  <c r="S13" i="30"/>
  <c r="X13" i="30" s="1"/>
  <c r="S14" i="30"/>
  <c r="S15" i="30"/>
  <c r="S16" i="30"/>
  <c r="S17" i="30"/>
  <c r="S18" i="30"/>
  <c r="X18" i="30" s="1"/>
  <c r="S19" i="30"/>
  <c r="X19" i="30" s="1"/>
  <c r="S20" i="30"/>
  <c r="X20" i="30" s="1"/>
  <c r="S21" i="30"/>
  <c r="X21" i="30" s="1"/>
  <c r="S22" i="30"/>
  <c r="S23" i="30"/>
  <c r="S24" i="30"/>
  <c r="S25" i="30"/>
  <c r="S26" i="30"/>
  <c r="X26" i="30" s="1"/>
  <c r="S27" i="30"/>
  <c r="X27" i="30" s="1"/>
  <c r="S28" i="30"/>
  <c r="X28" i="30" s="1"/>
  <c r="S29" i="30"/>
  <c r="X29" i="30" s="1"/>
  <c r="S30" i="30"/>
  <c r="S31" i="30"/>
  <c r="S32" i="30"/>
  <c r="S33" i="30"/>
  <c r="S34" i="30"/>
  <c r="X34" i="30" s="1"/>
  <c r="S35" i="30"/>
  <c r="X35" i="30" s="1"/>
  <c r="AB17" i="32" s="1"/>
  <c r="S36" i="30"/>
  <c r="X36" i="30" s="1"/>
  <c r="S37" i="30"/>
  <c r="X37" i="30" s="1"/>
  <c r="S38" i="30"/>
  <c r="S39" i="30"/>
  <c r="S40" i="30"/>
  <c r="S41" i="30"/>
  <c r="T6" i="30"/>
  <c r="Y6" i="30" s="1"/>
  <c r="T7" i="30"/>
  <c r="Y7" i="30" s="1"/>
  <c r="T8" i="30"/>
  <c r="Y8" i="30" s="1"/>
  <c r="AC8" i="32" s="1"/>
  <c r="T9" i="30"/>
  <c r="Y9" i="30" s="1"/>
  <c r="T10" i="30"/>
  <c r="T11" i="30"/>
  <c r="T12" i="30"/>
  <c r="T13" i="30"/>
  <c r="T14" i="30"/>
  <c r="Y14" i="30" s="1"/>
  <c r="T15" i="30"/>
  <c r="Y15" i="30" s="1"/>
  <c r="AC9" i="32" s="1"/>
  <c r="T16" i="30"/>
  <c r="Y16" i="30" s="1"/>
  <c r="AC10" i="32" s="1"/>
  <c r="T17" i="30"/>
  <c r="Y17" i="30" s="1"/>
  <c r="AC11" i="32" s="1"/>
  <c r="T18" i="30"/>
  <c r="T19" i="30"/>
  <c r="T20" i="30"/>
  <c r="T21" i="30"/>
  <c r="T22" i="30"/>
  <c r="Y22" i="30" s="1"/>
  <c r="T23" i="30"/>
  <c r="Y23" i="30" s="1"/>
  <c r="T24" i="30"/>
  <c r="Y24" i="30" s="1"/>
  <c r="AC12" i="32" s="1"/>
  <c r="AH12" i="32" s="1"/>
  <c r="T25" i="30"/>
  <c r="Y25" i="30" s="1"/>
  <c r="AC13" i="32" s="1"/>
  <c r="AH13" i="32" s="1"/>
  <c r="T26" i="30"/>
  <c r="T27" i="30"/>
  <c r="T28" i="30"/>
  <c r="T29" i="30"/>
  <c r="T30" i="30"/>
  <c r="Y30" i="30" s="1"/>
  <c r="T31" i="30"/>
  <c r="Y31" i="30" s="1"/>
  <c r="T32" i="30"/>
  <c r="Y32" i="30" s="1"/>
  <c r="T33" i="30"/>
  <c r="Y33" i="30" s="1"/>
  <c r="AC15" i="32" s="1"/>
  <c r="T34" i="30"/>
  <c r="T35" i="30"/>
  <c r="T36" i="30"/>
  <c r="T37" i="30"/>
  <c r="T38" i="30"/>
  <c r="Y38" i="30" s="1"/>
  <c r="T39" i="30"/>
  <c r="Y39" i="30" s="1"/>
  <c r="T40" i="30"/>
  <c r="Y40" i="30" s="1"/>
  <c r="T41" i="30"/>
  <c r="Y41" i="30" s="1"/>
  <c r="U6" i="30"/>
  <c r="U7" i="30"/>
  <c r="U8" i="30"/>
  <c r="U9" i="30"/>
  <c r="U10" i="30"/>
  <c r="Z10" i="30" s="1"/>
  <c r="U11" i="30"/>
  <c r="Z11" i="30" s="1"/>
  <c r="U12" i="30"/>
  <c r="Z12" i="30" s="1"/>
  <c r="U13" i="30"/>
  <c r="Z13" i="30" s="1"/>
  <c r="U14" i="30"/>
  <c r="U15" i="30"/>
  <c r="U16" i="30"/>
  <c r="U17" i="30"/>
  <c r="U18" i="30"/>
  <c r="Z18" i="30" s="1"/>
  <c r="U19" i="30"/>
  <c r="Z19" i="30" s="1"/>
  <c r="U20" i="30"/>
  <c r="Z20" i="30" s="1"/>
  <c r="U21" i="30"/>
  <c r="Z21" i="30" s="1"/>
  <c r="U22" i="30"/>
  <c r="U23" i="30"/>
  <c r="U24" i="30"/>
  <c r="U25" i="30"/>
  <c r="U26" i="30"/>
  <c r="Z26" i="30" s="1"/>
  <c r="U27" i="30"/>
  <c r="Z27" i="30" s="1"/>
  <c r="U28" i="30"/>
  <c r="Z28" i="30" s="1"/>
  <c r="U29" i="30"/>
  <c r="Z29" i="30" s="1"/>
  <c r="U30" i="30"/>
  <c r="U31" i="30"/>
  <c r="U32" i="30"/>
  <c r="U33" i="30"/>
  <c r="U34" i="30"/>
  <c r="Z34" i="30" s="1"/>
  <c r="U35" i="30"/>
  <c r="Z35" i="30" s="1"/>
  <c r="U36" i="30"/>
  <c r="Z36" i="30" s="1"/>
  <c r="U37" i="30"/>
  <c r="Z37" i="30" s="1"/>
  <c r="U38" i="30"/>
  <c r="U39" i="30"/>
  <c r="U40" i="30"/>
  <c r="U41" i="30"/>
  <c r="V6" i="30"/>
  <c r="V7" i="30"/>
  <c r="V8" i="30"/>
  <c r="V9" i="30"/>
  <c r="Z6" i="32" s="1"/>
  <c r="AE6" i="32" s="1"/>
  <c r="V14" i="30"/>
  <c r="V15" i="30"/>
  <c r="V16" i="30"/>
  <c r="V17" i="30"/>
  <c r="V22" i="30"/>
  <c r="V23" i="30"/>
  <c r="V24" i="30"/>
  <c r="Z12" i="32" s="1"/>
  <c r="V25" i="30"/>
  <c r="Z13" i="32" s="1"/>
  <c r="V30" i="30"/>
  <c r="V31" i="30"/>
  <c r="V32" i="30"/>
  <c r="V33" i="30"/>
  <c r="V38" i="30"/>
  <c r="V39" i="30"/>
  <c r="V40" i="30"/>
  <c r="V41" i="30"/>
  <c r="W10" i="30"/>
  <c r="W11" i="30"/>
  <c r="W12" i="30"/>
  <c r="W13" i="30"/>
  <c r="W18" i="30"/>
  <c r="W19" i="30"/>
  <c r="W20" i="30"/>
  <c r="W21" i="30"/>
  <c r="W26" i="30"/>
  <c r="W27" i="30"/>
  <c r="W28" i="30"/>
  <c r="W29" i="30"/>
  <c r="W34" i="30"/>
  <c r="W35" i="30"/>
  <c r="W36" i="30"/>
  <c r="W37" i="30"/>
  <c r="X6" i="30"/>
  <c r="X7" i="30"/>
  <c r="X8" i="30"/>
  <c r="X9" i="30"/>
  <c r="X14" i="30"/>
  <c r="X15" i="30"/>
  <c r="X16" i="30"/>
  <c r="AB10" i="32" s="1"/>
  <c r="X17" i="30"/>
  <c r="AB11" i="32" s="1"/>
  <c r="X22" i="30"/>
  <c r="X23" i="30"/>
  <c r="X24" i="30"/>
  <c r="X25" i="30"/>
  <c r="X30" i="30"/>
  <c r="X31" i="30"/>
  <c r="X32" i="30"/>
  <c r="X33" i="30"/>
  <c r="AB15" i="32" s="1"/>
  <c r="AG15" i="32" s="1"/>
  <c r="X38" i="30"/>
  <c r="X39" i="30"/>
  <c r="X40" i="30"/>
  <c r="X41" i="30"/>
  <c r="Y10" i="30"/>
  <c r="Y11" i="30"/>
  <c r="Y12" i="30"/>
  <c r="Y13" i="30"/>
  <c r="Y18" i="30"/>
  <c r="Y19" i="30"/>
  <c r="Y20" i="30"/>
  <c r="Y21" i="30"/>
  <c r="Y26" i="30"/>
  <c r="Y27" i="30"/>
  <c r="Y28" i="30"/>
  <c r="Y29" i="30"/>
  <c r="Y34" i="30"/>
  <c r="Y35" i="30"/>
  <c r="Y36" i="30"/>
  <c r="Y37" i="30"/>
  <c r="Z6" i="30"/>
  <c r="Z7" i="30"/>
  <c r="Z8" i="30"/>
  <c r="Z9" i="30"/>
  <c r="AD6" i="32" s="1"/>
  <c r="AI6" i="32" s="1"/>
  <c r="Z14" i="30"/>
  <c r="Z15" i="30"/>
  <c r="Z16" i="30"/>
  <c r="Z17" i="30"/>
  <c r="Z22" i="30"/>
  <c r="Z23" i="30"/>
  <c r="Z24" i="30"/>
  <c r="AD12" i="32" s="1"/>
  <c r="Z25" i="30"/>
  <c r="AD13" i="32" s="1"/>
  <c r="Z30" i="30"/>
  <c r="Z31" i="30"/>
  <c r="Z32" i="30"/>
  <c r="Z33" i="30"/>
  <c r="Z38" i="30"/>
  <c r="Z39" i="30"/>
  <c r="Z40" i="30"/>
  <c r="Z41" i="30"/>
  <c r="P6" i="32"/>
  <c r="P7" i="32"/>
  <c r="P8" i="32"/>
  <c r="P9" i="32"/>
  <c r="P10" i="32"/>
  <c r="U10" i="32" s="1"/>
  <c r="P11" i="32"/>
  <c r="U11" i="32" s="1"/>
  <c r="P12" i="32"/>
  <c r="U12" i="32" s="1"/>
  <c r="P13" i="32"/>
  <c r="U13" i="32" s="1"/>
  <c r="P14" i="32"/>
  <c r="P15" i="32"/>
  <c r="P16" i="32"/>
  <c r="U16" i="32" s="1"/>
  <c r="P17" i="32"/>
  <c r="Q6" i="32"/>
  <c r="V6" i="32" s="1"/>
  <c r="Q7" i="32"/>
  <c r="Q8" i="32"/>
  <c r="V8" i="32" s="1"/>
  <c r="Q9" i="32"/>
  <c r="V9" i="32" s="1"/>
  <c r="Q10" i="32"/>
  <c r="Q11" i="32"/>
  <c r="Q12" i="32"/>
  <c r="V12" i="32" s="1"/>
  <c r="Q13" i="32"/>
  <c r="Q14" i="32"/>
  <c r="V14" i="32" s="1"/>
  <c r="Q15" i="32"/>
  <c r="V15" i="32" s="1"/>
  <c r="Q16" i="32"/>
  <c r="V16" i="32" s="1"/>
  <c r="Q17" i="32"/>
  <c r="V17" i="32" s="1"/>
  <c r="R6" i="32"/>
  <c r="R7" i="32"/>
  <c r="R8" i="32"/>
  <c r="R9" i="32"/>
  <c r="R10" i="32"/>
  <c r="W10" i="32" s="1"/>
  <c r="R11" i="32"/>
  <c r="W11" i="32" s="1"/>
  <c r="R12" i="32"/>
  <c r="W12" i="32" s="1"/>
  <c r="R13" i="32"/>
  <c r="W13" i="32" s="1"/>
  <c r="R14" i="32"/>
  <c r="R15" i="32"/>
  <c r="R16" i="32"/>
  <c r="R17" i="32"/>
  <c r="S6" i="32"/>
  <c r="X6" i="32" s="1"/>
  <c r="S7" i="32"/>
  <c r="X7" i="32" s="1"/>
  <c r="S8" i="32"/>
  <c r="X8" i="32" s="1"/>
  <c r="S9" i="32"/>
  <c r="X9" i="32" s="1"/>
  <c r="S10" i="32"/>
  <c r="S11" i="32"/>
  <c r="S12" i="32"/>
  <c r="S13" i="32"/>
  <c r="S14" i="32"/>
  <c r="X14" i="32" s="1"/>
  <c r="S15" i="32"/>
  <c r="X15" i="32" s="1"/>
  <c r="S16" i="32"/>
  <c r="X16" i="32" s="1"/>
  <c r="S17" i="32"/>
  <c r="X17" i="32" s="1"/>
  <c r="T6" i="32"/>
  <c r="T7" i="32"/>
  <c r="T8" i="32"/>
  <c r="T9" i="32"/>
  <c r="T10" i="32"/>
  <c r="Y10" i="32" s="1"/>
  <c r="T11" i="32"/>
  <c r="T12" i="32"/>
  <c r="Y12" i="32" s="1"/>
  <c r="T13" i="32"/>
  <c r="Y13" i="32" s="1"/>
  <c r="T14" i="32"/>
  <c r="T15" i="32"/>
  <c r="T16" i="32"/>
  <c r="T17" i="32"/>
  <c r="U6" i="32"/>
  <c r="U7" i="32"/>
  <c r="U8" i="32"/>
  <c r="U9" i="32"/>
  <c r="U14" i="32"/>
  <c r="U15" i="32"/>
  <c r="U17" i="32"/>
  <c r="V7" i="32"/>
  <c r="V10" i="32"/>
  <c r="V11" i="32"/>
  <c r="V13" i="32"/>
  <c r="W6" i="32"/>
  <c r="W7" i="32"/>
  <c r="W8" i="32"/>
  <c r="W9" i="32"/>
  <c r="W14" i="32"/>
  <c r="W15" i="32"/>
  <c r="W16" i="32"/>
  <c r="W17" i="32"/>
  <c r="AG17" i="32" s="1"/>
  <c r="X10" i="32"/>
  <c r="X11" i="32"/>
  <c r="X12" i="32"/>
  <c r="X13" i="32"/>
  <c r="Y6" i="32"/>
  <c r="Y7" i="32"/>
  <c r="Y8" i="32"/>
  <c r="Y9" i="32"/>
  <c r="Y11" i="32"/>
  <c r="Y14" i="32"/>
  <c r="Y15" i="32"/>
  <c r="Y16" i="32"/>
  <c r="Y17" i="32"/>
  <c r="X6" i="33"/>
  <c r="X7" i="33"/>
  <c r="X8" i="33"/>
  <c r="X9" i="33"/>
  <c r="X10" i="33"/>
  <c r="X11" i="33"/>
  <c r="X12" i="33"/>
  <c r="X13" i="33"/>
  <c r="X14" i="33"/>
  <c r="X15" i="33"/>
  <c r="X16" i="33"/>
  <c r="X17" i="33"/>
  <c r="X18" i="33"/>
  <c r="X19" i="33"/>
  <c r="X20" i="33"/>
  <c r="X21" i="33"/>
  <c r="X22" i="33"/>
  <c r="X23" i="33"/>
  <c r="X24" i="33"/>
  <c r="X25" i="33"/>
  <c r="X26" i="33"/>
  <c r="X27" i="33"/>
  <c r="X28" i="33"/>
  <c r="X29" i="33"/>
  <c r="X30" i="33"/>
  <c r="X31" i="33"/>
  <c r="X32" i="33"/>
  <c r="X33" i="33"/>
  <c r="X34" i="33"/>
  <c r="X35" i="33"/>
  <c r="X36" i="33"/>
  <c r="X37" i="33"/>
  <c r="X38" i="33"/>
  <c r="X39" i="33"/>
  <c r="X40" i="33"/>
  <c r="X41" i="33"/>
  <c r="X42" i="33"/>
  <c r="X43" i="33"/>
  <c r="X44" i="33"/>
  <c r="X45" i="33"/>
  <c r="X46" i="33"/>
  <c r="X47" i="33"/>
  <c r="X48" i="33"/>
  <c r="X49" i="33"/>
  <c r="X50" i="33"/>
  <c r="X51" i="33"/>
  <c r="X52" i="33"/>
  <c r="X53" i="33"/>
  <c r="X54" i="33"/>
  <c r="X55" i="33"/>
  <c r="X56" i="33"/>
  <c r="X57" i="33"/>
  <c r="X58" i="33"/>
  <c r="X59" i="33"/>
  <c r="X60" i="33"/>
  <c r="X61" i="33"/>
  <c r="X62" i="33"/>
  <c r="X63" i="33"/>
  <c r="X64" i="33"/>
  <c r="X65" i="33"/>
  <c r="X66" i="33"/>
  <c r="X67" i="33"/>
  <c r="X68" i="33"/>
  <c r="X69" i="33"/>
  <c r="X70" i="33"/>
  <c r="X71" i="33"/>
  <c r="X72" i="33"/>
  <c r="X73" i="33"/>
  <c r="X74" i="33"/>
  <c r="X75" i="33"/>
  <c r="X76" i="33"/>
  <c r="X77" i="33"/>
  <c r="X78" i="33"/>
  <c r="X79" i="33"/>
  <c r="X80" i="33"/>
  <c r="X81" i="33"/>
  <c r="X82" i="33"/>
  <c r="X83" i="33"/>
  <c r="X84" i="33"/>
  <c r="X85" i="33"/>
  <c r="Y6" i="33"/>
  <c r="Y7" i="33"/>
  <c r="Y8" i="33"/>
  <c r="Y9" i="33"/>
  <c r="Y10" i="33"/>
  <c r="Y11" i="33"/>
  <c r="Y12" i="33"/>
  <c r="Y13" i="33"/>
  <c r="Y14" i="33"/>
  <c r="Y15" i="33"/>
  <c r="Y16" i="33"/>
  <c r="Y17" i="33"/>
  <c r="Y18" i="33"/>
  <c r="Y19" i="33"/>
  <c r="Y20" i="33"/>
  <c r="Y21" i="33"/>
  <c r="Y22" i="33"/>
  <c r="Y23" i="33"/>
  <c r="Y24" i="33"/>
  <c r="Y25" i="33"/>
  <c r="Y26" i="33"/>
  <c r="Y27" i="33"/>
  <c r="Y28" i="33"/>
  <c r="Y29" i="33"/>
  <c r="Y30" i="33"/>
  <c r="Y31" i="33"/>
  <c r="Y32" i="33"/>
  <c r="Y33" i="33"/>
  <c r="Y34" i="33"/>
  <c r="Y35" i="33"/>
  <c r="Y36" i="33"/>
  <c r="Y37" i="33"/>
  <c r="Y38" i="33"/>
  <c r="Y39" i="33"/>
  <c r="Y40" i="33"/>
  <c r="Y41" i="33"/>
  <c r="Y42" i="33"/>
  <c r="Y43" i="33"/>
  <c r="Y44" i="33"/>
  <c r="Y45" i="33"/>
  <c r="Y46" i="33"/>
  <c r="Y47" i="33"/>
  <c r="Y48" i="33"/>
  <c r="Y49" i="33"/>
  <c r="Y50" i="33"/>
  <c r="Y51" i="33"/>
  <c r="Y52" i="33"/>
  <c r="Y53" i="33"/>
  <c r="Y54" i="33"/>
  <c r="Y55" i="33"/>
  <c r="Y56" i="33"/>
  <c r="Y57" i="33"/>
  <c r="Y58" i="33"/>
  <c r="Y59" i="33"/>
  <c r="Y60" i="33"/>
  <c r="Y61" i="33"/>
  <c r="Y62" i="33"/>
  <c r="Y63" i="33"/>
  <c r="Y64" i="33"/>
  <c r="Y65" i="33"/>
  <c r="Y66" i="33"/>
  <c r="Y67" i="33"/>
  <c r="Y68" i="33"/>
  <c r="Y69" i="33"/>
  <c r="Y70" i="33"/>
  <c r="Y71" i="33"/>
  <c r="Y72" i="33"/>
  <c r="Y73" i="33"/>
  <c r="Y74" i="33"/>
  <c r="Y75" i="33"/>
  <c r="Y76" i="33"/>
  <c r="Y77" i="33"/>
  <c r="Y78" i="33"/>
  <c r="Y79" i="33"/>
  <c r="Y80" i="33"/>
  <c r="Y81" i="33"/>
  <c r="Y82" i="33"/>
  <c r="Y83" i="33"/>
  <c r="Y84" i="33"/>
  <c r="Y85" i="33"/>
  <c r="Z6" i="33"/>
  <c r="Z7" i="33"/>
  <c r="Z8" i="33"/>
  <c r="Z9" i="33"/>
  <c r="Z10" i="33"/>
  <c r="Z11" i="33"/>
  <c r="Z12" i="33"/>
  <c r="Z13" i="33"/>
  <c r="Z14" i="33"/>
  <c r="Z15" i="33"/>
  <c r="Z16" i="33"/>
  <c r="Z17" i="33"/>
  <c r="Z18" i="33"/>
  <c r="Z19" i="33"/>
  <c r="Z20" i="33"/>
  <c r="Z21" i="33"/>
  <c r="Z22" i="33"/>
  <c r="Z23" i="33"/>
  <c r="Z24" i="33"/>
  <c r="Z25" i="33"/>
  <c r="Z26" i="33"/>
  <c r="Z27" i="33"/>
  <c r="Z28" i="33"/>
  <c r="Z29" i="33"/>
  <c r="Z30" i="33"/>
  <c r="Z31" i="33"/>
  <c r="Z32" i="33"/>
  <c r="Z33" i="33"/>
  <c r="Z34" i="33"/>
  <c r="Z35" i="33"/>
  <c r="Z36" i="33"/>
  <c r="Z37" i="33"/>
  <c r="Z38" i="33"/>
  <c r="Z39" i="33"/>
  <c r="Z40" i="33"/>
  <c r="Z41" i="33"/>
  <c r="Z42" i="33"/>
  <c r="Z43" i="33"/>
  <c r="Z44" i="33"/>
  <c r="Z45" i="33"/>
  <c r="Z46" i="33"/>
  <c r="Z47" i="33"/>
  <c r="Z48" i="33"/>
  <c r="Z49" i="33"/>
  <c r="Z50" i="33"/>
  <c r="Z51" i="33"/>
  <c r="Z52" i="33"/>
  <c r="Z53" i="33"/>
  <c r="Z54" i="33"/>
  <c r="Z55" i="33"/>
  <c r="Z56" i="33"/>
  <c r="Z57" i="33"/>
  <c r="Z58" i="33"/>
  <c r="Z59" i="33"/>
  <c r="Z60" i="33"/>
  <c r="Z61" i="33"/>
  <c r="Z62" i="33"/>
  <c r="Z63" i="33"/>
  <c r="Z64" i="33"/>
  <c r="Z65" i="33"/>
  <c r="Z66" i="33"/>
  <c r="Z67" i="33"/>
  <c r="Z68" i="33"/>
  <c r="Z69" i="33"/>
  <c r="Z70" i="33"/>
  <c r="Z71" i="33"/>
  <c r="Z72" i="33"/>
  <c r="Z73" i="33"/>
  <c r="Z74" i="33"/>
  <c r="Z75" i="33"/>
  <c r="Z76" i="33"/>
  <c r="Z77" i="33"/>
  <c r="Z78" i="33"/>
  <c r="Z79" i="33"/>
  <c r="Z80" i="33"/>
  <c r="Z81" i="33"/>
  <c r="Z82" i="33"/>
  <c r="Z83" i="33"/>
  <c r="Z84" i="33"/>
  <c r="Z85" i="33"/>
  <c r="AA6" i="33"/>
  <c r="AA7" i="33"/>
  <c r="AA8" i="33"/>
  <c r="AA9" i="33"/>
  <c r="AA10" i="33"/>
  <c r="AA11" i="33"/>
  <c r="AA12" i="33"/>
  <c r="AA13" i="33"/>
  <c r="AA14" i="33"/>
  <c r="AA15" i="33"/>
  <c r="AA16" i="33"/>
  <c r="AA17" i="33"/>
  <c r="AA18" i="33"/>
  <c r="AA19" i="33"/>
  <c r="AA20" i="33"/>
  <c r="AA21" i="33"/>
  <c r="AA22" i="33"/>
  <c r="AA23" i="33"/>
  <c r="AA24" i="33"/>
  <c r="AA25" i="33"/>
  <c r="AA26" i="33"/>
  <c r="AA27" i="33"/>
  <c r="AA28" i="33"/>
  <c r="AA29" i="33"/>
  <c r="AA30" i="33"/>
  <c r="AA31" i="33"/>
  <c r="AA32" i="33"/>
  <c r="AA33" i="33"/>
  <c r="AA34" i="33"/>
  <c r="AA35" i="33"/>
  <c r="AA36" i="33"/>
  <c r="AA37" i="33"/>
  <c r="AA38" i="33"/>
  <c r="AA39" i="33"/>
  <c r="AA40" i="33"/>
  <c r="AA41" i="33"/>
  <c r="AA42" i="33"/>
  <c r="AA43" i="33"/>
  <c r="AA44" i="33"/>
  <c r="AA45" i="33"/>
  <c r="AA46" i="33"/>
  <c r="AA47" i="33"/>
  <c r="AA48" i="33"/>
  <c r="AA49" i="33"/>
  <c r="AA50" i="33"/>
  <c r="AA51" i="33"/>
  <c r="AA52" i="33"/>
  <c r="AA53" i="33"/>
  <c r="AA54" i="33"/>
  <c r="AA55" i="33"/>
  <c r="AA56" i="33"/>
  <c r="AA57" i="33"/>
  <c r="AA58" i="33"/>
  <c r="AA59" i="33"/>
  <c r="AA60" i="33"/>
  <c r="AA61" i="33"/>
  <c r="AA62" i="33"/>
  <c r="AA63" i="33"/>
  <c r="AA64" i="33"/>
  <c r="AA65" i="33"/>
  <c r="AA66" i="33"/>
  <c r="AA67" i="33"/>
  <c r="AA68" i="33"/>
  <c r="AA69" i="33"/>
  <c r="AA70" i="33"/>
  <c r="AA71" i="33"/>
  <c r="AA72" i="33"/>
  <c r="AA73" i="33"/>
  <c r="AA74" i="33"/>
  <c r="AA75" i="33"/>
  <c r="AA76" i="33"/>
  <c r="AA77" i="33"/>
  <c r="AA78" i="33"/>
  <c r="AA79" i="33"/>
  <c r="AA80" i="33"/>
  <c r="AA81" i="33"/>
  <c r="AA82" i="33"/>
  <c r="AA83" i="33"/>
  <c r="AA84" i="33"/>
  <c r="AA85" i="33"/>
  <c r="AB6" i="33"/>
  <c r="AB7" i="33"/>
  <c r="AB8" i="33"/>
  <c r="AB9" i="33"/>
  <c r="AB10" i="33"/>
  <c r="AB11" i="33"/>
  <c r="AB12" i="33"/>
  <c r="AB13" i="33"/>
  <c r="AB14" i="33"/>
  <c r="AB15" i="33"/>
  <c r="AB16" i="33"/>
  <c r="AB17" i="33"/>
  <c r="AB18" i="33"/>
  <c r="AB19" i="33"/>
  <c r="AB20" i="33"/>
  <c r="AB21" i="33"/>
  <c r="AB22" i="33"/>
  <c r="AB23" i="33"/>
  <c r="AB24" i="33"/>
  <c r="AB25" i="33"/>
  <c r="AB26" i="33"/>
  <c r="AB27" i="33"/>
  <c r="AB28" i="33"/>
  <c r="AB29" i="33"/>
  <c r="AB30" i="33"/>
  <c r="AB31" i="33"/>
  <c r="AB32" i="33"/>
  <c r="AB33" i="33"/>
  <c r="AB34" i="33"/>
  <c r="AB35" i="33"/>
  <c r="AB36" i="33"/>
  <c r="AB37" i="33"/>
  <c r="AB38" i="33"/>
  <c r="AB39" i="33"/>
  <c r="AB40" i="33"/>
  <c r="AB41" i="33"/>
  <c r="AB42" i="33"/>
  <c r="AB43" i="33"/>
  <c r="AB44" i="33"/>
  <c r="AB45" i="33"/>
  <c r="AB46" i="33"/>
  <c r="AB47" i="33"/>
  <c r="AB48" i="33"/>
  <c r="AB49" i="33"/>
  <c r="AB50" i="33"/>
  <c r="AB51" i="33"/>
  <c r="AB52" i="33"/>
  <c r="AB53" i="33"/>
  <c r="AB54" i="33"/>
  <c r="AB55" i="33"/>
  <c r="AB56" i="33"/>
  <c r="AB57" i="33"/>
  <c r="AB58" i="33"/>
  <c r="AB59" i="33"/>
  <c r="AB60" i="33"/>
  <c r="AB61" i="33"/>
  <c r="AB62" i="33"/>
  <c r="AB63" i="33"/>
  <c r="AB64" i="33"/>
  <c r="AB65" i="33"/>
  <c r="AB66" i="33"/>
  <c r="AB67" i="33"/>
  <c r="AB68" i="33"/>
  <c r="AB69" i="33"/>
  <c r="AB70" i="33"/>
  <c r="AB71" i="33"/>
  <c r="AB72" i="33"/>
  <c r="AB73" i="33"/>
  <c r="AB74" i="33"/>
  <c r="AB75" i="33"/>
  <c r="AB76" i="33"/>
  <c r="AB77" i="33"/>
  <c r="AB78" i="33"/>
  <c r="AB79" i="33"/>
  <c r="AB80" i="33"/>
  <c r="AB81" i="33"/>
  <c r="AB82" i="33"/>
  <c r="AB83" i="33"/>
  <c r="AB84" i="33"/>
  <c r="AB8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C34" i="33"/>
  <c r="AC35" i="33"/>
  <c r="AC36" i="33"/>
  <c r="AC37" i="33"/>
  <c r="AC38" i="33"/>
  <c r="AC39" i="33"/>
  <c r="AC40" i="33"/>
  <c r="AC41" i="33"/>
  <c r="AC42" i="33"/>
  <c r="AC43" i="33"/>
  <c r="AC44" i="33"/>
  <c r="AC45" i="33"/>
  <c r="AC46" i="33"/>
  <c r="AC47" i="33"/>
  <c r="AC48" i="33"/>
  <c r="AC49" i="33"/>
  <c r="AC50" i="33"/>
  <c r="AC51" i="33"/>
  <c r="AC52" i="33"/>
  <c r="AC53" i="33"/>
  <c r="AC54" i="33"/>
  <c r="AC55" i="33"/>
  <c r="AC56" i="33"/>
  <c r="AC57" i="33"/>
  <c r="AC58" i="33"/>
  <c r="AC59" i="33"/>
  <c r="AC60" i="33"/>
  <c r="AC61" i="33"/>
  <c r="AC62" i="33"/>
  <c r="AC63" i="33"/>
  <c r="AC64" i="33"/>
  <c r="AC65" i="33"/>
  <c r="AC66" i="33"/>
  <c r="AC67" i="33"/>
  <c r="AC68" i="33"/>
  <c r="AC69" i="33"/>
  <c r="AC70" i="33"/>
  <c r="AC71" i="33"/>
  <c r="AC72" i="33"/>
  <c r="AC73" i="33"/>
  <c r="AC74" i="33"/>
  <c r="AC75" i="33"/>
  <c r="AC76" i="33"/>
  <c r="AC77" i="33"/>
  <c r="AC78" i="33"/>
  <c r="AC79" i="33"/>
  <c r="AC80" i="33"/>
  <c r="AC81" i="33"/>
  <c r="AC82" i="33"/>
  <c r="AC83" i="33"/>
  <c r="AC84" i="33"/>
  <c r="AC8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AD25" i="33"/>
  <c r="AD26" i="33"/>
  <c r="AD27" i="33"/>
  <c r="AD28" i="33"/>
  <c r="AD29" i="33"/>
  <c r="AD30" i="33"/>
  <c r="AD31" i="33"/>
  <c r="AD32" i="33"/>
  <c r="AD33" i="33"/>
  <c r="AD34" i="33"/>
  <c r="AD35" i="33"/>
  <c r="AD36" i="33"/>
  <c r="AD37" i="33"/>
  <c r="AD38" i="33"/>
  <c r="AD39" i="33"/>
  <c r="AD40" i="33"/>
  <c r="AD41" i="33"/>
  <c r="AD42" i="33"/>
  <c r="AD43" i="33"/>
  <c r="AD44" i="33"/>
  <c r="AD45" i="33"/>
  <c r="AD46" i="33"/>
  <c r="AD47" i="33"/>
  <c r="AD48" i="33"/>
  <c r="AD49" i="33"/>
  <c r="AD50" i="33"/>
  <c r="AD51" i="33"/>
  <c r="AD52" i="33"/>
  <c r="AD53" i="33"/>
  <c r="AD54" i="33"/>
  <c r="AD55" i="33"/>
  <c r="AD56" i="33"/>
  <c r="AD57" i="33"/>
  <c r="AD58" i="33"/>
  <c r="AD59" i="33"/>
  <c r="AD60" i="33"/>
  <c r="AD61" i="33"/>
  <c r="AD62" i="33"/>
  <c r="AD63" i="33"/>
  <c r="AD64" i="33"/>
  <c r="AD65" i="33"/>
  <c r="AD66" i="33"/>
  <c r="AD67" i="33"/>
  <c r="AD68" i="33"/>
  <c r="AD69" i="33"/>
  <c r="AD70" i="33"/>
  <c r="AD71" i="33"/>
  <c r="AD72" i="33"/>
  <c r="AD73" i="33"/>
  <c r="AD74" i="33"/>
  <c r="AD75" i="33"/>
  <c r="AD76" i="33"/>
  <c r="AD77" i="33"/>
  <c r="AD78" i="33"/>
  <c r="AD79" i="33"/>
  <c r="AD80" i="33"/>
  <c r="AD81" i="33"/>
  <c r="AD82" i="33"/>
  <c r="AD83" i="33"/>
  <c r="AD84" i="33"/>
  <c r="AD85" i="33"/>
  <c r="AE6" i="33"/>
  <c r="AE7" i="33"/>
  <c r="AE8" i="33"/>
  <c r="AE9" i="33"/>
  <c r="AE10" i="33"/>
  <c r="AE11" i="33"/>
  <c r="AE12" i="33"/>
  <c r="AE13" i="33"/>
  <c r="AE14" i="33"/>
  <c r="AE15" i="33"/>
  <c r="AE16" i="33"/>
  <c r="AE17" i="33"/>
  <c r="AE18" i="33"/>
  <c r="AE19" i="33"/>
  <c r="AE20" i="33"/>
  <c r="AE21" i="33"/>
  <c r="AE22" i="33"/>
  <c r="AE23" i="33"/>
  <c r="AE24" i="33"/>
  <c r="AE25" i="33"/>
  <c r="AE26" i="33"/>
  <c r="AE27" i="33"/>
  <c r="AE28" i="33"/>
  <c r="AE29" i="33"/>
  <c r="AE30" i="33"/>
  <c r="AE31" i="33"/>
  <c r="AE32" i="33"/>
  <c r="AE33" i="33"/>
  <c r="AE34" i="33"/>
  <c r="AE35" i="33"/>
  <c r="AE36" i="33"/>
  <c r="AE37" i="33"/>
  <c r="AE38" i="33"/>
  <c r="AE39" i="33"/>
  <c r="AE40" i="33"/>
  <c r="AE41" i="33"/>
  <c r="AE42" i="33"/>
  <c r="AE43" i="33"/>
  <c r="AE44" i="33"/>
  <c r="AE45" i="33"/>
  <c r="AE46" i="33"/>
  <c r="AE47" i="33"/>
  <c r="AE48" i="33"/>
  <c r="AE49" i="33"/>
  <c r="AE50" i="33"/>
  <c r="AE51" i="33"/>
  <c r="AE52" i="33"/>
  <c r="AE53" i="33"/>
  <c r="AE54" i="33"/>
  <c r="AE55" i="33"/>
  <c r="AE56" i="33"/>
  <c r="AE57" i="33"/>
  <c r="AE58" i="33"/>
  <c r="AE59" i="33"/>
  <c r="AE60" i="33"/>
  <c r="AE61" i="33"/>
  <c r="AE62" i="33"/>
  <c r="AE63" i="33"/>
  <c r="AE64" i="33"/>
  <c r="AE65" i="33"/>
  <c r="AE66" i="33"/>
  <c r="AE67" i="33"/>
  <c r="AE68" i="33"/>
  <c r="AE69" i="33"/>
  <c r="AE70" i="33"/>
  <c r="AE71" i="33"/>
  <c r="AE72" i="33"/>
  <c r="AE73" i="33"/>
  <c r="AE74" i="33"/>
  <c r="AE75" i="33"/>
  <c r="AE76" i="33"/>
  <c r="AE77" i="33"/>
  <c r="AE78" i="33"/>
  <c r="AE79" i="33"/>
  <c r="AE80" i="33"/>
  <c r="AE81" i="33"/>
  <c r="AE82" i="33"/>
  <c r="AE83" i="33"/>
  <c r="AE84" i="33"/>
  <c r="AE85" i="33"/>
  <c r="AF6" i="33"/>
  <c r="AF7" i="33"/>
  <c r="AF8" i="33"/>
  <c r="AF9" i="33"/>
  <c r="AF10" i="33"/>
  <c r="AF11" i="33"/>
  <c r="AF12" i="33"/>
  <c r="AF13" i="33"/>
  <c r="AF14" i="33"/>
  <c r="AF15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F29" i="33"/>
  <c r="AF30" i="33"/>
  <c r="AF31" i="33"/>
  <c r="AF32" i="33"/>
  <c r="AF33" i="33"/>
  <c r="AF34" i="33"/>
  <c r="AF35" i="33"/>
  <c r="AF36" i="33"/>
  <c r="AF37" i="33"/>
  <c r="AF38" i="33"/>
  <c r="AF39" i="33"/>
  <c r="AF40" i="33"/>
  <c r="AF41" i="33"/>
  <c r="AF42" i="33"/>
  <c r="AF43" i="33"/>
  <c r="AF44" i="33"/>
  <c r="AF45" i="33"/>
  <c r="AF46" i="33"/>
  <c r="AF47" i="33"/>
  <c r="AF48" i="33"/>
  <c r="AF49" i="33"/>
  <c r="AF50" i="33"/>
  <c r="AF51" i="33"/>
  <c r="AF52" i="33"/>
  <c r="AF53" i="33"/>
  <c r="AF54" i="33"/>
  <c r="AF55" i="33"/>
  <c r="AF56" i="33"/>
  <c r="AF57" i="33"/>
  <c r="AF58" i="33"/>
  <c r="AF59" i="33"/>
  <c r="AF60" i="33"/>
  <c r="AF61" i="33"/>
  <c r="AF62" i="33"/>
  <c r="AF63" i="33"/>
  <c r="AF64" i="33"/>
  <c r="AF65" i="33"/>
  <c r="AF66" i="33"/>
  <c r="AF67" i="33"/>
  <c r="AF68" i="33"/>
  <c r="AF69" i="33"/>
  <c r="AF70" i="33"/>
  <c r="AF71" i="33"/>
  <c r="AF72" i="33"/>
  <c r="AF73" i="33"/>
  <c r="AF74" i="33"/>
  <c r="AF75" i="33"/>
  <c r="AF76" i="33"/>
  <c r="AF77" i="33"/>
  <c r="AF78" i="33"/>
  <c r="AF79" i="33"/>
  <c r="AF80" i="33"/>
  <c r="AF81" i="33"/>
  <c r="AF82" i="33"/>
  <c r="AF83" i="33"/>
  <c r="AF84" i="33"/>
  <c r="AF85" i="33"/>
  <c r="AG6" i="33"/>
  <c r="AG7" i="33"/>
  <c r="AG8" i="33"/>
  <c r="AG9" i="33"/>
  <c r="AG10" i="33"/>
  <c r="AG11" i="33"/>
  <c r="AG12" i="33"/>
  <c r="AG13" i="33"/>
  <c r="AG14" i="33"/>
  <c r="AG15" i="33"/>
  <c r="AG16" i="33"/>
  <c r="AG17" i="33"/>
  <c r="AG18" i="33"/>
  <c r="AG19" i="33"/>
  <c r="AG20" i="33"/>
  <c r="AG21" i="33"/>
  <c r="AG22" i="33"/>
  <c r="AG23" i="33"/>
  <c r="AG24" i="33"/>
  <c r="AG25" i="33"/>
  <c r="AG26" i="33"/>
  <c r="AG27" i="33"/>
  <c r="AG28" i="33"/>
  <c r="AG29" i="33"/>
  <c r="AQ29" i="33" s="1"/>
  <c r="AG30" i="33"/>
  <c r="AG31" i="33"/>
  <c r="AG32" i="33"/>
  <c r="AG33" i="33"/>
  <c r="AG34" i="33"/>
  <c r="AG35" i="33"/>
  <c r="AG36" i="33"/>
  <c r="AG37" i="33"/>
  <c r="AQ37" i="33" s="1"/>
  <c r="AG38" i="33"/>
  <c r="AG39" i="33"/>
  <c r="AG40" i="33"/>
  <c r="AG41" i="33"/>
  <c r="AG42" i="33"/>
  <c r="AG43" i="33"/>
  <c r="AG44" i="33"/>
  <c r="AG45" i="33"/>
  <c r="AQ45" i="33" s="1"/>
  <c r="AG46" i="33"/>
  <c r="AG47" i="33"/>
  <c r="AG48" i="33"/>
  <c r="AG49" i="33"/>
  <c r="AG50" i="33"/>
  <c r="AG51" i="33"/>
  <c r="AG52" i="33"/>
  <c r="AG53" i="33"/>
  <c r="AQ53" i="33" s="1"/>
  <c r="AR53" i="33" s="1"/>
  <c r="AG54" i="33"/>
  <c r="AG55" i="33"/>
  <c r="AG56" i="33"/>
  <c r="AG57" i="33"/>
  <c r="AG58" i="33"/>
  <c r="AG59" i="33"/>
  <c r="AG60" i="33"/>
  <c r="AG61" i="33"/>
  <c r="AQ61" i="33" s="1"/>
  <c r="AR61" i="33" s="1"/>
  <c r="AG62" i="33"/>
  <c r="AG63" i="33"/>
  <c r="AG64" i="33"/>
  <c r="AG65" i="33"/>
  <c r="AG66" i="33"/>
  <c r="AG67" i="33"/>
  <c r="AG68" i="33"/>
  <c r="AG69" i="33"/>
  <c r="AQ69" i="33" s="1"/>
  <c r="AR69" i="33" s="1"/>
  <c r="AG70" i="33"/>
  <c r="AG71" i="33"/>
  <c r="AG72" i="33"/>
  <c r="AG73" i="33"/>
  <c r="AG74" i="33"/>
  <c r="AG75" i="33"/>
  <c r="AG76" i="33"/>
  <c r="AG77" i="33"/>
  <c r="AG78" i="33"/>
  <c r="AG79" i="33"/>
  <c r="AG80" i="33"/>
  <c r="AG81" i="33"/>
  <c r="AG82" i="33"/>
  <c r="AG83" i="33"/>
  <c r="AG84" i="33"/>
  <c r="AG85" i="33"/>
  <c r="AH6" i="33"/>
  <c r="AH7" i="3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H39" i="33"/>
  <c r="AH40" i="33"/>
  <c r="AH41" i="33"/>
  <c r="AH42" i="33"/>
  <c r="AH43" i="33"/>
  <c r="AH44" i="33"/>
  <c r="AH45" i="33"/>
  <c r="AH46" i="33"/>
  <c r="AH47" i="33"/>
  <c r="AH48" i="33"/>
  <c r="AH49" i="33"/>
  <c r="AH50" i="33"/>
  <c r="AH51" i="33"/>
  <c r="AH52" i="33"/>
  <c r="AH53" i="33"/>
  <c r="AH54" i="33"/>
  <c r="AH55" i="33"/>
  <c r="AH56" i="33"/>
  <c r="AH57" i="33"/>
  <c r="AH58" i="33"/>
  <c r="AH59" i="33"/>
  <c r="AH60" i="33"/>
  <c r="AH61" i="33"/>
  <c r="AH62" i="33"/>
  <c r="AH63" i="33"/>
  <c r="AH64" i="33"/>
  <c r="AH65" i="33"/>
  <c r="AH66" i="33"/>
  <c r="AH67" i="33"/>
  <c r="AH68" i="33"/>
  <c r="AH69" i="33"/>
  <c r="AH70" i="33"/>
  <c r="AH71" i="33"/>
  <c r="AH72" i="33"/>
  <c r="AH73" i="33"/>
  <c r="AH74" i="33"/>
  <c r="AH75" i="33"/>
  <c r="AH76" i="33"/>
  <c r="AH77" i="33"/>
  <c r="AH78" i="33"/>
  <c r="AH79" i="33"/>
  <c r="AH80" i="33"/>
  <c r="AH81" i="33"/>
  <c r="AH82" i="33"/>
  <c r="AH83" i="33"/>
  <c r="AH84" i="33"/>
  <c r="AH85" i="33"/>
  <c r="AI6" i="33"/>
  <c r="AI7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I39" i="33"/>
  <c r="AI40" i="33"/>
  <c r="AI41" i="33"/>
  <c r="AI42" i="33"/>
  <c r="AI43" i="33"/>
  <c r="AI44" i="33"/>
  <c r="AI45" i="33"/>
  <c r="AI46" i="33"/>
  <c r="AI47" i="33"/>
  <c r="AI48" i="33"/>
  <c r="AI49" i="33"/>
  <c r="AI50" i="33"/>
  <c r="AI51" i="33"/>
  <c r="AI52" i="33"/>
  <c r="AI53" i="33"/>
  <c r="AI54" i="33"/>
  <c r="AI55" i="33"/>
  <c r="AI56" i="33"/>
  <c r="AI57" i="33"/>
  <c r="AI58" i="33"/>
  <c r="AI59" i="33"/>
  <c r="AI60" i="33"/>
  <c r="AI61" i="33"/>
  <c r="AI62" i="33"/>
  <c r="AI63" i="33"/>
  <c r="AI64" i="33"/>
  <c r="AI65" i="33"/>
  <c r="AI66" i="33"/>
  <c r="AI67" i="33"/>
  <c r="AI68" i="33"/>
  <c r="AI69" i="33"/>
  <c r="AI70" i="33"/>
  <c r="AI71" i="33"/>
  <c r="AI72" i="33"/>
  <c r="AI73" i="33"/>
  <c r="AI74" i="33"/>
  <c r="AI75" i="33"/>
  <c r="AI76" i="33"/>
  <c r="AI77" i="33"/>
  <c r="AI78" i="33"/>
  <c r="AI79" i="33"/>
  <c r="AI80" i="33"/>
  <c r="AI81" i="33"/>
  <c r="AI82" i="33"/>
  <c r="AI83" i="33"/>
  <c r="AI84" i="33"/>
  <c r="AI85" i="33"/>
  <c r="AJ6" i="33"/>
  <c r="AJ7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J39" i="33"/>
  <c r="AJ40" i="33"/>
  <c r="AJ41" i="33"/>
  <c r="AJ42" i="33"/>
  <c r="AJ43" i="33"/>
  <c r="AJ44" i="33"/>
  <c r="AJ45" i="33"/>
  <c r="AJ46" i="33"/>
  <c r="AJ47" i="33"/>
  <c r="AJ48" i="33"/>
  <c r="AJ49" i="33"/>
  <c r="AJ50" i="33"/>
  <c r="AJ51" i="33"/>
  <c r="AJ52" i="33"/>
  <c r="AJ53" i="33"/>
  <c r="AJ54" i="33"/>
  <c r="AJ55" i="33"/>
  <c r="AJ56" i="33"/>
  <c r="AJ57" i="33"/>
  <c r="AJ58" i="33"/>
  <c r="AJ59" i="33"/>
  <c r="AJ60" i="33"/>
  <c r="AJ61" i="33"/>
  <c r="AJ62" i="33"/>
  <c r="AJ63" i="33"/>
  <c r="AJ64" i="33"/>
  <c r="AJ65" i="33"/>
  <c r="AJ66" i="33"/>
  <c r="AJ67" i="33"/>
  <c r="AJ68" i="33"/>
  <c r="AJ69" i="33"/>
  <c r="AJ70" i="33"/>
  <c r="AJ71" i="33"/>
  <c r="AJ72" i="33"/>
  <c r="AJ73" i="33"/>
  <c r="AJ74" i="33"/>
  <c r="AJ75" i="33"/>
  <c r="AJ76" i="33"/>
  <c r="AJ77" i="33"/>
  <c r="AJ78" i="33"/>
  <c r="AJ79" i="33"/>
  <c r="AJ80" i="33"/>
  <c r="AJ81" i="33"/>
  <c r="AJ82" i="33"/>
  <c r="AJ83" i="33"/>
  <c r="AJ84" i="33"/>
  <c r="AJ85" i="33"/>
  <c r="AK6" i="33"/>
  <c r="AK7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K39" i="33"/>
  <c r="AK40" i="33"/>
  <c r="AK41" i="33"/>
  <c r="AK42" i="33"/>
  <c r="AK43" i="33"/>
  <c r="AK44" i="33"/>
  <c r="AK45" i="33"/>
  <c r="AK46" i="33"/>
  <c r="AK47" i="33"/>
  <c r="AK48" i="33"/>
  <c r="AK49" i="33"/>
  <c r="AK50" i="33"/>
  <c r="AK51" i="33"/>
  <c r="AK52" i="33"/>
  <c r="AK53" i="33"/>
  <c r="AK54" i="33"/>
  <c r="AK55" i="33"/>
  <c r="AK56" i="33"/>
  <c r="AK57" i="33"/>
  <c r="AK58" i="33"/>
  <c r="AK59" i="33"/>
  <c r="AK60" i="33"/>
  <c r="AK61" i="33"/>
  <c r="AK62" i="33"/>
  <c r="AK63" i="33"/>
  <c r="AK64" i="33"/>
  <c r="AK65" i="33"/>
  <c r="AK66" i="33"/>
  <c r="AK67" i="33"/>
  <c r="AK68" i="33"/>
  <c r="AK69" i="33"/>
  <c r="AK70" i="33"/>
  <c r="AK71" i="33"/>
  <c r="AK72" i="33"/>
  <c r="AK73" i="33"/>
  <c r="AK74" i="33"/>
  <c r="AK75" i="33"/>
  <c r="AK76" i="33"/>
  <c r="AK77" i="33"/>
  <c r="AK78" i="33"/>
  <c r="AK79" i="33"/>
  <c r="AK80" i="33"/>
  <c r="AK81" i="33"/>
  <c r="AK82" i="33"/>
  <c r="AK83" i="33"/>
  <c r="AK84" i="33"/>
  <c r="AK85" i="33"/>
  <c r="AL6" i="33"/>
  <c r="AL7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Q28" i="33" s="1"/>
  <c r="AL29" i="33"/>
  <c r="AL30" i="33"/>
  <c r="AL31" i="33"/>
  <c r="AL32" i="33"/>
  <c r="AL33" i="33"/>
  <c r="AL34" i="33"/>
  <c r="AL35" i="33"/>
  <c r="AL36" i="33"/>
  <c r="AQ36" i="33" s="1"/>
  <c r="AR36" i="33" s="1"/>
  <c r="AL37" i="33"/>
  <c r="AL38" i="33"/>
  <c r="AL39" i="33"/>
  <c r="AL40" i="33"/>
  <c r="AL41" i="33"/>
  <c r="AL42" i="33"/>
  <c r="AL43" i="33"/>
  <c r="AL44" i="33"/>
  <c r="AQ44" i="33" s="1"/>
  <c r="AR44" i="33" s="1"/>
  <c r="AL45" i="33"/>
  <c r="AL46" i="33"/>
  <c r="AL47" i="33"/>
  <c r="AQ47" i="33" s="1"/>
  <c r="AR47" i="33" s="1"/>
  <c r="AL48" i="33"/>
  <c r="AL49" i="33"/>
  <c r="AL50" i="33"/>
  <c r="AL51" i="33"/>
  <c r="AL52" i="33"/>
  <c r="AQ52" i="33" s="1"/>
  <c r="AR52" i="33" s="1"/>
  <c r="AL53" i="33"/>
  <c r="AL54" i="33"/>
  <c r="AL55" i="33"/>
  <c r="AQ55" i="33" s="1"/>
  <c r="AR55" i="33" s="1"/>
  <c r="AL56" i="33"/>
  <c r="AL57" i="33"/>
  <c r="AL58" i="33"/>
  <c r="AL59" i="33"/>
  <c r="AQ59" i="33" s="1"/>
  <c r="AR59" i="33" s="1"/>
  <c r="AL60" i="33"/>
  <c r="AQ60" i="33" s="1"/>
  <c r="AR60" i="33" s="1"/>
  <c r="AL61" i="33"/>
  <c r="AL62" i="33"/>
  <c r="AL63" i="33"/>
  <c r="AQ63" i="33" s="1"/>
  <c r="AR63" i="33" s="1"/>
  <c r="AL64" i="33"/>
  <c r="AL65" i="33"/>
  <c r="AL66" i="33"/>
  <c r="AL67" i="33"/>
  <c r="AQ67" i="33" s="1"/>
  <c r="AR67" i="33" s="1"/>
  <c r="AL68" i="33"/>
  <c r="AQ68" i="33" s="1"/>
  <c r="AR68" i="33" s="1"/>
  <c r="AL69" i="33"/>
  <c r="AL70" i="33"/>
  <c r="AL71" i="33"/>
  <c r="AQ71" i="33" s="1"/>
  <c r="AR71" i="33" s="1"/>
  <c r="AL72" i="33"/>
  <c r="AQ72" i="33" s="1"/>
  <c r="AR72" i="33" s="1"/>
  <c r="AL73" i="33"/>
  <c r="AL74" i="33"/>
  <c r="AL75" i="33"/>
  <c r="AQ75" i="33" s="1"/>
  <c r="AR75" i="33" s="1"/>
  <c r="AL76" i="33"/>
  <c r="AQ76" i="33" s="1"/>
  <c r="AR76" i="33" s="1"/>
  <c r="AL77" i="33"/>
  <c r="AQ77" i="33" s="1"/>
  <c r="AR77" i="33" s="1"/>
  <c r="AL78" i="33"/>
  <c r="AQ78" i="33" s="1"/>
  <c r="AL79" i="33"/>
  <c r="AQ79" i="33" s="1"/>
  <c r="AR79" i="33" s="1"/>
  <c r="AL80" i="33"/>
  <c r="AL81" i="33"/>
  <c r="AL82" i="33"/>
  <c r="AL83" i="33"/>
  <c r="AL84" i="33"/>
  <c r="AQ84" i="33" s="1"/>
  <c r="AR84" i="33" s="1"/>
  <c r="AL85" i="33"/>
  <c r="AQ85" i="33" s="1"/>
  <c r="AR85" i="33" s="1"/>
  <c r="AM6" i="33"/>
  <c r="AM7" i="33"/>
  <c r="AR7" i="33" s="1"/>
  <c r="AM8" i="33"/>
  <c r="AR8" i="33" s="1"/>
  <c r="AM9" i="33"/>
  <c r="AM10" i="33"/>
  <c r="AM11" i="33"/>
  <c r="AM12" i="33"/>
  <c r="AR12" i="33" s="1"/>
  <c r="AM13" i="33"/>
  <c r="AR13" i="33" s="1"/>
  <c r="AM14" i="33"/>
  <c r="AM15" i="33"/>
  <c r="AR15" i="33" s="1"/>
  <c r="AM16" i="33"/>
  <c r="AR16" i="33" s="1"/>
  <c r="AM17" i="33"/>
  <c r="AM18" i="33"/>
  <c r="AM19" i="33"/>
  <c r="AM20" i="33"/>
  <c r="AR20" i="33" s="1"/>
  <c r="AM21" i="33"/>
  <c r="AR21" i="33" s="1"/>
  <c r="AM22" i="33"/>
  <c r="AM23" i="33"/>
  <c r="AR23" i="33" s="1"/>
  <c r="AM24" i="33"/>
  <c r="AR24" i="33" s="1"/>
  <c r="AM25" i="33"/>
  <c r="AM26" i="33"/>
  <c r="AM27" i="33"/>
  <c r="AM28" i="33"/>
  <c r="AM29" i="33"/>
  <c r="AR29" i="33" s="1"/>
  <c r="AM30" i="33"/>
  <c r="AM31" i="33"/>
  <c r="AM32" i="33"/>
  <c r="AR32" i="33" s="1"/>
  <c r="AM33" i="33"/>
  <c r="AM34" i="33"/>
  <c r="AM35" i="33"/>
  <c r="AM36" i="33"/>
  <c r="AM37" i="33"/>
  <c r="AR37" i="33" s="1"/>
  <c r="AM38" i="33"/>
  <c r="AM39" i="33"/>
  <c r="AM40" i="33"/>
  <c r="AR40" i="33" s="1"/>
  <c r="AM41" i="33"/>
  <c r="AM42" i="33"/>
  <c r="AM43" i="33"/>
  <c r="AM44" i="33"/>
  <c r="AM45" i="33"/>
  <c r="AR45" i="33" s="1"/>
  <c r="AM46" i="33"/>
  <c r="AM47" i="33"/>
  <c r="AM48" i="33"/>
  <c r="AM49" i="33"/>
  <c r="AM50" i="33"/>
  <c r="AM51" i="33"/>
  <c r="AM52" i="33"/>
  <c r="AM53" i="33"/>
  <c r="AM54" i="33"/>
  <c r="AM55" i="33"/>
  <c r="AM56" i="33"/>
  <c r="AM57" i="33"/>
  <c r="AM58" i="33"/>
  <c r="AM59" i="33"/>
  <c r="AM60" i="33"/>
  <c r="AM61" i="33"/>
  <c r="AM62" i="33"/>
  <c r="AM63" i="33"/>
  <c r="AM64" i="33"/>
  <c r="AM65" i="33"/>
  <c r="AM66" i="33"/>
  <c r="AM67" i="33"/>
  <c r="AM68" i="33"/>
  <c r="AM69" i="33"/>
  <c r="AM70" i="33"/>
  <c r="AM71" i="33"/>
  <c r="AM72" i="33"/>
  <c r="AM73" i="33"/>
  <c r="AM74" i="33"/>
  <c r="AM75" i="33"/>
  <c r="AM76" i="33"/>
  <c r="AM77" i="33"/>
  <c r="AM78" i="33"/>
  <c r="AM79" i="33"/>
  <c r="AM80" i="33"/>
  <c r="AM81" i="33"/>
  <c r="AM82" i="33"/>
  <c r="AM83" i="33"/>
  <c r="AM84" i="33"/>
  <c r="AM85" i="33"/>
  <c r="AN6" i="33"/>
  <c r="AN7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N39" i="33"/>
  <c r="AN40" i="33"/>
  <c r="AN41" i="33"/>
  <c r="AN42" i="33"/>
  <c r="AN43" i="33"/>
  <c r="AN44" i="33"/>
  <c r="AN45" i="33"/>
  <c r="AN46" i="33"/>
  <c r="AN47" i="33"/>
  <c r="AN48" i="33"/>
  <c r="AN49" i="33"/>
  <c r="AN50" i="33"/>
  <c r="AN51" i="33"/>
  <c r="AN52" i="33"/>
  <c r="AN53" i="33"/>
  <c r="AN54" i="33"/>
  <c r="AN55" i="33"/>
  <c r="AN56" i="33"/>
  <c r="AN57" i="33"/>
  <c r="AN58" i="33"/>
  <c r="AN59" i="33"/>
  <c r="AN60" i="33"/>
  <c r="AN61" i="33"/>
  <c r="AN62" i="33"/>
  <c r="AN63" i="33"/>
  <c r="AN64" i="33"/>
  <c r="AN65" i="33"/>
  <c r="AN66" i="33"/>
  <c r="AN67" i="33"/>
  <c r="AN68" i="33"/>
  <c r="AN69" i="33"/>
  <c r="AN70" i="33"/>
  <c r="AN71" i="33"/>
  <c r="AN72" i="33"/>
  <c r="AN73" i="33"/>
  <c r="AN74" i="33"/>
  <c r="AN75" i="33"/>
  <c r="AN76" i="33"/>
  <c r="AN77" i="33"/>
  <c r="AN78" i="33"/>
  <c r="AN79" i="33"/>
  <c r="AN80" i="33"/>
  <c r="AN81" i="33"/>
  <c r="AN82" i="33"/>
  <c r="AN83" i="33"/>
  <c r="AN84" i="33"/>
  <c r="AN85" i="33"/>
  <c r="AO6" i="33"/>
  <c r="AO7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O39" i="33"/>
  <c r="AO40" i="33"/>
  <c r="AO41" i="33"/>
  <c r="AO42" i="33"/>
  <c r="AO43" i="33"/>
  <c r="AO44" i="33"/>
  <c r="AO45" i="33"/>
  <c r="AO46" i="33"/>
  <c r="AO47" i="33"/>
  <c r="AO48" i="33"/>
  <c r="AO49" i="33"/>
  <c r="AO50" i="33"/>
  <c r="AO51" i="33"/>
  <c r="AO52" i="33"/>
  <c r="AO53" i="33"/>
  <c r="AO54" i="33"/>
  <c r="AO55" i="33"/>
  <c r="AO56" i="33"/>
  <c r="AO57" i="33"/>
  <c r="AO58" i="33"/>
  <c r="AO59" i="33"/>
  <c r="AO60" i="33"/>
  <c r="AO61" i="33"/>
  <c r="AO62" i="33"/>
  <c r="AO63" i="33"/>
  <c r="AO64" i="33"/>
  <c r="AO65" i="33"/>
  <c r="AO66" i="33"/>
  <c r="AO67" i="33"/>
  <c r="AO68" i="33"/>
  <c r="AO69" i="33"/>
  <c r="AO70" i="33"/>
  <c r="AO71" i="33"/>
  <c r="AO72" i="33"/>
  <c r="AO73" i="33"/>
  <c r="AO74" i="33"/>
  <c r="AO75" i="33"/>
  <c r="AO76" i="33"/>
  <c r="AO77" i="33"/>
  <c r="AO78" i="33"/>
  <c r="AO79" i="33"/>
  <c r="AO80" i="33"/>
  <c r="AO81" i="33"/>
  <c r="AO82" i="33"/>
  <c r="AO83" i="33"/>
  <c r="AO84" i="33"/>
  <c r="AO85" i="33"/>
  <c r="AP6" i="33"/>
  <c r="AP7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P39" i="33"/>
  <c r="AP40" i="33"/>
  <c r="AP41" i="33"/>
  <c r="AP42" i="33"/>
  <c r="AP43" i="33"/>
  <c r="AP44" i="33"/>
  <c r="AP45" i="33"/>
  <c r="AP46" i="33"/>
  <c r="AP47" i="33"/>
  <c r="AP48" i="33"/>
  <c r="AP49" i="33"/>
  <c r="AP50" i="33"/>
  <c r="AP51" i="33"/>
  <c r="AP52" i="33"/>
  <c r="AP53" i="33"/>
  <c r="AP54" i="33"/>
  <c r="AP55" i="33"/>
  <c r="AP56" i="33"/>
  <c r="AP57" i="33"/>
  <c r="AP58" i="33"/>
  <c r="AP59" i="33"/>
  <c r="AP60" i="33"/>
  <c r="AP61" i="33"/>
  <c r="AP62" i="33"/>
  <c r="AP63" i="33"/>
  <c r="AP64" i="33"/>
  <c r="AP65" i="33"/>
  <c r="AP66" i="33"/>
  <c r="AP67" i="33"/>
  <c r="AP68" i="33"/>
  <c r="AP69" i="33"/>
  <c r="AP70" i="33"/>
  <c r="AP71" i="33"/>
  <c r="AP72" i="33"/>
  <c r="AP73" i="33"/>
  <c r="AP74" i="33"/>
  <c r="AP75" i="33"/>
  <c r="AP76" i="33"/>
  <c r="AP77" i="33"/>
  <c r="AP78" i="33"/>
  <c r="AP79" i="33"/>
  <c r="AP80" i="33"/>
  <c r="AP81" i="33"/>
  <c r="AP82" i="33"/>
  <c r="AP83" i="33"/>
  <c r="AP84" i="33"/>
  <c r="AP85" i="33"/>
  <c r="AQ6" i="33"/>
  <c r="AQ7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30" i="33"/>
  <c r="AR30" i="33" s="1"/>
  <c r="AQ31" i="33"/>
  <c r="AQ32" i="33"/>
  <c r="AQ33" i="33"/>
  <c r="AR33" i="33" s="1"/>
  <c r="AQ34" i="33"/>
  <c r="AQ35" i="33"/>
  <c r="AQ38" i="33"/>
  <c r="AR38" i="33" s="1"/>
  <c r="AQ39" i="33"/>
  <c r="AQ40" i="33"/>
  <c r="AQ41" i="33"/>
  <c r="AR41" i="33" s="1"/>
  <c r="AQ42" i="33"/>
  <c r="AQ43" i="33"/>
  <c r="AQ46" i="33"/>
  <c r="AR46" i="33" s="1"/>
  <c r="AQ48" i="33"/>
  <c r="AQ49" i="33"/>
  <c r="AR49" i="33" s="1"/>
  <c r="AQ50" i="33"/>
  <c r="AQ51" i="33"/>
  <c r="AQ54" i="33"/>
  <c r="AR54" i="33" s="1"/>
  <c r="AQ56" i="33"/>
  <c r="AQ57" i="33"/>
  <c r="AR57" i="33" s="1"/>
  <c r="AQ58" i="33"/>
  <c r="AQ62" i="33"/>
  <c r="AR62" i="33" s="1"/>
  <c r="AQ64" i="33"/>
  <c r="AQ65" i="33"/>
  <c r="AR65" i="33" s="1"/>
  <c r="AQ66" i="33"/>
  <c r="AQ70" i="33"/>
  <c r="AR70" i="33" s="1"/>
  <c r="AQ73" i="33"/>
  <c r="AR73" i="33" s="1"/>
  <c r="AQ74" i="33"/>
  <c r="AQ80" i="33"/>
  <c r="AQ81" i="33"/>
  <c r="AR81" i="33" s="1"/>
  <c r="AQ82" i="33"/>
  <c r="AQ83" i="33"/>
  <c r="AR6" i="33"/>
  <c r="AR9" i="33"/>
  <c r="AR10" i="33"/>
  <c r="AR11" i="33"/>
  <c r="AR14" i="33"/>
  <c r="AR17" i="33"/>
  <c r="AR18" i="33"/>
  <c r="AR19" i="33"/>
  <c r="AR22" i="33"/>
  <c r="AR25" i="33"/>
  <c r="AR26" i="33"/>
  <c r="AR27" i="33"/>
  <c r="AR31" i="33"/>
  <c r="AR34" i="33"/>
  <c r="AR35" i="33"/>
  <c r="AR39" i="33"/>
  <c r="AR42" i="33"/>
  <c r="AR43" i="33"/>
  <c r="AR48" i="33"/>
  <c r="AR50" i="33"/>
  <c r="AR51" i="33"/>
  <c r="AR56" i="33"/>
  <c r="AR58" i="33"/>
  <c r="AR64" i="33"/>
  <c r="AR66" i="33"/>
  <c r="AR74" i="33"/>
  <c r="AR80" i="33"/>
  <c r="AR82" i="33"/>
  <c r="AR83" i="33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118" i="15"/>
  <c r="AI119" i="15"/>
  <c r="AI120" i="15"/>
  <c r="AI121" i="15"/>
  <c r="AI122" i="15"/>
  <c r="AI123" i="15"/>
  <c r="AI124" i="15"/>
  <c r="AI125" i="15"/>
  <c r="AI126" i="15"/>
  <c r="AI127" i="15"/>
  <c r="AI128" i="15"/>
  <c r="AI129" i="15"/>
  <c r="AI130" i="15"/>
  <c r="AI131" i="15"/>
  <c r="AI132" i="15"/>
  <c r="AI133" i="15"/>
  <c r="AI134" i="15"/>
  <c r="AI135" i="15"/>
  <c r="AI136" i="15"/>
  <c r="AI137" i="15"/>
  <c r="AI138" i="15"/>
  <c r="AI139" i="15"/>
  <c r="AI140" i="15"/>
  <c r="AI141" i="15"/>
  <c r="AI142" i="15"/>
  <c r="AI143" i="15"/>
  <c r="AI144" i="15"/>
  <c r="AI145" i="15"/>
  <c r="AI146" i="15"/>
  <c r="AI147" i="15"/>
  <c r="AI148" i="15"/>
  <c r="AI149" i="15"/>
  <c r="AI150" i="15"/>
  <c r="AI151" i="15"/>
  <c r="AI152" i="15"/>
  <c r="AI153" i="15"/>
  <c r="AI154" i="15"/>
  <c r="AI155" i="15"/>
  <c r="AI156" i="15"/>
  <c r="AI157" i="15"/>
  <c r="AI158" i="15"/>
  <c r="AI159" i="15"/>
  <c r="AI160" i="15"/>
  <c r="AI161" i="15"/>
  <c r="AI162" i="15"/>
  <c r="AI163" i="15"/>
  <c r="AI164" i="15"/>
  <c r="AI165" i="15"/>
  <c r="AI166" i="15"/>
  <c r="AI167" i="15"/>
  <c r="AI168" i="15"/>
  <c r="AI169" i="15"/>
  <c r="AI170" i="15"/>
  <c r="AI171" i="15"/>
  <c r="AI172" i="15"/>
  <c r="AI173" i="15"/>
  <c r="AI174" i="15"/>
  <c r="AI175" i="15"/>
  <c r="AI176" i="15"/>
  <c r="AI177" i="15"/>
  <c r="AI178" i="15"/>
  <c r="AI179" i="15"/>
  <c r="AI180" i="15"/>
  <c r="AI181" i="15"/>
  <c r="AI182" i="15"/>
  <c r="AI183" i="15"/>
  <c r="AI184" i="15"/>
  <c r="AI185" i="15"/>
  <c r="AI186" i="15"/>
  <c r="AI187" i="15"/>
  <c r="AI188" i="15"/>
  <c r="AI189" i="15"/>
  <c r="AI190" i="15"/>
  <c r="AI191" i="15"/>
  <c r="AI192" i="15"/>
  <c r="AI193" i="15"/>
  <c r="AI194" i="15"/>
  <c r="AI195" i="15"/>
  <c r="AI196" i="15"/>
  <c r="AI197" i="15"/>
  <c r="AI198" i="15"/>
  <c r="AI199" i="15"/>
  <c r="AI200" i="15"/>
  <c r="AI201" i="15"/>
  <c r="AI202" i="15"/>
  <c r="AI203" i="15"/>
  <c r="AI204" i="15"/>
  <c r="AI205" i="15"/>
  <c r="AI206" i="15"/>
  <c r="AI207" i="15"/>
  <c r="AI208" i="15"/>
  <c r="AI209" i="15"/>
  <c r="AI210" i="15"/>
  <c r="AI211" i="15"/>
  <c r="AI212" i="15"/>
  <c r="AI213" i="15"/>
  <c r="AI214" i="15"/>
  <c r="AI215" i="15"/>
  <c r="AI216" i="15"/>
  <c r="AI217" i="15"/>
  <c r="AI218" i="15"/>
  <c r="AI219" i="15"/>
  <c r="AI220" i="15"/>
  <c r="AI221" i="15"/>
  <c r="AI222" i="15"/>
  <c r="AI223" i="15"/>
  <c r="AI224" i="15"/>
  <c r="AI225" i="15"/>
  <c r="AI226" i="15"/>
  <c r="AI227" i="15"/>
  <c r="AI228" i="15"/>
  <c r="AI229" i="15"/>
  <c r="AI230" i="15"/>
  <c r="AI231" i="15"/>
  <c r="AI232" i="15"/>
  <c r="AI233" i="15"/>
  <c r="AI234" i="15"/>
  <c r="AI235" i="15"/>
  <c r="AI236" i="15"/>
  <c r="AI237" i="15"/>
  <c r="AI238" i="15"/>
  <c r="AI239" i="15"/>
  <c r="AI240" i="15"/>
  <c r="AI241" i="15"/>
  <c r="AI242" i="15"/>
  <c r="AI243" i="15"/>
  <c r="AI244" i="15"/>
  <c r="AI24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J81" i="15"/>
  <c r="AJ82" i="15"/>
  <c r="AJ83" i="15"/>
  <c r="AJ84" i="15"/>
  <c r="AJ85" i="15"/>
  <c r="AJ86" i="15"/>
  <c r="AJ87" i="15"/>
  <c r="AJ88" i="15"/>
  <c r="AJ89" i="15"/>
  <c r="AJ90" i="15"/>
  <c r="AJ91" i="15"/>
  <c r="AJ92" i="15"/>
  <c r="AJ93" i="15"/>
  <c r="AJ94" i="15"/>
  <c r="AJ95" i="15"/>
  <c r="AJ96" i="15"/>
  <c r="AJ97" i="15"/>
  <c r="AJ98" i="15"/>
  <c r="AJ99" i="15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AJ180" i="15"/>
  <c r="AJ181" i="15"/>
  <c r="AJ182" i="15"/>
  <c r="AJ183" i="15"/>
  <c r="AJ184" i="15"/>
  <c r="AJ185" i="15"/>
  <c r="AJ186" i="15"/>
  <c r="AJ187" i="15"/>
  <c r="AJ188" i="15"/>
  <c r="AJ189" i="15"/>
  <c r="AJ190" i="15"/>
  <c r="AJ191" i="15"/>
  <c r="AJ192" i="15"/>
  <c r="AJ193" i="15"/>
  <c r="AJ194" i="15"/>
  <c r="AJ195" i="15"/>
  <c r="AJ196" i="15"/>
  <c r="AJ197" i="15"/>
  <c r="AJ198" i="15"/>
  <c r="AJ199" i="15"/>
  <c r="AJ200" i="15"/>
  <c r="AJ201" i="15"/>
  <c r="AJ202" i="15"/>
  <c r="AJ203" i="15"/>
  <c r="AJ204" i="15"/>
  <c r="AJ205" i="15"/>
  <c r="AJ206" i="15"/>
  <c r="AJ207" i="15"/>
  <c r="AJ208" i="15"/>
  <c r="AJ209" i="15"/>
  <c r="AJ210" i="15"/>
  <c r="AJ211" i="15"/>
  <c r="AJ212" i="15"/>
  <c r="AJ213" i="15"/>
  <c r="AJ214" i="15"/>
  <c r="AJ215" i="15"/>
  <c r="AJ216" i="15"/>
  <c r="AJ217" i="15"/>
  <c r="AJ218" i="15"/>
  <c r="AJ219" i="15"/>
  <c r="AJ220" i="15"/>
  <c r="AJ221" i="15"/>
  <c r="AJ222" i="15"/>
  <c r="AJ223" i="15"/>
  <c r="AJ224" i="15"/>
  <c r="AJ225" i="15"/>
  <c r="AJ226" i="15"/>
  <c r="AJ227" i="15"/>
  <c r="AJ228" i="15"/>
  <c r="AJ229" i="15"/>
  <c r="AJ230" i="15"/>
  <c r="AJ231" i="15"/>
  <c r="AJ232" i="15"/>
  <c r="AJ233" i="15"/>
  <c r="AJ234" i="15"/>
  <c r="AJ235" i="15"/>
  <c r="AJ236" i="15"/>
  <c r="AJ237" i="15"/>
  <c r="AJ238" i="15"/>
  <c r="AJ239" i="15"/>
  <c r="AJ240" i="15"/>
  <c r="AJ241" i="15"/>
  <c r="AJ242" i="15"/>
  <c r="AJ243" i="15"/>
  <c r="AJ244" i="15"/>
  <c r="AJ24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K74" i="15"/>
  <c r="AK75" i="15"/>
  <c r="AK76" i="15"/>
  <c r="AK77" i="15"/>
  <c r="AK78" i="15"/>
  <c r="AK79" i="15"/>
  <c r="AK80" i="15"/>
  <c r="AK81" i="15"/>
  <c r="AK82" i="15"/>
  <c r="AK83" i="15"/>
  <c r="AK84" i="15"/>
  <c r="AK85" i="15"/>
  <c r="AK86" i="15"/>
  <c r="AK87" i="15"/>
  <c r="AK88" i="15"/>
  <c r="AK89" i="15"/>
  <c r="AK90" i="15"/>
  <c r="AK91" i="15"/>
  <c r="AK92" i="15"/>
  <c r="AK93" i="15"/>
  <c r="AK94" i="15"/>
  <c r="AK95" i="15"/>
  <c r="AK96" i="15"/>
  <c r="AK97" i="15"/>
  <c r="AK98" i="15"/>
  <c r="AK99" i="15"/>
  <c r="AK100" i="15"/>
  <c r="AK101" i="15"/>
  <c r="AK102" i="15"/>
  <c r="AK103" i="15"/>
  <c r="AK104" i="15"/>
  <c r="AK105" i="15"/>
  <c r="AK106" i="15"/>
  <c r="AK107" i="15"/>
  <c r="AK108" i="15"/>
  <c r="AK109" i="15"/>
  <c r="AK110" i="15"/>
  <c r="AK111" i="15"/>
  <c r="AK112" i="15"/>
  <c r="AK113" i="15"/>
  <c r="AK114" i="15"/>
  <c r="AK115" i="15"/>
  <c r="AK116" i="15"/>
  <c r="AK117" i="15"/>
  <c r="AK118" i="15"/>
  <c r="AK119" i="15"/>
  <c r="AK120" i="15"/>
  <c r="AK121" i="15"/>
  <c r="AK122" i="15"/>
  <c r="AK123" i="15"/>
  <c r="AK124" i="15"/>
  <c r="AK125" i="15"/>
  <c r="AK126" i="15"/>
  <c r="AK127" i="15"/>
  <c r="AK128" i="15"/>
  <c r="AK129" i="15"/>
  <c r="AK130" i="15"/>
  <c r="AK131" i="15"/>
  <c r="AK132" i="15"/>
  <c r="AK133" i="15"/>
  <c r="AK134" i="15"/>
  <c r="AK135" i="15"/>
  <c r="AK136" i="15"/>
  <c r="AK137" i="15"/>
  <c r="AK138" i="15"/>
  <c r="AK139" i="15"/>
  <c r="AK140" i="15"/>
  <c r="AK141" i="15"/>
  <c r="AK142" i="15"/>
  <c r="AK143" i="15"/>
  <c r="AK144" i="15"/>
  <c r="AK145" i="15"/>
  <c r="AK146" i="15"/>
  <c r="AK147" i="15"/>
  <c r="AK148" i="15"/>
  <c r="AK149" i="15"/>
  <c r="AK150" i="15"/>
  <c r="AK151" i="15"/>
  <c r="AK152" i="15"/>
  <c r="AK153" i="15"/>
  <c r="AK154" i="15"/>
  <c r="AK155" i="15"/>
  <c r="AK156" i="15"/>
  <c r="AK157" i="15"/>
  <c r="AK158" i="15"/>
  <c r="AK159" i="15"/>
  <c r="AK160" i="15"/>
  <c r="AK161" i="15"/>
  <c r="AK162" i="15"/>
  <c r="AK163" i="15"/>
  <c r="AK164" i="15"/>
  <c r="AK165" i="15"/>
  <c r="AK166" i="15"/>
  <c r="AK167" i="15"/>
  <c r="AK168" i="15"/>
  <c r="AK169" i="15"/>
  <c r="AK170" i="15"/>
  <c r="AK171" i="15"/>
  <c r="AK172" i="15"/>
  <c r="AK173" i="15"/>
  <c r="AK174" i="15"/>
  <c r="AK175" i="15"/>
  <c r="AK176" i="15"/>
  <c r="AK177" i="15"/>
  <c r="AK178" i="15"/>
  <c r="AK179" i="15"/>
  <c r="AK180" i="15"/>
  <c r="AK181" i="15"/>
  <c r="AK182" i="15"/>
  <c r="AK183" i="15"/>
  <c r="AK184" i="15"/>
  <c r="AK185" i="15"/>
  <c r="AK186" i="15"/>
  <c r="AK187" i="15"/>
  <c r="AK188" i="15"/>
  <c r="AK189" i="15"/>
  <c r="AK190" i="15"/>
  <c r="AK191" i="15"/>
  <c r="AK192" i="15"/>
  <c r="AK193" i="15"/>
  <c r="AK194" i="15"/>
  <c r="AK195" i="15"/>
  <c r="AK196" i="15"/>
  <c r="AK197" i="15"/>
  <c r="AK198" i="15"/>
  <c r="AK199" i="15"/>
  <c r="AK200" i="15"/>
  <c r="AK201" i="15"/>
  <c r="AK202" i="15"/>
  <c r="AK203" i="15"/>
  <c r="AK204" i="15"/>
  <c r="AK205" i="15"/>
  <c r="AK206" i="15"/>
  <c r="AK207" i="15"/>
  <c r="AK208" i="15"/>
  <c r="AK209" i="15"/>
  <c r="AK210" i="15"/>
  <c r="AK211" i="15"/>
  <c r="AK212" i="15"/>
  <c r="AK213" i="15"/>
  <c r="AK214" i="15"/>
  <c r="AK215" i="15"/>
  <c r="AK216" i="15"/>
  <c r="AK217" i="15"/>
  <c r="AK218" i="15"/>
  <c r="AK219" i="15"/>
  <c r="AK220" i="15"/>
  <c r="AK221" i="15"/>
  <c r="AK222" i="15"/>
  <c r="AK223" i="15"/>
  <c r="AK224" i="15"/>
  <c r="AK225" i="15"/>
  <c r="AK226" i="15"/>
  <c r="AK227" i="15"/>
  <c r="AK228" i="15"/>
  <c r="AK229" i="15"/>
  <c r="AK230" i="15"/>
  <c r="AK231" i="15"/>
  <c r="AK232" i="15"/>
  <c r="AK233" i="15"/>
  <c r="AK234" i="15"/>
  <c r="AK235" i="15"/>
  <c r="AK236" i="15"/>
  <c r="AK237" i="15"/>
  <c r="AK238" i="15"/>
  <c r="AK239" i="15"/>
  <c r="AK240" i="15"/>
  <c r="AK241" i="15"/>
  <c r="AK242" i="15"/>
  <c r="AK243" i="15"/>
  <c r="AK244" i="15"/>
  <c r="AK24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L68" i="15"/>
  <c r="AL69" i="15"/>
  <c r="AL70" i="15"/>
  <c r="AL71" i="15"/>
  <c r="AL72" i="15"/>
  <c r="AL73" i="15"/>
  <c r="AL74" i="15"/>
  <c r="AL75" i="15"/>
  <c r="AL76" i="15"/>
  <c r="AL77" i="15"/>
  <c r="AL78" i="15"/>
  <c r="AL79" i="15"/>
  <c r="AL80" i="15"/>
  <c r="AL81" i="15"/>
  <c r="AL82" i="15"/>
  <c r="AL83" i="15"/>
  <c r="AL84" i="15"/>
  <c r="AL85" i="15"/>
  <c r="AL86" i="15"/>
  <c r="AL87" i="15"/>
  <c r="AL88" i="15"/>
  <c r="AL89" i="15"/>
  <c r="AL90" i="15"/>
  <c r="AL91" i="15"/>
  <c r="AL92" i="15"/>
  <c r="AL93" i="15"/>
  <c r="AL94" i="15"/>
  <c r="AL95" i="15"/>
  <c r="AL96" i="15"/>
  <c r="AL97" i="15"/>
  <c r="AL98" i="15"/>
  <c r="AL99" i="15"/>
  <c r="AL100" i="15"/>
  <c r="AL101" i="15"/>
  <c r="AL102" i="15"/>
  <c r="AL103" i="15"/>
  <c r="AL104" i="15"/>
  <c r="AL105" i="15"/>
  <c r="AL106" i="15"/>
  <c r="AL107" i="15"/>
  <c r="AL108" i="15"/>
  <c r="AL109" i="15"/>
  <c r="AL110" i="15"/>
  <c r="AL111" i="15"/>
  <c r="AL112" i="15"/>
  <c r="AL113" i="15"/>
  <c r="AL114" i="15"/>
  <c r="AL115" i="15"/>
  <c r="AL116" i="15"/>
  <c r="AL117" i="15"/>
  <c r="AL118" i="15"/>
  <c r="AL119" i="15"/>
  <c r="AL120" i="15"/>
  <c r="AL121" i="15"/>
  <c r="AL122" i="15"/>
  <c r="AL123" i="15"/>
  <c r="AL124" i="15"/>
  <c r="AL125" i="15"/>
  <c r="AL126" i="15"/>
  <c r="AL127" i="15"/>
  <c r="AL128" i="15"/>
  <c r="AL129" i="15"/>
  <c r="AL130" i="15"/>
  <c r="AL131" i="15"/>
  <c r="AL132" i="15"/>
  <c r="AL133" i="15"/>
  <c r="AL134" i="15"/>
  <c r="AL135" i="15"/>
  <c r="AL136" i="15"/>
  <c r="AL137" i="15"/>
  <c r="AL138" i="15"/>
  <c r="AL139" i="15"/>
  <c r="AL140" i="15"/>
  <c r="AL141" i="15"/>
  <c r="AL142" i="15"/>
  <c r="AL143" i="15"/>
  <c r="AL144" i="15"/>
  <c r="AL145" i="15"/>
  <c r="AL146" i="15"/>
  <c r="AL147" i="15"/>
  <c r="AL148" i="15"/>
  <c r="AL149" i="15"/>
  <c r="AL150" i="15"/>
  <c r="AL151" i="15"/>
  <c r="AL152" i="15"/>
  <c r="AL153" i="15"/>
  <c r="AL154" i="15"/>
  <c r="AL155" i="15"/>
  <c r="AL156" i="15"/>
  <c r="AL157" i="15"/>
  <c r="AL158" i="15"/>
  <c r="AL159" i="15"/>
  <c r="AL160" i="15"/>
  <c r="AL161" i="15"/>
  <c r="AL162" i="15"/>
  <c r="AL163" i="15"/>
  <c r="AL164" i="15"/>
  <c r="AL165" i="15"/>
  <c r="AL166" i="15"/>
  <c r="AL167" i="15"/>
  <c r="AL168" i="15"/>
  <c r="AL169" i="15"/>
  <c r="AL170" i="15"/>
  <c r="AL171" i="15"/>
  <c r="AL172" i="15"/>
  <c r="AL173" i="15"/>
  <c r="AL174" i="15"/>
  <c r="AL175" i="15"/>
  <c r="AL176" i="15"/>
  <c r="AL177" i="15"/>
  <c r="AL178" i="15"/>
  <c r="AL179" i="15"/>
  <c r="AL180" i="15"/>
  <c r="AL181" i="15"/>
  <c r="AL182" i="15"/>
  <c r="AL183" i="15"/>
  <c r="AL184" i="15"/>
  <c r="AL185" i="15"/>
  <c r="AL186" i="15"/>
  <c r="AL187" i="15"/>
  <c r="AL188" i="15"/>
  <c r="AL189" i="15"/>
  <c r="AL190" i="15"/>
  <c r="AL191" i="15"/>
  <c r="AL192" i="15"/>
  <c r="AL193" i="15"/>
  <c r="AL194" i="15"/>
  <c r="AL195" i="15"/>
  <c r="AL196" i="15"/>
  <c r="AL197" i="15"/>
  <c r="AL198" i="15"/>
  <c r="AL199" i="15"/>
  <c r="AL200" i="15"/>
  <c r="AL201" i="15"/>
  <c r="AL202" i="15"/>
  <c r="AL203" i="15"/>
  <c r="AL204" i="15"/>
  <c r="AL205" i="15"/>
  <c r="AL206" i="15"/>
  <c r="AL207" i="15"/>
  <c r="AL208" i="15"/>
  <c r="AL209" i="15"/>
  <c r="AL210" i="15"/>
  <c r="AL211" i="15"/>
  <c r="AL212" i="15"/>
  <c r="AL213" i="15"/>
  <c r="AL214" i="15"/>
  <c r="AL215" i="15"/>
  <c r="AL216" i="15"/>
  <c r="AL217" i="15"/>
  <c r="AL218" i="15"/>
  <c r="AL219" i="15"/>
  <c r="AL220" i="15"/>
  <c r="AL221" i="15"/>
  <c r="AL222" i="15"/>
  <c r="AL223" i="15"/>
  <c r="AL224" i="15"/>
  <c r="AL225" i="15"/>
  <c r="AL226" i="15"/>
  <c r="AL227" i="15"/>
  <c r="AL228" i="15"/>
  <c r="AL229" i="15"/>
  <c r="AL230" i="15"/>
  <c r="AL231" i="15"/>
  <c r="AL232" i="15"/>
  <c r="AL233" i="15"/>
  <c r="AL234" i="15"/>
  <c r="AL235" i="15"/>
  <c r="AL236" i="15"/>
  <c r="AL237" i="15"/>
  <c r="AL238" i="15"/>
  <c r="AL239" i="15"/>
  <c r="AL240" i="15"/>
  <c r="AL241" i="15"/>
  <c r="AL242" i="15"/>
  <c r="AL243" i="15"/>
  <c r="AL244" i="15"/>
  <c r="AL24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AM90" i="15"/>
  <c r="AM91" i="15"/>
  <c r="AM92" i="15"/>
  <c r="AM93" i="15"/>
  <c r="AM94" i="15"/>
  <c r="AM95" i="15"/>
  <c r="AM96" i="15"/>
  <c r="AM97" i="15"/>
  <c r="AM98" i="15"/>
  <c r="AM99" i="15"/>
  <c r="AM100" i="15"/>
  <c r="AM101" i="15"/>
  <c r="AM102" i="15"/>
  <c r="AM103" i="15"/>
  <c r="AM104" i="15"/>
  <c r="AM105" i="15"/>
  <c r="AM106" i="15"/>
  <c r="AM107" i="15"/>
  <c r="AM108" i="15"/>
  <c r="AM109" i="15"/>
  <c r="AM110" i="15"/>
  <c r="AM111" i="15"/>
  <c r="AM112" i="15"/>
  <c r="AM113" i="15"/>
  <c r="AM114" i="15"/>
  <c r="AM115" i="15"/>
  <c r="AM116" i="15"/>
  <c r="AM117" i="15"/>
  <c r="AM118" i="15"/>
  <c r="AM119" i="15"/>
  <c r="AM120" i="15"/>
  <c r="AM121" i="15"/>
  <c r="AM122" i="15"/>
  <c r="AM123" i="15"/>
  <c r="AM124" i="15"/>
  <c r="AM125" i="15"/>
  <c r="AM126" i="15"/>
  <c r="AM127" i="15"/>
  <c r="AM128" i="15"/>
  <c r="AM129" i="15"/>
  <c r="AM130" i="15"/>
  <c r="AM131" i="15"/>
  <c r="AM132" i="15"/>
  <c r="AM133" i="15"/>
  <c r="AM134" i="15"/>
  <c r="AM135" i="15"/>
  <c r="AM136" i="15"/>
  <c r="AM137" i="15"/>
  <c r="AM138" i="15"/>
  <c r="AM139" i="15"/>
  <c r="AM140" i="15"/>
  <c r="AM141" i="15"/>
  <c r="AM142" i="15"/>
  <c r="AM143" i="15"/>
  <c r="AM144" i="15"/>
  <c r="AM145" i="15"/>
  <c r="AM146" i="15"/>
  <c r="AM147" i="15"/>
  <c r="AM148" i="15"/>
  <c r="AM149" i="15"/>
  <c r="AM150" i="15"/>
  <c r="AM151" i="15"/>
  <c r="AM152" i="15"/>
  <c r="AM153" i="15"/>
  <c r="AM154" i="15"/>
  <c r="AM155" i="15"/>
  <c r="AM156" i="15"/>
  <c r="AM157" i="15"/>
  <c r="AM158" i="15"/>
  <c r="AM159" i="15"/>
  <c r="AM160" i="15"/>
  <c r="AM161" i="15"/>
  <c r="AM162" i="15"/>
  <c r="AM163" i="15"/>
  <c r="AM164" i="15"/>
  <c r="AM165" i="15"/>
  <c r="AM166" i="15"/>
  <c r="AM167" i="15"/>
  <c r="AM168" i="15"/>
  <c r="AM169" i="15"/>
  <c r="AM170" i="15"/>
  <c r="AM171" i="15"/>
  <c r="AM172" i="15"/>
  <c r="AM173" i="15"/>
  <c r="AM174" i="15"/>
  <c r="AM175" i="15"/>
  <c r="AM176" i="15"/>
  <c r="AM177" i="15"/>
  <c r="AM178" i="15"/>
  <c r="AM179" i="15"/>
  <c r="AM180" i="15"/>
  <c r="AM181" i="15"/>
  <c r="AM182" i="15"/>
  <c r="AM183" i="15"/>
  <c r="AM184" i="15"/>
  <c r="AM185" i="15"/>
  <c r="AM186" i="15"/>
  <c r="AM187" i="15"/>
  <c r="AM188" i="15"/>
  <c r="AM189" i="15"/>
  <c r="AM190" i="15"/>
  <c r="AM191" i="15"/>
  <c r="AM192" i="15"/>
  <c r="AM193" i="15"/>
  <c r="AM194" i="15"/>
  <c r="AM195" i="15"/>
  <c r="AM196" i="15"/>
  <c r="AM197" i="15"/>
  <c r="AM198" i="15"/>
  <c r="AM199" i="15"/>
  <c r="AM200" i="15"/>
  <c r="AM201" i="15"/>
  <c r="AM202" i="15"/>
  <c r="AM203" i="15"/>
  <c r="AM204" i="15"/>
  <c r="AM205" i="15"/>
  <c r="AM206" i="15"/>
  <c r="AM207" i="15"/>
  <c r="AM208" i="15"/>
  <c r="AM209" i="15"/>
  <c r="AM210" i="15"/>
  <c r="AM211" i="15"/>
  <c r="AM212" i="15"/>
  <c r="AM213" i="15"/>
  <c r="AM214" i="15"/>
  <c r="AM215" i="15"/>
  <c r="AM216" i="15"/>
  <c r="AM217" i="15"/>
  <c r="AM218" i="15"/>
  <c r="AM219" i="15"/>
  <c r="AM220" i="15"/>
  <c r="AM221" i="15"/>
  <c r="AM222" i="15"/>
  <c r="AM223" i="15"/>
  <c r="AM224" i="15"/>
  <c r="AM225" i="15"/>
  <c r="AM226" i="15"/>
  <c r="AM227" i="15"/>
  <c r="AM228" i="15"/>
  <c r="AM229" i="15"/>
  <c r="AM230" i="15"/>
  <c r="AM231" i="15"/>
  <c r="AM232" i="15"/>
  <c r="AM233" i="15"/>
  <c r="AM234" i="15"/>
  <c r="AM235" i="15"/>
  <c r="AM236" i="15"/>
  <c r="AM237" i="15"/>
  <c r="AM238" i="15"/>
  <c r="AM239" i="15"/>
  <c r="AM240" i="15"/>
  <c r="AM241" i="15"/>
  <c r="AM242" i="15"/>
  <c r="AM243" i="15"/>
  <c r="AM244" i="15"/>
  <c r="AM24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N90" i="15"/>
  <c r="AN91" i="15"/>
  <c r="AN92" i="15"/>
  <c r="AN93" i="15"/>
  <c r="AN94" i="15"/>
  <c r="AN95" i="15"/>
  <c r="AN96" i="15"/>
  <c r="AN97" i="15"/>
  <c r="AN98" i="15"/>
  <c r="AN99" i="15"/>
  <c r="AN100" i="15"/>
  <c r="AN101" i="15"/>
  <c r="AN102" i="15"/>
  <c r="AN103" i="15"/>
  <c r="AN104" i="15"/>
  <c r="AN105" i="15"/>
  <c r="AN106" i="15"/>
  <c r="AN107" i="15"/>
  <c r="AN108" i="15"/>
  <c r="AN109" i="15"/>
  <c r="AN110" i="15"/>
  <c r="AN111" i="15"/>
  <c r="AN112" i="15"/>
  <c r="AN113" i="15"/>
  <c r="AN114" i="15"/>
  <c r="AN115" i="15"/>
  <c r="AN116" i="15"/>
  <c r="AN117" i="15"/>
  <c r="AN118" i="15"/>
  <c r="AN119" i="15"/>
  <c r="AN120" i="15"/>
  <c r="AN121" i="15"/>
  <c r="AN122" i="15"/>
  <c r="AN123" i="15"/>
  <c r="AN124" i="15"/>
  <c r="AN125" i="15"/>
  <c r="AN126" i="15"/>
  <c r="AN127" i="15"/>
  <c r="AN128" i="15"/>
  <c r="AN129" i="15"/>
  <c r="AN130" i="15"/>
  <c r="AN131" i="15"/>
  <c r="AN132" i="15"/>
  <c r="AN133" i="15"/>
  <c r="AN134" i="15"/>
  <c r="AN135" i="15"/>
  <c r="AN136" i="15"/>
  <c r="AN137" i="15"/>
  <c r="AN138" i="15"/>
  <c r="AN139" i="15"/>
  <c r="AN140" i="15"/>
  <c r="AN141" i="15"/>
  <c r="AN142" i="15"/>
  <c r="AN143" i="15"/>
  <c r="AN144" i="15"/>
  <c r="AN145" i="15"/>
  <c r="AN146" i="15"/>
  <c r="AN147" i="15"/>
  <c r="AN148" i="15"/>
  <c r="AN149" i="15"/>
  <c r="AN150" i="15"/>
  <c r="AN151" i="15"/>
  <c r="AN152" i="15"/>
  <c r="AN153" i="15"/>
  <c r="AN154" i="15"/>
  <c r="AN155" i="15"/>
  <c r="AN156" i="15"/>
  <c r="AN157" i="15"/>
  <c r="AN158" i="15"/>
  <c r="AN159" i="15"/>
  <c r="AN160" i="15"/>
  <c r="AN161" i="15"/>
  <c r="AN162" i="15"/>
  <c r="AN163" i="15"/>
  <c r="AN164" i="15"/>
  <c r="AN165" i="15"/>
  <c r="AN166" i="15"/>
  <c r="AN167" i="15"/>
  <c r="AN168" i="15"/>
  <c r="AN169" i="15"/>
  <c r="AN170" i="15"/>
  <c r="AN171" i="15"/>
  <c r="AN172" i="15"/>
  <c r="AN173" i="15"/>
  <c r="AN174" i="15"/>
  <c r="AN175" i="15"/>
  <c r="AN176" i="15"/>
  <c r="AN177" i="15"/>
  <c r="AN178" i="15"/>
  <c r="AN179" i="15"/>
  <c r="AN180" i="15"/>
  <c r="AN181" i="15"/>
  <c r="AN182" i="15"/>
  <c r="AN183" i="15"/>
  <c r="AN184" i="15"/>
  <c r="AN185" i="15"/>
  <c r="AN186" i="15"/>
  <c r="AN187" i="15"/>
  <c r="AN188" i="15"/>
  <c r="AN189" i="15"/>
  <c r="AN190" i="15"/>
  <c r="AN191" i="15"/>
  <c r="AN192" i="15"/>
  <c r="AN193" i="15"/>
  <c r="AN194" i="15"/>
  <c r="AN195" i="15"/>
  <c r="AN196" i="15"/>
  <c r="AN197" i="15"/>
  <c r="AN198" i="15"/>
  <c r="AN199" i="15"/>
  <c r="AN200" i="15"/>
  <c r="AN201" i="15"/>
  <c r="AN202" i="15"/>
  <c r="AN203" i="15"/>
  <c r="AN204" i="15"/>
  <c r="AN205" i="15"/>
  <c r="AN206" i="15"/>
  <c r="AN207" i="15"/>
  <c r="AN208" i="15"/>
  <c r="AN209" i="15"/>
  <c r="AN210" i="15"/>
  <c r="AN211" i="15"/>
  <c r="AN212" i="15"/>
  <c r="AN213" i="15"/>
  <c r="AN214" i="15"/>
  <c r="AN215" i="15"/>
  <c r="AN216" i="15"/>
  <c r="AN217" i="15"/>
  <c r="AN218" i="15"/>
  <c r="AN219" i="15"/>
  <c r="AN220" i="15"/>
  <c r="AN221" i="15"/>
  <c r="AN222" i="15"/>
  <c r="AN223" i="15"/>
  <c r="AN224" i="15"/>
  <c r="AN225" i="15"/>
  <c r="AN226" i="15"/>
  <c r="AN227" i="15"/>
  <c r="AN228" i="15"/>
  <c r="AN229" i="15"/>
  <c r="AN230" i="15"/>
  <c r="AN231" i="15"/>
  <c r="AN232" i="15"/>
  <c r="AN233" i="15"/>
  <c r="AN234" i="15"/>
  <c r="AN235" i="15"/>
  <c r="AN236" i="15"/>
  <c r="AN237" i="15"/>
  <c r="AN238" i="15"/>
  <c r="AN239" i="15"/>
  <c r="AN240" i="15"/>
  <c r="AN241" i="15"/>
  <c r="AN242" i="15"/>
  <c r="AN243" i="15"/>
  <c r="AN244" i="15"/>
  <c r="AN245" i="15"/>
  <c r="T6" i="20"/>
  <c r="T7" i="20"/>
  <c r="T8" i="20"/>
  <c r="T9" i="20"/>
  <c r="T10" i="20"/>
  <c r="T11" i="20"/>
  <c r="W11" i="20" s="1"/>
  <c r="T12" i="20"/>
  <c r="U6" i="20"/>
  <c r="W6" i="20" s="1"/>
  <c r="U7" i="20"/>
  <c r="U8" i="20"/>
  <c r="U9" i="20"/>
  <c r="W9" i="20" s="1"/>
  <c r="U10" i="20"/>
  <c r="U11" i="20"/>
  <c r="U12" i="20"/>
  <c r="T8" i="34" s="1"/>
  <c r="V6" i="20"/>
  <c r="U6" i="34" s="1"/>
  <c r="V7" i="20"/>
  <c r="W7" i="20" s="1"/>
  <c r="V8" i="20"/>
  <c r="V9" i="20"/>
  <c r="V10" i="20"/>
  <c r="V11" i="20"/>
  <c r="V12" i="20"/>
  <c r="W8" i="20"/>
  <c r="W10" i="20"/>
  <c r="X6" i="20"/>
  <c r="X7" i="20"/>
  <c r="X8" i="20"/>
  <c r="X9" i="20"/>
  <c r="X10" i="20"/>
  <c r="X11" i="20"/>
  <c r="X12" i="20"/>
  <c r="K6" i="34"/>
  <c r="K7" i="34"/>
  <c r="K8" i="34"/>
  <c r="L6" i="34"/>
  <c r="L7" i="34"/>
  <c r="L8" i="34"/>
  <c r="M6" i="34"/>
  <c r="M7" i="34"/>
  <c r="M8" i="34"/>
  <c r="N6" i="34"/>
  <c r="N7" i="34"/>
  <c r="N8" i="34"/>
  <c r="S6" i="34"/>
  <c r="S7" i="34"/>
  <c r="S8" i="34"/>
  <c r="T6" i="34"/>
  <c r="T7" i="34"/>
  <c r="U7" i="34"/>
  <c r="U8" i="34"/>
  <c r="V6" i="34"/>
  <c r="V7" i="34"/>
  <c r="V8" i="34"/>
  <c r="H6" i="35"/>
  <c r="H7" i="35"/>
  <c r="H8" i="35"/>
  <c r="H9" i="35"/>
  <c r="H10" i="35"/>
  <c r="H11" i="35"/>
  <c r="H12" i="35"/>
  <c r="I12" i="35" s="1"/>
  <c r="H13" i="35"/>
  <c r="I13" i="35" s="1"/>
  <c r="H14" i="35"/>
  <c r="H15" i="35"/>
  <c r="H16" i="35"/>
  <c r="H17" i="35"/>
  <c r="H18" i="35"/>
  <c r="H19" i="35"/>
  <c r="H20" i="35"/>
  <c r="I20" i="35" s="1"/>
  <c r="H21" i="35"/>
  <c r="I21" i="35" s="1"/>
  <c r="H22" i="35"/>
  <c r="H23" i="35"/>
  <c r="I6" i="35"/>
  <c r="I7" i="35"/>
  <c r="I8" i="35"/>
  <c r="I9" i="35"/>
  <c r="I10" i="35"/>
  <c r="I11" i="35"/>
  <c r="I14" i="35"/>
  <c r="I15" i="35"/>
  <c r="I16" i="35"/>
  <c r="I17" i="35"/>
  <c r="I18" i="35"/>
  <c r="I19" i="35"/>
  <c r="I22" i="35"/>
  <c r="I23" i="35"/>
  <c r="R6" i="36"/>
  <c r="R7" i="36"/>
  <c r="R8" i="36"/>
  <c r="R9" i="36"/>
  <c r="R10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36" i="36"/>
  <c r="R37" i="36"/>
  <c r="R38" i="36"/>
  <c r="R39" i="36"/>
  <c r="R40" i="36"/>
  <c r="R41" i="36"/>
  <c r="R42" i="36"/>
  <c r="R43" i="36"/>
  <c r="R44" i="36"/>
  <c r="R45" i="36"/>
  <c r="R46" i="36"/>
  <c r="R47" i="36"/>
  <c r="R48" i="36"/>
  <c r="R49" i="36"/>
  <c r="R50" i="36"/>
  <c r="R51" i="36"/>
  <c r="R52" i="36"/>
  <c r="R53" i="36"/>
  <c r="R54" i="36"/>
  <c r="R55" i="36"/>
  <c r="R56" i="36"/>
  <c r="R57" i="36"/>
  <c r="R58" i="36"/>
  <c r="R59" i="36"/>
  <c r="R60" i="36"/>
  <c r="R61" i="36"/>
  <c r="R62" i="36"/>
  <c r="R63" i="36"/>
  <c r="R64" i="36"/>
  <c r="R65" i="36"/>
  <c r="R66" i="36"/>
  <c r="R67" i="36"/>
  <c r="R68" i="36"/>
  <c r="R69" i="36"/>
  <c r="R70" i="36"/>
  <c r="R71" i="36"/>
  <c r="R72" i="36"/>
  <c r="R73" i="36"/>
  <c r="R74" i="36"/>
  <c r="R75" i="36"/>
  <c r="R76" i="36"/>
  <c r="R77" i="36"/>
  <c r="R78" i="36"/>
  <c r="R79" i="36"/>
  <c r="R80" i="36"/>
  <c r="R81" i="36"/>
  <c r="R82" i="36"/>
  <c r="R83" i="36"/>
  <c r="R84" i="36"/>
  <c r="R85" i="36"/>
  <c r="R86" i="36"/>
  <c r="R87" i="36"/>
  <c r="R88" i="36"/>
  <c r="R89" i="36"/>
  <c r="R90" i="36"/>
  <c r="R91" i="36"/>
  <c r="R92" i="36"/>
  <c r="R93" i="36"/>
  <c r="R94" i="36"/>
  <c r="R95" i="36"/>
  <c r="R96" i="36"/>
  <c r="R97" i="36"/>
  <c r="R98" i="36"/>
  <c r="R99" i="36"/>
  <c r="R100" i="36"/>
  <c r="R101" i="36"/>
  <c r="R102" i="36"/>
  <c r="R103" i="36"/>
  <c r="R104" i="36"/>
  <c r="R105" i="36"/>
  <c r="R106" i="36"/>
  <c r="R107" i="36"/>
  <c r="R108" i="36"/>
  <c r="R109" i="36"/>
  <c r="R110" i="36"/>
  <c r="R111" i="36"/>
  <c r="R112" i="36"/>
  <c r="R113" i="36"/>
  <c r="R114" i="36"/>
  <c r="R115" i="36"/>
  <c r="R116" i="36"/>
  <c r="R117" i="36"/>
  <c r="R118" i="36"/>
  <c r="R119" i="36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13" i="41"/>
  <c r="F14" i="41"/>
  <c r="F15" i="41"/>
  <c r="Z17" i="32" l="1"/>
  <c r="AE17" i="32" s="1"/>
  <c r="Z8" i="32"/>
  <c r="AD17" i="32"/>
  <c r="AI17" i="32" s="1"/>
  <c r="AA9" i="32"/>
  <c r="AC7" i="32"/>
  <c r="AH7" i="32" s="1"/>
  <c r="AD8" i="32"/>
  <c r="AI8" i="32" s="1"/>
  <c r="AD9" i="32"/>
  <c r="AD7" i="32"/>
  <c r="AI7" i="32" s="1"/>
  <c r="AB7" i="32"/>
  <c r="AG7" i="32" s="1"/>
  <c r="AA6" i="32"/>
  <c r="Z16" i="32"/>
  <c r="Z14" i="32"/>
  <c r="AE14" i="32" s="1"/>
  <c r="Z9" i="32"/>
  <c r="AE9" i="32" s="1"/>
  <c r="Z7" i="32"/>
  <c r="AE7" i="32" s="1"/>
  <c r="AD14" i="32"/>
  <c r="AI14" i="32" s="1"/>
  <c r="AC6" i="32"/>
  <c r="AH6" i="32" s="1"/>
  <c r="AJ6" i="32" s="1"/>
  <c r="AD15" i="32"/>
  <c r="AI15" i="32" s="1"/>
  <c r="AD11" i="32"/>
  <c r="AB13" i="32"/>
  <c r="AB6" i="32"/>
  <c r="AG6" i="32" s="1"/>
  <c r="Z15" i="32"/>
  <c r="AE15" i="32" s="1"/>
  <c r="AJ15" i="32" s="1"/>
  <c r="Z11" i="32"/>
  <c r="AE11" i="32" s="1"/>
  <c r="AA16" i="32"/>
  <c r="AB14" i="32"/>
  <c r="AG14" i="32" s="1"/>
  <c r="AD10" i="32"/>
  <c r="AB12" i="32"/>
  <c r="Z10" i="32"/>
  <c r="AC14" i="32"/>
  <c r="AB9" i="32"/>
  <c r="AG9" i="32" s="1"/>
  <c r="AC17" i="32"/>
  <c r="AH17" i="32" s="1"/>
  <c r="AA17" i="32"/>
  <c r="AD16" i="32"/>
  <c r="AI16" i="32" s="1"/>
  <c r="AB16" i="32"/>
  <c r="AG16" i="32" s="1"/>
  <c r="AC16" i="32"/>
  <c r="AA14" i="32"/>
  <c r="AI12" i="32"/>
  <c r="AG11" i="32"/>
  <c r="AF7" i="32"/>
  <c r="AI11" i="32"/>
  <c r="AH16" i="32"/>
  <c r="AH15" i="32"/>
  <c r="AF12" i="32"/>
  <c r="AJ12" i="32" s="1"/>
  <c r="AE16" i="32"/>
  <c r="AH10" i="32"/>
  <c r="AF16" i="32"/>
  <c r="AE12" i="32"/>
  <c r="AF15" i="32"/>
  <c r="AG8" i="32"/>
  <c r="AI9" i="32"/>
  <c r="AE8" i="32"/>
  <c r="AH8" i="32"/>
  <c r="AG12" i="32"/>
  <c r="AF8" i="32"/>
  <c r="AF10" i="32"/>
  <c r="AH11" i="32"/>
  <c r="AI13" i="32"/>
  <c r="AH9" i="32"/>
  <c r="AG13" i="32"/>
  <c r="AF17" i="32"/>
  <c r="AF9" i="32"/>
  <c r="AE13" i="32"/>
  <c r="AI10" i="32"/>
  <c r="AH14" i="32"/>
  <c r="AG10" i="32"/>
  <c r="AF14" i="32"/>
  <c r="AF6" i="32"/>
  <c r="AE10" i="32"/>
  <c r="AR28" i="33"/>
  <c r="AR78" i="33"/>
  <c r="W12" i="20"/>
  <c r="AJ11" i="32" l="1"/>
  <c r="AJ7" i="32"/>
  <c r="AJ14" i="32"/>
  <c r="AJ8" i="32"/>
  <c r="AJ16" i="32"/>
  <c r="AJ10" i="32"/>
  <c r="AJ17" i="32"/>
  <c r="AJ13" i="32"/>
  <c r="AJ9" i="32"/>
  <c r="S2" i="51"/>
  <c r="S3" i="51"/>
  <c r="F6" i="52" l="1"/>
  <c r="G6" i="52"/>
  <c r="H6" i="52"/>
  <c r="I6" i="52"/>
  <c r="E6" i="52"/>
  <c r="M3" i="2" l="1"/>
  <c r="M2" i="2"/>
  <c r="R3" i="51"/>
  <c r="R2" i="51"/>
  <c r="P3" i="12"/>
  <c r="Q3" i="12"/>
  <c r="R3" i="12"/>
  <c r="S3" i="12"/>
  <c r="O3" i="12"/>
  <c r="O2" i="12" l="1"/>
  <c r="P2" i="12"/>
  <c r="Q2" i="12"/>
  <c r="R2" i="12"/>
  <c r="S2" i="12"/>
  <c r="S6" i="43" l="1"/>
  <c r="G3" i="44"/>
  <c r="G2" i="44"/>
  <c r="G7" i="46" l="1"/>
  <c r="F7" i="46"/>
  <c r="E7" i="46"/>
  <c r="D7" i="46"/>
  <c r="M6" i="46"/>
  <c r="L6" i="46"/>
  <c r="K6" i="46"/>
  <c r="J6" i="46"/>
  <c r="X6" i="38"/>
  <c r="W6" i="38"/>
  <c r="V6" i="38"/>
  <c r="U6" i="38"/>
  <c r="T6" i="38"/>
  <c r="H4" i="39" l="1" a="1"/>
  <c r="H4" i="39" s="1"/>
  <c r="I4" i="39" a="1"/>
  <c r="I4" i="39" s="1"/>
  <c r="E4" i="39"/>
  <c r="D4" i="39"/>
  <c r="D3" i="38"/>
  <c r="C4" i="39"/>
  <c r="H1" i="41"/>
  <c r="I3" i="41"/>
  <c r="B4" i="41" l="1"/>
  <c r="B5" i="41"/>
  <c r="B6" i="41"/>
  <c r="B7" i="41"/>
  <c r="G35" i="43"/>
  <c r="G34" i="43"/>
  <c r="G33" i="43"/>
  <c r="G32" i="43"/>
  <c r="G31" i="43"/>
  <c r="G19" i="41" l="1" a="1"/>
  <c r="G19" i="41" s="1"/>
  <c r="G23" i="41" a="1"/>
  <c r="G23" i="41" s="1"/>
  <c r="G27" i="41" a="1"/>
  <c r="G27" i="41" s="1"/>
  <c r="G31" i="41" a="1"/>
  <c r="G31" i="41" s="1"/>
  <c r="G35" i="41" a="1"/>
  <c r="G35" i="41" s="1"/>
  <c r="H19" i="41" a="1"/>
  <c r="H19" i="41" s="1"/>
  <c r="H23" i="41" a="1"/>
  <c r="H23" i="41" s="1"/>
  <c r="H27" i="41" a="1"/>
  <c r="H27" i="41" s="1"/>
  <c r="H31" i="41" a="1"/>
  <c r="H31" i="41" s="1"/>
  <c r="H35" i="41" a="1"/>
  <c r="H35" i="41" s="1"/>
  <c r="G13" i="41" a="1"/>
  <c r="G13" i="41" s="1"/>
  <c r="H13" i="41" a="1"/>
  <c r="H13" i="41" s="1"/>
  <c r="G14" i="41" a="1"/>
  <c r="G14" i="41" s="1"/>
  <c r="G20" i="41" a="1"/>
  <c r="G20" i="41" s="1"/>
  <c r="G24" i="41" a="1"/>
  <c r="G24" i="41" s="1"/>
  <c r="G28" i="41" a="1"/>
  <c r="G28" i="41" s="1"/>
  <c r="G32" i="41" a="1"/>
  <c r="G32" i="41" s="1"/>
  <c r="G36" i="41" a="1"/>
  <c r="G36" i="41" s="1"/>
  <c r="H20" i="41" a="1"/>
  <c r="H20" i="41" s="1"/>
  <c r="H24" i="41" a="1"/>
  <c r="H24" i="41" s="1"/>
  <c r="H28" i="41" a="1"/>
  <c r="H28" i="41" s="1"/>
  <c r="H32" i="41" a="1"/>
  <c r="H32" i="41" s="1"/>
  <c r="H36" i="41" a="1"/>
  <c r="H36" i="41" s="1"/>
  <c r="G15" i="41" a="1"/>
  <c r="G15" i="41" s="1"/>
  <c r="H33" i="41" a="1"/>
  <c r="H33" i="41" s="1"/>
  <c r="H29" i="41" a="1"/>
  <c r="H29" i="41" s="1"/>
  <c r="G21" i="41" a="1"/>
  <c r="G21" i="41" s="1"/>
  <c r="G25" i="41" a="1"/>
  <c r="G25" i="41" s="1"/>
  <c r="G29" i="41" a="1"/>
  <c r="G29" i="41" s="1"/>
  <c r="G33" i="41" a="1"/>
  <c r="G33" i="41" s="1"/>
  <c r="G37" i="41" a="1"/>
  <c r="G37" i="41" s="1"/>
  <c r="H21" i="41" a="1"/>
  <c r="H21" i="41" s="1"/>
  <c r="H25" i="41" a="1"/>
  <c r="H25" i="41" s="1"/>
  <c r="H37" i="41" a="1"/>
  <c r="H37" i="41" s="1"/>
  <c r="H14" i="41" a="1"/>
  <c r="H14" i="41" s="1"/>
  <c r="H15" i="41" a="1"/>
  <c r="H15" i="41" s="1"/>
  <c r="G22" i="41" a="1"/>
  <c r="G22" i="41" s="1"/>
  <c r="G26" i="41" a="1"/>
  <c r="G26" i="41" s="1"/>
  <c r="G30" i="41" a="1"/>
  <c r="G30" i="41" s="1"/>
  <c r="G34" i="41" a="1"/>
  <c r="G34" i="41" s="1"/>
  <c r="G38" i="41" a="1"/>
  <c r="G38" i="41" s="1"/>
  <c r="H22" i="41" a="1"/>
  <c r="H22" i="41" s="1"/>
  <c r="H26" i="41" a="1"/>
  <c r="H26" i="41" s="1"/>
  <c r="H30" i="41" a="1"/>
  <c r="H30" i="41" s="1"/>
  <c r="H34" i="41" a="1"/>
  <c r="H34" i="41" s="1"/>
  <c r="H38" i="41" a="1"/>
  <c r="H38" i="41" s="1"/>
  <c r="C19" i="41"/>
  <c r="C27" i="41"/>
  <c r="C35" i="41"/>
  <c r="D23" i="41"/>
  <c r="D31" i="41"/>
  <c r="E19" i="41"/>
  <c r="E27" i="41"/>
  <c r="E35" i="41"/>
  <c r="D14" i="41"/>
  <c r="C20" i="41"/>
  <c r="C28" i="41"/>
  <c r="C36" i="41"/>
  <c r="D24" i="41"/>
  <c r="D32" i="41"/>
  <c r="E20" i="41"/>
  <c r="E28" i="41"/>
  <c r="E36" i="41"/>
  <c r="D15" i="41"/>
  <c r="C21" i="41"/>
  <c r="C29" i="41"/>
  <c r="C37" i="41"/>
  <c r="D25" i="41"/>
  <c r="D33" i="41"/>
  <c r="E21" i="41"/>
  <c r="E29" i="41"/>
  <c r="E37" i="41"/>
  <c r="E13" i="41"/>
  <c r="C22" i="41"/>
  <c r="C30" i="41"/>
  <c r="C38" i="41"/>
  <c r="D26" i="41"/>
  <c r="D34" i="41"/>
  <c r="E22" i="41"/>
  <c r="E30" i="41"/>
  <c r="E38" i="41"/>
  <c r="E14" i="41"/>
  <c r="D13" i="41"/>
  <c r="C23" i="41"/>
  <c r="C31" i="41"/>
  <c r="D19" i="41"/>
  <c r="D27" i="41"/>
  <c r="D35" i="41"/>
  <c r="E23" i="41"/>
  <c r="E31" i="41"/>
  <c r="E15" i="41"/>
  <c r="C24" i="41"/>
  <c r="C32" i="41"/>
  <c r="D20" i="41"/>
  <c r="D28" i="41"/>
  <c r="D36" i="41"/>
  <c r="E24" i="41"/>
  <c r="E32" i="41"/>
  <c r="C25" i="41"/>
  <c r="C33" i="41"/>
  <c r="D21" i="41"/>
  <c r="D29" i="41"/>
  <c r="D37" i="41"/>
  <c r="E25" i="41"/>
  <c r="E33" i="41"/>
  <c r="C26" i="41"/>
  <c r="C34" i="41"/>
  <c r="D22" i="41"/>
  <c r="D30" i="41"/>
  <c r="D38" i="41"/>
  <c r="E26" i="41"/>
  <c r="E34" i="41"/>
  <c r="G24" i="38"/>
  <c r="G22" i="43"/>
  <c r="G17" i="43"/>
  <c r="G16" i="43"/>
  <c r="G15" i="43"/>
  <c r="G14" i="43"/>
  <c r="G13" i="43"/>
  <c r="D6" i="43"/>
  <c r="D5" i="43"/>
  <c r="D4" i="43"/>
  <c r="N6" i="43"/>
  <c r="O6" i="43"/>
  <c r="P6" i="43"/>
  <c r="Q6" i="43"/>
  <c r="M6" i="43"/>
  <c r="D3" i="43"/>
  <c r="K20" i="41" l="1"/>
  <c r="K26" i="41"/>
  <c r="K21" i="41"/>
  <c r="K25" i="41"/>
  <c r="K23" i="41"/>
  <c r="K22" i="41"/>
  <c r="K37" i="41"/>
  <c r="K27" i="41"/>
  <c r="K19" i="41"/>
  <c r="K34" i="41"/>
  <c r="K33" i="41"/>
  <c r="K32" i="41"/>
  <c r="K31" i="41"/>
  <c r="K24" i="41"/>
  <c r="K38" i="41"/>
  <c r="K30" i="41"/>
  <c r="K29" i="41"/>
  <c r="K36" i="41"/>
  <c r="K28" i="41"/>
  <c r="K35" i="41"/>
  <c r="D7" i="43"/>
  <c r="J31" i="43"/>
  <c r="G27" i="43"/>
  <c r="J32" i="43"/>
  <c r="I33" i="43"/>
  <c r="H34" i="43"/>
  <c r="F32" i="43"/>
  <c r="E33" i="43"/>
  <c r="D34" i="43"/>
  <c r="F40" i="43"/>
  <c r="J35" i="43"/>
  <c r="F35" i="43"/>
  <c r="D33" i="43"/>
  <c r="I40" i="43"/>
  <c r="E40" i="43"/>
  <c r="I35" i="43"/>
  <c r="I31" i="43"/>
  <c r="H32" i="43"/>
  <c r="F34" i="43"/>
  <c r="E35" i="43"/>
  <c r="E31" i="43"/>
  <c r="D32" i="43"/>
  <c r="D40" i="43"/>
  <c r="J33" i="43"/>
  <c r="H35" i="43"/>
  <c r="H31" i="43"/>
  <c r="F33" i="43"/>
  <c r="E34" i="43"/>
  <c r="D35" i="43"/>
  <c r="D31" i="43"/>
  <c r="I32" i="43"/>
  <c r="H33" i="43"/>
  <c r="F31" i="43"/>
  <c r="E32" i="43"/>
  <c r="H27" i="43"/>
  <c r="F27" i="43"/>
  <c r="E27" i="43"/>
  <c r="D27" i="43"/>
  <c r="E22" i="43"/>
  <c r="F22" i="43"/>
  <c r="D22" i="43"/>
  <c r="H22" i="43"/>
  <c r="H15" i="43"/>
  <c r="F17" i="43"/>
  <c r="H16" i="43"/>
  <c r="H13" i="43"/>
  <c r="H17" i="43"/>
  <c r="H14" i="43"/>
  <c r="D16" i="43"/>
  <c r="D13" i="43"/>
  <c r="D17" i="43"/>
  <c r="E16" i="43"/>
  <c r="F15" i="43"/>
  <c r="E15" i="43"/>
  <c r="D14" i="43"/>
  <c r="E13" i="43"/>
  <c r="E17" i="43"/>
  <c r="F16" i="43"/>
  <c r="F14" i="43"/>
  <c r="D15" i="43"/>
  <c r="E14" i="43"/>
  <c r="F13" i="43"/>
  <c r="J34" i="43"/>
  <c r="J36" i="43" l="1"/>
  <c r="I34" i="43"/>
  <c r="I36" i="43" s="1"/>
  <c r="H36" i="43"/>
  <c r="D6" i="38"/>
  <c r="D7" i="38" s="1"/>
  <c r="D5" i="38"/>
  <c r="D4" i="38"/>
  <c r="D8" i="38" l="1"/>
  <c r="D9" i="38"/>
  <c r="F5" i="19" l="1"/>
  <c r="F4" i="19"/>
  <c r="I11" i="41"/>
  <c r="J11" i="41"/>
  <c r="I17" i="41"/>
  <c r="J17" i="41"/>
  <c r="F5" i="18"/>
  <c r="J9" i="41" l="1"/>
  <c r="I9" i="41"/>
  <c r="F11" i="41"/>
  <c r="F17" i="41"/>
  <c r="AA15" i="30"/>
  <c r="F9" i="41" l="1"/>
  <c r="I47" i="38"/>
  <c r="I46" i="38"/>
  <c r="I45" i="38"/>
  <c r="I40" i="38"/>
  <c r="H40" i="38"/>
  <c r="I37" i="38"/>
  <c r="I39" i="38"/>
  <c r="H39" i="38"/>
  <c r="I36" i="38"/>
  <c r="H36" i="38"/>
  <c r="H38" i="38"/>
  <c r="H37" i="38"/>
  <c r="I38" i="38"/>
  <c r="F47" i="38"/>
  <c r="E47" i="38"/>
  <c r="D47" i="38"/>
  <c r="F32" i="38"/>
  <c r="G31" i="38"/>
  <c r="H30" i="38"/>
  <c r="D30" i="38"/>
  <c r="E29" i="38"/>
  <c r="F45" i="38"/>
  <c r="E45" i="38"/>
  <c r="D32" i="38"/>
  <c r="F30" i="38"/>
  <c r="E48" i="38"/>
  <c r="D48" i="38"/>
  <c r="H31" i="38"/>
  <c r="E30" i="38"/>
  <c r="F46" i="38"/>
  <c r="E46" i="38"/>
  <c r="D46" i="38"/>
  <c r="E32" i="38"/>
  <c r="F31" i="38"/>
  <c r="G30" i="38"/>
  <c r="H29" i="38"/>
  <c r="D29" i="38"/>
  <c r="D45" i="38"/>
  <c r="E31" i="38"/>
  <c r="G29" i="38"/>
  <c r="F48" i="38"/>
  <c r="H32" i="38"/>
  <c r="D31" i="38"/>
  <c r="F29" i="38"/>
  <c r="H24" i="38"/>
  <c r="F24" i="38"/>
  <c r="E24" i="38"/>
  <c r="D24" i="38"/>
  <c r="D38" i="38"/>
  <c r="H20" i="38"/>
  <c r="F16" i="38"/>
  <c r="F36" i="38"/>
  <c r="G18" i="38"/>
  <c r="G39" i="38" s="1"/>
  <c r="E39" i="38"/>
  <c r="D37" i="38"/>
  <c r="E40" i="38"/>
  <c r="G19" i="38"/>
  <c r="G40" i="38" s="1"/>
  <c r="E37" i="38"/>
  <c r="F18" i="38"/>
  <c r="D39" i="38"/>
  <c r="G15" i="38"/>
  <c r="G36" i="38" s="1"/>
  <c r="H17" i="38"/>
  <c r="F38" i="38"/>
  <c r="F17" i="38"/>
  <c r="G17" i="38"/>
  <c r="G38" i="38" s="1"/>
  <c r="G16" i="38"/>
  <c r="G37" i="38" s="1"/>
  <c r="F15" i="38"/>
  <c r="F37" i="38"/>
  <c r="D40" i="38"/>
  <c r="F40" i="38"/>
  <c r="E38" i="38"/>
  <c r="H18" i="38"/>
  <c r="D36" i="38"/>
  <c r="E36" i="38"/>
  <c r="F39" i="38"/>
  <c r="H15" i="38"/>
  <c r="H16" i="38"/>
  <c r="H19" i="38"/>
  <c r="F19" i="38"/>
  <c r="E16" i="38"/>
  <c r="D17" i="38"/>
  <c r="E19" i="38"/>
  <c r="E15" i="38"/>
  <c r="D16" i="38"/>
  <c r="E18" i="38"/>
  <c r="D19" i="38"/>
  <c r="D15" i="38"/>
  <c r="E17" i="38"/>
  <c r="D18" i="38"/>
  <c r="AA41" i="30"/>
  <c r="AA11" i="30"/>
  <c r="AA22" i="30"/>
  <c r="AA6" i="30"/>
  <c r="AA19" i="30"/>
  <c r="C14" i="41" s="1"/>
  <c r="K14" i="41" s="1"/>
  <c r="AA10" i="30"/>
  <c r="AA21" i="30"/>
  <c r="AA17" i="30"/>
  <c r="AA9" i="30"/>
  <c r="AA18" i="30"/>
  <c r="C13" i="41" s="1"/>
  <c r="K13" i="41" s="1"/>
  <c r="AA7" i="30"/>
  <c r="AA20" i="30"/>
  <c r="C15" i="41" s="1"/>
  <c r="K15" i="41" s="1"/>
  <c r="AA16" i="30"/>
  <c r="AA8" i="30"/>
  <c r="E11" i="41"/>
  <c r="E17" i="41"/>
  <c r="AA14" i="30"/>
  <c r="AA12" i="30"/>
  <c r="J37" i="38"/>
  <c r="H18" i="43" l="1"/>
  <c r="I48" i="38"/>
  <c r="H41" i="38"/>
  <c r="I41" i="38"/>
  <c r="J39" i="38"/>
  <c r="J36" i="38"/>
  <c r="J38" i="38"/>
  <c r="D11" i="41"/>
  <c r="AA13" i="30"/>
  <c r="E9" i="41"/>
  <c r="C17" i="41"/>
  <c r="AN2" i="15"/>
  <c r="AN3" i="15"/>
  <c r="W3" i="20"/>
  <c r="W2" i="20"/>
  <c r="N7" i="38"/>
  <c r="O7" i="38"/>
  <c r="P7" i="38"/>
  <c r="Q7" i="38"/>
  <c r="M7" i="38"/>
  <c r="AA3" i="30" l="1"/>
  <c r="J41" i="38"/>
  <c r="J40" i="38"/>
  <c r="AA2" i="30"/>
  <c r="AJ3" i="32"/>
  <c r="C11" i="41"/>
  <c r="C9" i="41" s="1"/>
  <c r="D17" i="41"/>
  <c r="D9" i="41" s="1"/>
  <c r="AJ2" i="32"/>
  <c r="AR2" i="33"/>
  <c r="AR3" i="33"/>
  <c r="G17" i="41" l="1"/>
  <c r="G11" i="41"/>
  <c r="I2" i="35"/>
  <c r="I3" i="35"/>
  <c r="G9" i="41" l="1"/>
  <c r="R2" i="36"/>
  <c r="R3" i="36"/>
  <c r="J2" i="33"/>
  <c r="K2" i="33"/>
  <c r="L2" i="33"/>
  <c r="M2" i="33"/>
  <c r="N2" i="33"/>
  <c r="O2" i="33"/>
  <c r="P2" i="33"/>
  <c r="Q2" i="33"/>
  <c r="R2" i="33"/>
  <c r="J3" i="33"/>
  <c r="K3" i="33"/>
  <c r="L3" i="33"/>
  <c r="M3" i="33"/>
  <c r="N3" i="33"/>
  <c r="O3" i="33"/>
  <c r="P3" i="33"/>
  <c r="Q3" i="33"/>
  <c r="R3" i="33"/>
  <c r="I3" i="33"/>
  <c r="I2" i="33"/>
  <c r="P1" i="34"/>
  <c r="Q1" i="34"/>
  <c r="R1" i="34"/>
  <c r="O1" i="34"/>
  <c r="E2" i="20"/>
  <c r="F2" i="20"/>
  <c r="G2" i="20"/>
  <c r="H2" i="20"/>
  <c r="I2" i="20"/>
  <c r="J2" i="20"/>
  <c r="K2" i="20"/>
  <c r="E3" i="20"/>
  <c r="F3" i="20"/>
  <c r="G3" i="20"/>
  <c r="H3" i="20"/>
  <c r="I3" i="20"/>
  <c r="J3" i="20"/>
  <c r="K3" i="20"/>
  <c r="D2" i="34"/>
  <c r="E2" i="34"/>
  <c r="F2" i="34"/>
  <c r="G2" i="34"/>
  <c r="H2" i="34"/>
  <c r="I2" i="34"/>
  <c r="J2" i="34"/>
  <c r="D3" i="34"/>
  <c r="E3" i="34"/>
  <c r="F3" i="34"/>
  <c r="G3" i="34"/>
  <c r="H3" i="34"/>
  <c r="I3" i="34"/>
  <c r="J3" i="34"/>
  <c r="N3" i="34" s="1"/>
  <c r="C3" i="34"/>
  <c r="C2" i="34"/>
  <c r="D3" i="20"/>
  <c r="D2" i="20"/>
  <c r="P7" i="34" l="1"/>
  <c r="X7" i="34" s="1"/>
  <c r="P6" i="34"/>
  <c r="X6" i="34" s="1"/>
  <c r="P8" i="34"/>
  <c r="X8" i="34" s="1"/>
  <c r="O8" i="34"/>
  <c r="W8" i="34" s="1"/>
  <c r="O6" i="34"/>
  <c r="W6" i="34" s="1"/>
  <c r="O7" i="34"/>
  <c r="W7" i="34" s="1"/>
  <c r="R7" i="34"/>
  <c r="AA7" i="34" s="1"/>
  <c r="R8" i="34"/>
  <c r="AA8" i="34" s="1"/>
  <c r="R6" i="34"/>
  <c r="AA6" i="34" s="1"/>
  <c r="Q6" i="34"/>
  <c r="Y6" i="34" s="1"/>
  <c r="Q7" i="34"/>
  <c r="Y7" i="34" s="1"/>
  <c r="Q8" i="34"/>
  <c r="Y8" i="34" s="1"/>
  <c r="N2" i="34"/>
  <c r="L3" i="34"/>
  <c r="M3" i="20"/>
  <c r="O2" i="20"/>
  <c r="O3" i="20"/>
  <c r="N3" i="20"/>
  <c r="G46" i="38"/>
  <c r="G45" i="38"/>
  <c r="G40" i="43"/>
  <c r="G47" i="38"/>
  <c r="N2" i="20"/>
  <c r="M2" i="20"/>
  <c r="S2" i="34"/>
  <c r="L2" i="20"/>
  <c r="L3" i="20"/>
  <c r="Y2" i="33"/>
  <c r="AB3" i="33"/>
  <c r="AD2" i="33"/>
  <c r="AD3" i="33"/>
  <c r="AG2" i="33"/>
  <c r="AC3" i="33"/>
  <c r="AC2" i="33"/>
  <c r="AF2" i="33"/>
  <c r="AF3" i="33"/>
  <c r="AG3" i="33"/>
  <c r="AE2" i="33"/>
  <c r="AE3" i="33"/>
  <c r="AA3" i="33"/>
  <c r="X3" i="33"/>
  <c r="Y3" i="33"/>
  <c r="Z2" i="33"/>
  <c r="X2" i="33"/>
  <c r="Z3" i="33"/>
  <c r="AA2" i="33"/>
  <c r="AB2" i="33"/>
  <c r="L2" i="34"/>
  <c r="M3" i="34"/>
  <c r="M2" i="34"/>
  <c r="K3" i="34"/>
  <c r="K2" i="34"/>
  <c r="V3" i="20"/>
  <c r="T3" i="20"/>
  <c r="T2" i="20"/>
  <c r="U3" i="20"/>
  <c r="U2" i="20"/>
  <c r="X3" i="20"/>
  <c r="V2" i="20"/>
  <c r="X2" i="20"/>
  <c r="K2" i="15"/>
  <c r="J1" i="33" s="1"/>
  <c r="L2" i="15"/>
  <c r="M2" i="15"/>
  <c r="L1" i="33" s="1"/>
  <c r="N2" i="15"/>
  <c r="M1" i="33" s="1"/>
  <c r="O2" i="15"/>
  <c r="N1" i="33" s="1"/>
  <c r="P2" i="15"/>
  <c r="Q2" i="15"/>
  <c r="P1" i="33" s="1"/>
  <c r="R2" i="15"/>
  <c r="S2" i="15"/>
  <c r="R1" i="33" s="1"/>
  <c r="K3" i="15"/>
  <c r="L3" i="15"/>
  <c r="M3" i="15"/>
  <c r="N3" i="15"/>
  <c r="O3" i="15"/>
  <c r="P3" i="15"/>
  <c r="Q3" i="15"/>
  <c r="R3" i="15"/>
  <c r="S3" i="15"/>
  <c r="J3" i="15"/>
  <c r="J2" i="15"/>
  <c r="I1" i="33" s="1"/>
  <c r="Z7" i="34" l="1"/>
  <c r="Z6" i="34"/>
  <c r="Z8" i="34"/>
  <c r="AA2" i="34"/>
  <c r="H40" i="43"/>
  <c r="J47" i="38"/>
  <c r="H47" i="38"/>
  <c r="H45" i="38"/>
  <c r="J46" i="38"/>
  <c r="H46" i="38"/>
  <c r="P3" i="34"/>
  <c r="O2" i="34"/>
  <c r="Q2" i="34"/>
  <c r="T2" i="34"/>
  <c r="T1" i="34" s="1"/>
  <c r="Q3" i="34"/>
  <c r="T3" i="34"/>
  <c r="Y3" i="34"/>
  <c r="AA3" i="15"/>
  <c r="R2" i="34"/>
  <c r="R3" i="34"/>
  <c r="AA3" i="34"/>
  <c r="U3" i="34"/>
  <c r="U2" i="34"/>
  <c r="U1" i="34" s="1"/>
  <c r="V2" i="34"/>
  <c r="V1" i="34" s="1"/>
  <c r="V3" i="34"/>
  <c r="S3" i="34"/>
  <c r="O3" i="34"/>
  <c r="Y2" i="34"/>
  <c r="P2" i="34"/>
  <c r="S1" i="34"/>
  <c r="AC3" i="15"/>
  <c r="Z2" i="15"/>
  <c r="Y1" i="33" s="1"/>
  <c r="O1" i="33"/>
  <c r="AA2" i="15"/>
  <c r="Z1" i="33" s="1"/>
  <c r="K1" i="33"/>
  <c r="AJ3" i="15"/>
  <c r="Y2" i="15"/>
  <c r="X1" i="33" s="1"/>
  <c r="AB2" i="15"/>
  <c r="AA1" i="33" s="1"/>
  <c r="Q1" i="33"/>
  <c r="Y3" i="15"/>
  <c r="Z3" i="15"/>
  <c r="AB3" i="15"/>
  <c r="AC2" i="15"/>
  <c r="AB1" i="33" s="1"/>
  <c r="AL2" i="15"/>
  <c r="AL3" i="15"/>
  <c r="AK3" i="15"/>
  <c r="AJ2" i="15"/>
  <c r="AI3" i="15"/>
  <c r="AK2" i="15"/>
  <c r="AI2" i="15"/>
  <c r="X2" i="34" l="1"/>
  <c r="H48" i="38"/>
  <c r="X3" i="34"/>
  <c r="Z2" i="34"/>
  <c r="J45" i="38"/>
  <c r="J48" i="38" s="1"/>
  <c r="H11" i="38" s="1"/>
  <c r="J40" i="43"/>
  <c r="H9" i="43" s="1"/>
  <c r="Z3" i="34"/>
  <c r="W3" i="34"/>
  <c r="W2" i="34"/>
  <c r="AH2" i="33"/>
  <c r="AH1" i="33" s="1"/>
  <c r="AH3" i="33"/>
  <c r="AI2" i="33"/>
  <c r="AI1" i="33" s="1"/>
  <c r="AI3" i="33"/>
  <c r="AO3" i="33"/>
  <c r="AJ3" i="33"/>
  <c r="AJ2" i="33"/>
  <c r="AJ1" i="33" s="1"/>
  <c r="AK3" i="33"/>
  <c r="AP2" i="33"/>
  <c r="AK2" i="33"/>
  <c r="AK1" i="33" s="1"/>
  <c r="AQ3" i="33"/>
  <c r="AL3" i="33"/>
  <c r="AL2" i="33"/>
  <c r="AM3" i="15"/>
  <c r="AM2" i="15"/>
  <c r="F2" i="32"/>
  <c r="G2" i="32"/>
  <c r="H2" i="32"/>
  <c r="I2" i="32"/>
  <c r="J2" i="32"/>
  <c r="K2" i="32"/>
  <c r="L2" i="32"/>
  <c r="M2" i="32"/>
  <c r="N2" i="32"/>
  <c r="O2" i="32"/>
  <c r="G3" i="32"/>
  <c r="H3" i="32"/>
  <c r="I3" i="32"/>
  <c r="J3" i="32"/>
  <c r="K3" i="32"/>
  <c r="L3" i="32"/>
  <c r="M3" i="32"/>
  <c r="N3" i="32"/>
  <c r="O3" i="32"/>
  <c r="F3" i="32"/>
  <c r="K11" i="41" l="1"/>
  <c r="H11" i="41"/>
  <c r="AL1" i="33"/>
  <c r="AQ2" i="33"/>
  <c r="AP3" i="33"/>
  <c r="AO2" i="33"/>
  <c r="AN2" i="33"/>
  <c r="AN3" i="33"/>
  <c r="AM2" i="33"/>
  <c r="AM3" i="33"/>
  <c r="AI2" i="32"/>
  <c r="AG2" i="32"/>
  <c r="AF2" i="32"/>
  <c r="AG3" i="32"/>
  <c r="AA3" i="32"/>
  <c r="AF3" i="32"/>
  <c r="Q3" i="32"/>
  <c r="R2" i="32"/>
  <c r="AB3" i="32"/>
  <c r="X2" i="32"/>
  <c r="AA2" i="32"/>
  <c r="U3" i="32"/>
  <c r="Y2" i="32"/>
  <c r="W3" i="32"/>
  <c r="AB2" i="32"/>
  <c r="V3" i="32"/>
  <c r="AC2" i="32"/>
  <c r="AD2" i="32"/>
  <c r="V2" i="32"/>
  <c r="AD3" i="32"/>
  <c r="AC3" i="32"/>
  <c r="W2" i="32"/>
  <c r="Y3" i="32"/>
  <c r="X3" i="32"/>
  <c r="U2" i="32"/>
  <c r="V3" i="30"/>
  <c r="P2" i="32"/>
  <c r="T3" i="32"/>
  <c r="Q2" i="32"/>
  <c r="R3" i="32"/>
  <c r="S3" i="32"/>
  <c r="S2" i="32"/>
  <c r="T2" i="32"/>
  <c r="P3" i="32"/>
  <c r="V2" i="30"/>
  <c r="Y3" i="30"/>
  <c r="Y2" i="30"/>
  <c r="X2" i="30"/>
  <c r="X3" i="30"/>
  <c r="W2" i="30"/>
  <c r="Z3" i="30"/>
  <c r="Z2" i="30"/>
  <c r="W3" i="30"/>
  <c r="K17" i="41" l="1"/>
  <c r="K9" i="41" s="1"/>
  <c r="H17" i="41"/>
  <c r="H9" i="41" s="1"/>
  <c r="AA1" i="32"/>
  <c r="AI3" i="32"/>
  <c r="AH3" i="32"/>
  <c r="AC1" i="32"/>
  <c r="AH2" i="32"/>
  <c r="AD1" i="32"/>
  <c r="AB1" i="32"/>
  <c r="Z2" i="32"/>
  <c r="Z1" i="32" s="1"/>
  <c r="AE2" i="32"/>
  <c r="Z3" i="32"/>
  <c r="AE3" i="32" l="1"/>
  <c r="H2" i="30" l="1"/>
  <c r="G1" i="32" s="1"/>
  <c r="I2" i="30"/>
  <c r="H1" i="32" s="1"/>
  <c r="J2" i="30"/>
  <c r="I1" i="32" s="1"/>
  <c r="K2" i="30"/>
  <c r="J1" i="32" s="1"/>
  <c r="L2" i="30"/>
  <c r="K1" i="32" s="1"/>
  <c r="M2" i="30"/>
  <c r="L1" i="32" s="1"/>
  <c r="N2" i="30"/>
  <c r="M1" i="32" s="1"/>
  <c r="O2" i="30"/>
  <c r="N1" i="32" s="1"/>
  <c r="P2" i="30"/>
  <c r="O1" i="32" s="1"/>
  <c r="H3" i="30"/>
  <c r="I3" i="30"/>
  <c r="J3" i="30"/>
  <c r="K3" i="30"/>
  <c r="L3" i="30"/>
  <c r="M3" i="30"/>
  <c r="N3" i="30"/>
  <c r="O3" i="30"/>
  <c r="P3" i="30"/>
  <c r="G3" i="30"/>
  <c r="G2" i="30"/>
  <c r="F1" i="32" s="1"/>
  <c r="T3" i="30" l="1"/>
  <c r="U2" i="30"/>
  <c r="Q3" i="30"/>
  <c r="Q2" i="30"/>
  <c r="U3" i="30"/>
  <c r="R2" i="30"/>
  <c r="S3" i="30"/>
  <c r="T2" i="30"/>
  <c r="R3" i="30"/>
  <c r="S2" i="30"/>
  <c r="G5" i="19" l="1"/>
  <c r="E5" i="19"/>
  <c r="G4" i="19"/>
  <c r="E4" i="19"/>
  <c r="G5" i="18" l="1"/>
  <c r="E5" i="18"/>
  <c r="G4" i="18"/>
  <c r="E4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38F9CF-E2BA-4D7C-B0E7-855A1CF6030E}" keepAlive="1" name="Consulta - TBL_IV_PERIODOS" description="Conexão com a consulta 'TBL_IV_PERIODOS' na pasta de trabalho." type="5" refreshedVersion="6" background="1" saveData="1">
    <dbPr connection="Provider=Microsoft.Mashup.OleDb.1;Data Source=$Workbook$;Location=TBL_IV_PERIODOS;Extended Properties=&quot;&quot;" command="SELECT * FROM [TBL_IV_PERIODOS]"/>
  </connection>
  <connection id="2" xr16:uid="{8B67026C-204D-4BF4-988B-B8747A1630BE}" name="Consulta - VIEW_IV_2019_DEMANDA_CONFIG_PESOS" description="Conexão com a consulta 'VIEW_IV_2019_DEMANDA_CONFIG_PESOS' na pasta de trabalho." type="100" refreshedVersion="6" minRefreshableVersion="5">
    <extLst>
      <ext xmlns:x15="http://schemas.microsoft.com/office/spreadsheetml/2010/11/main" uri="{DE250136-89BD-433C-8126-D09CA5730AF9}">
        <x15:connection id="65c07d4d-ce52-4fdc-9e64-195c674682b5"/>
      </ext>
    </extLst>
  </connection>
  <connection id="3" xr16:uid="{A7DC0B4B-009D-4D0E-AB8F-CF7D4F41AA3F}" keepAlive="1" name="Consulta - VIEW_IV_2019_DEMANDA_DISTRIBUIDORES" description="Conexão com a consulta 'VIEW_IV_2019_DEMANDA_DISTRIBUIDORES' na pasta de trabalho." type="5" refreshedVersion="6" background="1" saveData="1">
    <dbPr connection="Provider=Microsoft.Mashup.OleDb.1;Data Source=$Workbook$;Location=VIEW_IV_2019_DEMANDA_DISTRIBUIDORES;Extended Properties=&quot;&quot;" command="SELECT * FROM [VIEW_IV_2019_DEMANDA_DISTRIBUIDORES]"/>
  </connection>
  <connection id="4" xr16:uid="{FD2BFE06-505B-4153-B6A1-B3FCAB72607A}" name="Consulta - VIEW_IV_2019_DEMANDA_SETORIZADA_GR" description="Conexão com a consulta 'VIEW_IV_2019_DEMANDA_SETORIZADA_GR' na pasta de trabalho." type="100" refreshedVersion="6" minRefreshableVersion="5">
    <extLst>
      <ext xmlns:x15="http://schemas.microsoft.com/office/spreadsheetml/2010/11/main" uri="{DE250136-89BD-433C-8126-D09CA5730AF9}">
        <x15:connection id="786555fc-0146-47a7-bfd9-914542ff37b6"/>
      </ext>
    </extLst>
  </connection>
  <connection id="5" xr16:uid="{6C9A6F9F-7A4F-4CB7-BA68-71945074F205}" keepAlive="1" name="Consulta - VIEW_IV_2019_DEMANDA_SETORIZADA_REP" description="Conexão com a consulta 'VIEW_IV_2019_DEMANDA_SETORIZADA_REP' na pasta de trabalho." type="5" refreshedVersion="6" background="1" saveData="1">
    <dbPr connection="Provider=Microsoft.Mashup.OleDb.1;Data Source=$Workbook$;Location=VIEW_IV_2019_DEMANDA_SETORIZADA_REP;Extended Properties=&quot;&quot;" command="SELECT * FROM [VIEW_IV_2019_DEMANDA_SETORIZADA_REP]"/>
  </connection>
  <connection id="6" xr16:uid="{81217E00-FEE4-473F-8383-1344662C9A7F}" name="Consulta - VIEW_IV_2019_ESTABELECIMENTOS_SETORIZACAO_GR" description="Conexão com a consulta 'VIEW_IV_2019_ESTABELECIMENTOS_SETORIZACAO_GR' na pasta de trabalho." type="100" refreshedVersion="6" minRefreshableVersion="5">
    <extLst>
      <ext xmlns:x15="http://schemas.microsoft.com/office/spreadsheetml/2010/11/main" uri="{DE250136-89BD-433C-8126-D09CA5730AF9}">
        <x15:connection id="ea9ec408-6788-492f-9479-b11dddaedb2a"/>
      </ext>
    </extLst>
  </connection>
  <connection id="7" xr16:uid="{671E7754-A4E9-4017-AF75-C173ADAE0B4D}" name="Consulta - VIEW_IV_2019_ESTABELECIMENTOS_SETORIZACAO_REP" description="Conexão com a consulta 'VIEW_IV_2019_ESTABELECIMENTOS_SETORIZACAO_REP' na pasta de trabalho." type="100" refreshedVersion="6" minRefreshableVersion="5">
    <extLst>
      <ext xmlns:x15="http://schemas.microsoft.com/office/spreadsheetml/2010/11/main" uri="{DE250136-89BD-433C-8126-D09CA5730AF9}">
        <x15:connection id="c10413f8-1467-4cd7-ab5f-259d02bd7b1b"/>
      </ext>
    </extLst>
  </connection>
  <connection id="8" xr16:uid="{EFE32BC9-3476-4735-ADA5-A3CACFE7BBAD}" name="Consulta - VIEW_IV_2019_GERENTES" description="Conexão com a consulta 'VIEW_IV_2019_GERENTES' na pasta de trabalho." type="100" refreshedVersion="6" minRefreshableVersion="5">
    <extLst>
      <ext xmlns:x15="http://schemas.microsoft.com/office/spreadsheetml/2010/11/main" uri="{DE250136-89BD-433C-8126-D09CA5730AF9}">
        <x15:connection id="4229df2d-847f-44cc-bf19-6adf9816deb0"/>
      </ext>
    </extLst>
  </connection>
  <connection id="9" xr16:uid="{81542B47-63D7-4B69-A739-860E93EE0EA8}" keepAlive="1" name="Consulta - VIEW_IV_2019_GR_COTA_DEMANDA" description="Conexão com a consulta 'VIEW_IV_2019_GR_COTA_DEMANDA' na pasta de trabalho." type="5" refreshedVersion="6" background="1" saveData="1">
    <dbPr connection="Provider=Microsoft.Mashup.OleDb.1;Data Source=$Workbook$;Location=VIEW_IV_2019_GR_COTA_DEMANDA;Extended Properties=&quot;&quot;" command="SELECT * FROM [VIEW_IV_2019_GR_COTA_DEMANDA]"/>
  </connection>
  <connection id="10" xr16:uid="{001C54EC-C5C0-4778-A566-A3E969F34A47}" keepAlive="1" name="Consulta - VIEW_IV_2019_GR_COTA_DEMANDA_TRI" description="Conexão com a consulta 'VIEW_IV_2019_GR_COTA_DEMANDA_TRI' na pasta de trabalho." type="5" refreshedVersion="6" background="1" saveData="1">
    <dbPr connection="Provider=Microsoft.Mashup.OleDb.1;Data Source=$Workbook$;Location=VIEW_IV_2019_GR_COTA_DEMANDA_TRI;Extended Properties=&quot;&quot;" command="SELECT * FROM [VIEW_IV_2019_GR_COTA_DEMANDA_TRI]"/>
  </connection>
  <connection id="11" xr16:uid="{B8A0EBCF-6BF4-497A-92BB-AFD49725D1ED}" name="Consulta - VIEW_IV_2019_GR_DEMANDA" description="Conexão com a consulta 'VIEW_IV_2019_GR_DEMANDA' na pasta de trabalho." type="100" refreshedVersion="6" minRefreshableVersion="5">
    <extLst>
      <ext xmlns:x15="http://schemas.microsoft.com/office/spreadsheetml/2010/11/main" uri="{DE250136-89BD-433C-8126-D09CA5730AF9}">
        <x15:connection id="3cf13ff6-8e4f-4276-914a-2651024a1dc3"/>
      </ext>
    </extLst>
  </connection>
  <connection id="12" xr16:uid="{834F8B92-0E6E-4335-8956-C9216E1AF1B6}" keepAlive="1" name="Consulta - VIEW_IV_2019_REP_CALCULO" description="Conexão com a consulta 'VIEW_IV_2019_REP_CALCULO' na pasta de trabalho." type="5" refreshedVersion="6" background="1" saveData="1">
    <dbPr connection="Provider=Microsoft.Mashup.OleDb.1;Data Source=$Workbook$;Location=VIEW_IV_2019_REP_CALCULO;Extended Properties=&quot;&quot;" command="SELECT * FROM [VIEW_IV_2019_REP_CALCULO]"/>
  </connection>
  <connection id="13" xr16:uid="{6DE312E2-80A2-4634-9D69-2BF455C86FAD}" keepAlive="1" name="Consulta - VIEW_IV_2019_REP_CALCULO_TRI" description="Conexão com a consulta 'VIEW_IV_2019_REP_CALCULO_TRI' na pasta de trabalho." type="5" refreshedVersion="6" background="1" saveData="1">
    <dbPr connection="Provider=Microsoft.Mashup.OleDb.1;Data Source=$Workbook$;Location=VIEW_IV_2019_REP_CALCULO_TRI;Extended Properties=&quot;&quot;" command="SELECT * FROM [VIEW_IV_2019_REP_CALCULO_TRI]"/>
  </connection>
  <connection id="14" xr16:uid="{A1D2B4C3-E207-402B-9CDE-89937E46108C}" name="Consulta - VIEW_IV_2019_REPRESENTANTES" description="Conexão com a consulta 'VIEW_IV_2019_REPRESENTANTES' na pasta de trabalho." type="100" refreshedVersion="6" minRefreshableVersion="5">
    <extLst>
      <ext xmlns:x15="http://schemas.microsoft.com/office/spreadsheetml/2010/11/main" uri="{DE250136-89BD-433C-8126-D09CA5730AF9}">
        <x15:connection id="2773b11d-66f6-4d90-84db-55b19cf36591"/>
      </ext>
    </extLst>
  </connection>
  <connection id="15" xr16:uid="{1F2FF8DB-88EC-41D6-9D57-BFFFEACE272A}" keepAlive="1" name="Consulta - VIEW_IV_2019_VENDA" description="Conexão com a consulta 'VIEW_IV_2019_VENDA' na pasta de trabalho." type="5" refreshedVersion="6" background="1" saveData="1">
    <dbPr connection="Provider=Microsoft.Mashup.OleDb.1;Data Source=$Workbook$;Location=VIEW_IV_2019_VENDA;Extended Properties=&quot;&quot;" command="SELECT * FROM [VIEW_IV_2019_VENDA]"/>
  </connection>
  <connection id="16" xr16:uid="{A7888DC0-D1FA-4ECF-B431-3F15E9B6AAFD}" keepAlive="1" name="Consulta - VIEW_IV_2019_VENDA_DETALHADA" description="Conexão com a consulta 'VIEW_IV_2019_VENDA_DETALHADA' na pasta de trabalho." type="5" refreshedVersion="6" background="1" saveData="1">
    <dbPr connection="Provider=Microsoft.Mashup.OleDb.1;Data Source=$Workbook$;Location=VIEW_IV_2019_VENDA_DETALHADA;Extended Properties=&quot;&quot;" command="SELECT * FROM [VIEW_IV_2019_VENDA_DETALHADA]"/>
  </connection>
  <connection id="17" xr16:uid="{BE775423-9B7B-46B0-82E0-105FEC457B56}" keepAlive="1" name="Consulta - VIEW_IV_2019_VENDA_TRI" description="Conexão com a consulta 'VIEW_IV_2019_VENDA_TRI' na pasta de trabalho." type="5" refreshedVersion="6" background="1" saveData="1">
    <dbPr connection="Provider=Microsoft.Mashup.OleDb.1;Data Source=$Workbook$;Location=VIEW_IV_2019_VENDA_TRI;Extended Properties=&quot;&quot;" command="SELECT * FROM [VIEW_IV_2019_VENDA_TRI]"/>
  </connection>
  <connection id="18" xr16:uid="{297B928E-E6A4-4D74-8B26-431CFBE83E13}" name="Consulta - VIEW_IV_2019_VISITAS_GR" description="Conexão com a consulta 'VIEW_IV_2019_VISITAS_GR' na pasta de trabalho." type="100" refreshedVersion="6" minRefreshableVersion="5">
    <extLst>
      <ext xmlns:x15="http://schemas.microsoft.com/office/spreadsheetml/2010/11/main" uri="{DE250136-89BD-433C-8126-D09CA5730AF9}">
        <x15:connection id="21de116b-7c9f-4680-82b9-7004fc42b977"/>
      </ext>
    </extLst>
  </connection>
  <connection id="19" xr16:uid="{D15DB5C7-A2F8-4351-B4D6-E632A1F1D156}" name="Consulta - VIEW_IV_2019_VISITAS_REP" description="Conexão com a consulta 'VIEW_IV_2019_VISITAS_REP' na pasta de trabalho." type="100" refreshedVersion="6" minRefreshableVersion="5">
    <extLst>
      <ext xmlns:x15="http://schemas.microsoft.com/office/spreadsheetml/2010/11/main" uri="{DE250136-89BD-433C-8126-D09CA5730AF9}">
        <x15:connection id="67fb61ad-ef1a-4c80-a995-441ddc1813cd"/>
      </ext>
    </extLst>
  </connection>
  <connection id="20" xr16:uid="{51420BBF-D61C-4483-9000-38ACDCE447E1}" keepAlive="1" name="ModelConnection_DadosExternos_1" description="Modelo de Dados" type="5" refreshedVersion="6" minRefreshableVersion="5" saveData="1">
    <dbPr connection="Data Model Connection" command="VIEW_IV_2019_DEMANDA_SETORIZADA_GR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4DF23059-9F4A-4CC7-B83C-3C38DD1F58AF}" keepAlive="1" name="ModelConnection_DadosExternos_3" description="Modelo de Dados" type="5" refreshedVersion="6" minRefreshableVersion="5" saveData="1">
    <dbPr connection="Data Model Connection" command="VIEW_IV_2019_ESTABELECIMENTOS_SETORIZACAO_REP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AC0E095E-E2B5-45FC-8948-06F022280ADA}" keepAlive="1" name="ModelConnection_DadosExternos_31" description="Modelo de Dados" type="5" refreshedVersion="6" minRefreshableVersion="5" saveData="1">
    <dbPr connection="Data Model Connection" command="VIEW_IV_2019_VISITAS_GR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1445EC61-EFAC-48D6-A9CA-5863FD21FDD8}" keepAlive="1" name="ModelConnection_DadosExternos_4" description="Modelo de Dados" type="5" refreshedVersion="6" minRefreshableVersion="5" saveData="1">
    <dbPr connection="Data Model Connection" command="VIEW_IV_2019_DEMANDA_CONFIG_PESOS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C9B47B54-BDF3-438B-8241-FDEA58CE8582}" keepAlive="1" name="ModelConnection_DadosExternos_41" description="Modelo de Dados" type="5" refreshedVersion="6" minRefreshableVersion="5" saveData="1">
    <dbPr connection="Data Model Connection" command="VIEW_IV_2019_ESTABELECIMENTOS_SETORIZACAO_GR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A7CF4E78-FFB3-4E78-B54E-D6F5F839512A}" keepAlive="1" name="ModelConnection_DadosExternos_42" description="Modelo de Dados" type="5" refreshedVersion="6" minRefreshableVersion="5" saveData="1">
    <dbPr connection="Data Model Connection" command="VIEW_IV_2019_VISITAS_REP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5460237D-8C10-474D-A074-68FAD1A2B759}" keepAlive="1" name="ModelConnection_DadosExternos_5" description="Modelo de Dados" type="5" refreshedVersion="6" minRefreshableVersion="5" saveData="1">
    <dbPr connection="Data Model Connection" command="VIEW_IV_2019_REPRESENTANTES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6BA2E927-9C9F-4EA4-B449-242DE2FBBEA0}" keepAlive="1" name="ModelConnection_DadosExternos_6" description="Modelo de Dados" type="5" refreshedVersion="6" minRefreshableVersion="5" saveData="1">
    <dbPr connection="Data Model Connection" command="VIEW_IV_2019_GERENTES" commandType="3"/>
    <extLst>
      <ext xmlns:x15="http://schemas.microsoft.com/office/spreadsheetml/2010/11/main" uri="{DE250136-89BD-433C-8126-D09CA5730AF9}">
        <x15:connection id="" model="1"/>
      </ext>
    </extLst>
  </connection>
  <connection id="28" xr16:uid="{0B3E096C-EBBF-448A-B7AD-C438B908B474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<sst xmlns="http://schemas.openxmlformats.org/spreadsheetml/2006/main" count="147503" uniqueCount="1532">
  <si>
    <t>Ano-Unv</t>
  </si>
  <si>
    <t>Mes-Unv</t>
  </si>
  <si>
    <t>Ano-Fiscal</t>
  </si>
  <si>
    <t>Mes-Fiscal</t>
  </si>
  <si>
    <t>Tri-Fiscal</t>
  </si>
  <si>
    <t>Periodo-IV</t>
  </si>
  <si>
    <t>Calculo-Mensal</t>
  </si>
  <si>
    <t>Calculo-Trimestral</t>
  </si>
  <si>
    <t>Calculo-Anual</t>
  </si>
  <si>
    <t>CNPJ</t>
  </si>
  <si>
    <t>Estabelecimento</t>
  </si>
  <si>
    <t>Cidade</t>
  </si>
  <si>
    <t>UF</t>
  </si>
  <si>
    <t>Cod-Linha</t>
  </si>
  <si>
    <t>Linha</t>
  </si>
  <si>
    <t>EQ</t>
  </si>
  <si>
    <t>2019/2020</t>
  </si>
  <si>
    <t>01-Jul</t>
  </si>
  <si>
    <t>01-Tri</t>
  </si>
  <si>
    <t>SP</t>
  </si>
  <si>
    <t>PRIVIGEN</t>
  </si>
  <si>
    <t>02-Ago</t>
  </si>
  <si>
    <t>03-Set</t>
  </si>
  <si>
    <t>04-Out</t>
  </si>
  <si>
    <t>02-Tri</t>
  </si>
  <si>
    <t>BERIPLEX</t>
  </si>
  <si>
    <t>HIZENTRA</t>
  </si>
  <si>
    <t>HAEMOCOMPLETTAN</t>
  </si>
  <si>
    <t>BERINERT</t>
  </si>
  <si>
    <t>SÃO PAULO</t>
  </si>
  <si>
    <t>PIRASSUNUNGA</t>
  </si>
  <si>
    <t>ATIBAIA</t>
  </si>
  <si>
    <t>OSASCO</t>
  </si>
  <si>
    <t>CAMPINAS</t>
  </si>
  <si>
    <t>ANDRADINA</t>
  </si>
  <si>
    <t>SANTOS</t>
  </si>
  <si>
    <t>GUARULHOS</t>
  </si>
  <si>
    <t>BAURU</t>
  </si>
  <si>
    <t>LINS</t>
  </si>
  <si>
    <t>RIO CLARO</t>
  </si>
  <si>
    <t>PIRACICABA</t>
  </si>
  <si>
    <t>CATANDUVA</t>
  </si>
  <si>
    <t>SOROCABA</t>
  </si>
  <si>
    <t>GUARARAPES</t>
  </si>
  <si>
    <t>FRANCA</t>
  </si>
  <si>
    <t>ARARAS</t>
  </si>
  <si>
    <t>DRACENA</t>
  </si>
  <si>
    <t>SERTÃOZINHO</t>
  </si>
  <si>
    <t>BOTUCATU</t>
  </si>
  <si>
    <t>ARARAQUARA</t>
  </si>
  <si>
    <t>PINDAMONHANGABA</t>
  </si>
  <si>
    <t>MONTE ALTO</t>
  </si>
  <si>
    <t>PA</t>
  </si>
  <si>
    <t>CONSELHEIRO LAFAIETE</t>
  </si>
  <si>
    <t>MG</t>
  </si>
  <si>
    <t>DF</t>
  </si>
  <si>
    <t>PB</t>
  </si>
  <si>
    <t>PR</t>
  </si>
  <si>
    <t>BELO HORIZONTE</t>
  </si>
  <si>
    <t>GO</t>
  </si>
  <si>
    <t>NITEROI</t>
  </si>
  <si>
    <t>RJ</t>
  </si>
  <si>
    <t>NATAL</t>
  </si>
  <si>
    <t>RN</t>
  </si>
  <si>
    <t>CAMPO GRANDE</t>
  </si>
  <si>
    <t>MS</t>
  </si>
  <si>
    <t>CAXIAS DO SUL</t>
  </si>
  <si>
    <t>RS</t>
  </si>
  <si>
    <t>SC</t>
  </si>
  <si>
    <t>MT</t>
  </si>
  <si>
    <t>RECIFE</t>
  </si>
  <si>
    <t>PE</t>
  </si>
  <si>
    <t>MA</t>
  </si>
  <si>
    <t>LAURO DE FREITAS</t>
  </si>
  <si>
    <t>BA</t>
  </si>
  <si>
    <t>SALVADOR</t>
  </si>
  <si>
    <t>FORTALEZA</t>
  </si>
  <si>
    <t>CE</t>
  </si>
  <si>
    <t>DUQUE DE CAXIAS</t>
  </si>
  <si>
    <t>AP</t>
  </si>
  <si>
    <t>RIO VERDE</t>
  </si>
  <si>
    <t>TERESINA</t>
  </si>
  <si>
    <t>PI</t>
  </si>
  <si>
    <t>PORTO ALEGRE</t>
  </si>
  <si>
    <t>ARACAJU</t>
  </si>
  <si>
    <t>SE</t>
  </si>
  <si>
    <t>FEIRA DE SANTANA</t>
  </si>
  <si>
    <t>SANTA MARIA</t>
  </si>
  <si>
    <t>JUIZ DE FORA</t>
  </si>
  <si>
    <t>IPATINGA</t>
  </si>
  <si>
    <t>PATOS DE MINAS</t>
  </si>
  <si>
    <t>AL</t>
  </si>
  <si>
    <t>RESENDE</t>
  </si>
  <si>
    <t>BLUMENAU</t>
  </si>
  <si>
    <t>CURITIBA</t>
  </si>
  <si>
    <t>FLORIANOPOLIS</t>
  </si>
  <si>
    <t>PASSO FUNDO</t>
  </si>
  <si>
    <t>SERRA</t>
  </si>
  <si>
    <t>ES</t>
  </si>
  <si>
    <t>PAULISTA</t>
  </si>
  <si>
    <t>CANOAS</t>
  </si>
  <si>
    <t>ARAGUARI</t>
  </si>
  <si>
    <t>OURO BRANCO</t>
  </si>
  <si>
    <t>ITAPERUNA</t>
  </si>
  <si>
    <t>JAGUARI</t>
  </si>
  <si>
    <t>VOLTA REDONDA</t>
  </si>
  <si>
    <t>FREDERICO WESTPHALEN</t>
  </si>
  <si>
    <t>OLINDA</t>
  </si>
  <si>
    <t>MANGARATIBA</t>
  </si>
  <si>
    <t>MANAUS</t>
  </si>
  <si>
    <t>AM</t>
  </si>
  <si>
    <t>RAUL SOARES</t>
  </si>
  <si>
    <t>CASCAVEL</t>
  </si>
  <si>
    <t>BRUSQUE</t>
  </si>
  <si>
    <t>PRIMAVERA DO LESTE</t>
  </si>
  <si>
    <t>GARANHUNS</t>
  </si>
  <si>
    <t>COLATINA</t>
  </si>
  <si>
    <t>CAMPINA GRANDE DO SUL</t>
  </si>
  <si>
    <t>CRUZ ALTA</t>
  </si>
  <si>
    <t>PASSOS</t>
  </si>
  <si>
    <t>NOVA FRIBURGO</t>
  </si>
  <si>
    <t>LONDRINA</t>
  </si>
  <si>
    <t>SANTA HELENA</t>
  </si>
  <si>
    <t>DOURADOS</t>
  </si>
  <si>
    <t>NOVO HAMBURGO</t>
  </si>
  <si>
    <t>JOINVILLE</t>
  </si>
  <si>
    <t>UBERABA</t>
  </si>
  <si>
    <t>CARANGOLA</t>
  </si>
  <si>
    <t>SENADOR CANEDO</t>
  </si>
  <si>
    <t>ERECHIM</t>
  </si>
  <si>
    <t>CAMPINA GRANDE</t>
  </si>
  <si>
    <t>RIO DE JANEIRO</t>
  </si>
  <si>
    <t>#PK-Email</t>
  </si>
  <si>
    <t>Nome</t>
  </si>
  <si>
    <t>Perfil</t>
  </si>
  <si>
    <t>#FK-Cod-Equipe</t>
  </si>
  <si>
    <t>Equipe</t>
  </si>
  <si>
    <t>@-Ativo</t>
  </si>
  <si>
    <t>@-IV</t>
  </si>
  <si>
    <t>%-BERINERT</t>
  </si>
  <si>
    <t>%-BERIPLEX</t>
  </si>
  <si>
    <t>%-HAEMO</t>
  </si>
  <si>
    <t>%-HIZENTRA</t>
  </si>
  <si>
    <t>%-PRIVIGEN</t>
  </si>
  <si>
    <t>aline.fonseca@cslbehring.com</t>
  </si>
  <si>
    <t>ALINE FONSECA - HSP - RS</t>
  </si>
  <si>
    <t>Representante</t>
  </si>
  <si>
    <t>antonio.tunes@cslbehring.com</t>
  </si>
  <si>
    <t>ANTONIO TUNES - HSP - SPC</t>
  </si>
  <si>
    <t>artur.junior@cslbehring.com</t>
  </si>
  <si>
    <t>ARTUR JUNIOR - HSP - SPI</t>
  </si>
  <si>
    <t>bruna.claro@cslbehring.com</t>
  </si>
  <si>
    <t>BRUNA CLARO - ESP - SPI</t>
  </si>
  <si>
    <t>distribuidores@wfbconsultoria.com.br</t>
  </si>
  <si>
    <t>(DISTRIBUIDORES)</t>
  </si>
  <si>
    <t>eveline.goulart@cslbehring.com</t>
  </si>
  <si>
    <t>EVELINE GOULART - ESP - RJ</t>
  </si>
  <si>
    <t>fernanda.bornhausen@cslbehring.com</t>
  </si>
  <si>
    <t>FERNANDA BORNHAUSEN - HSP - SC/PR</t>
  </si>
  <si>
    <t>iwens.silva@cslbehring.com</t>
  </si>
  <si>
    <t>IWENS SILVA - HSP - MG/ES</t>
  </si>
  <si>
    <t>janaina.palmiro@cslbehring.com</t>
  </si>
  <si>
    <t>JANAINA PALMIRO - ESP - SPC</t>
  </si>
  <si>
    <t>karen.rosa@cslbehring.com</t>
  </si>
  <si>
    <t>KAREN ROSA - HSP - DF/GO/MS/MT/TO</t>
  </si>
  <si>
    <t>kleber.silva@cslbehring.com</t>
  </si>
  <si>
    <t>KLEBER SILVA - HSP - CE/MA/PI</t>
  </si>
  <si>
    <t>lais.magalhaes@cslbehring.com</t>
  </si>
  <si>
    <t>LAIS MAGALHAES - HSP - BA/AL/SE</t>
  </si>
  <si>
    <t>lenilson.silva@cslbehring.com</t>
  </si>
  <si>
    <t>LENILSON SILVA - HSP - PB/PE/RN</t>
  </si>
  <si>
    <t>manuele.bertamoni@cslbehring.com</t>
  </si>
  <si>
    <t>MANUELE BERTAMONI - HSP - RS</t>
  </si>
  <si>
    <t>marcus.bastos@cslbehring.com</t>
  </si>
  <si>
    <t>MARCUS BASTOS - HSP - RJ</t>
  </si>
  <si>
    <t>michele.moraes@cslbehring.com</t>
  </si>
  <si>
    <t>MICHELE MORAES - ESP - PR/SC/RS</t>
  </si>
  <si>
    <t>nelson.martins@cslbehring.com</t>
  </si>
  <si>
    <t>NELSON MARTINS - HSP - SPC</t>
  </si>
  <si>
    <t>orfao@vago</t>
  </si>
  <si>
    <t>(# ORFÃO)</t>
  </si>
  <si>
    <t>romeu.soares@cslbehring.com</t>
  </si>
  <si>
    <t>ROMEU SOARES - HSP - RJ</t>
  </si>
  <si>
    <t>tathiana.ponce@cslbehring.com</t>
  </si>
  <si>
    <t>TATHIANA PONCE - HSP - SPC</t>
  </si>
  <si>
    <t>vago.ESP.MG-ES@vago.com</t>
  </si>
  <si>
    <t>XXX-ESP-VAGO (MG-ES)</t>
  </si>
  <si>
    <t>vago.ESP.NO@vago.com</t>
  </si>
  <si>
    <t>XXX-ESP-VAGO NO (DF/GO/MS/MT/TO)</t>
  </si>
  <si>
    <t>vago.ESP.RJ@vago.com</t>
  </si>
  <si>
    <t>XXX-ESP-VAGO RJ</t>
  </si>
  <si>
    <t>vago.ESP.SPC@vago.com</t>
  </si>
  <si>
    <t>XXX-ESP-VAGO SPC</t>
  </si>
  <si>
    <t>vago.HSP.NO@vago.com</t>
  </si>
  <si>
    <t>XXX-HSP-VAGO NO (DF/GO/MS/MT/TO)</t>
  </si>
  <si>
    <t>vago.HSP.RJ@vago.com</t>
  </si>
  <si>
    <t>XXX-HSP-VAGO RJ</t>
  </si>
  <si>
    <t>vago.HSP.SPC@vago.com</t>
  </si>
  <si>
    <t>XXX-HSP-VAGO SPC</t>
  </si>
  <si>
    <t>valeria.braga@cslbehring.com</t>
  </si>
  <si>
    <t>VALERIA BRAGA - ESP - (CE/MA/PI/BA/AL/SE/PB/PE/RN)</t>
  </si>
  <si>
    <t>wladimir.campelo@cslbehring.com</t>
  </si>
  <si>
    <t>WLADIMIR CAMPELO - ESP/HSP - AC/AM/AP/PA/RO/RR/DF</t>
  </si>
  <si>
    <t>#FK-Email-Gerente</t>
  </si>
  <si>
    <t>Gerente</t>
  </si>
  <si>
    <t>rafael.esteves@cslbehring.com</t>
  </si>
  <si>
    <t>RAFAEL ESTEVES (RJ/SPI/SUL)</t>
  </si>
  <si>
    <t>claudia.bueno@cslbehring.com</t>
  </si>
  <si>
    <t>CLAUDIA BUENO (SPC/SPI)</t>
  </si>
  <si>
    <t>gerente.orfao@vago.com</t>
  </si>
  <si>
    <t>XXX - GERENTE ORFAO</t>
  </si>
  <si>
    <t>fernando.leony@cslbehring.com</t>
  </si>
  <si>
    <t>FERNANDO LEONY (CO/NO/NE)</t>
  </si>
  <si>
    <t>Status</t>
  </si>
  <si>
    <t>Qtd_REPS</t>
  </si>
  <si>
    <t>1-Setorizado</t>
  </si>
  <si>
    <t>#FK-CNPJ</t>
  </si>
  <si>
    <t>Email-Representante</t>
  </si>
  <si>
    <t>@-BERINERT</t>
  </si>
  <si>
    <t>@-BERIPLEX</t>
  </si>
  <si>
    <t>@-HAEMO</t>
  </si>
  <si>
    <t>@-HIZENTRA</t>
  </si>
  <si>
    <t>@-PRIVIGEN</t>
  </si>
  <si>
    <t>Calculo-2019</t>
  </si>
  <si>
    <t>Garantido-BERINERT</t>
  </si>
  <si>
    <t>Garantido-BERIPLEX</t>
  </si>
  <si>
    <t>Garantido-HAEMO</t>
  </si>
  <si>
    <t>Garantido-HIZENTRA</t>
  </si>
  <si>
    <t>Garantido-PRIVIGEN</t>
  </si>
  <si>
    <t>05-Nov</t>
  </si>
  <si>
    <t>06-Dez</t>
  </si>
  <si>
    <t>Cota-BERINERT</t>
  </si>
  <si>
    <t>Demanda-BERINERT</t>
  </si>
  <si>
    <t>Cobertura-BERINERT</t>
  </si>
  <si>
    <t>Cota-BERIPLEX</t>
  </si>
  <si>
    <t>Demanda-BERIPLEX</t>
  </si>
  <si>
    <t>Cobertura-BERIPLEX</t>
  </si>
  <si>
    <t>Cota-HAEMO</t>
  </si>
  <si>
    <t>Demanda-HAEMO</t>
  </si>
  <si>
    <t>Cobertura-HAEMO</t>
  </si>
  <si>
    <t>Cota-HIZENTRA</t>
  </si>
  <si>
    <t>Demanda-HIZENTRA</t>
  </si>
  <si>
    <t>Cobertura-HIZENTRA</t>
  </si>
  <si>
    <t>Cota-PRIVIGEN</t>
  </si>
  <si>
    <t>Demanda-PRIVIGEN</t>
  </si>
  <si>
    <t>Cobertura-PRIVIGEN</t>
  </si>
  <si>
    <t>% Cobertura</t>
  </si>
  <si>
    <t>Valor Base (Cálculo Balance)</t>
  </si>
  <si>
    <t>Aumento%</t>
  </si>
  <si>
    <t>Representantes</t>
  </si>
  <si>
    <t>Gerentes</t>
  </si>
  <si>
    <t>Minimo</t>
  </si>
  <si>
    <t>Máximo</t>
  </si>
  <si>
    <t>Cota-ALBUREX</t>
  </si>
  <si>
    <t>Venda-ALBUREX</t>
  </si>
  <si>
    <t>Cobertura-ALBUREX</t>
  </si>
  <si>
    <t>Cota-RHOPHYLAC</t>
  </si>
  <si>
    <t>Venda-RHOPHYLAC</t>
  </si>
  <si>
    <t>Cobertura-RHOPYLAC</t>
  </si>
  <si>
    <t>Cota-OUTROS PRODUTOS</t>
  </si>
  <si>
    <t>Cobertura-OUTROS PRODUTOS</t>
  </si>
  <si>
    <t>Cota-TOTAL</t>
  </si>
  <si>
    <t>Venda-TOTAL</t>
  </si>
  <si>
    <t>Cobertura-TOTAL</t>
  </si>
  <si>
    <r>
      <rPr>
        <b/>
        <sz val="10"/>
        <color rgb="FFFF0000"/>
        <rFont val="Calibri"/>
        <family val="2"/>
        <scheme val="minor"/>
      </rPr>
      <t>Excluidas</t>
    </r>
    <r>
      <rPr>
        <sz val="10"/>
        <color theme="1"/>
        <rFont val="Calibri"/>
        <family val="2"/>
        <scheme val="minor"/>
      </rPr>
      <t xml:space="preserve"> as cotas da equipe </t>
    </r>
    <r>
      <rPr>
        <b/>
        <sz val="10"/>
        <color rgb="FFFF0000"/>
        <rFont val="Calibri"/>
        <family val="2"/>
        <scheme val="minor"/>
      </rPr>
      <t xml:space="preserve">ESPECIALIDADES </t>
    </r>
    <r>
      <rPr>
        <sz val="10"/>
        <color theme="1"/>
        <rFont val="Calibri"/>
        <family val="2"/>
        <scheme val="minor"/>
      </rPr>
      <t>(DUPLICIDADES)</t>
    </r>
  </si>
  <si>
    <t>Tipo</t>
  </si>
  <si>
    <t>Total</t>
  </si>
  <si>
    <t>Sub-total (filtro)</t>
  </si>
  <si>
    <t>Demanda.BERINERT</t>
  </si>
  <si>
    <t>Demanda.BERIPLEX</t>
  </si>
  <si>
    <t>Demanda.HAEMO</t>
  </si>
  <si>
    <t>Demanda.HIZENTRA</t>
  </si>
  <si>
    <t>Demanda.PRIVIGEN</t>
  </si>
  <si>
    <t>Cota.BERINERT</t>
  </si>
  <si>
    <t>Cota.BERIPLEX</t>
  </si>
  <si>
    <t>Cota.HAEMO</t>
  </si>
  <si>
    <t>Cota.HIZENTRA</t>
  </si>
  <si>
    <t>Cota.PRIVIGEN</t>
  </si>
  <si>
    <r>
      <rPr>
        <b/>
        <sz val="10"/>
        <color rgb="FFFF0000"/>
        <rFont val="Calibri"/>
        <family val="2"/>
        <scheme val="minor"/>
      </rPr>
      <t>Excluidas</t>
    </r>
    <r>
      <rPr>
        <sz val="10"/>
        <color theme="1"/>
        <rFont val="Calibri"/>
        <family val="2"/>
        <scheme val="minor"/>
      </rPr>
      <t xml:space="preserve"> as </t>
    </r>
    <r>
      <rPr>
        <b/>
        <sz val="10"/>
        <color rgb="FFFF0000"/>
        <rFont val="Calibri"/>
        <family val="2"/>
        <scheme val="minor"/>
      </rPr>
      <t>DUPLICIDADES</t>
    </r>
    <r>
      <rPr>
        <sz val="10"/>
        <color theme="1"/>
        <rFont val="Calibri"/>
        <family val="2"/>
        <scheme val="minor"/>
      </rPr>
      <t xml:space="preserve"> de demanda por equipes</t>
    </r>
  </si>
  <si>
    <t>Cobertura.BERINERT</t>
  </si>
  <si>
    <t>Cobertura.BERIPLEX</t>
  </si>
  <si>
    <t>Cobertura.HAEMO</t>
  </si>
  <si>
    <t>Cobertura.HIZENTRA</t>
  </si>
  <si>
    <t>Cobertura.PRIVIGEN</t>
  </si>
  <si>
    <t>Premio.BERINERT</t>
  </si>
  <si>
    <t>Premio.BERIPLEX</t>
  </si>
  <si>
    <t>Premio.HAEMO</t>
  </si>
  <si>
    <t>Premio.HIZENTRA</t>
  </si>
  <si>
    <t>Premio.PRIVIGEN</t>
  </si>
  <si>
    <t>Calculo Premio Demanda</t>
  </si>
  <si>
    <t>Recebido.BERINERT</t>
  </si>
  <si>
    <t>Recebido.BERIPLEX</t>
  </si>
  <si>
    <t>Recebido.HAEMO</t>
  </si>
  <si>
    <t>Recebido.HIZENTRA</t>
  </si>
  <si>
    <t>Recebido.PRIVIGEN</t>
  </si>
  <si>
    <t>Recuperavel.BERINERT</t>
  </si>
  <si>
    <t>Recuperavel.BERIPLEX</t>
  </si>
  <si>
    <t>Recuperavel.HAEMO</t>
  </si>
  <si>
    <t>Recuperavel.HIZENTRA</t>
  </si>
  <si>
    <t>Recuperavel.PRIVIGEN</t>
  </si>
  <si>
    <t>Recuperavel Tri Demanda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</si>
  <si>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Setorização Representantes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</si>
  <si>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Setorização Gerentes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</si>
  <si>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Recuperável Trimestral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</si>
  <si>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Mensal</t>
    </r>
  </si>
  <si>
    <t>Somente estabelecimentos com demanda em 2019/2020 (fiscal)</t>
  </si>
  <si>
    <t>Excluidas as duplicidades referentes a equipes</t>
  </si>
  <si>
    <t>Os percentuias de cobertura são arrendodas para cima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</si>
  <si>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Incentivo 2019 - Tabela de valores base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</si>
  <si>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Demanda por Estabelecimentos x Gerentes Cálculo Incentivo 2019</t>
    </r>
  </si>
  <si>
    <t>Duplicados em razão de alocação do estabelecimento para mais de uma equipe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</si>
  <si>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Demanda por Estabelecimentos x Equipes s Representantes -  Cálculo Incentivo 2019</t>
    </r>
  </si>
  <si>
    <t>Peso-BERINERT</t>
  </si>
  <si>
    <t>Peso-BERIPLEX</t>
  </si>
  <si>
    <t>Peso-HAEMO</t>
  </si>
  <si>
    <t>Peso-HIZENTRA</t>
  </si>
  <si>
    <t>Peso-PRIVIGEN</t>
  </si>
  <si>
    <t>Os percentuais de cobertura são arrendodas para cima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</si>
  <si>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Mensal</t>
    </r>
  </si>
  <si>
    <t>Premio-ALBUREX</t>
  </si>
  <si>
    <t>Premio-RHOPYLAC</t>
  </si>
  <si>
    <t>Premio-OUTROS</t>
  </si>
  <si>
    <t>Premio-TOTAL-GR</t>
  </si>
  <si>
    <t>Peso-TOTAL</t>
  </si>
  <si>
    <t>Peso-OUTROS PRODUTOS</t>
  </si>
  <si>
    <t>Venda-OUTROS PRODUTOS</t>
  </si>
  <si>
    <t>Peso-RHOPHYLAC</t>
  </si>
  <si>
    <t>Peso-ALBUREX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</si>
  <si>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Venda Mensal</t>
    </r>
  </si>
  <si>
    <t>Cota-RHOPYLAC</t>
  </si>
  <si>
    <t>Venda-RHOPYLAC</t>
  </si>
  <si>
    <t>Cota-OUTRO PRODUTOS</t>
  </si>
  <si>
    <t>Venda-OUTRO PRODUTOS</t>
  </si>
  <si>
    <t>Recebido-ALBUREX</t>
  </si>
  <si>
    <t>Recebido-RHOPYLAC</t>
  </si>
  <si>
    <t>Recebido-OUTROS</t>
  </si>
  <si>
    <t>Recebido-TOTAL-GR</t>
  </si>
  <si>
    <t>Recuperavel-ALBUREX</t>
  </si>
  <si>
    <t>Recuperavel-RHOPYLAC</t>
  </si>
  <si>
    <t>Recuperavel-OUTROS</t>
  </si>
  <si>
    <t>Recuperavel-TOTAL-GR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</si>
  <si>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Recuperavel Trimestral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</si>
  <si>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Trimestral</t>
    </r>
  </si>
  <si>
    <t>Premio-BERINERT</t>
  </si>
  <si>
    <t>Premio-BERIPLEX</t>
  </si>
  <si>
    <t>Premio-HAEMO</t>
  </si>
  <si>
    <t>Premio-HIZENTRA</t>
  </si>
  <si>
    <t>Premio-PRIVIGEN</t>
  </si>
  <si>
    <t>Recebido-BERINERT</t>
  </si>
  <si>
    <t>Recebido-BERIPLEX</t>
  </si>
  <si>
    <t>Recebido-HAEMO</t>
  </si>
  <si>
    <t>Recebido-HIZENTRA</t>
  </si>
  <si>
    <t>Recebido-PRIVIGEN</t>
  </si>
  <si>
    <t>Recuperavel-BERIPLEX</t>
  </si>
  <si>
    <t>Recuperavel-BERINERT</t>
  </si>
  <si>
    <t>Recuperavel-HAEMO</t>
  </si>
  <si>
    <t>Recuperavel-HIZENTRA</t>
  </si>
  <si>
    <t>Recuperavel-PRIVIGEN</t>
  </si>
  <si>
    <t>Visitas-Realizar</t>
  </si>
  <si>
    <t>Visitas-Realizadas</t>
  </si>
  <si>
    <t>Dias-Uteis</t>
  </si>
  <si>
    <t>Dias-Eventos</t>
  </si>
  <si>
    <t>Dias-Visita</t>
  </si>
  <si>
    <t>Visitas-Dia</t>
  </si>
  <si>
    <t>Visitas-Cobertura</t>
  </si>
  <si>
    <t>Garantido</t>
  </si>
  <si>
    <t>Visitas-Premio</t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</si>
  <si>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Incentivo 2019 - Representantes - Visitas</t>
    </r>
  </si>
  <si>
    <t>Data-Mapas</t>
  </si>
  <si>
    <t>Data-Conferencia</t>
  </si>
  <si>
    <t>Data-Fechamento</t>
  </si>
  <si>
    <t>Data-Pagamento</t>
  </si>
  <si>
    <t>07-Jan</t>
  </si>
  <si>
    <t>03-Tri</t>
  </si>
  <si>
    <t>08-Fev</t>
  </si>
  <si>
    <t>09-Mar</t>
  </si>
  <si>
    <t>10-Abr</t>
  </si>
  <si>
    <t>04-Tri</t>
  </si>
  <si>
    <t>11-Mai</t>
  </si>
  <si>
    <t>12-Jun</t>
  </si>
  <si>
    <t>Ano</t>
  </si>
  <si>
    <t>Mês</t>
  </si>
  <si>
    <t>Tri</t>
  </si>
  <si>
    <t>HAEMO</t>
  </si>
  <si>
    <t>Sub-Total (filtro)</t>
  </si>
  <si>
    <t>Demonstrativo REP</t>
  </si>
  <si>
    <r>
      <rPr>
        <b/>
        <sz val="16"/>
        <color rgb="FFFF0000"/>
        <rFont val="Calibri"/>
        <family val="2"/>
        <scheme val="minor"/>
      </rPr>
      <t>CSL Behring</t>
    </r>
    <r>
      <rPr>
        <b/>
        <sz val="16"/>
        <color rgb="FF0070C0"/>
        <rFont val="Calibri"/>
        <family val="2"/>
        <scheme val="minor"/>
      </rPr>
      <t xml:space="preserve"> - Cálculo Incentivo 2019 </t>
    </r>
  </si>
  <si>
    <r>
      <rPr>
        <b/>
        <sz val="12"/>
        <color rgb="FFFF0000"/>
        <rFont val="Calibri"/>
        <family val="2"/>
        <scheme val="minor"/>
      </rPr>
      <t>CSL Behring</t>
    </r>
    <r>
      <rPr>
        <b/>
        <sz val="12"/>
        <color rgb="FF0070C0"/>
        <rFont val="Calibri"/>
        <family val="2"/>
        <scheme val="minor"/>
      </rPr>
      <t xml:space="preserve"> - Cálculo IV 2019 - Configuração de IV Representantes</t>
    </r>
  </si>
  <si>
    <t>E-mail</t>
  </si>
  <si>
    <t>Premio-Total</t>
  </si>
  <si>
    <t>Recuperavel-Total</t>
  </si>
  <si>
    <t>Premio-Total-REP</t>
  </si>
  <si>
    <t>Recuperavel-Total-REP</t>
  </si>
  <si>
    <t>Premio.Total</t>
  </si>
  <si>
    <t>IV Demanda Mês (70%)</t>
  </si>
  <si>
    <t>IV Visitas (5%)</t>
  </si>
  <si>
    <t>IV Conhecimento (5%)</t>
  </si>
  <si>
    <t>IV Venda Mês (20%)</t>
  </si>
  <si>
    <t>Calcular Recuperavel Tri</t>
  </si>
  <si>
    <t>Recuperavel Demanda Tri</t>
  </si>
  <si>
    <t>Recuperavel Venda Tri</t>
  </si>
  <si>
    <t>Observações</t>
  </si>
  <si>
    <t>Total Premiação</t>
  </si>
  <si>
    <t>Acréscimos (+)</t>
  </si>
  <si>
    <t>Descontos (-)</t>
  </si>
  <si>
    <t>Email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</si>
  <si>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Incentivo 2019 - Resumo para pagamento </t>
    </r>
  </si>
  <si>
    <t>Gerentes Regionais</t>
  </si>
  <si>
    <t>Demanda Total</t>
  </si>
  <si>
    <t>Cota</t>
  </si>
  <si>
    <t>Demanda</t>
  </si>
  <si>
    <t>Cobertura</t>
  </si>
  <si>
    <t>Peso</t>
  </si>
  <si>
    <t>Prêmio</t>
  </si>
  <si>
    <t>Recuperavel</t>
  </si>
  <si>
    <t>Demanda Mensal</t>
  </si>
  <si>
    <t>Demanda Recuperavel</t>
  </si>
  <si>
    <t>ALBUREX</t>
  </si>
  <si>
    <t>RHOPHYLAC</t>
  </si>
  <si>
    <t>OUTROS</t>
  </si>
  <si>
    <t>Venda Mensal</t>
  </si>
  <si>
    <t>Venda</t>
  </si>
  <si>
    <t>Venda Recuperavel</t>
  </si>
  <si>
    <t>Visitas</t>
  </si>
  <si>
    <t>Meta</t>
  </si>
  <si>
    <t>Realizado</t>
  </si>
  <si>
    <t>Conehcimento</t>
  </si>
  <si>
    <t>Total a Receber</t>
  </si>
  <si>
    <t>Visitas/Conhecimento</t>
  </si>
  <si>
    <t>Recebido</t>
  </si>
  <si>
    <t>Detalhamento da Demanda</t>
  </si>
  <si>
    <t>Demonstrativo GR</t>
  </si>
  <si>
    <t>Unidades Equivalentes</t>
  </si>
  <si>
    <t>E-Mail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</si>
  <si>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Cálculo IV 2019 - Períodos de Cálculo</t>
    </r>
  </si>
  <si>
    <t>Config CálculoAtual</t>
  </si>
  <si>
    <t>Estabelecimento-Venda</t>
  </si>
  <si>
    <t>Grupo-Linha-IV-REP</t>
  </si>
  <si>
    <t>BRL</t>
  </si>
  <si>
    <t>VICTORIA</t>
  </si>
  <si>
    <t>OUTROS PRODUTOS</t>
  </si>
  <si>
    <t>HOSPITAL GERAL DO ANDARAI/RJ - RIO DE JANEIRO - RJ</t>
  </si>
  <si>
    <t>HOSPITAL GERAL DE BONSUCESSO/RJ - RIO DE JANEIRO - RJ</t>
  </si>
  <si>
    <t>HOSPITAL FEDERAL CARDOSO FONTES - RIO DE JANEIRO - RJ</t>
  </si>
  <si>
    <t>HOSPITAL DA LAGOA/RJ - RIO DE JANEIRO - RJ</t>
  </si>
  <si>
    <t>HOSPITAL GERAL DE IPANEMA/RJ - RIO DE JANEIRO - RJ</t>
  </si>
  <si>
    <t>HOSPITAL SERVIDORES DO ESTADO/RJ - RIO DE JANEIRO - RJ</t>
  </si>
  <si>
    <t>INSTITUTO NACIONAL DE CARDIOLOGIA - RIO DE JANEIRO - RJ</t>
  </si>
  <si>
    <t xml:space="preserve">RAGI MEDICAL </t>
  </si>
  <si>
    <t>ALMINHANA (PHD)</t>
  </si>
  <si>
    <t>DUPATRI</t>
  </si>
  <si>
    <t>ONCO PROD</t>
  </si>
  <si>
    <t>PROHOSP PR</t>
  </si>
  <si>
    <t>BRASIL PHARMA</t>
  </si>
  <si>
    <t>FES/BA - SALVADOR - BA</t>
  </si>
  <si>
    <t>EXPRESSA</t>
  </si>
  <si>
    <t>NAZARIA (JORGE BATISTA)</t>
  </si>
  <si>
    <t>HOSPITAL UNIVERSITARIO WALTER CANTIDIO - FORTALEZA - CE</t>
  </si>
  <si>
    <t>UNI HOSPITALAR</t>
  </si>
  <si>
    <t>CIONC - CENTRO INTEGRADO DE ONCOLOGIA DE CURITIBA S/S - CURITIBA - PR</t>
  </si>
  <si>
    <t>CDM</t>
  </si>
  <si>
    <t>MAXIMUS</t>
  </si>
  <si>
    <t>FUNDO ESTADUAL DE SAUDE DO PARANA - FUNSAUDE - CURITIBA - PR</t>
  </si>
  <si>
    <t>MEDICAMENTAL</t>
  </si>
  <si>
    <t>ELFA</t>
  </si>
  <si>
    <t>MAJELA</t>
  </si>
  <si>
    <t>S3</t>
  </si>
  <si>
    <t>HOSPITAL DA RESTAURACAO - RECIFE - PE</t>
  </si>
  <si>
    <t>MEDCOMERCE</t>
  </si>
  <si>
    <t>GLOBAL</t>
  </si>
  <si>
    <t>CM HOSPITALAR</t>
  </si>
  <si>
    <t>HCFMB - BOTUCATU - SP</t>
  </si>
  <si>
    <t>MAIS SAUDE</t>
  </si>
  <si>
    <t>EMPRESA BRASILEIRA DE SERVICOS HOSPITALARES - EBSERH - NATAL - RN</t>
  </si>
  <si>
    <t>EBSERH - HOSPITAL UNIVERSITARIO DE SANTA MARIA - SANTA MARIA - RS</t>
  </si>
  <si>
    <t>RIO BAHIA</t>
  </si>
  <si>
    <t>MCO - SALVADOR - BA</t>
  </si>
  <si>
    <t>FUTURA</t>
  </si>
  <si>
    <t>BIOHOSP</t>
  </si>
  <si>
    <t>HOSPITAL DE CLINICAS DA UFTM - UBERABA - MG</t>
  </si>
  <si>
    <t>HOSPITAL DOUTOR DORIO SILVA - SERRA - ES</t>
  </si>
  <si>
    <t>SIGEL</t>
  </si>
  <si>
    <t>INSTITUTO DE PUERICULTURA E PEDIATRIA MARTAGAO GESTEIR - RIO DE JANEIRO - RJ</t>
  </si>
  <si>
    <t>HOSPITAL UNIVERSITARIO - RIO DE JANEIRO - RJ</t>
  </si>
  <si>
    <t>INSTITUTO FERNANDES FIGUEIRA - RIO DE JANEIRO - RJ</t>
  </si>
  <si>
    <t>J NERVAL</t>
  </si>
  <si>
    <t>UNIVERSIDADE ESTADUAL DE CAMPINAS - CAMPINAS - SP</t>
  </si>
  <si>
    <t>HOSPITAL GUILHERME ALVARO - SANTOS - SP</t>
  </si>
  <si>
    <t>HOSPITAL ESTADUAL DE PRESIDENTE PRUDENTE - PRESIDENTE PRUDENTE - SP</t>
  </si>
  <si>
    <t>PREFEITURA MUNICIPAL DE GUARARAPES - GUARARAPES - SP</t>
  </si>
  <si>
    <t>PREFEITURA MUNICIPAL DE CAMPINAS - CAMPINAS - SP</t>
  </si>
  <si>
    <t>PROFARMA</t>
  </si>
  <si>
    <t>GENESIO A MENDES BR</t>
  </si>
  <si>
    <t>HOSPITAL DE CLINICAS - PORTO ALEGRE - RS</t>
  </si>
  <si>
    <t>HOSPITAL CRISTO REDENTOR - PORTO ALEGRE - RS</t>
  </si>
  <si>
    <t>SANTA CRUZ</t>
  </si>
  <si>
    <t>INSTITUTO NACIONAL DE CANCER - RIO DE JANEIRO - RJ</t>
  </si>
  <si>
    <t>MED-SURGERY</t>
  </si>
  <si>
    <t>HOSPITAL GERAL DE CURITIBA - CURITIBA - PR</t>
  </si>
  <si>
    <t>PRONTO S.CARDIOLOGICO DE PE.PROF.LUIZ TAVARES-PROCAPE - RECIFE - PE</t>
  </si>
  <si>
    <t>MACROMED/SUPERMED</t>
  </si>
  <si>
    <t>FUNDO MUNICIPAL DE SAUDE DE TERESINA - TERESINA - PI</t>
  </si>
  <si>
    <t>REPRESENTA</t>
  </si>
  <si>
    <t>EBSERH - COMPLEXO HOSPITALAR DO CEARA (HUWC E MEAC) - FORTALEZA - CE</t>
  </si>
  <si>
    <t>UNIVERSIDADE FEDERAL DO ESTADO DO RIO DE JANEIRO - RIO DE JANEIRO - RJ</t>
  </si>
  <si>
    <t>DEPARTAMENTO REGIONAL DE SAUDE DE PIRACICABA - DRS X - PIRACICABA - SP</t>
  </si>
  <si>
    <t>SANTA RITA</t>
  </si>
  <si>
    <t>FUNDES - FORTALEZA - CE</t>
  </si>
  <si>
    <t>COORDENACAO DE ARMAZENAGEM E DISTRIBUICAO LOGISTICA - GUARULHOS - SP</t>
  </si>
  <si>
    <t>F CARDOSO</t>
  </si>
  <si>
    <t>HOSPITAL UNIVERSITARIO ALCIDES CARNEIRO/UFCG - CAMPINA GRANDE - PB</t>
  </si>
  <si>
    <t>MAUES E LOBATO</t>
  </si>
  <si>
    <t>UNIVERSIDADE FEDERAL DA BAHIA - SALVADOR - BA</t>
  </si>
  <si>
    <t>SECRETARIA DA SAUDE - PALMAS - TO</t>
  </si>
  <si>
    <t>HOSPITAL UNIVERSITARIO ANTONIO PEDRO - NITEROI - RJ</t>
  </si>
  <si>
    <t>RIO DE JANEIRO GABINETE DO PREFEITO - RIO DE JANEIRO - RJ</t>
  </si>
  <si>
    <t>COMPLEXO HOSPITALAR DO JUQUERY - FRANCO DA ROCHA - SP</t>
  </si>
  <si>
    <t>DEPARTAMENTO REGIONAL DE SAUDE DE ARARAQUARA - DRS III - ARARAQUARA - SP</t>
  </si>
  <si>
    <t>HOSPITAL REGIONAL DE ASSIS - ASSIS - SP</t>
  </si>
  <si>
    <t>MEDICAL LIFE</t>
  </si>
  <si>
    <t>FUNDARJ - RIO DE JANEIRO - RJ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</si>
  <si>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 Cálculo Incentivo 2019 - Venda Detalhada por Grupo IV/Distribuidor</t>
    </r>
  </si>
  <si>
    <t>Total Geral</t>
  </si>
  <si>
    <t>Venda BRL</t>
  </si>
  <si>
    <t>Detalhamento da Demanda Mensal</t>
  </si>
  <si>
    <t>Detalhamento da Venda Mensal</t>
  </si>
  <si>
    <t>Detalhamento da Demanda Trimestral</t>
  </si>
  <si>
    <t>Detalhamento da Venda Trimestral</t>
  </si>
  <si>
    <t>Instruções</t>
  </si>
  <si>
    <t>Verificar setorização representantes</t>
  </si>
  <si>
    <t>Semanal</t>
  </si>
  <si>
    <t>Período</t>
  </si>
  <si>
    <t>Tarefa</t>
  </si>
  <si>
    <t>Ordem</t>
  </si>
  <si>
    <r>
      <t xml:space="preserve">planilha Setorizacao REP não deve conter nenhum status </t>
    </r>
    <r>
      <rPr>
        <b/>
        <sz val="10"/>
        <color rgb="FFFF0000"/>
        <rFont val="Calibri"/>
        <family val="2"/>
        <scheme val="minor"/>
      </rPr>
      <t>0-Setorizar</t>
    </r>
  </si>
  <si>
    <t>Atualizar dados</t>
  </si>
  <si>
    <t>Mensal</t>
  </si>
  <si>
    <r>
      <t>Definir período do cálculo (</t>
    </r>
    <r>
      <rPr>
        <b/>
        <sz val="10"/>
        <color rgb="FFFF0000"/>
        <rFont val="Calibri"/>
        <family val="2"/>
        <scheme val="minor"/>
      </rPr>
      <t>início do mês</t>
    </r>
    <r>
      <rPr>
        <sz val="10"/>
        <color theme="1"/>
        <rFont val="Calibri"/>
        <family val="2"/>
        <scheme val="minor"/>
      </rPr>
      <t>)</t>
    </r>
  </si>
  <si>
    <t>(Tudo)</t>
  </si>
  <si>
    <t>BARBACENA</t>
  </si>
  <si>
    <t>MONTES CLAROS</t>
  </si>
  <si>
    <t>ESTRELA</t>
  </si>
  <si>
    <t>FRANCO DA ROCHA</t>
  </si>
  <si>
    <t>LINHARES</t>
  </si>
  <si>
    <t>PRESIDENTE PRUDENTE</t>
  </si>
  <si>
    <t>HOSPITAL UNIVERSITARIO OSWALDO CRUZ - RECIFE - PE</t>
  </si>
  <si>
    <t>HOSPITAL GOVERNADOR ISRAEL PINHEIRO - HGIP - BELO HORIZONTE - MG</t>
  </si>
  <si>
    <t>HOSPITAL JOAO PENIDO - JUIZ DE FORA - MG</t>
  </si>
  <si>
    <t>HOSPITAL INFANTIL JOAO PAULO II - BELO HORIZONTE - MG</t>
  </si>
  <si>
    <t>HOSPITAL GERAL DE BARBACENA DR. JOSE AMERICO - BARBACENA - MG</t>
  </si>
  <si>
    <t>UNIMONTES - MONTES CLAROS - MG</t>
  </si>
  <si>
    <t>QUIRON</t>
  </si>
  <si>
    <t>EXOMED</t>
  </si>
  <si>
    <t>HOSPITAL NAVAL MARCILIO DIAS - RIO DE JANEIRO - RJ</t>
  </si>
  <si>
    <t>PIAUI SECRETARIA DE SAUDE - TERESINA - PI</t>
  </si>
  <si>
    <t>JEAN STANISLAS MARIE BRUNET-LECOMTE - SÃO PAULO - SP - 239.415.938-38</t>
  </si>
  <si>
    <t>Especialidade (ESP)</t>
  </si>
  <si>
    <t>Hospitalar (HSP)</t>
  </si>
  <si>
    <t>HOSPITAL SANCTA MAGGIORE PARAISO - SÃO PAULO - SP - 00.461.479/0010-54</t>
  </si>
  <si>
    <t>HOSPITAL SANCTA MAGGIORE ITAIM - SÃO PAULO - SP - 00.461.479/0019-92</t>
  </si>
  <si>
    <t>INSTITUTO DE ONCOLOGIA PREVENT SENIOR - SÃO PAULO - SP - 00.461.479/0045-84</t>
  </si>
  <si>
    <t>HOME HEALTH CARE DOCTOR SERVICOS MEDICOS DOMICILIARES S/S LTDA - SÃO PAULO - SP - 00.603.226/0001-87</t>
  </si>
  <si>
    <t>CENTRAL CLINIC - SÃO PAULO - SP - 02.383.508/0004-94</t>
  </si>
  <si>
    <t>PRONEP SAO PAULO - SÃO PAULO - SP - 02.837.922/0001-83</t>
  </si>
  <si>
    <t>GLOBAL CARE ASSISTENCIA DOMICILIAR LTDA - SÃO PAULO - SP - 03.872.790/0001-93</t>
  </si>
  <si>
    <t>ONCOCENTER SERVICOS MEDICOS LTDA. - SÃO PAULO - SP - 04.036.348/0001-90</t>
  </si>
  <si>
    <t>AUTARQUIA HOSPITALAR MUNICIPAL - SÃO PAULO - SP - 04.995.603/0001-21</t>
  </si>
  <si>
    <t>INSTITUTO DE IMUNOLOGIA E ONCOLOGIA S/S LTDA - SÃO PAULO - SP - 05.831.510/0001-24</t>
  </si>
  <si>
    <t>HOSP SAO LUIZ ANALIA FRANCO (REDE DOR) - SÃO PAULO - SP - 06.047.087/0001-39</t>
  </si>
  <si>
    <t>SAO LUIZ UNIDADE ITAIM (REDE DOR) - SÃO PAULO - SP - 06.047.087/0002-10</t>
  </si>
  <si>
    <t>HOSPITAL SAO LUIZ JABAQUARA (REDE DOR) - SÃO PAULO - SP - 06.047.087/0038-20</t>
  </si>
  <si>
    <t>SAHA SERVICOS MEDICOS E HOSPITALARES LTDA. - SÃO PAULO - SP - 07.045.325/0001-30</t>
  </si>
  <si>
    <t>HOSPITAL ALVORADA MOEMA - SÃO PAULO - SP - 08.100.676/0005-92</t>
  </si>
  <si>
    <t>H. METROPOLITANO - UNIDADE BUTANTA - SÃO PAULO - SP - 08.100.676/0008-35</t>
  </si>
  <si>
    <t>HOSPITAL ALVORADA TAGUATINGA LTDA - SÃO PAULO - SP - 08.100.676/0024-55</t>
  </si>
  <si>
    <t>HOME LIFE ASSISTENCIA DOMICILIAR EM SAUDE - SÃO PAULO - SP - 08.438.844/0003-92</t>
  </si>
  <si>
    <t>SARE DROGARIAS - SÃO PAULO - SP - 08.677.327/0001-04</t>
  </si>
  <si>
    <t>CIP - CENTRO DE INFUSOES PACAEMBU LTDA - SÃO PAULO - SP - 08.871.521/0001-26</t>
  </si>
  <si>
    <t>VIP HOME CARE ATENDIMENTO DOMICILIAR LTDA - SÃO PAULO - SP - 09.087.150/0001-59</t>
  </si>
  <si>
    <t>PEDIATRICS HOME CARE - INTERNACAO MEDICA DOMICILIAR LTDA - SÃO PAULO - SP - 10.211.939/0002-30</t>
  </si>
  <si>
    <t>EV CITI - SÃO PAULO - SP - 10.323.381/0001-01</t>
  </si>
  <si>
    <t>CRETA - CENTRO REUMATOLOGICO DE TERAPIA AVANCADA LTDA. - ME - SÃO PAULO - SP - 10.468.341/0001-40</t>
  </si>
  <si>
    <t>CRETA - CENTRO REUMATOLOGICO DE TERAPIA AVANCADA LTDA - SÃO PAULO - SP - 10.468.341/0002-20</t>
  </si>
  <si>
    <t>HEMOMED - SÃO PAULO - SP - 10.475.230/0001-60</t>
  </si>
  <si>
    <t>NOVO SANTO EXPEDITO - SÃO PAULO - SP - 13.718.999/0001-50</t>
  </si>
  <si>
    <t>ASSOCIACAO HOSPITALAR FILHAS DE NOSSA SENHORA DO MONTE CALVARIO - SÃO PAULO - SP - 18.180.008/0001-42</t>
  </si>
  <si>
    <t>HOSPITAL MORIAH - SÃO PAULO - SP - 19.056.055/0001-41</t>
  </si>
  <si>
    <t>SOCIEDADE BENEFICENTE DE PRESIDENTE BERNARDES - SÃO PAULO - SP - 19.803.199/0001-14</t>
  </si>
  <si>
    <t>SR CARE ASSISTENCIA DOMICILIAR LTDA - SÃO PAULO - SP - 20.812.223/0002-41</t>
  </si>
  <si>
    <t>HOSPITAL BANDEIRANTES LTDA  - SÃO PAULO - SP - 21.371.777/0001-32</t>
  </si>
  <si>
    <t>ONCOEXPRESS - SÃO PAULO - SP - 22.227.973/0001-09</t>
  </si>
  <si>
    <t>HOSPITAL VILA NOVA STAR - SÃO PAULO - SP - 28.290.788/0001-37</t>
  </si>
  <si>
    <t>FARMACIA ONCO STAR - SÃO PAULO - SP - 28.290.788/0003-07</t>
  </si>
  <si>
    <t>HOSPITAL PAULISTANO - SÃO PAULO - SP - 29.435.005/0026-87</t>
  </si>
  <si>
    <t>HOSPITAL E MATERNIDADE VITORIA - SÃO PAULO - SP - 29.435.005/0045-40</t>
  </si>
  <si>
    <t>ESHO EMPRESA DE SERVICOS HOSPITALARES S.A - SÃO PAULO - SP - 29.435.005/0099-32</t>
  </si>
  <si>
    <t>CENTRO INFUSIONAL E REFERENCIA MEDICA - FESP - SÃO PAULO - SP - 43.643.139/0004-09</t>
  </si>
  <si>
    <t>CLINICA MEDICA CROCE LTDA - SÃO PAULO - SP - 43.775.956/0001-78</t>
  </si>
  <si>
    <t>INTERMEDICA SISTEMA DE SAUDE - SÃO PAULO - SP - 44.649.812/0055-20</t>
  </si>
  <si>
    <t>CONJUNTO HOSPITALAR DO MANDAQUI - SÃO PAULO - SP - 46.374.500/0088-45</t>
  </si>
  <si>
    <t>HOSPITAL GERAL DE VILA NOVA CACHOEIRINHA - SÃO PAULO - SP - 46.374.500/0108-23</t>
  </si>
  <si>
    <t>COORDENADORIA DE ASSISTENCIA FARMACEUTICA - SÃO PAULO - SP - 46.374.500/0262-31</t>
  </si>
  <si>
    <t>AMICO SAUDE LTDA - SÃO PAULO - SP - 51.722.957/0005-06</t>
  </si>
  <si>
    <t>AMICO SAUDE LTDA - SÃO PAULO - SP - 51.722.957/0102-26</t>
  </si>
  <si>
    <t>HOSPITAL E MATERNIDADE METROPOLITANO - SÃO PAULO - SP - 51.722.957/0125-12</t>
  </si>
  <si>
    <t>FUNDACAO FACULDADE DE MEDICINA - SÃO PAULO - SP - 56.577.059/0001-00</t>
  </si>
  <si>
    <t>INSTITUTO DO CANCER DO ESTADO DE SAO PAULO - SÃO PAULO - SP - 56.577.059/0006-06</t>
  </si>
  <si>
    <t>UNIDADE DE ONCOLOGIA CLINICA E PEDIATRICA LTDA. - EPP - SÃO PAULO - SP - 57.394.710/0001-60</t>
  </si>
  <si>
    <t>CLINICA DE ONCOLOGIA MEDICA SOCIEDADE SIMPLES LTDA - SÃO PAULO - SP - 59.481.028/0001-30</t>
  </si>
  <si>
    <t>HOSPITAL DAS CLINICAS DA FACULDADE DE MEDICINA DA U S P - SÃO PAULO - SP - 60.448.040/0001-22</t>
  </si>
  <si>
    <t>HOSPITAL DO CORACAO - SÃO PAULO - SP - 60.453.024/0003-90</t>
  </si>
  <si>
    <t>HOSPITAL SANTA CRUZ - SÃO PAULO - SP - 60.552.098/0001-11</t>
  </si>
  <si>
    <t>HOSPITAL E MATERNIDADE SANTA JOANA S/A - SÃO PAULO - SP - 60.678.604/0001-13</t>
  </si>
  <si>
    <t>HOSPITAL ALEMAO OSWALDO CRUZ - SÃO PAULO - SP - 60.726.502/0001-26</t>
  </si>
  <si>
    <t>HOSPITAL ALEMAO OSWALDO CRUZ - SÃO PAULO - SP - 60.726.502/0007-11</t>
  </si>
  <si>
    <t>HOSPITAL ISRAELITA ALBERTEINSTEIN - SÃO PAULO - SP - 60.765.823/0001-30</t>
  </si>
  <si>
    <t>HOSPITAL SANTA PAULA LTDA - SÃO PAULO - SP - 60.777.901/0001-16</t>
  </si>
  <si>
    <t>HOSPITAL 9 DE JULHO - SÃO PAULO - SP - 60.884.855/0003-16</t>
  </si>
  <si>
    <t>HOSPITAL SANTA CATARINA - SÃO PAULO - SP - 60.922.168/0007-71</t>
  </si>
  <si>
    <t>HOSPITAL AMPARO MATERNAL - SÃO PAULO - SP - 60.922.168/0043-35</t>
  </si>
  <si>
    <t>SEPACO - SÃO PAULO - SP - 60.961.422/0001-55</t>
  </si>
  <si>
    <t>A.C.CAMARGO CANCER CENTER - SÃO PAULO - SP - 60.961.968/0001-06</t>
  </si>
  <si>
    <t>HOSPITAL A.C.CAMARGO - TAMANDARE - SÃO PAULO - SP - 60.961.968/0004-59</t>
  </si>
  <si>
    <t>HOSPITAL E MATERNIDADE SAO CRISTOVAO - SÃO PAULO - SP - 60.975.174/0003-63</t>
  </si>
  <si>
    <t>HOSPITAL SAO CAMILO - POMPEIA - SÃO PAULO - SP - 60.975.737/0002-32</t>
  </si>
  <si>
    <t>HOSPITAL SAO CAMILO - SANTANA - SÃO PAULO - SP - 60.975.737/0012-04</t>
  </si>
  <si>
    <t>HOSPITAL SAO CAMILO - IPIRANGA - SÃO PAULO - SP - 60.975.737/0051-10</t>
  </si>
  <si>
    <t>BENEFICENCIA NIPO BRASILEIRA DE SAO PAULO - SÃO PAULO - SP - 60.992.427/0006-50</t>
  </si>
  <si>
    <t>HOSPITAL PROFESSOR EDMUNDO VASCONCELOS - SÃO PAULO - SP - 61.062.212/0001-98</t>
  </si>
  <si>
    <t>HOSPITAL INFANTIL SABARA - SÃO PAULO - SP - 61.213.674/0002-40</t>
  </si>
  <si>
    <t>SOC BENEFICIENTE DE SENHORAS HOSPITAL SIRIO LIBANES - SÃO PAULO - SP - 61.590.410/0001-24</t>
  </si>
  <si>
    <t>REAL E BENEMERITA ASSOCIACAO PORTUGUESA DE BENEFICENCIA - SÃO PAULO - SP - 61.599.908/0001-58</t>
  </si>
  <si>
    <t>GREEN LINE SISTEMA DE SAUDE S/A - SÃO PAULO - SP - 61.849.980/0010-87</t>
  </si>
  <si>
    <t>HOSPITAL E MATERNIDADE SANTA MARIA - SÃO PAULO - SP - 62.106.505/0001-92</t>
  </si>
  <si>
    <t>IRMANDADE DA SANTA CASA DE MISERICORDIA DE SAO PAULO - SÃO PAULO - SP - 62.779.145/0001-90</t>
  </si>
  <si>
    <t>INSTITUTO DE ONCOLOGIA PEDIATRICA - IOP - SÃO PAULO - SP - 67.185.694/0001-50</t>
  </si>
  <si>
    <t>HOSPITAL AVICCENA S/A - SÃO PAULO - SP - 72.775.745/0001-33</t>
  </si>
  <si>
    <t>UNIMED DE PIRASSUNUNGA COOPERATIVA DE TRABALHO MEDICO - PIRASSUNUNGA - SP - 00.840.048/0004-50</t>
  </si>
  <si>
    <t>HOSPITAL SAO FRANCISCO DE RIBEIRAO PRETO SP - RIBEIRÃO PRETO - SP - 01.613.433/0068-92</t>
  </si>
  <si>
    <t>RIBEIRÃO PRETO</t>
  </si>
  <si>
    <t>HOSPITAL NETTO CAMPELLO DE SERTAOZINHO - SP - SERTÃOZINHO - SP - 01.613.433/0080-89</t>
  </si>
  <si>
    <t>SAO FRANCISCO SISTEMAS DE SAUDE SOCIEDADE EMPRESARIA LIMITADA - ARARAQUARA - SP - 01.613.433/0108-14</t>
  </si>
  <si>
    <t>HOME CARE CENE - SÃO JOSÉ DO RIO PRETO - SP - 02.643.405/0001-73</t>
  </si>
  <si>
    <t>SÃO JOSÉ DO RIO PRETO</t>
  </si>
  <si>
    <t>CM MEDICAMENTOS ESPECIAIS LTDA. - RIBEIRÃO PRETO - SP - 04.127.483/0001-40</t>
  </si>
  <si>
    <t>ALBERT SABIN HOSPITAL E MATERNIDADE - ATIBAIA - SP - 04.275.687/0001-29</t>
  </si>
  <si>
    <t>HSH - SANTO ANDRÉ - SP - 06.033.403/0001-13</t>
  </si>
  <si>
    <t>SANTO ANDRÉ</t>
  </si>
  <si>
    <t>HOSPITAL E MATERNIDADE BRASIL (REDE DOR) - SANTO ANDRÉ - SP - 06.047.087/0007-24</t>
  </si>
  <si>
    <t>HOSPITAL VIVALLE (REDE DOR) - SÃO JOSÉ DOS CAMPOS - SP - 06.047.087/0030-73</t>
  </si>
  <si>
    <t>SÃO JOSÉ DOS CAMPOS</t>
  </si>
  <si>
    <t>HOSPITAL SINO BRASILEIRO (REDE DOR) - OSASCO - SP - 06.047.087/0076-56</t>
  </si>
  <si>
    <t>HOSPITAL BARTIRA (REDE DOR) - SANTO ANDRÉ - SP - 06.047.087/0079-07</t>
  </si>
  <si>
    <t>ASSOCIACAO BENEFICENTE SAMARITANO - HORTOLÂNDIA - SP - 06.209.132/0001-04</t>
  </si>
  <si>
    <t>HORTOLÂNDIA</t>
  </si>
  <si>
    <t>KR MEDICINA E DIAGNOSTICOS LTDA - FRANCO DA ROCHA - SP - 08.000.609/0001-72</t>
  </si>
  <si>
    <t>HOSPITAL UNIVERSITARIO DE MARILIA - MARÍLIA - SP - 09.528.436/0001-22</t>
  </si>
  <si>
    <t>MARÍLIA</t>
  </si>
  <si>
    <t>ALERGO LOGICA DIAGNOSTICO EM ALERGIA LTDA ME - CAMPINAS - SP - 10.447.300/0001-77</t>
  </si>
  <si>
    <t>CORP - SÃO JOSÉ DO RIO PRETO - SP - 10.576.443/0001-89</t>
  </si>
  <si>
    <t>BIO IMUNE - CENTRO DE APLICACOES E VACINAS  CONSULTORIA E PROCEDIMENTOS MEDICOS LTDA - ME - SANTOS - SP - 10.868.295/0001-76</t>
  </si>
  <si>
    <t>HCFMB - BOTUCATU - SP - 12.474.705/0001-20</t>
  </si>
  <si>
    <t>HOSPITAL ACACIAS - SANTO ANDRÉ - SP - 13.718.999/0010-41</t>
  </si>
  <si>
    <t>ASSOCIACAO HOSPITALAR CASA DE SAUDE DE SANTOS - SANTOS - SP - 18.290.268/0001-70</t>
  </si>
  <si>
    <t>SANTA CASA SAUDE - SÃO JOSÉ DOS CAMPOS - SP - 18.321.477/0001-34</t>
  </si>
  <si>
    <t>HCFAMEMA - MARÍLIA - SP - 24.082.016/0001-59</t>
  </si>
  <si>
    <t>INSTITUTO DO CANCER DE ANDRADINA - ANDRADINA - SP - 25.026.561/0001-90</t>
  </si>
  <si>
    <t>HCS - SOROCABA - SP - 26.048.123/0001-96</t>
  </si>
  <si>
    <t>(UNIDADE HOSPITAL VITORIA SANTOS) - SANTOS - SP - 29.435.005/0080-22</t>
  </si>
  <si>
    <t>ESHO EMPRESA DE SERVICOS HOSPITALARES S.A. - ARUJÁ - SP - 29.435.005/0081-03</t>
  </si>
  <si>
    <t>ARUJÁ</t>
  </si>
  <si>
    <t>ESHO EMPRESA DE SERVICOS HOSPITALARES S.A. - GUARULHOS - SP - 29.435.005/0082-94</t>
  </si>
  <si>
    <t>UNIDADE HOSP GERAL E MATERNIDADE MADRE MARIA THEODORA - CAMPINAS - SP - 29.435.005/0084-56</t>
  </si>
  <si>
    <t>SANTA HELENA ASSISTENCIA MEDICA S/A - SÃO BERNARDO DO CAMPO - SP - 43.293.604/0021-20</t>
  </si>
  <si>
    <t>SÃO BERNARDO DO CAMPO</t>
  </si>
  <si>
    <t>HOSPITAL UNIMED - BAURU - SP - 44.456.036/0003-11</t>
  </si>
  <si>
    <t>PREFEITURA DE LINS - LINS - SP - 44.531.788/0001-38</t>
  </si>
  <si>
    <t>HOSPITAL PAULO SACRAMENTO - JUNDIAÍ - SP - 44.649.812/0016-14</t>
  </si>
  <si>
    <t>JUNDIAÍ</t>
  </si>
  <si>
    <t>INTERMEDICA SISTEMA DE SAUDE S A - CAMPINAS - SP - 44.649.812/0192-38</t>
  </si>
  <si>
    <t>HOSPITAL E MATERNIDADE UNIMED - RIO CLARO - SP - 44.663.631/0005-90</t>
  </si>
  <si>
    <t>UNIMED DE PIRACICABA SOC COOP DE SERVICOS MEDICOS - PIRACICABA - SP - 44.803.922/0002-93</t>
  </si>
  <si>
    <t>UNIMED DE PRES PRUDENTE COOPERATIVA DE TRABALHO MEDICO - PRESIDENTE PRUDENTE - SP - 44.863.959/0001-26</t>
  </si>
  <si>
    <t>UNIMED HOSPITAL SAO DOMINGOS - CATANDUVA - SP - 45.118.429/0012-79</t>
  </si>
  <si>
    <t>HOSPITAL POLICLIN - SÃO JOSÉ DOS CAMPOS - SP - 45.184.066/0001-17</t>
  </si>
  <si>
    <t>UNIMED DE RIBEIRAO PRETO COOPERATIVA DE TRABALHO MEDICO - RIBEIRÃO PRETO - SP - 45.232.246/0005-50</t>
  </si>
  <si>
    <t>HOSPITAL UNIMED SAO CARLOS - SÃO CARLOS - SP - 45.359.213/0005-76</t>
  </si>
  <si>
    <t>SÃO CARLOS</t>
  </si>
  <si>
    <t>UNIMED - SOROCABA - SP - 45.399.961/0002-30</t>
  </si>
  <si>
    <t>JUNDIAI GABINETE PREFEITO - JUNDIAÍ - SP - 45.780.103/0001-50</t>
  </si>
  <si>
    <t>HOSPITAL VERA CRUZ S A - CAMPINAS - SP - 46.009.718/0001-40</t>
  </si>
  <si>
    <t>HOSPITAL E MATERNIDADE CELSO PIERRO - CAMPINAS - SP - 46.020.301/0002-69</t>
  </si>
  <si>
    <t>UNIVERSIDADE ESTADUAL DE CAMPINAS - CAMPINAS - SP - 46.068.425/0001-33</t>
  </si>
  <si>
    <t>UNIMED CAMPINAS COOPERATIVA DE TRABALHO MEDICO - CAMPINAS - SP - 46.124.624/0001-11</t>
  </si>
  <si>
    <t>UNIMED CAMPINAS COOPERATIVA DE TRABALHO MEDICO - SUMARÉ - SP - 46.124.624/0025-99</t>
  </si>
  <si>
    <t>SUMARÉ</t>
  </si>
  <si>
    <t>DEPARTAM. REGIONAL DE SAUDE DE RIB. PRETO - DRS XIII - RIBEIRÃO PRETO - SP - 46.374.500/0035-33</t>
  </si>
  <si>
    <t>DEPARTAMENTO REGIONAL DE SAUDE - DRS II - ARACATUBA - ARAÇATUBA - SP - 46.374.500/0038-86</t>
  </si>
  <si>
    <t>ARAÇATUBA</t>
  </si>
  <si>
    <t>DEPARTAMENTO REGIONAL DE SAUDE DE PIRACICABA - DRS X - PIRACICABA - SP - 46.374.500/0090-60</t>
  </si>
  <si>
    <t>DEPARTAMENTO REGIONAL DE SAUDE DE ARARAQUARA - DRS III - ARARAQUARA - SP - 46.374.500/0092-21</t>
  </si>
  <si>
    <t>SAO JOSE DOS CAMPOS GABINETE DO PREFEITO - SÃO JOSÉ DOS CAMPOS - SP - 46.643.466/0001-06</t>
  </si>
  <si>
    <t>HOSPITAL PADRE ALBINO - CATANDUVA - SP - 47.074.851/0008-19</t>
  </si>
  <si>
    <t>HOSPITAL 10 JULHO - PINDAMONHANGABA - SP - 47.565.155/0009-96</t>
  </si>
  <si>
    <t>CENTRO MEDICO RIO PRETO LTDA - SÃO JOSÉ DO RIO PRETO - SP - 48.310.098/0001-00</t>
  </si>
  <si>
    <t>PREFEITURA MUNICIPAL DE GUARARAPES - GUARARAPES - SP - 48.468.284/0001-71</t>
  </si>
  <si>
    <t>HOSPITAL SAO JOAQUIM - FRANCA - SP - 50.486.026/0001-60</t>
  </si>
  <si>
    <t>HOSPITAL DE CARIDADE SAO VICENTE DE PAULO - JUNDIAÍ - SP - 50.944.198/0001-30</t>
  </si>
  <si>
    <t>HOSPITAL UNIMED DE ARACATUBA - ARAÇATUBA - SP - 51.093.193/0004-56</t>
  </si>
  <si>
    <t>AMICO SAUDE LTDA - MOJI DAS CRUZES - SP - 51.722.957/0143-02</t>
  </si>
  <si>
    <t>MOJI DAS CRUZES</t>
  </si>
  <si>
    <t>INSTITUTO DO RADIUM - CAMPINAS - SP - 51.877.926/0001-09</t>
  </si>
  <si>
    <t>PREFEITURA MUNICIPAL DE CAMPINAS - CAMPINAS - SP - 51.885.242/0001-40</t>
  </si>
  <si>
    <t>IRMANDADE DE MISERICORDIA DO HOSPITAL DA SANTA CASA DE MONTE ALTO - MONTE ALTO - SP - 52.852.100/0001-40</t>
  </si>
  <si>
    <t>HOSPITAL BENEFICENTE SANTO ANTONIO - ORLÂNDIA - SP - 53.311.999/0001-56</t>
  </si>
  <si>
    <t>ORLÂNDIA</t>
  </si>
  <si>
    <t>UNIMED LESTE PAULISTA COOPERATIVA DE TRABALHO MEDICO - SÃO JOÃO DA BOA VISTA - SP - 53.678.264/0002-46</t>
  </si>
  <si>
    <t>SÃO JOÃO DA BOA VISTA</t>
  </si>
  <si>
    <t>JHOSPITAL UNIMED DE ARARAS - ARARAS - SP - 54.012.406/0003-85</t>
  </si>
  <si>
    <t>IRMANDADE DA SANTA CASA DE MISERICORDIA DE PIRACICABA - PIRACICABA - SP - 54.370.630/0001-87</t>
  </si>
  <si>
    <t>HOSPITAL SAO LUCAS - RIBEIRÃO PRETO - SP - 55.980.148/0001-21</t>
  </si>
  <si>
    <t>HOSP.E MATERN. BENEFICENCIA PORTUGUESA DE SANTO ANDRE - SANTO ANDRÉ - SP - 57.507.402/0001-02</t>
  </si>
  <si>
    <t>FAEPA - RIBEIRÃO PRETO - SP - 57.722.118/0001-40</t>
  </si>
  <si>
    <t>CENTRO DE REFERENCIA DA SAUDE DA MULHER - MATER - RIBEIRÃO PRETO - SP - 57.722.118/0003-02</t>
  </si>
  <si>
    <t>INSTITUTO ONCOLOGICO DE RIBEIRAO PRETO LTDA - RIBEIRÃO PRETO - SP - 57.723.280/0001-83</t>
  </si>
  <si>
    <t>UNIMED DE SANTOS COOPERATIVA DE TRABALHO MEDICO - SANTOS - SP - 58.229.691/0010-70</t>
  </si>
  <si>
    <t>CASA DE SAUDE SANTA HELENA - SÃO JOSÉ DO RIO PRETO - SP - 59.970.947/0001-78</t>
  </si>
  <si>
    <t>HOSPITAL INFANTE DOM HENRIQUE - SÃO JOSÉ DO RIO PRETO - SP - 59.972.307/0001-05</t>
  </si>
  <si>
    <t>HOSPITAL DE BASE - SÃO JOSÉ DO RIO PRETO - SP - 60.003.761/0001-29</t>
  </si>
  <si>
    <t>UNIMED SAO JOSE DOS CAMPOS - COOPERATIVA DE TRABALHO MEDICO - SÃO JOSÉ DOS CAMPOS - SP - 60.214.517/0009-62</t>
  </si>
  <si>
    <t>PRONTO ATENDIMENTO JACAREI - JACAREÍ - SP - 60.214.517/0011-87</t>
  </si>
  <si>
    <t>JACAREÍ</t>
  </si>
  <si>
    <t>HOSPITAL SANTOS DUMONT - SÃO JOSÉ DOS CAMPOS - SP - 60.214.517/0016-91</t>
  </si>
  <si>
    <t>HOSPITAL DE REABILITACAO DE ANOMALIAS CRANIOFACIAIS - BAURU - SP - 63.025.530/0082-70</t>
  </si>
  <si>
    <t>UNIMED DE DRACENA COOPERATIVA DE TRABALHO MEDICO - DRACENA - SP - 68.204.486/0001-13</t>
  </si>
  <si>
    <t>MARIA LEDA FEITOSA FARIAS - MARIA LEDA FEITOSA FARIAS - NOSSA SENHORA DA GLÓRIA - SE - 007.003.865-13</t>
  </si>
  <si>
    <t>NOSSA SENHORA DA GLÓRIA</t>
  </si>
  <si>
    <t>EDUARDO SEIBERT TEIXEIRA - SALVADOR - BA - 093.243.225-59</t>
  </si>
  <si>
    <t>SANTA LUCIA - BRASÍLIA - DF - 00.025.841/0001-53</t>
  </si>
  <si>
    <t>BRASÍLIA</t>
  </si>
  <si>
    <t>Misto (EMH)</t>
  </si>
  <si>
    <t>ANA ANGELICA TORRES - MACEIÓ - AL - 444.822.994-72</t>
  </si>
  <si>
    <t>MACEIÓ</t>
  </si>
  <si>
    <t>HOSPITAL SANTA HELENA (REDE DOR) - BRASÍLIA - DF - 00.049.791/0001-44</t>
  </si>
  <si>
    <t>MATERNIDADE FEMINA - GOIÂNIA - GO - 00.053.629/0001-08</t>
  </si>
  <si>
    <t>GOIÂNIA</t>
  </si>
  <si>
    <t>ROBERTO MOURA GRISI - JOÃO PESSOA - PB - 839.256.944-04</t>
  </si>
  <si>
    <t>JOÃO PESSOA</t>
  </si>
  <si>
    <t>NUBIA SOARES SALES DE MORAES - BRASÍLIA - DF - 854.655.261-49</t>
  </si>
  <si>
    <t>HOSPITAL DAHER LAGO SUL S/A - BRASÍLIA - DF - 00.382.069/0001-27</t>
  </si>
  <si>
    <t>GRUPAMENTO DE APOIO DE RECIFE - GAP-RF - RECIFE - PE - 00.394.429/0193-91</t>
  </si>
  <si>
    <t>HEMOLABOR - GOIÂNIA - GO - 00.418.954/0001-19</t>
  </si>
  <si>
    <t>HEMOLABOR UNIDADE ONCO-HEMATOLOGICA - ABADIA DE GOIÁS - GO - 00.418.954/0007-04</t>
  </si>
  <si>
    <t>ABADIA DE GOIÁS</t>
  </si>
  <si>
    <t>PRONTONORTE - BRASÍLIA - DF - 00.511.816/0001-80</t>
  </si>
  <si>
    <t>CETTRO - CENTRO DE CANCER DE BRASILIA - BRASÍLIA - DF - 00.520.237/0001-01</t>
  </si>
  <si>
    <t>HOSPITAL SANTA MARTA LTDA - BRASÍLIA - DF - 00.610.980/0001-44</t>
  </si>
  <si>
    <t>HOSPITAL DO CORACAO DE NATAL LTDA - NATAL - RN - 00.820.737/0001-50</t>
  </si>
  <si>
    <t>CLINICA DE CAMPO GRANDE S/A - CAMPO GRANDE - MS - 00.860.841/0001-79</t>
  </si>
  <si>
    <t>INSTITUTO DE NEUROLOGIA - GOIÂNIA - GO - 01.011.865/0001-16</t>
  </si>
  <si>
    <t>INGOH - INSTITUTO GOIANO DE ONCOLOGIA E HEMATOLOGIA - GOIÂNIA - GO - 01.277.573/0001-20</t>
  </si>
  <si>
    <t>HOSPITAL E MATERNIDADE SAO NICOLAU - CATALÃO - GO - 01.326.206/0001-79</t>
  </si>
  <si>
    <t>CATALÃO</t>
  </si>
  <si>
    <t>HOSPITAL DAS CLINICAS PRIMAVERA - PRIMAVERA DO LESTE - MT - 01.383.835/0001-30</t>
  </si>
  <si>
    <t>HOSPITAL DO CORACAO DE ALAGOAS - MACEIÓ - AL - 01.454.407/0001-51</t>
  </si>
  <si>
    <t>INCOR NATAL - NATAL - RN - 01.507.901/0001-37</t>
  </si>
  <si>
    <t>INSTITUTO ORTOPEDICO DE GOIANIA LTDA - GOIÂNIA - GO - 01.570.589/0001-26</t>
  </si>
  <si>
    <t>CLINICA DE DOENCAS RENAIS DE BRASILIA LTDA - BRASÍLIA - DF - 01.602.408/0001-04</t>
  </si>
  <si>
    <t>HOSPITAL SANTA HELENA - GOIÂNIA - GO - 01.656.123/0001-48</t>
  </si>
  <si>
    <t>ONCO VIDA - BRASÍLIA - DF - 01.682.668/0001-29</t>
  </si>
  <si>
    <t>HOSPITAL MEMORIAL ARTHUR RAMOS - MACEIÓ - AL - 01.722.424/0001-22</t>
  </si>
  <si>
    <t>COMPLEXO HOSPITALAR JARDIM CUIABA - CUIABÁ - MT - 01.757.351/0001-04</t>
  </si>
  <si>
    <t>CUIABÁ</t>
  </si>
  <si>
    <t>NATAL HOSPITAL CENTER S.A. - NATAL - RN - 02.109.397/0001-80</t>
  </si>
  <si>
    <t>HOSPITAL ESPERANCA (REDE DOR) - RECIFE - PE - 02.284.062/0001-06</t>
  </si>
  <si>
    <t>HOSPITAL SAO MARCOS (REDE DOR) - RECIFE - PE - 02.284.062/0004-40</t>
  </si>
  <si>
    <t>UDI HOSPITAL - SÃO LUÍS - MA - 02.284.062/0011-70</t>
  </si>
  <si>
    <t>SÃO LUÍS</t>
  </si>
  <si>
    <t>UNIMED GOIANIA - GOIÂNIA - GO - 02.476.067/0001-22</t>
  </si>
  <si>
    <t>SERVICO DE ATENDIMENTO UNIMED - GOIÂNIA - GO - 02.476.067/0002-03</t>
  </si>
  <si>
    <t>CENTRO CLINICO UNIMED - GOIÂNIA - GO - 02.476.067/0003-94</t>
  </si>
  <si>
    <t>HOSPITAL ANCHIETA LTDA - BRASÍLIA - DF - 02.560.878/0001-07</t>
  </si>
  <si>
    <t>ONCO HEMATOS S/S LTDA - ME - ARACAJU - SE - 03.091.003/0001-76</t>
  </si>
  <si>
    <t>FARMA REGIA - SANTA HELENA - MA - 03.210.872/0001-72</t>
  </si>
  <si>
    <t>HOSPITAL DO CORACAO - ARACAJU - SE - 03.222.051/0001-56</t>
  </si>
  <si>
    <t>HOSPITAL UNIMED - CAMPO GRANDE - MS - 03.315.918/0005-41</t>
  </si>
  <si>
    <t>HOSPITAL DA CIDADE - SALVADOR - BA - 03.376.102/0001-02</t>
  </si>
  <si>
    <t>UNIMED CUIABA DISTRIBUIDORA DE MEDICAMENTOS - CUIABÁ - MT - 03.533.726/0007-73</t>
  </si>
  <si>
    <t>CENTRO DE ESPECIALIDADES MEDICAS UNIMED FACIL - ACORIZAL - MT - 03.533.726/0015-83</t>
  </si>
  <si>
    <t>ACORIZAL</t>
  </si>
  <si>
    <t>HOSPITAL DAS FORCAS ARMADAS - BRASÍLIA - DF - 03.568.867/0001-36</t>
  </si>
  <si>
    <t>HOSPITAL MONTE SINAI LTDA - GARANHUNS - PE - 03.858.924/0001-11</t>
  </si>
  <si>
    <t>MEDRADIUS - MACEIÓ - AL - 03.866.223/0001-24</t>
  </si>
  <si>
    <t>FUNDO MUNICIPAL DE SAUDE DO JABOATAO DOS GUARARAPES - JABOATÃO DOS GUARARAPES - PE - 03.904.395/0001-45</t>
  </si>
  <si>
    <t>JABOATÃO DOS GUARARAPES</t>
  </si>
  <si>
    <t>HOSPITAL AMECOR - CUIABÁ - MT - 03.925.419/0001-42</t>
  </si>
  <si>
    <t>GRUPO ACREDITAR - BRASÍLIA - DF - 03.989.821/0001-90</t>
  </si>
  <si>
    <t>HOSPITAL AEROPORTO - LAURO DE FREITAS - BA - 04.602.792/0001-25</t>
  </si>
  <si>
    <t>HOSPITAL UNIVERSITARIO ALCIDES CARNEIRO/UFCG - CAMPINA GRANDE - PB - 05.055.128/0002-57</t>
  </si>
  <si>
    <t>HBA - SALVADOR - BA - 05.469.172/0001-22</t>
  </si>
  <si>
    <t>CLIOM - MACEIÓ - AL - 05.612.725/0001-54</t>
  </si>
  <si>
    <t>HOSPITAL INCAR - SANTO ANTÔNIO DE JESUS - BA - 05.652.543/0001-07</t>
  </si>
  <si>
    <t>SANTO ANTÔNIO DE JESUS</t>
  </si>
  <si>
    <t>FES/BA - SALVADOR - BA - 05.816.630/0001-52</t>
  </si>
  <si>
    <t>UNICLINIC - FORTALEZA - CE - 05.867.015/0001-75</t>
  </si>
  <si>
    <t>HOSPITAL REGIONAL UNIMED - FORTALEZA - CE - 05.868.278/0002-80</t>
  </si>
  <si>
    <t>H A P - FORTALEZA - CE - 05.874.946/0001-09</t>
  </si>
  <si>
    <t>DEPOSITO-ARMAZEM DE FORTALEZA - FORTALEZA - CE - 05.874.946/0002-81</t>
  </si>
  <si>
    <t>HOSPITAL AMPARO - GOIÂNIA - GO - 05.919.720/0001-79</t>
  </si>
  <si>
    <t>HOSPITAL ESPERANCA OLINDA (REDE DOR) - OLINDA - PE - 06.047.087/0012-91</t>
  </si>
  <si>
    <t>HOSPITAL SANTA LUZIA (REDE DOR) - BRASÍLIA - DF - 06.047.087/0041-26</t>
  </si>
  <si>
    <t>HOSPITAL DO CORACAO DO BRASIL (REDE DOR) - BRASÍLIA - DF - 06.047.087/0042-07</t>
  </si>
  <si>
    <t>HOSPITAL MEMORIAL SAO JOSE (REDE DOR) - RECIFE - PE - 06.047.087/0092-76</t>
  </si>
  <si>
    <t>FUNDO MUNICIPAL DE SAUDE DE RIO VERDE - GO - RIO VERDE - GO - 06.190.522/0001-80</t>
  </si>
  <si>
    <t>HONCORD - GOIÂNIA - GO - 06.337.035/0001-05</t>
  </si>
  <si>
    <t>HOSPITAL UNIMED PRIMAVERA - TERESINA - PI - 06.555.031/0002-76</t>
  </si>
  <si>
    <t>CASA DE SAUDE E MATERNIDADE SAO RAIMUNDO SA - FORTALEZA - CE - 07.245.269/0001-87</t>
  </si>
  <si>
    <t>GASTROCLINICA - FORTALEZA - CE - 07.272.404/0001-83</t>
  </si>
  <si>
    <t>HOSPITAL UNIVERSITARIO WALTER CANTIDIO - FORTALEZA - CE - 07.272.636/0002-12</t>
  </si>
  <si>
    <t>CLINICA SAO MARCOS - SÃO LUÍS - MA - 07.750.144/0001-04</t>
  </si>
  <si>
    <t>HOSPITAL UNIVERSITARIO DA UFGD - DOURADOS - MS - 07.775.847/0002-78</t>
  </si>
  <si>
    <t>CEMED CARE EMPRESA DE ATENDIMENTO CLINICO GERAL LTDA - BRASÍLIA - DF - 07.794.623/0051-91</t>
  </si>
  <si>
    <t>INSTITUTO DR JOSE FROTA - FORTALEZA - CE - 07.835.044/0001-80</t>
  </si>
  <si>
    <t>CASA DE SAUDE SAO LUCAS S/A - NATAL - RN - 08.319.329/0001-21</t>
  </si>
  <si>
    <t>HOSP INF VAR SANT - NATAL - RN - 08.337.586/0001-96</t>
  </si>
  <si>
    <t>HOSPITAL UNIMED - NATAL - RN - 08.380.701/0006-10</t>
  </si>
  <si>
    <t>UNIMED NATAL SOCIEDADE COOPERATIVA DE TRABALHO MEDICO - NATAL - RN - 08.380.701/0017-72</t>
  </si>
  <si>
    <t>UNIMED JOAO PESSOA COOPERATIVA DO TRABALHO MEDICO - JOÃO PESSOA - PB - 08.680.639/0006-81</t>
  </si>
  <si>
    <t>PRONTOCARDIO SERVICOS MEDICOS HOSPITALARES S/A - FORTALEZA - CE - 08.711.085/0001-28</t>
  </si>
  <si>
    <t>IMIP HOSPITALAR - HMA - PAULISTA - PE - 09.039.744/0002-75</t>
  </si>
  <si>
    <t>ALIANCA INSTITUTO DE ONCOLOGIA - BRASÍLIA - DF - 09.104.513/0009-74</t>
  </si>
  <si>
    <t>HOSPITAL SAO LUIS - HSLZ LTDA. - SÃO JOSÉ DE RIBAMAR - MA - 09.192.098/0001-09</t>
  </si>
  <si>
    <t>SÃO JOSÉ DE RIBAMAR</t>
  </si>
  <si>
    <t>HOSPITAL DA RESTAURACAO - RECIFE - PE - 10.572.048/0002-09</t>
  </si>
  <si>
    <t>SANTA JOANA - RECIFE - PE - 10.839.561/0001-32</t>
  </si>
  <si>
    <t>HOSPITAL PORTUGUES - RECIFE - PE - 10.892.164/0001-24</t>
  </si>
  <si>
    <t>ICIPE - BRASÍLIA - DF - 10.942.995/0001-63</t>
  </si>
  <si>
    <t>IMIP - RECIFE - PE - 10.988.301/0001-29</t>
  </si>
  <si>
    <t>HOSPITAL SAO DOMINGOS LTDA. - SÃO LUÍS - MA - 11.006.293/0001-30</t>
  </si>
  <si>
    <t>HOSPITAL UNIVERSITARIO OSWALDO CRUZ - RECIFE - PE - 11.022.597/0013-25</t>
  </si>
  <si>
    <t>PRONTO S.CARDIOLOGICO DE PE.PROF.LUIZ TAVARES-PROCAPE - RECIFE - PE - 11.022.597/0015-97</t>
  </si>
  <si>
    <t>HOSPITAL UNIMED RECIFE - RECIFE - PE - 11.214.624/0004-70</t>
  </si>
  <si>
    <t>HOSPITAL UNIMED RECIFE III - RECIFE - PE - 11.214.624/0019-57</t>
  </si>
  <si>
    <t>FUNDO MUNICIPAL DE SAUDE DE TERESINA - TERESINA - PI - 11.273.170/0001-66</t>
  </si>
  <si>
    <t>HOSPITAL JAYME DA FONTE - RECIFE - PE - 11.452.240/0001-43</t>
  </si>
  <si>
    <t>HOSPITAL SAO CARLOS LTDA - FORTALEZA - CE - 11.794.674/0001-21</t>
  </si>
  <si>
    <t>INSTITUTO DE CANCER DE BRASILIA LTDA - BRASÍLIA - DF - 11.859.927/0001-06</t>
  </si>
  <si>
    <t>PRODAL SAUDE S/A - SALVADOR - BA - 11.943.553/0001-02</t>
  </si>
  <si>
    <t>SANTA CASA DE MISERICORDIA DE MACEIO - MACEIÓ - AL - 12.307.187/0001-50</t>
  </si>
  <si>
    <t>CENTRO MEDICO GABRIEL SOARES - ARACAJU - SE - 12.361.267/0005-17</t>
  </si>
  <si>
    <t>HOSPITAL GUARAS - SÃO LUÍS - MA - 12.361.267/0007-89</t>
  </si>
  <si>
    <t>HOSPITAL MACEIO - MACEIÓ - AL - 12.361.267/0008-60</t>
  </si>
  <si>
    <t>HOSPITAL RIO POTY - TERESINA - PI - 12.361.267/0040-08</t>
  </si>
  <si>
    <t>HOSPITAL ESPINHEIRO - RECIFE - PE - 12.361.267/0072-87</t>
  </si>
  <si>
    <t>HOSPITAL ANA LIMA - MARACANAÚ - CE - 12.361.267/0084-10</t>
  </si>
  <si>
    <t>MARACANAÚ</t>
  </si>
  <si>
    <t>HOSPITAL GERAL DA PARAIBA - ÁGUA BRANCA - PB - 12.361.267/0088-44</t>
  </si>
  <si>
    <t>ÁGUA BRANCA</t>
  </si>
  <si>
    <t>HOSPITAL RODOLFO FERNANDES - ACARI - RN - 12.361.267/0091-40</t>
  </si>
  <si>
    <t>ACARI</t>
  </si>
  <si>
    <t>HOSPITAL ANTONIO PRUDENTE DE NATAL - NATAL - RN - 12.361.267/0096-54</t>
  </si>
  <si>
    <t>HOSPITAL TEREZA DE LISIEUX - SALVADOR - BA - 12.361.267/0103-18</t>
  </si>
  <si>
    <t>HOSPITAL FRANCISCA DE SANDE - FEIRA DE SANTANA - BA - 12.361.267/0104-07</t>
  </si>
  <si>
    <t>DEPOSITO - ARMAZEM FORTALEZA/CE - FORTALEZA - CE - 12.361.267/0118-02</t>
  </si>
  <si>
    <t>DEPOSITO-ARMAZEM SALVADOR/BA - SALVADOR - BA - 12.361.267/0147-39</t>
  </si>
  <si>
    <t>HOSPITAL UNIMED - MACEIÓ - AL - 12.442.737/0004-96</t>
  </si>
  <si>
    <t>INTEGRARE TERAPEUTICA - FORTALEZA - CE - 12.568.570/0001-61</t>
  </si>
  <si>
    <t>HOSPITAL ALIANCA - SALVADOR - BA - 13.016.092/0001-40</t>
  </si>
  <si>
    <t>HOSPITAL DE CIRURGIA - ARACAJU - SE - 13.016.332/0001-06</t>
  </si>
  <si>
    <t>CLINICA SANTA HELENA - ARACAJU - SE - 13.086.053/0001-19</t>
  </si>
  <si>
    <t>HOSPITAL SAO LUCAS - ARACAJU - SE - 13.131.370/0001-00</t>
  </si>
  <si>
    <t>CDDS SERVICOS MEDICOS LTDA - NATAL - RN - 13.262.578/0001-68</t>
  </si>
  <si>
    <t>IBR INSTITUTO BRANDAO DE REABILITACAO LTDA - EPP - VITÓRIA DA CONQUISTA - BA - 13.284.872/0001-70</t>
  </si>
  <si>
    <t>VITÓRIA DA CONQUISTA</t>
  </si>
  <si>
    <t>REDE PRIMAVERA - HOSPITAL PRIMAVERA - ARACAJU - SE - 13.356.779/0001-24</t>
  </si>
  <si>
    <t>CARDIO PULMONAR DA BAHIA S.A - SALVADOR - BA - 13.952.064/0001-34</t>
  </si>
  <si>
    <t>EMEC - FEIRA DE SANTANA - BA - 14.074.546/0001-00</t>
  </si>
  <si>
    <t>CLINICA SOUZA BRITO - CUIABÁ - MT - 15.016.827/0001-60</t>
  </si>
  <si>
    <t>EBSERH - HOSPITAL UNIVERSITARIO DO PIAUI - TERESINA - PI - 15.126.437/0002-24</t>
  </si>
  <si>
    <t>EBSERH HOSPITAL UNIVERSITARIO DE BRASILIA - BRASÍLIA - DF - 15.126.437/0003-05</t>
  </si>
  <si>
    <t>EBSERH HOSPITAL UNIVERSITARIO DE SAO LUIS - SÃO LUÍS - MA - 15.126.437/0004-96</t>
  </si>
  <si>
    <t>EMPRESA BRASILEIRA DE SERVICOS HOSPITALARES - EBSERH - NATAL - RN - 15.126.437/0007-39</t>
  </si>
  <si>
    <t>EBSERH - HOSPITAL UNIVERSITARIO JULIO MULLER - CUIABÁ - MT - 15.126.437/0012-04</t>
  </si>
  <si>
    <t>EBSERH - COMPLEXO HOSPITALAR DO CEARA (HUWC E MEAC) - FORTALEZA - CE - 15.126.437/0014-68</t>
  </si>
  <si>
    <t>MATERNIDADE CLIMERIO DE OLIVEIRA - SALVADOR - BA - PRIVADO - 15.126.437/0028-63</t>
  </si>
  <si>
    <t>HOSPITAL UNIVERSITARIO ALCIDES CARNEIRO - CAMPINA GRANDE - PB - PRIVADO - 15.126.437/0032-40</t>
  </si>
  <si>
    <t>SEMEC - SALVADOR - BA - 15.140.254/0001-82</t>
  </si>
  <si>
    <t>HOSPITAL SANTA IZABEL - SALVADOR - BA - 15.153.745/0002-49</t>
  </si>
  <si>
    <t>HOSPITAL MUNICIPAL DE SALVADOR - SALVADOR - BA - 15.153.745/0027-05</t>
  </si>
  <si>
    <t>HOSPITAL PORTUGUES - SALVADOR - BA - 15.166.416/0001-51</t>
  </si>
  <si>
    <t>LIGA ALVARO BAHIA CONTRA A MORTALIDADE INFANTIL - SALVADOR - BA - 15.170.723/0001-06</t>
  </si>
  <si>
    <t>LABCMI GESTAO HOSPITALAR - HEC - FEIRA DE SANTANA - BA - 15.170.723/0005-30</t>
  </si>
  <si>
    <t>HOSPITAL PROFESSOR EDGARDSANTOS - SALVADOR - BA - 15.180.714/0002-87</t>
  </si>
  <si>
    <t>MCO - SALVADOR - BA - 15.180.714/0003-68</t>
  </si>
  <si>
    <t>UNIVERSIDADE FEDERAL DA BAHIA - SALVADOR - BA - 15.180.714/0005-20</t>
  </si>
  <si>
    <t>FUNDACAO JOSE SILVEIRA - SALVADOR - BA - 15.194.004/0001-25</t>
  </si>
  <si>
    <t>NOVACLIN - SALVADOR - BA - 15.242.761/0001-27</t>
  </si>
  <si>
    <t>HOSPITAL UNIMED - ARACAJU - SE - 15.592.785/0001-06</t>
  </si>
  <si>
    <t>S O S VIDA SOLUCOES EM SAUDE - ARACAJU - SE - 16.064.313/0005-77</t>
  </si>
  <si>
    <t>FBC - SALVADOR - BA - 16.475.154/0002-50</t>
  </si>
  <si>
    <t>PRIME HOME CARE - BRASÍLIA - DF - 16.739.984/0001-67</t>
  </si>
  <si>
    <t>HOSPITAL MULTI ESPECIALIDADES LTDA EPP - APARECIDA DE GOIÂNIA - GO - 21.155.621/0001-14</t>
  </si>
  <si>
    <t>APARECIDA DE GOIÂNIA</t>
  </si>
  <si>
    <t>HOSPITAL OTOCLINICA - FORTALEZA - CE - 23.443.518/0001-03</t>
  </si>
  <si>
    <t>NATUS LUMINE MATERNIDADE - SÃO LUÍS - MA - 23.813.270/0001-17</t>
  </si>
  <si>
    <t>HUPAA - MACEIÓ - AL - 24.464.109/0002-29</t>
  </si>
  <si>
    <t>PRONTO ATENDIMENTO UNIMED RONDONOPOLIS - RONDONÓPOLIS - MT - 24.676.884/0007-52</t>
  </si>
  <si>
    <t>RONDONÓPOLIS</t>
  </si>
  <si>
    <t>HOSPITAL SAO RAFAEL S.A - SALVADOR - BA - 27.372.066/0001-69</t>
  </si>
  <si>
    <t>INSTITUTO HAVER - GOIÂNIA - GO - 27.456.372/0001-83</t>
  </si>
  <si>
    <t>IHBDF - BRASÍLIA - DF - 28.481.233/0001-72</t>
  </si>
  <si>
    <t>HOSPITAL ALVORADA DE BRASILIA - BRASÍLIA - DF - 29.435.005/0046-20</t>
  </si>
  <si>
    <t>HOSPITAL MONTE KLINIKUM - FORTALEZA - CE - 29.435.005/0074-84</t>
  </si>
  <si>
    <t>ESHO EMPRESA DE SERVICOS HOSPITALARES S.A. - NATAL - RN - 29.435.005/0098-51</t>
  </si>
  <si>
    <t>CLINICA DE NEUROLOGIA E NEUROINFUSAO DE BRASILIA - BRASÍLIA - DF - 30.135.335/0001-88</t>
  </si>
  <si>
    <t>PETROBRAS - SENADOR CANEDO - GO - 33.000.167/0021-55</t>
  </si>
  <si>
    <t>HOME - BRASÍLIA - DF - 37.108.388/0001-59</t>
  </si>
  <si>
    <t>HOSPITAL MARIA AUXILIADORA - BRASÍLIA - DF - 38.000.485/0001-96</t>
  </si>
  <si>
    <t>HOSPITAL SAO MATEUS LTDA. - FORTALEZA - CE - 41.580.077/0001-65</t>
  </si>
  <si>
    <t>MATERNIDADE BRASILIA - BRASÍLIA - DF - 60.884.855/0019-83</t>
  </si>
  <si>
    <t>HOSPITAL BRASILIA - BRASÍLIA - DF - 60.884.855/0022-89</t>
  </si>
  <si>
    <t>HOSPITAL CURA DARS - FORTALEZA - CE - 60.975.737/0035-09</t>
  </si>
  <si>
    <t>HSL UNIDADE BRASILIA - BRASÍLIA - DF - 61.590.410/0005-58</t>
  </si>
  <si>
    <t>UNIDADE BRASILIA IV - BRASÍLIA - DF - 61.590.410/0012-87</t>
  </si>
  <si>
    <t>ONCOMEDICA - TERESINA - PI - 63.326.243/0004-87</t>
  </si>
  <si>
    <t>HOSPITAL SANTA ROSA - CUIABÁ - MT - 70.524.145/0001-77</t>
  </si>
  <si>
    <t>FUNDES - FORTALEZA - CE - 74.031.865/0001-51</t>
  </si>
  <si>
    <t>INSTITUTO DE CARDIOLOGIA DO DISTRITO FEDERAL - BRASÍLIA - DF - 92.898.550/0006-00</t>
  </si>
  <si>
    <t>HOSPITAL JAAR ANDRADE LTDA - SALVADOR - BA - 97.397.848/0001-38</t>
  </si>
  <si>
    <t>MARCELO CESAR AVILA - FLORIANÓPOLIS - SC - 480.639.839-04</t>
  </si>
  <si>
    <t>FLORIANÓPOLIS</t>
  </si>
  <si>
    <t>HENRIQUE WALCHER NOGUEIRA - PORTO ALEGRE - RS - 828.542.460-04</t>
  </si>
  <si>
    <t>HOSPITAL MINISTRO COSTA CAVALCANTI - FOZ DO IGUAÇU - PR - 00.304.148/0001-10</t>
  </si>
  <si>
    <t>FOZ DO IGUAÇU</t>
  </si>
  <si>
    <t>HOSPITAL ECOVILLE - CURITIBA - PR - 00.942.063/0001-67</t>
  </si>
  <si>
    <t>CEOF - FLORIANÓPOLIS - SC - 01.125.832/0001-05</t>
  </si>
  <si>
    <t>INSTITUTO DEVITA - CAXIAS DO SUL - RS - 01.140.803/0001-04</t>
  </si>
  <si>
    <t>HOSPITAL DO CORACAO DE BALNEARIO CAMBORIU LTDA - BALNEÁRIO CAMBORIÚ - SC - 01.517.626/0001-32</t>
  </si>
  <si>
    <t>BALNEÁRIO CAMBORIÚ</t>
  </si>
  <si>
    <t>UNIMED DE BRUSQUE - BRUSQUE - SC - 01.554.266/0001-49</t>
  </si>
  <si>
    <t>SERVICOS DE QUIMIOTERAPIA UNIMED BRUSQUE - BRUSQUE - SC - 01.554.266/0003-00</t>
  </si>
  <si>
    <t>HOSPITAL SANTA CATARINA - BLUMENAU - SC - 01.880.344/0001-03</t>
  </si>
  <si>
    <t>NOSSA SAUDE OPERADORA DE PLANOS PRIVADOS DE ASSISTENCIA A SAUDE LTDA. - CURITIBA - PR - 02.862.447/0002-86</t>
  </si>
  <si>
    <t>HOSPITAL ESTRELA - ESTRELA - RS - 03.123.393/0002-08</t>
  </si>
  <si>
    <t>ICTR - INSTITUTO DO CANCER E TRANSPLANTE S/C - CURITIBA - PR - 03.824.198/0001-16</t>
  </si>
  <si>
    <t>INSTITUTO DE HEMATOLOGIA E ONCOLOGIA CURITIBA - CURITIBA - PR - 03.850.913/0001-95</t>
  </si>
  <si>
    <t>HOSPITAL UNIMED JARAGUA DO SUL - JARAGUÁ DO SUL - SC - 03.855.214/0002-19</t>
  </si>
  <si>
    <t>JARAGUÁ DO SUL</t>
  </si>
  <si>
    <t>FERTWAY REPRODUCAO HUMANA LTDA - EPP - CURITIBA - PR - 04.378.502/0001-01</t>
  </si>
  <si>
    <t>VIVER CLINICA MEDICA LTDA - FLORIANÓPOLIS - SC - 04.670.913/0001-76</t>
  </si>
  <si>
    <t>HOSPITAL DO CORACAO DE LONDRINA LTDA - LONDRINA - PR - 04.762.301/0001-03</t>
  </si>
  <si>
    <t>HOSPITAL VITA BATEL - CURITIBA - PR - 06.943.723/0001-00</t>
  </si>
  <si>
    <t>HOSPITAL ANGELINA CARON - CAMPINA GRANDE DO SUL - PR - 07.088.017/0001-91</t>
  </si>
  <si>
    <t>CRUZ VERMELHA BRASILEIRA - FILIAL DO ESTADO DO PARANA - CURITIBA - PR - 07.404.052/0001-72</t>
  </si>
  <si>
    <t>CIONC - CENTRO INTEGRADO DE ONCOLOGIA DE CURITIBA S/S - CURITIBA - PR - 07.734.165/0001-36</t>
  </si>
  <si>
    <t>CEMED CARE - EMPRESA DE ATENDIMENTO CLINICO GERAL LTDA - SÃO JOSÉ DOS PINHAIS - PR - 07.794.623/0022-57</t>
  </si>
  <si>
    <t>SÃO JOSÉ DOS PINHAIS</t>
  </si>
  <si>
    <t>FUNDO ESTADUAL DE SAUDE DO PARANA - FUNSAUDE - CURITIBA - PR - 08.597.121/0001-74</t>
  </si>
  <si>
    <t>VIP HOME CARE ATENDIMENTO DOMICILIAR LTDA - PORTO ALEGRE - RS - 09.087.150/0002-30</t>
  </si>
  <si>
    <t>GAMP - CANOAS - RS - 09.549.061/0002-68</t>
  </si>
  <si>
    <t>COMANDO DA ARTILHARIA DIVIS DA TERC DIVISAO DE EXERCITO - CRUZ ALTA - RS - 09.572.216/0002-87</t>
  </si>
  <si>
    <t>HOSPITAL GERAL DE CURITIBA - CURITIBA - PR - 09.579.964/0002-91</t>
  </si>
  <si>
    <t>HOSPITAL DE GUARNICAO DE SANTA MARIA - SANTA MARIA - RS - 09.605.231/0002-84</t>
  </si>
  <si>
    <t>FUNDACAO DE SAUDE PUBLICA DE NOVO HAMBURGO - FSNH - NOVO HAMBURGO - RS - 11.055.682/0001-56</t>
  </si>
  <si>
    <t>TITULO DO ESTABELECIMENTO (NOME DE FANTASIA)  HOSPITAL GERAL JOINVILLE - JOINVILLE - SC - 12.361.267/0042-61</t>
  </si>
  <si>
    <t>CLINICA DE ONCOLOGIA VIVER - SANTA MARIA - RS - 12.508.728/0001-08</t>
  </si>
  <si>
    <t>EBSERH - HOSPITAL UNIVERSITARIO DE SANTA MARIA - SANTA MARIA - RS - 15.126.437/0019-72</t>
  </si>
  <si>
    <t>HOSPITAL UNIV. PROFESSOR POLYDORO ERNANI DE SAO THIAGO - FLORIANOPOLIS - SC - PRIVADO - 15.126.437/0034-01</t>
  </si>
  <si>
    <t>HOSPITAL UNIMED - SÃO JOSÉ - SC - 17.034.086/0001-76</t>
  </si>
  <si>
    <t>SÃO JOSÉ</t>
  </si>
  <si>
    <t>COOP CENTRO DE ONCOLOGIA DO OESTE DO PARANA - CASCAVEL - PR - 17.864.888/0001-03</t>
  </si>
  <si>
    <t>FUNDACAO HOSPITALAR SAO LUCAS - CASCAVEL - PR - 21.998.635/0001-08</t>
  </si>
  <si>
    <t>CCI - CENTRO CATARINENSE DE IMUNOTERAPIA LTDA - FLORIANÓPOLIS - SC - 23.982.118/0001-68</t>
  </si>
  <si>
    <t>HOSPITAL BDW - PORTO ALEGRE - RS - 26.947.257/0001-49</t>
  </si>
  <si>
    <t>HOSPITAL VITORIA - CURITIBA - PR - 29.435.005/0056-00</t>
  </si>
  <si>
    <t>LEONARDO VIERO SILVEIRA - JAGUARI - RS - 29.908.956/0001-78</t>
  </si>
  <si>
    <t>ONIX MATEUS LEME - CURITIBA - PR - 30.117.769/0001-55</t>
  </si>
  <si>
    <t>HOSPITAL SANTA ISABEL - BLUMENAU - SC - 60.922.168/0052-26</t>
  </si>
  <si>
    <t>PRO-ONCO CENTRO DE TRATAMENTO ONCOLOGICO SS LTDA - LONDRINA - PR - 73.863.342/0001-09</t>
  </si>
  <si>
    <t>UNIMED CURITIBA - UNIDADE PADRE GERMANO MAYER - CURITIBA - PR - 75.055.772/0022-54</t>
  </si>
  <si>
    <t>HOSPITAL DE CLINICAS - CURITIBA - PR - 75.095.679/0002-20</t>
  </si>
  <si>
    <t>PRONTO ATENDIMENTO UNIMED LONDRINA - LONDRINA - PR - 75.222.224/0018-95</t>
  </si>
  <si>
    <t>HOSPITAL NOSSA SENHORA DO PILAR LTDA - CURITIBA - PR - 76.498.013/0001-02</t>
  </si>
  <si>
    <t>HOSPITAL SANTA CRUZ SOCIEDADE ANONIMA - CURITIBA - PR - 76.555.069/0001-43</t>
  </si>
  <si>
    <t>HOSPITAL NOSSA SENHORA DAS GRACAS - CURITIBA - PR - 76.562.198/0001-69</t>
  </si>
  <si>
    <t>HOSPITAL INFANTIL PEQUENO PRINCIPE - CURITIBA - PR - 76.591.569/0001-30</t>
  </si>
  <si>
    <t>HOSPITAL MARCELINO CHAMPAGNAT - CURITIBA - PR - 76.659.820/0023-67</t>
  </si>
  <si>
    <t>HOSPITAL PARANA - MARINGÁ - PR - 77.265.361/0001-94</t>
  </si>
  <si>
    <t>MARINGÁ</t>
  </si>
  <si>
    <t>HOSPITAL GERAL UNIMED - PONTA GROSSA - PR - 77.781.706/0002-43</t>
  </si>
  <si>
    <t>PONTA GROSSA</t>
  </si>
  <si>
    <t>UNIMED GRANDE FLORIANOPOLIS - COOPERATIVA DE TRABALHO MEDICO - SÃO JOSÉ - SC - 77.858.611/0014-14</t>
  </si>
  <si>
    <t>ANIMO- ANTINEOPLASICOS INJETAVEIS E MEDICINA ONCOLOGICA - GUARAPUAVA - PR - 78.044.815/0002-40</t>
  </si>
  <si>
    <t>GUARAPUAVA</t>
  </si>
  <si>
    <t>ISCAL - LONDRINA - PR - 78.614.971/0001-19</t>
  </si>
  <si>
    <t>HOSPITAL DO CANCER DE LONDRINA - LONDRINA - PR - 78.633.088/0001-76</t>
  </si>
  <si>
    <t>HOSPITAL E MATERNIDADE MARIA AUXILIADORA - MARINGÁ - PR - 79.115.762/0001-93</t>
  </si>
  <si>
    <t>CLINICA PRO-VIDA LTDA - TUBARÃO - SC - 80.490.618/0001-16</t>
  </si>
  <si>
    <t>TUBARÃO</t>
  </si>
  <si>
    <t>FES - FLORIANÓPOLIS - SC - 80.673.411/0001-87</t>
  </si>
  <si>
    <t>CAS-CENTRO DE ATENCAO A SAUDE UNIMED DR.ALVARO RABELLO - CASCAVEL - PR - PRIVADO - 81.170.003/0002-56</t>
  </si>
  <si>
    <t>HOSPITAL SAO VICENTE - CURITIBA - PR - 81.190.449/0002-42</t>
  </si>
  <si>
    <t>UOPECCAN - CASCAVEL - PR - 81.270.548/0001-53</t>
  </si>
  <si>
    <t>HOSPITAL UNIMED - UNIDADE CENTRO - CAMPO MOURÃO - PR - 81.715.716/0004-10</t>
  </si>
  <si>
    <t>CAMPO MOURÃO</t>
  </si>
  <si>
    <t>UNIMED DE CIANORTE COOPERATIVA DE TRABALHO MEDICO - CIANORTE - PR - 81.733.115/0001-97</t>
  </si>
  <si>
    <t>CIANORTE</t>
  </si>
  <si>
    <t>HOSPITAL UNIMED BLUMENAU - UNIDADE VILA NOVA - BLUMENAU - SC - 82.624.776/0006-51</t>
  </si>
  <si>
    <t>HOSPITAL STO ANTONIO - BLUMENAU - SC - 82.654.088/0001-20</t>
  </si>
  <si>
    <t>IMPERIAL HOSPITAL DE CARIDADE - FLORIANÓPOLIS - SC - 83.884.999/0001-06</t>
  </si>
  <si>
    <t>HU - UFSC - FLORIANÓPOLIS - SC - 83.899.526/0004-25</t>
  </si>
  <si>
    <t>CENTRO MEDICO UNIMED - TUBARÃO - SC - 85.241.339/0008-09</t>
  </si>
  <si>
    <t>HOSPITAL UNIMED LITORAL - BALNEÁRIO CAMBORIÚ - SC - 85.377.174/0003-92</t>
  </si>
  <si>
    <t>HOSPITAL DE CLINICAS - PORTO ALEGRE - RS - 87.020.517/0001-20</t>
  </si>
  <si>
    <t>CENTRO DE ONCOLOGIA UNIMED PORTO ALEGRE - PORTO ALEGRE - RS - 87.096.616/0031-01</t>
  </si>
  <si>
    <t>HOSPITAL DIVINA PROVIDENCIA - PORTO ALEGRE - RS - 87.317.764/0010-84</t>
  </si>
  <si>
    <t>HOSPITAL ESTRELA - ESTRELA - RS - 87.317.764/0011-65</t>
  </si>
  <si>
    <t>ASSOCIACAO DR BARTHOLOMEU TACCHINI - BENTO GONÇALVES - RS - 87.547.444/0001-20</t>
  </si>
  <si>
    <t>BENTO GONÇALVES</t>
  </si>
  <si>
    <t>UNIMED PLANALTO MEDIO - COOPERATIVA DE SERVICOS MEDICOS - PASSO FUNDO - RS - 87.607.149/0006-26</t>
  </si>
  <si>
    <t>UNICLINICA - ERECHIM - RS - 87.638.334/0005-05</t>
  </si>
  <si>
    <t>HOSPITAL UNIMED CAXIAS DO SUL - CAXIAS DO SUL - RS - 87.827.689/0024-05</t>
  </si>
  <si>
    <t>RS SSA GABINETE DO SECRETARIO - PORTO ALEGRE - RS - 87.958.625/0001-49</t>
  </si>
  <si>
    <t>HOSPITAL MAE DE DEUS - PORTO ALEGRE - RS - 88.625.686/0024-43</t>
  </si>
  <si>
    <t>HOSPITAL SAO LUCAS DA PUCRS - PORTO ALEGRE - RS - 88.630.413/0007-96</t>
  </si>
  <si>
    <t>HOSPITAL DO CIRCULO - CAXIAS DO SUL - RS - 88.645.403/0013-72</t>
  </si>
  <si>
    <t>MUNICIPIO DE CAXIAS DO SUL - CAXIAS DO SUL - RS - 88.830.609/0001-39</t>
  </si>
  <si>
    <t>HOSPITAL SAO VICENTE DE PAULO - PASSO FUNDO - RS - 92.021.062/0003-60</t>
  </si>
  <si>
    <t>HOSPITAL DIVINA PROVIDENCIA - FREDERICO WESTPHALEN - RS - 92.404.789/0001-64</t>
  </si>
  <si>
    <t>ASSOCIACAO HOSPITALAR MOINHOS DE VENTO - PORTO ALEGRE - RS - 92.685.833/0001-51</t>
  </si>
  <si>
    <t>HOSPITAL ERNESTO DORNELLES - PORTO ALEGRE - RS - 92.741.016/0002-54</t>
  </si>
  <si>
    <t>HOSPITAL NOSSA SENHORA DA CONCEICAO SA - PORTO ALEGRE - RS - 92.787.118/0001-20</t>
  </si>
  <si>
    <t>HOSPITAL CRISTO REDENTOR - PORTO ALEGRE - RS - 92.787.118/0003-91</t>
  </si>
  <si>
    <t>IRMANDADE DA SANTA CASA DE MISERICORDIA DE PORTO ALEGRE - PORTO ALEGRE - RS - 92.815.000/0001-68</t>
  </si>
  <si>
    <t>FUNDACAO UNIVERSITARIA DE CARDIOLOGIA - PORTO ALEGRE - RS - 92.898.550/0001-98</t>
  </si>
  <si>
    <t>PMPA - PORTO ALEGRE - RS - 92.963.560/0001-60</t>
  </si>
  <si>
    <t>INSTITUTO DE ONCOLOGIA KAPLAN - PORTO ALEGRE - RS - 94.831.294/0001-47</t>
  </si>
  <si>
    <t>HOSPITAL DE CARIDADE DR ASTROGILDO DE AZEVEDO - SANTA MARIA - RS - 95.610.887/0001-46</t>
  </si>
  <si>
    <t>CON-CENTRO ONCOLOGICO DE NITEROI LTDA - NITERÓI - RJ - 00.437.007/0001-75</t>
  </si>
  <si>
    <t>NITERÓI</t>
  </si>
  <si>
    <t>ONCOLOGIA CLINICA NITEROI S/S - NITERÓI - RJ - 00.521.197/0001-04</t>
  </si>
  <si>
    <t>HOSPITAL CAXIAS DOR  (REDE DOR) - DUQUE DE CAXIAS - RJ - 06.047.087/0013-72</t>
  </si>
  <si>
    <t>CEMED CARE - EMPRESA DE ATENDIMENTO CLINICO GERAL LTDA - NOVA IGUAÇU - RJ - 07.794.623/0015-28</t>
  </si>
  <si>
    <t>NOVA IGUAÇU</t>
  </si>
  <si>
    <t>H S COR - DUQUE DE CAXIAS - RJ - 08.562.523/0001-33</t>
  </si>
  <si>
    <t>DROGARIA DA PRACA - MANGARATIBA - RJ - 10.558.548/0001-05</t>
  </si>
  <si>
    <t>GLN HOSPITALAR - VOLTA REDONDA - RJ - 10.562.003/0001-72</t>
  </si>
  <si>
    <t>LIFE HOME CARE - MIRACEMA - RJ - 25.308.058/0001-28</t>
  </si>
  <si>
    <t>MIRACEMA</t>
  </si>
  <si>
    <t>HOSPITAL UNIVERSITARIO ANTONIO PEDRO - NITERÓI - RJ - 28.523.215/0003-78</t>
  </si>
  <si>
    <t>HOSPITAL UNIMED - PETRÓPOLIS - RJ - 28.806.545/0005-32</t>
  </si>
  <si>
    <t>PETRÓPOLIS</t>
  </si>
  <si>
    <t>SAMER HOSPITAL - RESENDE - RJ - 29.072.642/0001-88</t>
  </si>
  <si>
    <t>UNIMED DE NOVA FRIBURGO - NOVA FRIBURGO - RJ - 29.135.795/0002-08</t>
  </si>
  <si>
    <t>HOSPITAL MARIO LIONI - DUQUE DE CAXIAS - RJ - 29.435.005/0034-97</t>
  </si>
  <si>
    <t>HOSPITAL SAO JOSE DO AVAI - ITAPERUNA - RJ - 29.640.612/0001-20</t>
  </si>
  <si>
    <t>CASA DE SAUDE E MATERNIDADE SANTA MARTHA SA - NITERÓI - RJ - 30.079.461/0001-62</t>
  </si>
  <si>
    <t>NITEROI DOR (REDE DOR) - NITERÓI - RJ - 30.145.502/0001-71</t>
  </si>
  <si>
    <t>HOSPITAL SAO LUCAS - NOVA FRIBURGO - RJ - 30.537.740/0001-22</t>
  </si>
  <si>
    <t>C.T.O. - PETRÓPOLIS - RJ - 30.638.381/0001-08</t>
  </si>
  <si>
    <t>UNIMED COSTA DO SOL - HOSPITAL - MACAÉ - RJ - 35.830.868/0004-46</t>
  </si>
  <si>
    <t>MACAÉ</t>
  </si>
  <si>
    <t>HOSPITAL UNIMED - VOLTA REDONDA - RJ - 35.917.970/0007-26</t>
  </si>
  <si>
    <t>MEDCLINICA DO CENTRO DE TERESOPOLIS - ANGRA DOS REIS - RJ - 36.238.913/0001-98</t>
  </si>
  <si>
    <t>ANGRA DOS REIS</t>
  </si>
  <si>
    <t>HOSPITAL HCN - NITERÓI - RJ - 60.884.855/0012-07</t>
  </si>
  <si>
    <t>HOSPITAL UNIMED RESENDE - RESENDE - RJ - 68.709.211/0002-12</t>
  </si>
  <si>
    <t>MAIARA ALMEIDA DA SILVA - RIO DE JANEIRO - RJ - 003.204.650-20</t>
  </si>
  <si>
    <t>REJANE CELESTE DOS ANJOS BECKER - RIO DE JANEIRO - RJ - 053.719.447-96</t>
  </si>
  <si>
    <t>MARIA BEATRIZ DE SOUZA MOREIRA - RIO DE JANEIRO - RJ - 111.149.877-60</t>
  </si>
  <si>
    <t>HOSPITAL NAVAL MARCILIO DIAS - RIO DE JANEIRO - RJ - 00.394.502/0148-70</t>
  </si>
  <si>
    <t>INSTITUTO NACIONAL DE CANCER - RIO DE JANEIRO - RJ - 00.394.544/0171-50</t>
  </si>
  <si>
    <t>HOSPITAL GERAL DE BONSUCESSO/RJ - RIO DE JANEIRO - RJ - 00.394.544/0202-91</t>
  </si>
  <si>
    <t>HOSPITAL FEDERAL CARDOSO FONTES - RIO DE JANEIRO - RJ - 00.394.544/0203-72</t>
  </si>
  <si>
    <t>HOSPITAL DA LAGOA/RJ - RIO DE JANEIRO - RJ - 00.394.544/0204-53</t>
  </si>
  <si>
    <t>HOSPITAL GERAL DE IPANEMA/RJ - RIO DE JANEIRO - RJ - 00.394.544/0210-00</t>
  </si>
  <si>
    <t>INSTITUTO NACIONAL DE CARDIOLOGIA - RIO DE JANEIRO - RJ - 00.394.544/0213-44</t>
  </si>
  <si>
    <t>HOSPITAL BARRA DOR (REDE DOR) - RIO DE JANEIRO - RJ - 02.284.062/0005-21</t>
  </si>
  <si>
    <t>CENTRON - CENTRO DE TRATAMENTO ONCOLOGICO LTDA - RIO DE JANEIRO - RJ - 02.864.097/0001-06</t>
  </si>
  <si>
    <t>DROGARIA MODERNA - RIO DE JANEIRO - RJ - 04.779.685/0023-82</t>
  </si>
  <si>
    <t>HOSPITAL COPA DOR (REDE DOR) - RIO DE JANEIRO - RJ - 06.047.087/0009-96</t>
  </si>
  <si>
    <t>HOSPITAL QUINTA DOR (REDE DOR) - RIO DE JANEIRO - RJ - 06.047.087/0010-20</t>
  </si>
  <si>
    <t>HOSPITAL COPA DOR STAR (REDE DOR) - RIO DE JANEIRO - RJ - 06.047.087/0026-97</t>
  </si>
  <si>
    <t>HOSPITAL OESTE DOR (REDE DOR) - RIO DE JANEIRO - RJ - 06.047.087/0033-16</t>
  </si>
  <si>
    <t>CEMED CARE - EMPRESA DE ATENDIMENTO CLINICO GERAL LTDA - RIO DE JANEIRO - RJ - 07.794.623/0048-96</t>
  </si>
  <si>
    <t>HOSPITAL SAMARITANO - RIO DE JANEIRO - RJ - 08.100.676/0021-02</t>
  </si>
  <si>
    <t>INSTITUTO DOR DE GESTAO DE SAUDE PUBLICA (REDE DOR) - RIO DE JANEIRO - RJ - 08.850.962/0002-22</t>
  </si>
  <si>
    <t>UNIMED-RIO EMPREENDIMENTOS MEDICOS E HOSPITALARES LTDA - RIO DE JANEIRO - RJ - 09.219.138/0004-01</t>
  </si>
  <si>
    <t>UNIMED-RIO EMPREENDIMENTOS MEDICOS E HOSPITALARES LTDA - RIO DE JANEIRO - RJ - 09.219.138/0005-84</t>
  </si>
  <si>
    <t>HOSPITAL NORTE DOR DE CASCADURA S.A (REDE DOR) - RIO DE JANEIRO - RJ - 09.578.217/0001-58</t>
  </si>
  <si>
    <t>HOSPITAL CENTRALDO EXERCITO - RIO DE JANEIRO - RJ - 09.609.235/0002-30</t>
  </si>
  <si>
    <t>HOSPITAL CASA DE PORTUGAL - RIO DE JANEIRO - RJ - 11.279.865/0001-55</t>
  </si>
  <si>
    <t>HOSPITAL SAO VICENTE DE PAULO - RIO DE JANEIRO - RJ - 18.010.750/0001-00</t>
  </si>
  <si>
    <t>BRASIF S/A ADMINISTRACAO E PARTICIPACOES - RIO DE JANEIRO - RJ - 21.109.731/0001-40</t>
  </si>
  <si>
    <t>HOMEBABY HOMECARE DA CRIANCA ATENDIMENTO MEDICO DOMICILIAR LIMITADA - RIO DE JANEIRO - RJ - 21.265.360/0001-95</t>
  </si>
  <si>
    <t>HOSPITAL ILHA DO GOVERNADOR LTDA - RIO DE JANEIRO - RJ - 22.233.557/0001-05</t>
  </si>
  <si>
    <t>CLINICA CIRURGICA E ONCOLOGICA DA PENHA LTDA - RIO DE JANEIRO - RJ - 22.400.856/0001-97</t>
  </si>
  <si>
    <t>HOSPITAL CASA ARRENDATARIA SERVICOS MEDICOS HOSPITALARES E INVESTIMENTOS LTDA - RIO DE JANEIRO - RJ - 24.217.779/0001-60</t>
  </si>
  <si>
    <t>HOSPITAL DR. BADIM (REDE DOR) - RIO DE JANEIRO - RJ - 27.901.222/0001-31</t>
  </si>
  <si>
    <t>ONCOLOGIA REDE DOR S.A. - RIO DE JANEIRO - RJ - 28.000.107/0001-59</t>
  </si>
  <si>
    <t>URGIL - RIO DE JANEIRO - RJ - 28.602.407/0001-08</t>
  </si>
  <si>
    <t>HOSPITAL RIOS DOR (REDE DOR) - RIO DE JANEIRO - RJ - 29.259.736/0004-03</t>
  </si>
  <si>
    <t>HOSPITAL PRO-CARDIACO - RIO DE JANEIRO - RJ - 29.435.005/0051-98</t>
  </si>
  <si>
    <t>CASA DE SAUDE SANTA LUCIA - RIO DE JANEIRO - RJ - 29.435.005/0052-79</t>
  </si>
  <si>
    <t>HOSPITAL PASTEUR - RIO DE JANEIRO - RJ - 29.435.005/0057-83</t>
  </si>
  <si>
    <t>HOSPITAL SAMARITANO - RIO DE JANEIRO - RJ - 29.435.005/0061-60</t>
  </si>
  <si>
    <t>CLINICA SAO VICENTE (REDE DOR) - RIO DE JANEIRO - RJ - 31.635.857/0001-01</t>
  </si>
  <si>
    <t>HOSPITAIS INTEGRADOS DA GAVEA S/A - RIO DE JANEIRO - RJ - 31.635.857/0002-92</t>
  </si>
  <si>
    <t>ASSIM SAUDE - RIO DE JANEIRO - RJ - 31.925.548/0001-76</t>
  </si>
  <si>
    <t>HOSPITAL DE CLINICAS RIO MAR BARRA LTDA - RIO DE JANEIRO - RJ - 32.154.700/0001-27</t>
  </si>
  <si>
    <t>PETROBRAS - RIO DE JANEIRO - RJ - 33.000.167/0001-01</t>
  </si>
  <si>
    <t>LARANJEIRAS CLINICA PERINATAL - RIO DE JANEIRO - RJ - 33.419.482/0002-59</t>
  </si>
  <si>
    <t>UERJ - RIO DE JANEIRO - RJ - 33.540.014/0001-57</t>
  </si>
  <si>
    <t>INSTITUTO DE PUERICULTURA E PEDIATRIA MARTAGAO GESTEIR - RIO DE JANEIRO - RJ - 33.663.683/0026-74</t>
  </si>
  <si>
    <t>HOSPITAL UNIVERSITARIO - RIO DE JANEIRO - RJ - 33.663.683/0053-47</t>
  </si>
  <si>
    <t>HOSPITAL ISRAELITA ALBERT SABIN (REDE DOR) - RIO DE JANEIRO - RJ - 33.722.224/0001-66</t>
  </si>
  <si>
    <t>INSTITUTO FERNANDES FIGUEIRA - RIO DE JANEIRO - RJ - 33.781.055/0002-16</t>
  </si>
  <si>
    <t>CENTRO DE ESTUDOS E PESQUISAS 28 - RIO DE JANEIRO - RJ - 33.927.377/0001-40</t>
  </si>
  <si>
    <t>HOSPITAL DE CLINICAS DE JACAREPAGUA LTDA - RIO DE JANEIRO - RJ - 34.058.123/0001-03</t>
  </si>
  <si>
    <t>COI CLINICAS ONCOLOGICAS INTEGRADAS SA - RIO DE JANEIRO - RJ - 39.086.160/0001-30</t>
  </si>
  <si>
    <t>FUNDACAO ARY FRAUZINO PARA PESQUISA E CONTROL DO CANCER - RIO DE JANEIRO - RJ - 40.226.946/0002-76</t>
  </si>
  <si>
    <t>CLIMES CLINICA MEDICA ESPECIALIZADA LTDA - RIO DE JANEIRO - RJ - 40.320.103/0001-53</t>
  </si>
  <si>
    <t>HOSPITAL BALBINO - RIO DE JANEIRO - RJ - 42.297.507/0001-07</t>
  </si>
  <si>
    <t>HOSPITAL SAO FRANCISCO NA PROVIDENCIA DE DEUS - RIO DE JANEIRO - RJ - 53.221.255/0049-95</t>
  </si>
  <si>
    <t>HOSPITAL SAO LUCAS - RIO DE JANEIRO - RJ - 60.884.855/0016-30</t>
  </si>
  <si>
    <t>CASA DE SAUDE SAO JOSE - RIO DE JANEIRO - RJ - 60.922.168/0003-48</t>
  </si>
  <si>
    <t>ONCOCLINICA - CENTRO DE TRATAMENTO ONCOLOGICO S.A. - RIO DE JANEIRO - RJ - 72.101.124/0005-06</t>
  </si>
  <si>
    <t>HOSPITAL ADVENTISTA SILVESTRE - RIO DE JANEIRO - RJ - 73.696.718/0002-19</t>
  </si>
  <si>
    <t>PEDRO FLÁVIO - BELÉM - PA - 123.710.092-53</t>
  </si>
  <si>
    <t>BELÉM</t>
  </si>
  <si>
    <t>GUSTAVO PRIETO BORGES MOREIRA - CONSELHEIRO LAFAIETE - MG - 173.769.686-01</t>
  </si>
  <si>
    <t>GUILHERME MOURA DA SILVA - RIBEIRÃO DAS NEVES - MG - 703.064.536-73</t>
  </si>
  <si>
    <t>RIBEIRÃO DAS NEVES</t>
  </si>
  <si>
    <t>LARISSA HELENA AMARAL CASTRO - BELÉM - PA - 917.771.862-34</t>
  </si>
  <si>
    <t>TAIANA ANGELICA LUZ _x000D_
 - BELÉM - PA - 933.266.452-87</t>
  </si>
  <si>
    <t>ONCOMED CENTRO PREV E TRAT DE DOENCAS NEOPLASICAS LTDA - BELO HORIZONTE - MG - 00.132.229/0001-80</t>
  </si>
  <si>
    <t>DEPARTAMENTO DE LOGISTICA - BRASÍLIA - DF - 00.394.544/0008-51</t>
  </si>
  <si>
    <t>HEMATOLOGICA - CLINICA DE HEMATOLOGIA LTDA - BELO HORIZONTE - MG - 00.410.960/0001-20</t>
  </si>
  <si>
    <t>HOSPITAL SANCTA MAGGIORE PINHEIROS - SÃO PAULO - SP - 00.461.479/0041-50</t>
  </si>
  <si>
    <t>PRONTO ATENDIMENTO SANCTA MAGGIORE JARDIM PAULISTA - SÃO PAULO - SP - 00.461.479/0051-22</t>
  </si>
  <si>
    <t>CLINICA PERINATAL VITORIA LTDA - SERRA - ES - 01.396.804/0001-14</t>
  </si>
  <si>
    <t>INSTITUTO MINEIRO ESPECIALIZADO EM GASTROENTEROLOGIA - BELO HORIZONTE - MG - 01.444.455/0001-69</t>
  </si>
  <si>
    <t>NUCLEO DE HEMATOLOGIA E ONCOLOGIA - BELO HORIZONTE - MG - 02.623.693/0001-02</t>
  </si>
  <si>
    <t>CLINICA DE ONCOLOGIA REICHOW LTDA - BLUMENAU - SC - PRIVADO - 03.354.642/0001-87</t>
  </si>
  <si>
    <t>SAMEL - MANAUS - AM - 04.159.778/0001-07</t>
  </si>
  <si>
    <t>UNIMED DE BELEM COOPERATIVA DE TRABALHO MEDICO - BELÉM - PA - 04.201.372/0010-28</t>
  </si>
  <si>
    <t>NEON - NUCLEO ESPECIALIZADO EM ONCOLOGIA - SERRA - ES - 04.786.490/0001-54</t>
  </si>
  <si>
    <t>FUNDACAO SANTA CASA - BELÉM - PA - 04.929.345/0001-85</t>
  </si>
  <si>
    <t>BENEFICENCIA NIPO BRASILEIRA DA AMAZONIA - BELÉM - PA - 04.966.545/0003-70</t>
  </si>
  <si>
    <t>PA SSA GABINETE DO SECRETARIO - BELÉM - PA - 05.054.929/0001-17</t>
  </si>
  <si>
    <t>I. O. M. - MACAPÁ - AP - 06.070.425/0001-53</t>
  </si>
  <si>
    <t>MACAPÁ</t>
  </si>
  <si>
    <t>PIAUI SECRETARIA DE SAUDE - TERESINA - PI - 06.553.564/0001-38</t>
  </si>
  <si>
    <t>SAO BERNARDO APART - COLATINA - ES - 07.039.651/0001-34</t>
  </si>
  <si>
    <t>CETAL - CENTRO DE TRATAMENTO DO APARELHO LOCOMOTOR LTDA - JUIZ DE FORA - MG - 07.457.902/0001-09</t>
  </si>
  <si>
    <t>HOSPITAL ALVORADA SANTO AMARO - SÃO PAULO - SP - 08.100.676/0006-73</t>
  </si>
  <si>
    <t>ONCOVIT DISTRIBUIDORA DE MEDICAMENTOS LTDA - VITÓRIA - ES - 10.586.940/0001-68</t>
  </si>
  <si>
    <t>VITÓRIA</t>
  </si>
  <si>
    <t>CID - CENTRO DE INFUSAO - RIO DE JANEIRO - RJ - PRIVADO - 10.922.058/0001-46</t>
  </si>
  <si>
    <t>HOSPITAL LAYR MAIA - BELÉM - PA - 12.361.267/0002-74</t>
  </si>
  <si>
    <t>HOSPITAL SAO LUCAS - MANAUS - AM - 12.361.267/0116-32</t>
  </si>
  <si>
    <t>UNIMED SUL DO PARA - MARABÁ - PA - 14.112.023/0001-00</t>
  </si>
  <si>
    <t>MARABÁ</t>
  </si>
  <si>
    <t>PLAMHUV - VIÇOSA - MG - 14.408.631/0001-59</t>
  </si>
  <si>
    <t>VIÇOSA</t>
  </si>
  <si>
    <t>EBSERH HOSPITAL UNIVERSITARIO DO TRIANGULO MINEIRO - UBERABA - MG - 151.26.437/0005-77</t>
  </si>
  <si>
    <t>HOSPITAL UNIVERSITARIO ANTONIO PEDRO - NITEROI - RJ - PRIVADO - 15.126.437/0036-73</t>
  </si>
  <si>
    <t>ONCO CANE VETERINARIA LTDA - SAO PAULO - SP - PRIVADO - 15.217.814/0001-50</t>
  </si>
  <si>
    <t>HOSPITAL MATER DEI SA - BELO HORIZONTE - MG - 16.676.520/0001-59</t>
  </si>
  <si>
    <t>HOSPITAL MATER DEI - BELO HORIZONTE - MG - PRIVADO - 16.676.520/0005-82</t>
  </si>
  <si>
    <t>UBERLANDIA MEDICAL CENTER - UBERLÂNDIA - MG - 17.087.591/0001-89</t>
  </si>
  <si>
    <t>UBERLÂNDIA</t>
  </si>
  <si>
    <t>FUNDACAO FELICE ROSSO - BELO HORIZONTE - MG - 17.214.149/0001-76</t>
  </si>
  <si>
    <t>HOSPITAL GOVERNADOR ISRAEL PINHEIRO - HGIP - BELO HORIZONTE - MG - 17.217.332/0039-06</t>
  </si>
  <si>
    <t>UNIMED JUIZ DE FORA COOP DE TRABALHO MEDICO LTDA - JUIZ DE FORA - MG - 17.689.407/0009-28</t>
  </si>
  <si>
    <t>CLINICA UNIMED - UBERABA - MG - 17.774.738/0006-13</t>
  </si>
  <si>
    <t>HOSPITAL SANTA GENOVEVA LTDA - UBERLÂNDIA - MG - 18.484.378/0001-73</t>
  </si>
  <si>
    <t>RAUL SOARES GABINETE DO PREFEITO - RAUL SOARES - MG - 18.836.965/0001-84</t>
  </si>
  <si>
    <t>CASA DE CARIDADE DE CARANGOLA - CARANGOLA - MG - 19.274.091/0001-81</t>
  </si>
  <si>
    <t>HOSPITAL JOAO PENIDO - JUIZ DE FORA - MG - 19.843.929/0010-00</t>
  </si>
  <si>
    <t>HOSPITAL EDUARDO DE MENEZES - BELO HORIZONTE - MG - 19.843.929/0011-82</t>
  </si>
  <si>
    <t>HOSPITAL INFANTIL JOAO PAULO II - BELO HORIZONTE - MG - 19.843.929/0015-06</t>
  </si>
  <si>
    <t>HOSPITAL GERAL DE BARBACENA DR. JOSE AMERICO - BARBACENA - MG - 19.843.929/0016-97</t>
  </si>
  <si>
    <t>HOSPITAL JULIA KUBITSCHEK - BELO HORIZONTE - MG - 19.843.929/0028-20</t>
  </si>
  <si>
    <t>HOSPITAL MARCIO CUNHA - IPATINGA - MG - 19.878.404/0001-00</t>
  </si>
  <si>
    <t>HOSPITAL E MATERNIDADE MADRECOR - UBERLÂNDIA - MG - 20.150.900/0001-22</t>
  </si>
  <si>
    <t>CERUB - CENTRO REUMATOLOGICO DE UBERLNDIA - UBERLÂNDIA - MG - 20.207.543/0001-91</t>
  </si>
  <si>
    <t>GOVERNADOR VALADARES PREF GABINETE DO PREFEITO - GOVERNADOR VALADARES - MG - 20.622.890/0001-80</t>
  </si>
  <si>
    <t>GOVERNADOR VALADARES</t>
  </si>
  <si>
    <t>UNIMED ARAGUARI - ARAGUARI - MG - 20.909.271/0001-71</t>
  </si>
  <si>
    <t>AISI FMIT HE - ITAJUBÁ - MG - 21.040.696/0003-11</t>
  </si>
  <si>
    <t>ITAJUBÁ</t>
  </si>
  <si>
    <t>FUNDACAO OURO BRANCO - OURO BRANCO - MG - 21.299.615/0001-30</t>
  </si>
  <si>
    <t>UNIMONTES - MONTES CLAROS - MG - 22.675.359/0001-00</t>
  </si>
  <si>
    <t>SANTA CASA - PASSOS - MG - 23.278.898/0001-60</t>
  </si>
  <si>
    <t>CASA DE SAUDE E MATERNIDADE NOSSA SENHORA DE FATIMA S A - PATOS DE MINAS - MG - 23.338.387/0001-96</t>
  </si>
  <si>
    <t>SANTA CASA DE MISERICORDIA NOSSA SENHORA DO PATROCINIO - PATROCÍNIO - MG - 23.406.564/0001-24</t>
  </si>
  <si>
    <t>PATROCÍNIO</t>
  </si>
  <si>
    <t>HOSPITAL REGIONAL DO BAIXO AM DO PARA DR WALDEMAR PENNA - SANTARÉM - PA - 24.232.886/0083-03</t>
  </si>
  <si>
    <t>SANTARÉM</t>
  </si>
  <si>
    <t>INSTITUTO DE CLINICAS E CIRURGIA DE JUIZ DE FORA LTDA - JUIZ DE FORA - MG - 25.415.993/0001-93</t>
  </si>
  <si>
    <t>HOSPITAL DE CLINICAS DA UFU - UBERLÂNDIA - MG - 25.648.387/0002-07</t>
  </si>
  <si>
    <t>HOSPITAL E MATERNIDADE SANTA CLARA LTDA - UBERLÂNDIA - MG - 25.761.040/0001-87</t>
  </si>
  <si>
    <t>UNIMED ARAXA COOPERATIVA DE TRABALHO MEDICO LTDA - ARAXÁ - MG - 25.910.449/0004-60</t>
  </si>
  <si>
    <t>ARAXÁ</t>
  </si>
  <si>
    <t>HOSPITAL DR. ROBERTO ARNIZAUT SILVARES - SÃO MATEUS - ES - 27.080.605/0003-58</t>
  </si>
  <si>
    <t>SÃO MATEUS</t>
  </si>
  <si>
    <t>HOSPITAL DOUTOR DORIO SILVA - SERRA - ES - 27.080.605/0015-91</t>
  </si>
  <si>
    <t>CIAS UNIMED VITORIA - CENTRO INTEGRADO ATENCAO A SAUDE - VITÓRIA - ES - 27.578.434/0015-25</t>
  </si>
  <si>
    <t>FORTAL FARMACE - FORTALEZA - CE - 28.12.490/0001-56</t>
  </si>
  <si>
    <t>HOSPITAL SANTA RITA DE CASSIA - VITÓRIA - ES - 28.137.925/0001-06</t>
  </si>
  <si>
    <t>INFUSIONAL TERAPIA IMUNOBIOLOGICA ASSISTIDA LTDA - LINHARES - ES - 29.323.454/0001-85</t>
  </si>
  <si>
    <t>DA MATTA AIN CLINICA DE VACINA LTDA - TAUBATÉ - SP - 29.929.600/0001-10</t>
  </si>
  <si>
    <t>TAUBATÉ</t>
  </si>
  <si>
    <t>HOSPITAL E CLINICA SAO GONCALO - SÃO GONÇALO - RJ - 31.671.480/0001-46</t>
  </si>
  <si>
    <t>SÃO GONÇALO</t>
  </si>
  <si>
    <t>HOSPITAL ICARAI - NITERÓI - RJ - 31.671.480/0003-08</t>
  </si>
  <si>
    <t>CASA DE SAUDE SANTA THEREZINHA S A - RIO DE JANEIRO - RJ - 33.575.127/0006-00</t>
  </si>
  <si>
    <t>IMUNOMED ESPECIALIDADES E CLINICA DE INFUSAO - VITÓRIA - ES - 39.387.477/0001-07</t>
  </si>
  <si>
    <t>HOSPITAL UNIMED - PRONTO ATENDIMENTO - POÇOS DE CALDAS - MG - 41.781.949/0002-34</t>
  </si>
  <si>
    <t>POÇOS DE CALDAS</t>
  </si>
  <si>
    <t>RIO DE JANEIRO GABINETE DO PREFEITO - RIO DE JANEIRO - RJ - 42.498.733/0001-48</t>
  </si>
  <si>
    <t>HOSPITAL UNIMED TRES CORACOES - TRÊS CORAÇÕES - MG - 42.855.999/0003-62</t>
  </si>
  <si>
    <t>TRÊS CORAÇÕES</t>
  </si>
  <si>
    <t>HOSPITAL SANTA IGNES - INDAIATUBA - SP - 44.732.469/0001-90</t>
  </si>
  <si>
    <t>INDAIATUBA</t>
  </si>
  <si>
    <t>UNIMED CAMPINAS COOPERATIVA DE TRABALHO MEDICO - SÃO PAULO - SP - 46.124.624/0026-70</t>
  </si>
  <si>
    <t>INSTITUTO DANTE PAZZANESE DE CARDIOLOGIA - SÃO PAULO - SP - 46.374.500/0009-41</t>
  </si>
  <si>
    <t>FUNDACAO PIO XII - BARRETOS - SP - 49.150.352/0002-01</t>
  </si>
  <si>
    <t>BARRETOS</t>
  </si>
  <si>
    <t>HOSPITAL UNIMED - UNIDADE ANCHIETA - JUNDIAÍ - SP - 56.727.134/0012-16</t>
  </si>
  <si>
    <t>HOSPITAL MADRE TERESA - BELO HORIZONTE - MG - 60.194.990/0008-44</t>
  </si>
  <si>
    <t>AACD - SÃO PAULO - SP - 60.979.457/0001-11</t>
  </si>
  <si>
    <t>HOSPITAL DE CLINICAS LUZIA DE PINHO MELO - MOJI DAS CRUZES - SP - 61.699.567/0008-69</t>
  </si>
  <si>
    <t>SPDM - ASSOCIACAO PAULISTA PARA O DESENVOLVIMENTO DA MEDICINA - TAUBATÉ - SP - 61.699.567/0089-24</t>
  </si>
  <si>
    <t>HOSPITAL SAO FRANSCISCO - BRASÍLIA - DF - 72.576.143/0001-57</t>
  </si>
  <si>
    <t>CENTRO HOSPITALAR UNIMED - JOINVILLE - SC - 82.602.327/0003-60</t>
  </si>
  <si>
    <t>HOSPITAL ADVENTISTA DE BELEM - BELÉM - PA - 83.367.342/0002-52</t>
  </si>
  <si>
    <t>SAMEL - MANAUS - AM - 84.537.141/0001-38</t>
  </si>
  <si>
    <t xml:space="preserve">TAIANA ANGELICA LUZ _x000D_
 - BELÉM - PA - 933.266.452-87_x000D_
</t>
  </si>
  <si>
    <t>HOSPITAL UNIVERST DA UFSCAR PROF DR HORACIO C PANEPUCCI - SÃO CARLOS - SP</t>
  </si>
  <si>
    <t>HOSPITAL DE CLINICAS DA UFU - UBERLÂNDIA - MG</t>
  </si>
  <si>
    <t>JUNDIAI GABINETE PREFEITO - JUNDIAÍ - SP</t>
  </si>
  <si>
    <t>DEPARTAM. REGIONAL DE SAUDE DE RIB. PRETO - DRS XIII - RIBEIRÃO PRETO - SP</t>
  </si>
  <si>
    <t>HOSPITAL GERAL DE TAIPAS - SÃO PAULO - SP</t>
  </si>
  <si>
    <t>HOSPITAL REGIONAL SUL - SÃO PAULO - SP</t>
  </si>
  <si>
    <t>HOSPITAL GERAL DE VILA PENTEADO - SÃO PAULO - SP</t>
  </si>
  <si>
    <t>SECRETARIA DA SAUDE UNIDADE DE GESTAO ASSISTENCIAL IV - SÃO PAULO - SP</t>
  </si>
  <si>
    <t>HOSPITAL DO SERVIDOR PUBLICO MUNICIPAL - SÃO PAULO - SP</t>
  </si>
  <si>
    <t>INSTITUTO DO CANCER DO ESTADO DE SAO PAULO - SÃO PAULO - SP</t>
  </si>
  <si>
    <t>CENTRO DE REFERENCIA DA SAUDE DA MULHER - MATER - RIBEIRÃO PRETO - SP</t>
  </si>
  <si>
    <t>HOSPITAL DE BASE - SÃO JOSÉ DO RIO PRETO - SP</t>
  </si>
  <si>
    <t>HOSPITAL DAS CLINICAS DA FACULDADE DE MEDICINA DA U S P - SÃO PAULO - SP</t>
  </si>
  <si>
    <t>IAMSPE - SÃO PAULO - SP</t>
  </si>
  <si>
    <t>SOC BENEFICIENTE DE SENHORAS HOSPITAL SIRIO LIBANES - SÃO PAULO - SP</t>
  </si>
  <si>
    <t>UNIDADE BRASILIA IV - BRASÍLIA - DF</t>
  </si>
  <si>
    <t>REAL E BENEMERITA ASSOCIACAO PORTUGUESA DE BENEFICENCIA - SÃO PAULO - SP</t>
  </si>
  <si>
    <t>DEPARTAMENTO DE LOGISTICA - BRASÍLIA - DF</t>
  </si>
  <si>
    <t>MEDRADIUS - MACEIÓ - AL</t>
  </si>
  <si>
    <t>ICIPE - BRASÍLIA - DF</t>
  </si>
  <si>
    <t>EBSERH HOSPITAL UNIVERSITARIO DE BRASILIA - BRASÍLIA - DF</t>
  </si>
  <si>
    <t>HCFAMEMA - MARÍLIA - SP</t>
  </si>
  <si>
    <t>HOSPITAL DR. ROBERTO ARNIZAUT SILVARES - SÃO MATEUS - ES</t>
  </si>
  <si>
    <t>UNID INT SAUDE DR OSWALDO B FARIA DE MIRANDOPOLIS - MIRANDÓPOLIS - SP</t>
  </si>
  <si>
    <t>DEPARTAMENTO REGIONAL DE SAUDE - DRS II - ARACATUBA - ARAÇATUBA - SP</t>
  </si>
  <si>
    <t>COORDENADORIA DE ASSISTENCIA FARMACEUTICA - SÃO PAULO - SP</t>
  </si>
  <si>
    <t>HOSPITAL ISRAELITA ALBERTEINSTEIN - SÃO PAULO - SP</t>
  </si>
  <si>
    <t>HOSPITAL SAO PAULO - SÃO PAULO - SP</t>
  </si>
  <si>
    <t>ESCRITORIO DE REPRESENTACAO DO MS/SAO PAULO - SÃO PAULO - SP</t>
  </si>
  <si>
    <t>ONCOVIT DISTRIBUIDORA DE MEDICAMENTOS LTDA - VITÓRIA - ES</t>
  </si>
  <si>
    <t>EBSERH HOSPITAL UNIVERSITARIO DE SAO LUIS - SÃO LUÍS - MA</t>
  </si>
  <si>
    <t>HOSPITAL UNIVERSITARIO ANTONIO PEDRO - NITERÓI - RJ</t>
  </si>
  <si>
    <t>CONJUNTO HOSPITALAR DO MANDAQUI - SÃO PAULO - SP</t>
  </si>
  <si>
    <t>HOSPITAL GERAL DE VILA NOVA CACHOEIRINHA - SÃO PAULO - SP</t>
  </si>
  <si>
    <t>HOSPITAL MATERNID INTERLAGOS WALDEMAR SEYSSEL - ARRELIA - SÃO PAULO - SP</t>
  </si>
  <si>
    <t>SAO JOSE DOS CAMPOS GABINETE DO PREFEITO - SÃO JOSÉ DOS CAMPOS - SP</t>
  </si>
  <si>
    <t>FUNDACAO FACULDADE DE MEDICINA - SÃO PAULO - SP</t>
  </si>
  <si>
    <t>HOSPITAL DAS FORCAS ARMADAS - BRASÍLIA - DF</t>
  </si>
  <si>
    <t>SAFELAB - SÃO BERNARDO DO CAMPO - SP</t>
  </si>
  <si>
    <t>MEDCOM - BRASÍLIA - DF</t>
  </si>
  <si>
    <t>HOSPITAL GERAL DE SAO MATHEUS - SÃO PAULO - SP</t>
  </si>
  <si>
    <t>FUNDACAO SANTA CASA - BELÉM - PA</t>
  </si>
  <si>
    <t>AUTARQUIA HOSPITALAR MUNICIPAL - SÃO PAULO - SP</t>
  </si>
  <si>
    <t>EBSERH HOSPITAL UNIVERSITARIO DO TRIANGULO MINEIRO - UBERABA - MG</t>
  </si>
  <si>
    <t>MATERNIDADE CLIMERIO DE OLIVEIRA - SALVADOR - BA</t>
  </si>
  <si>
    <t>HOSPITAL UNIVERSITARIO ALCIDES CARNEIRO - CAMPINA GRANDE - PB</t>
  </si>
  <si>
    <t>HOSPITAL PROFESSOR EDGARDSANTOS - SALVADOR - BA</t>
  </si>
  <si>
    <t>HOSPITAL EDUARDO DE MENEZES - BELO HORIZONTE - MG</t>
  </si>
  <si>
    <t>HOSPITAL JULIA KUBITSCHEK - BELO HORIZONTE - MG</t>
  </si>
  <si>
    <t>FORTAL FARMACE - FORTALEZA - CE</t>
  </si>
  <si>
    <t>MEDICAMENTAL HOSPITALAR - RIBEIRAO PRETO - SP</t>
  </si>
  <si>
    <t>INSTITUTO DANTE PAZZANESE DE CARDIOLOGIA - SÃO PAULO - SP</t>
  </si>
  <si>
    <t>HOSPITAL GERAL JESUS TEIXEIRA DA COSTA - GUAIANASES - SÃO PAULO - SP</t>
  </si>
  <si>
    <t>FUNDACAO DE DESENVOLVIMENTO DA UNICAMP FUNCAMP - CAMPINAS - SP</t>
  </si>
  <si>
    <t>FES - FLORIANÓPOLIS - SC</t>
  </si>
  <si>
    <t>CLINICA SAO CAMILO - LUÍS EDUARDO MAGALHÃES - BA - 05.430.118/0001-73</t>
  </si>
  <si>
    <t>LUÍS EDUARDO MAGALHÃES</t>
  </si>
  <si>
    <t>NUTEC ROO - RONDONÓPOLIS - MT - 11.836.436/0001-31</t>
  </si>
  <si>
    <t>DEPOSITO-ARMAZEM BELEM/PA - BELÉM - PA - 12.361.267/0033-70</t>
  </si>
  <si>
    <t>DEPOSITO - ARMAZEM JABOATAO DOS GUARARAPES/PE - JABOATÃO DOS GUARARAPES - PE - 12.361.267/0057-48</t>
  </si>
  <si>
    <t>HOSPITAL SAO LUCAS - CAMPO BELO - MG - 19.130.186/0001-21</t>
  </si>
  <si>
    <t>CAMPO BELO</t>
  </si>
  <si>
    <t xml:space="preserve"> </t>
  </si>
  <si>
    <t>HOSPITAL JOAO XXIII - BELO HORIZONTE - MG - 19.843.929/0013-44</t>
  </si>
  <si>
    <t>HOSPITAL JOAO XXIII - BELO HORIZONTE - MG</t>
  </si>
  <si>
    <t>LICIMASTER</t>
  </si>
  <si>
    <t>Estabelecimento.1</t>
  </si>
  <si>
    <t>@-Configurado</t>
  </si>
  <si>
    <t>gerente.vago.EMH@vago.com</t>
  </si>
  <si>
    <t>XXX-GERENTE VAGO EMH</t>
  </si>
  <si>
    <t>vago.EMH.SUL@vago.com</t>
  </si>
  <si>
    <t>XXX-EMH-VAGO-SUL - PR/SC/RSM</t>
  </si>
  <si>
    <t>representante.vago.EMH@vago.com</t>
  </si>
  <si>
    <t>XXX-REPRESENTANTE EMH VAGO</t>
  </si>
  <si>
    <t>vago.EMH.NO@vago.com</t>
  </si>
  <si>
    <t>XXX-EMH-VAGO NO (DF/GO/MS/MT/TO)</t>
  </si>
  <si>
    <t>vago.EMH.RJ@vago.com</t>
  </si>
  <si>
    <t>XXX-EMH-VAGO RJ</t>
  </si>
  <si>
    <t>vago.EMH.SPC@vago.com</t>
  </si>
  <si>
    <t>XXX-EMH-VAGO SPC</t>
  </si>
  <si>
    <t>vago.EMH.SPI@vago.com</t>
  </si>
  <si>
    <t>XXX-EMH-VAGO SPI</t>
  </si>
  <si>
    <t>vago.HSP.MG-ES@vago.com</t>
  </si>
  <si>
    <t>XXX-HSP-VAGO (MG-ES)</t>
  </si>
  <si>
    <t>SubTotal</t>
  </si>
  <si>
    <t xml:space="preserve">A </t>
  </si>
  <si>
    <t>Grupo-Distribuidor</t>
  </si>
  <si>
    <t>PRONEP LAR INTERNACAO DOMICILIAR LTDA - RIO DE JANEIRO - RJ - 00.092.929/0001-98</t>
  </si>
  <si>
    <t>FUNDACAO SAUDE DO ESTADO DO RIO DE JANEIRO - RIO DE JANEIRO - RJ - 10.834.118/0001-79</t>
  </si>
  <si>
    <t>HOSPITAL MEMORIAL FUAD CHIDID LTDA - RIO DE JANEIRO - RJ - 33.705.849/0005-43</t>
  </si>
  <si>
    <t>01 - CSL BEHRING (Venda Direta)</t>
  </si>
  <si>
    <t>FARMAVISTA (MOSTAERT)</t>
  </si>
  <si>
    <t>BIOMIG</t>
  </si>
  <si>
    <r>
      <rPr>
        <b/>
        <sz val="14"/>
        <color rgb="FFFF0000"/>
        <rFont val="Calibri"/>
        <family val="2"/>
        <scheme val="minor"/>
      </rPr>
      <t>CSL Behring</t>
    </r>
    <r>
      <rPr>
        <b/>
        <sz val="14"/>
        <color rgb="FF0070C0"/>
        <rFont val="Calibri"/>
        <family val="2"/>
        <scheme val="minor"/>
      </rPr>
      <t xml:space="preserve"> - Demanda por Distribuidores -  Cálculo Incentivo 2019</t>
    </r>
  </si>
  <si>
    <t>0-Setorizar</t>
  </si>
  <si>
    <t>#eq</t>
  </si>
  <si>
    <t>CIDADE</t>
  </si>
  <si>
    <t>UN</t>
  </si>
  <si>
    <t>FP PRIVIGEN 10% 50ML</t>
  </si>
  <si>
    <t>FP HIZENTRA 20% 10ML BR (2G)</t>
  </si>
  <si>
    <t>FP HIZENTRA 20% 5ML BR (1G)</t>
  </si>
  <si>
    <t>FP BERINERT 500E BR</t>
  </si>
  <si>
    <t>FP HIZENTRA 20% 20ML BR (4G)</t>
  </si>
  <si>
    <t>HAEMOCOMPLETTAN P</t>
  </si>
  <si>
    <t>BERIPLEX P/N 500 UI</t>
  </si>
  <si>
    <t>FP PRIVIGEN 10% 100ML</t>
  </si>
  <si>
    <t>FP PRIVIGEN 10% 25ML</t>
  </si>
  <si>
    <t>HOSPITAL POLICLINICA CASCAVEL - CASCAVEL - PR - 76.081.892/0001-64</t>
  </si>
  <si>
    <t>PRODUTO</t>
  </si>
  <si>
    <t>PMMG - BELO HORIZONTE - MG</t>
  </si>
  <si>
    <t>PREFEITURA DE LINS - LINS - SP</t>
  </si>
  <si>
    <t>Rótulos de Linha</t>
  </si>
  <si>
    <t>Unidades</t>
  </si>
  <si>
    <t>Soma de Demanda.PRIVIGEN</t>
  </si>
  <si>
    <r>
      <rPr>
        <b/>
        <sz val="16"/>
        <color rgb="FFFF0000"/>
        <rFont val="Calibri"/>
        <family val="2"/>
        <scheme val="minor"/>
      </rPr>
      <t>CSL Behring</t>
    </r>
    <r>
      <rPr>
        <b/>
        <sz val="16"/>
        <color rgb="FF0070C0"/>
        <rFont val="Calibri"/>
        <family val="2"/>
        <scheme val="minor"/>
      </rPr>
      <t xml:space="preserve"> - Cálculo Incentivo 2019  - </t>
    </r>
    <r>
      <rPr>
        <b/>
        <sz val="16"/>
        <color rgb="FFFF0000"/>
        <rFont val="Calibri"/>
        <family val="2"/>
        <scheme val="minor"/>
      </rPr>
      <t>Correção</t>
    </r>
  </si>
  <si>
    <t>christiane.garcia@cslbehring.com</t>
  </si>
  <si>
    <t>CHRISTIANE ROSEMARY GARCIA</t>
  </si>
  <si>
    <t>HOSPITAL SANCTA MAGGIORE HIGIENOPOLIS - SÃO PAULO - SP - 00.461.479/0071-76</t>
  </si>
  <si>
    <t>HOSPITAL INGLES LTDA. - EPP - SÃO PAULO - SP - 08.604.105/0001-61</t>
  </si>
  <si>
    <t>HOSPITAL SANTA CLARA - SÃO PAULO - SP - 20.973.216/0001-40</t>
  </si>
  <si>
    <t>NOTRE DAME INTERMEDICA SAUDE S.A.  - SÃO PAULO - SP - 44.649.812/0212-16</t>
  </si>
  <si>
    <t>CENTRO DE HEMATOLOGIA DE SAO PAULO - SÃO PAULO - SP - 45.876.208/0001-07</t>
  </si>
  <si>
    <t>HOSPITAL SANTA MARCELINA - SÃO PAULO - SP - 60.742.616/0001-60</t>
  </si>
  <si>
    <t>ORGANIZACAO SOCIAL DE SAUDE SANTA MARCELINA - SÃO PAULO - SP - 60.742.616/0006-74</t>
  </si>
  <si>
    <t>HOSPITAL GERAL DE PEDREIRA - SÃO PAULO - SP - 61.699.567/0062-04</t>
  </si>
  <si>
    <t>HOSPITAL ABC UNIDADE CIRURGICA - SÃO BERNARDO DO CAMPO - SP - 08.100.676/0004-01</t>
  </si>
  <si>
    <t>HOSPITAL GUILHERME ALVARO - SANTOS - SP - 46.374.500/0016-70</t>
  </si>
  <si>
    <t>IRM SENHOR DOS PASSOS E STA CAS MISER GUARATINGUETA - GUARATINGUETÁ - SP - 48.547.806/0001-20</t>
  </si>
  <si>
    <t>GUARATINGUETÁ</t>
  </si>
  <si>
    <t>UNIMED SALTO/ITU - COOPERATIVA MEDICA - SALTO - SP - 58.837.188/0002-98</t>
  </si>
  <si>
    <t>SALTO</t>
  </si>
  <si>
    <t>UNIMED ADMINISTRACAO E SERVICOS LTDA - SAO PAULO - SP - PRIVADO - 68.029.156/0004-81</t>
  </si>
  <si>
    <t>SAO PAULO</t>
  </si>
  <si>
    <t>UNIMED VALE DO PARAIBA - FEDERACAO INTRAFEDERATIVA DAS COOPERATIVAS MEDICAS - LORENA - SP - PRIVADO - 01.773.319/0002-01</t>
  </si>
  <si>
    <t>LORENA</t>
  </si>
  <si>
    <t>FUNDACAO CENTRO MEDICO DE CAMPINAS - CAMPINAS - SP - 44.595.700/0001-41</t>
  </si>
  <si>
    <t>HOSPITAL UNIMED - AMERICANA - SP - 48.628.366/0007-21</t>
  </si>
  <si>
    <t>AMERICANA</t>
  </si>
  <si>
    <t>HOSPITAL REGIONAL DE PRESIDENTE PRUDENTE - PRESIDENTE PRUDENTE - SP - 53.221.255/0032-47</t>
  </si>
  <si>
    <t>HCRP - RIBEIRÃO PRETO - SP - 56.023.443/0001-52</t>
  </si>
  <si>
    <t>ministerio.saude.ESP@vago.com</t>
  </si>
  <si>
    <t>ESP-MINISTERIO SAUDE</t>
  </si>
  <si>
    <t>LUIS GUSTAVO</t>
  </si>
  <si>
    <t>ministerio.saude.HSP@vago.com</t>
  </si>
  <si>
    <t>HSP-MINISTERIO SAUDE</t>
  </si>
  <si>
    <t>HOSPITAL NAVAL DE SALVADOR - SALVADOR - BA - 00.394.502/0067-70</t>
  </si>
  <si>
    <t>PRONTO SOCORRO INFANTIL DE GOIANIA LTDA - GOIÂNIA - GO - 01.545.649/0001-50</t>
  </si>
  <si>
    <t>CEHON - CENTRO DE HEMATOLOGIA E ONCOLOGIA DA BAHIA LTDA - SALVADOR - BA - 01.837.492/0001-37</t>
  </si>
  <si>
    <t>OX-UTI - GOIÂNIA - GO - 05.562.645/0001-31</t>
  </si>
  <si>
    <t>CASAMATER - TERESINA - PI - 06.833.917/0001-53</t>
  </si>
  <si>
    <t>HOSPITAL MILITAR DE AREA DE RECIFE - RECIFE - PE - 09.577.422/0002-80</t>
  </si>
  <si>
    <t>NOS-NUCLEO DE ONCOLOGIA DE SERGIPE - ARACAJU - SE - PRIVADO - 12.282.163/0001-93</t>
  </si>
  <si>
    <t>PROMEDICA PATRIMONIAL S A PROPAT - SALVADOR - BA - 13.808.803/0001-19</t>
  </si>
  <si>
    <t>HOSPITAL SAO MATHEUS - FEIRA DE SANTANA - BA - 13.969.621/0001-20</t>
  </si>
  <si>
    <t>HOSPITAL ORION - GOIANIA - GO - PRIVADO - 17.239.624/0001-69</t>
  </si>
  <si>
    <t>GOIANIA</t>
  </si>
  <si>
    <t>ANIMA CENTRO HOSPITALAR LTDA - ABADIA DE GOIÁS - GO - 18.034.143/0001-80</t>
  </si>
  <si>
    <t>CENTRO CLINICO GAUCHO LTDA - PORTO ALEGRE - RS - 00.773.639/0001-00</t>
  </si>
  <si>
    <t>CLINIVET HOSPITAL VETERINARIO - CURITIBA - PR - PRIVADO - 01.269.903/0001-35</t>
  </si>
  <si>
    <t>SOCIMED SERVICOS HOSPITALARES S.A - TUBARÃO - SC - 01.595.799/0001-79</t>
  </si>
  <si>
    <t>LAR &amp; SAUDE ASSISTENCIA DOMICILIAR - CURITIBA - PR - 05.503.803/0001-82</t>
  </si>
  <si>
    <t>ASSOCIACAO HOSPITALAR BENEFICENTE SANTO ANTONIO - TENENTE PORTELA - RS - 08.579.164/0001-27</t>
  </si>
  <si>
    <t>TENENTE PORTELA</t>
  </si>
  <si>
    <t>CLINICA VETERINARIA NEUROPET - CURITIBA - PR - PRIVADO - 31.824.062/0001-41</t>
  </si>
  <si>
    <t>ONKO SOL ASSISTENCIA MEDICA ONCOLOGICA LTDA - CABO FRIO - RJ - 04.703.117/0001-92</t>
  </si>
  <si>
    <t>CABO FRIO</t>
  </si>
  <si>
    <t>CLASS LTDA - CENTRO MEDICO PARQUE DAS PALMEIRAS - ANGRA DOS REIS - RJ - 30.325.856/0001-06</t>
  </si>
  <si>
    <t>HOSPITAL DO CORACAO SAMCORDIS - SÃO GONÇALO - RJ - 30.358.881/0001-88</t>
  </si>
  <si>
    <t>HOSPITAL LESTE FLUMINENSE - SÃO GONÇALO - RJ - 31.684.384/0001-32</t>
  </si>
  <si>
    <t>ELOHIM DISTRIBUIDORA  DE MEDICAMENTOS LTDA - DUQUE DE CAXIAS - RJ - PRIVADO - 33.092.116/0001-57</t>
  </si>
  <si>
    <t>CENTRO DE AQUISICOES ESPECIFICAS - CAE - RIO DE JANEIRO - RJ - 00.394.429/0174-29</t>
  </si>
  <si>
    <t>INTENSIVE CARE SERVICOS MEDICOS HOSPITALARES LTDA - RIO DE JANEIRO - RJ - PRIVADO - 02.880.648/0001-25</t>
  </si>
  <si>
    <t>FARMACIA TORRES LIMITADA - RIO DE JANEIRO - RJ - PRIVADO - 33.476.482/0001-00</t>
  </si>
  <si>
    <t>CLINICA SAO CARLOS SA - RIO DE JANEIRO - RJ - 33.804.212/0001-80</t>
  </si>
  <si>
    <t>NATALIA FABIANE LUZ - 103.642.546-02</t>
  </si>
  <si>
    <t>Belo Horizonte</t>
  </si>
  <si>
    <t>PULSUS - BELO HORIZONTE - MG - PRIVADO - 13.631.170/0001-16</t>
  </si>
  <si>
    <t>PMMG - BELO HORIZONTE - MG - 16.695.025/0001-97</t>
  </si>
  <si>
    <t>HOSPITAL SOCOR S/A - BELO HORIZONTE - MG - 17.312.612/0001-12</t>
  </si>
  <si>
    <t>HOSPITAL HUMANITAS - UNIMED - VARGINHA - MG - 17.845.504/0002-96</t>
  </si>
  <si>
    <t>VARGINHA</t>
  </si>
  <si>
    <t>MG SAS GABINETE DO SECRETARIO - BELO HORIZONTE - MG - 18.715.516/0001-88</t>
  </si>
  <si>
    <t>HOSPITAL SAO VICENTE - CAMPO BELO - MG - 19.128.248/0001-60</t>
  </si>
  <si>
    <t>HOSPITAL MATERNIDADE ODETE VALADARES - BELO HORIZONTE - MG - 19.843.929/0029-01</t>
  </si>
  <si>
    <t>HOSPITAL SAO LUCAS - GOVERNADOR VALADARES - MG - 20.599.890/0001-07</t>
  </si>
  <si>
    <t>HOSPITAL SAO MARCOS DE UBERABA LTDA - UBERABA - MG - 25.431.834/0001-82</t>
  </si>
  <si>
    <t>UNIDADE INTEGRADA JERONOMI MONTEIRO - JERÔNIMO MONTEIRO - ES - 27.080.605/0007-81</t>
  </si>
  <si>
    <t>JERÔNIMO MONTEIRO</t>
  </si>
  <si>
    <t>HOSPITAL EVANGELICO DE CACHOEIRO DE ITAPEMIRIM - CACHOEIRO DE ITAPEMIRIM - ES - 27.193.705/0001-29</t>
  </si>
  <si>
    <t>CACHOEIRO DE ITAPEMIRIM</t>
  </si>
  <si>
    <t>HOSPITAL SAO JOSE / UNIMED - PASSOS - MG - 71.064.539/0003-14</t>
  </si>
  <si>
    <t>Mariana Nasser Arouca Lamas - BELÉM -PA -013.251.132-04</t>
  </si>
  <si>
    <t>@ Não Informado</t>
  </si>
  <si>
    <t>VANDA BRABO COELHO - BELÉM - PA - 467.099.322-49</t>
  </si>
  <si>
    <t>INSTITUTO JOINVILENSE DE HEMATOLOGIA E ONCOLOGIA S/S LTDA. - JOINVILLE - SC - 00.092.390/0001-77</t>
  </si>
  <si>
    <t>NUCLEO DE MEDICINA AVANCADA PREVENT SENIOR - SANTOS - SANTOS - SP - 00.461.479/0072-57</t>
  </si>
  <si>
    <t>CENTRO ONCOLOGICO DO VALE LTDA - TAUBATE - SP - PRIVADO - 00.745.887/0005-70</t>
  </si>
  <si>
    <t>TAUBATE</t>
  </si>
  <si>
    <t>CEBROM - GOIÂNIA - GO - 00.754.174/0001-40</t>
  </si>
  <si>
    <t>CENTRO CLINICO GAUCHO LTDA  - CANOAS - RS - 00.773.639/0015-05</t>
  </si>
  <si>
    <t>HOSPITAL E MATERNIDADE SAO MARCOS - MARINGÁ - PR - 00.855.774/0001-02</t>
  </si>
  <si>
    <t>INSTITUTO ONCO-HEMATOLOGICO DE ANAPOLIS - ANÁPOLIS - GO - 01.116.300/0001-01</t>
  </si>
  <si>
    <t>ANÁPOLIS</t>
  </si>
  <si>
    <t>FARMACENTRO - JAGUARI - RS - 01.141.127/0001-93</t>
  </si>
  <si>
    <t>ONCOCLINICA - SANTANA DO LIVRAMENTO - RS - PRIVADO - 01.753.991/0001-46</t>
  </si>
  <si>
    <t>SANTANA DO LIVRAMENTO</t>
  </si>
  <si>
    <t>MONTELEONE MEDICOS ASSOCIADOS EIRELI - SAO PAULO - SP - PRIVADO - 02.639.768/0001-35</t>
  </si>
  <si>
    <t>CITAC - CENTRO INTEGRADO DE TRATAMENTO AMBULATORIAL DO CANCER LTDA. - SANTOS - SP - PRIVADO - 03.117.525/0001-08</t>
  </si>
  <si>
    <t>GRUPO ACREDITAR - BRASILIA - DF - PRIVADO - 03.989.821/0004-33</t>
  </si>
  <si>
    <t>BRASILIA</t>
  </si>
  <si>
    <t>SAFELAB - SÃO BERNARDO DO CAMPO - SP - 04.708.424/0001-66</t>
  </si>
  <si>
    <t>PRONTONEURO - BRASILIA - DF - PRIVADO - 06.054.754/0001-00</t>
  </si>
  <si>
    <t>VITTA CENTRO DE ONCOLOGIA - ARACAJU - SE - PRIVADO - 07.549.453/0001-10</t>
  </si>
  <si>
    <t>CENTRO DE ONCO - HEMATOLOGIA DE MATO GROSSO LTDA - ME - CUIABÁ - MT - 07.862.532/0001-87</t>
  </si>
  <si>
    <t>H.V. BATEL MEDICINA PARA ANIMAIS DE COMPANHIA LTDA - CURITIBA - PR - PRIVADO - 08.580.014/0001-33</t>
  </si>
  <si>
    <t>HGESP - SÃO PAULO - SP - 09.591.608/0002-93</t>
  </si>
  <si>
    <t>CENTRO MEDICO VARGINHA CMV - VARGINHA - MG - 09.635.024/0002-72</t>
  </si>
  <si>
    <t>FUNDACAO MANOEL DA SILVA ALMEIDA - RECIFE - PE - 09.767.633/0001-02</t>
  </si>
  <si>
    <t>AGILLE COMERCIO DE MEDICAMENTOS - VIANA - ES - 11.697.594/0003-10</t>
  </si>
  <si>
    <t>VIANA</t>
  </si>
  <si>
    <t>SANTA CASA DE MACEIO - CENTRAL DE DISTRIBUICAO - MACEIÓ - AL - 12.307.187/0005-83</t>
  </si>
  <si>
    <t>DEPOSITO - ARMAZEM MANAUS/AM - MANAUS - AM - 12.361.267/0119-85</t>
  </si>
  <si>
    <t>ONCOLOG - CUIABA - MT - PRIVADO - 12.981.527/0002-04</t>
  </si>
  <si>
    <t>CUIABA</t>
  </si>
  <si>
    <t>HOSP DAS CLINICAS DA UNIV FED DE MINAS GERAIS - EBSERH - BELO HORIZONTE - MG - 15.126.437/0015-49</t>
  </si>
  <si>
    <t>HOSPITAL UNIVERSITARIO DA UNIV. FEDERAL DE JUIZ DE FORA - JUIZ DE FORA - MG - PRIVADO - 15.126.437/0025-10</t>
  </si>
  <si>
    <t>ASSOCIACAO OBRAS SOCIAIS IRMA DULCE - SALVADOR - BA - 15.178.551/0001-17</t>
  </si>
  <si>
    <t>AGIL MED - PORTO ALEGRE - RS - 18.770.112/0001-97</t>
  </si>
  <si>
    <t>HOSPITAL UNIMED CARUARU - CARUARU - PE - 24.449.225/0002-79</t>
  </si>
  <si>
    <t>CARUARU</t>
  </si>
  <si>
    <t>ONCOBIO SERVICOS DE SAUDE S.A. - NOVA LIMA - MG - PRIVADO - 26.645.426/0001-96</t>
  </si>
  <si>
    <t>NOVA LIMA</t>
  </si>
  <si>
    <t>HOSPITAL SAO JOSE - SÃO JOSÉ DO CALÇADO - ES - 27.080.605/0006-09</t>
  </si>
  <si>
    <t>SÃO JOSÉ DO CALÇADO</t>
  </si>
  <si>
    <t>HOSPITAL INFANTIL NOSSA SENHORA DA GLORIA - VITÓRIA - ES - 27.080.605/0020-59</t>
  </si>
  <si>
    <t>MATER CLIN - RONDONÓPOLIS - MT - 32.972.408/0001-11</t>
  </si>
  <si>
    <t>NOVA MEDICAMENTOS ESPECIAIS - VINHEDO - SP - PRIVADO - 33.215.770/0001-00</t>
  </si>
  <si>
    <t>VINHEDO</t>
  </si>
  <si>
    <t>UNIMED ARAGUAIA - BARRA DO GARCAS - MT - PRIVADO - 37.436.920/0001-67</t>
  </si>
  <si>
    <t>BARRA DO GARCAS</t>
  </si>
  <si>
    <t>DROGARIA UNIMED ITUIUTABA - ITUIUTABA - MG - 41.871.989/0002-77</t>
  </si>
  <si>
    <t>ITUIUTABA</t>
  </si>
  <si>
    <t>UNIMED EXTREMO SUL COOPERATIVA DE TRABALHO MEDICO - TEIXEIRA DE FREITAS - BA - 42.043.067/0001-53</t>
  </si>
  <si>
    <t>TEIXEIRA DE FREITAS</t>
  </si>
  <si>
    <t>UNIMED ALFENAS - ALFENAS - MG - 42.946.061/0001-96</t>
  </si>
  <si>
    <t>ALFENAS</t>
  </si>
  <si>
    <t>HOSPITAL ADVENTISTA DE SAO PAULO - SÃO PAULO - SP - 43.586.122/0009-71</t>
  </si>
  <si>
    <t>HOSPITAL INFANTIL DARCY VARGAS - SÃO PAULO - SP - 46.374.500/0118-03</t>
  </si>
  <si>
    <t>HOSPITAL MUNICIPAL DR MARIO GATTI - CAMPINAS - SP - 47.018.676/0001-76</t>
  </si>
  <si>
    <t>SOBAM CENTRO MEDICO HOSPITALAR LTDA - JUNDIAÍ - SP - 50.739.135/0017-09</t>
  </si>
  <si>
    <t>HOSPITAL E MATERNIDADE UNIMED DE ORS COOP.DE TRABALHO - OURINHOS - SP - 51.427.540/0003-59</t>
  </si>
  <si>
    <t>OURINHOS</t>
  </si>
  <si>
    <t>FUNDACAO MATERNIDADE SINHA JUNQUEIRA - RIBEIRÃO PRETO - SP - 56.014.830/0001-22</t>
  </si>
  <si>
    <t>DROGA ANCHIETA - CAMPINAS - SP - 58.597.774/0001-21</t>
  </si>
  <si>
    <t>HOSPITAL SAO JOSE - SÃO JOSÉ DOS CAMPOS - SP - 60.190.550/0001-42</t>
  </si>
  <si>
    <t>O.S.S. SANTA MARCELINA HOSPITAL CIDADE TIRADENTES - SÃO PAULO - SP - 60.742.616/0013-01</t>
  </si>
  <si>
    <t>FLEURY MEDICINA E SAUDE - SÃO PAULO - SP - 60.840.055/0001-31</t>
  </si>
  <si>
    <t>CLINICA INFANTIL DO IPIRANGA/HOSPITAL DOM ANTONIO DE AL - SÃO PAULO - SP - 60.975.976/0001-01</t>
  </si>
  <si>
    <t>CHS - CONJUNTO HOSPITALAR DE SOROCABA - SOROCABA - SP - 61.687.356/0043-99</t>
  </si>
  <si>
    <t>ATIVIA SERVICOS DE SAUDE S/A - JACAREI - SP - PRIVADO - 69.289.171/0001-89</t>
  </si>
  <si>
    <t>JACAREI</t>
  </si>
  <si>
    <t>UNIMED DA AMAZONIA - FEDERACAO UNIMED DA AMAZONIA - MANAUS - AM - PRIVADO - 84.112.481/0001-17</t>
  </si>
  <si>
    <t>HOSPITAL NOSSA SENHORA DOS PRAZERES - LAGES - SC - 84.942.887/0001-27</t>
  </si>
  <si>
    <t>LAGES</t>
  </si>
  <si>
    <t>HOSPITAL INF SEARA DO BEM - LAGES - SC - 84.947.167/0001-54</t>
  </si>
  <si>
    <t>SOS CARDIO SERVICOS HOSPITALARES LTDA - FLORIANÓPOLIS - SC - 85.307.098/0001-87</t>
  </si>
  <si>
    <t>HOSPITAL UNIMED IJUI - IJUÍ - RS - 87.647.756/0002-96</t>
  </si>
  <si>
    <t>IJUÍ</t>
  </si>
  <si>
    <t>ministerio.saude.EMH@vago.com</t>
  </si>
  <si>
    <t>EMH-MINISTERIO SAUDE</t>
  </si>
  <si>
    <t>luis.gomes@csl.com.au</t>
  </si>
  <si>
    <t xml:space="preserve">VANDA BRABO COELHO - BELÉM - PA - 467.099.322-49 _x000D_
</t>
  </si>
  <si>
    <t>S3 MED</t>
  </si>
  <si>
    <t>HOSPITAL NAVAL DE SALVADOR - SALVADOR - BA</t>
  </si>
  <si>
    <t>HOSPITAL MILITAR DE AREA DE RECIFE - RECIFE - PE</t>
  </si>
  <si>
    <t>HOSPITAL CENTRALDO EXERCITO - RIO DE JANEIRO - RJ</t>
  </si>
  <si>
    <t>FUNDO MUNICIPAL DE SAUDE - FMS - SÃO PAULO - SP</t>
  </si>
  <si>
    <t>MG SAS GABINETE DO SECRETARIO - BELO HORIZONTE - MG</t>
  </si>
  <si>
    <t>HOSPITAL MATERNIDADE ODETE VALADARES - BELO HORIZONTE - MG</t>
  </si>
  <si>
    <t>UNIDADE INTEGRADA JERONOMI MONTEIRO - JERÔNIMO MONTEIRO - ES</t>
  </si>
  <si>
    <t>INSTITUTO NACIONAL DE TRAUMATO-ORTOPEDIA - RIO DE JANEIRO - RJ</t>
  </si>
  <si>
    <t>DUPATRI HOSPITALAR COMERCIO IMPORTACAO EXPORTACAO LTDA - SUMARE - SP</t>
  </si>
  <si>
    <t>HOSPITAL GERAL DE FORTALEZA - FORTALEZA - CE</t>
  </si>
  <si>
    <t>HGESP - SÃO PAULO - SP</t>
  </si>
  <si>
    <t>HOSP DAS CLINICAS DA UNIV FED DE MINAS GERAIS - EBSERH - BELO HORIZONTE - MG</t>
  </si>
  <si>
    <t>HOSPITAL UNIVERSITARIO DA UNIV. FEDERAL DE JUIZ DE FORA - JUIZ DE FORA - MG</t>
  </si>
  <si>
    <t>HOSPITAL UNIVERSITARIO GAFFREE E GUINLE - RIO DE JANEIRO - RJ</t>
  </si>
  <si>
    <t>HOSPITAL SAO JOSE - SÃO JOSÉ DO CALÇADO - ES</t>
  </si>
  <si>
    <t>HOSPITAL INFANTIL NOSSA SENHORA DA GLORIA - VITÓRIA - ES</t>
  </si>
  <si>
    <t>UERJ - RIO DE JANEIRO - RJ</t>
  </si>
  <si>
    <t>HOSPITAL INFANTIL DARCY VARGAS - SÃO PAULO - SP</t>
  </si>
  <si>
    <t>HOSPITAL MUNICIPAL DR MARIO GATTI - CAMPINAS -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</si>
</sst>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&quot;R$&quot;\ #,##0.00"/>
    <numFmt numFmtId="166" formatCode="0.0%"/>
    <numFmt numFmtId="167" formatCode="0.00_ ;[Red]\-0.00\ "/>
  </numFmts>
  <fonts count="5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9"/>
      <color rgb="FF3F3F76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9" tint="-0.249977111117893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0"/>
      <color rgb="FF3F3F76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0"/>
      <color theme="9" tint="0.399975585192419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0.3999755851924192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FCC99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theme="8" tint="-0.249977111117893"/>
        <bgColor theme="9"/>
      </patternFill>
    </fill>
    <fill>
      <patternFill patternType="solid">
        <fgColor theme="5" tint="-0.249977111117893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theme="9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theme="9" tint="0.39994506668294322"/>
      </left>
      <right style="dashed">
        <color theme="9" tint="0.39994506668294322"/>
      </right>
      <top style="dashed">
        <color theme="9" tint="0.39994506668294322"/>
      </top>
      <bottom style="dashed">
        <color theme="9" tint="0.39994506668294322"/>
      </bottom>
      <diagonal/>
    </border>
    <border>
      <left style="dashed">
        <color rgb="FF0070C0"/>
      </left>
      <right style="dashed">
        <color rgb="FF0070C0"/>
      </right>
      <top style="dashed">
        <color rgb="FF0070C0"/>
      </top>
      <bottom style="dashed">
        <color rgb="FF0070C0"/>
      </bottom>
      <diagonal/>
    </border>
    <border>
      <left style="dashed">
        <color theme="9" tint="0.39994506668294322"/>
      </left>
      <right style="dashed">
        <color theme="9" tint="0.39994506668294322"/>
      </right>
      <top/>
      <bottom style="dashed">
        <color theme="9" tint="0.3999450666829432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dashed">
        <color theme="9" tint="0.39994506668294322"/>
      </right>
      <top/>
      <bottom/>
      <diagonal/>
    </border>
    <border>
      <left style="dashed">
        <color theme="9" tint="0.39994506668294322"/>
      </left>
      <right/>
      <top/>
      <bottom/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dashed">
        <color theme="9" tint="0.39994506668294322"/>
      </left>
      <right/>
      <top style="dashed">
        <color theme="9" tint="0.39994506668294322"/>
      </top>
      <bottom style="dashed">
        <color theme="9" tint="0.39994506668294322"/>
      </bottom>
      <diagonal/>
    </border>
    <border>
      <left/>
      <right/>
      <top style="dashed">
        <color theme="9" tint="0.39994506668294322"/>
      </top>
      <bottom style="dashed">
        <color theme="9" tint="0.39994506668294322"/>
      </bottom>
      <diagonal/>
    </border>
    <border>
      <left/>
      <right style="dashed">
        <color theme="9" tint="0.39994506668294322"/>
      </right>
      <top style="dashed">
        <color theme="9" tint="0.39994506668294322"/>
      </top>
      <bottom style="dashed">
        <color theme="9" tint="0.39994506668294322"/>
      </bottom>
      <diagonal/>
    </border>
    <border>
      <left style="dashed">
        <color theme="8" tint="-0.24994659260841701"/>
      </left>
      <right style="dashed">
        <color theme="8" tint="-0.24994659260841701"/>
      </right>
      <top style="dashed">
        <color theme="8" tint="-0.24994659260841701"/>
      </top>
      <bottom style="dashed">
        <color theme="8" tint="-0.24994659260841701"/>
      </bottom>
      <diagonal/>
    </border>
    <border>
      <left style="dashed">
        <color theme="5" tint="-0.24994659260841701"/>
      </left>
      <right style="dashed">
        <color theme="5" tint="-0.24994659260841701"/>
      </right>
      <top style="dashed">
        <color theme="5" tint="-0.24994659260841701"/>
      </top>
      <bottom style="dashed">
        <color theme="5" tint="-0.24994659260841701"/>
      </bottom>
      <diagonal/>
    </border>
    <border>
      <left style="dashed">
        <color theme="9" tint="0.39991454817346722"/>
      </left>
      <right style="dashed">
        <color theme="9" tint="0.39991454817346722"/>
      </right>
      <top style="dashed">
        <color theme="9" tint="0.39991454817346722"/>
      </top>
      <bottom style="dashed">
        <color theme="9" tint="0.39991454817346722"/>
      </bottom>
      <diagonal/>
    </border>
    <border>
      <left style="dashed">
        <color theme="9" tint="0.39991454817346722"/>
      </left>
      <right/>
      <top style="dashed">
        <color theme="9" tint="0.39991454817346722"/>
      </top>
      <bottom style="dashed">
        <color theme="9" tint="0.39991454817346722"/>
      </bottom>
      <diagonal/>
    </border>
    <border>
      <left/>
      <right/>
      <top style="dashed">
        <color theme="9" tint="0.39991454817346722"/>
      </top>
      <bottom style="dashed">
        <color theme="9" tint="0.39991454817346722"/>
      </bottom>
      <diagonal/>
    </border>
    <border>
      <left/>
      <right style="dashed">
        <color theme="9" tint="0.39991454817346722"/>
      </right>
      <top style="dashed">
        <color theme="9" tint="0.39991454817346722"/>
      </top>
      <bottom style="dashed">
        <color theme="9" tint="0.39991454817346722"/>
      </bottom>
      <diagonal/>
    </border>
    <border>
      <left style="dashed">
        <color rgb="FF0070C0"/>
      </left>
      <right style="dashed">
        <color rgb="FF0070C0"/>
      </right>
      <top/>
      <bottom style="dashed">
        <color rgb="FF0070C0"/>
      </bottom>
      <diagonal/>
    </border>
    <border>
      <left style="dashed">
        <color theme="9" tint="0.79998168889431442"/>
      </left>
      <right style="dashed">
        <color theme="9" tint="0.79998168889431442"/>
      </right>
      <top style="dashed">
        <color theme="9" tint="0.79998168889431442"/>
      </top>
      <bottom style="dashed">
        <color theme="9" tint="0.7999816888943144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dashed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dashed">
        <color theme="0" tint="-0.34998626667073579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4" borderId="1" applyNumberFormat="0" applyAlignment="0" applyProtection="0"/>
    <xf numFmtId="0" fontId="1" fillId="5" borderId="2" applyNumberFormat="0" applyFont="0" applyAlignment="0" applyProtection="0"/>
    <xf numFmtId="0" fontId="1" fillId="6" borderId="0" applyNumberFormat="0" applyBorder="0" applyAlignment="0" applyProtection="0"/>
    <xf numFmtId="0" fontId="8" fillId="0" borderId="0" applyNumberFormat="0" applyFill="0" applyBorder="0" applyAlignment="0" applyProtection="0"/>
    <xf numFmtId="0" fontId="10" fillId="3" borderId="0" applyNumberFormat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7" fillId="11" borderId="1" applyNumberFormat="0" applyAlignment="0" applyProtection="0"/>
    <xf numFmtId="0" fontId="34" fillId="14" borderId="0" applyNumberFormat="0" applyBorder="0" applyAlignment="0" applyProtection="0"/>
    <xf numFmtId="44" fontId="1" fillId="0" borderId="0" applyFont="0" applyFill="0" applyBorder="0" applyAlignment="0" applyProtection="0"/>
  </cellStyleXfs>
  <cellXfs count="206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1" fontId="4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0" xfId="0" applyFont="1"/>
    <xf numFmtId="9" fontId="4" fillId="0" borderId="0" xfId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6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0" fontId="11" fillId="3" borderId="3" xfId="7" applyNumberFormat="1" applyFont="1" applyBorder="1" applyAlignment="1">
      <alignment horizontal="center" vertical="center"/>
    </xf>
    <xf numFmtId="44" fontId="11" fillId="3" borderId="3" xfId="9" applyFont="1" applyFill="1" applyBorder="1" applyAlignment="1">
      <alignment horizontal="center" vertical="center"/>
    </xf>
    <xf numFmtId="10" fontId="11" fillId="3" borderId="3" xfId="1" applyNumberFormat="1" applyFont="1" applyFill="1" applyBorder="1" applyAlignment="1">
      <alignment horizontal="center" vertical="center"/>
    </xf>
    <xf numFmtId="10" fontId="13" fillId="5" borderId="3" xfId="4" applyNumberFormat="1" applyFont="1" applyBorder="1" applyAlignment="1">
      <alignment horizontal="center" vertical="center"/>
    </xf>
    <xf numFmtId="44" fontId="13" fillId="5" borderId="3" xfId="9" applyFont="1" applyFill="1" applyBorder="1" applyAlignment="1">
      <alignment horizontal="center" vertical="center"/>
    </xf>
    <xf numFmtId="10" fontId="13" fillId="5" borderId="3" xfId="1" applyNumberFormat="1" applyFont="1" applyFill="1" applyBorder="1" applyAlignment="1">
      <alignment horizontal="center" vertical="center"/>
    </xf>
    <xf numFmtId="10" fontId="12" fillId="2" borderId="3" xfId="2" applyNumberFormat="1" applyFont="1" applyBorder="1" applyAlignment="1">
      <alignment horizontal="center" vertical="center"/>
    </xf>
    <xf numFmtId="44" fontId="12" fillId="2" borderId="3" xfId="9" applyFont="1" applyFill="1" applyBorder="1" applyAlignment="1">
      <alignment horizontal="center" vertical="center"/>
    </xf>
    <xf numFmtId="10" fontId="12" fillId="2" borderId="3" xfId="1" applyNumberFormat="1" applyFont="1" applyFill="1" applyBorder="1" applyAlignment="1">
      <alignment horizontal="center" vertical="center"/>
    </xf>
    <xf numFmtId="10" fontId="4" fillId="6" borderId="3" xfId="5" applyNumberFormat="1" applyFont="1" applyBorder="1" applyAlignment="1">
      <alignment horizontal="center" vertical="center"/>
    </xf>
    <xf numFmtId="44" fontId="4" fillId="6" borderId="3" xfId="9" applyFont="1" applyFill="1" applyBorder="1" applyAlignment="1">
      <alignment horizontal="center" vertical="center"/>
    </xf>
    <xf numFmtId="10" fontId="4" fillId="6" borderId="3" xfId="1" applyNumberFormat="1" applyFont="1" applyFill="1" applyBorder="1" applyAlignment="1">
      <alignment horizontal="center" vertical="center"/>
    </xf>
    <xf numFmtId="10" fontId="11" fillId="9" borderId="3" xfId="1" applyNumberFormat="1" applyFont="1" applyFill="1" applyBorder="1" applyAlignment="1">
      <alignment horizontal="center" vertical="center"/>
    </xf>
    <xf numFmtId="44" fontId="11" fillId="9" borderId="3" xfId="9" applyFont="1" applyFill="1" applyBorder="1" applyAlignment="1">
      <alignment horizontal="center" vertical="center"/>
    </xf>
    <xf numFmtId="10" fontId="14" fillId="10" borderId="3" xfId="1" applyNumberFormat="1" applyFont="1" applyFill="1" applyBorder="1" applyAlignment="1">
      <alignment horizontal="center" vertical="center"/>
    </xf>
    <xf numFmtId="44" fontId="14" fillId="10" borderId="3" xfId="9" applyFont="1" applyFill="1" applyBorder="1" applyAlignment="1">
      <alignment horizontal="center" vertical="center"/>
    </xf>
    <xf numFmtId="0" fontId="15" fillId="0" borderId="0" xfId="0" applyFont="1"/>
    <xf numFmtId="0" fontId="16" fillId="4" borderId="1" xfId="3" applyFont="1" applyAlignment="1">
      <alignment horizontal="center" vertical="center"/>
    </xf>
    <xf numFmtId="9" fontId="7" fillId="7" borderId="4" xfId="1" applyFont="1" applyFill="1" applyBorder="1" applyAlignment="1">
      <alignment horizontal="center" vertical="center"/>
    </xf>
    <xf numFmtId="9" fontId="7" fillId="5" borderId="4" xfId="4" applyNumberFormat="1" applyFont="1" applyBorder="1" applyAlignment="1">
      <alignment horizontal="center" vertical="center" wrapText="1"/>
    </xf>
    <xf numFmtId="10" fontId="11" fillId="8" borderId="3" xfId="7" applyNumberFormat="1" applyFont="1" applyFill="1" applyBorder="1" applyAlignment="1">
      <alignment horizontal="center" vertical="center"/>
    </xf>
    <xf numFmtId="44" fontId="11" fillId="8" borderId="3" xfId="9" applyFont="1" applyFill="1" applyBorder="1" applyAlignment="1">
      <alignment horizontal="center" vertical="center"/>
    </xf>
    <xf numFmtId="10" fontId="11" fillId="8" borderId="3" xfId="1" applyNumberFormat="1" applyFont="1" applyFill="1" applyBorder="1" applyAlignment="1">
      <alignment horizontal="center" vertical="center"/>
    </xf>
    <xf numFmtId="9" fontId="7" fillId="7" borderId="4" xfId="1" applyFont="1" applyFill="1" applyBorder="1" applyAlignment="1">
      <alignment horizontal="center" vertical="center" wrapText="1"/>
    </xf>
    <xf numFmtId="10" fontId="3" fillId="8" borderId="3" xfId="3" applyNumberFormat="1" applyFill="1" applyBorder="1" applyAlignment="1">
      <alignment horizontal="center" vertical="center"/>
    </xf>
    <xf numFmtId="44" fontId="3" fillId="8" borderId="1" xfId="3" applyNumberFormat="1" applyFill="1" applyAlignment="1">
      <alignment horizontal="center" vertical="center"/>
    </xf>
    <xf numFmtId="8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4" fillId="0" borderId="0" xfId="0" applyNumberFormat="1" applyFont="1"/>
    <xf numFmtId="0" fontId="15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3" fontId="18" fillId="12" borderId="5" xfId="0" applyNumberFormat="1" applyFont="1" applyFill="1" applyBorder="1" applyAlignment="1">
      <alignment horizontal="center" vertical="center"/>
    </xf>
    <xf numFmtId="0" fontId="22" fillId="0" borderId="5" xfId="0" applyFont="1" applyBorder="1" applyAlignment="1">
      <alignment horizontal="right" vertical="center"/>
    </xf>
    <xf numFmtId="3" fontId="18" fillId="12" borderId="5" xfId="0" applyNumberFormat="1" applyFont="1" applyFill="1" applyBorder="1" applyAlignment="1">
      <alignment horizontal="right" vertical="center"/>
    </xf>
    <xf numFmtId="10" fontId="18" fillId="12" borderId="5" xfId="1" applyNumberFormat="1" applyFont="1" applyFill="1" applyBorder="1" applyAlignment="1">
      <alignment horizontal="center" vertical="center"/>
    </xf>
    <xf numFmtId="10" fontId="22" fillId="0" borderId="5" xfId="1" applyNumberFormat="1" applyFont="1" applyBorder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165" fontId="4" fillId="0" borderId="0" xfId="1" applyNumberFormat="1" applyFont="1" applyAlignment="1">
      <alignment horizontal="center" vertical="center"/>
    </xf>
    <xf numFmtId="9" fontId="23" fillId="11" borderId="3" xfId="10" applyNumberFormat="1" applyFont="1" applyBorder="1" applyAlignment="1">
      <alignment horizontal="center" vertical="center"/>
    </xf>
    <xf numFmtId="3" fontId="22" fillId="0" borderId="5" xfId="0" applyNumberFormat="1" applyFont="1" applyBorder="1" applyAlignment="1">
      <alignment horizontal="center" vertical="center"/>
    </xf>
    <xf numFmtId="165" fontId="18" fillId="12" borderId="5" xfId="0" applyNumberFormat="1" applyFont="1" applyFill="1" applyBorder="1" applyAlignment="1">
      <alignment horizontal="center" vertical="center"/>
    </xf>
    <xf numFmtId="165" fontId="22" fillId="0" borderId="5" xfId="0" applyNumberFormat="1" applyFont="1" applyBorder="1" applyAlignment="1">
      <alignment horizontal="center" vertical="center"/>
    </xf>
    <xf numFmtId="165" fontId="4" fillId="0" borderId="0" xfId="1" applyNumberFormat="1" applyFont="1" applyAlignment="1">
      <alignment vertical="center"/>
    </xf>
    <xf numFmtId="10" fontId="4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165" fontId="18" fillId="13" borderId="6" xfId="0" applyNumberFormat="1" applyFont="1" applyFill="1" applyBorder="1" applyAlignment="1">
      <alignment horizontal="right" vertical="center"/>
    </xf>
    <xf numFmtId="165" fontId="27" fillId="0" borderId="6" xfId="0" applyNumberFormat="1" applyFont="1" applyBorder="1" applyAlignment="1">
      <alignment horizontal="right" vertical="center"/>
    </xf>
    <xf numFmtId="9" fontId="18" fillId="13" borderId="6" xfId="1" applyFont="1" applyFill="1" applyBorder="1" applyAlignment="1">
      <alignment horizontal="center" vertical="center"/>
    </xf>
    <xf numFmtId="9" fontId="27" fillId="0" borderId="6" xfId="1" applyFont="1" applyBorder="1" applyAlignment="1">
      <alignment horizontal="center" vertical="center"/>
    </xf>
    <xf numFmtId="166" fontId="4" fillId="0" borderId="0" xfId="1" applyNumberFormat="1" applyFont="1" applyAlignment="1">
      <alignment horizontal="center" vertical="center"/>
    </xf>
    <xf numFmtId="4" fontId="4" fillId="0" borderId="0" xfId="0" applyNumberFormat="1" applyFont="1" applyAlignment="1">
      <alignment vertical="center"/>
    </xf>
    <xf numFmtId="165" fontId="28" fillId="0" borderId="0" xfId="0" applyNumberFormat="1" applyFont="1" applyAlignment="1">
      <alignment vertical="center"/>
    </xf>
    <xf numFmtId="3" fontId="4" fillId="0" borderId="0" xfId="0" applyNumberFormat="1" applyFont="1" applyAlignment="1">
      <alignment horizontal="right" vertical="center"/>
    </xf>
    <xf numFmtId="9" fontId="4" fillId="0" borderId="0" xfId="0" applyNumberFormat="1" applyFont="1" applyAlignment="1">
      <alignment horizontal="center" vertical="center"/>
    </xf>
    <xf numFmtId="9" fontId="18" fillId="12" borderId="5" xfId="1" applyFont="1" applyFill="1" applyBorder="1" applyAlignment="1">
      <alignment horizontal="center" vertical="center"/>
    </xf>
    <xf numFmtId="9" fontId="22" fillId="0" borderId="5" xfId="1" applyFont="1" applyBorder="1" applyAlignment="1">
      <alignment horizontal="center" vertical="center"/>
    </xf>
    <xf numFmtId="165" fontId="18" fillId="12" borderId="7" xfId="0" applyNumberFormat="1" applyFont="1" applyFill="1" applyBorder="1" applyAlignment="1">
      <alignment horizontal="center" vertical="center"/>
    </xf>
    <xf numFmtId="9" fontId="23" fillId="11" borderId="5" xfId="1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5" fillId="0" borderId="0" xfId="0" applyFont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18" fillId="12" borderId="8" xfId="0" applyFont="1" applyFill="1" applyBorder="1" applyAlignment="1">
      <alignment horizontal="left" vertical="center"/>
    </xf>
    <xf numFmtId="3" fontId="18" fillId="12" borderId="8" xfId="0" applyNumberFormat="1" applyFont="1" applyFill="1" applyBorder="1" applyAlignment="1">
      <alignment horizontal="left" vertical="center"/>
    </xf>
    <xf numFmtId="3" fontId="22" fillId="0" borderId="5" xfId="0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pivotButton="1" applyFont="1" applyAlignment="1">
      <alignment vertical="center"/>
    </xf>
    <xf numFmtId="0" fontId="18" fillId="12" borderId="0" xfId="0" applyFont="1" applyFill="1" applyAlignment="1">
      <alignment horizontal="left" vertical="center"/>
    </xf>
    <xf numFmtId="0" fontId="18" fillId="12" borderId="0" xfId="0" applyFont="1" applyFill="1" applyAlignment="1">
      <alignment horizontal="center" vertical="center"/>
    </xf>
    <xf numFmtId="9" fontId="10" fillId="3" borderId="3" xfId="7" applyNumberFormat="1" applyBorder="1" applyAlignment="1">
      <alignment horizontal="center" vertical="center" wrapText="1"/>
    </xf>
    <xf numFmtId="9" fontId="2" fillId="2" borderId="3" xfId="2" applyNumberFormat="1" applyBorder="1" applyAlignment="1">
      <alignment horizontal="center" vertical="center" wrapText="1"/>
    </xf>
    <xf numFmtId="9" fontId="34" fillId="14" borderId="3" xfId="11" applyNumberForma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5" fontId="22" fillId="0" borderId="5" xfId="0" applyNumberFormat="1" applyFont="1" applyBorder="1" applyAlignment="1">
      <alignment horizontal="right" vertical="center"/>
    </xf>
    <xf numFmtId="165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vertical="center"/>
    </xf>
    <xf numFmtId="165" fontId="7" fillId="0" borderId="0" xfId="1" applyNumberFormat="1" applyFont="1" applyAlignment="1">
      <alignment horizontal="center" vertical="center"/>
    </xf>
    <xf numFmtId="8" fontId="7" fillId="0" borderId="0" xfId="0" applyNumberFormat="1" applyFont="1" applyAlignment="1">
      <alignment vertical="center"/>
    </xf>
    <xf numFmtId="165" fontId="37" fillId="0" borderId="0" xfId="0" applyNumberFormat="1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3" fontId="22" fillId="0" borderId="11" xfId="0" applyNumberFormat="1" applyFont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18" fillId="15" borderId="15" xfId="0" applyFont="1" applyFill="1" applyBorder="1" applyAlignment="1">
      <alignment horizontal="left" vertical="center"/>
    </xf>
    <xf numFmtId="3" fontId="18" fillId="15" borderId="15" xfId="0" applyNumberFormat="1" applyFont="1" applyFill="1" applyBorder="1" applyAlignment="1">
      <alignment horizontal="left" vertical="center"/>
    </xf>
    <xf numFmtId="3" fontId="19" fillId="0" borderId="15" xfId="0" applyNumberFormat="1" applyFont="1" applyBorder="1" applyAlignment="1">
      <alignment horizontal="center" vertical="center"/>
    </xf>
    <xf numFmtId="165" fontId="19" fillId="0" borderId="15" xfId="0" applyNumberFormat="1" applyFont="1" applyBorder="1" applyAlignment="1">
      <alignment horizontal="center" vertical="center"/>
    </xf>
    <xf numFmtId="9" fontId="19" fillId="0" borderId="15" xfId="1" applyFont="1" applyBorder="1" applyAlignment="1">
      <alignment horizontal="center" vertical="center"/>
    </xf>
    <xf numFmtId="3" fontId="19" fillId="7" borderId="15" xfId="0" applyNumberFormat="1" applyFont="1" applyFill="1" applyBorder="1" applyAlignment="1">
      <alignment horizontal="center" vertical="center"/>
    </xf>
    <xf numFmtId="0" fontId="42" fillId="0" borderId="0" xfId="0" applyFont="1" applyAlignment="1"/>
    <xf numFmtId="0" fontId="40" fillId="0" borderId="0" xfId="0" applyFont="1" applyAlignment="1"/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3" fontId="45" fillId="0" borderId="16" xfId="0" applyNumberFormat="1" applyFont="1" applyBorder="1" applyAlignment="1">
      <alignment horizontal="center" vertical="center"/>
    </xf>
    <xf numFmtId="9" fontId="45" fillId="0" borderId="16" xfId="1" applyFont="1" applyBorder="1" applyAlignment="1">
      <alignment horizontal="center" vertical="center"/>
    </xf>
    <xf numFmtId="3" fontId="45" fillId="7" borderId="16" xfId="0" applyNumberFormat="1" applyFont="1" applyFill="1" applyBorder="1" applyAlignment="1">
      <alignment horizontal="center" vertical="center"/>
    </xf>
    <xf numFmtId="0" fontId="18" fillId="16" borderId="16" xfId="0" applyFont="1" applyFill="1" applyBorder="1" applyAlignment="1">
      <alignment horizontal="left" vertical="center"/>
    </xf>
    <xf numFmtId="3" fontId="22" fillId="0" borderId="17" xfId="0" applyNumberFormat="1" applyFont="1" applyBorder="1" applyAlignment="1">
      <alignment horizontal="center" vertical="center"/>
    </xf>
    <xf numFmtId="0" fontId="18" fillId="12" borderId="17" xfId="0" applyFont="1" applyFill="1" applyBorder="1" applyAlignment="1">
      <alignment horizontal="left" vertical="center"/>
    </xf>
    <xf numFmtId="9" fontId="22" fillId="0" borderId="17" xfId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3" fontId="18" fillId="12" borderId="17" xfId="0" applyNumberFormat="1" applyFont="1" applyFill="1" applyBorder="1" applyAlignment="1">
      <alignment horizontal="left" vertical="center"/>
    </xf>
    <xf numFmtId="165" fontId="18" fillId="17" borderId="15" xfId="0" applyNumberFormat="1" applyFont="1" applyFill="1" applyBorder="1" applyAlignment="1">
      <alignment horizontal="center" vertical="center"/>
    </xf>
    <xf numFmtId="165" fontId="18" fillId="18" borderId="16" xfId="0" applyNumberFormat="1" applyFont="1" applyFill="1" applyBorder="1" applyAlignment="1">
      <alignment horizontal="center" vertical="center"/>
    </xf>
    <xf numFmtId="165" fontId="18" fillId="12" borderId="17" xfId="0" applyNumberFormat="1" applyFont="1" applyFill="1" applyBorder="1" applyAlignment="1">
      <alignment horizontal="center" vertical="center"/>
    </xf>
    <xf numFmtId="165" fontId="18" fillId="19" borderId="5" xfId="0" applyNumberFormat="1" applyFont="1" applyFill="1" applyBorder="1" applyAlignment="1">
      <alignment horizontal="center" vertical="center"/>
    </xf>
    <xf numFmtId="165" fontId="18" fillId="13" borderId="21" xfId="0" applyNumberFormat="1" applyFont="1" applyFill="1" applyBorder="1" applyAlignment="1">
      <alignment horizontal="right" vertical="center"/>
    </xf>
    <xf numFmtId="9" fontId="39" fillId="11" borderId="15" xfId="1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6" fillId="12" borderId="0" xfId="0" applyFont="1" applyFill="1" applyBorder="1" applyAlignment="1">
      <alignment horizontal="left" vertical="center"/>
    </xf>
    <xf numFmtId="0" fontId="46" fillId="12" borderId="9" xfId="0" applyFont="1" applyFill="1" applyBorder="1" applyAlignment="1">
      <alignment horizontal="left" vertical="center"/>
    </xf>
    <xf numFmtId="165" fontId="47" fillId="0" borderId="5" xfId="0" applyNumberFormat="1" applyFont="1" applyBorder="1" applyAlignment="1">
      <alignment horizontal="center" vertical="center"/>
    </xf>
    <xf numFmtId="0" fontId="30" fillId="0" borderId="0" xfId="0" applyFont="1" applyAlignment="1"/>
    <xf numFmtId="44" fontId="0" fillId="0" borderId="0" xfId="0" applyNumberFormat="1"/>
    <xf numFmtId="9" fontId="19" fillId="7" borderId="15" xfId="1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39" fillId="11" borderId="1" xfId="10" applyNumberFormat="1" applyFont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49" fillId="0" borderId="0" xfId="0" applyFont="1" applyAlignment="1">
      <alignment vertical="center"/>
    </xf>
    <xf numFmtId="1" fontId="4" fillId="0" borderId="0" xfId="0" applyNumberFormat="1" applyFont="1"/>
    <xf numFmtId="165" fontId="4" fillId="0" borderId="0" xfId="0" applyNumberFormat="1" applyFont="1"/>
    <xf numFmtId="0" fontId="7" fillId="0" borderId="0" xfId="0" pivotButton="1" applyFont="1" applyAlignment="1">
      <alignment vertical="center"/>
    </xf>
    <xf numFmtId="0" fontId="42" fillId="0" borderId="0" xfId="0" applyFont="1" applyAlignment="1">
      <alignment vertical="center"/>
    </xf>
    <xf numFmtId="165" fontId="4" fillId="0" borderId="0" xfId="0" applyNumberFormat="1" applyFont="1" applyAlignment="1">
      <alignment horizontal="right" vertical="center"/>
    </xf>
    <xf numFmtId="0" fontId="18" fillId="20" borderId="0" xfId="0" applyFont="1" applyFill="1" applyAlignment="1">
      <alignment horizontal="center" vertical="center"/>
    </xf>
    <xf numFmtId="0" fontId="50" fillId="0" borderId="0" xfId="0" applyFont="1" applyAlignment="1">
      <alignment vertical="center"/>
    </xf>
    <xf numFmtId="165" fontId="51" fillId="0" borderId="23" xfId="0" applyNumberFormat="1" applyFont="1" applyBorder="1" applyAlignment="1">
      <alignment vertical="center"/>
    </xf>
    <xf numFmtId="0" fontId="0" fillId="0" borderId="0" xfId="0" pivotButton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24" xfId="0" applyFont="1" applyBorder="1" applyAlignment="1">
      <alignment vertical="center"/>
    </xf>
    <xf numFmtId="0" fontId="7" fillId="21" borderId="24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9" fontId="45" fillId="7" borderId="16" xfId="1" applyFont="1" applyFill="1" applyBorder="1" applyAlignment="1">
      <alignment horizontal="center" vertical="center"/>
    </xf>
    <xf numFmtId="165" fontId="19" fillId="0" borderId="0" xfId="0" applyNumberFormat="1" applyFont="1" applyAlignment="1">
      <alignment vertical="center"/>
    </xf>
    <xf numFmtId="44" fontId="4" fillId="0" borderId="0" xfId="12" applyFont="1"/>
    <xf numFmtId="3" fontId="18" fillId="12" borderId="8" xfId="0" applyNumberFormat="1" applyFont="1" applyFill="1" applyBorder="1" applyAlignment="1">
      <alignment vertical="center"/>
    </xf>
    <xf numFmtId="3" fontId="18" fillId="12" borderId="25" xfId="0" applyNumberFormat="1" applyFont="1" applyFill="1" applyBorder="1" applyAlignment="1">
      <alignment vertical="center"/>
    </xf>
    <xf numFmtId="3" fontId="18" fillId="22" borderId="8" xfId="0" applyNumberFormat="1" applyFont="1" applyFill="1" applyBorder="1" applyAlignment="1">
      <alignment vertical="center"/>
    </xf>
    <xf numFmtId="0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3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34" fillId="23" borderId="0" xfId="0" applyFont="1" applyFill="1" applyAlignment="1">
      <alignment vertical="center"/>
    </xf>
    <xf numFmtId="0" fontId="53" fillId="23" borderId="0" xfId="0" applyFont="1" applyFill="1" applyAlignment="1">
      <alignment vertical="center"/>
    </xf>
    <xf numFmtId="0" fontId="0" fillId="23" borderId="0" xfId="0" applyFill="1" applyAlignment="1">
      <alignment vertical="center"/>
    </xf>
    <xf numFmtId="0" fontId="52" fillId="23" borderId="0" xfId="0" applyFont="1" applyFill="1" applyAlignment="1">
      <alignment vertical="center"/>
    </xf>
    <xf numFmtId="0" fontId="52" fillId="23" borderId="0" xfId="0" applyFont="1" applyFill="1" applyAlignment="1">
      <alignment horizontal="center" vertical="center"/>
    </xf>
    <xf numFmtId="3" fontId="52" fillId="23" borderId="26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34" fillId="23" borderId="0" xfId="0" applyFont="1" applyFill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32" fillId="24" borderId="0" xfId="0" applyFont="1" applyFill="1" applyAlignment="1">
      <alignment vertical="center"/>
    </xf>
    <xf numFmtId="0" fontId="0" fillId="24" borderId="0" xfId="0" applyFill="1" applyAlignment="1">
      <alignment vertical="center"/>
    </xf>
    <xf numFmtId="0" fontId="0" fillId="24" borderId="0" xfId="0" applyFill="1" applyAlignment="1">
      <alignment horizontal="center" vertical="center"/>
    </xf>
    <xf numFmtId="9" fontId="6" fillId="0" borderId="0" xfId="1" applyFont="1" applyAlignment="1">
      <alignment horizontal="center" vertical="center"/>
    </xf>
    <xf numFmtId="0" fontId="48" fillId="0" borderId="22" xfId="0" applyFont="1" applyBorder="1" applyAlignment="1">
      <alignment horizontal="right" vertical="center"/>
    </xf>
    <xf numFmtId="3" fontId="18" fillId="12" borderId="10" xfId="0" applyNumberFormat="1" applyFont="1" applyFill="1" applyBorder="1" applyAlignment="1">
      <alignment horizontal="left" vertical="center"/>
    </xf>
    <xf numFmtId="3" fontId="18" fillId="12" borderId="9" xfId="0" applyNumberFormat="1" applyFont="1" applyFill="1" applyBorder="1" applyAlignment="1">
      <alignment horizontal="left" vertical="center"/>
    </xf>
    <xf numFmtId="3" fontId="22" fillId="0" borderId="12" xfId="0" applyNumberFormat="1" applyFont="1" applyBorder="1" applyAlignment="1">
      <alignment horizontal="left" vertical="center"/>
    </xf>
    <xf numFmtId="3" fontId="22" fillId="0" borderId="13" xfId="0" applyNumberFormat="1" applyFont="1" applyBorder="1" applyAlignment="1">
      <alignment horizontal="left" vertical="center"/>
    </xf>
    <xf numFmtId="3" fontId="22" fillId="0" borderId="14" xfId="0" applyNumberFormat="1" applyFont="1" applyBorder="1" applyAlignment="1">
      <alignment horizontal="left" vertical="center"/>
    </xf>
    <xf numFmtId="0" fontId="18" fillId="12" borderId="18" xfId="0" applyFont="1" applyFill="1" applyBorder="1" applyAlignment="1">
      <alignment horizontal="left" vertical="center"/>
    </xf>
    <xf numFmtId="0" fontId="18" fillId="12" borderId="19" xfId="0" applyFont="1" applyFill="1" applyBorder="1" applyAlignment="1">
      <alignment horizontal="left" vertical="center"/>
    </xf>
    <xf numFmtId="0" fontId="18" fillId="12" borderId="20" xfId="0" applyFont="1" applyFill="1" applyBorder="1" applyAlignment="1">
      <alignment horizontal="left" vertical="center"/>
    </xf>
    <xf numFmtId="0" fontId="18" fillId="12" borderId="0" xfId="0" applyFont="1" applyFill="1" applyBorder="1" applyAlignment="1">
      <alignment horizontal="left" vertical="center"/>
    </xf>
    <xf numFmtId="0" fontId="18" fillId="12" borderId="9" xfId="0" applyFont="1" applyFill="1" applyBorder="1" applyAlignment="1">
      <alignment horizontal="left" vertical="center"/>
    </xf>
    <xf numFmtId="0" fontId="22" fillId="0" borderId="12" xfId="0" applyNumberFormat="1" applyFont="1" applyBorder="1" applyAlignment="1">
      <alignment horizontal="left" vertical="center"/>
    </xf>
    <xf numFmtId="0" fontId="22" fillId="0" borderId="13" xfId="0" applyNumberFormat="1" applyFont="1" applyBorder="1" applyAlignment="1">
      <alignment horizontal="left" vertical="center"/>
    </xf>
    <xf numFmtId="0" fontId="22" fillId="0" borderId="14" xfId="0" applyNumberFormat="1" applyFont="1" applyBorder="1" applyAlignment="1">
      <alignment horizontal="left" vertical="center"/>
    </xf>
  </cellXfs>
  <cellStyles count="13">
    <cellStyle name="20% - Ênfase6" xfId="5" builtinId="50"/>
    <cellStyle name="Bom" xfId="2" builtinId="26"/>
    <cellStyle name="Cálculo" xfId="3" builtinId="22"/>
    <cellStyle name="Ênfase1" xfId="11" builtinId="29"/>
    <cellStyle name="Entrada" xfId="10" builtinId="20"/>
    <cellStyle name="Hiperlink" xfId="6" builtinId="8"/>
    <cellStyle name="Moeda" xfId="12" builtinId="4"/>
    <cellStyle name="Moeda 2" xfId="8" xr:uid="{177C8307-5165-4AB3-805B-82E3ADB1B367}"/>
    <cellStyle name="Moeda 6" xfId="9" xr:uid="{5E0BE3EB-402F-4487-A1E0-EF9554BF179B}"/>
    <cellStyle name="Neutro 2" xfId="7" xr:uid="{05A6A35A-6FDA-4477-9795-D50474D87CB1}"/>
    <cellStyle name="Normal" xfId="0" builtinId="0"/>
    <cellStyle name="Nota" xfId="4" builtinId="10"/>
    <cellStyle name="Porcentagem" xfId="1" builtinId="5"/>
  </cellStyles>
  <dxfs count="2076">
    <dxf>
      <alignment horizontal="center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numFmt numFmtId="3" formatCode="#,##0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color theme="0"/>
      </font>
    </dxf>
    <dxf>
      <alignment horizontal="right"/>
    </dxf>
    <dxf>
      <numFmt numFmtId="3" formatCode="#,##0"/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ill>
        <patternFill patternType="solid">
          <bgColor theme="9" tint="-0.249977111117893"/>
        </patternFill>
      </fill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ont>
        <color theme="9" tint="-0.499984740745262"/>
      </font>
    </dxf>
    <dxf>
      <font>
        <color theme="9" tint="-0.499984740745262"/>
      </font>
    </dxf>
    <dxf>
      <font>
        <color theme="9" tint="-0.499984740745262"/>
      </font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ont>
        <color theme="9" tint="0.39997558519241921"/>
      </font>
    </dxf>
    <dxf>
      <font>
        <color theme="9" tint="0.39997558519241921"/>
      </font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ill>
        <patternFill patternType="solid">
          <bgColor theme="9" tint="-0.249977111117893"/>
        </patternFill>
      </fill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ill>
        <patternFill>
          <bgColor theme="9" tint="-0.249977111117893"/>
        </patternFill>
      </fill>
    </dxf>
    <dxf>
      <font>
        <color theme="9" tint="-0.499984740745262"/>
      </font>
    </dxf>
    <dxf>
      <font>
        <color theme="9" tint="-0.499984740745262"/>
      </font>
    </dxf>
    <dxf>
      <font>
        <color theme="9" tint="-0.499984740745262"/>
      </font>
    </dxf>
    <dxf>
      <font>
        <color theme="9" tint="-0.499984740745262"/>
      </font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ont>
        <color theme="9" tint="0.39997558519241921"/>
      </font>
    </dxf>
    <dxf>
      <font>
        <color theme="9" tint="0.39997558519241921"/>
      </font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/>
        <i val="0"/>
        <color theme="5" tint="-0.24994659260841701"/>
      </font>
    </dxf>
    <dxf>
      <font>
        <b/>
        <i val="0"/>
        <color rgb="FF7030A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1499679555650502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color theme="8" tint="-0.24994659260841701"/>
      </font>
    </dxf>
    <dxf>
      <font>
        <color rgb="FF9C0006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0070C0"/>
      </font>
    </dxf>
    <dxf>
      <font>
        <color rgb="FF9C0006"/>
      </font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numFmt numFmtId="165" formatCode="&quot;R$&quot;\ #,##0.00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numFmt numFmtId="165" formatCode="&quot;R$&quot;\ #,##0.00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right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3" formatCode="#,##0"/>
    </dxf>
    <dxf>
      <font>
        <b/>
      </font>
    </dxf>
    <dxf>
      <font>
        <color theme="0"/>
      </font>
    </dxf>
    <dxf>
      <fill>
        <patternFill patternType="solid">
          <bgColor theme="9"/>
        </patternFill>
      </fill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font>
        <b/>
        <color theme="0"/>
      </font>
      <fill>
        <patternFill patternType="solid">
          <fgColor theme="9"/>
          <bgColor theme="9"/>
        </patternFill>
      </fill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/>
        <i val="0"/>
        <color theme="0" tint="-0.24994659260841701"/>
      </font>
    </dxf>
    <dxf>
      <font>
        <b/>
        <i val="0"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7" formatCode="0.00_ ;[Red]\-0.00\ 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 val="0"/>
        <i/>
        <color theme="0" tint="-0.24994659260841701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color rgb="FF0070C0"/>
      </font>
    </dxf>
    <dxf>
      <font>
        <color rgb="FF9C0006"/>
      </font>
    </dxf>
    <dxf>
      <font>
        <b val="0"/>
        <i/>
        <color theme="0" tint="-0.24994659260841701"/>
      </font>
    </dxf>
    <dxf>
      <font>
        <b/>
        <i val="0"/>
        <color rgb="FF0070C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8C34D7F-CB07-437C-BCEA-2C0994708B1A}">
      <tableStyleElement type="wholeTable" dxfId="2075"/>
      <tableStyleElement type="headerRow" dxfId="2074"/>
    </tableStyle>
  </tableStyles>
  <colors>
    <mruColors>
      <color rgb="FFFFFFCC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microsoft.com/office/2007/relationships/slicerCache" Target="slicerCaches/slicerCache12.xml"/><Relationship Id="rId47" Type="http://schemas.openxmlformats.org/officeDocument/2006/relationships/sheetMetadata" Target="metadata.xml"/><Relationship Id="rId63" Type="http://schemas.openxmlformats.org/officeDocument/2006/relationships/customXml" Target="../customXml/item14.xml"/><Relationship Id="rId68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tyles" Target="styles.xml"/><Relationship Id="rId53" Type="http://schemas.openxmlformats.org/officeDocument/2006/relationships/customXml" Target="../customXml/item4.xml"/><Relationship Id="rId58" Type="http://schemas.openxmlformats.org/officeDocument/2006/relationships/customXml" Target="../customXml/item9.xml"/><Relationship Id="rId66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openxmlformats.org/officeDocument/2006/relationships/powerPivotData" Target="model/item.data"/><Relationship Id="rId56" Type="http://schemas.openxmlformats.org/officeDocument/2006/relationships/customXml" Target="../customXml/item7.xml"/><Relationship Id="rId64" Type="http://schemas.openxmlformats.org/officeDocument/2006/relationships/customXml" Target="../customXml/item15.xml"/><Relationship Id="rId69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sharedStrings" Target="sharedStrings.xml"/><Relationship Id="rId59" Type="http://schemas.openxmlformats.org/officeDocument/2006/relationships/customXml" Target="../customXml/item10.xml"/><Relationship Id="rId67" Type="http://schemas.openxmlformats.org/officeDocument/2006/relationships/customXml" Target="../customXml/item18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Relationship Id="rId54" Type="http://schemas.openxmlformats.org/officeDocument/2006/relationships/customXml" Target="../customXml/item5.xml"/><Relationship Id="rId62" Type="http://schemas.openxmlformats.org/officeDocument/2006/relationships/customXml" Target="../customXml/item13.xml"/><Relationship Id="rId70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07/relationships/slicerCache" Target="slicerCaches/slicerCache6.xml"/><Relationship Id="rId49" Type="http://schemas.openxmlformats.org/officeDocument/2006/relationships/calcChain" Target="calcChain.xml"/><Relationship Id="rId57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1.xml"/><Relationship Id="rId44" Type="http://schemas.openxmlformats.org/officeDocument/2006/relationships/connections" Target="connections.xml"/><Relationship Id="rId52" Type="http://schemas.openxmlformats.org/officeDocument/2006/relationships/customXml" Target="../customXml/item3.xml"/><Relationship Id="rId60" Type="http://schemas.openxmlformats.org/officeDocument/2006/relationships/customXml" Target="../customXml/item11.xml"/><Relationship Id="rId65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9.xml"/><Relationship Id="rId34" Type="http://schemas.microsoft.com/office/2007/relationships/slicerCache" Target="slicerCaches/slicerCache4.xml"/><Relationship Id="rId50" Type="http://schemas.openxmlformats.org/officeDocument/2006/relationships/customXml" Target="../customXml/item1.xml"/><Relationship Id="rId55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1228726</xdr:colOff>
      <xdr:row>0</xdr:row>
      <xdr:rowOff>0</xdr:rowOff>
    </xdr:from>
    <xdr:to>
      <xdr:col>14</xdr:col>
      <xdr:colOff>8026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es-Fiscal 3">
              <a:extLst>
                <a:ext uri="{FF2B5EF4-FFF2-40B4-BE49-F238E27FC236}">
                  <a16:creationId xmlns:a16="http://schemas.microsoft.com/office/drawing/2014/main" id="{A5ECAB58-EC55-4F8C-853A-C677233B8F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11176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1157288</xdr:colOff>
      <xdr:row>0</xdr:row>
      <xdr:rowOff>0</xdr:rowOff>
    </xdr:from>
    <xdr:to>
      <xdr:col>12</xdr:col>
      <xdr:colOff>1212938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ri-Fiscal 3">
              <a:extLst>
                <a:ext uri="{FF2B5EF4-FFF2-40B4-BE49-F238E27FC236}">
                  <a16:creationId xmlns:a16="http://schemas.microsoft.com/office/drawing/2014/main" id="{5C8EFA3A-3C64-4D78-A18B-B0D7E944C6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3388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790575</xdr:colOff>
      <xdr:row>0</xdr:row>
      <xdr:rowOff>0</xdr:rowOff>
    </xdr:from>
    <xdr:to>
      <xdr:col>11</xdr:col>
      <xdr:colOff>1141500</xdr:colOff>
      <xdr:row>3</xdr:row>
      <xdr:rowOff>33225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Ano-Fiscal 1">
              <a:extLst>
                <a:ext uri="{FF2B5EF4-FFF2-40B4-BE49-F238E27FC236}">
                  <a16:creationId xmlns:a16="http://schemas.microsoft.com/office/drawing/2014/main" id="{91E9DFE6-6080-4806-9B3B-DE0AED62A6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15600" y="0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485774</xdr:colOff>
      <xdr:row>0</xdr:row>
      <xdr:rowOff>9525</xdr:rowOff>
    </xdr:from>
    <xdr:to>
      <xdr:col>3</xdr:col>
      <xdr:colOff>560474</xdr:colOff>
      <xdr:row>5</xdr:row>
      <xdr:rowOff>23700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no-Fiscal">
              <a:extLst>
                <a:ext uri="{FF2B5EF4-FFF2-40B4-BE49-F238E27FC236}">
                  <a16:creationId xmlns:a16="http://schemas.microsoft.com/office/drawing/2014/main" id="{97541882-57F8-4CBC-8E85-AA65E5E4DF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1199" y="9525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819150</xdr:colOff>
      <xdr:row>0</xdr:row>
      <xdr:rowOff>9525</xdr:rowOff>
    </xdr:from>
    <xdr:to>
      <xdr:col>11</xdr:col>
      <xdr:colOff>28575</xdr:colOff>
      <xdr:row>5</xdr:row>
      <xdr:rowOff>23700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es-Fiscal 2">
              <a:extLst>
                <a:ext uri="{FF2B5EF4-FFF2-40B4-BE49-F238E27FC236}">
                  <a16:creationId xmlns:a16="http://schemas.microsoft.com/office/drawing/2014/main" id="{2B29A09A-04F4-4F3D-8BC0-DA96B5893B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67725" y="9525"/>
              <a:ext cx="725805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566737</xdr:colOff>
      <xdr:row>0</xdr:row>
      <xdr:rowOff>9526</xdr:rowOff>
    </xdr:from>
    <xdr:to>
      <xdr:col>4</xdr:col>
      <xdr:colOff>812887</xdr:colOff>
      <xdr:row>5</xdr:row>
      <xdr:rowOff>23701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Tri-Fiscal 2">
              <a:extLst>
                <a:ext uri="{FF2B5EF4-FFF2-40B4-BE49-F238E27FC236}">
                  <a16:creationId xmlns:a16="http://schemas.microsoft.com/office/drawing/2014/main" id="{A4EE7D6E-068C-44DA-92D7-738D7B667C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9462" y="9526"/>
              <a:ext cx="133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152399</xdr:rowOff>
    </xdr:from>
    <xdr:to>
      <xdr:col>0</xdr:col>
      <xdr:colOff>2476499</xdr:colOff>
      <xdr:row>35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Email-Representante">
              <a:extLst>
                <a:ext uri="{FF2B5EF4-FFF2-40B4-BE49-F238E27FC236}">
                  <a16:creationId xmlns:a16="http://schemas.microsoft.com/office/drawing/2014/main" id="{0F2EF7CC-59ED-4EFC-AA20-0F2CEDE1CB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ail-Represent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57299"/>
              <a:ext cx="2476499" cy="58102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1085849</xdr:colOff>
      <xdr:row>0</xdr:row>
      <xdr:rowOff>0</xdr:rowOff>
    </xdr:from>
    <xdr:to>
      <xdr:col>0</xdr:col>
      <xdr:colOff>2170612</xdr:colOff>
      <xdr:row>2</xdr:row>
      <xdr:rowOff>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es-Fiscal">
              <a:extLst>
                <a:ext uri="{FF2B5EF4-FFF2-40B4-BE49-F238E27FC236}">
                  <a16:creationId xmlns:a16="http://schemas.microsoft.com/office/drawing/2014/main" id="{784322EC-1C7B-4360-8AA4-D958D5A4E7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49" y="0"/>
              <a:ext cx="1084763" cy="64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1082381</xdr:colOff>
      <xdr:row>2</xdr:row>
      <xdr:rowOff>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ri-Fiscal">
              <a:extLst>
                <a:ext uri="{FF2B5EF4-FFF2-40B4-BE49-F238E27FC236}">
                  <a16:creationId xmlns:a16="http://schemas.microsoft.com/office/drawing/2014/main" id="{C8C46660-BF5F-4E8E-A74B-7A323E6B13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082381" cy="64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1260000</xdr:colOff>
      <xdr:row>2</xdr:row>
      <xdr:rowOff>252300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-Fiscal 1">
              <a:extLst>
                <a:ext uri="{FF2B5EF4-FFF2-40B4-BE49-F238E27FC236}">
                  <a16:creationId xmlns:a16="http://schemas.microsoft.com/office/drawing/2014/main" id="{676EF5CC-0456-4217-B5FE-4ACBB522EF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260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1238250</xdr:colOff>
      <xdr:row>0</xdr:row>
      <xdr:rowOff>0</xdr:rowOff>
    </xdr:from>
    <xdr:to>
      <xdr:col>1</xdr:col>
      <xdr:colOff>2700</xdr:colOff>
      <xdr:row>2</xdr:row>
      <xdr:rowOff>252300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ri-Fiscal 1">
              <a:extLst>
                <a:ext uri="{FF2B5EF4-FFF2-40B4-BE49-F238E27FC236}">
                  <a16:creationId xmlns:a16="http://schemas.microsoft.com/office/drawing/2014/main" id="{FC4E1771-7AC2-4497-BC6B-3B0D6E1333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0" y="0"/>
              <a:ext cx="1260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247650</xdr:rowOff>
    </xdr:from>
    <xdr:to>
      <xdr:col>1</xdr:col>
      <xdr:colOff>9524</xdr:colOff>
      <xdr:row>10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#FK-Email-Gerente">
              <a:extLst>
                <a:ext uri="{FF2B5EF4-FFF2-40B4-BE49-F238E27FC236}">
                  <a16:creationId xmlns:a16="http://schemas.microsoft.com/office/drawing/2014/main" id="{FD5F52C9-EF13-4167-8CF6-716E585F2D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FK-Email-Ger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95350"/>
              <a:ext cx="2505074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1440000" cy="792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-Fiscal 2">
              <a:extLst>
                <a:ext uri="{FF2B5EF4-FFF2-40B4-BE49-F238E27FC236}">
                  <a16:creationId xmlns:a16="http://schemas.microsoft.com/office/drawing/2014/main" id="{7D3D94ED-1718-4FF8-B18F-6B15F650DD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-Fisc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440000" cy="7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12</xdr:row>
      <xdr:rowOff>9525</xdr:rowOff>
    </xdr:from>
    <xdr:ext cx="1440000" cy="3600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es-Fiscal 4">
              <a:extLst>
                <a:ext uri="{FF2B5EF4-FFF2-40B4-BE49-F238E27FC236}">
                  <a16:creationId xmlns:a16="http://schemas.microsoft.com/office/drawing/2014/main" id="{B8EC11D0-1A5C-4EB0-9225-E503F88BFD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Fisc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343150"/>
              <a:ext cx="1440000" cy="36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  <xdr:oneCellAnchor>
    <xdr:from>
      <xdr:col>0</xdr:col>
      <xdr:colOff>0</xdr:colOff>
      <xdr:row>4</xdr:row>
      <xdr:rowOff>19051</xdr:rowOff>
    </xdr:from>
    <xdr:ext cx="1440000" cy="14760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ri-Fiscal 4">
              <a:extLst>
                <a:ext uri="{FF2B5EF4-FFF2-40B4-BE49-F238E27FC236}">
                  <a16:creationId xmlns:a16="http://schemas.microsoft.com/office/drawing/2014/main" id="{C02788FB-BC44-4DAA-805F-82154D7422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-Fisc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28676"/>
              <a:ext cx="144000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domiro Barbosa" refreshedDate="43866.615292245369" createdVersion="6" refreshedVersion="6" minRefreshableVersion="3" recordCount="3212" xr:uid="{2AEE906F-9655-4631-A5CC-C417B59DA65F}">
  <cacheSource type="worksheet">
    <worksheetSource name="VIEW_IV_2019_DEMANDA_SETORIZADA_REP"/>
  </cacheSource>
  <cacheFields count="19">
    <cacheField name="Ano-Fiscal" numFmtId="0">
      <sharedItems count="1">
        <s v="2019/2020"/>
      </sharedItems>
    </cacheField>
    <cacheField name="Mes-Fiscal" numFmtId="0">
      <sharedItems count="6">
        <s v="01-Jul"/>
        <s v="02-Ago"/>
        <s v="03-Set"/>
        <s v="04-Out"/>
        <s v="05-Nov"/>
        <s v="06-Dez"/>
      </sharedItems>
    </cacheField>
    <cacheField name="Tri-Fiscal" numFmtId="0">
      <sharedItems count="2">
        <s v="01-Tri"/>
        <s v="02-Tri"/>
      </sharedItems>
    </cacheField>
    <cacheField name="#FK-CNPJ" numFmtId="1">
      <sharedItems containsSemiMixedTypes="0" containsString="0" containsNumber="1" containsInteger="1" minValue="320465020" maxValue="97397848000138"/>
    </cacheField>
    <cacheField name="Estabelecimento" numFmtId="0">
      <sharedItems count="1190">
        <s v="HOSPITAL DO CORACAO DE ALAGOAS - MACEIÓ - AL - 01.454.407/0001-51"/>
        <s v="HOSPITAL UNIMED - MACEIÓ - AL - 12.442.737/0004-96"/>
        <s v="HUPAA - MACEIÓ - AL - 24.464.109/0002-29"/>
        <s v="HOSPITAL SAO LUCAS - MANAUS - AM - 12.361.267/0116-32"/>
        <s v="I. O. M. - MACAPÁ - AP - 06.070.425/0001-53"/>
        <s v="EMEC - FEIRA DE SANTANA - BA - 14.074.546/0001-00"/>
        <s v="LABCMI GESTAO HOSPITALAR - HEC - FEIRA DE SANTANA - BA - 15.170.723/0005-30"/>
        <s v="HOSPITAL AEROPORTO - LAURO DE FREITAS - BA - 04.602.792/0001-25"/>
        <s v="CARDIO PULMONAR DA BAHIA S.A - SALVADOR - BA - 13.952.064/0001-34"/>
        <s v="FES/BA - SALVADOR - BA - 05.816.630/0001-52"/>
        <s v="FUNDACAO JOSE SILVEIRA - SALVADOR - BA - 15.194.004/0001-25"/>
        <s v="HBA - SALVADOR - BA - 05.469.172/0001-22"/>
        <s v="HOSPITAL ALIANCA - SALVADOR - BA - 13.016.092/0001-40"/>
        <s v="HOSPITAL MUNICIPAL DE SALVADOR - SALVADOR - BA - 15.153.745/0027-05"/>
        <s v="HOSPITAL PORTUGUES - SALVADOR - BA - 15.166.416/0001-51"/>
        <s v="HOSPITAL SANTA IZABEL - SALVADOR - BA - 15.153.745/0002-49"/>
        <s v="HOSPITAL SAO RAFAEL S.A - SALVADOR - BA - 27.372.066/0001-69"/>
        <s v="HOSPITAL TEREZA DE LISIEUX - SALVADOR - BA - 12.361.267/0103-18"/>
        <s v="LIGA ALVARO BAHIA CONTRA A MORTALIDADE INFANTIL - SALVADOR - BA - 15.170.723/0001-06"/>
        <s v="MCO - SALVADOR - BA - 15.180.714/0003-68"/>
        <s v="NOVACLIN - SALVADOR - BA - 15.242.761/0001-27"/>
        <s v="UNIVERSIDADE FEDERAL DA BAHIA - SALVADOR - BA - 15.180.714/0005-20"/>
        <s v="IBR INSTITUTO BRANDAO DE REABILITACAO LTDA - EPP - VITÓRIA DA CONQUISTA - BA - 13.284.872/0001-70"/>
        <s v="DEPOSITO - ARMAZEM FORTALEZA/CE - FORTALEZA - CE - 12.361.267/0118-02"/>
        <s v="FUNDES - FORTALEZA - CE - 74.031.865/0001-51"/>
        <s v="GASTROCLINICA - FORTALEZA - CE - 07.272.404/0001-83"/>
        <s v="H A P - FORTALEZA - CE - 05.874.946/0001-09"/>
        <s v="HOSPITAL CURA DARS - FORTALEZA - CE - 60.975.737/0035-09"/>
        <s v="HOSPITAL MONTE KLINIKUM - FORTALEZA - CE - 29.435.005/0074-84"/>
        <s v="HOSPITAL REGIONAL UNIMED - FORTALEZA - CE - 05.868.278/0002-80"/>
        <s v="HOSPITAL UNIVERSITARIO WALTER CANTIDIO - FORTALEZA - CE - 07.272.636/0002-12"/>
        <s v="INSTITUTO DR JOSE FROTA - FORTALEZA - CE - 07.835.044/0001-80"/>
        <s v="INTEGRARE TERAPEUTICA - FORTALEZA - CE - 12.568.570/0001-61"/>
        <s v="UNICLINIC - FORTALEZA - CE - 05.867.015/0001-75"/>
        <s v="ALIANCA INSTITUTO DE ONCOLOGIA - BRASÍLIA - DF - 09.104.513/0009-74"/>
        <s v="CEMED CARE EMPRESA DE ATENDIMENTO CLINICO GERAL LTDA - BRASÍLIA - DF - 07.794.623/0051-91"/>
        <s v="CETTRO - CENTRO DE CANCER DE BRASILIA - BRASÍLIA - DF - 00.520.237/0001-01"/>
        <s v="GRUPO ACREDITAR - BRASÍLIA - DF - 03.989.821/0001-90"/>
        <s v="HOME - BRASÍLIA - DF - 37.108.388/0001-59"/>
        <s v="HOSPITAL ALVORADA DE BRASILIA - BRASÍLIA - DF - 29.435.005/0046-20"/>
        <s v="HOSPITAL ANCHIETA LTDA - BRASÍLIA - DF - 02.560.878/0001-07"/>
        <s v="HOSPITAL BRASILIA - BRASÍLIA - DF - 60.884.855/0022-89"/>
        <s v="HOSPITAL DO CORACAO DO BRASIL (REDE DOR) - BRASÍLIA - DF - 06.047.087/0042-07"/>
        <s v="HOSPITAL MARIA AUXILIADORA - BRASÍLIA - DF - 38.000.485/0001-96"/>
        <s v="HOSPITAL SANTA HELENA (REDE DOR) - BRASÍLIA - DF - 00.049.791/0001-44"/>
        <s v="HOSPITAL SANTA LUZIA (REDE DOR) - BRASÍLIA - DF - 06.047.087/0041-26"/>
        <s v="HOSPITAL SANTA MARTA LTDA - BRASÍLIA - DF - 00.610.980/0001-44"/>
        <s v="HSL UNIDADE BRASILIA - BRASÍLIA - DF - 61.590.410/0005-58"/>
        <s v="IHBDF - BRASÍLIA - DF - 28.481.233/0001-72"/>
        <s v="INSTITUTO DE CANCER DE BRASILIA LTDA - BRASÍLIA - DF - 11.859.927/0001-06"/>
        <s v="INSTITUTO DE CARDIOLOGIA DO DISTRITO FEDERAL - BRASÍLIA - DF - 92.898.550/0006-00"/>
        <s v="ONCO VIDA - BRASÍLIA - DF - 01.682.668/0001-29"/>
        <s v="PRIME HOME CARE - BRASÍLIA - DF - 16.739.984/0001-67"/>
        <s v="PRONTONORTE - BRASÍLIA - DF - 00.511.816/0001-80"/>
        <s v="UNIDADE BRASILIA IV - BRASÍLIA - DF - 61.590.410/0012-87"/>
        <s v="SAO BERNARDO APART - COLATINA - ES - 07.039.651/0001-34"/>
        <s v="CLINICA PERINATAL VITORIA LTDA - SERRA - ES - 01.396.804/0001-14"/>
        <s v="HOSPITAL DOUTOR DORIO SILVA - SERRA - ES - 27.080.605/0015-91"/>
        <s v="HOSPITAL SANTA RITA DE CASSIA - VITÓRIA - ES - 28.137.925/0001-06"/>
        <s v="IMUNOMED ESPECIALIDADES E CLINICA DE INFUSAO - VITÓRIA - ES - 39.387.477/0001-07"/>
        <s v="HOSPITAL E MATERNIDADE SAO NICOLAU - CATALÃO - GO - 01.326.206/0001-79"/>
        <s v="CENTRO CLINICO UNIMED - GOIÂNIA - GO - 02.476.067/0003-94"/>
        <s v="HEMOLABOR - GOIÂNIA - GO - 00.418.954/0001-19"/>
        <s v="INSTITUTO DE NEUROLOGIA - GOIÂNIA - GO - 01.011.865/0001-16"/>
        <s v="SERVICO DE ATENDIMENTO UNIMED - GOIÂNIA - GO - 02.476.067/0002-03"/>
        <s v="UNIMED GOIANIA - GOIÂNIA - GO - 02.476.067/0001-22"/>
        <s v="FUNDO MUNICIPAL DE SAUDE DE RIO VERDE - GO - RIO VERDE - GO - 06.190.522/0001-80"/>
        <s v="EBSERH HOSPITAL UNIVERSITARIO DE SAO LUIS - SÃO LUÍS - MA - 15.126.437/0004-96"/>
        <s v="HOSPITAL SAO DOMINGOS LTDA. - SÃO LUÍS - MA - 11.006.293/0001-30"/>
        <s v="UDI HOSPITAL - SÃO LUÍS - MA - 02.284.062/0011-70"/>
        <s v="FUNDACAO FELICE ROSSO - BELO HORIZONTE - MG - 17.214.149/0001-76"/>
        <s v="HEMATOLOGICA - CLINICA DE HEMATOLOGIA LTDA - BELO HORIZONTE - MG - 00.410.960/0001-20"/>
        <s v="HOSPITAL MATER DEI SA - BELO HORIZONTE - MG - 16.676.520/0001-59"/>
        <s v="NUCLEO DE HEMATOLOGIA E ONCOLOGIA - BELO HORIZONTE - MG - 02.623.693/0001-02"/>
        <s v="ONCOMED CENTRO PREV E TRAT DE DOENCAS NEOPLASICAS LTDA - BELO HORIZONTE - MG - 00.132.229/0001-80"/>
        <s v="GUSTAVO PRIETO BORGES MOREIRA - CONSELHEIRO LAFAIETE - MG - 173.769.686-01"/>
        <s v="HOSPITAL MARCIO CUNHA - IPATINGA - MG - 19.878.404/0001-00"/>
        <s v="AISI FMIT HE - ITAJUBÁ - MG - 21.040.696/0003-11"/>
        <s v="UNIMED JUIZ DE FORA COOP DE TRABALHO MEDICO LTDA - JUIZ DE FORA - MG - 17.689.407/0009-28"/>
        <s v="SANTA CASA - PASSOS - MG - 23.278.898/0001-60"/>
        <s v="CASA DE SAUDE E MATERNIDADE NOSSA SENHORA DE FATIMA S A - PATOS DE MINAS - MG - 23.338.387/0001-96"/>
        <s v="HOSPITAL UNIMED - PRONTO ATENDIMENTO - POÇOS DE CALDAS - MG - 41.781.949/0002-34"/>
        <s v="CERUB - CENTRO REUMATOLOGICO DE UBERLNDIA - UBERLÂNDIA - MG - 20.207.543/0001-91"/>
        <s v="HOSPITAL DE CLINICAS DA UFU - UBERLÂNDIA - MG - 25.648.387/0002-07"/>
        <s v="HOSPITAL E MATERNIDADE MADRECOR - UBERLÂNDIA - MG - 20.150.900/0001-22"/>
        <s v="HOSPITAL SANTA GENOVEVA LTDA - UBERLÂNDIA - MG - 18.484.378/0001-73"/>
        <s v="UBERLANDIA MEDICAL CENTER - UBERLÂNDIA - MG - 17.087.591/0001-89"/>
        <s v="PLAMHUV - VIÇOSA - MG - 14.408.631/0001-59"/>
        <s v="CLINICA DE CAMPO GRANDE S/A - CAMPO GRANDE - MS - 00.860.841/0001-79"/>
        <s v="CENTRO DE ESPECIALIDADES MEDICAS UNIMED FACIL - ACORIZAL - MT - 03.533.726/0015-83"/>
        <s v="CLINICA SOUZA BRITO - CUIABÁ - MT - 15.016.827/0001-60"/>
        <s v="COMPLEXO HOSPITALAR JARDIM CUIABA - CUIABÁ - MT - 01.757.351/0001-04"/>
        <s v="HOSPITAL AMECOR - CUIABÁ - MT - 03.925.419/0001-42"/>
        <s v="UNIMED CUIABA DISTRIBUIDORA DE MEDICAMENTOS - CUIABÁ - MT - 03.533.726/0007-73"/>
        <s v="HOSPITAL DAS CLINICAS PRIMAVERA - PRIMAVERA DO LESTE - MT - 01.383.835/0001-30"/>
        <s v="PRONTO ATENDIMENTO UNIMED RONDONOPOLIS - RONDONÓPOLIS - MT - 24.676.884/0007-52"/>
        <s v="BENEFICENCIA NIPO BRASILEIRA DA AMAZONIA - BELÉM - PA - 04.966.545/0003-70"/>
        <s v="HOSPITAL ADVENTISTA DE BELEM - BELÉM - PA - 83.367.342/0002-52"/>
        <s v="LARISSA HELENA AMARAL CASTRO - BELÉM - PA - 917.771.862-34"/>
        <s v="PEDRO FLÁVIO - BELÉM - PA - 123.710.092-53"/>
        <s v="UNIMED DE BELEM COOPERATIVA DE TRABALHO MEDICO - BELÉM - PA - 04.201.372/0010-28"/>
        <s v="HOSPITAL REGIONAL DO BAIXO AM DO PARA DR WALDEMAR PENNA - SANTARÉM - PA - 24.232.886/0083-03"/>
        <s v="ROBERTO MOURA GRISI - JOÃO PESSOA - PB - 839.256.944-04"/>
        <s v="UNIMED JOAO PESSOA COOPERATIVA DO TRABALHO MEDICO - JOÃO PESSOA - PB - 08.680.639/0006-81"/>
        <s v="HOSPITAL MONTE SINAI LTDA - GARANHUNS - PE - 03.858.924/0001-11"/>
        <s v="HOSPITAL DA RESTAURACAO - RECIFE - PE - 10.572.048/0002-09"/>
        <s v="HOSPITAL JAYME DA FONTE - RECIFE - PE - 11.452.240/0001-43"/>
        <s v="HOSPITAL MEMORIAL SAO JOSE (REDE DOR) - RECIFE - PE - 06.047.087/0092-76"/>
        <s v="HOSPITAL PORTUGUES - RECIFE - PE - 10.892.164/0001-24"/>
        <s v="HOSPITAL SAO MARCOS (REDE DOR) - RECIFE - PE - 02.284.062/0004-40"/>
        <s v="IMIP - RECIFE - PE - 10.988.301/0001-29"/>
        <s v="SANTA JOANA - RECIFE - PE - 10.839.561/0001-32"/>
        <s v="EBSERH - HOSPITAL UNIVERSITARIO DO PIAUI - TERESINA - PI - 15.126.437/0002-24"/>
        <s v="HOSPITAL UNIMED PRIMAVERA - TERESINA - PI - 06.555.031/0002-76"/>
        <s v="ONCOMEDICA - TERESINA - PI - 63.326.243/0004-87"/>
        <s v="HOSPITAL ANGELINA CARON - CAMPINA GRANDE DO SUL - PR - 07.088.017/0001-91"/>
        <s v="FUNDACAO HOSPITALAR SAO LUCAS - CASCAVEL - PR - 21.998.635/0001-08"/>
        <s v="CIONC - CENTRO INTEGRADO DE ONCOLOGIA DE CURITIBA S/S - CURITIBA - PR - 07.734.165/0001-36"/>
        <s v="CRUZ VERMELHA BRASILEIRA - FILIAL DO ESTADO DO PARANA - CURITIBA - PR - 07.404.052/0001-72"/>
        <s v="FUNDO ESTADUAL DE SAUDE DO PARANA - FUNSAUDE - CURITIBA - PR - 08.597.121/0001-74"/>
        <s v="HOSPITAL ECOVILLE - CURITIBA - PR - 00.942.063/0001-67"/>
        <s v="HOSPITAL INFANTIL PEQUENO PRINCIPE - CURITIBA - PR - 76.591.569/0001-30"/>
        <s v="HOSPITAL MARCELINO CHAMPAGNAT - CURITIBA - PR - 76.659.820/0023-67"/>
        <s v="HOSPITAL NOSSA SENHORA DAS GRACAS - CURITIBA - PR - 76.562.198/0001-69"/>
        <s v="HOSPITAL SANTA CRUZ SOCIEDADE ANONIMA - CURITIBA - PR - 76.555.069/0001-43"/>
        <s v="HOSPITAL VITORIA - CURITIBA - PR - 29.435.005/0056-00"/>
        <s v="ICTR - INSTITUTO DO CANCER E TRANSPLANTE S/C - CURITIBA - PR - 03.824.198/0001-16"/>
        <s v="INSTITUTO DE HEMATOLOGIA E ONCOLOGIA CURITIBA - CURITIBA - PR - 03.850.913/0001-95"/>
        <s v="NOSSA SAUDE OPERADORA DE PLANOS PRIVADOS DE ASSISTENCIA A SAUDE LTDA. - CURITIBA - PR - 02.862.447/0002-86"/>
        <s v="ONIX MATEUS LEME - CURITIBA - PR - 30.117.769/0001-55"/>
        <s v="HOSPITAL MINISTRO COSTA CAVALCANTI - FOZ DO IGUAÇU - PR - 00.304.148/0001-10"/>
        <s v="PRO-ONCO CENTRO DE TRATAMENTO ONCOLOGICO SS LTDA - LONDRINA - PR - 73.863.342/0001-09"/>
        <s v="PRONTO ATENDIMENTO UNIMED LONDRINA - LONDRINA - PR - 75.222.224/0018-95"/>
        <s v="HOSPITAL PARANA - MARINGÁ - PR - 77.265.361/0001-94"/>
        <s v="CEMED CARE - EMPRESA DE ATENDIMENTO CLINICO GERAL LTDA - SÃO JOSÉ DOS PINHAIS - PR - 07.794.623/0022-57"/>
        <s v="HOSPITAL CAXIAS DOR  (REDE DOR) - DUQUE DE CAXIAS - RJ - 06.047.087/0013-72"/>
        <s v="UNIMED COSTA DO SOL - HOSPITAL - MACAÉ - RJ - 35.830.868/0004-46"/>
        <s v="CON-CENTRO ONCOLOGICO DE NITEROI LTDA - NITERÓI - RJ - 00.437.007/0001-75"/>
        <s v="HOSPITAL HCN - NITERÓI - RJ - 60.884.855/0012-07"/>
        <s v="ONCOLOGIA CLINICA NITEROI S/S - NITERÓI - RJ - 00.521.197/0001-04"/>
        <s v="UNIMED DE NOVA FRIBURGO - NOVA FRIBURGO - RJ - 29.135.795/0002-08"/>
        <s v="CEMED CARE - EMPRESA DE ATENDIMENTO CLINICO GERAL LTDA - NOVA IGUAÇU - RJ - 07.794.623/0015-28"/>
        <s v="HOSPITAL UNIMED - PETRÓPOLIS - RJ - 28.806.545/0005-32"/>
        <s v="HOSPITAL UNIMED RESENDE - RESENDE - RJ - 68.709.211/0002-12"/>
        <s v="SAMER HOSPITAL - RESENDE - RJ - 29.072.642/0001-88"/>
        <s v="BRASIF S/A ADMINISTRACAO E PARTICIPACOES - RIO DE JANEIRO - RJ - 21.109.731/0001-40"/>
        <s v="CASA DE SAUDE SAO JOSE - RIO DE JANEIRO - RJ - 60.922.168/0003-48"/>
        <s v="CEMED CARE - EMPRESA DE ATENDIMENTO CLINICO GERAL LTDA - RIO DE JANEIRO - RJ - 07.794.623/0048-96"/>
        <s v="CENTRO DE ESTUDOS E PESQUISAS 28 - RIO DE JANEIRO - RJ - 33.927.377/0001-40"/>
        <s v="CENTRON - CENTRO DE TRATAMENTO ONCOLOGICO LTDA - RIO DE JANEIRO - RJ - 02.864.097/0001-06"/>
        <s v="CLINICA SAO VICENTE (REDE DOR) - RIO DE JANEIRO - RJ - 31.635.857/0001-01"/>
        <s v="COI CLINICAS ONCOLOGICAS INTEGRADAS SA - RIO DE JANEIRO - RJ - 39.086.160/0001-30"/>
        <s v="HOMEBABY HOMECARE DA CRIANCA ATENDIMENTO MEDICO DOMICILIAR LIMITADA - RIO DE JANEIRO - RJ - 21.265.360/0001-95"/>
        <s v="HOSPITAIS INTEGRADOS DA GAVEA S/A - RIO DE JANEIRO - RJ - 31.635.857/0002-92"/>
        <s v="HOSPITAL ADVENTISTA SILVESTRE - RIO DE JANEIRO - RJ - 73.696.718/0002-19"/>
        <s v="HOSPITAL BARRA DOR (REDE DOR) - RIO DE JANEIRO - RJ - 02.284.062/0005-21"/>
        <s v="HOSPITAL CASA ARRENDATARIA SERVICOS MEDICOS HOSPITALARES E INVESTIMENTOS LTDA - RIO DE JANEIRO - RJ - 24.217.779/0001-60"/>
        <s v="HOSPITAL CASA DE PORTUGAL - RIO DE JANEIRO - RJ - 11.279.865/0001-55"/>
        <s v="HOSPITAL CENTRALDO EXERCITO - RIO DE JANEIRO - RJ - 09.609.235/0002-30"/>
        <s v="HOSPITAL COPA DOR (REDE DOR) - RIO DE JANEIRO - RJ - 06.047.087/0009-96"/>
        <s v="HOSPITAL COPA DOR STAR (REDE DOR) - RIO DE JANEIRO - RJ - 06.047.087/0026-97"/>
        <s v="HOSPITAL DA LAGOA/RJ - RIO DE JANEIRO - RJ - 00.394.544/0204-53"/>
        <s v="HOSPITAL DE CLINICAS RIO MAR BARRA LTDA - RIO DE JANEIRO - RJ - 32.154.700/0001-27"/>
        <s v="HOSPITAL DR. BADIM (REDE DOR) - RIO DE JANEIRO - RJ - 27.901.222/0001-31"/>
        <s v="HOSPITAL FEDERAL CARDOSO FONTES - RIO DE JANEIRO - RJ - 00.394.544/0203-72"/>
        <s v="HOSPITAL GERAL DE BONSUCESSO/RJ - RIO DE JANEIRO - RJ - 00.394.544/0202-91"/>
        <s v="HOSPITAL GERAL DE IPANEMA/RJ - RIO DE JANEIRO - RJ - 00.394.544/0210-00"/>
        <s v="HOSPITAL NORTE DOR DE CASCADURA S.A (REDE DOR) - RIO DE JANEIRO - RJ - 09.578.217/0001-58"/>
        <s v="HOSPITAL OESTE DOR (REDE DOR) - RIO DE JANEIRO - RJ - 06.047.087/0033-16"/>
        <s v="HOSPITAL PASTEUR - RIO DE JANEIRO - RJ - 29.435.005/0057-83"/>
        <s v="HOSPITAL PRO-CARDIACO - RIO DE JANEIRO - RJ - 29.435.005/0051-98"/>
        <s v="HOSPITAL QUINTA DOR (REDE DOR) - RIO DE JANEIRO - RJ - 06.047.087/0010-20"/>
        <s v="HOSPITAL RIOS DOR (REDE DOR) - RIO DE JANEIRO - RJ - 29.259.736/0004-03"/>
        <s v="HOSPITAL SAMARITANO - RIO DE JANEIRO - RJ - 08.100.676/0021-02"/>
        <s v="HOSPITAL SAMARITANO - RIO DE JANEIRO - RJ - 29.435.005/0061-60"/>
        <s v="HOSPITAL SAO FRANCISCO NA PROVIDENCIA DE DEUS - RIO DE JANEIRO - RJ - 53.221.255/0049-95"/>
        <s v="HOSPITAL SAO LUCAS - RIO DE JANEIRO - RJ - 60.884.855/0016-30"/>
        <s v="HOSPITAL SAO VICENTE DE PAULO - RIO DE JANEIRO - RJ - 18.010.750/0001-00"/>
        <s v="HOSPITAL UNIVERSITARIO - RIO DE JANEIRO - RJ - 33.663.683/0053-47"/>
        <s v="INSTITUTO DE PUERICULTURA E PEDIATRIA MARTAGAO GESTEIR - RIO DE JANEIRO - RJ - 33.663.683/0026-74"/>
        <s v="INSTITUTO DOR DE GESTAO DE SAUDE PUBLICA (REDE DOR) - RIO DE JANEIRO - RJ - 08.850.962/0002-22"/>
        <s v="INSTITUTO FERNANDES FIGUEIRA - RIO DE JANEIRO - RJ - 33.781.055/0002-16"/>
        <s v="INSTITUTO NACIONAL DE CARDIOLOGIA - RIO DE JANEIRO - RJ - 00.394.544/0213-44"/>
        <s v="LARANJEIRAS CLINICA PERINATAL - RIO DE JANEIRO - RJ - 33.419.482/0002-59"/>
        <s v="MARIA BEATRIZ DE SOUZA MOREIRA - RIO DE JANEIRO - RJ - 111.149.877-60"/>
        <s v="ONCOCLINICA - CENTRO DE TRATAMENTO ONCOLOGICO S.A. - RIO DE JANEIRO - RJ - 72.101.124/0005-06"/>
        <s v="ONCOLOGIA REDE DOR S.A. - RIO DE JANEIRO - RJ - 28.000.107/0001-59"/>
        <s v="PETROBRAS - RIO DE JANEIRO - RJ - 33.000.167/0001-01"/>
        <s v="UNIMED-RIO EMPREENDIMENTOS MEDICOS E HOSPITALARES LTDA - RIO DE JANEIRO - RJ - 09.219.138/0005-84"/>
        <s v="URGIL - RIO DE JANEIRO - RJ - 28.602.407/0001-08"/>
        <s v="HOSPITAL RODOLFO FERNANDES - ACARI - RN - 12.361.267/0091-40"/>
        <s v="CASA DE SAUDE SAO LUCAS S/A - NATAL - RN - 08.319.329/0001-21"/>
        <s v="EMPRESA BRASILEIRA DE SERVICOS HOSPITALARES - EBSERH - NATAL - RN - 15.126.437/0007-39"/>
        <s v="ESHO EMPRESA DE SERVICOS HOSPITALARES S.A. - NATAL - RN - 29.435.005/0098-51"/>
        <s v="HOSP INF VAR SANT - NATAL - RN - 08.337.586/0001-96"/>
        <s v="HOSPITAL DO CORACAO DE NATAL LTDA - NATAL - RN - 00.820.737/0001-50"/>
        <s v="HOSPITAL UNIMED - NATAL - RN - 08.380.701/0006-10"/>
        <s v="INCOR NATAL - NATAL - RN - 01.507.901/0001-37"/>
        <s v="ASSOCIACAO DR BARTHOLOMEU TACCHINI - BENTO GONÇALVES - RS - 87.547.444/0001-20"/>
        <s v="HOSPITAL UNIMED CAXIAS DO SUL - CAXIAS DO SUL - RS - 87.827.689/0024-05"/>
        <s v="INSTITUTO DEVITA - CAXIAS DO SUL - RS - 01.140.803/0001-04"/>
        <s v="COMANDO DA ARTILHARIA DIVIS DA TERC DIVISAO DE EXERCITO - CRUZ ALTA - RS - 09.572.216/0002-87"/>
        <s v="HOSPITAL SAO VICENTE DE PAULO - PASSO FUNDO - RS - 92.021.062/0003-60"/>
        <s v="UNIMED PLANALTO MEDIO - COOPERATIVA DE SERVICOS MEDICOS - PASSO FUNDO - RS - 87.607.149/0006-26"/>
        <s v="ASSOCIACAO HOSPITALAR MOINHOS DE VENTO - PORTO ALEGRE - RS - 92.685.833/0001-51"/>
        <s v="FUNDACAO UNIVERSITARIA DE CARDIOLOGIA - PORTO ALEGRE - RS - 92.898.550/0001-98"/>
        <s v="HOSPITAL BDW - PORTO ALEGRE - RS - 26.947.257/0001-49"/>
        <s v="HOSPITAL CRISTO REDENTOR - PORTO ALEGRE - RS - 92.787.118/0003-91"/>
        <s v="HOSPITAL DE CLINICAS - PORTO ALEGRE - RS - 87.020.517/0001-20"/>
        <s v="HOSPITAL DIVINA PROVIDENCIA - PORTO ALEGRE - RS - 87.317.764/0010-84"/>
        <s v="HOSPITAL ERNESTO DORNELLES - PORTO ALEGRE - RS - 92.741.016/0002-54"/>
        <s v="HOSPITAL MAE DE DEUS - PORTO ALEGRE - RS - 88.625.686/0024-43"/>
        <s v="HOSPITAL SAO LUCAS DA PUCRS - PORTO ALEGRE - RS - 88.630.413/0007-96"/>
        <s v="INSTITUTO DE ONCOLOGIA KAPLAN - PORTO ALEGRE - RS - 94.831.294/0001-47"/>
        <s v="IRMANDADE DA SANTA CASA DE MISERICORDIA DE PORTO ALEGRE - PORTO ALEGRE - RS - 92.815.000/0001-68"/>
        <s v="RS SSA GABINETE DO SECRETARIO - PORTO ALEGRE - RS - 87.958.625/0001-49"/>
        <s v="VIP HOME CARE ATENDIMENTO DOMICILIAR LTDA - PORTO ALEGRE - RS - 09.087.150/0002-30"/>
        <s v="EBSERH - HOSPITAL UNIVERSITARIO DE SANTA MARIA - SANTA MARIA - RS - 15.126.437/0019-72"/>
        <s v="HOSPITAL DE CARIDADE DR ASTROGILDO DE AZEVEDO - SANTA MARIA - RS - 95.610.887/0001-46"/>
        <s v="HOSPITAL DE GUARNICAO DE SANTA MARIA - SANTA MARIA - RS - 09.605.231/0002-84"/>
        <s v="HOSPITAL DO CORACAO DE BALNEARIO CAMBORIU LTDA - BALNEÁRIO CAMBORIÚ - SC - 01.517.626/0001-32"/>
        <s v="HOSPITAL UNIMED LITORAL - BALNEÁRIO CAMBORIÚ - SC - 85.377.174/0003-92"/>
        <s v="HOSPITAL SANTA ISABEL - BLUMENAU - SC - 60.922.168/0052-26"/>
        <s v="HOSPITAL UNIMED BLUMENAU - UNIDADE VILA NOVA - BLUMENAU - SC - 82.624.776/0006-51"/>
        <s v="SERVICOS DE QUIMIOTERAPIA UNIMED BRUSQUE - BRUSQUE - SC - 01.554.266/0003-00"/>
        <s v="CEOF - FLORIANÓPOLIS - SC - 01.125.832/0001-05"/>
        <s v="FES - FLORIANÓPOLIS - SC - 80.673.411/0001-87"/>
        <s v="HU - UFSC - FLORIANÓPOLIS - SC - 83.899.526/0004-25"/>
        <s v="IMPERIAL HOSPITAL DE CARIDADE - FLORIANÓPOLIS - SC - 83.884.999/0001-06"/>
        <s v="VIVER CLINICA MEDICA LTDA - FLORIANÓPOLIS - SC - 04.670.913/0001-76"/>
        <s v="HOSPITAL UNIMED - SÃO JOSÉ - SC - 17.034.086/0001-76"/>
        <s v="UNIMED GRANDE FLORIANOPOLIS - COOPERATIVA DE TRABALHO MEDICO - SÃO JOSÉ - SC - 77.858.611/0014-14"/>
        <s v="CLINICA PRO-VIDA LTDA - TUBARÃO - SC - 80.490.618/0001-16"/>
        <s v="CENTRO MEDICO GABRIEL SOARES - ARACAJU - SE - 12.361.267/0005-17"/>
        <s v="HOSPITAL DE CIRURGIA - ARACAJU - SE - 13.016.332/0001-06"/>
        <s v="HOSPITAL SAO LUCAS - ARACAJU - SE - 13.131.370/0001-00"/>
        <s v="HOSPITAL UNIMED - ARACAJU - SE - 15.592.785/0001-06"/>
        <s v="REDE PRIMAVERA - HOSPITAL PRIMAVERA - ARACAJU - SE - 13.356.779/0001-24"/>
        <s v="INSTITUTO DO CANCER DE ANDRADINA - ANDRADINA - SP - 25.026.561/0001-90"/>
        <s v="JHOSPITAL UNIMED DE ARARAS - ARARAS - SP - 54.012.406/0003-85"/>
        <s v="ALBERT SABIN HOSPITAL E MATERNIDADE - ATIBAIA - SP - 04.275.687/0001-29"/>
        <s v="HOSPITAL UNIMED - BAURU - SP - 44.456.036/0003-11"/>
        <s v="ALERGO LOGICA DIAGNOSTICO EM ALERGIA LTDA ME - CAMPINAS - SP - 10.447.300/0001-77"/>
        <s v="HOSPITAL E MATERNIDADE CELSO PIERRO - CAMPINAS - SP - 46.020.301/0002-69"/>
        <s v="HOSPITAL VERA CRUZ S A - CAMPINAS - SP - 46.009.718/0001-40"/>
        <s v="INSTITUTO DO RADIUM - CAMPINAS - SP - 51.877.926/0001-09"/>
        <s v="INTERMEDICA SISTEMA DE SAUDE S A - CAMPINAS - SP - 44.649.812/0192-38"/>
        <s v="PREFEITURA MUNICIPAL DE CAMPINAS - CAMPINAS - SP - 51.885.242/0001-40"/>
        <s v="UNIDADE HOSP GERAL E MATERNIDADE MADRE MARIA THEODORA - CAMPINAS - SP - 29.435.005/0084-56"/>
        <s v="UNIMED CAMPINAS COOPERATIVA DE TRABALHO MEDICO - CAMPINAS - SP - 46.124.624/0001-11"/>
        <s v="HOSPITAL PADRE ALBINO - CATANDUVA - SP - 47.074.851/0008-19"/>
        <s v="UNIMED HOSPITAL SAO DOMINGOS - CATANDUVA - SP - 45.118.429/0012-79"/>
        <s v="HOSPITAL SAO JOAQUIM - FRANCA - SP - 50.486.026/0001-60"/>
        <s v="PREFEITURA MUNICIPAL DE GUARARAPES - GUARARAPES - SP - 48.468.284/0001-71"/>
        <s v="ESHO EMPRESA DE SERVICOS HOSPITALARES S.A. - GUARULHOS - SP - 29.435.005/0082-94"/>
        <s v="ASSOCIACAO BENEFICENTE SAMARITANO - HORTOLÂNDIA - SP - 06.209.132/0001-04"/>
        <s v="JUNDIAI GABINETE PREFEITO - JUNDIAÍ - SP - 45.780.103/0001-50"/>
        <s v="PREFEITURA DE LINS - LINS - SP - 44.531.788/0001-38"/>
        <s v="HOSPITAL SINO BRASILEIRO (REDE DOR) - OSASCO - SP - 06.047.087/0076-56"/>
        <s v="UNIMED DE PIRACICABA SOC COOP DE SERVICOS MEDICOS - PIRACICABA - SP - 44.803.922/0002-93"/>
        <s v="UNIMED DE PIRASSUNUNGA COOPERATIVA DE TRABALHO MEDICO - PIRASSUNUNGA - SP - 00.840.048/0004-50"/>
        <s v="CENTRO DE REFERENCIA DA SAUDE DA MULHER - MATER - RIBEIRÃO PRETO - SP - 57.722.118/0003-02"/>
        <s v="DEPARTAM. REGIONAL DE SAUDE DE RIB. PRETO - DRS XIII - RIBEIRÃO PRETO - SP - 46.374.500/0035-33"/>
        <s v="HOSPITAL SAO FRANCISCO DE RIBEIRAO PRETO SP - RIBEIRÃO PRETO - SP - 01.613.433/0068-92"/>
        <s v="HOSPITAL SAO LUCAS - RIBEIRÃO PRETO - SP - 55.980.148/0001-21"/>
        <s v="UNIMED DE RIBEIRAO PRETO COOPERATIVA DE TRABALHO MEDICO - RIBEIRÃO PRETO - SP - 45.232.246/0005-50"/>
        <s v="HOSPITAL E MATERNIDADE UNIMED - RIO CLARO - SP - 44.663.631/0005-90"/>
        <s v="HOSPITAL ACACIAS - SANTO ANDRÉ - SP - 13.718.999/0010-41"/>
        <s v="HSH - SANTO ANDRÉ - SP - 06.033.403/0001-13"/>
        <s v="(UNIDADE HOSPITAL VITORIA SANTOS) - SANTOS - SP - 29.435.005/0080-22"/>
        <s v="UNIMED DE SANTOS COOPERATIVA DE TRABALHO MEDICO - SANTOS - SP - 58.229.691/0010-70"/>
        <s v="UNIMED - SOROCABA - SP - 45.399.961/0002-30"/>
        <s v="UNIMED CAMPINAS COOPERATIVA DE TRABALHO MEDICO - SUMARÉ - SP - 46.124.624/0025-99"/>
        <s v="SANTA HELENA ASSISTENCIA MEDICA S/A - SÃO BERNARDO DO CAMPO - SP - 43.293.604/0021-20"/>
        <s v="HOSPITAL UNIMED SAO CARLOS - SÃO CARLOS - SP - 45.359.213/0005-76"/>
        <s v="CASA DE SAUDE SANTA HELENA - SÃO JOSÉ DO RIO PRETO - SP - 59.970.947/0001-78"/>
        <s v="HOME CARE CENE - SÃO JOSÉ DO RIO PRETO - SP - 02.643.405/0001-73"/>
        <s v="HOSPITAL DE BASE - SÃO JOSÉ DO RIO PRETO - SP - 60.003.761/0001-29"/>
        <s v="HOSPITAL INFANTE DOM HENRIQUE - SÃO JOSÉ DO RIO PRETO - SP - 59.972.307/0001-05"/>
        <s v="HOSPITAL POLICLIN - SÃO JOSÉ DOS CAMPOS - SP - 45.184.066/0001-17"/>
        <s v="HOSPITAL SANTOS DUMONT - SÃO JOSÉ DOS CAMPOS - SP - 60.214.517/0016-91"/>
        <s v="HOSPITAL VIVALLE (REDE DOR) - SÃO JOSÉ DOS CAMPOS - SP - 06.047.087/0030-73"/>
        <s v="SANTA CASA SAUDE - SÃO JOSÉ DOS CAMPOS - SP - 18.321.477/0001-34"/>
        <s v="UNIMED SAO JOSE DOS CAMPOS - COOPERATIVA DE TRABALHO MEDICO - SÃO JOSÉ DOS CAMPOS - SP - 60.214.517/0009-62"/>
        <s v="A.C.CAMARGO CANCER CENTER - SÃO PAULO - SP - 60.961.968/0001-06"/>
        <s v="AMICO SAUDE LTDA - SÃO PAULO - SP - 51.722.957/0102-26"/>
        <s v="ASSOCIACAO HOSPITALAR FILHAS DE NOSSA SENHORA DO MONTE CALVARIO - SÃO PAULO - SP - 18.180.008/0001-42"/>
        <s v="CENTRAL CLINIC - SÃO PAULO - SP - 02.383.508/0004-94"/>
        <s v="CENTRO INFUSIONAL E REFERENCIA MEDICA - FESP - SÃO PAULO - SP - 43.643.139/0004-09"/>
        <s v="CIP - CENTRO DE INFUSOES PACAEMBU LTDA - SÃO PAULO - SP - 08.871.521/0001-26"/>
        <s v="CLINICA DE ONCOLOGIA MEDICA SOCIEDADE SIMPLES LTDA - SÃO PAULO - SP - 59.481.028/0001-30"/>
        <s v="CRETA - CENTRO REUMATOLOGICO DE TERAPIA AVANCADA LTDA - SÃO PAULO - SP - 10.468.341/0002-20"/>
        <s v="CRETA - CENTRO REUMATOLOGICO DE TERAPIA AVANCADA LTDA. - ME - SÃO PAULO - SP - 10.468.341/0001-40"/>
        <s v="ESHO EMPRESA DE SERVICOS HOSPITALARES S.A - SÃO PAULO - SP - 29.435.005/0099-32"/>
        <s v="EV CITI - SÃO PAULO - SP - 10.323.381/0001-01"/>
        <s v="FARMACIA ONCO STAR - SÃO PAULO - SP - 28.290.788/0003-07"/>
        <s v="GLOBAL CARE ASSISTENCIA DOMICILIAR LTDA - SÃO PAULO - SP - 03.872.790/0001-93"/>
        <s v="GREEN LINE SISTEMA DE SAUDE S/A - SÃO PAULO - SP - 61.849.980/0010-87"/>
        <s v="H. METROPOLITANO - UNIDADE BUTANTA - SÃO PAULO - SP - 08.100.676/0008-35"/>
        <s v="HEMOMED - SÃO PAULO - SP - 10.475.230/0001-60"/>
        <s v="HOME LIFE ASSISTENCIA DOMICILIAR EM SAUDE - SÃO PAULO - SP - 08.438.844/0003-92"/>
        <s v="HOSP SAO LUIZ ANALIA FRANCO (REDE DOR) - SÃO PAULO - SP - 06.047.087/0001-39"/>
        <s v="HOSPITAL 9 DE JULHO - SÃO PAULO - SP - 60.884.855/0003-16"/>
        <s v="HOSPITAL ALEMAO OSWALDO CRUZ - SÃO PAULO - SP - 60.726.502/0001-26"/>
        <s v="HOSPITAL ALEMAO OSWALDO CRUZ - SÃO PAULO - SP - 60.726.502/0007-11"/>
        <s v="HOSPITAL ALVORADA MOEMA - SÃO PAULO - SP - 08.100.676/0005-92"/>
        <s v="HOSPITAL ALVORADA TAGUATINGA LTDA - SÃO PAULO - SP - 08.100.676/0024-55"/>
        <s v="HOSPITAL AMPARO MATERNAL - SÃO PAULO - SP - 60.922.168/0043-35"/>
        <s v="HOSPITAL BANDEIRANTES LTDA  - SÃO PAULO - SP - 21.371.777/0001-32"/>
        <s v="HOSPITAL DAS CLINICAS DA FACULDADE DE MEDICINA DA U S P - SÃO PAULO - SP - 60.448.040/0001-22"/>
        <s v="HOSPITAL DO CORACAO - SÃO PAULO - SP - 60.453.024/0003-90"/>
        <s v="HOSPITAL E MATERNIDADE METROPOLITANO - SÃO PAULO - SP - 51.722.957/0125-12"/>
        <s v="HOSPITAL E MATERNIDADE SANTA JOANA S/A - SÃO PAULO - SP - 60.678.604/0001-13"/>
        <s v="HOSPITAL E MATERNIDADE SANTA MARIA - SÃO PAULO - SP - 62.106.505/0001-92"/>
        <s v="HOSPITAL E MATERNIDADE SAO CRISTOVAO - SÃO PAULO - SP - 60.975.174/0003-63"/>
        <s v="HOSPITAL E MATERNIDADE VITORIA - SÃO PAULO - SP - 29.435.005/0045-40"/>
        <s v="HOSPITAL INFANTIL SABARA - SÃO PAULO - SP - 61.213.674/0002-40"/>
        <s v="HOSPITAL PAULISTANO - SÃO PAULO - SP - 29.435.005/0026-87"/>
        <s v="HOSPITAL SANCTA MAGGIORE ITAIM - SÃO PAULO - SP - 00.461.479/0019-92"/>
        <s v="HOSPITAL SANTA CATARINA - SÃO PAULO - SP - 60.922.168/0007-71"/>
        <s v="HOSPITAL SANTA CRUZ - SÃO PAULO - SP - 60.552.098/0001-11"/>
        <s v="HOSPITAL SANTA PAULA LTDA - SÃO PAULO - SP - 60.777.901/0001-16"/>
        <s v="HOSPITAL SAO CAMILO - SANTANA - SÃO PAULO - SP - 60.975.737/0012-04"/>
        <s v="HOSPITAL SAO LUIZ JABAQUARA (REDE DOR) - SÃO PAULO - SP - 06.047.087/0038-20"/>
        <s v="HOSPITAL VILA NOVA STAR - SÃO PAULO - SP - 28.290.788/0001-37"/>
        <s v="INSTITUTO DE IMUNOLOGIA E ONCOLOGIA S/S LTDA - SÃO PAULO - SP - 05.831.510/0001-24"/>
        <s v="INSTITUTO DE ONCOLOGIA PREVENT SENIOR - SÃO PAULO - SP - 00.461.479/0045-84"/>
        <s v="INSTITUTO DO CANCER DO ESTADO DE SAO PAULO - SÃO PAULO - SP - 56.577.059/0006-06"/>
        <s v="INTERMEDICA SISTEMA DE SAUDE - SÃO PAULO - SP - 44.649.812/0055-20"/>
        <s v="IRMANDADE DA SANTA CASA DE MISERICORDIA DE SAO PAULO - SÃO PAULO - SP - 62.779.145/0001-90"/>
        <s v="JEAN STANISLAS MARIE BRUNET-LECOMTE - SÃO PAULO - SP - 239.415.938-38"/>
        <s v="NOVO SANTO EXPEDITO - SÃO PAULO - SP - 13.718.999/0001-50"/>
        <s v="ONCOCENTER SERVICOS MEDICOS LTDA. - SÃO PAULO - SP - 04.036.348/0001-90"/>
        <s v="PEDIATRICS HOME CARE - INTERNACAO MEDICA DOMICILIAR LTDA - SÃO PAULO - SP - 10.211.939/0002-30"/>
        <s v="PRONEP SAO PAULO - SÃO PAULO - SP - 02.837.922/0001-83"/>
        <s v="REAL E BENEMERITA ASSOCIACAO PORTUGUESA DE BENEFICENCIA - SÃO PAULO - SP - 61.599.908/0001-58"/>
        <s v="SAHA SERVICOS MEDICOS E HOSPITALARES LTDA. - SÃO PAULO - SP - 07.045.325/0001-30"/>
        <s v="SAO LUIZ UNIDADE ITAIM (REDE DOR) - SÃO PAULO - SP - 06.047.087/0002-10"/>
        <s v="SEPACO - SÃO PAULO - SP - 60.961.422/0001-55"/>
        <s v="SOC BENEFICIENTE DE SENHORAS HOSPITAL SIRIO LIBANES - SÃO PAULO - SP - 61.590.410/0001-24"/>
        <s v="SOCIEDADE BENEFICENTE DE PRESIDENTE BERNARDES - SÃO PAULO - SP - 19.803.199/0001-14"/>
        <s v="SR CARE ASSISTENCIA DOMICILIAR LTDA - SÃO PAULO - SP - 20.812.223/0002-41"/>
        <s v="UNIDADE DE ONCOLOGIA CLINICA E PEDIATRICA LTDA. - EPP - SÃO PAULO - SP - 57.394.710/0001-60"/>
        <s v="MEDRADIUS - MACEIÓ - AL - 03.866.223/0001-24"/>
        <s v="HOSPITAL FRANCISCA DE SANDE - FEIRA DE SANTANA - BA - 12.361.267/0104-07"/>
        <s v="FBC - SALVADOR - BA - 16.475.154/0002-50"/>
        <s v="HOSPITAL DA CIDADE - SALVADOR - BA - 03.376.102/0001-02"/>
        <s v="PRODAL SAUDE S/A - SALVADOR - BA - 11.943.553/0001-02"/>
        <s v="SEMEC - SALVADOR - BA - 15.140.254/0001-82"/>
        <s v="HOSPITAL INCAR - SANTO ANTÔNIO DE JESUS - BA - 05.652.543/0001-07"/>
        <s v="CASA DE SAUDE E MATERNIDADE SAO RAIMUNDO SA - FORTALEZA - CE - 07.245.269/0001-87"/>
        <s v="DEPOSITO-ARMAZEM DE FORTALEZA - FORTALEZA - CE - 05.874.946/0002-81"/>
        <s v="EBSERH - COMPLEXO HOSPITALAR DO CEARA (HUWC E MEAC) - FORTALEZA - CE - 15.126.437/0014-68"/>
        <s v="HOSPITAL SAO CARLOS LTDA - FORTALEZA - CE - 11.794.674/0001-21"/>
        <s v="HOSPITAL SAO MATEUS LTDA. - FORTALEZA - CE - 41.580.077/0001-65"/>
        <s v="CLINICA DE DOENCAS RENAIS DE BRASILIA LTDA - BRASÍLIA - DF - 01.602.408/0001-04"/>
        <s v="CLINICA DE NEUROLOGIA E NEUROINFUSAO DE BRASILIA - BRASÍLIA - DF - 30.135.335/0001-88"/>
        <s v="DEPARTAMENTO DE LOGISTICA - BRASÍLIA - DF - 00.394.544/0008-51"/>
        <s v="EBSERH HOSPITAL UNIVERSITARIO DE BRASILIA - BRASÍLIA - DF - 15.126.437/0003-05"/>
        <s v="ICIPE - BRASÍLIA - DF - 10.942.995/0001-63"/>
        <s v="SANTA LUCIA - BRASÍLIA - DF - 00.025.841/0001-53"/>
        <s v="NEON - NUCLEO ESPECIALIZADO EM ONCOLOGIA - SERRA - ES - 04.786.490/0001-54"/>
        <s v="HOSPITAL DR. ROBERTO ARNIZAUT SILVARES - SÃO MATEUS - ES - 27.080.605/0003-58"/>
        <s v="CIAS UNIMED VITORIA - CENTRO INTEGRADO ATENCAO A SAUDE - VITÓRIA - ES - 27.578.434/0015-25"/>
        <s v="HOSPITAL MULTI ESPECIALIDADES LTDA EPP - APARECIDA DE GOIÂNIA - GO - 21.155.621/0001-14"/>
        <s v="MATERNIDADE FEMINA - GOIÂNIA - GO - 00.053.629/0001-08"/>
        <s v="PETROBRAS - SENADOR CANEDO - GO - 33.000.167/0021-55"/>
        <s v="FARMA REGIA - SANTA HELENA - MA - 03.210.872/0001-72"/>
        <s v="CLINICA SAO MARCOS - SÃO LUÍS - MA - 07.750.144/0001-04"/>
        <s v="UNIMED ARAGUARI - ARAGUARI - MG - 20.909.271/0001-71"/>
        <s v="CASA DE CARIDADE DE CARANGOLA - CARANGOLA - MG - 19.274.091/0001-81"/>
        <s v="INSTITUTO DE CLINICAS E CIRURGIA DE JUIZ DE FORA LTDA - JUIZ DE FORA - MG - 25.415.993/0001-93"/>
        <s v="FUNDACAO OURO BRANCO - OURO BRANCO - MG - 21.299.615/0001-30"/>
        <s v="SANTA CASA DE MISERICORDIA NOSSA SENHORA DO PATROCINIO - PATROCÍNIO - MG - 23.406.564/0001-24"/>
        <s v="GUILHERME MOURA DA SILVA - RIBEIRÃO DAS NEVES - MG - 703.064.536-73"/>
        <s v="CLINICA UNIMED - UBERABA - MG - 17.774.738/0006-13"/>
        <s v="HOSPITAL E MATERNIDADE SANTA CLARA LTDA - UBERLÂNDIA - MG - 25.761.040/0001-87"/>
        <s v="HOSPITAL UNIVERSITARIO DA UFGD - DOURADOS - MS - 07.775.847/0002-78"/>
        <s v="HOSPITAL LAYR MAIA - BELÉM - PA - 12.361.267/0002-74"/>
        <s v="PA SSA GABINETE DO SECRETARIO - BELÉM - PA - 05.054.929/0001-17"/>
        <s v="UNIMED SUL DO PARA - MARABÁ - PA - 14.112.023/0001-00"/>
        <s v="IMIP HOSPITALAR - HMA - PAULISTA - PE - 09.039.744/0002-75"/>
        <s v="HOSPITAL ESPERANCA (REDE DOR) - RECIFE - PE - 02.284.062/0001-06"/>
        <s v="HOSPITAL ESPINHEIRO - RECIFE - PE - 12.361.267/0072-87"/>
        <s v="HOSPITAL UNIMED RECIFE - RECIFE - PE - 11.214.624/0004-70"/>
        <s v="PRONTO S.CARDIOLOGICO DE PE.PROF.LUIZ TAVARES-PROCAPE - RECIFE - PE - 11.022.597/0015-97"/>
        <s v="FUNDO MUNICIPAL DE SAUDE DE TERESINA - TERESINA - PI - 11.273.170/0001-66"/>
        <s v="HOSPITAL GERAL DE CURITIBA - CURITIBA - PR - 09.579.964/0002-91"/>
        <s v="HOSPITAL NOSSA SENHORA DO PILAR LTDA - CURITIBA - PR - 76.498.013/0001-02"/>
        <s v="HOSPITAL DO CANCER DE LONDRINA - LONDRINA - PR - 78.633.088/0001-76"/>
        <s v="HOSPITAL DO CORACAO DE LONDRINA LTDA - LONDRINA - PR - 04.762.301/0001-03"/>
        <s v="HOSPITAL E MATERNIDADE MARIA AUXILIADORA - MARINGÁ - PR - 79.115.762/0001-93"/>
        <s v="MEDCLINICA DO CENTRO DE TERESOPOLIS - ANGRA DOS REIS - RJ - 36.238.913/0001-98"/>
        <s v="H S COR - DUQUE DE CAXIAS - RJ - 08.562.523/0001-33"/>
        <s v="HOSPITAL MARIO LIONI - DUQUE DE CAXIAS - RJ - 29.435.005/0034-97"/>
        <s v="HOSPITAL SAO JOSE DO AVAI - ITAPERUNA - RJ - 29.640.612/0001-20"/>
        <s v="CASA DE SAUDE E MATERNIDADE SANTA MARTHA SA - NITERÓI - RJ - 30.079.461/0001-62"/>
        <s v="HOSPITAL SAO LUCAS - NOVA FRIBURGO - RJ - 30.537.740/0001-22"/>
        <s v="CASA DE SAUDE SANTA LUCIA - RIO DE JANEIRO - RJ - 29.435.005/0052-79"/>
        <s v="CLIMES CLINICA MEDICA ESPECIALIZADA LTDA - RIO DE JANEIRO - RJ - 40.320.103/0001-53"/>
        <s v="CLINICA CIRURGICA E ONCOLOGICA DA PENHA LTDA - RIO DE JANEIRO - RJ - 22.400.856/0001-97"/>
        <s v="HOSPITAL BALBINO - RIO DE JANEIRO - RJ - 42.297.507/0001-07"/>
        <s v="HOSPITAL DE CLINICAS DE JACAREPAGUA LTDA - RIO DE JANEIRO - RJ - 34.058.123/0001-03"/>
        <s v="HOSPITAL NAVAL MARCILIO DIAS - RIO DE JANEIRO - RJ - 00.394.502/0148-70"/>
        <s v="INSTITUTO NACIONAL DE CANCER - RIO DE JANEIRO - RJ - 00.394.544/0171-50"/>
        <s v="HOSPITAL UNIMED - VOLTA REDONDA - RJ - 35.917.970/0007-26"/>
        <s v="CDDS SERVICOS MEDICOS LTDA - NATAL - RN - 13.262.578/0001-68"/>
        <s v="HOSPITAL ANTONIO PRUDENTE DE NATAL - NATAL - RN - 12.361.267/0096-54"/>
        <s v="NATAL HOSPITAL CENTER S.A. - NATAL - RN - 02.109.397/0001-80"/>
        <s v="UNIMED NATAL SOCIEDADE COOPERATIVA DE TRABALHO MEDICO - NATAL - RN - 08.380.701/0017-72"/>
        <s v="GAMP - CANOAS - RS - 09.549.061/0002-68"/>
        <s v="HOSPITAL DO CIRCULO - CAXIAS DO SUL - RS - 88.645.403/0013-72"/>
        <s v="MUNICIPIO DE CAXIAS DO SUL - CAXIAS DO SUL - RS - 88.830.609/0001-39"/>
        <s v="UNICLINICA - ERECHIM - RS - 87.638.334/0005-05"/>
        <s v="HOSPITAL DIVINA PROVIDENCIA - FREDERICO WESTPHALEN - RS - 92.404.789/0001-64"/>
        <s v="LEONARDO VIERO SILVEIRA - JAGUARI - RS - 29.908.956/0001-78"/>
        <s v="FUNDACAO DE SAUDE PUBLICA DE NOVO HAMBURGO - FSNH - NOVO HAMBURGO - RS - 11.055.682/0001-56"/>
        <s v="CENTRO DE ONCOLOGIA UNIMED PORTO ALEGRE - PORTO ALEGRE - RS - 87.096.616/0031-01"/>
        <s v="HENRIQUE WALCHER NOGUEIRA - PORTO ALEGRE - RS - 828.542.460-04"/>
        <s v="PMPA - PORTO ALEGRE - RS - 92.963.560/0001-60"/>
        <s v="CLINICA DE ONCOLOGIA VIVER - SANTA MARIA - RS - 12.508.728/0001-08"/>
        <s v="HOSPITAL SANTA CATARINA - BLUMENAU - SC - 01.880.344/0001-03"/>
        <s v="TITULO DO ESTABELECIMENTO (NOME DE FANTASIA)  HOSPITAL GERAL JOINVILLE - JOINVILLE - SC - 12.361.267/0042-61"/>
        <s v="CLINICA SANTA HELENA - ARACAJU - SE - 13.086.053/0001-19"/>
        <s v="ONCO HEMATOS S/S LTDA - ME - ARACAJU - SE - 03.091.003/0001-76"/>
        <s v="S O S VIDA SOLUCOES EM SAUDE - ARACAJU - SE - 16.064.313/0005-77"/>
        <s v="MARIA LEDA FEITOSA FARIAS - MARIA LEDA FEITOSA FARIAS - NOSSA SENHORA DA GLÓRIA - SE - 007.003.865-13"/>
        <s v="DEPARTAMENTO REGIONAL DE SAUDE - DRS II - ARACATUBA - ARAÇATUBA - SP - 46.374.500/0038-86"/>
        <s v="HOSPITAL DE REABILITACAO DE ANOMALIAS CRANIOFACIAIS - BAURU - SP - 63.025.530/0082-70"/>
        <s v="UNIVERSIDADE ESTADUAL DE CAMPINAS - CAMPINAS - SP - 46.068.425/0001-33"/>
        <s v="UNIMED DE DRACENA COOPERATIVA DE TRABALHO MEDICO - DRACENA - SP - 68.204.486/0001-13"/>
        <s v="HCFAMEMA - MARÍLIA - SP - 24.082.016/0001-59"/>
        <s v="DEPARTAMENTO REGIONAL DE SAUDE DE PIRACICABA - DRS X - PIRACICABA - SP - 46.374.500/0090-60"/>
        <s v="FAEPA - RIBEIRÃO PRETO - SP - 57.722.118/0001-40"/>
        <s v="HOSPITAL BARTIRA (REDE DOR) - SANTO ANDRÉ - SP - 06.047.087/0079-07"/>
        <s v="ASSOCIACAO HOSPITALAR CASA DE SAUDE DE SANTOS - SANTOS - SP - 18.290.268/0001-70"/>
        <s v="BIO IMUNE - CENTRO DE APLICACOES E VACINAS  CONSULTORIA E PROCEDIMENTOS MEDICOS LTDA - ME - SANTOS - SP - 10.868.295/0001-76"/>
        <s v="CENTRO MEDICO RIO PRETO LTDA - SÃO JOSÉ DO RIO PRETO - SP - 48.310.098/0001-00"/>
        <s v="CORP - SÃO JOSÉ DO RIO PRETO - SP - 10.576.443/0001-89"/>
        <s v="AMICO SAUDE LTDA - SÃO PAULO - SP - 51.722.957/0005-06"/>
        <s v="COORDENADORIA DE ASSISTENCIA FARMACEUTICA - SÃO PAULO - SP - 46.374.500/0262-31"/>
        <s v="HOSPITAL A.C.CAMARGO - TAMANDARE - SÃO PAULO - SP - 60.961.968/0004-59"/>
        <s v="HOSPITAL ISRAELITA ALBERTEINSTEIN - SÃO PAULO - SP - 60.765.823/0001-30"/>
        <s v="HOSPITAL MORIAH - SÃO PAULO - SP - 19.056.055/0001-41"/>
        <s v="HOSPITAL SAO CAMILO - IPIRANGA - SÃO PAULO - SP - 60.975.737/0051-10"/>
        <s v="HOSPITAL SAO CAMILO - POMPEIA - SÃO PAULO - SP - 60.975.737/0002-32"/>
        <s v="INSTITUTO DE ONCOLOGIA PEDIATRICA - IOP - SÃO PAULO - SP - 67.185.694/0001-50"/>
        <s v="SARE DROGARIAS - SÃO PAULO - SP - 08.677.327/0001-04"/>
        <s v="ANA ANGELICA TORRES - MACEIÓ - AL - 444.822.994-72"/>
        <s v="CLIOM - MACEIÓ - AL - 05.612.725/0001-54"/>
        <s v="HOSPITAL MACEIO - MACEIÓ - AL - 12.361.267/0008-60"/>
        <s v="HOSPITAL MEMORIAL ARTHUR RAMOS - MACEIÓ - AL - 01.722.424/0001-22"/>
        <s v="SAMEL - MANAUS - AM - 04.159.778/0001-07"/>
        <s v="DEPOSITO-ARMAZEM SALVADOR/BA - SALVADOR - BA - 12.361.267/0147-39"/>
        <s v="EDUARDO SEIBERT TEIXEIRA - SALVADOR - BA - 093.243.225-59"/>
        <s v="HOSPITAL JAAR ANDRADE LTDA - SALVADOR - BA - 97.397.848/0001-38"/>
        <s v="HOSPITAL ANA LIMA - MARACANAÚ - CE - 12.361.267/0084-10"/>
        <s v="MATERNIDADE BRASILIA - BRASÍLIA - DF - 60.884.855/0019-83"/>
        <s v="NUBIA SOARES SALES DE MORAES - BRASÍLIA - DF - 854.655.261-49"/>
        <s v="ONCOVIT DISTRIBUIDORA DE MEDICAMENTOS LTDA - VITÓRIA - ES - 10.586.940/0001-68"/>
        <s v="HEMOLABOR UNIDADE ONCO-HEMATOLOGICA - ABADIA DE GOIÁS - GO - 00.418.954/0007-04"/>
        <s v="HOSPITAL AMPARO - GOIÂNIA - GO - 05.919.720/0001-79"/>
        <s v="HOSPITAL SANTA HELENA - GOIÂNIA - GO - 01.656.123/0001-48"/>
        <s v="INGOH - INSTITUTO GOIANO DE ONCOLOGIA E HEMATOLOGIA - GOIÂNIA - GO - 01.277.573/0001-20"/>
        <s v="INSTITUTO ORTOPEDICO DE GOIANIA LTDA - GOIÂNIA - GO - 01.570.589/0001-26"/>
        <s v="HOSPITAL SAO LUIS - HSLZ LTDA. - SÃO JOSÉ DE RIBAMAR - MA - 09.192.098/0001-09"/>
        <s v="HOSPITAL GUARAS - SÃO LUÍS - MA - 12.361.267/0007-89"/>
        <s v="UNIMED ARAXA COOPERATIVA DE TRABALHO MEDICO LTDA - ARAXÁ - MG - 25.910.449/0004-60"/>
        <s v="HOSPITAL MADRE TERESA - BELO HORIZONTE - MG - 60.194.990/0008-44"/>
        <s v="HOSPITAL MATER DEI - BELO HORIZONTE - MG - PRIVADO - 16.676.520/0005-82"/>
        <s v="RAUL SOARES GABINETE DO PREFEITO - RAUL SOARES - MG - 18.836.965/0001-84"/>
        <s v="EBSERH - HOSPITAL UNIVERSITARIO JULIO MULLER - CUIABÁ - MT - 15.126.437/0012-04"/>
        <s v="TAIANA ANGELICA LUZ _x000d__x000a_ - BELÉM - PA - 933.266.452-87_x000d__x000a_"/>
        <s v="HOSPITAL UNIVERSITARIO ALCIDES CARNEIRO/UFCG - CAMPINA GRANDE - PB - 05.055.128/0002-57"/>
        <s v="HOSPITAL GERAL DA PARAIBA - ÁGUA BRANCA - PB - 12.361.267/0088-44"/>
        <s v="FUNDO MUNICIPAL DE SAUDE DO JABOATAO DOS GUARARAPES - JABOATÃO DOS GUARARAPES - PE - 03.904.395/0001-45"/>
        <s v="HOSPITAL ESPERANCA OLINDA (REDE DOR) - OLINDA - PE - 06.047.087/0012-91"/>
        <s v="HOSPITAL UNIMED RECIFE III - RECIFE - PE - 11.214.624/0019-57"/>
        <s v="HOSPITAL RIO POTY - TERESINA - PI - 12.361.267/0040-08"/>
        <s v="HOSPITAL UNIMED - UNIDADE CENTRO - CAMPO MOURÃO - PR - 81.715.716/0004-10"/>
        <s v="UOPECCAN - CASCAVEL - PR - 81.270.548/0001-53"/>
        <s v="DROGARIA DA PRACA - MANGARATIBA - RJ - 10.558.548/0001-05"/>
        <s v="LIFE HOME CARE - MIRACEMA - RJ - 25.308.058/0001-28"/>
        <s v="HOSPITAL UNIVERSITARIO ANTONIO PEDRO - NITERÓI - RJ - 28.523.215/0003-78"/>
        <s v="C.T.O. - PETRÓPOLIS - RJ - 30.638.381/0001-08"/>
        <s v="FUNDACAO ARY FRAUZINO PARA PESQUISA E CONTROL DO CANCER - RIO DE JANEIRO - RJ - 40.226.946/0002-76"/>
        <s v="MAIARA ALMEIDA DA SILVA - RIO DE JANEIRO - RJ - 003.204.650-20"/>
        <s v="REJANE CELESTE DOS ANJOS BECKER - RIO DE JANEIRO - RJ - 053.719.447-96"/>
        <s v="UNIMED-RIO EMPREENDIMENTOS MEDICOS E HOSPITALARES LTDA - RIO DE JANEIRO - RJ - 09.219.138/0004-01"/>
        <s v="GLN HOSPITALAR - VOLTA REDONDA - RJ - 10.562.003/0001-72"/>
        <s v="HOSPITAL STO ANTONIO - BLUMENAU - SC - 82.654.088/0001-20"/>
        <s v="UNIMED DE BRUSQUE - BRUSQUE - SC - 01.554.266/0001-49"/>
        <s v="MARCELO CESAR AVILA - FLORIANÓPOLIS - SC - 480.639.839-04"/>
        <s v="CENTRO MEDICO UNIMED - TUBARÃO - SC - 85.241.339/0008-09"/>
        <s v="HOSPITAL DO CORACAO - ARACAJU - SE - 03.222.051/0001-56"/>
        <s v="DEPARTAMENTO REGIONAL DE SAUDE DE ARARAQUARA - DRS III - ARARAQUARA - SP - 46.374.500/0092-21"/>
        <s v="HOSPITAL UNIMED DE ARACATUBA - ARAÇATUBA - SP - 51.093.193/0004-56"/>
        <s v="ESHO EMPRESA DE SERVICOS HOSPITALARES S.A. - ARUJÁ - SP - 29.435.005/0081-03"/>
        <s v="HCFMB - BOTUCATU - SP - 12.474.705/0001-20"/>
        <s v="PRONTO ATENDIMENTO JACAREI - JACAREÍ - SP - 60.214.517/0011-87"/>
        <s v="HOSPITAL DE CARIDADE SAO VICENTE DE PAULO - JUNDIAÍ - SP - 50.944.198/0001-30"/>
        <s v="HOSPITAL PAULO SACRAMENTO - JUNDIAÍ - SP - 44.649.812/0016-14"/>
        <s v="HOSPITAL UNIVERSITARIO DE MARILIA - MARÍLIA - SP - 09.528.436/0001-22"/>
        <s v="IRMANDADE DE MISERICORDIA DO HOSPITAL DA SANTA CASA DE MONTE ALTO - MONTE ALTO - SP - 52.852.100/0001-40"/>
        <s v="HOSPITAL BENEFICENTE SANTO ANTONIO - ORLÂNDIA - SP - 53.311.999/0001-56"/>
        <s v="HOSPITAL 10 JULHO - PINDAMONHANGABA - SP - 47.565.155/0009-96"/>
        <s v="HOSPITAL E MATERNIDADE BRASIL (REDE DOR) - SANTO ANDRÉ - SP - 06.047.087/0007-24"/>
        <s v="HOSPITAL NETTO CAMPELLO DE SERTAOZINHO - SP - SERTÃOZINHO - SP - 01.613.433/0080-89"/>
        <s v="SAO JOSE DOS CAMPOS GABINETE DO PREFEITO - SÃO JOSÉ DOS CAMPOS - SP - 46.643.466/0001-06"/>
        <s v="BENEFICENCIA NIPO BRASILEIRA DE SAO PAULO - SÃO PAULO - SP - 60.992.427/0006-50"/>
        <s v="CONJUNTO HOSPITALAR DO MANDAQUI - SÃO PAULO - SP - 46.374.500/0088-45"/>
        <s v="FUNDACAO FACULDADE DE MEDICINA - SÃO PAULO - SP - 56.577.059/0001-00"/>
        <s v="HOSPITAL AVICCENA S/A - SÃO PAULO - SP - 72.775.745/0001-33"/>
        <s v="HOSPITAL GERAL DE VILA NOVA CACHOEIRINHA - SÃO PAULO - SP - 46.374.500/0108-23"/>
        <s v="HOSPITAL PROFESSOR EDMUNDO VASCONCELOS - SÃO PAULO - SP - 61.062.212/0001-98"/>
        <s v="SANTA CASA DE MISERICORDIA DE MACEIO - MACEIÓ - AL - 12.307.187/0001-50"/>
        <s v="SAMEL - MANAUS - AM - 84.537.141/0001-38"/>
        <s v="HOSPITAL OTOCLINICA - FORTALEZA - CE - 23.443.518/0001-03"/>
        <s v="PRONTOCARDIO SERVICOS MEDICOS HOSPITALARES S/A - FORTALEZA - CE - 08.711.085/0001-28"/>
        <s v="HOSPITAL DAHER LAGO SUL S/A - BRASÍLIA - DF - 00.382.069/0001-27"/>
        <s v="HOSPITAL DAS FORCAS ARMADAS - BRASÍLIA - DF - 03.568.867/0001-36"/>
        <s v="INFUSIONAL TERAPIA IMUNOBIOLOGICA ASSISTIDA LTDA - LINHARES - ES - 29.323.454/0001-85"/>
        <s v="HONCORD - GOIÂNIA - GO - 06.337.035/0001-05"/>
        <s v="NATUS LUMINE MATERNIDADE - SÃO LUÍS - MA - 23.813.270/0001-17"/>
        <s v="HOSPITAL GERAL DE BARBACENA DR. JOSE AMERICO - BARBACENA - MG - 19.843.929/0016-97"/>
        <s v="HOSPITAL GOVERNADOR ISRAEL PINHEIRO - HGIP - BELO HORIZONTE - MG - 17.217.332/0039-06"/>
        <s v="HOSPITAL INFANTIL JOAO PAULO II - BELO HORIZONTE - MG - 19.843.929/0015-06"/>
        <s v="INSTITUTO MINEIRO ESPECIALIZADO EM GASTROENTEROLOGIA - BELO HORIZONTE - MG - 01.444.455/0001-69"/>
        <s v="CETAL - CENTRO DE TRATAMENTO DO APARELHO LOCOMOTOR LTDA - JUIZ DE FORA - MG - 07.457.902/0001-09"/>
        <s v="UNIMONTES - MONTES CLAROS - MG - 22.675.359/0001-00"/>
        <s v="HOSPITAL SANTA ROSA - CUIABÁ - MT - 70.524.145/0001-77"/>
        <s v="GRUPAMENTO DE APOIO DE RECIFE - GAP-RF - RECIFE - PE - 00.394.429/0193-91"/>
        <s v="HOSPITAL UNIVERSITARIO OSWALDO CRUZ - RECIFE - PE - 11.022.597/0013-25"/>
        <s v="COOP CENTRO DE ONCOLOGIA DO OESTE DO PARANA - CASCAVEL - PR - 17.864.888/0001-03"/>
        <s v="FERTWAY REPRODUCAO HUMANA LTDA - EPP - CURITIBA - PR - 04.378.502/0001-01"/>
        <s v="HOSPITAL DE CLINICAS - CURITIBA - PR - 75.095.679/0002-20"/>
        <s v="UNIMED CURITIBA - UNIDADE PADRE GERMANO MAYER - CURITIBA - PR - 75.055.772/0022-54"/>
        <s v="ISCAL - LONDRINA - PR - 78.614.971/0001-19"/>
        <s v="NITEROI DOR (REDE DOR) - NITERÓI - RJ - 30.145.502/0001-71"/>
        <s v="ASSIM SAUDE - RIO DE JANEIRO - RJ - 31.925.548/0001-76"/>
        <s v="DROGARIA MODERNA - RIO DE JANEIRO - RJ - 04.779.685/0023-82"/>
        <s v="HOSPITAL ILHA DO GOVERNADOR LTDA - RIO DE JANEIRO - RJ - 22.233.557/0001-05"/>
        <s v="HOSPITAL ISRAELITA ALBERT SABIN (REDE DOR) - RIO DE JANEIRO - RJ - 33.722.224/0001-66"/>
        <s v="UERJ - RIO DE JANEIRO - RJ - 33.540.014/0001-57"/>
        <s v="HOSPITAL ESTRELA - ESTRELA - RS - 03.123.393/0002-08"/>
        <s v="HOSPITAL ESTRELA - ESTRELA - RS - 87.317.764/0011-65"/>
        <s v="HOSPITAL NOSSA SENHORA DA CONCEICAO SA - PORTO ALEGRE - RS - 92.787.118/0001-20"/>
        <s v="CCI - CENTRO CATARINENSE DE IMUNOTERAPIA LTDA - FLORIANÓPOLIS - SC - 23.982.118/0001-68"/>
        <s v="HOSPITAL UNIMED JARAGUA DO SUL - JARAGUÁ DO SUL - SC - 03.855.214/0002-19"/>
        <s v="SAO FRANCISCO SISTEMAS DE SAUDE SOCIEDADE EMPRESARIA LIMITADA - ARARAQUARA - SP - 01.613.433/0108-14"/>
        <s v="KR MEDICINA E DIAGNOSTICOS LTDA - FRANCO DA ROCHA - SP - 08.000.609/0001-72"/>
        <s v="AMICO SAUDE LTDA - MOJI DAS CRUZES - SP - 51.722.957/0143-02"/>
        <s v="IRMANDADE DA SANTA CASA DE MISERICORDIA DE PIRACICABA - PIRACICABA - SP - 54.370.630/0001-87"/>
        <s v="UNIMED DE PRES PRUDENTE COOPERATIVA DE TRABALHO MEDICO - PRESIDENTE PRUDENTE - SP - 44.863.959/0001-26"/>
        <s v="CM MEDICAMENTOS ESPECIAIS LTDA. - RIBEIRÃO PRETO - SP - 04.127.483/0001-40"/>
        <s v="INSTITUTO ONCOLOGICO DE RIBEIRAO PRETO LTDA - RIBEIRÃO PRETO - SP - 57.723.280/0001-83"/>
        <s v="HOSP.E MATERN. BENEFICENCIA PORTUGUESA DE SANTO ANDRE - SANTO ANDRÉ - SP - 57.507.402/0001-02"/>
        <s v="HCS - SOROCABA - SP - 26.048.123/0001-96"/>
        <s v="UNIMED LESTE PAULISTA COOPERATIVA DE TRABALHO MEDICO - SÃO JOÃO DA BOA VISTA - SP - 53.678.264/0002-46"/>
        <s v="CLINICA MEDICA CROCE LTDA - SÃO PAULO - SP - 43.775.956/0001-78"/>
        <s v="HOME HEALTH CARE DOCTOR SERVICOS MEDICOS DOMICILIARES S/S LTDA - SÃO PAULO - SP - 00.603.226/0001-87"/>
        <s v="HOSPITAL SANCTA MAGGIORE PARAISO - SÃO PAULO - SP - 00.461.479/0010-54"/>
        <s v="ONCOEXPRESS - SÃO PAULO - SP - 22.227.973/0001-09"/>
        <s v="VIP HOME CARE ATENDIMENTO DOMICILIAR LTDA - SÃO PAULO - SP - 09.087.150/0001-59"/>
        <s v="CLINICA SAO CAMILO - LUÍS EDUARDO MAGALHÃES - BA - 05.430.118/0001-73"/>
        <s v="HOSPITAL PROFESSOR EDGARDSANTOS - SALVADOR - BA - 15.180.714/0002-87"/>
        <s v="MATERNIDADE CLIMERIO DE OLIVEIRA - SALVADOR - BA - PRIVADO - 15.126.437/0028-63"/>
        <s v="FORTAL FARMACE - FORTALEZA - CE - 28.12.490/0001-56"/>
        <s v="HOSPITAL SAO FRANSCISCO - BRASÍLIA - DF - 72.576.143/0001-57"/>
        <s v="INSTITUTO HAVER - GOIÂNIA - GO - 27.456.372/0001-83"/>
        <s v="HOSPITAL EDUARDO DE MENEZES - BELO HORIZONTE - MG - 19.843.929/0011-82"/>
        <s v="HOSPITAL JOAO XXIII - BELO HORIZONTE - MG - 19.843.929/0013-44"/>
        <s v="HOSPITAL JULIA KUBITSCHEK - BELO HORIZONTE - MG - 19.843.929/0028-20"/>
        <s v="HOSPITAL SAO LUCAS - CAMPO BELO - MG - 19.130.186/0001-21"/>
        <s v="GOVERNADOR VALADARES PREF GABINETE DO PREFEITO - GOVERNADOR VALADARES - MG - 20.622.890/0001-80"/>
        <s v="HOSPITAL JOAO PENIDO - JUIZ DE FORA - MG - 19.843.929/0010-00"/>
        <s v="HOSPITAL UNIMED TRES CORACOES - TRÊS CORAÇÕES - MG - 42.855.999/0003-62"/>
        <s v="EBSERH HOSPITAL UNIVERSITARIO DO TRIANGULO MINEIRO - UBERABA - MG - 151.26.437/0005-77"/>
        <s v="HOSPITAL UNIMED - CAMPO GRANDE - MS - 03.315.918/0005-41"/>
        <s v="NUTEC ROO - RONDONÓPOLIS - MT - 11.836.436/0001-31"/>
        <s v="DEPOSITO-ARMAZEM BELEM/PA - BELÉM - PA - 12.361.267/0033-70"/>
        <s v="FUNDACAO SANTA CASA - BELÉM - PA - 04.929.345/0001-85"/>
        <s v="HOSPITAL UNIVERSITARIO ALCIDES CARNEIRO - CAMPINA GRANDE - PB - PRIVADO - 15.126.437/0032-40"/>
        <s v="DEPOSITO - ARMAZEM JABOATAO DOS GUARARAPES/PE - JABOATÃO DOS GUARARAPES - PE - 12.361.267/0057-48"/>
        <s v="PIAUI SECRETARIA DE SAUDE - TERESINA - PI - 06.553.564/0001-38"/>
        <s v="CAS-CENTRO DE ATENCAO A SAUDE UNIMED DR.ALVARO RABELLO - CASCAVEL - PR - PRIVADO - 81.170.003/0002-56"/>
        <s v="UNIMED DE CIANORTE COOPERATIVA DE TRABALHO MEDICO - CIANORTE - PR - 81.733.115/0001-97"/>
        <s v="HOSPITAL SAO VICENTE - CURITIBA - PR - 81.190.449/0002-42"/>
        <s v="HOSPITAL VITA BATEL - CURITIBA - PR - 06.943.723/0001-00"/>
        <s v="ANIMO- ANTINEOPLASICOS INJETAVEIS E MEDICINA ONCOLOGICA - GUARAPUAVA - PR - 78.044.815/0002-40"/>
        <s v="HOSPITAL GERAL UNIMED - PONTA GROSSA - PR - 77.781.706/0002-43"/>
        <s v="HOSPITAL UNIVERSITARIO ANTONIO PEDRO - NITEROI - RJ - PRIVADO - 15.126.437/0036-73"/>
        <s v="HOSPITAL ICARAI - NITERÓI - RJ - 31.671.480/0003-08"/>
        <s v="CASA DE SAUDE SANTA THEREZINHA S A - RIO DE JANEIRO - RJ - 33.575.127/0006-00"/>
        <s v="CID - CENTRO DE INFUSAO - RIO DE JANEIRO - RJ - PRIVADO - 10.922.058/0001-46"/>
        <s v="FUNDACAO SAUDE DO ESTADO DO RIO DE JANEIRO - RIO DE JANEIRO - RJ - 10.834.118/0001-79"/>
        <s v="HOSPITAL MEMORIAL FUAD CHIDID LTDA - RIO DE JANEIRO - RJ - 33.705.849/0005-43"/>
        <s v="PRONEP LAR INTERNACAO DOMICILIAR LTDA - RIO DE JANEIRO - RJ - 00.092.929/0001-98"/>
        <s v="RIO DE JANEIRO GABINETE DO PREFEITO - RIO DE JANEIRO - RJ - 42.498.733/0001-48"/>
        <s v="HOSPITAL E CLINICA SAO GONCALO - SÃO GONÇALO - RJ - 31.671.480/0001-46"/>
        <s v="CLINICA DE ONCOLOGIA REICHOW LTDA - BLUMENAU - SC - PRIVADO - 03.354.642/0001-87"/>
        <s v="HOSPITAL UNIV. PROFESSOR POLYDORO ERNANI DE SAO THIAGO - FLORIANOPOLIS - SC - PRIVADO - 15.126.437/0034-01"/>
        <s v="CENTRO HOSPITALAR UNIMED - JOINVILLE - SC - 82.602.327/0003-60"/>
        <s v="FUNDACAO PIO XII - BARRETOS - SP - 49.150.352/0002-01"/>
        <s v="HOSPITAL SANTA IGNES - INDAIATUBA - SP - 44.732.469/0001-90"/>
        <s v="HOSPITAL UNIMED - UNIDADE ANCHIETA - JUNDIAÍ - SP - 56.727.134/0012-16"/>
        <s v="HOSPITAL DE CLINICAS LUZIA DE PINHO MELO - MOJI DAS CRUZES - SP - 61.699.567/0008-69"/>
        <s v="MEDICAMENTAL HOSPITALAR - RIBEIRAO PRETO - SP - PRIVADO - 31.378.288/0001-66"/>
        <s v="AACD - SÃO PAULO - SP - 60.979.457/0001-11"/>
        <s v="AUTARQUIA HOSPITALAR MUNICIPAL - SÃO PAULO - SP - 04.995.603/0001-21"/>
        <s v="HOSPITAL ALVORADA SANTO AMARO - SÃO PAULO - SP - 08.100.676/0006-73"/>
        <s v="HOSPITAL SANCTA MAGGIORE PINHEIROS - SÃO PAULO - SP - 00.461.479/0041-50"/>
        <s v="INSTITUTO DANTE PAZZANESE DE CARDIOLOGIA - SÃO PAULO - SP - 46.374.500/0009-41"/>
        <s v="ONCO CANE VETERINARIA LTDA - SAO PAULO - SP - PRIVADO - 15.217.814/0001-50"/>
        <s v="PRONTO ATENDIMENTO SANCTA MAGGIORE JARDIM PAULISTA - SÃO PAULO - SP - 00.461.479/0051-22"/>
        <s v="UNIMED CAMPINAS COOPERATIVA DE TRABALHO MEDICO - SÃO PAULO - SP - 46.124.624/0026-70"/>
        <s v="DA MATTA AIN CLINICA DE VACINA LTDA - TAUBATÉ - SP - 29.929.600/0001-10"/>
        <s v="SPDM - ASSOCIACAO PAULISTA PARA O DESENVOLVIMENTO DA MEDICINA - TAUBATÉ - SP - 61.699.567/0089-24"/>
        <s v="HOSPITAL POLICLINICA CASCAVEL - CASCAVEL - PR - 76.081.892/0001-64"/>
        <s v="INSTITUTO DE PUERICULTURA E PEDIATRIA MARTAGAO GESTEIR - RIO DE JANEIRO - RJ - PUBLICO - 33.663.683/0026-74" u="1"/>
        <s v="HOSPITAL UNIMED RESENDE - RESENDE - RJ - PRIVADO - 68.709.211/0002-12" u="1"/>
        <s v="HOSPITAL MINISTRO COSTA CAVALCANTI - FOZ DO IGUACU - PR - PRIVADO - 00.304.148/0001-10" u="1"/>
        <s v="UNIMED HOSPITAL SAO DOMINGOS - CATANDUVA - SP - PRIVADO - 45.118.429/0012-79" u="1"/>
        <s v="HOSPITAL SAO LUCAS - RIO DE JANEIRO - RJ - PRIVADO - 60.884.855/0016-30" u="1"/>
        <s v="JEAN STANISLAS MARIE BRUNET-LECOMTE - PESSOA FÍSICA - 239.415.938-38" u="1"/>
        <s v="HOSPITAL SANTA CRUZ SOCIEDADE ANONIMA - CURITIBA - PR - PRIVADO - 76.555.069/0001-43" u="1"/>
        <s v="INSTITUTO DO CANCER DO ESTADO DE SAO PAULO - SAO PAULO - SP - PRIVADO - 56.577.059/0006-06" u="1"/>
        <s v="HOSPITAL ANGELINA CARON - CAMPINA GRANDE DO SUL - PR - PRIVADO - 07.088.017/0001-91" u="1"/>
        <s v="HONCORD - GOIANIA - GO - PRIVADO - 06.337.035/0001-05" u="1"/>
        <s v="HOSPITAL COPA DOR - RIO DE JANEIRO - RJ - PRIVADO - 06.047.087/0009-96" u="1"/>
        <s v="MAIARA ALMEIDA DA SILVA - RIO DE JANEIRO - RJ - PESSOA FISICA - 003.204.650-20" u="1"/>
        <s v="HOME LIFE ASSISTENCIA DOMICILIAR EM SAUDE - PRIVADO - 08.438.844/0003-92" u="1"/>
        <s v="PMPA - PORTO ALEGRE - RS - PUBLICO - 92.963.560/0001-60" u="1"/>
        <s v="HOSPITAL STO ANTONIO - BLUMENAU - SC - PRIVADO - 82.654.088/0001-20" u="1"/>
        <s v="HOSPITAL A.C.CAMARGO - TAMANDARE - SAO PAULO - SP - PRIVADO - 60.961.968/0004-59" u="1"/>
        <s v="HOSPITAL SANTA ROSA - CUIABA - MT - PRIVADO - 70.524.145/0001-77" u="1"/>
        <s v="JHOSPITAL UNIMED DE ARARAS - ARARAS - SP - PRIVADO - 54.012.406/0003-85" u="1"/>
        <s v="HOSPITAL E MATERNIDADE METROPOLITANO - SAO PAULO - SP - PRIVADO - 51.722.957/0125-12" u="1"/>
        <s v="UBERLANDIA MEDICAL CENTER - UBERLANDIA - MG - PRIVADO - 17.087.591/0001-89" u="1"/>
        <s v="CEHON - CENTRO DE HEMATOLOGIA E ONCOLOGIA DA BAHIA LTDA - SALVADOR - BA - PRIVADO - 01.837.492/0001-37" u="1"/>
        <s v="CLIOM - MACEIO - AL - PRIVADO - 05.612.725/0001-54" u="1"/>
        <s v="ICTR - INSTITUTO DO CANCER E TRANSPLANTE S/C - CURITIBA - PR - PRIVADO - 03.824.198/0001-16" u="1"/>
        <s v="VIP HOME CARE ATENDIMENTO DOMICILIAR LTDA" u="1"/>
        <s v="HOSPITAL UNIMED - MACEIO - AL - PRIVADO - 12.442.737/0004-96" u="1"/>
        <s v="FUNDACAO OURO BRANCO - OURO BRANCO - MG - PRIVADO - 21.299.615/0001-30" u="1"/>
        <s v="FUNDACAO FACULDADE DE MEDICINA - SAO PAULO - SP - PRIVADO - 56.577.059/0001-00" u="1"/>
        <s v="HOSPITAL E MATERNIDADE SANTA MARIA - SAO PAULO - SP - PRIVADO - 62.106.505/0001-92" u="1"/>
        <s v="UNIMED JOAO PESSOA COOPERATIVA DO TRABALHO MEDICO - JOAO PESSOA - PB - PRIVADO - 08.680.639/0006-81" u="1"/>
        <s v="CRETA - CENTRO REUMATOLOGICO DE TERAPIA AVANCADA LTDA. - ME - SAO PAULO - SP - PRIVADO - 10.468.341/0001-40" u="1"/>
        <s v="HOSPITAL DAHER LAGO SUL S/A - BRASILIA - DF - PRIVADO - 00.382.069/0001-27" u="1"/>
        <s v="AISI FMIT HE - ITAJUBA - MG - PRIVADO - 21.040.696/0003-11" u="1"/>
        <s v="HOSPITAL DO CORACAO - ARACAJU - SE - PRIVADO - 03.222.051/0001-56" u="1"/>
        <s v="CLINICA SAO VICENTE - RIO DE JANEIRO - RJ - PRIVADO - 31.635.857/0001-01" u="1"/>
        <s v="PLAMHUV - VICOSA - MG - PRIVADO - 14.408.631/0001-59" u="1"/>
        <s v="HOSPITAL ANA LIMA - MARACANAU - CE - PRIVADO - 12.361.267/0084-10" u="1"/>
        <s v="CENTRO MEDICO RIO PRETO LTDA - SAO JOSE DO RIO PRETO - SP - PRIVADO - 48.310.098/0001-00" u="1"/>
        <s v="MEDRADIUS - MACEIO - AL - PRIVADO - 03.866.223/0001-24" u="1"/>
        <s v="HOSPITAL PADRE ALBINO - CATANDUVA - SP - PRIVADO - 47.074.851/0008-19" u="1"/>
        <s v="DEPARTAMENTO REGIONAL DE SAUDE DE ARARAQUARA - DRS III - ARARAQUARA - SP - PUBLICO - 46.374.500/0092-21" u="1"/>
        <s v="ONCOEXPRESS - SÃO PAULO - SP - PRIVADO - 22.227.973/0001-09" u="1"/>
        <s v="SOCIEDADE BENEFICENTE DE SENHORAS - HOSPITAL SIRIO LIBANES" u="1"/>
        <s v="PRODAL SAUDE S/A - SALVADOR - BA - PRIVADO - 11.943.553/0001-02" u="1"/>
        <s v="HOSPITAL SAO LUIS - HSLZ LTDA. - SAO JOSE DE RIBAMAR - MA - PRIVADO - 09.192.098/0001-09" u="1"/>
        <s v="HOSPITAL SAO CAMILO - SANTANA - SAO PAULO - SP - PRIVADO - 60.975.737/0012-04" u="1"/>
        <s v="NUCLEO DE HEMATOLOGIA E ONCOLOGIA - BELO HORIZONTE - MG - PRIVADO - 02.623.693/0001-02" u="1"/>
        <s v="HCS - SOROCABA - SP - PRIVADO - 26.048.123/0001-96" u="1"/>
        <s v="PIAUI SECRETARIA DE SAUDE - TERESINA - PI - PUBLICO - 06.553.564/0001-38" u="1"/>
        <s v="EMPRESA BRASILEIRA DE SERVICOS HOSPITALARES - EBSERH - NATAL - RN - PRIVADO - 15.126.437/0007-39" u="1"/>
        <s v="CLINICA SANTA HELENA - ARACAJU - SE - PRIVADO - 13.086.053/0001-19" u="1"/>
        <s v="IMUNOMED ESPECIALIDADES E CLINICA DE INFUSAO - PRIVADO - 39.387.477/0001-07" u="1"/>
        <s v="HOSPITAL UNIMED PRIMAVERA - PRIVADO - 06.555.031/0002-76" u="1"/>
        <s v="HOSPITAL UNIMED SAO CARLOS - SAO CARLOS - SP - PRIVADO - 45.359.213/0005-76" u="1"/>
        <s v="IRMANDADE DE MISERICORDIA DO HOSPITAL DA SANTA CASA DE MONTE ALTO - MONTE ALTO - SP - PRIVADO - 52.852.100/0001-40" u="1"/>
        <s v="CASA DE CARIDADE DE CARANGOLA - CARANGOLA - MG - PRIVADO - 19.274.091/0001-81" u="1"/>
        <s v="FBC - SALVADOR - BA - PRIVADO - 16.475.154/0002-50" u="1"/>
        <s v="PRIME HOME CARE - BRASILIA - DF - PRIVADO - 16.739.984/0001-67" u="1"/>
        <s v="CLINICA DE ONCOLOGIA VIVER - SANTA MARIA - RS - PRIVADO - 12.508.728/0001-08" u="1"/>
        <s v="HOSPITAL ISRAELITA ALBERT SABIN - RIO DE JANEIRO - RJ - PRIVADO - 33.722.224/0001-66" u="1"/>
        <s v="CLINICA DE NEUROLOGIA E NEUROINFUSAO DE BRASILIA - BRASILIA - DF - PRIVADO - 30.135.335/0001-88" u="1"/>
        <s v="CEMED CARE - EMPRESA DE ATENDIMENTO CLINICO GERAL LTDA - NOVA IGUACU - RJ - PRIVADO - 07.794.623/0015-28" u="1"/>
        <s v="HOSPITAL UNIMED JARAGUA DO SUL - JARAGUA DO SUL - SC - PRIVADO - 03.855.214/0002-19" u="1"/>
        <s v="ASSOCIACAO HOSPITALAR CASA DE SAUDE DE SANTOS - SANTOS - SP - PRIVADO - 18.290.268/0001-70" u="1"/>
        <s v="HOSPITAL DAS FORCAS ARMADAS - BRASILIA - DF - PUBLICO - 03.568.867/0001-36" u="1"/>
        <s v="HUPAA - MACEIO - AL - PUBLICO - 24.464.109/0002-29" u="1"/>
        <s v="SOCIEDADE SULINA DIVINA PROVIDENCIA" u="1"/>
        <s v="HOSPITAL FRANCISCA DE SANDE - FEIRA DE SANTANA - BA - PRIVADO - 12.361.267/0104-07" u="1"/>
        <s v="UNICLINICA - ERECHIM - RS - PRIVADO - 87.638.334/0005-05" u="1"/>
        <s v="INSTITUTO FERNANDES FIGUEIRA - RIO DE JANEIRO - RJ - PUBLICO - 33.781.055/0002-16" u="1"/>
        <s v="HOSPITAL AEROPORTO - LAURO DE FREITAS - BA - PRIVADO - 04.602.792/0001-25" u="1"/>
        <s v="HOSPITAL PRO-CARDIACO - RIO DE JANEIRO - RJ - PRIVADO - 29.435.005/0051-98" u="1"/>
        <s v="IMPERIAL HOSPITAL DE CARIDADE - FLORIANOPOLIS - SC - PRIVADO - 83.884.999/0001-06" u="1"/>
        <s v="PRO-ONCO CENTRO DE TRATAMENTO ONCOLOGICO SS LTDA - LONDRINA - PR - PRIVADO - 73.863.342/0001-09" u="1"/>
        <s v="PRONTOCARDIO SERVICOS MEDICOS HOSPITALARES S/A - FORTALEZA - CE - PRIVADO - 08.711.085/0001-28" u="1"/>
        <s v="INSTITUTO DE IMUNOLOGIA E ONCOLOGIA S/S LTDA - SAO PAULO - SP - PRIVADO - 05.831.510/0001-24" u="1"/>
        <s v="HOSPITAL 9 DE JULHO - SAO PAULO - SP - PRIVADO - 60.884.855/0003-16" u="1"/>
        <s v="HOSPITAL VITORIA - CURITIBA - PR - PRIVADO - 29.435.005/0056-00" u="1"/>
        <s v="DEPARTAMENTO DE LOGISTICA - BRASILIA - DF - PUBLICO - 00.394.544/0008-51" u="1"/>
        <s v="CLINICA DE ONCOLOGIA MEDICA SOCIEDADE SIMPLES LTDA - SAO PAULO - SP - PRIVADO - 59.481.028/0001-30" u="1"/>
        <s v="HOSPITAL 10 JULHO - PINDAMONHANGABA  - SP - PRIVADO - 47.565.155/0009-96" u="1"/>
        <s v="HEMOLABOR UNIDADE ONCO-HEMATOLOGICA - GOIANIA - GO - PRIVADO - 00.418.954/0007-04" u="1"/>
        <s v="HOSPITAL SANTA RITA DE CASSIA - VITORIA - ES - PRIVADO - 28.137.925/0001-06" u="1"/>
        <s v="HOSPITAL UNIMED - UNIDADE CENTRO - CAMPO MOURAO - PR - PRIVADO - 81.715.716/0004-10" u="1"/>
        <s v="HOSPITAL NETTO CAMPELLO DE SERTAOZINHO - SP - PRIVADO - 01.613.433/0080-89" u="1"/>
        <s v="HOSPITAL SANCTA MAGGIORE ITAIM - SAO PAULO - SP - PRIVADO - 00.461.479/0019-92" u="1"/>
        <s v="CASA DE SAUDE SAO JOSE - RIO DE JANEIRO - RJ - PRIVADO - 60.922.168/0003-48" u="1"/>
        <s v="UNIMED DE SANTOS COOPERATIVA DE TRABALHO MEDICO - SANTOS - SP - PRIVADO - 58.229.691/0010-70" u="1"/>
        <s v="UNIMED CAMPINAS COOPERATIVA DE TRABALHO MEDICO - CAMPINAS - SP - PRIVADO - 46.124.624/0001-11" u="1"/>
        <s v="CLINICA SOUZA BRITO - CUIABA - MT - PRIVADO - 15.016.827/0001-60" u="1"/>
        <s v="HOSPITAL UNIMED - PETROPOLIS - RJ - PRIVADO - 28.806.545/0005-32" u="1"/>
        <s v="HOSPITAL SAO FRANCISCO DE RIBEIRAO PRETO SP - PRIVADO - 01.613.433/0068-92" u="1"/>
        <s v="HOSPITAL UNIMED DE ARACATUBA - ARACATUBA - SP - PRIVADO - 51.093.193/0004-56" u="1"/>
        <s v="LARANJEIRAS CLINICA PERINATAL - RIO DE JANEIRO - RJ - PRIVADO - 33.419.482/0002-59" u="1"/>
        <s v="H S COR - DUQUE DE CAXIAS - RJ - PRIVADO - 08.562.523/0001-33" u="1"/>
        <s v="HU - UFSC - FLORIANOPOLIS - SC - PUBLICO - 83.899.526/0004-25" u="1"/>
        <s v="HOSPITAL MONTE KLINIKUM - PRIVADO - 29.435.005/0074-84" u="1"/>
        <s v="HOSPITAL DO CIRCULO - CAXIAS DO SUL - RS - PRIVADO - 88.645.403/0013-72" u="1"/>
        <s v="CARDIO PULMONAR DA BAHIA S.A - SALVADOR - BA - PRIVADO - 13.952.064/0001-34" u="1"/>
        <s v="HOSPITAL UNIVERSITARIO ALCIDES CARNEIRO/UFCG - CAMPINA GRANDE - PB - PUBLICO - 05.055.128/0002-57" u="1"/>
        <s v="ASSOCIACAO HOSPITALAR FILHAS DE NOSSA SENHORA DO MONTE CALVARIO - SAO PAULO - SP - PRIVADO - 18.180.008/0001-42" u="1"/>
        <s v="HOSPITAL UNIMED RECIFE - RECIFE - PE - PRIVADO - 11.214.624/0004-70" u="1"/>
        <s v="HOSPITAL INCAR - SANTO ANTONIO DE JESUS - BA - PRIVADO - 05.652.543/0001-07" u="1"/>
        <s v="INSTITUTO DE ONCOLOGIA PREVENT SENIOR - SAO PAULO - SP - PRIVADO - 00.461.479/0045-84" u="1"/>
        <s v="INSTITUTO DR JOSE FROTA - FORTALEZA - CE - PUBLICO - 07.835.044/0001-80" u="1"/>
        <s v="UNIMED DE PRES PRUDENTE COOPERATIVA DE TRABALHO MEDICO - PRESIDENTE PRUDENTE - SP - PRIVADO - 44.863.959/0001-26" u="1"/>
        <s v="HOSPITAL QUINTA DOR - RIO DE JANEIRO - RJ - PRIVADO - 06.047.087/0010-20" u="1"/>
        <s v="HOSPITAL MUNICIPAL DE SALVADOR  - SALVADOR - BA - PRIVADO - 15.153.745/0027-05" u="1"/>
        <s v="HOSPITAL E MATERNIDADE MADRECOR - UBERLANDIA - MG - PRIVADO - 20.150.900/0001-22" u="1"/>
        <s v="HOSPITAL SAO FRANCISCO NA PROVIDENCIA DE DEUS - RIO DE JANEIRO - RJ - PRIVADO - 53.221.255/0049-95" u="1"/>
        <s v="DEPARTAM. REGIONAL DE SAUDE DE RIB. PRETO - DRS XIII - PUBLICO - 46.374.500/0035-33" u="1"/>
        <s v="ASSOCIACAO DR BARTHOLOMEU TACCHINI - BENTO GONCALVES - RS - PRIVADO - 87.547.444/0001-20" u="1"/>
        <s v="HOSPITAL MULTI ESPECIALIDADES LTDA EPP - PRIVADO - 21.155.621/0001-14" u="1"/>
        <s v="COMANDO DA ARTILHARIA DIVIS DA TERC DIVISAO DE EXERCITO - CRUZ ALTA - RS - PUBLICO - 09.572.216/0002-87" u="1"/>
        <s v="IRMANDADE DA SANTA CASA DE MISERICORDIA DE PORTO ALEGRE - PORTO ALEGRE - RS - PRIVADO - 92.815.000/0001-68" u="1"/>
        <s v="HOSPITAL SAMARITANO - RIO DE JANEIRO - RJ - PRIVADO - 29.435.005/0061-60" u="1"/>
        <s v="HOSPITAL UNIMED CAXIAS DO SUL - CAXIAS DO SUL - RS - PRIVADO - 87.827.689/0024-05" u="1"/>
        <s v="ESHO EMPRESA DE SERVICOS HOSPITALARES S.A. - NATAL - RN - PRIVADO - 29.435.005/0098-51" u="1"/>
        <s v="COI CLINICAS ONCOLOGICAS INTEGRADAS SA - RIO DE JANEIRO - RJ - PRIVADO - 39.086.160/0001-30" u="1"/>
        <s v="HOSPITAL AVICCENA S/A - SAO PAULO - SP - PRIVADO - 72.775.745/0001-33" u="1"/>
        <s v="HOSPITAL ESTRELA - ESTRELA - RS - PRIVADO - 03.123.393/0002-08" u="1"/>
        <s v="FERTWAY REPRODUCAO HUMANA LTDA - EPP - CURITIBA - PR - PRIVADO - 04.378.502/0001-01" u="1"/>
        <s v="ASSIM SAUDE - RIO DE JANEIRO - RJ - PRIVADO - 31.925.548/0001-76" u="1"/>
        <s v="HOSPITAL CRISTO REDENTOR - PORTO ALEGRE - RS - PRIVADO - 92.787.118/0003-91" u="1"/>
        <s v="ESHO EMPRESA DE SERVICOS HOSPITALARES S.A. - PRIVADO - 29.435.005/0081-03" u="1"/>
        <s v="PRONEP SAO PAULO - SAO PAULO - SP - PRIVADO - 02.837.922/0001-83" u="1"/>
        <s v="AMICO SAUDE LTDA - SAO PAULO - SP - PRIVADO - 51.722.957/0005-06" u="1"/>
        <s v="HOSPITAL MONTE SINAI LTDA - GARANHUNS - PE - PRIVADO - 03.858.924/0001-11" u="1"/>
        <s v="INSTITUTO NACIONAL DE CANCER - RIO DE JANEIRO - RJ - PUBLICO - 00.394.544/0171-50" u="1"/>
        <s v="UNIDADE HOSPITAL VITORIA SANTOS - PRIVADO - 29.435.005/0080-22" u="1"/>
        <s v="JUNDIAI GABINETE PREFEITO - JUNDIAI - SP - PUBLICO - 45.780.103/0001-50" u="1"/>
        <s v="HOSPITAL VILA NOVA STAR - SAO PAULO - SP - PRIVADO - 28.290.788/0001-37" u="1"/>
        <s v="CCI - CENTRO CATARINENSE DE IMUNOTERAPIA LTDA" u="1"/>
        <s v="HBA - SALVADOR - BA - PRIVADO - 05.469.172/0001-22" u="1"/>
        <s v="HOSPITAL DO CORACAO - SAO PAULO - SP - PRIVADO - 60.453.024/0003-90" u="1"/>
        <s v="SANTA CASA DE MISERICORDIA NOSSA SENHORA DO PATROCINIO - PATROCINIO - MG - PRIVADO - 23.406.564/0001-24" u="1"/>
        <s v="HOSPITAL E MATERNIDADE VITORIA - SAO PAULO - SP - PRIVADO - 29.435.005/0045-40" u="1"/>
        <s v="EDUARDO SEIBERT TEIXEIRA - SALVADOR - BA - PESSOA FISICA - 093.243.225-59" u="1"/>
        <s v="HOSPITAL SAO DOMINGOS LTDA. - SAO LUIS - MA - PRIVADO - 11.006.293/0001-30" u="1"/>
        <s v="HOSPITAL REGIONAL UNIMED - FORTALEZA - CE - PRIVADO - 05.868.278/0002-80" u="1"/>
        <s v="HOSPITAL UNIMED LITORAL - BALNEARIO CAMBORIU - SC - PRIVADO - 85.377.174/0003-92" u="1"/>
        <s v="HOSPITAL DE CLINICAS - CURITIBA - PR - PUBLICO - 75.095.679/0002-20" u="1"/>
        <s v="HOSPITAL MED IMAGEM LTDA" u="1"/>
        <s v="INCOR NATAL - NATAL - RN - PRIVADO - 01.507.901/0001-37" u="1"/>
        <s v="HOSPITAL PAULO SACRAMENTO - JUNDIAI - SP - PRIVADO - 44.649.812/0016-14" u="1"/>
        <s v="HOSPITAL POLICLIN - SAO JOSE DOS CAMPOS - SP - PRIVADO - 45.184.066/0001-17" u="1"/>
        <s v="FUNDO ESTADUAL DE SAUDE DO PARANA - FUNSAUDE - CURITIBA - PR - PUBLICO - 08.597.121/0001-74" u="1"/>
        <s v="LIGA ALVARO BAHIA CONTRA A MORTALIDADE INFANTIL - SALVADOR - BA - PRIVADO - 15.170.723/0001-06" u="1"/>
        <s v="HOSPITAL INFANTIL JOAO PAULO II - BELO HORIZONTE - MG - PUBLICO - 19.843.929/0015-06" u="1"/>
        <s v="HOSPITAL SINO BRASILEIRO - OSASCO - SP - PRIVADO - 06.047.087/0076-56" u="1"/>
        <s v="FUNDACAO FELICE ROSSO - BELO HORIZONTE - MG - PRIVADO - 17.214.149/0001-76" u="1"/>
        <s v="FARMACIA ONCO STAR - SAO PAULO - SP - PRIVADO - 28.290.788/0003-07" u="1"/>
        <s v="NATUS LUMINE MATERNIDADE - PRIVADO - 23.813.270/0001-17" u="1"/>
        <s v="HOSPITAL PARANA - MARINGA - PR - PRIVADO - 77.265.361/0001-94" u="1"/>
        <s v="INTERMEDICA SISTEMA DE SAUDE - SAO PAULO - SP - PRIVADO - 44.649.812/0055-20" u="1"/>
        <s v="INSTITUTO DO RADIUM - CAMPINAS - SP - PRIVADO - 51.877.926/0001-09" u="1"/>
        <s v="HOSPITAL SANTA MARTA LTDA - BRASILIA - DF - PRIVADO - 00.610.980/0001-44" u="1"/>
        <s v="HOSPITAL JAAR ANDRADE LTDA - SALVADOR - BA - PRIVADO - 97.397.848/0001-38" u="1"/>
        <s v="HOSPITAL ILHA DO GOVERNADOR LTDA - RIO DE JANEIRO - RJ - PRIVADO - 22.233.557/0001-05" u="1"/>
        <s v="EV CITI - SAO PAULO - SP - PRIVADO - 10.323.381/0001-01" u="1"/>
        <s v="HOSPITAL GERAL DE VILA NOVA CACHOEIRINHA - SAO PAULO - SP - PUBLICO - 46.374.500/0108-23" u="1"/>
        <s v="DROGARIA DA PRACA - MANGARATIBA - RJ - PRIVADO - 10.558.548/0001-05" u="1"/>
        <s v="LICIMASTER DISTRIBUIDORA DE MEDICAMENTOS E PRODUTOS MEDICO HOSPITALAR EIRELI - SALVADOR - BA - 20.001.049/0001-76" u="1"/>
        <s v="IRMANDADE DA SANTA CASA DE MISERICORDIA DE PIRACICABA - PIRACICABA - SP - PRIVADO - 54.370.630/0001-87" u="1"/>
        <s v="HOSPITAL RODOLFO FERNANDES - MOSSORO - RN - PRIVADO - 12.361.267/0091-40" u="1"/>
        <s v="FARMA REGIA - SANTA HELENA - MA - PRIVADO - 03.210.872/0001-72" u="1"/>
        <s v="H. METROPOLITANO - UNIDADE BUTANTA - SAO PAULO - SP - PRIVADO - 08.100.676/0008-35" u="1"/>
        <s v="SANTA CASA DE MISERICORDIA DE MACEIO - MACEIO - AL - PRIVADO - 12.307.187/0001-50" u="1"/>
        <s v="NUBIA SOARES SALES DE MORAES - BRASILIA - DF - PESSOA FISICA - 854.655.261-49" u="1"/>
        <s v="GUILHERME MOURA DA SILVA - RIBEIRAO DAS NEVES - MG - PESSOA FISICA - 703.064.536-73" u="1"/>
        <s v="HOSPITAL SAO VICENTE DE PAULO - RIO DE JANEIRO - RJ - PRIVADO - 18.010.750/0001-00" u="1"/>
        <s v="AUTARQUIA HOSPITALAR MUNICIPAL - SAO PAULO - SP - PUBLICO - 04.995.603/0001-21" u="1"/>
        <s v="HOSPITAL UNIVERSITARIO DE MARILIA - MARILIA - SP - PRIVADO - 09.528.436/0001-22" u="1"/>
        <s v="HOSPITAL SANTA PAULA LTDA - SAO PAULO - SP - PRIVADO - 60.777.901/0001-16" u="1"/>
        <s v="UNIMED DE DRACENA COOPERATIVA DE TRABALHO MEDICO - PRIVADO - 68.204.486/0001-13" u="1"/>
        <s v="CETAL - CENTRO DE TRATAMENTO DO APARELHO LOCOMOTOR LTDA" u="1"/>
        <s v="FES - FLORIANOPOLIS - SC - PUBLICO - 80.673.411/0001-87" u="1"/>
        <s v="BENEFICENCIA NIPO BRASILEIRA DE SAO PAULO - SAO PAULO - SP - PRIVADO - 60.992.427/0006-50" u="1"/>
        <s v="SOC BENEFICIENTE DE SENHORAS HOSPITAL SIRIO LIBANES - SAO PAULO - SP - PRIVADO - 61.590.410/0001-24" u="1"/>
        <s v="UNICLINIC - FORTALEZA - CE - PRIVADO - 05.867.015/0001-75" u="1"/>
        <s v="HOSPITAL DIVINA PROVIDENCIA - FREDERICO WESTPHALEN - RS - PRIVADO - 92.404.789/0001-64" u="1"/>
        <s v="HOSPITAL SAO LUIZ JABAQUARA - SAO PAULO - SP - PRIVADO - 06.047.087/0038-20" u="1"/>
        <s v="HOSPITAL DOUTOR DORIO SILVA - SERRA - ES - PUBLICO - 27.080.605/0015-91" u="1"/>
        <s v="COORDENACAO DE ARMAZENAGEM E DISTRIBUICAO LOGISTICA - GUARULHOS - SP - 00.394.544/0111-10" u="1"/>
        <s v="MATERNIDADE FEMINA - GOIANIA - GO - PRIVADO - 00.053.629/0001-08" u="1"/>
        <s v="HOSPITAL TEREZA DE LISIEUX - SALVADOR - BA - PRIVADO - 12.361.267/0103-18" u="1"/>
        <s v="HOSPITAL SAO CARLOS LTDA - FORTALEZA - CE - PRIVADO - 11.794.674/0001-21" u="1"/>
        <s v="EMPRESA BRASILEIRA DE SERVICOS HOSPITALARES - EBSERH" u="1"/>
        <s v="CENTRAL CLINIC - SAO PAULO - SP - PRIVADO - 02.383.508/0004-94" u="1"/>
        <s v="CENTRO CLINICO UNIMED - PRIVADO - 02.476.067/0003-94" u="1"/>
        <s v="GUSTAVO PRIETO BORGES MOREIRA - CONSELHEIRO LAFAIETE - MG - PESSOA FISICA - 173.769.686-01" u="1"/>
        <s v="HOSPITAL HCN - NITEROI - RJ - PRIVADO - 60.884.855/0012-07" u="1"/>
        <s v="EMEC - FEIRA DE SANTANA - BA - PRIVADO - 14.074.546/0001-00" u="1"/>
        <s v="HOSPITAL PAULISTANO - SAO PAULO - SP - PRIVADO - 29.435.005/0026-87" u="1"/>
        <s v="CASA DE SAUDE SANTA HELENA - SAO JOSE DO RIO PRETO - SP - PRIVADO - 59.970.947/0001-78" u="1"/>
        <s v="HOME CARE CENE - SAO JOSE DO RIO PRETO - SP - PRIVADO - 02.643.405/0001-73" u="1"/>
        <s v="CENTRO DE ONCOLOGIA UNIMED PORTO ALEGRE - PORTO ALEGRE - RS - PRIVADO - 87.096.616/0031-01" u="1"/>
        <s v="H A P - FORTALEZA - CE - PRIVADO - 05.874.946/0001-09" u="1"/>
        <s v="HOSPITAL GERAL DE CURITIBA - CURITIBA - PR - PUBLICO - 09.579.964/0002-91" u="1"/>
        <s v="HOSPITAL UNIMED - ARACAJU - SE - PRIVADO - 15.592.785/0001-06" u="1"/>
        <s v="HOSPITAL ADVENTISTA DE BELEM - BELEM - PA - PRIVADO - 83.367.342/0002-52" u="1"/>
        <s v="HOSPITAL MACEIO - MACEIO - AL - PRIVADO - 12.361.267/0008-60" u="1"/>
        <s v="UNIMED ARAXA COOPERATIVA DE TRABALHO MEDICO LTDA  - ARAXA - MG - PRIVADO - 25.910.449/0004-60" u="1"/>
        <s v="HOSPITAL CASA ARRENDATARIA SERVICOS MEDICOS HOSPITALARES E INVESTIMENTOS LTDA - RIO DE JANEIRO - RJ - PRIVADO - 24.217.779/0001-60" u="1"/>
        <s v="NOVO SANTO EXPEDITO - SAO PAULO - SP - PRIVADO - 13.718.999/0001-50" u="1"/>
        <s v="NOVACLIN - SALVADOR - BA - PRIVADO - 15.242.761/0001-27" u="1"/>
        <s v="UERJ - RIO DE JANEIRO - RJ - PUBLICO - 33.540.014/0001-57" u="1"/>
        <s v="HEMATOLOGICA - CLINICA DE HEMATOLOGIA LTDA - BELO HORIZONTE - MG - PRIVADO - 00.410.960/0001-20" u="1"/>
        <s v="CON-CENTRO ONCOLOGICO DE NITEROI LTDA - NITEROI - RJ - PRIVADO - 00.437.007/0001-75" u="1"/>
        <s v="HOSPITAL SAO LUCAS - RIBEIRAO PRETO - SP - PRIVADO - 55.980.148/0001-21" u="1"/>
        <s v="UNIDADE DE ONCOLOGIA CLINICA E PEDIATRICA LTDA. - EPP - SAO PAULO - SP - PRIVADO - 57.394.710/0001-60" u="1"/>
        <s v="HOSPITAL E MATERNIDADE BRASIL - SANTO ANDRE - SP - PRIVADO - 06.047.087/0007-24" u="1"/>
        <s v="HOSP INF VAR SANT - NATAL - RN - PRIVADO - 08.337.586/0001-96" u="1"/>
        <s v="HOSPITAL BARTIRA - SANTO ANDRE - SP - PRIVADO - 06.047.087/0079-07" u="1"/>
        <s v="FAEPA - RIBEIRAO PRETO - SP - PRIVADO - 57.722.118/0001-40" u="1"/>
        <s v="ANA ANGELICA TORRES - MACEIO - AL - PESSOA FISICA - 444.822.994-72" u="1"/>
        <s v="HEMOLABOR - GOIANIA - GO - PRIVADO - 00.418.954/0001-19" u="1"/>
        <s v="HOSPITAL INFANTIL SABARA - SAO PAULO - SP - PRIVADO - 61.213.674/0002-40" u="1"/>
        <s v="ONCOLOGIA CLINICA NITEROI S/S - NITEROI - RJ - PRIVADO - 00.521.197/0001-04" u="1"/>
        <s v="CONJUNTO HOSPITALAR DO MANDAQUI - SAO PAULO - SP - PUBLICO - 46.374.500/0088-45" u="1"/>
        <s v="HOSPITAL UNIVERSITARIO OSWALDO CRUZ - RECIFE - PE - PUBLICO - 11.022.597/0013-25" u="1"/>
        <s v="CRUZ VERMELHA BRASILEIRA - FILIAL DO ESTADO DO PARANA - CURITIBA - PR - PRIVADO - 07.404.052/0001-72" u="1"/>
        <s v="PRONTONORTE - BRASILIA - DF - PRIVADO - 00.511.816/0001-80" u="1"/>
        <s v="FUNDES - FORTALEZA - CE - PUBLICO - 74.031.865/0001-51" u="1"/>
        <s v="HOSPITAL LAYR MAIA - BELEM - PA - PRIVADO - 12.361.267/0002-74" u="1"/>
        <s v="PREFEITURA MUNICIPAL DE CAMPINAS - CAMPINAS - SP - PUBLICO - 51.885.242/0001-40" u="1"/>
        <s v="HOSPITAL ALEMAO OSWALDO CRUZ - SAO PAULO - SP - PRIVADO - 60.726.502/0001-26" u="1"/>
        <s v="CASA DE SAUDE SAO LUCAS S/A - NATAL - RN - PRIVADO - 08.319.329/0001-21" u="1"/>
        <s v="LEONARDO VIERO SILVEIRA - JAGUARI - RS - PRIVADO - 29.908.956/0001-78" u="1"/>
        <s v="HOSPITAL UNIMED RECIFE III - RECIFE - PE - PRIVADO - 11.214.624/0019-57" u="1"/>
        <s v="HOSPITAL GERAL DA PARAIBA - JOAO PESSOA - PB - PRIVADO - 12.361.267/0088-44" u="1"/>
        <s v="HOSPITAL CURA DARS - FORTALEZA - CE - PRIVADO - 60.975.737/0035-09" u="1"/>
        <s v="HOSPITAL GERAL DE IPANEMA/RJ - RIO DE JANEIRO - RJ - PUBLICO - 00.394.544/0210-00" u="1"/>
        <s v="UNIMED-RIO EMPREENDIMENTOS MEDICOS E HOSPITALARES LTDA - RIO DE JANEIRO - RJ - PRIVADO - 09.219.138/0004-01" u="1"/>
        <s v="INSTITUTO DE CARDIOLOGIA DO DISTRITO FEDERAL - BRASILIA - DF - PRIVADO - 92.898.550/0006-00" u="1"/>
        <s v="HOSPITAL SAMARITANO - RIO DE JANEIRO - RJ - PRIVADO - 08.100.676/0021-02" u="1"/>
        <s v="CEMED CARE - EMPRESA DE ATENDIMENTO CLINICO GERAL LTDA - SAO JOSE DOS PINHAIS - PR - PRIVADO - 07.794.623/0022-57" u="1"/>
        <s v="LABCMI GESTAO HOSPITALAR - HEC - FEIRA DE SANTANA - BA - PRIVADO - 15.170.723/0005-30" u="1"/>
        <s v="UNIMED DE NOVA FRIBURGO - NOVA FRIBURGO - RJ - PRIVADO - 29.135.795/0002-08" u="1"/>
        <s v="HOSPITAL MEMORIAL ARTHUR RAMOS - MACEIO - AL - PRIVADO - 01.722.424/0001-22" u="1"/>
        <s v="HOSPITAL DE GUARNICAO DE SANTA MARIA - SANTA MARIA - RS - PUBLICO - 09.605.231/0002-84" u="1"/>
        <s v="HEMOMED - SAO PAULO - SP - PRIVADO - 10.475.230/0001-60" u="1"/>
        <s v="ALBERT SABIN HOSPITAL E MATERNIDADE - ATIBAIA - SP - PRIVADO - 04.275.687/0001-29" u="1"/>
        <s v="HOSPITAL AMPARO - GOIANIA - GO - PRIVADO - 05.919.720/0001-79" u="1"/>
        <s v="HOSPITAL MAE DE DEUS - PORTO ALEGRE - RS - PRIVADO - 88.625.686/0024-43" u="1"/>
        <s v="SANTA CASA - PASSOS - MG - PRIVADO - 23.278.898/0001-60" u="1"/>
        <s v="IRMANDADE DA SANTA CASA DE MISERICORDIA DE SAO PAULO - SAO PAULO - SP - PRIVADO - 62.779.145/0001-90" u="1"/>
        <s v="AMICO SAUDE LTDA - MOGI DAS CRUZES - SP - PRIVADO - 51.722.957/0143-02" u="1"/>
        <s v="UNIMED DE BELEM COOPERATIVA DE TRABALHO MEDICO - BELEM - PA - PRIVADO - 04.201.372/0010-28" u="1"/>
        <s v="HOSPITAL SANTA GENOVEVA LTDA - UBERLANDIA - MG - PRIVADO - 18.484.378/0001-73" u="1"/>
        <s v="HOSPITAL DE CARIDADE DR ASTROGILDO DE AZEVEDO - SANTA MARIA - RS - PRIVADO - 95.610.887/0001-46" u="1"/>
        <s v="HOSPITAL BARRA DOR - RIO DE JANEIRO - RJ - PRIVADO - 02.284.062/0005-21" u="1"/>
        <s v="NEON - NUCLEO ESPECIALIZADO EM ONCOLOGIA - SERRA - ES - PRIVADO - 04.786.490/0001-54" u="1"/>
        <s v="UNIMED PLANALTO MEDIO - COOPERATIVA DE SERVICOS MEDICOS - PASSO FUNDO - RS - PRIVADO - 87.607.149/0006-26" u="1"/>
        <s v="UNIMED DE PIRACICABA SOC COOP DE SERVICOS MEDICOS - PIRACICABA - SP - PRIVADO - 44.803.922/0002-93" u="1"/>
        <s v="GASTROCLINICA - FORTALEZA - CE - PRIVADO - 07.272.404/0001-83" u="1"/>
        <s v="UNIMED DE RIBEIRAO PRETO COOPERATIVA DE TRABALHO MEDICO - RIBEIRAO PRETO - SP - PRIVADO - 45.232.246/0005-50" u="1"/>
        <s v="HOSPITAL JAYME DA FONTE - RECIFE - PE - PRIVADO - 11.452.240/0001-43" u="1"/>
        <s v="SERVICO DE ATENDIMENTO UNIMED - GOIANIA - GO - PRIVADO - 02.476.067/0002-03" u="1"/>
        <s v="HOSPITAL DE BASE - SAO JOSE DO RIO PRETO - SP - PRIVADO - 60.003.761/0001-29" u="1"/>
        <s v="SAO JOSE DOS CAMPOS GABINETE DO PREFEITO - SAO JOSE DOS CAMPOS - SP - PUBLICO - 46.643.466/0001-06" u="1"/>
        <s v="UNIMONTES - MONTES CLAROS - MG - PUBLICO - 22.675.359/0001-00" u="1"/>
        <s v="HOSPITAL ESPINHEIRO - 2611606 - PE - PRIVADO - 12.361.267/0072-87" u="1"/>
        <s v="ONCOCLINICA - CENTRO DE TRATAMENTO ONCOLOGICO S.A. - PRIVADO - 72.101.124/0005-06" u="1"/>
        <s v="HOSPITAL SAO VICENTE DE PAULO - PASSO FUNDO - RS - PRIVADO - 92.021.062/0003-60" u="1"/>
        <s v="HOME - BRASILIA - DF - PRIVADO - 37.108.388/0001-59" u="1"/>
        <s v="ONCO HEMATOS S/S LTDA - ME - ARACAJU - SE - PRIVADO - 03.091.003/0001-76" u="1"/>
        <s v="HOSPITAL GOVERNADOR ISRAEL PINHEIRO - HGIP - BELO HORIZONTE - MG - PUBLICO - 17.217.332/0039-06" u="1"/>
        <s v="HSL UNIDADE BRASILIA - BRASILIA - DF - PRIVADO - 61.590.410/0005-58" u="1"/>
        <s v="HOSPITAL DE CARIDADE SAO VICENTE DE PAULO - JUNDIAI - SP - PRIVADO - 50.944.198/0001-30" u="1"/>
        <s v="HOSPITAL UNIVERSITARIO WALTER CANTIDIO - FORTALEZA - CE - PUBLICO - 07.272.636/0002-12" u="1"/>
        <s v="HOSPITAL MORIAH - SAO PAULO - SP - PRIVADO - 19.056.055/0001-41" u="1"/>
        <s v="SAO LUIZ  UNIDADE ITAIM - SAO PAULO - SP - PRIVADO - 06.047.087/0002-10" u="1"/>
        <s v="UNIMED CURITIBA - UNIDADE PADRE GERMANO MAYER - CURITIBA - PR - PRIVADO - 75.055.772/0022-54" u="1"/>
        <s v="IMIP HOSPITALAR - HMA - PAULISTA - PE - PRIVADO - 09.039.744/0002-75" u="1"/>
        <s v="HOSPITAL SAO MATEUS LTDA. - FORTALEZA - CE - PRIVADO - 41.580.077/0001-65" u="1"/>
        <s v="HOSPITAL ANTONIO PRUDENTE DE NATAL - NATAL - RN - PRIVADO - 12.361.267/0096-54" u="1"/>
        <s v="HOSPITAL E MATERNIDADE SAO NICOLAU - CATALAO - GO - PRIVADO - 01.326.206/0001-79" u="1"/>
        <s v="HOSPITAL INFANTIL PEQUENO PRINCIPE - CURITIBA - PR - PRIVADO - 76.591.569/0001-30" u="1"/>
        <s v="PREFEITURA MUNICIPAL DE GUARARAPES - GUARARAPES - SP - PUBLICO - 48.468.284/0001-71" u="1"/>
        <s v="CIONC - CENTRO INTEGRADO DE ONCOLOGIA DE CURITIBA S/S - CURITIBA - PR - PRIVADO - 07.734.165/0001-36" u="1"/>
        <s v="ROBERTO MOURA GRISI - PESSOA FÍSICA - 839.256.944-04" u="1"/>
        <s v="AMICO SAUDE LTDA  - SAO PAULO  - SP - PRIVADO - 51.722.957/0102-26" u="1"/>
        <s v="HOSPITAL BANDEIRANTES LTDA  - SAO PAULO - SP - PRIVADO - 21.371.777/0001-32" u="1"/>
        <s v="HOSPITAL CASA DE PORTUGAL - RIO DE JANEIRO - RJ - PRIVADO - 11.279.865/0001-55" u="1"/>
        <s v="EBSERH - HOSPITAL UNIVERSITARIO DO PIAUI - TERESINA - PI - PRIVADO - 15.126.437/0002-24" u="1"/>
        <s v="MUNICIPIO DE CAXIAS DO SUL - CAXIAS DO SUL - RS - PUBLICO - 88.830.609/0001-39" u="1"/>
        <s v="ONIX MATEUS LEME - CURITIBA - PR - PRIVADO - 30.117.769/0001-55" u="1"/>
        <s v="HOSPITAL NOSSA SENHORA DAS GRACAS - CURITIBA - PR - PRIVADO - 76.562.198/0001-69" u="1"/>
        <s v="HOSP SAO LUIZ ANALIA FRANCO - SAO PAULO - SP - PRIVADO - 06.047.087/0001-39" u="1"/>
        <s v="HOSPITAL ESPERANCA - RECIFE - PE - PRIVADO - 02.284.062/0001-06" u="1"/>
        <s v="DEPOSITO - ARMAZEM FORTALEZA/CE - FORTALEZA - CE - PRIVADO - 12.361.267/0118-02" u="1"/>
        <s v="IMIP - RECIFE - PE - PRIVADO - 10.988.301/0001-29" u="1"/>
        <s v="SEMEC - SALVADOR - BA - PRIVADO - 15.140.254/0001-82" u="1"/>
        <s v="LIFE HOME CARE - NILOPOLIS - RJ - PRIVADO - 25.308.058/0001-28" u="1"/>
        <s v="HOSPITAL MARCIO CUNHA - IPATINGA - MG - PRIVADO - 19.878.404/0001-00" u="1"/>
        <s v="S O S VIDA SOLUCOES EM SAUDE - ARACAJU - SE - PRIVADO - 16.064.313/0005-77" u="1"/>
        <s v="SAMEL - MANAUS - AM - PRIVADO - 84.537.141/0001-38" u="1"/>
        <s v="CENTRO DE ESTUDOS E PESQUISAS 28 - RIO DE JANEIRO - RJ - PRIVADO - 33.927.377/0001-40" u="1"/>
        <s v="FUNDACAO JOSE SILVEIRA - SALVADOR - BA - PRIVADO - 15.194.004/0001-25" u="1"/>
        <s v="UNIMED LESTE PAULISTA COOPERATIVA DE TRABALHO MEDICO - SAO JOAO DA BOA VISTA - SP - PRIVADO - 53.678.264/0002-46" u="1"/>
        <s v="UNIMED GOIANIA - GOIANIA - GO - PRIVADO - 02.476.067/0001-22" u="1"/>
        <s v="FUNDO MUNICIPAL DE SAUDE DO JABOATAO DOS GUARARAPES - PUBLICO - 03.904.395/0001-45" u="1"/>
        <s v="CENTRON - CENTRO DE TRATAMENTO ONCOLOGICO LTDA - RIO DE JANEIRO - RJ - PRIVADO - 02.864.097/0001-06" u="1"/>
        <s v="HOSPITAL DE CLINICAS RIO MAR BARRA LTDA - RIO DE JANEIRO - RJ - PRIVADO - 32.154.700/0001-27" u="1"/>
        <s v="FUNDACAO HOSPITALAR SAO LUCAS - CASCAVEL - PR - PRIVADO - 21.998.635/0001-08" u="1"/>
        <s v="RAUL SOARES GABINETE DO PREFEITO - RAUL SOARES - MG - PUBLICO - 18.836.965/0001-84" u="1"/>
        <s v="HOSPITAL ECOVILLE - CURITIBA - PR - PRIVADO - 00.942.063/0001-67" u="1"/>
        <s v="UOPECCAN - CASCAVEL - PR - PRIVADO - 81.270.548/0001-53" u="1"/>
        <s v="EBSERH HOSPITAL UNIVERSITARIO DE BRASILIA - BRASILIA - DF - PRIVADO - 15.126.437/0003-05" u="1"/>
        <s v="HOSPITAL UNIMED - BAURU - SP - PRIVADO - 44.456.036/0003-11" u="1"/>
        <s v="CM MEDICAMENTOS ESPECIAIS LTDA. - RIBEIRAO PRETO - SP - PRIVADO - 04.127.483/0001-40" u="1"/>
        <s v="CLINICA PRO-VIDA LTDA - TUBARAO - SC - PRIVADO - 80.490.618/0001-16" u="1"/>
        <s v="SAO BERNARDO APART - COLATINA - ES - PRIVADO - 07.039.651/0001-34" u="1"/>
        <s v="HOSPITAL UNIVERSITARIO - RIO DE JANEIRO - RJ - PUBLICO - 33.663.683/0053-47" u="1"/>
        <s v="REJANE CELESTE DOS ANJOS BECKER - RIO DE JANEIRO - RJ - PESSOA FISICA - 053.719.447-96" u="1"/>
        <s v="HOSPITAL SANTA IZABEL - SALVADOR - BA - PRIVADO - 15.153.745/0002-49" u="1"/>
        <s v="NITEROI DOR - NITEROI - RJ - PRIVADO - 30.145.502/0001-71" u="1"/>
        <s v="HOSPITAL E MATERNIDADE UNIMED - RIO CLARO - SP - PRIVADO - 44.663.631/0005-90" u="1"/>
        <s v="NOSSA SAUDE OPERADORA DE PLANOS PRIVADOS DE ASSISTENCIA A SAUDE LTDA. - CURITIBA - PR - PRIVADO - 02.862.447/0002-86" u="1"/>
        <s v="HOSPITAL BRASILIA - BRASILIA - DF - PRIVADO - 60.884.855/0022-89" u="1"/>
        <s v="LARISSA HELENA AMARAL CASTRO - BELEM - PA - PESSOA FISICA - 917.771.862-34" u="1"/>
        <s v="HOSPITAL RIO POTY - TERESINA - PI - PRIVADO - 12.361.267/0040-08" u="1"/>
        <s v="PETROBRAS - RIO DE JANEIRO - RJ - PRIVADO - 33.000.167/0001-01" u="1"/>
        <s v="GRUPAMENTO DE APOIO DE RECIFE - GAP-RF - RECIFE - PE - PUBLICO - 00.394.429/0193-91" u="1"/>
        <s v="BIO IMUNE - CENTRO DE APLICACOES E VACINAS  CONSULTORIA E PROCEDIMENTOS MEDICOS LTDA - ME - SANTOS - SP - PRIVADO - 10.868.295/0001-76" u="1"/>
        <s v="UNIMED COSTA DO SOL - HOSPITAL - MACAE - RJ - PRIVADO - 35.830.868/0004-46" u="1"/>
        <s v="HOSPITAL SAO LUCAS - ARACAJU - SE - PRIVADO - 13.131.370/0001-00" u="1"/>
        <s v="INSTITUTO DE ONCOLOGIA DE MACAPA EIRELI" u="1"/>
        <s v="IHBDF - BRASILIA - DF - PRIVADO - 28.481.233/0001-72" u="1"/>
        <s v="IBR INSTITUTO BRANDAO DE REABILITACAO LTDA - EPP - VITORIA DA CONQUISTA - BA - PRIVADO - 13.284.872/0001-70" u="1"/>
        <s v="MEDCLINICA DO CENTRO DE TERESOPOLIS - TERESOPOLIS - RJ - PRIVADO - 36.238.913/0001-98" u="1"/>
        <s v="UDI HOSPITAL - JARACATY - MA - PRIVADO - 02.284.062/0011-70" u="1"/>
        <s v="TAIANA ANGELICA LUZ _x000d__x000a_- PESSOA FÍSICA - 933.266.452-87_x000d__x000a_" u="1"/>
        <s v="HOMEBABY HOMECARE DA CRIANCA ATENDIMENTO MEDICO DOMICILIAR LIMITADA - RIO DE JANEIRO - RJ - PRIVADO - 21.265.360/0001-95" u="1"/>
        <s v="HOSPITAL SANTA ISABEL - BLUMENAU - SC - PRIVADO - 60.922.168/0052-26" u="1"/>
        <s v="HOSPITAL NOSSA SENHORA DO PILAR LTDA - CURITIBA - PR - PRIVADO - 76.498.013/0001-02" u="1"/>
        <s v="RS SSA GABINETE DO SECRETARIO - PORTO ALEGRE - RS - PUBLICO - 87.958.625/0001-49" u="1"/>
        <s v="HOSPITAL DO CORACAO DE LONDRINA LTDA - LONDRINA - PR - PRIVADO - 04.762.301/0001-03" u="1"/>
        <s v="HOSPITAL GERAL DE BARBACENA DR. JOSE AMERICO - BARBACENA - MG - PUBLICO - 19.843.929/0016-97" u="1"/>
        <s v="INSTITUTO DOR DE GESTAO DE SAUDE PUBLICA - RIO DE JANEIRO - RJ - PRIVADO - 08.850.962/0002-22" u="1"/>
        <s v="SAMEL - MANAUS - AM - PRIVADO - 04.159.778/0001-07" u="1"/>
        <s v="PEDIATRICS HOME CARE - INTERNACAO MEDICA DOMICILIAR LTDA" u="1"/>
        <s v="HENRIQUE WALCHER NOGUEIRA - PESSOA FÍSICA - 828.542.460-04" u="1"/>
        <s v="HOSPITAL DR. ROBERTO ARNIZAUT SILVARES - SAO MATEUS - ES - PUBLICO - 27.080.605/0003-58" u="1"/>
        <s v="ISCAL - LONDRINA - PR - PRIVADO - 78.614.971/0001-19" u="1"/>
        <s v="HOSPITAL NAVAL MARCILIO DIAS - RIO DE JANEIRO - RJ - PUBLICO - 00.394.502/0148-70" u="1"/>
        <s v="HOSPITAL E MATERNIDADE SANTA CLARA LTDA - UBERLANDIA - MG - PRIVADO - 25.761.040/0001-87" u="1"/>
        <s v="TITULO DO ESTABELECIMENTO (NOME DE FANTASIA)  HOSPITAL GERAL JOINVILLE - JOINVILLE - SC - PRIVADO - 12.361.267/0042-61" u="1"/>
        <s v="VIVER CLINICA MEDICA LTDA - FLORIANOPOLIS - SC - PRIVADO - 04.670.913/0001-76" u="1"/>
        <s v="HOSPITAL AMPARO MATERNAL - SAO PAULO - SP - PRIVADO - 60.922.168/0043-35" u="1"/>
        <s v="FUNDO MUNICIPAL DE SAUDE DE TERESINA - TERESINA - PI - PUBLICO - 11.273.170/0001-66" u="1"/>
        <s v="SANTA HELENA ASSISTENCIA MEDICA S/A - SAO BERNARDO DO CAMPO - SP - PRIVADO - 43.293.604/0021-20" u="1"/>
        <s v="HOSPITAL DA RESTAURACAO - RECIFE - PE - PUBLICO - 10.572.048/0002-09" u="1"/>
        <s v="ONCO VIDA - BRASILIA - DF - PRIVADO - 01.682.668/0001-29" u="1"/>
        <s v="HOSPITAL ALIANCA - SALVADOR - BA - PRIVADO - 13.016.092/0001-40" u="1"/>
        <s v="CLINICA SAO MARCOS - SAO LUIS - MA - PRIVADO - 07.750.144/0001-04" u="1"/>
        <s v="HOSPITAL ALVORADA TAGUATINGA LTDA - SAO PAULO - SP - PRIVADO - 08.100.676/0024-55" u="1"/>
        <s v="HOSPITAL OESTE DOR - RIO DE JANEIRO - RJ - PRIVADO - 06.047.087/0033-16" u="1"/>
        <s v="ICIPE - BRASILIA - DF - PRIVADO - 10.942.995/0001-63" u="1"/>
        <s v="GENESIO A MENDES &amp; CIA LTDA - SÃO JOSÉ DOS PINHAIS - PR - 82.873.068/0007-35" u="1"/>
        <s v="ESHO EMPRESA DE SERVICOS HOSPITALARES S.A. - PRIVADO - 29.435.005/0082-94" u="1"/>
        <s v="HOSPITAL ALVORADA DE BRASILIA - BRASILIA - DF - PRIVADO - 29.435.005/0046-20" u="1"/>
        <s v="HOSPITAL SAO MARCOS - RECIFE - PE - PRIVADO - 02.284.062/0004-40" u="1"/>
        <s v="MARIA BEATRIZ DE SOUZA MOREIRA - RIO DE JANEIRO - RJ - PESSOA FISICA - 111.149.877-60" u="1"/>
        <s v="HOSPITAL MARIA AUXILIADORA - BRASILIA - DF - PRIVADO - 38.000.485/0001-96" u="1"/>
        <s v="HOSPITAL DE REABILITACAO DE ANOMALIAS CRANIOFACIAIS - BAURU - SP - PUBLICO - 63.025.530/0082-70" u="1"/>
        <s v="HOSPITAL PROFESSOR EDMUNDO VASCONCELOS - SAO PAULO - SP - PRIVADO - 61.062.212/0001-98" u="1"/>
        <s v="HOSPITAL SANTA LUZIA - BRASILIA - DF - PRIVADO - 06.047.087/0041-26" u="1"/>
        <s v="UNIMED GRANDE FLORIANOPOLIS - COOPERATIVA DE TRABALHO MEDICO - SAO JOSE - SC - PRIVADO - 77.858.611/0014-14" u="1"/>
        <s v="HOSPITAL BENEFICENTE SANTO ANTONIO - ORLANDIA - SP - PRIVADO - 53.311.999/0001-56" u="1"/>
        <s v="INSTITUTO DE HEMATOLOGIA E ONCOLOGIA CURITIBA - CURITIBA - PR - PRIVADO - 03.850.913/0001-95" u="1"/>
        <s v="UNIMED - SOROCABA - SP - PRIVADO - 45.399.961/0002-30" u="1"/>
        <s v="HOSPITAL BDW - PORTO ALEGRE - RS - PRIVADO - 26.947.257/0001-49" u="1"/>
        <s v="HOSPITAL SAO LUCAS DA PUCRS - PORTO ALEGRE - RS - PRIVADO - 88.630.413/0007-96" u="1"/>
        <s v="COOP CENTRO DE ONCOLOGIA DO OESTE DO PARANA - CASCAVEL - PR - PRIVADO - 17.864.888/0001-03" u="1"/>
        <s v="CASA DE SAUDE SANTA LUCIA - RIO DE JANEIRO - RJ - PRIVADO - 29.435.005/0052-79" u="1"/>
        <s v="SAHA SERVICOS MEDICOS E HOSPITALARES LTDA. - SAO PAULO - SP - PRIVADO - 07.045.325/0001-30" u="1"/>
        <s v="DEPARTAMENTO REGIONAL DE SAUDE DE PIRACICABA - DRS X - PIRACICABA - SP - PUBLICO - 46.374.500/0090-60" u="1"/>
        <s v="INSTITUTO MINEIRO ESPECIALIZADO EM GASTROENTEROLOGIA - BELO HORIZONTE - MG - PRIVADO - 01.444.455/0001-69" u="1"/>
        <s v="UNIMED SAO JOSE DOS CAMPOS - COOPERATIVA DE TRABALHO MEDICO - SAO JOSE DOS CAMPOS - SP - PRIVADO - 60.214.517/0009-62" u="1"/>
        <s v="HOSPITAL REGIONAL DO BAIXO AM DO PARA DR WALDEMAR PENNA - SANTAREM - PA - PRIVADO - 24.232.886/0083-03" u="1"/>
        <s v="FUNDACAO ARY FRAUZINO PARA PESQUISA E CONTROL DO CANCER - PRIVADO - 40.226.946/0002-76" u="1"/>
        <s v="GENESIO A MENDES &amp; CIA LTDA - SAO JOSE DOS PINHAIS - PA - PRIVADO - 82.873.068/0007-35" u="1"/>
        <s v="CIP - CENTRO DE INFUSOES PACAEMBU LTDA - SAO PAULO - SP - PRIVADO - 08.871.521/0001-26" u="1"/>
        <s v="ASSOCIACAO HOSPITALAR MOINHOS DE VENTO - PORTO ALEGRE - RS - PRIVADO - 92.685.833/0001-51" u="1"/>
        <s v="MATERNIDADE BRASILIA - BRASILIA - DF - PRIVADO - 60.884.855/0019-83" u="1"/>
        <s v="ESHO EMPRESA DE SERVICOS HOSPITALARES S.A - SAO PAULO - SP - PRIVADO - 29.435.005/0099-32" u="1"/>
        <s v="FUNDACAO DE SAUDE PUBLICA DE NOVO HAMBURGO - FSNH - NOVO HAMBURGO - RS - PUBLICO - 11.055.682/0001-56" u="1"/>
        <s v="ONCOCENTER SERVICOS MEDICOS LTDA. - SAO PAULO - SP - PRIVADO - 04.036.348/0001-90" u="1"/>
        <s v="C.T.O. - PETROPOLIS - RJ - PRIVADO - 30.638.381/0001-08" u="1"/>
        <s v="GLOBAL CARE ASSISTENCIA DOMICILIAR LTDA - SAO PAULO - SP - PRIVADO - 03.872.790/0001-93" u="1"/>
        <s v="SANTA CASA SAUDE - PRIVADO - 18.321.477/0001-34" u="1"/>
        <s v="HOSPITAL CENTRALDO EXERCITO - RIO DE JANEIRO - RJ - PUBLICO - 09.609.235/0002-30" u="1"/>
        <s v="HOSPITAL DE CLINICAS DA UFU - UBERLANDIA - MG - PUBLICO - 25.648.387/0002-07" u="1"/>
        <s v="CASA DE SAUDE E MATERNIDADE NOSSA SENHORA DE FATIMA S A - PATOS DE MINAS - MG - PRIVADO - 23.338.387/0001-96" u="1"/>
        <s v="HOSPITAL AMECOR - CUIABA - MT - PRIVADO - 03.925.419/0001-42" u="1"/>
        <s v="CEMED CARE - EMPRESA DE ATENDIMENTO CLINICO GERAL LTDA - RIO DE JANEIRO - RJ - PRIVADO - 07.794.623/0048-96" u="1"/>
        <s v="FES/BA - SALVADOR - BA - PUBLICO - 05.816.630/0001-52" u="1"/>
        <s v="SAMER HOSPITAL - RESENDE - RJ - PRIVADO - 29.072.642/0001-88" u="1"/>
        <s v="HOSPITAL SANTA CATARINA - SAO PAULO - SP - PRIVADO - 60.922.168/0007-71" u="1"/>
        <s v="HOSPITAL LEFORTE LTDA  - SAO PAULO  - SP - PRIVADO - 19.803.199/0001-14" u="1"/>
        <s v="PEDRO FLÁVIO - PESSOA FÍSICA - 123.710.092-53" u="1"/>
        <s v="UNIMED CUIABA DISTRIBUIDORA DE MEDICAMENTOS - CUIABA - MT - PRIVADO - 03.533.726/0007-73" u="1"/>
        <s v="HOSPITAL E MATERNIDADE MARIA AUXILIADORA - MARINGA - PR - PRIVADO - 79.115.762/0001-93" u="1"/>
        <s v="HOSPITAL SANTA HELENA - GOIANIA - GO - PRIVADO - 01.656.123/0001-48" u="1"/>
        <s v="DROGARIA MODERNA - RIO DE JANEIRO - RJ - PRIVADO - 04.779.685/0023-82" u="1"/>
        <s v="COORDENACAO DE ARMAZENAGEM E DISTRIBUICAO LOGISTICA - GUARULHOS - SP - PUBLICO - 00.394.544/0111-10" u="1"/>
        <s v="EBSERH HOSPITAL UNIVERSITARIO DE SAO LUIS - SAO LUIS - MA - PRIVADO - 15.126.437/0004-96" u="1"/>
        <s v="SARE DROGARIAS - SAO PAULO - SP - PRIVADO - 08.677.327/0001-04" u="1"/>
        <s v="HOSPITAL DO CORACAO DO BRASIL - BRASILIA - DF - PRIVADO - 06.047.087/0042-07" u="1"/>
        <s v="SR CARE ASSISTENCIA DOMICILIAR LTDA - PRIVADO - 20.812.223/0002-41" u="1"/>
        <s v="CDDS SERVICOS MEDICOS LTDA - NATAL - RN - PRIVADO - 13.262.578/0001-68" u="1"/>
        <s v="CENTRO MEDICO GABRIEL SOARES - ARACAJU - SE - PRIVADO - 12.361.267/0005-17" u="1"/>
        <s v="MARIA LEDA FEITOSA FARIAS - MARIA LEDA FEITOSA FARIAS - NOSSA SENHORA DA GLORIA - SE - PESSOA FISICA - 007.003.865-13" u="1"/>
        <s v="HCFAMEMA - PUBLICO - 24.082.016/0001-59" u="1"/>
        <s v="ONCOLOGIA REDE DOR S.A. - RIO DE JANEIRO - RJ - PRIVADO - 28.000.107/0001-59" u="1"/>
        <s v="INTEGRARE TERAPEUTICA - FORTALEZA - CE - PRIVADO - 12.568.570/0001-61" u="1"/>
        <s v="HOSPITAL GUARAS - SAO LUIS - MA - PRIVADO - 12.361.267/0007-89" u="1"/>
        <s v="HOSPITAL ADVENTISTA SILVESTRE - RIO DE JANEIRO - RJ - PRIVADO - 73.696.718/0002-19" u="1"/>
        <s v="PA SSA GABINETE DO SECRETARIO - BELEM - PA - PUBLICO - 05.054.929/0001-17" u="1"/>
        <s v="HOSPITAL DO CORACAO DE ALAGOAS - MACEIO - AL - PRIVADO - 01.454.407/0001-51" u="1"/>
        <s v="CLINICA CIRURGICA E ONCOLOGICA DA PENHA LTDA - RIO DE JANEIRO - RJ - PRIVADO - 22.400.856/0001-97" u="1"/>
        <s v="HOSPITAL RIOS DOR - RIO DE JANEIRO - RJ - PRIVADO - 29.259.736/0004-03" u="1"/>
        <s v="HOSPITAL PASTEUR - RIO DE JANEIRO - RJ - PRIVADO - 29.435.005/0057-83" u="1"/>
        <s v="CASA DE SAUDE E MATERNIDADE SAO RAIMUNDO SA - FORTALEZA - CE - PRIVADO - 07.245.269/0001-87" u="1"/>
        <s v="KR MEDICINA E DIAGNOSTICOS LTDA - PRIVADO - 08.000.609/0001-72" u="1"/>
        <s v="SANTA HELENA - BRASILIA - DF - PRIVADO - 00.049.791/0001-44" u="1"/>
        <s v="HOSPITAL DO CORACAO DE NATAL LTDA - NATAL - RN - PRIVADO - 00.820.737/0001-50" u="1"/>
        <s v="HOSPITAL ESPERANCA OLINDA - PE - PRIVADO - 06.047.087/0012-91" u="1"/>
        <s v="HOSPITAL SAO JOAQUIM - FRANCA - SP - PRIVADO - 50.486.026/0001-60" u="1"/>
        <s v="INTERMEDICA SISTEMA DE SAUDE S A - CAMPINAS - SP - PRIVADO - 44.649.812/0192-38" u="1"/>
        <s v="HOSPITAL SANTA CATARINA - BLUMENAU - SC - PRIVADO - 01.880.344/0001-03" u="1"/>
        <s v="UNIMED UBERABA COOPERATIVA DE TRABALHO MEDICO LTDA" u="1"/>
        <s v="CLIMES CLINICA MEDICA ESPECIALIZADA LTDA - RIO DE JANEIRO - RJ - PRIVADO - 40.320.103/0001-53" u="1"/>
        <s v="SANTA LUCIA - BRASILIA - DF - PRIVADO - 00.025.841/0001-53" u="1"/>
        <s v="NATAL HOSPITAL CENTER S.A. - NATAL - RN - PRIVADO - 02.109.397/0001-80" u="1"/>
        <s v="REDE PRIMAVERA - HOSPITAL PRIMAVERA - ARACAJU - SE - PRIVADO - 13.356.779/0001-24" u="1"/>
        <s v="HOSPITAL DE CIRURGIA - ARACAJU - SE - PRIVADO - 13.016.332/0001-06" u="1"/>
        <s v="UNIMED JUIZ DE FORA COOP DE TRABALHO MEDICO LTDA - JUIZ DE FORA - MG - PRIVADO - 17.689.407/0009-28" u="1"/>
        <s v="UNIMED DE BRUSQUE - BRUSQUE - SC - PRIVADO - 01.554.266/0001-49" u="1"/>
        <s v="DEPOSITO-ARMAZEM DE FORTALEZA - FORTALEZA - CE - PRIVADO - 05.874.946/0002-81" u="1"/>
        <s v="HOSPITAL ERNESTO DORNELLES - PORTO ALEGRE - RS - PRIVADO - 92.741.016/0002-54" u="1"/>
        <s v="P P LOPES SOUSA MEDICAMENTOS" u="1"/>
        <s v="HOSPITAL BALBINO - RIO DE JANEIRO - RJ - PRIVADO - 42.297.507/0001-07" u="1"/>
        <s v="REAL E BENEMERITA ASSOCIACAO PORTUGUESA DE BENEFICENCIA - SAO PAULO - SP - PRIVADO - 61.599.908/0001-58" u="1"/>
        <s v="HOSPITAL MATER DEI SA - BELO HORIZONTE - MG - PRIVADO - 16.676.520/0001-59" u="1"/>
        <s v="HOSPITAL COPA DOR STAR - PRIVADO - 06.047.087/0026-97" u="1"/>
        <s v="PETROBRAS - SENADOR CANEDO - GO - PRIVADO - 33.000.167/0021-55" u="1"/>
        <s v="INSTITUTO DE ONCOLOGIA KAPLAN - PORTO ALEGRE - RS - PRIVADO - 94.831.294/0001-47" u="1"/>
        <s v="CRETA - CENTRO REUMATOLOGICO DE TERAPIA AVANCADA LTDA - SAO PAULO - SP - PRIVADO - 10.468.341/0002-20" u="1"/>
        <s v="INSTITUTO ORTOPEDICO DE GOIANIA LTDA - GOIANIA - GO - PRIVADO - 01.570.589/0001-26" u="1"/>
        <s v="SERVICOS DE QUIMIOTERAPIA UNIMED BRUSQUE - BRUSQUE - SC - PRIVADO - 01.554.266/0003-00" u="1"/>
        <s v="CENTRO DE REFERENCIA DA SAUDE DA MULHER - MATER - RIBEIRAO PRETO - SP - PRIVADO - 57.722.118/0003-02" u="1"/>
        <s v="HOSPITAL PORTUGUES - RECIFE - PE - PRIVADO - 10.892.164/0001-24" u="1"/>
        <s v="HOSPITAL MARIO LIONI - DUQUE DE CAXIAS - RJ - PRIVADO - 29.435.005/0034-97" u="1"/>
        <s v="HOSPITAL SANTOS DUMONT - SAO JOSE DOS CAMPOS - SP - PRIVADO - 60.214.517/0016-91" u="1"/>
        <s v="SEPACO - SAO PAULO - SP - PRIVADO - 60.961.422/0001-55" u="1"/>
        <s v="HOSPITAL DAS CLINICAS DA FACULDADE DE MEDICINA DA U S P - SAO PAULO - SP - PUBLICO - 60.448.040/0001-22" u="1"/>
        <s v="HOSPITAL ALVORADA MOEMA - SAO PAULO - SP - PRIVADO - 08.100.676/0005-92" u="1"/>
        <s v="HOSPITAL DA CIDADE - SALVADOR - BA - PRIVADO - 03.376.102/0001-02" u="1"/>
        <s v="FUNDACAO UNIVERSITARIA DE CARDIOLOGIA - PORTO ALEGRE - RS - PRIVADO - 92.898.550/0001-98" u="1"/>
        <s v="FUNDARJ - RIO DE JANEIRO - RJ - 32.319.972/0001-30" u="1"/>
        <s v="PRONTO S.CARDIOLOGICO DE PE.PROF.LUIZ TAVARES-PROCAPE - RECIFE - PE - PUBLICO - 11.022.597/0015-97" u="1"/>
        <s v="HOSPITAL ANCHIETA LTDA - BRASILIA - DF - PRIVADO - 02.560.878/0001-07" u="1"/>
        <s v="UNIVERSIDADE ESTADUAL DE CAMPINAS - CAMPINAS - SP - PUBLICO - 46.068.425/0001-33" u="1"/>
        <s v="HOSPITAL PORTUGUES - SALVADOR - BA - PRIVADO - 15.166.416/0001-51" u="1"/>
        <s v="HSH - SANTO ANDRE - SP - PRIVADO - 06.033.403/0001-13" u="1"/>
        <s v="HOSPITAL GERAL DE BONSUCESSO/RJ - RIO DE JANEIRO - RJ - PUBLICO - 00.394.544/0202-91" u="1"/>
        <s v="INFUSIONAL TERAPIA IMUNOBIOLOGICA ASSISTIDA LTDA - LINHARES - ES - PRIVADO - 29.323.454/0001-85" u="1"/>
        <s v="VIP HOME CARE ATENDIMENTO DOMICILIAR LTDA - SAO PAULO - SP - PRIVADO - 09.087.150/0001-59" u="1"/>
        <s v="INSTITUTO DE ONCOLOGIA PEDIATRICA - IOP - SAO PAULO - SP - PRIVADO - 67.185.694/0001-50" u="1"/>
        <s v="CIAS UNIMED VITORIA - CENTRO INTEGRADO ATENCAO A SAUDE - VITORIA - ES - PRIVADO - 27.578.434/0015-25" u="1"/>
        <s v="GLN HOSPITALAR - VOLTA REDONDA - RJ - PRIVADO - 10.562.003/0001-72" u="1"/>
        <s v="HOSP.E MATERN. BENEFICENCIA PORTUGUESA DE SANTO ANDRE - SANTO ANDRE - SP - PRIVADO - 57.507.402/0001-02" u="1"/>
        <s v="URGIL - RIO DE JANEIRO - RJ - PRIVADO - 28.602.407/0001-08" u="1"/>
        <s v="CENTRO DE ESPECIALIDADES MEDICAS UNIMED FACIL - CUIABA - MT - PRIVADO - 03.533.726/0015-83" u="1"/>
        <s v="INSTITUTO ONCOLOGICO DE RIBEIRAO PRETO LTDA - RIBEIRAO PRETO - SP - PRIVADO - 57.723.280/0001-83" u="1"/>
        <s v="HOSPITAL DIVINA PROVIDENCIA - PORTO ALEGRE - RS - PRIVADO - 87.317.764/0010-84" u="1"/>
        <s v="UNIMED ARAGUARI - ARAGUARI - MG - PRIVADO - 20.909.271/0001-71" u="1"/>
        <s v="CLINICA MEDICA CROCE LTDA - SAO PAULO - SP - PRIVADO - 43.775.956/0001-78" u="1"/>
        <s v="HOSPITAL UNIMED - PRONTO ATENDIMENTO - POCOS DE CALDAS - MG - PRIVADO - 41.781.949/0002-34" u="1"/>
        <s v="GREEN LINE SISTEMA DE SAUDE S/A - SAO PAULO - SP - PRIVADO - 61.849.980/0010-87" u="1"/>
        <s v="SANTA JOANA - RECIFE - PE - PRIVADO - 10.839.561/0001-32" u="1"/>
        <s v="INGOH - INSTITUTO GOIANO DE ONCOLOGIA E HEMATOLOGIA - GOIANIA - GO - PRIVADO - 01.277.573/0001-20" u="1"/>
        <s v="HOSPITAL ALEMAO OSWALDO CRUZ - SAO PAULO - SP - PRIVADO - 60.726.502/0007-11" u="1"/>
        <s v="HOME HEALTH CARE DOCTOR SERVICOS MEDICOS DOMICILIARES S/S LTDA - SAO PAULO - SP - PRIVADO - 00.603.226/0001-87" u="1"/>
        <s v="HOSPITAL DAS CLINICAS PRIMAVERA - PRIMAVERA DO LESTE - MT - PRIVADO - 01.383.835/0001-30" u="1"/>
        <s v="MARCELO CESAR AVILA - FLORIANOPOLIS - SC - PESSOA FISICA - 480.639.839-04" u="1"/>
        <s v="HOSPITAL SANCTA MAGGIORE PARAISO - SAO PAULO - SP - PRIVADO - 00.461.479/0010-54" u="1"/>
        <s v="UNIMED-RIO EMPREENDIMENTOS MEDICOS E HOSPITALARES LTDA - RIO DE JANEIRO - RJ - PRIVADO - 09.219.138/0005-84" u="1"/>
        <s v="HOSPITAL SAO CAMILO - POMPEIA - SAO PAULO - SP - PRIVADO - 60.975.737/0002-32" u="1"/>
        <s v="ONCOMED CENTRO PREV E TRAT DE DOENCAS NEOPLASICAS LTDA" u="1"/>
        <s v="ALERGO LOGICA DIAGNOSTICO EM ALERGIA LTDA ME - PRIVADO - 10.447.300/0001-77" u="1"/>
        <s v="HCFMB - BOTUCATU - SP - PUBLICO - 12.474.705/0001-20" u="1"/>
        <s v="HOSPITAL SAO JOSE DO AVAI - ITAPERUNA - RJ - PRIVADO - 29.640.612/0001-20" u="1"/>
        <s v="GRUPO ACREDITAR - BRASILIA - DF - PRIVADO - 03.989.821/0001-90" u="1"/>
        <s v="UNIVERSIDADE FEDERAL DA BAHIA - SALVADOR - BA - PUBLICO - 15.180.714/0005-20" u="1"/>
        <s v="UNIMED DE PIRASSUNUNGA COOPERATIVA DE TRABALHO MEDICO - SP - SAO PAULO - 00.840.048/0004-50" u="1"/>
        <s v="HOSPITAL DE CLINICAS DE JACAREPAGUA LTDA - RIO DE JANEIRO - RJ - PRIVADO - 34.058.123/0001-03" u="1"/>
        <s v="CEOF - FLORIANOPOLIS - SC - PRIVADO - 01.125.832/0001-05" u="1"/>
        <s v="HOSPITAL UNIMED BLUMENAU - UNIDADE VILA NOVA - BLUMENAU - SC - PRIVADO - 82.624.776/0006-51" u="1"/>
        <s v="HOSPITAL MEMORIAL SAO JOSE - Recife - PE - PRIVADO - 06.047.087/0092-76" u="1"/>
        <s v="SAO FRANCISCO SISTEMAS DE SAUDE SOCIEDADE EMPRESARIA LIMITADA - ARARAQUARA - SP - PRIVADO - 01.613.433/0108-14" u="1"/>
        <s v="HOSPITAL SAO LUCAS - NOVA FRIBURGO - RJ - PRIVADO - 30.537.740/0001-22" u="1"/>
        <s v="HOSPITAL FEDERAL CARDOSO FONTES - RIO DE JANEIRO - RJ - PUBLICO - 00.394.544/0203-72" u="1"/>
        <s v="HOSPITAL DO CORACAO DE BALNEARIO CAMBORIU LTDA - BALNEARIO CAMBORIU - SC - PRIVADO - 01.517.626/0001-32" u="1"/>
        <s v="CLINICA DE DOENCAS RENAIS DE BRASILIA LTDA - PRIVADO - 01.602.408/0001-04" u="1"/>
        <s v="CENTRO INFUSIONAL E REFERENCIA MEDICA - FESP - SAO PAULO - SP - PRIVADO - 43.643.139/0004-09" u="1"/>
        <s v="UNIDADE HOSP GERAL E MATERNIDADE MADRE MARIA THEODORA  - CAMPINAS - SP - PRIVADO - 29.435.005/0084-56" u="1"/>
        <s v="CLINICA DE CAMPO GRANDE S/A - CAMPO GRANDE - MS - PRIVADO - 00.860.841/0001-79" u="1"/>
        <s v="HOSPITAL NOSSA SENHORA DA CONCEICAO SA - PORTO ALEGRE - RS - PRIVADO - 92.787.118/0001-20" u="1"/>
        <s v="HOSPITAL OTOCLINICA - FORTALEZA - CE - PRIVADO - 23.443.518/0001-03" u="1"/>
        <s v="FUNDO MUNICIPAL DE SAUDE DE RIO VERDE - GO - RIO VERDE - GO - PUBLICO - 06.190.522/0001-80" u="1"/>
        <s v="INSTITUTO DEVITA - CAXIAS DO SUL - RS - PRIVADO - 01.140.803/0001-04" u="1"/>
        <s v="UNIMED NATAL SOCIEDADE COOPERATIVA DE TRABALHO MEDICO - NATAL - RN - PRIVADO - 08.380.701/0017-72" u="1"/>
        <s v="BRASIF S/A ADMINISTRACAO E PARTICIPACOES - 21.109.731/0001-40" u="1"/>
        <s v="HOSPITAL DE CLINICAS - PORTO ALEGRE - RS - PRIVADO - 87.020.517/0001-20" u="1"/>
        <s v="PRONTO ATENDIMENTO UNIMED LONDRINA - PRIVADO - 75.222.224/0018-95" u="1"/>
        <s v="UNIMED SUL DO PARA - MARABA - PA - PRIVADO - 14.112.023/0001-00" u="1"/>
        <s v="BENEFICENCIA NIPO BRASILEIRA DA AMAZONIA - BELEM - PA - PRIVADO - 04.966.545/0003-70" u="1"/>
        <s v="PREFEITURA DE LINS - LINS - SP - PUBLICO - 44.531.788/0001-38" u="1"/>
        <s v="COMPLEXO HOSPITALAR JARDIM CUIABA - CUIABA - MT - PRIVADO - 01.757.351/0001-04" u="1"/>
        <s v="HOSPITAL SAO RAFAEL S.A - SALVADOR - BA - PRIVADO - 27.372.066/0001-69" u="1"/>
        <s v="PRONTO ATENDIMENTO JACAREI - JACAREI - SP - PRIVADO - 60.214.517/0011-87" u="1"/>
        <s v="CERUB - CENTRO REUMATOLOGICO DE UBERLNDIA" u="1"/>
        <s v="CLINICA PERINATAL VITORIA LTDA - SERRA - ES - PRIVADO - 01.396.804/0001-14" u="1"/>
        <s v="COORDENADORIA DE ASSISTENCIA FARMACEUTICA - PUBLICO - 46.374.500/0262-31" u="1"/>
        <s v="HOSPITAL UNIMED - SAO JOSE - SC - PRIVADO - 17.034.086/0001-76" u="1"/>
        <s v="EBSERH - COMPLEXO HOSPITALAR DO CEARA (HUWC E MEAC) - FORTALEZA - CE - PRIVADO - 15.126.437/0014-68" u="1"/>
        <s v="HOSPITAL NORTE DOR DE CASCADURA S.A - RIO DE JANEIRO - RJ - PRIVADO - 09.578.217/0001-58" u="1"/>
        <s v="HOSPITAL MARCELINO CHAMPAGNAT - CURITIBA - PR - PRIVADO - 76.659.820/0023-67" u="1"/>
        <s v="UNIMED CAMPINAS COOPERATIVA DE TRABALHO MEDICO - SUMARE - SP - PRIVADO - 46.124.624/0025-99" u="1"/>
        <s v="HOSPITAL INFANTE DOM HENRIQUE - SAO JOSE DO RIO PRETO - SP - PRIVADO - 59.972.307/0001-05" u="1"/>
        <s v="ALIANCA INSTITUTO DE ONCOLOGIA S.A." u="1"/>
        <s v="HOSPITAL VERA CRUZ S A - CAMPINAS - SP - PRIVADO - 46.009.718/0001-40" u="1"/>
        <s v="CEMED CARE EMPRESA DE ATENDIMENTO CLINICO GERAL LTDA - BRASILIA - DF - PRIVADO - 07.794.623/0051-91" u="1"/>
        <s v="HOSPITAL ACACIAS - SANTO ANDRE - SP - PRIVADO - 13.718.999/0010-41" u="1"/>
        <s v="GAMP - PRIVADO - 09.549.061/0002-68" u="1"/>
        <s v="MCO - SALVADOR - BA - PUBLICO - 15.180.714/0003-68" u="1"/>
        <s v="DEPOSITO-ARMAZEM SALVADOR/BA - SALVADOR - BA - PRIVADO - 12.361.267/0147-39" u="1"/>
        <s v="INSTITUTO NACIONAL DE CARDIOLOGIA - RIO DE JANEIRO - RJ - PUBLICO - 00.394.544/0213-44" u="1"/>
        <s v="HOSPITAL SAO LUCAS - MANAUS - AM - PRIVADO - 12.361.267/0116-32" u="1"/>
        <s v="HOSPITAL E MATERNIDADE SAO CRISTOVAO - SAO PAULO - SP - PRIVADO - 60.975.174/0003-63" u="1"/>
        <s v="INSTITUTO DO CANCER DE ANDRADINA - PRIVADO - 25.026.561/0001-90" u="1"/>
        <s v="HOSPITAL E MATERNIDADE CELSO PIERRO - CAMPINAS - SP - PRIVADO - 46.020.301/0002-69" u="1"/>
        <s v="HOSPITAL DO CANCER DE LONDRINA - LONDRINA - PR - PRIVADO - 78.633.088/0001-76" u="1"/>
        <s v="HOSPITAL ISRAELITA ALBERTEINSTEIN - SAO PAULO - SP - PRIVADO - 60.765.823/0001-30" u="1"/>
        <s v="HOSPITAL E MATERNIDADE SANTA JOANA S/A - SAO PAULO - SP - PRIVADO - 60.678.604/0001-13" u="1"/>
        <s v="HOSPITAL UNIMED - VOLTA REDONDA - RJ - PRIVADO - 35.917.970/0007-26" u="1"/>
        <s v="CETTRO - CENTRO DE CANCER DE BRASILIA - BRASILIA - DF - PRIVADO - 00.520.237/0001-01" u="1"/>
        <s v="HOSPITAIS INTEGRADOS DA GAVEA S/A - RIO DE JANEIRO - RJ - PRIVADO - 31.635.857/0002-92" u="1"/>
        <s v="HOSPITAL UNIVERSITARIO DA UFGD - DOURADOS - MS - PUBLICO - 07.775.847/0002-78" u="1"/>
        <s v="HOSPITAL SANTA CRUZ - SAO PAULO - SP - PRIVADO - 60.552.098/0001-11" u="1"/>
        <s v="HOSPITAL DA LAGOA/RJ - RIO DE JANEIRO - RJ - PUBLICO - 00.394.544/0204-53" u="1"/>
        <s v="CASA DE SAUDE E MATERNIDADE SANTA MARTHA SA - NITEROI - RJ - PRIVADO - 30.079.461/0001-62" u="1"/>
        <s v="HOSPITAL UNIVERSITARIO ANTONIO PEDRO - NITEROI - RJ - PUBLICO - 28.523.215/0003-78" u="1"/>
        <s v="HOSPITAL SAO CAMILO - IPIRANGA - SAO PAULO - SP - PRIVADO - 60.975.737/0051-10" u="1"/>
        <s v="INSTITUTO DE CANCER DE BRASILIA LTDA - BRASILIA - DF - PRIVADO - 11.859.927/0001-06" u="1"/>
        <s v="CORP - SAO JOSE DO RIO PRETO - SP - PRIVADO - 10.576.443/0001-89" u="1"/>
        <s v="EBSERH - HOSPITAL UNIVERSITARIO DE SANTA MARIA - SANTA MARIA - RS - PRIVADO - 15.126.437/0019-72" u="1"/>
        <s v="HOSPITAL CAXIAS DOR - DUQUE DE CAXIAS - RJ - PRIVADO - 06.047.087/0013-72" u="1"/>
        <s v="ASSOCIACAO BENEFICENTE SAMARITANO - HORTOLANDIA - SP - PRIVADO - 06.209.132/0001-04" u="1"/>
        <s v="PRONTO ATENDIMENTO UNIMED RONDONOPOLIS - RONDONOPOLIS - MT - PRIVADO - 24.676.884/0007-52" u="1"/>
        <s v="ONCOVIT DISTRIBUIDORA DE MEDICAMENTOS LTDA - VITORIA - ES - PRIVADO - 10.586.940/0001-68" u="1"/>
        <s v="CENTRO MEDICO UNIMED - TUBARAO - SC - PRIVADO - 85.241.339/0008-09" u="1"/>
        <s v="HOSPITAL UNIMED - NATAL - RN - PRIVADO - 08.380.701/0006-10" u="1"/>
        <s v="DEPARTAMENTO REGIONAL DE SAUDE - DRS II - ARACATUBA - ARACATUBA - SP - PUBLICO - 46.374.500/0038-86" u="1"/>
        <s v="INSTITUTO DE NEUROLOGIA - GOIANIA - GO - PRIVADO - 01.011.865/0001-16" u="1"/>
        <s v="HOSPITAL VIVALLE - SAO JOSE DOS CAMPOS - SP - PRIVADO - 06.047.087/0030-73" u="1"/>
        <s v="A.C.CAMARGO CANCER CENTER - SAO PAULO - SP - PRIVADO - 60.961.968/0001-06" u="1"/>
        <s v="HOSPITAL DR BADIM - RIO DE JANEIRO - RJ - PRIVADO - 27.901.222/0001-31" u="1"/>
      </sharedItems>
    </cacheField>
    <cacheField name="Cidade" numFmtId="0">
      <sharedItems/>
    </cacheField>
    <cacheField name="UF" numFmtId="0">
      <sharedItems/>
    </cacheField>
    <cacheField name="Status" numFmtId="0">
      <sharedItems/>
    </cacheField>
    <cacheField name="Qtd_REPS" numFmtId="0">
      <sharedItems containsSemiMixedTypes="0" containsString="0" containsNumber="1" containsInteger="1" minValue="0" maxValue="2"/>
    </cacheField>
    <cacheField name="Email-Representante" numFmtId="0">
      <sharedItems containsBlank="1" count="24">
        <s v="valeria.braga@cslbehring.com"/>
        <s v="lais.magalhaes@cslbehring.com"/>
        <s v="wladimir.campelo@cslbehring.com"/>
        <s v="kleber.silva@cslbehring.com"/>
        <s v="karen.rosa@cslbehring.com"/>
        <s v="iwens.silva@cslbehring.com"/>
        <s v="vago.ESP.NO@vago.com"/>
        <s v="lenilson.silva@cslbehring.com"/>
        <s v="michele.moraes@cslbehring.com"/>
        <s v="fernanda.bornhausen@cslbehring.com"/>
        <s v="eveline.goulart@cslbehring.com"/>
        <s v="romeu.soares@cslbehring.com"/>
        <s v="marcus.bastos@cslbehring.com"/>
        <s v="aline.fonseca@cslbehring.com"/>
        <s v="bruna.claro@cslbehring.com"/>
        <s v="artur.junior@cslbehring.com"/>
        <s v="janaina.palmiro@cslbehring.com"/>
        <s v="antonio.tunes@cslbehring.com"/>
        <s v="vago.ESP.SPC@vago.com"/>
        <s v="tathiana.ponce@cslbehring.com"/>
        <s v="nelson.martins@cslbehring.com"/>
        <s v="orfao@vago"/>
        <m/>
        <s v="vago.HSP.NO@vago.com" u="1"/>
      </sharedItems>
    </cacheField>
    <cacheField name="Representante" numFmtId="0">
      <sharedItems containsBlank="1" count="23">
        <s v="VALERIA BRAGA - ESP - (CE/MA/PI/BA/AL/SE/PB/PE/RN)"/>
        <s v="LAIS MAGALHAES - HSP - BA/AL/SE"/>
        <s v="WLADIMIR CAMPELO - ESP/HSP - AC/AM/AP/PA/RO/RR/DF"/>
        <s v="KLEBER SILVA - HSP - CE/MA/PI"/>
        <s v="KAREN ROSA - HSP - DF/GO/MS/MT/TO"/>
        <s v="IWENS SILVA - HSP - MG/ES"/>
        <s v="XXX-ESP-VAGO NO (DF/GO/MS/MT/TO)"/>
        <s v="LENILSON SILVA - HSP - PB/PE/RN"/>
        <s v="MICHELE MORAES - ESP - PR/SC/RS"/>
        <s v="FERNANDA BORNHAUSEN - HSP - SC/PR"/>
        <s v="EVELINE GOULART - ESP - RJ"/>
        <s v="ROMEU SOARES - HSP - RJ"/>
        <s v="MARCUS BASTOS - HSP - RJ"/>
        <s v="ALINE FONSECA - HSP - RS"/>
        <s v="BRUNA CLARO - ESP - SPI"/>
        <s v="ARTUR JUNIOR - HSP - SPI"/>
        <s v="JANAINA PALMIRO - ESP - SPC"/>
        <s v="ANTONIO TUNES - HSP - SPC"/>
        <s v="XXX-ESP-VAGO SPC"/>
        <s v="TATHIANA PONCE - HSP - SPC"/>
        <s v="NELSON MARTINS - HSP - SPC"/>
        <s v="(# ORFÃO)"/>
        <m/>
      </sharedItems>
    </cacheField>
    <cacheField name="Equipe" numFmtId="0">
      <sharedItems containsBlank="1"/>
    </cacheField>
    <cacheField name="#FK-Email-Gerente" numFmtId="0">
      <sharedItems containsBlank="1"/>
    </cacheField>
    <cacheField name="Gerente" numFmtId="0">
      <sharedItems containsBlank="1"/>
    </cacheField>
    <cacheField name="Demanda.BERINERT" numFmtId="0">
      <sharedItems containsSemiMixedTypes="0" containsString="0" containsNumber="1" containsInteger="1" minValue="0" maxValue="326"/>
    </cacheField>
    <cacheField name="Demanda.BERIPLEX" numFmtId="0">
      <sharedItems containsSemiMixedTypes="0" containsString="0" containsNumber="1" containsInteger="1" minValue="-2" maxValue="800"/>
    </cacheField>
    <cacheField name="Demanda.HAEMO" numFmtId="0">
      <sharedItems containsSemiMixedTypes="0" containsString="0" containsNumber="1" containsInteger="1" minValue="0" maxValue="1050"/>
    </cacheField>
    <cacheField name="Demanda.HIZENTRA" numFmtId="0">
      <sharedItems containsSemiMixedTypes="0" containsString="0" containsNumber="1" containsInteger="1" minValue="0" maxValue="530"/>
    </cacheField>
    <cacheField name="Demanda.PRIVIGEN" numFmtId="0">
      <sharedItems containsSemiMixedTypes="0" containsString="0" containsNumber="1" containsInteger="1" minValue="-15" maxValue="20285"/>
    </cacheField>
  </cacheFields>
  <extLst>
    <ext xmlns:x14="http://schemas.microsoft.com/office/spreadsheetml/2009/9/main" uri="{725AE2AE-9491-48be-B2B4-4EB974FC3084}">
      <x14:pivotCacheDefinition pivotCacheId="180537601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domiro Barbosa" refreshedDate="43866.615293055555" createdVersion="6" refreshedVersion="6" minRefreshableVersion="3" recordCount="3135" xr:uid="{83A54CD7-E967-4F00-926C-5941CF6AB1F1}">
  <cacheSource type="worksheet">
    <worksheetSource name="VIEW_IV_2019_DEMANDA_SETORIZADA_GR"/>
  </cacheSource>
  <cacheFields count="13">
    <cacheField name="Ano-Fiscal" numFmtId="0">
      <sharedItems count="1">
        <s v="2019/2020"/>
      </sharedItems>
    </cacheField>
    <cacheField name="Mes-Fiscal" numFmtId="0">
      <sharedItems count="7">
        <s v="01-Jul"/>
        <s v="02-Ago"/>
        <s v="03-Set"/>
        <s v="04-Out"/>
        <s v="05-Nov"/>
        <s v="06-Dez"/>
        <s v="07-Jan"/>
      </sharedItems>
    </cacheField>
    <cacheField name="Tri-Fiscal" numFmtId="0">
      <sharedItems count="3">
        <s v="01-Tri"/>
        <s v="02-Tri"/>
        <s v="03-Tri"/>
      </sharedItems>
    </cacheField>
    <cacheField name="CNPJ" numFmtId="1">
      <sharedItems containsSemiMixedTypes="0" containsString="0" containsNumber="1" containsInteger="1" minValue="320465020" maxValue="97397848000138"/>
    </cacheField>
    <cacheField name="Estabelecimento" numFmtId="0">
      <sharedItems count="1305">
        <s v="INSTITUTO DE ONCOLOGIA PREVENT SENIOR - SÃO PAULO - SP - 00.461.479/0045-84"/>
        <s v="CENTRAL CLINIC - SÃO PAULO - SP - 02.383.508/0004-94"/>
        <s v="ONCOCENTER SERVICOS MEDICOS LTDA. - SÃO PAULO - SP - 04.036.348/0001-90"/>
        <s v="INSTITUTO DE IMUNOLOGIA E ONCOLOGIA S/S LTDA - SÃO PAULO - SP - 05.831.510/0001-24"/>
        <s v="SAHA SERVICOS MEDICOS E HOSPITALARES LTDA. - SÃO PAULO - SP - 07.045.325/0001-30"/>
        <s v="HOSPITAL ALVORADA MOEMA - SÃO PAULO - SP - 08.100.676/0005-92"/>
        <s v="H. METROPOLITANO - UNIDADE BUTANTA - SÃO PAULO - SP - 08.100.676/0008-35"/>
        <s v="HOSPITAL ALVORADA TAGUATINGA LTDA - SÃO PAULO - SP - 08.100.676/0024-55"/>
        <s v="CIP - CENTRO DE INFUSOES PACAEMBU LTDA - SÃO PAULO - SP - 08.871.521/0001-26"/>
        <s v="CRETA - CENTRO REUMATOLOGICO DE TERAPIA AVANCADA LTDA. - ME - SÃO PAULO - SP - 10.468.341/0001-40"/>
        <s v="CRETA - CENTRO REUMATOLOGICO DE TERAPIA AVANCADA LTDA - SÃO PAULO - SP - 10.468.341/0002-20"/>
        <s v="HEMOMED - SÃO PAULO - SP - 10.475.230/0001-60"/>
        <s v="SOCIEDADE BENEFICENTE DE PRESIDENTE BERNARDES - SÃO PAULO - SP - 19.803.199/0001-14"/>
        <s v="HOSPITAL BANDEIRANTES LTDA  - SÃO PAULO - SP - 21.371.777/0001-32"/>
        <s v="HOSPITAL PAULISTANO - SÃO PAULO - SP - 29.435.005/0026-87"/>
        <s v="HOSPITAL E MATERNIDADE VITORIA - SÃO PAULO - SP - 29.435.005/0045-40"/>
        <s v="ESHO EMPRESA DE SERVICOS HOSPITALARES S.A - SÃO PAULO - SP - 29.435.005/0099-32"/>
        <s v="CENTRO INFUSIONAL E REFERENCIA MEDICA - FESP - SÃO PAULO - SP - 43.643.139/0004-09"/>
        <s v="INTERMEDICA SISTEMA DE SAUDE - SÃO PAULO - SP - 44.649.812/0055-20"/>
        <s v="AMICO SAUDE LTDA - SÃO PAULO - SP - 51.722.957/0102-26"/>
        <s v="HOSPITAL E MATERNIDADE METROPOLITANO - SÃO PAULO - SP - 51.722.957/0125-12"/>
        <s v="UNIDADE DE ONCOLOGIA CLINICA E PEDIATRICA LTDA. - EPP - SÃO PAULO - SP - 57.394.710/0001-60"/>
        <s v="CLINICA DE ONCOLOGIA MEDICA SOCIEDADE SIMPLES LTDA - SÃO PAULO - SP - 59.481.028/0001-30"/>
        <s v="HOSPITAL SANTA CRUZ - SÃO PAULO - SP - 60.552.098/0001-11"/>
        <s v="HOSPITAL ALEMAO OSWALDO CRUZ - SÃO PAULO - SP - 60.726.502/0001-26"/>
        <s v="HOSPITAL SANTA PAULA LTDA - SÃO PAULO - SP - 60.777.901/0001-16"/>
        <s v="HOSPITAL 9 DE JULHO - SÃO PAULO - SP - 60.884.855/0003-16"/>
        <s v="HOSPITAL SANTA CATARINA - SÃO PAULO - SP - 60.922.168/0007-71"/>
        <s v="HOSPITAL AMPARO MATERNAL - SÃO PAULO - SP - 60.922.168/0043-35"/>
        <s v="SEPACO - SÃO PAULO - SP - 60.961.422/0001-55"/>
        <s v="A.C.CAMARGO CANCER CENTER - SÃO PAULO - SP - 60.961.968/0001-06"/>
        <s v="HOSPITAL E MATERNIDADE SAO CRISTOVAO - SÃO PAULO - SP - 60.975.174/0003-63"/>
        <s v="HOSPITAL INFANTIL SABARA - SÃO PAULO - SP - 61.213.674/0002-40"/>
        <s v="SOC BENEFICIENTE DE SENHORAS HOSPITAL SIRIO LIBANES - SÃO PAULO - SP - 61.590.410/0001-24"/>
        <s v="GREEN LINE SISTEMA DE SAUDE S/A - SÃO PAULO - SP - 61.849.980/0010-87"/>
        <s v="COORDENADORIA DE ASSISTENCIA FARMACEUTICA - SÃO PAULO - SP - 46.374.500/0262-31"/>
        <s v="AMICO SAUDE LTDA - SÃO PAULO - SP - 51.722.957/0005-06"/>
        <s v="CONJUNTO HOSPITALAR DO MANDAQUI - SÃO PAULO - SP - 46.374.500/0088-45"/>
        <s v="HOSPITAL GERAL DE VILA NOVA CACHOEIRINHA - SÃO PAULO - SP - 46.374.500/0108-23"/>
        <s v="FUNDACAO FACULDADE DE MEDICINA - SÃO PAULO - SP - 56.577.059/0001-00"/>
        <s v="HOSPITAL E MATERNIDADE SANTA JOANA S/A - SÃO PAULO - SP - 60.678.604/0001-13"/>
        <s v="ONCOEXPRESS - SÃO PAULO - SP - 22.227.973/0001-09"/>
        <s v="CLINICA MEDICA CROCE LTDA - SÃO PAULO - SP - 43.775.956/0001-78"/>
        <s v="HOSPITAL SANCTA MAGGIORE PINHEIROS - SÃO PAULO - SP - 00.461.479/0041-50"/>
        <s v="PRONTO ATENDIMENTO SANCTA MAGGIORE JARDIM PAULISTA - SÃO PAULO - SP - 00.461.479/0051-22"/>
        <s v="AUTARQUIA HOSPITALAR MUNICIPAL - SÃO PAULO - SP - 04.995.603/0001-21"/>
        <s v="HOSPITAL ALVORADA SANTO AMARO - SÃO PAULO - SP - 08.100.676/0006-73"/>
        <s v="ONCO CANE VETERINARIA LTDA - SAO PAULO - SP - PRIVADO - 15.217.814/0001-50"/>
        <s v="UNIMED CAMPINAS COOPERATIVA DE TRABALHO MEDICO - SÃO PAULO - SP - 46.124.624/0026-70"/>
        <s v="HOSPITAL ISRAELITA ALBERTEINSTEIN - SÃO PAULO - SP - 60.765.823/0001-30"/>
        <s v="AACD - SÃO PAULO - SP - 60.979.457/0001-11"/>
        <s v="HOSPITAL SANCTA MAGGIORE PARAISO - SÃO PAULO - SP - 00.461.479/0010-54"/>
        <s v="HOSPITAL INGLES LTDA. - EPP - SÃO PAULO - SP - 08.604.105/0001-61"/>
        <s v="SARE DROGARIAS - SÃO PAULO - SP - 08.677.327/0001-04"/>
        <s v="HOSPITAL SANTA MARCELINA - SÃO PAULO - SP - 60.742.616/0001-60"/>
        <s v="HOSPITAL GERAL DE PEDREIRA - SÃO PAULO - SP - 61.699.567/0062-04"/>
        <s v="IRMANDADE DA SANTA CASA DE MISERICORDIA DE SAO PAULO - SÃO PAULO - SP - 62.779.145/0001-90"/>
        <s v="FARMACIA ONCO STAR - SÃO PAULO - SP - 28.290.788/0003-07"/>
        <s v="CENTRO DE HEMATOLOGIA DE SAO PAULO - SÃO PAULO - SP - 45.876.208/0001-07"/>
        <s v="ORGANIZACAO SOCIAL DE SAUDE SANTA MARCELINA - SÃO PAULO - SP - 60.742.616/0006-74"/>
        <s v="HOSPITAL A.C.CAMARGO - TAMANDARE - SÃO PAULO - SP - 60.961.968/0004-59"/>
        <s v="JEAN STANISLAS MARIE BRUNET-LECOMTE - SÃO PAULO - SP - 239.415.938-38"/>
        <s v="HOSPITAL SANCTA MAGGIORE ITAIM - SÃO PAULO - SP - 00.461.479/0019-92"/>
        <s v="PRONEP SAO PAULO - SÃO PAULO - SP - 02.837.922/0001-83"/>
        <s v="GLOBAL CARE ASSISTENCIA DOMICILIAR LTDA - SÃO PAULO - SP - 03.872.790/0001-93"/>
        <s v="HOSP SAO LUIZ ANALIA FRANCO (REDE DOR) - SÃO PAULO - SP - 06.047.087/0001-39"/>
        <s v="SAO LUIZ UNIDADE ITAIM (REDE DOR) - SÃO PAULO - SP - 06.047.087/0002-10"/>
        <s v="HOSPITAL SAO LUIZ JABAQUARA (REDE DOR) - SÃO PAULO - SP - 06.047.087/0038-20"/>
        <s v="HOME LIFE ASSISTENCIA DOMICILIAR EM SAUDE - SÃO PAULO - SP - 08.438.844/0003-92"/>
        <s v="PEDIATRICS HOME CARE - INTERNACAO MEDICA DOMICILIAR LTDA - SÃO PAULO - SP - 10.211.939/0002-30"/>
        <s v="EV CITI - SÃO PAULO - SP - 10.323.381/0001-01"/>
        <s v="NOVO SANTO EXPEDITO - SÃO PAULO - SP - 13.718.999/0001-50"/>
        <s v="ASSOCIACAO HOSPITALAR FILHAS DE NOSSA SENHORA DO MONTE CALVARIO - SÃO PAULO - SP - 18.180.008/0001-42"/>
        <s v="SR CARE ASSISTENCIA DOMICILIAR LTDA - SÃO PAULO - SP - 20.812.223/0002-41"/>
        <s v="HOSPITAL VILA NOVA STAR - SÃO PAULO - SP - 28.290.788/0001-37"/>
        <s v="INSTITUTO DO CANCER DO ESTADO DE SAO PAULO - SÃO PAULO - SP - 56.577.059/0006-06"/>
        <s v="HOSPITAL DAS CLINICAS DA FACULDADE DE MEDICINA DA U S P - SÃO PAULO - SP - 60.448.040/0001-22"/>
        <s v="HOSPITAL DO CORACAO - SÃO PAULO - SP - 60.453.024/0003-90"/>
        <s v="HOSPITAL ALEMAO OSWALDO CRUZ - SÃO PAULO - SP - 60.726.502/0007-11"/>
        <s v="HOSPITAL MORIAH - SÃO PAULO - SP - 19.056.055/0001-41"/>
        <s v="HOSPITAL SAO CAMILO - SANTANA - SÃO PAULO - SP - 60.975.737/0012-04"/>
        <s v="REAL E BENEMERITA ASSOCIACAO PORTUGUESA DE BENEFICENCIA - SÃO PAULO - SP - 61.599.908/0001-58"/>
        <s v="HOSPITAL E MATERNIDADE SANTA MARIA - SÃO PAULO - SP - 62.106.505/0001-92"/>
        <s v="HOSPITAL SAO CAMILO - POMPEIA - SÃO PAULO - SP - 60.975.737/0002-32"/>
        <s v="HOSPITAL SAO CAMILO - IPIRANGA - SÃO PAULO - SP - 60.975.737/0051-10"/>
        <s v="INSTITUTO DE ONCOLOGIA PEDIATRICA - IOP - SÃO PAULO - SP - 67.185.694/0001-50"/>
        <s v="BENEFICENCIA NIPO BRASILEIRA DE SAO PAULO - SÃO PAULO - SP - 60.992.427/0006-50"/>
        <s v="HOSPITAL PROFESSOR EDMUNDO VASCONCELOS - SÃO PAULO - SP - 61.062.212/0001-98"/>
        <s v="HOSPITAL AVICCENA S/A - SÃO PAULO - SP - 72.775.745/0001-33"/>
        <s v="HOME HEALTH CARE DOCTOR SERVICOS MEDICOS DOMICILIARES S/S LTDA - SÃO PAULO - SP - 00.603.226/0001-87"/>
        <s v="VIP HOME CARE ATENDIMENTO DOMICILIAR LTDA - SÃO PAULO - SP - 09.087.150/0001-59"/>
        <s v="INSTITUTO DANTE PAZZANESE DE CARDIOLOGIA - SÃO PAULO - SP - 46.374.500/0009-41"/>
        <s v="HOSPITAL SANCTA MAGGIORE HIGIENOPOLIS - SÃO PAULO - SP - 00.461.479/0071-76"/>
        <s v="HOSPITAL SANTA CLARA - SÃO PAULO - SP - 20.973.216/0001-40"/>
        <s v="NOTRE DAME INTERMEDICA SAUDE S.A.  - SÃO PAULO - SP - 44.649.812/0212-16"/>
        <s v="HGESP - SÃO PAULO - SP - 09.591.608/0002-93"/>
        <s v="HOSPITAL ADVENTISTA DE SAO PAULO - SÃO PAULO - SP - 43.586.122/0009-71"/>
        <s v="HOSPITAL INFANTIL DARCY VARGAS - SÃO PAULO - SP - 46.374.500/0118-03"/>
        <s v="O.S.S. SANTA MARCELINA HOSPITAL CIDADE TIRADENTES - SÃO PAULO - SP - 60.742.616/0013-01"/>
        <s v="FLEURY MEDICINA E SAUDE - SÃO PAULO - SP - 60.840.055/0001-31"/>
        <s v="CLINICA INFANTIL DO IPIRANGA/HOSPITAL DOM ANTONIO DE AL - SÃO PAULO - SP - 60.975.976/0001-01"/>
        <s v="NUCLEO DE MEDICINA AVANCADA PREVENT SENIOR - SANTOS - SANTOS - SP - 00.461.479/0072-57"/>
        <s v="CENTRO ONCOLOGICO DO VALE LTDA - TAUBATE - SP - PRIVADO - 00.745.887/0005-70"/>
        <s v="MONTELEONE MEDICOS ASSOCIADOS EIRELI - SAO PAULO - SP - PRIVADO - 02.639.768/0001-35"/>
        <s v="CITAC - CENTRO INTEGRADO DE TRATAMENTO AMBULATORIAL DO CANCER LTDA. - SANTOS - SP - PRIVADO - 03.117.525/0001-08"/>
        <s v="SAFELAB - SÃO BERNARDO DO CAMPO - SP - 04.708.424/0001-66"/>
        <s v="NOVA MEDICAMENTOS ESPECIAIS - VINHEDO - SP - PRIVADO - 33.215.770/0001-00"/>
        <s v="HOSPITAL MUNICIPAL DR MARIO GATTI - CAMPINAS - SP - 47.018.676/0001-76"/>
        <s v="SOBAM CENTRO MEDICO HOSPITALAR LTDA - JUNDIAÍ - SP - 50.739.135/0017-09"/>
        <s v="HOSPITAL E MATERNIDADE UNIMED DE ORS COOP.DE TRABALHO - OURINHOS - SP - 51.427.540/0003-59"/>
        <s v="FUNDACAO MATERNIDADE SINHA JUNQUEIRA - RIBEIRÃO PRETO - SP - 56.014.830/0001-22"/>
        <s v="DROGA ANCHIETA - CAMPINAS - SP - 58.597.774/0001-21"/>
        <s v="HOSPITAL SAO JOSE - SÃO JOSÉ DOS CAMPOS - SP - 60.190.550/0001-42"/>
        <s v="CHS - CONJUNTO HOSPITALAR DE SOROCABA - SOROCABA - SP - 61.687.356/0043-99"/>
        <s v="ATIVIA SERVICOS DE SAUDE S/A - JACAREI - SP - PRIVADO - 69.289.171/0001-89"/>
        <s v="HSH - SANTO ANDRÉ - SP - 06.033.403/0001-13"/>
        <s v="HOSPITAL VIVALLE (REDE DOR) - SÃO JOSÉ DOS CAMPOS - SP - 06.047.087/0030-73"/>
        <s v="HOSPITAL SINO BRASILEIRO (REDE DOR) - OSASCO - SP - 06.047.087/0076-56"/>
        <s v="HOSPITAL BARTIRA (REDE DOR) - SANTO ANDRÉ - SP - 06.047.087/0079-07"/>
        <s v="HOSPITAL UNIMED - BAURU - SP - 44.456.036/0003-11"/>
        <s v="CASA DE SAUDE SANTA HELENA - SÃO JOSÉ DO RIO PRETO - SP - 59.970.947/0001-78"/>
        <s v="HOSPITAL INFANTE DOM HENRIQUE - SÃO JOSÉ DO RIO PRETO - SP - 59.972.307/0001-05"/>
        <s v="HOSPITAL DE BASE - SÃO JOSÉ DO RIO PRETO - SP - 60.003.761/0001-29"/>
        <s v="ASSOCIACAO HOSPITALAR CASA DE SAUDE DE SANTOS - SANTOS - SP - 18.290.268/0001-70"/>
        <s v="HOSPITAL VERA CRUZ S A - CAMPINAS - SP - 46.009.718/0001-40"/>
        <s v="UNIVERSIDADE ESTADUAL DE CAMPINAS - CAMPINAS - SP - 46.068.425/0001-33"/>
        <s v="DEPARTAMENTO REGIONAL DE SAUDE - DRS II - ARACATUBA - ARAÇATUBA - SP - 46.374.500/0038-86"/>
        <s v="CENTRO MEDICO RIO PRETO LTDA - SÃO JOSÉ DO RIO PRETO - SP - 48.310.098/0001-00"/>
        <s v="HOSPITAL E MATERNIDADE BRASIL (REDE DOR) - SANTO ANDRÉ - SP - 06.047.087/0007-24"/>
        <s v="HOSPITAL PAULO SACRAMENTO - JUNDIAÍ - SP - 44.649.812/0016-14"/>
        <s v="UNIMED HOSPITAL SAO DOMINGOS - CATANDUVA - SP - 45.118.429/0012-79"/>
        <s v="HOSPITAL E MATERNIDADE CELSO PIERRO - CAMPINAS - SP - 46.020.301/0002-69"/>
        <s v="HOSPITAL 10 JULHO - PINDAMONHANGABA - SP - 47.565.155/0009-96"/>
        <s v="HOSPITAL DE CARIDADE SAO VICENTE DE PAULO - JUNDIAÍ - SP - 50.944.198/0001-30"/>
        <s v="HOSPITAL BENEFICENTE SANTO ANTONIO - ORLÂNDIA - SP - 53.311.999/0001-56"/>
        <s v="KR MEDICINA E DIAGNOSTICOS LTDA - FRANCO DA ROCHA - SP - 08.000.609/0001-72"/>
        <s v="HOSPITAL POLICLIN - SÃO JOSÉ DOS CAMPOS - SP - 45.184.066/0001-17"/>
        <s v="UNIMED DE RIBEIRAO PRETO COOPERATIVA DE TRABALHO MEDICO - RIBEIRÃO PRETO - SP - 45.232.246/0005-50"/>
        <s v="HOSPITAL SANTOS DUMONT - SÃO JOSÉ DOS CAMPOS - SP - 60.214.517/0016-91"/>
        <s v="FUNDACAO PIO XII - BARRETOS - SP - 49.150.352/0002-01"/>
        <s v="HOSPITAL UNIMED - UNIDADE ANCHIETA - JUNDIAÍ - SP - 56.727.134/0012-16"/>
        <s v="HOME CARE CENE - SÃO JOSÉ DO RIO PRETO - SP - 02.643.405/0001-73"/>
        <s v="ALBERT SABIN HOSPITAL E MATERNIDADE - ATIBAIA - SP - 04.275.687/0001-29"/>
        <s v="ALERGO LOGICA DIAGNOSTICO EM ALERGIA LTDA ME - CAMPINAS - SP - 10.447.300/0001-77"/>
        <s v="HOSPITAL ACACIAS - SANTO ANDRÉ - SP - 13.718.999/0010-41"/>
        <s v="SANTA CASA SAUDE - SÃO JOSÉ DOS CAMPOS - SP - 18.321.477/0001-34"/>
        <s v="PREFEITURA DE LINS - LINS - SP - 44.531.788/0001-38"/>
        <s v="INTERMEDICA SISTEMA DE SAUDE S A - CAMPINAS - SP - 44.649.812/0192-38"/>
        <s v="HOSPITAL E MATERNIDADE UNIMED - RIO CLARO - SP - 44.663.631/0005-90"/>
        <s v="UNIMED DE PIRACICABA SOC COOP DE SERVICOS MEDICOS - PIRACICABA - SP - 44.803.922/0002-93"/>
        <s v="HOSPITAL UNIMED SAO CARLOS - SÃO CARLOS - SP - 45.359.213/0005-76"/>
        <s v="UNIMED CAMPINAS COOPERATIVA DE TRABALHO MEDICO - CAMPINAS - SP - 46.124.624/0001-11"/>
        <s v="UNIMED CAMPINAS COOPERATIVA DE TRABALHO MEDICO - SUMARÉ - SP - 46.124.624/0025-99"/>
        <s v="HOSPITAL PADRE ALBINO - CATANDUVA - SP - 47.074.851/0008-19"/>
        <s v="PREFEITURA MUNICIPAL DE CAMPINAS - CAMPINAS - SP - 51.885.242/0001-40"/>
        <s v="HOSPITAL SAO LUCAS - RIBEIRÃO PRETO - SP - 55.980.148/0001-21"/>
        <s v="UNIMED DE SANTOS COOPERATIVA DE TRABALHO MEDICO - SANTOS - SP - 58.229.691/0010-70"/>
        <s v="HOSP.E MATERN. BENEFICENCIA PORTUGUESA DE SANTO ANDRE - SANTO ANDRÉ - SP - 57.507.402/0001-02"/>
        <s v="CENTRO DE REFERENCIA DA SAUDE DA MULHER - MATER - RIBEIRÃO PRETO - SP - 57.722.118/0003-02"/>
        <s v="DA MATTA AIN CLINICA DE VACINA LTDA - TAUBATÉ - SP - 29.929.600/0001-10"/>
        <s v="HCRP - RIBEIRÃO PRETO - SP - 56.023.443/0001-52"/>
        <s v="UNIMED DE PIRASSUNUNGA COOPERATIVA DE TRABALHO MEDICO - PIRASSUNUNGA - SP - 00.840.048/0004-50"/>
        <s v="HOSPITAL SAO FRANCISCO DE RIBEIRAO PRETO SP - RIBEIRÃO PRETO - SP - 01.613.433/0068-92"/>
        <s v="ASSOCIACAO BENEFICENTE SAMARITANO - HORTOLÂNDIA - SP - 06.209.132/0001-04"/>
        <s v="INSTITUTO DO CANCER DE ANDRADINA - ANDRADINA - SP - 25.026.561/0001-90"/>
        <s v="CORP - SÃO JOSÉ DO RIO PRETO - SP - 10.576.443/0001-89"/>
        <s v="BIO IMUNE - CENTRO DE APLICACOES E VACINAS  CONSULTORIA E PROCEDIMENTOS MEDICOS LTDA - ME - SANTOS - SP - 10.868.295/0001-76"/>
        <s v="(UNIDADE HOSPITAL VITORIA SANTOS) - SANTOS - SP - 29.435.005/0080-22"/>
        <s v="ESHO EMPRESA DE SERVICOS HOSPITALARES S.A. - GUARULHOS - SP - 29.435.005/0082-94"/>
        <s v="UNIDADE HOSP GERAL E MATERNIDADE MADRE MARIA THEODORA - CAMPINAS - SP - 29.435.005/0084-56"/>
        <s v="SANTA HELENA ASSISTENCIA MEDICA S/A - SÃO BERNARDO DO CAMPO - SP - 43.293.604/0021-20"/>
        <s v="UNIMED - SOROCABA - SP - 45.399.961/0002-30"/>
        <s v="JUNDIAI GABINETE PREFEITO - JUNDIAÍ - SP - 45.780.103/0001-50"/>
        <s v="DEPARTAM. REGIONAL DE SAUDE DE RIB. PRETO - DRS XIII - RIBEIRÃO PRETO - SP - 46.374.500/0035-33"/>
        <s v="PREFEITURA MUNICIPAL DE GUARARAPES - GUARARAPES - SP - 48.468.284/0001-71"/>
        <s v="HOSPITAL SAO JOAQUIM - FRANCA - SP - 50.486.026/0001-60"/>
        <s v="INSTITUTO DO RADIUM - CAMPINAS - SP - 51.877.926/0001-09"/>
        <s v="JHOSPITAL UNIMED DE ARARAS - ARARAS - SP - 54.012.406/0003-85"/>
        <s v="UNIMED SAO JOSE DOS CAMPOS - COOPERATIVA DE TRABALHO MEDICO - SÃO JOSÉ DOS CAMPOS - SP - 60.214.517/0009-62"/>
        <s v="HCFAMEMA - MARÍLIA - SP - 24.082.016/0001-59"/>
        <s v="DEPARTAMENTO REGIONAL DE SAUDE DE PIRACICABA - DRS X - PIRACICABA - SP - 46.374.500/0090-60"/>
        <s v="FAEPA - RIBEIRÃO PRETO - SP - 57.722.118/0001-40"/>
        <s v="HOSPITAL DE REABILITACAO DE ANOMALIAS CRANIOFACIAIS - BAURU - SP - 63.025.530/0082-70"/>
        <s v="UNIMED DE DRACENA COOPERATIVA DE TRABALHO MEDICO - DRACENA - SP - 68.204.486/0001-13"/>
        <s v="HOSPITAL NETTO CAMPELLO DE SERTAOZINHO - SP - SERTÃOZINHO - SP - 01.613.433/0080-89"/>
        <s v="HOSPITAL UNIVERSITARIO DE MARILIA - MARÍLIA - SP - 09.528.436/0001-22"/>
        <s v="HCFMB - BOTUCATU - SP - 12.474.705/0001-20"/>
        <s v="ESHO EMPRESA DE SERVICOS HOSPITALARES S.A. - ARUJÁ - SP - 29.435.005/0081-03"/>
        <s v="DEPARTAMENTO REGIONAL DE SAUDE DE ARARAQUARA - DRS III - ARARAQUARA - SP - 46.374.500/0092-21"/>
        <s v="SAO JOSE DOS CAMPOS GABINETE DO PREFEITO - SÃO JOSÉ DOS CAMPOS - SP - 46.643.466/0001-06"/>
        <s v="HOSPITAL UNIMED DE ARACATUBA - ARAÇATUBA - SP - 51.093.193/0004-56"/>
        <s v="IRMANDADE DE MISERICORDIA DO HOSPITAL DA SANTA CASA DE MONTE ALTO - MONTE ALTO - SP - 52.852.100/0001-40"/>
        <s v="PRONTO ATENDIMENTO JACAREI - JACAREÍ - SP - 60.214.517/0011-87"/>
        <s v="SAO FRANCISCO SISTEMAS DE SAUDE SOCIEDADE EMPRESARIA LIMITADA - ARARAQUARA - SP - 01.613.433/0108-14"/>
        <s v="CM MEDICAMENTOS ESPECIAIS LTDA. - RIBEIRÃO PRETO - SP - 04.127.483/0001-40"/>
        <s v="HCS - SOROCABA - SP - 26.048.123/0001-96"/>
        <s v="UNIMED DE PRES PRUDENTE COOPERATIVA DE TRABALHO MEDICO - PRESIDENTE PRUDENTE - SP - 44.863.959/0001-26"/>
        <s v="AMICO SAUDE LTDA - MOJI DAS CRUZES - SP - 51.722.957/0143-02"/>
        <s v="UNIMED LESTE PAULISTA COOPERATIVA DE TRABALHO MEDICO - SÃO JOÃO DA BOA VISTA - SP - 53.678.264/0002-46"/>
        <s v="IRMANDADE DA SANTA CASA DE MISERICORDIA DE PIRACICABA - PIRACICABA - SP - 54.370.630/0001-87"/>
        <s v="INSTITUTO ONCOLOGICO DE RIBEIRAO PRETO LTDA - RIBEIRÃO PRETO - SP - 57.723.280/0001-83"/>
        <s v="HOSPITAL SANTA IGNES - INDAIATUBA - SP - 44.732.469/0001-90"/>
        <s v="HOSPITAL DE CLINICAS LUZIA DE PINHO MELO - MOJI DAS CRUZES - SP - 61.699.567/0008-69"/>
        <s v="SPDM - ASSOCIACAO PAULISTA PARA O DESENVOLVIMENTO DA MEDICINA - TAUBATÉ - SP - 61.699.567/0089-24"/>
        <s v="UNIMED VALE DO PARAIBA - FEDERACAO INTRAFEDERATIVA DAS COOPERATIVAS MEDICAS - LORENA - SP - PRIVADO - 01.773.319/0002-01"/>
        <s v="HOSPITAL ABC UNIDADE CIRURGICA - SÃO BERNARDO DO CAMPO - SP - 08.100.676/0004-01"/>
        <s v="FUNDACAO CENTRO MEDICO DE CAMPINAS - CAMPINAS - SP - 44.595.700/0001-41"/>
        <s v="HOSPITAL GUILHERME ALVARO - SANTOS - SP - 46.374.500/0016-70"/>
        <s v="IRM SENHOR DOS PASSOS E STA CAS MISER GUARATINGUETA - GUARATINGUETÁ - SP - 48.547.806/0001-20"/>
        <s v="HOSPITAL UNIMED - AMERICANA - SP - 48.628.366/0007-21"/>
        <s v="HOSPITAL REGIONAL DE PRESIDENTE PRUDENTE - PRESIDENTE PRUDENTE - SP - 53.221.255/0032-47"/>
        <s v="UNIMED SALTO/ITU - COOPERATIVA MEDICA - SALTO - SP - 58.837.188/0002-98"/>
        <s v="UNIMED ADMINISTRACAO E SERVICOS LTDA - SAO PAULO - SP - PRIVADO - 68.029.156/0004-81"/>
        <s v="DEPARTAMENTO DE LOGISTICA - BRASÍLIA - DF - 00.394.544/0008-51"/>
        <s v="VANDA BRABO COELHO - BELÉM - PA - 467.099.322-49"/>
        <s v="INSTITUTO JOINVILENSE DE HEMATOLOGIA E ONCOLOGIA S/S LTDA. - JOINVILLE - SC - 00.092.390/0001-77"/>
        <s v="CEBROM - GOIÂNIA - GO - 00.754.174/0001-40"/>
        <s v="CENTRO CLINICO GAUCHO LTDA  - CANOAS - RS - 00.773.639/0015-05"/>
        <s v="HOSPITAL E MATERNIDADE SAO MARCOS - MARINGÁ - PR - 00.855.774/0001-02"/>
        <s v="INSTITUTO ONCO-HEMATOLOGICO DE ANAPOLIS - ANÁPOLIS - GO - 01.116.300/0001-01"/>
        <s v="FARMACENTRO - JAGUARI - RS - 01.141.127/0001-93"/>
        <s v="ONCOCLINICA - SANTANA DO LIVRAMENTO - RS - PRIVADO - 01.753.991/0001-46"/>
        <s v="GRUPO ACREDITAR - BRASILIA - DF - PRIVADO - 03.989.821/0004-33"/>
        <s v="PRONTONEURO - BRASILIA - DF - PRIVADO - 06.054.754/0001-00"/>
        <s v="VITTA CENTRO DE ONCOLOGIA - ARACAJU - SE - PRIVADO - 07.549.453/0001-10"/>
        <s v="CENTRO DE ONCO - HEMATOLOGIA DE MATO GROSSO LTDA - ME - CUIABÁ - MT - 07.862.532/0001-87"/>
        <s v="H.V. BATEL MEDICINA PARA ANIMAIS DE COMPANHIA LTDA - CURITIBA - PR - PRIVADO - 08.580.014/0001-33"/>
        <s v="CENTRO MEDICO VARGINHA CMV - VARGINHA - MG - 09.635.024/0002-72"/>
        <s v="FUNDACAO MANOEL DA SILVA ALMEIDA - RECIFE - PE - 09.767.633/0001-02"/>
        <s v="AGILLE COMERCIO DE MEDICAMENTOS - VIANA - ES - 11.697.594/0003-10"/>
        <s v="SANTA CASA DE MACEIO - CENTRAL DE DISTRIBUICAO - MACEIÓ - AL - 12.307.187/0005-83"/>
        <s v="DEPOSITO - ARMAZEM MANAUS/AM - MANAUS - AM - 12.361.267/0119-85"/>
        <s v="ONCOLOG - CUIABA - MT - PRIVADO - 12.981.527/0002-04"/>
        <s v="HOSP DAS CLINICAS DA UNIV FED DE MINAS GERAIS - EBSERH - BELO HORIZONTE - MG - 15.126.437/0015-49"/>
        <s v="HOSPITAL UNIVERSITARIO DA UNIV. FEDERAL DE JUIZ DE FORA - JUIZ DE FORA - MG - PRIVADO - 15.126.437/0025-10"/>
        <s v="ASSOCIACAO OBRAS SOCIAIS IRMA DULCE - SALVADOR - BA - 15.178.551/0001-17"/>
        <s v="AGIL MED - PORTO ALEGRE - RS - 18.770.112/0001-97"/>
        <s v="HOSPITAL UNIMED CARUARU - CARUARU - PE - 24.449.225/0002-79"/>
        <s v="ONCOBIO SERVICOS DE SAUDE S.A. - NOVA LIMA - MG - PRIVADO - 26.645.426/0001-96"/>
        <s v="HOSPITAL SAO JOSE - SÃO JOSÉ DO CALÇADO - ES - 27.080.605/0006-09"/>
        <s v="HOSPITAL INFANTIL NOSSA SENHORA DA GLORIA - VITÓRIA - ES - 27.080.605/0020-59"/>
        <s v="MATER CLIN - RONDONÓPOLIS - MT - 32.972.408/0001-11"/>
        <s v="UNIMED ARAGUAIA - BARRA DO GARCAS - MT - PRIVADO - 37.436.920/0001-67"/>
        <s v="DROGARIA UNIMED ITUIUTABA - ITUIUTABA - MG - 41.871.989/0002-77"/>
        <s v="UNIMED EXTREMO SUL COOPERATIVA DE TRABALHO MEDICO - TEIXEIRA DE FREITAS - BA - 42.043.067/0001-53"/>
        <s v="UNIMED ALFENAS - ALFENAS - MG - 42.946.061/0001-96"/>
        <s v="HOSPITAL NOSSA SENHORA DOS PRAZERES - LAGES - SC - 84.942.887/0001-27"/>
        <s v="HOSPITAL INF SEARA DO BEM - LAGES - SC - 84.947.167/0001-54"/>
        <s v="SOS CARDIO SERVICOS HOSPITALARES LTDA - FLORIANÓPOLIS - SC - 85.307.098/0001-87"/>
        <s v="HOSPITAL UNIMED IJUI - IJUÍ - RS - 87.647.756/0002-96"/>
        <s v="PEDRO FLÁVIO - BELÉM - PA - 123.710.092-53"/>
        <s v="MARIA LEDA FEITOSA FARIAS - MARIA LEDA FEITOSA FARIAS - NOSSA SENHORA DA GLÓRIA - SE - 007.003.865-13"/>
        <s v="ROBERTO MOURA GRISI - JOÃO PESSOA - PB - 839.256.944-04"/>
        <s v="LARISSA HELENA AMARAL CASTRO - BELÉM - PA - 917.771.862-34"/>
        <s v="MATERNIDADE FEMINA - GOIÂNIA - GO - 00.053.629/0001-08"/>
        <s v="HEMOLABOR - GOIÂNIA - GO - 00.418.954/0001-19"/>
        <s v="HOSPITAL DO CORACAO DE NATAL LTDA - NATAL - RN - 00.820.737/0001-50"/>
        <s v="CLINICA DE CAMPO GRANDE S/A - CAMPO GRANDE - MS - 00.860.841/0001-79"/>
        <s v="INSTITUTO DE NEUROLOGIA - GOIÂNIA - GO - 01.011.865/0001-16"/>
        <s v="HOSPITAL E MATERNIDADE SAO NICOLAU - CATALÃO - GO - 01.326.206/0001-79"/>
        <s v="HOSPITAL DAS CLINICAS PRIMAVERA - PRIMAVERA DO LESTE - MT - 01.383.835/0001-30"/>
        <s v="HOSPITAL DO CORACAO DE ALAGOAS - MACEIÓ - AL - 01.454.407/0001-51"/>
        <s v="INCOR NATAL - NATAL - RN - 01.507.901/0001-37"/>
        <s v="COMPLEXO HOSPITALAR JARDIM CUIABA - CUIABÁ - MT - 01.757.351/0001-04"/>
        <s v="HOSPITAL SAO MARCOS (REDE DOR) - RECIFE - PE - 02.284.062/0004-40"/>
        <s v="UDI HOSPITAL - SÃO LUÍS - MA - 02.284.062/0011-70"/>
        <s v="UNIMED GOIANIA - GOIÂNIA - GO - 02.476.067/0001-22"/>
        <s v="SERVICO DE ATENDIMENTO UNIMED - GOIÂNIA - GO - 02.476.067/0002-03"/>
        <s v="CENTRO CLINICO UNIMED - GOIÂNIA - GO - 02.476.067/0003-94"/>
        <s v="UNIMED CUIABA DISTRIBUIDORA DE MEDICAMENTOS - CUIABÁ - MT - 03.533.726/0007-73"/>
        <s v="CENTRO DE ESPECIALIDADES MEDICAS UNIMED FACIL - ACORIZAL - MT - 03.533.726/0015-83"/>
        <s v="HOSPITAL MONTE SINAI LTDA - GARANHUNS - PE - 03.858.924/0001-11"/>
        <s v="HOSPITAL AMECOR - CUIABÁ - MT - 03.925.419/0001-42"/>
        <s v="UNIMED DE BELEM COOPERATIVA DE TRABALHO MEDICO - BELÉM - PA - 04.201.372/0010-28"/>
        <s v="HOSPITAL AEROPORTO - LAURO DE FREITAS - BA - 04.602.792/0001-25"/>
        <s v="BENEFICENCIA NIPO BRASILEIRA DA AMAZONIA - BELÉM - PA - 04.966.545/0003-70"/>
        <s v="NATAL HOSPITAL CENTER S.A. - NATAL - RN - 02.109.397/0001-80"/>
        <s v="HOSPITAL ESPERANCA (REDE DOR) - RECIFE - PE - 02.284.062/0001-06"/>
        <s v="HOSPITAL MEMORIAL SAO JOSE (REDE DOR) - RECIFE - PE - 06.047.087/0092-76"/>
        <s v="I. O. M. - MACAPÁ - AP - 06.070.425/0001-53"/>
        <s v="FUNDO MUNICIPAL DE SAUDE DE RIO VERDE - GO - RIO VERDE - GO - 06.190.522/0001-80"/>
        <s v="ONCO HEMATOS S/S LTDA - ME - ARACAJU - SE - 03.091.003/0001-76"/>
        <s v="HOSPITAL UNIMED PRIMAVERA - TERESINA - PI - 06.555.031/0002-76"/>
        <s v="FARMA REGIA - SANTA HELENA - MA - 03.210.872/0001-72"/>
        <s v="MEDRADIUS - MACEIÓ - AL - 03.866.223/0001-24"/>
        <s v="CASA DE SAUDE SAO LUCAS S/A - NATAL - RN - 08.319.329/0001-21"/>
        <s v="HOSP INF VAR SANT - NATAL - RN - 08.337.586/0001-96"/>
        <s v="HOSPITAL UNIMED - NATAL - RN - 08.380.701/0006-10"/>
        <s v="UNIMED JOAO PESSOA COOPERATIVA DO TRABALHO MEDICO - JOÃO PESSOA - PB - 08.680.639/0006-81"/>
        <s v="PA SSA GABINETE DO SECRETARIO - BELÉM - PA - 05.054.929/0001-17"/>
        <s v="HOSPITAL INCAR - SANTO ANTÔNIO DE JESUS - BA - 05.652.543/0001-07"/>
        <s v="HOSPITAL DA RESTAURACAO - RECIFE - PE - 10.572.048/0002-09"/>
        <s v="SANTA JOANA - RECIFE - PE - 10.839.561/0001-32"/>
        <s v="HOSPITAL PORTUGUES - RECIFE - PE - 10.892.164/0001-24"/>
        <s v="IMIP - RECIFE - PE - 10.988.301/0001-29"/>
        <s v="HOSPITAL SAO DOMINGOS LTDA. - SÃO LUÍS - MA - 11.006.293/0001-30"/>
        <s v="HOSPITAL JAYME DA FONTE - RECIFE - PE - 11.452.240/0001-43"/>
        <s v="CENTRO MEDICO GABRIEL SOARES - ARACAJU - SE - 12.361.267/0005-17"/>
        <s v="HOSPITAL RODOLFO FERNANDES - ACARI - RN - 12.361.267/0091-40"/>
        <s v="HOSPITAL SAO LUCAS - MANAUS - AM - 12.361.267/0116-32"/>
        <s v="HOSPITAL UNIMED - MACEIÓ - AL - 12.442.737/0004-96"/>
        <s v="HOSPITAL DE CIRURGIA - ARACAJU - SE - 13.016.332/0001-06"/>
        <s v="HOSPITAL SAO LUCAS - ARACAJU - SE - 13.131.370/0001-00"/>
        <s v="IBR INSTITUTO BRANDAO DE REABILITACAO LTDA - EPP - VITÓRIA DA CONQUISTA - BA - 13.284.872/0001-70"/>
        <s v="REDE PRIMAVERA - HOSPITAL PRIMAVERA - ARACAJU - SE - 13.356.779/0001-24"/>
        <s v="EMEC - FEIRA DE SANTANA - BA - 14.074.546/0001-00"/>
        <s v="CLINICA SOUZA BRITO - CUIABÁ - MT - 15.016.827/0001-60"/>
        <s v="EBSERH - HOSPITAL UNIVERSITARIO DO PIAUI - TERESINA - PI - 15.126.437/0002-24"/>
        <s v="EBSERH HOSPITAL UNIVERSITARIO DE SAO LUIS - SÃO LUÍS - MA - 15.126.437/0004-96"/>
        <s v="EMPRESA BRASILEIRA DE SERVICOS HOSPITALARES - EBSERH - NATAL - RN - 15.126.437/0007-39"/>
        <s v="CLINICA SAO MARCOS - SÃO LUÍS - MA - 07.750.144/0001-04"/>
        <s v="HOSPITAL UNIVERSITARIO DA UFGD - DOURADOS - MS - 07.775.847/0002-78"/>
        <s v="LABCMI GESTAO HOSPITALAR - HEC - FEIRA DE SANTANA - BA - 15.170.723/0005-30"/>
        <s v="HOSPITAL UNIMED - ARACAJU - SE - 15.592.785/0001-06"/>
        <s v="UNIMED NATAL SOCIEDADE COOPERATIVA DE TRABALHO MEDICO - NATAL - RN - 08.380.701/0017-72"/>
        <s v="IMIP HOSPITALAR - HMA - PAULISTA - PE - 09.039.744/0002-75"/>
        <s v="HOSPITAL REGIONAL DO BAIXO AM DO PARA DR WALDEMAR PENNA - SANTARÉM - PA - 24.232.886/0083-03"/>
        <s v="HUPAA - MACEIÓ - AL - 24.464.109/0002-29"/>
        <s v="PRONTO ATENDIMENTO UNIMED RONDONOPOLIS - RONDONÓPOLIS - MT - 24.676.884/0007-52"/>
        <s v="PRONTO S.CARDIOLOGICO DE PE.PROF.LUIZ TAVARES-PROCAPE - RECIFE - PE - 11.022.597/0015-97"/>
        <s v="HOSPITAL UNIMED RECIFE - RECIFE - PE - 11.214.624/0004-70"/>
        <s v="FUNDO MUNICIPAL DE SAUDE DE TERESINA - TERESINA - PI - 11.273.170/0001-66"/>
        <s v="ESHO EMPRESA DE SERVICOS HOSPITALARES S.A. - NATAL - RN - 29.435.005/0098-51"/>
        <s v="HOSPITAL LAYR MAIA - BELÉM - PA - 12.361.267/0002-74"/>
        <s v="HOSPITAL ESPINHEIRO - RECIFE - PE - 12.361.267/0072-87"/>
        <s v="HOSPITAL ANTONIO PRUDENTE DE NATAL - NATAL - RN - 12.361.267/0096-54"/>
        <s v="HOSPITAL FRANCISCA DE SANDE - FEIRA DE SANTANA - BA - 12.361.267/0104-07"/>
        <s v="CLINICA SANTA HELENA - ARACAJU - SE - 13.086.053/0001-19"/>
        <s v="CDDS SERVICOS MEDICOS LTDA - NATAL - RN - 13.262.578/0001-68"/>
        <s v="UNIMED SUL DO PARA - MARABÁ - PA - 14.112.023/0001-00"/>
        <s v="S O S VIDA SOLUCOES EM SAUDE - ARACAJU - SE - 16.064.313/0005-77"/>
        <s v="HOSPITAL MULTI ESPECIALIDADES LTDA EPP - APARECIDA DE GOIÂNIA - GO - 21.155.621/0001-14"/>
        <s v="ONCOMEDICA - TERESINA - PI - 63.326.243/0004-87"/>
        <s v="HOSPITAL ADVENTISTA DE BELEM - BELÉM - PA - 83.367.342/0002-52"/>
        <s v="PETROBRAS - SENADOR CANEDO - GO - 33.000.167/0021-55"/>
        <s v="ANA ANGELICA TORRES - MACEIÓ - AL - 444.822.994-72"/>
        <s v="TAIANA ANGELICA LUZ _x000d__x000a_ - BELÉM - PA - 933.266.452-87"/>
        <s v="HEMOLABOR UNIDADE ONCO-HEMATOLOGICA - ABADIA DE GOIÁS - GO - 00.418.954/0007-04"/>
        <s v="INGOH - INSTITUTO GOIANO DE ONCOLOGIA E HEMATOLOGIA - GOIÂNIA - GO - 01.277.573/0001-20"/>
        <s v="INSTITUTO ORTOPEDICO DE GOIANIA LTDA - GOIÂNIA - GO - 01.570.589/0001-26"/>
        <s v="HOSPITAL SANTA HELENA - GOIÂNIA - GO - 01.656.123/0001-48"/>
        <s v="HOSPITAL MEMORIAL ARTHUR RAMOS - MACEIÓ - AL - 01.722.424/0001-22"/>
        <s v="HOSPITAL DO CORACAO - ARACAJU - SE - 03.222.051/0001-56"/>
        <s v="FUNDO MUNICIPAL DE SAUDE DO JABOATAO DOS GUARARAPES - JABOATÃO DOS GUARARAPES - PE - 03.904.395/0001-45"/>
        <s v="SAMEL - MANAUS - AM - 04.159.778/0001-07"/>
        <s v="HOSPITAL UNIVERSITARIO ALCIDES CARNEIRO/UFCG - CAMPINA GRANDE - PB - 05.055.128/0002-57"/>
        <s v="CLIOM - MACEIÓ - AL - 05.612.725/0001-54"/>
        <s v="HOSPITAL AMPARO - GOIÂNIA - GO - 05.919.720/0001-79"/>
        <s v="HOSPITAL ESPERANCA OLINDA (REDE DOR) - OLINDA - PE - 06.047.087/0012-91"/>
        <s v="HOSPITAL SAO LUIS - HSLZ LTDA. - SÃO JOSÉ DE RIBAMAR - MA - 09.192.098/0001-09"/>
        <s v="HOSPITAL UNIMED RECIFE III - RECIFE - PE - 11.214.624/0019-57"/>
        <s v="HOSPITAL GUARAS - SÃO LUÍS - MA - 12.361.267/0007-89"/>
        <s v="HOSPITAL MACEIO - MACEIÓ - AL - 12.361.267/0008-60"/>
        <s v="HOSPITAL RIO POTY - TERESINA - PI - 12.361.267/0040-08"/>
        <s v="HOSPITAL ANA LIMA - MARACANAÚ - CE - 12.361.267/0084-10"/>
        <s v="HOSPITAL GERAL DA PARAIBA - ÁGUA BRANCA - PB - 12.361.267/0088-44"/>
        <s v="EBSERH - HOSPITAL UNIVERSITARIO JULIO MULLER - CUIABÁ - MT - 15.126.437/0012-04"/>
        <s v="GRUPAMENTO DE APOIO DE RECIFE - GAP-RF - RECIFE - PE - 00.394.429/0193-91"/>
        <s v="HONCORD - GOIÂNIA - GO - 06.337.035/0001-05"/>
        <s v="HOSPITAL UNIVERSITARIO OSWALDO CRUZ - RECIFE - PE - 11.022.597/0013-25"/>
        <s v="SANTA CASA DE MISERICORDIA DE MACEIO - MACEIÓ - AL - 12.307.187/0001-50"/>
        <s v="NATUS LUMINE MATERNIDADE - SÃO LUÍS - MA - 23.813.270/0001-17"/>
        <s v="HOSPITAL SANTA ROSA - CUIABÁ - MT - 70.524.145/0001-77"/>
        <s v="SAMEL - MANAUS - AM - 84.537.141/0001-38"/>
        <s v="HOSPITAL UNIMED - CAMPO GRANDE - MS - 03.315.918/0005-41"/>
        <s v="FUNDACAO SANTA CASA - BELÉM - PA - 04.929.345/0001-85"/>
        <s v="CLINICA SAO CAMILO - LUÍS EDUARDO MAGALHÃES - BA - 05.430.118/0001-73"/>
        <s v="PIAUI SECRETARIA DE SAUDE - TERESINA - PI - 06.553.564/0001-38"/>
        <s v="NUTEC ROO - RONDONÓPOLIS - MT - 11.836.436/0001-31"/>
        <s v="DEPOSITO-ARMAZEM BELEM/PA - BELÉM - PA - 12.361.267/0033-70"/>
        <s v="DEPOSITO - ARMAZEM JABOATAO DOS GUARARAPES/PE - JABOATÃO DOS GUARARAPES - PE - 12.361.267/0057-48"/>
        <s v="HOSPITAL UNIVERSITARIO ALCIDES CARNEIRO - CAMPINA GRANDE - PB - PRIVADO - 15.126.437/0032-40"/>
        <s v="INSTITUTO HAVER - GOIÂNIA - GO - 27.456.372/0001-83"/>
        <s v="Mariana Nasser Arouca Lamas - BELÉM -PA -013.251.132-04"/>
        <s v="PRONTO SOCORRO INFANTIL DE GOIANIA LTDA - GOIÂNIA - GO - 01.545.649/0001-50"/>
        <s v="OX-UTI - GOIÂNIA - GO - 05.562.645/0001-31"/>
        <s v="HOSPITAL MILITAR DE AREA DE RECIFE - RECIFE - PE - 09.577.422/0002-80"/>
        <s v="NOS-NUCLEO DE ONCOLOGIA DE SERGIPE - ARACAJU - SE - PRIVADO - 12.282.163/0001-93"/>
        <s v="HOSPITAL SAO MATHEUS - FEIRA DE SANTANA - BA - 13.969.621/0001-20"/>
        <s v="HOSPITAL ORION - GOIANIA - GO - PRIVADO - 17.239.624/0001-69"/>
        <s v="ANIMA CENTRO HOSPITALAR LTDA - ABADIA DE GOIÁS - GO - 18.034.143/0001-80"/>
        <s v="UNIMED DA AMAZONIA - FEDERACAO UNIMED DA AMAZONIA - MANAUS - AM - PRIVADO - 84.112.481/0001-17"/>
        <s v="CASAMATER - TERESINA - PI - 06.833.917/0001-53"/>
        <s v="UNICLINIC - FORTALEZA - CE - 05.867.015/0001-75"/>
        <s v="HOSPITAL REGIONAL UNIMED - FORTALEZA - CE - 05.868.278/0002-80"/>
        <s v="H A P - FORTALEZA - CE - 05.874.946/0001-09"/>
        <s v="GASTROCLINICA - FORTALEZA - CE - 07.272.404/0001-83"/>
        <s v="HOSPITAL UNIVERSITARIO WALTER CANTIDIO - FORTALEZA - CE - 07.272.636/0002-12"/>
        <s v="INSTITUTO DR JOSE FROTA - FORTALEZA - CE - 07.835.044/0001-80"/>
        <s v="DEPOSITO-ARMAZEM DE FORTALEZA - FORTALEZA - CE - 05.874.946/0002-81"/>
        <s v="DEPOSITO - ARMAZEM FORTALEZA/CE - FORTALEZA - CE - 12.361.267/0118-02"/>
        <s v="INTEGRARE TERAPEUTICA - FORTALEZA - CE - 12.568.570/0001-61"/>
        <s v="CASA DE SAUDE E MATERNIDADE SAO RAIMUNDO SA - FORTALEZA - CE - 07.245.269/0001-87"/>
        <s v="HOSPITAL MONTE KLINIKUM - FORTALEZA - CE - 29.435.005/0074-84"/>
        <s v="HOSPITAL SAO CARLOS LTDA - FORTALEZA - CE - 11.794.674/0001-21"/>
        <s v="EBSERH - COMPLEXO HOSPITALAR DO CEARA (HUWC E MEAC) - FORTALEZA - CE - 15.126.437/0014-68"/>
        <s v="HOSPITAL CURA DARS - FORTALEZA - CE - 60.975.737/0035-09"/>
        <s v="FUNDES - FORTALEZA - CE - 74.031.865/0001-51"/>
        <s v="HOSPITAL SAO MATEUS LTDA. - FORTALEZA - CE - 41.580.077/0001-65"/>
        <s v="PRONTOCARDIO SERVICOS MEDICOS HOSPITALARES S/A - FORTALEZA - CE - 08.711.085/0001-28"/>
        <s v="HOSPITAL OTOCLINICA - FORTALEZA - CE - 23.443.518/0001-03"/>
        <s v="FORTAL FARMACE - FORTALEZA - CE - 28.12.490/0001-56"/>
        <s v="HBA - SALVADOR - BA - 05.469.172/0001-22"/>
        <s v="FES/BA - SALVADOR - BA - 05.816.630/0001-52"/>
        <s v="HOSPITAL DA CIDADE - SALVADOR - BA - 03.376.102/0001-02"/>
        <s v="HOSPITAL TEREZA DE LISIEUX - SALVADOR - BA - 12.361.267/0103-18"/>
        <s v="HOSPITAL ALIANCA - SALVADOR - BA - 13.016.092/0001-40"/>
        <s v="CARDIO PULMONAR DA BAHIA S.A - SALVADOR - BA - 13.952.064/0001-34"/>
        <s v="HOSPITAL SANTA IZABEL - SALVADOR - BA - 15.153.745/0002-49"/>
        <s v="HOSPITAL MUNICIPAL DE SALVADOR - SALVADOR - BA - 15.153.745/0027-05"/>
        <s v="HOSPITAL PORTUGUES - SALVADOR - BA - 15.166.416/0001-51"/>
        <s v="LIGA ALVARO BAHIA CONTRA A MORTALIDADE INFANTIL - SALVADOR - BA - 15.170.723/0001-06"/>
        <s v="MCO - SALVADOR - BA - 15.180.714/0003-68"/>
        <s v="UNIVERSIDADE FEDERAL DA BAHIA - SALVADOR - BA - 15.180.714/0005-20"/>
        <s v="FUNDACAO JOSE SILVEIRA - SALVADOR - BA - 15.194.004/0001-25"/>
        <s v="NOVACLIN - SALVADOR - BA - 15.242.761/0001-27"/>
        <s v="HOSPITAL SAO RAFAEL S.A - SALVADOR - BA - 27.372.066/0001-69"/>
        <s v="PRODAL SAUDE S/A - SALVADOR - BA - 11.943.553/0001-02"/>
        <s v="SEMEC - SALVADOR - BA - 15.140.254/0001-82"/>
        <s v="FBC - SALVADOR - BA - 16.475.154/0002-50"/>
        <s v="EDUARDO SEIBERT TEIXEIRA - SALVADOR - BA - 093.243.225-59"/>
        <s v="DEPOSITO-ARMAZEM SALVADOR/BA - SALVADOR - BA - 12.361.267/0147-39"/>
        <s v="HOSPITAL JAAR ANDRADE LTDA - SALVADOR - BA - 97.397.848/0001-38"/>
        <s v="MATERNIDADE CLIMERIO DE OLIVEIRA - SALVADOR - BA - PRIVADO - 15.126.437/0028-63"/>
        <s v="HOSPITAL PROFESSOR EDGARDSANTOS - SALVADOR - BA - 15.180.714/0002-87"/>
        <s v="HOSPITAL NAVAL DE SALVADOR - SALVADOR - BA - 00.394.502/0067-70"/>
        <s v="CEHON - CENTRO DE HEMATOLOGIA E ONCOLOGIA DA BAHIA LTDA - SALVADOR - BA - 01.837.492/0001-37"/>
        <s v="PROMEDICA PATRIMONIAL S A PROPAT - SALVADOR - BA - 13.808.803/0001-19"/>
        <s v="HOSPITAL SANTA HELENA (REDE DOR) - BRASÍLIA - DF - 00.049.791/0001-44"/>
        <s v="SANTA LUCIA - BRASÍLIA - DF - 00.025.841/0001-53"/>
        <s v="PRONTONORTE - BRASÍLIA - DF - 00.511.816/0001-80"/>
        <s v="CETTRO - CENTRO DE CANCER DE BRASILIA - BRASÍLIA - DF - 00.520.237/0001-01"/>
        <s v="HOSPITAL SANTA MARTA LTDA - BRASÍLIA - DF - 00.610.980/0001-44"/>
        <s v="ONCO VIDA - BRASÍLIA - DF - 01.682.668/0001-29"/>
        <s v="HOSPITAL ANCHIETA LTDA - BRASÍLIA - DF - 02.560.878/0001-07"/>
        <s v="GRUPO ACREDITAR - BRASÍLIA - DF - 03.989.821/0001-90"/>
        <s v="CLINICA DE DOENCAS RENAIS DE BRASILIA LTDA - BRASÍLIA - DF - 01.602.408/0001-04"/>
        <s v="HOSPITAL SANTA LUZIA (REDE DOR) - BRASÍLIA - DF - 06.047.087/0041-26"/>
        <s v="HOSPITAL DO CORACAO DO BRASIL (REDE DOR) - BRASÍLIA - DF - 06.047.087/0042-07"/>
        <s v="CEMED CARE EMPRESA DE ATENDIMENTO CLINICO GERAL LTDA - BRASÍLIA - DF - 07.794.623/0051-91"/>
        <s v="ALIANCA INSTITUTO DE ONCOLOGIA - BRASÍLIA - DF - 09.104.513/0009-74"/>
        <s v="INSTITUTO DE CANCER DE BRASILIA LTDA - BRASÍLIA - DF - 11.859.927/0001-06"/>
        <s v="PRIME HOME CARE - BRASÍLIA - DF - 16.739.984/0001-67"/>
        <s v="IHBDF - BRASÍLIA - DF - 28.481.233/0001-72"/>
        <s v="HOSPITAL ALVORADA DE BRASILIA - BRASÍLIA - DF - 29.435.005/0046-20"/>
        <s v="ICIPE - BRASÍLIA - DF - 10.942.995/0001-63"/>
        <s v="HOME - BRASÍLIA - DF - 37.108.388/0001-59"/>
        <s v="HOSPITAL MARIA AUXILIADORA - BRASÍLIA - DF - 38.000.485/0001-96"/>
        <s v="EBSERH HOSPITAL UNIVERSITARIO DE BRASILIA - BRASÍLIA - DF - 15.126.437/0003-05"/>
        <s v="HOSPITAL BRASILIA - BRASÍLIA - DF - 60.884.855/0022-89"/>
        <s v="HSL UNIDADE BRASILIA - BRASÍLIA - DF - 61.590.410/0005-58"/>
        <s v="UNIDADE BRASILIA IV - BRASÍLIA - DF - 61.590.410/0012-87"/>
        <s v="INSTITUTO DE CARDIOLOGIA DO DISTRITO FEDERAL - BRASÍLIA - DF - 92.898.550/0006-00"/>
        <s v="CLINICA DE NEUROLOGIA E NEUROINFUSAO DE BRASILIA - BRASÍLIA - DF - 30.135.335/0001-88"/>
        <s v="NUBIA SOARES SALES DE MORAES - BRASÍLIA - DF - 854.655.261-49"/>
        <s v="MATERNIDADE BRASILIA - BRASÍLIA - DF - 60.884.855/0019-83"/>
        <s v="HOSPITAL DAHER LAGO SUL S/A - BRASÍLIA - DF - 00.382.069/0001-27"/>
        <s v="HOSPITAL DAS FORCAS ARMADAS - BRASÍLIA - DF - 03.568.867/0001-36"/>
        <s v="HOSPITAL SAO FRANSCISCO - BRASÍLIA - DF - 72.576.143/0001-57"/>
        <s v="HENRIQUE WALCHER NOGUEIRA - PORTO ALEGRE - RS - 828.542.460-04"/>
        <s v="VIP HOME CARE ATENDIMENTO DOMICILIAR LTDA - PORTO ALEGRE - RS - 09.087.150/0002-30"/>
        <s v="HOSPITAL BDW - PORTO ALEGRE - RS - 26.947.257/0001-49"/>
        <s v="HOSPITAL DE CLINICAS - PORTO ALEGRE - RS - 87.020.517/0001-20"/>
        <s v="RS SSA GABINETE DO SECRETARIO - PORTO ALEGRE - RS - 87.958.625/0001-49"/>
        <s v="HOSPITAL MAE DE DEUS - PORTO ALEGRE - RS - 88.625.686/0024-43"/>
        <s v="HOSPITAL SAO LUCAS DA PUCRS - PORTO ALEGRE - RS - 88.630.413/0007-96"/>
        <s v="ASSOCIACAO HOSPITALAR MOINHOS DE VENTO - PORTO ALEGRE - RS - 92.685.833/0001-51"/>
        <s v="HOSPITAL ERNESTO DORNELLES - PORTO ALEGRE - RS - 92.741.016/0002-54"/>
        <s v="HOSPITAL CRISTO REDENTOR - PORTO ALEGRE - RS - 92.787.118/0003-91"/>
        <s v="IRMANDADE DA SANTA CASA DE MISERICORDIA DE PORTO ALEGRE - PORTO ALEGRE - RS - 92.815.000/0001-68"/>
        <s v="FUNDACAO UNIVERSITARIA DE CARDIOLOGIA - PORTO ALEGRE - RS - 92.898.550/0001-98"/>
        <s v="HOSPITAL DIVINA PROVIDENCIA - PORTO ALEGRE - RS - 87.317.764/0010-84"/>
        <s v="PMPA - PORTO ALEGRE - RS - 92.963.560/0001-60"/>
        <s v="HOSPITAL NOSSA SENHORA DA CONCEICAO SA - PORTO ALEGRE - RS - 92.787.118/0001-20"/>
        <s v="CENTRO CLINICO GAUCHO LTDA - PORTO ALEGRE - RS - 00.773.639/0001-00"/>
        <s v="CENTRO DE ONCOLOGIA UNIMED PORTO ALEGRE - PORTO ALEGRE - RS - 87.096.616/0031-01"/>
        <s v="GUSTAVO PRIETO BORGES MOREIRA - CONSELHEIRO LAFAIETE - MG - 173.769.686-01"/>
        <s v="HOSPITAL MINISTRO COSTA CAVALCANTI - FOZ DO IGUAÇU - PR - 00.304.148/0001-10"/>
        <s v="HEMATOLOGICA - CLINICA DE HEMATOLOGIA LTDA - BELO HORIZONTE - MG - 00.410.960/0001-20"/>
        <s v="GUILHERME MOURA DA SILVA - RIBEIRÃO DAS NEVES - MG - 703.064.536-73"/>
        <s v="CON-CENTRO ONCOLOGICO DE NITEROI LTDA - NITERÓI - RJ - 00.437.007/0001-75"/>
        <s v="INSTITUTO DEVITA - CAXIAS DO SUL - RS - 01.140.803/0001-04"/>
        <s v="HOSPITAL DO CORACAO DE BALNEARIO CAMBORIU LTDA - BALNEÁRIO CAMBORIÚ - SC - 01.517.626/0001-32"/>
        <s v="HOSPITAL CAXIAS DOR  (REDE DOR) - DUQUE DE CAXIAS - RJ - 06.047.087/0013-72"/>
        <s v="CIONC - CENTRO INTEGRADO DE ONCOLOGIA DE CURITIBA S/S - CURITIBA - PR - 07.734.165/0001-36"/>
        <s v="CEMED CARE - EMPRESA DE ATENDIMENTO CLINICO GERAL LTDA - NOVA IGUAÇU - RJ - 07.794.623/0015-28"/>
        <s v="FUNDO ESTADUAL DE SAUDE DO PARANA - FUNSAUDE - CURITIBA - PR - 08.597.121/0001-74"/>
        <s v="NEON - NUCLEO ESPECIALIZADO EM ONCOLOGIA - SERRA - ES - 04.786.490/0001-54"/>
        <s v="PLAMHUV - VIÇOSA - MG - 14.408.631/0001-59"/>
        <s v="EBSERH - HOSPITAL UNIVERSITARIO DE SANTA MARIA - SANTA MARIA - RS - 15.126.437/0019-72"/>
        <s v="HOSPITAL MATER DEI SA - BELO HORIZONTE - MG - 16.676.520/0001-59"/>
        <s v="HOSPITAL UNIMED - SÃO JOSÉ - SC - 17.034.086/0001-76"/>
        <s v="UBERLANDIA MEDICAL CENTER - UBERLÂNDIA - MG - 17.087.591/0001-89"/>
        <s v="FUNDACAO FELICE ROSSO - BELO HORIZONTE - MG - 17.214.149/0001-76"/>
        <s v="UNIMED JUIZ DE FORA COOP DE TRABALHO MEDICO LTDA - JUIZ DE FORA - MG - 17.689.407/0009-28"/>
        <s v="H S COR - DUQUE DE CAXIAS - RJ - 08.562.523/0001-33"/>
        <s v="HOSPITAL SANTA GENOVEVA LTDA - UBERLÂNDIA - MG - 18.484.378/0001-73"/>
        <s v="HOSPITAL MARCIO CUNHA - IPATINGA - MG - 19.878.404/0001-00"/>
        <s v="HOSPITAL E MATERNIDADE MADRECOR - UBERLÂNDIA - MG - 20.150.900/0001-22"/>
        <s v="AISI FMIT HE - ITAJUBÁ - MG - 21.040.696/0003-11"/>
        <s v="CASA DE SAUDE E MATERNIDADE NOSSA SENHORA DE FATIMA S A - PATOS DE MINAS - MG - 23.338.387/0001-96"/>
        <s v="GAMP - CANOAS - RS - 09.549.061/0002-68"/>
        <s v="HOSPITAL UNIMED - PETRÓPOLIS - RJ - 28.806.545/0005-32"/>
        <s v="SAMER HOSPITAL - RESENDE - RJ - 29.072.642/0001-88"/>
        <s v="UNIMED COSTA DO SOL - HOSPITAL - MACAÉ - RJ - 35.830.868/0004-46"/>
        <s v="HOSPITAL HCN - NITERÓI - RJ - 60.884.855/0012-07"/>
        <s v="HOSPITAL SANTA ISABEL - BLUMENAU - SC - 60.922.168/0052-26"/>
        <s v="UNIMED ARAGUARI - ARAGUARI - MG - 20.909.271/0001-71"/>
        <s v="FUNDACAO OURO BRANCO - OURO BRANCO - MG - 21.299.615/0001-30"/>
        <s v="SANTA CASA DE MISERICORDIA NOSSA SENHORA DO PATROCINIO - PATROCÍNIO - MG - 23.406.564/0001-24"/>
        <s v="HOSPITAL SANTA CRUZ SOCIEDADE ANONIMA - CURITIBA - PR - 76.555.069/0001-43"/>
        <s v="HOSPITAL INFANTIL PEQUENO PRINCIPE - CURITIBA - PR - 76.591.569/0001-30"/>
        <s v="FES - FLORIANÓPOLIS - SC - 80.673.411/0001-87"/>
        <s v="INSTITUTO DE CLINICAS E CIRURGIA DE JUIZ DE FORA LTDA - JUIZ DE FORA - MG - 25.415.993/0001-93"/>
        <s v="HU - UFSC - FLORIANÓPOLIS - SC - 83.899.526/0004-25"/>
        <s v="HOSPITAL E MATERNIDADE SANTA CLARA LTDA - UBERLÂNDIA - MG - 25.761.040/0001-87"/>
        <s v="HOSPITAL UNIMED LITORAL - BALNEÁRIO CAMBORIÚ - SC - 85.377.174/0003-92"/>
        <s v="ASSOCIACAO DR BARTHOLOMEU TACCHINI - BENTO GONÇALVES - RS - 87.547.444/0001-20"/>
        <s v="HOSPITAL UNIMED CAXIAS DO SUL - CAXIAS DO SUL - RS - 87.827.689/0024-05"/>
        <s v="CIAS UNIMED VITORIA - CENTRO INTEGRADO ATENCAO A SAUDE - VITÓRIA - ES - 27.578.434/0015-25"/>
        <s v="HOSPITAL SAO VICENTE DE PAULO - PASSO FUNDO - RS - 92.021.062/0003-60"/>
        <s v="HOSPITAL DE CARIDADE DR ASTROGILDO DE AZEVEDO - SANTA MARIA - RS - 95.610.887/0001-46"/>
        <s v="HOSPITAL SAO JOSE DO AVAI - ITAPERUNA - RJ - 29.640.612/0001-20"/>
        <s v="LEONARDO VIERO SILVEIRA - JAGUARI - RS - 29.908.956/0001-78"/>
        <s v="CASA DE SAUDE E MATERNIDADE SANTA MARTHA SA - NITERÓI - RJ - 30.079.461/0001-62"/>
        <s v="HOSPITAL UNIMED - VOLTA REDONDA - RJ - 35.917.970/0007-26"/>
        <s v="HOSPITAL UNIMED RESENDE - RESENDE - RJ - 68.709.211/0002-12"/>
        <s v="UNIMED GRANDE FLORIANOPOLIS - COOPERATIVA DE TRABALHO MEDICO - SÃO JOSÉ - SC - 77.858.611/0014-14"/>
        <s v="HOSPITAL DO CIRCULO - CAXIAS DO SUL - RS - 88.645.403/0013-72"/>
        <s v="HOSPITAL DIVINA PROVIDENCIA - FREDERICO WESTPHALEN - RS - 92.404.789/0001-64"/>
        <s v="MARCELO CESAR AVILA - FLORIANÓPOLIS - SC - 480.639.839-04"/>
        <s v="DROGARIA DA PRACA - MANGARATIBA - RJ - 10.558.548/0001-05"/>
        <s v="ONCOVIT DISTRIBUIDORA DE MEDICAMENTOS LTDA - VITÓRIA - ES - 10.586.940/0001-68"/>
        <s v="HOSPITAL MATER DEI - BELO HORIZONTE - MG - PRIVADO - 16.676.520/0005-82"/>
        <s v="RAUL SOARES GABINETE DO PREFEITO - RAUL SOARES - MG - 18.836.965/0001-84"/>
        <s v="LIFE HOME CARE - MIRACEMA - RJ - 25.308.058/0001-28"/>
        <s v="MEDCLINICA DO CENTRO DE TERESOPOLIS - ANGRA DOS REIS - RJ - 36.238.913/0001-98"/>
        <s v="HOSPITAL MADRE TERESA - BELO HORIZONTE - MG - 60.194.990/0008-44"/>
        <s v="UOPECCAN - CASCAVEL - PR - 81.270.548/0001-53"/>
        <s v="HOSPITAL ESTRELA - ESTRELA - RS - 03.123.393/0002-08"/>
        <s v="HOSPITAL GOVERNADOR ISRAEL PINHEIRO - HGIP - BELO HORIZONTE - MG - 17.217.332/0039-06"/>
        <s v="HOSPITAL INFANTIL JOAO PAULO II - BELO HORIZONTE - MG - 19.843.929/0015-06"/>
        <s v="HOSPITAL MARIO LIONI - DUQUE DE CAXIAS - RJ - 29.435.005/0034-97"/>
        <s v="NITEROI DOR (REDE DOR) - NITERÓI - RJ - 30.145.502/0001-71"/>
        <s v="UNIMED CURITIBA - UNIDADE PADRE GERMANO MAYER - CURITIBA - PR - 75.055.772/0022-54"/>
        <s v="HOSPITAL DE CLINICAS - CURITIBA - PR - 75.095.679/0002-20"/>
        <s v="IMPERIAL HOSPITAL DE CARIDADE - FLORIANÓPOLIS - SC - 83.884.999/0001-06"/>
        <s v="HOSPITAL ESTRELA - ESTRELA - RS - 87.317.764/0011-65"/>
        <s v="LAR &amp; SAUDE ASSISTENCIA DOMICILIAR - CURITIBA - PR - 05.503.803/0001-82"/>
        <s v="HOSPITAL UNIV. PROFESSOR POLYDORO ERNANI DE SAO THIAGO - FLORIANOPOLIS - SC - PRIVADO - 15.126.437/0034-01"/>
        <s v="HOSPITAL UNIVERSITARIO ANTONIO PEDRO - NITEROI - RJ - PRIVADO - 15.126.437/0036-73"/>
        <s v="CLINICA UNIMED - UBERABA - MG - 17.774.738/0006-13"/>
        <s v="HOSPITAL E CLINICA SAO GONCALO - SÃO GONÇALO - RJ - 31.671.480/0001-46"/>
        <s v="HOSPITAL ICARAI - NITERÓI - RJ - 31.671.480/0003-08"/>
        <s v="HOSPITAL UNIMED TRES CORACOES - TRÊS CORAÇÕES - MG - 42.855.999/0003-62"/>
        <s v="CAS-CENTRO DE ATENCAO A SAUDE UNIMED DR.ALVARO RABELLO - CASCAVEL - PR - PRIVADO - 81.170.003/0002-56"/>
        <s v="CENTRO HOSPITALAR UNIMED - JOINVILLE - SC - 82.602.327/0003-60"/>
        <s v="NATALIA FABIANE LUZ - 103.642.546-02"/>
        <s v="HOSPITAL SANTA CATARINA - BLUMENAU - SC - 01.880.344/0001-03"/>
        <s v="ASSOCIACAO HOSPITALAR BENEFICENTE SANTO ANTONIO - TENENTE PORTELA - RS - 08.579.164/0001-27"/>
        <s v="CCI - CENTRO CATARINENSE DE IMUNOTERAPIA LTDA - FLORIANÓPOLIS - SC - 23.982.118/0001-68"/>
        <s v="HOSPITAL EVANGELICO DE CACHOEIRO DE ITAPEMIRIM - CACHOEIRO DE ITAPEMIRIM - ES - 27.193.705/0001-29"/>
        <s v="ELOHIM DISTRIBUIDORA  DE MEDICAMENTOS LTDA - DUQUE DE CAXIAS - RJ - PRIVADO - 33.092.116/0001-57"/>
        <s v="HOSPITAL POLICLINICA CASCAVEL - CASCAVEL - PR - 76.081.892/0001-64"/>
        <s v="HOSPITAL GERAL UNIMED - PONTA GROSSA - PR - 77.781.706/0002-43"/>
        <s v="CLASS LTDA - CENTRO MEDICO PARQUE DAS PALMEIRAS - ANGRA DOS REIS - RJ - 30.325.856/0001-06"/>
        <s v="ONCOLOGIA CLINICA NITEROI S/S - NITERÓI - RJ - 00.521.197/0001-04"/>
        <s v="CLINICA PERINATAL VITORIA LTDA - SERRA - ES - 01.396.804/0001-14"/>
        <s v="SAO BERNARDO APART - COLATINA - ES - 07.039.651/0001-34"/>
        <s v="COMANDO DA ARTILHARIA DIVIS DA TERC DIVISAO DE EXERCITO - CRUZ ALTA - RS - 09.572.216/0002-87"/>
        <s v="HOSPITAL DE GUARNICAO DE SANTA MARIA - SANTA MARIA - RS - 09.605.231/0002-84"/>
        <s v="HOSPITAL DOUTOR DORIO SILVA - SERRA - ES - 27.080.605/0015-91"/>
        <s v="HOSPITAL SANTA RITA DE CASSIA - VITÓRIA - ES - 28.137.925/0001-06"/>
        <s v="UNIMED DE NOVA FRIBURGO - NOVA FRIBURGO - RJ - 29.135.795/0002-08"/>
        <s v="FUNDACAO DE SAUDE PUBLICA DE NOVO HAMBURGO - FSNH - NOVO HAMBURGO - RS - 11.055.682/0001-56"/>
        <s v="IMUNOMED ESPECIALIDADES E CLINICA DE INFUSAO - VITÓRIA - ES - 39.387.477/0001-07"/>
        <s v="CLINICA DE ONCOLOGIA VIVER - SANTA MARIA - RS - 12.508.728/0001-08"/>
        <s v="HOSPITAL DR. ROBERTO ARNIZAUT SILVARES - SÃO MATEUS - ES - 27.080.605/0003-58"/>
        <s v="UNIMED PLANALTO MEDIO - COOPERATIVA DE SERVICOS MEDICOS - PASSO FUNDO - RS - 87.607.149/0006-26"/>
        <s v="INSTITUTO DE ONCOLOGIA KAPLAN - PORTO ALEGRE - RS - 94.831.294/0001-47"/>
        <s v="HOSPITAL SAO LUCAS - NOVA FRIBURGO - RJ - 30.537.740/0001-22"/>
        <s v="UNICLINICA - ERECHIM - RS - 87.638.334/0005-05"/>
        <s v="MUNICIPIO DE CAXIAS DO SUL - CAXIAS DO SUL - RS - 88.830.609/0001-39"/>
        <s v="GLN HOSPITALAR - VOLTA REDONDA - RJ - 10.562.003/0001-72"/>
        <s v="HOSPITAL UNIVERSITARIO ANTONIO PEDRO - NITERÓI - RJ - 28.523.215/0003-78"/>
        <s v="C.T.O. - PETRÓPOLIS - RJ - 30.638.381/0001-08"/>
        <s v="INFUSIONAL TERAPIA IMUNOBIOLOGICA ASSISTIDA LTDA - LINHARES - ES - 29.323.454/0001-85"/>
        <s v="ONKO SOL ASSISTENCIA MEDICA ONCOLOGICA LTDA - CABO FRIO - RJ - 04.703.117/0001-92"/>
        <s v="UNIDADE INTEGRADA JERONOMI MONTEIRO - JERÔNIMO MONTEIRO - ES - 27.080.605/0007-81"/>
        <s v="HOSPITAL DO CORACAO SAMCORDIS - SÃO GONÇALO - RJ - 30.358.881/0001-88"/>
        <s v="HOSPITAL LESTE FLUMINENSE - SÃO GONÇALO - RJ - 31.684.384/0001-32"/>
        <s v="ONCOMED CENTRO PREV E TRAT DE DOENCAS NEOPLASICAS LTDA - BELO HORIZONTE - MG - 00.132.229/0001-80"/>
        <s v="NUCLEO DE HEMATOLOGIA E ONCOLOGIA - BELO HORIZONTE - MG - 02.623.693/0001-02"/>
        <s v="CERUB - CENTRO REUMATOLOGICO DE UBERLNDIA - UBERLÂNDIA - MG - 20.207.543/0001-91"/>
        <s v="SANTA CASA - PASSOS - MG - 23.278.898/0001-60"/>
        <s v="HOSPITAL DE CLINICAS DA UFU - UBERLÂNDIA - MG - 25.648.387/0002-07"/>
        <s v="HOSPITAL UNIMED - PRONTO ATENDIMENTO - POÇOS DE CALDAS - MG - 41.781.949/0002-34"/>
        <s v="CASA DE CARIDADE DE CARANGOLA - CARANGOLA - MG - 19.274.091/0001-81"/>
        <s v="UNIMED ARAXA COOPERATIVA DE TRABALHO MEDICO LTDA - ARAXÁ - MG - 25.910.449/0004-60"/>
        <s v="INSTITUTO MINEIRO ESPECIALIZADO EM GASTROENTEROLOGIA - BELO HORIZONTE - MG - 01.444.455/0001-69"/>
        <s v="CETAL - CENTRO DE TRATAMENTO DO APARELHO LOCOMOTOR LTDA - JUIZ DE FORA - MG - 07.457.902/0001-09"/>
        <s v="HOSPITAL GERAL DE BARBACENA DR. JOSE AMERICO - BARBACENA - MG - 19.843.929/0016-97"/>
        <s v="UNIMONTES - MONTES CLAROS - MG - 22.675.359/0001-00"/>
        <s v="EBSERH HOSPITAL UNIVERSITARIO DO TRIANGULO MINEIRO - UBERABA - MG - 151.26.437/0005-77"/>
        <s v="HOSPITAL SAO LUCAS - CAMPO BELO - MG - 19.130.186/0001-21"/>
        <s v="HOSPITAL JOAO PENIDO - JUIZ DE FORA - MG - 19.843.929/0010-00"/>
        <s v="HOSPITAL EDUARDO DE MENEZES - BELO HORIZONTE - MG - 19.843.929/0011-82"/>
        <s v="HOSPITAL JOAO XXIII - BELO HORIZONTE - MG - 19.843.929/0013-44"/>
        <s v="HOSPITAL JULIA KUBITSCHEK - BELO HORIZONTE - MG - 19.843.929/0028-20"/>
        <s v="GOVERNADOR VALADARES PREF GABINETE DO PREFEITO - GOVERNADOR VALADARES - MG - 20.622.890/0001-80"/>
        <s v="PMMG - BELO HORIZONTE - MG - 16.695.025/0001-97"/>
        <s v="MG SAS GABINETE DO SECRETARIO - BELO HORIZONTE - MG - 18.715.516/0001-88"/>
        <s v="HOSPITAL SAO VICENTE - CAMPO BELO - MG - 19.128.248/0001-60"/>
        <s v="HOSPITAL MATERNIDADE ODETE VALADARES - BELO HORIZONTE - MG - 19.843.929/0029-01"/>
        <s v="HOSPITAL SAO LUCAS - GOVERNADOR VALADARES - MG - 20.599.890/0001-07"/>
        <s v="HOSPITAL SAO MARCOS DE UBERABA LTDA - UBERABA - MG - 25.431.834/0001-82"/>
        <s v="HOSPITAL SAO JOSE / UNIMED - PASSOS - MG - 71.064.539/0003-14"/>
        <s v="PULSUS - BELO HORIZONTE - MG - PRIVADO - 13.631.170/0001-16"/>
        <s v="HOSPITAL SOCOR S/A - BELO HORIZONTE - MG - 17.312.612/0001-12"/>
        <s v="HOSPITAL HUMANITAS - UNIMED - VARGINHA - MG - 17.845.504/0002-96"/>
        <s v="CEOF - FLORIANÓPOLIS - SC - 01.125.832/0001-05"/>
        <s v="SERVICOS DE QUIMIOTERAPIA UNIMED BRUSQUE - BRUSQUE - SC - 01.554.266/0003-00"/>
        <s v="VIVER CLINICA MEDICA LTDA - FLORIANÓPOLIS - SC - 04.670.913/0001-76"/>
        <s v="TITULO DO ESTABELECIMENTO (NOME DE FANTASIA)  HOSPITAL GERAL JOINVILLE - JOINVILLE - SC - 12.361.267/0042-61"/>
        <s v="CLINICA PRO-VIDA LTDA - TUBARÃO - SC - 80.490.618/0001-16"/>
        <s v="HOSPITAL UNIMED BLUMENAU - UNIDADE VILA NOVA - BLUMENAU - SC - 82.624.776/0006-51"/>
        <s v="UNIMED DE BRUSQUE - BRUSQUE - SC - 01.554.266/0001-49"/>
        <s v="HOSPITAL STO ANTONIO - BLUMENAU - SC - 82.654.088/0001-20"/>
        <s v="CENTRO MEDICO UNIMED - TUBARÃO - SC - 85.241.339/0008-09"/>
        <s v="HOSPITAL UNIMED JARAGUA DO SUL - JARAGUÁ DO SUL - SC - 03.855.214/0002-19"/>
        <s v="CLINICA DE ONCOLOGIA REICHOW LTDA - BLUMENAU - SC - PRIVADO - 03.354.642/0001-87"/>
        <s v="SOCIMED SERVICOS HOSPITALARES S.A - TUBARÃO - SC - 01.595.799/0001-79"/>
        <s v="HOSPITAL ANGELINA CARON - CAMPINA GRANDE DO SUL - PR - 07.088.017/0001-91"/>
        <s v="CEMED CARE - EMPRESA DE ATENDIMENTO CLINICO GERAL LTDA - SÃO JOSÉ DOS PINHAIS - PR - 07.794.623/0022-57"/>
        <s v="HOSPITAL DO CORACAO DE LONDRINA LTDA - LONDRINA - PR - 04.762.301/0001-03"/>
        <s v="FUNDACAO HOSPITALAR SAO LUCAS - CASCAVEL - PR - 21.998.635/0001-08"/>
        <s v="PRO-ONCO CENTRO DE TRATAMENTO ONCOLOGICO SS LTDA - LONDRINA - PR - 73.863.342/0001-09"/>
        <s v="PRONTO ATENDIMENTO UNIMED LONDRINA - LONDRINA - PR - 75.222.224/0018-95"/>
        <s v="HOSPITAL PARANA - MARINGÁ - PR - 77.265.361/0001-94"/>
        <s v="HOSPITAL DO CANCER DE LONDRINA - LONDRINA - PR - 78.633.088/0001-76"/>
        <s v="HOSPITAL E MATERNIDADE MARIA AUXILIADORA - MARINGÁ - PR - 79.115.762/0001-93"/>
        <s v="HOSPITAL UNIMED - UNIDADE CENTRO - CAMPO MOURÃO - PR - 81.715.716/0004-10"/>
        <s v="COOP CENTRO DE ONCOLOGIA DO OESTE DO PARANA - CASCAVEL - PR - 17.864.888/0001-03"/>
        <s v="ISCAL - LONDRINA - PR - 78.614.971/0001-19"/>
        <s v="ANIMO- ANTINEOPLASICOS INJETAVEIS E MEDICINA ONCOLOGICA - GUARAPUAVA - PR - 78.044.815/0002-40"/>
        <s v="UNIMED DE CIANORTE COOPERATIVA DE TRABALHO MEDICO - CIANORTE - PR - 81.733.115/0001-97"/>
        <s v="HOSPITAL ECOVILLE - CURITIBA - PR - 00.942.063/0001-67"/>
        <s v="NOSSA SAUDE OPERADORA DE PLANOS PRIVADOS DE ASSISTENCIA A SAUDE LTDA. - CURITIBA - PR - 02.862.447/0002-86"/>
        <s v="ICTR - INSTITUTO DO CANCER E TRANSPLANTE S/C - CURITIBA - PR - 03.824.198/0001-16"/>
        <s v="INSTITUTO DE HEMATOLOGIA E ONCOLOGIA CURITIBA - CURITIBA - PR - 03.850.913/0001-95"/>
        <s v="CRUZ VERMELHA BRASILEIRA - FILIAL DO ESTADO DO PARANA - CURITIBA - PR - 07.404.052/0001-72"/>
        <s v="HOSPITAL GERAL DE CURITIBA - CURITIBA - PR - 09.579.964/0002-91"/>
        <s v="HOSPITAL VITORIA - CURITIBA - PR - 29.435.005/0056-00"/>
        <s v="ONIX MATEUS LEME - CURITIBA - PR - 30.117.769/0001-55"/>
        <s v="HOSPITAL NOSSA SENHORA DAS GRACAS - CURITIBA - PR - 76.562.198/0001-69"/>
        <s v="HOSPITAL MARCELINO CHAMPAGNAT - CURITIBA - PR - 76.659.820/0023-67"/>
        <s v="HOSPITAL NOSSA SENHORA DO PILAR LTDA - CURITIBA - PR - 76.498.013/0001-02"/>
        <s v="FERTWAY REPRODUCAO HUMANA LTDA - EPP - CURITIBA - PR - 04.378.502/0001-01"/>
        <s v="CLINIVET HOSPITAL VETERINARIO - CURITIBA - PR - PRIVADO - 01.269.903/0001-35"/>
        <s v="CLINICA VETERINARIA NEUROPET - CURITIBA - PR - PRIVADO - 31.824.062/0001-41"/>
        <s v="MARIA BEATRIZ DE SOUZA MOREIRA - RIO DE JANEIRO - RJ - 111.149.877-60"/>
        <s v="HOSPITAL GERAL DE BONSUCESSO/RJ - RIO DE JANEIRO - RJ - 00.394.544/0202-91"/>
        <s v="HOSPITAL FEDERAL CARDOSO FONTES - RIO DE JANEIRO - RJ - 00.394.544/0203-72"/>
        <s v="HOSPITAL DA LAGOA/RJ - RIO DE JANEIRO - RJ - 00.394.544/0204-53"/>
        <s v="HOSPITAL GERAL DE IPANEMA/RJ - RIO DE JANEIRO - RJ - 00.394.544/0210-00"/>
        <s v="INSTITUTO NACIONAL DE CARDIOLOGIA - RIO DE JANEIRO - RJ - 00.394.544/0213-44"/>
        <s v="HOSPITAL NAVAL MARCILIO DIAS - RIO DE JANEIRO - RJ - 00.394.502/0148-70"/>
        <s v="INSTITUTO NACIONAL DE CANCER - RIO DE JANEIRO - RJ - 00.394.544/0171-50"/>
        <s v="HOSPITAL BARRA DOR (REDE DOR) - RIO DE JANEIRO - RJ - 02.284.062/0005-21"/>
        <s v="CENTRON - CENTRO DE TRATAMENTO ONCOLOGICO LTDA - RIO DE JANEIRO - RJ - 02.864.097/0001-06"/>
        <s v="HOSPITAL COPA DOR (REDE DOR) - RIO DE JANEIRO - RJ - 06.047.087/0009-96"/>
        <s v="HOSPITAL QUINTA DOR (REDE DOR) - RIO DE JANEIRO - RJ - 06.047.087/0010-20"/>
        <s v="HOSPITAL COPA DOR STAR (REDE DOR) - RIO DE JANEIRO - RJ - 06.047.087/0026-97"/>
        <s v="HOSPITAL OESTE DOR (REDE DOR) - RIO DE JANEIRO - RJ - 06.047.087/0033-16"/>
        <s v="CEMED CARE - EMPRESA DE ATENDIMENTO CLINICO GERAL LTDA - RIO DE JANEIRO - RJ - 07.794.623/0048-96"/>
        <s v="HOSPITAL SAMARITANO - RIO DE JANEIRO - RJ - 08.100.676/0021-02"/>
        <s v="INSTITUTO DOR DE GESTAO DE SAUDE PUBLICA (REDE DOR) - RIO DE JANEIRO - RJ - 08.850.962/0002-22"/>
        <s v="UNIMED-RIO EMPREENDIMENTOS MEDICOS E HOSPITALARES LTDA - RIO DE JANEIRO - RJ - 09.219.138/0005-84"/>
        <s v="HOSPITAL NORTE DOR DE CASCADURA S.A (REDE DOR) - RIO DE JANEIRO - RJ - 09.578.217/0001-58"/>
        <s v="HOSPITAL CENTRALDO EXERCITO - RIO DE JANEIRO - RJ - 09.609.235/0002-30"/>
        <s v="HOSPITAL CASA DE PORTUGAL - RIO DE JANEIRO - RJ - 11.279.865/0001-55"/>
        <s v="HOSPITAL SAO VICENTE DE PAULO - RIO DE JANEIRO - RJ - 18.010.750/0001-00"/>
        <s v="BRASIF S/A ADMINISTRACAO E PARTICIPACOES - RIO DE JANEIRO - RJ - 21.109.731/0001-40"/>
        <s v="HOMEBABY HOMECARE DA CRIANCA ATENDIMENTO MEDICO DOMICILIAR LIMITADA - RIO DE JANEIRO - RJ - 21.265.360/0001-95"/>
        <s v="HOSPITAL CASA ARRENDATARIA SERVICOS MEDICOS HOSPITALARES E INVESTIMENTOS LTDA - RIO DE JANEIRO - RJ - 24.217.779/0001-60"/>
        <s v="HOSPITAL DR. BADIM (REDE DOR) - RIO DE JANEIRO - RJ - 27.901.222/0001-31"/>
        <s v="ONCOLOGIA REDE DOR S.A. - RIO DE JANEIRO - RJ - 28.000.107/0001-59"/>
        <s v="URGIL - RIO DE JANEIRO - RJ - 28.602.407/0001-08"/>
        <s v="HOSPITAL RIOS DOR (REDE DOR) - RIO DE JANEIRO - RJ - 29.259.736/0004-03"/>
        <s v="HOSPITAL PRO-CARDIACO - RIO DE JANEIRO - RJ - 29.435.005/0051-98"/>
        <s v="HOSPITAL PASTEUR - RIO DE JANEIRO - RJ - 29.435.005/0057-83"/>
        <s v="HOSPITAL SAMARITANO - RIO DE JANEIRO - RJ - 29.435.005/0061-60"/>
        <s v="CLINICA SAO VICENTE (REDE DOR) - RIO DE JANEIRO - RJ - 31.635.857/0001-01"/>
        <s v="HOSPITAIS INTEGRADOS DA GAVEA S/A - RIO DE JANEIRO - RJ - 31.635.857/0002-92"/>
        <s v="HOSPITAL DE CLINICAS RIO MAR BARRA LTDA - RIO DE JANEIRO - RJ - 32.154.700/0001-27"/>
        <s v="PETROBRAS - RIO DE JANEIRO - RJ - 33.000.167/0001-01"/>
        <s v="LARANJEIRAS CLINICA PERINATAL - RIO DE JANEIRO - RJ - 33.419.482/0002-59"/>
        <s v="INSTITUTO DE PUERICULTURA E PEDIATRIA MARTAGAO GESTEIR - RIO DE JANEIRO - RJ - 33.663.683/0026-74"/>
        <s v="HOSPITAL UNIVERSITARIO - RIO DE JANEIRO - RJ - 33.663.683/0053-47"/>
        <s v="INSTITUTO FERNANDES FIGUEIRA - RIO DE JANEIRO - RJ - 33.781.055/0002-16"/>
        <s v="CENTRO DE ESTUDOS E PESQUISAS 28 - RIO DE JANEIRO - RJ - 33.927.377/0001-40"/>
        <s v="COI CLINICAS ONCOLOGICAS INTEGRADAS SA - RIO DE JANEIRO - RJ - 39.086.160/0001-30"/>
        <s v="HOSPITAL SAO FRANCISCO NA PROVIDENCIA DE DEUS - RIO DE JANEIRO - RJ - 53.221.255/0049-95"/>
        <s v="HOSPITAL SAO LUCAS - RIO DE JANEIRO - RJ - 60.884.855/0016-30"/>
        <s v="CASA DE SAUDE SAO JOSE - RIO DE JANEIRO - RJ - 60.922.168/0003-48"/>
        <s v="ONCOCLINICA - CENTRO DE TRATAMENTO ONCOLOGICO S.A. - RIO DE JANEIRO - RJ - 72.101.124/0005-06"/>
        <s v="HOSPITAL ADVENTISTA SILVESTRE - RIO DE JANEIRO - RJ - 73.696.718/0002-19"/>
        <s v="CLINICA CIRURGICA E ONCOLOGICA DA PENHA LTDA - RIO DE JANEIRO - RJ - 22.400.856/0001-97"/>
        <s v="CASA DE SAUDE SANTA LUCIA - RIO DE JANEIRO - RJ - 29.435.005/0052-79"/>
        <s v="HOSPITAL DE CLINICAS DE JACAREPAGUA LTDA - RIO DE JANEIRO - RJ - 34.058.123/0001-03"/>
        <s v="CLIMES CLINICA MEDICA ESPECIALIZADA LTDA - RIO DE JANEIRO - RJ - 40.320.103/0001-53"/>
        <s v="HOSPITAL BALBINO - RIO DE JANEIRO - RJ - 42.297.507/0001-07"/>
        <s v="MAIARA ALMEIDA DA SILVA - RIO DE JANEIRO - RJ - 003.204.650-20"/>
        <s v="REJANE CELESTE DOS ANJOS BECKER - RIO DE JANEIRO - RJ - 053.719.447-96"/>
        <s v="UNIMED-RIO EMPREENDIMENTOS MEDICOS E HOSPITALARES LTDA - RIO DE JANEIRO - RJ - 09.219.138/0004-01"/>
        <s v="FUNDACAO ARY FRAUZINO PARA PESQUISA E CONTROL DO CANCER - RIO DE JANEIRO - RJ - 40.226.946/0002-76"/>
        <s v="DROGARIA MODERNA - RIO DE JANEIRO - RJ - 04.779.685/0023-82"/>
        <s v="HOSPITAL ILHA DO GOVERNADOR LTDA - RIO DE JANEIRO - RJ - 22.233.557/0001-05"/>
        <s v="ASSIM SAUDE - RIO DE JANEIRO - RJ - 31.925.548/0001-76"/>
        <s v="UERJ - RIO DE JANEIRO - RJ - 33.540.014/0001-57"/>
        <s v="HOSPITAL ISRAELITA ALBERT SABIN (REDE DOR) - RIO DE JANEIRO - RJ - 33.722.224/0001-66"/>
        <s v="PRONEP LAR INTERNACAO DOMICILIAR LTDA - RIO DE JANEIRO - RJ - 00.092.929/0001-98"/>
        <s v="FUNDACAO SAUDE DO ESTADO DO RIO DE JANEIRO - RIO DE JANEIRO - RJ - 10.834.118/0001-79"/>
        <s v="CID - CENTRO DE INFUSAO - RIO DE JANEIRO - RJ - PRIVADO - 10.922.058/0001-46"/>
        <s v="CASA DE SAUDE SANTA THEREZINHA S A - RIO DE JANEIRO - RJ - 33.575.127/0006-00"/>
        <s v="HOSPITAL MEMORIAL FUAD CHIDID LTDA - RIO DE JANEIRO - RJ - 33.705.849/0005-43"/>
        <s v="RIO DE JANEIRO GABINETE DO PREFEITO - RIO DE JANEIRO - RJ - 42.498.733/0001-48"/>
        <s v="CENTRO DE AQUISICOES ESPECIFICAS - CAE - RIO DE JANEIRO - RJ - 00.394.429/0174-29"/>
        <s v="INTENSIVE CARE SERVICOS MEDICOS HOSPITALARES LTDA - RIO DE JANEIRO - RJ - PRIVADO - 02.880.648/0001-25"/>
        <s v="FARMACIA TORRES LIMITADA - RIO DE JANEIRO - RJ - PRIVADO - 33.476.482/0001-00"/>
        <s v="CLINICA SAO CARLOS SA - RIO DE JANEIRO - RJ - 33.804.212/0001-80"/>
        <s v="INSTITUTO DE PUERICULTURA E PEDIATRIA MARTAGAO GESTEIR - RIO DE JANEIRO - RJ - PUBLICO - 33.663.683/0026-74" u="1"/>
        <s v="HOSPITAL UNIMED RESENDE - RESENDE - RJ - PRIVADO - 68.709.211/0002-12" u="1"/>
        <s v="HOSPITAL MINISTRO COSTA CAVALCANTI - FOZ DO IGUACU - PR - PRIVADO - 00.304.148/0001-10" u="1"/>
        <s v="UNIMED HOSPITAL SAO DOMINGOS - CATANDUVA - SP - PRIVADO - 45.118.429/0012-79" u="1"/>
        <s v="HOSPITAL SAO LUCAS - RIO DE JANEIRO - RJ - PRIVADO - 60.884.855/0016-30" u="1"/>
        <s v="JEAN STANISLAS MARIE BRUNET-LECOMTE - PESSOA FÍSICA - 239.415.938-38" u="1"/>
        <s v="HOSPITAL SANTA CRUZ SOCIEDADE ANONIMA - CURITIBA - PR - PRIVADO - 76.555.069/0001-43" u="1"/>
        <s v="INSTITUTO DO CANCER DO ESTADO DE SAO PAULO - SAO PAULO - SP - PRIVADO - 56.577.059/0006-06" u="1"/>
        <s v="HOSPITAL ANGELINA CARON - CAMPINA GRANDE DO SUL - PR - PRIVADO - 07.088.017/0001-91" u="1"/>
        <s v="HONCORD - GOIANIA - GO - PRIVADO - 06.337.035/0001-05" u="1"/>
        <s v="HOSPITAL COPA DOR - RIO DE JANEIRO - RJ - PRIVADO - 06.047.087/0009-96" u="1"/>
        <s v="MAIARA ALMEIDA DA SILVA - RIO DE JANEIRO - RJ - PESSOA FISICA - 003.204.650-20" u="1"/>
        <s v="HOME LIFE ASSISTENCIA DOMICILIAR EM SAUDE - PRIVADO - 08.438.844/0003-92" u="1"/>
        <s v="PMPA - PORTO ALEGRE - RS - PUBLICO - 92.963.560/0001-60" u="1"/>
        <s v="HOSPITAL STO ANTONIO - BLUMENAU - SC - PRIVADO - 82.654.088/0001-20" u="1"/>
        <s v="HOSPITAL A.C.CAMARGO - TAMANDARE - SAO PAULO - SP - PRIVADO - 60.961.968/0004-59" u="1"/>
        <s v="HOSPITAL SANTA ROSA - CUIABA - MT - PRIVADO - 70.524.145/0001-77" u="1"/>
        <s v="JHOSPITAL UNIMED DE ARARAS - ARARAS - SP - PRIVADO - 54.012.406/0003-85" u="1"/>
        <s v="HOSPITAL E MATERNIDADE METROPOLITANO - SAO PAULO - SP - PRIVADO - 51.722.957/0125-12" u="1"/>
        <s v="UBERLANDIA MEDICAL CENTER - UBERLANDIA - MG - PRIVADO - 17.087.591/0001-89" u="1"/>
        <s v="CEHON - CENTRO DE HEMATOLOGIA E ONCOLOGIA DA BAHIA LTDA - SALVADOR - BA - PRIVADO - 01.837.492/0001-37" u="1"/>
        <s v="CLIOM - MACEIO - AL - PRIVADO - 05.612.725/0001-54" u="1"/>
        <s v="ICTR - INSTITUTO DO CANCER E TRANSPLANTE S/C - CURITIBA - PR - PRIVADO - 03.824.198/0001-16" u="1"/>
        <s v="VIP HOME CARE ATENDIMENTO DOMICILIAR LTDA" u="1"/>
        <s v="HOSPITAL UNIMED - MACEIO - AL - PRIVADO - 12.442.737/0004-96" u="1"/>
        <s v="FUNDACAO OURO BRANCO - OURO BRANCO - MG - PRIVADO - 21.299.615/0001-30" u="1"/>
        <s v="FUNDACAO FACULDADE DE MEDICINA - SAO PAULO - SP - PRIVADO - 56.577.059/0001-00" u="1"/>
        <s v="HOSPITAL E MATERNIDADE SANTA MARIA - SAO PAULO - SP - PRIVADO - 62.106.505/0001-92" u="1"/>
        <s v="UNIMED JOAO PESSOA COOPERATIVA DO TRABALHO MEDICO - JOAO PESSOA - PB - PRIVADO - 08.680.639/0006-81" u="1"/>
        <s v="CRETA - CENTRO REUMATOLOGICO DE TERAPIA AVANCADA LTDA. - ME - SAO PAULO - SP - PRIVADO - 10.468.341/0001-40" u="1"/>
        <s v="HOSPITAL DAHER LAGO SUL S/A - BRASILIA - DF - PRIVADO - 00.382.069/0001-27" u="1"/>
        <s v="AISI FMIT HE - ITAJUBA - MG - PRIVADO - 21.040.696/0003-11" u="1"/>
        <s v="HOSPITAL DO CORACAO - ARACAJU - SE - PRIVADO - 03.222.051/0001-56" u="1"/>
        <s v="CLINICA SAO VICENTE - RIO DE JANEIRO - RJ - PRIVADO - 31.635.857/0001-01" u="1"/>
        <s v="PLAMHUV - VICOSA - MG - PRIVADO - 14.408.631/0001-59" u="1"/>
        <s v="TAIANA ANGELICA LUZ _x000d__x000a_- PESSOA FÍSICA - 933.266.452-87" u="1"/>
        <s v="HOSPITAL ANA LIMA - MARACANAU - CE - PRIVADO - 12.361.267/0084-10" u="1"/>
        <s v="CENTRO MEDICO RIO PRETO LTDA - SAO JOSE DO RIO PRETO - SP - PRIVADO - 48.310.098/0001-00" u="1"/>
        <s v="MEDRADIUS - MACEIO - AL - PRIVADO - 03.866.223/0001-24" u="1"/>
        <s v="HOSPITAL PADRE ALBINO - CATANDUVA - SP - PRIVADO - 47.074.851/0008-19" u="1"/>
        <s v="DEPARTAMENTO REGIONAL DE SAUDE DE ARARAQUARA - DRS III - ARARAQUARA - SP - PUBLICO - 46.374.500/0092-21" u="1"/>
        <s v="ONCOEXPRESS - SÃO PAULO - SP - PRIVADO - 22.227.973/0001-09" u="1"/>
        <s v="SOCIEDADE BENEFICENTE DE SENHORAS - HOSPITAL SIRIO LIBANES" u="1"/>
        <s v="PRODAL SAUDE S/A - SALVADOR - BA - PRIVADO - 11.943.553/0001-02" u="1"/>
        <s v="HOSPITAL SAO LUIS - HSLZ LTDA. - SAO JOSE DE RIBAMAR - MA - PRIVADO - 09.192.098/0001-09" u="1"/>
        <s v="HOSPITAL SAO CAMILO - SANTANA - SAO PAULO - SP - PRIVADO - 60.975.737/0012-04" u="1"/>
        <s v="NUCLEO DE HEMATOLOGIA E ONCOLOGIA - BELO HORIZONTE - MG - PRIVADO - 02.623.693/0001-02" u="1"/>
        <s v="HCS - SOROCABA - SP - PRIVADO - 26.048.123/0001-96" u="1"/>
        <s v="PIAUI SECRETARIA DE SAUDE - TERESINA - PI - PUBLICO - 06.553.564/0001-38" u="1"/>
        <s v="EMPRESA BRASILEIRA DE SERVICOS HOSPITALARES - EBSERH - NATAL - RN - PRIVADO - 15.126.437/0007-39" u="1"/>
        <s v="CLINICA SANTA HELENA - ARACAJU - SE - PRIVADO - 13.086.053/0001-19" u="1"/>
        <s v="IMUNOMED ESPECIALIDADES E CLINICA DE INFUSAO - PRIVADO - 39.387.477/0001-07" u="1"/>
        <s v="HOSPITAL UNIMED PRIMAVERA - PRIVADO - 06.555.031/0002-76" u="1"/>
        <s v="HOSPITAL UNIMED SAO CARLOS - SAO CARLOS - SP - PRIVADO - 45.359.213/0005-76" u="1"/>
        <s v="IRMANDADE DE MISERICORDIA DO HOSPITAL DA SANTA CASA DE MONTE ALTO - MONTE ALTO - SP - PRIVADO - 52.852.100/0001-40" u="1"/>
        <s v="CASA DE CARIDADE DE CARANGOLA - CARANGOLA - MG - PRIVADO - 19.274.091/0001-81" u="1"/>
        <s v="FBC - SALVADOR - BA - PRIVADO - 16.475.154/0002-50" u="1"/>
        <s v="PRIME HOME CARE - BRASILIA - DF - PRIVADO - 16.739.984/0001-67" u="1"/>
        <s v="CLINICA DE ONCOLOGIA VIVER - SANTA MARIA - RS - PRIVADO - 12.508.728/0001-08" u="1"/>
        <s v="HOSPITAL ISRAELITA ALBERT SABIN - RIO DE JANEIRO - RJ - PRIVADO - 33.722.224/0001-66" u="1"/>
        <s v="CLINICA DE NEUROLOGIA E NEUROINFUSAO DE BRASILIA - BRASILIA - DF - PRIVADO - 30.135.335/0001-88" u="1"/>
        <s v="CEMED CARE - EMPRESA DE ATENDIMENTO CLINICO GERAL LTDA - NOVA IGUACU - RJ - PRIVADO - 07.794.623/0015-28" u="1"/>
        <s v="HOSPITAL UNIMED JARAGUA DO SUL - JARAGUA DO SUL - SC - PRIVADO - 03.855.214/0002-19" u="1"/>
        <s v="ASSOCIACAO HOSPITALAR CASA DE SAUDE DE SANTOS - SANTOS - SP - PRIVADO - 18.290.268/0001-70" u="1"/>
        <s v="HOSPITAL DAS FORCAS ARMADAS - BRASILIA - DF - PUBLICO - 03.568.867/0001-36" u="1"/>
        <s v="HUPAA - MACEIO - AL - PUBLICO - 24.464.109/0002-29" u="1"/>
        <s v="SOCIEDADE SULINA DIVINA PROVIDENCIA" u="1"/>
        <s v="HOSPITAL FRANCISCA DE SANDE - FEIRA DE SANTANA - BA - PRIVADO - 12.361.267/0104-07" u="1"/>
        <s v="UNICLINICA - ERECHIM - RS - PRIVADO - 87.638.334/0005-05" u="1"/>
        <s v="INSTITUTO FERNANDES FIGUEIRA - RIO DE JANEIRO - RJ - PUBLICO - 33.781.055/0002-16" u="1"/>
        <s v="HOSPITAL AEROPORTO - LAURO DE FREITAS - BA - PRIVADO - 04.602.792/0001-25" u="1"/>
        <s v="HOSPITAL PRO-CARDIACO - RIO DE JANEIRO - RJ - PRIVADO - 29.435.005/0051-98" u="1"/>
        <s v="IMPERIAL HOSPITAL DE CARIDADE - FLORIANOPOLIS - SC - PRIVADO - 83.884.999/0001-06" u="1"/>
        <s v="PRO-ONCO CENTRO DE TRATAMENTO ONCOLOGICO SS LTDA - LONDRINA - PR - PRIVADO - 73.863.342/0001-09" u="1"/>
        <s v="PRONTOCARDIO SERVICOS MEDICOS HOSPITALARES S/A - FORTALEZA - CE - PRIVADO - 08.711.085/0001-28" u="1"/>
        <s v="INSTITUTO DE IMUNOLOGIA E ONCOLOGIA S/S LTDA - SAO PAULO - SP - PRIVADO - 05.831.510/0001-24" u="1"/>
        <s v="HOSPITAL 9 DE JULHO - SAO PAULO - SP - PRIVADO - 60.884.855/0003-16" u="1"/>
        <s v="HOSPITAL VITORIA - CURITIBA - PR - PRIVADO - 29.435.005/0056-00" u="1"/>
        <s v="DEPARTAMENTO DE LOGISTICA - BRASILIA - DF - PUBLICO - 00.394.544/0008-51" u="1"/>
        <s v="CLINICA DE ONCOLOGIA MEDICA SOCIEDADE SIMPLES LTDA - SAO PAULO - SP - PRIVADO - 59.481.028/0001-30" u="1"/>
        <s v="HOSPITAL 10 JULHO - PINDAMONHANGABA  - SP - PRIVADO - 47.565.155/0009-96" u="1"/>
        <s v="HEMOLABOR UNIDADE ONCO-HEMATOLOGICA - GOIANIA - GO - PRIVADO - 00.418.954/0007-04" u="1"/>
        <s v="HOSPITAL SANTA RITA DE CASSIA - VITORIA - ES - PRIVADO - 28.137.925/0001-06" u="1"/>
        <s v="HOSPITAL UNIMED - UNIDADE CENTRO - CAMPO MOURAO - PR - PRIVADO - 81.715.716/0004-10" u="1"/>
        <s v="HOSPITAL NETTO CAMPELLO DE SERTAOZINHO - SP - PRIVADO - 01.613.433/0080-89" u="1"/>
        <s v="HOSPITAL SANCTA MAGGIORE ITAIM - SAO PAULO - SP - PRIVADO - 00.461.479/0019-92" u="1"/>
        <s v="CASA DE SAUDE SAO JOSE - RIO DE JANEIRO - RJ - PRIVADO - 60.922.168/0003-48" u="1"/>
        <s v="UNIMED DE SANTOS COOPERATIVA DE TRABALHO MEDICO - SANTOS - SP - PRIVADO - 58.229.691/0010-70" u="1"/>
        <s v="UNIMED CAMPINAS COOPERATIVA DE TRABALHO MEDICO - CAMPINAS - SP - PRIVADO - 46.124.624/0001-11" u="1"/>
        <s v="CLINICA SOUZA BRITO - CUIABA - MT - PRIVADO - 15.016.827/0001-60" u="1"/>
        <s v="HOSPITAL UNIMED - PETROPOLIS - RJ - PRIVADO - 28.806.545/0005-32" u="1"/>
        <s v="HOSPITAL SAO FRANCISCO DE RIBEIRAO PRETO SP - PRIVADO - 01.613.433/0068-92" u="1"/>
        <s v="HOSPITAL UNIMED DE ARACATUBA - ARACATUBA - SP - PRIVADO - 51.093.193/0004-56" u="1"/>
        <s v="LARANJEIRAS CLINICA PERINATAL - RIO DE JANEIRO - RJ - PRIVADO - 33.419.482/0002-59" u="1"/>
        <s v="H S COR - DUQUE DE CAXIAS - RJ - PRIVADO - 08.562.523/0001-33" u="1"/>
        <s v="HU - UFSC - FLORIANOPOLIS - SC - PUBLICO - 83.899.526/0004-25" u="1"/>
        <s v="HOSPITAL MONTE KLINIKUM - PRIVADO - 29.435.005/0074-84" u="1"/>
        <s v="HOSPITAL VITA BATEL - CURITIBA - PR - 06.943.723/0001-00" u="1"/>
        <s v="HOSPITAL DO CIRCULO - CAXIAS DO SUL - RS - PRIVADO - 88.645.403/0013-72" u="1"/>
        <s v="CARDIO PULMONAR DA BAHIA S.A - SALVADOR - BA - PRIVADO - 13.952.064/0001-34" u="1"/>
        <s v="HOSPITAL UNIVERSITARIO ALCIDES CARNEIRO/UFCG - CAMPINA GRANDE - PB - PUBLICO - 05.055.128/0002-57" u="1"/>
        <s v="ASSOCIACAO HOSPITALAR FILHAS DE NOSSA SENHORA DO MONTE CALVARIO - SAO PAULO - SP - PRIVADO - 18.180.008/0001-42" u="1"/>
        <s v="HOSPITAL UNIMED RECIFE - RECIFE - PE - PRIVADO - 11.214.624/0004-70" u="1"/>
        <s v="HOSPITAL INCAR - SANTO ANTONIO DE JESUS - BA - PRIVADO - 05.652.543/0001-07" u="1"/>
        <s v="INSTITUTO DE ONCOLOGIA PREVENT SENIOR - SAO PAULO - SP - PRIVADO - 00.461.479/0045-84" u="1"/>
        <s v="INSTITUTO DR JOSE FROTA - FORTALEZA - CE - PUBLICO - 07.835.044/0001-80" u="1"/>
        <s v="UNIMED DE PRES PRUDENTE COOPERATIVA DE TRABALHO MEDICO - PRESIDENTE PRUDENTE - SP - PRIVADO - 44.863.959/0001-26" u="1"/>
        <s v="HOSPITAL QUINTA DOR - RIO DE JANEIRO - RJ - PRIVADO - 06.047.087/0010-20" u="1"/>
        <s v="HOSPITAL MUNICIPAL DE SALVADOR  - SALVADOR - BA - PRIVADO - 15.153.745/0027-05" u="1"/>
        <s v="HOSPITAL E MATERNIDADE MADRECOR - UBERLANDIA - MG - PRIVADO - 20.150.900/0001-22" u="1"/>
        <s v="HOSPITAL SAO FRANCISCO NA PROVIDENCIA DE DEUS - RIO DE JANEIRO - RJ - PRIVADO - 53.221.255/0049-95" u="1"/>
        <s v="DEPARTAM. REGIONAL DE SAUDE DE RIB. PRETO - DRS XIII - PUBLICO - 46.374.500/0035-33" u="1"/>
        <s v="ASSOCIACAO DR BARTHOLOMEU TACCHINI - BENTO GONCALVES - RS - PRIVADO - 87.547.444/0001-20" u="1"/>
        <s v="HOSPITAL MULTI ESPECIALIDADES LTDA EPP - PRIVADO - 21.155.621/0001-14" u="1"/>
        <s v="COMANDO DA ARTILHARIA DIVIS DA TERC DIVISAO DE EXERCITO - CRUZ ALTA - RS - PUBLICO - 09.572.216/0002-87" u="1"/>
        <s v="IRMANDADE DA SANTA CASA DE MISERICORDIA DE PORTO ALEGRE - PORTO ALEGRE - RS - PRIVADO - 92.815.000/0001-68" u="1"/>
        <s v="HOSPITAL SAMARITANO - RIO DE JANEIRO - RJ - PRIVADO - 29.435.005/0061-60" u="1"/>
        <s v="HOSPITAL UNIMED CAXIAS DO SUL - CAXIAS DO SUL - RS - PRIVADO - 87.827.689/0024-05" u="1"/>
        <s v="ESHO EMPRESA DE SERVICOS HOSPITALARES S.A. - NATAL - RN - PRIVADO - 29.435.005/0098-51" u="1"/>
        <s v="COI CLINICAS ONCOLOGICAS INTEGRADAS SA - RIO DE JANEIRO - RJ - PRIVADO - 39.086.160/0001-30" u="1"/>
        <s v="HOSPITAL AVICCENA S/A - SAO PAULO - SP - PRIVADO - 72.775.745/0001-33" u="1"/>
        <s v="HOSPITAL ESTRELA - ESTRELA - RS - PRIVADO - 03.123.393/0002-08" u="1"/>
        <s v="FERTWAY REPRODUCAO HUMANA LTDA - EPP - CURITIBA - PR - PRIVADO - 04.378.502/0001-01" u="1"/>
        <s v="ASSIM SAUDE - RIO DE JANEIRO - RJ - PRIVADO - 31.925.548/0001-76" u="1"/>
        <s v="HOSPITAL CRISTO REDENTOR - PORTO ALEGRE - RS - PRIVADO - 92.787.118/0003-91" u="1"/>
        <s v="ESHO EMPRESA DE SERVICOS HOSPITALARES S.A. - PRIVADO - 29.435.005/0081-03" u="1"/>
        <s v="PRONEP SAO PAULO - SAO PAULO - SP - PRIVADO - 02.837.922/0001-83" u="1"/>
        <s v="AMICO SAUDE LTDA - SAO PAULO - SP - PRIVADO - 51.722.957/0005-06" u="1"/>
        <s v="HOSPITAL MONTE SINAI LTDA - GARANHUNS - PE - PRIVADO - 03.858.924/0001-11" u="1"/>
        <s v="INSTITUTO NACIONAL DE CANCER - RIO DE JANEIRO - RJ - PUBLICO - 00.394.544/0171-50" u="1"/>
        <s v="UNIDADE HOSPITAL VITORIA SANTOS - PRIVADO - 29.435.005/0080-22" u="1"/>
        <s v="JUNDIAI GABINETE PREFEITO - JUNDIAI - SP - PUBLICO - 45.780.103/0001-50" u="1"/>
        <s v="HOSPITAL VILA NOVA STAR - SAO PAULO - SP - PRIVADO - 28.290.788/0001-37" u="1"/>
        <s v="CCI - CENTRO CATARINENSE DE IMUNOTERAPIA LTDA" u="1"/>
        <s v="HBA - SALVADOR - BA - PRIVADO - 05.469.172/0001-22" u="1"/>
        <s v="HOSPITAL DO CORACAO - SAO PAULO - SP - PRIVADO - 60.453.024/0003-90" u="1"/>
        <s v="SANTA CASA DE MISERICORDIA NOSSA SENHORA DO PATROCINIO - PATROCINIO - MG - PRIVADO - 23.406.564/0001-24" u="1"/>
        <s v="HOSPITAL E MATERNIDADE VITORIA - SAO PAULO - SP - PRIVADO - 29.435.005/0045-40" u="1"/>
        <s v="EDUARDO SEIBERT TEIXEIRA - SALVADOR - BA - PESSOA FISICA - 093.243.225-59" u="1"/>
        <s v="HOSPITAL SAO DOMINGOS LTDA. - SAO LUIS - MA - PRIVADO - 11.006.293/0001-30" u="1"/>
        <s v="HOSPITAL REGIONAL UNIMED - FORTALEZA - CE - PRIVADO - 05.868.278/0002-80" u="1"/>
        <s v="HOSPITAL UNIMED LITORAL - BALNEARIO CAMBORIU - SC - PRIVADO - 85.377.174/0003-92" u="1"/>
        <s v="HOSPITAL DE CLINICAS - CURITIBA - PR - PUBLICO - 75.095.679/0002-20" u="1"/>
        <s v="HOSPITAL MED IMAGEM LTDA" u="1"/>
        <s v="INCOR NATAL - NATAL - RN - PRIVADO - 01.507.901/0001-37" u="1"/>
        <s v="HOSPITAL PAULO SACRAMENTO - JUNDIAI - SP - PRIVADO - 44.649.812/0016-14" u="1"/>
        <s v="HOSPITAL POLICLIN - SAO JOSE DOS CAMPOS - SP - PRIVADO - 45.184.066/0001-17" u="1"/>
        <s v="FUNDO ESTADUAL DE SAUDE DO PARANA - FUNSAUDE - CURITIBA - PR - PUBLICO - 08.597.121/0001-74" u="1"/>
        <s v="LIGA ALVARO BAHIA CONTRA A MORTALIDADE INFANTIL - SALVADOR - BA - PRIVADO - 15.170.723/0001-06" u="1"/>
        <s v="HOSPITAL INFANTIL JOAO PAULO II - BELO HORIZONTE - MG - PUBLICO - 19.843.929/0015-06" u="1"/>
        <s v="HOSPITAL SINO BRASILEIRO - OSASCO - SP - PRIVADO - 06.047.087/0076-56" u="1"/>
        <s v="FUNDACAO FELICE ROSSO - BELO HORIZONTE - MG - PRIVADO - 17.214.149/0001-76" u="1"/>
        <s v="MEDICAMENTAL HOSPITALAR - RIBEIRAO PRETO - SP - PRIVADO - 31.378.288/0001-66" u="1"/>
        <s v="FARMACIA ONCO STAR - SAO PAULO - SP - PRIVADO - 28.290.788/0003-07" u="1"/>
        <s v="NATUS LUMINE MATERNIDADE - PRIVADO - 23.813.270/0001-17" u="1"/>
        <s v="HOSPITAL PARANA - MARINGA - PR - PRIVADO - 77.265.361/0001-94" u="1"/>
        <s v="INTERMEDICA SISTEMA DE SAUDE - SAO PAULO - SP - PRIVADO - 44.649.812/0055-20" u="1"/>
        <s v="INSTITUTO DO RADIUM - CAMPINAS - SP - PRIVADO - 51.877.926/0001-09" u="1"/>
        <s v="HOSPITAL SANTA MARTA LTDA - BRASILIA - DF - PRIVADO - 00.610.980/0001-44" u="1"/>
        <s v="HOSPITAL JAAR ANDRADE LTDA - SALVADOR - BA - PRIVADO - 97.397.848/0001-38" u="1"/>
        <s v="HOSPITAL ILHA DO GOVERNADOR LTDA - RIO DE JANEIRO - RJ - PRIVADO - 22.233.557/0001-05" u="1"/>
        <s v="EV CITI - SAO PAULO - SP - PRIVADO - 10.323.381/0001-01" u="1"/>
        <s v="HOSPITAL GERAL DE VILA NOVA CACHOEIRINHA - SAO PAULO - SP - PUBLICO - 46.374.500/0108-23" u="1"/>
        <s v="DROGARIA DA PRACA - MANGARATIBA - RJ - PRIVADO - 10.558.548/0001-05" u="1"/>
        <s v="LICIMASTER DISTRIBUIDORA DE MEDICAMENTOS E PRODUTOS MEDICO HOSPITALAR EIRELI - SALVADOR - BA - 20.001.049/0001-76" u="1"/>
        <s v="IRMANDADE DA SANTA CASA DE MISERICORDIA DE PIRACICABA - PIRACICABA - SP - PRIVADO - 54.370.630/0001-87" u="1"/>
        <s v="HOSPITAL RODOLFO FERNANDES - MOSSORO - RN - PRIVADO - 12.361.267/0091-40" u="1"/>
        <s v="FARMA REGIA - SANTA HELENA - MA - PRIVADO - 03.210.872/0001-72" u="1"/>
        <s v="H. METROPOLITANO - UNIDADE BUTANTA - SAO PAULO - SP - PRIVADO - 08.100.676/0008-35" u="1"/>
        <s v="SANTA CASA DE MISERICORDIA DE MACEIO - MACEIO - AL - PRIVADO - 12.307.187/0001-50" u="1"/>
        <s v="NUBIA SOARES SALES DE MORAES - BRASILIA - DF - PESSOA FISICA - 854.655.261-49" u="1"/>
        <s v="GUILHERME MOURA DA SILVA - RIBEIRAO DAS NEVES - MG - PESSOA FISICA - 703.064.536-73" u="1"/>
        <s v="HOSPITAL SAO VICENTE DE PAULO - RIO DE JANEIRO - RJ - PRIVADO - 18.010.750/0001-00" u="1"/>
        <s v="AUTARQUIA HOSPITALAR MUNICIPAL - SAO PAULO - SP - PUBLICO - 04.995.603/0001-21" u="1"/>
        <s v="HOSPITAL UNIVERSITARIO DE MARILIA - MARILIA - SP - PRIVADO - 09.528.436/0001-22" u="1"/>
        <s v="HOSPITAL SANTA PAULA LTDA - SAO PAULO - SP - PRIVADO - 60.777.901/0001-16" u="1"/>
        <s v="UNIMED DE DRACENA COOPERATIVA DE TRABALHO MEDICO - PRIVADO - 68.204.486/0001-13" u="1"/>
        <s v="CETAL - CENTRO DE TRATAMENTO DO APARELHO LOCOMOTOR LTDA" u="1"/>
        <s v="FES - FLORIANOPOLIS - SC - PUBLICO - 80.673.411/0001-87" u="1"/>
        <s v="BENEFICENCIA NIPO BRASILEIRA DE SAO PAULO - SAO PAULO - SP - PRIVADO - 60.992.427/0006-50" u="1"/>
        <s v="SOC BENEFICIENTE DE SENHORAS HOSPITAL SIRIO LIBANES - SAO PAULO - SP - PRIVADO - 61.590.410/0001-24" u="1"/>
        <s v="UNICLINIC - FORTALEZA - CE - PRIVADO - 05.867.015/0001-75" u="1"/>
        <s v="HOSPITAL DIVINA PROVIDENCIA - FREDERICO WESTPHALEN - RS - PRIVADO - 92.404.789/0001-64" u="1"/>
        <s v="HOSPITAL SAO LUIZ JABAQUARA - SAO PAULO - SP - PRIVADO - 06.047.087/0038-20" u="1"/>
        <s v="HOSPITAL DOUTOR DORIO SILVA - SERRA - ES - PUBLICO - 27.080.605/0015-91" u="1"/>
        <s v="COORDENACAO DE ARMAZENAGEM E DISTRIBUICAO LOGISTICA - GUARULHOS - SP - 00.394.544/0111-10" u="1"/>
        <s v="MATERNIDADE FEMINA - GOIANIA - GO - PRIVADO - 00.053.629/0001-08" u="1"/>
        <s v="HOSPITAL TEREZA DE LISIEUX - SALVADOR - BA - PRIVADO - 12.361.267/0103-18" u="1"/>
        <s v="HOSPITAL SAO CARLOS LTDA - FORTALEZA - CE - PRIVADO - 11.794.674/0001-21" u="1"/>
        <s v="EMPRESA BRASILEIRA DE SERVICOS HOSPITALARES - EBSERH" u="1"/>
        <s v="CENTRAL CLINIC - SAO PAULO - SP - PRIVADO - 02.383.508/0004-94" u="1"/>
        <s v="CENTRO CLINICO UNIMED - PRIVADO - 02.476.067/0003-94" u="1"/>
        <s v="GUSTAVO PRIETO BORGES MOREIRA - CONSELHEIRO LAFAIETE - MG - PESSOA FISICA - 173.769.686-01" u="1"/>
        <s v="HOSPITAL HCN - NITEROI - RJ - PRIVADO - 60.884.855/0012-07" u="1"/>
        <s v="EMEC - FEIRA DE SANTANA - BA - PRIVADO - 14.074.546/0001-00" u="1"/>
        <s v="HOSPITAL PAULISTANO - SAO PAULO - SP - PRIVADO - 29.435.005/0026-87" u="1"/>
        <s v="CASA DE SAUDE SANTA HELENA - SAO JOSE DO RIO PRETO - SP - PRIVADO - 59.970.947/0001-78" u="1"/>
        <s v="HOME CARE CENE - SAO JOSE DO RIO PRETO - SP - PRIVADO - 02.643.405/0001-73" u="1"/>
        <s v="CENTRO DE ONCOLOGIA UNIMED PORTO ALEGRE - PORTO ALEGRE - RS - PRIVADO - 87.096.616/0031-01" u="1"/>
        <s v="H A P - FORTALEZA - CE - PRIVADO - 05.874.946/0001-09" u="1"/>
        <s v="HOSPITAL GERAL DE CURITIBA - CURITIBA - PR - PUBLICO - 09.579.964/0002-91" u="1"/>
        <s v="HOSPITAL UNIMED - ARACAJU - SE - PRIVADO - 15.592.785/0001-06" u="1"/>
        <s v="HOSPITAL ADVENTISTA DE BELEM - BELEM - PA - PRIVADO - 83.367.342/0002-52" u="1"/>
        <s v="HOSPITAL MACEIO - MACEIO - AL - PRIVADO - 12.361.267/0008-60" u="1"/>
        <s v="UNIMED ARAXA COOPERATIVA DE TRABALHO MEDICO LTDA  - ARAXA - MG - PRIVADO - 25.910.449/0004-60" u="1"/>
        <s v="HOSPITAL CASA ARRENDATARIA SERVICOS MEDICOS HOSPITALARES E INVESTIMENTOS LTDA - RIO DE JANEIRO - RJ - PRIVADO - 24.217.779/0001-60" u="1"/>
        <s v="NOVO SANTO EXPEDITO - SAO PAULO - SP - PRIVADO - 13.718.999/0001-50" u="1"/>
        <s v="NOVACLIN - SALVADOR - BA - PRIVADO - 15.242.761/0001-27" u="1"/>
        <s v="UERJ - RIO DE JANEIRO - RJ - PUBLICO - 33.540.014/0001-57" u="1"/>
        <s v="HEMATOLOGICA - CLINICA DE HEMATOLOGIA LTDA - BELO HORIZONTE - MG - PRIVADO - 00.410.960/0001-20" u="1"/>
        <s v="CON-CENTRO ONCOLOGICO DE NITEROI LTDA - NITEROI - RJ - PRIVADO - 00.437.007/0001-75" u="1"/>
        <s v="HOSPITAL SAO LUCAS - RIBEIRAO PRETO - SP - PRIVADO - 55.980.148/0001-21" u="1"/>
        <s v="UNIDADE DE ONCOLOGIA CLINICA E PEDIATRICA LTDA. - EPP - SAO PAULO - SP - PRIVADO - 57.394.710/0001-60" u="1"/>
        <s v="HOSPITAL E MATERNIDADE BRASIL - SANTO ANDRE - SP - PRIVADO - 06.047.087/0007-24" u="1"/>
        <s v="HOSP INF VAR SANT - NATAL - RN - PRIVADO - 08.337.586/0001-96" u="1"/>
        <s v="HOSPITAL BARTIRA - SANTO ANDRE - SP - PRIVADO - 06.047.087/0079-07" u="1"/>
        <s v="FAEPA - RIBEIRAO PRETO - SP - PRIVADO - 57.722.118/0001-40" u="1"/>
        <s v="ANA ANGELICA TORRES - MACEIO - AL - PESSOA FISICA - 444.822.994-72" u="1"/>
        <s v="HEMOLABOR - GOIANIA - GO - PRIVADO - 00.418.954/0001-19" u="1"/>
        <s v="HOSPITAL INFANTIL SABARA - SAO PAULO - SP - PRIVADO - 61.213.674/0002-40" u="1"/>
        <s v="ONCOLOGIA CLINICA NITEROI S/S - NITEROI - RJ - PRIVADO - 00.521.197/0001-04" u="1"/>
        <s v="CONJUNTO HOSPITALAR DO MANDAQUI - SAO PAULO - SP - PUBLICO - 46.374.500/0088-45" u="1"/>
        <s v="HOSPITAL UNIVERSITARIO OSWALDO CRUZ - RECIFE - PE - PUBLICO - 11.022.597/0013-25" u="1"/>
        <s v="CRUZ VERMELHA BRASILEIRA - FILIAL DO ESTADO DO PARANA - CURITIBA - PR - PRIVADO - 07.404.052/0001-72" u="1"/>
        <s v="PRONTONORTE - BRASILIA - DF - PRIVADO - 00.511.816/0001-80" u="1"/>
        <s v="FUNDES - FORTALEZA - CE - PUBLICO - 74.031.865/0001-51" u="1"/>
        <s v="HOSPITAL LAYR MAIA - BELEM - PA - PRIVADO - 12.361.267/0002-74" u="1"/>
        <s v="PREFEITURA MUNICIPAL DE CAMPINAS - CAMPINAS - SP - PUBLICO - 51.885.242/0001-40" u="1"/>
        <s v="HOSPITAL ALEMAO OSWALDO CRUZ - SAO PAULO - SP - PRIVADO - 60.726.502/0001-26" u="1"/>
        <s v="CASA DE SAUDE SAO LUCAS S/A - NATAL - RN - PRIVADO - 08.319.329/0001-21" u="1"/>
        <s v="LEONARDO VIERO SILVEIRA - JAGUARI - RS - PRIVADO - 29.908.956/0001-78" u="1"/>
        <s v="HOSPITAL UNIMED RECIFE III - RECIFE - PE - PRIVADO - 11.214.624/0019-57" u="1"/>
        <s v="HOSPITAL GERAL DA PARAIBA - JOAO PESSOA - PB - PRIVADO - 12.361.267/0088-44" u="1"/>
        <s v="HOSPITAL CURA DARS - FORTALEZA - CE - PRIVADO - 60.975.737/0035-09" u="1"/>
        <s v="HOSPITAL GERAL DE IPANEMA/RJ - RIO DE JANEIRO - RJ - PUBLICO - 00.394.544/0210-00" u="1"/>
        <s v="UNIMED-RIO EMPREENDIMENTOS MEDICOS E HOSPITALARES LTDA - RIO DE JANEIRO - RJ - PRIVADO - 09.219.138/0004-01" u="1"/>
        <s v="INSTITUTO DE CARDIOLOGIA DO DISTRITO FEDERAL - BRASILIA - DF - PRIVADO - 92.898.550/0006-00" u="1"/>
        <s v="HOSPITAL SAMARITANO - RIO DE JANEIRO - RJ - PRIVADO - 08.100.676/0021-02" u="1"/>
        <s v="CEMED CARE - EMPRESA DE ATENDIMENTO CLINICO GERAL LTDA - SAO JOSE DOS PINHAIS - PR - PRIVADO - 07.794.623/0022-57" u="1"/>
        <s v="LABCMI GESTAO HOSPITALAR - HEC - FEIRA DE SANTANA - BA - PRIVADO - 15.170.723/0005-30" u="1"/>
        <s v="UNIMED DE NOVA FRIBURGO - NOVA FRIBURGO - RJ - PRIVADO - 29.135.795/0002-08" u="1"/>
        <s v="HOSPITAL MEMORIAL ARTHUR RAMOS - MACEIO - AL - PRIVADO - 01.722.424/0001-22" u="1"/>
        <s v="HOSPITAL DE GUARNICAO DE SANTA MARIA - SANTA MARIA - RS - PUBLICO - 09.605.231/0002-84" u="1"/>
        <s v="HEMOMED - SAO PAULO - SP - PRIVADO - 10.475.230/0001-60" u="1"/>
        <s v="ALBERT SABIN HOSPITAL E MATERNIDADE - ATIBAIA - SP - PRIVADO - 04.275.687/0001-29" u="1"/>
        <s v="HOSPITAL AMPARO - GOIANIA - GO - PRIVADO - 05.919.720/0001-79" u="1"/>
        <s v="HOSPITAL MAE DE DEUS - PORTO ALEGRE - RS - PRIVADO - 88.625.686/0024-43" u="1"/>
        <s v="SANTA CASA - PASSOS - MG - PRIVADO - 23.278.898/0001-60" u="1"/>
        <s v="IRMANDADE DA SANTA CASA DE MISERICORDIA DE SAO PAULO - SAO PAULO - SP - PRIVADO - 62.779.145/0001-90" u="1"/>
        <s v="AMICO SAUDE LTDA - MOGI DAS CRUZES - SP - PRIVADO - 51.722.957/0143-02" u="1"/>
        <s v="UNIMED DE BELEM COOPERATIVA DE TRABALHO MEDICO - BELEM - PA - PRIVADO - 04.201.372/0010-28" u="1"/>
        <s v="HOSPITAL SANTA GENOVEVA LTDA - UBERLANDIA - MG - PRIVADO - 18.484.378/0001-73" u="1"/>
        <s v="HOSPITAL DE CARIDADE DR ASTROGILDO DE AZEVEDO - SANTA MARIA - RS - PRIVADO - 95.610.887/0001-46" u="1"/>
        <s v="HOSPITAL BARRA DOR - RIO DE JANEIRO - RJ - PRIVADO - 02.284.062/0005-21" u="1"/>
        <s v="NEON - NUCLEO ESPECIALIZADO EM ONCOLOGIA - SERRA - ES - PRIVADO - 04.786.490/0001-54" u="1"/>
        <s v="UNIMED PLANALTO MEDIO - COOPERATIVA DE SERVICOS MEDICOS - PASSO FUNDO - RS - PRIVADO - 87.607.149/0006-26" u="1"/>
        <s v="UNIMED DE PIRACICABA SOC COOP DE SERVICOS MEDICOS - PIRACICABA - SP - PRIVADO - 44.803.922/0002-93" u="1"/>
        <s v="GASTROCLINICA - FORTALEZA - CE - PRIVADO - 07.272.404/0001-83" u="1"/>
        <s v="UNIMED DE RIBEIRAO PRETO COOPERATIVA DE TRABALHO MEDICO - RIBEIRAO PRETO - SP - PRIVADO - 45.232.246/0005-50" u="1"/>
        <s v="HOSPITAL JAYME DA FONTE - RECIFE - PE - PRIVADO - 11.452.240/0001-43" u="1"/>
        <s v="SERVICO DE ATENDIMENTO UNIMED - GOIANIA - GO - PRIVADO - 02.476.067/0002-03" u="1"/>
        <s v="HOSPITAL DE BASE - SAO JOSE DO RIO PRETO - SP - PRIVADO - 60.003.761/0001-29" u="1"/>
        <s v="SAO JOSE DOS CAMPOS GABINETE DO PREFEITO - SAO JOSE DOS CAMPOS - SP - PUBLICO - 46.643.466/0001-06" u="1"/>
        <s v="UNIMONTES - MONTES CLAROS - MG - PUBLICO - 22.675.359/0001-00" u="1"/>
        <s v="HOSPITAL ESPINHEIRO - 2611606 - PE - PRIVADO - 12.361.267/0072-87" u="1"/>
        <s v="ONCOCLINICA - CENTRO DE TRATAMENTO ONCOLOGICO S.A. - PRIVADO - 72.101.124/0005-06" u="1"/>
        <s v="HOSPITAL SAO VICENTE DE PAULO - PASSO FUNDO - RS - PRIVADO - 92.021.062/0003-60" u="1"/>
        <s v="HOME - BRASILIA - DF - PRIVADO - 37.108.388/0001-59" u="1"/>
        <s v="ONCO HEMATOS S/S LTDA - ME - ARACAJU - SE - PRIVADO - 03.091.003/0001-76" u="1"/>
        <s v="HOSPITAL GOVERNADOR ISRAEL PINHEIRO - HGIP - BELO HORIZONTE - MG - PUBLICO - 17.217.332/0039-06" u="1"/>
        <s v="HSL UNIDADE BRASILIA - BRASILIA - DF - PRIVADO - 61.590.410/0005-58" u="1"/>
        <s v="HOSPITAL DE CARIDADE SAO VICENTE DE PAULO - JUNDIAI - SP - PRIVADO - 50.944.198/0001-30" u="1"/>
        <s v="HOSPITAL UNIVERSITARIO WALTER CANTIDIO - FORTALEZA - CE - PUBLICO - 07.272.636/0002-12" u="1"/>
        <s v="HOSPITAL MORIAH - SAO PAULO - SP - PRIVADO - 19.056.055/0001-41" u="1"/>
        <s v="SAO LUIZ  UNIDADE ITAIM - SAO PAULO - SP - PRIVADO - 06.047.087/0002-10" u="1"/>
        <s v="UNIMED CURITIBA - UNIDADE PADRE GERMANO MAYER - CURITIBA - PR - PRIVADO - 75.055.772/0022-54" u="1"/>
        <s v="IMIP HOSPITALAR - HMA - PAULISTA - PE - PRIVADO - 09.039.744/0002-75" u="1"/>
        <s v="HOSPITAL SAO MATEUS LTDA. - FORTALEZA - CE - PRIVADO - 41.580.077/0001-65" u="1"/>
        <s v="HOSPITAL ANTONIO PRUDENTE DE NATAL - NATAL - RN - PRIVADO - 12.361.267/0096-54" u="1"/>
        <s v="HOSPITAL E MATERNIDADE SAO NICOLAU - CATALAO - GO - PRIVADO - 01.326.206/0001-79" u="1"/>
        <s v="HOSPITAL INFANTIL PEQUENO PRINCIPE - CURITIBA - PR - PRIVADO - 76.591.569/0001-30" u="1"/>
        <s v="PREFEITURA MUNICIPAL DE GUARARAPES - GUARARAPES - SP - PUBLICO - 48.468.284/0001-71" u="1"/>
        <s v="CIONC - CENTRO INTEGRADO DE ONCOLOGIA DE CURITIBA S/S - CURITIBA - PR - PRIVADO - 07.734.165/0001-36" u="1"/>
        <s v="ROBERTO MOURA GRISI - PESSOA FÍSICA - 839.256.944-04" u="1"/>
        <s v="AMICO SAUDE LTDA  - SAO PAULO  - SP - PRIVADO - 51.722.957/0102-26" u="1"/>
        <s v="HOSPITAL BANDEIRANTES LTDA  - SAO PAULO - SP - PRIVADO - 21.371.777/0001-32" u="1"/>
        <s v="HOSPITAL CASA DE PORTUGAL - RIO DE JANEIRO - RJ - PRIVADO - 11.279.865/0001-55" u="1"/>
        <s v="EBSERH - HOSPITAL UNIVERSITARIO DO PIAUI - TERESINA - PI - PRIVADO - 15.126.437/0002-24" u="1"/>
        <s v="MUNICIPIO DE CAXIAS DO SUL - CAXIAS DO SUL - RS - PUBLICO - 88.830.609/0001-39" u="1"/>
        <s v="ONIX MATEUS LEME - CURITIBA - PR - PRIVADO - 30.117.769/0001-55" u="1"/>
        <s v="HOSPITAL NOSSA SENHORA DAS GRACAS - CURITIBA - PR - PRIVADO - 76.562.198/0001-69" u="1"/>
        <s v="HOSP SAO LUIZ ANALIA FRANCO - SAO PAULO - SP - PRIVADO - 06.047.087/0001-39" u="1"/>
        <s v="HOSPITAL ESPERANCA - RECIFE - PE - PRIVADO - 02.284.062/0001-06" u="1"/>
        <s v="DEPOSITO - ARMAZEM FORTALEZA/CE - FORTALEZA - CE - PRIVADO - 12.361.267/0118-02" u="1"/>
        <s v="IMIP - RECIFE - PE - PRIVADO - 10.988.301/0001-29" u="1"/>
        <s v="SEMEC - SALVADOR - BA - PRIVADO - 15.140.254/0001-82" u="1"/>
        <s v="LIFE HOME CARE - NILOPOLIS - RJ - PRIVADO - 25.308.058/0001-28" u="1"/>
        <s v="HOSPITAL MARCIO CUNHA - IPATINGA - MG - PRIVADO - 19.878.404/0001-00" u="1"/>
        <s v="S O S VIDA SOLUCOES EM SAUDE - ARACAJU - SE - PRIVADO - 16.064.313/0005-77" u="1"/>
        <s v="SAMEL - MANAUS - AM - PRIVADO - 84.537.141/0001-38" u="1"/>
        <s v="CENTRO DE ESTUDOS E PESQUISAS 28 - RIO DE JANEIRO - RJ - PRIVADO - 33.927.377/0001-40" u="1"/>
        <s v="FUNDACAO JOSE SILVEIRA - SALVADOR - BA - PRIVADO - 15.194.004/0001-25" u="1"/>
        <s v="UNIMED LESTE PAULISTA COOPERATIVA DE TRABALHO MEDICO - SAO JOAO DA BOA VISTA - SP - PRIVADO - 53.678.264/0002-46" u="1"/>
        <s v="UNIMED GOIANIA - GOIANIA - GO - PRIVADO - 02.476.067/0001-22" u="1"/>
        <s v="FUNDO MUNICIPAL DE SAUDE DO JABOATAO DOS GUARARAPES - PUBLICO - 03.904.395/0001-45" u="1"/>
        <s v="CENTRON - CENTRO DE TRATAMENTO ONCOLOGICO LTDA - RIO DE JANEIRO - RJ - PRIVADO - 02.864.097/0001-06" u="1"/>
        <s v="HOSPITAL DE CLINICAS RIO MAR BARRA LTDA - RIO DE JANEIRO - RJ - PRIVADO - 32.154.700/0001-27" u="1"/>
        <s v="FUNDACAO HOSPITALAR SAO LUCAS - CASCAVEL - PR - PRIVADO - 21.998.635/0001-08" u="1"/>
        <s v="RAUL SOARES GABINETE DO PREFEITO - RAUL SOARES - MG - PUBLICO - 18.836.965/0001-84" u="1"/>
        <s v="HOSPITAL ECOVILLE - CURITIBA - PR - PRIVADO - 00.942.063/0001-67" u="1"/>
        <s v="UOPECCAN - CASCAVEL - PR - PRIVADO - 81.270.548/0001-53" u="1"/>
        <s v="EBSERH HOSPITAL UNIVERSITARIO DE BRASILIA - BRASILIA - DF - PRIVADO - 15.126.437/0003-05" u="1"/>
        <s v="HOSPITAL UNIMED - BAURU - SP - PRIVADO - 44.456.036/0003-11" u="1"/>
        <s v="CM MEDICAMENTOS ESPECIAIS LTDA. - RIBEIRAO PRETO - SP - PRIVADO - 04.127.483/0001-40" u="1"/>
        <s v="CLINICA PRO-VIDA LTDA - TUBARAO - SC - PRIVADO - 80.490.618/0001-16" u="1"/>
        <s v="SAO BERNARDO APART - COLATINA - ES - PRIVADO - 07.039.651/0001-34" u="1"/>
        <s v="HOSPITAL UNIVERSITARIO - RIO DE JANEIRO - RJ - PUBLICO - 33.663.683/0053-47" u="1"/>
        <s v="REJANE CELESTE DOS ANJOS BECKER - RIO DE JANEIRO - RJ - PESSOA FISICA - 053.719.447-96" u="1"/>
        <s v="HOSPITAL SANTA IZABEL - SALVADOR - BA - PRIVADO - 15.153.745/0002-49" u="1"/>
        <s v="NITEROI DOR - NITEROI - RJ - PRIVADO - 30.145.502/0001-71" u="1"/>
        <s v="HOSPITAL E MATERNIDADE UNIMED - RIO CLARO - SP - PRIVADO - 44.663.631/0005-90" u="1"/>
        <s v="NOSSA SAUDE OPERADORA DE PLANOS PRIVADOS DE ASSISTENCIA A SAUDE LTDA. - CURITIBA - PR - PRIVADO - 02.862.447/0002-86" u="1"/>
        <s v="HOSPITAL BRASILIA - BRASILIA - DF - PRIVADO - 60.884.855/0022-89" u="1"/>
        <s v="LARISSA HELENA AMARAL CASTRO - BELEM - PA - PESSOA FISICA - 917.771.862-34" u="1"/>
        <s v="HOSPITAL RIO POTY - TERESINA - PI - PRIVADO - 12.361.267/0040-08" u="1"/>
        <s v="PETROBRAS - RIO DE JANEIRO - RJ - PRIVADO - 33.000.167/0001-01" u="1"/>
        <s v="GRUPAMENTO DE APOIO DE RECIFE - GAP-RF - RECIFE - PE - PUBLICO - 00.394.429/0193-91" u="1"/>
        <s v="BIO IMUNE - CENTRO DE APLICACOES E VACINAS  CONSULTORIA E PROCEDIMENTOS MEDICOS LTDA - ME - SANTOS - SP - PRIVADO - 10.868.295/0001-76" u="1"/>
        <s v="UNIMED COSTA DO SOL - HOSPITAL - MACAE - RJ - PRIVADO - 35.830.868/0004-46" u="1"/>
        <s v="HOSPITAL SAO LUCAS - ARACAJU - SE - PRIVADO - 13.131.370/0001-00" u="1"/>
        <s v="INSTITUTO DE ONCOLOGIA DE MACAPA EIRELI" u="1"/>
        <s v="IHBDF - BRASILIA - DF - PRIVADO - 28.481.233/0001-72" u="1"/>
        <s v="IBR INSTITUTO BRANDAO DE REABILITACAO LTDA - EPP - VITORIA DA CONQUISTA - BA - PRIVADO - 13.284.872/0001-70" u="1"/>
        <s v="MEDCLINICA DO CENTRO DE TERESOPOLIS - TERESOPOLIS - RJ - PRIVADO - 36.238.913/0001-98" u="1"/>
        <s v="UDI HOSPITAL - JARACATY - MA - PRIVADO - 02.284.062/0011-70" u="1"/>
        <s v="HOMEBABY HOMECARE DA CRIANCA ATENDIMENTO MEDICO DOMICILIAR LIMITADA - RIO DE JANEIRO - RJ - PRIVADO - 21.265.360/0001-95" u="1"/>
        <s v="HOSPITAL SANTA ISABEL - BLUMENAU - SC - PRIVADO - 60.922.168/0052-26" u="1"/>
        <s v="HOSPITAL NOSSA SENHORA DO PILAR LTDA - CURITIBA - PR - PRIVADO - 76.498.013/0001-02" u="1"/>
        <s v="RS SSA GABINETE DO SECRETARIO - PORTO ALEGRE - RS - PUBLICO - 87.958.625/0001-49" u="1"/>
        <s v="HOSPITAL DO CORACAO DE LONDRINA LTDA - LONDRINA - PR - PRIVADO - 04.762.301/0001-03" u="1"/>
        <s v="HOSPITAL GERAL DE BARBACENA DR. JOSE AMERICO - BARBACENA - MG - PUBLICO - 19.843.929/0016-97" u="1"/>
        <s v="INSTITUTO DOR DE GESTAO DE SAUDE PUBLICA - RIO DE JANEIRO - RJ - PRIVADO - 08.850.962/0002-22" u="1"/>
        <s v="SAMEL - MANAUS - AM - PRIVADO - 04.159.778/0001-07" u="1"/>
        <s v="PEDIATRICS HOME CARE - INTERNACAO MEDICA DOMICILIAR LTDA" u="1"/>
        <s v="HENRIQUE WALCHER NOGUEIRA - PESSOA FÍSICA - 828.542.460-04" u="1"/>
        <s v="HOSPITAL DR. ROBERTO ARNIZAUT SILVARES - SAO MATEUS - ES - PUBLICO - 27.080.605/0003-58" u="1"/>
        <s v="ISCAL - LONDRINA - PR - PRIVADO - 78.614.971/0001-19" u="1"/>
        <s v="HOSPITAL NAVAL MARCILIO DIAS - RIO DE JANEIRO - RJ - PUBLICO - 00.394.502/0148-70" u="1"/>
        <s v="HOSPITAL E MATERNIDADE SANTA CLARA LTDA - UBERLANDIA - MG - PRIVADO - 25.761.040/0001-87" u="1"/>
        <s v="TITULO DO ESTABELECIMENTO (NOME DE FANTASIA)  HOSPITAL GERAL JOINVILLE - JOINVILLE - SC - PRIVADO - 12.361.267/0042-61" u="1"/>
        <s v="VIVER CLINICA MEDICA LTDA - FLORIANOPOLIS - SC - PRIVADO - 04.670.913/0001-76" u="1"/>
        <s v="HOSPITAL AMPARO MATERNAL - SAO PAULO - SP - PRIVADO - 60.922.168/0043-35" u="1"/>
        <s v="FUNDO MUNICIPAL DE SAUDE DE TERESINA - TERESINA - PI - PUBLICO - 11.273.170/0001-66" u="1"/>
        <s v="SANTA HELENA ASSISTENCIA MEDICA S/A - SAO BERNARDO DO CAMPO - SP - PRIVADO - 43.293.604/0021-20" u="1"/>
        <s v="HOSPITAL DA RESTAURACAO - RECIFE - PE - PUBLICO - 10.572.048/0002-09" u="1"/>
        <s v="ONCO VIDA - BRASILIA - DF - PRIVADO - 01.682.668/0001-29" u="1"/>
        <s v="HOSPITAL ALIANCA - SALVADOR - BA - PRIVADO - 13.016.092/0001-40" u="1"/>
        <s v="CLINICA SAO MARCOS - SAO LUIS - MA - PRIVADO - 07.750.144/0001-04" u="1"/>
        <s v="HOSPITAL ALVORADA TAGUATINGA LTDA - SAO PAULO - SP - PRIVADO - 08.100.676/0024-55" u="1"/>
        <s v="HOSPITAL SAO VICENTE - CURITIBA - PR - 81.190.449/0002-42" u="1"/>
        <s v="HOSPITAL OESTE DOR - RIO DE JANEIRO - RJ - PRIVADO - 06.047.087/0033-16" u="1"/>
        <s v="ICIPE - BRASILIA - DF - PRIVADO - 10.942.995/0001-63" u="1"/>
        <s v="GENESIO A MENDES &amp; CIA LTDA - SÃO JOSÉ DOS PINHAIS - PR - 82.873.068/0007-35" u="1"/>
        <s v="ESHO EMPRESA DE SERVICOS HOSPITALARES S.A. - PRIVADO - 29.435.005/0082-94" u="1"/>
        <s v="HOSPITAL ALVORADA DE BRASILIA - BRASILIA - DF - PRIVADO - 29.435.005/0046-20" u="1"/>
        <s v="HOSPITAL SAO MARCOS - RECIFE - PE - PRIVADO - 02.284.062/0004-40" u="1"/>
        <s v="MARIA BEATRIZ DE SOUZA MOREIRA - RIO DE JANEIRO - RJ - PESSOA FISICA - 111.149.877-60" u="1"/>
        <s v="HOSPITAL MARIA AUXILIADORA - BRASILIA - DF - PRIVADO - 38.000.485/0001-96" u="1"/>
        <s v="HOSPITAL DE REABILITACAO DE ANOMALIAS CRANIOFACIAIS - BAURU - SP - PUBLICO - 63.025.530/0082-70" u="1"/>
        <s v="HOSPITAL PROFESSOR EDMUNDO VASCONCELOS - SAO PAULO - SP - PRIVADO - 61.062.212/0001-98" u="1"/>
        <s v="HOSPITAL SANTA LUZIA - BRASILIA - DF - PRIVADO - 06.047.087/0041-26" u="1"/>
        <s v="UNIMED GRANDE FLORIANOPOLIS - COOPERATIVA DE TRABALHO MEDICO - SAO JOSE - SC - PRIVADO - 77.858.611/0014-14" u="1"/>
        <s v="HOSPITAL BENEFICENTE SANTO ANTONIO - ORLANDIA - SP - PRIVADO - 53.311.999/0001-56" u="1"/>
        <s v="INSTITUTO DE HEMATOLOGIA E ONCOLOGIA CURITIBA - CURITIBA - PR - PRIVADO - 03.850.913/0001-95" u="1"/>
        <s v="UNIMED - SOROCABA - SP - PRIVADO - 45.399.961/0002-30" u="1"/>
        <s v="HOSPITAL BDW - PORTO ALEGRE - RS - PRIVADO - 26.947.257/0001-49" u="1"/>
        <s v="HOSPITAL SAO LUCAS DA PUCRS - PORTO ALEGRE - RS - PRIVADO - 88.630.413/0007-96" u="1"/>
        <s v="COOP CENTRO DE ONCOLOGIA DO OESTE DO PARANA - CASCAVEL - PR - PRIVADO - 17.864.888/0001-03" u="1"/>
        <s v="CASA DE SAUDE SANTA LUCIA - RIO DE JANEIRO - RJ - PRIVADO - 29.435.005/0052-79" u="1"/>
        <s v="SAHA SERVICOS MEDICOS E HOSPITALARES LTDA. - SAO PAULO - SP - PRIVADO - 07.045.325/0001-30" u="1"/>
        <s v="DEPARTAMENTO REGIONAL DE SAUDE DE PIRACICABA - DRS X - PIRACICABA - SP - PUBLICO - 46.374.500/0090-60" u="1"/>
        <s v="INSTITUTO MINEIRO ESPECIALIZADO EM GASTROENTEROLOGIA - BELO HORIZONTE - MG - PRIVADO - 01.444.455/0001-69" u="1"/>
        <s v="UNIMED SAO JOSE DOS CAMPOS - COOPERATIVA DE TRABALHO MEDICO - SAO JOSE DOS CAMPOS - SP - PRIVADO - 60.214.517/0009-62" u="1"/>
        <s v="HOSPITAL REGIONAL DO BAIXO AM DO PARA DR WALDEMAR PENNA - SANTAREM - PA - PRIVADO - 24.232.886/0083-03" u="1"/>
        <s v="FUNDACAO ARY FRAUZINO PARA PESQUISA E CONTROL DO CANCER - PRIVADO - 40.226.946/0002-76" u="1"/>
        <s v="GENESIO A MENDES &amp; CIA LTDA - SAO JOSE DOS PINHAIS - PA - PRIVADO - 82.873.068/0007-35" u="1"/>
        <s v="CIP - CENTRO DE INFUSOES PACAEMBU LTDA - SAO PAULO - SP - PRIVADO - 08.871.521/0001-26" u="1"/>
        <s v="ASSOCIACAO HOSPITALAR MOINHOS DE VENTO - PORTO ALEGRE - RS - PRIVADO - 92.685.833/0001-51" u="1"/>
        <s v="MATERNIDADE BRASILIA - BRASILIA - DF - PRIVADO - 60.884.855/0019-83" u="1"/>
        <s v="ESHO EMPRESA DE SERVICOS HOSPITALARES S.A - SAO PAULO - SP - PRIVADO - 29.435.005/0099-32" u="1"/>
        <s v="FUNDACAO DE SAUDE PUBLICA DE NOVO HAMBURGO - FSNH - NOVO HAMBURGO - RS - PUBLICO - 11.055.682/0001-56" u="1"/>
        <s v="ONCOCENTER SERVICOS MEDICOS LTDA. - SAO PAULO - SP - PRIVADO - 04.036.348/0001-90" u="1"/>
        <s v="C.T.O. - PETROPOLIS - RJ - PRIVADO - 30.638.381/0001-08" u="1"/>
        <s v="GLOBAL CARE ASSISTENCIA DOMICILIAR LTDA - SAO PAULO - SP - PRIVADO - 03.872.790/0001-93" u="1"/>
        <s v="SANTA CASA SAUDE - PRIVADO - 18.321.477/0001-34" u="1"/>
        <s v="HOSPITAL CENTRALDO EXERCITO - RIO DE JANEIRO - RJ - PUBLICO - 09.609.235/0002-30" u="1"/>
        <s v="HOSPITAL DE CLINICAS DA UFU - UBERLANDIA - MG - PUBLICO - 25.648.387/0002-07" u="1"/>
        <s v="CASA DE SAUDE E MATERNIDADE NOSSA SENHORA DE FATIMA S A - PATOS DE MINAS - MG - PRIVADO - 23.338.387/0001-96" u="1"/>
        <s v="HOSPITAL AMECOR - CUIABA - MT - PRIVADO - 03.925.419/0001-42" u="1"/>
        <s v="CEMED CARE - EMPRESA DE ATENDIMENTO CLINICO GERAL LTDA - RIO DE JANEIRO - RJ - PRIVADO - 07.794.623/0048-96" u="1"/>
        <s v="FES/BA - SALVADOR - BA - PUBLICO - 05.816.630/0001-52" u="1"/>
        <s v="SAMER HOSPITAL - RESENDE - RJ - PRIVADO - 29.072.642/0001-88" u="1"/>
        <s v="HOSPITAL SANTA CATARINA - SAO PAULO - SP - PRIVADO - 60.922.168/0007-71" u="1"/>
        <s v="HOSPITAL LEFORTE LTDA  - SAO PAULO  - SP - PRIVADO - 19.803.199/0001-14" u="1"/>
        <s v="PEDRO FLÁVIO - PESSOA FÍSICA - 123.710.092-53" u="1"/>
        <s v="UNIMED CUIABA DISTRIBUIDORA DE MEDICAMENTOS - CUIABA - MT - PRIVADO - 03.533.726/0007-73" u="1"/>
        <s v="HOSPITAL E MATERNIDADE MARIA AUXILIADORA - MARINGA - PR - PRIVADO - 79.115.762/0001-93" u="1"/>
        <s v="HOSPITAL SANTA HELENA - GOIANIA - GO - PRIVADO - 01.656.123/0001-48" u="1"/>
        <s v="DROGARIA MODERNA - RIO DE JANEIRO - RJ - PRIVADO - 04.779.685/0023-82" u="1"/>
        <s v="COORDENACAO DE ARMAZENAGEM E DISTRIBUICAO LOGISTICA - GUARULHOS - SP - PUBLICO - 00.394.544/0111-10" u="1"/>
        <s v="EBSERH HOSPITAL UNIVERSITARIO DE SAO LUIS - SAO LUIS - MA - PRIVADO - 15.126.437/0004-96" u="1"/>
        <s v="SARE DROGARIAS - SAO PAULO - SP - PRIVADO - 08.677.327/0001-04" u="1"/>
        <s v="HOSPITAL DO CORACAO DO BRASIL - BRASILIA - DF - PRIVADO - 06.047.087/0042-07" u="1"/>
        <s v="SR CARE ASSISTENCIA DOMICILIAR LTDA - PRIVADO - 20.812.223/0002-41" u="1"/>
        <s v="CDDS SERVICOS MEDICOS LTDA - NATAL - RN - PRIVADO - 13.262.578/0001-68" u="1"/>
        <s v="CENTRO MEDICO GABRIEL SOARES - ARACAJU - SE - PRIVADO - 12.361.267/0005-17" u="1"/>
        <s v="MARIA LEDA FEITOSA FARIAS - MARIA LEDA FEITOSA FARIAS - NOSSA SENHORA DA GLORIA - SE - PESSOA FISICA - 007.003.865-13" u="1"/>
        <s v="HCFAMEMA - PUBLICO - 24.082.016/0001-59" u="1"/>
        <s v="ONCOLOGIA REDE DOR S.A. - RIO DE JANEIRO - RJ - PRIVADO - 28.000.107/0001-59" u="1"/>
        <s v="INTEGRARE TERAPEUTICA - FORTALEZA - CE - PRIVADO - 12.568.570/0001-61" u="1"/>
        <s v="HOSPITAL GUARAS - SAO LUIS - MA - PRIVADO - 12.361.267/0007-89" u="1"/>
        <s v="HOSPITAL ADVENTISTA SILVESTRE - RIO DE JANEIRO - RJ - PRIVADO - 73.696.718/0002-19" u="1"/>
        <s v="PA SSA GABINETE DO SECRETARIO - BELEM - PA - PUBLICO - 05.054.929/0001-17" u="1"/>
        <s v="HOSPITAL DO CORACAO DE ALAGOAS - MACEIO - AL - PRIVADO - 01.454.407/0001-51" u="1"/>
        <s v="CLINICA CIRURGICA E ONCOLOGICA DA PENHA LTDA - RIO DE JANEIRO - RJ - PRIVADO - 22.400.856/0001-97" u="1"/>
        <s v="HOSPITAL RIOS DOR - RIO DE JANEIRO - RJ - PRIVADO - 29.259.736/0004-03" u="1"/>
        <s v="HOSPITAL PASTEUR - RIO DE JANEIRO - RJ - PRIVADO - 29.435.005/0057-83" u="1"/>
        <s v="CASA DE SAUDE E MATERNIDADE SAO RAIMUNDO SA - FORTALEZA - CE - PRIVADO - 07.245.269/0001-87" u="1"/>
        <s v="KR MEDICINA E DIAGNOSTICOS LTDA - PRIVADO - 08.000.609/0001-72" u="1"/>
        <s v="SANTA HELENA - BRASILIA - DF - PRIVADO - 00.049.791/0001-44" u="1"/>
        <s v="HOSPITAL DO CORACAO DE NATAL LTDA - NATAL - RN - PRIVADO - 00.820.737/0001-50" u="1"/>
        <s v="HOSPITAL ESPERANCA OLINDA - PE - PRIVADO - 06.047.087/0012-91" u="1"/>
        <s v="HOSPITAL SAO JOAQUIM - FRANCA - SP - PRIVADO - 50.486.026/0001-60" u="1"/>
        <s v="INTERMEDICA SISTEMA DE SAUDE S A - CAMPINAS - SP - PRIVADO - 44.649.812/0192-38" u="1"/>
        <s v="HOSPITAL SANTA CATARINA - BLUMENAU - SC - PRIVADO - 01.880.344/0001-03" u="1"/>
        <s v="UNIMED UBERABA COOPERATIVA DE TRABALHO MEDICO LTDA" u="1"/>
        <s v="CLIMES CLINICA MEDICA ESPECIALIZADA LTDA - RIO DE JANEIRO - RJ - PRIVADO - 40.320.103/0001-53" u="1"/>
        <s v="SANTA LUCIA - BRASILIA - DF - PRIVADO - 00.025.841/0001-53" u="1"/>
        <s v="NATAL HOSPITAL CENTER S.A. - NATAL - RN - PRIVADO - 02.109.397/0001-80" u="1"/>
        <s v="REDE PRIMAVERA - HOSPITAL PRIMAVERA - ARACAJU - SE - PRIVADO - 13.356.779/0001-24" u="1"/>
        <s v="HOSPITAL DE CIRURGIA - ARACAJU - SE - PRIVADO - 13.016.332/0001-06" u="1"/>
        <s v="UNIMED JUIZ DE FORA COOP DE TRABALHO MEDICO LTDA - JUIZ DE FORA - MG - PRIVADO - 17.689.407/0009-28" u="1"/>
        <s v="UNIMED DE BRUSQUE - BRUSQUE - SC - PRIVADO - 01.554.266/0001-49" u="1"/>
        <s v="DEPOSITO-ARMAZEM DE FORTALEZA - FORTALEZA - CE - PRIVADO - 05.874.946/0002-81" u="1"/>
        <s v="HOSPITAL ERNESTO DORNELLES - PORTO ALEGRE - RS - PRIVADO - 92.741.016/0002-54" u="1"/>
        <s v="P P LOPES SOUSA MEDICAMENTOS" u="1"/>
        <s v="HOSPITAL BALBINO - RIO DE JANEIRO - RJ - PRIVADO - 42.297.507/0001-07" u="1"/>
        <s v="REAL E BENEMERITA ASSOCIACAO PORTUGUESA DE BENEFICENCIA - SAO PAULO - SP - PRIVADO - 61.599.908/0001-58" u="1"/>
        <s v="HOSPITAL MATER DEI SA - BELO HORIZONTE - MG - PRIVADO - 16.676.520/0001-59" u="1"/>
        <s v="HOSPITAL COPA DOR STAR - PRIVADO - 06.047.087/0026-97" u="1"/>
        <s v="PETROBRAS - SENADOR CANEDO - GO - PRIVADO - 33.000.167/0021-55" u="1"/>
        <s v="INSTITUTO DE ONCOLOGIA KAPLAN - PORTO ALEGRE - RS - PRIVADO - 94.831.294/0001-47" u="1"/>
        <s v="CRETA - CENTRO REUMATOLOGICO DE TERAPIA AVANCADA LTDA - SAO PAULO - SP - PRIVADO - 10.468.341/0002-20" u="1"/>
        <s v="INSTITUTO ORTOPEDICO DE GOIANIA LTDA - GOIANIA - GO - PRIVADO - 01.570.589/0001-26" u="1"/>
        <s v="SERVICOS DE QUIMIOTERAPIA UNIMED BRUSQUE - BRUSQUE - SC - PRIVADO - 01.554.266/0003-00" u="1"/>
        <s v="CENTRO DE REFERENCIA DA SAUDE DA MULHER - MATER - RIBEIRAO PRETO - SP - PRIVADO - 57.722.118/0003-02" u="1"/>
        <s v="HOSPITAL PORTUGUES - RECIFE - PE - PRIVADO - 10.892.164/0001-24" u="1"/>
        <s v="HOSPITAL MARIO LIONI - DUQUE DE CAXIAS - RJ - PRIVADO - 29.435.005/0034-97" u="1"/>
        <s v="HOSPITAL SANTOS DUMONT - SAO JOSE DOS CAMPOS - SP - PRIVADO - 60.214.517/0016-91" u="1"/>
        <s v="SEPACO - SAO PAULO - SP - PRIVADO - 60.961.422/0001-55" u="1"/>
        <s v="HOSPITAL DAS CLINICAS DA FACULDADE DE MEDICINA DA U S P - SAO PAULO - SP - PUBLICO - 60.448.040/0001-22" u="1"/>
        <s v="HOSPITAL ALVORADA MOEMA - SAO PAULO - SP - PRIVADO - 08.100.676/0005-92" u="1"/>
        <s v="HOSPITAL DA CIDADE - SALVADOR - BA - PRIVADO - 03.376.102/0001-02" u="1"/>
        <s v="FUNDACAO UNIVERSITARIA DE CARDIOLOGIA - PORTO ALEGRE - RS - PRIVADO - 92.898.550/0001-98" u="1"/>
        <s v="FUNDARJ - RIO DE JANEIRO - RJ - 32.319.972/0001-30" u="1"/>
        <s v="PRONTO S.CARDIOLOGICO DE PE.PROF.LUIZ TAVARES-PROCAPE - RECIFE - PE - PUBLICO - 11.022.597/0015-97" u="1"/>
        <s v="HOSPITAL ANCHIETA LTDA - BRASILIA - DF - PRIVADO - 02.560.878/0001-07" u="1"/>
        <s v="UNIVERSIDADE ESTADUAL DE CAMPINAS - CAMPINAS - SP - PUBLICO - 46.068.425/0001-33" u="1"/>
        <s v="HOSPITAL PORTUGUES - SALVADOR - BA - PRIVADO - 15.166.416/0001-51" u="1"/>
        <s v="HSH - SANTO ANDRE - SP - PRIVADO - 06.033.403/0001-13" u="1"/>
        <s v="HOSPITAL GERAL DE BONSUCESSO/RJ - RIO DE JANEIRO - RJ - PUBLICO - 00.394.544/0202-91" u="1"/>
        <s v="INFUSIONAL TERAPIA IMUNOBIOLOGICA ASSISTIDA LTDA - LINHARES - ES - PRIVADO - 29.323.454/0001-85" u="1"/>
        <s v="VIP HOME CARE ATENDIMENTO DOMICILIAR LTDA - SAO PAULO - SP - PRIVADO - 09.087.150/0001-59" u="1"/>
        <s v="INSTITUTO DE ONCOLOGIA PEDIATRICA - IOP - SAO PAULO - SP - PRIVADO - 67.185.694/0001-50" u="1"/>
        <s v="CIAS UNIMED VITORIA - CENTRO INTEGRADO ATENCAO A SAUDE - VITORIA - ES - PRIVADO - 27.578.434/0015-25" u="1"/>
        <s v="GLN HOSPITALAR - VOLTA REDONDA - RJ - PRIVADO - 10.562.003/0001-72" u="1"/>
        <s v="HOSP.E MATERN. BENEFICENCIA PORTUGUESA DE SANTO ANDRE - SANTO ANDRE - SP - PRIVADO - 57.507.402/0001-02" u="1"/>
        <s v="URGIL - RIO DE JANEIRO - RJ - PRIVADO - 28.602.407/0001-08" u="1"/>
        <s v="CENTRO DE ESPECIALIDADES MEDICAS UNIMED FACIL - CUIABA - MT - PRIVADO - 03.533.726/0015-83" u="1"/>
        <s v="INSTITUTO ONCOLOGICO DE RIBEIRAO PRETO LTDA - RIBEIRAO PRETO - SP - PRIVADO - 57.723.280/0001-83" u="1"/>
        <s v="HOSPITAL DIVINA PROVIDENCIA - PORTO ALEGRE - RS - PRIVADO - 87.317.764/0010-84" u="1"/>
        <s v="UNIMED ARAGUARI - ARAGUARI - MG - PRIVADO - 20.909.271/0001-71" u="1"/>
        <s v="CLINICA MEDICA CROCE LTDA - SAO PAULO - SP - PRIVADO - 43.775.956/0001-78" u="1"/>
        <s v="HOSPITAL UNIMED - PRONTO ATENDIMENTO - POCOS DE CALDAS - MG - PRIVADO - 41.781.949/0002-34" u="1"/>
        <s v="GREEN LINE SISTEMA DE SAUDE S/A - SAO PAULO - SP - PRIVADO - 61.849.980/0010-87" u="1"/>
        <s v="SANTA JOANA - RECIFE - PE - PRIVADO - 10.839.561/0001-32" u="1"/>
        <s v="INGOH - INSTITUTO GOIANO DE ONCOLOGIA E HEMATOLOGIA - GOIANIA - GO - PRIVADO - 01.277.573/0001-20" u="1"/>
        <s v="HOSPITAL ALEMAO OSWALDO CRUZ - SAO PAULO - SP - PRIVADO - 60.726.502/0007-11" u="1"/>
        <s v="HOME HEALTH CARE DOCTOR SERVICOS MEDICOS DOMICILIARES S/S LTDA - SAO PAULO - SP - PRIVADO - 00.603.226/0001-87" u="1"/>
        <s v="HOSPITAL DAS CLINICAS PRIMAVERA - PRIMAVERA DO LESTE - MT - PRIVADO - 01.383.835/0001-30" u="1"/>
        <s v="MARCELO CESAR AVILA - FLORIANOPOLIS - SC - PESSOA FISICA - 480.639.839-04" u="1"/>
        <s v="HOSPITAL SANCTA MAGGIORE PARAISO - SAO PAULO - SP - PRIVADO - 00.461.479/0010-54" u="1"/>
        <s v="UNIMED-RIO EMPREENDIMENTOS MEDICOS E HOSPITALARES LTDA - RIO DE JANEIRO - RJ - PRIVADO - 09.219.138/0005-84" u="1"/>
        <s v="HOSPITAL SAO CAMILO - POMPEIA - SAO PAULO - SP - PRIVADO - 60.975.737/0002-32" u="1"/>
        <s v="ONCOMED CENTRO PREV E TRAT DE DOENCAS NEOPLASICAS LTDA" u="1"/>
        <s v="ALERGO LOGICA DIAGNOSTICO EM ALERGIA LTDA ME - PRIVADO - 10.447.300/0001-77" u="1"/>
        <s v="HCFMB - BOTUCATU - SP - PUBLICO - 12.474.705/0001-20" u="1"/>
        <s v="HOSPITAL SAO JOSE DO AVAI - ITAPERUNA - RJ - PRIVADO - 29.640.612/0001-20" u="1"/>
        <s v="GRUPO ACREDITAR - BRASILIA - DF - PRIVADO - 03.989.821/0001-90" u="1"/>
        <s v="UNIVERSIDADE FEDERAL DA BAHIA - SALVADOR - BA - PUBLICO - 15.180.714/0005-20" u="1"/>
        <s v="UNIMED DE PIRASSUNUNGA COOPERATIVA DE TRABALHO MEDICO - SP - SAO PAULO - 00.840.048/0004-50" u="1"/>
        <s v="HOSPITAL DE CLINICAS DE JACAREPAGUA LTDA - RIO DE JANEIRO - RJ - PRIVADO - 34.058.123/0001-03" u="1"/>
        <s v="CEOF - FLORIANOPOLIS - SC - PRIVADO - 01.125.832/0001-05" u="1"/>
        <s v="HOSPITAL UNIMED BLUMENAU - UNIDADE VILA NOVA - BLUMENAU - SC - PRIVADO - 82.624.776/0006-51" u="1"/>
        <s v="HOSPITAL MEMORIAL SAO JOSE - Recife - PE - PRIVADO - 06.047.087/0092-76" u="1"/>
        <s v="SAO FRANCISCO SISTEMAS DE SAUDE SOCIEDADE EMPRESARIA LIMITADA - ARARAQUARA - SP - PRIVADO - 01.613.433/0108-14" u="1"/>
        <s v="HOSPITAL SAO LUCAS - NOVA FRIBURGO - RJ - PRIVADO - 30.537.740/0001-22" u="1"/>
        <s v="HOSPITAL FEDERAL CARDOSO FONTES - RIO DE JANEIRO - RJ - PUBLICO - 00.394.544/0203-72" u="1"/>
        <s v="HOSPITAL DO CORACAO DE BALNEARIO CAMBORIU LTDA - BALNEARIO CAMBORIU - SC - PRIVADO - 01.517.626/0001-32" u="1"/>
        <s v="CLINICA DE DOENCAS RENAIS DE BRASILIA LTDA - PRIVADO - 01.602.408/0001-04" u="1"/>
        <s v="CENTRO INFUSIONAL E REFERENCIA MEDICA - FESP - SAO PAULO - SP - PRIVADO - 43.643.139/0004-09" u="1"/>
        <s v="UNIDADE HOSP GERAL E MATERNIDADE MADRE MARIA THEODORA  - CAMPINAS - SP - PRIVADO - 29.435.005/0084-56" u="1"/>
        <s v="CLINICA DE CAMPO GRANDE S/A - CAMPO GRANDE - MS - PRIVADO - 00.860.841/0001-79" u="1"/>
        <s v="HOSPITAL NOSSA SENHORA DA CONCEICAO SA - PORTO ALEGRE - RS - PRIVADO - 92.787.118/0001-20" u="1"/>
        <s v="HOSPITAL OTOCLINICA - FORTALEZA - CE - PRIVADO - 23.443.518/0001-03" u="1"/>
        <s v="FUNDO MUNICIPAL DE SAUDE DE RIO VERDE - GO - RIO VERDE - GO - PUBLICO - 06.190.522/0001-80" u="1"/>
        <s v="INSTITUTO DEVITA - CAXIAS DO SUL - RS - PRIVADO - 01.140.803/0001-04" u="1"/>
        <s v="UNIMED NATAL SOCIEDADE COOPERATIVA DE TRABALHO MEDICO - NATAL - RN - PRIVADO - 08.380.701/0017-72" u="1"/>
        <s v="BRASIF S/A ADMINISTRACAO E PARTICIPACOES - 21.109.731/0001-40" u="1"/>
        <s v="HOSPITAL DE CLINICAS - PORTO ALEGRE - RS - PRIVADO - 87.020.517/0001-20" u="1"/>
        <s v="PRONTO ATENDIMENTO UNIMED LONDRINA - PRIVADO - 75.222.224/0018-95" u="1"/>
        <s v="UNIMED SUL DO PARA - MARABA - PA - PRIVADO - 14.112.023/0001-00" u="1"/>
        <s v="BENEFICENCIA NIPO BRASILEIRA DA AMAZONIA - BELEM - PA - PRIVADO - 04.966.545/0003-70" u="1"/>
        <s v="PREFEITURA DE LINS - LINS - SP - PUBLICO - 44.531.788/0001-38" u="1"/>
        <s v="COMPLEXO HOSPITALAR JARDIM CUIABA - CUIABA - MT - PRIVADO - 01.757.351/0001-04" u="1"/>
        <s v="HOSPITAL SAO RAFAEL S.A - SALVADOR - BA - PRIVADO - 27.372.066/0001-69" u="1"/>
        <s v="PRONTO ATENDIMENTO JACAREI - JACAREI - SP - PRIVADO - 60.214.517/0011-87" u="1"/>
        <s v="CERUB - CENTRO REUMATOLOGICO DE UBERLNDIA" u="1"/>
        <s v="CLINICA PERINATAL VITORIA LTDA - SERRA - ES - PRIVADO - 01.396.804/0001-14" u="1"/>
        <s v="COORDENADORIA DE ASSISTENCIA FARMACEUTICA - PUBLICO - 46.374.500/0262-31" u="1"/>
        <s v="HOSPITAL UNIMED - SAO JOSE - SC - PRIVADO - 17.034.086/0001-76" u="1"/>
        <s v="EBSERH - COMPLEXO HOSPITALAR DO CEARA (HUWC E MEAC) - FORTALEZA - CE - PRIVADO - 15.126.437/0014-68" u="1"/>
        <s v="HOSPITAL NORTE DOR DE CASCADURA S.A - RIO DE JANEIRO - RJ - PRIVADO - 09.578.217/0001-58" u="1"/>
        <s v="HOSPITAL MARCELINO CHAMPAGNAT - CURITIBA - PR - PRIVADO - 76.659.820/0023-67" u="1"/>
        <s v="UNIMED CAMPINAS COOPERATIVA DE TRABALHO MEDICO - SUMARE - SP - PRIVADO - 46.124.624/0025-99" u="1"/>
        <s v="HOSPITAL INFANTE DOM HENRIQUE - SAO JOSE DO RIO PRETO - SP - PRIVADO - 59.972.307/0001-05" u="1"/>
        <s v="ALIANCA INSTITUTO DE ONCOLOGIA S.A." u="1"/>
        <s v="HOSPITAL VERA CRUZ S A - CAMPINAS - SP - PRIVADO - 46.009.718/0001-40" u="1"/>
        <s v="CEMED CARE EMPRESA DE ATENDIMENTO CLINICO GERAL LTDA - BRASILIA - DF - PRIVADO - 07.794.623/0051-91" u="1"/>
        <s v="HOSPITAL ACACIAS - SANTO ANDRE - SP - PRIVADO - 13.718.999/0010-41" u="1"/>
        <s v="GAMP - PRIVADO - 09.549.061/0002-68" u="1"/>
        <s v="MCO - SALVADOR - BA - PUBLICO - 15.180.714/0003-68" u="1"/>
        <s v="DEPOSITO-ARMAZEM SALVADOR/BA - SALVADOR - BA - PRIVADO - 12.361.267/0147-39" u="1"/>
        <s v="INSTITUTO NACIONAL DE CARDIOLOGIA - RIO DE JANEIRO - RJ - PUBLICO - 00.394.544/0213-44" u="1"/>
        <s v="HOSPITAL SAO LUCAS - MANAUS - AM - PRIVADO - 12.361.267/0116-32" u="1"/>
        <s v="HOSPITAL E MATERNIDADE SAO CRISTOVAO - SAO PAULO - SP - PRIVADO - 60.975.174/0003-63" u="1"/>
        <s v="INSTITUTO DO CANCER DE ANDRADINA - PRIVADO - 25.026.561/0001-90" u="1"/>
        <s v="HOSPITAL E MATERNIDADE CELSO PIERRO - CAMPINAS - SP - PRIVADO - 46.020.301/0002-69" u="1"/>
        <s v="HOSPITAL DO CANCER DE LONDRINA - LONDRINA - PR - PRIVADO - 78.633.088/0001-76" u="1"/>
        <s v="HOSPITAL ISRAELITA ALBERTEINSTEIN - SAO PAULO - SP - PRIVADO - 60.765.823/0001-30" u="1"/>
        <s v="HOSPITAL E MATERNIDADE SANTA JOANA S/A - SAO PAULO - SP - PRIVADO - 60.678.604/0001-13" u="1"/>
        <s v="HOSPITAL UNIMED - VOLTA REDONDA - RJ - PRIVADO - 35.917.970/0007-26" u="1"/>
        <s v="CETTRO - CENTRO DE CANCER DE BRASILIA - BRASILIA - DF - PRIVADO - 00.520.237/0001-01" u="1"/>
        <s v="HOSPITAIS INTEGRADOS DA GAVEA S/A - RIO DE JANEIRO - RJ - PRIVADO - 31.635.857/0002-92" u="1"/>
        <s v="HOSPITAL UNIVERSITARIO DA UFGD - DOURADOS - MS - PUBLICO - 07.775.847/0002-78" u="1"/>
        <s v="HOSPITAL SANTA CRUZ - SAO PAULO - SP - PRIVADO - 60.552.098/0001-11" u="1"/>
        <s v="HOSPITAL DA LAGOA/RJ - RIO DE JANEIRO - RJ - PUBLICO - 00.394.544/0204-53" u="1"/>
        <s v="CASA DE SAUDE E MATERNIDADE SANTA MARTHA SA - NITEROI - RJ - PRIVADO - 30.079.461/0001-62" u="1"/>
        <s v="HOSPITAL UNIVERSITARIO ANTONIO PEDRO - NITEROI - RJ - PUBLICO - 28.523.215/0003-78" u="1"/>
        <s v="HOSPITAL SAO CAMILO - IPIRANGA - SAO PAULO - SP - PRIVADO - 60.975.737/0051-10" u="1"/>
        <s v="INSTITUTO DE CANCER DE BRASILIA LTDA - BRASILIA - DF - PRIVADO - 11.859.927/0001-06" u="1"/>
        <s v="CORP - SAO JOSE DO RIO PRETO - SP - PRIVADO - 10.576.443/0001-89" u="1"/>
        <s v="EBSERH - HOSPITAL UNIVERSITARIO DE SANTA MARIA - SANTA MARIA - RS - PRIVADO - 15.126.437/0019-72" u="1"/>
        <s v="HOSPITAL CAXIAS DOR - DUQUE DE CAXIAS - RJ - PRIVADO - 06.047.087/0013-72" u="1"/>
        <s v="ASSOCIACAO BENEFICENTE SAMARITANO - HORTOLANDIA - SP - PRIVADO - 06.209.132/0001-04" u="1"/>
        <s v="PRONTO ATENDIMENTO UNIMED RONDONOPOLIS - RONDONOPOLIS - MT - PRIVADO - 24.676.884/0007-52" u="1"/>
        <s v="ONCOVIT DISTRIBUIDORA DE MEDICAMENTOS LTDA - VITORIA - ES - PRIVADO - 10.586.940/0001-68" u="1"/>
        <s v="CENTRO MEDICO UNIMED - TUBARAO - SC - PRIVADO - 85.241.339/0008-09" u="1"/>
        <s v="HOSPITAL UNIMED - NATAL - RN - PRIVADO - 08.380.701/0006-10" u="1"/>
        <s v="DEPARTAMENTO REGIONAL DE SAUDE - DRS II - ARACATUBA - ARACATUBA - SP - PUBLICO - 46.374.500/0038-86" u="1"/>
        <s v="INSTITUTO DE NEUROLOGIA - GOIANIA - GO - PRIVADO - 01.011.865/0001-16" u="1"/>
        <s v="HOSPITAL VIVALLE - SAO JOSE DOS CAMPOS - SP - PRIVADO - 06.047.087/0030-73" u="1"/>
        <s v="A.C.CAMARGO CANCER CENTER - SAO PAULO - SP - PRIVADO - 60.961.968/0001-06" u="1"/>
        <s v="HOSPITAL DR BADIM - RIO DE JANEIRO - RJ - PRIVADO - 27.901.222/0001-31" u="1"/>
      </sharedItems>
    </cacheField>
    <cacheField name="Cidade" numFmtId="0">
      <sharedItems/>
    </cacheField>
    <cacheField name="UF" numFmtId="0">
      <sharedItems/>
    </cacheField>
    <cacheField name="#FK-Email-Gerente" numFmtId="0">
      <sharedItems containsBlank="1" count="6">
        <s v="claudia.bueno@cslbehring.com"/>
        <m/>
        <s v="luis.gomes@csl.com.au"/>
        <s v="fernando.leony@cslbehring.com"/>
        <s v="rafael.esteves@cslbehring.com"/>
        <s v="gerente.orfao@vago.com" u="1"/>
      </sharedItems>
    </cacheField>
    <cacheField name="Gerente" numFmtId="0">
      <sharedItems containsBlank="1"/>
    </cacheField>
    <cacheField name="Cod-Linha" numFmtId="0">
      <sharedItems containsSemiMixedTypes="0" containsString="0" containsNumber="1" containsInteger="1" minValue="62" maxValue="73"/>
    </cacheField>
    <cacheField name="Linha" numFmtId="0">
      <sharedItems count="5">
        <s v="PRIVIGEN"/>
        <s v="HIZENTRA"/>
        <s v="BERIPLEX"/>
        <s v="HAEMOCOMPLETTAN"/>
        <s v="BERINERT"/>
      </sharedItems>
    </cacheField>
    <cacheField name="Estabelecimento.1" numFmtId="0">
      <sharedItems/>
    </cacheField>
    <cacheField name="EQ" numFmtId="3">
      <sharedItems containsSemiMixedTypes="0" containsString="0" containsNumber="1" minValue="-15" maxValue="20285"/>
    </cacheField>
  </cacheFields>
  <extLst>
    <ext xmlns:x14="http://schemas.microsoft.com/office/spreadsheetml/2009/9/main" uri="{725AE2AE-9491-48be-B2B4-4EB974FC3084}">
      <x14:pivotCacheDefinition pivotCacheId="149469624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domiro Barbosa" refreshedDate="43866.615293402778" createdVersion="6" refreshedVersion="6" minRefreshableVersion="3" recordCount="698" xr:uid="{818CECD9-7053-4A35-A6A3-D9A3ABCA4B4D}">
  <cacheSource type="worksheet">
    <worksheetSource name="VIEW_IV_2019_VENDA_DETALHADA"/>
  </cacheSource>
  <cacheFields count="7">
    <cacheField name="Ano-Fiscal" numFmtId="0">
      <sharedItems count="1">
        <s v="2019/2020"/>
      </sharedItems>
    </cacheField>
    <cacheField name="Mes-Fiscal" numFmtId="0">
      <sharedItems count="6">
        <s v="01-Jul"/>
        <s v="02-Ago"/>
        <s v="03-Set"/>
        <s v="04-Out"/>
        <s v="05-Nov"/>
        <s v="06-Dez"/>
      </sharedItems>
    </cacheField>
    <cacheField name="Tri-Fiscal" numFmtId="0">
      <sharedItems count="2">
        <s v="01-Tri"/>
        <s v="02-Tri"/>
      </sharedItems>
    </cacheField>
    <cacheField name="CNPJ" numFmtId="1">
      <sharedItems containsSemiMixedTypes="0" containsString="0" containsNumber="1" containsInteger="1" minValue="88317000121" maxValue="94516671000234"/>
    </cacheField>
    <cacheField name="Estabelecimento-Venda" numFmtId="0">
      <sharedItems count="196">
        <s v="VICTORIA"/>
        <s v="HOSPITAL GERAL DO ANDARAI/RJ - RIO DE JANEIRO - RJ"/>
        <s v="HOSPITAL GERAL DE BONSUCESSO/RJ - RIO DE JANEIRO - RJ"/>
        <s v="HOSPITAL FEDERAL CARDOSO FONTES - RIO DE JANEIRO - RJ"/>
        <s v="HOSPITAL DA LAGOA/RJ - RIO DE JANEIRO - RJ"/>
        <s v="HOSPITAL GERAL DE IPANEMA/RJ - RIO DE JANEIRO - RJ"/>
        <s v="HOSPITAL SERVIDORES DO ESTADO/RJ - RIO DE JANEIRO - RJ"/>
        <s v="INSTITUTO NACIONAL DE CARDIOLOGIA - RIO DE JANEIRO - RJ"/>
        <s v="RAGI MEDICAL "/>
        <s v="ALMINHANA (PHD)"/>
        <s v="DUPATRI"/>
        <s v="ONCO PROD"/>
        <s v="PROHOSP PR"/>
        <s v="BRASIL PHARMA"/>
        <s v="FES/BA - SALVADOR - BA"/>
        <s v="EXPRESSA"/>
        <s v="NAZARIA (JORGE BATISTA)"/>
        <s v="HOSPITAL UNIVERSITARIO WALTER CANTIDIO - FORTALEZA - CE"/>
        <s v="UNI HOSPITALAR"/>
        <s v="CIONC - CENTRO INTEGRADO DE ONCOLOGIA DE CURITIBA S/S - CURITIBA - PR"/>
        <s v="CDM"/>
        <s v="MAXIMUS"/>
        <s v="FUNDO ESTADUAL DE SAUDE DO PARANA - FUNSAUDE - CURITIBA - PR"/>
        <s v="MEDICAMENTAL"/>
        <s v="ELFA"/>
        <s v="MAJELA"/>
        <s v="S3"/>
        <s v="HOSPITAL DA RESTAURACAO - RECIFE - PE"/>
        <s v="MEDCOMERCE"/>
        <s v="GLOBAL"/>
        <s v="CM HOSPITALAR"/>
        <s v="HCFMB - BOTUCATU - SP"/>
        <s v="MAIS SAUDE"/>
        <s v="EMPRESA BRASILEIRA DE SERVICOS HOSPITALARES - EBSERH - NATAL - RN"/>
        <s v="EBSERH - HOSPITAL UNIVERSITARIO DE SANTA MARIA - SANTA MARIA - RS"/>
        <s v="HOSPITAL UNIVERST DA UFSCAR PROF DR HORACIO C PANEPUCCI - SÃO CARLOS - SP"/>
        <s v="RIO BAHIA"/>
        <s v="MCO - SALVADOR - BA"/>
        <s v="FUTURA"/>
        <s v="BIOHOSP"/>
        <s v="HOSPITAL DE CLINICAS DA UFTM - UBERABA - MG"/>
        <s v="HOSPITAL DE CLINICAS DA UFU - UBERLÂNDIA - MG"/>
        <s v="HOSPITAL DOUTOR DORIO SILVA - SERRA - ES"/>
        <s v="SIGEL"/>
        <s v="INSTITUTO DE PUERICULTURA E PEDIATRIA MARTAGAO GESTEIR - RIO DE JANEIRO - RJ"/>
        <s v="HOSPITAL UNIVERSITARIO - RIO DE JANEIRO - RJ"/>
        <s v="INSTITUTO FERNANDES FIGUEIRA - RIO DE JANEIRO - RJ"/>
        <s v="J NERVAL"/>
        <s v="JUNDIAI GABINETE PREFEITO - JUNDIAÍ - SP"/>
        <s v="UNIVERSIDADE ESTADUAL DE CAMPINAS - CAMPINAS - SP"/>
        <s v="HOSPITAL GUILHERME ALVARO - SANTOS - SP"/>
        <s v="DEPARTAM. REGIONAL DE SAUDE DE RIB. PRETO - DRS XIII - RIBEIRÃO PRETO - SP"/>
        <s v="HOSPITAL GERAL DE TAIPAS - SÃO PAULO - SP"/>
        <s v="HOSPITAL REGIONAL SUL - SÃO PAULO - SP"/>
        <s v="HOSPITAL GERAL DE VILA PENTEADO - SÃO PAULO - SP"/>
        <s v="SECRETARIA DA SAUDE UNIDADE DE GESTAO ASSISTENCIAL IV - SÃO PAULO - SP"/>
        <s v="HOSPITAL ESTADUAL DE PRESIDENTE PRUDENTE - PRESIDENTE PRUDENTE - SP"/>
        <s v="HOSPITAL DO SERVIDOR PUBLICO MUNICIPAL - SÃO PAULO - SP"/>
        <s v="PREFEITURA MUNICIPAL DE GUARARAPES - GUARARAPES - SP"/>
        <s v="PREFEITURA MUNICIPAL DE CAMPINAS - CAMPINAS - SP"/>
        <s v="INSTITUTO DO CANCER DO ESTADO DE SAO PAULO - SÃO PAULO - SP"/>
        <s v="CENTRO DE REFERENCIA DA SAUDE DA MULHER - MATER - RIBEIRÃO PRETO - SP"/>
        <s v="HOSPITAL DE BASE - SÃO JOSÉ DO RIO PRETO - SP"/>
        <s v="HOSPITAL DAS CLINICAS DA FACULDADE DE MEDICINA DA U S P - SÃO PAULO - SP"/>
        <s v="IAMSPE - SÃO PAULO - SP"/>
        <s v="SOC BENEFICIENTE DE SENHORAS HOSPITAL SIRIO LIBANES - SÃO PAULO - SP"/>
        <s v="UNIDADE BRASILIA IV - BRASÍLIA - DF"/>
        <s v="REAL E BENEMERITA ASSOCIACAO PORTUGUESA DE BENEFICENCIA - SÃO PAULO - SP"/>
        <s v="PROFARMA"/>
        <s v="GENESIO A MENDES BR"/>
        <s v="HOSPITAL DE CLINICAS - PORTO ALEGRE - RS"/>
        <s v="HOSPITAL CRISTO REDENTOR - PORTO ALEGRE - RS"/>
        <s v="SANTA CRUZ"/>
        <s v="DEPARTAMENTO DE LOGISTICA - BRASÍLIA - DF"/>
        <s v="INSTITUTO NACIONAL DE CANCER - RIO DE JANEIRO - RJ"/>
        <s v="MED-SURGERY"/>
        <s v="MEDRADIUS - MACEIÓ - AL"/>
        <s v="HOSPITAL GERAL DE CURITIBA - CURITIBA - PR"/>
        <s v="ICIPE - BRASÍLIA - DF"/>
        <s v="PRONTO S.CARDIOLOGICO DE PE.PROF.LUIZ TAVARES-PROCAPE - RECIFE - PE"/>
        <s v="MACROMED/SUPERMED"/>
        <s v="FUNDO MUNICIPAL DE SAUDE DE TERESINA - TERESINA - PI"/>
        <s v="REPRESENTA"/>
        <s v="EBSERH HOSPITAL UNIVERSITARIO DE BRASILIA - BRASÍLIA - DF"/>
        <s v="EBSERH - COMPLEXO HOSPITALAR DO CEARA (HUWC E MEAC) - FORTALEZA - CE"/>
        <s v="HCFAMEMA - MARÍLIA - SP"/>
        <s v="HOSPITAL DR. ROBERTO ARNIZAUT SILVARES - SÃO MATEUS - ES"/>
        <s v="UNIVERSIDADE FEDERAL DO ESTADO DO RIO DE JANEIRO - RIO DE JANEIRO - RJ"/>
        <s v="UNID INT SAUDE DR OSWALDO B FARIA DE MIRANDOPOLIS - MIRANDÓPOLIS - SP"/>
        <s v="DEPARTAMENTO REGIONAL DE SAUDE - DRS II - ARACATUBA - ARAÇATUBA - SP"/>
        <s v="DEPARTAMENTO REGIONAL DE SAUDE DE PIRACICABA - DRS X - PIRACICABA - SP"/>
        <s v="COORDENADORIA DE ASSISTENCIA FARMACEUTICA - SÃO PAULO - SP"/>
        <s v="SANTA RITA"/>
        <s v="HOSPITAL ISRAELITA ALBERTEINSTEIN - SÃO PAULO - SP"/>
        <s v="HOSPITAL SAO PAULO - SÃO PAULO - SP"/>
        <s v="FUNDES - FORTALEZA - CE"/>
        <s v="COORDENACAO DE ARMAZENAGEM E DISTRIBUICAO LOGISTICA - GUARULHOS - SP"/>
        <s v="ESCRITORIO DE REPRESENTACAO DO MS/SAO PAULO - SÃO PAULO - SP"/>
        <s v="F CARDOSO"/>
        <s v="HOSPITAL UNIVERSITARIO ALCIDES CARNEIRO/UFCG - CAMPINA GRANDE - PB"/>
        <s v="MAUES E LOBATO"/>
        <s v="ONCOVIT DISTRIBUIDORA DE MEDICAMENTOS LTDA - VITÓRIA - ES"/>
        <s v="EBSERH HOSPITAL UNIVERSITARIO DE SAO LUIS - SÃO LUÍS - MA"/>
        <s v="UNIVERSIDADE FEDERAL DA BAHIA - SALVADOR - BA"/>
        <s v="SECRETARIA DA SAUDE - PALMAS - TO"/>
        <s v="HOSPITAL UNIVERSITARIO ANTONIO PEDRO - NITERÓI - RJ"/>
        <s v="RIO DE JANEIRO GABINETE DO PREFEITO - RIO DE JANEIRO - RJ"/>
        <s v="COMPLEXO HOSPITALAR DO JUQUERY - FRANCO DA ROCHA - SP"/>
        <s v="CONJUNTO HOSPITALAR DO MANDAQUI - SÃO PAULO - SP"/>
        <s v="DEPARTAMENTO REGIONAL DE SAUDE DE ARARAQUARA - DRS III - ARARAQUARA - SP"/>
        <s v="HOSPITAL GERAL DE VILA NOVA CACHOEIRINHA - SÃO PAULO - SP"/>
        <s v="HOSPITAL REGIONAL DE ASSIS - ASSIS - SP"/>
        <s v="HOSPITAL MATERNID INTERLAGOS WALDEMAR SEYSSEL - ARRELIA - SÃO PAULO - SP"/>
        <s v="SAO JOSE DOS CAMPOS GABINETE DO PREFEITO - SÃO JOSÉ DOS CAMPOS - SP"/>
        <s v="FUNDACAO FACULDADE DE MEDICINA - SÃO PAULO - SP"/>
        <s v="HOSPITAL DAS FORCAS ARMADAS - BRASÍLIA - DF"/>
        <s v="SAFELAB - SÃO BERNARDO DO CAMPO - SP"/>
        <s v="HOSPITAL UNIVERSITARIO OSWALDO CRUZ - RECIFE - PE"/>
        <s v="MEDICAL LIFE"/>
        <s v="HOSPITAL GOVERNADOR ISRAEL PINHEIRO - HGIP - BELO HORIZONTE - MG"/>
        <s v="HOSPITAL JOAO PENIDO - JUIZ DE FORA - MG"/>
        <s v="HOSPITAL INFANTIL JOAO PAULO II - BELO HORIZONTE - MG"/>
        <s v="HOSPITAL GERAL DE BARBACENA DR. JOSE AMERICO - BARBACENA - MG"/>
        <s v="LICIMASTER"/>
        <s v="UNIMONTES - MONTES CLAROS - MG"/>
        <s v="MEDCOM - BRASÍLIA - DF"/>
        <s v="QUIRON"/>
        <s v="FUNDARJ - RIO DE JANEIRO - RJ"/>
        <s v="HOSPITAL GERAL DE SAO MATHEUS - SÃO PAULO - SP"/>
        <s v="HOSPITAL NAVAL MARCILIO DIAS - RIO DE JANEIRO - RJ"/>
        <s v="FUNDACAO SANTA CASA - BELÉM - PA"/>
        <s v="AUTARQUIA HOSPITALAR MUNICIPAL - SÃO PAULO - SP"/>
        <s v="PIAUI SECRETARIA DE SAUDE - TERESINA - PI"/>
        <s v="EXOMED"/>
        <s v="EBSERH HOSPITAL UNIVERSITARIO DO TRIANGULO MINEIRO - UBERABA - MG"/>
        <s v="MATERNIDADE CLIMERIO DE OLIVEIRA - SALVADOR - BA"/>
        <s v="HOSPITAL UNIVERSITARIO ALCIDES CARNEIRO - CAMPINA GRANDE - PB"/>
        <s v="HOSPITAL UNIVERSITARIO ANTONIO PEDRO - NITEROI - RJ"/>
        <s v="HOSPITAL PROFESSOR EDGARDSANTOS - SALVADOR - BA"/>
        <s v="HOSPITAL EDUARDO DE MENEZES - BELO HORIZONTE - MG"/>
        <s v="HOSPITAL JOAO XXIII - BELO HORIZONTE - MG"/>
        <s v="HOSPITAL JULIA KUBITSCHEK - BELO HORIZONTE - MG"/>
        <s v="FORTAL FARMACE - FORTALEZA - CE"/>
        <s v="MEDICAMENTAL HOSPITALAR - RIBEIRAO PRETO - SP"/>
        <s v="INSTITUTO DANTE PAZZANESE DE CARDIOLOGIA - SÃO PAULO - SP"/>
        <s v="HOSPITAL GERAL JESUS TEIXEIRA DA COSTA - GUAIANASES - SÃO PAULO - SP"/>
        <s v="FUNDACAO DE DESENVOLVIMENTO DA UNICAMP FUNCAMP - CAMPINAS - SP"/>
        <s v="FES - FLORIANÓPOLIS - SC"/>
        <s v="PMMG - BELO HORIZONTE - MG"/>
        <s v="PREFEITURA DE LINS - LINS - SP"/>
        <s v="EMPRESA BRASILEIRA DE SERVICOS HOSPITALARES - EBSERH" u="1"/>
        <s v="EBSERH HOSPITAL UNIVERSITARIO DE SAO LUIS - SAO LUIS - MA" u="1"/>
        <s v="HOSPITAL DE CLINICAS DA UFU - UBERLANDIA - MG" u="1"/>
        <s v="DEPARTAMENTO REGIONAL DE SAUDE - DRS II - ARACATUBA - ARACATUBA - SP" u="1"/>
        <s v="HOSPITAL SAO PAULO - SAO PAULO - SP" u="1"/>
        <s v="LICIMASTER DISTRIBUIDORA DE MEDICAMENTOS E PRODUTOS MEDICO HOSPITALAR EIRELI - SALVADOR - BA" u="1"/>
        <s v="CONJUNTO HOSPITALAR DO MANDAQUI - SAO PAULO - SP" u="1"/>
        <s v="DEPARTAM. REGIONAL DE SAUDE DE RIB. PRETO - DRS XIII" u="1"/>
        <s v="GENESIO A MENDES &amp; CIA LTDA - SAO JOSE DOS PINHAIS - PA" u="1"/>
        <s v="INSTITUTO DO CANCER DO ESTADO DE SAO PAULO - SAO PAULO - SP" u="1"/>
        <s v="HOSPITAL DAS CLINICAS DA FACULDADE DE MEDICINA DA U S P - SAO PAULO - SP" u="1"/>
        <s v="HOSPITAL MATERNID INTERLAGOS WALDEMAR SEYSSEL - ARRELIA - SAO PAULO - SP" u="1"/>
        <s v="ESCRITORIO DE REPRESENTACAO DO MS/SAO PAULO - SAO PAULO - SP" u="1"/>
        <s v="UNID INT SAUDE DR OSWALDO B FARIA DE MIRANDOPOLIS - MIRANDOPOLIS - SP" u="1"/>
        <s v="HOSPITAL GERAL DE SAO MATHEUS - SAO PAULO - SP" u="1"/>
        <s v="HCFAMEMA" u="1"/>
        <s v="SAFELAB TRANSPORTES LTDA" u="1"/>
        <s v="HOSPITAL UNIVERST DA UFSCAR PROF DR HORACIO C PANEPUCCI - SAO CARLOS - SP" u="1"/>
        <s v="SECRETARIA DA SAUDE UNIDADE DE GESTAO ASSISTENCIAL IV - SAO PAULO - SP" u="1"/>
        <s v="ONCOVIT DISTRIBUIDORA DE MEDICAMENTOS LTDA - VITORIA - ES" u="1"/>
        <s v="REAL E BENEMERITA ASSOCIACAO PORTUGUESA DE BENEFICENCIA - SAO PAULO - SP" u="1"/>
        <s v="ICIPE - BRASILIA - DF" u="1"/>
        <s v="HOSPITAL DE BASE - SAO JOSE DO RIO PRETO - SP" u="1"/>
        <s v="AUTARQUIA HOSPITALAR MUNICIPAL - SAO PAULO - SP" u="1"/>
        <s v="SOC BENEFICIENTE DE SENHORAS HOSPITAL SIRIO LIBANES - SAO PAULO - SP" u="1"/>
        <s v="HOSPITAL ISRAELITA ALBERTEINSTEIN - SAO PAULO - SP" u="1"/>
        <s v="SAO JOSE DOS CAMPOS GABINETE DO PREFEITO - SAO JOSE DOS CAMPOS - SP" u="1"/>
        <s v="P P LOPES SOUSA MEDICAMENTOS" u="1"/>
        <s v="SOCIEDADE BENEFICENTE DE SENHORAS - HOSPITAL SIRIO LIBANES" u="1"/>
        <s v="HOSPITAL DAS FORCAS ARMADAS - BRASILIA - DF" u="1"/>
        <s v="JUNDIAI GABINETE PREFEITO - JUNDIAI - SP" u="1"/>
        <s v="MEDRADIUS - MACEIO - AL" u="1"/>
        <s v="CENTRO DE REFERENCIA DA SAUDE DA MULHER - MATER - RIBEIRAO PRETO - SP" u="1"/>
        <s v="HOSPITAL DO SERVIDOR PUBLICO MUNICIPAL - SAO PAULO - SP" u="1"/>
        <s v="FUNDACAO FACULDADE DE MEDICINA - SAO PAULO - SP" u="1"/>
        <s v="EBSERH HOSPITAL UNIVERSITARIO DE BRASILIA - BRASILIA - DF" u="1"/>
        <s v="HOSPITAL GERAL DE TAIPAS - SAO PAULO - SP" u="1"/>
        <s v="MEDCOM - BRASILIA - DF" u="1"/>
        <s v="HOSPITAL DR. ROBERTO ARNIZAUT SILVARES - SAO MATEUS - ES" u="1"/>
        <s v="HOSPITAL GERAL DE VILA PENTEADO - SAO PAULO - SP" u="1"/>
        <s v="DEPARTAMENTO DE LOGISTICA - BRASILIA - DF" u="1"/>
        <s v="GENESIO A MENDES &amp; CIA LTDA - SÃO JOSÉ DOS PINHAIS - PR" u="1"/>
        <s v="HOSPITAL REGIONAL SUL - SAO PAULO - SP" u="1"/>
        <s v="COORDENADORIA DE ASSISTENCIA FARMACEUTICA" u="1"/>
        <s v="HOSPITAL GERAL DE VILA NOVA CACHOEIRINHA - SAO PAULO - SP" u="1"/>
        <s v="IAMSPE - SAO PAULO - SP" u="1"/>
      </sharedItems>
    </cacheField>
    <cacheField name="Grupo-Linha-IV-REP" numFmtId="0">
      <sharedItems count="3">
        <s v="OUTROS PRODUTOS"/>
        <s v="RHOPHYLAC"/>
        <s v="ALBUREX"/>
      </sharedItems>
    </cacheField>
    <cacheField name="BRL" numFmtId="165">
      <sharedItems containsSemiMixedTypes="0" containsString="0" containsNumber="1" minValue="-1912472" maxValue="4544471.97"/>
    </cacheField>
  </cacheFields>
  <extLst>
    <ext xmlns:x14="http://schemas.microsoft.com/office/spreadsheetml/2009/9/main" uri="{725AE2AE-9491-48be-B2B4-4EB974FC3084}">
      <x14:pivotCacheDefinition pivotCacheId="1167195518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domiro Barbosa" refreshedDate="43866.615293981478" createdVersion="6" refreshedVersion="6" minRefreshableVersion="3" recordCount="4311" xr:uid="{404EDF17-7297-4F04-85E6-D59BEFB6E2FD}">
  <cacheSource type="worksheet">
    <worksheetSource name="VIEW_IV_2019_DEMANDA_DISTRIBUIDORES"/>
  </cacheSource>
  <cacheFields count="19">
    <cacheField name="Ano-Unv" numFmtId="0">
      <sharedItems containsSemiMixedTypes="0" containsString="0" containsNumber="1" containsInteger="1" minValue="2019" maxValue="2019"/>
    </cacheField>
    <cacheField name="Mes-Unv" numFmtId="0">
      <sharedItems containsSemiMixedTypes="0" containsString="0" containsNumber="1" containsInteger="1" minValue="7" maxValue="12"/>
    </cacheField>
    <cacheField name="Ano-Fiscal" numFmtId="0">
      <sharedItems count="1">
        <s v="2019/2020"/>
      </sharedItems>
    </cacheField>
    <cacheField name="Mes-Fiscal" numFmtId="0">
      <sharedItems count="6">
        <s v="01-Jul"/>
        <s v="02-Ago"/>
        <s v="03-Set"/>
        <s v="04-Out"/>
        <s v="05-Nov"/>
        <s v="06-Dez"/>
      </sharedItems>
    </cacheField>
    <cacheField name="Tri-Fiscal" numFmtId="0">
      <sharedItems count="2">
        <s v="01-Tri"/>
        <s v="02-Tri"/>
      </sharedItems>
    </cacheField>
    <cacheField name="Periodo-IV" numFmtId="0">
      <sharedItems/>
    </cacheField>
    <cacheField name="Calculo-Mensal" numFmtId="0">
      <sharedItems/>
    </cacheField>
    <cacheField name="Calculo-Trimestral" numFmtId="0">
      <sharedItems/>
    </cacheField>
    <cacheField name="Calculo-Anual" numFmtId="0">
      <sharedItems/>
    </cacheField>
    <cacheField name="Grupo-Distribuidor" numFmtId="0">
      <sharedItems count="29">
        <s v="S3"/>
        <s v="BRASIL PHARMA"/>
        <s v="PROFARMA"/>
        <s v="BIOHOSP"/>
        <s v="CM HOSPITALAR"/>
        <s v="01 - CSL BEHRING (Venda Direta)"/>
        <s v="MEDICAMENTAL"/>
        <s v="ONCO PROD"/>
        <s v="MEDCOMERCE"/>
        <s v="CDM"/>
        <s v="FUTURA"/>
        <s v="ELFA"/>
        <s v="EXPRESSA"/>
        <s v="SANTA CRUZ"/>
        <s v="GENESIO A MENDES BR"/>
        <s v="PROHOSP PR"/>
        <s v="ALMINHANA (PHD)"/>
        <s v="DUPATRI"/>
        <s v="MAIS SAUDE"/>
        <s v="NAZARIA (JORGE BATISTA)"/>
        <s v="RAGI MEDICAL "/>
        <s v="SIGEL"/>
        <s v="VICTORIA"/>
        <s v="MAXIMUS"/>
        <s v="RIO BAHIA"/>
        <s v="FARMAVISTA (MOSTAERT)"/>
        <s v="BIOMIG"/>
        <s v="SANTA RITA"/>
        <s v="MACROMED/SUPERMED"/>
      </sharedItems>
    </cacheField>
    <cacheField name="CNPJ" numFmtId="1">
      <sharedItems containsSemiMixedTypes="0" containsString="0" containsNumber="1" containsInteger="1" minValue="320465020" maxValue="97397848000138"/>
    </cacheField>
    <cacheField name="Estabelecimento" numFmtId="0">
      <sharedItems count="619">
        <s v="MARIA BEATRIZ DE SOUZA MOREIRA - RIO DE JANEIRO - RJ - 111.149.877-60"/>
        <s v="PEDRO FLÁVIO - BELÉM - PA - 123.710.092-53"/>
        <s v="GUSTAVO PRIETO BORGES MOREIRA - CONSELHEIRO LAFAIETE - MG - 173.769.686-01"/>
        <s v="JEAN STANISLAS MARIE BRUNET-LECOMTE - SÃO PAULO - SP - 239.415.938-38"/>
        <s v="HOSPITAL SANTA HELENA (REDE DOR) - BRASÍLIA - DF - 00.049.791/0001-44"/>
        <s v="ROBERTO MOURA GRISI - JOÃO PESSOA - PB - 839.256.944-04"/>
        <s v="LARISSA HELENA AMARAL CASTRO - BELÉM - PA - 917.771.862-34"/>
        <s v="ONCOMED CENTRO PREV E TRAT DE DOENCAS NEOPLASICAS LTDA - BELO HORIZONTE - MG - 00.132.229/0001-80"/>
        <s v="HOSPITAL MINISTRO COSTA CAVALCANTI - FOZ DO IGUAÇU - PR - 00.304.148/0001-10"/>
        <s v="HOSPITAL GERAL DE BONSUCESSO/RJ - RIO DE JANEIRO - RJ - 00.394.544/0202-91"/>
        <s v="HOSPITAL FEDERAL CARDOSO FONTES - RIO DE JANEIRO - RJ - 00.394.544/0203-72"/>
        <s v="HOSPITAL DA LAGOA/RJ - RIO DE JANEIRO - RJ - 00.394.544/0204-53"/>
        <s v="HOSPITAL GERAL DE IPANEMA/RJ - RIO DE JANEIRO - RJ - 00.394.544/0210-00"/>
        <s v="INSTITUTO NACIONAL DE CARDIOLOGIA - RIO DE JANEIRO - RJ - 00.394.544/0213-44"/>
        <s v="HEMATOLOGICA - CLINICA DE HEMATOLOGIA LTDA - BELO HORIZONTE - MG - 00.410.960/0001-20"/>
        <s v="HEMOLABOR - GOIÂNIA - GO - 00.418.954/0001-19"/>
        <s v="CON-CENTRO ONCOLOGICO DE NITEROI LTDA - NITERÓI - RJ - 00.437.007/0001-75"/>
        <s v="HOSPITAL SANCTA MAGGIORE ITAIM - SÃO PAULO - SP - 00.461.479/0019-92"/>
        <s v="INSTITUTO DE ONCOLOGIA PREVENT SENIOR - SÃO PAULO - SP - 00.461.479/0045-84"/>
        <s v="PRONTONORTE - BRASÍLIA - DF - 00.511.816/0001-80"/>
        <s v="CETTRO - CENTRO DE CANCER DE BRASILIA - BRASÍLIA - DF - 00.520.237/0001-01"/>
        <s v="ONCOLOGIA CLINICA NITEROI S/S - NITERÓI - RJ - 00.521.197/0001-04"/>
        <s v="HOSPITAL SANTA MARTA LTDA - BRASÍLIA - DF - 00.610.980/0001-44"/>
        <s v="HOSPITAL DO CORACAO DE NATAL LTDA - NATAL - RN - 00.820.737/0001-50"/>
        <s v="UNIMED DE PIRASSUNUNGA COOPERATIVA DE TRABALHO MEDICO - PIRASSUNUNGA - SP - 00.840.048/0004-50"/>
        <s v="CLINICA DE CAMPO GRANDE S/A - CAMPO GRANDE - MS - 00.860.841/0001-79"/>
        <s v="HOSPITAL ECOVILLE - CURITIBA - PR - 00.942.063/0001-67"/>
        <s v="INSTITUTO DE NEUROLOGIA - GOIÂNIA - GO - 01.011.865/0001-16"/>
        <s v="CEOF - FLORIANÓPOLIS - SC - 01.125.832/0001-05"/>
        <s v="INSTITUTO DEVITA - CAXIAS DO SUL - RS - 01.140.803/0001-04"/>
        <s v="HOSPITAL E MATERNIDADE SAO NICOLAU - CATALÃO - GO - 01.326.206/0001-79"/>
        <s v="HOSPITAL DAS CLINICAS PRIMAVERA - PRIMAVERA DO LESTE - MT - 01.383.835/0001-30"/>
        <s v="CLINICA PERINATAL VITORIA LTDA - SERRA - ES - 01.396.804/0001-14"/>
        <s v="HOSPITAL DO CORACAO DE ALAGOAS - MACEIÓ - AL - 01.454.407/0001-51"/>
        <s v="INCOR NATAL - NATAL - RN - 01.507.901/0001-37"/>
        <s v="HOSPITAL DO CORACAO DE BALNEARIO CAMBORIU LTDA - BALNEÁRIO CAMBORIÚ - SC - 01.517.626/0001-32"/>
        <s v="SERVICOS DE QUIMIOTERAPIA UNIMED BRUSQUE - BRUSQUE - SC - 01.554.266/0003-00"/>
        <s v="HOSPITAL SAO FRANCISCO DE RIBEIRAO PRETO SP - RIBEIRÃO PRETO - SP - 01.613.433/0068-92"/>
        <s v="ONCO VIDA - BRASÍLIA - DF - 01.682.668/0001-29"/>
        <s v="COMPLEXO HOSPITALAR JARDIM CUIABA - CUIABÁ - MT - 01.757.351/0001-04"/>
        <s v="HOSPITAL SAO MARCOS (REDE DOR) - RECIFE - PE - 02.284.062/0004-40"/>
        <s v="HOSPITAL BARRA DOR (REDE DOR) - RIO DE JANEIRO - RJ - 02.284.062/0005-21"/>
        <s v="UDI HOSPITAL - SÃO LUÍS - MA - 02.284.062/0011-70"/>
        <s v="CENTRAL CLINIC - SÃO PAULO - SP - 02.383.508/0004-94"/>
        <s v="UNIMED GOIANIA - GOIÂNIA - GO - 02.476.067/0001-22"/>
        <s v="SERVICO DE ATENDIMENTO UNIMED - GOIÂNIA - GO - 02.476.067/0002-03"/>
        <s v="CENTRO CLINICO UNIMED - GOIÂNIA - GO - 02.476.067/0003-94"/>
        <s v="HOSPITAL ANCHIETA LTDA - BRASÍLIA - DF - 02.560.878/0001-07"/>
        <s v="NUCLEO DE HEMATOLOGIA E ONCOLOGIA - BELO HORIZONTE - MG - 02.623.693/0001-02"/>
        <s v="HOME CARE CENE - SÃO JOSÉ DO RIO PRETO - SP - 02.643.405/0001-73"/>
        <s v="PRONEP SAO PAULO - SÃO PAULO - SP - 02.837.922/0001-83"/>
        <s v="NOSSA SAUDE OPERADORA DE PLANOS PRIVADOS DE ASSISTENCIA A SAUDE LTDA. - CURITIBA - PR - 02.862.447/0002-86"/>
        <s v="CENTRON - CENTRO DE TRATAMENTO ONCOLOGICO LTDA - RIO DE JANEIRO - RJ - 02.864.097/0001-06"/>
        <s v="UNIMED CUIABA DISTRIBUIDORA DE MEDICAMENTOS - CUIABÁ - MT - 03.533.726/0007-73"/>
        <s v="CENTRO DE ESPECIALIDADES MEDICAS UNIMED FACIL - ACORIZAL - MT - 03.533.726/0015-83"/>
        <s v="ICTR - INSTITUTO DO CANCER E TRANSPLANTE S/C - CURITIBA - PR - 03.824.198/0001-16"/>
        <s v="INSTITUTO DE HEMATOLOGIA E ONCOLOGIA CURITIBA - CURITIBA - PR - 03.850.913/0001-95"/>
        <s v="HOSPITAL MONTE SINAI LTDA - GARANHUNS - PE - 03.858.924/0001-11"/>
        <s v="GLOBAL CARE ASSISTENCIA DOMICILIAR LTDA - SÃO PAULO - SP - 03.872.790/0001-93"/>
        <s v="HOSPITAL AMECOR - CUIABÁ - MT - 03.925.419/0001-42"/>
        <s v="GRUPO ACREDITAR - BRASÍLIA - DF - 03.989.821/0001-90"/>
        <s v="ONCOCENTER SERVICOS MEDICOS LTDA. - SÃO PAULO - SP - 04.036.348/0001-90"/>
        <s v="UNIMED DE BELEM COOPERATIVA DE TRABALHO MEDICO - BELÉM - PA - 04.201.372/0010-28"/>
        <s v="ALBERT SABIN HOSPITAL E MATERNIDADE - ATIBAIA - SP - 04.275.687/0001-29"/>
        <s v="HOSPITAL AEROPORTO - LAURO DE FREITAS - BA - 04.602.792/0001-25"/>
        <s v="VIVER CLINICA MEDICA LTDA - FLORIANÓPOLIS - SC - 04.670.913/0001-76"/>
        <s v="BENEFICENCIA NIPO BRASILEIRA DA AMAZONIA - BELÉM - PA - 04.966.545/0003-70"/>
        <s v="HBA - SALVADOR - BA - 05.469.172/0001-22"/>
        <s v="FES/BA - SALVADOR - BA - 05.816.630/0001-52"/>
        <s v="INSTITUTO DE IMUNOLOGIA E ONCOLOGIA S/S LTDA - SÃO PAULO - SP - 05.831.510/0001-24"/>
        <s v="UNICLINIC - FORTALEZA - CE - 05.867.015/0001-75"/>
        <s v="HOSPITAL REGIONAL UNIMED - FORTALEZA - CE - 05.868.278/0002-80"/>
        <s v="H A P - FORTALEZA - CE - 05.874.946/0001-09"/>
        <s v="HSH - SANTO ANDRÉ - SP - 06.033.403/0001-13"/>
        <s v="HOSP SAO LUIZ ANALIA FRANCO (REDE DOR) - SÃO PAULO - SP - 06.047.087/0001-39"/>
        <s v="SAO LUIZ UNIDADE ITAIM (REDE DOR) - SÃO PAULO - SP - 06.047.087/0002-10"/>
        <s v="HOSPITAL COPA DOR (REDE DOR) - RIO DE JANEIRO - RJ - 06.047.087/0009-96"/>
        <s v="HOSPITAL QUINTA DOR (REDE DOR) - RIO DE JANEIRO - RJ - 06.047.087/0010-20"/>
        <s v="HOSPITAL CAXIAS DOR  (REDE DOR) - DUQUE DE CAXIAS - RJ - 06.047.087/0013-72"/>
        <s v="HOSPITAL COPA DOR STAR (REDE DOR) - RIO DE JANEIRO - RJ - 06.047.087/0026-97"/>
        <s v="HOSPITAL VIVALLE (REDE DOR) - SÃO JOSÉ DOS CAMPOS - SP - 06.047.087/0030-73"/>
        <s v="HOSPITAL OESTE DOR (REDE DOR) - RIO DE JANEIRO - RJ - 06.047.087/0033-16"/>
        <s v="HOSPITAL SAO LUIZ JABAQUARA (REDE DOR) - SÃO PAULO - SP - 06.047.087/0038-20"/>
        <s v="HOSPITAL SANTA LUZIA (REDE DOR) - BRASÍLIA - DF - 06.047.087/0041-26"/>
        <s v="HOSPITAL DO CORACAO DO BRASIL (REDE DOR) - BRASÍLIA - DF - 06.047.087/0042-07"/>
        <s v="HOSPITAL SINO BRASILEIRO (REDE DOR) - OSASCO - SP - 06.047.087/0076-56"/>
        <s v="HOSPITAL MEMORIAL SAO JOSE (REDE DOR) - RECIFE - PE - 06.047.087/0092-76"/>
        <s v="I. O. M. - MACAPÁ - AP - 06.070.425/0001-53"/>
        <s v="FUNDO MUNICIPAL DE SAUDE DE RIO VERDE - GO - RIO VERDE - GO - 06.190.522/0001-80"/>
        <s v="ASSOCIACAO BENEFICENTE SAMARITANO - HORTOLÂNDIA - SP - 06.209.132/0001-04"/>
        <s v="HOSPITAL UNIMED PRIMAVERA - TERESINA - PI - 06.555.031/0002-76"/>
        <s v="SAO BERNARDO APART - COLATINA - ES - 07.039.651/0001-34"/>
        <s v="SAHA SERVICOS MEDICOS E HOSPITALARES LTDA. - SÃO PAULO - SP - 07.045.325/0001-30"/>
        <s v="HOSPITAL ANGELINA CARON - CAMPINA GRANDE DO SUL - PR - 07.088.017/0001-91"/>
        <s v="GASTROCLINICA - FORTALEZA - CE - 07.272.404/0001-83"/>
        <s v="HOSPITAL UNIVERSITARIO WALTER CANTIDIO - FORTALEZA - CE - 07.272.636/0002-12"/>
        <s v="CRUZ VERMELHA BRASILEIRA - FILIAL DO ESTADO DO PARANA - CURITIBA - PR - 07.404.052/0001-72"/>
        <s v="CIONC - CENTRO INTEGRADO DE ONCOLOGIA DE CURITIBA S/S - CURITIBA - PR - 07.734.165/0001-36"/>
        <s v="CEMED CARE - EMPRESA DE ATENDIMENTO CLINICO GERAL LTDA - NOVA IGUAÇU - RJ - 07.794.623/0015-28"/>
        <s v="CEMED CARE - EMPRESA DE ATENDIMENTO CLINICO GERAL LTDA - SÃO JOSÉ DOS PINHAIS - PR - 07.794.623/0022-57"/>
        <s v="CEMED CARE - EMPRESA DE ATENDIMENTO CLINICO GERAL LTDA - RIO DE JANEIRO - RJ - 07.794.623/0048-96"/>
        <s v="CEMED CARE EMPRESA DE ATENDIMENTO CLINICO GERAL LTDA - BRASÍLIA - DF - 07.794.623/0051-91"/>
        <s v="INSTITUTO DR JOSE FROTA - FORTALEZA - CE - 07.835.044/0001-80"/>
        <s v="HOSPITAL ALVORADA MOEMA - SÃO PAULO - SP - 08.100.676/0005-92"/>
        <s v="H. METROPOLITANO - UNIDADE BUTANTA - SÃO PAULO - SP - 08.100.676/0008-35"/>
        <s v="HOSPITAL SAMARITANO - RIO DE JANEIRO - RJ - 08.100.676/0021-02"/>
        <s v="HOSPITAL ALVORADA TAGUATINGA LTDA - SÃO PAULO - SP - 08.100.676/0024-55"/>
        <s v="CASA DE SAUDE SAO LUCAS S/A - NATAL - RN - 08.319.329/0001-21"/>
        <s v="HOSP INF VAR SANT - NATAL - RN - 08.337.586/0001-96"/>
        <s v="HOSPITAL UNIMED - NATAL - RN - 08.380.701/0006-10"/>
        <s v="HOME LIFE ASSISTENCIA DOMICILIAR EM SAUDE - SÃO PAULO - SP - 08.438.844/0003-92"/>
        <s v="FUNDO ESTADUAL DE SAUDE DO PARANA - FUNSAUDE - CURITIBA - PR - 08.597.121/0001-74"/>
        <s v="UNIMED JOAO PESSOA COOPERATIVA DO TRABALHO MEDICO - JOÃO PESSOA - PB - 08.680.639/0006-81"/>
        <s v="INSTITUTO DOR DE GESTAO DE SAUDE PUBLICA (REDE DOR) - RIO DE JANEIRO - RJ - 08.850.962/0002-22"/>
        <s v="CIP - CENTRO DE INFUSOES PACAEMBU LTDA - SÃO PAULO - SP - 08.871.521/0001-26"/>
        <s v="VIP HOME CARE ATENDIMENTO DOMICILIAR LTDA - PORTO ALEGRE - RS - 09.087.150/0002-30"/>
        <s v="ALIANCA INSTITUTO DE ONCOLOGIA - BRASÍLIA - DF - 09.104.513/0009-74"/>
        <s v="UNIMED-RIO EMPREENDIMENTOS MEDICOS E HOSPITALARES LTDA - RIO DE JANEIRO - RJ - 09.219.138/0005-84"/>
        <s v="COMANDO DA ARTILHARIA DIVIS DA TERC DIVISAO DE EXERCITO - CRUZ ALTA - RS - 09.572.216/0002-87"/>
        <s v="HOSPITAL NORTE DOR DE CASCADURA S.A (REDE DOR) - RIO DE JANEIRO - RJ - 09.578.217/0001-58"/>
        <s v="HOSPITAL DE GUARNICAO DE SANTA MARIA - SANTA MARIA - RS - 09.605.231/0002-84"/>
        <s v="HOSPITAL CENTRALDO EXERCITO - RIO DE JANEIRO - RJ - 09.609.235/0002-30"/>
        <s v="PEDIATRICS HOME CARE - INTERNACAO MEDICA DOMICILIAR LTDA - SÃO PAULO - SP - 10.211.939/0002-30"/>
        <s v="EV CITI - SÃO PAULO - SP - 10.323.381/0001-01"/>
        <s v="ALERGO LOGICA DIAGNOSTICO EM ALERGIA LTDA ME - CAMPINAS - SP - 10.447.300/0001-77"/>
        <s v="CRETA - CENTRO REUMATOLOGICO DE TERAPIA AVANCADA LTDA. - ME - SÃO PAULO - SP - 10.468.341/0001-40"/>
        <s v="CRETA - CENTRO REUMATOLOGICO DE TERAPIA AVANCADA LTDA - SÃO PAULO - SP - 10.468.341/0002-20"/>
        <s v="HEMOMED - SÃO PAULO - SP - 10.475.230/0001-60"/>
        <s v="HOSPITAL DA RESTAURACAO - RECIFE - PE - 10.572.048/0002-09"/>
        <s v="SANTA JOANA - RECIFE - PE - 10.839.561/0001-32"/>
        <s v="HOSPITAL PORTUGUES - RECIFE - PE - 10.892.164/0001-24"/>
        <s v="IMIP - RECIFE - PE - 10.988.301/0001-29"/>
        <s v="HOSPITAL SAO DOMINGOS LTDA. - SÃO LUÍS - MA - 11.006.293/0001-30"/>
        <s v="HOSPITAL CASA DE PORTUGAL - RIO DE JANEIRO - RJ - 11.279.865/0001-55"/>
        <s v="HOSPITAL JAYME DA FONTE - RECIFE - PE - 11.452.240/0001-43"/>
        <s v="INSTITUTO DE CANCER DE BRASILIA LTDA - BRASÍLIA - DF - 11.859.927/0001-06"/>
        <s v="CENTRO MEDICO GABRIEL SOARES - ARACAJU - SE - 12.361.267/0005-17"/>
        <s v="HOSPITAL RODOLFO FERNANDES - ACARI - RN - 12.361.267/0091-40"/>
        <s v="HOSPITAL TEREZA DE LISIEUX - SALVADOR - BA - 12.361.267/0103-18"/>
        <s v="HOSPITAL SAO LUCAS - MANAUS - AM - 12.361.267/0116-32"/>
        <s v="DEPOSITO - ARMAZEM FORTALEZA/CE - FORTALEZA - CE - 12.361.267/0118-02"/>
        <s v="HOSPITAL UNIMED - MACEIÓ - AL - 12.442.737/0004-96"/>
        <s v="INTEGRARE TERAPEUTICA - FORTALEZA - CE - 12.568.570/0001-61"/>
        <s v="HOSPITAL ALIANCA - SALVADOR - BA - 13.016.092/0001-40"/>
        <s v="HOSPITAL DE CIRURGIA - ARACAJU - SE - 13.016.332/0001-06"/>
        <s v="HOSPITAL SAO LUCAS - ARACAJU - SE - 13.131.370/0001-00"/>
        <s v="IBR INSTITUTO BRANDAO DE REABILITACAO LTDA - EPP - VITÓRIA DA CONQUISTA - BA - 13.284.872/0001-70"/>
        <s v="REDE PRIMAVERA - HOSPITAL PRIMAVERA - ARACAJU - SE - 13.356.779/0001-24"/>
        <s v="NOVO SANTO EXPEDITO - SÃO PAULO - SP - 13.718.999/0001-50"/>
        <s v="HOSPITAL ACACIAS - SANTO ANDRÉ - SP - 13.718.999/0010-41"/>
        <s v="CARDIO PULMONAR DA BAHIA S.A - SALVADOR - BA - 13.952.064/0001-34"/>
        <s v="EMEC - FEIRA DE SANTANA - BA - 14.074.546/0001-00"/>
        <s v="PLAMHUV - VIÇOSA - MG - 14.408.631/0001-59"/>
        <s v="CLINICA SOUZA BRITO - CUIABÁ - MT - 15.016.827/0001-60"/>
        <s v="EBSERH - HOSPITAL UNIVERSITARIO DO PIAUI - TERESINA - PI - 15.126.437/0002-24"/>
        <s v="EBSERH HOSPITAL UNIVERSITARIO DE SAO LUIS - SÃO LUÍS - MA - 15.126.437/0004-96"/>
        <s v="EMPRESA BRASILEIRA DE SERVICOS HOSPITALARES - EBSERH - NATAL - RN - 15.126.437/0007-39"/>
        <s v="EBSERH - HOSPITAL UNIVERSITARIO DE SANTA MARIA - SANTA MARIA - RS - 15.126.437/0019-72"/>
        <s v="HOSPITAL SANTA IZABEL - SALVADOR - BA - 15.153.745/0002-49"/>
        <s v="HOSPITAL MUNICIPAL DE SALVADOR - SALVADOR - BA - 15.153.745/0027-05"/>
        <s v="HOSPITAL PORTUGUES - SALVADOR - BA - 15.166.416/0001-51"/>
        <s v="LIGA ALVARO BAHIA CONTRA A MORTALIDADE INFANTIL - SALVADOR - BA - 15.170.723/0001-06"/>
        <s v="LABCMI GESTAO HOSPITALAR - HEC - FEIRA DE SANTANA - BA - 15.170.723/0005-30"/>
        <s v="MCO - SALVADOR - BA - 15.180.714/0003-68"/>
        <s v="UNIVERSIDADE FEDERAL DA BAHIA - SALVADOR - BA - 15.180.714/0005-20"/>
        <s v="FUNDACAO JOSE SILVEIRA - SALVADOR - BA - 15.194.004/0001-25"/>
        <s v="NOVACLIN - SALVADOR - BA - 15.242.761/0001-27"/>
        <s v="HOSPITAL UNIMED - ARACAJU - SE - 15.592.785/0001-06"/>
        <s v="HOSPITAL MATER DEI SA - BELO HORIZONTE - MG - 16.676.520/0001-59"/>
        <s v="PRIME HOME CARE - BRASÍLIA - DF - 16.739.984/0001-67"/>
        <s v="HOSPITAL UNIMED - SÃO JOSÉ - SC - 17.034.086/0001-76"/>
        <s v="UBERLANDIA MEDICAL CENTER - UBERLÂNDIA - MG - 17.087.591/0001-89"/>
        <s v="FUNDACAO FELICE ROSSO - BELO HORIZONTE - MG - 17.214.149/0001-76"/>
        <s v="UNIMED JUIZ DE FORA COOP DE TRABALHO MEDICO LTDA - JUIZ DE FORA - MG - 17.689.407/0009-28"/>
        <s v="HOSPITAL SAO VICENTE DE PAULO - RIO DE JANEIRO - RJ - 18.010.750/0001-00"/>
        <s v="ASSOCIACAO HOSPITALAR FILHAS DE NOSSA SENHORA DO MONTE CALVARIO - SÃO PAULO - SP - 18.180.008/0001-42"/>
        <s v="SANTA CASA SAUDE - SÃO JOSÉ DOS CAMPOS - SP - 18.321.477/0001-34"/>
        <s v="HOSPITAL SANTA GENOVEVA LTDA - UBERLÂNDIA - MG - 18.484.378/0001-73"/>
        <s v="SOCIEDADE BENEFICENTE DE PRESIDENTE BERNARDES - SÃO PAULO - SP - 19.803.199/0001-14"/>
        <s v="HOSPITAL MARCIO CUNHA - IPATINGA - MG - 19.878.404/0001-00"/>
        <s v="HOSPITAL E MATERNIDADE MADRECOR - UBERLÂNDIA - MG - 20.150.900/0001-22"/>
        <s v="CERUB - CENTRO REUMATOLOGICO DE UBERLNDIA - UBERLÂNDIA - MG - 20.207.543/0001-91"/>
        <s v="SR CARE ASSISTENCIA DOMICILIAR LTDA - SÃO PAULO - SP - 20.812.223/0002-41"/>
        <s v="AISI FMIT HE - ITAJUBÁ - MG - 21.040.696/0003-11"/>
        <s v="BRASIF S/A ADMINISTRACAO E PARTICIPACOES - RIO DE JANEIRO - RJ - 21.109.731/0001-40"/>
        <s v="HOMEBABY HOMECARE DA CRIANCA ATENDIMENTO MEDICO DOMICILIAR LIMITADA - RIO DE JANEIRO - RJ - 21.265.360/0001-95"/>
        <s v="HOSPITAL BANDEIRANTES LTDA  - SÃO PAULO - SP - 21.371.777/0001-32"/>
        <s v="FUNDACAO HOSPITALAR SAO LUCAS - CASCAVEL - PR - 21.998.635/0001-08"/>
        <s v="SANTA CASA - PASSOS - MG - 23.278.898/0001-60"/>
        <s v="CASA DE SAUDE E MATERNIDADE NOSSA SENHORA DE FATIMA S A - PATOS DE MINAS - MG - 23.338.387/0001-96"/>
        <s v="HOSPITAL CASA ARRENDATARIA SERVICOS MEDICOS HOSPITALARES E INVESTIMENTOS LTDA - RIO DE JANEIRO - RJ - 24.217.779/0001-60"/>
        <s v="HOSPITAL REGIONAL DO BAIXO AM DO PARA DR WALDEMAR PENNA - SANTARÉM - PA - 24.232.886/0083-03"/>
        <s v="HUPAA - MACEIÓ - AL - 24.464.109/0002-29"/>
        <s v="PRONTO ATENDIMENTO UNIMED RONDONOPOLIS - RONDONÓPOLIS - MT - 24.676.884/0007-52"/>
        <s v="INSTITUTO DO CANCER DE ANDRADINA - ANDRADINA - SP - 25.026.561/0001-90"/>
        <s v="HOSPITAL DE CLINICAS DA UFU - UBERLÂNDIA - MG - 25.648.387/0002-07"/>
        <s v="HOSPITAL BDW - PORTO ALEGRE - RS - 26.947.257/0001-49"/>
        <s v="HOSPITAL DOUTOR DORIO SILVA - SERRA - ES - 27.080.605/0015-91"/>
        <s v="HOSPITAL SAO RAFAEL S.A - SALVADOR - BA - 27.372.066/0001-69"/>
        <s v="HOSPITAL DR. BADIM (REDE DOR) - RIO DE JANEIRO - RJ - 27.901.222/0001-31"/>
        <s v="ONCOLOGIA REDE DOR S.A. - RIO DE JANEIRO - RJ - 28.000.107/0001-59"/>
        <s v="HOSPITAL SANTA RITA DE CASSIA - VITÓRIA - ES - 28.137.925/0001-06"/>
        <s v="HOSPITAL VILA NOVA STAR - SÃO PAULO - SP - 28.290.788/0001-37"/>
        <s v="FARMACIA ONCO STAR - SÃO PAULO - SP - 28.290.788/0003-07"/>
        <s v="IHBDF - BRASÍLIA - DF - 28.481.233/0001-72"/>
        <s v="URGIL - RIO DE JANEIRO - RJ - 28.602.407/0001-08"/>
        <s v="HOSPITAL UNIMED - PETRÓPOLIS - RJ - 28.806.545/0005-32"/>
        <s v="SAMER HOSPITAL - RESENDE - RJ - 29.072.642/0001-88"/>
        <s v="UNIMED DE NOVA FRIBURGO - NOVA FRIBURGO - RJ - 29.135.795/0002-08"/>
        <s v="HOSPITAL RIOS DOR (REDE DOR) - RIO DE JANEIRO - RJ - 29.259.736/0004-03"/>
        <s v="HOSPITAL PAULISTANO - SÃO PAULO - SP - 29.435.005/0026-87"/>
        <s v="HOSPITAL E MATERNIDADE VITORIA - SÃO PAULO - SP - 29.435.005/0045-40"/>
        <s v="HOSPITAL ALVORADA DE BRASILIA - BRASÍLIA - DF - 29.435.005/0046-20"/>
        <s v="HOSPITAL PRO-CARDIACO - RIO DE JANEIRO - RJ - 29.435.005/0051-98"/>
        <s v="HOSPITAL VITORIA - CURITIBA - PR - 29.435.005/0056-00"/>
        <s v="HOSPITAL PASTEUR - RIO DE JANEIRO - RJ - 29.435.005/0057-83"/>
        <s v="HOSPITAL SAMARITANO - RIO DE JANEIRO - RJ - 29.435.005/0061-60"/>
        <s v="HOSPITAL MONTE KLINIKUM - FORTALEZA - CE - 29.435.005/0074-84"/>
        <s v="(UNIDADE HOSPITAL VITORIA SANTOS) - SANTOS - SP - 29.435.005/0080-22"/>
        <s v="ESHO EMPRESA DE SERVICOS HOSPITALARES S.A. - GUARULHOS - SP - 29.435.005/0082-94"/>
        <s v="UNIDADE HOSP GERAL E MATERNIDADE MADRE MARIA THEODORA - CAMPINAS - SP - 29.435.005/0084-56"/>
        <s v="ESHO EMPRESA DE SERVICOS HOSPITALARES S.A. - NATAL - RN - 29.435.005/0098-51"/>
        <s v="ESHO EMPRESA DE SERVICOS HOSPITALARES S.A - SÃO PAULO - SP - 29.435.005/0099-32"/>
        <s v="ONIX MATEUS LEME - CURITIBA - PR - 30.117.769/0001-55"/>
        <s v="CLINICA SAO VICENTE (REDE DOR) - RIO DE JANEIRO - RJ - 31.635.857/0001-01"/>
        <s v="HOSPITAIS INTEGRADOS DA GAVEA S/A - RIO DE JANEIRO - RJ - 31.635.857/0002-92"/>
        <s v="HOSPITAL DE CLINICAS RIO MAR BARRA LTDA - RIO DE JANEIRO - RJ - 32.154.700/0001-27"/>
        <s v="PETROBRAS - RIO DE JANEIRO - RJ - 33.000.167/0001-01"/>
        <s v="LARANJEIRAS CLINICA PERINATAL - RIO DE JANEIRO - RJ - 33.419.482/0002-59"/>
        <s v="INSTITUTO DE PUERICULTURA E PEDIATRIA MARTAGAO GESTEIR - RIO DE JANEIRO - RJ - 33.663.683/0026-74"/>
        <s v="HOSPITAL UNIVERSITARIO - RIO DE JANEIRO - RJ - 33.663.683/0053-47"/>
        <s v="INSTITUTO FERNANDES FIGUEIRA - RIO DE JANEIRO - RJ - 33.781.055/0002-16"/>
        <s v="CENTRO DE ESTUDOS E PESQUISAS 28 - RIO DE JANEIRO - RJ - 33.927.377/0001-40"/>
        <s v="UNIMED COSTA DO SOL - HOSPITAL - MACAÉ - RJ - 35.830.868/0004-46"/>
        <s v="HOME - BRASÍLIA - DF - 37.108.388/0001-59"/>
        <s v="HOSPITAL MARIA AUXILIADORA - BRASÍLIA - DF - 38.000.485/0001-96"/>
        <s v="COI CLINICAS ONCOLOGICAS INTEGRADAS SA - RIO DE JANEIRO - RJ - 39.086.160/0001-30"/>
        <s v="IMUNOMED ESPECIALIDADES E CLINICA DE INFUSAO - VITÓRIA - ES - 39.387.477/0001-07"/>
        <s v="HOSPITAL UNIMED - PRONTO ATENDIMENTO - POÇOS DE CALDAS - MG - 41.781.949/0002-34"/>
        <s v="SANTA HELENA ASSISTENCIA MEDICA S/A - SÃO BERNARDO DO CAMPO - SP - 43.293.604/0021-20"/>
        <s v="CENTRO INFUSIONAL E REFERENCIA MEDICA - FESP - SÃO PAULO - SP - 43.643.139/0004-09"/>
        <s v="HOSPITAL UNIMED - BAURU - SP - 44.456.036/0003-11"/>
        <s v="PREFEITURA DE LINS - LINS - SP - 44.531.788/0001-38"/>
        <s v="INTERMEDICA SISTEMA DE SAUDE - SÃO PAULO - SP - 44.649.812/0055-20"/>
        <s v="INTERMEDICA SISTEMA DE SAUDE S A - CAMPINAS - SP - 44.649.812/0192-38"/>
        <s v="HOSPITAL E MATERNIDADE UNIMED - RIO CLARO - SP - 44.663.631/0005-90"/>
        <s v="UNIMED DE PIRACICABA SOC COOP DE SERVICOS MEDICOS - PIRACICABA - SP - 44.803.922/0002-93"/>
        <s v="UNIMED HOSPITAL SAO DOMINGOS - CATANDUVA - SP - 45.118.429/0012-79"/>
        <s v="HOSPITAL POLICLIN - SÃO JOSÉ DOS CAMPOS - SP - 45.184.066/0001-17"/>
        <s v="UNIMED DE RIBEIRAO PRETO COOPERATIVA DE TRABALHO MEDICO - RIBEIRÃO PRETO - SP - 45.232.246/0005-50"/>
        <s v="HOSPITAL UNIMED SAO CARLOS - SÃO CARLOS - SP - 45.359.213/0005-76"/>
        <s v="UNIMED - SOROCABA - SP - 45.399.961/0002-30"/>
        <s v="JUNDIAI GABINETE PREFEITO - JUNDIAÍ - SP - 45.780.103/0001-50"/>
        <s v="HOSPITAL VERA CRUZ S A - CAMPINAS - SP - 46.009.718/0001-40"/>
        <s v="HOSPITAL E MATERNIDADE CELSO PIERRO - CAMPINAS - SP - 46.020.301/0002-69"/>
        <s v="UNIMED CAMPINAS COOPERATIVA DE TRABALHO MEDICO - CAMPINAS - SP - 46.124.624/0001-11"/>
        <s v="UNIMED CAMPINAS COOPERATIVA DE TRABALHO MEDICO - SUMARÉ - SP - 46.124.624/0025-99"/>
        <s v="DEPARTAM. REGIONAL DE SAUDE DE RIB. PRETO - DRS XIII - RIBEIRÃO PRETO - SP - 46.374.500/0035-33"/>
        <s v="HOSPITAL PADRE ALBINO - CATANDUVA - SP - 47.074.851/0008-19"/>
        <s v="PREFEITURA MUNICIPAL DE GUARARAPES - GUARARAPES - SP - 48.468.284/0001-71"/>
        <s v="HOSPITAL SAO JOAQUIM - FRANCA - SP - 50.486.026/0001-60"/>
        <s v="AMICO SAUDE LTDA - SÃO PAULO - SP - 51.722.957/0102-26"/>
        <s v="HOSPITAL E MATERNIDADE METROPOLITANO - SÃO PAULO - SP - 51.722.957/0125-12"/>
        <s v="INSTITUTO DO RADIUM - CAMPINAS - SP - 51.877.926/0001-09"/>
        <s v="PREFEITURA MUNICIPAL DE CAMPINAS - CAMPINAS - SP - 51.885.242/0001-40"/>
        <s v="HOSPITAL SAO FRANCISCO NA PROVIDENCIA DE DEUS - RIO DE JANEIRO - RJ - 53.221.255/0049-95"/>
        <s v="JHOSPITAL UNIMED DE ARARAS - ARARAS - SP - 54.012.406/0003-85"/>
        <s v="HOSPITAL SAO LUCAS - RIBEIRÃO PRETO - SP - 55.980.148/0001-21"/>
        <s v="INSTITUTO DO CANCER DO ESTADO DE SAO PAULO - SÃO PAULO - SP - 56.577.059/0006-06"/>
        <s v="UNIDADE DE ONCOLOGIA CLINICA E PEDIATRICA LTDA. - EPP - SÃO PAULO - SP - 57.394.710/0001-60"/>
        <s v="CENTRO DE REFERENCIA DA SAUDE DA MULHER - MATER - RIBEIRÃO PRETO - SP - 57.722.118/0003-02"/>
        <s v="UNIMED DE SANTOS COOPERATIVA DE TRABALHO MEDICO - SANTOS - SP - 58.229.691/0010-70"/>
        <s v="CLINICA DE ONCOLOGIA MEDICA SOCIEDADE SIMPLES LTDA - SÃO PAULO - SP - 59.481.028/0001-30"/>
        <s v="CASA DE SAUDE SANTA HELENA - SÃO JOSÉ DO RIO PRETO - SP - 59.970.947/0001-78"/>
        <s v="HOSPITAL INFANTE DOM HENRIQUE - SÃO JOSÉ DO RIO PRETO - SP - 59.972.307/0001-05"/>
        <s v="HOSPITAL DE BASE - SÃO JOSÉ DO RIO PRETO - SP - 60.003.761/0001-29"/>
        <s v="UNIMED SAO JOSE DOS CAMPOS - COOPERATIVA DE TRABALHO MEDICO - SÃO JOSÉ DOS CAMPOS - SP - 60.214.517/0009-62"/>
        <s v="HOSPITAL SANTOS DUMONT - SÃO JOSÉ DOS CAMPOS - SP - 60.214.517/0016-91"/>
        <s v="HOSPITAL DAS CLINICAS DA FACULDADE DE MEDICINA DA U S P - SÃO PAULO - SP - 60.448.040/0001-22"/>
        <s v="HOSPITAL DO CORACAO - SÃO PAULO - SP - 60.453.024/0003-90"/>
        <s v="HOSPITAL SANTA CRUZ - SÃO PAULO - SP - 60.552.098/0001-11"/>
        <s v="HOSPITAL E MATERNIDADE SANTA JOANA S/A - SÃO PAULO - SP - 60.678.604/0001-13"/>
        <s v="HOSPITAL ALEMAO OSWALDO CRUZ - SÃO PAULO - SP - 60.726.502/0001-26"/>
        <s v="HOSPITAL ALEMAO OSWALDO CRUZ - SÃO PAULO - SP - 60.726.502/0007-11"/>
        <s v="HOSPITAL SANTA PAULA LTDA - SÃO PAULO - SP - 60.777.901/0001-16"/>
        <s v="HOSPITAL 9 DE JULHO - SÃO PAULO - SP - 60.884.855/0003-16"/>
        <s v="HOSPITAL HCN - NITERÓI - RJ - 60.884.855/0012-07"/>
        <s v="HOSPITAL SAO LUCAS - RIO DE JANEIRO - RJ - 60.884.855/0016-30"/>
        <s v="HOSPITAL BRASILIA - BRASÍLIA - DF - 60.884.855/0022-89"/>
        <s v="CASA DE SAUDE SAO JOSE - RIO DE JANEIRO - RJ - 60.922.168/0003-48"/>
        <s v="HOSPITAL SANTA CATARINA - SÃO PAULO - SP - 60.922.168/0007-71"/>
        <s v="HOSPITAL AMPARO MATERNAL - SÃO PAULO - SP - 60.922.168/0043-35"/>
        <s v="HOSPITAL SANTA ISABEL - BLUMENAU - SC - 60.922.168/0052-26"/>
        <s v="SEPACO - SÃO PAULO - SP - 60.961.422/0001-55"/>
        <s v="A.C.CAMARGO CANCER CENTER - SÃO PAULO - SP - 60.961.968/0001-06"/>
        <s v="HOSPITAL E MATERNIDADE SAO CRISTOVAO - SÃO PAULO - SP - 60.975.174/0003-63"/>
        <s v="HOSPITAL SAO CAMILO - SANTANA - SÃO PAULO - SP - 60.975.737/0012-04"/>
        <s v="HOSPITAL CURA DARS - FORTALEZA - CE - 60.975.737/0035-09"/>
        <s v="HOSPITAL INFANTIL SABARA - SÃO PAULO - SP - 61.213.674/0002-40"/>
        <s v="SOC BENEFICIENTE DE SENHORAS HOSPITAL SIRIO LIBANES - SÃO PAULO - SP - 61.590.410/0001-24"/>
        <s v="HSL UNIDADE BRASILIA - BRASÍLIA - DF - 61.590.410/0005-58"/>
        <s v="UNIDADE BRASILIA IV - BRASÍLIA - DF - 61.590.410/0012-87"/>
        <s v="REAL E BENEMERITA ASSOCIACAO PORTUGUESA DE BENEFICENCIA - SÃO PAULO - SP - 61.599.908/0001-58"/>
        <s v="GREEN LINE SISTEMA DE SAUDE S/A - SÃO PAULO - SP - 61.849.980/0010-87"/>
        <s v="HOSPITAL E MATERNIDADE SANTA MARIA - SÃO PAULO - SP - 62.106.505/0001-92"/>
        <s v="IRMANDADE DA SANTA CASA DE MISERICORDIA DE SAO PAULO - SÃO PAULO - SP - 62.779.145/0001-90"/>
        <s v="ONCOMEDICA - TERESINA - PI - 63.326.243/0004-87"/>
        <s v="HOSPITAL UNIMED RESENDE - RESENDE - RJ - 68.709.211/0002-12"/>
        <s v="ONCOCLINICA - CENTRO DE TRATAMENTO ONCOLOGICO S.A. - RIO DE JANEIRO - RJ - 72.101.124/0005-06"/>
        <s v="HOSPITAL ADVENTISTA SILVESTRE - RIO DE JANEIRO - RJ - 73.696.718/0002-19"/>
        <s v="PRO-ONCO CENTRO DE TRATAMENTO ONCOLOGICO SS LTDA - LONDRINA - PR - 73.863.342/0001-09"/>
        <s v="FUNDES - FORTALEZA - CE - 74.031.865/0001-51"/>
        <s v="PRONTO ATENDIMENTO UNIMED LONDRINA - LONDRINA - PR - 75.222.224/0018-95"/>
        <s v="HOSPITAL SANTA CRUZ SOCIEDADE ANONIMA - CURITIBA - PR - 76.555.069/0001-43"/>
        <s v="HOSPITAL NOSSA SENHORA DAS GRACAS - CURITIBA - PR - 76.562.198/0001-69"/>
        <s v="HOSPITAL INFANTIL PEQUENO PRINCIPE - CURITIBA - PR - 76.591.569/0001-30"/>
        <s v="HOSPITAL MARCELINO CHAMPAGNAT - CURITIBA - PR - 76.659.820/0023-67"/>
        <s v="HOSPITAL PARANA - MARINGÁ - PR - 77.265.361/0001-94"/>
        <s v="UNIMED GRANDE FLORIANOPOLIS - COOPERATIVA DE TRABALHO MEDICO - SÃO JOSÉ - SC - 77.858.611/0014-14"/>
        <s v="CLINICA PRO-VIDA LTDA - TUBARÃO - SC - 80.490.618/0001-16"/>
        <s v="FES - FLORIANÓPOLIS - SC - 80.673.411/0001-87"/>
        <s v="HOSPITAL UNIMED BLUMENAU - UNIDADE VILA NOVA - BLUMENAU - SC - 82.624.776/0006-51"/>
        <s v="HOSPITAL ADVENTISTA DE BELEM - BELÉM - PA - 83.367.342/0002-52"/>
        <s v="IMPERIAL HOSPITAL DE CARIDADE - FLORIANÓPOLIS - SC - 83.884.999/0001-06"/>
        <s v="HU - UFSC - FLORIANÓPOLIS - SC - 83.899.526/0004-25"/>
        <s v="HOSPITAL UNIMED LITORAL - BALNEÁRIO CAMBORIÚ - SC - 85.377.174/0003-92"/>
        <s v="HOSPITAL DE CLINICAS - PORTO ALEGRE - RS - 87.020.517/0001-20"/>
        <s v="HOSPITAL DIVINA PROVIDENCIA - PORTO ALEGRE - RS - 87.317.764/0010-84"/>
        <s v="ASSOCIACAO DR BARTHOLOMEU TACCHINI - BENTO GONÇALVES - RS - 87.547.444/0001-20"/>
        <s v="UNIMED PLANALTO MEDIO - COOPERATIVA DE SERVICOS MEDICOS - PASSO FUNDO - RS - 87.607.149/0006-26"/>
        <s v="HOSPITAL UNIMED CAXIAS DO SUL - CAXIAS DO SUL - RS - 87.827.689/0024-05"/>
        <s v="RS SSA GABINETE DO SECRETARIO - PORTO ALEGRE - RS - 87.958.625/0001-49"/>
        <s v="HOSPITAL MAE DE DEUS - PORTO ALEGRE - RS - 88.625.686/0024-43"/>
        <s v="HOSPITAL SAO LUCAS DA PUCRS - PORTO ALEGRE - RS - 88.630.413/0007-96"/>
        <s v="HOSPITAL SAO VICENTE DE PAULO - PASSO FUNDO - RS - 92.021.062/0003-60"/>
        <s v="ASSOCIACAO HOSPITALAR MOINHOS DE VENTO - PORTO ALEGRE - RS - 92.685.833/0001-51"/>
        <s v="HOSPITAL ERNESTO DORNELLES - PORTO ALEGRE - RS - 92.741.016/0002-54"/>
        <s v="HOSPITAL CRISTO REDENTOR - PORTO ALEGRE - RS - 92.787.118/0003-91"/>
        <s v="IRMANDADE DA SANTA CASA DE MISERICORDIA DE PORTO ALEGRE - PORTO ALEGRE - RS - 92.815.000/0001-68"/>
        <s v="FUNDACAO UNIVERSITARIA DE CARDIOLOGIA - PORTO ALEGRE - RS - 92.898.550/0001-98"/>
        <s v="INSTITUTO DE CARDIOLOGIA DO DISTRITO FEDERAL - BRASÍLIA - DF - 92.898.550/0006-00"/>
        <s v="INSTITUTO DE ONCOLOGIA KAPLAN - PORTO ALEGRE - RS - 94.831.294/0001-47"/>
        <s v="HOSPITAL DE CARIDADE DR ASTROGILDO DE AZEVEDO - SANTA MARIA - RS - 95.610.887/0001-46"/>
        <s v="MARIA LEDA FEITOSA FARIAS - MARIA LEDA FEITOSA FARIAS - NOSSA SENHORA DA GLÓRIA - SE - 007.003.865-13"/>
        <s v="SANTA LUCIA - BRASÍLIA - DF - 00.025.841/0001-53"/>
        <s v="MATERNIDADE FEMINA - GOIÂNIA - GO - 00.053.629/0001-08"/>
        <s v="GUILHERME MOURA DA SILVA - RIBEIRÃO DAS NEVES - MG - 703.064.536-73"/>
        <s v="HENRIQUE WALCHER NOGUEIRA - PORTO ALEGRE - RS - 828.542.460-04"/>
        <s v="HOSPITAL NAVAL MARCILIO DIAS - RIO DE JANEIRO - RJ - 00.394.502/0148-70"/>
        <s v="DEPARTAMENTO DE LOGISTICA - BRASÍLIA - DF - 00.394.544/0008-51"/>
        <s v="INSTITUTO NACIONAL DE CANCER - RIO DE JANEIRO - RJ - 00.394.544/0171-50"/>
        <s v="CLINICA DE DOENCAS RENAIS DE BRASILIA LTDA - BRASÍLIA - DF - 01.602.408/0001-04"/>
        <s v="HOSPITAL SANTA CATARINA - BLUMENAU - SC - 01.880.344/0001-03"/>
        <s v="NATAL HOSPITAL CENTER S.A. - NATAL - RN - 02.109.397/0001-80"/>
        <s v="HOSPITAL ESPERANCA (REDE DOR) - RECIFE - PE - 02.284.062/0001-06"/>
        <s v="ONCO HEMATOS S/S LTDA - ME - ARACAJU - SE - 03.091.003/0001-76"/>
        <s v="FARMA REGIA - SANTA HELENA - MA - 03.210.872/0001-72"/>
        <s v="HOSPITAL DA CIDADE - SALVADOR - BA - 03.376.102/0001-02"/>
        <s v="MEDRADIUS - MACEIÓ - AL - 03.866.223/0001-24"/>
        <s v="HOSPITAL DO CORACAO DE LONDRINA LTDA - LONDRINA - PR - 04.762.301/0001-03"/>
        <s v="NEON - NUCLEO ESPECIALIZADO EM ONCOLOGIA - SERRA - ES - 04.786.490/0001-54"/>
        <s v="PA SSA GABINETE DO SECRETARIO - BELÉM - PA - 05.054.929/0001-17"/>
        <s v="HOSPITAL INCAR - SANTO ANTÔNIO DE JESUS - BA - 05.652.543/0001-07"/>
        <s v="DEPOSITO-ARMAZEM DE FORTALEZA - FORTALEZA - CE - 05.874.946/0002-81"/>
        <s v="HOSPITAL BARTIRA (REDE DOR) - SANTO ANDRÉ - SP - 06.047.087/0079-07"/>
        <s v="CASA DE SAUDE E MATERNIDADE SAO RAIMUNDO SA - FORTALEZA - CE - 07.245.269/0001-87"/>
        <s v="CLINICA SAO MARCOS - SÃO LUÍS - MA - 07.750.144/0001-04"/>
        <s v="HOSPITAL UNIVERSITARIO DA UFGD - DOURADOS - MS - 07.775.847/0002-78"/>
        <s v="UNIMED NATAL SOCIEDADE COOPERATIVA DE TRABALHO MEDICO - NATAL - RN - 08.380.701/0017-72"/>
        <s v="H S COR - DUQUE DE CAXIAS - RJ - 08.562.523/0001-33"/>
        <s v="SARE DROGARIAS - SÃO PAULO - SP - 08.677.327/0001-04"/>
        <s v="IMIP HOSPITALAR - HMA - PAULISTA - PE - 09.039.744/0002-75"/>
        <s v="GAMP - CANOAS - RS - 09.549.061/0002-68"/>
        <s v="HOSPITAL GERAL DE CURITIBA - CURITIBA - PR - 09.579.964/0002-91"/>
        <s v="CORP - SÃO JOSÉ DO RIO PRETO - SP - 10.576.443/0001-89"/>
        <s v="BIO IMUNE - CENTRO DE APLICACOES E VACINAS  CONSULTORIA E PROCEDIMENTOS MEDICOS LTDA - ME - SANTOS - SP - 10.868.295/0001-76"/>
        <s v="ICIPE - BRASÍLIA - DF - 10.942.995/0001-63"/>
        <s v="PRONTO S.CARDIOLOGICO DE PE.PROF.LUIZ TAVARES-PROCAPE - RECIFE - PE - 11.022.597/0015-97"/>
        <s v="FUNDACAO DE SAUDE PUBLICA DE NOVO HAMBURGO - FSNH - NOVO HAMBURGO - RS - 11.055.682/0001-56"/>
        <s v="HOSPITAL UNIMED RECIFE - RECIFE - PE - 11.214.624/0004-70"/>
        <s v="FUNDO MUNICIPAL DE SAUDE DE TERESINA - TERESINA - PI - 11.273.170/0001-66"/>
        <s v="HOSPITAL SAO CARLOS LTDA - FORTALEZA - CE - 11.794.674/0001-21"/>
        <s v="PRODAL SAUDE S/A - SALVADOR - BA - 11.943.553/0001-02"/>
        <s v="HOSPITAL LAYR MAIA - BELÉM - PA - 12.361.267/0002-74"/>
        <s v="TITULO DO ESTABELECIMENTO (NOME DE FANTASIA)  HOSPITAL GERAL JOINVILLE - JOINVILLE - SC - 12.361.267/0042-61"/>
        <s v="HOSPITAL ESPINHEIRO - RECIFE - PE - 12.361.267/0072-87"/>
        <s v="HOSPITAL ANTONIO PRUDENTE DE NATAL - NATAL - RN - 12.361.267/0096-54"/>
        <s v="HOSPITAL FRANCISCA DE SANDE - FEIRA DE SANTANA - BA - 12.361.267/0104-07"/>
        <s v="CLINICA DE ONCOLOGIA VIVER - SANTA MARIA - RS - 12.508.728/0001-08"/>
        <s v="CLINICA SANTA HELENA - ARACAJU - SE - 13.086.053/0001-19"/>
        <s v="CDDS SERVICOS MEDICOS LTDA - NATAL - RN - 13.262.578/0001-68"/>
        <s v="UNIMED SUL DO PARA - MARABÁ - PA - 14.112.023/0001-00"/>
        <s v="EBSERH HOSPITAL UNIVERSITARIO DE BRASILIA - BRASÍLIA - DF - 15.126.437/0003-05"/>
        <s v="EBSERH - COMPLEXO HOSPITALAR DO CEARA (HUWC E MEAC) - FORTALEZA - CE - 15.126.437/0014-68"/>
        <s v="SEMEC - SALVADOR - BA - 15.140.254/0001-82"/>
        <s v="S O S VIDA SOLUCOES EM SAUDE - ARACAJU - SE - 16.064.313/0005-77"/>
        <s v="FBC - SALVADOR - BA - 16.475.154/0002-50"/>
        <s v="CLINICA UNIMED - UBERABA - MG - 17.774.738/0006-13"/>
        <s v="ASSOCIACAO HOSPITALAR CASA DE SAUDE DE SANTOS - SANTOS - SP - 18.290.268/0001-70"/>
        <s v="HOSPITAL MORIAH - SÃO PAULO - SP - 19.056.055/0001-41"/>
        <s v="CASA DE CARIDADE DE CARANGOLA - CARANGOLA - MG - 19.274.091/0001-81"/>
        <s v="UNIMED ARAGUARI - ARAGUARI - MG - 20.909.271/0001-71"/>
        <s v="HOSPITAL MULTI ESPECIALIDADES LTDA EPP - APARECIDA DE GOIÂNIA - GO - 21.155.621/0001-14"/>
        <s v="FUNDACAO OURO BRANCO - OURO BRANCO - MG - 21.299.615/0001-30"/>
        <s v="CLINICA CIRURGICA E ONCOLOGICA DA PENHA LTDA - RIO DE JANEIRO - RJ - 22.400.856/0001-97"/>
        <s v="SANTA CASA DE MISERICORDIA NOSSA SENHORA DO PATROCINIO - PATROCÍNIO - MG - 23.406.564/0001-24"/>
        <s v="HCFAMEMA - MARÍLIA - SP - 24.082.016/0001-59"/>
        <s v="INSTITUTO DE CLINICAS E CIRURGIA DE JUIZ DE FORA LTDA - JUIZ DE FORA - MG - 25.415.993/0001-93"/>
        <s v="HOSPITAL E MATERNIDADE SANTA CLARA LTDA - UBERLÂNDIA - MG - 25.761.040/0001-87"/>
        <s v="HOSPITAL DR. ROBERTO ARNIZAUT SILVARES - SÃO MATEUS - ES - 27.080.605/0003-58"/>
        <s v="CIAS UNIMED VITORIA - CENTRO INTEGRADO ATENCAO A SAUDE - VITÓRIA - ES - 27.578.434/0015-25"/>
        <s v="HOSPITAL MARIO LIONI - DUQUE DE CAXIAS - RJ - 29.435.005/0034-97"/>
        <s v="CASA DE SAUDE SANTA LUCIA - RIO DE JANEIRO - RJ - 29.435.005/0052-79"/>
        <s v="HOSPITAL SAO JOSE DO AVAI - ITAPERUNA - RJ - 29.640.612/0001-20"/>
        <s v="LEONARDO VIERO SILVEIRA - JAGUARI - RS - 29.908.956/0001-78"/>
        <s v="CASA DE SAUDE E MATERNIDADE SANTA MARTHA SA - NITERÓI - RJ - 30.079.461/0001-62"/>
        <s v="CLINICA DE NEUROLOGIA E NEUROINFUSAO DE BRASILIA - BRASÍLIA - DF - 30.135.335/0001-88"/>
        <s v="HOSPITAL SAO LUCAS - NOVA FRIBURGO - RJ - 30.537.740/0001-22"/>
        <s v="PETROBRAS - SENADOR CANEDO - GO - 33.000.167/0021-55"/>
        <s v="HOSPITAL DE CLINICAS DE JACAREPAGUA LTDA - RIO DE JANEIRO - RJ - 34.058.123/0001-03"/>
        <s v="HOSPITAL UNIMED - VOLTA REDONDA - RJ - 35.917.970/0007-26"/>
        <s v="MEDCLINICA DO CENTRO DE TERESOPOLIS - ANGRA DOS REIS - RJ - 36.238.913/0001-98"/>
        <s v="CLIMES CLINICA MEDICA ESPECIALIZADA LTDA - RIO DE JANEIRO - RJ - 40.320.103/0001-53"/>
        <s v="HOSPITAL SAO MATEUS LTDA. - FORTALEZA - CE - 41.580.077/0001-65"/>
        <s v="HOSPITAL BALBINO - RIO DE JANEIRO - RJ - 42.297.507/0001-07"/>
        <s v="UNIVERSIDADE ESTADUAL DE CAMPINAS - CAMPINAS - SP - 46.068.425/0001-33"/>
        <s v="DEPARTAMENTO REGIONAL DE SAUDE - DRS II - ARACATUBA - ARAÇATUBA - SP - 46.374.500/0038-86"/>
        <s v="DEPARTAMENTO REGIONAL DE SAUDE DE PIRACICABA - DRS X - PIRACICABA - SP - 46.374.500/0090-60"/>
        <s v="COORDENADORIA DE ASSISTENCIA FARMACEUTICA - SÃO PAULO - SP - 46.374.500/0262-31"/>
        <s v="CENTRO MEDICO RIO PRETO LTDA - SÃO JOSÉ DO RIO PRETO - SP - 48.310.098/0001-00"/>
        <s v="AMICO SAUDE LTDA - SÃO PAULO - SP - 51.722.957/0005-06"/>
        <s v="FAEPA - RIBEIRÃO PRETO - SP - 57.722.118/0001-40"/>
        <s v="HOSPITAL ISRAELITA ALBERTEINSTEIN - SÃO PAULO - SP - 60.765.823/0001-30"/>
        <s v="HOSPITAL A.C.CAMARGO - TAMANDARE - SÃO PAULO - SP - 60.961.968/0004-59"/>
        <s v="HOSPITAL SAO CAMILO - POMPEIA - SÃO PAULO - SP - 60.975.737/0002-32"/>
        <s v="HOSPITAL SAO CAMILO - IPIRANGA - SÃO PAULO - SP - 60.975.737/0051-10"/>
        <s v="HOSPITAL DE REABILITACAO DE ANOMALIAS CRANIOFACIAIS - BAURU - SP - 63.025.530/0082-70"/>
        <s v="INSTITUTO DE ONCOLOGIA PEDIATRICA - IOP - SÃO PAULO - SP - 67.185.694/0001-50"/>
        <s v="UNIMED DE DRACENA COOPERATIVA DE TRABALHO MEDICO - DRACENA - SP - 68.204.486/0001-13"/>
        <s v="HOSPITAL NOSSA SENHORA DO PILAR LTDA - CURITIBA - PR - 76.498.013/0001-02"/>
        <s v="HOSPITAL DO CANCER DE LONDRINA - LONDRINA - PR - 78.633.088/0001-76"/>
        <s v="HOSPITAL E MATERNIDADE MARIA AUXILIADORA - MARINGÁ - PR - 79.115.762/0001-93"/>
        <s v="CENTRO DE ONCOLOGIA UNIMED PORTO ALEGRE - PORTO ALEGRE - RS - 87.096.616/0031-01"/>
        <s v="UNICLINICA - ERECHIM - RS - 87.638.334/0005-05"/>
        <s v="HOSPITAL DO CIRCULO - CAXIAS DO SUL - RS - 88.645.403/0013-72"/>
        <s v="MUNICIPIO DE CAXIAS DO SUL - CAXIAS DO SUL - RS - 88.830.609/0001-39"/>
        <s v="HOSPITAL DIVINA PROVIDENCIA - FREDERICO WESTPHALEN - RS - 92.404.789/0001-64"/>
        <s v="PMPA - PORTO ALEGRE - RS - 92.963.560/0001-60"/>
        <s v="MAIARA ALMEIDA DA SILVA - RIO DE JANEIRO - RJ - 003.204.650-20"/>
        <s v="REJANE CELESTE DOS ANJOS BECKER - RIO DE JANEIRO - RJ - 053.719.447-96"/>
        <s v="EDUARDO SEIBERT TEIXEIRA - SALVADOR - BA - 093.243.225-59"/>
        <s v="ANA ANGELICA TORRES - MACEIÓ - AL - 444.822.994-72"/>
        <s v="MARCELO CESAR AVILA - FLORIANÓPOLIS - SC - 480.639.839-04"/>
        <s v="NUBIA SOARES SALES DE MORAES - BRASÍLIA - DF - 854.655.261-49"/>
        <s v="TAIANA ANGELICA LUZ _x000d__x000a_ - BELÉM - PA - 933.266.452-87_x000d__x000a_"/>
        <s v="HEMOLABOR UNIDADE ONCO-HEMATOLOGICA - ABADIA DE GOIÁS - GO - 00.418.954/0007-04"/>
        <s v="INGOH - INSTITUTO GOIANO DE ONCOLOGIA E HEMATOLOGIA - GOIÂNIA - GO - 01.277.573/0001-20"/>
        <s v="UNIMED DE BRUSQUE - BRUSQUE - SC - 01.554.266/0001-49"/>
        <s v="INSTITUTO ORTOPEDICO DE GOIANIA LTDA - GOIÂNIA - GO - 01.570.589/0001-26"/>
        <s v="HOSPITAL NETTO CAMPELLO DE SERTAOZINHO - SP - SERTÃOZINHO - SP - 01.613.433/0080-89"/>
        <s v="HOSPITAL SANTA HELENA - GOIÂNIA - GO - 01.656.123/0001-48"/>
        <s v="HOSPITAL MEMORIAL ARTHUR RAMOS - MACEIÓ - AL - 01.722.424/0001-22"/>
        <s v="HOSPITAL DO CORACAO - ARACAJU - SE - 03.222.051/0001-56"/>
        <s v="FUNDO MUNICIPAL DE SAUDE DO JABOATAO DOS GUARARAPES - JABOATÃO DOS GUARARAPES - PE - 03.904.395/0001-45"/>
        <s v="SAMEL - MANAUS - AM - 04.159.778/0001-07"/>
        <s v="HOSPITAL UNIVERSITARIO ALCIDES CARNEIRO/UFCG - CAMPINA GRANDE - PB - 05.055.128/0002-57"/>
        <s v="CLIOM - MACEIÓ - AL - 05.612.725/0001-54"/>
        <s v="HOSPITAL AMPARO - GOIÂNIA - GO - 05.919.720/0001-79"/>
        <s v="HOSPITAL E MATERNIDADE BRASIL (REDE DOR) - SANTO ANDRÉ - SP - 06.047.087/0007-24"/>
        <s v="HOSPITAL ESPERANCA OLINDA (REDE DOR) - OLINDA - PE - 06.047.087/0012-91"/>
        <s v="HOSPITAL SAO LUIS - HSLZ LTDA. - SÃO JOSÉ DE RIBAMAR - MA - 09.192.098/0001-09"/>
        <s v="UNIMED-RIO EMPREENDIMENTOS MEDICOS E HOSPITALARES LTDA - RIO DE JANEIRO - RJ - 09.219.138/0004-01"/>
        <s v="HOSPITAL UNIVERSITARIO DE MARILIA - MARÍLIA - SP - 09.528.436/0001-22"/>
        <s v="DROGARIA DA PRACA - MANGARATIBA - RJ - 10.558.548/0001-05"/>
        <s v="GLN HOSPITALAR - VOLTA REDONDA - RJ - 10.562.003/0001-72"/>
        <s v="ONCOVIT DISTRIBUIDORA DE MEDICAMENTOS LTDA - VITÓRIA - ES - 10.586.940/0001-68"/>
        <s v="HOSPITAL UNIMED RECIFE III - RECIFE - PE - 11.214.624/0019-57"/>
        <s v="HOSPITAL GUARAS - SÃO LUÍS - MA - 12.361.267/0007-89"/>
        <s v="HOSPITAL MACEIO - MACEIÓ - AL - 12.361.267/0008-60"/>
        <s v="HOSPITAL RIO POTY - TERESINA - PI - 12.361.267/0040-08"/>
        <s v="HOSPITAL ANA LIMA - MARACANAÚ - CE - 12.361.267/0084-10"/>
        <s v="HOSPITAL GERAL DA PARAIBA - ÁGUA BRANCA - PB - 12.361.267/0088-44"/>
        <s v="DEPOSITO-ARMAZEM SALVADOR/BA - SALVADOR - BA - 12.361.267/0147-39"/>
        <s v="HCFMB - BOTUCATU - SP - 12.474.705/0001-20"/>
        <s v="EBSERH - HOSPITAL UNIVERSITARIO JULIO MULLER - CUIABÁ - MT - 15.126.437/0012-04"/>
        <s v="HOSPITAL MATER DEI - BELO HORIZONTE - MG - PRIVADO - 16.676.520/0005-82"/>
        <s v="RAUL SOARES GABINETE DO PREFEITO - RAUL SOARES - MG - 18.836.965/0001-84"/>
        <s v="LIFE HOME CARE - MIRACEMA - RJ - 25.308.058/0001-28"/>
        <s v="UNIMED ARAXA COOPERATIVA DE TRABALHO MEDICO LTDA - ARAXÁ - MG - 25.910.449/0004-60"/>
        <s v="HOSPITAL UNIVERSITARIO ANTONIO PEDRO - NITERÓI - RJ - 28.523.215/0003-78"/>
        <s v="ESHO EMPRESA DE SERVICOS HOSPITALARES S.A. - ARUJÁ - SP - 29.435.005/0081-03"/>
        <s v="C.T.O. - PETRÓPOLIS - RJ - 30.638.381/0001-08"/>
        <s v="FUNDACAO ARY FRAUZINO PARA PESQUISA E CONTROL DO CANCER - RIO DE JANEIRO - RJ - 40.226.946/0002-76"/>
        <s v="HOSPITAL PAULO SACRAMENTO - JUNDIAÍ - SP - 44.649.812/0016-14"/>
        <s v="CONJUNTO HOSPITALAR DO MANDAQUI - SÃO PAULO - SP - 46.374.500/0088-45"/>
        <s v="DEPARTAMENTO REGIONAL DE SAUDE DE ARARAQUARA - DRS III - ARARAQUARA - SP - 46.374.500/0092-21"/>
        <s v="HOSPITAL GERAL DE VILA NOVA CACHOEIRINHA - SÃO PAULO - SP - 46.374.500/0108-23"/>
        <s v="SAO JOSE DOS CAMPOS GABINETE DO PREFEITO - SÃO JOSÉ DOS CAMPOS - SP - 46.643.466/0001-06"/>
        <s v="HOSPITAL 10 JULHO - PINDAMONHANGABA - SP - 47.565.155/0009-96"/>
        <s v="HOSPITAL DE CARIDADE SAO VICENTE DE PAULO - JUNDIAÍ - SP - 50.944.198/0001-30"/>
        <s v="HOSPITAL UNIMED DE ARACATUBA - ARAÇATUBA - SP - 51.093.193/0004-56"/>
        <s v="IRMANDADE DE MISERICORDIA DO HOSPITAL DA SANTA CASA DE MONTE ALTO - MONTE ALTO - SP - 52.852.100/0001-40"/>
        <s v="HOSPITAL BENEFICENTE SANTO ANTONIO - ORLÂNDIA - SP - 53.311.999/0001-56"/>
        <s v="FUNDACAO FACULDADE DE MEDICINA - SÃO PAULO - SP - 56.577.059/0001-00"/>
        <s v="HOSPITAL MADRE TERESA - BELO HORIZONTE - MG - 60.194.990/0008-44"/>
        <s v="PRONTO ATENDIMENTO JACAREI - JACAREÍ - SP - 60.214.517/0011-87"/>
        <s v="MATERNIDADE BRASILIA - BRASÍLIA - DF - 60.884.855/0019-83"/>
        <s v="BENEFICENCIA NIPO BRASILEIRA DE SAO PAULO - SÃO PAULO - SP - 60.992.427/0006-50"/>
        <s v="HOSPITAL PROFESSOR EDMUNDO VASCONCELOS - SÃO PAULO - SP - 61.062.212/0001-98"/>
        <s v="HOSPITAL AVICCENA S/A - SÃO PAULO - SP - 72.775.745/0001-33"/>
        <s v="UOPECCAN - CASCAVEL - PR - 81.270.548/0001-53"/>
        <s v="HOSPITAL UNIMED - UNIDADE CENTRO - CAMPO MOURÃO - PR - 81.715.716/0004-10"/>
        <s v="HOSPITAL STO ANTONIO - BLUMENAU - SC - 82.654.088/0001-20"/>
        <s v="CENTRO MEDICO UNIMED - TUBARÃO - SC - 85.241.339/0008-09"/>
        <s v="HOSPITAL JAAR ANDRADE LTDA - SALVADOR - BA - 97.397.848/0001-38"/>
        <s v="HOSPITAL DAHER LAGO SUL S/A - BRASÍLIA - DF - 00.382.069/0001-27"/>
        <s v="GRUPAMENTO DE APOIO DE RECIFE - GAP-RF - RECIFE - PE - 00.394.429/0193-91"/>
        <s v="HOSPITAL SANCTA MAGGIORE PARAISO - SÃO PAULO - SP - 00.461.479/0010-54"/>
        <s v="HOME HEALTH CARE DOCTOR SERVICOS MEDICOS DOMICILIARES S/S LTDA - SÃO PAULO - SP - 00.603.226/0001-87"/>
        <s v="INSTITUTO MINEIRO ESPECIALIZADO EM GASTROENTEROLOGIA - BELO HORIZONTE - MG - 01.444.455/0001-69"/>
        <s v="SAO FRANCISCO SISTEMAS DE SAUDE SOCIEDADE EMPRESARIA LIMITADA - ARARAQUARA - SP - 01.613.433/0108-14"/>
        <s v="HOSPITAL ESTRELA - ESTRELA - RS - 03.123.393/0002-08"/>
        <s v="HOSPITAL DAS FORCAS ARMADAS - BRASÍLIA - DF - 03.568.867/0001-36"/>
        <s v="HOSPITAL UNIMED JARAGUA DO SUL - JARAGUÁ DO SUL - SC - 03.855.214/0002-19"/>
        <s v="CM MEDICAMENTOS ESPECIAIS LTDA. - RIBEIRÃO PRETO - SP - 04.127.483/0001-40"/>
        <s v="FERTWAY REPRODUCAO HUMANA LTDA - EPP - CURITIBA - PR - 04.378.502/0001-01"/>
        <s v="DROGARIA MODERNA - RIO DE JANEIRO - RJ - 04.779.685/0023-82"/>
        <s v="HONCORD - GOIÂNIA - GO - 06.337.035/0001-05"/>
        <s v="CETAL - CENTRO DE TRATAMENTO DO APARELHO LOCOMOTOR LTDA - JUIZ DE FORA - MG - 07.457.902/0001-09"/>
        <s v="KR MEDICINA E DIAGNOSTICOS LTDA - FRANCO DA ROCHA - SP - 08.000.609/0001-72"/>
        <s v="PRONTOCARDIO SERVICOS MEDICOS HOSPITALARES S/A - FORTALEZA - CE - 08.711.085/0001-28"/>
        <s v="VIP HOME CARE ATENDIMENTO DOMICILIAR LTDA - SÃO PAULO - SP - 09.087.150/0001-59"/>
        <s v="HOSPITAL UNIVERSITARIO OSWALDO CRUZ - RECIFE - PE - 11.022.597/0013-25"/>
        <s v="SANTA CASA DE MISERICORDIA DE MACEIO - MACEIÓ - AL - 12.307.187/0001-50"/>
        <s v="HOSPITAL GOVERNADOR ISRAEL PINHEIRO - HGIP - BELO HORIZONTE - MG - 17.217.332/0039-06"/>
        <s v="COOP CENTRO DE ONCOLOGIA DO OESTE DO PARANA - CASCAVEL - PR - 17.864.888/0001-03"/>
        <s v="HOSPITAL INFANTIL JOAO PAULO II - BELO HORIZONTE - MG - 19.843.929/0015-06"/>
        <s v="HOSPITAL GERAL DE BARBACENA DR. JOSE AMERICO - BARBACENA - MG - 19.843.929/0016-97"/>
        <s v="ONCOEXPRESS - SÃO PAULO - SP - 22.227.973/0001-09"/>
        <s v="HOSPITAL ILHA DO GOVERNADOR LTDA - RIO DE JANEIRO - RJ - 22.233.557/0001-05"/>
        <s v="UNIMONTES - MONTES CLAROS - MG - 22.675.359/0001-00"/>
        <s v="HOSPITAL OTOCLINICA - FORTALEZA - CE - 23.443.518/0001-03"/>
        <s v="NATUS LUMINE MATERNIDADE - SÃO LUÍS - MA - 23.813.270/0001-17"/>
        <s v="CCI - CENTRO CATARINENSE DE IMUNOTERAPIA LTDA - FLORIANÓPOLIS - SC - 23.982.118/0001-68"/>
        <s v="HCS - SOROCABA - SP - 26.048.123/0001-96"/>
        <s v="INFUSIONAL TERAPIA IMUNOBIOLOGICA ASSISTIDA LTDA - LINHARES - ES - 29.323.454/0001-85"/>
        <s v="NITEROI DOR (REDE DOR) - NITERÓI - RJ - 30.145.502/0001-71"/>
        <s v="ASSIM SAUDE - RIO DE JANEIRO - RJ - 31.925.548/0001-76"/>
        <s v="UERJ - RIO DE JANEIRO - RJ - 33.540.014/0001-57"/>
        <s v="HOSPITAL ISRAELITA ALBERT SABIN (REDE DOR) - RIO DE JANEIRO - RJ - 33.722.224/0001-66"/>
        <s v="CLINICA MEDICA CROCE LTDA - SÃO PAULO - SP - 43.775.956/0001-78"/>
        <s v="UNIMED DE PRES PRUDENTE COOPERATIVA DE TRABALHO MEDICO - PRESIDENTE PRUDENTE - SP - 44.863.959/0001-26"/>
        <s v="AMICO SAUDE LTDA - MOJI DAS CRUZES - SP - 51.722.957/0143-02"/>
        <s v="UNIMED LESTE PAULISTA COOPERATIVA DE TRABALHO MEDICO - SÃO JOÃO DA BOA VISTA - SP - 53.678.264/0002-46"/>
        <s v="IRMANDADE DA SANTA CASA DE MISERICORDIA DE PIRACICABA - PIRACICABA - SP - 54.370.630/0001-87"/>
        <s v="HOSP.E MATERN. BENEFICENCIA PORTUGUESA DE SANTO ANDRE - SANTO ANDRÉ - SP - 57.507.402/0001-02"/>
        <s v="INSTITUTO ONCOLOGICO DE RIBEIRAO PRETO LTDA - RIBEIRÃO PRETO - SP - 57.723.280/0001-83"/>
        <s v="HOSPITAL SANTA ROSA - CUIABÁ - MT - 70.524.145/0001-77"/>
        <s v="UNIMED CURITIBA - UNIDADE PADRE GERMANO MAYER - CURITIBA - PR - 75.055.772/0022-54"/>
        <s v="HOSPITAL DE CLINICAS - CURITIBA - PR - 75.095.679/0002-20"/>
        <s v="ISCAL - LONDRINA - PR - 78.614.971/0001-19"/>
        <s v="SAMEL - MANAUS - AM - 84.537.141/0001-38"/>
        <s v="HOSPITAL ESTRELA - ESTRELA - RS - 87.317.764/0011-65"/>
        <s v="HOSPITAL NOSSA SENHORA DA CONCEICAO SA - PORTO ALEGRE - RS - 92.787.118/0001-20"/>
        <s v="PRONEP LAR INTERNACAO DOMICILIAR LTDA - RIO DE JANEIRO - RJ - 00.092.929/0001-98"/>
        <s v="HOSPITAL SANCTA MAGGIORE PINHEIROS - SÃO PAULO - SP - 00.461.479/0041-50"/>
        <s v="PRONTO ATENDIMENTO SANCTA MAGGIORE JARDIM PAULISTA - SÃO PAULO - SP - 00.461.479/0051-22"/>
        <s v="HOSPITAL UNIMED - CAMPO GRANDE - MS - 03.315.918/0005-41"/>
        <s v="CLINICA DE ONCOLOGIA REICHOW LTDA - BLUMENAU - SC - PRIVADO - 03.354.642/0001-87"/>
        <s v="FUNDACAO SANTA CASA - BELÉM - PA - 04.929.345/0001-85"/>
        <s v="AUTARQUIA HOSPITALAR MUNICIPAL - SÃO PAULO - SP - 04.995.603/0001-21"/>
        <s v="CLINICA SAO CAMILO - LUÍS EDUARDO MAGALHÃES - BA - 05.430.118/0001-73"/>
        <s v="PIAUI SECRETARIA DE SAUDE - TERESINA - PI - 06.553.564/0001-38"/>
        <s v="HOSPITAL VITA BATEL - CURITIBA - PR - 06.943.723/0001-00"/>
        <s v="HOSPITAL ALVORADA SANTO AMARO - SÃO PAULO - SP - 08.100.676/0006-73"/>
        <s v="FUNDACAO SAUDE DO ESTADO DO RIO DE JANEIRO - RIO DE JANEIRO - RJ - 10.834.118/0001-79"/>
        <s v="CID - CENTRO DE INFUSAO - RIO DE JANEIRO - RJ - PRIVADO - 10.922.058/0001-46"/>
        <s v="NUTEC ROO - RONDONÓPOLIS - MT - 11.836.436/0001-31"/>
        <s v="DEPOSITO-ARMAZEM BELEM/PA - BELÉM - PA - 12.361.267/0033-70"/>
        <s v="DEPOSITO - ARMAZEM JABOATAO DOS GUARARAPES/PE - JABOATÃO DOS GUARARAPES - PE - 12.361.267/0057-48"/>
        <s v="EBSERH HOSPITAL UNIVERSITARIO DO TRIANGULO MINEIRO - UBERABA - MG - 151.26.437/0005-77"/>
        <s v="MATERNIDADE CLIMERIO DE OLIVEIRA - SALVADOR - BA - PRIVADO - 15.126.437/0028-63"/>
        <s v="HOSPITAL UNIVERSITARIO ALCIDES CARNEIRO - CAMPINA GRANDE - PB - PRIVADO - 15.126.437/0032-40"/>
        <s v="HOSPITAL UNIV. PROFESSOR POLYDORO ERNANI DE SAO THIAGO - FLORIANOPOLIS - SC - PRIVADO - 15.126.437/0034-01"/>
        <s v="HOSPITAL UNIVERSITARIO ANTONIO PEDRO - NITEROI - RJ - PRIVADO - 15.126.437/0036-73"/>
        <s v="HOSPITAL PROFESSOR EDGARDSANTOS - SALVADOR - BA - 15.180.714/0002-87"/>
        <s v="ONCO CANE VETERINARIA LTDA - SAO PAULO - SP - PRIVADO - 15.217.814/0001-50"/>
        <s v="HOSPITAL SAO LUCAS - CAMPO BELO - MG - 19.130.186/0001-21"/>
        <s v="HOSPITAL JOAO PENIDO - JUIZ DE FORA - MG - 19.843.929/0010-00"/>
        <s v="HOSPITAL EDUARDO DE MENEZES - BELO HORIZONTE - MG - 19.843.929/0011-82"/>
        <s v="HOSPITAL JOAO XXIII - BELO HORIZONTE - MG - 19.843.929/0013-44"/>
        <s v="HOSPITAL JULIA KUBITSCHEK - BELO HORIZONTE - MG - 19.843.929/0028-20"/>
        <s v="GOVERNADOR VALADARES PREF GABINETE DO PREFEITO - GOVERNADOR VALADARES - MG - 20.622.890/0001-80"/>
        <s v="INSTITUTO HAVER - GOIÂNIA - GO - 27.456.372/0001-83"/>
        <s v="FORTAL FARMACE - FORTALEZA - CE - 28.12.490/0001-56"/>
        <s v="DA MATTA AIN CLINICA DE VACINA LTDA - TAUBATÉ - SP - 29.929.600/0001-10"/>
        <s v="MEDICAMENTAL HOSPITALAR - RIBEIRAO PRETO - SP - PRIVADO - 31.378.288/0001-66"/>
        <s v="HOSPITAL E CLINICA SAO GONCALO - SÃO GONÇALO - RJ - 31.671.480/0001-46"/>
        <s v="HOSPITAL ICARAI - NITERÓI - RJ - 31.671.480/0003-08"/>
        <s v="CASA DE SAUDE SANTA THEREZINHA S A - RIO DE JANEIRO - RJ - 33.575.127/0006-00"/>
        <s v="HOSPITAL MEMORIAL FUAD CHIDID LTDA - RIO DE JANEIRO - RJ - 33.705.849/0005-43"/>
        <s v="RIO DE JANEIRO GABINETE DO PREFEITO - RIO DE JANEIRO - RJ - 42.498.733/0001-48"/>
        <s v="HOSPITAL UNIMED TRES CORACOES - TRÊS CORAÇÕES - MG - 42.855.999/0003-62"/>
        <s v="HOSPITAL SANTA IGNES - INDAIATUBA - SP - 44.732.469/0001-90"/>
        <s v="UNIMED CAMPINAS COOPERATIVA DE TRABALHO MEDICO - SÃO PAULO - SP - 46.124.624/0026-70"/>
        <s v="INSTITUTO DANTE PAZZANESE DE CARDIOLOGIA - SÃO PAULO - SP - 46.374.500/0009-41"/>
        <s v="FUNDACAO PIO XII - BARRETOS - SP - 49.150.352/0002-01"/>
        <s v="HOSPITAL UNIMED - UNIDADE ANCHIETA - JUNDIAÍ - SP - 56.727.134/0012-16"/>
        <s v="AACD - SÃO PAULO - SP - 60.979.457/0001-11"/>
        <s v="HOSPITAL DE CLINICAS LUZIA DE PINHO MELO - MOJI DAS CRUZES - SP - 61.699.567/0008-69"/>
        <s v="SPDM - ASSOCIACAO PAULISTA PARA O DESENVOLVIMENTO DA MEDICINA - TAUBATÉ - SP - 61.699.567/0089-24"/>
        <s v="HOSPITAL SAO FRANSCISCO - BRASÍLIA - DF - 72.576.143/0001-57"/>
        <s v="HOSPITAL GERAL UNIMED - PONTA GROSSA - PR - 77.781.706/0002-43"/>
        <s v="ANIMO- ANTINEOPLASICOS INJETAVEIS E MEDICINA ONCOLOGICA - GUARAPUAVA - PR - 78.044.815/0002-40"/>
        <s v="CAS-CENTRO DE ATENCAO A SAUDE UNIMED DR.ALVARO RABELLO - CASCAVEL - PR - PRIVADO - 81.170.003/0002-56"/>
        <s v="HOSPITAL SAO VICENTE - CURITIBA - PR - 81.190.449/0002-42"/>
        <s v="UNIMED DE CIANORTE COOPERATIVA DE TRABALHO MEDICO - CIANORTE - PR - 81.733.115/0001-97"/>
        <s v="CENTRO HOSPITALAR UNIMED - JOINVILLE - SC - 82.602.327/0003-60"/>
        <s v="HOSPITAL POLICLINICA CASCAVEL - CASCAVEL - PR - 76.081.892/0001-64"/>
      </sharedItems>
    </cacheField>
    <cacheField name="CIDADE" numFmtId="0">
      <sharedItems count="163">
        <s v="RIO DE JANEIRO"/>
        <s v="BELÉM"/>
        <s v="CONSELHEIRO LAFAIETE"/>
        <s v="SÃO PAULO"/>
        <s v="BRASÍLIA"/>
        <s v="JOÃO PESSOA"/>
        <s v="BELO HORIZONTE"/>
        <s v="FOZ DO IGUAÇU"/>
        <s v="GOIÂNIA"/>
        <s v="NITERÓI"/>
        <s v="NATAL"/>
        <s v="PIRASSUNUNGA"/>
        <s v="CAMPO GRANDE"/>
        <s v="CURITIBA"/>
        <s v="FLORIANÓPOLIS"/>
        <s v="CAXIAS DO SUL"/>
        <s v="CATALÃO"/>
        <s v="PRIMAVERA DO LESTE"/>
        <s v="SERRA"/>
        <s v="MACEIÓ"/>
        <s v="BALNEÁRIO CAMBORIÚ"/>
        <s v="BRUSQUE"/>
        <s v="RIBEIRÃO PRETO"/>
        <s v="CUIABÁ"/>
        <s v="RECIFE"/>
        <s v="SÃO LUÍS"/>
        <s v="SÃO JOSÉ DO RIO PRETO"/>
        <s v="ACORIZAL"/>
        <s v="GARANHUNS"/>
        <s v="ATIBAIA"/>
        <s v="LAURO DE FREITAS"/>
        <s v="SALVADOR"/>
        <s v="FORTALEZA"/>
        <s v="SANTO ANDRÉ"/>
        <s v="DUQUE DE CAXIAS"/>
        <s v="SÃO JOSÉ DOS CAMPOS"/>
        <s v="OSASCO"/>
        <s v="MACAPÁ"/>
        <s v="RIO VERDE"/>
        <s v="HORTOLÂNDIA"/>
        <s v="TERESINA"/>
        <s v="COLATINA"/>
        <s v="CAMPINA GRANDE DO SUL"/>
        <s v="NOVA IGUAÇU"/>
        <s v="SÃO JOSÉ DOS PINHAIS"/>
        <s v="PORTO ALEGRE"/>
        <s v="CRUZ ALTA"/>
        <s v="SANTA MARIA"/>
        <s v="CAMPINAS"/>
        <s v="ARACAJU"/>
        <s v="ACARI"/>
        <s v="MANAUS"/>
        <s v="VITÓRIA DA CONQUISTA"/>
        <s v="FEIRA DE SANTANA"/>
        <s v="VIÇOSA"/>
        <s v="SÃO JOSÉ"/>
        <s v="UBERLÂNDIA"/>
        <s v="JUIZ DE FORA"/>
        <s v="IPATINGA"/>
        <s v="ITAJUBÁ"/>
        <s v="CASCAVEL"/>
        <s v="PASSOS"/>
        <s v="PATOS DE MINAS"/>
        <s v="SANTARÉM"/>
        <s v="RONDONÓPOLIS"/>
        <s v="ANDRADINA"/>
        <s v="VITÓRIA"/>
        <s v="PETRÓPOLIS"/>
        <s v="RESENDE"/>
        <s v="NOVA FRIBURGO"/>
        <s v="SANTOS"/>
        <s v="GUARULHOS"/>
        <s v="MACAÉ"/>
        <s v="POÇOS DE CALDAS"/>
        <s v="SÃO BERNARDO DO CAMPO"/>
        <s v="BAURU"/>
        <s v="LINS"/>
        <s v="RIO CLARO"/>
        <s v="PIRACICABA"/>
        <s v="CATANDUVA"/>
        <s v="SÃO CARLOS"/>
        <s v="SOROCABA"/>
        <s v="JUNDIAÍ"/>
        <s v="SUMARÉ"/>
        <s v="GUARARAPES"/>
        <s v="FRANCA"/>
        <s v="ARARAS"/>
        <s v="BLUMENAU"/>
        <s v="LONDRINA"/>
        <s v="MARINGÁ"/>
        <s v="TUBARÃO"/>
        <s v="BENTO GONÇALVES"/>
        <s v="PASSO FUNDO"/>
        <s v="NOSSA SENHORA DA GLÓRIA"/>
        <s v="RIBEIRÃO DAS NEVES"/>
        <s v="SANTA HELENA"/>
        <s v="SANTO ANTÔNIO DE JESUS"/>
        <s v="DOURADOS"/>
        <s v="PAULISTA"/>
        <s v="CANOAS"/>
        <s v="NOVO HAMBURGO"/>
        <s v="JOINVILLE"/>
        <s v="MARABÁ"/>
        <s v="UBERABA"/>
        <s v="CARANGOLA"/>
        <s v="ARAGUARI"/>
        <s v="APARECIDA DE GOIÂNIA"/>
        <s v="OURO BRANCO"/>
        <s v="PATROCÍNIO"/>
        <s v="MARÍLIA"/>
        <s v="SÃO MATEUS"/>
        <s v="ITAPERUNA"/>
        <s v="JAGUARI"/>
        <s v="SENADOR CANEDO"/>
        <s v="VOLTA REDONDA"/>
        <s v="ANGRA DOS REIS"/>
        <s v="ARAÇATUBA"/>
        <s v="DRACENA"/>
        <s v="ERECHIM"/>
        <s v="FREDERICO WESTPHALEN"/>
        <s v="ABADIA DE GOIÁS"/>
        <s v="SERTÃOZINHO"/>
        <s v="JABOATÃO DOS GUARARAPES"/>
        <s v="CAMPINA GRANDE"/>
        <s v="OLINDA"/>
        <s v="SÃO JOSÉ DE RIBAMAR"/>
        <s v="MANGARATIBA"/>
        <s v="MARACANAÚ"/>
        <s v="ÁGUA BRANCA"/>
        <s v="BOTUCATU"/>
        <s v="RAUL SOARES"/>
        <s v="MIRACEMA"/>
        <s v="ARAXÁ"/>
        <s v="ARUJÁ"/>
        <s v="ARARAQUARA"/>
        <s v="PINDAMONHANGABA"/>
        <s v="MONTE ALTO"/>
        <s v="ORLÂNDIA"/>
        <s v="JACAREÍ"/>
        <s v="CAMPO MOURÃO"/>
        <s v="ESTRELA"/>
        <s v="JARAGUÁ DO SUL"/>
        <s v="FRANCO DA ROCHA"/>
        <s v="BARBACENA"/>
        <s v="MONTES CLAROS"/>
        <s v="LINHARES"/>
        <s v="PRESIDENTE PRUDENTE"/>
        <s v="MOJI DAS CRUZES"/>
        <s v="SÃO JOÃO DA BOA VISTA"/>
        <s v="LUÍS EDUARDO MAGALHÃES"/>
        <s v="FLORIANOPOLIS"/>
        <s v="NITEROI"/>
        <s v="CAMPO BELO"/>
        <s v="GOVERNADOR VALADARES"/>
        <s v="TAUBATÉ"/>
        <s v="RIBEIRAO PRETO"/>
        <s v="SÃO GONÇALO"/>
        <s v="TRÊS CORAÇÕES"/>
        <s v="INDAIATUBA"/>
        <s v="BARRETOS"/>
        <s v="PONTA GROSSA"/>
        <s v="GUARAPUAVA"/>
        <s v="CIANORTE"/>
      </sharedItems>
    </cacheField>
    <cacheField name="UF" numFmtId="0">
      <sharedItems count="23">
        <s v="RJ"/>
        <s v="PA"/>
        <s v="MG"/>
        <s v="SP"/>
        <s v="DF"/>
        <s v="PB"/>
        <s v="PR"/>
        <s v="GO"/>
        <s v="RN"/>
        <s v="MS"/>
        <s v="SC"/>
        <s v="RS"/>
        <s v="MT"/>
        <s v="ES"/>
        <s v="AL"/>
        <s v="PE"/>
        <s v="MA"/>
        <s v="BA"/>
        <s v="CE"/>
        <s v="AP"/>
        <s v="PI"/>
        <s v="SE"/>
        <s v="AM"/>
      </sharedItems>
    </cacheField>
    <cacheField name="Cod-Linha" numFmtId="0">
      <sharedItems containsSemiMixedTypes="0" containsString="0" containsNumber="1" containsInteger="1" minValue="62" maxValue="73"/>
    </cacheField>
    <cacheField name="Linha" numFmtId="0">
      <sharedItems count="5">
        <s v="PRIVIGEN"/>
        <s v="HIZENTRA"/>
        <s v="BERINERT"/>
        <s v="HAEMOCOMPLETTAN"/>
        <s v="BERIPLEX"/>
      </sharedItems>
    </cacheField>
    <cacheField name="PRODUTO" numFmtId="0">
      <sharedItems count="9">
        <s v="FP PRIVIGEN 10% 50ML"/>
        <s v="FP HIZENTRA 20% 10ML BR (2G)"/>
        <s v="FP HIZENTRA 20% 5ML BR (1G)"/>
        <s v="FP BERINERT 500E BR"/>
        <s v="FP HIZENTRA 20% 20ML BR (4G)"/>
        <s v="HAEMOCOMPLETTAN P"/>
        <s v="BERIPLEX P/N 500 UI"/>
        <s v="FP PRIVIGEN 10% 100ML"/>
        <s v="FP PRIVIGEN 10% 25ML"/>
      </sharedItems>
    </cacheField>
    <cacheField name="EQ" numFmtId="3">
      <sharedItems containsSemiMixedTypes="0" containsString="0" containsNumber="1" minValue="-750" maxValue="20285"/>
    </cacheField>
    <cacheField name="UN" numFmtId="0">
      <sharedItems containsSemiMixedTypes="0" containsString="0" containsNumber="1" containsInteger="1" minValue="-130" maxValue="40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12">
  <r>
    <x v="0"/>
    <x v="0"/>
    <x v="0"/>
    <n v="1454407000151"/>
    <x v="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480"/>
  </r>
  <r>
    <x v="0"/>
    <x v="0"/>
    <x v="0"/>
    <n v="1454407000151"/>
    <x v="0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480"/>
  </r>
  <r>
    <x v="0"/>
    <x v="0"/>
    <x v="0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400"/>
  </r>
  <r>
    <x v="0"/>
    <x v="0"/>
    <x v="0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400"/>
  </r>
  <r>
    <x v="0"/>
    <x v="0"/>
    <x v="0"/>
    <n v="24464109000229"/>
    <x v="2"/>
    <s v="MACEIÓ"/>
    <s v="AL"/>
    <s v="1-Setorizado"/>
    <n v="2"/>
    <x v="0"/>
    <x v="0"/>
    <s v="Especialidade (ESP)"/>
    <s v="fernando.leony@cslbehring.com"/>
    <s v="FERNANDO LEONY (CO/NO/NE)"/>
    <n v="50"/>
    <n v="0"/>
    <n v="0"/>
    <n v="0"/>
    <n v="0"/>
  </r>
  <r>
    <x v="0"/>
    <x v="0"/>
    <x v="0"/>
    <n v="24464109000229"/>
    <x v="2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0"/>
    <x v="0"/>
    <n v="12361267011632"/>
    <x v="3"/>
    <s v="MANAUS"/>
    <s v="AM"/>
    <s v="1-Setorizado"/>
    <n v="1"/>
    <x v="2"/>
    <x v="2"/>
    <s v="Misto (EMH)"/>
    <s v="fernando.leony@cslbehring.com"/>
    <s v="FERNANDO LEONY (CO/NO/NE)"/>
    <n v="0"/>
    <n v="0"/>
    <n v="0"/>
    <n v="0"/>
    <n v="125"/>
  </r>
  <r>
    <x v="0"/>
    <x v="0"/>
    <x v="0"/>
    <n v="6070425000153"/>
    <x v="4"/>
    <s v="MACAPÁ"/>
    <s v="AP"/>
    <s v="1-Setorizado"/>
    <n v="1"/>
    <x v="2"/>
    <x v="2"/>
    <s v="Misto (EMH)"/>
    <s v="fernando.leony@cslbehring.com"/>
    <s v="FERNANDO LEONY (CO/NO/NE)"/>
    <n v="0"/>
    <n v="0"/>
    <n v="0"/>
    <n v="12"/>
    <n v="0"/>
  </r>
  <r>
    <x v="0"/>
    <x v="0"/>
    <x v="0"/>
    <n v="14074546000100"/>
    <x v="5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4074546000100"/>
    <x v="5"/>
    <s v="FEIRA DE SANTANA"/>
    <s v="BA"/>
    <s v="1-Setorizado"/>
    <n v="2"/>
    <x v="1"/>
    <x v="1"/>
    <s v="Hospitalar (HSP)"/>
    <s v="fernando.leony@cslbehring.com"/>
    <s v="FERNANDO LEONY (CO/NO/NE)"/>
    <n v="0"/>
    <n v="1"/>
    <n v="0"/>
    <n v="0"/>
    <n v="0"/>
  </r>
  <r>
    <x v="0"/>
    <x v="0"/>
    <x v="0"/>
    <n v="15170723000530"/>
    <x v="6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70723000530"/>
    <x v="6"/>
    <s v="FEIRA DE SANTANA"/>
    <s v="BA"/>
    <s v="1-Setorizado"/>
    <n v="2"/>
    <x v="1"/>
    <x v="1"/>
    <s v="Hospitalar (HSP)"/>
    <s v="fernando.leony@cslbehring.com"/>
    <s v="FERNANDO LEONY (CO/NO/NE)"/>
    <n v="0"/>
    <n v="1"/>
    <n v="0"/>
    <n v="0"/>
    <n v="0"/>
  </r>
  <r>
    <x v="0"/>
    <x v="0"/>
    <x v="0"/>
    <n v="4602792000125"/>
    <x v="7"/>
    <s v="LAURO DE FREITAS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4602792000125"/>
    <x v="7"/>
    <s v="LAURO DE FREITAS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0"/>
    <x v="0"/>
    <n v="13952064000134"/>
    <x v="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3952064000134"/>
    <x v="8"/>
    <s v="SALVADOR"/>
    <s v="BA"/>
    <s v="1-Setorizado"/>
    <n v="2"/>
    <x v="1"/>
    <x v="1"/>
    <s v="Hospitalar (HSP)"/>
    <s v="fernando.leony@cslbehring.com"/>
    <s v="FERNANDO LEONY (CO/NO/NE)"/>
    <n v="0"/>
    <n v="0"/>
    <n v="3"/>
    <n v="0"/>
    <n v="0"/>
  </r>
  <r>
    <x v="0"/>
    <x v="0"/>
    <x v="0"/>
    <n v="5816630000152"/>
    <x v="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150"/>
  </r>
  <r>
    <x v="0"/>
    <x v="0"/>
    <x v="0"/>
    <n v="5816630000152"/>
    <x v="9"/>
    <s v="SALVADOR"/>
    <s v="BA"/>
    <s v="1-Setorizado"/>
    <n v="2"/>
    <x v="1"/>
    <x v="1"/>
    <s v="Hospitalar (HSP)"/>
    <s v="fernando.leony@cslbehring.com"/>
    <s v="FERNANDO LEONY (CO/NO/NE)"/>
    <n v="0"/>
    <n v="18"/>
    <n v="0"/>
    <n v="0"/>
    <n v="150"/>
  </r>
  <r>
    <x v="0"/>
    <x v="0"/>
    <x v="0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0"/>
    <x v="0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6"/>
    <n v="0"/>
    <n v="0"/>
    <n v="0"/>
  </r>
  <r>
    <x v="0"/>
    <x v="0"/>
    <x v="0"/>
    <n v="13016092000140"/>
    <x v="12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3016092000140"/>
    <x v="12"/>
    <s v="SALVADOR"/>
    <s v="BA"/>
    <s v="1-Setorizado"/>
    <n v="2"/>
    <x v="1"/>
    <x v="1"/>
    <s v="Hospitalar (HSP)"/>
    <s v="fernando.leony@cslbehring.com"/>
    <s v="FERNANDO LEONY (CO/NO/NE)"/>
    <n v="0"/>
    <n v="10"/>
    <n v="0"/>
    <n v="0"/>
    <n v="0"/>
  </r>
  <r>
    <x v="0"/>
    <x v="0"/>
    <x v="0"/>
    <n v="15153745002705"/>
    <x v="13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53745002705"/>
    <x v="13"/>
    <s v="SALVADOR"/>
    <s v="BA"/>
    <s v="1-Setorizado"/>
    <n v="2"/>
    <x v="1"/>
    <x v="1"/>
    <s v="Hospitalar (HSP)"/>
    <s v="fernando.leony@cslbehring.com"/>
    <s v="FERNANDO LEONY (CO/NO/NE)"/>
    <n v="0"/>
    <n v="11"/>
    <n v="0"/>
    <n v="0"/>
    <n v="0"/>
  </r>
  <r>
    <x v="0"/>
    <x v="0"/>
    <x v="0"/>
    <n v="15166416000151"/>
    <x v="1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66416000151"/>
    <x v="14"/>
    <s v="SALVADOR"/>
    <s v="BA"/>
    <s v="1-Setorizado"/>
    <n v="2"/>
    <x v="1"/>
    <x v="1"/>
    <s v="Hospitalar (HSP)"/>
    <s v="fernando.leony@cslbehring.com"/>
    <s v="FERNANDO LEONY (CO/NO/NE)"/>
    <n v="0"/>
    <n v="17"/>
    <n v="11"/>
    <n v="0"/>
    <n v="0"/>
  </r>
  <r>
    <x v="0"/>
    <x v="0"/>
    <x v="0"/>
    <n v="15153745000249"/>
    <x v="1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53745000249"/>
    <x v="15"/>
    <s v="SALVADOR"/>
    <s v="BA"/>
    <s v="1-Setorizado"/>
    <n v="2"/>
    <x v="1"/>
    <x v="1"/>
    <s v="Hospitalar (HSP)"/>
    <s v="fernando.leony@cslbehring.com"/>
    <s v="FERNANDO LEONY (CO/NO/NE)"/>
    <n v="0"/>
    <n v="0"/>
    <n v="2"/>
    <n v="0"/>
    <n v="0"/>
  </r>
  <r>
    <x v="0"/>
    <x v="0"/>
    <x v="0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17"/>
    <n v="0"/>
    <n v="0"/>
    <n v="0"/>
  </r>
  <r>
    <x v="0"/>
    <x v="0"/>
    <x v="0"/>
    <n v="12361267010318"/>
    <x v="17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290"/>
  </r>
  <r>
    <x v="0"/>
    <x v="0"/>
    <x v="0"/>
    <n v="12361267010318"/>
    <x v="17"/>
    <s v="SALVADOR"/>
    <s v="BA"/>
    <s v="1-Setorizado"/>
    <n v="2"/>
    <x v="1"/>
    <x v="1"/>
    <s v="Hospitalar (HSP)"/>
    <s v="fernando.leony@cslbehring.com"/>
    <s v="FERNANDO LEONY (CO/NO/NE)"/>
    <n v="0"/>
    <n v="7"/>
    <n v="0"/>
    <n v="0"/>
    <n v="290"/>
  </r>
  <r>
    <x v="0"/>
    <x v="0"/>
    <x v="0"/>
    <n v="15170723000106"/>
    <x v="1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300"/>
  </r>
  <r>
    <x v="0"/>
    <x v="0"/>
    <x v="0"/>
    <n v="15170723000106"/>
    <x v="18"/>
    <s v="SALVADOR"/>
    <s v="BA"/>
    <s v="1-Setorizado"/>
    <n v="2"/>
    <x v="1"/>
    <x v="1"/>
    <s v="Hospitalar (HSP)"/>
    <s v="fernando.leony@cslbehring.com"/>
    <s v="FERNANDO LEONY (CO/NO/NE)"/>
    <n v="0"/>
    <n v="11"/>
    <n v="1"/>
    <n v="0"/>
    <n v="300"/>
  </r>
  <r>
    <x v="0"/>
    <x v="0"/>
    <x v="0"/>
    <n v="15180714000368"/>
    <x v="1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80714000368"/>
    <x v="19"/>
    <s v="SALVADOR"/>
    <s v="BA"/>
    <s v="1-Setorizado"/>
    <n v="2"/>
    <x v="1"/>
    <x v="1"/>
    <s v="Hospitalar (HSP)"/>
    <s v="fernando.leony@cslbehring.com"/>
    <s v="FERNANDO LEONY (CO/NO/NE)"/>
    <n v="0"/>
    <n v="12"/>
    <n v="0"/>
    <n v="0"/>
    <n v="0"/>
  </r>
  <r>
    <x v="0"/>
    <x v="0"/>
    <x v="0"/>
    <n v="15242761000127"/>
    <x v="2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114"/>
    <n v="100"/>
  </r>
  <r>
    <x v="0"/>
    <x v="0"/>
    <x v="0"/>
    <n v="15242761000127"/>
    <x v="20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100"/>
  </r>
  <r>
    <x v="0"/>
    <x v="0"/>
    <x v="0"/>
    <n v="15180714000520"/>
    <x v="2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80714000520"/>
    <x v="21"/>
    <s v="SALVADOR"/>
    <s v="BA"/>
    <s v="1-Setorizado"/>
    <n v="2"/>
    <x v="1"/>
    <x v="1"/>
    <s v="Hospitalar (HSP)"/>
    <s v="fernando.leony@cslbehring.com"/>
    <s v="FERNANDO LEONY (CO/NO/NE)"/>
    <n v="0"/>
    <n v="0"/>
    <n v="5"/>
    <n v="0"/>
    <n v="0"/>
  </r>
  <r>
    <x v="0"/>
    <x v="0"/>
    <x v="0"/>
    <n v="13284872000170"/>
    <x v="22"/>
    <s v="VITÓRIA DA CONQUISTA"/>
    <s v="BA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0"/>
    <x v="0"/>
    <n v="13284872000170"/>
    <x v="22"/>
    <s v="VITÓRIA DA CONQUISTA"/>
    <s v="BA"/>
    <s v="1-Setorizado"/>
    <n v="2"/>
    <x v="1"/>
    <x v="1"/>
    <s v="Hospitalar (HSP)"/>
    <s v="fernando.leony@cslbehring.com"/>
    <s v="FERNANDO LEONY (CO/NO/NE)"/>
    <n v="0"/>
    <n v="0"/>
    <n v="0"/>
    <n v="0"/>
    <n v="5"/>
  </r>
  <r>
    <x v="0"/>
    <x v="0"/>
    <x v="0"/>
    <n v="12361267011802"/>
    <x v="2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2361267011802"/>
    <x v="23"/>
    <s v="FORTALEZA"/>
    <s v="CE"/>
    <s v="1-Setorizado"/>
    <n v="2"/>
    <x v="3"/>
    <x v="3"/>
    <s v="Hospitalar (HSP)"/>
    <s v="fernando.leony@cslbehring.com"/>
    <s v="FERNANDO LEONY (CO/NO/NE)"/>
    <n v="0"/>
    <n v="4"/>
    <n v="6"/>
    <n v="0"/>
    <n v="0"/>
  </r>
  <r>
    <x v="0"/>
    <x v="0"/>
    <x v="0"/>
    <n v="74031865000151"/>
    <x v="2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74031865000151"/>
    <x v="24"/>
    <s v="FORTALEZA"/>
    <s v="CE"/>
    <s v="1-Setorizado"/>
    <n v="2"/>
    <x v="3"/>
    <x v="3"/>
    <s v="Hospitalar (HSP)"/>
    <s v="fernando.leony@cslbehring.com"/>
    <s v="FERNANDO LEONY (CO/NO/NE)"/>
    <n v="0"/>
    <n v="100"/>
    <n v="420"/>
    <n v="0"/>
    <n v="0"/>
  </r>
  <r>
    <x v="0"/>
    <x v="0"/>
    <x v="0"/>
    <n v="7272404000183"/>
    <x v="25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20"/>
  </r>
  <r>
    <x v="0"/>
    <x v="0"/>
    <x v="0"/>
    <n v="7272404000183"/>
    <x v="25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120"/>
  </r>
  <r>
    <x v="0"/>
    <x v="0"/>
    <x v="0"/>
    <n v="5874946000109"/>
    <x v="26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5874946000109"/>
    <x v="26"/>
    <s v="FORTALEZA"/>
    <s v="CE"/>
    <s v="1-Setorizado"/>
    <n v="2"/>
    <x v="3"/>
    <x v="3"/>
    <s v="Hospitalar (HSP)"/>
    <s v="fernando.leony@cslbehring.com"/>
    <s v="FERNANDO LEONY (CO/NO/NE)"/>
    <n v="0"/>
    <n v="2"/>
    <n v="6"/>
    <n v="0"/>
    <n v="0"/>
  </r>
  <r>
    <x v="0"/>
    <x v="0"/>
    <x v="0"/>
    <n v="60975737003509"/>
    <x v="2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60975737003509"/>
    <x v="27"/>
    <s v="FORTALEZA"/>
    <s v="CE"/>
    <s v="1-Setorizado"/>
    <n v="2"/>
    <x v="3"/>
    <x v="3"/>
    <s v="Hospitalar (HSP)"/>
    <s v="fernando.leony@cslbehring.com"/>
    <s v="FERNANDO LEONY (CO/NO/NE)"/>
    <n v="0"/>
    <n v="4"/>
    <n v="12"/>
    <n v="0"/>
    <n v="0"/>
  </r>
  <r>
    <x v="0"/>
    <x v="0"/>
    <x v="0"/>
    <n v="29435005007484"/>
    <x v="2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5"/>
  </r>
  <r>
    <x v="0"/>
    <x v="0"/>
    <x v="0"/>
    <n v="29435005007484"/>
    <x v="28"/>
    <s v="FORTALEZA"/>
    <s v="CE"/>
    <s v="1-Setorizado"/>
    <n v="2"/>
    <x v="3"/>
    <x v="3"/>
    <s v="Hospitalar (HSP)"/>
    <s v="fernando.leony@cslbehring.com"/>
    <s v="FERNANDO LEONY (CO/NO/NE)"/>
    <n v="0"/>
    <n v="36"/>
    <n v="7"/>
    <n v="0"/>
    <n v="15"/>
  </r>
  <r>
    <x v="0"/>
    <x v="0"/>
    <x v="0"/>
    <n v="5868278000280"/>
    <x v="29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16"/>
    <n v="80"/>
  </r>
  <r>
    <x v="0"/>
    <x v="0"/>
    <x v="0"/>
    <n v="5868278000280"/>
    <x v="29"/>
    <s v="FORTALEZA"/>
    <s v="CE"/>
    <s v="1-Setorizado"/>
    <n v="2"/>
    <x v="3"/>
    <x v="3"/>
    <s v="Hospitalar (HSP)"/>
    <s v="fernando.leony@cslbehring.com"/>
    <s v="FERNANDO LEONY (CO/NO/NE)"/>
    <n v="0"/>
    <n v="20"/>
    <n v="0"/>
    <n v="0"/>
    <n v="80"/>
  </r>
  <r>
    <x v="0"/>
    <x v="0"/>
    <x v="0"/>
    <n v="7272636000212"/>
    <x v="30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7272636000212"/>
    <x v="30"/>
    <s v="FORTALEZA"/>
    <s v="CE"/>
    <s v="1-Setorizado"/>
    <n v="2"/>
    <x v="3"/>
    <x v="3"/>
    <s v="Hospitalar (HSP)"/>
    <s v="fernando.leony@cslbehring.com"/>
    <s v="FERNANDO LEONY (CO/NO/NE)"/>
    <n v="0"/>
    <n v="0"/>
    <n v="30"/>
    <n v="0"/>
    <n v="0"/>
  </r>
  <r>
    <x v="0"/>
    <x v="0"/>
    <x v="0"/>
    <n v="7835044000180"/>
    <x v="31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7835044000180"/>
    <x v="31"/>
    <s v="FORTALEZA"/>
    <s v="CE"/>
    <s v="1-Setorizado"/>
    <n v="2"/>
    <x v="3"/>
    <x v="3"/>
    <s v="Hospitalar (HSP)"/>
    <s v="fernando.leony@cslbehring.com"/>
    <s v="FERNANDO LEONY (CO/NO/NE)"/>
    <n v="0"/>
    <n v="0"/>
    <n v="10"/>
    <n v="0"/>
    <n v="0"/>
  </r>
  <r>
    <x v="0"/>
    <x v="0"/>
    <x v="0"/>
    <n v="12568570000161"/>
    <x v="3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30"/>
  </r>
  <r>
    <x v="0"/>
    <x v="0"/>
    <x v="0"/>
    <n v="12568570000161"/>
    <x v="32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130"/>
  </r>
  <r>
    <x v="0"/>
    <x v="0"/>
    <x v="0"/>
    <n v="5867015000175"/>
    <x v="3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8"/>
    <n v="0"/>
  </r>
  <r>
    <x v="0"/>
    <x v="0"/>
    <x v="0"/>
    <n v="5867015000175"/>
    <x v="33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0"/>
    <x v="0"/>
    <n v="9104513000974"/>
    <x v="3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05"/>
  </r>
  <r>
    <x v="0"/>
    <x v="0"/>
    <x v="0"/>
    <n v="9104513000974"/>
    <x v="3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05"/>
  </r>
  <r>
    <x v="0"/>
    <x v="0"/>
    <x v="0"/>
    <n v="7794623005191"/>
    <x v="35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0"/>
    <x v="0"/>
    <n v="7794623005191"/>
    <x v="3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5"/>
  </r>
  <r>
    <x v="0"/>
    <x v="0"/>
    <x v="0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5"/>
  </r>
  <r>
    <x v="0"/>
    <x v="0"/>
    <x v="0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102"/>
    <n v="35"/>
  </r>
  <r>
    <x v="0"/>
    <x v="0"/>
    <x v="0"/>
    <n v="3989821000190"/>
    <x v="3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45"/>
  </r>
  <r>
    <x v="0"/>
    <x v="0"/>
    <x v="0"/>
    <n v="3989821000190"/>
    <x v="37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45"/>
  </r>
  <r>
    <x v="0"/>
    <x v="0"/>
    <x v="0"/>
    <n v="37108388000159"/>
    <x v="38"/>
    <s v="BRASÍLIA"/>
    <s v="DF"/>
    <s v="1-Setorizado"/>
    <n v="2"/>
    <x v="4"/>
    <x v="4"/>
    <s v="Hospitalar (HSP)"/>
    <s v="fernando.leony@cslbehring.com"/>
    <s v="FERNANDO LEONY (CO/NO/NE)"/>
    <n v="0"/>
    <n v="37"/>
    <n v="15"/>
    <n v="0"/>
    <n v="0"/>
  </r>
  <r>
    <x v="0"/>
    <x v="0"/>
    <x v="0"/>
    <n v="37108388000159"/>
    <x v="3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29435005004620"/>
    <x v="39"/>
    <s v="BRASÍLIA"/>
    <s v="DF"/>
    <s v="1-Setorizado"/>
    <n v="2"/>
    <x v="4"/>
    <x v="4"/>
    <s v="Hospitalar (HSP)"/>
    <s v="fernando.leony@cslbehring.com"/>
    <s v="FERNANDO LEONY (CO/NO/NE)"/>
    <n v="0"/>
    <n v="10"/>
    <n v="5"/>
    <n v="0"/>
    <n v="0"/>
  </r>
  <r>
    <x v="0"/>
    <x v="0"/>
    <x v="0"/>
    <n v="29435005004620"/>
    <x v="3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7"/>
    <n v="1"/>
    <n v="0"/>
    <n v="275"/>
  </r>
  <r>
    <x v="0"/>
    <x v="0"/>
    <x v="0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75"/>
  </r>
  <r>
    <x v="0"/>
    <x v="0"/>
    <x v="0"/>
    <n v="60884855002289"/>
    <x v="41"/>
    <s v="BRASÍLIA"/>
    <s v="DF"/>
    <s v="1-Setorizado"/>
    <n v="2"/>
    <x v="4"/>
    <x v="4"/>
    <s v="Hospitalar (HSP)"/>
    <s v="fernando.leony@cslbehring.com"/>
    <s v="FERNANDO LEONY (CO/NO/NE)"/>
    <n v="0"/>
    <n v="90"/>
    <n v="11"/>
    <n v="0"/>
    <n v="370"/>
  </r>
  <r>
    <x v="0"/>
    <x v="0"/>
    <x v="0"/>
    <n v="60884855002289"/>
    <x v="4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370"/>
  </r>
  <r>
    <x v="0"/>
    <x v="0"/>
    <x v="0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45"/>
    <n v="0"/>
    <n v="0"/>
    <n v="0"/>
  </r>
  <r>
    <x v="0"/>
    <x v="0"/>
    <x v="0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38000485000196"/>
    <x v="43"/>
    <s v="BRASÍLIA"/>
    <s v="DF"/>
    <s v="1-Setorizado"/>
    <n v="2"/>
    <x v="4"/>
    <x v="4"/>
    <s v="Hospitalar (HSP)"/>
    <s v="fernando.leony@cslbehring.com"/>
    <s v="FERNANDO LEONY (CO/NO/NE)"/>
    <n v="0"/>
    <n v="3"/>
    <n v="0"/>
    <n v="0"/>
    <n v="0"/>
  </r>
  <r>
    <x v="0"/>
    <x v="0"/>
    <x v="0"/>
    <n v="38000485000196"/>
    <x v="4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49791000144"/>
    <x v="44"/>
    <s v="BRASÍLIA"/>
    <s v="DF"/>
    <s v="1-Setorizado"/>
    <n v="2"/>
    <x v="4"/>
    <x v="4"/>
    <s v="Hospitalar (HSP)"/>
    <s v="fernando.leony@cslbehring.com"/>
    <s v="FERNANDO LEONY (CO/NO/NE)"/>
    <n v="0"/>
    <n v="13"/>
    <n v="4"/>
    <n v="0"/>
    <n v="0"/>
  </r>
  <r>
    <x v="0"/>
    <x v="0"/>
    <x v="0"/>
    <n v="49791000144"/>
    <x v="4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6047087004126"/>
    <x v="45"/>
    <s v="BRASÍLIA"/>
    <s v="DF"/>
    <s v="1-Setorizado"/>
    <n v="2"/>
    <x v="4"/>
    <x v="4"/>
    <s v="Hospitalar (HSP)"/>
    <s v="fernando.leony@cslbehring.com"/>
    <s v="FERNANDO LEONY (CO/NO/NE)"/>
    <n v="0"/>
    <n v="3"/>
    <n v="0"/>
    <n v="0"/>
    <n v="0"/>
  </r>
  <r>
    <x v="0"/>
    <x v="0"/>
    <x v="0"/>
    <n v="6047087004126"/>
    <x v="4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610980000144"/>
    <x v="46"/>
    <s v="BRASÍLIA"/>
    <s v="DF"/>
    <s v="1-Setorizado"/>
    <n v="2"/>
    <x v="4"/>
    <x v="4"/>
    <s v="Hospitalar (HSP)"/>
    <s v="fernando.leony@cslbehring.com"/>
    <s v="FERNANDO LEONY (CO/NO/NE)"/>
    <n v="0"/>
    <n v="24"/>
    <n v="0"/>
    <n v="0"/>
    <n v="0"/>
  </r>
  <r>
    <x v="0"/>
    <x v="0"/>
    <x v="0"/>
    <n v="610980000144"/>
    <x v="4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61590410000558"/>
    <x v="4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61590410000558"/>
    <x v="47"/>
    <s v="BRASÍLIA"/>
    <s v="DF"/>
    <s v="1-Setorizado"/>
    <n v="2"/>
    <x v="2"/>
    <x v="2"/>
    <s v="Misto (EMH)"/>
    <s v="fernando.leony@cslbehring.com"/>
    <s v="FERNANDO LEONY (CO/NO/NE)"/>
    <n v="0"/>
    <n v="0"/>
    <n v="0"/>
    <n v="16"/>
    <n v="0"/>
  </r>
  <r>
    <x v="0"/>
    <x v="0"/>
    <x v="0"/>
    <n v="28481233000172"/>
    <x v="48"/>
    <s v="BRASÍLIA"/>
    <s v="DF"/>
    <s v="1-Setorizado"/>
    <n v="2"/>
    <x v="4"/>
    <x v="4"/>
    <s v="Hospitalar (HSP)"/>
    <s v="fernando.leony@cslbehring.com"/>
    <s v="FERNANDO LEONY (CO/NO/NE)"/>
    <n v="0"/>
    <n v="130"/>
    <n v="0"/>
    <n v="0"/>
    <n v="0"/>
  </r>
  <r>
    <x v="0"/>
    <x v="0"/>
    <x v="0"/>
    <n v="28481233000172"/>
    <x v="4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44"/>
    <n v="0"/>
  </r>
  <r>
    <x v="0"/>
    <x v="0"/>
    <x v="0"/>
    <n v="92898550000600"/>
    <x v="50"/>
    <s v="BRASÍLIA"/>
    <s v="DF"/>
    <s v="1-Setorizado"/>
    <n v="2"/>
    <x v="4"/>
    <x v="4"/>
    <s v="Hospitalar (HSP)"/>
    <s v="fernando.leony@cslbehring.com"/>
    <s v="FERNANDO LEONY (CO/NO/NE)"/>
    <n v="0"/>
    <n v="4"/>
    <n v="0"/>
    <n v="0"/>
    <n v="0"/>
  </r>
  <r>
    <x v="0"/>
    <x v="0"/>
    <x v="0"/>
    <n v="92898550000600"/>
    <x v="5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1682668000129"/>
    <x v="51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0"/>
  </r>
  <r>
    <x v="0"/>
    <x v="0"/>
    <x v="0"/>
    <n v="1682668000129"/>
    <x v="5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0"/>
  </r>
  <r>
    <x v="0"/>
    <x v="0"/>
    <x v="0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41"/>
    <n v="0"/>
  </r>
  <r>
    <x v="0"/>
    <x v="0"/>
    <x v="0"/>
    <n v="511816000180"/>
    <x v="53"/>
    <s v="BRASÍLIA"/>
    <s v="DF"/>
    <s v="1-Setorizado"/>
    <n v="2"/>
    <x v="4"/>
    <x v="4"/>
    <s v="Hospitalar (HSP)"/>
    <s v="fernando.leony@cslbehring.com"/>
    <s v="FERNANDO LEONY (CO/NO/NE)"/>
    <n v="0"/>
    <n v="8"/>
    <n v="0"/>
    <n v="0"/>
    <n v="0"/>
  </r>
  <r>
    <x v="0"/>
    <x v="0"/>
    <x v="0"/>
    <n v="511816000180"/>
    <x v="5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0"/>
    <x v="0"/>
    <n v="61590410001287"/>
    <x v="5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610"/>
  </r>
  <r>
    <x v="0"/>
    <x v="0"/>
    <x v="0"/>
    <n v="61590410001287"/>
    <x v="5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610"/>
  </r>
  <r>
    <x v="0"/>
    <x v="0"/>
    <x v="0"/>
    <n v="7039651000134"/>
    <x v="55"/>
    <s v="COLATINA"/>
    <s v="ES"/>
    <s v="1-Setorizado"/>
    <n v="1"/>
    <x v="5"/>
    <x v="5"/>
    <s v="Misto (EMH)"/>
    <s v="rafael.esteves@cslbehring.com"/>
    <s v="RAFAEL ESTEVES (RJ/SPI/SUL)"/>
    <n v="0"/>
    <n v="0"/>
    <n v="0"/>
    <n v="0"/>
    <n v="15"/>
  </r>
  <r>
    <x v="0"/>
    <x v="0"/>
    <x v="0"/>
    <n v="1396804000114"/>
    <x v="56"/>
    <s v="SERRA"/>
    <s v="ES"/>
    <s v="1-Setorizado"/>
    <n v="1"/>
    <x v="5"/>
    <x v="5"/>
    <s v="Misto (EMH)"/>
    <s v="rafael.esteves@cslbehring.com"/>
    <s v="RAFAEL ESTEVES (RJ/SPI/SUL)"/>
    <n v="0"/>
    <n v="0"/>
    <n v="0"/>
    <n v="0"/>
    <n v="40"/>
  </r>
  <r>
    <x v="0"/>
    <x v="0"/>
    <x v="0"/>
    <n v="27080605001591"/>
    <x v="57"/>
    <s v="SERRA"/>
    <s v="ES"/>
    <s v="1-Setorizado"/>
    <n v="1"/>
    <x v="5"/>
    <x v="5"/>
    <s v="Misto (EMH)"/>
    <s v="rafael.esteves@cslbehring.com"/>
    <s v="RAFAEL ESTEVES (RJ/SPI/SUL)"/>
    <n v="0"/>
    <n v="0"/>
    <n v="0"/>
    <n v="0"/>
    <n v="1000"/>
  </r>
  <r>
    <x v="0"/>
    <x v="0"/>
    <x v="0"/>
    <n v="28137925000106"/>
    <x v="58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00"/>
  </r>
  <r>
    <x v="0"/>
    <x v="0"/>
    <x v="0"/>
    <n v="39387477000107"/>
    <x v="59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80"/>
  </r>
  <r>
    <x v="0"/>
    <x v="0"/>
    <x v="0"/>
    <n v="1326206000179"/>
    <x v="60"/>
    <s v="CATALÃO"/>
    <s v="GO"/>
    <s v="1-Setorizado"/>
    <n v="2"/>
    <x v="6"/>
    <x v="6"/>
    <s v="Especialidade (ESP)"/>
    <s v="fernando.leony@cslbehring.com"/>
    <s v="FERNANDO LEONY (CO/NO/NE)"/>
    <n v="0"/>
    <n v="0"/>
    <n v="0"/>
    <n v="10"/>
    <n v="0"/>
  </r>
  <r>
    <x v="0"/>
    <x v="0"/>
    <x v="0"/>
    <n v="1326206000179"/>
    <x v="60"/>
    <s v="CATALÃO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2476067000394"/>
    <x v="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118"/>
  </r>
  <r>
    <x v="0"/>
    <x v="0"/>
    <x v="0"/>
    <n v="2476067000394"/>
    <x v="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118"/>
  </r>
  <r>
    <x v="0"/>
    <x v="0"/>
    <x v="0"/>
    <n v="418954000119"/>
    <x v="6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0"/>
    <x v="0"/>
    <n v="418954000119"/>
    <x v="62"/>
    <s v="GOIÂNIA"/>
    <s v="GO"/>
    <s v="1-Setorizado"/>
    <n v="2"/>
    <x v="4"/>
    <x v="4"/>
    <s v="Hospitalar (HSP)"/>
    <s v="fernando.leony@cslbehring.com"/>
    <s v="FERNANDO LEONY (CO/NO/NE)"/>
    <n v="0"/>
    <n v="10"/>
    <n v="0"/>
    <n v="0"/>
    <n v="0"/>
  </r>
  <r>
    <x v="0"/>
    <x v="0"/>
    <x v="0"/>
    <n v="1011865000116"/>
    <x v="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350"/>
  </r>
  <r>
    <x v="0"/>
    <x v="0"/>
    <x v="0"/>
    <n v="1011865000116"/>
    <x v="63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350"/>
  </r>
  <r>
    <x v="0"/>
    <x v="0"/>
    <x v="0"/>
    <n v="2476067000203"/>
    <x v="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20"/>
    <n v="0"/>
  </r>
  <r>
    <x v="0"/>
    <x v="0"/>
    <x v="0"/>
    <n v="2476067000203"/>
    <x v="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2476067000122"/>
    <x v="65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15"/>
  </r>
  <r>
    <x v="0"/>
    <x v="0"/>
    <x v="0"/>
    <n v="2476067000122"/>
    <x v="65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15"/>
  </r>
  <r>
    <x v="0"/>
    <x v="0"/>
    <x v="0"/>
    <n v="6190522000180"/>
    <x v="66"/>
    <s v="RIO VERDE"/>
    <s v="GO"/>
    <s v="1-Setorizado"/>
    <n v="2"/>
    <x v="6"/>
    <x v="6"/>
    <s v="Especialidade (ESP)"/>
    <s v="fernando.leony@cslbehring.com"/>
    <s v="FERNANDO LEONY (CO/NO/NE)"/>
    <n v="24"/>
    <n v="0"/>
    <n v="0"/>
    <n v="0"/>
    <n v="0"/>
  </r>
  <r>
    <x v="0"/>
    <x v="0"/>
    <x v="0"/>
    <n v="6190522000180"/>
    <x v="66"/>
    <s v="RIO VERDE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0"/>
    <x v="0"/>
    <n v="15126437000496"/>
    <x v="67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26437000496"/>
    <x v="67"/>
    <s v="SÃO LUÍS"/>
    <s v="MA"/>
    <s v="1-Setorizado"/>
    <n v="2"/>
    <x v="3"/>
    <x v="3"/>
    <s v="Hospitalar (HSP)"/>
    <s v="fernando.leony@cslbehring.com"/>
    <s v="FERNANDO LEONY (CO/NO/NE)"/>
    <n v="0"/>
    <n v="0"/>
    <n v="1"/>
    <n v="0"/>
    <n v="0"/>
  </r>
  <r>
    <x v="0"/>
    <x v="0"/>
    <x v="0"/>
    <n v="11006293000130"/>
    <x v="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40"/>
    <n v="500"/>
  </r>
  <r>
    <x v="0"/>
    <x v="0"/>
    <x v="0"/>
    <n v="11006293000130"/>
    <x v="68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500"/>
  </r>
  <r>
    <x v="0"/>
    <x v="0"/>
    <x v="0"/>
    <n v="2284062001170"/>
    <x v="69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2284062001170"/>
    <x v="69"/>
    <s v="SÃO LUÍS"/>
    <s v="MA"/>
    <s v="1-Setorizado"/>
    <n v="2"/>
    <x v="3"/>
    <x v="3"/>
    <s v="Hospitalar (HSP)"/>
    <s v="fernando.leony@cslbehring.com"/>
    <s v="FERNANDO LEONY (CO/NO/NE)"/>
    <n v="0"/>
    <n v="0"/>
    <n v="5"/>
    <n v="0"/>
    <n v="0"/>
  </r>
  <r>
    <x v="0"/>
    <x v="0"/>
    <x v="0"/>
    <n v="17214149000176"/>
    <x v="70"/>
    <s v="BELO HORIZONTE"/>
    <s v="MG"/>
    <s v="1-Setorizado"/>
    <n v="1"/>
    <x v="5"/>
    <x v="5"/>
    <s v="Misto (EMH)"/>
    <s v="rafael.esteves@cslbehring.com"/>
    <s v="RAFAEL ESTEVES (RJ/SPI/SUL)"/>
    <n v="0"/>
    <n v="0"/>
    <n v="10"/>
    <n v="0"/>
    <n v="0"/>
  </r>
  <r>
    <x v="0"/>
    <x v="0"/>
    <x v="0"/>
    <n v="410960000120"/>
    <x v="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36"/>
    <n v="882"/>
  </r>
  <r>
    <x v="0"/>
    <x v="0"/>
    <x v="0"/>
    <n v="16676520000159"/>
    <x v="72"/>
    <s v="BELO HORIZONTE"/>
    <s v="MG"/>
    <s v="1-Setorizado"/>
    <n v="1"/>
    <x v="5"/>
    <x v="5"/>
    <s v="Misto (EMH)"/>
    <s v="rafael.esteves@cslbehring.com"/>
    <s v="RAFAEL ESTEVES (RJ/SPI/SUL)"/>
    <n v="2"/>
    <n v="0"/>
    <n v="0"/>
    <n v="0"/>
    <n v="0"/>
  </r>
  <r>
    <x v="0"/>
    <x v="0"/>
    <x v="0"/>
    <n v="2623693000102"/>
    <x v="73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20"/>
  </r>
  <r>
    <x v="0"/>
    <x v="0"/>
    <x v="0"/>
    <n v="132229000180"/>
    <x v="74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120"/>
  </r>
  <r>
    <x v="0"/>
    <x v="0"/>
    <x v="0"/>
    <n v="17376968601"/>
    <x v="75"/>
    <s v="CONSELHEIRO LAFAIETE"/>
    <s v="MG"/>
    <s v="1-Setorizado"/>
    <n v="1"/>
    <x v="5"/>
    <x v="5"/>
    <s v="Misto (EMH)"/>
    <s v="rafael.esteves@cslbehring.com"/>
    <s v="RAFAEL ESTEVES (RJ/SPI/SUL)"/>
    <n v="24"/>
    <n v="0"/>
    <n v="0"/>
    <n v="0"/>
    <n v="0"/>
  </r>
  <r>
    <x v="0"/>
    <x v="0"/>
    <x v="0"/>
    <n v="19878404000100"/>
    <x v="76"/>
    <s v="IPATINGA"/>
    <s v="MG"/>
    <s v="1-Setorizado"/>
    <n v="1"/>
    <x v="5"/>
    <x v="5"/>
    <s v="Misto (EMH)"/>
    <s v="rafael.esteves@cslbehring.com"/>
    <s v="RAFAEL ESTEVES (RJ/SPI/SUL)"/>
    <n v="0"/>
    <n v="0"/>
    <n v="0"/>
    <n v="120"/>
    <n v="0"/>
  </r>
  <r>
    <x v="0"/>
    <x v="0"/>
    <x v="0"/>
    <n v="21040696000311"/>
    <x v="77"/>
    <s v="ITAJUBÁ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0"/>
    <x v="0"/>
    <n v="17689407000928"/>
    <x v="7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4"/>
    <n v="0"/>
  </r>
  <r>
    <x v="0"/>
    <x v="0"/>
    <x v="0"/>
    <n v="23278898000160"/>
    <x v="79"/>
    <s v="PASSOS"/>
    <s v="MG"/>
    <s v="1-Setorizado"/>
    <n v="1"/>
    <x v="5"/>
    <x v="5"/>
    <s v="Misto (EMH)"/>
    <s v="rafael.esteves@cslbehring.com"/>
    <s v="RAFAEL ESTEVES (RJ/SPI/SUL)"/>
    <n v="0"/>
    <n v="0"/>
    <n v="0"/>
    <n v="0"/>
    <n v="120"/>
  </r>
  <r>
    <x v="0"/>
    <x v="0"/>
    <x v="0"/>
    <n v="23338387000196"/>
    <x v="80"/>
    <s v="PATOS DE MINAS"/>
    <s v="MG"/>
    <s v="1-Setorizado"/>
    <n v="1"/>
    <x v="5"/>
    <x v="5"/>
    <s v="Misto (EMH)"/>
    <s v="rafael.esteves@cslbehring.com"/>
    <s v="RAFAEL ESTEVES (RJ/SPI/SUL)"/>
    <n v="0"/>
    <n v="0"/>
    <n v="0"/>
    <n v="10"/>
    <n v="0"/>
  </r>
  <r>
    <x v="0"/>
    <x v="0"/>
    <x v="0"/>
    <n v="41781949000234"/>
    <x v="81"/>
    <s v="POÇOS DE CALDAS"/>
    <s v="MG"/>
    <s v="1-Setorizado"/>
    <n v="1"/>
    <x v="5"/>
    <x v="5"/>
    <s v="Misto (EMH)"/>
    <s v="rafael.esteves@cslbehring.com"/>
    <s v="RAFAEL ESTEVES (RJ/SPI/SUL)"/>
    <n v="0"/>
    <n v="0"/>
    <n v="0"/>
    <n v="0"/>
    <n v="150"/>
  </r>
  <r>
    <x v="0"/>
    <x v="0"/>
    <x v="0"/>
    <n v="20207543000191"/>
    <x v="82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0"/>
    <n v="310"/>
  </r>
  <r>
    <x v="0"/>
    <x v="0"/>
    <x v="0"/>
    <n v="25648387000207"/>
    <x v="83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0"/>
    <n v="400"/>
  </r>
  <r>
    <x v="0"/>
    <x v="0"/>
    <x v="0"/>
    <n v="20150900000122"/>
    <x v="84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6"/>
    <n v="0"/>
  </r>
  <r>
    <x v="0"/>
    <x v="0"/>
    <x v="0"/>
    <n v="18484378000173"/>
    <x v="85"/>
    <s v="UBERLÂNDIA"/>
    <s v="MG"/>
    <s v="1-Setorizado"/>
    <n v="1"/>
    <x v="5"/>
    <x v="5"/>
    <s v="Misto (EMH)"/>
    <s v="rafael.esteves@cslbehring.com"/>
    <s v="RAFAEL ESTEVES (RJ/SPI/SUL)"/>
    <n v="0"/>
    <n v="0"/>
    <n v="3"/>
    <n v="0"/>
    <n v="0"/>
  </r>
  <r>
    <x v="0"/>
    <x v="0"/>
    <x v="0"/>
    <n v="17087591000189"/>
    <x v="86"/>
    <s v="UBERLÂNDIA"/>
    <s v="MG"/>
    <s v="1-Setorizado"/>
    <n v="1"/>
    <x v="5"/>
    <x v="5"/>
    <s v="Misto (EMH)"/>
    <s v="rafael.esteves@cslbehring.com"/>
    <s v="RAFAEL ESTEVES (RJ/SPI/SUL)"/>
    <n v="0"/>
    <n v="0"/>
    <n v="7"/>
    <n v="0"/>
    <n v="0"/>
  </r>
  <r>
    <x v="0"/>
    <x v="0"/>
    <x v="0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8"/>
    <n v="0"/>
  </r>
  <r>
    <x v="0"/>
    <x v="0"/>
    <x v="0"/>
    <n v="860841000179"/>
    <x v="88"/>
    <s v="CAMPO GRANDE"/>
    <s v="MS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0"/>
    <x v="0"/>
    <n v="860841000179"/>
    <x v="88"/>
    <s v="CAMPO GRANDE"/>
    <s v="MS"/>
    <s v="1-Setorizado"/>
    <n v="2"/>
    <x v="4"/>
    <x v="4"/>
    <s v="Hospitalar (HSP)"/>
    <s v="fernando.leony@cslbehring.com"/>
    <s v="FERNANDO LEONY (CO/NO/NE)"/>
    <n v="0"/>
    <n v="2"/>
    <n v="0"/>
    <n v="0"/>
    <n v="0"/>
  </r>
  <r>
    <x v="0"/>
    <x v="0"/>
    <x v="0"/>
    <n v="3533726001583"/>
    <x v="89"/>
    <s v="ACORIZAL"/>
    <s v="MT"/>
    <s v="1-Setorizado"/>
    <n v="2"/>
    <x v="6"/>
    <x v="6"/>
    <s v="Especialidade (ESP)"/>
    <s v="fernando.leony@cslbehring.com"/>
    <s v="FERNANDO LEONY (CO/NO/NE)"/>
    <n v="0"/>
    <n v="0"/>
    <n v="0"/>
    <n v="36"/>
    <n v="130"/>
  </r>
  <r>
    <x v="0"/>
    <x v="0"/>
    <x v="0"/>
    <n v="3533726001583"/>
    <x v="89"/>
    <s v="ACORIZAL"/>
    <s v="MT"/>
    <s v="1-Setorizado"/>
    <n v="2"/>
    <x v="4"/>
    <x v="4"/>
    <s v="Hospitalar (HSP)"/>
    <s v="fernando.leony@cslbehring.com"/>
    <s v="FERNANDO LEONY (CO/NO/NE)"/>
    <n v="0"/>
    <n v="0"/>
    <n v="0"/>
    <n v="0"/>
    <n v="130"/>
  </r>
  <r>
    <x v="0"/>
    <x v="0"/>
    <x v="0"/>
    <n v="15016827000160"/>
    <x v="90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0"/>
    <x v="0"/>
    <n v="15016827000160"/>
    <x v="90"/>
    <s v="CUIABÁ"/>
    <s v="MT"/>
    <s v="1-Setorizado"/>
    <n v="2"/>
    <x v="4"/>
    <x v="4"/>
    <s v="Hospitalar (HSP)"/>
    <s v="fernando.leony@cslbehring.com"/>
    <s v="FERNANDO LEONY (CO/NO/NE)"/>
    <n v="0"/>
    <n v="10"/>
    <n v="4"/>
    <n v="0"/>
    <n v="0"/>
  </r>
  <r>
    <x v="0"/>
    <x v="0"/>
    <x v="0"/>
    <n v="1757351000104"/>
    <x v="91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0"/>
    <x v="0"/>
    <n v="1757351000104"/>
    <x v="91"/>
    <s v="CUIABÁ"/>
    <s v="MT"/>
    <s v="1-Setorizado"/>
    <n v="2"/>
    <x v="4"/>
    <x v="4"/>
    <s v="Hospitalar (HSP)"/>
    <s v="fernando.leony@cslbehring.com"/>
    <s v="FERNANDO LEONY (CO/NO/NE)"/>
    <n v="0"/>
    <n v="6"/>
    <n v="0"/>
    <n v="0"/>
    <n v="0"/>
  </r>
  <r>
    <x v="0"/>
    <x v="0"/>
    <x v="0"/>
    <n v="3925419000142"/>
    <x v="92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0"/>
    <x v="0"/>
    <n v="3925419000142"/>
    <x v="92"/>
    <s v="CUIABÁ"/>
    <s v="MT"/>
    <s v="1-Setorizado"/>
    <n v="2"/>
    <x v="4"/>
    <x v="4"/>
    <s v="Hospitalar (HSP)"/>
    <s v="fernando.leony@cslbehring.com"/>
    <s v="FERNANDO LEONY (CO/NO/NE)"/>
    <n v="0"/>
    <n v="13"/>
    <n v="0"/>
    <n v="0"/>
    <n v="0"/>
  </r>
  <r>
    <x v="0"/>
    <x v="0"/>
    <x v="0"/>
    <n v="3533726000773"/>
    <x v="93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30"/>
  </r>
  <r>
    <x v="0"/>
    <x v="0"/>
    <x v="0"/>
    <n v="3533726000773"/>
    <x v="93"/>
    <s v="CUIABÁ"/>
    <s v="MT"/>
    <s v="1-Setorizado"/>
    <n v="2"/>
    <x v="4"/>
    <x v="4"/>
    <s v="Hospitalar (HSP)"/>
    <s v="fernando.leony@cslbehring.com"/>
    <s v="FERNANDO LEONY (CO/NO/NE)"/>
    <n v="0"/>
    <n v="0"/>
    <n v="0"/>
    <n v="0"/>
    <n v="30"/>
  </r>
  <r>
    <x v="0"/>
    <x v="0"/>
    <x v="0"/>
    <n v="1383835000130"/>
    <x v="94"/>
    <s v="PRIMAVERA DO LESTE"/>
    <s v="MT"/>
    <s v="1-Setorizado"/>
    <n v="2"/>
    <x v="6"/>
    <x v="6"/>
    <s v="Especialidade (ESP)"/>
    <s v="fernando.leony@cslbehring.com"/>
    <s v="FERNANDO LEONY (CO/NO/NE)"/>
    <n v="0"/>
    <n v="0"/>
    <n v="0"/>
    <n v="0"/>
    <n v="30"/>
  </r>
  <r>
    <x v="0"/>
    <x v="0"/>
    <x v="0"/>
    <n v="1383835000130"/>
    <x v="94"/>
    <s v="PRIMAVERA DO LESTE"/>
    <s v="MT"/>
    <s v="1-Setorizado"/>
    <n v="2"/>
    <x v="4"/>
    <x v="4"/>
    <s v="Hospitalar (HSP)"/>
    <s v="fernando.leony@cslbehring.com"/>
    <s v="FERNANDO LEONY (CO/NO/NE)"/>
    <n v="0"/>
    <n v="0"/>
    <n v="0"/>
    <n v="0"/>
    <n v="30"/>
  </r>
  <r>
    <x v="0"/>
    <x v="0"/>
    <x v="0"/>
    <n v="24676884000752"/>
    <x v="95"/>
    <s v="RONDONÓPOLIS"/>
    <s v="MT"/>
    <s v="1-Setorizado"/>
    <n v="2"/>
    <x v="6"/>
    <x v="6"/>
    <s v="Especialidade (ESP)"/>
    <s v="fernando.leony@cslbehring.com"/>
    <s v="FERNANDO LEONY (CO/NO/NE)"/>
    <n v="0"/>
    <n v="0"/>
    <n v="0"/>
    <n v="0"/>
    <n v="25"/>
  </r>
  <r>
    <x v="0"/>
    <x v="0"/>
    <x v="0"/>
    <n v="24676884000752"/>
    <x v="95"/>
    <s v="RONDONÓPOLIS"/>
    <s v="MT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0"/>
    <x v="0"/>
    <n v="4966545000370"/>
    <x v="96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80"/>
  </r>
  <r>
    <x v="0"/>
    <x v="0"/>
    <x v="0"/>
    <n v="83367342000252"/>
    <x v="97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25"/>
  </r>
  <r>
    <x v="0"/>
    <x v="0"/>
    <x v="0"/>
    <n v="91777186234"/>
    <x v="98"/>
    <s v="BELÉM"/>
    <s v="PA"/>
    <s v="1-Setorizado"/>
    <n v="1"/>
    <x v="2"/>
    <x v="2"/>
    <s v="Misto (EMH)"/>
    <s v="fernando.leony@cslbehring.com"/>
    <s v="FERNANDO LEONY (CO/NO/NE)"/>
    <n v="0"/>
    <n v="0"/>
    <n v="0"/>
    <n v="36"/>
    <n v="0"/>
  </r>
  <r>
    <x v="0"/>
    <x v="0"/>
    <x v="0"/>
    <n v="12371009253"/>
    <x v="99"/>
    <s v="BELÉM"/>
    <s v="PA"/>
    <s v="1-Setorizado"/>
    <n v="1"/>
    <x v="2"/>
    <x v="2"/>
    <s v="Misto (EMH)"/>
    <s v="fernando.leony@cslbehring.com"/>
    <s v="FERNANDO LEONY (CO/NO/NE)"/>
    <n v="0"/>
    <n v="0"/>
    <n v="0"/>
    <n v="24"/>
    <n v="0"/>
  </r>
  <r>
    <x v="0"/>
    <x v="0"/>
    <x v="0"/>
    <n v="4201372001028"/>
    <x v="100"/>
    <s v="BELÉM"/>
    <s v="PA"/>
    <s v="1-Setorizado"/>
    <n v="1"/>
    <x v="2"/>
    <x v="2"/>
    <s v="Misto (EMH)"/>
    <s v="fernando.leony@cslbehring.com"/>
    <s v="FERNANDO LEONY (CO/NO/NE)"/>
    <n v="0"/>
    <n v="0"/>
    <n v="0"/>
    <n v="40"/>
    <n v="0"/>
  </r>
  <r>
    <x v="0"/>
    <x v="0"/>
    <x v="0"/>
    <n v="24232886008303"/>
    <x v="101"/>
    <s v="SANTARÉM"/>
    <s v="PA"/>
    <s v="1-Setorizado"/>
    <n v="1"/>
    <x v="2"/>
    <x v="2"/>
    <s v="Misto (EMH)"/>
    <s v="fernando.leony@cslbehring.com"/>
    <s v="FERNANDO LEONY (CO/NO/NE)"/>
    <n v="0"/>
    <n v="3"/>
    <n v="3"/>
    <n v="0"/>
    <n v="0"/>
  </r>
  <r>
    <x v="0"/>
    <x v="0"/>
    <x v="0"/>
    <n v="83925694404"/>
    <x v="102"/>
    <s v="JOÃO PESSOA"/>
    <s v="PB"/>
    <s v="1-Setorizado"/>
    <n v="2"/>
    <x v="0"/>
    <x v="0"/>
    <s v="Especialidade (ESP)"/>
    <s v="fernando.leony@cslbehring.com"/>
    <s v="FERNANDO LEONY (CO/NO/NE)"/>
    <n v="24"/>
    <n v="0"/>
    <n v="0"/>
    <n v="0"/>
    <n v="0"/>
  </r>
  <r>
    <x v="0"/>
    <x v="0"/>
    <x v="0"/>
    <n v="83925694404"/>
    <x v="102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0"/>
    <x v="0"/>
    <n v="8680639000681"/>
    <x v="103"/>
    <s v="JOÃO PESSOA"/>
    <s v="PB"/>
    <s v="1-Setorizado"/>
    <n v="2"/>
    <x v="0"/>
    <x v="0"/>
    <s v="Especialidade (ESP)"/>
    <s v="fernando.leony@cslbehring.com"/>
    <s v="FERNANDO LEONY (CO/NO/NE)"/>
    <n v="0"/>
    <n v="0"/>
    <n v="0"/>
    <n v="36"/>
    <n v="80"/>
  </r>
  <r>
    <x v="0"/>
    <x v="0"/>
    <x v="0"/>
    <n v="8680639000681"/>
    <x v="103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80"/>
  </r>
  <r>
    <x v="0"/>
    <x v="0"/>
    <x v="0"/>
    <n v="3858924000111"/>
    <x v="104"/>
    <s v="GARANHUNS"/>
    <s v="PE"/>
    <s v="1-Setorizado"/>
    <n v="2"/>
    <x v="0"/>
    <x v="0"/>
    <s v="Especialidade (ESP)"/>
    <s v="fernando.leony@cslbehring.com"/>
    <s v="FERNANDO LEONY (CO/NO/NE)"/>
    <n v="0"/>
    <n v="0"/>
    <n v="0"/>
    <n v="0"/>
    <n v="120"/>
  </r>
  <r>
    <x v="0"/>
    <x v="0"/>
    <x v="0"/>
    <n v="3858924000111"/>
    <x v="104"/>
    <s v="GARANHUNS"/>
    <s v="PE"/>
    <s v="1-Setorizado"/>
    <n v="2"/>
    <x v="7"/>
    <x v="7"/>
    <s v="Hospitalar (HSP)"/>
    <s v="fernando.leony@cslbehring.com"/>
    <s v="FERNANDO LEONY (CO/NO/NE)"/>
    <n v="0"/>
    <n v="0"/>
    <n v="0"/>
    <n v="0"/>
    <n v="120"/>
  </r>
  <r>
    <x v="0"/>
    <x v="0"/>
    <x v="0"/>
    <n v="10572048000209"/>
    <x v="105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1535"/>
  </r>
  <r>
    <x v="0"/>
    <x v="0"/>
    <x v="0"/>
    <n v="10572048000209"/>
    <x v="105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1535"/>
  </r>
  <r>
    <x v="0"/>
    <x v="0"/>
    <x v="0"/>
    <n v="11452240000143"/>
    <x v="106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1452240000143"/>
    <x v="106"/>
    <s v="RECIFE"/>
    <s v="PE"/>
    <s v="1-Setorizado"/>
    <n v="2"/>
    <x v="7"/>
    <x v="7"/>
    <s v="Hospitalar (HSP)"/>
    <s v="fernando.leony@cslbehring.com"/>
    <s v="FERNANDO LEONY (CO/NO/NE)"/>
    <n v="0"/>
    <n v="0"/>
    <n v="6"/>
    <n v="0"/>
    <n v="0"/>
  </r>
  <r>
    <x v="0"/>
    <x v="0"/>
    <x v="0"/>
    <n v="6047087009276"/>
    <x v="10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300"/>
  </r>
  <r>
    <x v="0"/>
    <x v="0"/>
    <x v="0"/>
    <n v="6047087009276"/>
    <x v="107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300"/>
  </r>
  <r>
    <x v="0"/>
    <x v="0"/>
    <x v="0"/>
    <n v="10892164000124"/>
    <x v="108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0892164000124"/>
    <x v="108"/>
    <s v="RECIFE"/>
    <s v="PE"/>
    <s v="1-Setorizado"/>
    <n v="2"/>
    <x v="7"/>
    <x v="7"/>
    <s v="Hospitalar (HSP)"/>
    <s v="fernando.leony@cslbehring.com"/>
    <s v="FERNANDO LEONY (CO/NO/NE)"/>
    <n v="0"/>
    <n v="45"/>
    <n v="17"/>
    <n v="0"/>
    <n v="0"/>
  </r>
  <r>
    <x v="0"/>
    <x v="0"/>
    <x v="0"/>
    <n v="2284062000440"/>
    <x v="109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2284062000440"/>
    <x v="109"/>
    <s v="RECIFE"/>
    <s v="PE"/>
    <s v="1-Setorizado"/>
    <n v="2"/>
    <x v="7"/>
    <x v="7"/>
    <s v="Hospitalar (HSP)"/>
    <s v="fernando.leony@cslbehring.com"/>
    <s v="FERNANDO LEONY (CO/NO/NE)"/>
    <n v="0"/>
    <n v="21"/>
    <n v="0"/>
    <n v="0"/>
    <n v="0"/>
  </r>
  <r>
    <x v="0"/>
    <x v="0"/>
    <x v="0"/>
    <n v="10988301000129"/>
    <x v="110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0988301000129"/>
    <x v="110"/>
    <s v="RECIFE"/>
    <s v="PE"/>
    <s v="1-Setorizado"/>
    <n v="2"/>
    <x v="7"/>
    <x v="7"/>
    <s v="Hospitalar (HSP)"/>
    <s v="fernando.leony@cslbehring.com"/>
    <s v="FERNANDO LEONY (CO/NO/NE)"/>
    <n v="0"/>
    <n v="10"/>
    <n v="0"/>
    <n v="0"/>
    <n v="0"/>
  </r>
  <r>
    <x v="0"/>
    <x v="0"/>
    <x v="0"/>
    <n v="10839561000132"/>
    <x v="11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60"/>
    <n v="0"/>
  </r>
  <r>
    <x v="0"/>
    <x v="0"/>
    <x v="0"/>
    <n v="10839561000132"/>
    <x v="111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0"/>
    <x v="0"/>
    <n v="15126437000224"/>
    <x v="112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26437000224"/>
    <x v="112"/>
    <s v="TERESINA"/>
    <s v="PI"/>
    <s v="1-Setorizado"/>
    <n v="2"/>
    <x v="3"/>
    <x v="3"/>
    <s v="Hospitalar (HSP)"/>
    <s v="fernando.leony@cslbehring.com"/>
    <s v="FERNANDO LEONY (CO/NO/NE)"/>
    <n v="0"/>
    <n v="5"/>
    <n v="0"/>
    <n v="0"/>
    <n v="0"/>
  </r>
  <r>
    <x v="0"/>
    <x v="0"/>
    <x v="0"/>
    <n v="6555031000276"/>
    <x v="113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12"/>
    <n v="0"/>
  </r>
  <r>
    <x v="0"/>
    <x v="0"/>
    <x v="0"/>
    <n v="6555031000276"/>
    <x v="113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0"/>
    <x v="0"/>
    <n v="63326243000487"/>
    <x v="114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2"/>
  </r>
  <r>
    <x v="0"/>
    <x v="0"/>
    <x v="0"/>
    <n v="63326243000487"/>
    <x v="114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2"/>
  </r>
  <r>
    <x v="0"/>
    <x v="0"/>
    <x v="0"/>
    <n v="7088017000191"/>
    <x v="115"/>
    <s v="CAMPINA GRANDE DO SUL"/>
    <s v="PR"/>
    <s v="1-Setorizado"/>
    <n v="2"/>
    <x v="8"/>
    <x v="8"/>
    <s v="Especialidade (ESP)"/>
    <s v="rafael.esteves@cslbehring.com"/>
    <s v="RAFAEL ESTEVES (RJ/SPI/SUL)"/>
    <n v="0"/>
    <n v="0"/>
    <n v="0"/>
    <n v="0"/>
    <n v="120"/>
  </r>
  <r>
    <x v="0"/>
    <x v="0"/>
    <x v="0"/>
    <n v="7088017000191"/>
    <x v="115"/>
    <s v="CAMPINA GRANDE DO SUL"/>
    <s v="PR"/>
    <s v="1-Setorizado"/>
    <n v="2"/>
    <x v="9"/>
    <x v="9"/>
    <s v="Hospitalar (HSP)"/>
    <s v="rafael.esteves@cslbehring.com"/>
    <s v="RAFAEL ESTEVES (RJ/SPI/SUL)"/>
    <n v="0"/>
    <n v="0"/>
    <n v="0"/>
    <n v="0"/>
    <n v="120"/>
  </r>
  <r>
    <x v="0"/>
    <x v="0"/>
    <x v="0"/>
    <n v="21998635000108"/>
    <x v="116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0"/>
    <x v="0"/>
    <n v="21998635000108"/>
    <x v="116"/>
    <s v="CASCAVEL"/>
    <s v="PR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0"/>
    <x v="0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500"/>
  </r>
  <r>
    <x v="0"/>
    <x v="0"/>
    <x v="0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500"/>
  </r>
  <r>
    <x v="0"/>
    <x v="0"/>
    <x v="0"/>
    <n v="7404052000172"/>
    <x v="11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5"/>
  </r>
  <r>
    <x v="0"/>
    <x v="0"/>
    <x v="0"/>
    <n v="7404052000172"/>
    <x v="11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05"/>
  </r>
  <r>
    <x v="0"/>
    <x v="0"/>
    <x v="0"/>
    <n v="8597121000174"/>
    <x v="11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4000"/>
  </r>
  <r>
    <x v="0"/>
    <x v="0"/>
    <x v="0"/>
    <n v="8597121000174"/>
    <x v="11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4000"/>
  </r>
  <r>
    <x v="0"/>
    <x v="0"/>
    <x v="0"/>
    <n v="942063000167"/>
    <x v="120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115"/>
  </r>
  <r>
    <x v="0"/>
    <x v="0"/>
    <x v="0"/>
    <n v="942063000167"/>
    <x v="120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115"/>
  </r>
  <r>
    <x v="0"/>
    <x v="0"/>
    <x v="0"/>
    <n v="76591569000130"/>
    <x v="121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24"/>
    <n v="200"/>
  </r>
  <r>
    <x v="0"/>
    <x v="0"/>
    <x v="0"/>
    <n v="76591569000130"/>
    <x v="121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00"/>
  </r>
  <r>
    <x v="0"/>
    <x v="0"/>
    <x v="0"/>
    <n v="76659820002367"/>
    <x v="122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"/>
  </r>
  <r>
    <x v="0"/>
    <x v="0"/>
    <x v="0"/>
    <n v="76659820002367"/>
    <x v="122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0"/>
  </r>
  <r>
    <x v="0"/>
    <x v="0"/>
    <x v="0"/>
    <n v="76562198000169"/>
    <x v="123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8"/>
  </r>
  <r>
    <x v="0"/>
    <x v="0"/>
    <x v="0"/>
    <n v="76562198000169"/>
    <x v="123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8"/>
  </r>
  <r>
    <x v="0"/>
    <x v="0"/>
    <x v="0"/>
    <n v="76555069000143"/>
    <x v="12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76555069000143"/>
    <x v="124"/>
    <s v="CURITIBA"/>
    <s v="PR"/>
    <s v="1-Setorizado"/>
    <n v="2"/>
    <x v="9"/>
    <x v="9"/>
    <s v="Hospitalar (HSP)"/>
    <s v="rafael.esteves@cslbehring.com"/>
    <s v="RAFAEL ESTEVES (RJ/SPI/SUL)"/>
    <n v="0"/>
    <n v="0"/>
    <n v="2"/>
    <n v="0"/>
    <n v="0"/>
  </r>
  <r>
    <x v="0"/>
    <x v="0"/>
    <x v="0"/>
    <n v="29435005005600"/>
    <x v="125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80"/>
  </r>
  <r>
    <x v="0"/>
    <x v="0"/>
    <x v="0"/>
    <n v="29435005005600"/>
    <x v="12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80"/>
  </r>
  <r>
    <x v="0"/>
    <x v="0"/>
    <x v="0"/>
    <n v="3824198000116"/>
    <x v="126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0"/>
  </r>
  <r>
    <x v="0"/>
    <x v="0"/>
    <x v="0"/>
    <n v="3824198000116"/>
    <x v="126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50"/>
  </r>
  <r>
    <x v="0"/>
    <x v="0"/>
    <x v="0"/>
    <n v="3850913000195"/>
    <x v="12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65"/>
  </r>
  <r>
    <x v="0"/>
    <x v="0"/>
    <x v="0"/>
    <n v="3850913000195"/>
    <x v="12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665"/>
  </r>
  <r>
    <x v="0"/>
    <x v="0"/>
    <x v="0"/>
    <n v="2862447000286"/>
    <x v="12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"/>
  </r>
  <r>
    <x v="0"/>
    <x v="0"/>
    <x v="0"/>
    <n v="2862447000286"/>
    <x v="12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0"/>
  </r>
  <r>
    <x v="0"/>
    <x v="0"/>
    <x v="0"/>
    <n v="30117769000155"/>
    <x v="12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65"/>
  </r>
  <r>
    <x v="0"/>
    <x v="0"/>
    <x v="0"/>
    <n v="30117769000155"/>
    <x v="12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65"/>
  </r>
  <r>
    <x v="0"/>
    <x v="0"/>
    <x v="0"/>
    <n v="304148000110"/>
    <x v="130"/>
    <s v="FOZ DO IGUAÇU"/>
    <s v="PR"/>
    <s v="1-Setorizado"/>
    <n v="2"/>
    <x v="8"/>
    <x v="8"/>
    <s v="Especialidade (ESP)"/>
    <s v="rafael.esteves@cslbehring.com"/>
    <s v="RAFAEL ESTEVES (RJ/SPI/SUL)"/>
    <n v="0"/>
    <n v="0"/>
    <n v="0"/>
    <n v="48"/>
    <n v="0"/>
  </r>
  <r>
    <x v="0"/>
    <x v="0"/>
    <x v="0"/>
    <n v="304148000110"/>
    <x v="130"/>
    <s v="FOZ DO IGUAÇU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0"/>
    <x v="0"/>
    <n v="73863342000109"/>
    <x v="131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0"/>
    <x v="0"/>
    <n v="73863342000109"/>
    <x v="131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0"/>
    <x v="0"/>
    <n v="75222224001895"/>
    <x v="132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00"/>
  </r>
  <r>
    <x v="0"/>
    <x v="0"/>
    <x v="0"/>
    <n v="75222224001895"/>
    <x v="132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600"/>
  </r>
  <r>
    <x v="0"/>
    <x v="0"/>
    <x v="0"/>
    <n v="77265361000194"/>
    <x v="133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0"/>
  </r>
  <r>
    <x v="0"/>
    <x v="0"/>
    <x v="0"/>
    <n v="77265361000194"/>
    <x v="133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100"/>
  </r>
  <r>
    <x v="0"/>
    <x v="0"/>
    <x v="0"/>
    <n v="7794623002257"/>
    <x v="134"/>
    <s v="SÃO JOSÉ DOS PINHAIS"/>
    <s v="PR"/>
    <s v="1-Setorizado"/>
    <n v="2"/>
    <x v="8"/>
    <x v="8"/>
    <s v="Especialidade (ESP)"/>
    <s v="rafael.esteves@cslbehring.com"/>
    <s v="RAFAEL ESTEVES (RJ/SPI/SUL)"/>
    <n v="0"/>
    <n v="0"/>
    <n v="0"/>
    <n v="0"/>
    <n v="515"/>
  </r>
  <r>
    <x v="0"/>
    <x v="0"/>
    <x v="0"/>
    <n v="7794623002257"/>
    <x v="134"/>
    <s v="SÃO JOSÉ DOS PINHAIS"/>
    <s v="PR"/>
    <s v="1-Setorizado"/>
    <n v="2"/>
    <x v="9"/>
    <x v="9"/>
    <s v="Hospitalar (HSP)"/>
    <s v="rafael.esteves@cslbehring.com"/>
    <s v="RAFAEL ESTEVES (RJ/SPI/SUL)"/>
    <n v="0"/>
    <n v="0"/>
    <n v="0"/>
    <n v="0"/>
    <n v="515"/>
  </r>
  <r>
    <x v="0"/>
    <x v="0"/>
    <x v="0"/>
    <n v="6047087001372"/>
    <x v="135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6047087001372"/>
    <x v="135"/>
    <s v="DUQUE DE CAXIAS"/>
    <s v="RJ"/>
    <s v="1-Setorizado"/>
    <n v="2"/>
    <x v="11"/>
    <x v="11"/>
    <s v="Hospitalar (HSP)"/>
    <s v="rafael.esteves@cslbehring.com"/>
    <s v="RAFAEL ESTEVES (RJ/SPI/SUL)"/>
    <n v="0"/>
    <n v="0"/>
    <n v="12"/>
    <n v="0"/>
    <n v="0"/>
  </r>
  <r>
    <x v="0"/>
    <x v="0"/>
    <x v="0"/>
    <n v="35830868000446"/>
    <x v="136"/>
    <s v="MACAÉ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5830868000446"/>
    <x v="136"/>
    <s v="MACAÉ"/>
    <s v="RJ"/>
    <s v="1-Setorizado"/>
    <n v="2"/>
    <x v="12"/>
    <x v="12"/>
    <s v="Hospitalar (HSP)"/>
    <s v="rafael.esteves@cslbehring.com"/>
    <s v="RAFAEL ESTEVES (RJ/SPI/SUL)"/>
    <n v="0"/>
    <n v="3"/>
    <n v="0"/>
    <n v="0"/>
    <n v="0"/>
  </r>
  <r>
    <x v="0"/>
    <x v="0"/>
    <x v="0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358"/>
    <n v="420"/>
  </r>
  <r>
    <x v="0"/>
    <x v="0"/>
    <x v="0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420"/>
  </r>
  <r>
    <x v="0"/>
    <x v="0"/>
    <x v="0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18"/>
    <n v="440"/>
  </r>
  <r>
    <x v="0"/>
    <x v="0"/>
    <x v="0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83"/>
    <n v="24"/>
    <n v="0"/>
    <n v="440"/>
  </r>
  <r>
    <x v="0"/>
    <x v="0"/>
    <x v="0"/>
    <n v="521197000104"/>
    <x v="139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38"/>
  </r>
  <r>
    <x v="0"/>
    <x v="0"/>
    <x v="0"/>
    <n v="521197000104"/>
    <x v="139"/>
    <s v="NITERÓI"/>
    <s v="RJ"/>
    <s v="1-Setorizado"/>
    <n v="2"/>
    <x v="12"/>
    <x v="12"/>
    <s v="Hospitalar (HSP)"/>
    <s v="rafael.esteves@cslbehring.com"/>
    <s v="RAFAEL ESTEVES (RJ/SPI/SUL)"/>
    <n v="0"/>
    <n v="0"/>
    <n v="0"/>
    <n v="0"/>
    <n v="238"/>
  </r>
  <r>
    <x v="0"/>
    <x v="0"/>
    <x v="0"/>
    <n v="29135795000208"/>
    <x v="140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0"/>
  </r>
  <r>
    <x v="0"/>
    <x v="0"/>
    <x v="0"/>
    <n v="29135795000208"/>
    <x v="140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100"/>
  </r>
  <r>
    <x v="0"/>
    <x v="0"/>
    <x v="0"/>
    <n v="7794623001528"/>
    <x v="141"/>
    <s v="NOVA IGUAÇU"/>
    <s v="RJ"/>
    <s v="1-Setorizado"/>
    <n v="2"/>
    <x v="10"/>
    <x v="10"/>
    <s v="Especialidade (ESP)"/>
    <s v="rafael.esteves@cslbehring.com"/>
    <s v="RAFAEL ESTEVES (RJ/SPI/SUL)"/>
    <n v="0"/>
    <n v="0"/>
    <n v="0"/>
    <n v="28"/>
    <n v="0"/>
  </r>
  <r>
    <x v="0"/>
    <x v="0"/>
    <x v="0"/>
    <n v="7794623001528"/>
    <x v="141"/>
    <s v="NOVA IGUAÇU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0"/>
    <x v="0"/>
    <n v="28806545000532"/>
    <x v="142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128"/>
    <n v="0"/>
  </r>
  <r>
    <x v="0"/>
    <x v="0"/>
    <x v="0"/>
    <n v="28806545000532"/>
    <x v="142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0"/>
    <x v="0"/>
    <n v="68709211000212"/>
    <x v="143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00"/>
  </r>
  <r>
    <x v="0"/>
    <x v="0"/>
    <x v="0"/>
    <n v="68709211000212"/>
    <x v="143"/>
    <s v="RESENDE"/>
    <s v="RJ"/>
    <s v="1-Setorizado"/>
    <n v="2"/>
    <x v="12"/>
    <x v="12"/>
    <s v="Hospitalar (HSP)"/>
    <s v="rafael.esteves@cslbehring.com"/>
    <s v="RAFAEL ESTEVES (RJ/SPI/SUL)"/>
    <n v="0"/>
    <n v="0"/>
    <n v="0"/>
    <n v="0"/>
    <n v="300"/>
  </r>
  <r>
    <x v="0"/>
    <x v="0"/>
    <x v="0"/>
    <n v="29072642000188"/>
    <x v="144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9072642000188"/>
    <x v="144"/>
    <s v="RESENDE"/>
    <s v="RJ"/>
    <s v="1-Setorizado"/>
    <n v="2"/>
    <x v="12"/>
    <x v="12"/>
    <s v="Hospitalar (HSP)"/>
    <s v="rafael.esteves@cslbehring.com"/>
    <s v="RAFAEL ESTEVES (RJ/SPI/SUL)"/>
    <n v="0"/>
    <n v="2"/>
    <n v="0"/>
    <n v="0"/>
    <n v="0"/>
  </r>
  <r>
    <x v="0"/>
    <x v="0"/>
    <x v="0"/>
    <n v="21109731000140"/>
    <x v="14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12"/>
    <n v="0"/>
  </r>
  <r>
    <x v="0"/>
    <x v="0"/>
    <x v="0"/>
    <n v="21109731000140"/>
    <x v="14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0"/>
    <x v="0"/>
    <n v="60922168000348"/>
    <x v="14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30"/>
  </r>
  <r>
    <x v="0"/>
    <x v="0"/>
    <x v="0"/>
    <n v="60922168000348"/>
    <x v="146"/>
    <s v="RIO DE JANEIRO"/>
    <s v="RJ"/>
    <s v="1-Setorizado"/>
    <n v="2"/>
    <x v="11"/>
    <x v="11"/>
    <s v="Hospitalar (HSP)"/>
    <s v="rafael.esteves@cslbehring.com"/>
    <s v="RAFAEL ESTEVES (RJ/SPI/SUL)"/>
    <n v="0"/>
    <n v="3"/>
    <n v="2"/>
    <n v="0"/>
    <n v="330"/>
  </r>
  <r>
    <x v="0"/>
    <x v="0"/>
    <x v="0"/>
    <n v="7794623004896"/>
    <x v="14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850"/>
  </r>
  <r>
    <x v="0"/>
    <x v="0"/>
    <x v="0"/>
    <n v="7794623004896"/>
    <x v="14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850"/>
  </r>
  <r>
    <x v="0"/>
    <x v="0"/>
    <x v="0"/>
    <n v="33927377000140"/>
    <x v="14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-5"/>
  </r>
  <r>
    <x v="0"/>
    <x v="0"/>
    <x v="0"/>
    <n v="33927377000140"/>
    <x v="148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-5"/>
  </r>
  <r>
    <x v="0"/>
    <x v="0"/>
    <x v="0"/>
    <n v="2864097000106"/>
    <x v="14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15"/>
  </r>
  <r>
    <x v="0"/>
    <x v="0"/>
    <x v="0"/>
    <n v="2864097000106"/>
    <x v="14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315"/>
  </r>
  <r>
    <x v="0"/>
    <x v="0"/>
    <x v="0"/>
    <n v="31635857000101"/>
    <x v="15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1635857000101"/>
    <x v="150"/>
    <s v="RIO DE JANEIRO"/>
    <s v="RJ"/>
    <s v="1-Setorizado"/>
    <n v="2"/>
    <x v="12"/>
    <x v="12"/>
    <s v="Hospitalar (HSP)"/>
    <s v="rafael.esteves@cslbehring.com"/>
    <s v="RAFAEL ESTEVES (RJ/SPI/SUL)"/>
    <n v="0"/>
    <n v="0"/>
    <n v="1"/>
    <n v="0"/>
    <n v="0"/>
  </r>
  <r>
    <x v="0"/>
    <x v="0"/>
    <x v="0"/>
    <n v="39086160000130"/>
    <x v="15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00"/>
    <n v="200"/>
  </r>
  <r>
    <x v="0"/>
    <x v="0"/>
    <x v="0"/>
    <n v="39086160000130"/>
    <x v="15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0"/>
  </r>
  <r>
    <x v="0"/>
    <x v="0"/>
    <x v="0"/>
    <n v="21265360000195"/>
    <x v="15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0"/>
    <x v="0"/>
    <n v="21265360000195"/>
    <x v="152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0"/>
    <x v="0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2"/>
    <n v="0"/>
  </r>
  <r>
    <x v="0"/>
    <x v="0"/>
    <x v="0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7"/>
    <n v="0"/>
    <n v="0"/>
  </r>
  <r>
    <x v="0"/>
    <x v="0"/>
    <x v="0"/>
    <n v="73696718000219"/>
    <x v="15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73696718000219"/>
    <x v="154"/>
    <s v="RIO DE JANEIRO"/>
    <s v="RJ"/>
    <s v="1-Setorizado"/>
    <n v="2"/>
    <x v="12"/>
    <x v="12"/>
    <s v="Hospitalar (HSP)"/>
    <s v="rafael.esteves@cslbehring.com"/>
    <s v="RAFAEL ESTEVES (RJ/SPI/SUL)"/>
    <n v="0"/>
    <n v="3"/>
    <n v="9"/>
    <n v="0"/>
    <n v="0"/>
  </r>
  <r>
    <x v="0"/>
    <x v="0"/>
    <x v="0"/>
    <n v="2284062000521"/>
    <x v="15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284062000521"/>
    <x v="155"/>
    <s v="RIO DE JANEIRO"/>
    <s v="RJ"/>
    <s v="1-Setorizado"/>
    <n v="2"/>
    <x v="12"/>
    <x v="12"/>
    <s v="Hospitalar (HSP)"/>
    <s v="rafael.esteves@cslbehring.com"/>
    <s v="RAFAEL ESTEVES (RJ/SPI/SUL)"/>
    <n v="0"/>
    <n v="8"/>
    <n v="1"/>
    <n v="0"/>
    <n v="0"/>
  </r>
  <r>
    <x v="0"/>
    <x v="0"/>
    <x v="0"/>
    <n v="24217779000160"/>
    <x v="15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4217779000160"/>
    <x v="156"/>
    <s v="RIO DE JANEIRO"/>
    <s v="RJ"/>
    <s v="1-Setorizado"/>
    <n v="2"/>
    <x v="12"/>
    <x v="12"/>
    <s v="Hospitalar (HSP)"/>
    <s v="rafael.esteves@cslbehring.com"/>
    <s v="RAFAEL ESTEVES (RJ/SPI/SUL)"/>
    <n v="0"/>
    <n v="6"/>
    <n v="0"/>
    <n v="0"/>
    <n v="0"/>
  </r>
  <r>
    <x v="0"/>
    <x v="0"/>
    <x v="0"/>
    <n v="11279865000155"/>
    <x v="15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11279865000155"/>
    <x v="157"/>
    <s v="RIO DE JANEIRO"/>
    <s v="RJ"/>
    <s v="1-Setorizado"/>
    <n v="2"/>
    <x v="12"/>
    <x v="12"/>
    <s v="Hospitalar (HSP)"/>
    <s v="rafael.esteves@cslbehring.com"/>
    <s v="RAFAEL ESTEVES (RJ/SPI/SUL)"/>
    <n v="0"/>
    <n v="8"/>
    <n v="0"/>
    <n v="0"/>
    <n v="0"/>
  </r>
  <r>
    <x v="0"/>
    <x v="0"/>
    <x v="0"/>
    <n v="9609235000230"/>
    <x v="15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450"/>
  </r>
  <r>
    <x v="0"/>
    <x v="0"/>
    <x v="0"/>
    <n v="9609235000230"/>
    <x v="158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450"/>
  </r>
  <r>
    <x v="0"/>
    <x v="0"/>
    <x v="0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30"/>
    <n v="20"/>
    <n v="0"/>
    <n v="0"/>
  </r>
  <r>
    <x v="0"/>
    <x v="0"/>
    <x v="0"/>
    <n v="6047087002697"/>
    <x v="16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6047087002697"/>
    <x v="160"/>
    <s v="RIO DE JANEIRO"/>
    <s v="RJ"/>
    <s v="1-Setorizado"/>
    <n v="2"/>
    <x v="11"/>
    <x v="11"/>
    <s v="Hospitalar (HSP)"/>
    <s v="rafael.esteves@cslbehring.com"/>
    <s v="RAFAEL ESTEVES (RJ/SPI/SUL)"/>
    <n v="0"/>
    <n v="8"/>
    <n v="14"/>
    <n v="0"/>
    <n v="0"/>
  </r>
  <r>
    <x v="0"/>
    <x v="0"/>
    <x v="0"/>
    <n v="394544020453"/>
    <x v="16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600"/>
  </r>
  <r>
    <x v="0"/>
    <x v="0"/>
    <x v="0"/>
    <n v="394544020453"/>
    <x v="16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600"/>
  </r>
  <r>
    <x v="0"/>
    <x v="0"/>
    <x v="0"/>
    <n v="32154700000127"/>
    <x v="16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2154700000127"/>
    <x v="162"/>
    <s v="RIO DE JANEIRO"/>
    <s v="RJ"/>
    <s v="1-Setorizado"/>
    <n v="2"/>
    <x v="11"/>
    <x v="11"/>
    <s v="Hospitalar (HSP)"/>
    <s v="rafael.esteves@cslbehring.com"/>
    <s v="RAFAEL ESTEVES (RJ/SPI/SUL)"/>
    <n v="0"/>
    <n v="8"/>
    <n v="5"/>
    <n v="0"/>
    <n v="0"/>
  </r>
  <r>
    <x v="0"/>
    <x v="0"/>
    <x v="0"/>
    <n v="27901222000131"/>
    <x v="16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7901222000131"/>
    <x v="163"/>
    <s v="RIO DE JANEIRO"/>
    <s v="RJ"/>
    <s v="1-Setorizado"/>
    <n v="2"/>
    <x v="11"/>
    <x v="11"/>
    <s v="Hospitalar (HSP)"/>
    <s v="rafael.esteves@cslbehring.com"/>
    <s v="RAFAEL ESTEVES (RJ/SPI/SUL)"/>
    <n v="0"/>
    <n v="0"/>
    <n v="5"/>
    <n v="0"/>
    <n v="0"/>
  </r>
  <r>
    <x v="0"/>
    <x v="0"/>
    <x v="0"/>
    <n v="394544020372"/>
    <x v="16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90"/>
  </r>
  <r>
    <x v="0"/>
    <x v="0"/>
    <x v="0"/>
    <n v="394544020372"/>
    <x v="164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390"/>
  </r>
  <r>
    <x v="0"/>
    <x v="0"/>
    <x v="0"/>
    <n v="394544020291"/>
    <x v="16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94544020291"/>
    <x v="165"/>
    <s v="RIO DE JANEIRO"/>
    <s v="RJ"/>
    <s v="1-Setorizado"/>
    <n v="2"/>
    <x v="12"/>
    <x v="12"/>
    <s v="Hospitalar (HSP)"/>
    <s v="rafael.esteves@cslbehring.com"/>
    <s v="RAFAEL ESTEVES (RJ/SPI/SUL)"/>
    <n v="0"/>
    <n v="60"/>
    <n v="0"/>
    <n v="0"/>
    <n v="0"/>
  </r>
  <r>
    <x v="0"/>
    <x v="0"/>
    <x v="0"/>
    <n v="394544021000"/>
    <x v="16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0"/>
    <x v="0"/>
    <n v="394544021000"/>
    <x v="16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0"/>
    <x v="0"/>
    <n v="9578217000158"/>
    <x v="16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9578217000158"/>
    <x v="167"/>
    <s v="RIO DE JANEIRO"/>
    <s v="RJ"/>
    <s v="1-Setorizado"/>
    <n v="2"/>
    <x v="11"/>
    <x v="11"/>
    <s v="Hospitalar (HSP)"/>
    <s v="rafael.esteves@cslbehring.com"/>
    <s v="RAFAEL ESTEVES (RJ/SPI/SUL)"/>
    <n v="0"/>
    <n v="3"/>
    <n v="4"/>
    <n v="0"/>
    <n v="0"/>
  </r>
  <r>
    <x v="0"/>
    <x v="0"/>
    <x v="0"/>
    <n v="6047087003316"/>
    <x v="16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6047087003316"/>
    <x v="168"/>
    <s v="RIO DE JANEIRO"/>
    <s v="RJ"/>
    <s v="1-Setorizado"/>
    <n v="2"/>
    <x v="11"/>
    <x v="11"/>
    <s v="Hospitalar (HSP)"/>
    <s v="rafael.esteves@cslbehring.com"/>
    <s v="RAFAEL ESTEVES (RJ/SPI/SUL)"/>
    <n v="0"/>
    <n v="3"/>
    <n v="1"/>
    <n v="0"/>
    <n v="0"/>
  </r>
  <r>
    <x v="0"/>
    <x v="0"/>
    <x v="0"/>
    <n v="29435005005783"/>
    <x v="16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25"/>
  </r>
  <r>
    <x v="0"/>
    <x v="0"/>
    <x v="0"/>
    <n v="29435005005783"/>
    <x v="169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225"/>
  </r>
  <r>
    <x v="0"/>
    <x v="0"/>
    <x v="0"/>
    <n v="29435005005198"/>
    <x v="17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9435005005198"/>
    <x v="170"/>
    <s v="RIO DE JANEIRO"/>
    <s v="RJ"/>
    <s v="1-Setorizado"/>
    <n v="2"/>
    <x v="11"/>
    <x v="11"/>
    <s v="Hospitalar (HSP)"/>
    <s v="rafael.esteves@cslbehring.com"/>
    <s v="RAFAEL ESTEVES (RJ/SPI/SUL)"/>
    <n v="0"/>
    <n v="16"/>
    <n v="17"/>
    <n v="0"/>
    <n v="0"/>
  </r>
  <r>
    <x v="0"/>
    <x v="0"/>
    <x v="0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80"/>
    <n v="100"/>
    <n v="0"/>
    <n v="0"/>
  </r>
  <r>
    <x v="0"/>
    <x v="0"/>
    <x v="0"/>
    <n v="29259736000403"/>
    <x v="17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0"/>
    <n v="0"/>
  </r>
  <r>
    <x v="0"/>
    <x v="0"/>
    <x v="0"/>
    <n v="29259736000403"/>
    <x v="172"/>
    <s v="RIO DE JANEIRO"/>
    <s v="RJ"/>
    <s v="1-Setorizado"/>
    <n v="2"/>
    <x v="11"/>
    <x v="11"/>
    <s v="Hospitalar (HSP)"/>
    <s v="rafael.esteves@cslbehring.com"/>
    <s v="RAFAEL ESTEVES (RJ/SPI/SUL)"/>
    <n v="0"/>
    <n v="5"/>
    <n v="0"/>
    <n v="0"/>
    <n v="0"/>
  </r>
  <r>
    <x v="0"/>
    <x v="0"/>
    <x v="0"/>
    <n v="8100676002102"/>
    <x v="17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8100676002102"/>
    <x v="173"/>
    <s v="RIO DE JANEIRO"/>
    <s v="RJ"/>
    <s v="1-Setorizado"/>
    <n v="2"/>
    <x v="11"/>
    <x v="11"/>
    <s v="Hospitalar (HSP)"/>
    <s v="rafael.esteves@cslbehring.com"/>
    <s v="RAFAEL ESTEVES (RJ/SPI/SUL)"/>
    <n v="0"/>
    <n v="31"/>
    <n v="19"/>
    <n v="0"/>
    <n v="0"/>
  </r>
  <r>
    <x v="0"/>
    <x v="0"/>
    <x v="0"/>
    <n v="29435005006160"/>
    <x v="17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50"/>
  </r>
  <r>
    <x v="0"/>
    <x v="0"/>
    <x v="0"/>
    <n v="29435005006160"/>
    <x v="174"/>
    <s v="RIO DE JANEIRO"/>
    <s v="RJ"/>
    <s v="1-Setorizado"/>
    <n v="2"/>
    <x v="11"/>
    <x v="11"/>
    <s v="Hospitalar (HSP)"/>
    <s v="rafael.esteves@cslbehring.com"/>
    <s v="RAFAEL ESTEVES (RJ/SPI/SUL)"/>
    <n v="0"/>
    <n v="5"/>
    <n v="6"/>
    <n v="0"/>
    <n v="50"/>
  </r>
  <r>
    <x v="0"/>
    <x v="0"/>
    <x v="0"/>
    <n v="53221255004995"/>
    <x v="17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53221255004995"/>
    <x v="175"/>
    <s v="RIO DE JANEIRO"/>
    <s v="RJ"/>
    <s v="1-Setorizado"/>
    <n v="2"/>
    <x v="11"/>
    <x v="11"/>
    <s v="Hospitalar (HSP)"/>
    <s v="rafael.esteves@cslbehring.com"/>
    <s v="RAFAEL ESTEVES (RJ/SPI/SUL)"/>
    <n v="0"/>
    <n v="0"/>
    <n v="2"/>
    <n v="0"/>
    <n v="0"/>
  </r>
  <r>
    <x v="0"/>
    <x v="0"/>
    <x v="0"/>
    <n v="60884855001630"/>
    <x v="17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75"/>
  </r>
  <r>
    <x v="0"/>
    <x v="0"/>
    <x v="0"/>
    <n v="60884855001630"/>
    <x v="176"/>
    <s v="RIO DE JANEIRO"/>
    <s v="RJ"/>
    <s v="1-Setorizado"/>
    <n v="2"/>
    <x v="12"/>
    <x v="12"/>
    <s v="Hospitalar (HSP)"/>
    <s v="rafael.esteves@cslbehring.com"/>
    <s v="RAFAEL ESTEVES (RJ/SPI/SUL)"/>
    <n v="0"/>
    <n v="9"/>
    <n v="25"/>
    <n v="0"/>
    <n v="375"/>
  </r>
  <r>
    <x v="0"/>
    <x v="0"/>
    <x v="0"/>
    <n v="18010750000100"/>
    <x v="17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0"/>
    <x v="0"/>
    <n v="18010750000100"/>
    <x v="177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150"/>
  </r>
  <r>
    <x v="0"/>
    <x v="0"/>
    <x v="0"/>
    <n v="33663683005347"/>
    <x v="17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800"/>
  </r>
  <r>
    <x v="0"/>
    <x v="0"/>
    <x v="0"/>
    <n v="33663683005347"/>
    <x v="178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800"/>
  </r>
  <r>
    <x v="0"/>
    <x v="0"/>
    <x v="0"/>
    <n v="33663683002674"/>
    <x v="17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3663683002674"/>
    <x v="179"/>
    <s v="RIO DE JANEIRO"/>
    <s v="RJ"/>
    <s v="1-Setorizado"/>
    <n v="2"/>
    <x v="11"/>
    <x v="11"/>
    <s v="Hospitalar (HSP)"/>
    <s v="rafael.esteves@cslbehring.com"/>
    <s v="RAFAEL ESTEVES (RJ/SPI/SUL)"/>
    <n v="0"/>
    <n v="2"/>
    <n v="0"/>
    <n v="0"/>
    <n v="0"/>
  </r>
  <r>
    <x v="0"/>
    <x v="0"/>
    <x v="0"/>
    <n v="8850962000222"/>
    <x v="18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8850962000222"/>
    <x v="180"/>
    <s v="RIO DE JANEIRO"/>
    <s v="RJ"/>
    <s v="1-Setorizado"/>
    <n v="2"/>
    <x v="11"/>
    <x v="11"/>
    <s v="Hospitalar (HSP)"/>
    <s v="rafael.esteves@cslbehring.com"/>
    <s v="RAFAEL ESTEVES (RJ/SPI/SUL)"/>
    <n v="0"/>
    <n v="1"/>
    <n v="1"/>
    <n v="0"/>
    <n v="0"/>
  </r>
  <r>
    <x v="0"/>
    <x v="0"/>
    <x v="0"/>
    <n v="33781055000216"/>
    <x v="18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70"/>
  </r>
  <r>
    <x v="0"/>
    <x v="0"/>
    <x v="0"/>
    <n v="33781055000216"/>
    <x v="18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70"/>
  </r>
  <r>
    <x v="0"/>
    <x v="0"/>
    <x v="0"/>
    <n v="394544021344"/>
    <x v="18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394544021344"/>
    <x v="182"/>
    <s v="RIO DE JANEIRO"/>
    <s v="RJ"/>
    <s v="1-Setorizado"/>
    <n v="2"/>
    <x v="11"/>
    <x v="11"/>
    <s v="Hospitalar (HSP)"/>
    <s v="rafael.esteves@cslbehring.com"/>
    <s v="RAFAEL ESTEVES (RJ/SPI/SUL)"/>
    <n v="0"/>
    <n v="70"/>
    <n v="190"/>
    <n v="0"/>
    <n v="0"/>
  </r>
  <r>
    <x v="0"/>
    <x v="0"/>
    <x v="0"/>
    <n v="33419482000259"/>
    <x v="18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"/>
  </r>
  <r>
    <x v="0"/>
    <x v="0"/>
    <x v="0"/>
    <n v="33419482000259"/>
    <x v="183"/>
    <s v="RIO DE JANEIRO"/>
    <s v="RJ"/>
    <s v="1-Setorizado"/>
    <n v="2"/>
    <x v="11"/>
    <x v="11"/>
    <s v="Hospitalar (HSP)"/>
    <s v="rafael.esteves@cslbehring.com"/>
    <s v="RAFAEL ESTEVES (RJ/SPI/SUL)"/>
    <n v="0"/>
    <n v="9"/>
    <n v="11"/>
    <n v="0"/>
    <n v="10"/>
  </r>
  <r>
    <x v="0"/>
    <x v="0"/>
    <x v="0"/>
    <n v="11114987760"/>
    <x v="18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"/>
  </r>
  <r>
    <x v="0"/>
    <x v="0"/>
    <x v="0"/>
    <n v="11114987760"/>
    <x v="184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15"/>
  </r>
  <r>
    <x v="0"/>
    <x v="0"/>
    <x v="0"/>
    <n v="72101124000506"/>
    <x v="1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229"/>
    <n v="0"/>
  </r>
  <r>
    <x v="0"/>
    <x v="0"/>
    <x v="0"/>
    <n v="72101124000506"/>
    <x v="18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0"/>
    <x v="0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50"/>
    <n v="120"/>
  </r>
  <r>
    <x v="0"/>
    <x v="0"/>
    <x v="0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20"/>
  </r>
  <r>
    <x v="0"/>
    <x v="0"/>
    <x v="0"/>
    <n v="33000167000101"/>
    <x v="18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40"/>
  </r>
  <r>
    <x v="0"/>
    <x v="0"/>
    <x v="0"/>
    <n v="33000167000101"/>
    <x v="18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40"/>
  </r>
  <r>
    <x v="0"/>
    <x v="0"/>
    <x v="0"/>
    <n v="9219138000584"/>
    <x v="1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84"/>
    <n v="420"/>
  </r>
  <r>
    <x v="0"/>
    <x v="0"/>
    <x v="0"/>
    <n v="9219138000584"/>
    <x v="188"/>
    <s v="RIO DE JANEIRO"/>
    <s v="RJ"/>
    <s v="1-Setorizado"/>
    <n v="2"/>
    <x v="12"/>
    <x v="12"/>
    <s v="Hospitalar (HSP)"/>
    <s v="rafael.esteves@cslbehring.com"/>
    <s v="RAFAEL ESTEVES (RJ/SPI/SUL)"/>
    <n v="0"/>
    <n v="0"/>
    <n v="4"/>
    <n v="0"/>
    <n v="420"/>
  </r>
  <r>
    <x v="0"/>
    <x v="0"/>
    <x v="0"/>
    <n v="28602407000108"/>
    <x v="18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0"/>
    <x v="0"/>
    <n v="28602407000108"/>
    <x v="189"/>
    <s v="RIO DE JANEIRO"/>
    <s v="RJ"/>
    <s v="1-Setorizado"/>
    <n v="2"/>
    <x v="11"/>
    <x v="11"/>
    <s v="Hospitalar (HSP)"/>
    <s v="rafael.esteves@cslbehring.com"/>
    <s v="RAFAEL ESTEVES (RJ/SPI/SUL)"/>
    <n v="0"/>
    <n v="1"/>
    <n v="0"/>
    <n v="0"/>
    <n v="0"/>
  </r>
  <r>
    <x v="0"/>
    <x v="0"/>
    <x v="0"/>
    <n v="12361267009140"/>
    <x v="190"/>
    <s v="ACARI"/>
    <s v="RN"/>
    <s v="1-Setorizado"/>
    <n v="2"/>
    <x v="0"/>
    <x v="0"/>
    <s v="Especialidade (ESP)"/>
    <s v="fernando.leony@cslbehring.com"/>
    <s v="FERNANDO LEONY (CO/NO/NE)"/>
    <n v="0"/>
    <n v="0"/>
    <n v="0"/>
    <n v="0"/>
    <n v="10"/>
  </r>
  <r>
    <x v="0"/>
    <x v="0"/>
    <x v="0"/>
    <n v="12361267009140"/>
    <x v="190"/>
    <s v="ACARI"/>
    <s v="RN"/>
    <s v="1-Setorizado"/>
    <n v="2"/>
    <x v="7"/>
    <x v="7"/>
    <s v="Hospitalar (HSP)"/>
    <s v="fernando.leony@cslbehring.com"/>
    <s v="FERNANDO LEONY (CO/NO/NE)"/>
    <n v="0"/>
    <n v="0"/>
    <n v="0"/>
    <n v="0"/>
    <n v="10"/>
  </r>
  <r>
    <x v="0"/>
    <x v="0"/>
    <x v="0"/>
    <n v="8319329000121"/>
    <x v="191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8319329000121"/>
    <x v="191"/>
    <s v="NATAL"/>
    <s v="RN"/>
    <s v="1-Setorizado"/>
    <n v="2"/>
    <x v="7"/>
    <x v="7"/>
    <s v="Hospitalar (HSP)"/>
    <s v="fernando.leony@cslbehring.com"/>
    <s v="FERNANDO LEONY (CO/NO/NE)"/>
    <n v="0"/>
    <n v="4"/>
    <n v="0"/>
    <n v="0"/>
    <n v="0"/>
  </r>
  <r>
    <x v="0"/>
    <x v="0"/>
    <x v="0"/>
    <n v="15126437000739"/>
    <x v="192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126437000739"/>
    <x v="192"/>
    <s v="NATAL"/>
    <s v="RN"/>
    <s v="1-Setorizado"/>
    <n v="2"/>
    <x v="7"/>
    <x v="7"/>
    <s v="Hospitalar (HSP)"/>
    <s v="fernando.leony@cslbehring.com"/>
    <s v="FERNANDO LEONY (CO/NO/NE)"/>
    <n v="0"/>
    <n v="100"/>
    <n v="0"/>
    <n v="0"/>
    <n v="0"/>
  </r>
  <r>
    <x v="0"/>
    <x v="0"/>
    <x v="0"/>
    <n v="29435005009851"/>
    <x v="193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175"/>
  </r>
  <r>
    <x v="0"/>
    <x v="0"/>
    <x v="0"/>
    <n v="29435005009851"/>
    <x v="193"/>
    <s v="NATAL"/>
    <s v="RN"/>
    <s v="1-Setorizado"/>
    <n v="2"/>
    <x v="7"/>
    <x v="7"/>
    <s v="Hospitalar (HSP)"/>
    <s v="fernando.leony@cslbehring.com"/>
    <s v="FERNANDO LEONY (CO/NO/NE)"/>
    <n v="0"/>
    <n v="15"/>
    <n v="0"/>
    <n v="0"/>
    <n v="175"/>
  </r>
  <r>
    <x v="0"/>
    <x v="0"/>
    <x v="0"/>
    <n v="8337586000196"/>
    <x v="194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8337586000196"/>
    <x v="194"/>
    <s v="NATAL"/>
    <s v="RN"/>
    <s v="1-Setorizado"/>
    <n v="2"/>
    <x v="7"/>
    <x v="7"/>
    <s v="Hospitalar (HSP)"/>
    <s v="fernando.leony@cslbehring.com"/>
    <s v="FERNANDO LEONY (CO/NO/NE)"/>
    <n v="0"/>
    <n v="1"/>
    <n v="0"/>
    <n v="0"/>
    <n v="0"/>
  </r>
  <r>
    <x v="0"/>
    <x v="0"/>
    <x v="0"/>
    <n v="820737000150"/>
    <x v="195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820737000150"/>
    <x v="195"/>
    <s v="NATAL"/>
    <s v="RN"/>
    <s v="1-Setorizado"/>
    <n v="2"/>
    <x v="7"/>
    <x v="7"/>
    <s v="Hospitalar (HSP)"/>
    <s v="fernando.leony@cslbehring.com"/>
    <s v="FERNANDO LEONY (CO/NO/NE)"/>
    <n v="0"/>
    <n v="30"/>
    <n v="0"/>
    <n v="0"/>
    <n v="0"/>
  </r>
  <r>
    <x v="0"/>
    <x v="0"/>
    <x v="0"/>
    <n v="8380701000610"/>
    <x v="196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250"/>
  </r>
  <r>
    <x v="0"/>
    <x v="0"/>
    <x v="0"/>
    <n v="8380701000610"/>
    <x v="196"/>
    <s v="NATAL"/>
    <s v="RN"/>
    <s v="1-Setorizado"/>
    <n v="2"/>
    <x v="7"/>
    <x v="7"/>
    <s v="Hospitalar (HSP)"/>
    <s v="fernando.leony@cslbehring.com"/>
    <s v="FERNANDO LEONY (CO/NO/NE)"/>
    <n v="0"/>
    <n v="0"/>
    <n v="0"/>
    <n v="0"/>
    <n v="250"/>
  </r>
  <r>
    <x v="0"/>
    <x v="0"/>
    <x v="0"/>
    <n v="1507901000137"/>
    <x v="197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507901000137"/>
    <x v="197"/>
    <s v="NATAL"/>
    <s v="RN"/>
    <s v="1-Setorizado"/>
    <n v="2"/>
    <x v="7"/>
    <x v="7"/>
    <s v="Hospitalar (HSP)"/>
    <s v="fernando.leony@cslbehring.com"/>
    <s v="FERNANDO LEONY (CO/NO/NE)"/>
    <n v="0"/>
    <n v="10"/>
    <n v="3"/>
    <n v="0"/>
    <n v="0"/>
  </r>
  <r>
    <x v="0"/>
    <x v="0"/>
    <x v="0"/>
    <n v="87547444000120"/>
    <x v="198"/>
    <s v="BENTO GONÇALVES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87547444000120"/>
    <x v="198"/>
    <s v="BENTO GONÇALVES"/>
    <s v="RS"/>
    <s v="1-Setorizado"/>
    <n v="2"/>
    <x v="13"/>
    <x v="13"/>
    <s v="Hospitalar (HSP)"/>
    <s v="rafael.esteves@cslbehring.com"/>
    <s v="RAFAEL ESTEVES (RJ/SPI/SUL)"/>
    <n v="0"/>
    <n v="2"/>
    <n v="0"/>
    <n v="0"/>
    <n v="0"/>
  </r>
  <r>
    <x v="0"/>
    <x v="0"/>
    <x v="0"/>
    <n v="87827689002405"/>
    <x v="199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8"/>
    <n v="90"/>
  </r>
  <r>
    <x v="0"/>
    <x v="0"/>
    <x v="0"/>
    <n v="87827689002405"/>
    <x v="199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90"/>
  </r>
  <r>
    <x v="0"/>
    <x v="0"/>
    <x v="0"/>
    <n v="1140803000104"/>
    <x v="200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0"/>
    <x v="0"/>
    <n v="1140803000104"/>
    <x v="200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0"/>
    <x v="0"/>
    <n v="9572216000287"/>
    <x v="201"/>
    <s v="CRUZ ALTA"/>
    <s v="RS"/>
    <s v="1-Setorizado"/>
    <n v="2"/>
    <x v="8"/>
    <x v="8"/>
    <s v="Especialidade (ESP)"/>
    <s v="rafael.esteves@cslbehring.com"/>
    <s v="RAFAEL ESTEVES (RJ/SPI/SUL)"/>
    <n v="0"/>
    <n v="0"/>
    <n v="0"/>
    <n v="0"/>
    <n v="90"/>
  </r>
  <r>
    <x v="0"/>
    <x v="0"/>
    <x v="0"/>
    <n v="9572216000287"/>
    <x v="201"/>
    <s v="CRUZ ALTA"/>
    <s v="RS"/>
    <s v="1-Setorizado"/>
    <n v="2"/>
    <x v="13"/>
    <x v="13"/>
    <s v="Hospitalar (HSP)"/>
    <s v="rafael.esteves@cslbehring.com"/>
    <s v="RAFAEL ESTEVES (RJ/SPI/SUL)"/>
    <n v="0"/>
    <n v="0"/>
    <n v="0"/>
    <n v="0"/>
    <n v="90"/>
  </r>
  <r>
    <x v="0"/>
    <x v="0"/>
    <x v="0"/>
    <n v="92021062000360"/>
    <x v="202"/>
    <s v="PASSO FUNDO"/>
    <s v="RS"/>
    <s v="1-Setorizado"/>
    <n v="2"/>
    <x v="8"/>
    <x v="8"/>
    <s v="Especialidade (ESP)"/>
    <s v="rafael.esteves@cslbehring.com"/>
    <s v="RAFAEL ESTEVES (RJ/SPI/SUL)"/>
    <n v="0"/>
    <n v="0"/>
    <n v="0"/>
    <n v="144"/>
    <n v="0"/>
  </r>
  <r>
    <x v="0"/>
    <x v="0"/>
    <x v="0"/>
    <n v="92021062000360"/>
    <x v="202"/>
    <s v="PASSO FUNDO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0"/>
    <x v="0"/>
    <n v="87607149000626"/>
    <x v="203"/>
    <s v="PASSO FUNDO"/>
    <s v="RS"/>
    <s v="1-Setorizado"/>
    <n v="2"/>
    <x v="8"/>
    <x v="8"/>
    <s v="Especialidade (ESP)"/>
    <s v="rafael.esteves@cslbehring.com"/>
    <s v="RAFAEL ESTEVES (RJ/SPI/SUL)"/>
    <n v="0"/>
    <n v="0"/>
    <n v="0"/>
    <n v="0"/>
    <n v="240"/>
  </r>
  <r>
    <x v="0"/>
    <x v="0"/>
    <x v="0"/>
    <n v="87607149000626"/>
    <x v="203"/>
    <s v="PASSO FUNDO"/>
    <s v="RS"/>
    <s v="1-Setorizado"/>
    <n v="2"/>
    <x v="13"/>
    <x v="13"/>
    <s v="Hospitalar (HSP)"/>
    <s v="rafael.esteves@cslbehring.com"/>
    <s v="RAFAEL ESTEVES (RJ/SPI/SUL)"/>
    <n v="0"/>
    <n v="0"/>
    <n v="0"/>
    <n v="0"/>
    <n v="240"/>
  </r>
  <r>
    <x v="0"/>
    <x v="0"/>
    <x v="0"/>
    <n v="92685833000151"/>
    <x v="20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4"/>
    <n v="0"/>
  </r>
  <r>
    <x v="0"/>
    <x v="0"/>
    <x v="0"/>
    <n v="92685833000151"/>
    <x v="204"/>
    <s v="PORTO ALEGRE"/>
    <s v="RS"/>
    <s v="1-Setorizado"/>
    <n v="2"/>
    <x v="13"/>
    <x v="13"/>
    <s v="Hospitalar (HSP)"/>
    <s v="rafael.esteves@cslbehring.com"/>
    <s v="RAFAEL ESTEVES (RJ/SPI/SUL)"/>
    <n v="0"/>
    <n v="16"/>
    <n v="40"/>
    <n v="0"/>
    <n v="0"/>
  </r>
  <r>
    <x v="0"/>
    <x v="0"/>
    <x v="0"/>
    <n v="92898550000198"/>
    <x v="205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92898550000198"/>
    <x v="205"/>
    <s v="PORTO ALEGRE"/>
    <s v="RS"/>
    <s v="1-Setorizado"/>
    <n v="2"/>
    <x v="13"/>
    <x v="13"/>
    <s v="Hospitalar (HSP)"/>
    <s v="rafael.esteves@cslbehring.com"/>
    <s v="RAFAEL ESTEVES (RJ/SPI/SUL)"/>
    <n v="0"/>
    <n v="14"/>
    <n v="0"/>
    <n v="0"/>
    <n v="0"/>
  </r>
  <r>
    <x v="0"/>
    <x v="0"/>
    <x v="0"/>
    <n v="26947257000149"/>
    <x v="20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26947257000149"/>
    <x v="206"/>
    <s v="PORTO ALEGRE"/>
    <s v="RS"/>
    <s v="1-Setorizado"/>
    <n v="2"/>
    <x v="13"/>
    <x v="13"/>
    <s v="Hospitalar (HSP)"/>
    <s v="rafael.esteves@cslbehring.com"/>
    <s v="RAFAEL ESTEVES (RJ/SPI/SUL)"/>
    <n v="0"/>
    <n v="0"/>
    <n v="6"/>
    <n v="0"/>
    <n v="0"/>
  </r>
  <r>
    <x v="0"/>
    <x v="0"/>
    <x v="0"/>
    <n v="92787118000391"/>
    <x v="207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92787118000391"/>
    <x v="207"/>
    <s v="PORTO ALEGRE"/>
    <s v="RS"/>
    <s v="1-Setorizado"/>
    <n v="2"/>
    <x v="13"/>
    <x v="13"/>
    <s v="Hospitalar (HSP)"/>
    <s v="rafael.esteves@cslbehring.com"/>
    <s v="RAFAEL ESTEVES (RJ/SPI/SUL)"/>
    <n v="0"/>
    <n v="12"/>
    <n v="0"/>
    <n v="0"/>
    <n v="0"/>
  </r>
  <r>
    <x v="0"/>
    <x v="0"/>
    <x v="0"/>
    <n v="87020517000120"/>
    <x v="208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87020517000120"/>
    <x v="208"/>
    <s v="PORTO ALEGRE"/>
    <s v="RS"/>
    <s v="1-Setorizado"/>
    <n v="2"/>
    <x v="13"/>
    <x v="13"/>
    <s v="Hospitalar (HSP)"/>
    <s v="rafael.esteves@cslbehring.com"/>
    <s v="RAFAEL ESTEVES (RJ/SPI/SUL)"/>
    <n v="0"/>
    <n v="10"/>
    <n v="25"/>
    <n v="0"/>
    <n v="0"/>
  </r>
  <r>
    <x v="0"/>
    <x v="0"/>
    <x v="0"/>
    <n v="87317764001084"/>
    <x v="20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30"/>
  </r>
  <r>
    <x v="0"/>
    <x v="0"/>
    <x v="0"/>
    <n v="87317764001084"/>
    <x v="209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30"/>
  </r>
  <r>
    <x v="0"/>
    <x v="0"/>
    <x v="0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5"/>
    <n v="0"/>
    <n v="0"/>
    <n v="0"/>
  </r>
  <r>
    <x v="0"/>
    <x v="0"/>
    <x v="0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24"/>
    <n v="5"/>
    <n v="0"/>
    <n v="0"/>
  </r>
  <r>
    <x v="0"/>
    <x v="0"/>
    <x v="0"/>
    <n v="88630413000796"/>
    <x v="212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88630413000796"/>
    <x v="212"/>
    <s v="PORTO ALEGRE"/>
    <s v="RS"/>
    <s v="1-Setorizado"/>
    <n v="2"/>
    <x v="13"/>
    <x v="13"/>
    <s v="Hospitalar (HSP)"/>
    <s v="rafael.esteves@cslbehring.com"/>
    <s v="RAFAEL ESTEVES (RJ/SPI/SUL)"/>
    <n v="0"/>
    <n v="6"/>
    <n v="14"/>
    <n v="0"/>
    <n v="0"/>
  </r>
  <r>
    <x v="0"/>
    <x v="0"/>
    <x v="0"/>
    <n v="94831294000147"/>
    <x v="213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0"/>
    <x v="0"/>
    <n v="94831294000147"/>
    <x v="213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0"/>
  </r>
  <r>
    <x v="0"/>
    <x v="0"/>
    <x v="0"/>
    <n v="92815000000168"/>
    <x v="21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38"/>
    <n v="0"/>
  </r>
  <r>
    <x v="0"/>
    <x v="0"/>
    <x v="0"/>
    <n v="92815000000168"/>
    <x v="214"/>
    <s v="PORTO ALEGRE"/>
    <s v="RS"/>
    <s v="1-Setorizado"/>
    <n v="2"/>
    <x v="13"/>
    <x v="13"/>
    <s v="Hospitalar (HSP)"/>
    <s v="rafael.esteves@cslbehring.com"/>
    <s v="RAFAEL ESTEVES (RJ/SPI/SUL)"/>
    <n v="0"/>
    <n v="8"/>
    <n v="62"/>
    <n v="0"/>
    <n v="0"/>
  </r>
  <r>
    <x v="0"/>
    <x v="0"/>
    <x v="0"/>
    <n v="87958625000149"/>
    <x v="215"/>
    <s v="PORTO ALEGRE"/>
    <s v="RS"/>
    <s v="1-Setorizado"/>
    <n v="2"/>
    <x v="8"/>
    <x v="8"/>
    <s v="Especialidade (ESP)"/>
    <s v="rafael.esteves@cslbehring.com"/>
    <s v="RAFAEL ESTEVES (RJ/SPI/SUL)"/>
    <n v="12"/>
    <n v="0"/>
    <n v="0"/>
    <n v="0"/>
    <n v="0"/>
  </r>
  <r>
    <x v="0"/>
    <x v="0"/>
    <x v="0"/>
    <n v="87958625000149"/>
    <x v="215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0"/>
    <x v="0"/>
    <n v="9087150000230"/>
    <x v="21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0"/>
    <x v="0"/>
    <n v="9087150000230"/>
    <x v="216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0"/>
    <x v="0"/>
    <n v="15126437001972"/>
    <x v="217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15126437001972"/>
    <x v="217"/>
    <s v="SANTA MARIA"/>
    <s v="RS"/>
    <s v="1-Setorizado"/>
    <n v="2"/>
    <x v="13"/>
    <x v="13"/>
    <s v="Hospitalar (HSP)"/>
    <s v="rafael.esteves@cslbehring.com"/>
    <s v="RAFAEL ESTEVES (RJ/SPI/SUL)"/>
    <n v="0"/>
    <n v="15"/>
    <n v="0"/>
    <n v="0"/>
    <n v="0"/>
  </r>
  <r>
    <x v="0"/>
    <x v="0"/>
    <x v="0"/>
    <n v="95610887000146"/>
    <x v="218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0"/>
  </r>
  <r>
    <x v="0"/>
    <x v="0"/>
    <x v="0"/>
    <n v="95610887000146"/>
    <x v="218"/>
    <s v="SANTA MARIA"/>
    <s v="RS"/>
    <s v="1-Setorizado"/>
    <n v="2"/>
    <x v="13"/>
    <x v="13"/>
    <s v="Hospitalar (HSP)"/>
    <s v="rafael.esteves@cslbehring.com"/>
    <s v="RAFAEL ESTEVES (RJ/SPI/SUL)"/>
    <n v="0"/>
    <n v="0"/>
    <n v="4"/>
    <n v="0"/>
    <n v="300"/>
  </r>
  <r>
    <x v="0"/>
    <x v="0"/>
    <x v="0"/>
    <n v="9605231000284"/>
    <x v="219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0"/>
  </r>
  <r>
    <x v="0"/>
    <x v="0"/>
    <x v="0"/>
    <n v="9605231000284"/>
    <x v="219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100"/>
  </r>
  <r>
    <x v="0"/>
    <x v="0"/>
    <x v="0"/>
    <n v="1517626000132"/>
    <x v="220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2"/>
    <n v="0"/>
  </r>
  <r>
    <x v="0"/>
    <x v="0"/>
    <x v="0"/>
    <n v="1517626000132"/>
    <x v="220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0"/>
    <x v="0"/>
    <n v="85377174000392"/>
    <x v="221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5"/>
    <n v="0"/>
  </r>
  <r>
    <x v="0"/>
    <x v="0"/>
    <x v="0"/>
    <n v="85377174000392"/>
    <x v="221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0"/>
    <x v="0"/>
    <n v="60922168005226"/>
    <x v="222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60922168005226"/>
    <x v="222"/>
    <s v="BLUMENAU"/>
    <s v="SC"/>
    <s v="1-Setorizado"/>
    <n v="2"/>
    <x v="9"/>
    <x v="9"/>
    <s v="Hospitalar (HSP)"/>
    <s v="rafael.esteves@cslbehring.com"/>
    <s v="RAFAEL ESTEVES (RJ/SPI/SUL)"/>
    <n v="0"/>
    <n v="1"/>
    <n v="0"/>
    <n v="0"/>
    <n v="0"/>
  </r>
  <r>
    <x v="0"/>
    <x v="0"/>
    <x v="0"/>
    <n v="82624776000651"/>
    <x v="223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450"/>
  </r>
  <r>
    <x v="0"/>
    <x v="0"/>
    <x v="0"/>
    <n v="82624776000651"/>
    <x v="223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450"/>
  </r>
  <r>
    <x v="0"/>
    <x v="0"/>
    <x v="0"/>
    <n v="1554266000300"/>
    <x v="224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35"/>
  </r>
  <r>
    <x v="0"/>
    <x v="0"/>
    <x v="0"/>
    <n v="1554266000300"/>
    <x v="224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35"/>
  </r>
  <r>
    <x v="0"/>
    <x v="0"/>
    <x v="0"/>
    <n v="1125832000105"/>
    <x v="225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120"/>
  </r>
  <r>
    <x v="0"/>
    <x v="0"/>
    <x v="0"/>
    <n v="1125832000105"/>
    <x v="225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120"/>
  </r>
  <r>
    <x v="0"/>
    <x v="0"/>
    <x v="0"/>
    <n v="80673411000187"/>
    <x v="226"/>
    <s v="FLORIANÓPOLIS"/>
    <s v="SC"/>
    <s v="1-Setorizado"/>
    <n v="2"/>
    <x v="8"/>
    <x v="8"/>
    <s v="Especialidade (ESP)"/>
    <s v="rafael.esteves@cslbehring.com"/>
    <s v="RAFAEL ESTEVES (RJ/SPI/SUL)"/>
    <n v="74"/>
    <n v="0"/>
    <n v="0"/>
    <n v="0"/>
    <n v="240"/>
  </r>
  <r>
    <x v="0"/>
    <x v="0"/>
    <x v="0"/>
    <n v="80673411000187"/>
    <x v="226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240"/>
  </r>
  <r>
    <x v="0"/>
    <x v="0"/>
    <x v="0"/>
    <n v="83899526000425"/>
    <x v="22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83899526000425"/>
    <x v="227"/>
    <s v="FLORIANÓPOLIS"/>
    <s v="SC"/>
    <s v="1-Setorizado"/>
    <n v="2"/>
    <x v="9"/>
    <x v="9"/>
    <s v="Hospitalar (HSP)"/>
    <s v="rafael.esteves@cslbehring.com"/>
    <s v="RAFAEL ESTEVES (RJ/SPI/SUL)"/>
    <n v="0"/>
    <n v="0"/>
    <n v="17"/>
    <n v="0"/>
    <n v="0"/>
  </r>
  <r>
    <x v="0"/>
    <x v="0"/>
    <x v="0"/>
    <n v="83884999000106"/>
    <x v="228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300"/>
  </r>
  <r>
    <x v="0"/>
    <x v="0"/>
    <x v="0"/>
    <n v="83884999000106"/>
    <x v="228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300"/>
  </r>
  <r>
    <x v="0"/>
    <x v="0"/>
    <x v="0"/>
    <n v="4670913000176"/>
    <x v="229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215"/>
  </r>
  <r>
    <x v="0"/>
    <x v="0"/>
    <x v="0"/>
    <n v="4670913000176"/>
    <x v="229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215"/>
  </r>
  <r>
    <x v="0"/>
    <x v="0"/>
    <x v="0"/>
    <n v="17034086000176"/>
    <x v="230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0"/>
    <x v="0"/>
    <n v="17034086000176"/>
    <x v="230"/>
    <s v="SÃO JOSÉ"/>
    <s v="SC"/>
    <s v="1-Setorizado"/>
    <n v="2"/>
    <x v="9"/>
    <x v="9"/>
    <s v="Hospitalar (HSP)"/>
    <s v="rafael.esteves@cslbehring.com"/>
    <s v="RAFAEL ESTEVES (RJ/SPI/SUL)"/>
    <n v="0"/>
    <n v="5"/>
    <n v="0"/>
    <n v="0"/>
    <n v="0"/>
  </r>
  <r>
    <x v="0"/>
    <x v="0"/>
    <x v="0"/>
    <n v="77858611001414"/>
    <x v="231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200"/>
  </r>
  <r>
    <x v="0"/>
    <x v="0"/>
    <x v="0"/>
    <n v="77858611001414"/>
    <x v="231"/>
    <s v="SÃO JOSÉ"/>
    <s v="SC"/>
    <s v="1-Setorizado"/>
    <n v="2"/>
    <x v="9"/>
    <x v="9"/>
    <s v="Hospitalar (HSP)"/>
    <s v="rafael.esteves@cslbehring.com"/>
    <s v="RAFAEL ESTEVES (RJ/SPI/SUL)"/>
    <n v="0"/>
    <n v="0"/>
    <n v="0"/>
    <n v="0"/>
    <n v="200"/>
  </r>
  <r>
    <x v="0"/>
    <x v="0"/>
    <x v="0"/>
    <n v="80490618000116"/>
    <x v="232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80"/>
  </r>
  <r>
    <x v="0"/>
    <x v="0"/>
    <x v="0"/>
    <n v="80490618000116"/>
    <x v="232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80"/>
  </r>
  <r>
    <x v="0"/>
    <x v="0"/>
    <x v="0"/>
    <n v="12361267000517"/>
    <x v="233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20"/>
  </r>
  <r>
    <x v="0"/>
    <x v="0"/>
    <x v="0"/>
    <n v="12361267000517"/>
    <x v="233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20"/>
  </r>
  <r>
    <x v="0"/>
    <x v="0"/>
    <x v="0"/>
    <n v="13016332000106"/>
    <x v="23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5"/>
  </r>
  <r>
    <x v="0"/>
    <x v="0"/>
    <x v="0"/>
    <n v="13016332000106"/>
    <x v="234"/>
    <s v="ARACAJU"/>
    <s v="SE"/>
    <s v="1-Setorizado"/>
    <n v="2"/>
    <x v="1"/>
    <x v="1"/>
    <s v="Hospitalar (HSP)"/>
    <s v="fernando.leony@cslbehring.com"/>
    <s v="FERNANDO LEONY (CO/NO/NE)"/>
    <n v="0"/>
    <n v="0"/>
    <n v="3"/>
    <n v="0"/>
    <n v="15"/>
  </r>
  <r>
    <x v="0"/>
    <x v="0"/>
    <x v="0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60"/>
    <n v="550"/>
  </r>
  <r>
    <x v="0"/>
    <x v="0"/>
    <x v="0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550"/>
  </r>
  <r>
    <x v="0"/>
    <x v="0"/>
    <x v="0"/>
    <n v="15592785000106"/>
    <x v="236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00"/>
  </r>
  <r>
    <x v="0"/>
    <x v="0"/>
    <x v="0"/>
    <n v="15592785000106"/>
    <x v="236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100"/>
  </r>
  <r>
    <x v="0"/>
    <x v="0"/>
    <x v="0"/>
    <n v="13356779000124"/>
    <x v="237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0"/>
    <x v="0"/>
    <n v="13356779000124"/>
    <x v="237"/>
    <s v="ARACAJU"/>
    <s v="SE"/>
    <s v="1-Setorizado"/>
    <n v="2"/>
    <x v="1"/>
    <x v="1"/>
    <s v="Hospitalar (HSP)"/>
    <s v="fernando.leony@cslbehring.com"/>
    <s v="FERNANDO LEONY (CO/NO/NE)"/>
    <n v="0"/>
    <n v="0"/>
    <n v="4"/>
    <n v="0"/>
    <n v="0"/>
  </r>
  <r>
    <x v="0"/>
    <x v="0"/>
    <x v="0"/>
    <n v="25026561000190"/>
    <x v="238"/>
    <s v="ANDRADINA"/>
    <s v="SP"/>
    <s v="1-Setorizado"/>
    <n v="2"/>
    <x v="14"/>
    <x v="14"/>
    <s v="Especialidade (ESP)"/>
    <s v="claudia.bueno@cslbehring.com"/>
    <s v="CLAUDIA BUENO (SPC/SPI)"/>
    <n v="0"/>
    <n v="0"/>
    <n v="0"/>
    <n v="0"/>
    <n v="25"/>
  </r>
  <r>
    <x v="0"/>
    <x v="0"/>
    <x v="0"/>
    <n v="25026561000190"/>
    <x v="238"/>
    <s v="ANDRADINA"/>
    <s v="SP"/>
    <s v="1-Setorizado"/>
    <n v="2"/>
    <x v="15"/>
    <x v="15"/>
    <s v="Hospitalar (HSP)"/>
    <s v="claudia.bueno@cslbehring.com"/>
    <s v="CLAUDIA BUENO (SPC/SPI)"/>
    <n v="0"/>
    <n v="0"/>
    <n v="0"/>
    <n v="0"/>
    <n v="25"/>
  </r>
  <r>
    <x v="0"/>
    <x v="0"/>
    <x v="0"/>
    <n v="54012406000385"/>
    <x v="239"/>
    <s v="ARARAS"/>
    <s v="SP"/>
    <s v="1-Setorizado"/>
    <n v="2"/>
    <x v="14"/>
    <x v="14"/>
    <s v="Especialidade (ESP)"/>
    <s v="claudia.bueno@cslbehring.com"/>
    <s v="CLAUDIA BUENO (SPC/SPI)"/>
    <n v="0"/>
    <n v="0"/>
    <n v="0"/>
    <n v="0"/>
    <n v="70"/>
  </r>
  <r>
    <x v="0"/>
    <x v="0"/>
    <x v="0"/>
    <n v="54012406000385"/>
    <x v="239"/>
    <s v="ARARAS"/>
    <s v="SP"/>
    <s v="1-Setorizado"/>
    <n v="2"/>
    <x v="15"/>
    <x v="15"/>
    <s v="Hospitalar (HSP)"/>
    <s v="claudia.bueno@cslbehring.com"/>
    <s v="CLAUDIA BUENO (SPC/SPI)"/>
    <n v="0"/>
    <n v="0"/>
    <n v="0"/>
    <n v="0"/>
    <n v="70"/>
  </r>
  <r>
    <x v="0"/>
    <x v="0"/>
    <x v="0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36"/>
    <n v="0"/>
  </r>
  <r>
    <x v="0"/>
    <x v="0"/>
    <x v="0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44456036000311"/>
    <x v="241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0"/>
    <x v="0"/>
    <n v="44456036000311"/>
    <x v="241"/>
    <s v="BAURU"/>
    <s v="SP"/>
    <s v="1-Setorizado"/>
    <n v="2"/>
    <x v="15"/>
    <x v="15"/>
    <s v="Hospitalar (HSP)"/>
    <s v="claudia.bueno@cslbehring.com"/>
    <s v="CLAUDIA BUENO (SPC/SPI)"/>
    <n v="0"/>
    <n v="2"/>
    <n v="8"/>
    <n v="0"/>
    <n v="0"/>
  </r>
  <r>
    <x v="0"/>
    <x v="0"/>
    <x v="0"/>
    <n v="10447300000177"/>
    <x v="242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"/>
    <n v="0"/>
  </r>
  <r>
    <x v="0"/>
    <x v="0"/>
    <x v="0"/>
    <n v="10447300000177"/>
    <x v="242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46020301000269"/>
    <x v="243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50"/>
    <n v="0"/>
  </r>
  <r>
    <x v="0"/>
    <x v="0"/>
    <x v="0"/>
    <n v="46020301000269"/>
    <x v="243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4"/>
    <n v="860"/>
  </r>
  <r>
    <x v="0"/>
    <x v="0"/>
    <x v="0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860"/>
  </r>
  <r>
    <x v="0"/>
    <x v="0"/>
    <x v="0"/>
    <n v="51877926000109"/>
    <x v="245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165"/>
  </r>
  <r>
    <x v="0"/>
    <x v="0"/>
    <x v="0"/>
    <n v="51877926000109"/>
    <x v="245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165"/>
  </r>
  <r>
    <x v="0"/>
    <x v="0"/>
    <x v="0"/>
    <n v="44649812019238"/>
    <x v="246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0"/>
    <x v="0"/>
    <n v="44649812019238"/>
    <x v="246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51885242000140"/>
    <x v="247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240"/>
    <n v="0"/>
  </r>
  <r>
    <x v="0"/>
    <x v="0"/>
    <x v="0"/>
    <n v="51885242000140"/>
    <x v="247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29435005008456"/>
    <x v="248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125"/>
  </r>
  <r>
    <x v="0"/>
    <x v="0"/>
    <x v="0"/>
    <n v="29435005008456"/>
    <x v="248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125"/>
  </r>
  <r>
    <x v="0"/>
    <x v="0"/>
    <x v="0"/>
    <n v="46124624000111"/>
    <x v="249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208"/>
    <n v="545"/>
  </r>
  <r>
    <x v="0"/>
    <x v="0"/>
    <x v="0"/>
    <n v="46124624000111"/>
    <x v="24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545"/>
  </r>
  <r>
    <x v="0"/>
    <x v="0"/>
    <x v="0"/>
    <n v="47074851000819"/>
    <x v="250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12"/>
    <n v="40"/>
  </r>
  <r>
    <x v="0"/>
    <x v="0"/>
    <x v="0"/>
    <n v="47074851000819"/>
    <x v="250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40"/>
  </r>
  <r>
    <x v="0"/>
    <x v="0"/>
    <x v="0"/>
    <n v="45118429001279"/>
    <x v="251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12"/>
    <n v="100"/>
  </r>
  <r>
    <x v="0"/>
    <x v="0"/>
    <x v="0"/>
    <n v="45118429001279"/>
    <x v="251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0"/>
    <x v="0"/>
    <n v="50486026000160"/>
    <x v="252"/>
    <s v="FRANCA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0"/>
    <x v="0"/>
    <n v="50486026000160"/>
    <x v="252"/>
    <s v="FRANCA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0"/>
    <x v="0"/>
    <n v="48468284000171"/>
    <x v="253"/>
    <s v="GUARARAPES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0"/>
    <x v="0"/>
    <n v="48468284000171"/>
    <x v="253"/>
    <s v="GUARARAPES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0"/>
    <x v="0"/>
    <n v="29435005008294"/>
    <x v="254"/>
    <s v="GUARULHOS"/>
    <s v="SP"/>
    <s v="1-Setorizado"/>
    <n v="2"/>
    <x v="16"/>
    <x v="16"/>
    <s v="Especialidade (ESP)"/>
    <s v="claudia.bueno@cslbehring.com"/>
    <s v="CLAUDIA BUENO (SPC/SPI)"/>
    <n v="0"/>
    <n v="0"/>
    <n v="0"/>
    <n v="0"/>
    <n v="245"/>
  </r>
  <r>
    <x v="0"/>
    <x v="0"/>
    <x v="0"/>
    <n v="29435005008294"/>
    <x v="254"/>
    <s v="GUARULHOS"/>
    <s v="SP"/>
    <s v="1-Setorizado"/>
    <n v="2"/>
    <x v="17"/>
    <x v="17"/>
    <s v="Hospitalar (HSP)"/>
    <s v="claudia.bueno@cslbehring.com"/>
    <s v="CLAUDIA BUENO (SPC/SPI)"/>
    <n v="0"/>
    <n v="0"/>
    <n v="0"/>
    <n v="0"/>
    <n v="245"/>
  </r>
  <r>
    <x v="0"/>
    <x v="0"/>
    <x v="0"/>
    <n v="6209132000104"/>
    <x v="255"/>
    <s v="HORTOLÂNDIA"/>
    <s v="SP"/>
    <s v="1-Setorizado"/>
    <n v="2"/>
    <x v="14"/>
    <x v="14"/>
    <s v="Especialidade (ESP)"/>
    <s v="claudia.bueno@cslbehring.com"/>
    <s v="CLAUDIA BUENO (SPC/SPI)"/>
    <n v="0"/>
    <n v="0"/>
    <n v="0"/>
    <n v="0"/>
    <n v="75"/>
  </r>
  <r>
    <x v="0"/>
    <x v="0"/>
    <x v="0"/>
    <n v="6209132000104"/>
    <x v="255"/>
    <s v="HORTOLÂNDIA"/>
    <s v="SP"/>
    <s v="1-Setorizado"/>
    <n v="2"/>
    <x v="15"/>
    <x v="15"/>
    <s v="Hospitalar (HSP)"/>
    <s v="claudia.bueno@cslbehring.com"/>
    <s v="CLAUDIA BUENO (SPC/SPI)"/>
    <n v="0"/>
    <n v="0"/>
    <n v="0"/>
    <n v="0"/>
    <n v="75"/>
  </r>
  <r>
    <x v="0"/>
    <x v="0"/>
    <x v="0"/>
    <n v="45780103000150"/>
    <x v="256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730"/>
  </r>
  <r>
    <x v="0"/>
    <x v="0"/>
    <x v="0"/>
    <n v="45780103000150"/>
    <x v="256"/>
    <s v="JUNDIAÍ"/>
    <s v="SP"/>
    <s v="1-Setorizado"/>
    <n v="2"/>
    <x v="15"/>
    <x v="15"/>
    <s v="Hospitalar (HSP)"/>
    <s v="claudia.bueno@cslbehring.com"/>
    <s v="CLAUDIA BUENO (SPC/SPI)"/>
    <n v="0"/>
    <n v="0"/>
    <n v="0"/>
    <n v="0"/>
    <n v="730"/>
  </r>
  <r>
    <x v="0"/>
    <x v="0"/>
    <x v="0"/>
    <n v="44531788000138"/>
    <x v="257"/>
    <s v="LINS"/>
    <s v="SP"/>
    <s v="1-Setorizado"/>
    <n v="2"/>
    <x v="14"/>
    <x v="14"/>
    <s v="Especialidade (ESP)"/>
    <s v="claudia.bueno@cslbehring.com"/>
    <s v="CLAUDIA BUENO (SPC/SPI)"/>
    <n v="0"/>
    <n v="0"/>
    <n v="0"/>
    <n v="120"/>
    <n v="0"/>
  </r>
  <r>
    <x v="0"/>
    <x v="0"/>
    <x v="0"/>
    <n v="44531788000138"/>
    <x v="257"/>
    <s v="LIN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6047087007656"/>
    <x v="258"/>
    <s v="OSASC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0"/>
    <x v="0"/>
    <n v="6047087007656"/>
    <x v="258"/>
    <s v="OSASCO"/>
    <s v="SP"/>
    <s v="1-Setorizado"/>
    <n v="2"/>
    <x v="17"/>
    <x v="17"/>
    <s v="Hospitalar (HSP)"/>
    <s v="claudia.bueno@cslbehring.com"/>
    <s v="CLAUDIA BUENO (SPC/SPI)"/>
    <n v="0"/>
    <n v="0"/>
    <n v="9"/>
    <n v="0"/>
    <n v="0"/>
  </r>
  <r>
    <x v="0"/>
    <x v="0"/>
    <x v="0"/>
    <n v="44803922000293"/>
    <x v="259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6"/>
    <n v="0"/>
  </r>
  <r>
    <x v="0"/>
    <x v="0"/>
    <x v="0"/>
    <n v="44803922000293"/>
    <x v="259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840048000450"/>
    <x v="260"/>
    <s v="PIRASSUNUNGA"/>
    <s v="SP"/>
    <s v="1-Setorizado"/>
    <n v="2"/>
    <x v="14"/>
    <x v="14"/>
    <s v="Especialidade (ESP)"/>
    <s v="claudia.bueno@cslbehring.com"/>
    <s v="CLAUDIA BUENO (SPC/SPI)"/>
    <n v="0"/>
    <n v="0"/>
    <n v="0"/>
    <n v="0"/>
    <n v="85"/>
  </r>
  <r>
    <x v="0"/>
    <x v="0"/>
    <x v="0"/>
    <n v="840048000450"/>
    <x v="260"/>
    <s v="PIRASSUNUNGA"/>
    <s v="SP"/>
    <s v="1-Setorizado"/>
    <n v="2"/>
    <x v="15"/>
    <x v="15"/>
    <s v="Hospitalar (HSP)"/>
    <s v="claudia.bueno@cslbehring.com"/>
    <s v="CLAUDIA BUENO (SPC/SPI)"/>
    <n v="0"/>
    <n v="0"/>
    <n v="0"/>
    <n v="0"/>
    <n v="85"/>
  </r>
  <r>
    <x v="0"/>
    <x v="0"/>
    <x v="0"/>
    <n v="57722118000302"/>
    <x v="261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650"/>
  </r>
  <r>
    <x v="0"/>
    <x v="0"/>
    <x v="0"/>
    <n v="57722118000302"/>
    <x v="261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650"/>
  </r>
  <r>
    <x v="0"/>
    <x v="0"/>
    <x v="0"/>
    <n v="46374500003533"/>
    <x v="262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000"/>
  </r>
  <r>
    <x v="0"/>
    <x v="0"/>
    <x v="0"/>
    <n v="46374500003533"/>
    <x v="262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000"/>
  </r>
  <r>
    <x v="0"/>
    <x v="0"/>
    <x v="0"/>
    <n v="1613433006892"/>
    <x v="26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200"/>
  </r>
  <r>
    <x v="0"/>
    <x v="0"/>
    <x v="0"/>
    <n v="1613433006892"/>
    <x v="26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200"/>
  </r>
  <r>
    <x v="0"/>
    <x v="0"/>
    <x v="0"/>
    <n v="55980148000121"/>
    <x v="264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1"/>
    <n v="0"/>
  </r>
  <r>
    <x v="0"/>
    <x v="0"/>
    <x v="0"/>
    <n v="55980148000121"/>
    <x v="264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45232246000550"/>
    <x v="26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35"/>
    <n v="235"/>
  </r>
  <r>
    <x v="0"/>
    <x v="0"/>
    <x v="0"/>
    <n v="45232246000550"/>
    <x v="26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235"/>
  </r>
  <r>
    <x v="0"/>
    <x v="0"/>
    <x v="0"/>
    <n v="44663631000590"/>
    <x v="266"/>
    <s v="RIO CLARO"/>
    <s v="SP"/>
    <s v="1-Setorizado"/>
    <n v="2"/>
    <x v="14"/>
    <x v="14"/>
    <s v="Especialidade (ESP)"/>
    <s v="claudia.bueno@cslbehring.com"/>
    <s v="CLAUDIA BUENO (SPC/SPI)"/>
    <n v="0"/>
    <n v="0"/>
    <n v="0"/>
    <n v="32"/>
    <n v="225"/>
  </r>
  <r>
    <x v="0"/>
    <x v="0"/>
    <x v="0"/>
    <n v="44663631000590"/>
    <x v="266"/>
    <s v="RIO CLARO"/>
    <s v="SP"/>
    <s v="1-Setorizado"/>
    <n v="2"/>
    <x v="15"/>
    <x v="15"/>
    <s v="Hospitalar (HSP)"/>
    <s v="claudia.bueno@cslbehring.com"/>
    <s v="CLAUDIA BUENO (SPC/SPI)"/>
    <n v="0"/>
    <n v="0"/>
    <n v="0"/>
    <n v="0"/>
    <n v="225"/>
  </r>
  <r>
    <x v="0"/>
    <x v="0"/>
    <x v="0"/>
    <n v="13718999001041"/>
    <x v="267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4"/>
    <n v="0"/>
  </r>
  <r>
    <x v="0"/>
    <x v="0"/>
    <x v="0"/>
    <n v="13718999001041"/>
    <x v="267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6033403000113"/>
    <x v="268"/>
    <s v="SANTO ANDRÉ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0"/>
    <x v="0"/>
    <n v="6033403000113"/>
    <x v="268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20"/>
  </r>
  <r>
    <x v="0"/>
    <x v="0"/>
    <x v="0"/>
    <n v="29435005008022"/>
    <x v="269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60"/>
  </r>
  <r>
    <x v="0"/>
    <x v="0"/>
    <x v="0"/>
    <n v="29435005008022"/>
    <x v="269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60"/>
  </r>
  <r>
    <x v="0"/>
    <x v="0"/>
    <x v="0"/>
    <n v="58229691001070"/>
    <x v="270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48"/>
    <n v="0"/>
  </r>
  <r>
    <x v="0"/>
    <x v="0"/>
    <x v="0"/>
    <n v="58229691001070"/>
    <x v="270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45399961000230"/>
    <x v="271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725"/>
  </r>
  <r>
    <x v="0"/>
    <x v="0"/>
    <x v="0"/>
    <n v="45399961000230"/>
    <x v="271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725"/>
  </r>
  <r>
    <x v="0"/>
    <x v="0"/>
    <x v="0"/>
    <n v="46124624002599"/>
    <x v="272"/>
    <s v="SUMARÉ"/>
    <s v="SP"/>
    <s v="1-Setorizado"/>
    <n v="2"/>
    <x v="14"/>
    <x v="14"/>
    <s v="Especialidade (ESP)"/>
    <s v="claudia.bueno@cslbehring.com"/>
    <s v="CLAUDIA BUENO (SPC/SPI)"/>
    <n v="0"/>
    <n v="0"/>
    <n v="0"/>
    <n v="120"/>
    <n v="400"/>
  </r>
  <r>
    <x v="0"/>
    <x v="0"/>
    <x v="0"/>
    <n v="46124624002599"/>
    <x v="272"/>
    <s v="SUMARÉ"/>
    <s v="SP"/>
    <s v="1-Setorizado"/>
    <n v="2"/>
    <x v="15"/>
    <x v="15"/>
    <s v="Hospitalar (HSP)"/>
    <s v="claudia.bueno@cslbehring.com"/>
    <s v="CLAUDIA BUENO (SPC/SPI)"/>
    <n v="0"/>
    <n v="0"/>
    <n v="0"/>
    <n v="0"/>
    <n v="400"/>
  </r>
  <r>
    <x v="0"/>
    <x v="0"/>
    <x v="0"/>
    <n v="43293604002120"/>
    <x v="273"/>
    <s v="SÃO BERNARDO DO CAMPO"/>
    <s v="SP"/>
    <s v="1-Setorizado"/>
    <n v="2"/>
    <x v="18"/>
    <x v="18"/>
    <s v="Especialidade (ESP)"/>
    <s v="claudia.bueno@cslbehring.com"/>
    <s v="CLAUDIA BUENO (SPC/SPI)"/>
    <n v="0"/>
    <n v="0"/>
    <n v="0"/>
    <n v="0"/>
    <n v="120"/>
  </r>
  <r>
    <x v="0"/>
    <x v="0"/>
    <x v="0"/>
    <n v="43293604002120"/>
    <x v="273"/>
    <s v="SÃO BERNARDO DO CAMPO"/>
    <s v="SP"/>
    <s v="1-Setorizado"/>
    <n v="2"/>
    <x v="17"/>
    <x v="17"/>
    <s v="Hospitalar (HSP)"/>
    <s v="claudia.bueno@cslbehring.com"/>
    <s v="CLAUDIA BUENO (SPC/SPI)"/>
    <n v="0"/>
    <n v="0"/>
    <n v="0"/>
    <n v="0"/>
    <n v="120"/>
  </r>
  <r>
    <x v="0"/>
    <x v="0"/>
    <x v="0"/>
    <n v="45359213000576"/>
    <x v="274"/>
    <s v="SÃO CARLOS"/>
    <s v="SP"/>
    <s v="1-Setorizado"/>
    <n v="2"/>
    <x v="14"/>
    <x v="14"/>
    <s v="Especialidade (ESP)"/>
    <s v="claudia.bueno@cslbehring.com"/>
    <s v="CLAUDIA BUENO (SPC/SPI)"/>
    <n v="0"/>
    <n v="0"/>
    <n v="0"/>
    <n v="40"/>
    <n v="0"/>
  </r>
  <r>
    <x v="0"/>
    <x v="0"/>
    <x v="0"/>
    <n v="45359213000576"/>
    <x v="274"/>
    <s v="SÃO CARLO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59970947000178"/>
    <x v="275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0"/>
    <x v="0"/>
    <n v="59970947000178"/>
    <x v="275"/>
    <s v="SÃO JOSÉ DO RIO PRETO"/>
    <s v="SP"/>
    <s v="1-Setorizado"/>
    <n v="2"/>
    <x v="15"/>
    <x v="15"/>
    <s v="Hospitalar (HSP)"/>
    <s v="claudia.bueno@cslbehring.com"/>
    <s v="CLAUDIA BUENO (SPC/SPI)"/>
    <n v="0"/>
    <n v="0"/>
    <n v="1"/>
    <n v="0"/>
    <n v="0"/>
  </r>
  <r>
    <x v="0"/>
    <x v="0"/>
    <x v="0"/>
    <n v="2643405000173"/>
    <x v="276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6"/>
    <n v="0"/>
  </r>
  <r>
    <x v="0"/>
    <x v="0"/>
    <x v="0"/>
    <n v="2643405000173"/>
    <x v="276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0"/>
    <x v="0"/>
    <n v="60003761000129"/>
    <x v="27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0"/>
    <x v="0"/>
    <n v="60003761000129"/>
    <x v="277"/>
    <s v="SÃO JOSÉ DO RIO PRETO"/>
    <s v="SP"/>
    <s v="1-Setorizado"/>
    <n v="2"/>
    <x v="15"/>
    <x v="15"/>
    <s v="Hospitalar (HSP)"/>
    <s v="claudia.bueno@cslbehring.com"/>
    <s v="CLAUDIA BUENO (SPC/SPI)"/>
    <n v="0"/>
    <n v="10"/>
    <n v="0"/>
    <n v="0"/>
    <n v="0"/>
  </r>
  <r>
    <x v="0"/>
    <x v="0"/>
    <x v="0"/>
    <n v="59972307000105"/>
    <x v="278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0"/>
    <x v="0"/>
    <n v="59972307000105"/>
    <x v="278"/>
    <s v="SÃO JOSÉ DO RIO PRETO"/>
    <s v="SP"/>
    <s v="1-Setorizado"/>
    <n v="2"/>
    <x v="15"/>
    <x v="15"/>
    <s v="Hospitalar (HSP)"/>
    <s v="claudia.bueno@cslbehring.com"/>
    <s v="CLAUDIA BUENO (SPC/SPI)"/>
    <n v="0"/>
    <n v="2"/>
    <n v="0"/>
    <n v="0"/>
    <n v="0"/>
  </r>
  <r>
    <x v="0"/>
    <x v="0"/>
    <x v="0"/>
    <n v="45184066000117"/>
    <x v="279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14"/>
    <n v="0"/>
  </r>
  <r>
    <x v="0"/>
    <x v="0"/>
    <x v="0"/>
    <n v="45184066000117"/>
    <x v="279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0"/>
    <x v="0"/>
    <n v="60214517001691"/>
    <x v="280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150"/>
  </r>
  <r>
    <x v="0"/>
    <x v="0"/>
    <x v="0"/>
    <n v="60214517001691"/>
    <x v="280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150"/>
  </r>
  <r>
    <x v="0"/>
    <x v="0"/>
    <x v="0"/>
    <n v="6047087003073"/>
    <x v="281"/>
    <s v="SÃO JOSÉ DOS CAMPOS"/>
    <s v="SP"/>
    <s v="1-Setorizado"/>
    <n v="2"/>
    <x v="16"/>
    <x v="16"/>
    <s v="Especialidade (ESP)"/>
    <s v="claudia.bueno@cslbehring.com"/>
    <s v="CLAUDIA BUENO (SPC/SPI)"/>
    <n v="2"/>
    <n v="0"/>
    <n v="0"/>
    <n v="48"/>
    <n v="250"/>
  </r>
  <r>
    <x v="0"/>
    <x v="0"/>
    <x v="0"/>
    <n v="6047087003073"/>
    <x v="281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250"/>
  </r>
  <r>
    <x v="0"/>
    <x v="0"/>
    <x v="0"/>
    <n v="18321477000134"/>
    <x v="282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48"/>
    <n v="0"/>
  </r>
  <r>
    <x v="0"/>
    <x v="0"/>
    <x v="0"/>
    <n v="18321477000134"/>
    <x v="282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0"/>
    <x v="0"/>
    <n v="60214517000962"/>
    <x v="283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90"/>
  </r>
  <r>
    <x v="0"/>
    <x v="0"/>
    <x v="0"/>
    <n v="60214517000962"/>
    <x v="283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90"/>
  </r>
  <r>
    <x v="0"/>
    <x v="0"/>
    <x v="0"/>
    <n v="60961968000106"/>
    <x v="28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825"/>
  </r>
  <r>
    <x v="0"/>
    <x v="0"/>
    <x v="0"/>
    <n v="60961968000106"/>
    <x v="284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1825"/>
  </r>
  <r>
    <x v="0"/>
    <x v="0"/>
    <x v="0"/>
    <n v="51722957010226"/>
    <x v="28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7"/>
    <n v="535"/>
  </r>
  <r>
    <x v="0"/>
    <x v="0"/>
    <x v="0"/>
    <n v="51722957010226"/>
    <x v="28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35"/>
  </r>
  <r>
    <x v="0"/>
    <x v="0"/>
    <x v="0"/>
    <n v="18180008000142"/>
    <x v="28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18180008000142"/>
    <x v="286"/>
    <s v="SÃO PAULO"/>
    <s v="SP"/>
    <s v="1-Setorizado"/>
    <n v="2"/>
    <x v="20"/>
    <x v="20"/>
    <s v="Hospitalar (HSP)"/>
    <s v="claudia.bueno@cslbehring.com"/>
    <s v="CLAUDIA BUENO (SPC/SPI)"/>
    <n v="0"/>
    <n v="2"/>
    <n v="0"/>
    <n v="0"/>
    <n v="0"/>
  </r>
  <r>
    <x v="0"/>
    <x v="0"/>
    <x v="0"/>
    <n v="2383508000494"/>
    <x v="28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1"/>
    <n v="0"/>
  </r>
  <r>
    <x v="0"/>
    <x v="0"/>
    <x v="0"/>
    <n v="2383508000494"/>
    <x v="28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43643139000409"/>
    <x v="28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60"/>
  </r>
  <r>
    <x v="0"/>
    <x v="0"/>
    <x v="0"/>
    <n v="43643139000409"/>
    <x v="28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60"/>
  </r>
  <r>
    <x v="0"/>
    <x v="0"/>
    <x v="0"/>
    <n v="8871521000126"/>
    <x v="28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60"/>
  </r>
  <r>
    <x v="0"/>
    <x v="0"/>
    <x v="0"/>
    <n v="8871521000126"/>
    <x v="28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60"/>
  </r>
  <r>
    <x v="0"/>
    <x v="0"/>
    <x v="0"/>
    <n v="59481028000130"/>
    <x v="29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"/>
  </r>
  <r>
    <x v="0"/>
    <x v="0"/>
    <x v="0"/>
    <n v="59481028000130"/>
    <x v="29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0"/>
  </r>
  <r>
    <x v="0"/>
    <x v="0"/>
    <x v="0"/>
    <n v="10468341000220"/>
    <x v="29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2"/>
    <n v="635"/>
  </r>
  <r>
    <x v="0"/>
    <x v="0"/>
    <x v="0"/>
    <n v="10468341000220"/>
    <x v="29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635"/>
  </r>
  <r>
    <x v="0"/>
    <x v="0"/>
    <x v="0"/>
    <n v="10468341000140"/>
    <x v="29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6"/>
    <n v="2065"/>
  </r>
  <r>
    <x v="0"/>
    <x v="0"/>
    <x v="0"/>
    <n v="10468341000140"/>
    <x v="29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065"/>
  </r>
  <r>
    <x v="0"/>
    <x v="0"/>
    <x v="0"/>
    <n v="29435005009932"/>
    <x v="29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350"/>
  </r>
  <r>
    <x v="0"/>
    <x v="0"/>
    <x v="0"/>
    <n v="29435005009932"/>
    <x v="293"/>
    <s v="SÃO PAULO"/>
    <s v="SP"/>
    <s v="1-Setorizado"/>
    <n v="2"/>
    <x v="17"/>
    <x v="17"/>
    <s v="Hospitalar (HSP)"/>
    <s v="claudia.bueno@cslbehring.com"/>
    <s v="CLAUDIA BUENO (SPC/SPI)"/>
    <n v="0"/>
    <n v="4"/>
    <n v="6"/>
    <n v="0"/>
    <n v="350"/>
  </r>
  <r>
    <x v="0"/>
    <x v="0"/>
    <x v="0"/>
    <n v="10323381000101"/>
    <x v="29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"/>
    <n v="0"/>
  </r>
  <r>
    <x v="0"/>
    <x v="0"/>
    <x v="0"/>
    <n v="10323381000101"/>
    <x v="29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28290788000307"/>
    <x v="295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4"/>
    <n v="0"/>
  </r>
  <r>
    <x v="0"/>
    <x v="0"/>
    <x v="0"/>
    <n v="28290788000307"/>
    <x v="29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3872790000193"/>
    <x v="29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"/>
    <n v="0"/>
  </r>
  <r>
    <x v="0"/>
    <x v="0"/>
    <x v="0"/>
    <n v="3872790000193"/>
    <x v="29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61849980001087"/>
    <x v="29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0"/>
  </r>
  <r>
    <x v="0"/>
    <x v="0"/>
    <x v="0"/>
    <n v="61849980001087"/>
    <x v="29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40"/>
  </r>
  <r>
    <x v="0"/>
    <x v="0"/>
    <x v="0"/>
    <n v="8100676000835"/>
    <x v="29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5"/>
  </r>
  <r>
    <x v="0"/>
    <x v="0"/>
    <x v="0"/>
    <n v="8100676000835"/>
    <x v="298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5"/>
  </r>
  <r>
    <x v="0"/>
    <x v="0"/>
    <x v="0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5"/>
  </r>
  <r>
    <x v="0"/>
    <x v="0"/>
    <x v="0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0"/>
    <x v="0"/>
    <n v="8438844000392"/>
    <x v="30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"/>
    <n v="0"/>
  </r>
  <r>
    <x v="0"/>
    <x v="0"/>
    <x v="0"/>
    <n v="8438844000392"/>
    <x v="300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0"/>
    <x v="0"/>
    <n v="6047087000139"/>
    <x v="30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47087000139"/>
    <x v="301"/>
    <s v="SÃO PAULO"/>
    <s v="SP"/>
    <s v="1-Setorizado"/>
    <n v="2"/>
    <x v="17"/>
    <x v="17"/>
    <s v="Hospitalar (HSP)"/>
    <s v="claudia.bueno@cslbehring.com"/>
    <s v="CLAUDIA BUENO (SPC/SPI)"/>
    <n v="0"/>
    <n v="2"/>
    <n v="0"/>
    <n v="0"/>
    <n v="0"/>
  </r>
  <r>
    <x v="0"/>
    <x v="0"/>
    <x v="0"/>
    <n v="60884855000316"/>
    <x v="30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930"/>
  </r>
  <r>
    <x v="0"/>
    <x v="0"/>
    <x v="0"/>
    <n v="60884855000316"/>
    <x v="302"/>
    <s v="SÃO PAULO"/>
    <s v="SP"/>
    <s v="1-Setorizado"/>
    <n v="2"/>
    <x v="19"/>
    <x v="19"/>
    <s v="Hospitalar (HSP)"/>
    <s v="claudia.bueno@cslbehring.com"/>
    <s v="CLAUDIA BUENO (SPC/SPI)"/>
    <n v="0"/>
    <n v="8"/>
    <n v="38"/>
    <n v="0"/>
    <n v="1930"/>
  </r>
  <r>
    <x v="0"/>
    <x v="0"/>
    <x v="0"/>
    <n v="60726502000126"/>
    <x v="30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390"/>
  </r>
  <r>
    <x v="0"/>
    <x v="0"/>
    <x v="0"/>
    <n v="60726502000126"/>
    <x v="303"/>
    <s v="SÃO PAULO"/>
    <s v="SP"/>
    <s v="1-Setorizado"/>
    <n v="2"/>
    <x v="19"/>
    <x v="19"/>
    <s v="Hospitalar (HSP)"/>
    <s v="claudia.bueno@cslbehring.com"/>
    <s v="CLAUDIA BUENO (SPC/SPI)"/>
    <n v="0"/>
    <n v="3"/>
    <n v="6"/>
    <n v="0"/>
    <n v="390"/>
  </r>
  <r>
    <x v="0"/>
    <x v="0"/>
    <x v="0"/>
    <n v="60726502000711"/>
    <x v="30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0"/>
    <x v="0"/>
    <n v="60726502000711"/>
    <x v="304"/>
    <s v="SÃO PAULO"/>
    <s v="SP"/>
    <s v="1-Setorizado"/>
    <n v="2"/>
    <x v="19"/>
    <x v="19"/>
    <s v="Hospitalar (HSP)"/>
    <s v="claudia.bueno@cslbehring.com"/>
    <s v="CLAUDIA BUENO (SPC/SPI)"/>
    <n v="0"/>
    <n v="0"/>
    <n v="5"/>
    <n v="0"/>
    <n v="0"/>
  </r>
  <r>
    <x v="0"/>
    <x v="0"/>
    <x v="0"/>
    <n v="8100676000592"/>
    <x v="30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30"/>
  </r>
  <r>
    <x v="0"/>
    <x v="0"/>
    <x v="0"/>
    <n v="8100676000592"/>
    <x v="30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30"/>
  </r>
  <r>
    <x v="0"/>
    <x v="0"/>
    <x v="0"/>
    <n v="8100676002455"/>
    <x v="30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40"/>
  </r>
  <r>
    <x v="0"/>
    <x v="0"/>
    <x v="0"/>
    <n v="8100676002455"/>
    <x v="306"/>
    <s v="SÃO PAULO"/>
    <s v="SP"/>
    <s v="1-Setorizado"/>
    <n v="2"/>
    <x v="19"/>
    <x v="19"/>
    <s v="Hospitalar (HSP)"/>
    <s v="claudia.bueno@cslbehring.com"/>
    <s v="CLAUDIA BUENO (SPC/SPI)"/>
    <n v="0"/>
    <n v="3"/>
    <n v="0"/>
    <n v="0"/>
    <n v="340"/>
  </r>
  <r>
    <x v="0"/>
    <x v="0"/>
    <x v="0"/>
    <n v="60922168004335"/>
    <x v="30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"/>
  </r>
  <r>
    <x v="0"/>
    <x v="0"/>
    <x v="0"/>
    <n v="60922168004335"/>
    <x v="30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"/>
  </r>
  <r>
    <x v="0"/>
    <x v="0"/>
    <x v="0"/>
    <n v="21371777000132"/>
    <x v="3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75"/>
  </r>
  <r>
    <x v="0"/>
    <x v="0"/>
    <x v="0"/>
    <n v="21371777000132"/>
    <x v="308"/>
    <s v="SÃO PAULO"/>
    <s v="SP"/>
    <s v="1-Setorizado"/>
    <n v="2"/>
    <x v="19"/>
    <x v="19"/>
    <s v="Hospitalar (HSP)"/>
    <s v="claudia.bueno@cslbehring.com"/>
    <s v="CLAUDIA BUENO (SPC/SPI)"/>
    <n v="0"/>
    <n v="0"/>
    <n v="8"/>
    <n v="0"/>
    <n v="175"/>
  </r>
  <r>
    <x v="0"/>
    <x v="0"/>
    <x v="0"/>
    <n v="60448040000122"/>
    <x v="3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0"/>
    <x v="0"/>
    <n v="60448040000122"/>
    <x v="309"/>
    <s v="SÃO PAULO"/>
    <s v="SP"/>
    <s v="1-Setorizado"/>
    <n v="2"/>
    <x v="20"/>
    <x v="20"/>
    <s v="Hospitalar (HSP)"/>
    <s v="claudia.bueno@cslbehring.com"/>
    <s v="CLAUDIA BUENO (SPC/SPI)"/>
    <n v="0"/>
    <n v="60"/>
    <n v="55"/>
    <n v="0"/>
    <n v="0"/>
  </r>
  <r>
    <x v="0"/>
    <x v="0"/>
    <x v="0"/>
    <n v="60453024000390"/>
    <x v="3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453024000390"/>
    <x v="310"/>
    <s v="SÃO PAULO"/>
    <s v="SP"/>
    <s v="1-Setorizado"/>
    <n v="2"/>
    <x v="20"/>
    <x v="20"/>
    <s v="Hospitalar (HSP)"/>
    <s v="claudia.bueno@cslbehring.com"/>
    <s v="CLAUDIA BUENO (SPC/SPI)"/>
    <n v="0"/>
    <n v="5"/>
    <n v="10"/>
    <n v="0"/>
    <n v="0"/>
  </r>
  <r>
    <x v="0"/>
    <x v="0"/>
    <x v="0"/>
    <n v="51722957012512"/>
    <x v="31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65"/>
  </r>
  <r>
    <x v="0"/>
    <x v="0"/>
    <x v="0"/>
    <n v="51722957012512"/>
    <x v="3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65"/>
  </r>
  <r>
    <x v="0"/>
    <x v="0"/>
    <x v="0"/>
    <n v="60678604000113"/>
    <x v="3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678604000113"/>
    <x v="312"/>
    <s v="SÃO PAULO"/>
    <s v="SP"/>
    <s v="1-Setorizado"/>
    <n v="2"/>
    <x v="17"/>
    <x v="17"/>
    <s v="Hospitalar (HSP)"/>
    <s v="claudia.bueno@cslbehring.com"/>
    <s v="CLAUDIA BUENO (SPC/SPI)"/>
    <n v="0"/>
    <n v="2"/>
    <n v="42"/>
    <n v="0"/>
    <n v="0"/>
  </r>
  <r>
    <x v="0"/>
    <x v="0"/>
    <x v="0"/>
    <n v="62106505000192"/>
    <x v="31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2106505000192"/>
    <x v="313"/>
    <s v="SÃO PAULO"/>
    <s v="SP"/>
    <s v="1-Setorizado"/>
    <n v="2"/>
    <x v="17"/>
    <x v="17"/>
    <s v="Hospitalar (HSP)"/>
    <s v="claudia.bueno@cslbehring.com"/>
    <s v="CLAUDIA BUENO (SPC/SPI)"/>
    <n v="0"/>
    <n v="0"/>
    <n v="2"/>
    <n v="0"/>
    <n v="0"/>
  </r>
  <r>
    <x v="0"/>
    <x v="0"/>
    <x v="0"/>
    <n v="60975174000363"/>
    <x v="31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50"/>
  </r>
  <r>
    <x v="0"/>
    <x v="0"/>
    <x v="0"/>
    <n v="60975174000363"/>
    <x v="31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0"/>
    <x v="0"/>
    <n v="29435005004540"/>
    <x v="31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00"/>
  </r>
  <r>
    <x v="0"/>
    <x v="0"/>
    <x v="0"/>
    <n v="29435005004540"/>
    <x v="31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00"/>
  </r>
  <r>
    <x v="0"/>
    <x v="0"/>
    <x v="0"/>
    <n v="61213674000240"/>
    <x v="316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49"/>
    <n v="5"/>
  </r>
  <r>
    <x v="0"/>
    <x v="0"/>
    <x v="0"/>
    <n v="61213674000240"/>
    <x v="316"/>
    <s v="SÃO PAULO"/>
    <s v="SP"/>
    <s v="1-Setorizado"/>
    <n v="2"/>
    <x v="17"/>
    <x v="17"/>
    <s v="Hospitalar (HSP)"/>
    <s v="claudia.bueno@cslbehring.com"/>
    <s v="CLAUDIA BUENO (SPC/SPI)"/>
    <n v="0"/>
    <n v="3"/>
    <n v="1"/>
    <n v="0"/>
    <n v="5"/>
  </r>
  <r>
    <x v="0"/>
    <x v="0"/>
    <x v="0"/>
    <n v="29435005002687"/>
    <x v="31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00"/>
  </r>
  <r>
    <x v="0"/>
    <x v="0"/>
    <x v="0"/>
    <n v="29435005002687"/>
    <x v="31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00"/>
  </r>
  <r>
    <x v="0"/>
    <x v="0"/>
    <x v="0"/>
    <n v="461479001992"/>
    <x v="31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461479001992"/>
    <x v="318"/>
    <s v="SÃO PAULO"/>
    <s v="SP"/>
    <s v="1-Setorizado"/>
    <n v="2"/>
    <x v="17"/>
    <x v="17"/>
    <s v="Hospitalar (HSP)"/>
    <s v="claudia.bueno@cslbehring.com"/>
    <s v="CLAUDIA BUENO (SPC/SPI)"/>
    <n v="0"/>
    <n v="6"/>
    <n v="0"/>
    <n v="0"/>
    <n v="0"/>
  </r>
  <r>
    <x v="0"/>
    <x v="0"/>
    <x v="0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6"/>
    <n v="350"/>
  </r>
  <r>
    <x v="0"/>
    <x v="0"/>
    <x v="0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50"/>
  </r>
  <r>
    <x v="0"/>
    <x v="0"/>
    <x v="0"/>
    <n v="60552098000111"/>
    <x v="32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25"/>
  </r>
  <r>
    <x v="0"/>
    <x v="0"/>
    <x v="0"/>
    <n v="60552098000111"/>
    <x v="32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25"/>
  </r>
  <r>
    <x v="0"/>
    <x v="0"/>
    <x v="0"/>
    <n v="60777901000116"/>
    <x v="32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650"/>
  </r>
  <r>
    <x v="0"/>
    <x v="0"/>
    <x v="0"/>
    <n v="60777901000116"/>
    <x v="32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650"/>
  </r>
  <r>
    <x v="0"/>
    <x v="0"/>
    <x v="0"/>
    <n v="60975737001204"/>
    <x v="32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975737001204"/>
    <x v="322"/>
    <s v="SÃO PAULO"/>
    <s v="SP"/>
    <s v="1-Setorizado"/>
    <n v="2"/>
    <x v="20"/>
    <x v="20"/>
    <s v="Hospitalar (HSP)"/>
    <s v="claudia.bueno@cslbehring.com"/>
    <s v="CLAUDIA BUENO (SPC/SPI)"/>
    <n v="0"/>
    <n v="6"/>
    <n v="0"/>
    <n v="0"/>
    <n v="0"/>
  </r>
  <r>
    <x v="0"/>
    <x v="0"/>
    <x v="0"/>
    <n v="6047087003820"/>
    <x v="32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47087003820"/>
    <x v="323"/>
    <s v="SÃO PAULO"/>
    <s v="SP"/>
    <s v="1-Setorizado"/>
    <n v="2"/>
    <x v="17"/>
    <x v="17"/>
    <s v="Hospitalar (HSP)"/>
    <s v="claudia.bueno@cslbehring.com"/>
    <s v="CLAUDIA BUENO (SPC/SPI)"/>
    <n v="0"/>
    <n v="3"/>
    <n v="6"/>
    <n v="0"/>
    <n v="0"/>
  </r>
  <r>
    <x v="0"/>
    <x v="0"/>
    <x v="0"/>
    <n v="28290788000137"/>
    <x v="32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28290788000137"/>
    <x v="324"/>
    <s v="SÃO PAULO"/>
    <s v="SP"/>
    <s v="1-Setorizado"/>
    <n v="2"/>
    <x v="17"/>
    <x v="17"/>
    <s v="Hospitalar (HSP)"/>
    <s v="claudia.bueno@cslbehring.com"/>
    <s v="CLAUDIA BUENO (SPC/SPI)"/>
    <n v="0"/>
    <n v="0"/>
    <n v="34"/>
    <n v="0"/>
    <n v="0"/>
  </r>
  <r>
    <x v="0"/>
    <x v="0"/>
    <x v="0"/>
    <n v="5831510000124"/>
    <x v="32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95"/>
  </r>
  <r>
    <x v="0"/>
    <x v="0"/>
    <x v="0"/>
    <n v="5831510000124"/>
    <x v="32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95"/>
  </r>
  <r>
    <x v="0"/>
    <x v="0"/>
    <x v="0"/>
    <n v="461479004584"/>
    <x v="32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25"/>
  </r>
  <r>
    <x v="0"/>
    <x v="0"/>
    <x v="0"/>
    <n v="461479004584"/>
    <x v="32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25"/>
  </r>
  <r>
    <x v="0"/>
    <x v="0"/>
    <x v="0"/>
    <n v="56577059000606"/>
    <x v="327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0"/>
    <x v="0"/>
    <n v="56577059000606"/>
    <x v="327"/>
    <s v="SÃO PAULO"/>
    <s v="SP"/>
    <s v="1-Setorizado"/>
    <n v="2"/>
    <x v="20"/>
    <x v="20"/>
    <s v="Hospitalar (HSP)"/>
    <s v="claudia.bueno@cslbehring.com"/>
    <s v="CLAUDIA BUENO (SPC/SPI)"/>
    <n v="0"/>
    <n v="30"/>
    <n v="0"/>
    <n v="0"/>
    <n v="0"/>
  </r>
  <r>
    <x v="0"/>
    <x v="0"/>
    <x v="0"/>
    <n v="44649812005520"/>
    <x v="32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"/>
  </r>
  <r>
    <x v="0"/>
    <x v="0"/>
    <x v="0"/>
    <n v="44649812005520"/>
    <x v="32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0"/>
  </r>
  <r>
    <x v="0"/>
    <x v="0"/>
    <x v="0"/>
    <n v="62779145000190"/>
    <x v="32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0"/>
    <x v="0"/>
    <n v="62779145000190"/>
    <x v="329"/>
    <s v="SÃO PAULO"/>
    <s v="SP"/>
    <s v="1-Setorizado"/>
    <n v="2"/>
    <x v="20"/>
    <x v="20"/>
    <s v="Hospitalar (HSP)"/>
    <s v="claudia.bueno@cslbehring.com"/>
    <s v="CLAUDIA BUENO (SPC/SPI)"/>
    <n v="0"/>
    <n v="2"/>
    <n v="0"/>
    <n v="0"/>
    <n v="0"/>
  </r>
  <r>
    <x v="0"/>
    <x v="0"/>
    <x v="0"/>
    <n v="23941593838"/>
    <x v="330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60"/>
    <n v="0"/>
  </r>
  <r>
    <x v="0"/>
    <x v="0"/>
    <x v="0"/>
    <n v="23941593838"/>
    <x v="330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0"/>
    <x v="0"/>
    <n v="13718999000150"/>
    <x v="33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"/>
    <n v="0"/>
  </r>
  <r>
    <x v="0"/>
    <x v="0"/>
    <x v="0"/>
    <n v="13718999000150"/>
    <x v="33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15"/>
  </r>
  <r>
    <x v="0"/>
    <x v="0"/>
    <x v="0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515"/>
  </r>
  <r>
    <x v="0"/>
    <x v="0"/>
    <x v="0"/>
    <n v="10211939000230"/>
    <x v="33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8"/>
    <n v="0"/>
  </r>
  <r>
    <x v="0"/>
    <x v="0"/>
    <x v="0"/>
    <n v="10211939000230"/>
    <x v="333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0"/>
    <x v="0"/>
    <n v="2837922000183"/>
    <x v="33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0"/>
    <n v="0"/>
  </r>
  <r>
    <x v="0"/>
    <x v="0"/>
    <x v="0"/>
    <n v="2837922000183"/>
    <x v="33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61599908000158"/>
    <x v="33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1599908000158"/>
    <x v="335"/>
    <s v="SÃO PAULO"/>
    <s v="SP"/>
    <s v="1-Setorizado"/>
    <n v="2"/>
    <x v="19"/>
    <x v="19"/>
    <s v="Hospitalar (HSP)"/>
    <s v="claudia.bueno@cslbehring.com"/>
    <s v="CLAUDIA BUENO (SPC/SPI)"/>
    <n v="0"/>
    <n v="130"/>
    <n v="30"/>
    <n v="0"/>
    <n v="0"/>
  </r>
  <r>
    <x v="0"/>
    <x v="0"/>
    <x v="0"/>
    <n v="7045325000130"/>
    <x v="33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96"/>
    <n v="0"/>
  </r>
  <r>
    <x v="0"/>
    <x v="0"/>
    <x v="0"/>
    <n v="7045325000130"/>
    <x v="33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6047087000210"/>
    <x v="33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0"/>
    <x v="0"/>
    <n v="6047087000210"/>
    <x v="337"/>
    <s v="SÃO PAULO"/>
    <s v="SP"/>
    <s v="1-Setorizado"/>
    <n v="2"/>
    <x v="17"/>
    <x v="17"/>
    <s v="Hospitalar (HSP)"/>
    <s v="claudia.bueno@cslbehring.com"/>
    <s v="CLAUDIA BUENO (SPC/SPI)"/>
    <n v="0"/>
    <n v="43"/>
    <n v="10"/>
    <n v="0"/>
    <n v="0"/>
  </r>
  <r>
    <x v="0"/>
    <x v="0"/>
    <x v="0"/>
    <n v="60961422000155"/>
    <x v="33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0"/>
    <x v="0"/>
    <n v="60961422000155"/>
    <x v="338"/>
    <s v="SÃO PAULO"/>
    <s v="SP"/>
    <s v="1-Setorizado"/>
    <n v="2"/>
    <x v="17"/>
    <x v="17"/>
    <s v="Hospitalar (HSP)"/>
    <s v="claudia.bueno@cslbehring.com"/>
    <s v="CLAUDIA BUENO (SPC/SPI)"/>
    <n v="0"/>
    <n v="10"/>
    <n v="13"/>
    <n v="0"/>
    <n v="20"/>
  </r>
  <r>
    <x v="0"/>
    <x v="0"/>
    <x v="0"/>
    <n v="61590410000124"/>
    <x v="3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360"/>
  </r>
  <r>
    <x v="0"/>
    <x v="0"/>
    <x v="0"/>
    <n v="61590410000124"/>
    <x v="33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360"/>
  </r>
  <r>
    <x v="0"/>
    <x v="0"/>
    <x v="0"/>
    <n v="19803199000114"/>
    <x v="34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0"/>
  </r>
  <r>
    <x v="0"/>
    <x v="0"/>
    <x v="0"/>
    <n v="19803199000114"/>
    <x v="340"/>
    <s v="SÃO PAULO"/>
    <s v="SP"/>
    <s v="1-Setorizado"/>
    <n v="2"/>
    <x v="19"/>
    <x v="19"/>
    <s v="Hospitalar (HSP)"/>
    <s v="claudia.bueno@cslbehring.com"/>
    <s v="CLAUDIA BUENO (SPC/SPI)"/>
    <n v="0"/>
    <n v="0"/>
    <n v="1"/>
    <n v="0"/>
    <n v="50"/>
  </r>
  <r>
    <x v="0"/>
    <x v="0"/>
    <x v="0"/>
    <n v="20812223000241"/>
    <x v="34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"/>
    <n v="0"/>
  </r>
  <r>
    <x v="0"/>
    <x v="0"/>
    <x v="0"/>
    <n v="20812223000241"/>
    <x v="34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0"/>
    <x v="0"/>
    <n v="57394710000160"/>
    <x v="34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5"/>
  </r>
  <r>
    <x v="0"/>
    <x v="0"/>
    <x v="0"/>
    <n v="57394710000160"/>
    <x v="342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5"/>
  </r>
  <r>
    <x v="0"/>
    <x v="1"/>
    <x v="0"/>
    <n v="1454407000151"/>
    <x v="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500"/>
  </r>
  <r>
    <x v="0"/>
    <x v="1"/>
    <x v="0"/>
    <n v="1454407000151"/>
    <x v="0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500"/>
  </r>
  <r>
    <x v="0"/>
    <x v="1"/>
    <x v="0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400"/>
  </r>
  <r>
    <x v="0"/>
    <x v="1"/>
    <x v="0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3"/>
    <n v="2"/>
    <n v="0"/>
    <n v="400"/>
  </r>
  <r>
    <x v="0"/>
    <x v="1"/>
    <x v="0"/>
    <n v="24464109000229"/>
    <x v="2"/>
    <s v="MACEIÓ"/>
    <s v="AL"/>
    <s v="1-Setorizado"/>
    <n v="2"/>
    <x v="0"/>
    <x v="0"/>
    <s v="Especialidade (ESP)"/>
    <s v="fernando.leony@cslbehring.com"/>
    <s v="FERNANDO LEONY (CO/NO/NE)"/>
    <n v="4"/>
    <n v="0"/>
    <n v="0"/>
    <n v="0"/>
    <n v="0"/>
  </r>
  <r>
    <x v="0"/>
    <x v="1"/>
    <x v="0"/>
    <n v="24464109000229"/>
    <x v="2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1"/>
    <x v="0"/>
    <n v="3866223000124"/>
    <x v="343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1740"/>
  </r>
  <r>
    <x v="0"/>
    <x v="1"/>
    <x v="0"/>
    <n v="3866223000124"/>
    <x v="343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1740"/>
  </r>
  <r>
    <x v="0"/>
    <x v="1"/>
    <x v="0"/>
    <n v="12361267010407"/>
    <x v="344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130"/>
  </r>
  <r>
    <x v="0"/>
    <x v="1"/>
    <x v="0"/>
    <n v="12361267010407"/>
    <x v="344"/>
    <s v="FEIRA DE SANTANA"/>
    <s v="BA"/>
    <s v="1-Setorizado"/>
    <n v="2"/>
    <x v="1"/>
    <x v="1"/>
    <s v="Hospitalar (HSP)"/>
    <s v="fernando.leony@cslbehring.com"/>
    <s v="FERNANDO LEONY (CO/NO/NE)"/>
    <n v="0"/>
    <n v="0"/>
    <n v="0"/>
    <n v="0"/>
    <n v="130"/>
  </r>
  <r>
    <x v="0"/>
    <x v="1"/>
    <x v="0"/>
    <n v="4602792000125"/>
    <x v="7"/>
    <s v="LAURO DE FREITAS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4602792000125"/>
    <x v="7"/>
    <s v="LAURO DE FREITAS"/>
    <s v="BA"/>
    <s v="1-Setorizado"/>
    <n v="2"/>
    <x v="1"/>
    <x v="1"/>
    <s v="Hospitalar (HSP)"/>
    <s v="fernando.leony@cslbehring.com"/>
    <s v="FERNANDO LEONY (CO/NO/NE)"/>
    <n v="0"/>
    <n v="3"/>
    <n v="0"/>
    <n v="0"/>
    <n v="0"/>
  </r>
  <r>
    <x v="0"/>
    <x v="1"/>
    <x v="0"/>
    <n v="13952064000134"/>
    <x v="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3952064000134"/>
    <x v="8"/>
    <s v="SALVADOR"/>
    <s v="BA"/>
    <s v="1-Setorizado"/>
    <n v="2"/>
    <x v="1"/>
    <x v="1"/>
    <s v="Hospitalar (HSP)"/>
    <s v="fernando.leony@cslbehring.com"/>
    <s v="FERNANDO LEONY (CO/NO/NE)"/>
    <n v="0"/>
    <n v="8"/>
    <n v="0"/>
    <n v="0"/>
    <n v="0"/>
  </r>
  <r>
    <x v="0"/>
    <x v="1"/>
    <x v="0"/>
    <n v="16475154000250"/>
    <x v="34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6475154000250"/>
    <x v="345"/>
    <s v="SALVADOR"/>
    <s v="BA"/>
    <s v="1-Setorizado"/>
    <n v="2"/>
    <x v="1"/>
    <x v="1"/>
    <s v="Hospitalar (HSP)"/>
    <s v="fernando.leony@cslbehring.com"/>
    <s v="FERNANDO LEONY (CO/NO/NE)"/>
    <n v="0"/>
    <n v="3"/>
    <n v="0"/>
    <n v="0"/>
    <n v="0"/>
  </r>
  <r>
    <x v="0"/>
    <x v="1"/>
    <x v="0"/>
    <n v="5816630000152"/>
    <x v="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2960"/>
  </r>
  <r>
    <x v="0"/>
    <x v="1"/>
    <x v="0"/>
    <n v="5816630000152"/>
    <x v="9"/>
    <s v="SALVADOR"/>
    <s v="BA"/>
    <s v="1-Setorizado"/>
    <n v="2"/>
    <x v="1"/>
    <x v="1"/>
    <s v="Hospitalar (HSP)"/>
    <s v="fernando.leony@cslbehring.com"/>
    <s v="FERNANDO LEONY (CO/NO/NE)"/>
    <n v="0"/>
    <n v="15"/>
    <n v="5"/>
    <n v="0"/>
    <n v="2960"/>
  </r>
  <r>
    <x v="0"/>
    <x v="1"/>
    <x v="0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5"/>
    <n v="0"/>
    <n v="0"/>
    <n v="0"/>
  </r>
  <r>
    <x v="0"/>
    <x v="1"/>
    <x v="0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11"/>
    <n v="7"/>
    <n v="0"/>
    <n v="0"/>
  </r>
  <r>
    <x v="0"/>
    <x v="1"/>
    <x v="0"/>
    <n v="13016092000140"/>
    <x v="12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3016092000140"/>
    <x v="12"/>
    <s v="SALVADOR"/>
    <s v="BA"/>
    <s v="1-Setorizado"/>
    <n v="2"/>
    <x v="1"/>
    <x v="1"/>
    <s v="Hospitalar (HSP)"/>
    <s v="fernando.leony@cslbehring.com"/>
    <s v="FERNANDO LEONY (CO/NO/NE)"/>
    <n v="0"/>
    <n v="10"/>
    <n v="0"/>
    <n v="0"/>
    <n v="0"/>
  </r>
  <r>
    <x v="0"/>
    <x v="1"/>
    <x v="0"/>
    <n v="3376102000102"/>
    <x v="34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3376102000102"/>
    <x v="346"/>
    <s v="SALVADOR"/>
    <s v="BA"/>
    <s v="1-Setorizado"/>
    <n v="2"/>
    <x v="1"/>
    <x v="1"/>
    <s v="Hospitalar (HSP)"/>
    <s v="fernando.leony@cslbehring.com"/>
    <s v="FERNANDO LEONY (CO/NO/NE)"/>
    <n v="0"/>
    <n v="0"/>
    <n v="3"/>
    <n v="0"/>
    <n v="0"/>
  </r>
  <r>
    <x v="0"/>
    <x v="1"/>
    <x v="0"/>
    <n v="15153745002705"/>
    <x v="13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5153745002705"/>
    <x v="13"/>
    <s v="SALVADOR"/>
    <s v="BA"/>
    <s v="1-Setorizado"/>
    <n v="2"/>
    <x v="1"/>
    <x v="1"/>
    <s v="Hospitalar (HSP)"/>
    <s v="fernando.leony@cslbehring.com"/>
    <s v="FERNANDO LEONY (CO/NO/NE)"/>
    <n v="0"/>
    <n v="10"/>
    <n v="0"/>
    <n v="0"/>
    <n v="0"/>
  </r>
  <r>
    <x v="0"/>
    <x v="1"/>
    <x v="0"/>
    <n v="15166416000151"/>
    <x v="1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5166416000151"/>
    <x v="14"/>
    <s v="SALVADOR"/>
    <s v="BA"/>
    <s v="1-Setorizado"/>
    <n v="2"/>
    <x v="1"/>
    <x v="1"/>
    <s v="Hospitalar (HSP)"/>
    <s v="fernando.leony@cslbehring.com"/>
    <s v="FERNANDO LEONY (CO/NO/NE)"/>
    <n v="0"/>
    <n v="29"/>
    <n v="8"/>
    <n v="0"/>
    <n v="0"/>
  </r>
  <r>
    <x v="0"/>
    <x v="1"/>
    <x v="0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4"/>
    <n v="0"/>
    <n v="0"/>
    <n v="0"/>
  </r>
  <r>
    <x v="0"/>
    <x v="1"/>
    <x v="0"/>
    <n v="12361267010318"/>
    <x v="17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275"/>
  </r>
  <r>
    <x v="0"/>
    <x v="1"/>
    <x v="0"/>
    <n v="12361267010318"/>
    <x v="17"/>
    <s v="SALVADOR"/>
    <s v="BA"/>
    <s v="1-Setorizado"/>
    <n v="2"/>
    <x v="1"/>
    <x v="1"/>
    <s v="Hospitalar (HSP)"/>
    <s v="fernando.leony@cslbehring.com"/>
    <s v="FERNANDO LEONY (CO/NO/NE)"/>
    <n v="0"/>
    <n v="11"/>
    <n v="5"/>
    <n v="0"/>
    <n v="275"/>
  </r>
  <r>
    <x v="0"/>
    <x v="1"/>
    <x v="0"/>
    <n v="11943553000102"/>
    <x v="347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1943553000102"/>
    <x v="347"/>
    <s v="SALVADOR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1"/>
    <x v="0"/>
    <n v="15140254000182"/>
    <x v="34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2"/>
    <n v="0"/>
  </r>
  <r>
    <x v="0"/>
    <x v="1"/>
    <x v="0"/>
    <n v="15140254000182"/>
    <x v="348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1"/>
    <x v="0"/>
    <n v="5652543000107"/>
    <x v="349"/>
    <s v="SANTO ANTÔNIO DE JESUS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5652543000107"/>
    <x v="349"/>
    <s v="SANTO ANTÔNIO DE JESUS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1"/>
    <x v="0"/>
    <n v="13284872000170"/>
    <x v="22"/>
    <s v="VITÓRIA DA CONQUISTA"/>
    <s v="BA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1"/>
    <x v="0"/>
    <n v="13284872000170"/>
    <x v="22"/>
    <s v="VITÓRIA DA CONQUISTA"/>
    <s v="BA"/>
    <s v="1-Setorizado"/>
    <n v="2"/>
    <x v="1"/>
    <x v="1"/>
    <s v="Hospitalar (HSP)"/>
    <s v="fernando.leony@cslbehring.com"/>
    <s v="FERNANDO LEONY (CO/NO/NE)"/>
    <n v="0"/>
    <n v="0"/>
    <n v="0"/>
    <n v="0"/>
    <n v="30"/>
  </r>
  <r>
    <x v="0"/>
    <x v="1"/>
    <x v="0"/>
    <n v="7245269000187"/>
    <x v="350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7245269000187"/>
    <x v="350"/>
    <s v="FORTALEZA"/>
    <s v="CE"/>
    <s v="1-Setorizado"/>
    <n v="2"/>
    <x v="3"/>
    <x v="3"/>
    <s v="Hospitalar (HSP)"/>
    <s v="fernando.leony@cslbehring.com"/>
    <s v="FERNANDO LEONY (CO/NO/NE)"/>
    <n v="0"/>
    <n v="7"/>
    <n v="0"/>
    <n v="0"/>
    <n v="0"/>
  </r>
  <r>
    <x v="0"/>
    <x v="1"/>
    <x v="0"/>
    <n v="5874946000281"/>
    <x v="351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5874946000281"/>
    <x v="351"/>
    <s v="FORTALEZA"/>
    <s v="CE"/>
    <s v="1-Setorizado"/>
    <n v="2"/>
    <x v="3"/>
    <x v="3"/>
    <s v="Hospitalar (HSP)"/>
    <s v="fernando.leony@cslbehring.com"/>
    <s v="FERNANDO LEONY (CO/NO/NE)"/>
    <n v="0"/>
    <n v="11"/>
    <n v="5"/>
    <n v="0"/>
    <n v="0"/>
  </r>
  <r>
    <x v="0"/>
    <x v="1"/>
    <x v="0"/>
    <n v="15126437001468"/>
    <x v="35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5126437001468"/>
    <x v="352"/>
    <s v="FORTALEZA"/>
    <s v="CE"/>
    <s v="1-Setorizado"/>
    <n v="2"/>
    <x v="3"/>
    <x v="3"/>
    <s v="Hospitalar (HSP)"/>
    <s v="fernando.leony@cslbehring.com"/>
    <s v="FERNANDO LEONY (CO/NO/NE)"/>
    <n v="0"/>
    <n v="20"/>
    <n v="0"/>
    <n v="0"/>
    <n v="0"/>
  </r>
  <r>
    <x v="0"/>
    <x v="1"/>
    <x v="0"/>
    <n v="74031865000151"/>
    <x v="2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74031865000151"/>
    <x v="24"/>
    <s v="FORTALEZA"/>
    <s v="CE"/>
    <s v="1-Setorizado"/>
    <n v="2"/>
    <x v="3"/>
    <x v="3"/>
    <s v="Hospitalar (HSP)"/>
    <s v="fernando.leony@cslbehring.com"/>
    <s v="FERNANDO LEONY (CO/NO/NE)"/>
    <n v="0"/>
    <n v="800"/>
    <n v="0"/>
    <n v="0"/>
    <n v="0"/>
  </r>
  <r>
    <x v="0"/>
    <x v="1"/>
    <x v="0"/>
    <n v="60975737003509"/>
    <x v="2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60975737003509"/>
    <x v="27"/>
    <s v="FORTALEZA"/>
    <s v="CE"/>
    <s v="1-Setorizado"/>
    <n v="2"/>
    <x v="3"/>
    <x v="3"/>
    <s v="Hospitalar (HSP)"/>
    <s v="fernando.leony@cslbehring.com"/>
    <s v="FERNANDO LEONY (CO/NO/NE)"/>
    <n v="0"/>
    <n v="6"/>
    <n v="4"/>
    <n v="0"/>
    <n v="0"/>
  </r>
  <r>
    <x v="0"/>
    <x v="1"/>
    <x v="0"/>
    <n v="29435005007484"/>
    <x v="2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00"/>
  </r>
  <r>
    <x v="0"/>
    <x v="1"/>
    <x v="0"/>
    <n v="29435005007484"/>
    <x v="28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100"/>
  </r>
  <r>
    <x v="0"/>
    <x v="1"/>
    <x v="0"/>
    <n v="5868278000280"/>
    <x v="29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46"/>
    <n v="220"/>
  </r>
  <r>
    <x v="0"/>
    <x v="1"/>
    <x v="0"/>
    <n v="5868278000280"/>
    <x v="29"/>
    <s v="FORTALEZA"/>
    <s v="CE"/>
    <s v="1-Setorizado"/>
    <n v="2"/>
    <x v="3"/>
    <x v="3"/>
    <s v="Hospitalar (HSP)"/>
    <s v="fernando.leony@cslbehring.com"/>
    <s v="FERNANDO LEONY (CO/NO/NE)"/>
    <n v="0"/>
    <n v="0"/>
    <n v="10"/>
    <n v="0"/>
    <n v="220"/>
  </r>
  <r>
    <x v="0"/>
    <x v="1"/>
    <x v="0"/>
    <n v="11794674000121"/>
    <x v="35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1794674000121"/>
    <x v="353"/>
    <s v="FORTALEZA"/>
    <s v="CE"/>
    <s v="1-Setorizado"/>
    <n v="2"/>
    <x v="3"/>
    <x v="3"/>
    <s v="Hospitalar (HSP)"/>
    <s v="fernando.leony@cslbehring.com"/>
    <s v="FERNANDO LEONY (CO/NO/NE)"/>
    <n v="0"/>
    <n v="50"/>
    <n v="0"/>
    <n v="0"/>
    <n v="0"/>
  </r>
  <r>
    <x v="0"/>
    <x v="1"/>
    <x v="0"/>
    <n v="41580077000165"/>
    <x v="35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75"/>
  </r>
  <r>
    <x v="0"/>
    <x v="1"/>
    <x v="0"/>
    <n v="41580077000165"/>
    <x v="354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75"/>
  </r>
  <r>
    <x v="0"/>
    <x v="1"/>
    <x v="0"/>
    <n v="12568570000161"/>
    <x v="3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225"/>
  </r>
  <r>
    <x v="0"/>
    <x v="1"/>
    <x v="0"/>
    <n v="12568570000161"/>
    <x v="32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225"/>
  </r>
  <r>
    <x v="0"/>
    <x v="1"/>
    <x v="0"/>
    <n v="5867015000175"/>
    <x v="3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12"/>
    <n v="0"/>
  </r>
  <r>
    <x v="0"/>
    <x v="1"/>
    <x v="0"/>
    <n v="5867015000175"/>
    <x v="33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1"/>
    <x v="0"/>
    <n v="9104513000974"/>
    <x v="3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170"/>
  </r>
  <r>
    <x v="0"/>
    <x v="1"/>
    <x v="0"/>
    <n v="9104513000974"/>
    <x v="3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70"/>
  </r>
  <r>
    <x v="0"/>
    <x v="1"/>
    <x v="0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800"/>
  </r>
  <r>
    <x v="0"/>
    <x v="1"/>
    <x v="0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259"/>
    <n v="800"/>
  </r>
  <r>
    <x v="0"/>
    <x v="1"/>
    <x v="0"/>
    <n v="1602408000104"/>
    <x v="355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50"/>
  </r>
  <r>
    <x v="0"/>
    <x v="1"/>
    <x v="0"/>
    <n v="1602408000104"/>
    <x v="35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50"/>
  </r>
  <r>
    <x v="0"/>
    <x v="1"/>
    <x v="0"/>
    <n v="30135335000188"/>
    <x v="35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50"/>
  </r>
  <r>
    <x v="0"/>
    <x v="1"/>
    <x v="0"/>
    <n v="30135335000188"/>
    <x v="35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50"/>
  </r>
  <r>
    <x v="0"/>
    <x v="1"/>
    <x v="0"/>
    <n v="394544000851"/>
    <x v="357"/>
    <s v="BRASÍLIA"/>
    <s v="DF"/>
    <s v="1-Setorizado"/>
    <n v="1"/>
    <x v="21"/>
    <x v="21"/>
    <m/>
    <s v="gerente.orfao@vago.com"/>
    <s v="XXX - GERENTE ORFAO"/>
    <n v="12"/>
    <n v="0"/>
    <n v="0"/>
    <n v="0"/>
    <n v="630"/>
  </r>
  <r>
    <x v="0"/>
    <x v="1"/>
    <x v="0"/>
    <n v="15126437000305"/>
    <x v="358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50"/>
  </r>
  <r>
    <x v="0"/>
    <x v="1"/>
    <x v="0"/>
    <n v="15126437000305"/>
    <x v="35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50"/>
  </r>
  <r>
    <x v="0"/>
    <x v="1"/>
    <x v="0"/>
    <n v="3989821000190"/>
    <x v="3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60"/>
  </r>
  <r>
    <x v="0"/>
    <x v="1"/>
    <x v="0"/>
    <n v="3989821000190"/>
    <x v="37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360"/>
  </r>
  <r>
    <x v="0"/>
    <x v="1"/>
    <x v="0"/>
    <n v="37108388000159"/>
    <x v="38"/>
    <s v="BRASÍLIA"/>
    <s v="DF"/>
    <s v="1-Setorizado"/>
    <n v="2"/>
    <x v="4"/>
    <x v="4"/>
    <s v="Hospitalar (HSP)"/>
    <s v="fernando.leony@cslbehring.com"/>
    <s v="FERNANDO LEONY (CO/NO/NE)"/>
    <n v="0"/>
    <n v="30"/>
    <n v="0"/>
    <n v="0"/>
    <n v="0"/>
  </r>
  <r>
    <x v="0"/>
    <x v="1"/>
    <x v="0"/>
    <n v="37108388000159"/>
    <x v="3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1"/>
    <x v="0"/>
    <n v="29435005004620"/>
    <x v="39"/>
    <s v="BRASÍLIA"/>
    <s v="DF"/>
    <s v="1-Setorizado"/>
    <n v="2"/>
    <x v="4"/>
    <x v="4"/>
    <s v="Hospitalar (HSP)"/>
    <s v="fernando.leony@cslbehring.com"/>
    <s v="FERNANDO LEONY (CO/NO/NE)"/>
    <n v="0"/>
    <n v="30"/>
    <n v="0"/>
    <n v="0"/>
    <n v="0"/>
  </r>
  <r>
    <x v="0"/>
    <x v="1"/>
    <x v="0"/>
    <n v="29435005004620"/>
    <x v="3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1"/>
    <x v="0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0"/>
  </r>
  <r>
    <x v="0"/>
    <x v="1"/>
    <x v="0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1"/>
    <n v="30"/>
  </r>
  <r>
    <x v="0"/>
    <x v="1"/>
    <x v="0"/>
    <n v="60884855002289"/>
    <x v="41"/>
    <s v="BRASÍLIA"/>
    <s v="DF"/>
    <s v="1-Setorizado"/>
    <n v="2"/>
    <x v="4"/>
    <x v="4"/>
    <s v="Hospitalar (HSP)"/>
    <s v="fernando.leony@cslbehring.com"/>
    <s v="FERNANDO LEONY (CO/NO/NE)"/>
    <n v="0"/>
    <n v="24"/>
    <n v="7"/>
    <n v="0"/>
    <n v="300"/>
  </r>
  <r>
    <x v="0"/>
    <x v="1"/>
    <x v="0"/>
    <n v="60884855002289"/>
    <x v="4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300"/>
  </r>
  <r>
    <x v="0"/>
    <x v="1"/>
    <x v="0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8"/>
    <n v="0"/>
    <n v="0"/>
    <n v="0"/>
  </r>
  <r>
    <x v="0"/>
    <x v="1"/>
    <x v="0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1"/>
    <x v="0"/>
    <n v="49791000144"/>
    <x v="44"/>
    <s v="BRASÍLIA"/>
    <s v="DF"/>
    <s v="1-Setorizado"/>
    <n v="2"/>
    <x v="4"/>
    <x v="4"/>
    <s v="Hospitalar (HSP)"/>
    <s v="fernando.leony@cslbehring.com"/>
    <s v="FERNANDO LEONY (CO/NO/NE)"/>
    <n v="0"/>
    <n v="9"/>
    <n v="4"/>
    <n v="0"/>
    <n v="0"/>
  </r>
  <r>
    <x v="0"/>
    <x v="1"/>
    <x v="0"/>
    <n v="49791000144"/>
    <x v="4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1"/>
    <x v="0"/>
    <n v="6047087004126"/>
    <x v="45"/>
    <s v="BRASÍLIA"/>
    <s v="DF"/>
    <s v="1-Setorizado"/>
    <n v="2"/>
    <x v="4"/>
    <x v="4"/>
    <s v="Hospitalar (HSP)"/>
    <s v="fernando.leony@cslbehring.com"/>
    <s v="FERNANDO LEONY (CO/NO/NE)"/>
    <n v="0"/>
    <n v="7"/>
    <n v="0"/>
    <n v="0"/>
    <n v="400"/>
  </r>
  <r>
    <x v="0"/>
    <x v="1"/>
    <x v="0"/>
    <n v="6047087004126"/>
    <x v="4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400"/>
  </r>
  <r>
    <x v="0"/>
    <x v="1"/>
    <x v="0"/>
    <n v="610980000144"/>
    <x v="46"/>
    <s v="BRASÍLIA"/>
    <s v="DF"/>
    <s v="1-Setorizado"/>
    <n v="2"/>
    <x v="4"/>
    <x v="4"/>
    <s v="Hospitalar (HSP)"/>
    <s v="fernando.leony@cslbehring.com"/>
    <s v="FERNANDO LEONY (CO/NO/NE)"/>
    <n v="0"/>
    <n v="5"/>
    <n v="0"/>
    <n v="0"/>
    <n v="150"/>
  </r>
  <r>
    <x v="0"/>
    <x v="1"/>
    <x v="0"/>
    <n v="610980000144"/>
    <x v="4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50"/>
  </r>
  <r>
    <x v="0"/>
    <x v="1"/>
    <x v="0"/>
    <n v="61590410000558"/>
    <x v="4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1"/>
    <x v="0"/>
    <n v="61590410000558"/>
    <x v="47"/>
    <s v="BRASÍLIA"/>
    <s v="DF"/>
    <s v="1-Setorizado"/>
    <n v="2"/>
    <x v="2"/>
    <x v="2"/>
    <s v="Misto (EMH)"/>
    <s v="fernando.leony@cslbehring.com"/>
    <s v="FERNANDO LEONY (CO/NO/NE)"/>
    <n v="0"/>
    <n v="0"/>
    <n v="0"/>
    <n v="16"/>
    <n v="0"/>
  </r>
  <r>
    <x v="0"/>
    <x v="1"/>
    <x v="0"/>
    <n v="10942995000163"/>
    <x v="35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00"/>
  </r>
  <r>
    <x v="0"/>
    <x v="1"/>
    <x v="0"/>
    <n v="10942995000163"/>
    <x v="359"/>
    <s v="BRASÍLIA"/>
    <s v="DF"/>
    <s v="1-Setorizado"/>
    <n v="2"/>
    <x v="2"/>
    <x v="2"/>
    <s v="Misto (EMH)"/>
    <s v="fernando.leony@cslbehring.com"/>
    <s v="FERNANDO LEONY (CO/NO/NE)"/>
    <n v="0"/>
    <n v="0"/>
    <n v="0"/>
    <n v="40"/>
    <n v="300"/>
  </r>
  <r>
    <x v="0"/>
    <x v="1"/>
    <x v="0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0"/>
  </r>
  <r>
    <x v="0"/>
    <x v="1"/>
    <x v="0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49"/>
    <n v="30"/>
  </r>
  <r>
    <x v="0"/>
    <x v="1"/>
    <x v="0"/>
    <n v="1682668000129"/>
    <x v="51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1"/>
    <x v="0"/>
    <n v="1682668000129"/>
    <x v="5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5"/>
  </r>
  <r>
    <x v="0"/>
    <x v="1"/>
    <x v="0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1"/>
    <x v="0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36"/>
    <n v="0"/>
  </r>
  <r>
    <x v="0"/>
    <x v="1"/>
    <x v="0"/>
    <n v="511816000180"/>
    <x v="53"/>
    <s v="BRASÍLIA"/>
    <s v="DF"/>
    <s v="1-Setorizado"/>
    <n v="2"/>
    <x v="4"/>
    <x v="4"/>
    <s v="Hospitalar (HSP)"/>
    <s v="fernando.leony@cslbehring.com"/>
    <s v="FERNANDO LEONY (CO/NO/NE)"/>
    <n v="0"/>
    <n v="0"/>
    <n v="4"/>
    <n v="0"/>
    <n v="0"/>
  </r>
  <r>
    <x v="0"/>
    <x v="1"/>
    <x v="0"/>
    <n v="511816000180"/>
    <x v="5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1"/>
    <x v="0"/>
    <n v="25841000153"/>
    <x v="360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120"/>
  </r>
  <r>
    <x v="0"/>
    <x v="1"/>
    <x v="0"/>
    <n v="25841000153"/>
    <x v="36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20"/>
  </r>
  <r>
    <x v="0"/>
    <x v="1"/>
    <x v="0"/>
    <n v="61590410001287"/>
    <x v="5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250"/>
  </r>
  <r>
    <x v="0"/>
    <x v="1"/>
    <x v="0"/>
    <n v="61590410001287"/>
    <x v="5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250"/>
  </r>
  <r>
    <x v="0"/>
    <x v="1"/>
    <x v="0"/>
    <n v="1396804000114"/>
    <x v="56"/>
    <s v="SERR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1"/>
    <x v="0"/>
    <n v="4786490000154"/>
    <x v="361"/>
    <s v="SERRA"/>
    <s v="ES"/>
    <s v="1-Setorizado"/>
    <n v="1"/>
    <x v="5"/>
    <x v="5"/>
    <s v="Misto (EMH)"/>
    <s v="rafael.esteves@cslbehring.com"/>
    <s v="RAFAEL ESTEVES (RJ/SPI/SUL)"/>
    <n v="0"/>
    <n v="0"/>
    <n v="0"/>
    <n v="14"/>
    <n v="0"/>
  </r>
  <r>
    <x v="0"/>
    <x v="1"/>
    <x v="0"/>
    <n v="27080605000358"/>
    <x v="362"/>
    <s v="SÃO MATEUS"/>
    <s v="ES"/>
    <s v="1-Setorizado"/>
    <n v="1"/>
    <x v="5"/>
    <x v="5"/>
    <s v="Misto (EMH)"/>
    <s v="rafael.esteves@cslbehring.com"/>
    <s v="RAFAEL ESTEVES (RJ/SPI/SUL)"/>
    <n v="0"/>
    <n v="0"/>
    <n v="0"/>
    <n v="0"/>
    <n v="300"/>
  </r>
  <r>
    <x v="0"/>
    <x v="1"/>
    <x v="0"/>
    <n v="27578434001525"/>
    <x v="363"/>
    <s v="VITÓRIA"/>
    <s v="ES"/>
    <s v="1-Setorizado"/>
    <n v="1"/>
    <x v="5"/>
    <x v="5"/>
    <s v="Misto (EMH)"/>
    <s v="rafael.esteves@cslbehring.com"/>
    <s v="RAFAEL ESTEVES (RJ/SPI/SUL)"/>
    <n v="4"/>
    <n v="0"/>
    <n v="0"/>
    <n v="0"/>
    <n v="1500"/>
  </r>
  <r>
    <x v="0"/>
    <x v="1"/>
    <x v="0"/>
    <n v="39387477000107"/>
    <x v="59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75"/>
  </r>
  <r>
    <x v="0"/>
    <x v="1"/>
    <x v="0"/>
    <n v="21155621000114"/>
    <x v="364"/>
    <s v="APARECIDA DE 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40"/>
  </r>
  <r>
    <x v="0"/>
    <x v="1"/>
    <x v="0"/>
    <n v="21155621000114"/>
    <x v="364"/>
    <s v="APARECIDA DE 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40"/>
  </r>
  <r>
    <x v="0"/>
    <x v="1"/>
    <x v="0"/>
    <n v="1326206000179"/>
    <x v="60"/>
    <s v="CATALÃO"/>
    <s v="GO"/>
    <s v="1-Setorizado"/>
    <n v="2"/>
    <x v="6"/>
    <x v="6"/>
    <s v="Especialidade (ESP)"/>
    <s v="fernando.leony@cslbehring.com"/>
    <s v="FERNANDO LEONY (CO/NO/NE)"/>
    <n v="0"/>
    <n v="0"/>
    <n v="0"/>
    <n v="18"/>
    <n v="50"/>
  </r>
  <r>
    <x v="0"/>
    <x v="1"/>
    <x v="0"/>
    <n v="1326206000179"/>
    <x v="60"/>
    <s v="CATALÃO"/>
    <s v="GO"/>
    <s v="1-Setorizado"/>
    <n v="2"/>
    <x v="4"/>
    <x v="4"/>
    <s v="Hospitalar (HSP)"/>
    <s v="fernando.leony@cslbehring.com"/>
    <s v="FERNANDO LEONY (CO/NO/NE)"/>
    <n v="0"/>
    <n v="0"/>
    <n v="0"/>
    <n v="0"/>
    <n v="50"/>
  </r>
  <r>
    <x v="0"/>
    <x v="1"/>
    <x v="0"/>
    <n v="2476067000394"/>
    <x v="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75"/>
  </r>
  <r>
    <x v="0"/>
    <x v="1"/>
    <x v="0"/>
    <n v="2476067000394"/>
    <x v="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75"/>
  </r>
  <r>
    <x v="0"/>
    <x v="1"/>
    <x v="0"/>
    <n v="418954000119"/>
    <x v="6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1"/>
    <x v="0"/>
    <n v="418954000119"/>
    <x v="62"/>
    <s v="GOIÂNIA"/>
    <s v="GO"/>
    <s v="1-Setorizado"/>
    <n v="2"/>
    <x v="4"/>
    <x v="4"/>
    <s v="Hospitalar (HSP)"/>
    <s v="fernando.leony@cslbehring.com"/>
    <s v="FERNANDO LEONY (CO/NO/NE)"/>
    <n v="0"/>
    <n v="10"/>
    <n v="0"/>
    <n v="0"/>
    <n v="0"/>
  </r>
  <r>
    <x v="0"/>
    <x v="1"/>
    <x v="0"/>
    <n v="1011865000116"/>
    <x v="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350"/>
  </r>
  <r>
    <x v="0"/>
    <x v="1"/>
    <x v="0"/>
    <n v="1011865000116"/>
    <x v="63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350"/>
  </r>
  <r>
    <x v="0"/>
    <x v="1"/>
    <x v="0"/>
    <n v="53629000108"/>
    <x v="365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1"/>
    <x v="0"/>
    <n v="53629000108"/>
    <x v="365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1"/>
    <x v="0"/>
    <n v="2476067000203"/>
    <x v="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40"/>
    <n v="0"/>
  </r>
  <r>
    <x v="0"/>
    <x v="1"/>
    <x v="0"/>
    <n v="2476067000203"/>
    <x v="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1"/>
    <x v="0"/>
    <n v="33000167002155"/>
    <x v="366"/>
    <s v="SENADOR CANEDO"/>
    <s v="GO"/>
    <s v="1-Setorizado"/>
    <n v="2"/>
    <x v="6"/>
    <x v="6"/>
    <s v="Especialidade (ESP)"/>
    <s v="fernando.leony@cslbehring.com"/>
    <s v="FERNANDO LEONY (CO/NO/NE)"/>
    <n v="0"/>
    <n v="0"/>
    <n v="0"/>
    <n v="0"/>
    <n v="120"/>
  </r>
  <r>
    <x v="0"/>
    <x v="1"/>
    <x v="0"/>
    <n v="33000167002155"/>
    <x v="366"/>
    <s v="SENADOR CANEDO"/>
    <s v="GO"/>
    <s v="1-Setorizado"/>
    <n v="2"/>
    <x v="4"/>
    <x v="4"/>
    <s v="Hospitalar (HSP)"/>
    <s v="fernando.leony@cslbehring.com"/>
    <s v="FERNANDO LEONY (CO/NO/NE)"/>
    <n v="0"/>
    <n v="0"/>
    <n v="0"/>
    <n v="0"/>
    <n v="120"/>
  </r>
  <r>
    <x v="0"/>
    <x v="1"/>
    <x v="0"/>
    <n v="3210872000172"/>
    <x v="367"/>
    <s v="SANTA HELENA"/>
    <s v="MA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1"/>
    <x v="0"/>
    <n v="3210872000172"/>
    <x v="367"/>
    <s v="SANTA HELENA"/>
    <s v="MA"/>
    <s v="1-Setorizado"/>
    <n v="2"/>
    <x v="3"/>
    <x v="3"/>
    <s v="Hospitalar (HSP)"/>
    <s v="fernando.leony@cslbehring.com"/>
    <s v="FERNANDO LEONY (CO/NO/NE)"/>
    <n v="0"/>
    <n v="0"/>
    <n v="0"/>
    <n v="0"/>
    <n v="5"/>
  </r>
  <r>
    <x v="0"/>
    <x v="1"/>
    <x v="0"/>
    <n v="7750144000104"/>
    <x v="3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20"/>
  </r>
  <r>
    <x v="0"/>
    <x v="1"/>
    <x v="0"/>
    <n v="7750144000104"/>
    <x v="368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20"/>
  </r>
  <r>
    <x v="0"/>
    <x v="1"/>
    <x v="0"/>
    <n v="15126437000496"/>
    <x v="67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5126437000496"/>
    <x v="67"/>
    <s v="SÃO LUÍS"/>
    <s v="MA"/>
    <s v="1-Setorizado"/>
    <n v="2"/>
    <x v="3"/>
    <x v="3"/>
    <s v="Hospitalar (HSP)"/>
    <s v="fernando.leony@cslbehring.com"/>
    <s v="FERNANDO LEONY (CO/NO/NE)"/>
    <n v="0"/>
    <n v="4"/>
    <n v="9"/>
    <n v="0"/>
    <n v="0"/>
  </r>
  <r>
    <x v="0"/>
    <x v="1"/>
    <x v="0"/>
    <n v="11006293000130"/>
    <x v="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500"/>
  </r>
  <r>
    <x v="0"/>
    <x v="1"/>
    <x v="0"/>
    <n v="11006293000130"/>
    <x v="68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500"/>
  </r>
  <r>
    <x v="0"/>
    <x v="1"/>
    <x v="0"/>
    <n v="2284062001170"/>
    <x v="69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150"/>
  </r>
  <r>
    <x v="0"/>
    <x v="1"/>
    <x v="0"/>
    <n v="2284062001170"/>
    <x v="69"/>
    <s v="SÃO LUÍS"/>
    <s v="MA"/>
    <s v="1-Setorizado"/>
    <n v="2"/>
    <x v="3"/>
    <x v="3"/>
    <s v="Hospitalar (HSP)"/>
    <s v="fernando.leony@cslbehring.com"/>
    <s v="FERNANDO LEONY (CO/NO/NE)"/>
    <n v="0"/>
    <n v="4"/>
    <n v="0"/>
    <n v="0"/>
    <n v="150"/>
  </r>
  <r>
    <x v="0"/>
    <x v="1"/>
    <x v="0"/>
    <n v="20909271000171"/>
    <x v="369"/>
    <s v="ARAGUARI"/>
    <s v="MG"/>
    <s v="1-Setorizado"/>
    <n v="1"/>
    <x v="5"/>
    <x v="5"/>
    <s v="Misto (EMH)"/>
    <s v="rafael.esteves@cslbehring.com"/>
    <s v="RAFAEL ESTEVES (RJ/SPI/SUL)"/>
    <n v="0"/>
    <n v="0"/>
    <n v="0"/>
    <n v="51"/>
    <n v="0"/>
  </r>
  <r>
    <x v="0"/>
    <x v="1"/>
    <x v="0"/>
    <n v="17214149000176"/>
    <x v="70"/>
    <s v="BELO HORIZONTE"/>
    <s v="MG"/>
    <s v="1-Setorizado"/>
    <n v="1"/>
    <x v="5"/>
    <x v="5"/>
    <s v="Misto (EMH)"/>
    <s v="rafael.esteves@cslbehring.com"/>
    <s v="RAFAEL ESTEVES (RJ/SPI/SUL)"/>
    <n v="0"/>
    <n v="0"/>
    <n v="18"/>
    <n v="0"/>
    <n v="0"/>
  </r>
  <r>
    <x v="0"/>
    <x v="1"/>
    <x v="0"/>
    <n v="410960000120"/>
    <x v="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64"/>
    <n v="685"/>
  </r>
  <r>
    <x v="0"/>
    <x v="1"/>
    <x v="0"/>
    <n v="132229000180"/>
    <x v="74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180"/>
  </r>
  <r>
    <x v="0"/>
    <x v="1"/>
    <x v="0"/>
    <n v="19274091000181"/>
    <x v="370"/>
    <s v="CARANGOLA"/>
    <s v="MG"/>
    <s v="1-Setorizado"/>
    <n v="1"/>
    <x v="5"/>
    <x v="5"/>
    <s v="Misto (EMH)"/>
    <s v="rafael.esteves@cslbehring.com"/>
    <s v="RAFAEL ESTEVES (RJ/SPI/SUL)"/>
    <n v="0"/>
    <n v="0"/>
    <n v="0"/>
    <n v="0"/>
    <n v="140"/>
  </r>
  <r>
    <x v="0"/>
    <x v="1"/>
    <x v="0"/>
    <n v="19878404000100"/>
    <x v="76"/>
    <s v="IPATINGA"/>
    <s v="MG"/>
    <s v="1-Setorizado"/>
    <n v="1"/>
    <x v="5"/>
    <x v="5"/>
    <s v="Misto (EMH)"/>
    <s v="rafael.esteves@cslbehring.com"/>
    <s v="RAFAEL ESTEVES (RJ/SPI/SUL)"/>
    <n v="0"/>
    <n v="0"/>
    <n v="0"/>
    <n v="80"/>
    <n v="0"/>
  </r>
  <r>
    <x v="0"/>
    <x v="1"/>
    <x v="0"/>
    <n v="21040696000311"/>
    <x v="77"/>
    <s v="ITAJUBÁ"/>
    <s v="MG"/>
    <s v="1-Setorizado"/>
    <n v="1"/>
    <x v="5"/>
    <x v="5"/>
    <s v="Misto (EMH)"/>
    <s v="rafael.esteves@cslbehring.com"/>
    <s v="RAFAEL ESTEVES (RJ/SPI/SUL)"/>
    <n v="0"/>
    <n v="4"/>
    <n v="5"/>
    <n v="0"/>
    <n v="0"/>
  </r>
  <r>
    <x v="0"/>
    <x v="1"/>
    <x v="0"/>
    <n v="25415993000193"/>
    <x v="371"/>
    <s v="JUIZ DE FORA"/>
    <s v="MG"/>
    <s v="1-Setorizado"/>
    <n v="1"/>
    <x v="5"/>
    <x v="5"/>
    <s v="Misto (EMH)"/>
    <s v="rafael.esteves@cslbehring.com"/>
    <s v="RAFAEL ESTEVES (RJ/SPI/SUL)"/>
    <n v="0"/>
    <n v="0"/>
    <n v="3"/>
    <n v="0"/>
    <n v="0"/>
  </r>
  <r>
    <x v="0"/>
    <x v="1"/>
    <x v="0"/>
    <n v="17689407000928"/>
    <x v="7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6"/>
    <n v="0"/>
  </r>
  <r>
    <x v="0"/>
    <x v="1"/>
    <x v="0"/>
    <n v="21299615000130"/>
    <x v="372"/>
    <s v="OURO BRANCO"/>
    <s v="MG"/>
    <s v="1-Setorizado"/>
    <n v="1"/>
    <x v="5"/>
    <x v="5"/>
    <s v="Misto (EMH)"/>
    <s v="rafael.esteves@cslbehring.com"/>
    <s v="RAFAEL ESTEVES (RJ/SPI/SUL)"/>
    <n v="6"/>
    <n v="0"/>
    <n v="0"/>
    <n v="0"/>
    <n v="0"/>
  </r>
  <r>
    <x v="0"/>
    <x v="1"/>
    <x v="0"/>
    <n v="23278898000160"/>
    <x v="79"/>
    <s v="PASSOS"/>
    <s v="MG"/>
    <s v="1-Setorizado"/>
    <n v="1"/>
    <x v="5"/>
    <x v="5"/>
    <s v="Misto (EMH)"/>
    <s v="rafael.esteves@cslbehring.com"/>
    <s v="RAFAEL ESTEVES (RJ/SPI/SUL)"/>
    <n v="0"/>
    <n v="0"/>
    <n v="0"/>
    <n v="0"/>
    <n v="120"/>
  </r>
  <r>
    <x v="0"/>
    <x v="1"/>
    <x v="0"/>
    <n v="23406564000124"/>
    <x v="373"/>
    <s v="PATROCÍNIO"/>
    <s v="MG"/>
    <s v="1-Setorizado"/>
    <n v="1"/>
    <x v="5"/>
    <x v="5"/>
    <s v="Misto (EMH)"/>
    <s v="rafael.esteves@cslbehring.com"/>
    <s v="RAFAEL ESTEVES (RJ/SPI/SUL)"/>
    <n v="6"/>
    <n v="0"/>
    <n v="0"/>
    <n v="0"/>
    <n v="0"/>
  </r>
  <r>
    <x v="0"/>
    <x v="1"/>
    <x v="0"/>
    <n v="41781949000234"/>
    <x v="81"/>
    <s v="POÇOS DE CALDAS"/>
    <s v="MG"/>
    <s v="1-Setorizado"/>
    <n v="1"/>
    <x v="5"/>
    <x v="5"/>
    <s v="Misto (EMH)"/>
    <s v="rafael.esteves@cslbehring.com"/>
    <s v="RAFAEL ESTEVES (RJ/SPI/SUL)"/>
    <n v="0"/>
    <n v="0"/>
    <n v="0"/>
    <n v="0"/>
    <n v="40"/>
  </r>
  <r>
    <x v="0"/>
    <x v="1"/>
    <x v="0"/>
    <n v="70306453673"/>
    <x v="374"/>
    <s v="RIBEIRÃO DAS NEVES"/>
    <s v="MG"/>
    <s v="1-Setorizado"/>
    <n v="1"/>
    <x v="5"/>
    <x v="5"/>
    <s v="Misto (EMH)"/>
    <s v="rafael.esteves@cslbehring.com"/>
    <s v="RAFAEL ESTEVES (RJ/SPI/SUL)"/>
    <n v="20"/>
    <n v="0"/>
    <n v="0"/>
    <n v="0"/>
    <n v="0"/>
  </r>
  <r>
    <x v="0"/>
    <x v="1"/>
    <x v="0"/>
    <n v="17774738000613"/>
    <x v="375"/>
    <s v="UBERABA"/>
    <s v="MG"/>
    <s v="1-Setorizado"/>
    <n v="1"/>
    <x v="5"/>
    <x v="5"/>
    <s v="Misto (EMH)"/>
    <s v="rafael.esteves@cslbehring.com"/>
    <s v="RAFAEL ESTEVES (RJ/SPI/SUL)"/>
    <n v="0"/>
    <n v="0"/>
    <n v="0"/>
    <n v="0"/>
    <n v="180"/>
  </r>
  <r>
    <x v="0"/>
    <x v="1"/>
    <x v="0"/>
    <n v="25761040000187"/>
    <x v="376"/>
    <s v="UBERLÂNDIA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1"/>
    <x v="0"/>
    <n v="18484378000173"/>
    <x v="85"/>
    <s v="UBERLÂNDIA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1"/>
    <x v="0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8"/>
    <n v="0"/>
  </r>
  <r>
    <x v="0"/>
    <x v="1"/>
    <x v="0"/>
    <n v="860841000179"/>
    <x v="88"/>
    <s v="CAMPO GRANDE"/>
    <s v="MS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1"/>
    <x v="0"/>
    <n v="860841000179"/>
    <x v="88"/>
    <s v="CAMPO GRANDE"/>
    <s v="MS"/>
    <s v="1-Setorizado"/>
    <n v="2"/>
    <x v="4"/>
    <x v="4"/>
    <s v="Hospitalar (HSP)"/>
    <s v="fernando.leony@cslbehring.com"/>
    <s v="FERNANDO LEONY (CO/NO/NE)"/>
    <n v="0"/>
    <n v="-2"/>
    <n v="0"/>
    <n v="0"/>
    <n v="0"/>
  </r>
  <r>
    <x v="0"/>
    <x v="1"/>
    <x v="0"/>
    <n v="7775847000278"/>
    <x v="377"/>
    <s v="DOURADOS"/>
    <s v="MS"/>
    <s v="1-Setorizado"/>
    <n v="2"/>
    <x v="6"/>
    <x v="6"/>
    <s v="Especialidade (ESP)"/>
    <s v="fernando.leony@cslbehring.com"/>
    <s v="FERNANDO LEONY (CO/NO/NE)"/>
    <n v="0"/>
    <n v="0"/>
    <n v="0"/>
    <n v="0"/>
    <n v="335"/>
  </r>
  <r>
    <x v="0"/>
    <x v="1"/>
    <x v="0"/>
    <n v="7775847000278"/>
    <x v="377"/>
    <s v="DOURADOS"/>
    <s v="MS"/>
    <s v="1-Setorizado"/>
    <n v="2"/>
    <x v="4"/>
    <x v="4"/>
    <s v="Hospitalar (HSP)"/>
    <s v="fernando.leony@cslbehring.com"/>
    <s v="FERNANDO LEONY (CO/NO/NE)"/>
    <n v="0"/>
    <n v="0"/>
    <n v="0"/>
    <n v="0"/>
    <n v="335"/>
  </r>
  <r>
    <x v="0"/>
    <x v="1"/>
    <x v="0"/>
    <n v="3533726001583"/>
    <x v="89"/>
    <s v="ACORIZAL"/>
    <s v="MT"/>
    <s v="1-Setorizado"/>
    <n v="2"/>
    <x v="6"/>
    <x v="6"/>
    <s v="Especialidade (ESP)"/>
    <s v="fernando.leony@cslbehring.com"/>
    <s v="FERNANDO LEONY (CO/NO/NE)"/>
    <n v="0"/>
    <n v="0"/>
    <n v="0"/>
    <n v="0"/>
    <n v="30"/>
  </r>
  <r>
    <x v="0"/>
    <x v="1"/>
    <x v="0"/>
    <n v="3533726001583"/>
    <x v="89"/>
    <s v="ACORIZAL"/>
    <s v="MT"/>
    <s v="1-Setorizado"/>
    <n v="2"/>
    <x v="4"/>
    <x v="4"/>
    <s v="Hospitalar (HSP)"/>
    <s v="fernando.leony@cslbehring.com"/>
    <s v="FERNANDO LEONY (CO/NO/NE)"/>
    <n v="0"/>
    <n v="0"/>
    <n v="0"/>
    <n v="0"/>
    <n v="30"/>
  </r>
  <r>
    <x v="0"/>
    <x v="1"/>
    <x v="0"/>
    <n v="1757351000104"/>
    <x v="91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1"/>
    <x v="0"/>
    <n v="1757351000104"/>
    <x v="91"/>
    <s v="CUIABÁ"/>
    <s v="MT"/>
    <s v="1-Setorizado"/>
    <n v="2"/>
    <x v="4"/>
    <x v="4"/>
    <s v="Hospitalar (HSP)"/>
    <s v="fernando.leony@cslbehring.com"/>
    <s v="FERNANDO LEONY (CO/NO/NE)"/>
    <n v="0"/>
    <n v="10"/>
    <n v="0"/>
    <n v="0"/>
    <n v="0"/>
  </r>
  <r>
    <x v="0"/>
    <x v="1"/>
    <x v="0"/>
    <n v="3925419000142"/>
    <x v="92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1"/>
    <x v="0"/>
    <n v="3925419000142"/>
    <x v="92"/>
    <s v="CUIABÁ"/>
    <s v="MT"/>
    <s v="1-Setorizado"/>
    <n v="2"/>
    <x v="4"/>
    <x v="4"/>
    <s v="Hospitalar (HSP)"/>
    <s v="fernando.leony@cslbehring.com"/>
    <s v="FERNANDO LEONY (CO/NO/NE)"/>
    <n v="0"/>
    <n v="8"/>
    <n v="0"/>
    <n v="0"/>
    <n v="0"/>
  </r>
  <r>
    <x v="0"/>
    <x v="1"/>
    <x v="0"/>
    <n v="3533726000773"/>
    <x v="93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90"/>
  </r>
  <r>
    <x v="0"/>
    <x v="1"/>
    <x v="0"/>
    <n v="3533726000773"/>
    <x v="93"/>
    <s v="CUIABÁ"/>
    <s v="MT"/>
    <s v="1-Setorizado"/>
    <n v="2"/>
    <x v="4"/>
    <x v="4"/>
    <s v="Hospitalar (HSP)"/>
    <s v="fernando.leony@cslbehring.com"/>
    <s v="FERNANDO LEONY (CO/NO/NE)"/>
    <n v="0"/>
    <n v="0"/>
    <n v="0"/>
    <n v="0"/>
    <n v="90"/>
  </r>
  <r>
    <x v="0"/>
    <x v="1"/>
    <x v="0"/>
    <n v="12361267000274"/>
    <x v="378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150"/>
  </r>
  <r>
    <x v="0"/>
    <x v="1"/>
    <x v="0"/>
    <n v="5054929000117"/>
    <x v="379"/>
    <s v="BELÉM"/>
    <s v="PA"/>
    <s v="1-Setorizado"/>
    <n v="1"/>
    <x v="2"/>
    <x v="2"/>
    <s v="Misto (EMH)"/>
    <s v="fernando.leony@cslbehring.com"/>
    <s v="FERNANDO LEONY (CO/NO/NE)"/>
    <n v="0"/>
    <n v="0"/>
    <n v="0"/>
    <n v="48"/>
    <n v="0"/>
  </r>
  <r>
    <x v="0"/>
    <x v="1"/>
    <x v="0"/>
    <n v="4201372001028"/>
    <x v="100"/>
    <s v="BELÉM"/>
    <s v="PA"/>
    <s v="1-Setorizado"/>
    <n v="1"/>
    <x v="2"/>
    <x v="2"/>
    <s v="Misto (EMH)"/>
    <s v="fernando.leony@cslbehring.com"/>
    <s v="FERNANDO LEONY (CO/NO/NE)"/>
    <n v="0"/>
    <n v="0"/>
    <n v="0"/>
    <n v="52"/>
    <n v="0"/>
  </r>
  <r>
    <x v="0"/>
    <x v="1"/>
    <x v="0"/>
    <n v="14112023000100"/>
    <x v="380"/>
    <s v="MARABÁ"/>
    <s v="PA"/>
    <s v="1-Setorizado"/>
    <n v="1"/>
    <x v="2"/>
    <x v="2"/>
    <s v="Misto (EMH)"/>
    <s v="fernando.leony@cslbehring.com"/>
    <s v="FERNANDO LEONY (CO/NO/NE)"/>
    <n v="0"/>
    <n v="0"/>
    <n v="0"/>
    <n v="0"/>
    <n v="18"/>
  </r>
  <r>
    <x v="0"/>
    <x v="1"/>
    <x v="0"/>
    <n v="24232886008303"/>
    <x v="101"/>
    <s v="SANTARÉM"/>
    <s v="PA"/>
    <s v="1-Setorizado"/>
    <n v="1"/>
    <x v="2"/>
    <x v="2"/>
    <s v="Misto (EMH)"/>
    <s v="fernando.leony@cslbehring.com"/>
    <s v="FERNANDO LEONY (CO/NO/NE)"/>
    <n v="0"/>
    <n v="2"/>
    <n v="0"/>
    <n v="0"/>
    <n v="0"/>
  </r>
  <r>
    <x v="0"/>
    <x v="1"/>
    <x v="0"/>
    <n v="8680639000681"/>
    <x v="103"/>
    <s v="JOÃO PESSOA"/>
    <s v="PB"/>
    <s v="1-Setorizado"/>
    <n v="2"/>
    <x v="0"/>
    <x v="0"/>
    <s v="Especialidade (ESP)"/>
    <s v="fernando.leony@cslbehring.com"/>
    <s v="FERNANDO LEONY (CO/NO/NE)"/>
    <n v="0"/>
    <n v="0"/>
    <n v="0"/>
    <n v="68"/>
    <n v="155"/>
  </r>
  <r>
    <x v="0"/>
    <x v="1"/>
    <x v="0"/>
    <n v="8680639000681"/>
    <x v="103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155"/>
  </r>
  <r>
    <x v="0"/>
    <x v="1"/>
    <x v="0"/>
    <n v="9039744000275"/>
    <x v="381"/>
    <s v="PAULISTA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9039744000275"/>
    <x v="381"/>
    <s v="PAULISTA"/>
    <s v="PE"/>
    <s v="1-Setorizado"/>
    <n v="2"/>
    <x v="7"/>
    <x v="7"/>
    <s v="Hospitalar (HSP)"/>
    <s v="fernando.leony@cslbehring.com"/>
    <s v="FERNANDO LEONY (CO/NO/NE)"/>
    <n v="0"/>
    <n v="1"/>
    <n v="0"/>
    <n v="0"/>
    <n v="0"/>
  </r>
  <r>
    <x v="0"/>
    <x v="1"/>
    <x v="0"/>
    <n v="2284062000106"/>
    <x v="382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2284062000106"/>
    <x v="382"/>
    <s v="RECIFE"/>
    <s v="PE"/>
    <s v="1-Setorizado"/>
    <n v="2"/>
    <x v="7"/>
    <x v="7"/>
    <s v="Hospitalar (HSP)"/>
    <s v="fernando.leony@cslbehring.com"/>
    <s v="FERNANDO LEONY (CO/NO/NE)"/>
    <n v="0"/>
    <n v="6"/>
    <n v="4"/>
    <n v="0"/>
    <n v="0"/>
  </r>
  <r>
    <x v="0"/>
    <x v="1"/>
    <x v="0"/>
    <n v="12361267007287"/>
    <x v="383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150"/>
  </r>
  <r>
    <x v="0"/>
    <x v="1"/>
    <x v="0"/>
    <n v="12361267007287"/>
    <x v="383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150"/>
  </r>
  <r>
    <x v="0"/>
    <x v="1"/>
    <x v="0"/>
    <n v="11452240000143"/>
    <x v="106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635"/>
  </r>
  <r>
    <x v="0"/>
    <x v="1"/>
    <x v="0"/>
    <n v="11452240000143"/>
    <x v="106"/>
    <s v="RECIFE"/>
    <s v="PE"/>
    <s v="1-Setorizado"/>
    <n v="2"/>
    <x v="7"/>
    <x v="7"/>
    <s v="Hospitalar (HSP)"/>
    <s v="fernando.leony@cslbehring.com"/>
    <s v="FERNANDO LEONY (CO/NO/NE)"/>
    <n v="0"/>
    <n v="0"/>
    <n v="1"/>
    <n v="0"/>
    <n v="635"/>
  </r>
  <r>
    <x v="0"/>
    <x v="1"/>
    <x v="0"/>
    <n v="6047087009276"/>
    <x v="10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6047087009276"/>
    <x v="107"/>
    <s v="RECIFE"/>
    <s v="PE"/>
    <s v="1-Setorizado"/>
    <n v="2"/>
    <x v="7"/>
    <x v="7"/>
    <s v="Hospitalar (HSP)"/>
    <s v="fernando.leony@cslbehring.com"/>
    <s v="FERNANDO LEONY (CO/NO/NE)"/>
    <n v="0"/>
    <n v="0"/>
    <n v="2"/>
    <n v="0"/>
    <n v="0"/>
  </r>
  <r>
    <x v="0"/>
    <x v="1"/>
    <x v="0"/>
    <n v="2284062000440"/>
    <x v="109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2284062000440"/>
    <x v="109"/>
    <s v="RECIFE"/>
    <s v="PE"/>
    <s v="1-Setorizado"/>
    <n v="2"/>
    <x v="7"/>
    <x v="7"/>
    <s v="Hospitalar (HSP)"/>
    <s v="fernando.leony@cslbehring.com"/>
    <s v="FERNANDO LEONY (CO/NO/NE)"/>
    <n v="0"/>
    <n v="55"/>
    <n v="0"/>
    <n v="0"/>
    <n v="0"/>
  </r>
  <r>
    <x v="0"/>
    <x v="1"/>
    <x v="0"/>
    <n v="11214624000470"/>
    <x v="384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100"/>
  </r>
  <r>
    <x v="0"/>
    <x v="1"/>
    <x v="0"/>
    <n v="11214624000470"/>
    <x v="384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100"/>
  </r>
  <r>
    <x v="0"/>
    <x v="1"/>
    <x v="0"/>
    <n v="11022597001597"/>
    <x v="385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1022597001597"/>
    <x v="385"/>
    <s v="RECIFE"/>
    <s v="PE"/>
    <s v="1-Setorizado"/>
    <n v="2"/>
    <x v="7"/>
    <x v="7"/>
    <s v="Hospitalar (HSP)"/>
    <s v="fernando.leony@cslbehring.com"/>
    <s v="FERNANDO LEONY (CO/NO/NE)"/>
    <n v="0"/>
    <n v="25"/>
    <n v="0"/>
    <n v="0"/>
    <n v="0"/>
  </r>
  <r>
    <x v="0"/>
    <x v="1"/>
    <x v="0"/>
    <n v="10839561000132"/>
    <x v="11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32"/>
    <n v="420"/>
  </r>
  <r>
    <x v="0"/>
    <x v="1"/>
    <x v="0"/>
    <n v="10839561000132"/>
    <x v="111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420"/>
  </r>
  <r>
    <x v="0"/>
    <x v="1"/>
    <x v="0"/>
    <n v="11273170000166"/>
    <x v="386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500"/>
  </r>
  <r>
    <x v="0"/>
    <x v="1"/>
    <x v="0"/>
    <n v="11273170000166"/>
    <x v="386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500"/>
  </r>
  <r>
    <x v="0"/>
    <x v="1"/>
    <x v="0"/>
    <n v="6555031000276"/>
    <x v="113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20"/>
    <n v="0"/>
  </r>
  <r>
    <x v="0"/>
    <x v="1"/>
    <x v="0"/>
    <n v="6555031000276"/>
    <x v="113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1"/>
    <x v="0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120"/>
    <n v="4350"/>
  </r>
  <r>
    <x v="0"/>
    <x v="1"/>
    <x v="0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350"/>
  </r>
  <r>
    <x v="0"/>
    <x v="1"/>
    <x v="0"/>
    <n v="7404052000172"/>
    <x v="11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5"/>
  </r>
  <r>
    <x v="0"/>
    <x v="1"/>
    <x v="0"/>
    <n v="7404052000172"/>
    <x v="11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5"/>
  </r>
  <r>
    <x v="0"/>
    <x v="1"/>
    <x v="0"/>
    <n v="8597121000174"/>
    <x v="119"/>
    <s v="CURITIBA"/>
    <s v="PR"/>
    <s v="1-Setorizado"/>
    <n v="2"/>
    <x v="8"/>
    <x v="8"/>
    <s v="Especialidade (ESP)"/>
    <s v="rafael.esteves@cslbehring.com"/>
    <s v="RAFAEL ESTEVES (RJ/SPI/SUL)"/>
    <n v="80"/>
    <n v="0"/>
    <n v="0"/>
    <n v="0"/>
    <n v="0"/>
  </r>
  <r>
    <x v="0"/>
    <x v="1"/>
    <x v="0"/>
    <n v="8597121000174"/>
    <x v="11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1"/>
    <x v="0"/>
    <n v="942063000167"/>
    <x v="120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55"/>
  </r>
  <r>
    <x v="0"/>
    <x v="1"/>
    <x v="0"/>
    <n v="942063000167"/>
    <x v="120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755"/>
  </r>
  <r>
    <x v="0"/>
    <x v="1"/>
    <x v="0"/>
    <n v="9579964000291"/>
    <x v="38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250"/>
  </r>
  <r>
    <x v="0"/>
    <x v="1"/>
    <x v="0"/>
    <n v="9579964000291"/>
    <x v="38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250"/>
  </r>
  <r>
    <x v="0"/>
    <x v="1"/>
    <x v="0"/>
    <n v="76591569000130"/>
    <x v="121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0"/>
  </r>
  <r>
    <x v="0"/>
    <x v="1"/>
    <x v="0"/>
    <n v="76591569000130"/>
    <x v="121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50"/>
  </r>
  <r>
    <x v="0"/>
    <x v="1"/>
    <x v="0"/>
    <n v="76659820002367"/>
    <x v="122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315"/>
  </r>
  <r>
    <x v="0"/>
    <x v="1"/>
    <x v="0"/>
    <n v="76659820002367"/>
    <x v="122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315"/>
  </r>
  <r>
    <x v="0"/>
    <x v="1"/>
    <x v="0"/>
    <n v="76498013000102"/>
    <x v="38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5"/>
  </r>
  <r>
    <x v="0"/>
    <x v="1"/>
    <x v="0"/>
    <n v="76498013000102"/>
    <x v="38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5"/>
  </r>
  <r>
    <x v="0"/>
    <x v="1"/>
    <x v="0"/>
    <n v="76555069000143"/>
    <x v="12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0"/>
  </r>
  <r>
    <x v="0"/>
    <x v="1"/>
    <x v="0"/>
    <n v="76555069000143"/>
    <x v="124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70"/>
  </r>
  <r>
    <x v="0"/>
    <x v="1"/>
    <x v="0"/>
    <n v="29435005005600"/>
    <x v="125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5"/>
  </r>
  <r>
    <x v="0"/>
    <x v="1"/>
    <x v="0"/>
    <n v="29435005005600"/>
    <x v="12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55"/>
  </r>
  <r>
    <x v="0"/>
    <x v="1"/>
    <x v="0"/>
    <n v="3824198000116"/>
    <x v="126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0"/>
  </r>
  <r>
    <x v="0"/>
    <x v="1"/>
    <x v="0"/>
    <n v="3824198000116"/>
    <x v="126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50"/>
  </r>
  <r>
    <x v="0"/>
    <x v="1"/>
    <x v="0"/>
    <n v="3850913000195"/>
    <x v="12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20"/>
  </r>
  <r>
    <x v="0"/>
    <x v="1"/>
    <x v="0"/>
    <n v="3850913000195"/>
    <x v="12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20"/>
  </r>
  <r>
    <x v="0"/>
    <x v="1"/>
    <x v="0"/>
    <n v="78633088000176"/>
    <x v="389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1"/>
    <x v="0"/>
    <n v="78633088000176"/>
    <x v="389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1"/>
    <x v="0"/>
    <n v="4762301000103"/>
    <x v="390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80"/>
  </r>
  <r>
    <x v="0"/>
    <x v="1"/>
    <x v="0"/>
    <n v="4762301000103"/>
    <x v="390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80"/>
  </r>
  <r>
    <x v="0"/>
    <x v="1"/>
    <x v="0"/>
    <n v="73863342000109"/>
    <x v="131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1"/>
    <x v="0"/>
    <n v="73863342000109"/>
    <x v="131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1"/>
    <x v="0"/>
    <n v="75222224001895"/>
    <x v="132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200"/>
  </r>
  <r>
    <x v="0"/>
    <x v="1"/>
    <x v="0"/>
    <n v="75222224001895"/>
    <x v="132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200"/>
  </r>
  <r>
    <x v="0"/>
    <x v="1"/>
    <x v="0"/>
    <n v="79115762000193"/>
    <x v="391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225"/>
  </r>
  <r>
    <x v="0"/>
    <x v="1"/>
    <x v="0"/>
    <n v="79115762000193"/>
    <x v="391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225"/>
  </r>
  <r>
    <x v="0"/>
    <x v="1"/>
    <x v="0"/>
    <n v="7794623002257"/>
    <x v="134"/>
    <s v="SÃO JOSÉ DOS PINHAIS"/>
    <s v="PR"/>
    <s v="1-Setorizado"/>
    <n v="2"/>
    <x v="8"/>
    <x v="8"/>
    <s v="Especialidade (ESP)"/>
    <s v="rafael.esteves@cslbehring.com"/>
    <s v="RAFAEL ESTEVES (RJ/SPI/SUL)"/>
    <n v="0"/>
    <n v="0"/>
    <n v="0"/>
    <n v="0"/>
    <n v="415"/>
  </r>
  <r>
    <x v="0"/>
    <x v="1"/>
    <x v="0"/>
    <n v="7794623002257"/>
    <x v="134"/>
    <s v="SÃO JOSÉ DOS PINHAIS"/>
    <s v="PR"/>
    <s v="1-Setorizado"/>
    <n v="2"/>
    <x v="9"/>
    <x v="9"/>
    <s v="Hospitalar (HSP)"/>
    <s v="rafael.esteves@cslbehring.com"/>
    <s v="RAFAEL ESTEVES (RJ/SPI/SUL)"/>
    <n v="0"/>
    <n v="0"/>
    <n v="0"/>
    <n v="0"/>
    <n v="415"/>
  </r>
  <r>
    <x v="0"/>
    <x v="1"/>
    <x v="0"/>
    <n v="36238913000198"/>
    <x v="392"/>
    <s v="ANGRA DOS REI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25"/>
  </r>
  <r>
    <x v="0"/>
    <x v="1"/>
    <x v="0"/>
    <n v="36238913000198"/>
    <x v="392"/>
    <s v="ANGRA DOS REIS"/>
    <s v="RJ"/>
    <s v="1-Setorizado"/>
    <n v="2"/>
    <x v="12"/>
    <x v="12"/>
    <s v="Hospitalar (HSP)"/>
    <s v="rafael.esteves@cslbehring.com"/>
    <s v="RAFAEL ESTEVES (RJ/SPI/SUL)"/>
    <n v="0"/>
    <n v="0"/>
    <n v="0"/>
    <n v="0"/>
    <n v="125"/>
  </r>
  <r>
    <x v="0"/>
    <x v="1"/>
    <x v="0"/>
    <n v="8562523000133"/>
    <x v="393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8562523000133"/>
    <x v="393"/>
    <s v="DUQUE DE CAXIAS"/>
    <s v="RJ"/>
    <s v="1-Setorizado"/>
    <n v="2"/>
    <x v="12"/>
    <x v="12"/>
    <s v="Hospitalar (HSP)"/>
    <s v="rafael.esteves@cslbehring.com"/>
    <s v="RAFAEL ESTEVES (RJ/SPI/SUL)"/>
    <n v="0"/>
    <n v="5"/>
    <n v="2"/>
    <n v="0"/>
    <n v="0"/>
  </r>
  <r>
    <x v="0"/>
    <x v="1"/>
    <x v="0"/>
    <n v="6047087001372"/>
    <x v="135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6047087001372"/>
    <x v="135"/>
    <s v="DUQUE DE CAXIAS"/>
    <s v="RJ"/>
    <s v="1-Setorizado"/>
    <n v="2"/>
    <x v="11"/>
    <x v="11"/>
    <s v="Hospitalar (HSP)"/>
    <s v="rafael.esteves@cslbehring.com"/>
    <s v="RAFAEL ESTEVES (RJ/SPI/SUL)"/>
    <n v="0"/>
    <n v="3"/>
    <n v="4"/>
    <n v="0"/>
    <n v="0"/>
  </r>
  <r>
    <x v="0"/>
    <x v="1"/>
    <x v="0"/>
    <n v="29435005003497"/>
    <x v="394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1"/>
    <x v="0"/>
    <n v="29435005003497"/>
    <x v="394"/>
    <s v="DUQUE DE CAXIAS"/>
    <s v="RJ"/>
    <s v="1-Setorizado"/>
    <n v="2"/>
    <x v="12"/>
    <x v="12"/>
    <s v="Hospitalar (HSP)"/>
    <s v="rafael.esteves@cslbehring.com"/>
    <s v="RAFAEL ESTEVES (RJ/SPI/SUL)"/>
    <n v="0"/>
    <n v="0"/>
    <n v="0"/>
    <n v="0"/>
    <n v="150"/>
  </r>
  <r>
    <x v="0"/>
    <x v="1"/>
    <x v="0"/>
    <n v="29640612000120"/>
    <x v="395"/>
    <s v="ITAPERUNA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29640612000120"/>
    <x v="395"/>
    <s v="ITAPERUNA"/>
    <s v="RJ"/>
    <s v="1-Setorizado"/>
    <n v="2"/>
    <x v="12"/>
    <x v="12"/>
    <s v="Hospitalar (HSP)"/>
    <s v="rafael.esteves@cslbehring.com"/>
    <s v="RAFAEL ESTEVES (RJ/SPI/SUL)"/>
    <n v="0"/>
    <n v="0"/>
    <n v="1"/>
    <n v="0"/>
    <n v="0"/>
  </r>
  <r>
    <x v="0"/>
    <x v="1"/>
    <x v="0"/>
    <n v="30079461000162"/>
    <x v="396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30079461000162"/>
    <x v="396"/>
    <s v="NITERÓI"/>
    <s v="RJ"/>
    <s v="1-Setorizado"/>
    <n v="2"/>
    <x v="11"/>
    <x v="11"/>
    <s v="Hospitalar (HSP)"/>
    <s v="rafael.esteves@cslbehring.com"/>
    <s v="RAFAEL ESTEVES (RJ/SPI/SUL)"/>
    <n v="0"/>
    <n v="16"/>
    <n v="2"/>
    <n v="0"/>
    <n v="0"/>
  </r>
  <r>
    <x v="0"/>
    <x v="1"/>
    <x v="0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228"/>
    <n v="505"/>
  </r>
  <r>
    <x v="0"/>
    <x v="1"/>
    <x v="0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505"/>
  </r>
  <r>
    <x v="0"/>
    <x v="1"/>
    <x v="0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18"/>
    <n v="985"/>
  </r>
  <r>
    <x v="0"/>
    <x v="1"/>
    <x v="0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17"/>
    <n v="6"/>
    <n v="0"/>
    <n v="985"/>
  </r>
  <r>
    <x v="0"/>
    <x v="1"/>
    <x v="0"/>
    <n v="521197000104"/>
    <x v="139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638"/>
  </r>
  <r>
    <x v="0"/>
    <x v="1"/>
    <x v="0"/>
    <n v="521197000104"/>
    <x v="139"/>
    <s v="NITERÓI"/>
    <s v="RJ"/>
    <s v="1-Setorizado"/>
    <n v="2"/>
    <x v="12"/>
    <x v="12"/>
    <s v="Hospitalar (HSP)"/>
    <s v="rafael.esteves@cslbehring.com"/>
    <s v="RAFAEL ESTEVES (RJ/SPI/SUL)"/>
    <n v="0"/>
    <n v="0"/>
    <n v="0"/>
    <n v="0"/>
    <n v="638"/>
  </r>
  <r>
    <x v="0"/>
    <x v="1"/>
    <x v="0"/>
    <n v="30537740000122"/>
    <x v="397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15"/>
  </r>
  <r>
    <x v="0"/>
    <x v="1"/>
    <x v="0"/>
    <n v="30537740000122"/>
    <x v="397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215"/>
  </r>
  <r>
    <x v="0"/>
    <x v="1"/>
    <x v="0"/>
    <n v="29135795000208"/>
    <x v="140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75"/>
  </r>
  <r>
    <x v="0"/>
    <x v="1"/>
    <x v="0"/>
    <n v="29135795000208"/>
    <x v="140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275"/>
  </r>
  <r>
    <x v="0"/>
    <x v="1"/>
    <x v="0"/>
    <n v="7794623001528"/>
    <x v="141"/>
    <s v="NOVA IGUAÇU"/>
    <s v="RJ"/>
    <s v="1-Setorizado"/>
    <n v="2"/>
    <x v="10"/>
    <x v="10"/>
    <s v="Especialidade (ESP)"/>
    <s v="rafael.esteves@cslbehring.com"/>
    <s v="RAFAEL ESTEVES (RJ/SPI/SUL)"/>
    <n v="0"/>
    <n v="0"/>
    <n v="0"/>
    <n v="28"/>
    <n v="0"/>
  </r>
  <r>
    <x v="0"/>
    <x v="1"/>
    <x v="0"/>
    <n v="7794623001528"/>
    <x v="141"/>
    <s v="NOVA IGUAÇU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1"/>
    <x v="0"/>
    <n v="28806545000532"/>
    <x v="142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96"/>
    <n v="0"/>
  </r>
  <r>
    <x v="0"/>
    <x v="1"/>
    <x v="0"/>
    <n v="28806545000532"/>
    <x v="142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1"/>
    <x v="0"/>
    <n v="68709211000212"/>
    <x v="143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1"/>
    <x v="0"/>
    <n v="68709211000212"/>
    <x v="143"/>
    <s v="RESENDE"/>
    <s v="RJ"/>
    <s v="1-Setorizado"/>
    <n v="2"/>
    <x v="12"/>
    <x v="12"/>
    <s v="Hospitalar (HSP)"/>
    <s v="rafael.esteves@cslbehring.com"/>
    <s v="RAFAEL ESTEVES (RJ/SPI/SUL)"/>
    <n v="0"/>
    <n v="1"/>
    <n v="0"/>
    <n v="0"/>
    <n v="200"/>
  </r>
  <r>
    <x v="0"/>
    <x v="1"/>
    <x v="0"/>
    <n v="29435005005279"/>
    <x v="39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29435005005279"/>
    <x v="398"/>
    <s v="RIO DE JANEIRO"/>
    <s v="RJ"/>
    <s v="1-Setorizado"/>
    <n v="2"/>
    <x v="11"/>
    <x v="11"/>
    <s v="Hospitalar (HSP)"/>
    <s v="rafael.esteves@cslbehring.com"/>
    <s v="RAFAEL ESTEVES (RJ/SPI/SUL)"/>
    <n v="0"/>
    <n v="5"/>
    <n v="0"/>
    <n v="0"/>
    <n v="0"/>
  </r>
  <r>
    <x v="0"/>
    <x v="1"/>
    <x v="0"/>
    <n v="60922168000348"/>
    <x v="14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10"/>
  </r>
  <r>
    <x v="0"/>
    <x v="1"/>
    <x v="0"/>
    <n v="60922168000348"/>
    <x v="146"/>
    <s v="RIO DE JANEIRO"/>
    <s v="RJ"/>
    <s v="1-Setorizado"/>
    <n v="2"/>
    <x v="11"/>
    <x v="11"/>
    <s v="Hospitalar (HSP)"/>
    <s v="rafael.esteves@cslbehring.com"/>
    <s v="RAFAEL ESTEVES (RJ/SPI/SUL)"/>
    <n v="0"/>
    <n v="4"/>
    <n v="9"/>
    <n v="0"/>
    <n v="210"/>
  </r>
  <r>
    <x v="0"/>
    <x v="1"/>
    <x v="0"/>
    <n v="7794623004896"/>
    <x v="14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700"/>
  </r>
  <r>
    <x v="0"/>
    <x v="1"/>
    <x v="0"/>
    <n v="7794623004896"/>
    <x v="14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700"/>
  </r>
  <r>
    <x v="0"/>
    <x v="1"/>
    <x v="0"/>
    <n v="2864097000106"/>
    <x v="14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1"/>
    <x v="0"/>
    <n v="2864097000106"/>
    <x v="14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1"/>
    <x v="0"/>
    <n v="40320103000153"/>
    <x v="39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40320103000153"/>
    <x v="399"/>
    <s v="RIO DE JANEIRO"/>
    <s v="RJ"/>
    <s v="1-Setorizado"/>
    <n v="2"/>
    <x v="12"/>
    <x v="12"/>
    <s v="Hospitalar (HSP)"/>
    <s v="rafael.esteves@cslbehring.com"/>
    <s v="RAFAEL ESTEVES (RJ/SPI/SUL)"/>
    <n v="0"/>
    <n v="5"/>
    <n v="0"/>
    <n v="0"/>
    <n v="0"/>
  </r>
  <r>
    <x v="0"/>
    <x v="1"/>
    <x v="0"/>
    <n v="22400856000197"/>
    <x v="40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50"/>
  </r>
  <r>
    <x v="0"/>
    <x v="1"/>
    <x v="0"/>
    <n v="22400856000197"/>
    <x v="400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50"/>
  </r>
  <r>
    <x v="0"/>
    <x v="1"/>
    <x v="0"/>
    <n v="39086160000130"/>
    <x v="15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8"/>
    <n v="150"/>
  </r>
  <r>
    <x v="0"/>
    <x v="1"/>
    <x v="0"/>
    <n v="39086160000130"/>
    <x v="15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1"/>
    <x v="0"/>
    <n v="21265360000195"/>
    <x v="15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1"/>
    <x v="0"/>
    <n v="21265360000195"/>
    <x v="152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1"/>
    <x v="0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36"/>
    <n v="0"/>
  </r>
  <r>
    <x v="0"/>
    <x v="1"/>
    <x v="0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1"/>
    <x v="0"/>
    <n v="42297507000107"/>
    <x v="40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42297507000107"/>
    <x v="401"/>
    <s v="RIO DE JANEIRO"/>
    <s v="RJ"/>
    <s v="1-Setorizado"/>
    <n v="2"/>
    <x v="11"/>
    <x v="11"/>
    <s v="Hospitalar (HSP)"/>
    <s v="rafael.esteves@cslbehring.com"/>
    <s v="RAFAEL ESTEVES (RJ/SPI/SUL)"/>
    <n v="0"/>
    <n v="4"/>
    <n v="4"/>
    <n v="0"/>
    <n v="0"/>
  </r>
  <r>
    <x v="0"/>
    <x v="1"/>
    <x v="0"/>
    <n v="2284062000521"/>
    <x v="15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2284062000521"/>
    <x v="155"/>
    <s v="RIO DE JANEIRO"/>
    <s v="RJ"/>
    <s v="1-Setorizado"/>
    <n v="2"/>
    <x v="12"/>
    <x v="12"/>
    <s v="Hospitalar (HSP)"/>
    <s v="rafael.esteves@cslbehring.com"/>
    <s v="RAFAEL ESTEVES (RJ/SPI/SUL)"/>
    <n v="0"/>
    <n v="22"/>
    <n v="3"/>
    <n v="0"/>
    <n v="0"/>
  </r>
  <r>
    <x v="0"/>
    <x v="1"/>
    <x v="0"/>
    <n v="24217779000160"/>
    <x v="15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24217779000160"/>
    <x v="156"/>
    <s v="RIO DE JANEIRO"/>
    <s v="RJ"/>
    <s v="1-Setorizado"/>
    <n v="2"/>
    <x v="12"/>
    <x v="12"/>
    <s v="Hospitalar (HSP)"/>
    <s v="rafael.esteves@cslbehring.com"/>
    <s v="RAFAEL ESTEVES (RJ/SPI/SUL)"/>
    <n v="0"/>
    <n v="4"/>
    <n v="0"/>
    <n v="0"/>
    <n v="0"/>
  </r>
  <r>
    <x v="0"/>
    <x v="1"/>
    <x v="0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15"/>
    <n v="10"/>
    <n v="0"/>
    <n v="0"/>
  </r>
  <r>
    <x v="0"/>
    <x v="1"/>
    <x v="0"/>
    <n v="6047087002697"/>
    <x v="16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75"/>
  </r>
  <r>
    <x v="0"/>
    <x v="1"/>
    <x v="0"/>
    <n v="6047087002697"/>
    <x v="160"/>
    <s v="RIO DE JANEIRO"/>
    <s v="RJ"/>
    <s v="1-Setorizado"/>
    <n v="2"/>
    <x v="11"/>
    <x v="11"/>
    <s v="Hospitalar (HSP)"/>
    <s v="rafael.esteves@cslbehring.com"/>
    <s v="RAFAEL ESTEVES (RJ/SPI/SUL)"/>
    <n v="0"/>
    <n v="0"/>
    <n v="9"/>
    <n v="0"/>
    <n v="75"/>
  </r>
  <r>
    <x v="0"/>
    <x v="1"/>
    <x v="0"/>
    <n v="34058123000103"/>
    <x v="40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34058123000103"/>
    <x v="402"/>
    <s v="RIO DE JANEIRO"/>
    <s v="RJ"/>
    <s v="1-Setorizado"/>
    <n v="2"/>
    <x v="11"/>
    <x v="11"/>
    <s v="Hospitalar (HSP)"/>
    <s v="rafael.esteves@cslbehring.com"/>
    <s v="RAFAEL ESTEVES (RJ/SPI/SUL)"/>
    <n v="0"/>
    <n v="16"/>
    <n v="6"/>
    <n v="0"/>
    <n v="0"/>
  </r>
  <r>
    <x v="0"/>
    <x v="1"/>
    <x v="0"/>
    <n v="394502014870"/>
    <x v="40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394502014870"/>
    <x v="403"/>
    <s v="RIO DE JANEIRO"/>
    <s v="RJ"/>
    <s v="1-Setorizado"/>
    <n v="2"/>
    <x v="12"/>
    <x v="12"/>
    <s v="Hospitalar (HSP)"/>
    <s v="rafael.esteves@cslbehring.com"/>
    <s v="RAFAEL ESTEVES (RJ/SPI/SUL)"/>
    <n v="0"/>
    <n v="10"/>
    <n v="0"/>
    <n v="0"/>
    <n v="0"/>
  </r>
  <r>
    <x v="0"/>
    <x v="1"/>
    <x v="0"/>
    <n v="9578217000158"/>
    <x v="16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9578217000158"/>
    <x v="167"/>
    <s v="RIO DE JANEIRO"/>
    <s v="RJ"/>
    <s v="1-Setorizado"/>
    <n v="2"/>
    <x v="11"/>
    <x v="11"/>
    <s v="Hospitalar (HSP)"/>
    <s v="rafael.esteves@cslbehring.com"/>
    <s v="RAFAEL ESTEVES (RJ/SPI/SUL)"/>
    <n v="0"/>
    <n v="4"/>
    <n v="3"/>
    <n v="0"/>
    <n v="0"/>
  </r>
  <r>
    <x v="0"/>
    <x v="1"/>
    <x v="0"/>
    <n v="29435005005783"/>
    <x v="16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85"/>
  </r>
  <r>
    <x v="0"/>
    <x v="1"/>
    <x v="0"/>
    <n v="29435005005783"/>
    <x v="169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385"/>
  </r>
  <r>
    <x v="0"/>
    <x v="1"/>
    <x v="0"/>
    <n v="29435005005198"/>
    <x v="17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1"/>
    <x v="0"/>
    <n v="29435005005198"/>
    <x v="170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0"/>
  </r>
  <r>
    <x v="0"/>
    <x v="1"/>
    <x v="0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55"/>
    <n v="120"/>
    <n v="0"/>
    <n v="0"/>
  </r>
  <r>
    <x v="0"/>
    <x v="1"/>
    <x v="0"/>
    <n v="29259736000403"/>
    <x v="17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1"/>
    <x v="0"/>
    <n v="29259736000403"/>
    <x v="172"/>
    <s v="RIO DE JANEIRO"/>
    <s v="RJ"/>
    <s v="1-Setorizado"/>
    <n v="2"/>
    <x v="11"/>
    <x v="11"/>
    <s v="Hospitalar (HSP)"/>
    <s v="rafael.esteves@cslbehring.com"/>
    <s v="RAFAEL ESTEVES (RJ/SPI/SUL)"/>
    <n v="0"/>
    <n v="2"/>
    <n v="56"/>
    <n v="0"/>
    <n v="0"/>
  </r>
  <r>
    <x v="0"/>
    <x v="1"/>
    <x v="0"/>
    <n v="8100676002102"/>
    <x v="17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400"/>
  </r>
  <r>
    <x v="0"/>
    <x v="1"/>
    <x v="0"/>
    <n v="8100676002102"/>
    <x v="173"/>
    <s v="RIO DE JANEIRO"/>
    <s v="RJ"/>
    <s v="1-Setorizado"/>
    <n v="2"/>
    <x v="11"/>
    <x v="11"/>
    <s v="Hospitalar (HSP)"/>
    <s v="rafael.esteves@cslbehring.com"/>
    <s v="RAFAEL ESTEVES (RJ/SPI/SUL)"/>
    <n v="0"/>
    <n v="30"/>
    <n v="0"/>
    <n v="0"/>
    <n v="400"/>
  </r>
  <r>
    <x v="0"/>
    <x v="1"/>
    <x v="0"/>
    <n v="29435005006160"/>
    <x v="17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29435005006160"/>
    <x v="174"/>
    <s v="RIO DE JANEIRO"/>
    <s v="RJ"/>
    <s v="1-Setorizado"/>
    <n v="2"/>
    <x v="11"/>
    <x v="11"/>
    <s v="Hospitalar (HSP)"/>
    <s v="rafael.esteves@cslbehring.com"/>
    <s v="RAFAEL ESTEVES (RJ/SPI/SUL)"/>
    <n v="0"/>
    <n v="14"/>
    <n v="4"/>
    <n v="0"/>
    <n v="0"/>
  </r>
  <r>
    <x v="0"/>
    <x v="1"/>
    <x v="0"/>
    <n v="53221255004995"/>
    <x v="17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53221255004995"/>
    <x v="175"/>
    <s v="RIO DE JANEIRO"/>
    <s v="RJ"/>
    <s v="1-Setorizado"/>
    <n v="2"/>
    <x v="11"/>
    <x v="11"/>
    <s v="Hospitalar (HSP)"/>
    <s v="rafael.esteves@cslbehring.com"/>
    <s v="RAFAEL ESTEVES (RJ/SPI/SUL)"/>
    <n v="0"/>
    <n v="0"/>
    <n v="1"/>
    <n v="0"/>
    <n v="0"/>
  </r>
  <r>
    <x v="0"/>
    <x v="1"/>
    <x v="0"/>
    <n v="60884855001630"/>
    <x v="17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60"/>
  </r>
  <r>
    <x v="0"/>
    <x v="1"/>
    <x v="0"/>
    <n v="60884855001630"/>
    <x v="176"/>
    <s v="RIO DE JANEIRO"/>
    <s v="RJ"/>
    <s v="1-Setorizado"/>
    <n v="2"/>
    <x v="12"/>
    <x v="12"/>
    <s v="Hospitalar (HSP)"/>
    <s v="rafael.esteves@cslbehring.com"/>
    <s v="RAFAEL ESTEVES (RJ/SPI/SUL)"/>
    <n v="0"/>
    <n v="25"/>
    <n v="10"/>
    <n v="0"/>
    <n v="160"/>
  </r>
  <r>
    <x v="0"/>
    <x v="1"/>
    <x v="0"/>
    <n v="18010750000100"/>
    <x v="17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65"/>
  </r>
  <r>
    <x v="0"/>
    <x v="1"/>
    <x v="0"/>
    <n v="18010750000100"/>
    <x v="177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265"/>
  </r>
  <r>
    <x v="0"/>
    <x v="1"/>
    <x v="0"/>
    <n v="33663683005347"/>
    <x v="17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800"/>
  </r>
  <r>
    <x v="0"/>
    <x v="1"/>
    <x v="0"/>
    <n v="33663683005347"/>
    <x v="178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800"/>
  </r>
  <r>
    <x v="0"/>
    <x v="1"/>
    <x v="0"/>
    <n v="8850962000222"/>
    <x v="18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8850962000222"/>
    <x v="180"/>
    <s v="RIO DE JANEIRO"/>
    <s v="RJ"/>
    <s v="1-Setorizado"/>
    <n v="2"/>
    <x v="11"/>
    <x v="11"/>
    <s v="Hospitalar (HSP)"/>
    <s v="rafael.esteves@cslbehring.com"/>
    <s v="RAFAEL ESTEVES (RJ/SPI/SUL)"/>
    <n v="0"/>
    <n v="16"/>
    <n v="16"/>
    <n v="0"/>
    <n v="0"/>
  </r>
  <r>
    <x v="0"/>
    <x v="1"/>
    <x v="0"/>
    <n v="394544017150"/>
    <x v="40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1"/>
    <x v="0"/>
    <n v="394544017150"/>
    <x v="404"/>
    <s v="RIO DE JANEIRO"/>
    <s v="RJ"/>
    <s v="1-Setorizado"/>
    <n v="2"/>
    <x v="12"/>
    <x v="12"/>
    <s v="Hospitalar (HSP)"/>
    <s v="rafael.esteves@cslbehring.com"/>
    <s v="RAFAEL ESTEVES (RJ/SPI/SUL)"/>
    <n v="0"/>
    <n v="20"/>
    <n v="0"/>
    <n v="0"/>
    <n v="0"/>
  </r>
  <r>
    <x v="0"/>
    <x v="1"/>
    <x v="0"/>
    <n v="33419482000259"/>
    <x v="18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"/>
  </r>
  <r>
    <x v="0"/>
    <x v="1"/>
    <x v="0"/>
    <n v="33419482000259"/>
    <x v="183"/>
    <s v="RIO DE JANEIRO"/>
    <s v="RJ"/>
    <s v="1-Setorizado"/>
    <n v="2"/>
    <x v="11"/>
    <x v="11"/>
    <s v="Hospitalar (HSP)"/>
    <s v="rafael.esteves@cslbehring.com"/>
    <s v="RAFAEL ESTEVES (RJ/SPI/SUL)"/>
    <n v="0"/>
    <n v="2"/>
    <n v="9"/>
    <n v="0"/>
    <n v="15"/>
  </r>
  <r>
    <x v="0"/>
    <x v="1"/>
    <x v="0"/>
    <n v="72101124000506"/>
    <x v="1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35"/>
    <n v="175"/>
  </r>
  <r>
    <x v="0"/>
    <x v="1"/>
    <x v="0"/>
    <n v="72101124000506"/>
    <x v="18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75"/>
  </r>
  <r>
    <x v="0"/>
    <x v="1"/>
    <x v="0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40"/>
    <n v="90"/>
  </r>
  <r>
    <x v="0"/>
    <x v="1"/>
    <x v="0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90"/>
  </r>
  <r>
    <x v="0"/>
    <x v="1"/>
    <x v="0"/>
    <n v="9219138000584"/>
    <x v="1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88"/>
    <n v="670"/>
  </r>
  <r>
    <x v="0"/>
    <x v="1"/>
    <x v="0"/>
    <n v="9219138000584"/>
    <x v="188"/>
    <s v="RIO DE JANEIRO"/>
    <s v="RJ"/>
    <s v="1-Setorizado"/>
    <n v="2"/>
    <x v="12"/>
    <x v="12"/>
    <s v="Hospitalar (HSP)"/>
    <s v="rafael.esteves@cslbehring.com"/>
    <s v="RAFAEL ESTEVES (RJ/SPI/SUL)"/>
    <n v="0"/>
    <n v="4"/>
    <n v="0"/>
    <n v="0"/>
    <n v="670"/>
  </r>
  <r>
    <x v="0"/>
    <x v="1"/>
    <x v="0"/>
    <n v="28602407000108"/>
    <x v="18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"/>
    <n v="0"/>
  </r>
  <r>
    <x v="0"/>
    <x v="1"/>
    <x v="0"/>
    <n v="28602407000108"/>
    <x v="18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1"/>
    <x v="0"/>
    <n v="35917970000726"/>
    <x v="405"/>
    <s v="VOLTA REDONDA"/>
    <s v="RJ"/>
    <s v="1-Setorizado"/>
    <n v="2"/>
    <x v="10"/>
    <x v="10"/>
    <s v="Especialidade (ESP)"/>
    <s v="rafael.esteves@cslbehring.com"/>
    <s v="RAFAEL ESTEVES (RJ/SPI/SUL)"/>
    <n v="0"/>
    <n v="0"/>
    <n v="0"/>
    <n v="15"/>
    <n v="0"/>
  </r>
  <r>
    <x v="0"/>
    <x v="1"/>
    <x v="0"/>
    <n v="35917970000726"/>
    <x v="405"/>
    <s v="VOLTA REDONDA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1"/>
    <x v="0"/>
    <n v="12361267009140"/>
    <x v="190"/>
    <s v="ACARI"/>
    <s v="RN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1"/>
    <x v="0"/>
    <n v="12361267009140"/>
    <x v="190"/>
    <s v="ACARI"/>
    <s v="RN"/>
    <s v="1-Setorizado"/>
    <n v="2"/>
    <x v="7"/>
    <x v="7"/>
    <s v="Hospitalar (HSP)"/>
    <s v="fernando.leony@cslbehring.com"/>
    <s v="FERNANDO LEONY (CO/NO/NE)"/>
    <n v="0"/>
    <n v="0"/>
    <n v="0"/>
    <n v="0"/>
    <n v="5"/>
  </r>
  <r>
    <x v="0"/>
    <x v="1"/>
    <x v="0"/>
    <n v="8319329000121"/>
    <x v="191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8319329000121"/>
    <x v="191"/>
    <s v="NATAL"/>
    <s v="RN"/>
    <s v="1-Setorizado"/>
    <n v="2"/>
    <x v="7"/>
    <x v="7"/>
    <s v="Hospitalar (HSP)"/>
    <s v="fernando.leony@cslbehring.com"/>
    <s v="FERNANDO LEONY (CO/NO/NE)"/>
    <n v="0"/>
    <n v="26"/>
    <n v="0"/>
    <n v="0"/>
    <n v="0"/>
  </r>
  <r>
    <x v="0"/>
    <x v="1"/>
    <x v="0"/>
    <n v="13262578000168"/>
    <x v="406"/>
    <s v="NATAL"/>
    <s v="RN"/>
    <s v="1-Setorizado"/>
    <n v="2"/>
    <x v="0"/>
    <x v="0"/>
    <s v="Especialidade (ESP)"/>
    <s v="fernando.leony@cslbehring.com"/>
    <s v="FERNANDO LEONY (CO/NO/NE)"/>
    <n v="6"/>
    <n v="0"/>
    <n v="0"/>
    <n v="0"/>
    <n v="0"/>
  </r>
  <r>
    <x v="0"/>
    <x v="1"/>
    <x v="0"/>
    <n v="13262578000168"/>
    <x v="406"/>
    <s v="NATAL"/>
    <s v="RN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1"/>
    <x v="0"/>
    <n v="29435005009851"/>
    <x v="193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200"/>
  </r>
  <r>
    <x v="0"/>
    <x v="1"/>
    <x v="0"/>
    <n v="29435005009851"/>
    <x v="193"/>
    <s v="NATAL"/>
    <s v="RN"/>
    <s v="1-Setorizado"/>
    <n v="2"/>
    <x v="7"/>
    <x v="7"/>
    <s v="Hospitalar (HSP)"/>
    <s v="fernando.leony@cslbehring.com"/>
    <s v="FERNANDO LEONY (CO/NO/NE)"/>
    <n v="0"/>
    <n v="15"/>
    <n v="0"/>
    <n v="0"/>
    <n v="200"/>
  </r>
  <r>
    <x v="0"/>
    <x v="1"/>
    <x v="0"/>
    <n v="12361267009654"/>
    <x v="407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125"/>
  </r>
  <r>
    <x v="0"/>
    <x v="1"/>
    <x v="0"/>
    <n v="12361267009654"/>
    <x v="407"/>
    <s v="NATAL"/>
    <s v="RN"/>
    <s v="1-Setorizado"/>
    <n v="2"/>
    <x v="7"/>
    <x v="7"/>
    <s v="Hospitalar (HSP)"/>
    <s v="fernando.leony@cslbehring.com"/>
    <s v="FERNANDO LEONY (CO/NO/NE)"/>
    <n v="0"/>
    <n v="0"/>
    <n v="0"/>
    <n v="0"/>
    <n v="125"/>
  </r>
  <r>
    <x v="0"/>
    <x v="1"/>
    <x v="0"/>
    <n v="820737000150"/>
    <x v="195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820737000150"/>
    <x v="195"/>
    <s v="NATAL"/>
    <s v="RN"/>
    <s v="1-Setorizado"/>
    <n v="2"/>
    <x v="7"/>
    <x v="7"/>
    <s v="Hospitalar (HSP)"/>
    <s v="fernando.leony@cslbehring.com"/>
    <s v="FERNANDO LEONY (CO/NO/NE)"/>
    <n v="0"/>
    <n v="173"/>
    <n v="0"/>
    <n v="0"/>
    <n v="0"/>
  </r>
  <r>
    <x v="0"/>
    <x v="1"/>
    <x v="0"/>
    <n v="2109397000180"/>
    <x v="408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2109397000180"/>
    <x v="408"/>
    <s v="NATAL"/>
    <s v="RN"/>
    <s v="1-Setorizado"/>
    <n v="2"/>
    <x v="7"/>
    <x v="7"/>
    <s v="Hospitalar (HSP)"/>
    <s v="fernando.leony@cslbehring.com"/>
    <s v="FERNANDO LEONY (CO/NO/NE)"/>
    <n v="0"/>
    <n v="30"/>
    <n v="0"/>
    <n v="0"/>
    <n v="0"/>
  </r>
  <r>
    <x v="0"/>
    <x v="1"/>
    <x v="0"/>
    <n v="8380701001772"/>
    <x v="409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8380701001772"/>
    <x v="409"/>
    <s v="NATAL"/>
    <s v="RN"/>
    <s v="1-Setorizado"/>
    <n v="2"/>
    <x v="7"/>
    <x v="7"/>
    <s v="Hospitalar (HSP)"/>
    <s v="fernando.leony@cslbehring.com"/>
    <s v="FERNANDO LEONY (CO/NO/NE)"/>
    <n v="0"/>
    <n v="50"/>
    <n v="0"/>
    <n v="0"/>
    <n v="0"/>
  </r>
  <r>
    <x v="0"/>
    <x v="1"/>
    <x v="0"/>
    <n v="87547444000120"/>
    <x v="198"/>
    <s v="BENTO GONÇALVES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87547444000120"/>
    <x v="198"/>
    <s v="BENTO GONÇALVES"/>
    <s v="RS"/>
    <s v="1-Setorizado"/>
    <n v="2"/>
    <x v="13"/>
    <x v="13"/>
    <s v="Hospitalar (HSP)"/>
    <s v="rafael.esteves@cslbehring.com"/>
    <s v="RAFAEL ESTEVES (RJ/SPI/SUL)"/>
    <n v="0"/>
    <n v="5"/>
    <n v="0"/>
    <n v="0"/>
    <n v="0"/>
  </r>
  <r>
    <x v="0"/>
    <x v="1"/>
    <x v="0"/>
    <n v="9549061000268"/>
    <x v="410"/>
    <s v="CANOAS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9549061000268"/>
    <x v="410"/>
    <s v="CANOAS"/>
    <s v="RS"/>
    <s v="1-Setorizado"/>
    <n v="2"/>
    <x v="13"/>
    <x v="13"/>
    <s v="Hospitalar (HSP)"/>
    <s v="rafael.esteves@cslbehring.com"/>
    <s v="RAFAEL ESTEVES (RJ/SPI/SUL)"/>
    <n v="0"/>
    <n v="3"/>
    <n v="0"/>
    <n v="0"/>
    <n v="0"/>
  </r>
  <r>
    <x v="0"/>
    <x v="1"/>
    <x v="0"/>
    <n v="88645403001372"/>
    <x v="411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1"/>
    <x v="0"/>
    <n v="88645403001372"/>
    <x v="411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1"/>
    <x v="0"/>
    <n v="87827689002405"/>
    <x v="199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274"/>
    <n v="90"/>
  </r>
  <r>
    <x v="0"/>
    <x v="1"/>
    <x v="0"/>
    <n v="87827689002405"/>
    <x v="199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90"/>
  </r>
  <r>
    <x v="0"/>
    <x v="1"/>
    <x v="0"/>
    <n v="88830609000139"/>
    <x v="412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0"/>
    <n v="140"/>
  </r>
  <r>
    <x v="0"/>
    <x v="1"/>
    <x v="0"/>
    <n v="88830609000139"/>
    <x v="412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140"/>
  </r>
  <r>
    <x v="0"/>
    <x v="1"/>
    <x v="0"/>
    <n v="87638334000505"/>
    <x v="413"/>
    <s v="ERECHIM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1"/>
    <x v="0"/>
    <n v="87638334000505"/>
    <x v="413"/>
    <s v="ERECHIM"/>
    <s v="RS"/>
    <s v="1-Setorizado"/>
    <n v="2"/>
    <x v="13"/>
    <x v="13"/>
    <s v="Hospitalar (HSP)"/>
    <s v="rafael.esteves@cslbehring.com"/>
    <s v="RAFAEL ESTEVES (RJ/SPI/SUL)"/>
    <n v="0"/>
    <n v="0"/>
    <n v="0"/>
    <n v="0"/>
    <n v="10"/>
  </r>
  <r>
    <x v="0"/>
    <x v="1"/>
    <x v="0"/>
    <n v="92404789000164"/>
    <x v="414"/>
    <s v="FREDERICO WESTPHALEN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1"/>
    <x v="0"/>
    <n v="92404789000164"/>
    <x v="414"/>
    <s v="FREDERICO WESTPHALEN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1"/>
    <x v="0"/>
    <n v="29908956000178"/>
    <x v="415"/>
    <s v="JAGUARI"/>
    <s v="RS"/>
    <s v="1-Setorizado"/>
    <n v="2"/>
    <x v="8"/>
    <x v="8"/>
    <s v="Especialidade (ESP)"/>
    <s v="rafael.esteves@cslbehring.com"/>
    <s v="RAFAEL ESTEVES (RJ/SPI/SUL)"/>
    <n v="4"/>
    <n v="0"/>
    <n v="0"/>
    <n v="0"/>
    <n v="0"/>
  </r>
  <r>
    <x v="0"/>
    <x v="1"/>
    <x v="0"/>
    <n v="29908956000178"/>
    <x v="415"/>
    <s v="JAGUARI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1"/>
    <x v="0"/>
    <n v="11055682000156"/>
    <x v="416"/>
    <s v="NOVO HAMBURGO"/>
    <s v="RS"/>
    <s v="1-Setorizado"/>
    <n v="2"/>
    <x v="8"/>
    <x v="8"/>
    <s v="Especialidade (ESP)"/>
    <s v="rafael.esteves@cslbehring.com"/>
    <s v="RAFAEL ESTEVES (RJ/SPI/SUL)"/>
    <n v="0"/>
    <n v="0"/>
    <n v="0"/>
    <n v="0"/>
    <n v="225"/>
  </r>
  <r>
    <x v="0"/>
    <x v="1"/>
    <x v="0"/>
    <n v="11055682000156"/>
    <x v="416"/>
    <s v="NOVO HAMBURGO"/>
    <s v="RS"/>
    <s v="1-Setorizado"/>
    <n v="2"/>
    <x v="13"/>
    <x v="13"/>
    <s v="Hospitalar (HSP)"/>
    <s v="rafael.esteves@cslbehring.com"/>
    <s v="RAFAEL ESTEVES (RJ/SPI/SUL)"/>
    <n v="0"/>
    <n v="0"/>
    <n v="0"/>
    <n v="0"/>
    <n v="225"/>
  </r>
  <r>
    <x v="0"/>
    <x v="1"/>
    <x v="0"/>
    <n v="87607149000626"/>
    <x v="203"/>
    <s v="PASSO FUNDO"/>
    <s v="RS"/>
    <s v="1-Setorizado"/>
    <n v="2"/>
    <x v="8"/>
    <x v="8"/>
    <s v="Especialidade (ESP)"/>
    <s v="rafael.esteves@cslbehring.com"/>
    <s v="RAFAEL ESTEVES (RJ/SPI/SUL)"/>
    <n v="0"/>
    <n v="0"/>
    <n v="0"/>
    <n v="0"/>
    <n v="235"/>
  </r>
  <r>
    <x v="0"/>
    <x v="1"/>
    <x v="0"/>
    <n v="87607149000626"/>
    <x v="203"/>
    <s v="PASSO FUNDO"/>
    <s v="RS"/>
    <s v="1-Setorizado"/>
    <n v="2"/>
    <x v="13"/>
    <x v="13"/>
    <s v="Hospitalar (HSP)"/>
    <s v="rafael.esteves@cslbehring.com"/>
    <s v="RAFAEL ESTEVES (RJ/SPI/SUL)"/>
    <n v="0"/>
    <n v="0"/>
    <n v="0"/>
    <n v="0"/>
    <n v="235"/>
  </r>
  <r>
    <x v="0"/>
    <x v="1"/>
    <x v="0"/>
    <n v="92685833000151"/>
    <x v="20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1"/>
    <x v="0"/>
    <n v="92685833000151"/>
    <x v="204"/>
    <s v="PORTO ALEGRE"/>
    <s v="RS"/>
    <s v="1-Setorizado"/>
    <n v="2"/>
    <x v="13"/>
    <x v="13"/>
    <s v="Hospitalar (HSP)"/>
    <s v="rafael.esteves@cslbehring.com"/>
    <s v="RAFAEL ESTEVES (RJ/SPI/SUL)"/>
    <n v="0"/>
    <n v="14"/>
    <n v="0"/>
    <n v="0"/>
    <n v="0"/>
  </r>
  <r>
    <x v="0"/>
    <x v="1"/>
    <x v="0"/>
    <n v="87096616003101"/>
    <x v="417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1500"/>
  </r>
  <r>
    <x v="0"/>
    <x v="1"/>
    <x v="0"/>
    <n v="87096616003101"/>
    <x v="417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1500"/>
  </r>
  <r>
    <x v="0"/>
    <x v="1"/>
    <x v="0"/>
    <n v="92898550000198"/>
    <x v="205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92898550000198"/>
    <x v="205"/>
    <s v="PORTO ALEGRE"/>
    <s v="RS"/>
    <s v="1-Setorizado"/>
    <n v="2"/>
    <x v="13"/>
    <x v="13"/>
    <s v="Hospitalar (HSP)"/>
    <s v="rafael.esteves@cslbehring.com"/>
    <s v="RAFAEL ESTEVES (RJ/SPI/SUL)"/>
    <n v="0"/>
    <n v="0"/>
    <n v="2"/>
    <n v="0"/>
    <n v="0"/>
  </r>
  <r>
    <x v="0"/>
    <x v="1"/>
    <x v="0"/>
    <n v="82854246004"/>
    <x v="418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64"/>
    <n v="0"/>
  </r>
  <r>
    <x v="0"/>
    <x v="1"/>
    <x v="0"/>
    <n v="82854246004"/>
    <x v="418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1"/>
    <x v="0"/>
    <n v="87020517000120"/>
    <x v="208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87020517000120"/>
    <x v="208"/>
    <s v="PORTO ALEGRE"/>
    <s v="RS"/>
    <s v="1-Setorizado"/>
    <n v="2"/>
    <x v="13"/>
    <x v="13"/>
    <s v="Hospitalar (HSP)"/>
    <s v="rafael.esteves@cslbehring.com"/>
    <s v="RAFAEL ESTEVES (RJ/SPI/SUL)"/>
    <n v="0"/>
    <n v="8"/>
    <n v="30"/>
    <n v="0"/>
    <n v="0"/>
  </r>
  <r>
    <x v="0"/>
    <x v="1"/>
    <x v="0"/>
    <n v="87317764001084"/>
    <x v="20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240"/>
  </r>
  <r>
    <x v="0"/>
    <x v="1"/>
    <x v="0"/>
    <n v="87317764001084"/>
    <x v="209"/>
    <s v="PORTO ALEGRE"/>
    <s v="RS"/>
    <s v="1-Setorizado"/>
    <n v="2"/>
    <x v="13"/>
    <x v="13"/>
    <s v="Hospitalar (HSP)"/>
    <s v="rafael.esteves@cslbehring.com"/>
    <s v="RAFAEL ESTEVES (RJ/SPI/SUL)"/>
    <n v="0"/>
    <n v="0"/>
    <n v="4"/>
    <n v="0"/>
    <n v="240"/>
  </r>
  <r>
    <x v="0"/>
    <x v="1"/>
    <x v="0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11"/>
    <n v="3"/>
    <n v="0"/>
    <n v="0"/>
  </r>
  <r>
    <x v="0"/>
    <x v="1"/>
    <x v="0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240"/>
  </r>
  <r>
    <x v="0"/>
    <x v="1"/>
    <x v="0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10"/>
    <n v="0"/>
    <n v="0"/>
    <n v="240"/>
  </r>
  <r>
    <x v="0"/>
    <x v="1"/>
    <x v="0"/>
    <n v="88630413000796"/>
    <x v="212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88630413000796"/>
    <x v="212"/>
    <s v="PORTO ALEGRE"/>
    <s v="RS"/>
    <s v="1-Setorizado"/>
    <n v="2"/>
    <x v="13"/>
    <x v="13"/>
    <s v="Hospitalar (HSP)"/>
    <s v="rafael.esteves@cslbehring.com"/>
    <s v="RAFAEL ESTEVES (RJ/SPI/SUL)"/>
    <n v="0"/>
    <n v="0"/>
    <n v="3"/>
    <n v="0"/>
    <n v="0"/>
  </r>
  <r>
    <x v="0"/>
    <x v="1"/>
    <x v="0"/>
    <n v="94831294000147"/>
    <x v="213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1"/>
    <x v="0"/>
    <n v="94831294000147"/>
    <x v="213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0"/>
  </r>
  <r>
    <x v="0"/>
    <x v="1"/>
    <x v="0"/>
    <n v="92815000000168"/>
    <x v="21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54"/>
    <n v="90"/>
  </r>
  <r>
    <x v="0"/>
    <x v="1"/>
    <x v="0"/>
    <n v="92815000000168"/>
    <x v="214"/>
    <s v="PORTO ALEGRE"/>
    <s v="RS"/>
    <s v="1-Setorizado"/>
    <n v="2"/>
    <x v="13"/>
    <x v="13"/>
    <s v="Hospitalar (HSP)"/>
    <s v="rafael.esteves@cslbehring.com"/>
    <s v="RAFAEL ESTEVES (RJ/SPI/SUL)"/>
    <n v="0"/>
    <n v="23"/>
    <n v="56"/>
    <n v="0"/>
    <n v="90"/>
  </r>
  <r>
    <x v="0"/>
    <x v="1"/>
    <x v="0"/>
    <n v="92963560000160"/>
    <x v="41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0"/>
  </r>
  <r>
    <x v="0"/>
    <x v="1"/>
    <x v="0"/>
    <n v="92963560000160"/>
    <x v="419"/>
    <s v="PORTO ALEGRE"/>
    <s v="RS"/>
    <s v="1-Setorizado"/>
    <n v="2"/>
    <x v="13"/>
    <x v="13"/>
    <s v="Hospitalar (HSP)"/>
    <s v="rafael.esteves@cslbehring.com"/>
    <s v="RAFAEL ESTEVES (RJ/SPI/SUL)"/>
    <n v="0"/>
    <n v="20"/>
    <n v="0"/>
    <n v="0"/>
    <n v="100"/>
  </r>
  <r>
    <x v="0"/>
    <x v="1"/>
    <x v="0"/>
    <n v="9087150000230"/>
    <x v="21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10"/>
    <n v="0"/>
  </r>
  <r>
    <x v="0"/>
    <x v="1"/>
    <x v="0"/>
    <n v="9087150000230"/>
    <x v="216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1"/>
    <x v="0"/>
    <n v="12508728000108"/>
    <x v="420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40"/>
  </r>
  <r>
    <x v="0"/>
    <x v="1"/>
    <x v="0"/>
    <n v="12508728000108"/>
    <x v="420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40"/>
  </r>
  <r>
    <x v="0"/>
    <x v="1"/>
    <x v="0"/>
    <n v="15126437001972"/>
    <x v="217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15126437001972"/>
    <x v="217"/>
    <s v="SANTA MARIA"/>
    <s v="RS"/>
    <s v="1-Setorizado"/>
    <n v="2"/>
    <x v="13"/>
    <x v="13"/>
    <s v="Hospitalar (HSP)"/>
    <s v="rafael.esteves@cslbehring.com"/>
    <s v="RAFAEL ESTEVES (RJ/SPI/SUL)"/>
    <n v="0"/>
    <n v="0"/>
    <n v="15"/>
    <n v="0"/>
    <n v="0"/>
  </r>
  <r>
    <x v="0"/>
    <x v="1"/>
    <x v="0"/>
    <n v="95610887000146"/>
    <x v="218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0"/>
  </r>
  <r>
    <x v="0"/>
    <x v="1"/>
    <x v="0"/>
    <n v="95610887000146"/>
    <x v="218"/>
    <s v="SANTA MARIA"/>
    <s v="RS"/>
    <s v="1-Setorizado"/>
    <n v="2"/>
    <x v="13"/>
    <x v="13"/>
    <s v="Hospitalar (HSP)"/>
    <s v="rafael.esteves@cslbehring.com"/>
    <s v="RAFAEL ESTEVES (RJ/SPI/SUL)"/>
    <n v="0"/>
    <n v="9"/>
    <n v="9"/>
    <n v="0"/>
    <n v="100"/>
  </r>
  <r>
    <x v="0"/>
    <x v="1"/>
    <x v="0"/>
    <n v="1517626000132"/>
    <x v="220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0"/>
    <n v="190"/>
  </r>
  <r>
    <x v="0"/>
    <x v="1"/>
    <x v="0"/>
    <n v="1517626000132"/>
    <x v="220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190"/>
  </r>
  <r>
    <x v="0"/>
    <x v="1"/>
    <x v="0"/>
    <n v="85377174000392"/>
    <x v="221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2"/>
    <n v="0"/>
  </r>
  <r>
    <x v="0"/>
    <x v="1"/>
    <x v="0"/>
    <n v="85377174000392"/>
    <x v="221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1"/>
    <x v="0"/>
    <n v="1880344000103"/>
    <x v="421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1"/>
    <x v="0"/>
    <n v="1880344000103"/>
    <x v="421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1"/>
    <x v="0"/>
    <n v="60922168005226"/>
    <x v="222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60922168005226"/>
    <x v="222"/>
    <s v="BLUMENAU"/>
    <s v="SC"/>
    <s v="1-Setorizado"/>
    <n v="2"/>
    <x v="9"/>
    <x v="9"/>
    <s v="Hospitalar (HSP)"/>
    <s v="rafael.esteves@cslbehring.com"/>
    <s v="RAFAEL ESTEVES (RJ/SPI/SUL)"/>
    <n v="0"/>
    <n v="2"/>
    <n v="7"/>
    <n v="0"/>
    <n v="0"/>
  </r>
  <r>
    <x v="0"/>
    <x v="1"/>
    <x v="0"/>
    <n v="1554266000300"/>
    <x v="224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140"/>
  </r>
  <r>
    <x v="0"/>
    <x v="1"/>
    <x v="0"/>
    <n v="1554266000300"/>
    <x v="224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140"/>
  </r>
  <r>
    <x v="0"/>
    <x v="1"/>
    <x v="0"/>
    <n v="1125832000105"/>
    <x v="225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1"/>
    <x v="0"/>
    <n v="1125832000105"/>
    <x v="225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1"/>
    <x v="0"/>
    <n v="80673411000187"/>
    <x v="226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48"/>
    <n v="0"/>
  </r>
  <r>
    <x v="0"/>
    <x v="1"/>
    <x v="0"/>
    <n v="80673411000187"/>
    <x v="226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1"/>
    <x v="0"/>
    <n v="83899526000425"/>
    <x v="22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83899526000425"/>
    <x v="227"/>
    <s v="FLORIANÓPOLIS"/>
    <s v="SC"/>
    <s v="1-Setorizado"/>
    <n v="2"/>
    <x v="9"/>
    <x v="9"/>
    <s v="Hospitalar (HSP)"/>
    <s v="rafael.esteves@cslbehring.com"/>
    <s v="RAFAEL ESTEVES (RJ/SPI/SUL)"/>
    <n v="0"/>
    <n v="0"/>
    <n v="3"/>
    <n v="0"/>
    <n v="0"/>
  </r>
  <r>
    <x v="0"/>
    <x v="1"/>
    <x v="0"/>
    <n v="4670913000176"/>
    <x v="229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245"/>
  </r>
  <r>
    <x v="0"/>
    <x v="1"/>
    <x v="0"/>
    <n v="4670913000176"/>
    <x v="229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245"/>
  </r>
  <r>
    <x v="0"/>
    <x v="1"/>
    <x v="0"/>
    <n v="12361267004261"/>
    <x v="422"/>
    <s v="JOINVILLE"/>
    <s v="SC"/>
    <s v="1-Setorizado"/>
    <n v="2"/>
    <x v="8"/>
    <x v="8"/>
    <s v="Especialidade (ESP)"/>
    <s v="rafael.esteves@cslbehring.com"/>
    <s v="RAFAEL ESTEVES (RJ/SPI/SUL)"/>
    <n v="0"/>
    <n v="0"/>
    <n v="0"/>
    <n v="0"/>
    <n v="120"/>
  </r>
  <r>
    <x v="0"/>
    <x v="1"/>
    <x v="0"/>
    <n v="12361267004261"/>
    <x v="422"/>
    <s v="JOINVILLE"/>
    <s v="SC"/>
    <s v="1-Setorizado"/>
    <n v="2"/>
    <x v="9"/>
    <x v="9"/>
    <s v="Hospitalar (HSP)"/>
    <s v="rafael.esteves@cslbehring.com"/>
    <s v="RAFAEL ESTEVES (RJ/SPI/SUL)"/>
    <n v="0"/>
    <n v="0"/>
    <n v="0"/>
    <n v="0"/>
    <n v="120"/>
  </r>
  <r>
    <x v="0"/>
    <x v="1"/>
    <x v="0"/>
    <n v="77858611001414"/>
    <x v="231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1"/>
    <x v="0"/>
    <n v="77858611001414"/>
    <x v="231"/>
    <s v="SÃO JOSÉ"/>
    <s v="SC"/>
    <s v="1-Setorizado"/>
    <n v="2"/>
    <x v="9"/>
    <x v="9"/>
    <s v="Hospitalar (HSP)"/>
    <s v="rafael.esteves@cslbehring.com"/>
    <s v="RAFAEL ESTEVES (RJ/SPI/SUL)"/>
    <n v="0"/>
    <n v="5"/>
    <n v="0"/>
    <n v="0"/>
    <n v="0"/>
  </r>
  <r>
    <x v="0"/>
    <x v="1"/>
    <x v="0"/>
    <n v="80490618000116"/>
    <x v="232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1"/>
    <x v="0"/>
    <n v="80490618000116"/>
    <x v="232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1"/>
    <x v="0"/>
    <n v="12361267000517"/>
    <x v="233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85"/>
  </r>
  <r>
    <x v="0"/>
    <x v="1"/>
    <x v="0"/>
    <n v="12361267000517"/>
    <x v="233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85"/>
  </r>
  <r>
    <x v="0"/>
    <x v="1"/>
    <x v="0"/>
    <n v="13086053000119"/>
    <x v="423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1"/>
    <x v="0"/>
    <n v="13086053000119"/>
    <x v="423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5"/>
  </r>
  <r>
    <x v="0"/>
    <x v="1"/>
    <x v="0"/>
    <n v="13016332000106"/>
    <x v="23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1"/>
    <x v="0"/>
    <n v="13016332000106"/>
    <x v="234"/>
    <s v="ARACAJU"/>
    <s v="SE"/>
    <s v="1-Setorizado"/>
    <n v="2"/>
    <x v="1"/>
    <x v="1"/>
    <s v="Hospitalar (HSP)"/>
    <s v="fernando.leony@cslbehring.com"/>
    <s v="FERNANDO LEONY (CO/NO/NE)"/>
    <n v="0"/>
    <n v="0"/>
    <n v="6"/>
    <n v="0"/>
    <n v="0"/>
  </r>
  <r>
    <x v="0"/>
    <x v="1"/>
    <x v="0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44"/>
    <n v="400"/>
  </r>
  <r>
    <x v="0"/>
    <x v="1"/>
    <x v="0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0"/>
    <n v="6"/>
    <n v="0"/>
    <n v="400"/>
  </r>
  <r>
    <x v="0"/>
    <x v="1"/>
    <x v="0"/>
    <n v="15592785000106"/>
    <x v="236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25"/>
  </r>
  <r>
    <x v="0"/>
    <x v="1"/>
    <x v="0"/>
    <n v="15592785000106"/>
    <x v="236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25"/>
  </r>
  <r>
    <x v="0"/>
    <x v="1"/>
    <x v="0"/>
    <n v="3091003000176"/>
    <x v="42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75"/>
  </r>
  <r>
    <x v="0"/>
    <x v="1"/>
    <x v="0"/>
    <n v="3091003000176"/>
    <x v="424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175"/>
  </r>
  <r>
    <x v="0"/>
    <x v="1"/>
    <x v="0"/>
    <n v="16064313000577"/>
    <x v="42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23"/>
    <n v="0"/>
  </r>
  <r>
    <x v="0"/>
    <x v="1"/>
    <x v="0"/>
    <n v="16064313000577"/>
    <x v="42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1"/>
    <x v="0"/>
    <n v="700386513"/>
    <x v="426"/>
    <s v="NOSSA SENHORA DA GLÓRIA"/>
    <s v="SE"/>
    <s v="1-Setorizado"/>
    <n v="2"/>
    <x v="0"/>
    <x v="0"/>
    <s v="Especialidade (ESP)"/>
    <s v="fernando.leony@cslbehring.com"/>
    <s v="FERNANDO LEONY (CO/NO/NE)"/>
    <n v="4"/>
    <n v="0"/>
    <n v="0"/>
    <n v="0"/>
    <n v="0"/>
  </r>
  <r>
    <x v="0"/>
    <x v="1"/>
    <x v="0"/>
    <n v="700386513"/>
    <x v="426"/>
    <s v="NOSSA SENHORA DA GLÓRIA"/>
    <s v="SE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1"/>
    <x v="0"/>
    <n v="25026561000190"/>
    <x v="238"/>
    <s v="ANDRADINA"/>
    <s v="SP"/>
    <s v="1-Setorizado"/>
    <n v="2"/>
    <x v="14"/>
    <x v="14"/>
    <s v="Especialidade (ESP)"/>
    <s v="claudia.bueno@cslbehring.com"/>
    <s v="CLAUDIA BUENO (SPC/SPI)"/>
    <n v="0"/>
    <n v="0"/>
    <n v="0"/>
    <n v="0"/>
    <n v="20"/>
  </r>
  <r>
    <x v="0"/>
    <x v="1"/>
    <x v="0"/>
    <n v="25026561000190"/>
    <x v="238"/>
    <s v="ANDRADINA"/>
    <s v="SP"/>
    <s v="1-Setorizado"/>
    <n v="2"/>
    <x v="15"/>
    <x v="15"/>
    <s v="Hospitalar (HSP)"/>
    <s v="claudia.bueno@cslbehring.com"/>
    <s v="CLAUDIA BUENO (SPC/SPI)"/>
    <n v="0"/>
    <n v="0"/>
    <n v="0"/>
    <n v="0"/>
    <n v="20"/>
  </r>
  <r>
    <x v="0"/>
    <x v="1"/>
    <x v="0"/>
    <n v="54012406000385"/>
    <x v="239"/>
    <s v="ARARAS"/>
    <s v="SP"/>
    <s v="1-Setorizado"/>
    <n v="2"/>
    <x v="14"/>
    <x v="14"/>
    <s v="Especialidade (ESP)"/>
    <s v="claudia.bueno@cslbehring.com"/>
    <s v="CLAUDIA BUENO (SPC/SPI)"/>
    <n v="0"/>
    <n v="0"/>
    <n v="0"/>
    <n v="0"/>
    <n v="70"/>
  </r>
  <r>
    <x v="0"/>
    <x v="1"/>
    <x v="0"/>
    <n v="54012406000385"/>
    <x v="239"/>
    <s v="ARARAS"/>
    <s v="SP"/>
    <s v="1-Setorizado"/>
    <n v="2"/>
    <x v="15"/>
    <x v="15"/>
    <s v="Hospitalar (HSP)"/>
    <s v="claudia.bueno@cslbehring.com"/>
    <s v="CLAUDIA BUENO (SPC/SPI)"/>
    <n v="0"/>
    <n v="0"/>
    <n v="0"/>
    <n v="0"/>
    <n v="70"/>
  </r>
  <r>
    <x v="0"/>
    <x v="1"/>
    <x v="0"/>
    <n v="46374500003886"/>
    <x v="427"/>
    <s v="ARAÇATUBA"/>
    <s v="SP"/>
    <s v="1-Setorizado"/>
    <n v="2"/>
    <x v="14"/>
    <x v="14"/>
    <s v="Especialidade (ESP)"/>
    <s v="claudia.bueno@cslbehring.com"/>
    <s v="CLAUDIA BUENO (SPC/SPI)"/>
    <n v="18"/>
    <n v="0"/>
    <n v="0"/>
    <n v="0"/>
    <n v="0"/>
  </r>
  <r>
    <x v="0"/>
    <x v="1"/>
    <x v="0"/>
    <n v="46374500003886"/>
    <x v="427"/>
    <s v="ARAÇATUB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15"/>
    <n v="0"/>
  </r>
  <r>
    <x v="0"/>
    <x v="1"/>
    <x v="0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63025530008270"/>
    <x v="428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5"/>
  </r>
  <r>
    <x v="0"/>
    <x v="1"/>
    <x v="0"/>
    <n v="63025530008270"/>
    <x v="428"/>
    <s v="BAURU"/>
    <s v="SP"/>
    <s v="1-Setorizado"/>
    <n v="2"/>
    <x v="15"/>
    <x v="15"/>
    <s v="Hospitalar (HSP)"/>
    <s v="claudia.bueno@cslbehring.com"/>
    <s v="CLAUDIA BUENO (SPC/SPI)"/>
    <n v="0"/>
    <n v="0"/>
    <n v="0"/>
    <n v="0"/>
    <n v="5"/>
  </r>
  <r>
    <x v="0"/>
    <x v="1"/>
    <x v="0"/>
    <n v="44456036000311"/>
    <x v="241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1"/>
    <x v="0"/>
    <n v="44456036000311"/>
    <x v="241"/>
    <s v="BAURU"/>
    <s v="SP"/>
    <s v="1-Setorizado"/>
    <n v="2"/>
    <x v="15"/>
    <x v="15"/>
    <s v="Hospitalar (HSP)"/>
    <s v="claudia.bueno@cslbehring.com"/>
    <s v="CLAUDIA BUENO (SPC/SPI)"/>
    <n v="0"/>
    <n v="4"/>
    <n v="28"/>
    <n v="0"/>
    <n v="0"/>
  </r>
  <r>
    <x v="0"/>
    <x v="1"/>
    <x v="0"/>
    <n v="10447300000177"/>
    <x v="242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"/>
    <n v="0"/>
  </r>
  <r>
    <x v="0"/>
    <x v="1"/>
    <x v="0"/>
    <n v="10447300000177"/>
    <x v="242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46020301000269"/>
    <x v="243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5"/>
    <n v="0"/>
  </r>
  <r>
    <x v="0"/>
    <x v="1"/>
    <x v="0"/>
    <n v="46020301000269"/>
    <x v="243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6"/>
    <n v="0"/>
    <n v="0"/>
    <n v="83"/>
    <n v="1150"/>
  </r>
  <r>
    <x v="0"/>
    <x v="1"/>
    <x v="0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1150"/>
  </r>
  <r>
    <x v="0"/>
    <x v="1"/>
    <x v="0"/>
    <n v="44649812019238"/>
    <x v="246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1"/>
    <x v="0"/>
    <n v="44649812019238"/>
    <x v="246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29435005008456"/>
    <x v="248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35"/>
  </r>
  <r>
    <x v="0"/>
    <x v="1"/>
    <x v="0"/>
    <n v="29435005008456"/>
    <x v="248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35"/>
  </r>
  <r>
    <x v="0"/>
    <x v="1"/>
    <x v="0"/>
    <n v="46124624000111"/>
    <x v="249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8"/>
    <n v="340"/>
  </r>
  <r>
    <x v="0"/>
    <x v="1"/>
    <x v="0"/>
    <n v="46124624000111"/>
    <x v="24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340"/>
  </r>
  <r>
    <x v="0"/>
    <x v="1"/>
    <x v="0"/>
    <n v="46068425000133"/>
    <x v="429"/>
    <s v="CAMPINAS"/>
    <s v="SP"/>
    <s v="1-Setorizado"/>
    <n v="2"/>
    <x v="14"/>
    <x v="14"/>
    <s v="Especialidade (ESP)"/>
    <s v="claudia.bueno@cslbehring.com"/>
    <s v="CLAUDIA BUENO (SPC/SPI)"/>
    <n v="2"/>
    <n v="0"/>
    <n v="0"/>
    <n v="0"/>
    <n v="0"/>
  </r>
  <r>
    <x v="0"/>
    <x v="1"/>
    <x v="0"/>
    <n v="46068425000133"/>
    <x v="42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47074851000819"/>
    <x v="250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6"/>
    <n v="0"/>
  </r>
  <r>
    <x v="0"/>
    <x v="1"/>
    <x v="0"/>
    <n v="47074851000819"/>
    <x v="250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68204486000113"/>
    <x v="430"/>
    <s v="DRACENA"/>
    <s v="SP"/>
    <s v="1-Setorizado"/>
    <n v="2"/>
    <x v="14"/>
    <x v="14"/>
    <s v="Especialidade (ESP)"/>
    <s v="claudia.bueno@cslbehring.com"/>
    <s v="CLAUDIA BUENO (SPC/SPI)"/>
    <n v="0"/>
    <n v="0"/>
    <n v="0"/>
    <n v="0"/>
    <n v="150"/>
  </r>
  <r>
    <x v="0"/>
    <x v="1"/>
    <x v="0"/>
    <n v="68204486000113"/>
    <x v="430"/>
    <s v="DRACENA"/>
    <s v="SP"/>
    <s v="1-Setorizado"/>
    <n v="2"/>
    <x v="15"/>
    <x v="15"/>
    <s v="Hospitalar (HSP)"/>
    <s v="claudia.bueno@cslbehring.com"/>
    <s v="CLAUDIA BUENO (SPC/SPI)"/>
    <n v="0"/>
    <n v="0"/>
    <n v="0"/>
    <n v="0"/>
    <n v="150"/>
  </r>
  <r>
    <x v="0"/>
    <x v="1"/>
    <x v="0"/>
    <n v="50486026000160"/>
    <x v="252"/>
    <s v="FRANCA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1"/>
    <x v="0"/>
    <n v="50486026000160"/>
    <x v="252"/>
    <s v="FRANCA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1"/>
    <x v="0"/>
    <n v="29435005008294"/>
    <x v="254"/>
    <s v="GUARULHOS"/>
    <s v="SP"/>
    <s v="1-Setorizado"/>
    <n v="2"/>
    <x v="16"/>
    <x v="16"/>
    <s v="Especialidade (ESP)"/>
    <s v="claudia.bueno@cslbehring.com"/>
    <s v="CLAUDIA BUENO (SPC/SPI)"/>
    <n v="0"/>
    <n v="0"/>
    <n v="0"/>
    <n v="0"/>
    <n v="150"/>
  </r>
  <r>
    <x v="0"/>
    <x v="1"/>
    <x v="0"/>
    <n v="29435005008294"/>
    <x v="254"/>
    <s v="GUARULHOS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1"/>
    <x v="0"/>
    <n v="24082016000159"/>
    <x v="431"/>
    <s v="MARÍLIA"/>
    <s v="SP"/>
    <s v="1-Setorizado"/>
    <n v="2"/>
    <x v="14"/>
    <x v="14"/>
    <s v="Especialidade (ESP)"/>
    <s v="claudia.bueno@cslbehring.com"/>
    <s v="CLAUDIA BUENO (SPC/SPI)"/>
    <n v="0"/>
    <n v="0"/>
    <n v="0"/>
    <n v="0"/>
    <n v="2000"/>
  </r>
  <r>
    <x v="0"/>
    <x v="1"/>
    <x v="0"/>
    <n v="24082016000159"/>
    <x v="431"/>
    <s v="MARÍLIA"/>
    <s v="SP"/>
    <s v="1-Setorizado"/>
    <n v="2"/>
    <x v="15"/>
    <x v="15"/>
    <s v="Hospitalar (HSP)"/>
    <s v="claudia.bueno@cslbehring.com"/>
    <s v="CLAUDIA BUENO (SPC/SPI)"/>
    <n v="0"/>
    <n v="0"/>
    <n v="0"/>
    <n v="0"/>
    <n v="2000"/>
  </r>
  <r>
    <x v="0"/>
    <x v="1"/>
    <x v="0"/>
    <n v="46374500009060"/>
    <x v="432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0"/>
    <n v="300"/>
  </r>
  <r>
    <x v="0"/>
    <x v="1"/>
    <x v="0"/>
    <n v="46374500009060"/>
    <x v="432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300"/>
  </r>
  <r>
    <x v="0"/>
    <x v="1"/>
    <x v="0"/>
    <n v="44803922000293"/>
    <x v="259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10"/>
    <n v="0"/>
  </r>
  <r>
    <x v="0"/>
    <x v="1"/>
    <x v="0"/>
    <n v="44803922000293"/>
    <x v="259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840048000450"/>
    <x v="260"/>
    <s v="PIRASSUNUNGA"/>
    <s v="SP"/>
    <s v="1-Setorizado"/>
    <n v="2"/>
    <x v="14"/>
    <x v="14"/>
    <s v="Especialidade (ESP)"/>
    <s v="claudia.bueno@cslbehring.com"/>
    <s v="CLAUDIA BUENO (SPC/SPI)"/>
    <n v="0"/>
    <n v="0"/>
    <n v="0"/>
    <n v="0"/>
    <n v="5"/>
  </r>
  <r>
    <x v="0"/>
    <x v="1"/>
    <x v="0"/>
    <n v="840048000450"/>
    <x v="260"/>
    <s v="PIRASSUNUNGA"/>
    <s v="SP"/>
    <s v="1-Setorizado"/>
    <n v="2"/>
    <x v="15"/>
    <x v="15"/>
    <s v="Hospitalar (HSP)"/>
    <s v="claudia.bueno@cslbehring.com"/>
    <s v="CLAUDIA BUENO (SPC/SPI)"/>
    <n v="0"/>
    <n v="0"/>
    <n v="0"/>
    <n v="0"/>
    <n v="5"/>
  </r>
  <r>
    <x v="0"/>
    <x v="1"/>
    <x v="0"/>
    <n v="57722118000140"/>
    <x v="43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50"/>
  </r>
  <r>
    <x v="0"/>
    <x v="1"/>
    <x v="0"/>
    <n v="57722118000140"/>
    <x v="43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50"/>
  </r>
  <r>
    <x v="0"/>
    <x v="1"/>
    <x v="0"/>
    <n v="1613433006892"/>
    <x v="26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450"/>
  </r>
  <r>
    <x v="0"/>
    <x v="1"/>
    <x v="0"/>
    <n v="1613433006892"/>
    <x v="26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450"/>
  </r>
  <r>
    <x v="0"/>
    <x v="1"/>
    <x v="0"/>
    <n v="45232246000550"/>
    <x v="26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51"/>
    <n v="60"/>
  </r>
  <r>
    <x v="0"/>
    <x v="1"/>
    <x v="0"/>
    <n v="45232246000550"/>
    <x v="26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60"/>
  </r>
  <r>
    <x v="0"/>
    <x v="1"/>
    <x v="0"/>
    <n v="44663631000590"/>
    <x v="266"/>
    <s v="RIO CLARO"/>
    <s v="SP"/>
    <s v="1-Setorizado"/>
    <n v="2"/>
    <x v="14"/>
    <x v="14"/>
    <s v="Especialidade (ESP)"/>
    <s v="claudia.bueno@cslbehring.com"/>
    <s v="CLAUDIA BUENO (SPC/SPI)"/>
    <n v="0"/>
    <n v="0"/>
    <n v="0"/>
    <n v="32"/>
    <n v="165"/>
  </r>
  <r>
    <x v="0"/>
    <x v="1"/>
    <x v="0"/>
    <n v="44663631000590"/>
    <x v="266"/>
    <s v="RIO CLARO"/>
    <s v="SP"/>
    <s v="1-Setorizado"/>
    <n v="2"/>
    <x v="15"/>
    <x v="15"/>
    <s v="Hospitalar (HSP)"/>
    <s v="claudia.bueno@cslbehring.com"/>
    <s v="CLAUDIA BUENO (SPC/SPI)"/>
    <n v="0"/>
    <n v="0"/>
    <n v="0"/>
    <n v="0"/>
    <n v="165"/>
  </r>
  <r>
    <x v="0"/>
    <x v="1"/>
    <x v="0"/>
    <n v="13718999001041"/>
    <x v="267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4"/>
    <n v="0"/>
  </r>
  <r>
    <x v="0"/>
    <x v="1"/>
    <x v="0"/>
    <n v="13718999001041"/>
    <x v="267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6047087007907"/>
    <x v="434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6047087007907"/>
    <x v="434"/>
    <s v="SANTO ANDRÉ"/>
    <s v="SP"/>
    <s v="1-Setorizado"/>
    <n v="2"/>
    <x v="17"/>
    <x v="17"/>
    <s v="Hospitalar (HSP)"/>
    <s v="claudia.bueno@cslbehring.com"/>
    <s v="CLAUDIA BUENO (SPC/SPI)"/>
    <n v="0"/>
    <n v="0"/>
    <n v="12"/>
    <n v="0"/>
    <n v="0"/>
  </r>
  <r>
    <x v="0"/>
    <x v="1"/>
    <x v="0"/>
    <n v="6033403000113"/>
    <x v="268"/>
    <s v="SANTO ANDRÉ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33403000113"/>
    <x v="268"/>
    <s v="SANTO ANDRÉ"/>
    <s v="SP"/>
    <s v="1-Setorizado"/>
    <n v="2"/>
    <x v="17"/>
    <x v="17"/>
    <s v="Hospitalar (HSP)"/>
    <s v="claudia.bueno@cslbehring.com"/>
    <s v="CLAUDIA BUENO (SPC/SPI)"/>
    <n v="0"/>
    <n v="2"/>
    <n v="0"/>
    <n v="0"/>
    <n v="0"/>
  </r>
  <r>
    <x v="0"/>
    <x v="1"/>
    <x v="0"/>
    <n v="18290268000170"/>
    <x v="435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18290268000170"/>
    <x v="435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10868295000176"/>
    <x v="436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40"/>
  </r>
  <r>
    <x v="0"/>
    <x v="1"/>
    <x v="0"/>
    <n v="10868295000176"/>
    <x v="436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40"/>
  </r>
  <r>
    <x v="0"/>
    <x v="1"/>
    <x v="0"/>
    <n v="58229691001070"/>
    <x v="270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32"/>
    <n v="0"/>
  </r>
  <r>
    <x v="0"/>
    <x v="1"/>
    <x v="0"/>
    <n v="58229691001070"/>
    <x v="270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45399961000230"/>
    <x v="271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450"/>
  </r>
  <r>
    <x v="0"/>
    <x v="1"/>
    <x v="0"/>
    <n v="45399961000230"/>
    <x v="271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450"/>
  </r>
  <r>
    <x v="0"/>
    <x v="1"/>
    <x v="0"/>
    <n v="46124624002599"/>
    <x v="272"/>
    <s v="SUMARÉ"/>
    <s v="SP"/>
    <s v="1-Setorizado"/>
    <n v="2"/>
    <x v="14"/>
    <x v="14"/>
    <s v="Especialidade (ESP)"/>
    <s v="claudia.bueno@cslbehring.com"/>
    <s v="CLAUDIA BUENO (SPC/SPI)"/>
    <n v="0"/>
    <n v="0"/>
    <n v="0"/>
    <n v="240"/>
    <n v="700"/>
  </r>
  <r>
    <x v="0"/>
    <x v="1"/>
    <x v="0"/>
    <n v="46124624002599"/>
    <x v="272"/>
    <s v="SUMARÉ"/>
    <s v="SP"/>
    <s v="1-Setorizado"/>
    <n v="2"/>
    <x v="15"/>
    <x v="15"/>
    <s v="Hospitalar (HSP)"/>
    <s v="claudia.bueno@cslbehring.com"/>
    <s v="CLAUDIA BUENO (SPC/SPI)"/>
    <n v="0"/>
    <n v="0"/>
    <n v="0"/>
    <n v="0"/>
    <n v="700"/>
  </r>
  <r>
    <x v="0"/>
    <x v="1"/>
    <x v="0"/>
    <n v="43293604002120"/>
    <x v="273"/>
    <s v="SÃO BERNARDO DO CAMPO"/>
    <s v="SP"/>
    <s v="1-Setorizado"/>
    <n v="2"/>
    <x v="18"/>
    <x v="18"/>
    <s v="Especialidade (ESP)"/>
    <s v="claudia.bueno@cslbehring.com"/>
    <s v="CLAUDIA BUENO (SPC/SPI)"/>
    <n v="0"/>
    <n v="0"/>
    <n v="0"/>
    <n v="0"/>
    <n v="80"/>
  </r>
  <r>
    <x v="0"/>
    <x v="1"/>
    <x v="0"/>
    <n v="43293604002120"/>
    <x v="273"/>
    <s v="SÃO BERNARDO DO CAMPO"/>
    <s v="SP"/>
    <s v="1-Setorizado"/>
    <n v="2"/>
    <x v="17"/>
    <x v="17"/>
    <s v="Hospitalar (HSP)"/>
    <s v="claudia.bueno@cslbehring.com"/>
    <s v="CLAUDIA BUENO (SPC/SPI)"/>
    <n v="0"/>
    <n v="0"/>
    <n v="0"/>
    <n v="0"/>
    <n v="80"/>
  </r>
  <r>
    <x v="0"/>
    <x v="1"/>
    <x v="0"/>
    <n v="45359213000576"/>
    <x v="274"/>
    <s v="SÃO CARLOS"/>
    <s v="SP"/>
    <s v="1-Setorizado"/>
    <n v="2"/>
    <x v="14"/>
    <x v="14"/>
    <s v="Especialidade (ESP)"/>
    <s v="claudia.bueno@cslbehring.com"/>
    <s v="CLAUDIA BUENO (SPC/SPI)"/>
    <n v="0"/>
    <n v="0"/>
    <n v="0"/>
    <n v="40"/>
    <n v="0"/>
  </r>
  <r>
    <x v="0"/>
    <x v="1"/>
    <x v="0"/>
    <n v="45359213000576"/>
    <x v="274"/>
    <s v="SÃO CARLO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59970947000178"/>
    <x v="275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1"/>
    <x v="0"/>
    <n v="59970947000178"/>
    <x v="275"/>
    <s v="SÃO JOSÉ DO RIO PRETO"/>
    <s v="SP"/>
    <s v="1-Setorizado"/>
    <n v="2"/>
    <x v="15"/>
    <x v="15"/>
    <s v="Hospitalar (HSP)"/>
    <s v="claudia.bueno@cslbehring.com"/>
    <s v="CLAUDIA BUENO (SPC/SPI)"/>
    <n v="0"/>
    <n v="0"/>
    <n v="4"/>
    <n v="0"/>
    <n v="0"/>
  </r>
  <r>
    <x v="0"/>
    <x v="1"/>
    <x v="0"/>
    <n v="48310098000100"/>
    <x v="43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1"/>
    <x v="0"/>
    <n v="48310098000100"/>
    <x v="437"/>
    <s v="SÃO JOSÉ DO RIO PRETO"/>
    <s v="SP"/>
    <s v="1-Setorizado"/>
    <n v="2"/>
    <x v="15"/>
    <x v="15"/>
    <s v="Hospitalar (HSP)"/>
    <s v="claudia.bueno@cslbehring.com"/>
    <s v="CLAUDIA BUENO (SPC/SPI)"/>
    <n v="0"/>
    <n v="1"/>
    <n v="0"/>
    <n v="0"/>
    <n v="0"/>
  </r>
  <r>
    <x v="0"/>
    <x v="1"/>
    <x v="0"/>
    <n v="10576443000189"/>
    <x v="438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40"/>
  </r>
  <r>
    <x v="0"/>
    <x v="1"/>
    <x v="0"/>
    <n v="10576443000189"/>
    <x v="438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40"/>
  </r>
  <r>
    <x v="0"/>
    <x v="1"/>
    <x v="0"/>
    <n v="2643405000173"/>
    <x v="276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12"/>
    <n v="0"/>
  </r>
  <r>
    <x v="0"/>
    <x v="1"/>
    <x v="0"/>
    <n v="2643405000173"/>
    <x v="276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1"/>
    <x v="0"/>
    <n v="60003761000129"/>
    <x v="27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1"/>
    <x v="0"/>
    <n v="60003761000129"/>
    <x v="277"/>
    <s v="SÃO JOSÉ DO RIO PRETO"/>
    <s v="SP"/>
    <s v="1-Setorizado"/>
    <n v="2"/>
    <x v="15"/>
    <x v="15"/>
    <s v="Hospitalar (HSP)"/>
    <s v="claudia.bueno@cslbehring.com"/>
    <s v="CLAUDIA BUENO (SPC/SPI)"/>
    <n v="0"/>
    <n v="12"/>
    <n v="5"/>
    <n v="0"/>
    <n v="0"/>
  </r>
  <r>
    <x v="0"/>
    <x v="1"/>
    <x v="0"/>
    <n v="45184066000117"/>
    <x v="279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15"/>
    <n v="50"/>
  </r>
  <r>
    <x v="0"/>
    <x v="1"/>
    <x v="0"/>
    <n v="45184066000117"/>
    <x v="279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50"/>
  </r>
  <r>
    <x v="0"/>
    <x v="1"/>
    <x v="0"/>
    <n v="60214517001691"/>
    <x v="280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660"/>
  </r>
  <r>
    <x v="0"/>
    <x v="1"/>
    <x v="0"/>
    <n v="60214517001691"/>
    <x v="280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660"/>
  </r>
  <r>
    <x v="0"/>
    <x v="1"/>
    <x v="0"/>
    <n v="6047087003073"/>
    <x v="281"/>
    <s v="SÃO JOSÉ DOS CAMPOS"/>
    <s v="SP"/>
    <s v="1-Setorizado"/>
    <n v="2"/>
    <x v="16"/>
    <x v="16"/>
    <s v="Especialidade (ESP)"/>
    <s v="claudia.bueno@cslbehring.com"/>
    <s v="CLAUDIA BUENO (SPC/SPI)"/>
    <n v="1"/>
    <n v="0"/>
    <n v="0"/>
    <n v="48"/>
    <n v="0"/>
  </r>
  <r>
    <x v="0"/>
    <x v="1"/>
    <x v="0"/>
    <n v="6047087003073"/>
    <x v="281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1"/>
    <x v="0"/>
    <n v="18321477000134"/>
    <x v="282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48"/>
    <n v="0"/>
  </r>
  <r>
    <x v="0"/>
    <x v="1"/>
    <x v="0"/>
    <n v="18321477000134"/>
    <x v="282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1"/>
    <x v="0"/>
    <n v="60214517000962"/>
    <x v="283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60"/>
  </r>
  <r>
    <x v="0"/>
    <x v="1"/>
    <x v="0"/>
    <n v="60214517000962"/>
    <x v="283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60"/>
  </r>
  <r>
    <x v="0"/>
    <x v="1"/>
    <x v="0"/>
    <n v="60961968000106"/>
    <x v="28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500"/>
  </r>
  <r>
    <x v="0"/>
    <x v="1"/>
    <x v="0"/>
    <n v="60961968000106"/>
    <x v="284"/>
    <s v="SÃO PAULO"/>
    <s v="SP"/>
    <s v="1-Setorizado"/>
    <n v="2"/>
    <x v="20"/>
    <x v="20"/>
    <s v="Hospitalar (HSP)"/>
    <s v="claudia.bueno@cslbehring.com"/>
    <s v="CLAUDIA BUENO (SPC/SPI)"/>
    <n v="0"/>
    <n v="10"/>
    <n v="10"/>
    <n v="0"/>
    <n v="1500"/>
  </r>
  <r>
    <x v="0"/>
    <x v="1"/>
    <x v="0"/>
    <n v="51722957000506"/>
    <x v="4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00"/>
  </r>
  <r>
    <x v="0"/>
    <x v="1"/>
    <x v="0"/>
    <n v="51722957000506"/>
    <x v="439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400"/>
  </r>
  <r>
    <x v="0"/>
    <x v="1"/>
    <x v="0"/>
    <n v="51722957010226"/>
    <x v="28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2"/>
    <n v="950"/>
  </r>
  <r>
    <x v="0"/>
    <x v="1"/>
    <x v="0"/>
    <n v="51722957010226"/>
    <x v="28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950"/>
  </r>
  <r>
    <x v="0"/>
    <x v="1"/>
    <x v="0"/>
    <n v="2383508000494"/>
    <x v="28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9"/>
    <n v="280"/>
  </r>
  <r>
    <x v="0"/>
    <x v="1"/>
    <x v="0"/>
    <n v="2383508000494"/>
    <x v="28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80"/>
  </r>
  <r>
    <x v="0"/>
    <x v="1"/>
    <x v="0"/>
    <n v="43643139000409"/>
    <x v="28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60"/>
  </r>
  <r>
    <x v="0"/>
    <x v="1"/>
    <x v="0"/>
    <n v="43643139000409"/>
    <x v="28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60"/>
  </r>
  <r>
    <x v="0"/>
    <x v="1"/>
    <x v="0"/>
    <n v="8871521000126"/>
    <x v="28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398"/>
  </r>
  <r>
    <x v="0"/>
    <x v="1"/>
    <x v="0"/>
    <n v="8871521000126"/>
    <x v="28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398"/>
  </r>
  <r>
    <x v="0"/>
    <x v="1"/>
    <x v="0"/>
    <n v="59481028000130"/>
    <x v="29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"/>
  </r>
  <r>
    <x v="0"/>
    <x v="1"/>
    <x v="0"/>
    <n v="59481028000130"/>
    <x v="29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1"/>
    <x v="0"/>
    <n v="46374500026231"/>
    <x v="440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20285"/>
  </r>
  <r>
    <x v="0"/>
    <x v="1"/>
    <x v="0"/>
    <n v="46374500026231"/>
    <x v="440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0285"/>
  </r>
  <r>
    <x v="0"/>
    <x v="1"/>
    <x v="0"/>
    <n v="10468341000220"/>
    <x v="29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4"/>
    <n v="550"/>
  </r>
  <r>
    <x v="0"/>
    <x v="1"/>
    <x v="0"/>
    <n v="10468341000220"/>
    <x v="29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50"/>
  </r>
  <r>
    <x v="0"/>
    <x v="1"/>
    <x v="0"/>
    <n v="10468341000140"/>
    <x v="29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805"/>
  </r>
  <r>
    <x v="0"/>
    <x v="1"/>
    <x v="0"/>
    <n v="10468341000140"/>
    <x v="29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805"/>
  </r>
  <r>
    <x v="0"/>
    <x v="1"/>
    <x v="0"/>
    <n v="29435005009932"/>
    <x v="29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700"/>
  </r>
  <r>
    <x v="0"/>
    <x v="1"/>
    <x v="0"/>
    <n v="29435005009932"/>
    <x v="293"/>
    <s v="SÃO PAULO"/>
    <s v="SP"/>
    <s v="1-Setorizado"/>
    <n v="2"/>
    <x v="17"/>
    <x v="17"/>
    <s v="Hospitalar (HSP)"/>
    <s v="claudia.bueno@cslbehring.com"/>
    <s v="CLAUDIA BUENO (SPC/SPI)"/>
    <n v="0"/>
    <n v="0"/>
    <n v="13"/>
    <n v="0"/>
    <n v="1700"/>
  </r>
  <r>
    <x v="0"/>
    <x v="1"/>
    <x v="0"/>
    <n v="10323381000101"/>
    <x v="29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6"/>
    <n v="0"/>
  </r>
  <r>
    <x v="0"/>
    <x v="1"/>
    <x v="0"/>
    <n v="10323381000101"/>
    <x v="29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28290788000307"/>
    <x v="295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0"/>
    <n v="0"/>
  </r>
  <r>
    <x v="0"/>
    <x v="1"/>
    <x v="0"/>
    <n v="28290788000307"/>
    <x v="29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3872790000193"/>
    <x v="29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"/>
    <n v="0"/>
  </r>
  <r>
    <x v="0"/>
    <x v="1"/>
    <x v="0"/>
    <n v="3872790000193"/>
    <x v="29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5"/>
  </r>
  <r>
    <x v="0"/>
    <x v="1"/>
    <x v="0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1"/>
    <x v="0"/>
    <n v="60884855000316"/>
    <x v="30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4"/>
    <n v="875"/>
  </r>
  <r>
    <x v="0"/>
    <x v="1"/>
    <x v="0"/>
    <n v="60884855000316"/>
    <x v="302"/>
    <s v="SÃO PAULO"/>
    <s v="SP"/>
    <s v="1-Setorizado"/>
    <n v="2"/>
    <x v="19"/>
    <x v="19"/>
    <s v="Hospitalar (HSP)"/>
    <s v="claudia.bueno@cslbehring.com"/>
    <s v="CLAUDIA BUENO (SPC/SPI)"/>
    <n v="0"/>
    <n v="10"/>
    <n v="3"/>
    <n v="0"/>
    <n v="875"/>
  </r>
  <r>
    <x v="0"/>
    <x v="1"/>
    <x v="0"/>
    <n v="60961968000459"/>
    <x v="441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60961968000459"/>
    <x v="441"/>
    <s v="SÃO PAULO"/>
    <s v="SP"/>
    <s v="1-Setorizado"/>
    <n v="2"/>
    <x v="20"/>
    <x v="20"/>
    <s v="Hospitalar (HSP)"/>
    <s v="claudia.bueno@cslbehring.com"/>
    <s v="CLAUDIA BUENO (SPC/SPI)"/>
    <n v="0"/>
    <n v="2"/>
    <n v="5"/>
    <n v="0"/>
    <n v="0"/>
  </r>
  <r>
    <x v="0"/>
    <x v="1"/>
    <x v="0"/>
    <n v="60726502000126"/>
    <x v="30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6"/>
    <n v="830"/>
  </r>
  <r>
    <x v="0"/>
    <x v="1"/>
    <x v="0"/>
    <n v="60726502000126"/>
    <x v="303"/>
    <s v="SÃO PAULO"/>
    <s v="SP"/>
    <s v="1-Setorizado"/>
    <n v="2"/>
    <x v="19"/>
    <x v="19"/>
    <s v="Hospitalar (HSP)"/>
    <s v="claudia.bueno@cslbehring.com"/>
    <s v="CLAUDIA BUENO (SPC/SPI)"/>
    <n v="0"/>
    <n v="6"/>
    <n v="2"/>
    <n v="0"/>
    <n v="830"/>
  </r>
  <r>
    <x v="0"/>
    <x v="1"/>
    <x v="0"/>
    <n v="8100676000592"/>
    <x v="30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20"/>
  </r>
  <r>
    <x v="0"/>
    <x v="1"/>
    <x v="0"/>
    <n v="8100676000592"/>
    <x v="30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20"/>
  </r>
  <r>
    <x v="0"/>
    <x v="1"/>
    <x v="0"/>
    <n v="8100676002455"/>
    <x v="30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25"/>
  </r>
  <r>
    <x v="0"/>
    <x v="1"/>
    <x v="0"/>
    <n v="8100676002455"/>
    <x v="306"/>
    <s v="SÃO PAULO"/>
    <s v="SP"/>
    <s v="1-Setorizado"/>
    <n v="2"/>
    <x v="19"/>
    <x v="19"/>
    <s v="Hospitalar (HSP)"/>
    <s v="claudia.bueno@cslbehring.com"/>
    <s v="CLAUDIA BUENO (SPC/SPI)"/>
    <n v="0"/>
    <n v="12"/>
    <n v="0"/>
    <n v="0"/>
    <n v="525"/>
  </r>
  <r>
    <x v="0"/>
    <x v="1"/>
    <x v="0"/>
    <n v="60922168004335"/>
    <x v="30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60"/>
  </r>
  <r>
    <x v="0"/>
    <x v="1"/>
    <x v="0"/>
    <n v="60922168004335"/>
    <x v="30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60"/>
  </r>
  <r>
    <x v="0"/>
    <x v="1"/>
    <x v="0"/>
    <n v="21371777000132"/>
    <x v="3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600"/>
  </r>
  <r>
    <x v="0"/>
    <x v="1"/>
    <x v="0"/>
    <n v="21371777000132"/>
    <x v="308"/>
    <s v="SÃO PAULO"/>
    <s v="SP"/>
    <s v="1-Setorizado"/>
    <n v="2"/>
    <x v="19"/>
    <x v="19"/>
    <s v="Hospitalar (HSP)"/>
    <s v="claudia.bueno@cslbehring.com"/>
    <s v="CLAUDIA BUENO (SPC/SPI)"/>
    <n v="0"/>
    <n v="38"/>
    <n v="16"/>
    <n v="0"/>
    <n v="600"/>
  </r>
  <r>
    <x v="0"/>
    <x v="1"/>
    <x v="0"/>
    <n v="60448040000122"/>
    <x v="3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60448040000122"/>
    <x v="309"/>
    <s v="SÃO PAULO"/>
    <s v="SP"/>
    <s v="1-Setorizado"/>
    <n v="2"/>
    <x v="20"/>
    <x v="20"/>
    <s v="Hospitalar (HSP)"/>
    <s v="claudia.bueno@cslbehring.com"/>
    <s v="CLAUDIA BUENO (SPC/SPI)"/>
    <n v="0"/>
    <n v="57"/>
    <n v="87"/>
    <n v="0"/>
    <n v="0"/>
  </r>
  <r>
    <x v="0"/>
    <x v="1"/>
    <x v="0"/>
    <n v="60453024000390"/>
    <x v="3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453024000390"/>
    <x v="310"/>
    <s v="SÃO PAULO"/>
    <s v="SP"/>
    <s v="1-Setorizado"/>
    <n v="2"/>
    <x v="20"/>
    <x v="20"/>
    <s v="Hospitalar (HSP)"/>
    <s v="claudia.bueno@cslbehring.com"/>
    <s v="CLAUDIA BUENO (SPC/SPI)"/>
    <n v="0"/>
    <n v="10"/>
    <n v="37"/>
    <n v="0"/>
    <n v="0"/>
  </r>
  <r>
    <x v="0"/>
    <x v="1"/>
    <x v="0"/>
    <n v="51722957012512"/>
    <x v="31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65"/>
  </r>
  <r>
    <x v="0"/>
    <x v="1"/>
    <x v="0"/>
    <n v="51722957012512"/>
    <x v="3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65"/>
  </r>
  <r>
    <x v="0"/>
    <x v="1"/>
    <x v="0"/>
    <n v="60678604000113"/>
    <x v="3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678604000113"/>
    <x v="312"/>
    <s v="SÃO PAULO"/>
    <s v="SP"/>
    <s v="1-Setorizado"/>
    <n v="2"/>
    <x v="17"/>
    <x v="17"/>
    <s v="Hospitalar (HSP)"/>
    <s v="claudia.bueno@cslbehring.com"/>
    <s v="CLAUDIA BUENO (SPC/SPI)"/>
    <n v="0"/>
    <n v="0"/>
    <n v="23"/>
    <n v="0"/>
    <n v="0"/>
  </r>
  <r>
    <x v="0"/>
    <x v="1"/>
    <x v="0"/>
    <n v="61213674000240"/>
    <x v="316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77"/>
    <n v="0"/>
  </r>
  <r>
    <x v="0"/>
    <x v="1"/>
    <x v="0"/>
    <n v="61213674000240"/>
    <x v="316"/>
    <s v="SÃO PAULO"/>
    <s v="SP"/>
    <s v="1-Setorizado"/>
    <n v="2"/>
    <x v="17"/>
    <x v="17"/>
    <s v="Hospitalar (HSP)"/>
    <s v="claudia.bueno@cslbehring.com"/>
    <s v="CLAUDIA BUENO (SPC/SPI)"/>
    <n v="0"/>
    <n v="5"/>
    <n v="4"/>
    <n v="0"/>
    <n v="0"/>
  </r>
  <r>
    <x v="0"/>
    <x v="1"/>
    <x v="0"/>
    <n v="60765823000130"/>
    <x v="44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60765823000130"/>
    <x v="442"/>
    <s v="SÃO PAULO"/>
    <s v="SP"/>
    <s v="1-Setorizado"/>
    <n v="2"/>
    <x v="17"/>
    <x v="17"/>
    <s v="Hospitalar (HSP)"/>
    <s v="claudia.bueno@cslbehring.com"/>
    <s v="CLAUDIA BUENO (SPC/SPI)"/>
    <n v="0"/>
    <n v="0"/>
    <n v="65"/>
    <n v="0"/>
    <n v="0"/>
  </r>
  <r>
    <x v="0"/>
    <x v="1"/>
    <x v="0"/>
    <n v="19056055000141"/>
    <x v="44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19056055000141"/>
    <x v="443"/>
    <s v="SÃO PAULO"/>
    <s v="SP"/>
    <s v="1-Setorizado"/>
    <n v="2"/>
    <x v="20"/>
    <x v="20"/>
    <s v="Hospitalar (HSP)"/>
    <s v="claudia.bueno@cslbehring.com"/>
    <s v="CLAUDIA BUENO (SPC/SPI)"/>
    <n v="0"/>
    <n v="0"/>
    <n v="3"/>
    <n v="0"/>
    <n v="0"/>
  </r>
  <r>
    <x v="0"/>
    <x v="1"/>
    <x v="0"/>
    <n v="29435005002687"/>
    <x v="31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350"/>
  </r>
  <r>
    <x v="0"/>
    <x v="1"/>
    <x v="0"/>
    <n v="29435005002687"/>
    <x v="31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350"/>
  </r>
  <r>
    <x v="0"/>
    <x v="1"/>
    <x v="0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4"/>
    <n v="105"/>
  </r>
  <r>
    <x v="0"/>
    <x v="1"/>
    <x v="0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5"/>
    <n v="0"/>
    <n v="105"/>
  </r>
  <r>
    <x v="0"/>
    <x v="1"/>
    <x v="0"/>
    <n v="60552098000111"/>
    <x v="32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05"/>
  </r>
  <r>
    <x v="0"/>
    <x v="1"/>
    <x v="0"/>
    <n v="60552098000111"/>
    <x v="32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405"/>
  </r>
  <r>
    <x v="0"/>
    <x v="1"/>
    <x v="0"/>
    <n v="60777901000116"/>
    <x v="32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00"/>
  </r>
  <r>
    <x v="0"/>
    <x v="1"/>
    <x v="0"/>
    <n v="60777901000116"/>
    <x v="321"/>
    <s v="SÃO PAULO"/>
    <s v="SP"/>
    <s v="1-Setorizado"/>
    <n v="2"/>
    <x v="19"/>
    <x v="19"/>
    <s v="Hospitalar (HSP)"/>
    <s v="claudia.bueno@cslbehring.com"/>
    <s v="CLAUDIA BUENO (SPC/SPI)"/>
    <n v="0"/>
    <n v="100"/>
    <n v="0"/>
    <n v="0"/>
    <n v="1000"/>
  </r>
  <r>
    <x v="0"/>
    <x v="1"/>
    <x v="0"/>
    <n v="60975737005110"/>
    <x v="44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975737005110"/>
    <x v="444"/>
    <s v="SÃO PAULO"/>
    <s v="SP"/>
    <s v="1-Setorizado"/>
    <n v="2"/>
    <x v="20"/>
    <x v="20"/>
    <s v="Hospitalar (HSP)"/>
    <s v="claudia.bueno@cslbehring.com"/>
    <s v="CLAUDIA BUENO (SPC/SPI)"/>
    <n v="0"/>
    <n v="1"/>
    <n v="0"/>
    <n v="0"/>
    <n v="0"/>
  </r>
  <r>
    <x v="0"/>
    <x v="1"/>
    <x v="0"/>
    <n v="60975737000232"/>
    <x v="44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975737000232"/>
    <x v="445"/>
    <s v="SÃO PAULO"/>
    <s v="SP"/>
    <s v="1-Setorizado"/>
    <n v="2"/>
    <x v="20"/>
    <x v="20"/>
    <s v="Hospitalar (HSP)"/>
    <s v="claudia.bueno@cslbehring.com"/>
    <s v="CLAUDIA BUENO (SPC/SPI)"/>
    <n v="0"/>
    <n v="6"/>
    <n v="4"/>
    <n v="0"/>
    <n v="0"/>
  </r>
  <r>
    <x v="0"/>
    <x v="1"/>
    <x v="0"/>
    <n v="60975737001204"/>
    <x v="32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975737001204"/>
    <x v="322"/>
    <s v="SÃO PAULO"/>
    <s v="SP"/>
    <s v="1-Setorizado"/>
    <n v="2"/>
    <x v="20"/>
    <x v="20"/>
    <s v="Hospitalar (HSP)"/>
    <s v="claudia.bueno@cslbehring.com"/>
    <s v="CLAUDIA BUENO (SPC/SPI)"/>
    <n v="0"/>
    <n v="4"/>
    <n v="0"/>
    <n v="0"/>
    <n v="0"/>
  </r>
  <r>
    <x v="0"/>
    <x v="1"/>
    <x v="0"/>
    <n v="6047087003820"/>
    <x v="32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47087003820"/>
    <x v="323"/>
    <s v="SÃO PAULO"/>
    <s v="SP"/>
    <s v="1-Setorizado"/>
    <n v="2"/>
    <x v="17"/>
    <x v="17"/>
    <s v="Hospitalar (HSP)"/>
    <s v="claudia.bueno@cslbehring.com"/>
    <s v="CLAUDIA BUENO (SPC/SPI)"/>
    <n v="0"/>
    <n v="2"/>
    <n v="11"/>
    <n v="0"/>
    <n v="0"/>
  </r>
  <r>
    <x v="0"/>
    <x v="1"/>
    <x v="0"/>
    <n v="28290788000137"/>
    <x v="32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28290788000137"/>
    <x v="324"/>
    <s v="SÃO PAULO"/>
    <s v="SP"/>
    <s v="1-Setorizado"/>
    <n v="2"/>
    <x v="17"/>
    <x v="17"/>
    <s v="Hospitalar (HSP)"/>
    <s v="claudia.bueno@cslbehring.com"/>
    <s v="CLAUDIA BUENO (SPC/SPI)"/>
    <n v="0"/>
    <n v="5"/>
    <n v="5"/>
    <n v="0"/>
    <n v="0"/>
  </r>
  <r>
    <x v="0"/>
    <x v="1"/>
    <x v="0"/>
    <n v="5831510000124"/>
    <x v="32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40"/>
  </r>
  <r>
    <x v="0"/>
    <x v="1"/>
    <x v="0"/>
    <n v="5831510000124"/>
    <x v="32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40"/>
  </r>
  <r>
    <x v="0"/>
    <x v="1"/>
    <x v="0"/>
    <n v="67185694000150"/>
    <x v="44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7185694000150"/>
    <x v="446"/>
    <s v="SÃO PAULO"/>
    <s v="SP"/>
    <s v="1-Setorizado"/>
    <n v="2"/>
    <x v="17"/>
    <x v="17"/>
    <s v="Hospitalar (HSP)"/>
    <s v="claudia.bueno@cslbehring.com"/>
    <s v="CLAUDIA BUENO (SPC/SPI)"/>
    <n v="0"/>
    <n v="2"/>
    <n v="0"/>
    <n v="0"/>
    <n v="0"/>
  </r>
  <r>
    <x v="0"/>
    <x v="1"/>
    <x v="0"/>
    <n v="44649812005520"/>
    <x v="32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6"/>
    <n v="150"/>
  </r>
  <r>
    <x v="0"/>
    <x v="1"/>
    <x v="0"/>
    <n v="44649812005520"/>
    <x v="32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1"/>
    <x v="0"/>
    <n v="62779145000190"/>
    <x v="32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1"/>
    <x v="0"/>
    <n v="62779145000190"/>
    <x v="329"/>
    <s v="SÃO PAULO"/>
    <s v="SP"/>
    <s v="1-Setorizado"/>
    <n v="2"/>
    <x v="20"/>
    <x v="20"/>
    <s v="Hospitalar (HSP)"/>
    <s v="claudia.bueno@cslbehring.com"/>
    <s v="CLAUDIA BUENO (SPC/SPI)"/>
    <n v="0"/>
    <n v="2"/>
    <n v="0"/>
    <n v="0"/>
    <n v="0"/>
  </r>
  <r>
    <x v="0"/>
    <x v="1"/>
    <x v="0"/>
    <n v="13718999000150"/>
    <x v="33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"/>
    <n v="0"/>
  </r>
  <r>
    <x v="0"/>
    <x v="1"/>
    <x v="0"/>
    <n v="13718999000150"/>
    <x v="33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20"/>
  </r>
  <r>
    <x v="0"/>
    <x v="1"/>
    <x v="0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20"/>
  </r>
  <r>
    <x v="0"/>
    <x v="1"/>
    <x v="0"/>
    <n v="10211939000230"/>
    <x v="33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8"/>
    <n v="0"/>
  </r>
  <r>
    <x v="0"/>
    <x v="1"/>
    <x v="0"/>
    <n v="10211939000230"/>
    <x v="333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1"/>
    <x v="0"/>
    <n v="2837922000183"/>
    <x v="33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0"/>
    <n v="0"/>
  </r>
  <r>
    <x v="0"/>
    <x v="1"/>
    <x v="0"/>
    <n v="2837922000183"/>
    <x v="33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1"/>
    <x v="0"/>
    <n v="61599908000158"/>
    <x v="33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1599908000158"/>
    <x v="335"/>
    <s v="SÃO PAULO"/>
    <s v="SP"/>
    <s v="1-Setorizado"/>
    <n v="2"/>
    <x v="19"/>
    <x v="19"/>
    <s v="Hospitalar (HSP)"/>
    <s v="claudia.bueno@cslbehring.com"/>
    <s v="CLAUDIA BUENO (SPC/SPI)"/>
    <n v="0"/>
    <n v="20"/>
    <n v="75"/>
    <n v="0"/>
    <n v="0"/>
  </r>
  <r>
    <x v="0"/>
    <x v="1"/>
    <x v="0"/>
    <n v="7045325000130"/>
    <x v="33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0"/>
    <n v="200"/>
  </r>
  <r>
    <x v="0"/>
    <x v="1"/>
    <x v="0"/>
    <n v="7045325000130"/>
    <x v="33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00"/>
  </r>
  <r>
    <x v="0"/>
    <x v="1"/>
    <x v="0"/>
    <n v="6047087000210"/>
    <x v="33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6047087000210"/>
    <x v="337"/>
    <s v="SÃO PAULO"/>
    <s v="SP"/>
    <s v="1-Setorizado"/>
    <n v="2"/>
    <x v="17"/>
    <x v="17"/>
    <s v="Hospitalar (HSP)"/>
    <s v="claudia.bueno@cslbehring.com"/>
    <s v="CLAUDIA BUENO (SPC/SPI)"/>
    <n v="0"/>
    <n v="41"/>
    <n v="33"/>
    <n v="0"/>
    <n v="0"/>
  </r>
  <r>
    <x v="0"/>
    <x v="1"/>
    <x v="0"/>
    <n v="8677327000104"/>
    <x v="44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1"/>
    <x v="0"/>
    <n v="8677327000104"/>
    <x v="447"/>
    <s v="SÃO PAULO"/>
    <s v="SP"/>
    <s v="1-Setorizado"/>
    <n v="2"/>
    <x v="20"/>
    <x v="20"/>
    <s v="Hospitalar (HSP)"/>
    <s v="claudia.bueno@cslbehring.com"/>
    <s v="CLAUDIA BUENO (SPC/SPI)"/>
    <n v="0"/>
    <n v="2"/>
    <n v="0"/>
    <n v="0"/>
    <n v="0"/>
  </r>
  <r>
    <x v="0"/>
    <x v="1"/>
    <x v="0"/>
    <n v="60961422000155"/>
    <x v="33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1"/>
    <x v="0"/>
    <n v="60961422000155"/>
    <x v="338"/>
    <s v="SÃO PAULO"/>
    <s v="SP"/>
    <s v="1-Setorizado"/>
    <n v="2"/>
    <x v="17"/>
    <x v="17"/>
    <s v="Hospitalar (HSP)"/>
    <s v="claudia.bueno@cslbehring.com"/>
    <s v="CLAUDIA BUENO (SPC/SPI)"/>
    <n v="0"/>
    <n v="3"/>
    <n v="3"/>
    <n v="0"/>
    <n v="20"/>
  </r>
  <r>
    <x v="0"/>
    <x v="1"/>
    <x v="0"/>
    <n v="61590410000124"/>
    <x v="3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670"/>
  </r>
  <r>
    <x v="0"/>
    <x v="1"/>
    <x v="0"/>
    <n v="61590410000124"/>
    <x v="339"/>
    <s v="SÃO PAULO"/>
    <s v="SP"/>
    <s v="1-Setorizado"/>
    <n v="2"/>
    <x v="20"/>
    <x v="20"/>
    <s v="Hospitalar (HSP)"/>
    <s v="claudia.bueno@cslbehring.com"/>
    <s v="CLAUDIA BUENO (SPC/SPI)"/>
    <n v="0"/>
    <n v="0"/>
    <n v="81"/>
    <n v="0"/>
    <n v="2670"/>
  </r>
  <r>
    <x v="0"/>
    <x v="1"/>
    <x v="0"/>
    <n v="19803199000114"/>
    <x v="34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75"/>
  </r>
  <r>
    <x v="0"/>
    <x v="1"/>
    <x v="0"/>
    <n v="19803199000114"/>
    <x v="340"/>
    <s v="SÃO PAULO"/>
    <s v="SP"/>
    <s v="1-Setorizado"/>
    <n v="2"/>
    <x v="19"/>
    <x v="19"/>
    <s v="Hospitalar (HSP)"/>
    <s v="claudia.bueno@cslbehring.com"/>
    <s v="CLAUDIA BUENO (SPC/SPI)"/>
    <n v="0"/>
    <n v="2"/>
    <n v="3"/>
    <n v="0"/>
    <n v="175"/>
  </r>
  <r>
    <x v="0"/>
    <x v="1"/>
    <x v="0"/>
    <n v="20812223000241"/>
    <x v="34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0"/>
    <n v="0"/>
  </r>
  <r>
    <x v="0"/>
    <x v="1"/>
    <x v="0"/>
    <n v="20812223000241"/>
    <x v="34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44482299472"/>
    <x v="448"/>
    <s v="MACEIÓ"/>
    <s v="AL"/>
    <s v="1-Setorizado"/>
    <n v="2"/>
    <x v="0"/>
    <x v="0"/>
    <s v="Especialidade (ESP)"/>
    <s v="fernando.leony@cslbehring.com"/>
    <s v="FERNANDO LEONY (CO/NO/NE)"/>
    <n v="90"/>
    <n v="0"/>
    <n v="0"/>
    <n v="0"/>
    <n v="0"/>
  </r>
  <r>
    <x v="0"/>
    <x v="2"/>
    <x v="0"/>
    <n v="44482299472"/>
    <x v="448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2"/>
    <x v="0"/>
    <n v="5612725000154"/>
    <x v="449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2"/>
    <x v="0"/>
    <n v="5612725000154"/>
    <x v="449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30"/>
  </r>
  <r>
    <x v="0"/>
    <x v="2"/>
    <x v="0"/>
    <n v="1454407000151"/>
    <x v="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110"/>
  </r>
  <r>
    <x v="0"/>
    <x v="2"/>
    <x v="0"/>
    <n v="1454407000151"/>
    <x v="0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110"/>
  </r>
  <r>
    <x v="0"/>
    <x v="2"/>
    <x v="0"/>
    <n v="12361267000860"/>
    <x v="45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0860"/>
    <x v="450"/>
    <s v="MACEIÓ"/>
    <s v="AL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2"/>
    <x v="0"/>
    <n v="1722424000122"/>
    <x v="45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265"/>
  </r>
  <r>
    <x v="0"/>
    <x v="2"/>
    <x v="0"/>
    <n v="1722424000122"/>
    <x v="451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265"/>
  </r>
  <r>
    <x v="0"/>
    <x v="2"/>
    <x v="0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0"/>
    <n v="2"/>
    <n v="0"/>
    <n v="0"/>
  </r>
  <r>
    <x v="0"/>
    <x v="2"/>
    <x v="0"/>
    <n v="12361267011632"/>
    <x v="3"/>
    <s v="MANAUS"/>
    <s v="AM"/>
    <s v="1-Setorizado"/>
    <n v="1"/>
    <x v="2"/>
    <x v="2"/>
    <s v="Misto (EMH)"/>
    <s v="fernando.leony@cslbehring.com"/>
    <s v="FERNANDO LEONY (CO/NO/NE)"/>
    <n v="0"/>
    <n v="2"/>
    <n v="4"/>
    <n v="0"/>
    <n v="0"/>
  </r>
  <r>
    <x v="0"/>
    <x v="2"/>
    <x v="0"/>
    <n v="4159778000107"/>
    <x v="452"/>
    <s v="MANAUS"/>
    <s v="AM"/>
    <s v="1-Setorizado"/>
    <n v="1"/>
    <x v="2"/>
    <x v="2"/>
    <s v="Misto (EMH)"/>
    <s v="fernando.leony@cslbehring.com"/>
    <s v="FERNANDO LEONY (CO/NO/NE)"/>
    <n v="0"/>
    <n v="3"/>
    <n v="0"/>
    <n v="0"/>
    <n v="0"/>
  </r>
  <r>
    <x v="0"/>
    <x v="2"/>
    <x v="0"/>
    <n v="6070425000153"/>
    <x v="4"/>
    <s v="MACAPÁ"/>
    <s v="AP"/>
    <s v="1-Setorizado"/>
    <n v="1"/>
    <x v="2"/>
    <x v="2"/>
    <s v="Misto (EMH)"/>
    <s v="fernando.leony@cslbehring.com"/>
    <s v="FERNANDO LEONY (CO/NO/NE)"/>
    <n v="0"/>
    <n v="0"/>
    <n v="0"/>
    <n v="12"/>
    <n v="0"/>
  </r>
  <r>
    <x v="0"/>
    <x v="2"/>
    <x v="0"/>
    <n v="12361267010407"/>
    <x v="344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10407"/>
    <x v="344"/>
    <s v="FEIRA DE SANTANA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2"/>
    <x v="0"/>
    <n v="13952064000134"/>
    <x v="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3952064000134"/>
    <x v="8"/>
    <s v="SALVADOR"/>
    <s v="BA"/>
    <s v="1-Setorizado"/>
    <n v="2"/>
    <x v="1"/>
    <x v="1"/>
    <s v="Hospitalar (HSP)"/>
    <s v="fernando.leony@cslbehring.com"/>
    <s v="FERNANDO LEONY (CO/NO/NE)"/>
    <n v="0"/>
    <n v="6"/>
    <n v="8"/>
    <n v="0"/>
    <n v="0"/>
  </r>
  <r>
    <x v="0"/>
    <x v="2"/>
    <x v="0"/>
    <n v="12361267014739"/>
    <x v="453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14739"/>
    <x v="453"/>
    <s v="SALVADOR"/>
    <s v="BA"/>
    <s v="1-Setorizado"/>
    <n v="2"/>
    <x v="1"/>
    <x v="1"/>
    <s v="Hospitalar (HSP)"/>
    <s v="fernando.leony@cslbehring.com"/>
    <s v="FERNANDO LEONY (CO/NO/NE)"/>
    <n v="0"/>
    <n v="3"/>
    <n v="0"/>
    <n v="0"/>
    <n v="0"/>
  </r>
  <r>
    <x v="0"/>
    <x v="2"/>
    <x v="0"/>
    <n v="9324322559"/>
    <x v="45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5"/>
    <n v="0"/>
  </r>
  <r>
    <x v="0"/>
    <x v="2"/>
    <x v="0"/>
    <n v="9324322559"/>
    <x v="454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2"/>
    <x v="0"/>
    <n v="5816630000152"/>
    <x v="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650"/>
  </r>
  <r>
    <x v="0"/>
    <x v="2"/>
    <x v="0"/>
    <n v="5816630000152"/>
    <x v="9"/>
    <s v="SALVADOR"/>
    <s v="BA"/>
    <s v="1-Setorizado"/>
    <n v="2"/>
    <x v="1"/>
    <x v="1"/>
    <s v="Hospitalar (HSP)"/>
    <s v="fernando.leony@cslbehring.com"/>
    <s v="FERNANDO LEONY (CO/NO/NE)"/>
    <n v="0"/>
    <n v="15"/>
    <n v="0"/>
    <n v="0"/>
    <n v="650"/>
  </r>
  <r>
    <x v="0"/>
    <x v="2"/>
    <x v="0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24"/>
    <n v="0"/>
    <n v="0"/>
    <n v="0"/>
  </r>
  <r>
    <x v="0"/>
    <x v="2"/>
    <x v="0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0"/>
    <n v="4"/>
    <n v="0"/>
    <n v="0"/>
  </r>
  <r>
    <x v="0"/>
    <x v="2"/>
    <x v="0"/>
    <n v="97397848000138"/>
    <x v="45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97397848000138"/>
    <x v="455"/>
    <s v="SALVADOR"/>
    <s v="BA"/>
    <s v="1-Setorizado"/>
    <n v="2"/>
    <x v="1"/>
    <x v="1"/>
    <s v="Hospitalar (HSP)"/>
    <s v="fernando.leony@cslbehring.com"/>
    <s v="FERNANDO LEONY (CO/NO/NE)"/>
    <n v="0"/>
    <n v="4"/>
    <n v="0"/>
    <n v="0"/>
    <n v="0"/>
  </r>
  <r>
    <x v="0"/>
    <x v="2"/>
    <x v="0"/>
    <n v="15166416000151"/>
    <x v="1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166416000151"/>
    <x v="14"/>
    <s v="SALVADOR"/>
    <s v="BA"/>
    <s v="1-Setorizado"/>
    <n v="2"/>
    <x v="1"/>
    <x v="1"/>
    <s v="Hospitalar (HSP)"/>
    <s v="fernando.leony@cslbehring.com"/>
    <s v="FERNANDO LEONY (CO/NO/NE)"/>
    <n v="0"/>
    <n v="10"/>
    <n v="10"/>
    <n v="0"/>
    <n v="0"/>
  </r>
  <r>
    <x v="0"/>
    <x v="2"/>
    <x v="0"/>
    <n v="15153745000249"/>
    <x v="1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153745000249"/>
    <x v="15"/>
    <s v="SALVADOR"/>
    <s v="BA"/>
    <s v="1-Setorizado"/>
    <n v="2"/>
    <x v="1"/>
    <x v="1"/>
    <s v="Hospitalar (HSP)"/>
    <s v="fernando.leony@cslbehring.com"/>
    <s v="FERNANDO LEONY (CO/NO/NE)"/>
    <n v="0"/>
    <n v="13"/>
    <n v="8"/>
    <n v="0"/>
    <n v="0"/>
  </r>
  <r>
    <x v="0"/>
    <x v="2"/>
    <x v="0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8"/>
    <n v="5"/>
    <n v="0"/>
    <n v="0"/>
  </r>
  <r>
    <x v="0"/>
    <x v="2"/>
    <x v="0"/>
    <n v="12361267010318"/>
    <x v="17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10318"/>
    <x v="17"/>
    <s v="SALVADOR"/>
    <s v="BA"/>
    <s v="1-Setorizado"/>
    <n v="2"/>
    <x v="1"/>
    <x v="1"/>
    <s v="Hospitalar (HSP)"/>
    <s v="fernando.leony@cslbehring.com"/>
    <s v="FERNANDO LEONY (CO/NO/NE)"/>
    <n v="0"/>
    <n v="2"/>
    <n v="5"/>
    <n v="0"/>
    <n v="0"/>
  </r>
  <r>
    <x v="0"/>
    <x v="2"/>
    <x v="0"/>
    <n v="15242761000127"/>
    <x v="2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112"/>
    <n v="100"/>
  </r>
  <r>
    <x v="0"/>
    <x v="2"/>
    <x v="0"/>
    <n v="15242761000127"/>
    <x v="20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100"/>
  </r>
  <r>
    <x v="0"/>
    <x v="2"/>
    <x v="0"/>
    <n v="15180714000520"/>
    <x v="2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180714000520"/>
    <x v="21"/>
    <s v="SALVADOR"/>
    <s v="BA"/>
    <s v="1-Setorizado"/>
    <n v="2"/>
    <x v="1"/>
    <x v="1"/>
    <s v="Hospitalar (HSP)"/>
    <s v="fernando.leony@cslbehring.com"/>
    <s v="FERNANDO LEONY (CO/NO/NE)"/>
    <n v="0"/>
    <n v="0"/>
    <n v="20"/>
    <n v="0"/>
    <n v="0"/>
  </r>
  <r>
    <x v="0"/>
    <x v="2"/>
    <x v="0"/>
    <n v="5652543000107"/>
    <x v="349"/>
    <s v="SANTO ANTÔNIO DE JESUS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5652543000107"/>
    <x v="349"/>
    <s v="SANTO ANTÔNIO DE JESUS"/>
    <s v="BA"/>
    <s v="1-Setorizado"/>
    <n v="2"/>
    <x v="1"/>
    <x v="1"/>
    <s v="Hospitalar (HSP)"/>
    <s v="fernando.leony@cslbehring.com"/>
    <s v="FERNANDO LEONY (CO/NO/NE)"/>
    <n v="0"/>
    <n v="30"/>
    <n v="0"/>
    <n v="0"/>
    <n v="0"/>
  </r>
  <r>
    <x v="0"/>
    <x v="2"/>
    <x v="0"/>
    <n v="7245269000187"/>
    <x v="350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7245269000187"/>
    <x v="350"/>
    <s v="FORTALEZA"/>
    <s v="CE"/>
    <s v="1-Setorizado"/>
    <n v="2"/>
    <x v="3"/>
    <x v="3"/>
    <s v="Hospitalar (HSP)"/>
    <s v="fernando.leony@cslbehring.com"/>
    <s v="FERNANDO LEONY (CO/NO/NE)"/>
    <n v="0"/>
    <n v="7"/>
    <n v="0"/>
    <n v="0"/>
    <n v="0"/>
  </r>
  <r>
    <x v="0"/>
    <x v="2"/>
    <x v="0"/>
    <n v="12361267011802"/>
    <x v="2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11802"/>
    <x v="23"/>
    <s v="FORTALEZA"/>
    <s v="CE"/>
    <s v="1-Setorizado"/>
    <n v="2"/>
    <x v="3"/>
    <x v="3"/>
    <s v="Hospitalar (HSP)"/>
    <s v="fernando.leony@cslbehring.com"/>
    <s v="FERNANDO LEONY (CO/NO/NE)"/>
    <n v="0"/>
    <n v="4"/>
    <n v="2"/>
    <n v="0"/>
    <n v="0"/>
  </r>
  <r>
    <x v="0"/>
    <x v="2"/>
    <x v="0"/>
    <n v="5874946000281"/>
    <x v="351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5874946000281"/>
    <x v="351"/>
    <s v="FORTALEZA"/>
    <s v="CE"/>
    <s v="1-Setorizado"/>
    <n v="2"/>
    <x v="3"/>
    <x v="3"/>
    <s v="Hospitalar (HSP)"/>
    <s v="fernando.leony@cslbehring.com"/>
    <s v="FERNANDO LEONY (CO/NO/NE)"/>
    <n v="0"/>
    <n v="7"/>
    <n v="5"/>
    <n v="0"/>
    <n v="0"/>
  </r>
  <r>
    <x v="0"/>
    <x v="2"/>
    <x v="0"/>
    <n v="74031865000151"/>
    <x v="24"/>
    <s v="FORTALEZA"/>
    <s v="CE"/>
    <s v="1-Setorizado"/>
    <n v="2"/>
    <x v="0"/>
    <x v="0"/>
    <s v="Especialidade (ESP)"/>
    <s v="fernando.leony@cslbehring.com"/>
    <s v="FERNANDO LEONY (CO/NO/NE)"/>
    <n v="192"/>
    <n v="0"/>
    <n v="0"/>
    <n v="0"/>
    <n v="0"/>
  </r>
  <r>
    <x v="0"/>
    <x v="2"/>
    <x v="0"/>
    <n v="74031865000151"/>
    <x v="24"/>
    <s v="FORTALEZA"/>
    <s v="CE"/>
    <s v="1-Setorizado"/>
    <n v="2"/>
    <x v="3"/>
    <x v="3"/>
    <s v="Hospitalar (HSP)"/>
    <s v="fernando.leony@cslbehring.com"/>
    <s v="FERNANDO LEONY (CO/NO/NE)"/>
    <n v="0"/>
    <n v="0"/>
    <n v="140"/>
    <n v="0"/>
    <n v="0"/>
  </r>
  <r>
    <x v="0"/>
    <x v="2"/>
    <x v="0"/>
    <n v="60975737003509"/>
    <x v="2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60975737003509"/>
    <x v="27"/>
    <s v="FORTALEZA"/>
    <s v="CE"/>
    <s v="1-Setorizado"/>
    <n v="2"/>
    <x v="3"/>
    <x v="3"/>
    <s v="Hospitalar (HSP)"/>
    <s v="fernando.leony@cslbehring.com"/>
    <s v="FERNANDO LEONY (CO/NO/NE)"/>
    <n v="0"/>
    <n v="10"/>
    <n v="19"/>
    <n v="0"/>
    <n v="0"/>
  </r>
  <r>
    <x v="0"/>
    <x v="2"/>
    <x v="0"/>
    <n v="29435005007484"/>
    <x v="2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200"/>
  </r>
  <r>
    <x v="0"/>
    <x v="2"/>
    <x v="0"/>
    <n v="29435005007484"/>
    <x v="28"/>
    <s v="FORTALEZA"/>
    <s v="CE"/>
    <s v="1-Setorizado"/>
    <n v="2"/>
    <x v="3"/>
    <x v="3"/>
    <s v="Hospitalar (HSP)"/>
    <s v="fernando.leony@cslbehring.com"/>
    <s v="FERNANDO LEONY (CO/NO/NE)"/>
    <n v="0"/>
    <n v="13"/>
    <n v="5"/>
    <n v="0"/>
    <n v="200"/>
  </r>
  <r>
    <x v="0"/>
    <x v="2"/>
    <x v="0"/>
    <n v="5868278000280"/>
    <x v="29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26"/>
    <n v="0"/>
  </r>
  <r>
    <x v="0"/>
    <x v="2"/>
    <x v="0"/>
    <n v="5868278000280"/>
    <x v="29"/>
    <s v="FORTALEZA"/>
    <s v="CE"/>
    <s v="1-Setorizado"/>
    <n v="2"/>
    <x v="3"/>
    <x v="3"/>
    <s v="Hospitalar (HSP)"/>
    <s v="fernando.leony@cslbehring.com"/>
    <s v="FERNANDO LEONY (CO/NO/NE)"/>
    <n v="0"/>
    <n v="13"/>
    <n v="8"/>
    <n v="0"/>
    <n v="0"/>
  </r>
  <r>
    <x v="0"/>
    <x v="2"/>
    <x v="0"/>
    <n v="11794674000121"/>
    <x v="35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80"/>
  </r>
  <r>
    <x v="0"/>
    <x v="2"/>
    <x v="0"/>
    <n v="11794674000121"/>
    <x v="353"/>
    <s v="FORTALEZA"/>
    <s v="CE"/>
    <s v="1-Setorizado"/>
    <n v="2"/>
    <x v="3"/>
    <x v="3"/>
    <s v="Hospitalar (HSP)"/>
    <s v="fernando.leony@cslbehring.com"/>
    <s v="FERNANDO LEONY (CO/NO/NE)"/>
    <n v="0"/>
    <n v="0"/>
    <n v="4"/>
    <n v="0"/>
    <n v="180"/>
  </r>
  <r>
    <x v="0"/>
    <x v="2"/>
    <x v="0"/>
    <n v="41580077000165"/>
    <x v="35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41580077000165"/>
    <x v="354"/>
    <s v="FORTALEZA"/>
    <s v="CE"/>
    <s v="1-Setorizado"/>
    <n v="2"/>
    <x v="3"/>
    <x v="3"/>
    <s v="Hospitalar (HSP)"/>
    <s v="fernando.leony@cslbehring.com"/>
    <s v="FERNANDO LEONY (CO/NO/NE)"/>
    <n v="0"/>
    <n v="0"/>
    <n v="3"/>
    <n v="0"/>
    <n v="0"/>
  </r>
  <r>
    <x v="0"/>
    <x v="2"/>
    <x v="0"/>
    <n v="7272636000212"/>
    <x v="30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600"/>
  </r>
  <r>
    <x v="0"/>
    <x v="2"/>
    <x v="0"/>
    <n v="7272636000212"/>
    <x v="30"/>
    <s v="FORTALEZA"/>
    <s v="CE"/>
    <s v="1-Setorizado"/>
    <n v="2"/>
    <x v="3"/>
    <x v="3"/>
    <s v="Hospitalar (HSP)"/>
    <s v="fernando.leony@cslbehring.com"/>
    <s v="FERNANDO LEONY (CO/NO/NE)"/>
    <n v="0"/>
    <n v="0"/>
    <n v="30"/>
    <n v="0"/>
    <n v="600"/>
  </r>
  <r>
    <x v="0"/>
    <x v="2"/>
    <x v="0"/>
    <n v="12568570000161"/>
    <x v="3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-5"/>
  </r>
  <r>
    <x v="0"/>
    <x v="2"/>
    <x v="0"/>
    <n v="12568570000161"/>
    <x v="32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-5"/>
  </r>
  <r>
    <x v="0"/>
    <x v="2"/>
    <x v="0"/>
    <n v="5867015000175"/>
    <x v="3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8"/>
    <n v="0"/>
  </r>
  <r>
    <x v="0"/>
    <x v="2"/>
    <x v="0"/>
    <n v="5867015000175"/>
    <x v="33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2"/>
    <x v="0"/>
    <n v="12361267008410"/>
    <x v="456"/>
    <s v="MARACANAÚ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8410"/>
    <x v="456"/>
    <s v="MARACANAÚ"/>
    <s v="CE"/>
    <s v="1-Setorizado"/>
    <n v="2"/>
    <x v="3"/>
    <x v="3"/>
    <s v="Hospitalar (HSP)"/>
    <s v="fernando.leony@cslbehring.com"/>
    <s v="FERNANDO LEONY (CO/NO/NE)"/>
    <n v="0"/>
    <n v="2"/>
    <n v="0"/>
    <n v="0"/>
    <n v="0"/>
  </r>
  <r>
    <x v="0"/>
    <x v="2"/>
    <x v="0"/>
    <n v="9104513000974"/>
    <x v="3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15"/>
  </r>
  <r>
    <x v="0"/>
    <x v="2"/>
    <x v="0"/>
    <n v="9104513000974"/>
    <x v="3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15"/>
  </r>
  <r>
    <x v="0"/>
    <x v="2"/>
    <x v="0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150"/>
  </r>
  <r>
    <x v="0"/>
    <x v="2"/>
    <x v="0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155"/>
    <n v="150"/>
  </r>
  <r>
    <x v="0"/>
    <x v="2"/>
    <x v="0"/>
    <n v="30135335000188"/>
    <x v="35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455"/>
  </r>
  <r>
    <x v="0"/>
    <x v="2"/>
    <x v="0"/>
    <n v="30135335000188"/>
    <x v="35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455"/>
  </r>
  <r>
    <x v="0"/>
    <x v="2"/>
    <x v="0"/>
    <n v="394544000851"/>
    <x v="357"/>
    <s v="BRASÍLIA"/>
    <s v="DF"/>
    <s v="1-Setorizado"/>
    <n v="1"/>
    <x v="21"/>
    <x v="21"/>
    <m/>
    <s v="gerente.orfao@vago.com"/>
    <s v="XXX - GERENTE ORFAO"/>
    <n v="0"/>
    <n v="0"/>
    <n v="1050"/>
    <n v="0"/>
    <n v="120"/>
  </r>
  <r>
    <x v="0"/>
    <x v="2"/>
    <x v="0"/>
    <n v="3989821000190"/>
    <x v="3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45"/>
  </r>
  <r>
    <x v="0"/>
    <x v="2"/>
    <x v="0"/>
    <n v="3989821000190"/>
    <x v="37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45"/>
  </r>
  <r>
    <x v="0"/>
    <x v="2"/>
    <x v="0"/>
    <n v="37108388000159"/>
    <x v="38"/>
    <s v="BRASÍLIA"/>
    <s v="DF"/>
    <s v="1-Setorizado"/>
    <n v="2"/>
    <x v="4"/>
    <x v="4"/>
    <s v="Hospitalar (HSP)"/>
    <s v="fernando.leony@cslbehring.com"/>
    <s v="FERNANDO LEONY (CO/NO/NE)"/>
    <n v="0"/>
    <n v="30"/>
    <n v="15"/>
    <n v="0"/>
    <n v="0"/>
  </r>
  <r>
    <x v="0"/>
    <x v="2"/>
    <x v="0"/>
    <n v="37108388000159"/>
    <x v="3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29435005004620"/>
    <x v="39"/>
    <s v="BRASÍLIA"/>
    <s v="DF"/>
    <s v="1-Setorizado"/>
    <n v="2"/>
    <x v="4"/>
    <x v="4"/>
    <s v="Hospitalar (HSP)"/>
    <s v="fernando.leony@cslbehring.com"/>
    <s v="FERNANDO LEONY (CO/NO/NE)"/>
    <n v="0"/>
    <n v="15"/>
    <n v="1"/>
    <n v="0"/>
    <n v="145"/>
  </r>
  <r>
    <x v="0"/>
    <x v="2"/>
    <x v="0"/>
    <n v="29435005004620"/>
    <x v="3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45"/>
  </r>
  <r>
    <x v="0"/>
    <x v="2"/>
    <x v="0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4"/>
    <n v="0"/>
    <n v="0"/>
    <n v="135"/>
  </r>
  <r>
    <x v="0"/>
    <x v="2"/>
    <x v="0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35"/>
  </r>
  <r>
    <x v="0"/>
    <x v="2"/>
    <x v="0"/>
    <n v="60884855002289"/>
    <x v="41"/>
    <s v="BRASÍLIA"/>
    <s v="DF"/>
    <s v="1-Setorizado"/>
    <n v="2"/>
    <x v="4"/>
    <x v="4"/>
    <s v="Hospitalar (HSP)"/>
    <s v="fernando.leony@cslbehring.com"/>
    <s v="FERNANDO LEONY (CO/NO/NE)"/>
    <n v="0"/>
    <n v="61"/>
    <n v="38"/>
    <n v="0"/>
    <n v="650"/>
  </r>
  <r>
    <x v="0"/>
    <x v="2"/>
    <x v="0"/>
    <n v="60884855002289"/>
    <x v="4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650"/>
  </r>
  <r>
    <x v="0"/>
    <x v="2"/>
    <x v="0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28"/>
    <n v="18"/>
    <n v="0"/>
    <n v="0"/>
  </r>
  <r>
    <x v="0"/>
    <x v="2"/>
    <x v="0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38000485000196"/>
    <x v="43"/>
    <s v="BRASÍLIA"/>
    <s v="DF"/>
    <s v="1-Setorizado"/>
    <n v="2"/>
    <x v="4"/>
    <x v="4"/>
    <s v="Hospitalar (HSP)"/>
    <s v="fernando.leony@cslbehring.com"/>
    <s v="FERNANDO LEONY (CO/NO/NE)"/>
    <n v="0"/>
    <n v="0"/>
    <n v="9"/>
    <n v="0"/>
    <n v="0"/>
  </r>
  <r>
    <x v="0"/>
    <x v="2"/>
    <x v="0"/>
    <n v="38000485000196"/>
    <x v="4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49791000144"/>
    <x v="44"/>
    <s v="BRASÍLIA"/>
    <s v="DF"/>
    <s v="1-Setorizado"/>
    <n v="2"/>
    <x v="4"/>
    <x v="4"/>
    <s v="Hospitalar (HSP)"/>
    <s v="fernando.leony@cslbehring.com"/>
    <s v="FERNANDO LEONY (CO/NO/NE)"/>
    <n v="0"/>
    <n v="1"/>
    <n v="0"/>
    <n v="0"/>
    <n v="0"/>
  </r>
  <r>
    <x v="0"/>
    <x v="2"/>
    <x v="0"/>
    <n v="49791000144"/>
    <x v="4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6047087004126"/>
    <x v="45"/>
    <s v="BRASÍLIA"/>
    <s v="DF"/>
    <s v="1-Setorizado"/>
    <n v="2"/>
    <x v="4"/>
    <x v="4"/>
    <s v="Hospitalar (HSP)"/>
    <s v="fernando.leony@cslbehring.com"/>
    <s v="FERNANDO LEONY (CO/NO/NE)"/>
    <n v="0"/>
    <n v="3"/>
    <n v="0"/>
    <n v="0"/>
    <n v="0"/>
  </r>
  <r>
    <x v="0"/>
    <x v="2"/>
    <x v="0"/>
    <n v="6047087004126"/>
    <x v="4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610980000144"/>
    <x v="46"/>
    <s v="BRASÍLIA"/>
    <s v="DF"/>
    <s v="1-Setorizado"/>
    <n v="2"/>
    <x v="4"/>
    <x v="4"/>
    <s v="Hospitalar (HSP)"/>
    <s v="fernando.leony@cslbehring.com"/>
    <s v="FERNANDO LEONY (CO/NO/NE)"/>
    <n v="0"/>
    <n v="12"/>
    <n v="0"/>
    <n v="0"/>
    <n v="400"/>
  </r>
  <r>
    <x v="0"/>
    <x v="2"/>
    <x v="0"/>
    <n v="610980000144"/>
    <x v="4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400"/>
  </r>
  <r>
    <x v="0"/>
    <x v="2"/>
    <x v="0"/>
    <n v="10942995000163"/>
    <x v="35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00"/>
  </r>
  <r>
    <x v="0"/>
    <x v="2"/>
    <x v="0"/>
    <n v="10942995000163"/>
    <x v="359"/>
    <s v="BRASÍLIA"/>
    <s v="DF"/>
    <s v="1-Setorizado"/>
    <n v="2"/>
    <x v="2"/>
    <x v="2"/>
    <s v="Misto (EMH)"/>
    <s v="fernando.leony@cslbehring.com"/>
    <s v="FERNANDO LEONY (CO/NO/NE)"/>
    <n v="0"/>
    <n v="0"/>
    <n v="0"/>
    <n v="160"/>
    <n v="500"/>
  </r>
  <r>
    <x v="0"/>
    <x v="2"/>
    <x v="0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2"/>
    <x v="0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45"/>
    <n v="0"/>
  </r>
  <r>
    <x v="0"/>
    <x v="2"/>
    <x v="0"/>
    <n v="60884855001983"/>
    <x v="457"/>
    <s v="BRASÍLIA"/>
    <s v="DF"/>
    <s v="1-Setorizado"/>
    <n v="2"/>
    <x v="4"/>
    <x v="4"/>
    <s v="Hospitalar (HSP)"/>
    <s v="fernando.leony@cslbehring.com"/>
    <s v="FERNANDO LEONY (CO/NO/NE)"/>
    <n v="0"/>
    <n v="0"/>
    <n v="1"/>
    <n v="0"/>
    <n v="0"/>
  </r>
  <r>
    <x v="0"/>
    <x v="2"/>
    <x v="0"/>
    <n v="60884855001983"/>
    <x v="457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85465526149"/>
    <x v="458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2"/>
    <x v="0"/>
    <n v="85465526149"/>
    <x v="458"/>
    <s v="BRASÍLIA"/>
    <s v="DF"/>
    <s v="1-Setorizado"/>
    <n v="2"/>
    <x v="2"/>
    <x v="2"/>
    <s v="Misto (EMH)"/>
    <s v="fernando.leony@cslbehring.com"/>
    <s v="FERNANDO LEONY (CO/NO/NE)"/>
    <n v="3"/>
    <n v="0"/>
    <n v="0"/>
    <n v="0"/>
    <n v="0"/>
  </r>
  <r>
    <x v="0"/>
    <x v="2"/>
    <x v="0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2"/>
    <x v="0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36"/>
    <n v="0"/>
  </r>
  <r>
    <x v="0"/>
    <x v="2"/>
    <x v="0"/>
    <n v="25841000153"/>
    <x v="360"/>
    <s v="BRASÍLIA"/>
    <s v="DF"/>
    <s v="1-Setorizado"/>
    <n v="2"/>
    <x v="4"/>
    <x v="4"/>
    <s v="Hospitalar (HSP)"/>
    <s v="fernando.leony@cslbehring.com"/>
    <s v="FERNANDO LEONY (CO/NO/NE)"/>
    <n v="0"/>
    <n v="0"/>
    <n v="4"/>
    <n v="0"/>
    <n v="0"/>
  </r>
  <r>
    <x v="0"/>
    <x v="2"/>
    <x v="0"/>
    <n v="25841000153"/>
    <x v="36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2"/>
    <x v="0"/>
    <n v="61590410001287"/>
    <x v="5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170"/>
  </r>
  <r>
    <x v="0"/>
    <x v="2"/>
    <x v="0"/>
    <n v="61590410001287"/>
    <x v="5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70"/>
  </r>
  <r>
    <x v="0"/>
    <x v="2"/>
    <x v="0"/>
    <n v="7039651000134"/>
    <x v="55"/>
    <s v="COLATIN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2"/>
    <x v="0"/>
    <n v="27080605000358"/>
    <x v="362"/>
    <s v="SÃO MATEUS"/>
    <s v="ES"/>
    <s v="1-Setorizado"/>
    <n v="1"/>
    <x v="5"/>
    <x v="5"/>
    <s v="Misto (EMH)"/>
    <s v="rafael.esteves@cslbehring.com"/>
    <s v="RAFAEL ESTEVES (RJ/SPI/SUL)"/>
    <n v="0"/>
    <n v="0"/>
    <n v="0"/>
    <n v="0"/>
    <n v="200"/>
  </r>
  <r>
    <x v="0"/>
    <x v="2"/>
    <x v="0"/>
    <n v="27578434001525"/>
    <x v="363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000"/>
  </r>
  <r>
    <x v="0"/>
    <x v="2"/>
    <x v="0"/>
    <n v="39387477000107"/>
    <x v="59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350"/>
  </r>
  <r>
    <x v="0"/>
    <x v="2"/>
    <x v="0"/>
    <n v="10586940000168"/>
    <x v="459"/>
    <s v="VITÓRIA"/>
    <s v="ES"/>
    <s v="1-Setorizado"/>
    <n v="1"/>
    <x v="5"/>
    <x v="5"/>
    <s v="Misto (EMH)"/>
    <s v="rafael.esteves@cslbehring.com"/>
    <s v="RAFAEL ESTEVES (RJ/SPI/SUL)"/>
    <n v="0"/>
    <n v="25"/>
    <n v="10"/>
    <n v="98"/>
    <n v="1150"/>
  </r>
  <r>
    <x v="0"/>
    <x v="2"/>
    <x v="0"/>
    <n v="418954000704"/>
    <x v="460"/>
    <s v="ABADIA DE GOIÁS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2"/>
    <x v="0"/>
    <n v="418954000704"/>
    <x v="460"/>
    <s v="ABADIA DE GOIÁS"/>
    <s v="GO"/>
    <s v="1-Setorizado"/>
    <n v="2"/>
    <x v="4"/>
    <x v="4"/>
    <s v="Hospitalar (HSP)"/>
    <s v="fernando.leony@cslbehring.com"/>
    <s v="FERNANDO LEONY (CO/NO/NE)"/>
    <n v="0"/>
    <n v="20"/>
    <n v="0"/>
    <n v="0"/>
    <n v="0"/>
  </r>
  <r>
    <x v="0"/>
    <x v="2"/>
    <x v="0"/>
    <n v="1326206000179"/>
    <x v="60"/>
    <s v="CATALÃO"/>
    <s v="GO"/>
    <s v="1-Setorizado"/>
    <n v="2"/>
    <x v="6"/>
    <x v="6"/>
    <s v="Especialidade (ESP)"/>
    <s v="fernando.leony@cslbehring.com"/>
    <s v="FERNANDO LEONY (CO/NO/NE)"/>
    <n v="0"/>
    <n v="0"/>
    <n v="0"/>
    <n v="77"/>
    <n v="0"/>
  </r>
  <r>
    <x v="0"/>
    <x v="2"/>
    <x v="0"/>
    <n v="1326206000179"/>
    <x v="60"/>
    <s v="CATALÃO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2"/>
    <x v="0"/>
    <n v="2476067000394"/>
    <x v="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70"/>
  </r>
  <r>
    <x v="0"/>
    <x v="2"/>
    <x v="0"/>
    <n v="2476067000394"/>
    <x v="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70"/>
  </r>
  <r>
    <x v="0"/>
    <x v="2"/>
    <x v="0"/>
    <n v="418954000119"/>
    <x v="6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2"/>
    <x v="0"/>
    <n v="418954000119"/>
    <x v="62"/>
    <s v="GOIÂNIA"/>
    <s v="GO"/>
    <s v="1-Setorizado"/>
    <n v="2"/>
    <x v="4"/>
    <x v="4"/>
    <s v="Hospitalar (HSP)"/>
    <s v="fernando.leony@cslbehring.com"/>
    <s v="FERNANDO LEONY (CO/NO/NE)"/>
    <n v="0"/>
    <n v="18"/>
    <n v="0"/>
    <n v="0"/>
    <n v="0"/>
  </r>
  <r>
    <x v="0"/>
    <x v="2"/>
    <x v="0"/>
    <n v="5919720000179"/>
    <x v="4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25"/>
  </r>
  <r>
    <x v="0"/>
    <x v="2"/>
    <x v="0"/>
    <n v="5919720000179"/>
    <x v="4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2"/>
    <x v="0"/>
    <n v="1656123000148"/>
    <x v="46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90"/>
  </r>
  <r>
    <x v="0"/>
    <x v="2"/>
    <x v="0"/>
    <n v="1656123000148"/>
    <x v="462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90"/>
  </r>
  <r>
    <x v="0"/>
    <x v="2"/>
    <x v="0"/>
    <n v="1277573000120"/>
    <x v="4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2"/>
    <x v="0"/>
    <n v="1277573000120"/>
    <x v="463"/>
    <s v="GOIÂNIA"/>
    <s v="GO"/>
    <s v="1-Setorizado"/>
    <n v="2"/>
    <x v="4"/>
    <x v="4"/>
    <s v="Hospitalar (HSP)"/>
    <s v="fernando.leony@cslbehring.com"/>
    <s v="FERNANDO LEONY (CO/NO/NE)"/>
    <n v="0"/>
    <n v="9"/>
    <n v="0"/>
    <n v="0"/>
    <n v="0"/>
  </r>
  <r>
    <x v="0"/>
    <x v="2"/>
    <x v="0"/>
    <n v="1011865000116"/>
    <x v="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250"/>
  </r>
  <r>
    <x v="0"/>
    <x v="2"/>
    <x v="0"/>
    <n v="1011865000116"/>
    <x v="63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250"/>
  </r>
  <r>
    <x v="0"/>
    <x v="2"/>
    <x v="0"/>
    <n v="1570589000126"/>
    <x v="4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190"/>
  </r>
  <r>
    <x v="0"/>
    <x v="2"/>
    <x v="0"/>
    <n v="1570589000126"/>
    <x v="4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190"/>
  </r>
  <r>
    <x v="0"/>
    <x v="2"/>
    <x v="0"/>
    <n v="2476067000203"/>
    <x v="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20"/>
    <n v="0"/>
  </r>
  <r>
    <x v="0"/>
    <x v="2"/>
    <x v="0"/>
    <n v="2476067000203"/>
    <x v="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2"/>
    <x v="0"/>
    <n v="2476067000122"/>
    <x v="65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-15"/>
  </r>
  <r>
    <x v="0"/>
    <x v="2"/>
    <x v="0"/>
    <n v="2476067000122"/>
    <x v="65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-15"/>
  </r>
  <r>
    <x v="0"/>
    <x v="2"/>
    <x v="0"/>
    <n v="33000167002155"/>
    <x v="366"/>
    <s v="SENADOR CANEDO"/>
    <s v="GO"/>
    <s v="1-Setorizado"/>
    <n v="2"/>
    <x v="6"/>
    <x v="6"/>
    <s v="Especialidade (ESP)"/>
    <s v="fernando.leony@cslbehring.com"/>
    <s v="FERNANDO LEONY (CO/NO/NE)"/>
    <n v="0"/>
    <n v="0"/>
    <n v="0"/>
    <n v="0"/>
    <n v="25"/>
  </r>
  <r>
    <x v="0"/>
    <x v="2"/>
    <x v="0"/>
    <n v="33000167002155"/>
    <x v="366"/>
    <s v="SENADOR CANEDO"/>
    <s v="GO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2"/>
    <x v="0"/>
    <n v="9192098000109"/>
    <x v="465"/>
    <s v="SÃO JOSÉ DE RIBAMAR"/>
    <s v="MA"/>
    <s v="1-Setorizado"/>
    <n v="2"/>
    <x v="0"/>
    <x v="0"/>
    <s v="Especialidade (ESP)"/>
    <s v="fernando.leony@cslbehring.com"/>
    <s v="FERNANDO LEONY (CO/NO/NE)"/>
    <n v="0"/>
    <n v="0"/>
    <n v="0"/>
    <n v="0"/>
    <n v="100"/>
  </r>
  <r>
    <x v="0"/>
    <x v="2"/>
    <x v="0"/>
    <n v="9192098000109"/>
    <x v="465"/>
    <s v="SÃO JOSÉ DE RIBAMAR"/>
    <s v="MA"/>
    <s v="1-Setorizado"/>
    <n v="2"/>
    <x v="3"/>
    <x v="3"/>
    <s v="Hospitalar (HSP)"/>
    <s v="fernando.leony@cslbehring.com"/>
    <s v="FERNANDO LEONY (CO/NO/NE)"/>
    <n v="0"/>
    <n v="0"/>
    <n v="0"/>
    <n v="0"/>
    <n v="100"/>
  </r>
  <r>
    <x v="0"/>
    <x v="2"/>
    <x v="0"/>
    <n v="15126437000496"/>
    <x v="67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500"/>
  </r>
  <r>
    <x v="0"/>
    <x v="2"/>
    <x v="0"/>
    <n v="15126437000496"/>
    <x v="67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500"/>
  </r>
  <r>
    <x v="0"/>
    <x v="2"/>
    <x v="0"/>
    <n v="12361267000789"/>
    <x v="466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0789"/>
    <x v="466"/>
    <s v="SÃO LUÍS"/>
    <s v="MA"/>
    <s v="1-Setorizado"/>
    <n v="2"/>
    <x v="3"/>
    <x v="3"/>
    <s v="Hospitalar (HSP)"/>
    <s v="fernando.leony@cslbehring.com"/>
    <s v="FERNANDO LEONY (CO/NO/NE)"/>
    <n v="0"/>
    <n v="2"/>
    <n v="0"/>
    <n v="0"/>
    <n v="0"/>
  </r>
  <r>
    <x v="0"/>
    <x v="2"/>
    <x v="0"/>
    <n v="11006293000130"/>
    <x v="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450"/>
  </r>
  <r>
    <x v="0"/>
    <x v="2"/>
    <x v="0"/>
    <n v="11006293000130"/>
    <x v="68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450"/>
  </r>
  <r>
    <x v="0"/>
    <x v="2"/>
    <x v="0"/>
    <n v="20909271000171"/>
    <x v="369"/>
    <s v="ARAGUARI"/>
    <s v="MG"/>
    <s v="1-Setorizado"/>
    <n v="1"/>
    <x v="5"/>
    <x v="5"/>
    <s v="Misto (EMH)"/>
    <s v="rafael.esteves@cslbehring.com"/>
    <s v="RAFAEL ESTEVES (RJ/SPI/SUL)"/>
    <n v="0"/>
    <n v="0"/>
    <n v="0"/>
    <n v="70"/>
    <n v="0"/>
  </r>
  <r>
    <x v="0"/>
    <x v="2"/>
    <x v="0"/>
    <n v="25910449000460"/>
    <x v="467"/>
    <s v="ARAXÁ"/>
    <s v="MG"/>
    <s v="1-Setorizado"/>
    <n v="1"/>
    <x v="5"/>
    <x v="5"/>
    <s v="Misto (EMH)"/>
    <s v="rafael.esteves@cslbehring.com"/>
    <s v="RAFAEL ESTEVES (RJ/SPI/SUL)"/>
    <n v="0"/>
    <n v="0"/>
    <n v="0"/>
    <n v="0"/>
    <n v="30"/>
  </r>
  <r>
    <x v="0"/>
    <x v="2"/>
    <x v="0"/>
    <n v="17214149000176"/>
    <x v="70"/>
    <s v="BELO HORIZONTE"/>
    <s v="MG"/>
    <s v="1-Setorizado"/>
    <n v="1"/>
    <x v="5"/>
    <x v="5"/>
    <s v="Misto (EMH)"/>
    <s v="rafael.esteves@cslbehring.com"/>
    <s v="RAFAEL ESTEVES (RJ/SPI/SUL)"/>
    <n v="0"/>
    <n v="0"/>
    <n v="8"/>
    <n v="0"/>
    <n v="0"/>
  </r>
  <r>
    <x v="0"/>
    <x v="2"/>
    <x v="0"/>
    <n v="410960000120"/>
    <x v="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46"/>
    <n v="662"/>
  </r>
  <r>
    <x v="0"/>
    <x v="2"/>
    <x v="0"/>
    <n v="60194990000844"/>
    <x v="468"/>
    <s v="BELO HORIZONTE"/>
    <s v="MG"/>
    <s v="1-Setorizado"/>
    <n v="1"/>
    <x v="5"/>
    <x v="5"/>
    <s v="Misto (EMH)"/>
    <s v="rafael.esteves@cslbehring.com"/>
    <s v="RAFAEL ESTEVES (RJ/SPI/SUL)"/>
    <n v="0"/>
    <n v="0"/>
    <n v="3"/>
    <n v="0"/>
    <n v="0"/>
  </r>
  <r>
    <x v="0"/>
    <x v="2"/>
    <x v="0"/>
    <n v="16676520000582"/>
    <x v="469"/>
    <s v="BELO HORIZONTE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2"/>
    <x v="0"/>
    <n v="2623693000102"/>
    <x v="73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20"/>
  </r>
  <r>
    <x v="0"/>
    <x v="2"/>
    <x v="0"/>
    <n v="19878404000100"/>
    <x v="76"/>
    <s v="IPATINGA"/>
    <s v="MG"/>
    <s v="1-Setorizado"/>
    <n v="1"/>
    <x v="5"/>
    <x v="5"/>
    <s v="Misto (EMH)"/>
    <s v="rafael.esteves@cslbehring.com"/>
    <s v="RAFAEL ESTEVES (RJ/SPI/SUL)"/>
    <n v="0"/>
    <n v="0"/>
    <n v="0"/>
    <n v="52"/>
    <n v="0"/>
  </r>
  <r>
    <x v="0"/>
    <x v="2"/>
    <x v="0"/>
    <n v="17689407000928"/>
    <x v="7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6"/>
    <n v="0"/>
  </r>
  <r>
    <x v="0"/>
    <x v="2"/>
    <x v="0"/>
    <n v="18836965000184"/>
    <x v="470"/>
    <s v="RAUL SOARES"/>
    <s v="MG"/>
    <s v="1-Setorizado"/>
    <n v="1"/>
    <x v="5"/>
    <x v="5"/>
    <s v="Misto (EMH)"/>
    <s v="rafael.esteves@cslbehring.com"/>
    <s v="RAFAEL ESTEVES (RJ/SPI/SUL)"/>
    <n v="0"/>
    <n v="0"/>
    <n v="0"/>
    <n v="20"/>
    <n v="0"/>
  </r>
  <r>
    <x v="0"/>
    <x v="2"/>
    <x v="0"/>
    <n v="25648387000207"/>
    <x v="83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0"/>
    <n v="650"/>
  </r>
  <r>
    <x v="0"/>
    <x v="2"/>
    <x v="0"/>
    <n v="20150900000122"/>
    <x v="84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18"/>
    <n v="0"/>
  </r>
  <r>
    <x v="0"/>
    <x v="2"/>
    <x v="0"/>
    <n v="25761040000187"/>
    <x v="376"/>
    <s v="UBERLÂNDIA"/>
    <s v="MG"/>
    <s v="1-Setorizado"/>
    <n v="1"/>
    <x v="5"/>
    <x v="5"/>
    <s v="Misto (EMH)"/>
    <s v="rafael.esteves@cslbehring.com"/>
    <s v="RAFAEL ESTEVES (RJ/SPI/SUL)"/>
    <n v="0"/>
    <n v="0"/>
    <n v="6"/>
    <n v="0"/>
    <n v="0"/>
  </r>
  <r>
    <x v="0"/>
    <x v="2"/>
    <x v="0"/>
    <n v="17087591000189"/>
    <x v="86"/>
    <s v="UBERLÂNDIA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2"/>
    <x v="0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8"/>
    <n v="0"/>
  </r>
  <r>
    <x v="0"/>
    <x v="2"/>
    <x v="0"/>
    <n v="3533726001583"/>
    <x v="89"/>
    <s v="ACORIZAL"/>
    <s v="MT"/>
    <s v="1-Setorizado"/>
    <n v="2"/>
    <x v="6"/>
    <x v="6"/>
    <s v="Especialidade (ESP)"/>
    <s v="fernando.leony@cslbehring.com"/>
    <s v="FERNANDO LEONY (CO/NO/NE)"/>
    <n v="0"/>
    <n v="0"/>
    <n v="0"/>
    <n v="0"/>
    <n v="55"/>
  </r>
  <r>
    <x v="0"/>
    <x v="2"/>
    <x v="0"/>
    <n v="3533726001583"/>
    <x v="89"/>
    <s v="ACORIZAL"/>
    <s v="MT"/>
    <s v="1-Setorizado"/>
    <n v="2"/>
    <x v="4"/>
    <x v="4"/>
    <s v="Hospitalar (HSP)"/>
    <s v="fernando.leony@cslbehring.com"/>
    <s v="FERNANDO LEONY (CO/NO/NE)"/>
    <n v="0"/>
    <n v="0"/>
    <n v="0"/>
    <n v="0"/>
    <n v="55"/>
  </r>
  <r>
    <x v="0"/>
    <x v="2"/>
    <x v="0"/>
    <n v="15126437001204"/>
    <x v="471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750"/>
  </r>
  <r>
    <x v="0"/>
    <x v="2"/>
    <x v="0"/>
    <n v="15126437001204"/>
    <x v="471"/>
    <s v="CUIABÁ"/>
    <s v="MT"/>
    <s v="1-Setorizado"/>
    <n v="2"/>
    <x v="4"/>
    <x v="4"/>
    <s v="Hospitalar (HSP)"/>
    <s v="fernando.leony@cslbehring.com"/>
    <s v="FERNANDO LEONY (CO/NO/NE)"/>
    <n v="0"/>
    <n v="0"/>
    <n v="0"/>
    <n v="0"/>
    <n v="750"/>
  </r>
  <r>
    <x v="0"/>
    <x v="2"/>
    <x v="0"/>
    <n v="3925419000142"/>
    <x v="92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2"/>
    <x v="0"/>
    <n v="3925419000142"/>
    <x v="92"/>
    <s v="CUIABÁ"/>
    <s v="MT"/>
    <s v="1-Setorizado"/>
    <n v="2"/>
    <x v="4"/>
    <x v="4"/>
    <s v="Hospitalar (HSP)"/>
    <s v="fernando.leony@cslbehring.com"/>
    <s v="FERNANDO LEONY (CO/NO/NE)"/>
    <n v="0"/>
    <n v="4"/>
    <n v="0"/>
    <n v="0"/>
    <n v="0"/>
  </r>
  <r>
    <x v="0"/>
    <x v="2"/>
    <x v="0"/>
    <n v="4966545000370"/>
    <x v="96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40"/>
  </r>
  <r>
    <x v="0"/>
    <x v="2"/>
    <x v="0"/>
    <n v="83367342000252"/>
    <x v="97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40"/>
  </r>
  <r>
    <x v="0"/>
    <x v="2"/>
    <x v="0"/>
    <n v="12361267000274"/>
    <x v="378"/>
    <s v="BELÉM"/>
    <s v="PA"/>
    <s v="1-Setorizado"/>
    <n v="1"/>
    <x v="2"/>
    <x v="2"/>
    <s v="Misto (EMH)"/>
    <s v="fernando.leony@cslbehring.com"/>
    <s v="FERNANDO LEONY (CO/NO/NE)"/>
    <n v="0"/>
    <n v="4"/>
    <n v="0"/>
    <n v="0"/>
    <n v="0"/>
  </r>
  <r>
    <x v="0"/>
    <x v="2"/>
    <x v="0"/>
    <n v="12371009253"/>
    <x v="99"/>
    <s v="BELÉM"/>
    <s v="PA"/>
    <s v="1-Setorizado"/>
    <n v="1"/>
    <x v="2"/>
    <x v="2"/>
    <s v="Misto (EMH)"/>
    <s v="fernando.leony@cslbehring.com"/>
    <s v="FERNANDO LEONY (CO/NO/NE)"/>
    <n v="0"/>
    <n v="0"/>
    <n v="0"/>
    <n v="12"/>
    <n v="0"/>
  </r>
  <r>
    <x v="0"/>
    <x v="2"/>
    <x v="0"/>
    <n v="93326645287"/>
    <x v="472"/>
    <s v="BELÉM"/>
    <s v="PA"/>
    <s v="1-Setorizado"/>
    <n v="1"/>
    <x v="2"/>
    <x v="2"/>
    <s v="Misto (EMH)"/>
    <s v="fernando.leony@cslbehring.com"/>
    <s v="FERNANDO LEONY (CO/NO/NE)"/>
    <n v="0"/>
    <n v="0"/>
    <n v="0"/>
    <n v="16"/>
    <n v="0"/>
  </r>
  <r>
    <x v="0"/>
    <x v="2"/>
    <x v="0"/>
    <n v="4201372001028"/>
    <x v="100"/>
    <s v="BELÉM"/>
    <s v="PA"/>
    <s v="1-Setorizado"/>
    <n v="1"/>
    <x v="2"/>
    <x v="2"/>
    <s v="Misto (EMH)"/>
    <s v="fernando.leony@cslbehring.com"/>
    <s v="FERNANDO LEONY (CO/NO/NE)"/>
    <n v="0"/>
    <n v="0"/>
    <n v="0"/>
    <n v="32"/>
    <n v="0"/>
  </r>
  <r>
    <x v="0"/>
    <x v="2"/>
    <x v="0"/>
    <n v="5055128000257"/>
    <x v="473"/>
    <s v="CAMPINA GRANDE"/>
    <s v="PB"/>
    <s v="1-Setorizado"/>
    <n v="2"/>
    <x v="0"/>
    <x v="0"/>
    <s v="Especialidade (ESP)"/>
    <s v="fernando.leony@cslbehring.com"/>
    <s v="FERNANDO LEONY (CO/NO/NE)"/>
    <n v="0"/>
    <n v="0"/>
    <n v="0"/>
    <n v="0"/>
    <n v="75"/>
  </r>
  <r>
    <x v="0"/>
    <x v="2"/>
    <x v="0"/>
    <n v="5055128000257"/>
    <x v="473"/>
    <s v="CAMPINA GRANDE"/>
    <s v="PB"/>
    <s v="1-Setorizado"/>
    <n v="2"/>
    <x v="7"/>
    <x v="7"/>
    <s v="Hospitalar (HSP)"/>
    <s v="fernando.leony@cslbehring.com"/>
    <s v="FERNANDO LEONY (CO/NO/NE)"/>
    <n v="0"/>
    <n v="0"/>
    <n v="0"/>
    <n v="0"/>
    <n v="75"/>
  </r>
  <r>
    <x v="0"/>
    <x v="2"/>
    <x v="0"/>
    <n v="83925694404"/>
    <x v="102"/>
    <s v="JOÃO PESSOA"/>
    <s v="PB"/>
    <s v="1-Setorizado"/>
    <n v="2"/>
    <x v="0"/>
    <x v="0"/>
    <s v="Especialidade (ESP)"/>
    <s v="fernando.leony@cslbehring.com"/>
    <s v="FERNANDO LEONY (CO/NO/NE)"/>
    <n v="26"/>
    <n v="0"/>
    <n v="0"/>
    <n v="0"/>
    <n v="0"/>
  </r>
  <r>
    <x v="0"/>
    <x v="2"/>
    <x v="0"/>
    <n v="83925694404"/>
    <x v="102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2"/>
    <x v="0"/>
    <n v="8680639000681"/>
    <x v="103"/>
    <s v="JOÃO PESSOA"/>
    <s v="PB"/>
    <s v="1-Setorizado"/>
    <n v="2"/>
    <x v="0"/>
    <x v="0"/>
    <s v="Especialidade (ESP)"/>
    <s v="fernando.leony@cslbehring.com"/>
    <s v="FERNANDO LEONY (CO/NO/NE)"/>
    <n v="0"/>
    <n v="0"/>
    <n v="0"/>
    <n v="80"/>
    <n v="140"/>
  </r>
  <r>
    <x v="0"/>
    <x v="2"/>
    <x v="0"/>
    <n v="8680639000681"/>
    <x v="103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140"/>
  </r>
  <r>
    <x v="0"/>
    <x v="2"/>
    <x v="0"/>
    <n v="12361267008844"/>
    <x v="474"/>
    <s v="ÁGUA BRANCA"/>
    <s v="PB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8844"/>
    <x v="474"/>
    <s v="ÁGUA BRANCA"/>
    <s v="PB"/>
    <s v="1-Setorizado"/>
    <n v="2"/>
    <x v="7"/>
    <x v="7"/>
    <s v="Hospitalar (HSP)"/>
    <s v="fernando.leony@cslbehring.com"/>
    <s v="FERNANDO LEONY (CO/NO/NE)"/>
    <n v="0"/>
    <n v="2"/>
    <n v="2"/>
    <n v="0"/>
    <n v="0"/>
  </r>
  <r>
    <x v="0"/>
    <x v="2"/>
    <x v="0"/>
    <n v="3904395000145"/>
    <x v="475"/>
    <s v="JABOATÃO DOS GUARARAPES"/>
    <s v="PE"/>
    <s v="1-Setorizado"/>
    <n v="2"/>
    <x v="0"/>
    <x v="0"/>
    <s v="Especialidade (ESP)"/>
    <s v="fernando.leony@cslbehring.com"/>
    <s v="FERNANDO LEONY (CO/NO/NE)"/>
    <n v="24"/>
    <n v="0"/>
    <n v="0"/>
    <n v="0"/>
    <n v="0"/>
  </r>
  <r>
    <x v="0"/>
    <x v="2"/>
    <x v="0"/>
    <n v="3904395000145"/>
    <x v="475"/>
    <s v="JABOATÃO DOS GUARARAPES"/>
    <s v="PE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2"/>
    <x v="0"/>
    <n v="6047087001291"/>
    <x v="476"/>
    <s v="OLINDA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6047087001291"/>
    <x v="476"/>
    <s v="OLINDA"/>
    <s v="PE"/>
    <s v="1-Setorizado"/>
    <n v="2"/>
    <x v="7"/>
    <x v="7"/>
    <s v="Hospitalar (HSP)"/>
    <s v="fernando.leony@cslbehring.com"/>
    <s v="FERNANDO LEONY (CO/NO/NE)"/>
    <n v="0"/>
    <n v="8"/>
    <n v="0"/>
    <n v="0"/>
    <n v="0"/>
  </r>
  <r>
    <x v="0"/>
    <x v="2"/>
    <x v="0"/>
    <n v="9039744000275"/>
    <x v="381"/>
    <s v="PAULISTA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9039744000275"/>
    <x v="381"/>
    <s v="PAULISTA"/>
    <s v="PE"/>
    <s v="1-Setorizado"/>
    <n v="2"/>
    <x v="7"/>
    <x v="7"/>
    <s v="Hospitalar (HSP)"/>
    <s v="fernando.leony@cslbehring.com"/>
    <s v="FERNANDO LEONY (CO/NO/NE)"/>
    <n v="0"/>
    <n v="7"/>
    <n v="0"/>
    <n v="0"/>
    <n v="0"/>
  </r>
  <r>
    <x v="0"/>
    <x v="2"/>
    <x v="0"/>
    <n v="12361267007287"/>
    <x v="383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7287"/>
    <x v="383"/>
    <s v="RECIFE"/>
    <s v="PE"/>
    <s v="1-Setorizado"/>
    <n v="2"/>
    <x v="7"/>
    <x v="7"/>
    <s v="Hospitalar (HSP)"/>
    <s v="fernando.leony@cslbehring.com"/>
    <s v="FERNANDO LEONY (CO/NO/NE)"/>
    <n v="0"/>
    <n v="8"/>
    <n v="16"/>
    <n v="0"/>
    <n v="0"/>
  </r>
  <r>
    <x v="0"/>
    <x v="2"/>
    <x v="0"/>
    <n v="11452240000143"/>
    <x v="106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1452240000143"/>
    <x v="106"/>
    <s v="RECIFE"/>
    <s v="PE"/>
    <s v="1-Setorizado"/>
    <n v="2"/>
    <x v="7"/>
    <x v="7"/>
    <s v="Hospitalar (HSP)"/>
    <s v="fernando.leony@cslbehring.com"/>
    <s v="FERNANDO LEONY (CO/NO/NE)"/>
    <n v="0"/>
    <n v="0"/>
    <n v="4"/>
    <n v="0"/>
    <n v="0"/>
  </r>
  <r>
    <x v="0"/>
    <x v="2"/>
    <x v="0"/>
    <n v="6047087009276"/>
    <x v="10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6047087009276"/>
    <x v="107"/>
    <s v="RECIFE"/>
    <s v="PE"/>
    <s v="1-Setorizado"/>
    <n v="2"/>
    <x v="7"/>
    <x v="7"/>
    <s v="Hospitalar (HSP)"/>
    <s v="fernando.leony@cslbehring.com"/>
    <s v="FERNANDO LEONY (CO/NO/NE)"/>
    <n v="0"/>
    <n v="30"/>
    <n v="0"/>
    <n v="0"/>
    <n v="0"/>
  </r>
  <r>
    <x v="0"/>
    <x v="2"/>
    <x v="0"/>
    <n v="10892164000124"/>
    <x v="108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40"/>
    <n v="0"/>
  </r>
  <r>
    <x v="0"/>
    <x v="2"/>
    <x v="0"/>
    <n v="10892164000124"/>
    <x v="108"/>
    <s v="RECIFE"/>
    <s v="PE"/>
    <s v="1-Setorizado"/>
    <n v="2"/>
    <x v="7"/>
    <x v="7"/>
    <s v="Hospitalar (HSP)"/>
    <s v="fernando.leony@cslbehring.com"/>
    <s v="FERNANDO LEONY (CO/NO/NE)"/>
    <n v="0"/>
    <n v="10"/>
    <n v="0"/>
    <n v="0"/>
    <n v="0"/>
  </r>
  <r>
    <x v="0"/>
    <x v="2"/>
    <x v="0"/>
    <n v="2284062000440"/>
    <x v="109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2284062000440"/>
    <x v="109"/>
    <s v="RECIFE"/>
    <s v="PE"/>
    <s v="1-Setorizado"/>
    <n v="2"/>
    <x v="7"/>
    <x v="7"/>
    <s v="Hospitalar (HSP)"/>
    <s v="fernando.leony@cslbehring.com"/>
    <s v="FERNANDO LEONY (CO/NO/NE)"/>
    <n v="0"/>
    <n v="20"/>
    <n v="0"/>
    <n v="0"/>
    <n v="0"/>
  </r>
  <r>
    <x v="0"/>
    <x v="2"/>
    <x v="0"/>
    <n v="11214624000470"/>
    <x v="384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50"/>
  </r>
  <r>
    <x v="0"/>
    <x v="2"/>
    <x v="0"/>
    <n v="11214624000470"/>
    <x v="384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50"/>
  </r>
  <r>
    <x v="0"/>
    <x v="2"/>
    <x v="0"/>
    <n v="11214624001957"/>
    <x v="47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1214624001957"/>
    <x v="477"/>
    <s v="RECIFE"/>
    <s v="PE"/>
    <s v="1-Setorizado"/>
    <n v="2"/>
    <x v="7"/>
    <x v="7"/>
    <s v="Hospitalar (HSP)"/>
    <s v="fernando.leony@cslbehring.com"/>
    <s v="FERNANDO LEONY (CO/NO/NE)"/>
    <n v="0"/>
    <n v="6"/>
    <n v="0"/>
    <n v="0"/>
    <n v="0"/>
  </r>
  <r>
    <x v="0"/>
    <x v="2"/>
    <x v="0"/>
    <n v="11022597001597"/>
    <x v="385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1022597001597"/>
    <x v="385"/>
    <s v="RECIFE"/>
    <s v="PE"/>
    <s v="1-Setorizado"/>
    <n v="2"/>
    <x v="7"/>
    <x v="7"/>
    <s v="Hospitalar (HSP)"/>
    <s v="fernando.leony@cslbehring.com"/>
    <s v="FERNANDO LEONY (CO/NO/NE)"/>
    <n v="0"/>
    <n v="25"/>
    <n v="0"/>
    <n v="0"/>
    <n v="0"/>
  </r>
  <r>
    <x v="0"/>
    <x v="2"/>
    <x v="0"/>
    <n v="10839561000132"/>
    <x v="11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28"/>
    <n v="0"/>
  </r>
  <r>
    <x v="0"/>
    <x v="2"/>
    <x v="0"/>
    <n v="10839561000132"/>
    <x v="111"/>
    <s v="RECIFE"/>
    <s v="PE"/>
    <s v="1-Setorizado"/>
    <n v="2"/>
    <x v="7"/>
    <x v="7"/>
    <s v="Hospitalar (HSP)"/>
    <s v="fernando.leony@cslbehring.com"/>
    <s v="FERNANDO LEONY (CO/NO/NE)"/>
    <n v="0"/>
    <n v="0"/>
    <n v="6"/>
    <n v="0"/>
    <n v="0"/>
  </r>
  <r>
    <x v="0"/>
    <x v="2"/>
    <x v="0"/>
    <n v="12361267004008"/>
    <x v="478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4008"/>
    <x v="478"/>
    <s v="TERESINA"/>
    <s v="PI"/>
    <s v="1-Setorizado"/>
    <n v="2"/>
    <x v="3"/>
    <x v="3"/>
    <s v="Hospitalar (HSP)"/>
    <s v="fernando.leony@cslbehring.com"/>
    <s v="FERNANDO LEONY (CO/NO/NE)"/>
    <n v="0"/>
    <n v="2"/>
    <n v="0"/>
    <n v="0"/>
    <n v="0"/>
  </r>
  <r>
    <x v="0"/>
    <x v="2"/>
    <x v="0"/>
    <n v="81715716000410"/>
    <x v="479"/>
    <s v="CAMPO MOURÃO"/>
    <s v="PR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2"/>
    <x v="0"/>
    <n v="81715716000410"/>
    <x v="479"/>
    <s v="CAMPO MOURÃO"/>
    <s v="PR"/>
    <s v="1-Setorizado"/>
    <n v="2"/>
    <x v="9"/>
    <x v="9"/>
    <s v="Hospitalar (HSP)"/>
    <s v="rafael.esteves@cslbehring.com"/>
    <s v="RAFAEL ESTEVES (RJ/SPI/SUL)"/>
    <n v="0"/>
    <n v="0"/>
    <n v="0"/>
    <n v="0"/>
    <n v="30"/>
  </r>
  <r>
    <x v="0"/>
    <x v="2"/>
    <x v="0"/>
    <n v="81270548000153"/>
    <x v="480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81270548000153"/>
    <x v="480"/>
    <s v="CASCAVEL"/>
    <s v="PR"/>
    <s v="1-Setorizado"/>
    <n v="2"/>
    <x v="9"/>
    <x v="9"/>
    <s v="Hospitalar (HSP)"/>
    <s v="rafael.esteves@cslbehring.com"/>
    <s v="RAFAEL ESTEVES (RJ/SPI/SUL)"/>
    <n v="0"/>
    <n v="0"/>
    <n v="3"/>
    <n v="0"/>
    <n v="0"/>
  </r>
  <r>
    <x v="0"/>
    <x v="2"/>
    <x v="0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96"/>
    <n v="3500"/>
  </r>
  <r>
    <x v="0"/>
    <x v="2"/>
    <x v="0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3500"/>
  </r>
  <r>
    <x v="0"/>
    <x v="2"/>
    <x v="0"/>
    <n v="7404052000172"/>
    <x v="11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5"/>
  </r>
  <r>
    <x v="0"/>
    <x v="2"/>
    <x v="0"/>
    <n v="7404052000172"/>
    <x v="11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5"/>
  </r>
  <r>
    <x v="0"/>
    <x v="2"/>
    <x v="0"/>
    <n v="8597121000174"/>
    <x v="11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60"/>
  </r>
  <r>
    <x v="0"/>
    <x v="2"/>
    <x v="0"/>
    <n v="8597121000174"/>
    <x v="11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60"/>
  </r>
  <r>
    <x v="0"/>
    <x v="2"/>
    <x v="0"/>
    <n v="942063000167"/>
    <x v="120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800"/>
  </r>
  <r>
    <x v="0"/>
    <x v="2"/>
    <x v="0"/>
    <n v="942063000167"/>
    <x v="120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800"/>
  </r>
  <r>
    <x v="0"/>
    <x v="2"/>
    <x v="0"/>
    <n v="76591569000130"/>
    <x v="121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12"/>
    <n v="500"/>
  </r>
  <r>
    <x v="0"/>
    <x v="2"/>
    <x v="0"/>
    <n v="76591569000130"/>
    <x v="121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00"/>
  </r>
  <r>
    <x v="0"/>
    <x v="2"/>
    <x v="0"/>
    <n v="76659820002367"/>
    <x v="122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5"/>
  </r>
  <r>
    <x v="0"/>
    <x v="2"/>
    <x v="0"/>
    <n v="76659820002367"/>
    <x v="122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5"/>
  </r>
  <r>
    <x v="0"/>
    <x v="2"/>
    <x v="0"/>
    <n v="76555069000143"/>
    <x v="12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80"/>
  </r>
  <r>
    <x v="0"/>
    <x v="2"/>
    <x v="0"/>
    <n v="76555069000143"/>
    <x v="124"/>
    <s v="CURITIBA"/>
    <s v="PR"/>
    <s v="1-Setorizado"/>
    <n v="2"/>
    <x v="9"/>
    <x v="9"/>
    <s v="Hospitalar (HSP)"/>
    <s v="rafael.esteves@cslbehring.com"/>
    <s v="RAFAEL ESTEVES (RJ/SPI/SUL)"/>
    <n v="0"/>
    <n v="0"/>
    <n v="2"/>
    <n v="0"/>
    <n v="280"/>
  </r>
  <r>
    <x v="0"/>
    <x v="2"/>
    <x v="0"/>
    <n v="29435005005600"/>
    <x v="125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85"/>
  </r>
  <r>
    <x v="0"/>
    <x v="2"/>
    <x v="0"/>
    <n v="29435005005600"/>
    <x v="12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85"/>
  </r>
  <r>
    <x v="0"/>
    <x v="2"/>
    <x v="0"/>
    <n v="3850913000195"/>
    <x v="12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60"/>
  </r>
  <r>
    <x v="0"/>
    <x v="2"/>
    <x v="0"/>
    <n v="3850913000195"/>
    <x v="12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660"/>
  </r>
  <r>
    <x v="0"/>
    <x v="2"/>
    <x v="0"/>
    <n v="30117769000155"/>
    <x v="12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5"/>
  </r>
  <r>
    <x v="0"/>
    <x v="2"/>
    <x v="0"/>
    <n v="30117769000155"/>
    <x v="12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05"/>
  </r>
  <r>
    <x v="0"/>
    <x v="2"/>
    <x v="0"/>
    <n v="78633088000176"/>
    <x v="389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2"/>
    <x v="0"/>
    <n v="78633088000176"/>
    <x v="389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2"/>
    <x v="0"/>
    <n v="4762301000103"/>
    <x v="390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5"/>
  </r>
  <r>
    <x v="0"/>
    <x v="2"/>
    <x v="0"/>
    <n v="4762301000103"/>
    <x v="390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405"/>
  </r>
  <r>
    <x v="0"/>
    <x v="2"/>
    <x v="0"/>
    <n v="73863342000109"/>
    <x v="131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2"/>
    <x v="0"/>
    <n v="73863342000109"/>
    <x v="131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2"/>
    <x v="0"/>
    <n v="75222224001895"/>
    <x v="132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485"/>
  </r>
  <r>
    <x v="0"/>
    <x v="2"/>
    <x v="0"/>
    <n v="75222224001895"/>
    <x v="132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485"/>
  </r>
  <r>
    <x v="0"/>
    <x v="2"/>
    <x v="0"/>
    <n v="79115762000193"/>
    <x v="391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"/>
  </r>
  <r>
    <x v="0"/>
    <x v="2"/>
    <x v="0"/>
    <n v="79115762000193"/>
    <x v="391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25"/>
  </r>
  <r>
    <x v="0"/>
    <x v="2"/>
    <x v="0"/>
    <n v="7794623002257"/>
    <x v="134"/>
    <s v="SÃO JOSÉ DOS PINHAIS"/>
    <s v="PR"/>
    <s v="1-Setorizado"/>
    <n v="2"/>
    <x v="8"/>
    <x v="8"/>
    <s v="Especialidade (ESP)"/>
    <s v="rafael.esteves@cslbehring.com"/>
    <s v="RAFAEL ESTEVES (RJ/SPI/SUL)"/>
    <n v="0"/>
    <n v="0"/>
    <n v="0"/>
    <n v="0"/>
    <n v="630"/>
  </r>
  <r>
    <x v="0"/>
    <x v="2"/>
    <x v="0"/>
    <n v="7794623002257"/>
    <x v="134"/>
    <s v="SÃO JOSÉ DOS PINHAIS"/>
    <s v="PR"/>
    <s v="1-Setorizado"/>
    <n v="2"/>
    <x v="9"/>
    <x v="9"/>
    <s v="Hospitalar (HSP)"/>
    <s v="rafael.esteves@cslbehring.com"/>
    <s v="RAFAEL ESTEVES (RJ/SPI/SUL)"/>
    <n v="0"/>
    <n v="0"/>
    <n v="0"/>
    <n v="0"/>
    <n v="630"/>
  </r>
  <r>
    <x v="0"/>
    <x v="2"/>
    <x v="0"/>
    <n v="36238913000198"/>
    <x v="392"/>
    <s v="ANGRA DOS REIS"/>
    <s v="RJ"/>
    <s v="1-Setorizado"/>
    <n v="2"/>
    <x v="10"/>
    <x v="10"/>
    <s v="Especialidade (ESP)"/>
    <s v="rafael.esteves@cslbehring.com"/>
    <s v="RAFAEL ESTEVES (RJ/SPI/SUL)"/>
    <n v="0"/>
    <n v="0"/>
    <n v="0"/>
    <n v="200"/>
    <n v="0"/>
  </r>
  <r>
    <x v="0"/>
    <x v="2"/>
    <x v="0"/>
    <n v="36238913000198"/>
    <x v="392"/>
    <s v="ANGRA DOS RE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2"/>
    <x v="0"/>
    <n v="6047087001372"/>
    <x v="135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6047087001372"/>
    <x v="135"/>
    <s v="DUQUE DE CAXIAS"/>
    <s v="RJ"/>
    <s v="1-Setorizado"/>
    <n v="2"/>
    <x v="11"/>
    <x v="11"/>
    <s v="Hospitalar (HSP)"/>
    <s v="rafael.esteves@cslbehring.com"/>
    <s v="RAFAEL ESTEVES (RJ/SPI/SUL)"/>
    <n v="0"/>
    <n v="2"/>
    <n v="0"/>
    <n v="0"/>
    <n v="0"/>
  </r>
  <r>
    <x v="0"/>
    <x v="2"/>
    <x v="0"/>
    <n v="10558548000105"/>
    <x v="481"/>
    <s v="MANGARATIBA"/>
    <s v="RJ"/>
    <s v="1-Setorizado"/>
    <n v="2"/>
    <x v="10"/>
    <x v="10"/>
    <s v="Especialidade (ESP)"/>
    <s v="rafael.esteves@cslbehring.com"/>
    <s v="RAFAEL ESTEVES (RJ/SPI/SUL)"/>
    <n v="3"/>
    <n v="0"/>
    <n v="0"/>
    <n v="0"/>
    <n v="0"/>
  </r>
  <r>
    <x v="0"/>
    <x v="2"/>
    <x v="0"/>
    <n v="10558548000105"/>
    <x v="481"/>
    <s v="MANGARATIBA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2"/>
    <x v="0"/>
    <n v="25308058000128"/>
    <x v="482"/>
    <s v="MIRACEMA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5308058000128"/>
    <x v="482"/>
    <s v="MIRACEMA"/>
    <s v="RJ"/>
    <s v="1-Setorizado"/>
    <n v="2"/>
    <x v="12"/>
    <x v="12"/>
    <s v="Hospitalar (HSP)"/>
    <s v="rafael.esteves@cslbehring.com"/>
    <s v="RAFAEL ESTEVES (RJ/SPI/SUL)"/>
    <n v="0"/>
    <n v="2"/>
    <n v="0"/>
    <n v="0"/>
    <n v="0"/>
  </r>
  <r>
    <x v="0"/>
    <x v="2"/>
    <x v="0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298"/>
    <n v="500"/>
  </r>
  <r>
    <x v="0"/>
    <x v="2"/>
    <x v="0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500"/>
  </r>
  <r>
    <x v="0"/>
    <x v="2"/>
    <x v="0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40"/>
    <n v="790"/>
  </r>
  <r>
    <x v="0"/>
    <x v="2"/>
    <x v="0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0"/>
    <n v="13"/>
    <n v="0"/>
    <n v="790"/>
  </r>
  <r>
    <x v="0"/>
    <x v="2"/>
    <x v="0"/>
    <n v="28523215000378"/>
    <x v="483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00"/>
  </r>
  <r>
    <x v="0"/>
    <x v="2"/>
    <x v="0"/>
    <n v="28523215000378"/>
    <x v="483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300"/>
  </r>
  <r>
    <x v="0"/>
    <x v="2"/>
    <x v="0"/>
    <n v="521197000104"/>
    <x v="139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98"/>
  </r>
  <r>
    <x v="0"/>
    <x v="2"/>
    <x v="0"/>
    <n v="521197000104"/>
    <x v="139"/>
    <s v="NITERÓI"/>
    <s v="RJ"/>
    <s v="1-Setorizado"/>
    <n v="2"/>
    <x v="12"/>
    <x v="12"/>
    <s v="Hospitalar (HSP)"/>
    <s v="rafael.esteves@cslbehring.com"/>
    <s v="RAFAEL ESTEVES (RJ/SPI/SUL)"/>
    <n v="0"/>
    <n v="0"/>
    <n v="0"/>
    <n v="0"/>
    <n v="298"/>
  </r>
  <r>
    <x v="0"/>
    <x v="2"/>
    <x v="0"/>
    <n v="7794623001528"/>
    <x v="141"/>
    <s v="NOVA IGUAÇU"/>
    <s v="RJ"/>
    <s v="1-Setorizado"/>
    <n v="2"/>
    <x v="10"/>
    <x v="10"/>
    <s v="Especialidade (ESP)"/>
    <s v="rafael.esteves@cslbehring.com"/>
    <s v="RAFAEL ESTEVES (RJ/SPI/SUL)"/>
    <n v="0"/>
    <n v="0"/>
    <n v="0"/>
    <n v="28"/>
    <n v="0"/>
  </r>
  <r>
    <x v="0"/>
    <x v="2"/>
    <x v="0"/>
    <n v="7794623001528"/>
    <x v="141"/>
    <s v="NOVA IGUAÇU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2"/>
    <x v="0"/>
    <n v="30638381000108"/>
    <x v="484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25"/>
  </r>
  <r>
    <x v="0"/>
    <x v="2"/>
    <x v="0"/>
    <n v="30638381000108"/>
    <x v="484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125"/>
  </r>
  <r>
    <x v="0"/>
    <x v="2"/>
    <x v="0"/>
    <n v="28806545000532"/>
    <x v="142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96"/>
    <n v="0"/>
  </r>
  <r>
    <x v="0"/>
    <x v="2"/>
    <x v="0"/>
    <n v="28806545000532"/>
    <x v="142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2"/>
    <x v="0"/>
    <n v="68709211000212"/>
    <x v="143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2"/>
    <x v="0"/>
    <n v="68709211000212"/>
    <x v="143"/>
    <s v="RESENDE"/>
    <s v="RJ"/>
    <s v="1-Setorizado"/>
    <n v="2"/>
    <x v="12"/>
    <x v="12"/>
    <s v="Hospitalar (HSP)"/>
    <s v="rafael.esteves@cslbehring.com"/>
    <s v="RAFAEL ESTEVES (RJ/SPI/SUL)"/>
    <n v="0"/>
    <n v="0"/>
    <n v="0"/>
    <n v="0"/>
    <n v="200"/>
  </r>
  <r>
    <x v="0"/>
    <x v="2"/>
    <x v="0"/>
    <n v="29072642000188"/>
    <x v="144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9072642000188"/>
    <x v="144"/>
    <s v="RESENDE"/>
    <s v="RJ"/>
    <s v="1-Setorizado"/>
    <n v="2"/>
    <x v="12"/>
    <x v="12"/>
    <s v="Hospitalar (HSP)"/>
    <s v="rafael.esteves@cslbehring.com"/>
    <s v="RAFAEL ESTEVES (RJ/SPI/SUL)"/>
    <n v="0"/>
    <n v="10"/>
    <n v="0"/>
    <n v="0"/>
    <n v="0"/>
  </r>
  <r>
    <x v="0"/>
    <x v="2"/>
    <x v="0"/>
    <n v="21109731000140"/>
    <x v="14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12"/>
    <n v="0"/>
  </r>
  <r>
    <x v="0"/>
    <x v="2"/>
    <x v="0"/>
    <n v="21109731000140"/>
    <x v="14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2"/>
    <x v="0"/>
    <n v="60922168000348"/>
    <x v="14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30"/>
  </r>
  <r>
    <x v="0"/>
    <x v="2"/>
    <x v="0"/>
    <n v="60922168000348"/>
    <x v="146"/>
    <s v="RIO DE JANEIRO"/>
    <s v="RJ"/>
    <s v="1-Setorizado"/>
    <n v="2"/>
    <x v="11"/>
    <x v="11"/>
    <s v="Hospitalar (HSP)"/>
    <s v="rafael.esteves@cslbehring.com"/>
    <s v="RAFAEL ESTEVES (RJ/SPI/SUL)"/>
    <n v="0"/>
    <n v="3"/>
    <n v="6"/>
    <n v="0"/>
    <n v="130"/>
  </r>
  <r>
    <x v="0"/>
    <x v="2"/>
    <x v="0"/>
    <n v="7794623004896"/>
    <x v="14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750"/>
  </r>
  <r>
    <x v="0"/>
    <x v="2"/>
    <x v="0"/>
    <n v="7794623004896"/>
    <x v="14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750"/>
  </r>
  <r>
    <x v="0"/>
    <x v="2"/>
    <x v="0"/>
    <n v="2864097000106"/>
    <x v="14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40"/>
  </r>
  <r>
    <x v="0"/>
    <x v="2"/>
    <x v="0"/>
    <n v="2864097000106"/>
    <x v="14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40"/>
  </r>
  <r>
    <x v="0"/>
    <x v="2"/>
    <x v="0"/>
    <n v="39086160000130"/>
    <x v="15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88"/>
    <n v="180"/>
  </r>
  <r>
    <x v="0"/>
    <x v="2"/>
    <x v="0"/>
    <n v="39086160000130"/>
    <x v="15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80"/>
  </r>
  <r>
    <x v="0"/>
    <x v="2"/>
    <x v="0"/>
    <n v="40226946000276"/>
    <x v="4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40226946000276"/>
    <x v="485"/>
    <s v="RIO DE JANEIRO"/>
    <s v="RJ"/>
    <s v="1-Setorizado"/>
    <n v="2"/>
    <x v="11"/>
    <x v="11"/>
    <s v="Hospitalar (HSP)"/>
    <s v="rafael.esteves@cslbehring.com"/>
    <s v="RAFAEL ESTEVES (RJ/SPI/SUL)"/>
    <n v="0"/>
    <n v="2"/>
    <n v="0"/>
    <n v="0"/>
    <n v="0"/>
  </r>
  <r>
    <x v="0"/>
    <x v="2"/>
    <x v="0"/>
    <n v="21265360000195"/>
    <x v="15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2"/>
    <x v="0"/>
    <n v="21265360000195"/>
    <x v="152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2"/>
    <x v="0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2"/>
    <x v="0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2"/>
    <x v="0"/>
    <n v="73696718000219"/>
    <x v="15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73696718000219"/>
    <x v="154"/>
    <s v="RIO DE JANEIRO"/>
    <s v="RJ"/>
    <s v="1-Setorizado"/>
    <n v="2"/>
    <x v="12"/>
    <x v="12"/>
    <s v="Hospitalar (HSP)"/>
    <s v="rafael.esteves@cslbehring.com"/>
    <s v="RAFAEL ESTEVES (RJ/SPI/SUL)"/>
    <n v="0"/>
    <n v="0"/>
    <n v="7"/>
    <n v="0"/>
    <n v="0"/>
  </r>
  <r>
    <x v="0"/>
    <x v="2"/>
    <x v="0"/>
    <n v="2284062000521"/>
    <x v="15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284062000521"/>
    <x v="155"/>
    <s v="RIO DE JANEIRO"/>
    <s v="RJ"/>
    <s v="1-Setorizado"/>
    <n v="2"/>
    <x v="12"/>
    <x v="12"/>
    <s v="Hospitalar (HSP)"/>
    <s v="rafael.esteves@cslbehring.com"/>
    <s v="RAFAEL ESTEVES (RJ/SPI/SUL)"/>
    <n v="0"/>
    <n v="13"/>
    <n v="5"/>
    <n v="0"/>
    <n v="0"/>
  </r>
  <r>
    <x v="0"/>
    <x v="2"/>
    <x v="0"/>
    <n v="24217779000160"/>
    <x v="15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4217779000160"/>
    <x v="156"/>
    <s v="RIO DE JANEIRO"/>
    <s v="RJ"/>
    <s v="1-Setorizado"/>
    <n v="2"/>
    <x v="12"/>
    <x v="12"/>
    <s v="Hospitalar (HSP)"/>
    <s v="rafael.esteves@cslbehring.com"/>
    <s v="RAFAEL ESTEVES (RJ/SPI/SUL)"/>
    <n v="0"/>
    <n v="29"/>
    <n v="14"/>
    <n v="0"/>
    <n v="0"/>
  </r>
  <r>
    <x v="0"/>
    <x v="2"/>
    <x v="0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25"/>
  </r>
  <r>
    <x v="0"/>
    <x v="2"/>
    <x v="0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0"/>
    <n v="13"/>
    <n v="0"/>
    <n v="225"/>
  </r>
  <r>
    <x v="0"/>
    <x v="2"/>
    <x v="0"/>
    <n v="6047087002697"/>
    <x v="16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6047087002697"/>
    <x v="160"/>
    <s v="RIO DE JANEIRO"/>
    <s v="RJ"/>
    <s v="1-Setorizado"/>
    <n v="2"/>
    <x v="11"/>
    <x v="11"/>
    <s v="Hospitalar (HSP)"/>
    <s v="rafael.esteves@cslbehring.com"/>
    <s v="RAFAEL ESTEVES (RJ/SPI/SUL)"/>
    <n v="0"/>
    <n v="22"/>
    <n v="10"/>
    <n v="0"/>
    <n v="0"/>
  </r>
  <r>
    <x v="0"/>
    <x v="2"/>
    <x v="0"/>
    <n v="394544020453"/>
    <x v="16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2"/>
    <x v="0"/>
    <n v="394544020453"/>
    <x v="16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0"/>
  </r>
  <r>
    <x v="0"/>
    <x v="2"/>
    <x v="0"/>
    <n v="27901222000131"/>
    <x v="16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7901222000131"/>
    <x v="163"/>
    <s v="RIO DE JANEIRO"/>
    <s v="RJ"/>
    <s v="1-Setorizado"/>
    <n v="2"/>
    <x v="11"/>
    <x v="11"/>
    <s v="Hospitalar (HSP)"/>
    <s v="rafael.esteves@cslbehring.com"/>
    <s v="RAFAEL ESTEVES (RJ/SPI/SUL)"/>
    <n v="0"/>
    <n v="0"/>
    <n v="6"/>
    <n v="0"/>
    <n v="0"/>
  </r>
  <r>
    <x v="0"/>
    <x v="2"/>
    <x v="0"/>
    <n v="394502014870"/>
    <x v="40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394502014870"/>
    <x v="403"/>
    <s v="RIO DE JANEIRO"/>
    <s v="RJ"/>
    <s v="1-Setorizado"/>
    <n v="2"/>
    <x v="12"/>
    <x v="12"/>
    <s v="Hospitalar (HSP)"/>
    <s v="rafael.esteves@cslbehring.com"/>
    <s v="RAFAEL ESTEVES (RJ/SPI/SUL)"/>
    <n v="0"/>
    <n v="5"/>
    <n v="0"/>
    <n v="0"/>
    <n v="0"/>
  </r>
  <r>
    <x v="0"/>
    <x v="2"/>
    <x v="0"/>
    <n v="6047087003316"/>
    <x v="16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6047087003316"/>
    <x v="168"/>
    <s v="RIO DE JANEIRO"/>
    <s v="RJ"/>
    <s v="1-Setorizado"/>
    <n v="2"/>
    <x v="11"/>
    <x v="11"/>
    <s v="Hospitalar (HSP)"/>
    <s v="rafael.esteves@cslbehring.com"/>
    <s v="RAFAEL ESTEVES (RJ/SPI/SUL)"/>
    <n v="0"/>
    <n v="0"/>
    <n v="1"/>
    <n v="0"/>
    <n v="0"/>
  </r>
  <r>
    <x v="0"/>
    <x v="2"/>
    <x v="0"/>
    <n v="29435005005783"/>
    <x v="16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50"/>
  </r>
  <r>
    <x v="0"/>
    <x v="2"/>
    <x v="0"/>
    <n v="29435005005783"/>
    <x v="169"/>
    <s v="RIO DE JANEIRO"/>
    <s v="RJ"/>
    <s v="1-Setorizado"/>
    <n v="2"/>
    <x v="12"/>
    <x v="12"/>
    <s v="Hospitalar (HSP)"/>
    <s v="rafael.esteves@cslbehring.com"/>
    <s v="RAFAEL ESTEVES (RJ/SPI/SUL)"/>
    <n v="0"/>
    <n v="1"/>
    <n v="0"/>
    <n v="0"/>
    <n v="250"/>
  </r>
  <r>
    <x v="0"/>
    <x v="2"/>
    <x v="0"/>
    <n v="29435005005198"/>
    <x v="17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29435005005198"/>
    <x v="170"/>
    <s v="RIO DE JANEIRO"/>
    <s v="RJ"/>
    <s v="1-Setorizado"/>
    <n v="2"/>
    <x v="11"/>
    <x v="11"/>
    <s v="Hospitalar (HSP)"/>
    <s v="rafael.esteves@cslbehring.com"/>
    <s v="RAFAEL ESTEVES (RJ/SPI/SUL)"/>
    <n v="0"/>
    <n v="15"/>
    <n v="14"/>
    <n v="0"/>
    <n v="0"/>
  </r>
  <r>
    <x v="0"/>
    <x v="2"/>
    <x v="0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33"/>
    <n v="66"/>
    <n v="0"/>
    <n v="0"/>
  </r>
  <r>
    <x v="0"/>
    <x v="2"/>
    <x v="0"/>
    <n v="29259736000403"/>
    <x v="17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"/>
    <n v="0"/>
  </r>
  <r>
    <x v="0"/>
    <x v="2"/>
    <x v="0"/>
    <n v="29259736000403"/>
    <x v="172"/>
    <s v="RIO DE JANEIRO"/>
    <s v="RJ"/>
    <s v="1-Setorizado"/>
    <n v="2"/>
    <x v="11"/>
    <x v="11"/>
    <s v="Hospitalar (HSP)"/>
    <s v="rafael.esteves@cslbehring.com"/>
    <s v="RAFAEL ESTEVES (RJ/SPI/SUL)"/>
    <n v="0"/>
    <n v="3"/>
    <n v="0"/>
    <n v="0"/>
    <n v="0"/>
  </r>
  <r>
    <x v="0"/>
    <x v="2"/>
    <x v="0"/>
    <n v="8100676002102"/>
    <x v="17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8100676002102"/>
    <x v="173"/>
    <s v="RIO DE JANEIRO"/>
    <s v="RJ"/>
    <s v="1-Setorizado"/>
    <n v="2"/>
    <x v="11"/>
    <x v="11"/>
    <s v="Hospitalar (HSP)"/>
    <s v="rafael.esteves@cslbehring.com"/>
    <s v="RAFAEL ESTEVES (RJ/SPI/SUL)"/>
    <n v="0"/>
    <n v="23"/>
    <n v="16"/>
    <n v="0"/>
    <n v="0"/>
  </r>
  <r>
    <x v="0"/>
    <x v="2"/>
    <x v="0"/>
    <n v="29435005006160"/>
    <x v="17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80"/>
  </r>
  <r>
    <x v="0"/>
    <x v="2"/>
    <x v="0"/>
    <n v="29435005006160"/>
    <x v="174"/>
    <s v="RIO DE JANEIRO"/>
    <s v="RJ"/>
    <s v="1-Setorizado"/>
    <n v="2"/>
    <x v="11"/>
    <x v="11"/>
    <s v="Hospitalar (HSP)"/>
    <s v="rafael.esteves@cslbehring.com"/>
    <s v="RAFAEL ESTEVES (RJ/SPI/SUL)"/>
    <n v="0"/>
    <n v="10"/>
    <n v="0"/>
    <n v="0"/>
    <n v="80"/>
  </r>
  <r>
    <x v="0"/>
    <x v="2"/>
    <x v="0"/>
    <n v="60884855001630"/>
    <x v="17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85"/>
  </r>
  <r>
    <x v="0"/>
    <x v="2"/>
    <x v="0"/>
    <n v="60884855001630"/>
    <x v="176"/>
    <s v="RIO DE JANEIRO"/>
    <s v="RJ"/>
    <s v="1-Setorizado"/>
    <n v="2"/>
    <x v="12"/>
    <x v="12"/>
    <s v="Hospitalar (HSP)"/>
    <s v="rafael.esteves@cslbehring.com"/>
    <s v="RAFAEL ESTEVES (RJ/SPI/SUL)"/>
    <n v="0"/>
    <n v="7"/>
    <n v="5"/>
    <n v="0"/>
    <n v="385"/>
  </r>
  <r>
    <x v="0"/>
    <x v="2"/>
    <x v="0"/>
    <n v="18010750000100"/>
    <x v="17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90"/>
  </r>
  <r>
    <x v="0"/>
    <x v="2"/>
    <x v="0"/>
    <n v="18010750000100"/>
    <x v="177"/>
    <s v="RIO DE JANEIRO"/>
    <s v="RJ"/>
    <s v="1-Setorizado"/>
    <n v="2"/>
    <x v="12"/>
    <x v="12"/>
    <s v="Hospitalar (HSP)"/>
    <s v="rafael.esteves@cslbehring.com"/>
    <s v="RAFAEL ESTEVES (RJ/SPI/SUL)"/>
    <n v="0"/>
    <n v="0"/>
    <n v="2"/>
    <n v="0"/>
    <n v="290"/>
  </r>
  <r>
    <x v="0"/>
    <x v="2"/>
    <x v="0"/>
    <n v="33663683005347"/>
    <x v="17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400"/>
  </r>
  <r>
    <x v="0"/>
    <x v="2"/>
    <x v="0"/>
    <n v="33663683005347"/>
    <x v="178"/>
    <s v="RIO DE JANEIRO"/>
    <s v="RJ"/>
    <s v="1-Setorizado"/>
    <n v="2"/>
    <x v="12"/>
    <x v="12"/>
    <s v="Hospitalar (HSP)"/>
    <s v="rafael.esteves@cslbehring.com"/>
    <s v="RAFAEL ESTEVES (RJ/SPI/SUL)"/>
    <n v="0"/>
    <n v="24"/>
    <n v="24"/>
    <n v="0"/>
    <n v="2400"/>
  </r>
  <r>
    <x v="0"/>
    <x v="2"/>
    <x v="0"/>
    <n v="394544017150"/>
    <x v="40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394544017150"/>
    <x v="404"/>
    <s v="RIO DE JANEIRO"/>
    <s v="RJ"/>
    <s v="1-Setorizado"/>
    <n v="2"/>
    <x v="12"/>
    <x v="12"/>
    <s v="Hospitalar (HSP)"/>
    <s v="rafael.esteves@cslbehring.com"/>
    <s v="RAFAEL ESTEVES (RJ/SPI/SUL)"/>
    <n v="0"/>
    <n v="20"/>
    <n v="0"/>
    <n v="0"/>
    <n v="0"/>
  </r>
  <r>
    <x v="0"/>
    <x v="2"/>
    <x v="0"/>
    <n v="394544021344"/>
    <x v="18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2"/>
    <x v="0"/>
    <n v="394544021344"/>
    <x v="182"/>
    <s v="RIO DE JANEIRO"/>
    <s v="RJ"/>
    <s v="1-Setorizado"/>
    <n v="2"/>
    <x v="11"/>
    <x v="11"/>
    <s v="Hospitalar (HSP)"/>
    <s v="rafael.esteves@cslbehring.com"/>
    <s v="RAFAEL ESTEVES (RJ/SPI/SUL)"/>
    <n v="0"/>
    <n v="208"/>
    <n v="250"/>
    <n v="0"/>
    <n v="0"/>
  </r>
  <r>
    <x v="0"/>
    <x v="2"/>
    <x v="0"/>
    <n v="33419482000259"/>
    <x v="18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"/>
  </r>
  <r>
    <x v="0"/>
    <x v="2"/>
    <x v="0"/>
    <n v="33419482000259"/>
    <x v="183"/>
    <s v="RIO DE JANEIRO"/>
    <s v="RJ"/>
    <s v="1-Setorizado"/>
    <n v="2"/>
    <x v="11"/>
    <x v="11"/>
    <s v="Hospitalar (HSP)"/>
    <s v="rafael.esteves@cslbehring.com"/>
    <s v="RAFAEL ESTEVES (RJ/SPI/SUL)"/>
    <n v="0"/>
    <n v="3"/>
    <n v="7"/>
    <n v="0"/>
    <n v="20"/>
  </r>
  <r>
    <x v="0"/>
    <x v="2"/>
    <x v="0"/>
    <n v="320465020"/>
    <x v="486"/>
    <s v="RIO DE JANEIRO"/>
    <s v="RJ"/>
    <s v="1-Setorizado"/>
    <n v="2"/>
    <x v="10"/>
    <x v="10"/>
    <s v="Especialidade (ESP)"/>
    <s v="rafael.esteves@cslbehring.com"/>
    <s v="RAFAEL ESTEVES (RJ/SPI/SUL)"/>
    <n v="3"/>
    <n v="0"/>
    <n v="0"/>
    <n v="0"/>
    <n v="0"/>
  </r>
  <r>
    <x v="0"/>
    <x v="2"/>
    <x v="0"/>
    <n v="320465020"/>
    <x v="4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2"/>
    <x v="0"/>
    <n v="72101124000506"/>
    <x v="1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214"/>
    <n v="445"/>
  </r>
  <r>
    <x v="0"/>
    <x v="2"/>
    <x v="0"/>
    <n v="72101124000506"/>
    <x v="18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445"/>
  </r>
  <r>
    <x v="0"/>
    <x v="2"/>
    <x v="0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26"/>
    <n v="150"/>
  </r>
  <r>
    <x v="0"/>
    <x v="2"/>
    <x v="0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2"/>
    <x v="0"/>
    <n v="33000167000101"/>
    <x v="18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40"/>
  </r>
  <r>
    <x v="0"/>
    <x v="2"/>
    <x v="0"/>
    <n v="33000167000101"/>
    <x v="18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40"/>
  </r>
  <r>
    <x v="0"/>
    <x v="2"/>
    <x v="0"/>
    <n v="5371944796"/>
    <x v="48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"/>
  </r>
  <r>
    <x v="0"/>
    <x v="2"/>
    <x v="0"/>
    <n v="5371944796"/>
    <x v="487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20"/>
  </r>
  <r>
    <x v="0"/>
    <x v="2"/>
    <x v="0"/>
    <n v="9219138000401"/>
    <x v="4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85"/>
  </r>
  <r>
    <x v="0"/>
    <x v="2"/>
    <x v="0"/>
    <n v="9219138000401"/>
    <x v="488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85"/>
  </r>
  <r>
    <x v="0"/>
    <x v="2"/>
    <x v="0"/>
    <n v="9219138000584"/>
    <x v="1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40"/>
    <n v="1085"/>
  </r>
  <r>
    <x v="0"/>
    <x v="2"/>
    <x v="0"/>
    <n v="9219138000584"/>
    <x v="188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1085"/>
  </r>
  <r>
    <x v="0"/>
    <x v="2"/>
    <x v="0"/>
    <n v="28602407000108"/>
    <x v="18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"/>
    <n v="0"/>
  </r>
  <r>
    <x v="0"/>
    <x v="2"/>
    <x v="0"/>
    <n v="28602407000108"/>
    <x v="189"/>
    <s v="RIO DE JANEIRO"/>
    <s v="RJ"/>
    <s v="1-Setorizado"/>
    <n v="2"/>
    <x v="11"/>
    <x v="11"/>
    <s v="Hospitalar (HSP)"/>
    <s v="rafael.esteves@cslbehring.com"/>
    <s v="RAFAEL ESTEVES (RJ/SPI/SUL)"/>
    <n v="0"/>
    <n v="0"/>
    <n v="1"/>
    <n v="0"/>
    <n v="0"/>
  </r>
  <r>
    <x v="0"/>
    <x v="2"/>
    <x v="0"/>
    <n v="10562003000172"/>
    <x v="489"/>
    <s v="VOLTA REDONDA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75"/>
  </r>
  <r>
    <x v="0"/>
    <x v="2"/>
    <x v="0"/>
    <n v="10562003000172"/>
    <x v="489"/>
    <s v="VOLTA REDONDA"/>
    <s v="RJ"/>
    <s v="1-Setorizado"/>
    <n v="2"/>
    <x v="12"/>
    <x v="12"/>
    <s v="Hospitalar (HSP)"/>
    <s v="rafael.esteves@cslbehring.com"/>
    <s v="RAFAEL ESTEVES (RJ/SPI/SUL)"/>
    <n v="0"/>
    <n v="0"/>
    <n v="0"/>
    <n v="0"/>
    <n v="175"/>
  </r>
  <r>
    <x v="0"/>
    <x v="2"/>
    <x v="0"/>
    <n v="35917970000726"/>
    <x v="405"/>
    <s v="VOLTA REDONDA"/>
    <s v="RJ"/>
    <s v="1-Setorizado"/>
    <n v="2"/>
    <x v="10"/>
    <x v="10"/>
    <s v="Especialidade (ESP)"/>
    <s v="rafael.esteves@cslbehring.com"/>
    <s v="RAFAEL ESTEVES (RJ/SPI/SUL)"/>
    <n v="0"/>
    <n v="0"/>
    <n v="0"/>
    <n v="30"/>
    <n v="0"/>
  </r>
  <r>
    <x v="0"/>
    <x v="2"/>
    <x v="0"/>
    <n v="35917970000726"/>
    <x v="405"/>
    <s v="VOLTA REDONDA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2"/>
    <x v="0"/>
    <n v="12361267009140"/>
    <x v="190"/>
    <s v="ACARI"/>
    <s v="RN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2"/>
    <x v="0"/>
    <n v="12361267009140"/>
    <x v="190"/>
    <s v="ACARI"/>
    <s v="RN"/>
    <s v="1-Setorizado"/>
    <n v="2"/>
    <x v="7"/>
    <x v="7"/>
    <s v="Hospitalar (HSP)"/>
    <s v="fernando.leony@cslbehring.com"/>
    <s v="FERNANDO LEONY (CO/NO/NE)"/>
    <n v="0"/>
    <n v="0"/>
    <n v="0"/>
    <n v="0"/>
    <n v="5"/>
  </r>
  <r>
    <x v="0"/>
    <x v="2"/>
    <x v="0"/>
    <n v="8319329000121"/>
    <x v="191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8319329000121"/>
    <x v="191"/>
    <s v="NATAL"/>
    <s v="RN"/>
    <s v="1-Setorizado"/>
    <n v="2"/>
    <x v="7"/>
    <x v="7"/>
    <s v="Hospitalar (HSP)"/>
    <s v="fernando.leony@cslbehring.com"/>
    <s v="FERNANDO LEONY (CO/NO/NE)"/>
    <n v="0"/>
    <n v="47"/>
    <n v="0"/>
    <n v="0"/>
    <n v="0"/>
  </r>
  <r>
    <x v="0"/>
    <x v="2"/>
    <x v="0"/>
    <n v="15126437000739"/>
    <x v="192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126437000739"/>
    <x v="192"/>
    <s v="NATAL"/>
    <s v="RN"/>
    <s v="1-Setorizado"/>
    <n v="2"/>
    <x v="7"/>
    <x v="7"/>
    <s v="Hospitalar (HSP)"/>
    <s v="fernando.leony@cslbehring.com"/>
    <s v="FERNANDO LEONY (CO/NO/NE)"/>
    <n v="0"/>
    <n v="50"/>
    <n v="0"/>
    <n v="0"/>
    <n v="0"/>
  </r>
  <r>
    <x v="0"/>
    <x v="2"/>
    <x v="0"/>
    <n v="29435005009851"/>
    <x v="193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125"/>
  </r>
  <r>
    <x v="0"/>
    <x v="2"/>
    <x v="0"/>
    <n v="29435005009851"/>
    <x v="193"/>
    <s v="NATAL"/>
    <s v="RN"/>
    <s v="1-Setorizado"/>
    <n v="2"/>
    <x v="7"/>
    <x v="7"/>
    <s v="Hospitalar (HSP)"/>
    <s v="fernando.leony@cslbehring.com"/>
    <s v="FERNANDO LEONY (CO/NO/NE)"/>
    <n v="0"/>
    <n v="70"/>
    <n v="0"/>
    <n v="0"/>
    <n v="125"/>
  </r>
  <r>
    <x v="0"/>
    <x v="2"/>
    <x v="0"/>
    <n v="8337586000196"/>
    <x v="194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8337586000196"/>
    <x v="194"/>
    <s v="NATAL"/>
    <s v="RN"/>
    <s v="1-Setorizado"/>
    <n v="2"/>
    <x v="7"/>
    <x v="7"/>
    <s v="Hospitalar (HSP)"/>
    <s v="fernando.leony@cslbehring.com"/>
    <s v="FERNANDO LEONY (CO/NO/NE)"/>
    <n v="0"/>
    <n v="2"/>
    <n v="0"/>
    <n v="0"/>
    <n v="0"/>
  </r>
  <r>
    <x v="0"/>
    <x v="2"/>
    <x v="0"/>
    <n v="12361267009654"/>
    <x v="407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9654"/>
    <x v="407"/>
    <s v="NATAL"/>
    <s v="RN"/>
    <s v="1-Setorizado"/>
    <n v="2"/>
    <x v="7"/>
    <x v="7"/>
    <s v="Hospitalar (HSP)"/>
    <s v="fernando.leony@cslbehring.com"/>
    <s v="FERNANDO LEONY (CO/NO/NE)"/>
    <n v="0"/>
    <n v="2"/>
    <n v="2"/>
    <n v="0"/>
    <n v="0"/>
  </r>
  <r>
    <x v="0"/>
    <x v="2"/>
    <x v="0"/>
    <n v="820737000150"/>
    <x v="195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820737000150"/>
    <x v="195"/>
    <s v="NATAL"/>
    <s v="RN"/>
    <s v="1-Setorizado"/>
    <n v="2"/>
    <x v="7"/>
    <x v="7"/>
    <s v="Hospitalar (HSP)"/>
    <s v="fernando.leony@cslbehring.com"/>
    <s v="FERNANDO LEONY (CO/NO/NE)"/>
    <n v="0"/>
    <n v="21"/>
    <n v="0"/>
    <n v="0"/>
    <n v="0"/>
  </r>
  <r>
    <x v="0"/>
    <x v="2"/>
    <x v="0"/>
    <n v="1507901000137"/>
    <x v="197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507901000137"/>
    <x v="197"/>
    <s v="NATAL"/>
    <s v="RN"/>
    <s v="1-Setorizado"/>
    <n v="2"/>
    <x v="7"/>
    <x v="7"/>
    <s v="Hospitalar (HSP)"/>
    <s v="fernando.leony@cslbehring.com"/>
    <s v="FERNANDO LEONY (CO/NO/NE)"/>
    <n v="0"/>
    <n v="10"/>
    <n v="7"/>
    <n v="0"/>
    <n v="0"/>
  </r>
  <r>
    <x v="0"/>
    <x v="2"/>
    <x v="0"/>
    <n v="2109397000180"/>
    <x v="408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2109397000180"/>
    <x v="408"/>
    <s v="NATAL"/>
    <s v="RN"/>
    <s v="1-Setorizado"/>
    <n v="2"/>
    <x v="7"/>
    <x v="7"/>
    <s v="Hospitalar (HSP)"/>
    <s v="fernando.leony@cslbehring.com"/>
    <s v="FERNANDO LEONY (CO/NO/NE)"/>
    <n v="0"/>
    <n v="24"/>
    <n v="0"/>
    <n v="0"/>
    <n v="0"/>
  </r>
  <r>
    <x v="0"/>
    <x v="2"/>
    <x v="0"/>
    <n v="88645403001372"/>
    <x v="411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2"/>
    <x v="0"/>
    <n v="88645403001372"/>
    <x v="411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2"/>
    <x v="0"/>
    <n v="87827689002405"/>
    <x v="199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209"/>
    <n v="90"/>
  </r>
  <r>
    <x v="0"/>
    <x v="2"/>
    <x v="0"/>
    <n v="87827689002405"/>
    <x v="199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90"/>
  </r>
  <r>
    <x v="0"/>
    <x v="2"/>
    <x v="0"/>
    <n v="92404789000164"/>
    <x v="414"/>
    <s v="FREDERICO WESTPHALEN"/>
    <s v="RS"/>
    <s v="1-Setorizado"/>
    <n v="2"/>
    <x v="8"/>
    <x v="8"/>
    <s v="Especialidade (ESP)"/>
    <s v="rafael.esteves@cslbehring.com"/>
    <s v="RAFAEL ESTEVES (RJ/SPI/SUL)"/>
    <n v="0"/>
    <n v="0"/>
    <n v="0"/>
    <n v="16"/>
    <n v="0"/>
  </r>
  <r>
    <x v="0"/>
    <x v="2"/>
    <x v="0"/>
    <n v="92404789000164"/>
    <x v="414"/>
    <s v="FREDERICO WESTPHALEN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2"/>
    <x v="0"/>
    <n v="92685833000151"/>
    <x v="20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2"/>
    <x v="0"/>
    <n v="92685833000151"/>
    <x v="204"/>
    <s v="PORTO ALEGRE"/>
    <s v="RS"/>
    <s v="1-Setorizado"/>
    <n v="2"/>
    <x v="13"/>
    <x v="13"/>
    <s v="Hospitalar (HSP)"/>
    <s v="rafael.esteves@cslbehring.com"/>
    <s v="RAFAEL ESTEVES (RJ/SPI/SUL)"/>
    <n v="0"/>
    <n v="32"/>
    <n v="0"/>
    <n v="0"/>
    <n v="0"/>
  </r>
  <r>
    <x v="0"/>
    <x v="2"/>
    <x v="0"/>
    <n v="87020517000120"/>
    <x v="208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87020517000120"/>
    <x v="208"/>
    <s v="PORTO ALEGRE"/>
    <s v="RS"/>
    <s v="1-Setorizado"/>
    <n v="2"/>
    <x v="13"/>
    <x v="13"/>
    <s v="Hospitalar (HSP)"/>
    <s v="rafael.esteves@cslbehring.com"/>
    <s v="RAFAEL ESTEVES (RJ/SPI/SUL)"/>
    <n v="0"/>
    <n v="12"/>
    <n v="15"/>
    <n v="0"/>
    <n v="0"/>
  </r>
  <r>
    <x v="0"/>
    <x v="2"/>
    <x v="0"/>
    <n v="87317764001084"/>
    <x v="20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200"/>
  </r>
  <r>
    <x v="0"/>
    <x v="2"/>
    <x v="0"/>
    <n v="87317764001084"/>
    <x v="209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200"/>
  </r>
  <r>
    <x v="0"/>
    <x v="2"/>
    <x v="0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9"/>
    <n v="2"/>
    <n v="0"/>
    <n v="0"/>
  </r>
  <r>
    <x v="0"/>
    <x v="2"/>
    <x v="0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19"/>
    <n v="2"/>
    <n v="0"/>
    <n v="0"/>
  </r>
  <r>
    <x v="0"/>
    <x v="2"/>
    <x v="0"/>
    <n v="94831294000147"/>
    <x v="213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2"/>
    <x v="0"/>
    <n v="94831294000147"/>
    <x v="213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0"/>
  </r>
  <r>
    <x v="0"/>
    <x v="2"/>
    <x v="0"/>
    <n v="92815000000168"/>
    <x v="21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28"/>
    <n v="90"/>
  </r>
  <r>
    <x v="0"/>
    <x v="2"/>
    <x v="0"/>
    <n v="92815000000168"/>
    <x v="214"/>
    <s v="PORTO ALEGRE"/>
    <s v="RS"/>
    <s v="1-Setorizado"/>
    <n v="2"/>
    <x v="13"/>
    <x v="13"/>
    <s v="Hospitalar (HSP)"/>
    <s v="rafael.esteves@cslbehring.com"/>
    <s v="RAFAEL ESTEVES (RJ/SPI/SUL)"/>
    <n v="0"/>
    <n v="25"/>
    <n v="61"/>
    <n v="0"/>
    <n v="90"/>
  </r>
  <r>
    <x v="0"/>
    <x v="2"/>
    <x v="0"/>
    <n v="92963560000160"/>
    <x v="41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92963560000160"/>
    <x v="419"/>
    <s v="PORTO ALEGRE"/>
    <s v="RS"/>
    <s v="1-Setorizado"/>
    <n v="2"/>
    <x v="13"/>
    <x v="13"/>
    <s v="Hospitalar (HSP)"/>
    <s v="rafael.esteves@cslbehring.com"/>
    <s v="RAFAEL ESTEVES (RJ/SPI/SUL)"/>
    <n v="0"/>
    <n v="0"/>
    <n v="15"/>
    <n v="0"/>
    <n v="0"/>
  </r>
  <r>
    <x v="0"/>
    <x v="2"/>
    <x v="0"/>
    <n v="9087150000230"/>
    <x v="21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2"/>
    <x v="0"/>
    <n v="9087150000230"/>
    <x v="216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2"/>
    <x v="0"/>
    <n v="12508728000108"/>
    <x v="420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2"/>
    <x v="0"/>
    <n v="12508728000108"/>
    <x v="420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20"/>
  </r>
  <r>
    <x v="0"/>
    <x v="2"/>
    <x v="0"/>
    <n v="95610887000146"/>
    <x v="218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450"/>
  </r>
  <r>
    <x v="0"/>
    <x v="2"/>
    <x v="0"/>
    <n v="95610887000146"/>
    <x v="218"/>
    <s v="SANTA MARIA"/>
    <s v="RS"/>
    <s v="1-Setorizado"/>
    <n v="2"/>
    <x v="13"/>
    <x v="13"/>
    <s v="Hospitalar (HSP)"/>
    <s v="rafael.esteves@cslbehring.com"/>
    <s v="RAFAEL ESTEVES (RJ/SPI/SUL)"/>
    <n v="0"/>
    <n v="0"/>
    <n v="3"/>
    <n v="0"/>
    <n v="450"/>
  </r>
  <r>
    <x v="0"/>
    <x v="2"/>
    <x v="0"/>
    <n v="1517626000132"/>
    <x v="220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2"/>
    <n v="0"/>
  </r>
  <r>
    <x v="0"/>
    <x v="2"/>
    <x v="0"/>
    <n v="1517626000132"/>
    <x v="220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2"/>
    <x v="0"/>
    <n v="85377174000392"/>
    <x v="221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8"/>
    <n v="0"/>
  </r>
  <r>
    <x v="0"/>
    <x v="2"/>
    <x v="0"/>
    <n v="85377174000392"/>
    <x v="221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2"/>
    <x v="0"/>
    <n v="1880344000103"/>
    <x v="421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195"/>
  </r>
  <r>
    <x v="0"/>
    <x v="2"/>
    <x v="0"/>
    <n v="1880344000103"/>
    <x v="421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195"/>
  </r>
  <r>
    <x v="0"/>
    <x v="2"/>
    <x v="0"/>
    <n v="60922168005226"/>
    <x v="222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60922168005226"/>
    <x v="222"/>
    <s v="BLUMENAU"/>
    <s v="SC"/>
    <s v="1-Setorizado"/>
    <n v="2"/>
    <x v="9"/>
    <x v="9"/>
    <s v="Hospitalar (HSP)"/>
    <s v="rafael.esteves@cslbehring.com"/>
    <s v="RAFAEL ESTEVES (RJ/SPI/SUL)"/>
    <n v="0"/>
    <n v="1"/>
    <n v="0"/>
    <n v="0"/>
    <n v="0"/>
  </r>
  <r>
    <x v="0"/>
    <x v="2"/>
    <x v="0"/>
    <n v="82654088000120"/>
    <x v="490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2"/>
    <x v="0"/>
    <n v="82654088000120"/>
    <x v="490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2"/>
    <x v="0"/>
    <n v="1554266000149"/>
    <x v="491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2"/>
    <x v="0"/>
    <n v="1554266000149"/>
    <x v="491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2"/>
    <x v="0"/>
    <n v="1125832000105"/>
    <x v="225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2"/>
    <x v="0"/>
    <n v="1125832000105"/>
    <x v="225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2"/>
    <x v="0"/>
    <n v="80673411000187"/>
    <x v="226"/>
    <s v="FLORIANÓPOLIS"/>
    <s v="SC"/>
    <s v="1-Setorizado"/>
    <n v="2"/>
    <x v="8"/>
    <x v="8"/>
    <s v="Especialidade (ESP)"/>
    <s v="rafael.esteves@cslbehring.com"/>
    <s v="RAFAEL ESTEVES (RJ/SPI/SUL)"/>
    <n v="76"/>
    <n v="0"/>
    <n v="0"/>
    <n v="0"/>
    <n v="240"/>
  </r>
  <r>
    <x v="0"/>
    <x v="2"/>
    <x v="0"/>
    <n v="80673411000187"/>
    <x v="226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240"/>
  </r>
  <r>
    <x v="0"/>
    <x v="2"/>
    <x v="0"/>
    <n v="83899526000425"/>
    <x v="22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2"/>
    <x v="0"/>
    <n v="83899526000425"/>
    <x v="227"/>
    <s v="FLORIANÓPOLIS"/>
    <s v="SC"/>
    <s v="1-Setorizado"/>
    <n v="2"/>
    <x v="9"/>
    <x v="9"/>
    <s v="Hospitalar (HSP)"/>
    <s v="rafael.esteves@cslbehring.com"/>
    <s v="RAFAEL ESTEVES (RJ/SPI/SUL)"/>
    <n v="0"/>
    <n v="0"/>
    <n v="6"/>
    <n v="0"/>
    <n v="0"/>
  </r>
  <r>
    <x v="0"/>
    <x v="2"/>
    <x v="0"/>
    <n v="48063983904"/>
    <x v="492"/>
    <s v="FLORIANÓPOLIS"/>
    <s v="SC"/>
    <s v="1-Setorizado"/>
    <n v="2"/>
    <x v="8"/>
    <x v="8"/>
    <s v="Especialidade (ESP)"/>
    <s v="rafael.esteves@cslbehring.com"/>
    <s v="RAFAEL ESTEVES (RJ/SPI/SUL)"/>
    <n v="59"/>
    <n v="0"/>
    <n v="0"/>
    <n v="0"/>
    <n v="0"/>
  </r>
  <r>
    <x v="0"/>
    <x v="2"/>
    <x v="0"/>
    <n v="48063983904"/>
    <x v="492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2"/>
    <x v="0"/>
    <n v="4670913000176"/>
    <x v="229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375"/>
  </r>
  <r>
    <x v="0"/>
    <x v="2"/>
    <x v="0"/>
    <n v="4670913000176"/>
    <x v="229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375"/>
  </r>
  <r>
    <x v="0"/>
    <x v="2"/>
    <x v="0"/>
    <n v="77858611001414"/>
    <x v="231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2"/>
    <x v="0"/>
    <n v="77858611001414"/>
    <x v="231"/>
    <s v="SÃO JOSÉ"/>
    <s v="SC"/>
    <s v="1-Setorizado"/>
    <n v="2"/>
    <x v="9"/>
    <x v="9"/>
    <s v="Hospitalar (HSP)"/>
    <s v="rafael.esteves@cslbehring.com"/>
    <s v="RAFAEL ESTEVES (RJ/SPI/SUL)"/>
    <n v="0"/>
    <n v="0"/>
    <n v="0"/>
    <n v="0"/>
    <n v="30"/>
  </r>
  <r>
    <x v="0"/>
    <x v="2"/>
    <x v="0"/>
    <n v="85241339000809"/>
    <x v="493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310"/>
  </r>
  <r>
    <x v="0"/>
    <x v="2"/>
    <x v="0"/>
    <n v="85241339000809"/>
    <x v="493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310"/>
  </r>
  <r>
    <x v="0"/>
    <x v="2"/>
    <x v="0"/>
    <n v="80490618000116"/>
    <x v="232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2"/>
    <x v="0"/>
    <n v="80490618000116"/>
    <x v="232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2"/>
    <x v="0"/>
    <n v="12361267000517"/>
    <x v="233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12361267000517"/>
    <x v="233"/>
    <s v="ARACAJU"/>
    <s v="SE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2"/>
    <x v="0"/>
    <n v="3222051000156"/>
    <x v="49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2"/>
    <x v="0"/>
    <n v="3222051000156"/>
    <x v="494"/>
    <s v="ARACAJU"/>
    <s v="SE"/>
    <s v="1-Setorizado"/>
    <n v="2"/>
    <x v="1"/>
    <x v="1"/>
    <s v="Hospitalar (HSP)"/>
    <s v="fernando.leony@cslbehring.com"/>
    <s v="FERNANDO LEONY (CO/NO/NE)"/>
    <n v="0"/>
    <n v="2"/>
    <n v="2"/>
    <n v="0"/>
    <n v="0"/>
  </r>
  <r>
    <x v="0"/>
    <x v="2"/>
    <x v="0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38"/>
    <n v="300"/>
  </r>
  <r>
    <x v="0"/>
    <x v="2"/>
    <x v="0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300"/>
  </r>
  <r>
    <x v="0"/>
    <x v="2"/>
    <x v="0"/>
    <n v="15592785000106"/>
    <x v="236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2"/>
    <x v="0"/>
    <n v="15592785000106"/>
    <x v="236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30"/>
  </r>
  <r>
    <x v="0"/>
    <x v="2"/>
    <x v="0"/>
    <n v="3091003000176"/>
    <x v="42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75"/>
  </r>
  <r>
    <x v="0"/>
    <x v="2"/>
    <x v="0"/>
    <n v="3091003000176"/>
    <x v="424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175"/>
  </r>
  <r>
    <x v="0"/>
    <x v="2"/>
    <x v="0"/>
    <n v="25026561000190"/>
    <x v="238"/>
    <s v="ANDRADINA"/>
    <s v="SP"/>
    <s v="1-Setorizado"/>
    <n v="2"/>
    <x v="14"/>
    <x v="14"/>
    <s v="Especialidade (ESP)"/>
    <s v="claudia.bueno@cslbehring.com"/>
    <s v="CLAUDIA BUENO (SPC/SPI)"/>
    <n v="0"/>
    <n v="0"/>
    <n v="0"/>
    <n v="0"/>
    <n v="20"/>
  </r>
  <r>
    <x v="0"/>
    <x v="2"/>
    <x v="0"/>
    <n v="25026561000190"/>
    <x v="238"/>
    <s v="ANDRADINA"/>
    <s v="SP"/>
    <s v="1-Setorizado"/>
    <n v="2"/>
    <x v="15"/>
    <x v="15"/>
    <s v="Hospitalar (HSP)"/>
    <s v="claudia.bueno@cslbehring.com"/>
    <s v="CLAUDIA BUENO (SPC/SPI)"/>
    <n v="0"/>
    <n v="0"/>
    <n v="0"/>
    <n v="0"/>
    <n v="20"/>
  </r>
  <r>
    <x v="0"/>
    <x v="2"/>
    <x v="0"/>
    <n v="46374500009221"/>
    <x v="495"/>
    <s v="ARARAQUARA"/>
    <s v="SP"/>
    <s v="1-Setorizado"/>
    <n v="2"/>
    <x v="14"/>
    <x v="14"/>
    <s v="Especialidade (ESP)"/>
    <s v="claudia.bueno@cslbehring.com"/>
    <s v="CLAUDIA BUENO (SPC/SPI)"/>
    <n v="0"/>
    <n v="0"/>
    <n v="0"/>
    <n v="0"/>
    <n v="900"/>
  </r>
  <r>
    <x v="0"/>
    <x v="2"/>
    <x v="0"/>
    <n v="46374500009221"/>
    <x v="495"/>
    <s v="ARARAQUARA"/>
    <s v="SP"/>
    <s v="1-Setorizado"/>
    <n v="2"/>
    <x v="15"/>
    <x v="15"/>
    <s v="Hospitalar (HSP)"/>
    <s v="claudia.bueno@cslbehring.com"/>
    <s v="CLAUDIA BUENO (SPC/SPI)"/>
    <n v="0"/>
    <n v="0"/>
    <n v="0"/>
    <n v="0"/>
    <n v="900"/>
  </r>
  <r>
    <x v="0"/>
    <x v="2"/>
    <x v="0"/>
    <n v="54012406000385"/>
    <x v="239"/>
    <s v="ARARAS"/>
    <s v="SP"/>
    <s v="1-Setorizado"/>
    <n v="2"/>
    <x v="14"/>
    <x v="14"/>
    <s v="Especialidade (ESP)"/>
    <s v="claudia.bueno@cslbehring.com"/>
    <s v="CLAUDIA BUENO (SPC/SPI)"/>
    <n v="0"/>
    <n v="0"/>
    <n v="0"/>
    <n v="0"/>
    <n v="70"/>
  </r>
  <r>
    <x v="0"/>
    <x v="2"/>
    <x v="0"/>
    <n v="54012406000385"/>
    <x v="239"/>
    <s v="ARARAS"/>
    <s v="SP"/>
    <s v="1-Setorizado"/>
    <n v="2"/>
    <x v="15"/>
    <x v="15"/>
    <s v="Hospitalar (HSP)"/>
    <s v="claudia.bueno@cslbehring.com"/>
    <s v="CLAUDIA BUENO (SPC/SPI)"/>
    <n v="0"/>
    <n v="0"/>
    <n v="0"/>
    <n v="0"/>
    <n v="70"/>
  </r>
  <r>
    <x v="0"/>
    <x v="2"/>
    <x v="0"/>
    <n v="51093193000456"/>
    <x v="496"/>
    <s v="ARAÇATUBA"/>
    <s v="SP"/>
    <s v="1-Setorizado"/>
    <n v="2"/>
    <x v="14"/>
    <x v="14"/>
    <s v="Especialidade (ESP)"/>
    <s v="claudia.bueno@cslbehring.com"/>
    <s v="CLAUDIA BUENO (SPC/SPI)"/>
    <n v="0"/>
    <n v="0"/>
    <n v="0"/>
    <n v="0"/>
    <n v="20"/>
  </r>
  <r>
    <x v="0"/>
    <x v="2"/>
    <x v="0"/>
    <n v="51093193000456"/>
    <x v="496"/>
    <s v="ARAÇATUBA"/>
    <s v="SP"/>
    <s v="1-Setorizado"/>
    <n v="2"/>
    <x v="15"/>
    <x v="15"/>
    <s v="Hospitalar (HSP)"/>
    <s v="claudia.bueno@cslbehring.com"/>
    <s v="CLAUDIA BUENO (SPC/SPI)"/>
    <n v="0"/>
    <n v="0"/>
    <n v="0"/>
    <n v="0"/>
    <n v="20"/>
  </r>
  <r>
    <x v="0"/>
    <x v="2"/>
    <x v="0"/>
    <n v="29435005008103"/>
    <x v="497"/>
    <s v="ARUJÁ"/>
    <s v="SP"/>
    <s v="1-Setorizado"/>
    <n v="2"/>
    <x v="14"/>
    <x v="14"/>
    <s v="Especialidade (ESP)"/>
    <s v="claudia.bueno@cslbehring.com"/>
    <s v="CLAUDIA BUENO (SPC/SPI)"/>
    <n v="0"/>
    <n v="0"/>
    <n v="0"/>
    <n v="0"/>
    <n v="5"/>
  </r>
  <r>
    <x v="0"/>
    <x v="2"/>
    <x v="0"/>
    <n v="29435005008103"/>
    <x v="497"/>
    <s v="ARUJÁ"/>
    <s v="SP"/>
    <s v="1-Setorizado"/>
    <n v="2"/>
    <x v="15"/>
    <x v="15"/>
    <s v="Hospitalar (HSP)"/>
    <s v="claudia.bueno@cslbehring.com"/>
    <s v="CLAUDIA BUENO (SPC/SPI)"/>
    <n v="0"/>
    <n v="0"/>
    <n v="0"/>
    <n v="0"/>
    <n v="5"/>
  </r>
  <r>
    <x v="0"/>
    <x v="2"/>
    <x v="0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52"/>
    <n v="0"/>
  </r>
  <r>
    <x v="0"/>
    <x v="2"/>
    <x v="0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44456036000311"/>
    <x v="241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44456036000311"/>
    <x v="241"/>
    <s v="BAURU"/>
    <s v="SP"/>
    <s v="1-Setorizado"/>
    <n v="2"/>
    <x v="15"/>
    <x v="15"/>
    <s v="Hospitalar (HSP)"/>
    <s v="claudia.bueno@cslbehring.com"/>
    <s v="CLAUDIA BUENO (SPC/SPI)"/>
    <n v="0"/>
    <n v="7"/>
    <n v="0"/>
    <n v="0"/>
    <n v="0"/>
  </r>
  <r>
    <x v="0"/>
    <x v="2"/>
    <x v="0"/>
    <n v="12474705000120"/>
    <x v="498"/>
    <s v="BOTUCATU"/>
    <s v="SP"/>
    <s v="1-Setorizado"/>
    <n v="2"/>
    <x v="14"/>
    <x v="14"/>
    <s v="Especialidade (ESP)"/>
    <s v="claudia.bueno@cslbehring.com"/>
    <s v="CLAUDIA BUENO (SPC/SPI)"/>
    <n v="0"/>
    <n v="0"/>
    <n v="0"/>
    <n v="0"/>
    <n v="125"/>
  </r>
  <r>
    <x v="0"/>
    <x v="2"/>
    <x v="0"/>
    <n v="12474705000120"/>
    <x v="498"/>
    <s v="BOTUCATU"/>
    <s v="SP"/>
    <s v="1-Setorizado"/>
    <n v="2"/>
    <x v="15"/>
    <x v="15"/>
    <s v="Hospitalar (HSP)"/>
    <s v="claudia.bueno@cslbehring.com"/>
    <s v="CLAUDIA BUENO (SPC/SPI)"/>
    <n v="0"/>
    <n v="0"/>
    <n v="0"/>
    <n v="0"/>
    <n v="125"/>
  </r>
  <r>
    <x v="0"/>
    <x v="2"/>
    <x v="0"/>
    <n v="10447300000177"/>
    <x v="242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"/>
    <n v="0"/>
  </r>
  <r>
    <x v="0"/>
    <x v="2"/>
    <x v="0"/>
    <n v="10447300000177"/>
    <x v="242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46020301000269"/>
    <x v="243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55"/>
    <n v="0"/>
  </r>
  <r>
    <x v="0"/>
    <x v="2"/>
    <x v="0"/>
    <n v="46020301000269"/>
    <x v="243"/>
    <s v="CAMPINAS"/>
    <s v="SP"/>
    <s v="1-Setorizado"/>
    <n v="2"/>
    <x v="15"/>
    <x v="15"/>
    <s v="Hospitalar (HSP)"/>
    <s v="claudia.bueno@cslbehring.com"/>
    <s v="CLAUDIA BUENO (SPC/SPI)"/>
    <n v="0"/>
    <n v="1"/>
    <n v="0"/>
    <n v="0"/>
    <n v="0"/>
  </r>
  <r>
    <x v="0"/>
    <x v="2"/>
    <x v="0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3"/>
    <n v="0"/>
    <n v="0"/>
    <n v="42"/>
    <n v="850"/>
  </r>
  <r>
    <x v="0"/>
    <x v="2"/>
    <x v="0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850"/>
  </r>
  <r>
    <x v="0"/>
    <x v="2"/>
    <x v="0"/>
    <n v="44649812019238"/>
    <x v="246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2"/>
    <x v="0"/>
    <n v="44649812019238"/>
    <x v="246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51885242000140"/>
    <x v="247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160"/>
    <n v="0"/>
  </r>
  <r>
    <x v="0"/>
    <x v="2"/>
    <x v="0"/>
    <n v="51885242000140"/>
    <x v="247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29435005008456"/>
    <x v="248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200"/>
  </r>
  <r>
    <x v="0"/>
    <x v="2"/>
    <x v="0"/>
    <n v="29435005008456"/>
    <x v="248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200"/>
  </r>
  <r>
    <x v="0"/>
    <x v="2"/>
    <x v="0"/>
    <n v="46124624000111"/>
    <x v="249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120"/>
    <n v="265"/>
  </r>
  <r>
    <x v="0"/>
    <x v="2"/>
    <x v="0"/>
    <n v="46124624000111"/>
    <x v="24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265"/>
  </r>
  <r>
    <x v="0"/>
    <x v="2"/>
    <x v="0"/>
    <n v="45118429001279"/>
    <x v="251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6"/>
    <n v="100"/>
  </r>
  <r>
    <x v="0"/>
    <x v="2"/>
    <x v="0"/>
    <n v="45118429001279"/>
    <x v="251"/>
    <s v="CATANDUVA"/>
    <s v="SP"/>
    <s v="1-Setorizado"/>
    <n v="2"/>
    <x v="15"/>
    <x v="15"/>
    <s v="Hospitalar (HSP)"/>
    <s v="claudia.bueno@cslbehring.com"/>
    <s v="CLAUDIA BUENO (SPC/SPI)"/>
    <n v="0"/>
    <n v="7"/>
    <n v="0"/>
    <n v="0"/>
    <n v="100"/>
  </r>
  <r>
    <x v="0"/>
    <x v="2"/>
    <x v="0"/>
    <n v="68204486000113"/>
    <x v="430"/>
    <s v="DRACENA"/>
    <s v="SP"/>
    <s v="1-Setorizado"/>
    <n v="2"/>
    <x v="14"/>
    <x v="14"/>
    <s v="Especialidade (ESP)"/>
    <s v="claudia.bueno@cslbehring.com"/>
    <s v="CLAUDIA BUENO (SPC/SPI)"/>
    <n v="0"/>
    <n v="0"/>
    <n v="0"/>
    <n v="0"/>
    <n v="150"/>
  </r>
  <r>
    <x v="0"/>
    <x v="2"/>
    <x v="0"/>
    <n v="68204486000113"/>
    <x v="430"/>
    <s v="DRACENA"/>
    <s v="SP"/>
    <s v="1-Setorizado"/>
    <n v="2"/>
    <x v="15"/>
    <x v="15"/>
    <s v="Hospitalar (HSP)"/>
    <s v="claudia.bueno@cslbehring.com"/>
    <s v="CLAUDIA BUENO (SPC/SPI)"/>
    <n v="0"/>
    <n v="0"/>
    <n v="0"/>
    <n v="0"/>
    <n v="150"/>
  </r>
  <r>
    <x v="0"/>
    <x v="2"/>
    <x v="0"/>
    <n v="50486026000160"/>
    <x v="252"/>
    <s v="FRANCA"/>
    <s v="SP"/>
    <s v="1-Setorizado"/>
    <n v="2"/>
    <x v="14"/>
    <x v="14"/>
    <s v="Especialidade (ESP)"/>
    <s v="claudia.bueno@cslbehring.com"/>
    <s v="CLAUDIA BUENO (SPC/SPI)"/>
    <n v="0"/>
    <n v="0"/>
    <n v="0"/>
    <n v="0"/>
    <n v="110"/>
  </r>
  <r>
    <x v="0"/>
    <x v="2"/>
    <x v="0"/>
    <n v="50486026000160"/>
    <x v="252"/>
    <s v="FRANCA"/>
    <s v="SP"/>
    <s v="1-Setorizado"/>
    <n v="2"/>
    <x v="15"/>
    <x v="15"/>
    <s v="Hospitalar (HSP)"/>
    <s v="claudia.bueno@cslbehring.com"/>
    <s v="CLAUDIA BUENO (SPC/SPI)"/>
    <n v="0"/>
    <n v="0"/>
    <n v="0"/>
    <n v="0"/>
    <n v="110"/>
  </r>
  <r>
    <x v="0"/>
    <x v="2"/>
    <x v="0"/>
    <n v="48468284000171"/>
    <x v="253"/>
    <s v="GUARARAPES"/>
    <s v="SP"/>
    <s v="1-Setorizado"/>
    <n v="2"/>
    <x v="14"/>
    <x v="14"/>
    <s v="Especialidade (ESP)"/>
    <s v="claudia.bueno@cslbehring.com"/>
    <s v="CLAUDIA BUENO (SPC/SPI)"/>
    <n v="0"/>
    <n v="0"/>
    <n v="0"/>
    <n v="0"/>
    <n v="200"/>
  </r>
  <r>
    <x v="0"/>
    <x v="2"/>
    <x v="0"/>
    <n v="48468284000171"/>
    <x v="253"/>
    <s v="GUARARAPES"/>
    <s v="SP"/>
    <s v="1-Setorizado"/>
    <n v="2"/>
    <x v="15"/>
    <x v="15"/>
    <s v="Hospitalar (HSP)"/>
    <s v="claudia.bueno@cslbehring.com"/>
    <s v="CLAUDIA BUENO (SPC/SPI)"/>
    <n v="0"/>
    <n v="0"/>
    <n v="0"/>
    <n v="0"/>
    <n v="200"/>
  </r>
  <r>
    <x v="0"/>
    <x v="2"/>
    <x v="0"/>
    <n v="29435005008294"/>
    <x v="254"/>
    <s v="GUARULHOS"/>
    <s v="SP"/>
    <s v="1-Setorizado"/>
    <n v="2"/>
    <x v="16"/>
    <x v="16"/>
    <s v="Especialidade (ESP)"/>
    <s v="claudia.bueno@cslbehring.com"/>
    <s v="CLAUDIA BUENO (SPC/SPI)"/>
    <n v="0"/>
    <n v="0"/>
    <n v="0"/>
    <n v="0"/>
    <n v="300"/>
  </r>
  <r>
    <x v="0"/>
    <x v="2"/>
    <x v="0"/>
    <n v="29435005008294"/>
    <x v="254"/>
    <s v="GUARULHOS"/>
    <s v="SP"/>
    <s v="1-Setorizado"/>
    <n v="2"/>
    <x v="17"/>
    <x v="17"/>
    <s v="Hospitalar (HSP)"/>
    <s v="claudia.bueno@cslbehring.com"/>
    <s v="CLAUDIA BUENO (SPC/SPI)"/>
    <n v="0"/>
    <n v="0"/>
    <n v="0"/>
    <n v="0"/>
    <n v="300"/>
  </r>
  <r>
    <x v="0"/>
    <x v="2"/>
    <x v="0"/>
    <n v="60214517001187"/>
    <x v="499"/>
    <s v="JACAREÍ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2"/>
    <x v="0"/>
    <n v="60214517001187"/>
    <x v="499"/>
    <s v="JACAREÍ"/>
    <s v="SP"/>
    <s v="1-Setorizado"/>
    <n v="2"/>
    <x v="19"/>
    <x v="19"/>
    <s v="Hospitalar (HSP)"/>
    <s v="claudia.bueno@cslbehring.com"/>
    <s v="CLAUDIA BUENO (SPC/SPI)"/>
    <n v="0"/>
    <n v="0"/>
    <n v="0"/>
    <n v="0"/>
    <n v="20"/>
  </r>
  <r>
    <x v="0"/>
    <x v="2"/>
    <x v="0"/>
    <n v="50944198000130"/>
    <x v="500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50944198000130"/>
    <x v="500"/>
    <s v="JUNDIAÍ"/>
    <s v="SP"/>
    <s v="1-Setorizado"/>
    <n v="2"/>
    <x v="15"/>
    <x v="15"/>
    <s v="Hospitalar (HSP)"/>
    <s v="claudia.bueno@cslbehring.com"/>
    <s v="CLAUDIA BUENO (SPC/SPI)"/>
    <n v="0"/>
    <n v="8"/>
    <n v="0"/>
    <n v="0"/>
    <n v="0"/>
  </r>
  <r>
    <x v="0"/>
    <x v="2"/>
    <x v="0"/>
    <n v="44649812001614"/>
    <x v="501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44649812001614"/>
    <x v="501"/>
    <s v="JUNDIAÍ"/>
    <s v="SP"/>
    <s v="1-Setorizado"/>
    <n v="2"/>
    <x v="15"/>
    <x v="15"/>
    <s v="Hospitalar (HSP)"/>
    <s v="claudia.bueno@cslbehring.com"/>
    <s v="CLAUDIA BUENO (SPC/SPI)"/>
    <n v="0"/>
    <n v="4"/>
    <n v="0"/>
    <n v="0"/>
    <n v="0"/>
  </r>
  <r>
    <x v="0"/>
    <x v="2"/>
    <x v="0"/>
    <n v="45780103000150"/>
    <x v="256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615"/>
  </r>
  <r>
    <x v="0"/>
    <x v="2"/>
    <x v="0"/>
    <n v="45780103000150"/>
    <x v="256"/>
    <s v="JUNDIAÍ"/>
    <s v="SP"/>
    <s v="1-Setorizado"/>
    <n v="2"/>
    <x v="15"/>
    <x v="15"/>
    <s v="Hospitalar (HSP)"/>
    <s v="claudia.bueno@cslbehring.com"/>
    <s v="CLAUDIA BUENO (SPC/SPI)"/>
    <n v="0"/>
    <n v="0"/>
    <n v="0"/>
    <n v="0"/>
    <n v="615"/>
  </r>
  <r>
    <x v="0"/>
    <x v="2"/>
    <x v="0"/>
    <n v="9528436000122"/>
    <x v="502"/>
    <s v="MARÍLIA"/>
    <s v="SP"/>
    <s v="1-Setorizado"/>
    <n v="2"/>
    <x v="14"/>
    <x v="14"/>
    <s v="Especialidade (ESP)"/>
    <s v="claudia.bueno@cslbehring.com"/>
    <s v="CLAUDIA BUENO (SPC/SPI)"/>
    <n v="0"/>
    <n v="0"/>
    <n v="0"/>
    <n v="0"/>
    <n v="150"/>
  </r>
  <r>
    <x v="0"/>
    <x v="2"/>
    <x v="0"/>
    <n v="9528436000122"/>
    <x v="502"/>
    <s v="MARÍLIA"/>
    <s v="SP"/>
    <s v="1-Setorizado"/>
    <n v="2"/>
    <x v="15"/>
    <x v="15"/>
    <s v="Hospitalar (HSP)"/>
    <s v="claudia.bueno@cslbehring.com"/>
    <s v="CLAUDIA BUENO (SPC/SPI)"/>
    <n v="0"/>
    <n v="0"/>
    <n v="0"/>
    <n v="0"/>
    <n v="150"/>
  </r>
  <r>
    <x v="0"/>
    <x v="2"/>
    <x v="0"/>
    <n v="52852100000140"/>
    <x v="503"/>
    <s v="MONTE ALTO"/>
    <s v="SP"/>
    <s v="1-Setorizado"/>
    <n v="2"/>
    <x v="14"/>
    <x v="14"/>
    <s v="Especialidade (ESP)"/>
    <s v="claudia.bueno@cslbehring.com"/>
    <s v="CLAUDIA BUENO (SPC/SPI)"/>
    <n v="0"/>
    <n v="0"/>
    <n v="0"/>
    <n v="0"/>
    <n v="300"/>
  </r>
  <r>
    <x v="0"/>
    <x v="2"/>
    <x v="0"/>
    <n v="52852100000140"/>
    <x v="503"/>
    <s v="MONTE ALTO"/>
    <s v="SP"/>
    <s v="1-Setorizado"/>
    <n v="2"/>
    <x v="15"/>
    <x v="15"/>
    <s v="Hospitalar (HSP)"/>
    <s v="claudia.bueno@cslbehring.com"/>
    <s v="CLAUDIA BUENO (SPC/SPI)"/>
    <n v="0"/>
    <n v="0"/>
    <n v="0"/>
    <n v="0"/>
    <n v="300"/>
  </r>
  <r>
    <x v="0"/>
    <x v="2"/>
    <x v="0"/>
    <n v="53311999000156"/>
    <x v="504"/>
    <s v="ORLÂNDIA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53311999000156"/>
    <x v="504"/>
    <s v="ORLÂNDIA"/>
    <s v="SP"/>
    <s v="1-Setorizado"/>
    <n v="2"/>
    <x v="15"/>
    <x v="15"/>
    <s v="Hospitalar (HSP)"/>
    <s v="claudia.bueno@cslbehring.com"/>
    <s v="CLAUDIA BUENO (SPC/SPI)"/>
    <n v="0"/>
    <n v="2"/>
    <n v="0"/>
    <n v="0"/>
    <n v="0"/>
  </r>
  <r>
    <x v="0"/>
    <x v="2"/>
    <x v="0"/>
    <n v="6047087007656"/>
    <x v="258"/>
    <s v="OSASC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2"/>
    <x v="0"/>
    <n v="6047087007656"/>
    <x v="258"/>
    <s v="OSASCO"/>
    <s v="SP"/>
    <s v="1-Setorizado"/>
    <n v="2"/>
    <x v="17"/>
    <x v="17"/>
    <s v="Hospitalar (HSP)"/>
    <s v="claudia.bueno@cslbehring.com"/>
    <s v="CLAUDIA BUENO (SPC/SPI)"/>
    <n v="0"/>
    <n v="0"/>
    <n v="3"/>
    <n v="0"/>
    <n v="0"/>
  </r>
  <r>
    <x v="0"/>
    <x v="2"/>
    <x v="0"/>
    <n v="47565155000996"/>
    <x v="505"/>
    <s v="PINDAMONHANGABA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47565155000996"/>
    <x v="505"/>
    <s v="PINDAMONHANGABA"/>
    <s v="SP"/>
    <s v="1-Setorizado"/>
    <n v="2"/>
    <x v="15"/>
    <x v="15"/>
    <s v="Hospitalar (HSP)"/>
    <s v="claudia.bueno@cslbehring.com"/>
    <s v="CLAUDIA BUENO (SPC/SPI)"/>
    <n v="0"/>
    <n v="4"/>
    <n v="3"/>
    <n v="0"/>
    <n v="0"/>
  </r>
  <r>
    <x v="0"/>
    <x v="2"/>
    <x v="0"/>
    <n v="44803922000293"/>
    <x v="259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2"/>
    <x v="0"/>
    <n v="44803922000293"/>
    <x v="259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840048000450"/>
    <x v="260"/>
    <s v="PIRASSUNUNGA"/>
    <s v="SP"/>
    <s v="1-Setorizado"/>
    <n v="2"/>
    <x v="14"/>
    <x v="14"/>
    <s v="Especialidade (ESP)"/>
    <s v="claudia.bueno@cslbehring.com"/>
    <s v="CLAUDIA BUENO (SPC/SPI)"/>
    <n v="0"/>
    <n v="0"/>
    <n v="0"/>
    <n v="0"/>
    <n v="240"/>
  </r>
  <r>
    <x v="0"/>
    <x v="2"/>
    <x v="0"/>
    <n v="840048000450"/>
    <x v="260"/>
    <s v="PIRASSUNUNGA"/>
    <s v="SP"/>
    <s v="1-Setorizado"/>
    <n v="2"/>
    <x v="15"/>
    <x v="15"/>
    <s v="Hospitalar (HSP)"/>
    <s v="claudia.bueno@cslbehring.com"/>
    <s v="CLAUDIA BUENO (SPC/SPI)"/>
    <n v="0"/>
    <n v="0"/>
    <n v="0"/>
    <n v="0"/>
    <n v="240"/>
  </r>
  <r>
    <x v="0"/>
    <x v="2"/>
    <x v="0"/>
    <n v="46374500003533"/>
    <x v="262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000"/>
  </r>
  <r>
    <x v="0"/>
    <x v="2"/>
    <x v="0"/>
    <n v="46374500003533"/>
    <x v="262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000"/>
  </r>
  <r>
    <x v="0"/>
    <x v="2"/>
    <x v="0"/>
    <n v="57722118000140"/>
    <x v="43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50"/>
  </r>
  <r>
    <x v="0"/>
    <x v="2"/>
    <x v="0"/>
    <n v="57722118000140"/>
    <x v="43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50"/>
  </r>
  <r>
    <x v="0"/>
    <x v="2"/>
    <x v="0"/>
    <n v="1613433006892"/>
    <x v="26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220"/>
  </r>
  <r>
    <x v="0"/>
    <x v="2"/>
    <x v="0"/>
    <n v="1613433006892"/>
    <x v="26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220"/>
  </r>
  <r>
    <x v="0"/>
    <x v="2"/>
    <x v="0"/>
    <n v="45232246000550"/>
    <x v="26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62"/>
    <n v="360"/>
  </r>
  <r>
    <x v="0"/>
    <x v="2"/>
    <x v="0"/>
    <n v="45232246000550"/>
    <x v="26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360"/>
  </r>
  <r>
    <x v="0"/>
    <x v="2"/>
    <x v="0"/>
    <n v="44663631000590"/>
    <x v="266"/>
    <s v="RIO CLARO"/>
    <s v="SP"/>
    <s v="1-Setorizado"/>
    <n v="2"/>
    <x v="14"/>
    <x v="14"/>
    <s v="Especialidade (ESP)"/>
    <s v="claudia.bueno@cslbehring.com"/>
    <s v="CLAUDIA BUENO (SPC/SPI)"/>
    <n v="0"/>
    <n v="0"/>
    <n v="0"/>
    <n v="32"/>
    <n v="195"/>
  </r>
  <r>
    <x v="0"/>
    <x v="2"/>
    <x v="0"/>
    <n v="44663631000590"/>
    <x v="266"/>
    <s v="RIO CLARO"/>
    <s v="SP"/>
    <s v="1-Setorizado"/>
    <n v="2"/>
    <x v="15"/>
    <x v="15"/>
    <s v="Hospitalar (HSP)"/>
    <s v="claudia.bueno@cslbehring.com"/>
    <s v="CLAUDIA BUENO (SPC/SPI)"/>
    <n v="0"/>
    <n v="0"/>
    <n v="0"/>
    <n v="0"/>
    <n v="195"/>
  </r>
  <r>
    <x v="0"/>
    <x v="2"/>
    <x v="0"/>
    <n v="13718999001041"/>
    <x v="267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8"/>
    <n v="0"/>
  </r>
  <r>
    <x v="0"/>
    <x v="2"/>
    <x v="0"/>
    <n v="13718999001041"/>
    <x v="267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6047087000724"/>
    <x v="506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2"/>
    <x v="0"/>
    <n v="6047087000724"/>
    <x v="506"/>
    <s v="SANTO ANDRÉ"/>
    <s v="SP"/>
    <s v="1-Setorizado"/>
    <n v="2"/>
    <x v="17"/>
    <x v="17"/>
    <s v="Hospitalar (HSP)"/>
    <s v="claudia.bueno@cslbehring.com"/>
    <s v="CLAUDIA BUENO (SPC/SPI)"/>
    <n v="0"/>
    <n v="12"/>
    <n v="10"/>
    <n v="0"/>
    <n v="0"/>
  </r>
  <r>
    <x v="0"/>
    <x v="2"/>
    <x v="0"/>
    <n v="6033403000113"/>
    <x v="268"/>
    <s v="SANTO ANDRÉ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33403000113"/>
    <x v="268"/>
    <s v="SANTO ANDRÉ"/>
    <s v="SP"/>
    <s v="1-Setorizado"/>
    <n v="2"/>
    <x v="17"/>
    <x v="17"/>
    <s v="Hospitalar (HSP)"/>
    <s v="claudia.bueno@cslbehring.com"/>
    <s v="CLAUDIA BUENO (SPC/SPI)"/>
    <n v="0"/>
    <n v="14"/>
    <n v="0"/>
    <n v="0"/>
    <n v="0"/>
  </r>
  <r>
    <x v="0"/>
    <x v="2"/>
    <x v="0"/>
    <n v="10868295000176"/>
    <x v="436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120"/>
  </r>
  <r>
    <x v="0"/>
    <x v="2"/>
    <x v="0"/>
    <n v="10868295000176"/>
    <x v="436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120"/>
  </r>
  <r>
    <x v="0"/>
    <x v="2"/>
    <x v="0"/>
    <n v="58229691001070"/>
    <x v="270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32"/>
    <n v="0"/>
  </r>
  <r>
    <x v="0"/>
    <x v="2"/>
    <x v="0"/>
    <n v="58229691001070"/>
    <x v="270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1613433008089"/>
    <x v="507"/>
    <s v="SERTÃOZINHO"/>
    <s v="SP"/>
    <s v="1-Setorizado"/>
    <n v="2"/>
    <x v="14"/>
    <x v="14"/>
    <s v="Especialidade (ESP)"/>
    <s v="claudia.bueno@cslbehring.com"/>
    <s v="CLAUDIA BUENO (SPC/SPI)"/>
    <n v="0"/>
    <n v="0"/>
    <n v="0"/>
    <n v="0"/>
    <n v="80"/>
  </r>
  <r>
    <x v="0"/>
    <x v="2"/>
    <x v="0"/>
    <n v="1613433008089"/>
    <x v="507"/>
    <s v="SERTÃOZINHO"/>
    <s v="SP"/>
    <s v="1-Setorizado"/>
    <n v="2"/>
    <x v="15"/>
    <x v="15"/>
    <s v="Hospitalar (HSP)"/>
    <s v="claudia.bueno@cslbehring.com"/>
    <s v="CLAUDIA BUENO (SPC/SPI)"/>
    <n v="0"/>
    <n v="0"/>
    <n v="0"/>
    <n v="0"/>
    <n v="80"/>
  </r>
  <r>
    <x v="0"/>
    <x v="2"/>
    <x v="0"/>
    <n v="45399961000230"/>
    <x v="271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300"/>
  </r>
  <r>
    <x v="0"/>
    <x v="2"/>
    <x v="0"/>
    <n v="45399961000230"/>
    <x v="271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300"/>
  </r>
  <r>
    <x v="0"/>
    <x v="2"/>
    <x v="0"/>
    <n v="46124624002599"/>
    <x v="272"/>
    <s v="SUMARÉ"/>
    <s v="SP"/>
    <s v="1-Setorizado"/>
    <n v="2"/>
    <x v="14"/>
    <x v="14"/>
    <s v="Especialidade (ESP)"/>
    <s v="claudia.bueno@cslbehring.com"/>
    <s v="CLAUDIA BUENO (SPC/SPI)"/>
    <n v="0"/>
    <n v="0"/>
    <n v="0"/>
    <n v="80"/>
    <n v="1250"/>
  </r>
  <r>
    <x v="0"/>
    <x v="2"/>
    <x v="0"/>
    <n v="46124624002599"/>
    <x v="272"/>
    <s v="SUMARÉ"/>
    <s v="SP"/>
    <s v="1-Setorizado"/>
    <n v="2"/>
    <x v="15"/>
    <x v="15"/>
    <s v="Hospitalar (HSP)"/>
    <s v="claudia.bueno@cslbehring.com"/>
    <s v="CLAUDIA BUENO (SPC/SPI)"/>
    <n v="0"/>
    <n v="0"/>
    <n v="0"/>
    <n v="0"/>
    <n v="1250"/>
  </r>
  <r>
    <x v="0"/>
    <x v="2"/>
    <x v="0"/>
    <n v="43293604002120"/>
    <x v="273"/>
    <s v="SÃO BERNARDO DO CAMPO"/>
    <s v="SP"/>
    <s v="1-Setorizado"/>
    <n v="2"/>
    <x v="18"/>
    <x v="18"/>
    <s v="Especialidade (ESP)"/>
    <s v="claudia.bueno@cslbehring.com"/>
    <s v="CLAUDIA BUENO (SPC/SPI)"/>
    <n v="0"/>
    <n v="0"/>
    <n v="0"/>
    <n v="0"/>
    <n v="65"/>
  </r>
  <r>
    <x v="0"/>
    <x v="2"/>
    <x v="0"/>
    <n v="43293604002120"/>
    <x v="273"/>
    <s v="SÃO BERNARDO DO CAMPO"/>
    <s v="SP"/>
    <s v="1-Setorizado"/>
    <n v="2"/>
    <x v="17"/>
    <x v="17"/>
    <s v="Hospitalar (HSP)"/>
    <s v="claudia.bueno@cslbehring.com"/>
    <s v="CLAUDIA BUENO (SPC/SPI)"/>
    <n v="0"/>
    <n v="0"/>
    <n v="0"/>
    <n v="0"/>
    <n v="65"/>
  </r>
  <r>
    <x v="0"/>
    <x v="2"/>
    <x v="0"/>
    <n v="45359213000576"/>
    <x v="274"/>
    <s v="SÃO CARLOS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2"/>
    <x v="0"/>
    <n v="45359213000576"/>
    <x v="274"/>
    <s v="SÃO CARLO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10576443000189"/>
    <x v="438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60"/>
  </r>
  <r>
    <x v="0"/>
    <x v="2"/>
    <x v="0"/>
    <n v="10576443000189"/>
    <x v="438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60"/>
  </r>
  <r>
    <x v="0"/>
    <x v="2"/>
    <x v="0"/>
    <n v="2643405000173"/>
    <x v="276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36"/>
    <n v="0"/>
  </r>
  <r>
    <x v="0"/>
    <x v="2"/>
    <x v="0"/>
    <n v="2643405000173"/>
    <x v="276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2"/>
    <x v="0"/>
    <n v="60003761000129"/>
    <x v="27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2"/>
    <x v="0"/>
    <n v="60003761000129"/>
    <x v="277"/>
    <s v="SÃO JOSÉ DO RIO PRETO"/>
    <s v="SP"/>
    <s v="1-Setorizado"/>
    <n v="2"/>
    <x v="15"/>
    <x v="15"/>
    <s v="Hospitalar (HSP)"/>
    <s v="claudia.bueno@cslbehring.com"/>
    <s v="CLAUDIA BUENO (SPC/SPI)"/>
    <n v="0"/>
    <n v="15"/>
    <n v="10"/>
    <n v="0"/>
    <n v="0"/>
  </r>
  <r>
    <x v="0"/>
    <x v="2"/>
    <x v="0"/>
    <n v="45184066000117"/>
    <x v="279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15"/>
    <n v="100"/>
  </r>
  <r>
    <x v="0"/>
    <x v="2"/>
    <x v="0"/>
    <n v="45184066000117"/>
    <x v="279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100"/>
  </r>
  <r>
    <x v="0"/>
    <x v="2"/>
    <x v="0"/>
    <n v="60214517001691"/>
    <x v="280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730"/>
  </r>
  <r>
    <x v="0"/>
    <x v="2"/>
    <x v="0"/>
    <n v="60214517001691"/>
    <x v="280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730"/>
  </r>
  <r>
    <x v="0"/>
    <x v="2"/>
    <x v="0"/>
    <n v="6047087003073"/>
    <x v="281"/>
    <s v="SÃO JOSÉ DOS CAMPOS"/>
    <s v="SP"/>
    <s v="1-Setorizado"/>
    <n v="2"/>
    <x v="16"/>
    <x v="16"/>
    <s v="Especialidade (ESP)"/>
    <s v="claudia.bueno@cslbehring.com"/>
    <s v="CLAUDIA BUENO (SPC/SPI)"/>
    <n v="3"/>
    <n v="0"/>
    <n v="0"/>
    <n v="48"/>
    <n v="0"/>
  </r>
  <r>
    <x v="0"/>
    <x v="2"/>
    <x v="0"/>
    <n v="6047087003073"/>
    <x v="281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2"/>
    <x v="0"/>
    <n v="18321477000134"/>
    <x v="282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48"/>
    <n v="0"/>
  </r>
  <r>
    <x v="0"/>
    <x v="2"/>
    <x v="0"/>
    <n v="18321477000134"/>
    <x v="282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2"/>
    <x v="0"/>
    <n v="46643466000106"/>
    <x v="508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700"/>
  </r>
  <r>
    <x v="0"/>
    <x v="2"/>
    <x v="0"/>
    <n v="46643466000106"/>
    <x v="508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700"/>
  </r>
  <r>
    <x v="0"/>
    <x v="2"/>
    <x v="0"/>
    <n v="60961968000106"/>
    <x v="28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2"/>
    <x v="0"/>
    <n v="60961968000106"/>
    <x v="284"/>
    <s v="SÃO PAULO"/>
    <s v="SP"/>
    <s v="1-Setorizado"/>
    <n v="2"/>
    <x v="20"/>
    <x v="20"/>
    <s v="Hospitalar (HSP)"/>
    <s v="claudia.bueno@cslbehring.com"/>
    <s v="CLAUDIA BUENO (SPC/SPI)"/>
    <n v="0"/>
    <n v="40"/>
    <n v="5"/>
    <n v="0"/>
    <n v="0"/>
  </r>
  <r>
    <x v="0"/>
    <x v="2"/>
    <x v="0"/>
    <n v="51722957000506"/>
    <x v="439"/>
    <s v="SÃO PAULO"/>
    <s v="SP"/>
    <s v="1-Setorizado"/>
    <n v="2"/>
    <x v="16"/>
    <x v="16"/>
    <s v="Especialidade (ESP)"/>
    <s v="claudia.bueno@cslbehring.com"/>
    <s v="CLAUDIA BUENO (SPC/SPI)"/>
    <n v="3"/>
    <n v="0"/>
    <n v="0"/>
    <n v="0"/>
    <n v="1170"/>
  </r>
  <r>
    <x v="0"/>
    <x v="2"/>
    <x v="0"/>
    <n v="51722957000506"/>
    <x v="439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170"/>
  </r>
  <r>
    <x v="0"/>
    <x v="2"/>
    <x v="0"/>
    <n v="51722957010226"/>
    <x v="28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6"/>
    <n v="1125"/>
  </r>
  <r>
    <x v="0"/>
    <x v="2"/>
    <x v="0"/>
    <n v="51722957010226"/>
    <x v="28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125"/>
  </r>
  <r>
    <x v="0"/>
    <x v="2"/>
    <x v="0"/>
    <n v="60992427000650"/>
    <x v="50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992427000650"/>
    <x v="509"/>
    <s v="SÃO PAULO"/>
    <s v="SP"/>
    <s v="1-Setorizado"/>
    <n v="2"/>
    <x v="17"/>
    <x v="17"/>
    <s v="Hospitalar (HSP)"/>
    <s v="claudia.bueno@cslbehring.com"/>
    <s v="CLAUDIA BUENO (SPC/SPI)"/>
    <n v="0"/>
    <n v="1"/>
    <n v="3"/>
    <n v="0"/>
    <n v="0"/>
  </r>
  <r>
    <x v="0"/>
    <x v="2"/>
    <x v="0"/>
    <n v="2383508000494"/>
    <x v="28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5"/>
    <n v="280"/>
  </r>
  <r>
    <x v="0"/>
    <x v="2"/>
    <x v="0"/>
    <n v="2383508000494"/>
    <x v="28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80"/>
  </r>
  <r>
    <x v="0"/>
    <x v="2"/>
    <x v="0"/>
    <n v="8871521000126"/>
    <x v="28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45"/>
  </r>
  <r>
    <x v="0"/>
    <x v="2"/>
    <x v="0"/>
    <n v="8871521000126"/>
    <x v="28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2"/>
    <x v="0"/>
    <n v="59481028000130"/>
    <x v="29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"/>
  </r>
  <r>
    <x v="0"/>
    <x v="2"/>
    <x v="0"/>
    <n v="59481028000130"/>
    <x v="29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2"/>
    <x v="0"/>
    <n v="46374500008845"/>
    <x v="5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0"/>
  </r>
  <r>
    <x v="0"/>
    <x v="2"/>
    <x v="0"/>
    <n v="46374500008845"/>
    <x v="510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00"/>
  </r>
  <r>
    <x v="0"/>
    <x v="2"/>
    <x v="0"/>
    <n v="46374500026231"/>
    <x v="440"/>
    <s v="SÃO PAULO"/>
    <s v="SP"/>
    <s v="1-Setorizado"/>
    <n v="2"/>
    <x v="18"/>
    <x v="18"/>
    <s v="Especialidade (ESP)"/>
    <s v="claudia.bueno@cslbehring.com"/>
    <s v="CLAUDIA BUENO (SPC/SPI)"/>
    <n v="28"/>
    <n v="0"/>
    <n v="0"/>
    <n v="192"/>
    <n v="0"/>
  </r>
  <r>
    <x v="0"/>
    <x v="2"/>
    <x v="0"/>
    <n v="46374500026231"/>
    <x v="440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0"/>
  </r>
  <r>
    <x v="0"/>
    <x v="2"/>
    <x v="0"/>
    <n v="10468341000220"/>
    <x v="29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6"/>
    <n v="805"/>
  </r>
  <r>
    <x v="0"/>
    <x v="2"/>
    <x v="0"/>
    <n v="10468341000220"/>
    <x v="29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805"/>
  </r>
  <r>
    <x v="0"/>
    <x v="2"/>
    <x v="0"/>
    <n v="10468341000140"/>
    <x v="29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5"/>
  </r>
  <r>
    <x v="0"/>
    <x v="2"/>
    <x v="0"/>
    <n v="10468341000140"/>
    <x v="29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305"/>
  </r>
  <r>
    <x v="0"/>
    <x v="2"/>
    <x v="0"/>
    <n v="29435005009932"/>
    <x v="29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050"/>
  </r>
  <r>
    <x v="0"/>
    <x v="2"/>
    <x v="0"/>
    <n v="29435005009932"/>
    <x v="293"/>
    <s v="SÃO PAULO"/>
    <s v="SP"/>
    <s v="1-Setorizado"/>
    <n v="2"/>
    <x v="17"/>
    <x v="17"/>
    <s v="Hospitalar (HSP)"/>
    <s v="claudia.bueno@cslbehring.com"/>
    <s v="CLAUDIA BUENO (SPC/SPI)"/>
    <n v="0"/>
    <n v="3"/>
    <n v="8"/>
    <n v="0"/>
    <n v="1050"/>
  </r>
  <r>
    <x v="0"/>
    <x v="2"/>
    <x v="0"/>
    <n v="10323381000101"/>
    <x v="29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6"/>
    <n v="0"/>
  </r>
  <r>
    <x v="0"/>
    <x v="2"/>
    <x v="0"/>
    <n v="10323381000101"/>
    <x v="29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56577059000100"/>
    <x v="511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35"/>
  </r>
  <r>
    <x v="0"/>
    <x v="2"/>
    <x v="0"/>
    <n v="56577059000100"/>
    <x v="511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135"/>
  </r>
  <r>
    <x v="0"/>
    <x v="2"/>
    <x v="0"/>
    <n v="3872790000193"/>
    <x v="29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6"/>
    <n v="0"/>
  </r>
  <r>
    <x v="0"/>
    <x v="2"/>
    <x v="0"/>
    <n v="3872790000193"/>
    <x v="29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8100676000835"/>
    <x v="29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40"/>
  </r>
  <r>
    <x v="0"/>
    <x v="2"/>
    <x v="0"/>
    <n v="8100676000835"/>
    <x v="298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40"/>
  </r>
  <r>
    <x v="0"/>
    <x v="2"/>
    <x v="0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5"/>
  </r>
  <r>
    <x v="0"/>
    <x v="2"/>
    <x v="0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5"/>
  </r>
  <r>
    <x v="0"/>
    <x v="2"/>
    <x v="0"/>
    <n v="6047087000139"/>
    <x v="30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47087000139"/>
    <x v="301"/>
    <s v="SÃO PAULO"/>
    <s v="SP"/>
    <s v="1-Setorizado"/>
    <n v="2"/>
    <x v="17"/>
    <x v="17"/>
    <s v="Hospitalar (HSP)"/>
    <s v="claudia.bueno@cslbehring.com"/>
    <s v="CLAUDIA BUENO (SPC/SPI)"/>
    <n v="0"/>
    <n v="0"/>
    <n v="4"/>
    <n v="0"/>
    <n v="0"/>
  </r>
  <r>
    <x v="0"/>
    <x v="2"/>
    <x v="0"/>
    <n v="60884855000316"/>
    <x v="30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4"/>
    <n v="2130"/>
  </r>
  <r>
    <x v="0"/>
    <x v="2"/>
    <x v="0"/>
    <n v="60884855000316"/>
    <x v="302"/>
    <s v="SÃO PAULO"/>
    <s v="SP"/>
    <s v="1-Setorizado"/>
    <n v="2"/>
    <x v="19"/>
    <x v="19"/>
    <s v="Hospitalar (HSP)"/>
    <s v="claudia.bueno@cslbehring.com"/>
    <s v="CLAUDIA BUENO (SPC/SPI)"/>
    <n v="0"/>
    <n v="14"/>
    <n v="19"/>
    <n v="0"/>
    <n v="2130"/>
  </r>
  <r>
    <x v="0"/>
    <x v="2"/>
    <x v="0"/>
    <n v="60961968000459"/>
    <x v="441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2"/>
    <x v="0"/>
    <n v="60961968000459"/>
    <x v="441"/>
    <s v="SÃO PAULO"/>
    <s v="SP"/>
    <s v="1-Setorizado"/>
    <n v="2"/>
    <x v="20"/>
    <x v="20"/>
    <s v="Hospitalar (HSP)"/>
    <s v="claudia.bueno@cslbehring.com"/>
    <s v="CLAUDIA BUENO (SPC/SPI)"/>
    <n v="0"/>
    <n v="15"/>
    <n v="0"/>
    <n v="0"/>
    <n v="0"/>
  </r>
  <r>
    <x v="0"/>
    <x v="2"/>
    <x v="0"/>
    <n v="60726502000126"/>
    <x v="30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6"/>
    <n v="535"/>
  </r>
  <r>
    <x v="0"/>
    <x v="2"/>
    <x v="0"/>
    <n v="60726502000126"/>
    <x v="303"/>
    <s v="SÃO PAULO"/>
    <s v="SP"/>
    <s v="1-Setorizado"/>
    <n v="2"/>
    <x v="19"/>
    <x v="19"/>
    <s v="Hospitalar (HSP)"/>
    <s v="claudia.bueno@cslbehring.com"/>
    <s v="CLAUDIA BUENO (SPC/SPI)"/>
    <n v="0"/>
    <n v="6"/>
    <n v="2"/>
    <n v="0"/>
    <n v="535"/>
  </r>
  <r>
    <x v="0"/>
    <x v="2"/>
    <x v="0"/>
    <n v="8100676000592"/>
    <x v="30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90"/>
  </r>
  <r>
    <x v="0"/>
    <x v="2"/>
    <x v="0"/>
    <n v="8100676000592"/>
    <x v="30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490"/>
  </r>
  <r>
    <x v="0"/>
    <x v="2"/>
    <x v="0"/>
    <n v="8100676002455"/>
    <x v="30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825"/>
  </r>
  <r>
    <x v="0"/>
    <x v="2"/>
    <x v="0"/>
    <n v="8100676002455"/>
    <x v="306"/>
    <s v="SÃO PAULO"/>
    <s v="SP"/>
    <s v="1-Setorizado"/>
    <n v="2"/>
    <x v="19"/>
    <x v="19"/>
    <s v="Hospitalar (HSP)"/>
    <s v="claudia.bueno@cslbehring.com"/>
    <s v="CLAUDIA BUENO (SPC/SPI)"/>
    <n v="0"/>
    <n v="24"/>
    <n v="0"/>
    <n v="0"/>
    <n v="825"/>
  </r>
  <r>
    <x v="0"/>
    <x v="2"/>
    <x v="0"/>
    <n v="60922168004335"/>
    <x v="30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"/>
  </r>
  <r>
    <x v="0"/>
    <x v="2"/>
    <x v="0"/>
    <n v="60922168004335"/>
    <x v="30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0"/>
  </r>
  <r>
    <x v="0"/>
    <x v="2"/>
    <x v="0"/>
    <n v="72775745000133"/>
    <x v="5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72775745000133"/>
    <x v="512"/>
    <s v="SÃO PAULO"/>
    <s v="SP"/>
    <s v="1-Setorizado"/>
    <n v="2"/>
    <x v="17"/>
    <x v="17"/>
    <s v="Hospitalar (HSP)"/>
    <s v="claudia.bueno@cslbehring.com"/>
    <s v="CLAUDIA BUENO (SPC/SPI)"/>
    <n v="0"/>
    <n v="15"/>
    <n v="15"/>
    <n v="0"/>
    <n v="0"/>
  </r>
  <r>
    <x v="0"/>
    <x v="2"/>
    <x v="0"/>
    <n v="21371777000132"/>
    <x v="3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21371777000132"/>
    <x v="308"/>
    <s v="SÃO PAULO"/>
    <s v="SP"/>
    <s v="1-Setorizado"/>
    <n v="2"/>
    <x v="19"/>
    <x v="19"/>
    <s v="Hospitalar (HSP)"/>
    <s v="claudia.bueno@cslbehring.com"/>
    <s v="CLAUDIA BUENO (SPC/SPI)"/>
    <n v="0"/>
    <n v="0"/>
    <n v="11"/>
    <n v="0"/>
    <n v="0"/>
  </r>
  <r>
    <x v="0"/>
    <x v="2"/>
    <x v="0"/>
    <n v="60448040000122"/>
    <x v="3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92"/>
    <n v="0"/>
  </r>
  <r>
    <x v="0"/>
    <x v="2"/>
    <x v="0"/>
    <n v="60448040000122"/>
    <x v="309"/>
    <s v="SÃO PAULO"/>
    <s v="SP"/>
    <s v="1-Setorizado"/>
    <n v="2"/>
    <x v="20"/>
    <x v="20"/>
    <s v="Hospitalar (HSP)"/>
    <s v="claudia.bueno@cslbehring.com"/>
    <s v="CLAUDIA BUENO (SPC/SPI)"/>
    <n v="0"/>
    <n v="66"/>
    <n v="60"/>
    <n v="0"/>
    <n v="0"/>
  </r>
  <r>
    <x v="0"/>
    <x v="2"/>
    <x v="0"/>
    <n v="60453024000390"/>
    <x v="3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453024000390"/>
    <x v="310"/>
    <s v="SÃO PAULO"/>
    <s v="SP"/>
    <s v="1-Setorizado"/>
    <n v="2"/>
    <x v="20"/>
    <x v="20"/>
    <s v="Hospitalar (HSP)"/>
    <s v="claudia.bueno@cslbehring.com"/>
    <s v="CLAUDIA BUENO (SPC/SPI)"/>
    <n v="0"/>
    <n v="11"/>
    <n v="55"/>
    <n v="0"/>
    <n v="0"/>
  </r>
  <r>
    <x v="0"/>
    <x v="2"/>
    <x v="0"/>
    <n v="51722957012512"/>
    <x v="31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90"/>
  </r>
  <r>
    <x v="0"/>
    <x v="2"/>
    <x v="0"/>
    <n v="51722957012512"/>
    <x v="3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90"/>
  </r>
  <r>
    <x v="0"/>
    <x v="2"/>
    <x v="0"/>
    <n v="60678604000113"/>
    <x v="3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0"/>
  </r>
  <r>
    <x v="0"/>
    <x v="2"/>
    <x v="0"/>
    <n v="60678604000113"/>
    <x v="312"/>
    <s v="SÃO PAULO"/>
    <s v="SP"/>
    <s v="1-Setorizado"/>
    <n v="2"/>
    <x v="17"/>
    <x v="17"/>
    <s v="Hospitalar (HSP)"/>
    <s v="claudia.bueno@cslbehring.com"/>
    <s v="CLAUDIA BUENO (SPC/SPI)"/>
    <n v="0"/>
    <n v="1"/>
    <n v="24"/>
    <n v="0"/>
    <n v="200"/>
  </r>
  <r>
    <x v="0"/>
    <x v="2"/>
    <x v="0"/>
    <n v="29435005004540"/>
    <x v="31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80"/>
  </r>
  <r>
    <x v="0"/>
    <x v="2"/>
    <x v="0"/>
    <n v="29435005004540"/>
    <x v="31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80"/>
  </r>
  <r>
    <x v="0"/>
    <x v="2"/>
    <x v="0"/>
    <n v="46374500010823"/>
    <x v="51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50"/>
  </r>
  <r>
    <x v="0"/>
    <x v="2"/>
    <x v="0"/>
    <n v="46374500010823"/>
    <x v="513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2"/>
    <x v="0"/>
    <n v="61213674000240"/>
    <x v="316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13"/>
    <n v="0"/>
  </r>
  <r>
    <x v="0"/>
    <x v="2"/>
    <x v="0"/>
    <n v="61213674000240"/>
    <x v="316"/>
    <s v="SÃO PAULO"/>
    <s v="SP"/>
    <s v="1-Setorizado"/>
    <n v="2"/>
    <x v="17"/>
    <x v="17"/>
    <s v="Hospitalar (HSP)"/>
    <s v="claudia.bueno@cslbehring.com"/>
    <s v="CLAUDIA BUENO (SPC/SPI)"/>
    <n v="0"/>
    <n v="1"/>
    <n v="2"/>
    <n v="0"/>
    <n v="0"/>
  </r>
  <r>
    <x v="0"/>
    <x v="2"/>
    <x v="0"/>
    <n v="60765823000130"/>
    <x v="44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30"/>
    <n v="0"/>
  </r>
  <r>
    <x v="0"/>
    <x v="2"/>
    <x v="0"/>
    <n v="60765823000130"/>
    <x v="442"/>
    <s v="SÃO PAULO"/>
    <s v="SP"/>
    <s v="1-Setorizado"/>
    <n v="2"/>
    <x v="17"/>
    <x v="17"/>
    <s v="Hospitalar (HSP)"/>
    <s v="claudia.bueno@cslbehring.com"/>
    <s v="CLAUDIA BUENO (SPC/SPI)"/>
    <n v="0"/>
    <n v="30"/>
    <n v="70"/>
    <n v="0"/>
    <n v="0"/>
  </r>
  <r>
    <x v="0"/>
    <x v="2"/>
    <x v="0"/>
    <n v="29435005002687"/>
    <x v="31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150"/>
  </r>
  <r>
    <x v="0"/>
    <x v="2"/>
    <x v="0"/>
    <n v="29435005002687"/>
    <x v="317"/>
    <s v="SÃO PAULO"/>
    <s v="SP"/>
    <s v="1-Setorizado"/>
    <n v="2"/>
    <x v="19"/>
    <x v="19"/>
    <s v="Hospitalar (HSP)"/>
    <s v="claudia.bueno@cslbehring.com"/>
    <s v="CLAUDIA BUENO (SPC/SPI)"/>
    <n v="0"/>
    <n v="7"/>
    <n v="0"/>
    <n v="0"/>
    <n v="1150"/>
  </r>
  <r>
    <x v="0"/>
    <x v="2"/>
    <x v="0"/>
    <n v="61062212000198"/>
    <x v="51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1062212000198"/>
    <x v="514"/>
    <s v="SÃO PAULO"/>
    <s v="SP"/>
    <s v="1-Setorizado"/>
    <n v="2"/>
    <x v="19"/>
    <x v="19"/>
    <s v="Hospitalar (HSP)"/>
    <s v="claudia.bueno@cslbehring.com"/>
    <s v="CLAUDIA BUENO (SPC/SPI)"/>
    <n v="0"/>
    <n v="0"/>
    <n v="4"/>
    <n v="0"/>
    <n v="0"/>
  </r>
  <r>
    <x v="0"/>
    <x v="2"/>
    <x v="0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3"/>
    <n v="0"/>
  </r>
  <r>
    <x v="0"/>
    <x v="2"/>
    <x v="0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4"/>
    <n v="0"/>
    <n v="0"/>
  </r>
  <r>
    <x v="0"/>
    <x v="2"/>
    <x v="0"/>
    <n v="60552098000111"/>
    <x v="32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75"/>
  </r>
  <r>
    <x v="0"/>
    <x v="2"/>
    <x v="0"/>
    <n v="60552098000111"/>
    <x v="32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75"/>
  </r>
  <r>
    <x v="0"/>
    <x v="2"/>
    <x v="0"/>
    <n v="60777901000116"/>
    <x v="32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400"/>
  </r>
  <r>
    <x v="0"/>
    <x v="2"/>
    <x v="0"/>
    <n v="60777901000116"/>
    <x v="32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400"/>
  </r>
  <r>
    <x v="0"/>
    <x v="2"/>
    <x v="0"/>
    <n v="60975737001204"/>
    <x v="32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975737001204"/>
    <x v="322"/>
    <s v="SÃO PAULO"/>
    <s v="SP"/>
    <s v="1-Setorizado"/>
    <n v="2"/>
    <x v="20"/>
    <x v="20"/>
    <s v="Hospitalar (HSP)"/>
    <s v="claudia.bueno@cslbehring.com"/>
    <s v="CLAUDIA BUENO (SPC/SPI)"/>
    <n v="0"/>
    <n v="13"/>
    <n v="0"/>
    <n v="0"/>
    <n v="0"/>
  </r>
  <r>
    <x v="0"/>
    <x v="2"/>
    <x v="0"/>
    <n v="6047087003820"/>
    <x v="32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47087003820"/>
    <x v="323"/>
    <s v="SÃO PAULO"/>
    <s v="SP"/>
    <s v="1-Setorizado"/>
    <n v="2"/>
    <x v="17"/>
    <x v="17"/>
    <s v="Hospitalar (HSP)"/>
    <s v="claudia.bueno@cslbehring.com"/>
    <s v="CLAUDIA BUENO (SPC/SPI)"/>
    <n v="0"/>
    <n v="0"/>
    <n v="3"/>
    <n v="0"/>
    <n v="0"/>
  </r>
  <r>
    <x v="0"/>
    <x v="2"/>
    <x v="0"/>
    <n v="5831510000124"/>
    <x v="32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40"/>
  </r>
  <r>
    <x v="0"/>
    <x v="2"/>
    <x v="0"/>
    <n v="5831510000124"/>
    <x v="32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40"/>
  </r>
  <r>
    <x v="0"/>
    <x v="2"/>
    <x v="0"/>
    <n v="44649812005520"/>
    <x v="32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"/>
    <n v="0"/>
  </r>
  <r>
    <x v="0"/>
    <x v="2"/>
    <x v="0"/>
    <n v="44649812005520"/>
    <x v="32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65"/>
  </r>
  <r>
    <x v="0"/>
    <x v="2"/>
    <x v="0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65"/>
  </r>
  <r>
    <x v="0"/>
    <x v="2"/>
    <x v="0"/>
    <n v="2837922000183"/>
    <x v="33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50"/>
    <n v="0"/>
  </r>
  <r>
    <x v="0"/>
    <x v="2"/>
    <x v="0"/>
    <n v="2837922000183"/>
    <x v="33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61599908000158"/>
    <x v="33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1599908000158"/>
    <x v="335"/>
    <s v="SÃO PAULO"/>
    <s v="SP"/>
    <s v="1-Setorizado"/>
    <n v="2"/>
    <x v="19"/>
    <x v="19"/>
    <s v="Hospitalar (HSP)"/>
    <s v="claudia.bueno@cslbehring.com"/>
    <s v="CLAUDIA BUENO (SPC/SPI)"/>
    <n v="0"/>
    <n v="150"/>
    <n v="50"/>
    <n v="0"/>
    <n v="0"/>
  </r>
  <r>
    <x v="0"/>
    <x v="2"/>
    <x v="0"/>
    <n v="7045325000130"/>
    <x v="33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56"/>
    <n v="0"/>
  </r>
  <r>
    <x v="0"/>
    <x v="2"/>
    <x v="0"/>
    <n v="7045325000130"/>
    <x v="33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2"/>
    <x v="0"/>
    <n v="6047087000210"/>
    <x v="33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2"/>
    <x v="0"/>
    <n v="6047087000210"/>
    <x v="337"/>
    <s v="SÃO PAULO"/>
    <s v="SP"/>
    <s v="1-Setorizado"/>
    <n v="2"/>
    <x v="17"/>
    <x v="17"/>
    <s v="Hospitalar (HSP)"/>
    <s v="claudia.bueno@cslbehring.com"/>
    <s v="CLAUDIA BUENO (SPC/SPI)"/>
    <n v="0"/>
    <n v="36"/>
    <n v="20"/>
    <n v="0"/>
    <n v="0"/>
  </r>
  <r>
    <x v="0"/>
    <x v="2"/>
    <x v="0"/>
    <n v="60961422000155"/>
    <x v="338"/>
    <s v="SÃO PAULO"/>
    <s v="SP"/>
    <s v="1-Setorizado"/>
    <n v="2"/>
    <x v="16"/>
    <x v="16"/>
    <s v="Especialidade (ESP)"/>
    <s v="claudia.bueno@cslbehring.com"/>
    <s v="CLAUDIA BUENO (SPC/SPI)"/>
    <n v="4"/>
    <n v="0"/>
    <n v="0"/>
    <n v="0"/>
    <n v="20"/>
  </r>
  <r>
    <x v="0"/>
    <x v="2"/>
    <x v="0"/>
    <n v="60961422000155"/>
    <x v="338"/>
    <s v="SÃO PAULO"/>
    <s v="SP"/>
    <s v="1-Setorizado"/>
    <n v="2"/>
    <x v="17"/>
    <x v="17"/>
    <s v="Hospitalar (HSP)"/>
    <s v="claudia.bueno@cslbehring.com"/>
    <s v="CLAUDIA BUENO (SPC/SPI)"/>
    <n v="0"/>
    <n v="6"/>
    <n v="8"/>
    <n v="0"/>
    <n v="20"/>
  </r>
  <r>
    <x v="0"/>
    <x v="2"/>
    <x v="0"/>
    <n v="61590410000124"/>
    <x v="3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745"/>
  </r>
  <r>
    <x v="0"/>
    <x v="2"/>
    <x v="0"/>
    <n v="61590410000124"/>
    <x v="339"/>
    <s v="SÃO PAULO"/>
    <s v="SP"/>
    <s v="1-Setorizado"/>
    <n v="2"/>
    <x v="20"/>
    <x v="20"/>
    <s v="Hospitalar (HSP)"/>
    <s v="claudia.bueno@cslbehring.com"/>
    <s v="CLAUDIA BUENO (SPC/SPI)"/>
    <n v="0"/>
    <n v="16"/>
    <n v="56"/>
    <n v="0"/>
    <n v="1745"/>
  </r>
  <r>
    <x v="0"/>
    <x v="2"/>
    <x v="0"/>
    <n v="19803199000114"/>
    <x v="34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25"/>
  </r>
  <r>
    <x v="0"/>
    <x v="2"/>
    <x v="0"/>
    <n v="19803199000114"/>
    <x v="340"/>
    <s v="SÃO PAULO"/>
    <s v="SP"/>
    <s v="1-Setorizado"/>
    <n v="2"/>
    <x v="19"/>
    <x v="19"/>
    <s v="Hospitalar (HSP)"/>
    <s v="claudia.bueno@cslbehring.com"/>
    <s v="CLAUDIA BUENO (SPC/SPI)"/>
    <n v="0"/>
    <n v="4"/>
    <n v="0"/>
    <n v="0"/>
    <n v="125"/>
  </r>
  <r>
    <x v="0"/>
    <x v="2"/>
    <x v="0"/>
    <n v="20812223000241"/>
    <x v="34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"/>
    <n v="0"/>
  </r>
  <r>
    <x v="0"/>
    <x v="2"/>
    <x v="0"/>
    <n v="20812223000241"/>
    <x v="34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44482299472"/>
    <x v="448"/>
    <s v="MACEIÓ"/>
    <s v="AL"/>
    <s v="1-Setorizado"/>
    <n v="2"/>
    <x v="0"/>
    <x v="0"/>
    <s v="Especialidade (ESP)"/>
    <s v="fernando.leony@cslbehring.com"/>
    <s v="FERNANDO LEONY (CO/NO/NE)"/>
    <n v="30"/>
    <n v="0"/>
    <n v="0"/>
    <n v="0"/>
    <n v="0"/>
  </r>
  <r>
    <x v="0"/>
    <x v="3"/>
    <x v="1"/>
    <n v="44482299472"/>
    <x v="448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3"/>
    <x v="1"/>
    <n v="5612725000154"/>
    <x v="449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3"/>
    <x v="1"/>
    <n v="5612725000154"/>
    <x v="449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30"/>
  </r>
  <r>
    <x v="0"/>
    <x v="3"/>
    <x v="1"/>
    <n v="1454407000151"/>
    <x v="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260"/>
  </r>
  <r>
    <x v="0"/>
    <x v="3"/>
    <x v="1"/>
    <n v="1454407000151"/>
    <x v="0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260"/>
  </r>
  <r>
    <x v="0"/>
    <x v="3"/>
    <x v="1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420"/>
  </r>
  <r>
    <x v="0"/>
    <x v="3"/>
    <x v="1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420"/>
  </r>
  <r>
    <x v="0"/>
    <x v="3"/>
    <x v="1"/>
    <n v="3866223000124"/>
    <x v="343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615"/>
  </r>
  <r>
    <x v="0"/>
    <x v="3"/>
    <x v="1"/>
    <n v="3866223000124"/>
    <x v="343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615"/>
  </r>
  <r>
    <x v="0"/>
    <x v="3"/>
    <x v="1"/>
    <n v="12307187000150"/>
    <x v="515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210"/>
  </r>
  <r>
    <x v="0"/>
    <x v="3"/>
    <x v="1"/>
    <n v="12307187000150"/>
    <x v="515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210"/>
  </r>
  <r>
    <x v="0"/>
    <x v="3"/>
    <x v="1"/>
    <n v="12361267011632"/>
    <x v="3"/>
    <s v="MANAUS"/>
    <s v="AM"/>
    <s v="1-Setorizado"/>
    <n v="1"/>
    <x v="2"/>
    <x v="2"/>
    <s v="Misto (EMH)"/>
    <s v="fernando.leony@cslbehring.com"/>
    <s v="FERNANDO LEONY (CO/NO/NE)"/>
    <n v="0"/>
    <n v="1"/>
    <n v="0"/>
    <n v="0"/>
    <n v="0"/>
  </r>
  <r>
    <x v="0"/>
    <x v="3"/>
    <x v="1"/>
    <n v="4159778000107"/>
    <x v="452"/>
    <s v="MANAUS"/>
    <s v="AM"/>
    <s v="1-Setorizado"/>
    <n v="1"/>
    <x v="2"/>
    <x v="2"/>
    <s v="Misto (EMH)"/>
    <s v="fernando.leony@cslbehring.com"/>
    <s v="FERNANDO LEONY (CO/NO/NE)"/>
    <n v="0"/>
    <n v="3"/>
    <n v="10"/>
    <n v="0"/>
    <n v="0"/>
  </r>
  <r>
    <x v="0"/>
    <x v="3"/>
    <x v="1"/>
    <n v="84537141000138"/>
    <x v="516"/>
    <s v="MANAUS"/>
    <s v="AM"/>
    <s v="1-Setorizado"/>
    <n v="1"/>
    <x v="2"/>
    <x v="2"/>
    <s v="Misto (EMH)"/>
    <s v="fernando.leony@cslbehring.com"/>
    <s v="FERNANDO LEONY (CO/NO/NE)"/>
    <n v="0"/>
    <n v="0"/>
    <n v="6"/>
    <n v="0"/>
    <n v="0"/>
  </r>
  <r>
    <x v="0"/>
    <x v="3"/>
    <x v="1"/>
    <n v="13952064000134"/>
    <x v="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3952064000134"/>
    <x v="8"/>
    <s v="SALVADOR"/>
    <s v="BA"/>
    <s v="1-Setorizado"/>
    <n v="2"/>
    <x v="1"/>
    <x v="1"/>
    <s v="Hospitalar (HSP)"/>
    <s v="fernando.leony@cslbehring.com"/>
    <s v="FERNANDO LEONY (CO/NO/NE)"/>
    <n v="0"/>
    <n v="4"/>
    <n v="4"/>
    <n v="0"/>
    <n v="0"/>
  </r>
  <r>
    <x v="0"/>
    <x v="3"/>
    <x v="1"/>
    <n v="12361267014739"/>
    <x v="453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2361267014739"/>
    <x v="453"/>
    <s v="SALVADOR"/>
    <s v="BA"/>
    <s v="1-Setorizado"/>
    <n v="2"/>
    <x v="1"/>
    <x v="1"/>
    <s v="Hospitalar (HSP)"/>
    <s v="fernando.leony@cslbehring.com"/>
    <s v="FERNANDO LEONY (CO/NO/NE)"/>
    <n v="0"/>
    <n v="5"/>
    <n v="4"/>
    <n v="0"/>
    <n v="0"/>
  </r>
  <r>
    <x v="0"/>
    <x v="3"/>
    <x v="1"/>
    <n v="16475154000250"/>
    <x v="34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6475154000250"/>
    <x v="345"/>
    <s v="SALVADOR"/>
    <s v="BA"/>
    <s v="1-Setorizado"/>
    <n v="2"/>
    <x v="1"/>
    <x v="1"/>
    <s v="Hospitalar (HSP)"/>
    <s v="fernando.leony@cslbehring.com"/>
    <s v="FERNANDO LEONY (CO/NO/NE)"/>
    <n v="0"/>
    <n v="4"/>
    <n v="0"/>
    <n v="0"/>
    <n v="0"/>
  </r>
  <r>
    <x v="0"/>
    <x v="3"/>
    <x v="1"/>
    <n v="5816630000152"/>
    <x v="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515"/>
  </r>
  <r>
    <x v="0"/>
    <x v="3"/>
    <x v="1"/>
    <n v="5816630000152"/>
    <x v="9"/>
    <s v="SALVADOR"/>
    <s v="BA"/>
    <s v="1-Setorizado"/>
    <n v="2"/>
    <x v="1"/>
    <x v="1"/>
    <s v="Hospitalar (HSP)"/>
    <s v="fernando.leony@cslbehring.com"/>
    <s v="FERNANDO LEONY (CO/NO/NE)"/>
    <n v="0"/>
    <n v="40"/>
    <n v="30"/>
    <n v="0"/>
    <n v="515"/>
  </r>
  <r>
    <x v="0"/>
    <x v="3"/>
    <x v="1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7"/>
    <n v="0"/>
    <n v="0"/>
    <n v="0"/>
  </r>
  <r>
    <x v="0"/>
    <x v="3"/>
    <x v="1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18"/>
    <n v="5"/>
    <n v="0"/>
    <n v="0"/>
  </r>
  <r>
    <x v="0"/>
    <x v="3"/>
    <x v="1"/>
    <n v="13016092000140"/>
    <x v="12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3016092000140"/>
    <x v="12"/>
    <s v="SALVADOR"/>
    <s v="BA"/>
    <s v="1-Setorizado"/>
    <n v="2"/>
    <x v="1"/>
    <x v="1"/>
    <s v="Hospitalar (HSP)"/>
    <s v="fernando.leony@cslbehring.com"/>
    <s v="FERNANDO LEONY (CO/NO/NE)"/>
    <n v="0"/>
    <n v="6"/>
    <n v="0"/>
    <n v="0"/>
    <n v="0"/>
  </r>
  <r>
    <x v="0"/>
    <x v="3"/>
    <x v="1"/>
    <n v="15166416000151"/>
    <x v="1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5166416000151"/>
    <x v="14"/>
    <s v="SALVADOR"/>
    <s v="BA"/>
    <s v="1-Setorizado"/>
    <n v="2"/>
    <x v="1"/>
    <x v="1"/>
    <s v="Hospitalar (HSP)"/>
    <s v="fernando.leony@cslbehring.com"/>
    <s v="FERNANDO LEONY (CO/NO/NE)"/>
    <n v="0"/>
    <n v="37"/>
    <n v="13"/>
    <n v="0"/>
    <n v="0"/>
  </r>
  <r>
    <x v="0"/>
    <x v="3"/>
    <x v="1"/>
    <n v="15153745000249"/>
    <x v="1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5153745000249"/>
    <x v="15"/>
    <s v="SALVADOR"/>
    <s v="BA"/>
    <s v="1-Setorizado"/>
    <n v="2"/>
    <x v="1"/>
    <x v="1"/>
    <s v="Hospitalar (HSP)"/>
    <s v="fernando.leony@cslbehring.com"/>
    <s v="FERNANDO LEONY (CO/NO/NE)"/>
    <n v="0"/>
    <n v="14"/>
    <n v="0"/>
    <n v="0"/>
    <n v="0"/>
  </r>
  <r>
    <x v="0"/>
    <x v="3"/>
    <x v="1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5"/>
    <n v="14"/>
    <n v="0"/>
    <n v="0"/>
  </r>
  <r>
    <x v="0"/>
    <x v="3"/>
    <x v="1"/>
    <n v="15242761000127"/>
    <x v="2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56"/>
    <n v="100"/>
  </r>
  <r>
    <x v="0"/>
    <x v="3"/>
    <x v="1"/>
    <n v="15242761000127"/>
    <x v="20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100"/>
  </r>
  <r>
    <x v="0"/>
    <x v="3"/>
    <x v="1"/>
    <n v="5652543000107"/>
    <x v="349"/>
    <s v="SANTO ANTÔNIO DE JESUS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5652543000107"/>
    <x v="349"/>
    <s v="SANTO ANTÔNIO DE JESUS"/>
    <s v="BA"/>
    <s v="1-Setorizado"/>
    <n v="2"/>
    <x v="1"/>
    <x v="1"/>
    <s v="Hospitalar (HSP)"/>
    <s v="fernando.leony@cslbehring.com"/>
    <s v="FERNANDO LEONY (CO/NO/NE)"/>
    <n v="0"/>
    <n v="22"/>
    <n v="0"/>
    <n v="0"/>
    <n v="0"/>
  </r>
  <r>
    <x v="0"/>
    <x v="3"/>
    <x v="1"/>
    <n v="5874946000281"/>
    <x v="351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5874946000281"/>
    <x v="351"/>
    <s v="FORTALEZA"/>
    <s v="CE"/>
    <s v="1-Setorizado"/>
    <n v="2"/>
    <x v="3"/>
    <x v="3"/>
    <s v="Hospitalar (HSP)"/>
    <s v="fernando.leony@cslbehring.com"/>
    <s v="FERNANDO LEONY (CO/NO/NE)"/>
    <n v="0"/>
    <n v="0"/>
    <n v="5"/>
    <n v="0"/>
    <n v="0"/>
  </r>
  <r>
    <x v="0"/>
    <x v="3"/>
    <x v="1"/>
    <n v="74031865000151"/>
    <x v="2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74031865000151"/>
    <x v="24"/>
    <s v="FORTALEZA"/>
    <s v="CE"/>
    <s v="1-Setorizado"/>
    <n v="2"/>
    <x v="3"/>
    <x v="3"/>
    <s v="Hospitalar (HSP)"/>
    <s v="fernando.leony@cslbehring.com"/>
    <s v="FERNANDO LEONY (CO/NO/NE)"/>
    <n v="0"/>
    <n v="0"/>
    <n v="428"/>
    <n v="0"/>
    <n v="0"/>
  </r>
  <r>
    <x v="0"/>
    <x v="3"/>
    <x v="1"/>
    <n v="29435005007484"/>
    <x v="2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105"/>
  </r>
  <r>
    <x v="0"/>
    <x v="3"/>
    <x v="1"/>
    <n v="29435005007484"/>
    <x v="28"/>
    <s v="FORTALEZA"/>
    <s v="CE"/>
    <s v="1-Setorizado"/>
    <n v="2"/>
    <x v="3"/>
    <x v="3"/>
    <s v="Hospitalar (HSP)"/>
    <s v="fernando.leony@cslbehring.com"/>
    <s v="FERNANDO LEONY (CO/NO/NE)"/>
    <n v="0"/>
    <n v="20"/>
    <n v="17"/>
    <n v="0"/>
    <n v="105"/>
  </r>
  <r>
    <x v="0"/>
    <x v="3"/>
    <x v="1"/>
    <n v="23443518000103"/>
    <x v="51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23443518000103"/>
    <x v="517"/>
    <s v="FORTALEZA"/>
    <s v="CE"/>
    <s v="1-Setorizado"/>
    <n v="2"/>
    <x v="3"/>
    <x v="3"/>
    <s v="Hospitalar (HSP)"/>
    <s v="fernando.leony@cslbehring.com"/>
    <s v="FERNANDO LEONY (CO/NO/NE)"/>
    <n v="0"/>
    <n v="2"/>
    <n v="0"/>
    <n v="0"/>
    <n v="0"/>
  </r>
  <r>
    <x v="0"/>
    <x v="3"/>
    <x v="1"/>
    <n v="5868278000280"/>
    <x v="29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128"/>
    <n v="0"/>
  </r>
  <r>
    <x v="0"/>
    <x v="3"/>
    <x v="1"/>
    <n v="5868278000280"/>
    <x v="29"/>
    <s v="FORTALEZA"/>
    <s v="CE"/>
    <s v="1-Setorizado"/>
    <n v="2"/>
    <x v="3"/>
    <x v="3"/>
    <s v="Hospitalar (HSP)"/>
    <s v="fernando.leony@cslbehring.com"/>
    <s v="FERNANDO LEONY (CO/NO/NE)"/>
    <n v="0"/>
    <n v="6"/>
    <n v="40"/>
    <n v="0"/>
    <n v="0"/>
  </r>
  <r>
    <x v="0"/>
    <x v="3"/>
    <x v="1"/>
    <n v="11794674000121"/>
    <x v="35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1794674000121"/>
    <x v="353"/>
    <s v="FORTALEZA"/>
    <s v="CE"/>
    <s v="1-Setorizado"/>
    <n v="2"/>
    <x v="3"/>
    <x v="3"/>
    <s v="Hospitalar (HSP)"/>
    <s v="fernando.leony@cslbehring.com"/>
    <s v="FERNANDO LEONY (CO/NO/NE)"/>
    <n v="0"/>
    <n v="4"/>
    <n v="7"/>
    <n v="0"/>
    <n v="0"/>
  </r>
  <r>
    <x v="0"/>
    <x v="3"/>
    <x v="1"/>
    <n v="7272636000212"/>
    <x v="30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2400"/>
  </r>
  <r>
    <x v="0"/>
    <x v="3"/>
    <x v="1"/>
    <n v="7272636000212"/>
    <x v="30"/>
    <s v="FORTALEZA"/>
    <s v="CE"/>
    <s v="1-Setorizado"/>
    <n v="2"/>
    <x v="3"/>
    <x v="3"/>
    <s v="Hospitalar (HSP)"/>
    <s v="fernando.leony@cslbehring.com"/>
    <s v="FERNANDO LEONY (CO/NO/NE)"/>
    <n v="0"/>
    <n v="20"/>
    <n v="25"/>
    <n v="0"/>
    <n v="2400"/>
  </r>
  <r>
    <x v="0"/>
    <x v="3"/>
    <x v="1"/>
    <n v="8711085000128"/>
    <x v="51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8711085000128"/>
    <x v="518"/>
    <s v="FORTALEZA"/>
    <s v="CE"/>
    <s v="1-Setorizado"/>
    <n v="2"/>
    <x v="3"/>
    <x v="3"/>
    <s v="Hospitalar (HSP)"/>
    <s v="fernando.leony@cslbehring.com"/>
    <s v="FERNANDO LEONY (CO/NO/NE)"/>
    <n v="0"/>
    <n v="1"/>
    <n v="3"/>
    <n v="0"/>
    <n v="0"/>
  </r>
  <r>
    <x v="0"/>
    <x v="3"/>
    <x v="1"/>
    <n v="5867015000175"/>
    <x v="3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8"/>
    <n v="0"/>
  </r>
  <r>
    <x v="0"/>
    <x v="3"/>
    <x v="1"/>
    <n v="5867015000175"/>
    <x v="33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3"/>
    <x v="1"/>
    <n v="9104513000974"/>
    <x v="3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65"/>
  </r>
  <r>
    <x v="0"/>
    <x v="3"/>
    <x v="1"/>
    <n v="9104513000974"/>
    <x v="3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365"/>
  </r>
  <r>
    <x v="0"/>
    <x v="3"/>
    <x v="1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450"/>
  </r>
  <r>
    <x v="0"/>
    <x v="3"/>
    <x v="1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240"/>
    <n v="450"/>
  </r>
  <r>
    <x v="0"/>
    <x v="3"/>
    <x v="1"/>
    <n v="394544000851"/>
    <x v="357"/>
    <s v="BRASÍLIA"/>
    <s v="DF"/>
    <s v="1-Setorizado"/>
    <n v="1"/>
    <x v="21"/>
    <x v="21"/>
    <m/>
    <s v="gerente.orfao@vago.com"/>
    <s v="XXX - GERENTE ORFAO"/>
    <n v="326"/>
    <n v="0"/>
    <n v="0"/>
    <n v="0"/>
    <n v="0"/>
  </r>
  <r>
    <x v="0"/>
    <x v="3"/>
    <x v="1"/>
    <n v="37108388000159"/>
    <x v="38"/>
    <s v="BRASÍLIA"/>
    <s v="DF"/>
    <s v="1-Setorizado"/>
    <n v="2"/>
    <x v="4"/>
    <x v="4"/>
    <s v="Hospitalar (HSP)"/>
    <s v="fernando.leony@cslbehring.com"/>
    <s v="FERNANDO LEONY (CO/NO/NE)"/>
    <n v="0"/>
    <n v="20"/>
    <n v="0"/>
    <n v="0"/>
    <n v="0"/>
  </r>
  <r>
    <x v="0"/>
    <x v="3"/>
    <x v="1"/>
    <n v="37108388000159"/>
    <x v="3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29435005004620"/>
    <x v="39"/>
    <s v="BRASÍLIA"/>
    <s v="DF"/>
    <s v="1-Setorizado"/>
    <n v="2"/>
    <x v="4"/>
    <x v="4"/>
    <s v="Hospitalar (HSP)"/>
    <s v="fernando.leony@cslbehring.com"/>
    <s v="FERNANDO LEONY (CO/NO/NE)"/>
    <n v="0"/>
    <n v="0"/>
    <n v="2"/>
    <n v="0"/>
    <n v="0"/>
  </r>
  <r>
    <x v="0"/>
    <x v="3"/>
    <x v="1"/>
    <n v="29435005004620"/>
    <x v="3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9"/>
    <n v="0"/>
    <n v="0"/>
    <n v="65"/>
  </r>
  <r>
    <x v="0"/>
    <x v="3"/>
    <x v="1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65"/>
  </r>
  <r>
    <x v="0"/>
    <x v="3"/>
    <x v="1"/>
    <n v="60884855002289"/>
    <x v="41"/>
    <s v="BRASÍLIA"/>
    <s v="DF"/>
    <s v="1-Setorizado"/>
    <n v="2"/>
    <x v="4"/>
    <x v="4"/>
    <s v="Hospitalar (HSP)"/>
    <s v="fernando.leony@cslbehring.com"/>
    <s v="FERNANDO LEONY (CO/NO/NE)"/>
    <n v="0"/>
    <n v="21"/>
    <n v="20"/>
    <n v="0"/>
    <n v="675"/>
  </r>
  <r>
    <x v="0"/>
    <x v="3"/>
    <x v="1"/>
    <n v="60884855002289"/>
    <x v="4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675"/>
  </r>
  <r>
    <x v="0"/>
    <x v="3"/>
    <x v="1"/>
    <n v="382069000127"/>
    <x v="519"/>
    <s v="BRASÍLIA"/>
    <s v="DF"/>
    <s v="1-Setorizado"/>
    <n v="2"/>
    <x v="4"/>
    <x v="4"/>
    <s v="Hospitalar (HSP)"/>
    <s v="fernando.leony@cslbehring.com"/>
    <s v="FERNANDO LEONY (CO/NO/NE)"/>
    <n v="0"/>
    <n v="4"/>
    <n v="2"/>
    <n v="0"/>
    <n v="0"/>
  </r>
  <r>
    <x v="0"/>
    <x v="3"/>
    <x v="1"/>
    <n v="382069000127"/>
    <x v="51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3568867000136"/>
    <x v="520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430"/>
  </r>
  <r>
    <x v="0"/>
    <x v="3"/>
    <x v="1"/>
    <n v="3568867000136"/>
    <x v="52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430"/>
  </r>
  <r>
    <x v="0"/>
    <x v="3"/>
    <x v="1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17"/>
    <n v="5"/>
    <n v="0"/>
    <n v="0"/>
  </r>
  <r>
    <x v="0"/>
    <x v="3"/>
    <x v="1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38000485000196"/>
    <x v="43"/>
    <s v="BRASÍLIA"/>
    <s v="DF"/>
    <s v="1-Setorizado"/>
    <n v="2"/>
    <x v="4"/>
    <x v="4"/>
    <s v="Hospitalar (HSP)"/>
    <s v="fernando.leony@cslbehring.com"/>
    <s v="FERNANDO LEONY (CO/NO/NE)"/>
    <n v="0"/>
    <n v="5"/>
    <n v="0"/>
    <n v="0"/>
    <n v="0"/>
  </r>
  <r>
    <x v="0"/>
    <x v="3"/>
    <x v="1"/>
    <n v="38000485000196"/>
    <x v="4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49791000144"/>
    <x v="44"/>
    <s v="BRASÍLIA"/>
    <s v="DF"/>
    <s v="1-Setorizado"/>
    <n v="2"/>
    <x v="4"/>
    <x v="4"/>
    <s v="Hospitalar (HSP)"/>
    <s v="fernando.leony@cslbehring.com"/>
    <s v="FERNANDO LEONY (CO/NO/NE)"/>
    <n v="0"/>
    <n v="3"/>
    <n v="0"/>
    <n v="0"/>
    <n v="0"/>
  </r>
  <r>
    <x v="0"/>
    <x v="3"/>
    <x v="1"/>
    <n v="49791000144"/>
    <x v="4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6047087004126"/>
    <x v="45"/>
    <s v="BRASÍLIA"/>
    <s v="DF"/>
    <s v="1-Setorizado"/>
    <n v="2"/>
    <x v="4"/>
    <x v="4"/>
    <s v="Hospitalar (HSP)"/>
    <s v="fernando.leony@cslbehring.com"/>
    <s v="FERNANDO LEONY (CO/NO/NE)"/>
    <n v="0"/>
    <n v="6"/>
    <n v="0"/>
    <n v="0"/>
    <n v="0"/>
  </r>
  <r>
    <x v="0"/>
    <x v="3"/>
    <x v="1"/>
    <n v="6047087004126"/>
    <x v="45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610980000144"/>
    <x v="46"/>
    <s v="BRASÍLIA"/>
    <s v="DF"/>
    <s v="1-Setorizado"/>
    <n v="2"/>
    <x v="4"/>
    <x v="4"/>
    <s v="Hospitalar (HSP)"/>
    <s v="fernando.leony@cslbehring.com"/>
    <s v="FERNANDO LEONY (CO/NO/NE)"/>
    <n v="0"/>
    <n v="22"/>
    <n v="0"/>
    <n v="0"/>
    <n v="50"/>
  </r>
  <r>
    <x v="0"/>
    <x v="3"/>
    <x v="1"/>
    <n v="610980000144"/>
    <x v="4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0"/>
  </r>
  <r>
    <x v="0"/>
    <x v="3"/>
    <x v="1"/>
    <n v="61590410000558"/>
    <x v="47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3"/>
    <x v="1"/>
    <n v="61590410000558"/>
    <x v="47"/>
    <s v="BRASÍLIA"/>
    <s v="DF"/>
    <s v="1-Setorizado"/>
    <n v="2"/>
    <x v="2"/>
    <x v="2"/>
    <s v="Misto (EMH)"/>
    <s v="fernando.leony@cslbehring.com"/>
    <s v="FERNANDO LEONY (CO/NO/NE)"/>
    <n v="0"/>
    <n v="0"/>
    <n v="0"/>
    <n v="16"/>
    <n v="0"/>
  </r>
  <r>
    <x v="0"/>
    <x v="3"/>
    <x v="1"/>
    <n v="10942995000163"/>
    <x v="35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350"/>
  </r>
  <r>
    <x v="0"/>
    <x v="3"/>
    <x v="1"/>
    <n v="10942995000163"/>
    <x v="359"/>
    <s v="BRASÍLIA"/>
    <s v="DF"/>
    <s v="1-Setorizado"/>
    <n v="2"/>
    <x v="2"/>
    <x v="2"/>
    <s v="Misto (EMH)"/>
    <s v="fernando.leony@cslbehring.com"/>
    <s v="FERNANDO LEONY (CO/NO/NE)"/>
    <n v="0"/>
    <n v="0"/>
    <n v="0"/>
    <n v="120"/>
    <n v="350"/>
  </r>
  <r>
    <x v="0"/>
    <x v="3"/>
    <x v="1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3"/>
    <x v="1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48"/>
    <n v="0"/>
  </r>
  <r>
    <x v="0"/>
    <x v="3"/>
    <x v="1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3"/>
    <x v="1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42"/>
    <n v="0"/>
  </r>
  <r>
    <x v="0"/>
    <x v="3"/>
    <x v="1"/>
    <n v="25841000153"/>
    <x v="360"/>
    <s v="BRASÍLIA"/>
    <s v="DF"/>
    <s v="1-Setorizado"/>
    <n v="2"/>
    <x v="4"/>
    <x v="4"/>
    <s v="Hospitalar (HSP)"/>
    <s v="fernando.leony@cslbehring.com"/>
    <s v="FERNANDO LEONY (CO/NO/NE)"/>
    <n v="0"/>
    <n v="5"/>
    <n v="9"/>
    <n v="0"/>
    <n v="0"/>
  </r>
  <r>
    <x v="0"/>
    <x v="3"/>
    <x v="1"/>
    <n v="25841000153"/>
    <x v="36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3"/>
    <x v="1"/>
    <n v="7039651000134"/>
    <x v="55"/>
    <s v="COLATIN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3"/>
    <x v="1"/>
    <n v="29323454000185"/>
    <x v="521"/>
    <s v="LINHARES"/>
    <s v="ES"/>
    <s v="1-Setorizado"/>
    <n v="1"/>
    <x v="5"/>
    <x v="5"/>
    <s v="Misto (EMH)"/>
    <s v="rafael.esteves@cslbehring.com"/>
    <s v="RAFAEL ESTEVES (RJ/SPI/SUL)"/>
    <n v="0"/>
    <n v="0"/>
    <n v="0"/>
    <n v="0"/>
    <n v="150"/>
  </r>
  <r>
    <x v="0"/>
    <x v="3"/>
    <x v="1"/>
    <n v="27578434001525"/>
    <x v="363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000"/>
  </r>
  <r>
    <x v="0"/>
    <x v="3"/>
    <x v="1"/>
    <n v="28137925000106"/>
    <x v="58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550"/>
  </r>
  <r>
    <x v="0"/>
    <x v="3"/>
    <x v="1"/>
    <n v="39387477000107"/>
    <x v="59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325"/>
  </r>
  <r>
    <x v="0"/>
    <x v="3"/>
    <x v="1"/>
    <n v="1326206000179"/>
    <x v="60"/>
    <s v="CATALÃO"/>
    <s v="GO"/>
    <s v="1-Setorizado"/>
    <n v="2"/>
    <x v="6"/>
    <x v="6"/>
    <s v="Especialidade (ESP)"/>
    <s v="fernando.leony@cslbehring.com"/>
    <s v="FERNANDO LEONY (CO/NO/NE)"/>
    <n v="0"/>
    <n v="0"/>
    <n v="0"/>
    <n v="30"/>
    <n v="0"/>
  </r>
  <r>
    <x v="0"/>
    <x v="3"/>
    <x v="1"/>
    <n v="1326206000179"/>
    <x v="60"/>
    <s v="CATALÃO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3"/>
    <x v="1"/>
    <n v="2476067000394"/>
    <x v="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45"/>
  </r>
  <r>
    <x v="0"/>
    <x v="3"/>
    <x v="1"/>
    <n v="2476067000394"/>
    <x v="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45"/>
  </r>
  <r>
    <x v="0"/>
    <x v="3"/>
    <x v="1"/>
    <n v="6337035000105"/>
    <x v="52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50"/>
  </r>
  <r>
    <x v="0"/>
    <x v="3"/>
    <x v="1"/>
    <n v="6337035000105"/>
    <x v="522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50"/>
  </r>
  <r>
    <x v="0"/>
    <x v="3"/>
    <x v="1"/>
    <n v="1277573000120"/>
    <x v="4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3"/>
    <x v="1"/>
    <n v="1277573000120"/>
    <x v="463"/>
    <s v="GOIÂNIA"/>
    <s v="GO"/>
    <s v="1-Setorizado"/>
    <n v="2"/>
    <x v="4"/>
    <x v="4"/>
    <s v="Hospitalar (HSP)"/>
    <s v="fernando.leony@cslbehring.com"/>
    <s v="FERNANDO LEONY (CO/NO/NE)"/>
    <n v="0"/>
    <n v="6"/>
    <n v="0"/>
    <n v="0"/>
    <n v="0"/>
  </r>
  <r>
    <x v="0"/>
    <x v="3"/>
    <x v="1"/>
    <n v="1011865000116"/>
    <x v="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800"/>
  </r>
  <r>
    <x v="0"/>
    <x v="3"/>
    <x v="1"/>
    <n v="1011865000116"/>
    <x v="63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800"/>
  </r>
  <r>
    <x v="0"/>
    <x v="3"/>
    <x v="1"/>
    <n v="2476067000203"/>
    <x v="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76"/>
    <n v="0"/>
  </r>
  <r>
    <x v="0"/>
    <x v="3"/>
    <x v="1"/>
    <n v="2476067000203"/>
    <x v="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3"/>
    <x v="1"/>
    <n v="33000167002155"/>
    <x v="366"/>
    <s v="SENADOR CANEDO"/>
    <s v="GO"/>
    <s v="1-Setorizado"/>
    <n v="2"/>
    <x v="6"/>
    <x v="6"/>
    <s v="Especialidade (ESP)"/>
    <s v="fernando.leony@cslbehring.com"/>
    <s v="FERNANDO LEONY (CO/NO/NE)"/>
    <n v="0"/>
    <n v="0"/>
    <n v="0"/>
    <n v="0"/>
    <n v="225"/>
  </r>
  <r>
    <x v="0"/>
    <x v="3"/>
    <x v="1"/>
    <n v="33000167002155"/>
    <x v="366"/>
    <s v="SENADOR CANEDO"/>
    <s v="GO"/>
    <s v="1-Setorizado"/>
    <n v="2"/>
    <x v="4"/>
    <x v="4"/>
    <s v="Hospitalar (HSP)"/>
    <s v="fernando.leony@cslbehring.com"/>
    <s v="FERNANDO LEONY (CO/NO/NE)"/>
    <n v="0"/>
    <n v="0"/>
    <n v="0"/>
    <n v="0"/>
    <n v="225"/>
  </r>
  <r>
    <x v="0"/>
    <x v="3"/>
    <x v="1"/>
    <n v="11006293000130"/>
    <x v="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550"/>
  </r>
  <r>
    <x v="0"/>
    <x v="3"/>
    <x v="1"/>
    <n v="11006293000130"/>
    <x v="68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550"/>
  </r>
  <r>
    <x v="0"/>
    <x v="3"/>
    <x v="1"/>
    <n v="23813270000117"/>
    <x v="523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35"/>
  </r>
  <r>
    <x v="0"/>
    <x v="3"/>
    <x v="1"/>
    <n v="23813270000117"/>
    <x v="523"/>
    <s v="SÃO LUÍS"/>
    <s v="MA"/>
    <s v="1-Setorizado"/>
    <n v="2"/>
    <x v="3"/>
    <x v="3"/>
    <s v="Hospitalar (HSP)"/>
    <s v="fernando.leony@cslbehring.com"/>
    <s v="FERNANDO LEONY (CO/NO/NE)"/>
    <n v="0"/>
    <n v="0"/>
    <n v="0"/>
    <n v="0"/>
    <n v="35"/>
  </r>
  <r>
    <x v="0"/>
    <x v="3"/>
    <x v="1"/>
    <n v="19843929001697"/>
    <x v="524"/>
    <s v="BARBACENA"/>
    <s v="MG"/>
    <s v="1-Setorizado"/>
    <n v="1"/>
    <x v="5"/>
    <x v="5"/>
    <s v="Misto (EMH)"/>
    <s v="rafael.esteves@cslbehring.com"/>
    <s v="RAFAEL ESTEVES (RJ/SPI/SUL)"/>
    <n v="0"/>
    <n v="0"/>
    <n v="0"/>
    <n v="0"/>
    <n v="350"/>
  </r>
  <r>
    <x v="0"/>
    <x v="3"/>
    <x v="1"/>
    <n v="17214149000176"/>
    <x v="70"/>
    <s v="BELO HORIZONTE"/>
    <s v="MG"/>
    <s v="1-Setorizado"/>
    <n v="1"/>
    <x v="5"/>
    <x v="5"/>
    <s v="Misto (EMH)"/>
    <s v="rafael.esteves@cslbehring.com"/>
    <s v="RAFAEL ESTEVES (RJ/SPI/SUL)"/>
    <n v="0"/>
    <n v="0"/>
    <n v="56"/>
    <n v="0"/>
    <n v="0"/>
  </r>
  <r>
    <x v="0"/>
    <x v="3"/>
    <x v="1"/>
    <n v="410960000120"/>
    <x v="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58"/>
    <n v="1428"/>
  </r>
  <r>
    <x v="0"/>
    <x v="3"/>
    <x v="1"/>
    <n v="17217332003906"/>
    <x v="525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220"/>
    <n v="0"/>
  </r>
  <r>
    <x v="0"/>
    <x v="3"/>
    <x v="1"/>
    <n v="19843929001506"/>
    <x v="526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85"/>
    <n v="650"/>
  </r>
  <r>
    <x v="0"/>
    <x v="3"/>
    <x v="1"/>
    <n v="16676520000159"/>
    <x v="72"/>
    <s v="BELO HORIZONTE"/>
    <s v="MG"/>
    <s v="1-Setorizado"/>
    <n v="1"/>
    <x v="5"/>
    <x v="5"/>
    <s v="Misto (EMH)"/>
    <s v="rafael.esteves@cslbehring.com"/>
    <s v="RAFAEL ESTEVES (RJ/SPI/SUL)"/>
    <n v="0"/>
    <n v="0"/>
    <n v="4"/>
    <n v="0"/>
    <n v="0"/>
  </r>
  <r>
    <x v="0"/>
    <x v="3"/>
    <x v="1"/>
    <n v="1444455000169"/>
    <x v="527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30"/>
  </r>
  <r>
    <x v="0"/>
    <x v="3"/>
    <x v="1"/>
    <n v="2623693000102"/>
    <x v="73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20"/>
  </r>
  <r>
    <x v="0"/>
    <x v="3"/>
    <x v="1"/>
    <n v="132229000180"/>
    <x v="74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140"/>
  </r>
  <r>
    <x v="0"/>
    <x v="3"/>
    <x v="1"/>
    <n v="21040696000311"/>
    <x v="77"/>
    <s v="ITAJUBÁ"/>
    <s v="MG"/>
    <s v="1-Setorizado"/>
    <n v="1"/>
    <x v="5"/>
    <x v="5"/>
    <s v="Misto (EMH)"/>
    <s v="rafael.esteves@cslbehring.com"/>
    <s v="RAFAEL ESTEVES (RJ/SPI/SUL)"/>
    <n v="0"/>
    <n v="2"/>
    <n v="0"/>
    <n v="0"/>
    <n v="0"/>
  </r>
  <r>
    <x v="0"/>
    <x v="3"/>
    <x v="1"/>
    <n v="7457902000109"/>
    <x v="52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0"/>
    <n v="30"/>
  </r>
  <r>
    <x v="0"/>
    <x v="3"/>
    <x v="1"/>
    <n v="17689407000928"/>
    <x v="7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11"/>
    <n v="0"/>
  </r>
  <r>
    <x v="0"/>
    <x v="3"/>
    <x v="1"/>
    <n v="22675359000100"/>
    <x v="529"/>
    <s v="MONTES CLAROS"/>
    <s v="MG"/>
    <s v="1-Setorizado"/>
    <n v="1"/>
    <x v="5"/>
    <x v="5"/>
    <s v="Misto (EMH)"/>
    <s v="rafael.esteves@cslbehring.com"/>
    <s v="RAFAEL ESTEVES (RJ/SPI/SUL)"/>
    <n v="0"/>
    <n v="0"/>
    <n v="0"/>
    <n v="0"/>
    <n v="250"/>
  </r>
  <r>
    <x v="0"/>
    <x v="3"/>
    <x v="1"/>
    <n v="23338387000196"/>
    <x v="80"/>
    <s v="PATOS DE MINAS"/>
    <s v="MG"/>
    <s v="1-Setorizado"/>
    <n v="1"/>
    <x v="5"/>
    <x v="5"/>
    <s v="Misto (EMH)"/>
    <s v="rafael.esteves@cslbehring.com"/>
    <s v="RAFAEL ESTEVES (RJ/SPI/SUL)"/>
    <n v="0"/>
    <n v="0"/>
    <n v="0"/>
    <n v="10"/>
    <n v="0"/>
  </r>
  <r>
    <x v="0"/>
    <x v="3"/>
    <x v="1"/>
    <n v="41781949000234"/>
    <x v="81"/>
    <s v="POÇOS DE CALDAS"/>
    <s v="MG"/>
    <s v="1-Setorizado"/>
    <n v="1"/>
    <x v="5"/>
    <x v="5"/>
    <s v="Misto (EMH)"/>
    <s v="rafael.esteves@cslbehring.com"/>
    <s v="RAFAEL ESTEVES (RJ/SPI/SUL)"/>
    <n v="0"/>
    <n v="0"/>
    <n v="0"/>
    <n v="0"/>
    <n v="200"/>
  </r>
  <r>
    <x v="0"/>
    <x v="3"/>
    <x v="1"/>
    <n v="20150900000122"/>
    <x v="84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12"/>
    <n v="0"/>
  </r>
  <r>
    <x v="0"/>
    <x v="3"/>
    <x v="1"/>
    <n v="25761040000187"/>
    <x v="376"/>
    <s v="UBERLÂNDIA"/>
    <s v="MG"/>
    <s v="1-Setorizado"/>
    <n v="1"/>
    <x v="5"/>
    <x v="5"/>
    <s v="Misto (EMH)"/>
    <s v="rafael.esteves@cslbehring.com"/>
    <s v="RAFAEL ESTEVES (RJ/SPI/SUL)"/>
    <n v="0"/>
    <n v="0"/>
    <n v="2"/>
    <n v="0"/>
    <n v="0"/>
  </r>
  <r>
    <x v="0"/>
    <x v="3"/>
    <x v="1"/>
    <n v="17087591000189"/>
    <x v="86"/>
    <s v="UBERLÂNDIA"/>
    <s v="MG"/>
    <s v="1-Setorizado"/>
    <n v="1"/>
    <x v="5"/>
    <x v="5"/>
    <s v="Misto (EMH)"/>
    <s v="rafael.esteves@cslbehring.com"/>
    <s v="RAFAEL ESTEVES (RJ/SPI/SUL)"/>
    <n v="0"/>
    <n v="0"/>
    <n v="3"/>
    <n v="0"/>
    <n v="0"/>
  </r>
  <r>
    <x v="0"/>
    <x v="3"/>
    <x v="1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12"/>
    <n v="0"/>
  </r>
  <r>
    <x v="0"/>
    <x v="3"/>
    <x v="1"/>
    <n v="15016827000160"/>
    <x v="90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3"/>
    <x v="1"/>
    <n v="15016827000160"/>
    <x v="90"/>
    <s v="CUIABÁ"/>
    <s v="MT"/>
    <s v="1-Setorizado"/>
    <n v="2"/>
    <x v="4"/>
    <x v="4"/>
    <s v="Hospitalar (HSP)"/>
    <s v="fernando.leony@cslbehring.com"/>
    <s v="FERNANDO LEONY (CO/NO/NE)"/>
    <n v="0"/>
    <n v="1"/>
    <n v="0"/>
    <n v="0"/>
    <n v="0"/>
  </r>
  <r>
    <x v="0"/>
    <x v="3"/>
    <x v="1"/>
    <n v="1757351000104"/>
    <x v="91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3"/>
    <x v="1"/>
    <n v="1757351000104"/>
    <x v="91"/>
    <s v="CUIABÁ"/>
    <s v="MT"/>
    <s v="1-Setorizado"/>
    <n v="2"/>
    <x v="4"/>
    <x v="4"/>
    <s v="Hospitalar (HSP)"/>
    <s v="fernando.leony@cslbehring.com"/>
    <s v="FERNANDO LEONY (CO/NO/NE)"/>
    <n v="0"/>
    <n v="3"/>
    <n v="0"/>
    <n v="0"/>
    <n v="0"/>
  </r>
  <r>
    <x v="0"/>
    <x v="3"/>
    <x v="1"/>
    <n v="3925419000142"/>
    <x v="92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3"/>
    <x v="1"/>
    <n v="3925419000142"/>
    <x v="92"/>
    <s v="CUIABÁ"/>
    <s v="MT"/>
    <s v="1-Setorizado"/>
    <n v="2"/>
    <x v="4"/>
    <x v="4"/>
    <s v="Hospitalar (HSP)"/>
    <s v="fernando.leony@cslbehring.com"/>
    <s v="FERNANDO LEONY (CO/NO/NE)"/>
    <n v="0"/>
    <n v="4"/>
    <n v="0"/>
    <n v="0"/>
    <n v="0"/>
  </r>
  <r>
    <x v="0"/>
    <x v="3"/>
    <x v="1"/>
    <n v="70524145000177"/>
    <x v="530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3"/>
    <x v="1"/>
    <n v="70524145000177"/>
    <x v="530"/>
    <s v="CUIABÁ"/>
    <s v="MT"/>
    <s v="1-Setorizado"/>
    <n v="2"/>
    <x v="4"/>
    <x v="4"/>
    <s v="Hospitalar (HSP)"/>
    <s v="fernando.leony@cslbehring.com"/>
    <s v="FERNANDO LEONY (CO/NO/NE)"/>
    <n v="0"/>
    <n v="2"/>
    <n v="0"/>
    <n v="0"/>
    <n v="0"/>
  </r>
  <r>
    <x v="0"/>
    <x v="3"/>
    <x v="1"/>
    <n v="4966545000370"/>
    <x v="96"/>
    <s v="BELÉM"/>
    <s v="PA"/>
    <s v="1-Setorizado"/>
    <n v="1"/>
    <x v="2"/>
    <x v="2"/>
    <s v="Misto (EMH)"/>
    <s v="fernando.leony@cslbehring.com"/>
    <s v="FERNANDO LEONY (CO/NO/NE)"/>
    <n v="0"/>
    <n v="0"/>
    <n v="0"/>
    <n v="0"/>
    <n v="40"/>
  </r>
  <r>
    <x v="0"/>
    <x v="3"/>
    <x v="1"/>
    <n v="12371009253"/>
    <x v="99"/>
    <s v="BELÉM"/>
    <s v="PA"/>
    <s v="1-Setorizado"/>
    <n v="1"/>
    <x v="2"/>
    <x v="2"/>
    <s v="Misto (EMH)"/>
    <s v="fernando.leony@cslbehring.com"/>
    <s v="FERNANDO LEONY (CO/NO/NE)"/>
    <n v="0"/>
    <n v="0"/>
    <n v="0"/>
    <n v="12"/>
    <n v="0"/>
  </r>
  <r>
    <x v="0"/>
    <x v="3"/>
    <x v="1"/>
    <n v="4201372001028"/>
    <x v="100"/>
    <s v="BELÉM"/>
    <s v="PA"/>
    <s v="1-Setorizado"/>
    <n v="1"/>
    <x v="2"/>
    <x v="2"/>
    <s v="Misto (EMH)"/>
    <s v="fernando.leony@cslbehring.com"/>
    <s v="FERNANDO LEONY (CO/NO/NE)"/>
    <n v="0"/>
    <n v="0"/>
    <n v="0"/>
    <n v="80"/>
    <n v="0"/>
  </r>
  <r>
    <x v="0"/>
    <x v="3"/>
    <x v="1"/>
    <n v="8680639000681"/>
    <x v="103"/>
    <s v="JOÃO PESSOA"/>
    <s v="PB"/>
    <s v="1-Setorizado"/>
    <n v="2"/>
    <x v="0"/>
    <x v="0"/>
    <s v="Especialidade (ESP)"/>
    <s v="fernando.leony@cslbehring.com"/>
    <s v="FERNANDO LEONY (CO/NO/NE)"/>
    <n v="0"/>
    <n v="0"/>
    <n v="0"/>
    <n v="0"/>
    <n v="200"/>
  </r>
  <r>
    <x v="0"/>
    <x v="3"/>
    <x v="1"/>
    <n v="8680639000681"/>
    <x v="103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200"/>
  </r>
  <r>
    <x v="0"/>
    <x v="3"/>
    <x v="1"/>
    <n v="394429019391"/>
    <x v="53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25"/>
  </r>
  <r>
    <x v="0"/>
    <x v="3"/>
    <x v="1"/>
    <n v="394429019391"/>
    <x v="531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25"/>
  </r>
  <r>
    <x v="0"/>
    <x v="3"/>
    <x v="1"/>
    <n v="10892164000124"/>
    <x v="108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40"/>
    <n v="0"/>
  </r>
  <r>
    <x v="0"/>
    <x v="3"/>
    <x v="1"/>
    <n v="10892164000124"/>
    <x v="108"/>
    <s v="RECIFE"/>
    <s v="PE"/>
    <s v="1-Setorizado"/>
    <n v="2"/>
    <x v="7"/>
    <x v="7"/>
    <s v="Hospitalar (HSP)"/>
    <s v="fernando.leony@cslbehring.com"/>
    <s v="FERNANDO LEONY (CO/NO/NE)"/>
    <n v="0"/>
    <n v="10"/>
    <n v="0"/>
    <n v="0"/>
    <n v="0"/>
  </r>
  <r>
    <x v="0"/>
    <x v="3"/>
    <x v="1"/>
    <n v="2284062000440"/>
    <x v="109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2284062000440"/>
    <x v="109"/>
    <s v="RECIFE"/>
    <s v="PE"/>
    <s v="1-Setorizado"/>
    <n v="2"/>
    <x v="7"/>
    <x v="7"/>
    <s v="Hospitalar (HSP)"/>
    <s v="fernando.leony@cslbehring.com"/>
    <s v="FERNANDO LEONY (CO/NO/NE)"/>
    <n v="0"/>
    <n v="5"/>
    <n v="0"/>
    <n v="0"/>
    <n v="0"/>
  </r>
  <r>
    <x v="0"/>
    <x v="3"/>
    <x v="1"/>
    <n v="11214624000470"/>
    <x v="384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96"/>
    <n v="0"/>
  </r>
  <r>
    <x v="0"/>
    <x v="3"/>
    <x v="1"/>
    <n v="11214624000470"/>
    <x v="384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3"/>
    <x v="1"/>
    <n v="11214624001957"/>
    <x v="47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50"/>
  </r>
  <r>
    <x v="0"/>
    <x v="3"/>
    <x v="1"/>
    <n v="11214624001957"/>
    <x v="477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50"/>
  </r>
  <r>
    <x v="0"/>
    <x v="3"/>
    <x v="1"/>
    <n v="11022597001325"/>
    <x v="532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750"/>
  </r>
  <r>
    <x v="0"/>
    <x v="3"/>
    <x v="1"/>
    <n v="11022597001325"/>
    <x v="532"/>
    <s v="RECIFE"/>
    <s v="PE"/>
    <s v="1-Setorizado"/>
    <n v="2"/>
    <x v="7"/>
    <x v="7"/>
    <s v="Hospitalar (HSP)"/>
    <s v="fernando.leony@cslbehring.com"/>
    <s v="FERNANDO LEONY (CO/NO/NE)"/>
    <n v="0"/>
    <n v="60"/>
    <n v="0"/>
    <n v="0"/>
    <n v="750"/>
  </r>
  <r>
    <x v="0"/>
    <x v="3"/>
    <x v="1"/>
    <n v="10988301000129"/>
    <x v="110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0988301000129"/>
    <x v="110"/>
    <s v="RECIFE"/>
    <s v="PE"/>
    <s v="1-Setorizado"/>
    <n v="2"/>
    <x v="7"/>
    <x v="7"/>
    <s v="Hospitalar (HSP)"/>
    <s v="fernando.leony@cslbehring.com"/>
    <s v="FERNANDO LEONY (CO/NO/NE)"/>
    <n v="0"/>
    <n v="15"/>
    <n v="0"/>
    <n v="0"/>
    <n v="0"/>
  </r>
  <r>
    <x v="0"/>
    <x v="3"/>
    <x v="1"/>
    <n v="11022597001597"/>
    <x v="385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1022597001597"/>
    <x v="385"/>
    <s v="RECIFE"/>
    <s v="PE"/>
    <s v="1-Setorizado"/>
    <n v="2"/>
    <x v="7"/>
    <x v="7"/>
    <s v="Hospitalar (HSP)"/>
    <s v="fernando.leony@cslbehring.com"/>
    <s v="FERNANDO LEONY (CO/NO/NE)"/>
    <n v="0"/>
    <n v="25"/>
    <n v="0"/>
    <n v="0"/>
    <n v="0"/>
  </r>
  <r>
    <x v="0"/>
    <x v="3"/>
    <x v="1"/>
    <n v="10839561000132"/>
    <x v="11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64"/>
    <n v="175"/>
  </r>
  <r>
    <x v="0"/>
    <x v="3"/>
    <x v="1"/>
    <n v="10839561000132"/>
    <x v="111"/>
    <s v="RECIFE"/>
    <s v="PE"/>
    <s v="1-Setorizado"/>
    <n v="2"/>
    <x v="7"/>
    <x v="7"/>
    <s v="Hospitalar (HSP)"/>
    <s v="fernando.leony@cslbehring.com"/>
    <s v="FERNANDO LEONY (CO/NO/NE)"/>
    <n v="0"/>
    <n v="0"/>
    <n v="26"/>
    <n v="0"/>
    <n v="175"/>
  </r>
  <r>
    <x v="0"/>
    <x v="3"/>
    <x v="1"/>
    <n v="15126437000224"/>
    <x v="112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5126437000224"/>
    <x v="112"/>
    <s v="TERESINA"/>
    <s v="PI"/>
    <s v="1-Setorizado"/>
    <n v="2"/>
    <x v="3"/>
    <x v="3"/>
    <s v="Hospitalar (HSP)"/>
    <s v="fernando.leony@cslbehring.com"/>
    <s v="FERNANDO LEONY (CO/NO/NE)"/>
    <n v="0"/>
    <n v="10"/>
    <n v="0"/>
    <n v="0"/>
    <n v="0"/>
  </r>
  <r>
    <x v="0"/>
    <x v="3"/>
    <x v="1"/>
    <n v="6555031000276"/>
    <x v="113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48"/>
    <n v="0"/>
  </r>
  <r>
    <x v="0"/>
    <x v="3"/>
    <x v="1"/>
    <n v="6555031000276"/>
    <x v="113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3"/>
    <x v="1"/>
    <n v="81715716000410"/>
    <x v="479"/>
    <s v="CAMPO MOURÃO"/>
    <s v="PR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3"/>
    <x v="1"/>
    <n v="81715716000410"/>
    <x v="479"/>
    <s v="CAMPO MOURÃO"/>
    <s v="PR"/>
    <s v="1-Setorizado"/>
    <n v="2"/>
    <x v="9"/>
    <x v="9"/>
    <s v="Hospitalar (HSP)"/>
    <s v="rafael.esteves@cslbehring.com"/>
    <s v="RAFAEL ESTEVES (RJ/SPI/SUL)"/>
    <n v="0"/>
    <n v="0"/>
    <n v="0"/>
    <n v="0"/>
    <n v="30"/>
  </r>
  <r>
    <x v="0"/>
    <x v="3"/>
    <x v="1"/>
    <n v="17864888000103"/>
    <x v="533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"/>
  </r>
  <r>
    <x v="0"/>
    <x v="3"/>
    <x v="1"/>
    <n v="17864888000103"/>
    <x v="533"/>
    <s v="CASCAVEL"/>
    <s v="PR"/>
    <s v="1-Setorizado"/>
    <n v="2"/>
    <x v="9"/>
    <x v="9"/>
    <s v="Hospitalar (HSP)"/>
    <s v="rafael.esteves@cslbehring.com"/>
    <s v="RAFAEL ESTEVES (RJ/SPI/SUL)"/>
    <n v="0"/>
    <n v="0"/>
    <n v="0"/>
    <n v="0"/>
    <n v="40"/>
  </r>
  <r>
    <x v="0"/>
    <x v="3"/>
    <x v="1"/>
    <n v="21998635000108"/>
    <x v="116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3"/>
    <x v="1"/>
    <n v="21998635000108"/>
    <x v="116"/>
    <s v="CASCAVEL"/>
    <s v="PR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3"/>
    <x v="1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00"/>
  </r>
  <r>
    <x v="0"/>
    <x v="3"/>
    <x v="1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000"/>
  </r>
  <r>
    <x v="0"/>
    <x v="3"/>
    <x v="1"/>
    <n v="7404052000172"/>
    <x v="11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45"/>
  </r>
  <r>
    <x v="0"/>
    <x v="3"/>
    <x v="1"/>
    <n v="7404052000172"/>
    <x v="11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45"/>
  </r>
  <r>
    <x v="0"/>
    <x v="3"/>
    <x v="1"/>
    <n v="4378502000101"/>
    <x v="53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5"/>
  </r>
  <r>
    <x v="0"/>
    <x v="3"/>
    <x v="1"/>
    <n v="4378502000101"/>
    <x v="534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5"/>
  </r>
  <r>
    <x v="0"/>
    <x v="3"/>
    <x v="1"/>
    <n v="8597121000174"/>
    <x v="11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75"/>
  </r>
  <r>
    <x v="0"/>
    <x v="3"/>
    <x v="1"/>
    <n v="8597121000174"/>
    <x v="11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75"/>
  </r>
  <r>
    <x v="0"/>
    <x v="3"/>
    <x v="1"/>
    <n v="75095679000220"/>
    <x v="535"/>
    <s v="CURITIBA"/>
    <s v="PR"/>
    <s v="1-Setorizado"/>
    <n v="2"/>
    <x v="8"/>
    <x v="8"/>
    <s v="Especialidade (ESP)"/>
    <s v="rafael.esteves@cslbehring.com"/>
    <s v="RAFAEL ESTEVES (RJ/SPI/SUL)"/>
    <n v="48"/>
    <n v="0"/>
    <n v="0"/>
    <n v="0"/>
    <n v="0"/>
  </r>
  <r>
    <x v="0"/>
    <x v="3"/>
    <x v="1"/>
    <n v="75095679000220"/>
    <x v="53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3"/>
    <x v="1"/>
    <n v="9579964000291"/>
    <x v="38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840"/>
  </r>
  <r>
    <x v="0"/>
    <x v="3"/>
    <x v="1"/>
    <n v="9579964000291"/>
    <x v="38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840"/>
  </r>
  <r>
    <x v="0"/>
    <x v="3"/>
    <x v="1"/>
    <n v="76591569000130"/>
    <x v="121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00"/>
  </r>
  <r>
    <x v="0"/>
    <x v="3"/>
    <x v="1"/>
    <n v="76591569000130"/>
    <x v="121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00"/>
  </r>
  <r>
    <x v="0"/>
    <x v="3"/>
    <x v="1"/>
    <n v="76659820002367"/>
    <x v="122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45"/>
  </r>
  <r>
    <x v="0"/>
    <x v="3"/>
    <x v="1"/>
    <n v="76659820002367"/>
    <x v="122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45"/>
  </r>
  <r>
    <x v="0"/>
    <x v="3"/>
    <x v="1"/>
    <n v="76498013000102"/>
    <x v="38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5"/>
  </r>
  <r>
    <x v="0"/>
    <x v="3"/>
    <x v="1"/>
    <n v="76498013000102"/>
    <x v="38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75"/>
  </r>
  <r>
    <x v="0"/>
    <x v="3"/>
    <x v="1"/>
    <n v="76555069000143"/>
    <x v="12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5"/>
  </r>
  <r>
    <x v="0"/>
    <x v="3"/>
    <x v="1"/>
    <n v="76555069000143"/>
    <x v="124"/>
    <s v="CURITIBA"/>
    <s v="PR"/>
    <s v="1-Setorizado"/>
    <n v="2"/>
    <x v="9"/>
    <x v="9"/>
    <s v="Hospitalar (HSP)"/>
    <s v="rafael.esteves@cslbehring.com"/>
    <s v="RAFAEL ESTEVES (RJ/SPI/SUL)"/>
    <n v="0"/>
    <n v="2"/>
    <n v="3"/>
    <n v="0"/>
    <n v="55"/>
  </r>
  <r>
    <x v="0"/>
    <x v="3"/>
    <x v="1"/>
    <n v="29435005005600"/>
    <x v="125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310"/>
  </r>
  <r>
    <x v="0"/>
    <x v="3"/>
    <x v="1"/>
    <n v="29435005005600"/>
    <x v="12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310"/>
  </r>
  <r>
    <x v="0"/>
    <x v="3"/>
    <x v="1"/>
    <n v="3850913000195"/>
    <x v="12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45"/>
  </r>
  <r>
    <x v="0"/>
    <x v="3"/>
    <x v="1"/>
    <n v="3850913000195"/>
    <x v="12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645"/>
  </r>
  <r>
    <x v="0"/>
    <x v="3"/>
    <x v="1"/>
    <n v="2862447000286"/>
    <x v="12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0"/>
  </r>
  <r>
    <x v="0"/>
    <x v="3"/>
    <x v="1"/>
    <n v="2862447000286"/>
    <x v="12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0"/>
  </r>
  <r>
    <x v="0"/>
    <x v="3"/>
    <x v="1"/>
    <n v="30117769000155"/>
    <x v="12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350"/>
  </r>
  <r>
    <x v="0"/>
    <x v="3"/>
    <x v="1"/>
    <n v="30117769000155"/>
    <x v="12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350"/>
  </r>
  <r>
    <x v="0"/>
    <x v="3"/>
    <x v="1"/>
    <n v="75055772002254"/>
    <x v="536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7"/>
    <n v="0"/>
  </r>
  <r>
    <x v="0"/>
    <x v="3"/>
    <x v="1"/>
    <n v="75055772002254"/>
    <x v="536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3"/>
    <x v="1"/>
    <n v="304148000110"/>
    <x v="130"/>
    <s v="FOZ DO IGUAÇU"/>
    <s v="PR"/>
    <s v="1-Setorizado"/>
    <n v="2"/>
    <x v="8"/>
    <x v="8"/>
    <s v="Especialidade (ESP)"/>
    <s v="rafael.esteves@cslbehring.com"/>
    <s v="RAFAEL ESTEVES (RJ/SPI/SUL)"/>
    <n v="0"/>
    <n v="0"/>
    <n v="0"/>
    <n v="16"/>
    <n v="0"/>
  </r>
  <r>
    <x v="0"/>
    <x v="3"/>
    <x v="1"/>
    <n v="304148000110"/>
    <x v="130"/>
    <s v="FOZ DO IGUAÇU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3"/>
    <x v="1"/>
    <n v="78614971000119"/>
    <x v="537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5"/>
  </r>
  <r>
    <x v="0"/>
    <x v="3"/>
    <x v="1"/>
    <n v="78614971000119"/>
    <x v="537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15"/>
  </r>
  <r>
    <x v="0"/>
    <x v="3"/>
    <x v="1"/>
    <n v="73863342000109"/>
    <x v="131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3"/>
    <x v="1"/>
    <n v="73863342000109"/>
    <x v="131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3"/>
    <x v="1"/>
    <n v="75222224001895"/>
    <x v="132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30"/>
  </r>
  <r>
    <x v="0"/>
    <x v="3"/>
    <x v="1"/>
    <n v="75222224001895"/>
    <x v="132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630"/>
  </r>
  <r>
    <x v="0"/>
    <x v="3"/>
    <x v="1"/>
    <n v="79115762000193"/>
    <x v="391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50"/>
  </r>
  <r>
    <x v="0"/>
    <x v="3"/>
    <x v="1"/>
    <n v="79115762000193"/>
    <x v="391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50"/>
  </r>
  <r>
    <x v="0"/>
    <x v="3"/>
    <x v="1"/>
    <n v="7794623002257"/>
    <x v="134"/>
    <s v="SÃO JOSÉ DOS PINHAIS"/>
    <s v="PR"/>
    <s v="1-Setorizado"/>
    <n v="2"/>
    <x v="8"/>
    <x v="8"/>
    <s v="Especialidade (ESP)"/>
    <s v="rafael.esteves@cslbehring.com"/>
    <s v="RAFAEL ESTEVES (RJ/SPI/SUL)"/>
    <n v="0"/>
    <n v="0"/>
    <n v="0"/>
    <n v="0"/>
    <n v="80"/>
  </r>
  <r>
    <x v="0"/>
    <x v="3"/>
    <x v="1"/>
    <n v="7794623002257"/>
    <x v="134"/>
    <s v="SÃO JOSÉ DOS PINHAIS"/>
    <s v="PR"/>
    <s v="1-Setorizado"/>
    <n v="2"/>
    <x v="9"/>
    <x v="9"/>
    <s v="Hospitalar (HSP)"/>
    <s v="rafael.esteves@cslbehring.com"/>
    <s v="RAFAEL ESTEVES (RJ/SPI/SUL)"/>
    <n v="0"/>
    <n v="0"/>
    <n v="0"/>
    <n v="0"/>
    <n v="80"/>
  </r>
  <r>
    <x v="0"/>
    <x v="3"/>
    <x v="1"/>
    <n v="36238913000198"/>
    <x v="392"/>
    <s v="ANGRA DOS REIS"/>
    <s v="RJ"/>
    <s v="1-Setorizado"/>
    <n v="2"/>
    <x v="10"/>
    <x v="10"/>
    <s v="Especialidade (ESP)"/>
    <s v="rafael.esteves@cslbehring.com"/>
    <s v="RAFAEL ESTEVES (RJ/SPI/SUL)"/>
    <n v="0"/>
    <n v="0"/>
    <n v="0"/>
    <n v="68"/>
    <n v="0"/>
  </r>
  <r>
    <x v="0"/>
    <x v="3"/>
    <x v="1"/>
    <n v="36238913000198"/>
    <x v="392"/>
    <s v="ANGRA DOS RE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3"/>
    <x v="1"/>
    <n v="6047087001372"/>
    <x v="135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6047087001372"/>
    <x v="135"/>
    <s v="DUQUE DE CAXIAS"/>
    <s v="RJ"/>
    <s v="1-Setorizado"/>
    <n v="2"/>
    <x v="11"/>
    <x v="11"/>
    <s v="Hospitalar (HSP)"/>
    <s v="rafael.esteves@cslbehring.com"/>
    <s v="RAFAEL ESTEVES (RJ/SPI/SUL)"/>
    <n v="0"/>
    <n v="9"/>
    <n v="0"/>
    <n v="0"/>
    <n v="0"/>
  </r>
  <r>
    <x v="0"/>
    <x v="3"/>
    <x v="1"/>
    <n v="29435005003497"/>
    <x v="394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29435005003497"/>
    <x v="394"/>
    <s v="DUQUE DE CAXIAS"/>
    <s v="RJ"/>
    <s v="1-Setorizado"/>
    <n v="2"/>
    <x v="12"/>
    <x v="12"/>
    <s v="Hospitalar (HSP)"/>
    <s v="rafael.esteves@cslbehring.com"/>
    <s v="RAFAEL ESTEVES (RJ/SPI/SUL)"/>
    <n v="0"/>
    <n v="14"/>
    <n v="3"/>
    <n v="0"/>
    <n v="0"/>
  </r>
  <r>
    <x v="0"/>
    <x v="3"/>
    <x v="1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369"/>
    <n v="660"/>
  </r>
  <r>
    <x v="0"/>
    <x v="3"/>
    <x v="1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660"/>
  </r>
  <r>
    <x v="0"/>
    <x v="3"/>
    <x v="1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50"/>
    <n v="765"/>
  </r>
  <r>
    <x v="0"/>
    <x v="3"/>
    <x v="1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12"/>
    <n v="2"/>
    <n v="0"/>
    <n v="765"/>
  </r>
  <r>
    <x v="0"/>
    <x v="3"/>
    <x v="1"/>
    <n v="30145502000171"/>
    <x v="5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30145502000171"/>
    <x v="538"/>
    <s v="NITERÓI"/>
    <s v="RJ"/>
    <s v="1-Setorizado"/>
    <n v="2"/>
    <x v="11"/>
    <x v="11"/>
    <s v="Hospitalar (HSP)"/>
    <s v="rafael.esteves@cslbehring.com"/>
    <s v="RAFAEL ESTEVES (RJ/SPI/SUL)"/>
    <n v="0"/>
    <n v="10"/>
    <n v="0"/>
    <n v="0"/>
    <n v="0"/>
  </r>
  <r>
    <x v="0"/>
    <x v="3"/>
    <x v="1"/>
    <n v="521197000104"/>
    <x v="139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30"/>
  </r>
  <r>
    <x v="0"/>
    <x v="3"/>
    <x v="1"/>
    <n v="521197000104"/>
    <x v="139"/>
    <s v="NITERÓI"/>
    <s v="RJ"/>
    <s v="1-Setorizado"/>
    <n v="2"/>
    <x v="12"/>
    <x v="12"/>
    <s v="Hospitalar (HSP)"/>
    <s v="rafael.esteves@cslbehring.com"/>
    <s v="RAFAEL ESTEVES (RJ/SPI/SUL)"/>
    <n v="0"/>
    <n v="0"/>
    <n v="0"/>
    <n v="0"/>
    <n v="330"/>
  </r>
  <r>
    <x v="0"/>
    <x v="3"/>
    <x v="1"/>
    <n v="30537740000122"/>
    <x v="397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60"/>
  </r>
  <r>
    <x v="0"/>
    <x v="3"/>
    <x v="1"/>
    <n v="30537740000122"/>
    <x v="397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60"/>
  </r>
  <r>
    <x v="0"/>
    <x v="3"/>
    <x v="1"/>
    <n v="29135795000208"/>
    <x v="140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75"/>
  </r>
  <r>
    <x v="0"/>
    <x v="3"/>
    <x v="1"/>
    <n v="29135795000208"/>
    <x v="140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175"/>
  </r>
  <r>
    <x v="0"/>
    <x v="3"/>
    <x v="1"/>
    <n v="28806545000532"/>
    <x v="142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72"/>
    <n v="0"/>
  </r>
  <r>
    <x v="0"/>
    <x v="3"/>
    <x v="1"/>
    <n v="28806545000532"/>
    <x v="142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3"/>
    <x v="1"/>
    <n v="29072642000188"/>
    <x v="144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29072642000188"/>
    <x v="144"/>
    <s v="RESENDE"/>
    <s v="RJ"/>
    <s v="1-Setorizado"/>
    <n v="2"/>
    <x v="12"/>
    <x v="12"/>
    <s v="Hospitalar (HSP)"/>
    <s v="rafael.esteves@cslbehring.com"/>
    <s v="RAFAEL ESTEVES (RJ/SPI/SUL)"/>
    <n v="0"/>
    <n v="8"/>
    <n v="0"/>
    <n v="0"/>
    <n v="0"/>
  </r>
  <r>
    <x v="0"/>
    <x v="3"/>
    <x v="1"/>
    <n v="31925548000176"/>
    <x v="53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90"/>
  </r>
  <r>
    <x v="0"/>
    <x v="3"/>
    <x v="1"/>
    <n v="31925548000176"/>
    <x v="539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90"/>
  </r>
  <r>
    <x v="0"/>
    <x v="3"/>
    <x v="1"/>
    <n v="60922168000348"/>
    <x v="14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750"/>
  </r>
  <r>
    <x v="0"/>
    <x v="3"/>
    <x v="1"/>
    <n v="60922168000348"/>
    <x v="146"/>
    <s v="RIO DE JANEIRO"/>
    <s v="RJ"/>
    <s v="1-Setorizado"/>
    <n v="2"/>
    <x v="11"/>
    <x v="11"/>
    <s v="Hospitalar (HSP)"/>
    <s v="rafael.esteves@cslbehring.com"/>
    <s v="RAFAEL ESTEVES (RJ/SPI/SUL)"/>
    <n v="0"/>
    <n v="6"/>
    <n v="6"/>
    <n v="0"/>
    <n v="750"/>
  </r>
  <r>
    <x v="0"/>
    <x v="3"/>
    <x v="1"/>
    <n v="40320103000153"/>
    <x v="39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40320103000153"/>
    <x v="399"/>
    <s v="RIO DE JANEIRO"/>
    <s v="RJ"/>
    <s v="1-Setorizado"/>
    <n v="2"/>
    <x v="12"/>
    <x v="12"/>
    <s v="Hospitalar (HSP)"/>
    <s v="rafael.esteves@cslbehring.com"/>
    <s v="RAFAEL ESTEVES (RJ/SPI/SUL)"/>
    <n v="0"/>
    <n v="10"/>
    <n v="0"/>
    <n v="0"/>
    <n v="0"/>
  </r>
  <r>
    <x v="0"/>
    <x v="3"/>
    <x v="1"/>
    <n v="39086160000130"/>
    <x v="15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28"/>
    <n v="150"/>
  </r>
  <r>
    <x v="0"/>
    <x v="3"/>
    <x v="1"/>
    <n v="39086160000130"/>
    <x v="15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3"/>
    <x v="1"/>
    <n v="4779685002382"/>
    <x v="54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80"/>
  </r>
  <r>
    <x v="0"/>
    <x v="3"/>
    <x v="1"/>
    <n v="4779685002382"/>
    <x v="540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80"/>
  </r>
  <r>
    <x v="0"/>
    <x v="3"/>
    <x v="1"/>
    <n v="21265360000195"/>
    <x v="15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3"/>
    <x v="1"/>
    <n v="21265360000195"/>
    <x v="152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3"/>
    <x v="1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32"/>
    <n v="0"/>
  </r>
  <r>
    <x v="0"/>
    <x v="3"/>
    <x v="1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3"/>
    <x v="1"/>
    <n v="42297507000107"/>
    <x v="40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42297507000107"/>
    <x v="401"/>
    <s v="RIO DE JANEIRO"/>
    <s v="RJ"/>
    <s v="1-Setorizado"/>
    <n v="2"/>
    <x v="11"/>
    <x v="11"/>
    <s v="Hospitalar (HSP)"/>
    <s v="rafael.esteves@cslbehring.com"/>
    <s v="RAFAEL ESTEVES (RJ/SPI/SUL)"/>
    <n v="0"/>
    <n v="6"/>
    <n v="3"/>
    <n v="0"/>
    <n v="0"/>
  </r>
  <r>
    <x v="0"/>
    <x v="3"/>
    <x v="1"/>
    <n v="2284062000521"/>
    <x v="15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2284062000521"/>
    <x v="155"/>
    <s v="RIO DE JANEIRO"/>
    <s v="RJ"/>
    <s v="1-Setorizado"/>
    <n v="2"/>
    <x v="12"/>
    <x v="12"/>
    <s v="Hospitalar (HSP)"/>
    <s v="rafael.esteves@cslbehring.com"/>
    <s v="RAFAEL ESTEVES (RJ/SPI/SUL)"/>
    <n v="0"/>
    <n v="25"/>
    <n v="0"/>
    <n v="0"/>
    <n v="0"/>
  </r>
  <r>
    <x v="0"/>
    <x v="3"/>
    <x v="1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20"/>
    <n v="0"/>
    <n v="0"/>
    <n v="0"/>
  </r>
  <r>
    <x v="0"/>
    <x v="3"/>
    <x v="1"/>
    <n v="394544020453"/>
    <x v="16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50"/>
  </r>
  <r>
    <x v="0"/>
    <x v="3"/>
    <x v="1"/>
    <n v="394544020453"/>
    <x v="16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350"/>
  </r>
  <r>
    <x v="0"/>
    <x v="3"/>
    <x v="1"/>
    <n v="394544020372"/>
    <x v="16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885"/>
  </r>
  <r>
    <x v="0"/>
    <x v="3"/>
    <x v="1"/>
    <n v="394544020372"/>
    <x v="164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885"/>
  </r>
  <r>
    <x v="0"/>
    <x v="3"/>
    <x v="1"/>
    <n v="394544021000"/>
    <x v="16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3"/>
    <x v="1"/>
    <n v="394544021000"/>
    <x v="16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3"/>
    <x v="1"/>
    <n v="22233557000105"/>
    <x v="54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22233557000105"/>
    <x v="541"/>
    <s v="RIO DE JANEIRO"/>
    <s v="RJ"/>
    <s v="1-Setorizado"/>
    <n v="2"/>
    <x v="11"/>
    <x v="11"/>
    <s v="Hospitalar (HSP)"/>
    <s v="rafael.esteves@cslbehring.com"/>
    <s v="RAFAEL ESTEVES (RJ/SPI/SUL)"/>
    <n v="0"/>
    <n v="2"/>
    <n v="0"/>
    <n v="0"/>
    <n v="0"/>
  </r>
  <r>
    <x v="0"/>
    <x v="3"/>
    <x v="1"/>
    <n v="33722224000166"/>
    <x v="54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33722224000166"/>
    <x v="542"/>
    <s v="RIO DE JANEIRO"/>
    <s v="RJ"/>
    <s v="1-Setorizado"/>
    <n v="2"/>
    <x v="11"/>
    <x v="11"/>
    <s v="Hospitalar (HSP)"/>
    <s v="rafael.esteves@cslbehring.com"/>
    <s v="RAFAEL ESTEVES (RJ/SPI/SUL)"/>
    <n v="0"/>
    <n v="5"/>
    <n v="0"/>
    <n v="0"/>
    <n v="0"/>
  </r>
  <r>
    <x v="0"/>
    <x v="3"/>
    <x v="1"/>
    <n v="394502014870"/>
    <x v="40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394502014870"/>
    <x v="403"/>
    <s v="RIO DE JANEIRO"/>
    <s v="RJ"/>
    <s v="1-Setorizado"/>
    <n v="2"/>
    <x v="12"/>
    <x v="12"/>
    <s v="Hospitalar (HSP)"/>
    <s v="rafael.esteves@cslbehring.com"/>
    <s v="RAFAEL ESTEVES (RJ/SPI/SUL)"/>
    <n v="0"/>
    <n v="5"/>
    <n v="0"/>
    <n v="0"/>
    <n v="0"/>
  </r>
  <r>
    <x v="0"/>
    <x v="3"/>
    <x v="1"/>
    <n v="9578217000158"/>
    <x v="16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9578217000158"/>
    <x v="167"/>
    <s v="RIO DE JANEIRO"/>
    <s v="RJ"/>
    <s v="1-Setorizado"/>
    <n v="2"/>
    <x v="11"/>
    <x v="11"/>
    <s v="Hospitalar (HSP)"/>
    <s v="rafael.esteves@cslbehring.com"/>
    <s v="RAFAEL ESTEVES (RJ/SPI/SUL)"/>
    <n v="0"/>
    <n v="2"/>
    <n v="2"/>
    <n v="0"/>
    <n v="0"/>
  </r>
  <r>
    <x v="0"/>
    <x v="3"/>
    <x v="1"/>
    <n v="6047087003316"/>
    <x v="16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6047087003316"/>
    <x v="168"/>
    <s v="RIO DE JANEIRO"/>
    <s v="RJ"/>
    <s v="1-Setorizado"/>
    <n v="2"/>
    <x v="11"/>
    <x v="11"/>
    <s v="Hospitalar (HSP)"/>
    <s v="rafael.esteves@cslbehring.com"/>
    <s v="RAFAEL ESTEVES (RJ/SPI/SUL)"/>
    <n v="0"/>
    <n v="5"/>
    <n v="2"/>
    <n v="0"/>
    <n v="0"/>
  </r>
  <r>
    <x v="0"/>
    <x v="3"/>
    <x v="1"/>
    <n v="29435005005783"/>
    <x v="16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05"/>
  </r>
  <r>
    <x v="0"/>
    <x v="3"/>
    <x v="1"/>
    <n v="29435005005783"/>
    <x v="169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305"/>
  </r>
  <r>
    <x v="0"/>
    <x v="3"/>
    <x v="1"/>
    <n v="29435005005198"/>
    <x v="17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29435005005198"/>
    <x v="170"/>
    <s v="RIO DE JANEIRO"/>
    <s v="RJ"/>
    <s v="1-Setorizado"/>
    <n v="2"/>
    <x v="11"/>
    <x v="11"/>
    <s v="Hospitalar (HSP)"/>
    <s v="rafael.esteves@cslbehring.com"/>
    <s v="RAFAEL ESTEVES (RJ/SPI/SUL)"/>
    <n v="0"/>
    <n v="26"/>
    <n v="61"/>
    <n v="0"/>
    <n v="0"/>
  </r>
  <r>
    <x v="0"/>
    <x v="3"/>
    <x v="1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86"/>
    <n v="35"/>
    <n v="0"/>
    <n v="0"/>
  </r>
  <r>
    <x v="0"/>
    <x v="3"/>
    <x v="1"/>
    <n v="29259736000403"/>
    <x v="17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3"/>
    <x v="1"/>
    <n v="29259736000403"/>
    <x v="172"/>
    <s v="RIO DE JANEIRO"/>
    <s v="RJ"/>
    <s v="1-Setorizado"/>
    <n v="2"/>
    <x v="11"/>
    <x v="11"/>
    <s v="Hospitalar (HSP)"/>
    <s v="rafael.esteves@cslbehring.com"/>
    <s v="RAFAEL ESTEVES (RJ/SPI/SUL)"/>
    <n v="0"/>
    <n v="7"/>
    <n v="0"/>
    <n v="0"/>
    <n v="0"/>
  </r>
  <r>
    <x v="0"/>
    <x v="3"/>
    <x v="1"/>
    <n v="60884855001630"/>
    <x v="17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60884855001630"/>
    <x v="176"/>
    <s v="RIO DE JANEIRO"/>
    <s v="RJ"/>
    <s v="1-Setorizado"/>
    <n v="2"/>
    <x v="12"/>
    <x v="12"/>
    <s v="Hospitalar (HSP)"/>
    <s v="rafael.esteves@cslbehring.com"/>
    <s v="RAFAEL ESTEVES (RJ/SPI/SUL)"/>
    <n v="0"/>
    <n v="38"/>
    <n v="61"/>
    <n v="0"/>
    <n v="0"/>
  </r>
  <r>
    <x v="0"/>
    <x v="3"/>
    <x v="1"/>
    <n v="18010750000100"/>
    <x v="17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70"/>
  </r>
  <r>
    <x v="0"/>
    <x v="3"/>
    <x v="1"/>
    <n v="18010750000100"/>
    <x v="177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170"/>
  </r>
  <r>
    <x v="0"/>
    <x v="3"/>
    <x v="1"/>
    <n v="33663683005347"/>
    <x v="17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600"/>
  </r>
  <r>
    <x v="0"/>
    <x v="3"/>
    <x v="1"/>
    <n v="33663683005347"/>
    <x v="178"/>
    <s v="RIO DE JANEIRO"/>
    <s v="RJ"/>
    <s v="1-Setorizado"/>
    <n v="2"/>
    <x v="12"/>
    <x v="12"/>
    <s v="Hospitalar (HSP)"/>
    <s v="rafael.esteves@cslbehring.com"/>
    <s v="RAFAEL ESTEVES (RJ/SPI/SUL)"/>
    <n v="0"/>
    <n v="41"/>
    <n v="41"/>
    <n v="0"/>
    <n v="1600"/>
  </r>
  <r>
    <x v="0"/>
    <x v="3"/>
    <x v="1"/>
    <n v="8850962000222"/>
    <x v="18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8850962000222"/>
    <x v="180"/>
    <s v="RIO DE JANEIRO"/>
    <s v="RJ"/>
    <s v="1-Setorizado"/>
    <n v="2"/>
    <x v="11"/>
    <x v="11"/>
    <s v="Hospitalar (HSP)"/>
    <s v="rafael.esteves@cslbehring.com"/>
    <s v="RAFAEL ESTEVES (RJ/SPI/SUL)"/>
    <n v="0"/>
    <n v="3"/>
    <n v="0"/>
    <n v="0"/>
    <n v="0"/>
  </r>
  <r>
    <x v="0"/>
    <x v="3"/>
    <x v="1"/>
    <n v="33781055000216"/>
    <x v="18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0"/>
  </r>
  <r>
    <x v="0"/>
    <x v="3"/>
    <x v="1"/>
    <n v="33781055000216"/>
    <x v="18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00"/>
  </r>
  <r>
    <x v="0"/>
    <x v="3"/>
    <x v="1"/>
    <n v="394544021344"/>
    <x v="18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3"/>
    <x v="1"/>
    <n v="394544021344"/>
    <x v="182"/>
    <s v="RIO DE JANEIRO"/>
    <s v="RJ"/>
    <s v="1-Setorizado"/>
    <n v="2"/>
    <x v="11"/>
    <x v="11"/>
    <s v="Hospitalar (HSP)"/>
    <s v="rafael.esteves@cslbehring.com"/>
    <s v="RAFAEL ESTEVES (RJ/SPI/SUL)"/>
    <n v="0"/>
    <n v="13"/>
    <n v="0"/>
    <n v="0"/>
    <n v="0"/>
  </r>
  <r>
    <x v="0"/>
    <x v="3"/>
    <x v="1"/>
    <n v="33419482000259"/>
    <x v="18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50"/>
  </r>
  <r>
    <x v="0"/>
    <x v="3"/>
    <x v="1"/>
    <n v="33419482000259"/>
    <x v="183"/>
    <s v="RIO DE JANEIRO"/>
    <s v="RJ"/>
    <s v="1-Setorizado"/>
    <n v="2"/>
    <x v="11"/>
    <x v="11"/>
    <s v="Hospitalar (HSP)"/>
    <s v="rafael.esteves@cslbehring.com"/>
    <s v="RAFAEL ESTEVES (RJ/SPI/SUL)"/>
    <n v="0"/>
    <n v="3"/>
    <n v="4"/>
    <n v="0"/>
    <n v="50"/>
  </r>
  <r>
    <x v="0"/>
    <x v="3"/>
    <x v="1"/>
    <n v="72101124000506"/>
    <x v="1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33"/>
    <n v="705"/>
  </r>
  <r>
    <x v="0"/>
    <x v="3"/>
    <x v="1"/>
    <n v="72101124000506"/>
    <x v="18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705"/>
  </r>
  <r>
    <x v="0"/>
    <x v="3"/>
    <x v="1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52"/>
    <n v="60"/>
  </r>
  <r>
    <x v="0"/>
    <x v="3"/>
    <x v="1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60"/>
  </r>
  <r>
    <x v="0"/>
    <x v="3"/>
    <x v="1"/>
    <n v="33000167000101"/>
    <x v="18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"/>
  </r>
  <r>
    <x v="0"/>
    <x v="3"/>
    <x v="1"/>
    <n v="33000167000101"/>
    <x v="18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"/>
  </r>
  <r>
    <x v="0"/>
    <x v="3"/>
    <x v="1"/>
    <n v="33540014000157"/>
    <x v="543"/>
    <s v="RIO DE JANEIRO"/>
    <s v="RJ"/>
    <s v="1-Setorizado"/>
    <n v="2"/>
    <x v="10"/>
    <x v="10"/>
    <s v="Especialidade (ESP)"/>
    <s v="rafael.esteves@cslbehring.com"/>
    <s v="RAFAEL ESTEVES (RJ/SPI/SUL)"/>
    <n v="3"/>
    <n v="0"/>
    <n v="0"/>
    <n v="0"/>
    <n v="0"/>
  </r>
  <r>
    <x v="0"/>
    <x v="3"/>
    <x v="1"/>
    <n v="33540014000157"/>
    <x v="54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3"/>
    <x v="1"/>
    <n v="9219138000401"/>
    <x v="4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65"/>
  </r>
  <r>
    <x v="0"/>
    <x v="3"/>
    <x v="1"/>
    <n v="9219138000401"/>
    <x v="488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65"/>
  </r>
  <r>
    <x v="0"/>
    <x v="3"/>
    <x v="1"/>
    <n v="9219138000584"/>
    <x v="1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48"/>
    <n v="735"/>
  </r>
  <r>
    <x v="0"/>
    <x v="3"/>
    <x v="1"/>
    <n v="9219138000584"/>
    <x v="188"/>
    <s v="RIO DE JANEIRO"/>
    <s v="RJ"/>
    <s v="1-Setorizado"/>
    <n v="2"/>
    <x v="12"/>
    <x v="12"/>
    <s v="Hospitalar (HSP)"/>
    <s v="rafael.esteves@cslbehring.com"/>
    <s v="RAFAEL ESTEVES (RJ/SPI/SUL)"/>
    <n v="0"/>
    <n v="18"/>
    <n v="17"/>
    <n v="0"/>
    <n v="735"/>
  </r>
  <r>
    <x v="0"/>
    <x v="3"/>
    <x v="1"/>
    <n v="35917970000726"/>
    <x v="405"/>
    <s v="VOLTA REDONDA"/>
    <s v="RJ"/>
    <s v="1-Setorizado"/>
    <n v="2"/>
    <x v="10"/>
    <x v="10"/>
    <s v="Especialidade (ESP)"/>
    <s v="rafael.esteves@cslbehring.com"/>
    <s v="RAFAEL ESTEVES (RJ/SPI/SUL)"/>
    <n v="0"/>
    <n v="0"/>
    <n v="0"/>
    <n v="30"/>
    <n v="0"/>
  </r>
  <r>
    <x v="0"/>
    <x v="3"/>
    <x v="1"/>
    <n v="35917970000726"/>
    <x v="405"/>
    <s v="VOLTA REDONDA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3"/>
    <x v="1"/>
    <n v="8319329000121"/>
    <x v="191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8319329000121"/>
    <x v="191"/>
    <s v="NATAL"/>
    <s v="RN"/>
    <s v="1-Setorizado"/>
    <n v="2"/>
    <x v="7"/>
    <x v="7"/>
    <s v="Hospitalar (HSP)"/>
    <s v="fernando.leony@cslbehring.com"/>
    <s v="FERNANDO LEONY (CO/NO/NE)"/>
    <n v="0"/>
    <n v="61"/>
    <n v="0"/>
    <n v="0"/>
    <n v="0"/>
  </r>
  <r>
    <x v="0"/>
    <x v="3"/>
    <x v="1"/>
    <n v="15126437000739"/>
    <x v="192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400"/>
  </r>
  <r>
    <x v="0"/>
    <x v="3"/>
    <x v="1"/>
    <n v="15126437000739"/>
    <x v="192"/>
    <s v="NATAL"/>
    <s v="RN"/>
    <s v="1-Setorizado"/>
    <n v="2"/>
    <x v="7"/>
    <x v="7"/>
    <s v="Hospitalar (HSP)"/>
    <s v="fernando.leony@cslbehring.com"/>
    <s v="FERNANDO LEONY (CO/NO/NE)"/>
    <n v="0"/>
    <n v="60"/>
    <n v="0"/>
    <n v="0"/>
    <n v="400"/>
  </r>
  <r>
    <x v="0"/>
    <x v="3"/>
    <x v="1"/>
    <n v="29435005009851"/>
    <x v="193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100"/>
  </r>
  <r>
    <x v="0"/>
    <x v="3"/>
    <x v="1"/>
    <n v="29435005009851"/>
    <x v="193"/>
    <s v="NATAL"/>
    <s v="RN"/>
    <s v="1-Setorizado"/>
    <n v="2"/>
    <x v="7"/>
    <x v="7"/>
    <s v="Hospitalar (HSP)"/>
    <s v="fernando.leony@cslbehring.com"/>
    <s v="FERNANDO LEONY (CO/NO/NE)"/>
    <n v="0"/>
    <n v="0"/>
    <n v="0"/>
    <n v="0"/>
    <n v="100"/>
  </r>
  <r>
    <x v="0"/>
    <x v="3"/>
    <x v="1"/>
    <n v="8337586000196"/>
    <x v="194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8337586000196"/>
    <x v="194"/>
    <s v="NATAL"/>
    <s v="RN"/>
    <s v="1-Setorizado"/>
    <n v="2"/>
    <x v="7"/>
    <x v="7"/>
    <s v="Hospitalar (HSP)"/>
    <s v="fernando.leony@cslbehring.com"/>
    <s v="FERNANDO LEONY (CO/NO/NE)"/>
    <n v="0"/>
    <n v="1"/>
    <n v="0"/>
    <n v="0"/>
    <n v="0"/>
  </r>
  <r>
    <x v="0"/>
    <x v="3"/>
    <x v="1"/>
    <n v="820737000150"/>
    <x v="195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820737000150"/>
    <x v="195"/>
    <s v="NATAL"/>
    <s v="RN"/>
    <s v="1-Setorizado"/>
    <n v="2"/>
    <x v="7"/>
    <x v="7"/>
    <s v="Hospitalar (HSP)"/>
    <s v="fernando.leony@cslbehring.com"/>
    <s v="FERNANDO LEONY (CO/NO/NE)"/>
    <n v="0"/>
    <n v="21"/>
    <n v="0"/>
    <n v="0"/>
    <n v="0"/>
  </r>
  <r>
    <x v="0"/>
    <x v="3"/>
    <x v="1"/>
    <n v="1507901000137"/>
    <x v="197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507901000137"/>
    <x v="197"/>
    <s v="NATAL"/>
    <s v="RN"/>
    <s v="1-Setorizado"/>
    <n v="2"/>
    <x v="7"/>
    <x v="7"/>
    <s v="Hospitalar (HSP)"/>
    <s v="fernando.leony@cslbehring.com"/>
    <s v="FERNANDO LEONY (CO/NO/NE)"/>
    <n v="0"/>
    <n v="10"/>
    <n v="0"/>
    <n v="0"/>
    <n v="0"/>
  </r>
  <r>
    <x v="0"/>
    <x v="3"/>
    <x v="1"/>
    <n v="2109397000180"/>
    <x v="408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2109397000180"/>
    <x v="408"/>
    <s v="NATAL"/>
    <s v="RN"/>
    <s v="1-Setorizado"/>
    <n v="2"/>
    <x v="7"/>
    <x v="7"/>
    <s v="Hospitalar (HSP)"/>
    <s v="fernando.leony@cslbehring.com"/>
    <s v="FERNANDO LEONY (CO/NO/NE)"/>
    <n v="0"/>
    <n v="0"/>
    <n v="3"/>
    <n v="0"/>
    <n v="0"/>
  </r>
  <r>
    <x v="0"/>
    <x v="3"/>
    <x v="1"/>
    <n v="88645403001372"/>
    <x v="411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3"/>
    <x v="1"/>
    <n v="88645403001372"/>
    <x v="411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3"/>
    <x v="1"/>
    <n v="87827689002405"/>
    <x v="199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226"/>
    <n v="90"/>
  </r>
  <r>
    <x v="0"/>
    <x v="3"/>
    <x v="1"/>
    <n v="87827689002405"/>
    <x v="199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90"/>
  </r>
  <r>
    <x v="0"/>
    <x v="3"/>
    <x v="1"/>
    <n v="87638334000505"/>
    <x v="413"/>
    <s v="ERECHIM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3"/>
    <x v="1"/>
    <n v="87638334000505"/>
    <x v="413"/>
    <s v="ERECHIM"/>
    <s v="RS"/>
    <s v="1-Setorizado"/>
    <n v="2"/>
    <x v="13"/>
    <x v="13"/>
    <s v="Hospitalar (HSP)"/>
    <s v="rafael.esteves@cslbehring.com"/>
    <s v="RAFAEL ESTEVES (RJ/SPI/SUL)"/>
    <n v="0"/>
    <n v="0"/>
    <n v="0"/>
    <n v="0"/>
    <n v="10"/>
  </r>
  <r>
    <x v="0"/>
    <x v="3"/>
    <x v="1"/>
    <n v="3123393000208"/>
    <x v="544"/>
    <s v="ESTRELA"/>
    <s v="RS"/>
    <s v="1-Setorizado"/>
    <n v="2"/>
    <x v="8"/>
    <x v="8"/>
    <s v="Especialidade (ESP)"/>
    <s v="rafael.esteves@cslbehring.com"/>
    <s v="RAFAEL ESTEVES (RJ/SPI/SUL)"/>
    <n v="0"/>
    <n v="0"/>
    <n v="0"/>
    <n v="3"/>
    <n v="0"/>
  </r>
  <r>
    <x v="0"/>
    <x v="3"/>
    <x v="1"/>
    <n v="3123393000208"/>
    <x v="544"/>
    <s v="ESTRELA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3"/>
    <x v="1"/>
    <n v="87317764001165"/>
    <x v="545"/>
    <s v="ESTRELA"/>
    <s v="RS"/>
    <s v="1-Setorizado"/>
    <n v="2"/>
    <x v="8"/>
    <x v="8"/>
    <s v="Especialidade (ESP)"/>
    <s v="rafael.esteves@cslbehring.com"/>
    <s v="RAFAEL ESTEVES (RJ/SPI/SUL)"/>
    <n v="0"/>
    <n v="0"/>
    <n v="0"/>
    <n v="3"/>
    <n v="0"/>
  </r>
  <r>
    <x v="0"/>
    <x v="3"/>
    <x v="1"/>
    <n v="87317764001165"/>
    <x v="545"/>
    <s v="ESTRELA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3"/>
    <x v="1"/>
    <n v="92404789000164"/>
    <x v="414"/>
    <s v="FREDERICO WESTPHALEN"/>
    <s v="RS"/>
    <s v="1-Setorizado"/>
    <n v="2"/>
    <x v="8"/>
    <x v="8"/>
    <s v="Especialidade (ESP)"/>
    <s v="rafael.esteves@cslbehring.com"/>
    <s v="RAFAEL ESTEVES (RJ/SPI/SUL)"/>
    <n v="0"/>
    <n v="0"/>
    <n v="0"/>
    <n v="24"/>
    <n v="0"/>
  </r>
  <r>
    <x v="0"/>
    <x v="3"/>
    <x v="1"/>
    <n v="92404789000164"/>
    <x v="414"/>
    <s v="FREDERICO WESTPHALEN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3"/>
    <x v="1"/>
    <n v="87607149000626"/>
    <x v="203"/>
    <s v="PASSO FUNDO"/>
    <s v="RS"/>
    <s v="1-Setorizado"/>
    <n v="2"/>
    <x v="8"/>
    <x v="8"/>
    <s v="Especialidade (ESP)"/>
    <s v="rafael.esteves@cslbehring.com"/>
    <s v="RAFAEL ESTEVES (RJ/SPI/SUL)"/>
    <n v="0"/>
    <n v="0"/>
    <n v="0"/>
    <n v="0"/>
    <n v="160"/>
  </r>
  <r>
    <x v="0"/>
    <x v="3"/>
    <x v="1"/>
    <n v="87607149000626"/>
    <x v="203"/>
    <s v="PASSO FUNDO"/>
    <s v="RS"/>
    <s v="1-Setorizado"/>
    <n v="2"/>
    <x v="13"/>
    <x v="13"/>
    <s v="Hospitalar (HSP)"/>
    <s v="rafael.esteves@cslbehring.com"/>
    <s v="RAFAEL ESTEVES (RJ/SPI/SUL)"/>
    <n v="0"/>
    <n v="0"/>
    <n v="0"/>
    <n v="0"/>
    <n v="160"/>
  </r>
  <r>
    <x v="0"/>
    <x v="3"/>
    <x v="1"/>
    <n v="92685833000151"/>
    <x v="20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20"/>
    <n v="0"/>
  </r>
  <r>
    <x v="0"/>
    <x v="3"/>
    <x v="1"/>
    <n v="92685833000151"/>
    <x v="204"/>
    <s v="PORTO ALEGRE"/>
    <s v="RS"/>
    <s v="1-Setorizado"/>
    <n v="2"/>
    <x v="13"/>
    <x v="13"/>
    <s v="Hospitalar (HSP)"/>
    <s v="rafael.esteves@cslbehring.com"/>
    <s v="RAFAEL ESTEVES (RJ/SPI/SUL)"/>
    <n v="0"/>
    <n v="28"/>
    <n v="10"/>
    <n v="0"/>
    <n v="0"/>
  </r>
  <r>
    <x v="0"/>
    <x v="3"/>
    <x v="1"/>
    <n v="92898550000198"/>
    <x v="205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92898550000198"/>
    <x v="205"/>
    <s v="PORTO ALEGRE"/>
    <s v="RS"/>
    <s v="1-Setorizado"/>
    <n v="2"/>
    <x v="13"/>
    <x v="13"/>
    <s v="Hospitalar (HSP)"/>
    <s v="rafael.esteves@cslbehring.com"/>
    <s v="RAFAEL ESTEVES (RJ/SPI/SUL)"/>
    <n v="0"/>
    <n v="0"/>
    <n v="3"/>
    <n v="0"/>
    <n v="0"/>
  </r>
  <r>
    <x v="0"/>
    <x v="3"/>
    <x v="1"/>
    <n v="87020517000120"/>
    <x v="208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87020517000120"/>
    <x v="208"/>
    <s v="PORTO ALEGRE"/>
    <s v="RS"/>
    <s v="1-Setorizado"/>
    <n v="2"/>
    <x v="13"/>
    <x v="13"/>
    <s v="Hospitalar (HSP)"/>
    <s v="rafael.esteves@cslbehring.com"/>
    <s v="RAFAEL ESTEVES (RJ/SPI/SUL)"/>
    <n v="0"/>
    <n v="15"/>
    <n v="20"/>
    <n v="0"/>
    <n v="0"/>
  </r>
  <r>
    <x v="0"/>
    <x v="3"/>
    <x v="1"/>
    <n v="87317764001084"/>
    <x v="20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560"/>
  </r>
  <r>
    <x v="0"/>
    <x v="3"/>
    <x v="1"/>
    <n v="87317764001084"/>
    <x v="209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560"/>
  </r>
  <r>
    <x v="0"/>
    <x v="3"/>
    <x v="1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12"/>
    <n v="0"/>
    <n v="0"/>
    <n v="0"/>
  </r>
  <r>
    <x v="0"/>
    <x v="3"/>
    <x v="1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21"/>
    <n v="8"/>
    <n v="0"/>
    <n v="0"/>
  </r>
  <r>
    <x v="0"/>
    <x v="3"/>
    <x v="1"/>
    <n v="92787118000120"/>
    <x v="54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92787118000120"/>
    <x v="546"/>
    <s v="PORTO ALEGRE"/>
    <s v="RS"/>
    <s v="1-Setorizado"/>
    <n v="2"/>
    <x v="13"/>
    <x v="13"/>
    <s v="Hospitalar (HSP)"/>
    <s v="rafael.esteves@cslbehring.com"/>
    <s v="RAFAEL ESTEVES (RJ/SPI/SUL)"/>
    <n v="0"/>
    <n v="0"/>
    <n v="2"/>
    <n v="0"/>
    <n v="0"/>
  </r>
  <r>
    <x v="0"/>
    <x v="3"/>
    <x v="1"/>
    <n v="94831294000147"/>
    <x v="213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3"/>
    <x v="1"/>
    <n v="94831294000147"/>
    <x v="213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0"/>
  </r>
  <r>
    <x v="0"/>
    <x v="3"/>
    <x v="1"/>
    <n v="92815000000168"/>
    <x v="21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45"/>
    <n v="0"/>
  </r>
  <r>
    <x v="0"/>
    <x v="3"/>
    <x v="1"/>
    <n v="92815000000168"/>
    <x v="214"/>
    <s v="PORTO ALEGRE"/>
    <s v="RS"/>
    <s v="1-Setorizado"/>
    <n v="2"/>
    <x v="13"/>
    <x v="13"/>
    <s v="Hospitalar (HSP)"/>
    <s v="rafael.esteves@cslbehring.com"/>
    <s v="RAFAEL ESTEVES (RJ/SPI/SUL)"/>
    <n v="0"/>
    <n v="20"/>
    <n v="62"/>
    <n v="0"/>
    <n v="0"/>
  </r>
  <r>
    <x v="0"/>
    <x v="3"/>
    <x v="1"/>
    <n v="92963560000160"/>
    <x v="41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92963560000160"/>
    <x v="419"/>
    <s v="PORTO ALEGRE"/>
    <s v="RS"/>
    <s v="1-Setorizado"/>
    <n v="2"/>
    <x v="13"/>
    <x v="13"/>
    <s v="Hospitalar (HSP)"/>
    <s v="rafael.esteves@cslbehring.com"/>
    <s v="RAFAEL ESTEVES (RJ/SPI/SUL)"/>
    <n v="0"/>
    <n v="20"/>
    <n v="30"/>
    <n v="0"/>
    <n v="0"/>
  </r>
  <r>
    <x v="0"/>
    <x v="3"/>
    <x v="1"/>
    <n v="9087150000230"/>
    <x v="21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10"/>
    <n v="0"/>
  </r>
  <r>
    <x v="0"/>
    <x v="3"/>
    <x v="1"/>
    <n v="9087150000230"/>
    <x v="216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3"/>
    <x v="1"/>
    <n v="12508728000108"/>
    <x v="420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3"/>
    <x v="1"/>
    <n v="12508728000108"/>
    <x v="420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60"/>
  </r>
  <r>
    <x v="0"/>
    <x v="3"/>
    <x v="1"/>
    <n v="15126437001972"/>
    <x v="217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15126437001972"/>
    <x v="217"/>
    <s v="SANTA MARIA"/>
    <s v="RS"/>
    <s v="1-Setorizado"/>
    <n v="2"/>
    <x v="13"/>
    <x v="13"/>
    <s v="Hospitalar (HSP)"/>
    <s v="rafael.esteves@cslbehring.com"/>
    <s v="RAFAEL ESTEVES (RJ/SPI/SUL)"/>
    <n v="0"/>
    <n v="10"/>
    <n v="0"/>
    <n v="0"/>
    <n v="0"/>
  </r>
  <r>
    <x v="0"/>
    <x v="3"/>
    <x v="1"/>
    <n v="95610887000146"/>
    <x v="218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10"/>
    <n v="300"/>
  </r>
  <r>
    <x v="0"/>
    <x v="3"/>
    <x v="1"/>
    <n v="95610887000146"/>
    <x v="218"/>
    <s v="SANTA MARIA"/>
    <s v="RS"/>
    <s v="1-Setorizado"/>
    <n v="2"/>
    <x v="13"/>
    <x v="13"/>
    <s v="Hospitalar (HSP)"/>
    <s v="rafael.esteves@cslbehring.com"/>
    <s v="RAFAEL ESTEVES (RJ/SPI/SUL)"/>
    <n v="0"/>
    <n v="0"/>
    <n v="8"/>
    <n v="0"/>
    <n v="300"/>
  </r>
  <r>
    <x v="0"/>
    <x v="3"/>
    <x v="1"/>
    <n v="85377174000392"/>
    <x v="221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42"/>
    <n v="0"/>
  </r>
  <r>
    <x v="0"/>
    <x v="3"/>
    <x v="1"/>
    <n v="85377174000392"/>
    <x v="221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3"/>
    <x v="1"/>
    <n v="1880344000103"/>
    <x v="421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245"/>
  </r>
  <r>
    <x v="0"/>
    <x v="3"/>
    <x v="1"/>
    <n v="1880344000103"/>
    <x v="421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245"/>
  </r>
  <r>
    <x v="0"/>
    <x v="3"/>
    <x v="1"/>
    <n v="60922168005226"/>
    <x v="222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60922168005226"/>
    <x v="222"/>
    <s v="BLUMENAU"/>
    <s v="SC"/>
    <s v="1-Setorizado"/>
    <n v="2"/>
    <x v="9"/>
    <x v="9"/>
    <s v="Hospitalar (HSP)"/>
    <s v="rafael.esteves@cslbehring.com"/>
    <s v="RAFAEL ESTEVES (RJ/SPI/SUL)"/>
    <n v="0"/>
    <n v="0"/>
    <n v="2"/>
    <n v="0"/>
    <n v="0"/>
  </r>
  <r>
    <x v="0"/>
    <x v="3"/>
    <x v="1"/>
    <n v="82624776000651"/>
    <x v="223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35"/>
  </r>
  <r>
    <x v="0"/>
    <x v="3"/>
    <x v="1"/>
    <n v="82624776000651"/>
    <x v="223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35"/>
  </r>
  <r>
    <x v="0"/>
    <x v="3"/>
    <x v="1"/>
    <n v="1554266000300"/>
    <x v="224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3"/>
    <x v="1"/>
    <n v="1554266000300"/>
    <x v="224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3"/>
    <x v="1"/>
    <n v="1554266000149"/>
    <x v="491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3"/>
    <x v="1"/>
    <n v="1554266000149"/>
    <x v="491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3"/>
    <x v="1"/>
    <n v="23982118000168"/>
    <x v="54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765"/>
  </r>
  <r>
    <x v="0"/>
    <x v="3"/>
    <x v="1"/>
    <n v="23982118000168"/>
    <x v="547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765"/>
  </r>
  <r>
    <x v="0"/>
    <x v="3"/>
    <x v="1"/>
    <n v="1125832000105"/>
    <x v="225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3"/>
    <x v="1"/>
    <n v="1125832000105"/>
    <x v="225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3"/>
    <x v="1"/>
    <n v="80673411000187"/>
    <x v="226"/>
    <s v="FLORIANÓPOLIS"/>
    <s v="SC"/>
    <s v="1-Setorizado"/>
    <n v="2"/>
    <x v="8"/>
    <x v="8"/>
    <s v="Especialidade (ESP)"/>
    <s v="rafael.esteves@cslbehring.com"/>
    <s v="RAFAEL ESTEVES (RJ/SPI/SUL)"/>
    <n v="80"/>
    <n v="0"/>
    <n v="0"/>
    <n v="0"/>
    <n v="0"/>
  </r>
  <r>
    <x v="0"/>
    <x v="3"/>
    <x v="1"/>
    <n v="80673411000187"/>
    <x v="226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3"/>
    <x v="1"/>
    <n v="83899526000425"/>
    <x v="22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83899526000425"/>
    <x v="227"/>
    <s v="FLORIANÓPOLIS"/>
    <s v="SC"/>
    <s v="1-Setorizado"/>
    <n v="2"/>
    <x v="9"/>
    <x v="9"/>
    <s v="Hospitalar (HSP)"/>
    <s v="rafael.esteves@cslbehring.com"/>
    <s v="RAFAEL ESTEVES (RJ/SPI/SUL)"/>
    <n v="0"/>
    <n v="0"/>
    <n v="11"/>
    <n v="0"/>
    <n v="0"/>
  </r>
  <r>
    <x v="0"/>
    <x v="3"/>
    <x v="1"/>
    <n v="83884999000106"/>
    <x v="228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3"/>
    <x v="1"/>
    <n v="83884999000106"/>
    <x v="228"/>
    <s v="FLORIANÓPOLIS"/>
    <s v="SC"/>
    <s v="1-Setorizado"/>
    <n v="2"/>
    <x v="9"/>
    <x v="9"/>
    <s v="Hospitalar (HSP)"/>
    <s v="rafael.esteves@cslbehring.com"/>
    <s v="RAFAEL ESTEVES (RJ/SPI/SUL)"/>
    <n v="0"/>
    <n v="6"/>
    <n v="0"/>
    <n v="0"/>
    <n v="0"/>
  </r>
  <r>
    <x v="0"/>
    <x v="3"/>
    <x v="1"/>
    <n v="4670913000176"/>
    <x v="229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435"/>
  </r>
  <r>
    <x v="0"/>
    <x v="3"/>
    <x v="1"/>
    <n v="4670913000176"/>
    <x v="229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435"/>
  </r>
  <r>
    <x v="0"/>
    <x v="3"/>
    <x v="1"/>
    <n v="3855214000219"/>
    <x v="548"/>
    <s v="JARAGUÁ DO SUL"/>
    <s v="SC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3"/>
    <x v="1"/>
    <n v="3855214000219"/>
    <x v="548"/>
    <s v="JARAGUÁ DO SUL"/>
    <s v="SC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3"/>
    <x v="1"/>
    <n v="77858611001414"/>
    <x v="231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165"/>
  </r>
  <r>
    <x v="0"/>
    <x v="3"/>
    <x v="1"/>
    <n v="77858611001414"/>
    <x v="231"/>
    <s v="SÃO JOSÉ"/>
    <s v="SC"/>
    <s v="1-Setorizado"/>
    <n v="2"/>
    <x v="9"/>
    <x v="9"/>
    <s v="Hospitalar (HSP)"/>
    <s v="rafael.esteves@cslbehring.com"/>
    <s v="RAFAEL ESTEVES (RJ/SPI/SUL)"/>
    <n v="0"/>
    <n v="0"/>
    <n v="0"/>
    <n v="0"/>
    <n v="165"/>
  </r>
  <r>
    <x v="0"/>
    <x v="3"/>
    <x v="1"/>
    <n v="85241339000809"/>
    <x v="493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390"/>
  </r>
  <r>
    <x v="0"/>
    <x v="3"/>
    <x v="1"/>
    <n v="85241339000809"/>
    <x v="493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390"/>
  </r>
  <r>
    <x v="0"/>
    <x v="3"/>
    <x v="1"/>
    <n v="80490618000116"/>
    <x v="232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3"/>
    <x v="1"/>
    <n v="80490618000116"/>
    <x v="232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3"/>
    <x v="1"/>
    <n v="13016332000106"/>
    <x v="23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3"/>
    <x v="1"/>
    <n v="13016332000106"/>
    <x v="234"/>
    <s v="ARACAJU"/>
    <s v="SE"/>
    <s v="1-Setorizado"/>
    <n v="2"/>
    <x v="1"/>
    <x v="1"/>
    <s v="Hospitalar (HSP)"/>
    <s v="fernando.leony@cslbehring.com"/>
    <s v="FERNANDO LEONY (CO/NO/NE)"/>
    <n v="0"/>
    <n v="0"/>
    <n v="6"/>
    <n v="0"/>
    <n v="0"/>
  </r>
  <r>
    <x v="0"/>
    <x v="3"/>
    <x v="1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46"/>
    <n v="250"/>
  </r>
  <r>
    <x v="0"/>
    <x v="3"/>
    <x v="1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250"/>
  </r>
  <r>
    <x v="0"/>
    <x v="3"/>
    <x v="1"/>
    <n v="15592785000106"/>
    <x v="236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35"/>
  </r>
  <r>
    <x v="0"/>
    <x v="3"/>
    <x v="1"/>
    <n v="15592785000106"/>
    <x v="236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35"/>
  </r>
  <r>
    <x v="0"/>
    <x v="3"/>
    <x v="1"/>
    <n v="16064313000577"/>
    <x v="42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38"/>
    <n v="0"/>
  </r>
  <r>
    <x v="0"/>
    <x v="3"/>
    <x v="1"/>
    <n v="16064313000577"/>
    <x v="42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3"/>
    <x v="1"/>
    <n v="25026561000190"/>
    <x v="238"/>
    <s v="ANDRADINA"/>
    <s v="SP"/>
    <s v="1-Setorizado"/>
    <n v="2"/>
    <x v="14"/>
    <x v="14"/>
    <s v="Especialidade (ESP)"/>
    <s v="claudia.bueno@cslbehring.com"/>
    <s v="CLAUDIA BUENO (SPC/SPI)"/>
    <n v="0"/>
    <n v="0"/>
    <n v="0"/>
    <n v="0"/>
    <n v="40"/>
  </r>
  <r>
    <x v="0"/>
    <x v="3"/>
    <x v="1"/>
    <n v="25026561000190"/>
    <x v="238"/>
    <s v="ANDRADINA"/>
    <s v="SP"/>
    <s v="1-Setorizado"/>
    <n v="2"/>
    <x v="15"/>
    <x v="15"/>
    <s v="Hospitalar (HSP)"/>
    <s v="claudia.bueno@cslbehring.com"/>
    <s v="CLAUDIA BUENO (SPC/SPI)"/>
    <n v="0"/>
    <n v="0"/>
    <n v="0"/>
    <n v="0"/>
    <n v="40"/>
  </r>
  <r>
    <x v="0"/>
    <x v="3"/>
    <x v="1"/>
    <n v="1613433010814"/>
    <x v="549"/>
    <s v="ARARAQUARA"/>
    <s v="SP"/>
    <s v="1-Setorizado"/>
    <n v="2"/>
    <x v="14"/>
    <x v="14"/>
    <s v="Especialidade (ESP)"/>
    <s v="claudia.bueno@cslbehring.com"/>
    <s v="CLAUDIA BUENO (SPC/SPI)"/>
    <n v="0"/>
    <n v="0"/>
    <n v="0"/>
    <n v="0"/>
    <n v="50"/>
  </r>
  <r>
    <x v="0"/>
    <x v="3"/>
    <x v="1"/>
    <n v="1613433010814"/>
    <x v="549"/>
    <s v="ARARAQUARA"/>
    <s v="SP"/>
    <s v="1-Setorizado"/>
    <n v="2"/>
    <x v="15"/>
    <x v="15"/>
    <s v="Hospitalar (HSP)"/>
    <s v="claudia.bueno@cslbehring.com"/>
    <s v="CLAUDIA BUENO (SPC/SPI)"/>
    <n v="0"/>
    <n v="0"/>
    <n v="0"/>
    <n v="0"/>
    <n v="50"/>
  </r>
  <r>
    <x v="0"/>
    <x v="3"/>
    <x v="1"/>
    <n v="54012406000385"/>
    <x v="239"/>
    <s v="ARARAS"/>
    <s v="SP"/>
    <s v="1-Setorizado"/>
    <n v="2"/>
    <x v="14"/>
    <x v="14"/>
    <s v="Especialidade (ESP)"/>
    <s v="claudia.bueno@cslbehring.com"/>
    <s v="CLAUDIA BUENO (SPC/SPI)"/>
    <n v="0"/>
    <n v="0"/>
    <n v="0"/>
    <n v="0"/>
    <n v="70"/>
  </r>
  <r>
    <x v="0"/>
    <x v="3"/>
    <x v="1"/>
    <n v="54012406000385"/>
    <x v="239"/>
    <s v="ARARAS"/>
    <s v="SP"/>
    <s v="1-Setorizado"/>
    <n v="2"/>
    <x v="15"/>
    <x v="15"/>
    <s v="Hospitalar (HSP)"/>
    <s v="claudia.bueno@cslbehring.com"/>
    <s v="CLAUDIA BUENO (SPC/SPI)"/>
    <n v="0"/>
    <n v="0"/>
    <n v="0"/>
    <n v="0"/>
    <n v="70"/>
  </r>
  <r>
    <x v="0"/>
    <x v="3"/>
    <x v="1"/>
    <n v="51093193000456"/>
    <x v="496"/>
    <s v="ARAÇATUBA"/>
    <s v="SP"/>
    <s v="1-Setorizado"/>
    <n v="2"/>
    <x v="14"/>
    <x v="14"/>
    <s v="Especialidade (ESP)"/>
    <s v="claudia.bueno@cslbehring.com"/>
    <s v="CLAUDIA BUENO (SPC/SPI)"/>
    <n v="0"/>
    <n v="0"/>
    <n v="0"/>
    <n v="0"/>
    <n v="20"/>
  </r>
  <r>
    <x v="0"/>
    <x v="3"/>
    <x v="1"/>
    <n v="51093193000456"/>
    <x v="496"/>
    <s v="ARAÇATUBA"/>
    <s v="SP"/>
    <s v="1-Setorizado"/>
    <n v="2"/>
    <x v="15"/>
    <x v="15"/>
    <s v="Hospitalar (HSP)"/>
    <s v="claudia.bueno@cslbehring.com"/>
    <s v="CLAUDIA BUENO (SPC/SPI)"/>
    <n v="0"/>
    <n v="0"/>
    <n v="0"/>
    <n v="0"/>
    <n v="20"/>
  </r>
  <r>
    <x v="0"/>
    <x v="3"/>
    <x v="1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36"/>
    <n v="0"/>
  </r>
  <r>
    <x v="0"/>
    <x v="3"/>
    <x v="1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4456036000311"/>
    <x v="241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3"/>
    <x v="1"/>
    <n v="44456036000311"/>
    <x v="241"/>
    <s v="BAURU"/>
    <s v="SP"/>
    <s v="1-Setorizado"/>
    <n v="2"/>
    <x v="15"/>
    <x v="15"/>
    <s v="Hospitalar (HSP)"/>
    <s v="claudia.bueno@cslbehring.com"/>
    <s v="CLAUDIA BUENO (SPC/SPI)"/>
    <n v="0"/>
    <n v="0"/>
    <n v="12"/>
    <n v="0"/>
    <n v="0"/>
  </r>
  <r>
    <x v="0"/>
    <x v="3"/>
    <x v="1"/>
    <n v="10447300000177"/>
    <x v="242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16"/>
    <n v="0"/>
  </r>
  <r>
    <x v="0"/>
    <x v="3"/>
    <x v="1"/>
    <n v="10447300000177"/>
    <x v="242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6020301000269"/>
    <x v="243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5"/>
    <n v="0"/>
  </r>
  <r>
    <x v="0"/>
    <x v="3"/>
    <x v="1"/>
    <n v="46020301000269"/>
    <x v="243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8"/>
    <n v="0"/>
  </r>
  <r>
    <x v="0"/>
    <x v="3"/>
    <x v="1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4649812019238"/>
    <x v="246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3"/>
    <x v="1"/>
    <n v="44649812019238"/>
    <x v="246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29435005008456"/>
    <x v="248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175"/>
  </r>
  <r>
    <x v="0"/>
    <x v="3"/>
    <x v="1"/>
    <n v="29435005008456"/>
    <x v="248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175"/>
  </r>
  <r>
    <x v="0"/>
    <x v="3"/>
    <x v="1"/>
    <n v="46124624000111"/>
    <x v="249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72"/>
    <n v="1170"/>
  </r>
  <r>
    <x v="0"/>
    <x v="3"/>
    <x v="1"/>
    <n v="46124624000111"/>
    <x v="24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1170"/>
  </r>
  <r>
    <x v="0"/>
    <x v="3"/>
    <x v="1"/>
    <n v="46068425000133"/>
    <x v="429"/>
    <s v="CAMPINAS"/>
    <s v="SP"/>
    <s v="1-Setorizado"/>
    <n v="2"/>
    <x v="14"/>
    <x v="14"/>
    <s v="Especialidade (ESP)"/>
    <s v="claudia.bueno@cslbehring.com"/>
    <s v="CLAUDIA BUENO (SPC/SPI)"/>
    <n v="1"/>
    <n v="0"/>
    <n v="0"/>
    <n v="0"/>
    <n v="0"/>
  </r>
  <r>
    <x v="0"/>
    <x v="3"/>
    <x v="1"/>
    <n v="46068425000133"/>
    <x v="42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7074851000819"/>
    <x v="250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12"/>
    <n v="0"/>
  </r>
  <r>
    <x v="0"/>
    <x v="3"/>
    <x v="1"/>
    <n v="47074851000819"/>
    <x v="250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5118429001279"/>
    <x v="251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12"/>
    <n v="0"/>
  </r>
  <r>
    <x v="0"/>
    <x v="3"/>
    <x v="1"/>
    <n v="45118429001279"/>
    <x v="251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50486026000160"/>
    <x v="252"/>
    <s v="FRANCA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3"/>
    <x v="1"/>
    <n v="50486026000160"/>
    <x v="252"/>
    <s v="FRANCA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3"/>
    <x v="1"/>
    <n v="8000609000172"/>
    <x v="550"/>
    <s v="FRANCO DA ROCHA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8000609000172"/>
    <x v="550"/>
    <s v="FRANCO DA ROCHA"/>
    <s v="SP"/>
    <s v="1-Setorizado"/>
    <n v="2"/>
    <x v="19"/>
    <x v="19"/>
    <s v="Hospitalar (HSP)"/>
    <s v="claudia.bueno@cslbehring.com"/>
    <s v="CLAUDIA BUENO (SPC/SPI)"/>
    <n v="0"/>
    <n v="2"/>
    <n v="0"/>
    <n v="0"/>
    <n v="0"/>
  </r>
  <r>
    <x v="0"/>
    <x v="3"/>
    <x v="1"/>
    <n v="48468284000171"/>
    <x v="253"/>
    <s v="GUARARAPES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3"/>
    <x v="1"/>
    <n v="48468284000171"/>
    <x v="253"/>
    <s v="GUARARAPES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3"/>
    <x v="1"/>
    <n v="29435005008294"/>
    <x v="254"/>
    <s v="GUARULHOS"/>
    <s v="SP"/>
    <s v="1-Setorizado"/>
    <n v="2"/>
    <x v="16"/>
    <x v="16"/>
    <s v="Especialidade (ESP)"/>
    <s v="claudia.bueno@cslbehring.com"/>
    <s v="CLAUDIA BUENO (SPC/SPI)"/>
    <n v="0"/>
    <n v="0"/>
    <n v="0"/>
    <n v="0"/>
    <n v="250"/>
  </r>
  <r>
    <x v="0"/>
    <x v="3"/>
    <x v="1"/>
    <n v="29435005008294"/>
    <x v="254"/>
    <s v="GUARULHOS"/>
    <s v="SP"/>
    <s v="1-Setorizado"/>
    <n v="2"/>
    <x v="17"/>
    <x v="17"/>
    <s v="Hospitalar (HSP)"/>
    <s v="claudia.bueno@cslbehring.com"/>
    <s v="CLAUDIA BUENO (SPC/SPI)"/>
    <n v="0"/>
    <n v="0"/>
    <n v="0"/>
    <n v="0"/>
    <n v="250"/>
  </r>
  <r>
    <x v="0"/>
    <x v="3"/>
    <x v="1"/>
    <n v="45780103000150"/>
    <x v="256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365"/>
  </r>
  <r>
    <x v="0"/>
    <x v="3"/>
    <x v="1"/>
    <n v="45780103000150"/>
    <x v="256"/>
    <s v="JUNDIAÍ"/>
    <s v="SP"/>
    <s v="1-Setorizado"/>
    <n v="2"/>
    <x v="15"/>
    <x v="15"/>
    <s v="Hospitalar (HSP)"/>
    <s v="claudia.bueno@cslbehring.com"/>
    <s v="CLAUDIA BUENO (SPC/SPI)"/>
    <n v="0"/>
    <n v="0"/>
    <n v="0"/>
    <n v="0"/>
    <n v="365"/>
  </r>
  <r>
    <x v="0"/>
    <x v="3"/>
    <x v="1"/>
    <n v="24082016000159"/>
    <x v="431"/>
    <s v="MARÍLIA"/>
    <s v="SP"/>
    <s v="1-Setorizado"/>
    <n v="2"/>
    <x v="14"/>
    <x v="14"/>
    <s v="Especialidade (ESP)"/>
    <s v="claudia.bueno@cslbehring.com"/>
    <s v="CLAUDIA BUENO (SPC/SPI)"/>
    <n v="0"/>
    <n v="0"/>
    <n v="0"/>
    <n v="0"/>
    <n v="250"/>
  </r>
  <r>
    <x v="0"/>
    <x v="3"/>
    <x v="1"/>
    <n v="24082016000159"/>
    <x v="431"/>
    <s v="MARÍLIA"/>
    <s v="SP"/>
    <s v="1-Setorizado"/>
    <n v="2"/>
    <x v="15"/>
    <x v="15"/>
    <s v="Hospitalar (HSP)"/>
    <s v="claudia.bueno@cslbehring.com"/>
    <s v="CLAUDIA BUENO (SPC/SPI)"/>
    <n v="0"/>
    <n v="0"/>
    <n v="0"/>
    <n v="0"/>
    <n v="250"/>
  </r>
  <r>
    <x v="0"/>
    <x v="3"/>
    <x v="1"/>
    <n v="51722957014302"/>
    <x v="551"/>
    <s v="MOJI DAS CRUZES"/>
    <s v="SP"/>
    <s v="1-Setorizado"/>
    <n v="2"/>
    <x v="14"/>
    <x v="14"/>
    <s v="Especialidade (ESP)"/>
    <s v="claudia.bueno@cslbehring.com"/>
    <s v="CLAUDIA BUENO (SPC/SPI)"/>
    <n v="0"/>
    <n v="0"/>
    <n v="0"/>
    <n v="0"/>
    <n v="75"/>
  </r>
  <r>
    <x v="0"/>
    <x v="3"/>
    <x v="1"/>
    <n v="51722957014302"/>
    <x v="551"/>
    <s v="MOJI DAS CRUZES"/>
    <s v="SP"/>
    <s v="1-Setorizado"/>
    <n v="2"/>
    <x v="15"/>
    <x v="15"/>
    <s v="Hospitalar (HSP)"/>
    <s v="claudia.bueno@cslbehring.com"/>
    <s v="CLAUDIA BUENO (SPC/SPI)"/>
    <n v="0"/>
    <n v="0"/>
    <n v="0"/>
    <n v="0"/>
    <n v="75"/>
  </r>
  <r>
    <x v="0"/>
    <x v="3"/>
    <x v="1"/>
    <n v="53311999000156"/>
    <x v="504"/>
    <s v="ORLÂNDIA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3"/>
    <x v="1"/>
    <n v="53311999000156"/>
    <x v="504"/>
    <s v="ORLÂNDIA"/>
    <s v="SP"/>
    <s v="1-Setorizado"/>
    <n v="2"/>
    <x v="15"/>
    <x v="15"/>
    <s v="Hospitalar (HSP)"/>
    <s v="claudia.bueno@cslbehring.com"/>
    <s v="CLAUDIA BUENO (SPC/SPI)"/>
    <n v="0"/>
    <n v="1"/>
    <n v="0"/>
    <n v="0"/>
    <n v="0"/>
  </r>
  <r>
    <x v="0"/>
    <x v="3"/>
    <x v="1"/>
    <n v="6047087007656"/>
    <x v="258"/>
    <s v="OSASC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6047087007656"/>
    <x v="258"/>
    <s v="OSASCO"/>
    <s v="SP"/>
    <s v="1-Setorizado"/>
    <n v="2"/>
    <x v="17"/>
    <x v="17"/>
    <s v="Hospitalar (HSP)"/>
    <s v="claudia.bueno@cslbehring.com"/>
    <s v="CLAUDIA BUENO (SPC/SPI)"/>
    <n v="0"/>
    <n v="0"/>
    <n v="1"/>
    <n v="0"/>
    <n v="0"/>
  </r>
  <r>
    <x v="0"/>
    <x v="3"/>
    <x v="1"/>
    <n v="54370630000187"/>
    <x v="552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0"/>
    <n v="120"/>
  </r>
  <r>
    <x v="0"/>
    <x v="3"/>
    <x v="1"/>
    <n v="54370630000187"/>
    <x v="552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120"/>
  </r>
  <r>
    <x v="0"/>
    <x v="3"/>
    <x v="1"/>
    <n v="44803922000293"/>
    <x v="259"/>
    <s v="PIRACICABA"/>
    <s v="SP"/>
    <s v="1-Setorizado"/>
    <n v="2"/>
    <x v="14"/>
    <x v="14"/>
    <s v="Especialidade (ESP)"/>
    <s v="claudia.bueno@cslbehring.com"/>
    <s v="CLAUDIA BUENO (SPC/SPI)"/>
    <n v="0"/>
    <n v="0"/>
    <n v="0"/>
    <n v="8"/>
    <n v="0"/>
  </r>
  <r>
    <x v="0"/>
    <x v="3"/>
    <x v="1"/>
    <n v="44803922000293"/>
    <x v="259"/>
    <s v="PIRACICAB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4863959000126"/>
    <x v="553"/>
    <s v="PRESIDENTE PRUDENTE"/>
    <s v="SP"/>
    <s v="1-Setorizado"/>
    <n v="2"/>
    <x v="14"/>
    <x v="14"/>
    <s v="Especialidade (ESP)"/>
    <s v="claudia.bueno@cslbehring.com"/>
    <s v="CLAUDIA BUENO (SPC/SPI)"/>
    <n v="0"/>
    <n v="0"/>
    <n v="0"/>
    <n v="0"/>
    <n v="125"/>
  </r>
  <r>
    <x v="0"/>
    <x v="3"/>
    <x v="1"/>
    <n v="44863959000126"/>
    <x v="553"/>
    <s v="PRESIDENTE PRUDENTE"/>
    <s v="SP"/>
    <s v="1-Setorizado"/>
    <n v="2"/>
    <x v="15"/>
    <x v="15"/>
    <s v="Hospitalar (HSP)"/>
    <s v="claudia.bueno@cslbehring.com"/>
    <s v="CLAUDIA BUENO (SPC/SPI)"/>
    <n v="0"/>
    <n v="0"/>
    <n v="0"/>
    <n v="0"/>
    <n v="125"/>
  </r>
  <r>
    <x v="0"/>
    <x v="3"/>
    <x v="1"/>
    <n v="57722118000302"/>
    <x v="261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68"/>
    <n v="0"/>
  </r>
  <r>
    <x v="0"/>
    <x v="3"/>
    <x v="1"/>
    <n v="57722118000302"/>
    <x v="261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4127483000140"/>
    <x v="554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5"/>
  </r>
  <r>
    <x v="0"/>
    <x v="3"/>
    <x v="1"/>
    <n v="4127483000140"/>
    <x v="554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5"/>
  </r>
  <r>
    <x v="0"/>
    <x v="3"/>
    <x v="1"/>
    <n v="46374500003533"/>
    <x v="262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000"/>
  </r>
  <r>
    <x v="0"/>
    <x v="3"/>
    <x v="1"/>
    <n v="46374500003533"/>
    <x v="262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000"/>
  </r>
  <r>
    <x v="0"/>
    <x v="3"/>
    <x v="1"/>
    <n v="57723280000183"/>
    <x v="55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5"/>
  </r>
  <r>
    <x v="0"/>
    <x v="3"/>
    <x v="1"/>
    <n v="57723280000183"/>
    <x v="55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5"/>
  </r>
  <r>
    <x v="0"/>
    <x v="3"/>
    <x v="1"/>
    <n v="45232246000550"/>
    <x v="26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15"/>
    <n v="290"/>
  </r>
  <r>
    <x v="0"/>
    <x v="3"/>
    <x v="1"/>
    <n v="45232246000550"/>
    <x v="265"/>
    <s v="RIBEIRÃO PRETO"/>
    <s v="SP"/>
    <s v="1-Setorizado"/>
    <n v="2"/>
    <x v="15"/>
    <x v="15"/>
    <s v="Hospitalar (HSP)"/>
    <s v="claudia.bueno@cslbehring.com"/>
    <s v="CLAUDIA BUENO (SPC/SPI)"/>
    <n v="0"/>
    <n v="0"/>
    <n v="23"/>
    <n v="0"/>
    <n v="290"/>
  </r>
  <r>
    <x v="0"/>
    <x v="3"/>
    <x v="1"/>
    <n v="44663631000590"/>
    <x v="266"/>
    <s v="RIO CLARO"/>
    <s v="SP"/>
    <s v="1-Setorizado"/>
    <n v="2"/>
    <x v="14"/>
    <x v="14"/>
    <s v="Especialidade (ESP)"/>
    <s v="claudia.bueno@cslbehring.com"/>
    <s v="CLAUDIA BUENO (SPC/SPI)"/>
    <n v="0"/>
    <n v="0"/>
    <n v="0"/>
    <n v="32"/>
    <n v="195"/>
  </r>
  <r>
    <x v="0"/>
    <x v="3"/>
    <x v="1"/>
    <n v="44663631000590"/>
    <x v="266"/>
    <s v="RIO CLARO"/>
    <s v="SP"/>
    <s v="1-Setorizado"/>
    <n v="2"/>
    <x v="15"/>
    <x v="15"/>
    <s v="Hospitalar (HSP)"/>
    <s v="claudia.bueno@cslbehring.com"/>
    <s v="CLAUDIA BUENO (SPC/SPI)"/>
    <n v="0"/>
    <n v="0"/>
    <n v="0"/>
    <n v="0"/>
    <n v="195"/>
  </r>
  <r>
    <x v="0"/>
    <x v="3"/>
    <x v="1"/>
    <n v="57507402000102"/>
    <x v="556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150"/>
    <n v="150"/>
  </r>
  <r>
    <x v="0"/>
    <x v="3"/>
    <x v="1"/>
    <n v="57507402000102"/>
    <x v="556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3"/>
    <x v="1"/>
    <n v="13718999001041"/>
    <x v="267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12"/>
    <n v="0"/>
  </r>
  <r>
    <x v="0"/>
    <x v="3"/>
    <x v="1"/>
    <n v="13718999001041"/>
    <x v="267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10868295000176"/>
    <x v="436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90"/>
  </r>
  <r>
    <x v="0"/>
    <x v="3"/>
    <x v="1"/>
    <n v="10868295000176"/>
    <x v="436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90"/>
  </r>
  <r>
    <x v="0"/>
    <x v="3"/>
    <x v="1"/>
    <n v="58229691001070"/>
    <x v="270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32"/>
    <n v="0"/>
  </r>
  <r>
    <x v="0"/>
    <x v="3"/>
    <x v="1"/>
    <n v="58229691001070"/>
    <x v="270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26048123000196"/>
    <x v="557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40"/>
  </r>
  <r>
    <x v="0"/>
    <x v="3"/>
    <x v="1"/>
    <n v="26048123000196"/>
    <x v="557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40"/>
  </r>
  <r>
    <x v="0"/>
    <x v="3"/>
    <x v="1"/>
    <n v="46124624002599"/>
    <x v="272"/>
    <s v="SUMARÉ"/>
    <s v="SP"/>
    <s v="1-Setorizado"/>
    <n v="2"/>
    <x v="14"/>
    <x v="14"/>
    <s v="Especialidade (ESP)"/>
    <s v="claudia.bueno@cslbehring.com"/>
    <s v="CLAUDIA BUENO (SPC/SPI)"/>
    <n v="0"/>
    <n v="0"/>
    <n v="0"/>
    <n v="280"/>
    <n v="1100"/>
  </r>
  <r>
    <x v="0"/>
    <x v="3"/>
    <x v="1"/>
    <n v="46124624002599"/>
    <x v="272"/>
    <s v="SUMARÉ"/>
    <s v="SP"/>
    <s v="1-Setorizado"/>
    <n v="2"/>
    <x v="15"/>
    <x v="15"/>
    <s v="Hospitalar (HSP)"/>
    <s v="claudia.bueno@cslbehring.com"/>
    <s v="CLAUDIA BUENO (SPC/SPI)"/>
    <n v="0"/>
    <n v="0"/>
    <n v="0"/>
    <n v="0"/>
    <n v="1100"/>
  </r>
  <r>
    <x v="0"/>
    <x v="3"/>
    <x v="1"/>
    <n v="43293604002120"/>
    <x v="273"/>
    <s v="SÃO BERNARDO DO CAMPO"/>
    <s v="SP"/>
    <s v="1-Setorizado"/>
    <n v="2"/>
    <x v="18"/>
    <x v="18"/>
    <s v="Especialidade (ESP)"/>
    <s v="claudia.bueno@cslbehring.com"/>
    <s v="CLAUDIA BUENO (SPC/SPI)"/>
    <n v="0"/>
    <n v="0"/>
    <n v="0"/>
    <n v="0"/>
    <n v="150"/>
  </r>
  <r>
    <x v="0"/>
    <x v="3"/>
    <x v="1"/>
    <n v="43293604002120"/>
    <x v="273"/>
    <s v="SÃO BERNARDO DO CAMPO"/>
    <s v="SP"/>
    <s v="1-Setorizado"/>
    <n v="2"/>
    <x v="17"/>
    <x v="17"/>
    <s v="Hospitalar (HSP)"/>
    <s v="claudia.bueno@cslbehring.com"/>
    <s v="CLAUDIA BUENO (SPC/SPI)"/>
    <n v="0"/>
    <n v="0"/>
    <n v="0"/>
    <n v="0"/>
    <n v="150"/>
  </r>
  <r>
    <x v="0"/>
    <x v="3"/>
    <x v="1"/>
    <n v="45359213000576"/>
    <x v="274"/>
    <s v="SÃO CARLOS"/>
    <s v="SP"/>
    <s v="1-Setorizado"/>
    <n v="2"/>
    <x v="14"/>
    <x v="14"/>
    <s v="Especialidade (ESP)"/>
    <s v="claudia.bueno@cslbehring.com"/>
    <s v="CLAUDIA BUENO (SPC/SPI)"/>
    <n v="0"/>
    <n v="0"/>
    <n v="0"/>
    <n v="66"/>
    <n v="0"/>
  </r>
  <r>
    <x v="0"/>
    <x v="3"/>
    <x v="1"/>
    <n v="45359213000576"/>
    <x v="274"/>
    <s v="SÃO CARLO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2643405000173"/>
    <x v="276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17"/>
    <n v="0"/>
  </r>
  <r>
    <x v="0"/>
    <x v="3"/>
    <x v="1"/>
    <n v="2643405000173"/>
    <x v="276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3"/>
    <x v="1"/>
    <n v="60003761000129"/>
    <x v="27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3"/>
    <x v="1"/>
    <n v="60003761000129"/>
    <x v="277"/>
    <s v="SÃO JOSÉ DO RIO PRETO"/>
    <s v="SP"/>
    <s v="1-Setorizado"/>
    <n v="2"/>
    <x v="15"/>
    <x v="15"/>
    <s v="Hospitalar (HSP)"/>
    <s v="claudia.bueno@cslbehring.com"/>
    <s v="CLAUDIA BUENO (SPC/SPI)"/>
    <n v="0"/>
    <n v="36"/>
    <n v="20"/>
    <n v="0"/>
    <n v="0"/>
  </r>
  <r>
    <x v="0"/>
    <x v="3"/>
    <x v="1"/>
    <n v="45184066000117"/>
    <x v="279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15"/>
    <n v="0"/>
  </r>
  <r>
    <x v="0"/>
    <x v="3"/>
    <x v="1"/>
    <n v="45184066000117"/>
    <x v="279"/>
    <s v="SÃO JOSÉ DOS CAMPOS"/>
    <s v="SP"/>
    <s v="1-Setorizado"/>
    <n v="2"/>
    <x v="19"/>
    <x v="19"/>
    <s v="Hospitalar (HSP)"/>
    <s v="claudia.bueno@cslbehring.com"/>
    <s v="CLAUDIA BUENO (SPC/SPI)"/>
    <n v="0"/>
    <n v="2"/>
    <n v="0"/>
    <n v="0"/>
    <n v="0"/>
  </r>
  <r>
    <x v="0"/>
    <x v="3"/>
    <x v="1"/>
    <n v="60214517001691"/>
    <x v="280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500"/>
  </r>
  <r>
    <x v="0"/>
    <x v="3"/>
    <x v="1"/>
    <n v="60214517001691"/>
    <x v="280"/>
    <s v="SÃO JOSÉ DOS CAMPOS"/>
    <s v="SP"/>
    <s v="1-Setorizado"/>
    <n v="2"/>
    <x v="19"/>
    <x v="19"/>
    <s v="Hospitalar (HSP)"/>
    <s v="claudia.bueno@cslbehring.com"/>
    <s v="CLAUDIA BUENO (SPC/SPI)"/>
    <n v="0"/>
    <n v="0"/>
    <n v="20"/>
    <n v="0"/>
    <n v="500"/>
  </r>
  <r>
    <x v="0"/>
    <x v="3"/>
    <x v="1"/>
    <n v="6047087003073"/>
    <x v="281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48"/>
    <n v="0"/>
  </r>
  <r>
    <x v="0"/>
    <x v="3"/>
    <x v="1"/>
    <n v="6047087003073"/>
    <x v="281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3"/>
    <x v="1"/>
    <n v="18321477000134"/>
    <x v="282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48"/>
    <n v="0"/>
  </r>
  <r>
    <x v="0"/>
    <x v="3"/>
    <x v="1"/>
    <n v="18321477000134"/>
    <x v="282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3"/>
    <x v="1"/>
    <n v="46643466000106"/>
    <x v="508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1450"/>
  </r>
  <r>
    <x v="0"/>
    <x v="3"/>
    <x v="1"/>
    <n v="46643466000106"/>
    <x v="508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1450"/>
  </r>
  <r>
    <x v="0"/>
    <x v="3"/>
    <x v="1"/>
    <n v="53678264000246"/>
    <x v="558"/>
    <s v="SÃO JOÃO DA BOA VISTA"/>
    <s v="SP"/>
    <s v="1-Setorizado"/>
    <n v="2"/>
    <x v="14"/>
    <x v="14"/>
    <s v="Especialidade (ESP)"/>
    <s v="claudia.bueno@cslbehring.com"/>
    <s v="CLAUDIA BUENO (SPC/SPI)"/>
    <n v="0"/>
    <n v="0"/>
    <n v="0"/>
    <n v="0"/>
    <n v="80"/>
  </r>
  <r>
    <x v="0"/>
    <x v="3"/>
    <x v="1"/>
    <n v="53678264000246"/>
    <x v="558"/>
    <s v="SÃO JOÃO DA BOA VISTA"/>
    <s v="SP"/>
    <s v="1-Setorizado"/>
    <n v="2"/>
    <x v="15"/>
    <x v="15"/>
    <s v="Hospitalar (HSP)"/>
    <s v="claudia.bueno@cslbehring.com"/>
    <s v="CLAUDIA BUENO (SPC/SPI)"/>
    <n v="0"/>
    <n v="0"/>
    <n v="0"/>
    <n v="0"/>
    <n v="80"/>
  </r>
  <r>
    <x v="0"/>
    <x v="3"/>
    <x v="1"/>
    <n v="51722957010226"/>
    <x v="28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"/>
    <n v="0"/>
  </r>
  <r>
    <x v="0"/>
    <x v="3"/>
    <x v="1"/>
    <n v="51722957010226"/>
    <x v="28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3"/>
    <x v="1"/>
    <n v="60992427000650"/>
    <x v="50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60992427000650"/>
    <x v="509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2383508000494"/>
    <x v="28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3"/>
    <n v="160"/>
  </r>
  <r>
    <x v="0"/>
    <x v="3"/>
    <x v="1"/>
    <n v="2383508000494"/>
    <x v="28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60"/>
  </r>
  <r>
    <x v="0"/>
    <x v="3"/>
    <x v="1"/>
    <n v="8871521000126"/>
    <x v="28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870"/>
  </r>
  <r>
    <x v="0"/>
    <x v="3"/>
    <x v="1"/>
    <n v="8871521000126"/>
    <x v="28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870"/>
  </r>
  <r>
    <x v="0"/>
    <x v="3"/>
    <x v="1"/>
    <n v="59481028000130"/>
    <x v="29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"/>
  </r>
  <r>
    <x v="0"/>
    <x v="3"/>
    <x v="1"/>
    <n v="59481028000130"/>
    <x v="29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3"/>
    <x v="1"/>
    <n v="43775956000178"/>
    <x v="55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30"/>
  </r>
  <r>
    <x v="0"/>
    <x v="3"/>
    <x v="1"/>
    <n v="43775956000178"/>
    <x v="559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3"/>
    <x v="1"/>
    <n v="10468341000220"/>
    <x v="29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4"/>
    <n v="950"/>
  </r>
  <r>
    <x v="0"/>
    <x v="3"/>
    <x v="1"/>
    <n v="10468341000220"/>
    <x v="29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950"/>
  </r>
  <r>
    <x v="0"/>
    <x v="3"/>
    <x v="1"/>
    <n v="10468341000140"/>
    <x v="29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2"/>
    <n v="1100"/>
  </r>
  <r>
    <x v="0"/>
    <x v="3"/>
    <x v="1"/>
    <n v="10468341000140"/>
    <x v="29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100"/>
  </r>
  <r>
    <x v="0"/>
    <x v="3"/>
    <x v="1"/>
    <n v="29435005009932"/>
    <x v="29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650"/>
  </r>
  <r>
    <x v="0"/>
    <x v="3"/>
    <x v="1"/>
    <n v="29435005009932"/>
    <x v="293"/>
    <s v="SÃO PAULO"/>
    <s v="SP"/>
    <s v="1-Setorizado"/>
    <n v="2"/>
    <x v="17"/>
    <x v="17"/>
    <s v="Hospitalar (HSP)"/>
    <s v="claudia.bueno@cslbehring.com"/>
    <s v="CLAUDIA BUENO (SPC/SPI)"/>
    <n v="0"/>
    <n v="0"/>
    <n v="30"/>
    <n v="0"/>
    <n v="650"/>
  </r>
  <r>
    <x v="0"/>
    <x v="3"/>
    <x v="1"/>
    <n v="10323381000101"/>
    <x v="29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"/>
    <n v="0"/>
  </r>
  <r>
    <x v="0"/>
    <x v="3"/>
    <x v="1"/>
    <n v="10323381000101"/>
    <x v="29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3872790000193"/>
    <x v="29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2"/>
    <n v="0"/>
  </r>
  <r>
    <x v="0"/>
    <x v="3"/>
    <x v="1"/>
    <n v="3872790000193"/>
    <x v="29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5"/>
  </r>
  <r>
    <x v="0"/>
    <x v="3"/>
    <x v="1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3"/>
    <x v="1"/>
    <n v="603226000187"/>
    <x v="56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8"/>
    <n v="0"/>
  </r>
  <r>
    <x v="0"/>
    <x v="3"/>
    <x v="1"/>
    <n v="603226000187"/>
    <x v="560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0"/>
  </r>
  <r>
    <x v="0"/>
    <x v="3"/>
    <x v="1"/>
    <n v="60884855000316"/>
    <x v="30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40"/>
    <n v="1695"/>
  </r>
  <r>
    <x v="0"/>
    <x v="3"/>
    <x v="1"/>
    <n v="60884855000316"/>
    <x v="302"/>
    <s v="SÃO PAULO"/>
    <s v="SP"/>
    <s v="1-Setorizado"/>
    <n v="2"/>
    <x v="19"/>
    <x v="19"/>
    <s v="Hospitalar (HSP)"/>
    <s v="claudia.bueno@cslbehring.com"/>
    <s v="CLAUDIA BUENO (SPC/SPI)"/>
    <n v="0"/>
    <n v="0"/>
    <n v="8"/>
    <n v="0"/>
    <n v="1695"/>
  </r>
  <r>
    <x v="0"/>
    <x v="3"/>
    <x v="1"/>
    <n v="60726502000126"/>
    <x v="30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405"/>
  </r>
  <r>
    <x v="0"/>
    <x v="3"/>
    <x v="1"/>
    <n v="60726502000126"/>
    <x v="303"/>
    <s v="SÃO PAULO"/>
    <s v="SP"/>
    <s v="1-Setorizado"/>
    <n v="2"/>
    <x v="19"/>
    <x v="19"/>
    <s v="Hospitalar (HSP)"/>
    <s v="claudia.bueno@cslbehring.com"/>
    <s v="CLAUDIA BUENO (SPC/SPI)"/>
    <n v="0"/>
    <n v="10"/>
    <n v="10"/>
    <n v="0"/>
    <n v="405"/>
  </r>
  <r>
    <x v="0"/>
    <x v="3"/>
    <x v="1"/>
    <n v="60726502000711"/>
    <x v="30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60726502000711"/>
    <x v="304"/>
    <s v="SÃO PAULO"/>
    <s v="SP"/>
    <s v="1-Setorizado"/>
    <n v="2"/>
    <x v="19"/>
    <x v="19"/>
    <s v="Hospitalar (HSP)"/>
    <s v="claudia.bueno@cslbehring.com"/>
    <s v="CLAUDIA BUENO (SPC/SPI)"/>
    <n v="0"/>
    <n v="0"/>
    <n v="4"/>
    <n v="0"/>
    <n v="0"/>
  </r>
  <r>
    <x v="0"/>
    <x v="3"/>
    <x v="1"/>
    <n v="8100676000592"/>
    <x v="30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0"/>
  </r>
  <r>
    <x v="0"/>
    <x v="3"/>
    <x v="1"/>
    <n v="8100676000592"/>
    <x v="30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300"/>
  </r>
  <r>
    <x v="0"/>
    <x v="3"/>
    <x v="1"/>
    <n v="21371777000132"/>
    <x v="3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21371777000132"/>
    <x v="308"/>
    <s v="SÃO PAULO"/>
    <s v="SP"/>
    <s v="1-Setorizado"/>
    <n v="2"/>
    <x v="19"/>
    <x v="19"/>
    <s v="Hospitalar (HSP)"/>
    <s v="claudia.bueno@cslbehring.com"/>
    <s v="CLAUDIA BUENO (SPC/SPI)"/>
    <n v="0"/>
    <n v="0"/>
    <n v="33"/>
    <n v="0"/>
    <n v="0"/>
  </r>
  <r>
    <x v="0"/>
    <x v="3"/>
    <x v="1"/>
    <n v="60448040000122"/>
    <x v="3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60448040000122"/>
    <x v="309"/>
    <s v="SÃO PAULO"/>
    <s v="SP"/>
    <s v="1-Setorizado"/>
    <n v="2"/>
    <x v="20"/>
    <x v="20"/>
    <s v="Hospitalar (HSP)"/>
    <s v="claudia.bueno@cslbehring.com"/>
    <s v="CLAUDIA BUENO (SPC/SPI)"/>
    <n v="0"/>
    <n v="70"/>
    <n v="66"/>
    <n v="0"/>
    <n v="0"/>
  </r>
  <r>
    <x v="0"/>
    <x v="3"/>
    <x v="1"/>
    <n v="60453024000390"/>
    <x v="3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60453024000390"/>
    <x v="310"/>
    <s v="SÃO PAULO"/>
    <s v="SP"/>
    <s v="1-Setorizado"/>
    <n v="2"/>
    <x v="20"/>
    <x v="20"/>
    <s v="Hospitalar (HSP)"/>
    <s v="claudia.bueno@cslbehring.com"/>
    <s v="CLAUDIA BUENO (SPC/SPI)"/>
    <n v="0"/>
    <n v="13"/>
    <n v="30"/>
    <n v="0"/>
    <n v="0"/>
  </r>
  <r>
    <x v="0"/>
    <x v="3"/>
    <x v="1"/>
    <n v="51722957012512"/>
    <x v="31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680"/>
  </r>
  <r>
    <x v="0"/>
    <x v="3"/>
    <x v="1"/>
    <n v="51722957012512"/>
    <x v="3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680"/>
  </r>
  <r>
    <x v="0"/>
    <x v="3"/>
    <x v="1"/>
    <n v="60678604000113"/>
    <x v="3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0"/>
  </r>
  <r>
    <x v="0"/>
    <x v="3"/>
    <x v="1"/>
    <n v="60678604000113"/>
    <x v="312"/>
    <s v="SÃO PAULO"/>
    <s v="SP"/>
    <s v="1-Setorizado"/>
    <n v="2"/>
    <x v="17"/>
    <x v="17"/>
    <s v="Hospitalar (HSP)"/>
    <s v="claudia.bueno@cslbehring.com"/>
    <s v="CLAUDIA BUENO (SPC/SPI)"/>
    <n v="0"/>
    <n v="1"/>
    <n v="56"/>
    <n v="0"/>
    <n v="100"/>
  </r>
  <r>
    <x v="0"/>
    <x v="3"/>
    <x v="1"/>
    <n v="29435005004540"/>
    <x v="31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50"/>
  </r>
  <r>
    <x v="0"/>
    <x v="3"/>
    <x v="1"/>
    <n v="29435005004540"/>
    <x v="31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50"/>
  </r>
  <r>
    <x v="0"/>
    <x v="3"/>
    <x v="1"/>
    <n v="61213674000240"/>
    <x v="316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97"/>
    <n v="0"/>
  </r>
  <r>
    <x v="0"/>
    <x v="3"/>
    <x v="1"/>
    <n v="61213674000240"/>
    <x v="316"/>
    <s v="SÃO PAULO"/>
    <s v="SP"/>
    <s v="1-Setorizado"/>
    <n v="2"/>
    <x v="17"/>
    <x v="17"/>
    <s v="Hospitalar (HSP)"/>
    <s v="claudia.bueno@cslbehring.com"/>
    <s v="CLAUDIA BUENO (SPC/SPI)"/>
    <n v="0"/>
    <n v="3"/>
    <n v="3"/>
    <n v="0"/>
    <n v="0"/>
  </r>
  <r>
    <x v="0"/>
    <x v="3"/>
    <x v="1"/>
    <n v="60765823000130"/>
    <x v="44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60765823000130"/>
    <x v="442"/>
    <s v="SÃO PAULO"/>
    <s v="SP"/>
    <s v="1-Setorizado"/>
    <n v="2"/>
    <x v="17"/>
    <x v="17"/>
    <s v="Hospitalar (HSP)"/>
    <s v="claudia.bueno@cslbehring.com"/>
    <s v="CLAUDIA BUENO (SPC/SPI)"/>
    <n v="0"/>
    <n v="0"/>
    <n v="60"/>
    <n v="0"/>
    <n v="0"/>
  </r>
  <r>
    <x v="0"/>
    <x v="3"/>
    <x v="1"/>
    <n v="19056055000141"/>
    <x v="44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19056055000141"/>
    <x v="443"/>
    <s v="SÃO PAULO"/>
    <s v="SP"/>
    <s v="1-Setorizado"/>
    <n v="2"/>
    <x v="20"/>
    <x v="20"/>
    <s v="Hospitalar (HSP)"/>
    <s v="claudia.bueno@cslbehring.com"/>
    <s v="CLAUDIA BUENO (SPC/SPI)"/>
    <n v="0"/>
    <n v="0"/>
    <n v="15"/>
    <n v="0"/>
    <n v="0"/>
  </r>
  <r>
    <x v="0"/>
    <x v="3"/>
    <x v="1"/>
    <n v="29435005002687"/>
    <x v="31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300"/>
  </r>
  <r>
    <x v="0"/>
    <x v="3"/>
    <x v="1"/>
    <n v="29435005002687"/>
    <x v="317"/>
    <s v="SÃO PAULO"/>
    <s v="SP"/>
    <s v="1-Setorizado"/>
    <n v="2"/>
    <x v="19"/>
    <x v="19"/>
    <s v="Hospitalar (HSP)"/>
    <s v="claudia.bueno@cslbehring.com"/>
    <s v="CLAUDIA BUENO (SPC/SPI)"/>
    <n v="0"/>
    <n v="5"/>
    <n v="0"/>
    <n v="0"/>
    <n v="1300"/>
  </r>
  <r>
    <x v="0"/>
    <x v="3"/>
    <x v="1"/>
    <n v="461479001054"/>
    <x v="56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461479001054"/>
    <x v="561"/>
    <s v="SÃO PAULO"/>
    <s v="SP"/>
    <s v="1-Setorizado"/>
    <n v="2"/>
    <x v="19"/>
    <x v="19"/>
    <s v="Hospitalar (HSP)"/>
    <s v="claudia.bueno@cslbehring.com"/>
    <s v="CLAUDIA BUENO (SPC/SPI)"/>
    <n v="0"/>
    <n v="5"/>
    <n v="0"/>
    <n v="0"/>
    <n v="0"/>
  </r>
  <r>
    <x v="0"/>
    <x v="3"/>
    <x v="1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22"/>
    <n v="195"/>
  </r>
  <r>
    <x v="0"/>
    <x v="3"/>
    <x v="1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21"/>
    <n v="0"/>
    <n v="195"/>
  </r>
  <r>
    <x v="0"/>
    <x v="3"/>
    <x v="1"/>
    <n v="60552098000111"/>
    <x v="32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635"/>
  </r>
  <r>
    <x v="0"/>
    <x v="3"/>
    <x v="1"/>
    <n v="60552098000111"/>
    <x v="32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635"/>
  </r>
  <r>
    <x v="0"/>
    <x v="3"/>
    <x v="1"/>
    <n v="60777901000116"/>
    <x v="32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250"/>
  </r>
  <r>
    <x v="0"/>
    <x v="3"/>
    <x v="1"/>
    <n v="60777901000116"/>
    <x v="32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250"/>
  </r>
  <r>
    <x v="0"/>
    <x v="3"/>
    <x v="1"/>
    <n v="60975737001204"/>
    <x v="32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60975737001204"/>
    <x v="322"/>
    <s v="SÃO PAULO"/>
    <s v="SP"/>
    <s v="1-Setorizado"/>
    <n v="2"/>
    <x v="20"/>
    <x v="20"/>
    <s v="Hospitalar (HSP)"/>
    <s v="claudia.bueno@cslbehring.com"/>
    <s v="CLAUDIA BUENO (SPC/SPI)"/>
    <n v="0"/>
    <n v="10"/>
    <n v="4"/>
    <n v="0"/>
    <n v="0"/>
  </r>
  <r>
    <x v="0"/>
    <x v="3"/>
    <x v="1"/>
    <n v="28290788000137"/>
    <x v="32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28290788000137"/>
    <x v="324"/>
    <s v="SÃO PAULO"/>
    <s v="SP"/>
    <s v="1-Setorizado"/>
    <n v="2"/>
    <x v="17"/>
    <x v="17"/>
    <s v="Hospitalar (HSP)"/>
    <s v="claudia.bueno@cslbehring.com"/>
    <s v="CLAUDIA BUENO (SPC/SPI)"/>
    <n v="0"/>
    <n v="14"/>
    <n v="0"/>
    <n v="0"/>
    <n v="0"/>
  </r>
  <r>
    <x v="0"/>
    <x v="3"/>
    <x v="1"/>
    <n v="5831510000124"/>
    <x v="32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35"/>
  </r>
  <r>
    <x v="0"/>
    <x v="3"/>
    <x v="1"/>
    <n v="5831510000124"/>
    <x v="32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35"/>
  </r>
  <r>
    <x v="0"/>
    <x v="3"/>
    <x v="1"/>
    <n v="56577059000606"/>
    <x v="327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56577059000606"/>
    <x v="327"/>
    <s v="SÃO PAULO"/>
    <s v="SP"/>
    <s v="1-Setorizado"/>
    <n v="2"/>
    <x v="20"/>
    <x v="20"/>
    <s v="Hospitalar (HSP)"/>
    <s v="claudia.bueno@cslbehring.com"/>
    <s v="CLAUDIA BUENO (SPC/SPI)"/>
    <n v="0"/>
    <n v="30"/>
    <n v="0"/>
    <n v="0"/>
    <n v="0"/>
  </r>
  <r>
    <x v="0"/>
    <x v="3"/>
    <x v="1"/>
    <n v="44649812005520"/>
    <x v="32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52"/>
    <n v="70"/>
  </r>
  <r>
    <x v="0"/>
    <x v="3"/>
    <x v="1"/>
    <n v="44649812005520"/>
    <x v="328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70"/>
  </r>
  <r>
    <x v="0"/>
    <x v="3"/>
    <x v="1"/>
    <n v="62779145000190"/>
    <x v="32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3"/>
    <x v="1"/>
    <n v="62779145000190"/>
    <x v="329"/>
    <s v="SÃO PAULO"/>
    <s v="SP"/>
    <s v="1-Setorizado"/>
    <n v="2"/>
    <x v="20"/>
    <x v="20"/>
    <s v="Hospitalar (HSP)"/>
    <s v="claudia.bueno@cslbehring.com"/>
    <s v="CLAUDIA BUENO (SPC/SPI)"/>
    <n v="0"/>
    <n v="10"/>
    <n v="0"/>
    <n v="0"/>
    <n v="0"/>
  </r>
  <r>
    <x v="0"/>
    <x v="3"/>
    <x v="1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30"/>
  </r>
  <r>
    <x v="0"/>
    <x v="3"/>
    <x v="1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30"/>
  </r>
  <r>
    <x v="0"/>
    <x v="3"/>
    <x v="1"/>
    <n v="22227973000109"/>
    <x v="56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"/>
  </r>
  <r>
    <x v="0"/>
    <x v="3"/>
    <x v="1"/>
    <n v="22227973000109"/>
    <x v="56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"/>
  </r>
  <r>
    <x v="0"/>
    <x v="3"/>
    <x v="1"/>
    <n v="2837922000183"/>
    <x v="33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0"/>
    <n v="0"/>
  </r>
  <r>
    <x v="0"/>
    <x v="3"/>
    <x v="1"/>
    <n v="2837922000183"/>
    <x v="33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61599908000158"/>
    <x v="33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61599908000158"/>
    <x v="335"/>
    <s v="SÃO PAULO"/>
    <s v="SP"/>
    <s v="1-Setorizado"/>
    <n v="2"/>
    <x v="19"/>
    <x v="19"/>
    <s v="Hospitalar (HSP)"/>
    <s v="claudia.bueno@cslbehring.com"/>
    <s v="CLAUDIA BUENO (SPC/SPI)"/>
    <n v="0"/>
    <n v="27"/>
    <n v="72"/>
    <n v="0"/>
    <n v="0"/>
  </r>
  <r>
    <x v="0"/>
    <x v="3"/>
    <x v="1"/>
    <n v="7045325000130"/>
    <x v="33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8"/>
    <n v="0"/>
  </r>
  <r>
    <x v="0"/>
    <x v="3"/>
    <x v="1"/>
    <n v="7045325000130"/>
    <x v="33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6047087000210"/>
    <x v="33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3"/>
    <x v="1"/>
    <n v="6047087000210"/>
    <x v="337"/>
    <s v="SÃO PAULO"/>
    <s v="SP"/>
    <s v="1-Setorizado"/>
    <n v="2"/>
    <x v="17"/>
    <x v="17"/>
    <s v="Hospitalar (HSP)"/>
    <s v="claudia.bueno@cslbehring.com"/>
    <s v="CLAUDIA BUENO (SPC/SPI)"/>
    <n v="0"/>
    <n v="60"/>
    <n v="69"/>
    <n v="0"/>
    <n v="0"/>
  </r>
  <r>
    <x v="0"/>
    <x v="3"/>
    <x v="1"/>
    <n v="60961422000155"/>
    <x v="33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3"/>
    <x v="1"/>
    <n v="60961422000155"/>
    <x v="338"/>
    <s v="SÃO PAULO"/>
    <s v="SP"/>
    <s v="1-Setorizado"/>
    <n v="2"/>
    <x v="17"/>
    <x v="17"/>
    <s v="Hospitalar (HSP)"/>
    <s v="claudia.bueno@cslbehring.com"/>
    <s v="CLAUDIA BUENO (SPC/SPI)"/>
    <n v="0"/>
    <n v="3"/>
    <n v="13"/>
    <n v="0"/>
    <n v="20"/>
  </r>
  <r>
    <x v="0"/>
    <x v="3"/>
    <x v="1"/>
    <n v="61590410000124"/>
    <x v="3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860"/>
  </r>
  <r>
    <x v="0"/>
    <x v="3"/>
    <x v="1"/>
    <n v="61590410000124"/>
    <x v="339"/>
    <s v="SÃO PAULO"/>
    <s v="SP"/>
    <s v="1-Setorizado"/>
    <n v="2"/>
    <x v="20"/>
    <x v="20"/>
    <s v="Hospitalar (HSP)"/>
    <s v="claudia.bueno@cslbehring.com"/>
    <s v="CLAUDIA BUENO (SPC/SPI)"/>
    <n v="0"/>
    <n v="26"/>
    <n v="46"/>
    <n v="0"/>
    <n v="1860"/>
  </r>
  <r>
    <x v="0"/>
    <x v="3"/>
    <x v="1"/>
    <n v="20812223000241"/>
    <x v="34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30"/>
    <n v="0"/>
  </r>
  <r>
    <x v="0"/>
    <x v="3"/>
    <x v="1"/>
    <n v="20812223000241"/>
    <x v="34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3"/>
    <x v="1"/>
    <n v="9087150000159"/>
    <x v="56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1"/>
    <n v="0"/>
  </r>
  <r>
    <x v="0"/>
    <x v="3"/>
    <x v="1"/>
    <n v="9087150000159"/>
    <x v="563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5612725000154"/>
    <x v="449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4"/>
    <x v="1"/>
    <n v="5612725000154"/>
    <x v="449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30"/>
  </r>
  <r>
    <x v="0"/>
    <x v="4"/>
    <x v="1"/>
    <n v="1454407000151"/>
    <x v="0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180"/>
  </r>
  <r>
    <x v="0"/>
    <x v="4"/>
    <x v="1"/>
    <n v="1454407000151"/>
    <x v="0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180"/>
  </r>
  <r>
    <x v="0"/>
    <x v="4"/>
    <x v="1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1085"/>
  </r>
  <r>
    <x v="0"/>
    <x v="4"/>
    <x v="1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1085"/>
  </r>
  <r>
    <x v="0"/>
    <x v="4"/>
    <x v="1"/>
    <n v="3866223000124"/>
    <x v="343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420"/>
  </r>
  <r>
    <x v="0"/>
    <x v="4"/>
    <x v="1"/>
    <n v="3866223000124"/>
    <x v="343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420"/>
  </r>
  <r>
    <x v="0"/>
    <x v="4"/>
    <x v="1"/>
    <n v="84537141000138"/>
    <x v="516"/>
    <s v="MANAUS"/>
    <s v="AM"/>
    <s v="1-Setorizado"/>
    <n v="1"/>
    <x v="2"/>
    <x v="2"/>
    <s v="Misto (EMH)"/>
    <s v="fernando.leony@cslbehring.com"/>
    <s v="FERNANDO LEONY (CO/NO/NE)"/>
    <n v="0"/>
    <n v="3"/>
    <n v="0"/>
    <n v="0"/>
    <n v="0"/>
  </r>
  <r>
    <x v="0"/>
    <x v="4"/>
    <x v="1"/>
    <n v="12361267010407"/>
    <x v="344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2361267010407"/>
    <x v="344"/>
    <s v="FEIRA DE SANTANA"/>
    <s v="BA"/>
    <s v="1-Setorizado"/>
    <n v="2"/>
    <x v="1"/>
    <x v="1"/>
    <s v="Hospitalar (HSP)"/>
    <s v="fernando.leony@cslbehring.com"/>
    <s v="FERNANDO LEONY (CO/NO/NE)"/>
    <n v="0"/>
    <n v="0"/>
    <n v="2"/>
    <n v="0"/>
    <n v="0"/>
  </r>
  <r>
    <x v="0"/>
    <x v="4"/>
    <x v="1"/>
    <n v="5430118000173"/>
    <x v="564"/>
    <s v="LUÍS EDUARDO MAGALHÃES"/>
    <s v="BA"/>
    <s v="1-Setorizado"/>
    <n v="2"/>
    <x v="0"/>
    <x v="0"/>
    <s v="Especialidade (ESP)"/>
    <s v="fernando.leony@cslbehring.com"/>
    <s v="FERNANDO LEONY (CO/NO/NE)"/>
    <n v="0"/>
    <n v="0"/>
    <n v="0"/>
    <n v="12"/>
    <n v="0"/>
  </r>
  <r>
    <x v="0"/>
    <x v="4"/>
    <x v="1"/>
    <n v="5430118000173"/>
    <x v="564"/>
    <s v="LUÍS EDUARDO MAGALHÃES"/>
    <s v="BA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4"/>
    <x v="1"/>
    <n v="12361267014739"/>
    <x v="453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220"/>
  </r>
  <r>
    <x v="0"/>
    <x v="4"/>
    <x v="1"/>
    <n v="12361267014739"/>
    <x v="453"/>
    <s v="SALVADOR"/>
    <s v="BA"/>
    <s v="1-Setorizado"/>
    <n v="2"/>
    <x v="1"/>
    <x v="1"/>
    <s v="Hospitalar (HSP)"/>
    <s v="fernando.leony@cslbehring.com"/>
    <s v="FERNANDO LEONY (CO/NO/NE)"/>
    <n v="0"/>
    <n v="0"/>
    <n v="10"/>
    <n v="0"/>
    <n v="220"/>
  </r>
  <r>
    <x v="0"/>
    <x v="4"/>
    <x v="1"/>
    <n v="9324322559"/>
    <x v="45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5"/>
    <n v="0"/>
  </r>
  <r>
    <x v="0"/>
    <x v="4"/>
    <x v="1"/>
    <n v="9324322559"/>
    <x v="454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4"/>
    <x v="1"/>
    <n v="5816630000152"/>
    <x v="9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3455"/>
  </r>
  <r>
    <x v="0"/>
    <x v="4"/>
    <x v="1"/>
    <n v="5816630000152"/>
    <x v="9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3455"/>
  </r>
  <r>
    <x v="0"/>
    <x v="4"/>
    <x v="1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2"/>
    <n v="0"/>
    <n v="0"/>
    <n v="0"/>
  </r>
  <r>
    <x v="0"/>
    <x v="4"/>
    <x v="1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31"/>
    <n v="10"/>
    <n v="0"/>
    <n v="0"/>
  </r>
  <r>
    <x v="0"/>
    <x v="4"/>
    <x v="1"/>
    <n v="15166416000151"/>
    <x v="14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66416000151"/>
    <x v="14"/>
    <s v="SALVADOR"/>
    <s v="BA"/>
    <s v="1-Setorizado"/>
    <n v="2"/>
    <x v="1"/>
    <x v="1"/>
    <s v="Hospitalar (HSP)"/>
    <s v="fernando.leony@cslbehring.com"/>
    <s v="FERNANDO LEONY (CO/NO/NE)"/>
    <n v="0"/>
    <n v="2"/>
    <n v="2"/>
    <n v="0"/>
    <n v="0"/>
  </r>
  <r>
    <x v="0"/>
    <x v="4"/>
    <x v="1"/>
    <n v="15180714000287"/>
    <x v="56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400"/>
  </r>
  <r>
    <x v="0"/>
    <x v="4"/>
    <x v="1"/>
    <n v="15180714000287"/>
    <x v="565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400"/>
  </r>
  <r>
    <x v="0"/>
    <x v="4"/>
    <x v="1"/>
    <n v="15153745000249"/>
    <x v="15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53745000249"/>
    <x v="15"/>
    <s v="SALVADOR"/>
    <s v="BA"/>
    <s v="1-Setorizado"/>
    <n v="2"/>
    <x v="1"/>
    <x v="1"/>
    <s v="Hospitalar (HSP)"/>
    <s v="fernando.leony@cslbehring.com"/>
    <s v="FERNANDO LEONY (CO/NO/NE)"/>
    <n v="0"/>
    <n v="7"/>
    <n v="4"/>
    <n v="0"/>
    <n v="0"/>
  </r>
  <r>
    <x v="0"/>
    <x v="4"/>
    <x v="1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17"/>
    <n v="5"/>
    <n v="0"/>
    <n v="0"/>
  </r>
  <r>
    <x v="0"/>
    <x v="4"/>
    <x v="1"/>
    <n v="15170723000106"/>
    <x v="18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70723000106"/>
    <x v="18"/>
    <s v="SALVADOR"/>
    <s v="BA"/>
    <s v="1-Setorizado"/>
    <n v="2"/>
    <x v="1"/>
    <x v="1"/>
    <s v="Hospitalar (HSP)"/>
    <s v="fernando.leony@cslbehring.com"/>
    <s v="FERNANDO LEONY (CO/NO/NE)"/>
    <n v="0"/>
    <n v="7"/>
    <n v="0"/>
    <n v="0"/>
    <n v="0"/>
  </r>
  <r>
    <x v="0"/>
    <x v="4"/>
    <x v="1"/>
    <n v="15126437002863"/>
    <x v="56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26437002863"/>
    <x v="566"/>
    <s v="SALVADOR"/>
    <s v="BA"/>
    <s v="1-Setorizado"/>
    <n v="2"/>
    <x v="1"/>
    <x v="1"/>
    <s v="Hospitalar (HSP)"/>
    <s v="fernando.leony@cslbehring.com"/>
    <s v="FERNANDO LEONY (CO/NO/NE)"/>
    <n v="0"/>
    <n v="12"/>
    <n v="0"/>
    <n v="0"/>
    <n v="0"/>
  </r>
  <r>
    <x v="0"/>
    <x v="4"/>
    <x v="1"/>
    <n v="15242761000127"/>
    <x v="2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54"/>
    <n v="0"/>
  </r>
  <r>
    <x v="0"/>
    <x v="4"/>
    <x v="1"/>
    <n v="15242761000127"/>
    <x v="20"/>
    <s v="SALVADOR"/>
    <s v="BA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4"/>
    <x v="1"/>
    <n v="12361267011802"/>
    <x v="2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2361267011802"/>
    <x v="23"/>
    <s v="FORTALEZA"/>
    <s v="CE"/>
    <s v="1-Setorizado"/>
    <n v="2"/>
    <x v="3"/>
    <x v="3"/>
    <s v="Hospitalar (HSP)"/>
    <s v="fernando.leony@cslbehring.com"/>
    <s v="FERNANDO LEONY (CO/NO/NE)"/>
    <n v="0"/>
    <n v="3"/>
    <n v="2"/>
    <n v="0"/>
    <n v="0"/>
  </r>
  <r>
    <x v="0"/>
    <x v="4"/>
    <x v="1"/>
    <n v="5874946000281"/>
    <x v="351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225"/>
  </r>
  <r>
    <x v="0"/>
    <x v="4"/>
    <x v="1"/>
    <n v="5874946000281"/>
    <x v="351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225"/>
  </r>
  <r>
    <x v="0"/>
    <x v="4"/>
    <x v="1"/>
    <n v="15126437001468"/>
    <x v="35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26437001468"/>
    <x v="352"/>
    <s v="FORTALEZA"/>
    <s v="CE"/>
    <s v="1-Setorizado"/>
    <n v="2"/>
    <x v="3"/>
    <x v="3"/>
    <s v="Hospitalar (HSP)"/>
    <s v="fernando.leony@cslbehring.com"/>
    <s v="FERNANDO LEONY (CO/NO/NE)"/>
    <n v="0"/>
    <n v="50"/>
    <n v="0"/>
    <n v="0"/>
    <n v="0"/>
  </r>
  <r>
    <x v="0"/>
    <x v="4"/>
    <x v="1"/>
    <n v="28102490000156"/>
    <x v="567"/>
    <s v="FORTALEZA"/>
    <s v="CE"/>
    <s v="1-Setorizado"/>
    <n v="1"/>
    <x v="0"/>
    <x v="0"/>
    <s v="Especialidade (ESP)"/>
    <s v="fernando.leony@cslbehring.com"/>
    <s v="FERNANDO LEONY (CO/NO/NE)"/>
    <n v="0"/>
    <n v="0"/>
    <n v="0"/>
    <n v="30"/>
    <n v="0"/>
  </r>
  <r>
    <x v="0"/>
    <x v="4"/>
    <x v="1"/>
    <n v="74031865000151"/>
    <x v="24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74031865000151"/>
    <x v="24"/>
    <s v="FORTALEZA"/>
    <s v="CE"/>
    <s v="1-Setorizado"/>
    <n v="2"/>
    <x v="3"/>
    <x v="3"/>
    <s v="Hospitalar (HSP)"/>
    <s v="fernando.leony@cslbehring.com"/>
    <s v="FERNANDO LEONY (CO/NO/NE)"/>
    <n v="0"/>
    <n v="0"/>
    <n v="390"/>
    <n v="0"/>
    <n v="0"/>
  </r>
  <r>
    <x v="0"/>
    <x v="4"/>
    <x v="1"/>
    <n v="60975737003509"/>
    <x v="2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3"/>
    <n v="0"/>
  </r>
  <r>
    <x v="0"/>
    <x v="4"/>
    <x v="1"/>
    <n v="60975737003509"/>
    <x v="27"/>
    <s v="FORTALEZA"/>
    <s v="CE"/>
    <s v="1-Setorizado"/>
    <n v="2"/>
    <x v="3"/>
    <x v="3"/>
    <s v="Hospitalar (HSP)"/>
    <s v="fernando.leony@cslbehring.com"/>
    <s v="FERNANDO LEONY (CO/NO/NE)"/>
    <n v="0"/>
    <n v="17"/>
    <n v="12"/>
    <n v="0"/>
    <n v="0"/>
  </r>
  <r>
    <x v="0"/>
    <x v="4"/>
    <x v="1"/>
    <n v="29435005007484"/>
    <x v="28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29435005007484"/>
    <x v="28"/>
    <s v="FORTALEZA"/>
    <s v="CE"/>
    <s v="1-Setorizado"/>
    <n v="2"/>
    <x v="3"/>
    <x v="3"/>
    <s v="Hospitalar (HSP)"/>
    <s v="fernando.leony@cslbehring.com"/>
    <s v="FERNANDO LEONY (CO/NO/NE)"/>
    <n v="0"/>
    <n v="20"/>
    <n v="6"/>
    <n v="0"/>
    <n v="0"/>
  </r>
  <r>
    <x v="0"/>
    <x v="4"/>
    <x v="1"/>
    <n v="23443518000103"/>
    <x v="517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23443518000103"/>
    <x v="517"/>
    <s v="FORTALEZA"/>
    <s v="CE"/>
    <s v="1-Setorizado"/>
    <n v="2"/>
    <x v="3"/>
    <x v="3"/>
    <s v="Hospitalar (HSP)"/>
    <s v="fernando.leony@cslbehring.com"/>
    <s v="FERNANDO LEONY (CO/NO/NE)"/>
    <n v="0"/>
    <n v="3"/>
    <n v="0"/>
    <n v="0"/>
    <n v="0"/>
  </r>
  <r>
    <x v="0"/>
    <x v="4"/>
    <x v="1"/>
    <n v="5868278000280"/>
    <x v="29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154"/>
    <n v="585"/>
  </r>
  <r>
    <x v="0"/>
    <x v="4"/>
    <x v="1"/>
    <n v="5868278000280"/>
    <x v="29"/>
    <s v="FORTALEZA"/>
    <s v="CE"/>
    <s v="1-Setorizado"/>
    <n v="2"/>
    <x v="3"/>
    <x v="3"/>
    <s v="Hospitalar (HSP)"/>
    <s v="fernando.leony@cslbehring.com"/>
    <s v="FERNANDO LEONY (CO/NO/NE)"/>
    <n v="0"/>
    <n v="16"/>
    <n v="24"/>
    <n v="0"/>
    <n v="585"/>
  </r>
  <r>
    <x v="0"/>
    <x v="4"/>
    <x v="1"/>
    <n v="12568570000161"/>
    <x v="32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0"/>
    <n v="5"/>
  </r>
  <r>
    <x v="0"/>
    <x v="4"/>
    <x v="1"/>
    <n v="12568570000161"/>
    <x v="32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5"/>
  </r>
  <r>
    <x v="0"/>
    <x v="4"/>
    <x v="1"/>
    <n v="5867015000175"/>
    <x v="33"/>
    <s v="FORTALEZA"/>
    <s v="CE"/>
    <s v="1-Setorizado"/>
    <n v="2"/>
    <x v="0"/>
    <x v="0"/>
    <s v="Especialidade (ESP)"/>
    <s v="fernando.leony@cslbehring.com"/>
    <s v="FERNANDO LEONY (CO/NO/NE)"/>
    <n v="0"/>
    <n v="0"/>
    <n v="0"/>
    <n v="8"/>
    <n v="0"/>
  </r>
  <r>
    <x v="0"/>
    <x v="4"/>
    <x v="1"/>
    <n v="5867015000175"/>
    <x v="33"/>
    <s v="FORTALEZA"/>
    <s v="CE"/>
    <s v="1-Setorizado"/>
    <n v="2"/>
    <x v="3"/>
    <x v="3"/>
    <s v="Hospitalar (HSP)"/>
    <s v="fernando.leony@cslbehring.com"/>
    <s v="FERNANDO LEONY (CO/NO/NE)"/>
    <n v="0"/>
    <n v="0"/>
    <n v="0"/>
    <n v="0"/>
    <n v="0"/>
  </r>
  <r>
    <x v="0"/>
    <x v="4"/>
    <x v="1"/>
    <n v="12361267008410"/>
    <x v="456"/>
    <s v="MARACANAÚ"/>
    <s v="C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2361267008410"/>
    <x v="456"/>
    <s v="MARACANAÚ"/>
    <s v="CE"/>
    <s v="1-Setorizado"/>
    <n v="2"/>
    <x v="3"/>
    <x v="3"/>
    <s v="Hospitalar (HSP)"/>
    <s v="fernando.leony@cslbehring.com"/>
    <s v="FERNANDO LEONY (CO/NO/NE)"/>
    <n v="0"/>
    <n v="0"/>
    <n v="2"/>
    <n v="0"/>
    <n v="0"/>
  </r>
  <r>
    <x v="0"/>
    <x v="4"/>
    <x v="1"/>
    <n v="9104513000974"/>
    <x v="34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70"/>
  </r>
  <r>
    <x v="0"/>
    <x v="4"/>
    <x v="1"/>
    <n v="9104513000974"/>
    <x v="34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70"/>
  </r>
  <r>
    <x v="0"/>
    <x v="4"/>
    <x v="1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550"/>
  </r>
  <r>
    <x v="0"/>
    <x v="4"/>
    <x v="1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86"/>
    <n v="550"/>
  </r>
  <r>
    <x v="0"/>
    <x v="4"/>
    <x v="1"/>
    <n v="30135335000188"/>
    <x v="35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745"/>
  </r>
  <r>
    <x v="0"/>
    <x v="4"/>
    <x v="1"/>
    <n v="30135335000188"/>
    <x v="35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745"/>
  </r>
  <r>
    <x v="0"/>
    <x v="4"/>
    <x v="1"/>
    <n v="394544000851"/>
    <x v="357"/>
    <s v="BRASÍLIA"/>
    <s v="DF"/>
    <s v="1-Setorizado"/>
    <n v="1"/>
    <x v="21"/>
    <x v="21"/>
    <m/>
    <s v="gerente.orfao@vago.com"/>
    <s v="XXX - GERENTE ORFAO"/>
    <n v="0"/>
    <n v="0"/>
    <n v="0"/>
    <n v="24"/>
    <n v="0"/>
  </r>
  <r>
    <x v="0"/>
    <x v="4"/>
    <x v="1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12"/>
    <n v="6"/>
    <n v="0"/>
    <n v="55"/>
  </r>
  <r>
    <x v="0"/>
    <x v="4"/>
    <x v="1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5"/>
  </r>
  <r>
    <x v="0"/>
    <x v="4"/>
    <x v="1"/>
    <n v="60884855002289"/>
    <x v="41"/>
    <s v="BRASÍLIA"/>
    <s v="DF"/>
    <s v="1-Setorizado"/>
    <n v="2"/>
    <x v="4"/>
    <x v="4"/>
    <s v="Hospitalar (HSP)"/>
    <s v="fernando.leony@cslbehring.com"/>
    <s v="FERNANDO LEONY (CO/NO/NE)"/>
    <n v="0"/>
    <n v="28"/>
    <n v="19"/>
    <n v="0"/>
    <n v="75"/>
  </r>
  <r>
    <x v="0"/>
    <x v="4"/>
    <x v="1"/>
    <n v="60884855002289"/>
    <x v="4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75"/>
  </r>
  <r>
    <x v="0"/>
    <x v="4"/>
    <x v="1"/>
    <n v="382069000127"/>
    <x v="519"/>
    <s v="BRASÍLIA"/>
    <s v="DF"/>
    <s v="1-Setorizado"/>
    <n v="2"/>
    <x v="4"/>
    <x v="4"/>
    <s v="Hospitalar (HSP)"/>
    <s v="fernando.leony@cslbehring.com"/>
    <s v="FERNANDO LEONY (CO/NO/NE)"/>
    <n v="0"/>
    <n v="9"/>
    <n v="6"/>
    <n v="0"/>
    <n v="100"/>
  </r>
  <r>
    <x v="0"/>
    <x v="4"/>
    <x v="1"/>
    <n v="382069000127"/>
    <x v="519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100"/>
  </r>
  <r>
    <x v="0"/>
    <x v="4"/>
    <x v="1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4"/>
    <n v="0"/>
    <n v="0"/>
    <n v="0"/>
  </r>
  <r>
    <x v="0"/>
    <x v="4"/>
    <x v="1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4"/>
    <x v="1"/>
    <n v="610980000144"/>
    <x v="46"/>
    <s v="BRASÍLIA"/>
    <s v="DF"/>
    <s v="1-Setorizado"/>
    <n v="2"/>
    <x v="4"/>
    <x v="4"/>
    <s v="Hospitalar (HSP)"/>
    <s v="fernando.leony@cslbehring.com"/>
    <s v="FERNANDO LEONY (CO/NO/NE)"/>
    <n v="0"/>
    <n v="7"/>
    <n v="2"/>
    <n v="0"/>
    <n v="50"/>
  </r>
  <r>
    <x v="0"/>
    <x v="4"/>
    <x v="1"/>
    <n v="610980000144"/>
    <x v="46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50"/>
  </r>
  <r>
    <x v="0"/>
    <x v="4"/>
    <x v="1"/>
    <n v="72576143000157"/>
    <x v="568"/>
    <s v="BRASÍLIA"/>
    <s v="DF"/>
    <s v="1-Setorizado"/>
    <n v="2"/>
    <x v="4"/>
    <x v="4"/>
    <s v="Hospitalar (HSP)"/>
    <s v="fernando.leony@cslbehring.com"/>
    <s v="FERNANDO LEONY (CO/NO/NE)"/>
    <n v="0"/>
    <n v="20"/>
    <n v="0"/>
    <n v="0"/>
    <n v="0"/>
  </r>
  <r>
    <x v="0"/>
    <x v="4"/>
    <x v="1"/>
    <n v="72576143000157"/>
    <x v="56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4"/>
    <x v="1"/>
    <n v="10942995000163"/>
    <x v="35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850"/>
  </r>
  <r>
    <x v="0"/>
    <x v="4"/>
    <x v="1"/>
    <n v="10942995000163"/>
    <x v="359"/>
    <s v="BRASÍLIA"/>
    <s v="DF"/>
    <s v="1-Setorizado"/>
    <n v="2"/>
    <x v="2"/>
    <x v="2"/>
    <s v="Misto (EMH)"/>
    <s v="fernando.leony@cslbehring.com"/>
    <s v="FERNANDO LEONY (CO/NO/NE)"/>
    <n v="0"/>
    <n v="0"/>
    <n v="0"/>
    <n v="200"/>
    <n v="850"/>
  </r>
  <r>
    <x v="0"/>
    <x v="4"/>
    <x v="1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4"/>
    <x v="1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34"/>
    <n v="0"/>
  </r>
  <r>
    <x v="0"/>
    <x v="4"/>
    <x v="1"/>
    <n v="1682668000129"/>
    <x v="51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4"/>
    <x v="1"/>
    <n v="1682668000129"/>
    <x v="51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5"/>
  </r>
  <r>
    <x v="0"/>
    <x v="4"/>
    <x v="1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4"/>
    <x v="1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18"/>
    <n v="0"/>
  </r>
  <r>
    <x v="0"/>
    <x v="4"/>
    <x v="1"/>
    <n v="511816000180"/>
    <x v="53"/>
    <s v="BRASÍLIA"/>
    <s v="DF"/>
    <s v="1-Setorizado"/>
    <n v="2"/>
    <x v="4"/>
    <x v="4"/>
    <s v="Hospitalar (HSP)"/>
    <s v="fernando.leony@cslbehring.com"/>
    <s v="FERNANDO LEONY (CO/NO/NE)"/>
    <n v="0"/>
    <n v="4"/>
    <n v="0"/>
    <n v="0"/>
    <n v="0"/>
  </r>
  <r>
    <x v="0"/>
    <x v="4"/>
    <x v="1"/>
    <n v="511816000180"/>
    <x v="53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4"/>
    <x v="1"/>
    <n v="7039651000134"/>
    <x v="55"/>
    <s v="COLATIN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4"/>
    <x v="1"/>
    <n v="1396804000114"/>
    <x v="56"/>
    <s v="SERR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4"/>
    <x v="1"/>
    <n v="27578434001525"/>
    <x v="363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500"/>
  </r>
  <r>
    <x v="0"/>
    <x v="4"/>
    <x v="1"/>
    <n v="28137925000106"/>
    <x v="58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150"/>
  </r>
  <r>
    <x v="0"/>
    <x v="4"/>
    <x v="1"/>
    <n v="39387477000107"/>
    <x v="59"/>
    <s v="VITÓRIA"/>
    <s v="ES"/>
    <s v="1-Setorizado"/>
    <n v="1"/>
    <x v="5"/>
    <x v="5"/>
    <s v="Misto (EMH)"/>
    <s v="rafael.esteves@cslbehring.com"/>
    <s v="RAFAEL ESTEVES (RJ/SPI/SUL)"/>
    <n v="0"/>
    <n v="0"/>
    <n v="0"/>
    <n v="0"/>
    <n v="375"/>
  </r>
  <r>
    <x v="0"/>
    <x v="4"/>
    <x v="1"/>
    <n v="10586940000168"/>
    <x v="459"/>
    <s v="VITÓRIA"/>
    <s v="ES"/>
    <s v="1-Setorizado"/>
    <n v="1"/>
    <x v="5"/>
    <x v="5"/>
    <s v="Misto (EMH)"/>
    <s v="rafael.esteves@cslbehring.com"/>
    <s v="RAFAEL ESTEVES (RJ/SPI/SUL)"/>
    <n v="0"/>
    <n v="30"/>
    <n v="0"/>
    <n v="80"/>
    <n v="0"/>
  </r>
  <r>
    <x v="0"/>
    <x v="4"/>
    <x v="1"/>
    <n v="1326206000179"/>
    <x v="60"/>
    <s v="CATALÃO"/>
    <s v="GO"/>
    <s v="1-Setorizado"/>
    <n v="2"/>
    <x v="6"/>
    <x v="6"/>
    <s v="Especialidade (ESP)"/>
    <s v="fernando.leony@cslbehring.com"/>
    <s v="FERNANDO LEONY (CO/NO/NE)"/>
    <n v="0"/>
    <n v="0"/>
    <n v="0"/>
    <n v="26"/>
    <n v="0"/>
  </r>
  <r>
    <x v="0"/>
    <x v="4"/>
    <x v="1"/>
    <n v="1326206000179"/>
    <x v="60"/>
    <s v="CATALÃO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4"/>
    <x v="1"/>
    <n v="2476067000394"/>
    <x v="61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135"/>
  </r>
  <r>
    <x v="0"/>
    <x v="4"/>
    <x v="1"/>
    <n v="2476067000394"/>
    <x v="61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135"/>
  </r>
  <r>
    <x v="0"/>
    <x v="4"/>
    <x v="1"/>
    <n v="1277573000120"/>
    <x v="4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4"/>
    <x v="1"/>
    <n v="1277573000120"/>
    <x v="463"/>
    <s v="GOIÂNIA"/>
    <s v="GO"/>
    <s v="1-Setorizado"/>
    <n v="2"/>
    <x v="4"/>
    <x v="4"/>
    <s v="Hospitalar (HSP)"/>
    <s v="fernando.leony@cslbehring.com"/>
    <s v="FERNANDO LEONY (CO/NO/NE)"/>
    <n v="0"/>
    <n v="11"/>
    <n v="0"/>
    <n v="0"/>
    <n v="0"/>
  </r>
  <r>
    <x v="0"/>
    <x v="4"/>
    <x v="1"/>
    <n v="1011865000116"/>
    <x v="63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450"/>
  </r>
  <r>
    <x v="0"/>
    <x v="4"/>
    <x v="1"/>
    <n v="1011865000116"/>
    <x v="63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450"/>
  </r>
  <r>
    <x v="0"/>
    <x v="4"/>
    <x v="1"/>
    <n v="27456372000183"/>
    <x v="569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4"/>
    <x v="1"/>
    <n v="27456372000183"/>
    <x v="569"/>
    <s v="GOIÂNIA"/>
    <s v="GO"/>
    <s v="1-Setorizado"/>
    <n v="2"/>
    <x v="4"/>
    <x v="4"/>
    <s v="Hospitalar (HSP)"/>
    <s v="fernando.leony@cslbehring.com"/>
    <s v="FERNANDO LEONY (CO/NO/NE)"/>
    <n v="0"/>
    <n v="2"/>
    <n v="0"/>
    <n v="0"/>
    <n v="0"/>
  </r>
  <r>
    <x v="0"/>
    <x v="4"/>
    <x v="1"/>
    <n v="2476067000203"/>
    <x v="64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58"/>
    <n v="0"/>
  </r>
  <r>
    <x v="0"/>
    <x v="4"/>
    <x v="1"/>
    <n v="2476067000203"/>
    <x v="64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4"/>
    <x v="1"/>
    <n v="12361267000789"/>
    <x v="466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20"/>
  </r>
  <r>
    <x v="0"/>
    <x v="4"/>
    <x v="1"/>
    <n v="12361267000789"/>
    <x v="466"/>
    <s v="SÃO LUÍS"/>
    <s v="MA"/>
    <s v="1-Setorizado"/>
    <n v="2"/>
    <x v="3"/>
    <x v="3"/>
    <s v="Hospitalar (HSP)"/>
    <s v="fernando.leony@cslbehring.com"/>
    <s v="FERNANDO LEONY (CO/NO/NE)"/>
    <n v="0"/>
    <n v="-2"/>
    <n v="2"/>
    <n v="0"/>
    <n v="20"/>
  </r>
  <r>
    <x v="0"/>
    <x v="4"/>
    <x v="1"/>
    <n v="11006293000130"/>
    <x v="68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500"/>
  </r>
  <r>
    <x v="0"/>
    <x v="4"/>
    <x v="1"/>
    <n v="11006293000130"/>
    <x v="68"/>
    <s v="SÃO LUÍS"/>
    <s v="MA"/>
    <s v="1-Setorizado"/>
    <n v="2"/>
    <x v="3"/>
    <x v="3"/>
    <s v="Hospitalar (HSP)"/>
    <s v="fernando.leony@cslbehring.com"/>
    <s v="FERNANDO LEONY (CO/NO/NE)"/>
    <n v="0"/>
    <n v="0"/>
    <n v="1"/>
    <n v="0"/>
    <n v="500"/>
  </r>
  <r>
    <x v="0"/>
    <x v="4"/>
    <x v="1"/>
    <n v="2284062001170"/>
    <x v="69"/>
    <s v="SÃO LUÍS"/>
    <s v="M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2284062001170"/>
    <x v="69"/>
    <s v="SÃO LUÍS"/>
    <s v="MA"/>
    <s v="1-Setorizado"/>
    <n v="2"/>
    <x v="3"/>
    <x v="3"/>
    <s v="Hospitalar (HSP)"/>
    <s v="fernando.leony@cslbehring.com"/>
    <s v="FERNANDO LEONY (CO/NO/NE)"/>
    <n v="0"/>
    <n v="2"/>
    <n v="0"/>
    <n v="0"/>
    <n v="0"/>
  </r>
  <r>
    <x v="0"/>
    <x v="4"/>
    <x v="1"/>
    <n v="20909271000171"/>
    <x v="369"/>
    <s v="ARAGUARI"/>
    <s v="MG"/>
    <s v="1-Setorizado"/>
    <n v="1"/>
    <x v="5"/>
    <x v="5"/>
    <s v="Misto (EMH)"/>
    <s v="rafael.esteves@cslbehring.com"/>
    <s v="RAFAEL ESTEVES (RJ/SPI/SUL)"/>
    <n v="0"/>
    <n v="0"/>
    <n v="0"/>
    <n v="40"/>
    <n v="0"/>
  </r>
  <r>
    <x v="0"/>
    <x v="4"/>
    <x v="1"/>
    <n v="19843929001697"/>
    <x v="524"/>
    <s v="BARBACENA"/>
    <s v="MG"/>
    <s v="1-Setorizado"/>
    <n v="1"/>
    <x v="5"/>
    <x v="5"/>
    <s v="Misto (EMH)"/>
    <s v="rafael.esteves@cslbehring.com"/>
    <s v="RAFAEL ESTEVES (RJ/SPI/SUL)"/>
    <n v="0"/>
    <n v="0"/>
    <n v="0"/>
    <n v="0"/>
    <n v="125"/>
  </r>
  <r>
    <x v="0"/>
    <x v="4"/>
    <x v="1"/>
    <n v="17214149000176"/>
    <x v="70"/>
    <s v="BELO HORIZONTE"/>
    <s v="MG"/>
    <s v="1-Setorizado"/>
    <n v="1"/>
    <x v="5"/>
    <x v="5"/>
    <s v="Misto (EMH)"/>
    <s v="rafael.esteves@cslbehring.com"/>
    <s v="RAFAEL ESTEVES (RJ/SPI/SUL)"/>
    <n v="0"/>
    <n v="0"/>
    <n v="22"/>
    <n v="0"/>
    <n v="0"/>
  </r>
  <r>
    <x v="0"/>
    <x v="4"/>
    <x v="1"/>
    <n v="410960000120"/>
    <x v="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32"/>
    <n v="1050"/>
  </r>
  <r>
    <x v="0"/>
    <x v="4"/>
    <x v="1"/>
    <n v="19843929001182"/>
    <x v="570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405"/>
  </r>
  <r>
    <x v="0"/>
    <x v="4"/>
    <x v="1"/>
    <n v="19843929001344"/>
    <x v="571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125"/>
  </r>
  <r>
    <x v="0"/>
    <x v="4"/>
    <x v="1"/>
    <n v="19843929002820"/>
    <x v="572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1170"/>
  </r>
  <r>
    <x v="0"/>
    <x v="4"/>
    <x v="1"/>
    <n v="60194990000844"/>
    <x v="468"/>
    <s v="BELO HORIZONTE"/>
    <s v="MG"/>
    <s v="1-Setorizado"/>
    <n v="1"/>
    <x v="5"/>
    <x v="5"/>
    <s v="Misto (EMH)"/>
    <s v="rafael.esteves@cslbehring.com"/>
    <s v="RAFAEL ESTEVES (RJ/SPI/SUL)"/>
    <n v="0"/>
    <n v="0"/>
    <n v="6"/>
    <n v="0"/>
    <n v="0"/>
  </r>
  <r>
    <x v="0"/>
    <x v="4"/>
    <x v="1"/>
    <n v="2623693000102"/>
    <x v="73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20"/>
  </r>
  <r>
    <x v="0"/>
    <x v="4"/>
    <x v="1"/>
    <n v="132229000180"/>
    <x v="74"/>
    <s v="BELO HORIZONTE"/>
    <s v="MG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4"/>
    <x v="1"/>
    <n v="19130186000121"/>
    <x v="573"/>
    <s v="CAMPO BELO"/>
    <s v="MG"/>
    <s v="1-Setorizado"/>
    <n v="1"/>
    <x v="5"/>
    <x v="5"/>
    <s v="Misto (EMH)"/>
    <s v="rafael.esteves@cslbehring.com"/>
    <s v="RAFAEL ESTEVES (RJ/SPI/SUL)"/>
    <n v="0"/>
    <n v="0"/>
    <n v="0"/>
    <n v="0"/>
    <n v="5"/>
  </r>
  <r>
    <x v="0"/>
    <x v="4"/>
    <x v="1"/>
    <n v="20622890000180"/>
    <x v="574"/>
    <s v="GOVERNADOR VALADARES"/>
    <s v="MG"/>
    <s v="1-Setorizado"/>
    <n v="1"/>
    <x v="5"/>
    <x v="5"/>
    <s v="Misto (EMH)"/>
    <s v="rafael.esteves@cslbehring.com"/>
    <s v="RAFAEL ESTEVES (RJ/SPI/SUL)"/>
    <n v="0"/>
    <n v="0"/>
    <n v="0"/>
    <n v="0"/>
    <n v="325"/>
  </r>
  <r>
    <x v="0"/>
    <x v="4"/>
    <x v="1"/>
    <n v="19878404000100"/>
    <x v="76"/>
    <s v="IPATINGA"/>
    <s v="MG"/>
    <s v="1-Setorizado"/>
    <n v="1"/>
    <x v="5"/>
    <x v="5"/>
    <s v="Misto (EMH)"/>
    <s v="rafael.esteves@cslbehring.com"/>
    <s v="RAFAEL ESTEVES (RJ/SPI/SUL)"/>
    <n v="0"/>
    <n v="0"/>
    <n v="0"/>
    <n v="96"/>
    <n v="0"/>
  </r>
  <r>
    <x v="0"/>
    <x v="4"/>
    <x v="1"/>
    <n v="19843929001000"/>
    <x v="575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0"/>
    <n v="200"/>
  </r>
  <r>
    <x v="0"/>
    <x v="4"/>
    <x v="1"/>
    <n v="17689407000928"/>
    <x v="78"/>
    <s v="JUIZ DE FORA"/>
    <s v="MG"/>
    <s v="1-Setorizado"/>
    <n v="1"/>
    <x v="5"/>
    <x v="5"/>
    <s v="Misto (EMH)"/>
    <s v="rafael.esteves@cslbehring.com"/>
    <s v="RAFAEL ESTEVES (RJ/SPI/SUL)"/>
    <n v="0"/>
    <n v="0"/>
    <n v="0"/>
    <n v="10"/>
    <n v="0"/>
  </r>
  <r>
    <x v="0"/>
    <x v="4"/>
    <x v="1"/>
    <n v="23338387000196"/>
    <x v="80"/>
    <s v="PATOS DE MINAS"/>
    <s v="MG"/>
    <s v="1-Setorizado"/>
    <n v="1"/>
    <x v="5"/>
    <x v="5"/>
    <s v="Misto (EMH)"/>
    <s v="rafael.esteves@cslbehring.com"/>
    <s v="RAFAEL ESTEVES (RJ/SPI/SUL)"/>
    <n v="0"/>
    <n v="0"/>
    <n v="0"/>
    <n v="10"/>
    <n v="0"/>
  </r>
  <r>
    <x v="0"/>
    <x v="4"/>
    <x v="1"/>
    <n v="41781949000234"/>
    <x v="81"/>
    <s v="POÇOS DE CALDAS"/>
    <s v="MG"/>
    <s v="1-Setorizado"/>
    <n v="1"/>
    <x v="5"/>
    <x v="5"/>
    <s v="Misto (EMH)"/>
    <s v="rafael.esteves@cslbehring.com"/>
    <s v="RAFAEL ESTEVES (RJ/SPI/SUL)"/>
    <n v="0"/>
    <n v="0"/>
    <n v="0"/>
    <n v="0"/>
    <n v="40"/>
  </r>
  <r>
    <x v="0"/>
    <x v="4"/>
    <x v="1"/>
    <n v="18836965000184"/>
    <x v="470"/>
    <s v="RAUL SOARES"/>
    <s v="MG"/>
    <s v="1-Setorizado"/>
    <n v="1"/>
    <x v="5"/>
    <x v="5"/>
    <s v="Misto (EMH)"/>
    <s v="rafael.esteves@cslbehring.com"/>
    <s v="RAFAEL ESTEVES (RJ/SPI/SUL)"/>
    <n v="0"/>
    <n v="0"/>
    <n v="0"/>
    <n v="20"/>
    <n v="0"/>
  </r>
  <r>
    <x v="0"/>
    <x v="4"/>
    <x v="1"/>
    <n v="42855999000362"/>
    <x v="576"/>
    <s v="TRÊS CORAÇÕES"/>
    <s v="MG"/>
    <s v="1-Setorizado"/>
    <n v="1"/>
    <x v="5"/>
    <x v="5"/>
    <s v="Misto (EMH)"/>
    <s v="rafael.esteves@cslbehring.com"/>
    <s v="RAFAEL ESTEVES (RJ/SPI/SUL)"/>
    <n v="0"/>
    <n v="0"/>
    <n v="0"/>
    <n v="9"/>
    <n v="75"/>
  </r>
  <r>
    <x v="0"/>
    <x v="4"/>
    <x v="1"/>
    <n v="17774738000613"/>
    <x v="375"/>
    <s v="UBERABA"/>
    <s v="MG"/>
    <s v="1-Setorizado"/>
    <n v="1"/>
    <x v="5"/>
    <x v="5"/>
    <s v="Misto (EMH)"/>
    <s v="rafael.esteves@cslbehring.com"/>
    <s v="RAFAEL ESTEVES (RJ/SPI/SUL)"/>
    <n v="0"/>
    <n v="0"/>
    <n v="0"/>
    <n v="8"/>
    <n v="0"/>
  </r>
  <r>
    <x v="0"/>
    <x v="4"/>
    <x v="1"/>
    <n v="15126437000577"/>
    <x v="577"/>
    <s v="UBERABA"/>
    <s v="MG"/>
    <s v="1-Setorizado"/>
    <n v="1"/>
    <x v="5"/>
    <x v="5"/>
    <s v="Misto (EMH)"/>
    <s v="rafael.esteves@cslbehring.com"/>
    <s v="RAFAEL ESTEVES (RJ/SPI/SUL)"/>
    <n v="0"/>
    <n v="0"/>
    <n v="0"/>
    <n v="0"/>
    <n v="500"/>
  </r>
  <r>
    <x v="0"/>
    <x v="4"/>
    <x v="1"/>
    <n v="25648387000207"/>
    <x v="83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0"/>
    <n v="600"/>
  </r>
  <r>
    <x v="0"/>
    <x v="4"/>
    <x v="1"/>
    <n v="20150900000122"/>
    <x v="84"/>
    <s v="UBERLÂNDIA"/>
    <s v="MG"/>
    <s v="1-Setorizado"/>
    <n v="1"/>
    <x v="5"/>
    <x v="5"/>
    <s v="Misto (EMH)"/>
    <s v="rafael.esteves@cslbehring.com"/>
    <s v="RAFAEL ESTEVES (RJ/SPI/SUL)"/>
    <n v="0"/>
    <n v="0"/>
    <n v="0"/>
    <n v="12"/>
    <n v="0"/>
  </r>
  <r>
    <x v="0"/>
    <x v="4"/>
    <x v="1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4"/>
    <n v="0"/>
  </r>
  <r>
    <x v="0"/>
    <x v="4"/>
    <x v="1"/>
    <n v="3315918000541"/>
    <x v="578"/>
    <s v="CAMPO GRANDE"/>
    <s v="MS"/>
    <s v="1-Setorizado"/>
    <n v="2"/>
    <x v="6"/>
    <x v="6"/>
    <s v="Especialidade (ESP)"/>
    <s v="fernando.leony@cslbehring.com"/>
    <s v="FERNANDO LEONY (CO/NO/NE)"/>
    <n v="0"/>
    <n v="0"/>
    <n v="0"/>
    <n v="0"/>
    <n v="50"/>
  </r>
  <r>
    <x v="0"/>
    <x v="4"/>
    <x v="1"/>
    <n v="3315918000541"/>
    <x v="578"/>
    <s v="CAMPO GRANDE"/>
    <s v="MS"/>
    <s v="1-Setorizado"/>
    <n v="2"/>
    <x v="4"/>
    <x v="4"/>
    <s v="Hospitalar (HSP)"/>
    <s v="fernando.leony@cslbehring.com"/>
    <s v="FERNANDO LEONY (CO/NO/NE)"/>
    <n v="0"/>
    <n v="0"/>
    <n v="0"/>
    <n v="0"/>
    <n v="50"/>
  </r>
  <r>
    <x v="0"/>
    <x v="4"/>
    <x v="1"/>
    <n v="7775847000278"/>
    <x v="377"/>
    <s v="DOURADOS"/>
    <s v="MS"/>
    <s v="1-Setorizado"/>
    <n v="2"/>
    <x v="6"/>
    <x v="6"/>
    <s v="Especialidade (ESP)"/>
    <s v="fernando.leony@cslbehring.com"/>
    <s v="FERNANDO LEONY (CO/NO/NE)"/>
    <n v="0"/>
    <n v="0"/>
    <n v="0"/>
    <n v="0"/>
    <n v="360"/>
  </r>
  <r>
    <x v="0"/>
    <x v="4"/>
    <x v="1"/>
    <n v="7775847000278"/>
    <x v="377"/>
    <s v="DOURADOS"/>
    <s v="MS"/>
    <s v="1-Setorizado"/>
    <n v="2"/>
    <x v="4"/>
    <x v="4"/>
    <s v="Hospitalar (HSP)"/>
    <s v="fernando.leony@cslbehring.com"/>
    <s v="FERNANDO LEONY (CO/NO/NE)"/>
    <n v="0"/>
    <n v="0"/>
    <n v="0"/>
    <n v="0"/>
    <n v="360"/>
  </r>
  <r>
    <x v="0"/>
    <x v="4"/>
    <x v="1"/>
    <n v="15016827000160"/>
    <x v="90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4"/>
    <x v="1"/>
    <n v="15016827000160"/>
    <x v="90"/>
    <s v="CUIABÁ"/>
    <s v="MT"/>
    <s v="1-Setorizado"/>
    <n v="2"/>
    <x v="4"/>
    <x v="4"/>
    <s v="Hospitalar (HSP)"/>
    <s v="fernando.leony@cslbehring.com"/>
    <s v="FERNANDO LEONY (CO/NO/NE)"/>
    <n v="0"/>
    <n v="14"/>
    <n v="0"/>
    <n v="0"/>
    <n v="0"/>
  </r>
  <r>
    <x v="0"/>
    <x v="4"/>
    <x v="1"/>
    <n v="1757351000104"/>
    <x v="91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4"/>
    <x v="1"/>
    <n v="1757351000104"/>
    <x v="91"/>
    <s v="CUIABÁ"/>
    <s v="MT"/>
    <s v="1-Setorizado"/>
    <n v="2"/>
    <x v="4"/>
    <x v="4"/>
    <s v="Hospitalar (HSP)"/>
    <s v="fernando.leony@cslbehring.com"/>
    <s v="FERNANDO LEONY (CO/NO/NE)"/>
    <n v="0"/>
    <n v="5"/>
    <n v="4"/>
    <n v="0"/>
    <n v="0"/>
  </r>
  <r>
    <x v="0"/>
    <x v="4"/>
    <x v="1"/>
    <n v="3925419000142"/>
    <x v="92"/>
    <s v="CUIABÁ"/>
    <s v="MT"/>
    <s v="1-Setorizado"/>
    <n v="2"/>
    <x v="6"/>
    <x v="6"/>
    <s v="Especialidade (ESP)"/>
    <s v="fernando.leony@cslbehring.com"/>
    <s v="FERNANDO LEONY (CO/NO/NE)"/>
    <n v="0"/>
    <n v="0"/>
    <n v="0"/>
    <n v="0"/>
    <n v="0"/>
  </r>
  <r>
    <x v="0"/>
    <x v="4"/>
    <x v="1"/>
    <n v="3925419000142"/>
    <x v="92"/>
    <s v="CUIABÁ"/>
    <s v="MT"/>
    <s v="1-Setorizado"/>
    <n v="2"/>
    <x v="4"/>
    <x v="4"/>
    <s v="Hospitalar (HSP)"/>
    <s v="fernando.leony@cslbehring.com"/>
    <s v="FERNANDO LEONY (CO/NO/NE)"/>
    <n v="0"/>
    <n v="9"/>
    <n v="0"/>
    <n v="0"/>
    <n v="0"/>
  </r>
  <r>
    <x v="0"/>
    <x v="4"/>
    <x v="1"/>
    <n v="11836436000131"/>
    <x v="579"/>
    <s v="RONDONÓPOLIS"/>
    <s v="MT"/>
    <s v="1-Setorizado"/>
    <n v="2"/>
    <x v="6"/>
    <x v="6"/>
    <s v="Especialidade (ESP)"/>
    <s v="fernando.leony@cslbehring.com"/>
    <s v="FERNANDO LEONY (CO/NO/NE)"/>
    <n v="0"/>
    <n v="0"/>
    <n v="0"/>
    <n v="0"/>
    <n v="25"/>
  </r>
  <r>
    <x v="0"/>
    <x v="4"/>
    <x v="1"/>
    <n v="11836436000131"/>
    <x v="579"/>
    <s v="RONDONÓPOLIS"/>
    <s v="MT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4"/>
    <x v="1"/>
    <n v="12361267003370"/>
    <x v="580"/>
    <s v="BELÉM"/>
    <s v="PA"/>
    <s v="1-Setorizado"/>
    <n v="1"/>
    <x v="2"/>
    <x v="2"/>
    <s v="Misto (EMH)"/>
    <s v="fernando.leony@cslbehring.com"/>
    <s v="FERNANDO LEONY (CO/NO/NE)"/>
    <n v="0"/>
    <n v="0"/>
    <n v="4"/>
    <n v="0"/>
    <n v="305"/>
  </r>
  <r>
    <x v="0"/>
    <x v="4"/>
    <x v="1"/>
    <n v="4929345000185"/>
    <x v="581"/>
    <s v="BELÉM"/>
    <s v="PA"/>
    <s v="1-Setorizado"/>
    <n v="1"/>
    <x v="2"/>
    <x v="2"/>
    <s v="Misto (EMH)"/>
    <s v="fernando.leony@cslbehring.com"/>
    <s v="FERNANDO LEONY (CO/NO/NE)"/>
    <n v="0"/>
    <n v="25"/>
    <n v="25"/>
    <n v="50"/>
    <n v="625"/>
  </r>
  <r>
    <x v="0"/>
    <x v="4"/>
    <x v="1"/>
    <n v="83367342000252"/>
    <x v="97"/>
    <s v="BELÉM"/>
    <s v="PA"/>
    <s v="1-Setorizado"/>
    <n v="1"/>
    <x v="2"/>
    <x v="2"/>
    <s v="Misto (EMH)"/>
    <s v="fernando.leony@cslbehring.com"/>
    <s v="FERNANDO LEONY (CO/NO/NE)"/>
    <n v="0"/>
    <n v="10"/>
    <n v="0"/>
    <n v="0"/>
    <n v="25"/>
  </r>
  <r>
    <x v="0"/>
    <x v="4"/>
    <x v="1"/>
    <n v="12371009253"/>
    <x v="99"/>
    <s v="BELÉM"/>
    <s v="PA"/>
    <s v="1-Setorizado"/>
    <n v="1"/>
    <x v="2"/>
    <x v="2"/>
    <s v="Misto (EMH)"/>
    <s v="fernando.leony@cslbehring.com"/>
    <s v="FERNANDO LEONY (CO/NO/NE)"/>
    <n v="0"/>
    <n v="0"/>
    <n v="0"/>
    <n v="24"/>
    <n v="0"/>
  </r>
  <r>
    <x v="0"/>
    <x v="4"/>
    <x v="1"/>
    <n v="4201372001028"/>
    <x v="100"/>
    <s v="BELÉM"/>
    <s v="PA"/>
    <s v="1-Setorizado"/>
    <n v="1"/>
    <x v="2"/>
    <x v="2"/>
    <s v="Misto (EMH)"/>
    <s v="fernando.leony@cslbehring.com"/>
    <s v="FERNANDO LEONY (CO/NO/NE)"/>
    <n v="0"/>
    <n v="0"/>
    <n v="0"/>
    <n v="48"/>
    <n v="0"/>
  </r>
  <r>
    <x v="0"/>
    <x v="4"/>
    <x v="1"/>
    <n v="15126437003240"/>
    <x v="582"/>
    <s v="CAMPINA GRANDE"/>
    <s v="PB"/>
    <s v="1-Setorizado"/>
    <n v="2"/>
    <x v="0"/>
    <x v="0"/>
    <s v="Especialidade (ESP)"/>
    <s v="fernando.leony@cslbehring.com"/>
    <s v="FERNANDO LEONY (CO/NO/NE)"/>
    <n v="0"/>
    <n v="0"/>
    <n v="0"/>
    <n v="0"/>
    <n v="75"/>
  </r>
  <r>
    <x v="0"/>
    <x v="4"/>
    <x v="1"/>
    <n v="15126437003240"/>
    <x v="582"/>
    <s v="CAMPINA GRANDE"/>
    <s v="PB"/>
    <s v="1-Setorizado"/>
    <n v="2"/>
    <x v="7"/>
    <x v="7"/>
    <s v="Hospitalar (HSP)"/>
    <s v="fernando.leony@cslbehring.com"/>
    <s v="FERNANDO LEONY (CO/NO/NE)"/>
    <n v="0"/>
    <n v="0"/>
    <n v="0"/>
    <n v="0"/>
    <n v="75"/>
  </r>
  <r>
    <x v="0"/>
    <x v="4"/>
    <x v="1"/>
    <n v="83925694404"/>
    <x v="102"/>
    <s v="JOÃO PESSOA"/>
    <s v="PB"/>
    <s v="1-Setorizado"/>
    <n v="2"/>
    <x v="0"/>
    <x v="0"/>
    <s v="Especialidade (ESP)"/>
    <s v="fernando.leony@cslbehring.com"/>
    <s v="FERNANDO LEONY (CO/NO/NE)"/>
    <n v="24"/>
    <n v="0"/>
    <n v="0"/>
    <n v="0"/>
    <n v="0"/>
  </r>
  <r>
    <x v="0"/>
    <x v="4"/>
    <x v="1"/>
    <n v="83925694404"/>
    <x v="102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4"/>
    <x v="1"/>
    <n v="8680639000681"/>
    <x v="103"/>
    <s v="JOÃO PESSOA"/>
    <s v="PB"/>
    <s v="1-Setorizado"/>
    <n v="2"/>
    <x v="0"/>
    <x v="0"/>
    <s v="Especialidade (ESP)"/>
    <s v="fernando.leony@cslbehring.com"/>
    <s v="FERNANDO LEONY (CO/NO/NE)"/>
    <n v="0"/>
    <n v="0"/>
    <n v="0"/>
    <n v="52"/>
    <n v="0"/>
  </r>
  <r>
    <x v="0"/>
    <x v="4"/>
    <x v="1"/>
    <n v="8680639000681"/>
    <x v="103"/>
    <s v="JOÃO PESSOA"/>
    <s v="PB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4"/>
    <x v="1"/>
    <n v="12361267005748"/>
    <x v="583"/>
    <s v="JABOATÃO DOS GUARARAPES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2361267005748"/>
    <x v="583"/>
    <s v="JABOATÃO DOS GUARARAPES"/>
    <s v="PE"/>
    <s v="1-Setorizado"/>
    <n v="2"/>
    <x v="7"/>
    <x v="7"/>
    <s v="Hospitalar (HSP)"/>
    <s v="fernando.leony@cslbehring.com"/>
    <s v="FERNANDO LEONY (CO/NO/NE)"/>
    <n v="0"/>
    <n v="0"/>
    <n v="4"/>
    <n v="0"/>
    <n v="0"/>
  </r>
  <r>
    <x v="0"/>
    <x v="4"/>
    <x v="1"/>
    <n v="10892164000124"/>
    <x v="108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60"/>
    <n v="0"/>
  </r>
  <r>
    <x v="0"/>
    <x v="4"/>
    <x v="1"/>
    <n v="10892164000124"/>
    <x v="108"/>
    <s v="RECIFE"/>
    <s v="PE"/>
    <s v="1-Setorizado"/>
    <n v="2"/>
    <x v="7"/>
    <x v="7"/>
    <s v="Hospitalar (HSP)"/>
    <s v="fernando.leony@cslbehring.com"/>
    <s v="FERNANDO LEONY (CO/NO/NE)"/>
    <n v="0"/>
    <n v="10"/>
    <n v="0"/>
    <n v="0"/>
    <n v="0"/>
  </r>
  <r>
    <x v="0"/>
    <x v="4"/>
    <x v="1"/>
    <n v="11214624000470"/>
    <x v="384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50"/>
  </r>
  <r>
    <x v="0"/>
    <x v="4"/>
    <x v="1"/>
    <n v="11214624000470"/>
    <x v="384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50"/>
  </r>
  <r>
    <x v="0"/>
    <x v="4"/>
    <x v="1"/>
    <n v="10839561000132"/>
    <x v="111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8"/>
    <n v="0"/>
  </r>
  <r>
    <x v="0"/>
    <x v="4"/>
    <x v="1"/>
    <n v="10839561000132"/>
    <x v="111"/>
    <s v="RECIFE"/>
    <s v="PE"/>
    <s v="1-Setorizado"/>
    <n v="2"/>
    <x v="7"/>
    <x v="7"/>
    <s v="Hospitalar (HSP)"/>
    <s v="fernando.leony@cslbehring.com"/>
    <s v="FERNANDO LEONY (CO/NO/NE)"/>
    <n v="0"/>
    <n v="0"/>
    <n v="0"/>
    <n v="0"/>
    <n v="0"/>
  </r>
  <r>
    <x v="0"/>
    <x v="4"/>
    <x v="1"/>
    <n v="15126437000224"/>
    <x v="112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26437000224"/>
    <x v="112"/>
    <s v="TERESINA"/>
    <s v="PI"/>
    <s v="1-Setorizado"/>
    <n v="2"/>
    <x v="3"/>
    <x v="3"/>
    <s v="Hospitalar (HSP)"/>
    <s v="fernando.leony@cslbehring.com"/>
    <s v="FERNANDO LEONY (CO/NO/NE)"/>
    <n v="0"/>
    <n v="10"/>
    <n v="0"/>
    <n v="0"/>
    <n v="0"/>
  </r>
  <r>
    <x v="0"/>
    <x v="4"/>
    <x v="1"/>
    <n v="6555031000276"/>
    <x v="113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64"/>
    <n v="0"/>
  </r>
  <r>
    <x v="0"/>
    <x v="4"/>
    <x v="1"/>
    <n v="6555031000276"/>
    <x v="113"/>
    <s v="TERESINA"/>
    <s v="PI"/>
    <s v="1-Setorizado"/>
    <n v="2"/>
    <x v="3"/>
    <x v="3"/>
    <s v="Hospitalar (HSP)"/>
    <s v="fernando.leony@cslbehring.com"/>
    <s v="FERNANDO LEONY (CO/NO/NE)"/>
    <n v="0"/>
    <n v="5"/>
    <n v="0"/>
    <n v="0"/>
    <n v="0"/>
  </r>
  <r>
    <x v="0"/>
    <x v="4"/>
    <x v="1"/>
    <n v="6553564000138"/>
    <x v="584"/>
    <s v="TERESINA"/>
    <s v="PI"/>
    <s v="1-Setorizado"/>
    <n v="2"/>
    <x v="0"/>
    <x v="0"/>
    <s v="Especialidade (ESP)"/>
    <s v="fernando.leony@cslbehring.com"/>
    <s v="FERNANDO LEONY (CO/NO/NE)"/>
    <n v="0"/>
    <n v="0"/>
    <n v="0"/>
    <n v="0"/>
    <n v="210"/>
  </r>
  <r>
    <x v="0"/>
    <x v="4"/>
    <x v="1"/>
    <n v="6553564000138"/>
    <x v="584"/>
    <s v="TERESINA"/>
    <s v="PI"/>
    <s v="1-Setorizado"/>
    <n v="2"/>
    <x v="3"/>
    <x v="3"/>
    <s v="Hospitalar (HSP)"/>
    <s v="fernando.leony@cslbehring.com"/>
    <s v="FERNANDO LEONY (CO/NO/NE)"/>
    <n v="0"/>
    <n v="0"/>
    <n v="0"/>
    <n v="0"/>
    <n v="210"/>
  </r>
  <r>
    <x v="0"/>
    <x v="4"/>
    <x v="1"/>
    <n v="81170003000256"/>
    <x v="585"/>
    <s v="CASCAVEL"/>
    <s v="PR"/>
    <s v="1-Setorizado"/>
    <n v="2"/>
    <x v="8"/>
    <x v="8"/>
    <s v="Especialidade (ESP)"/>
    <s v="rafael.esteves@cslbehring.com"/>
    <s v="RAFAEL ESTEVES (RJ/SPI/SUL)"/>
    <n v="1"/>
    <n v="0"/>
    <n v="0"/>
    <n v="0"/>
    <n v="0"/>
  </r>
  <r>
    <x v="0"/>
    <x v="4"/>
    <x v="1"/>
    <n v="81170003000256"/>
    <x v="585"/>
    <s v="CASCAVEL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4"/>
    <x v="1"/>
    <n v="21998635000108"/>
    <x v="116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4"/>
    <x v="1"/>
    <n v="21998635000108"/>
    <x v="116"/>
    <s v="CASCAVEL"/>
    <s v="PR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4"/>
    <x v="1"/>
    <n v="81733115000197"/>
    <x v="586"/>
    <s v="CIANORTE"/>
    <s v="PR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4"/>
    <x v="1"/>
    <n v="81733115000197"/>
    <x v="586"/>
    <s v="CIANORTE"/>
    <s v="PR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4"/>
    <x v="1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60"/>
    <n v="5000"/>
  </r>
  <r>
    <x v="0"/>
    <x v="4"/>
    <x v="1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000"/>
  </r>
  <r>
    <x v="0"/>
    <x v="4"/>
    <x v="1"/>
    <n v="7404052000172"/>
    <x v="11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45"/>
  </r>
  <r>
    <x v="0"/>
    <x v="4"/>
    <x v="1"/>
    <n v="7404052000172"/>
    <x v="11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45"/>
  </r>
  <r>
    <x v="0"/>
    <x v="4"/>
    <x v="1"/>
    <n v="76591569000130"/>
    <x v="121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375"/>
  </r>
  <r>
    <x v="0"/>
    <x v="4"/>
    <x v="1"/>
    <n v="76591569000130"/>
    <x v="121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375"/>
  </r>
  <r>
    <x v="0"/>
    <x v="4"/>
    <x v="1"/>
    <n v="76498013000102"/>
    <x v="38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10"/>
  </r>
  <r>
    <x v="0"/>
    <x v="4"/>
    <x v="1"/>
    <n v="76498013000102"/>
    <x v="38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10"/>
  </r>
  <r>
    <x v="0"/>
    <x v="4"/>
    <x v="1"/>
    <n v="76555069000143"/>
    <x v="124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85"/>
  </r>
  <r>
    <x v="0"/>
    <x v="4"/>
    <x v="1"/>
    <n v="76555069000143"/>
    <x v="124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285"/>
  </r>
  <r>
    <x v="0"/>
    <x v="4"/>
    <x v="1"/>
    <n v="81190449000242"/>
    <x v="58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15"/>
  </r>
  <r>
    <x v="0"/>
    <x v="4"/>
    <x v="1"/>
    <n v="81190449000242"/>
    <x v="58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15"/>
  </r>
  <r>
    <x v="0"/>
    <x v="4"/>
    <x v="1"/>
    <n v="6943723000100"/>
    <x v="588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0"/>
  </r>
  <r>
    <x v="0"/>
    <x v="4"/>
    <x v="1"/>
    <n v="6943723000100"/>
    <x v="588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170"/>
  </r>
  <r>
    <x v="0"/>
    <x v="4"/>
    <x v="1"/>
    <n v="29435005005600"/>
    <x v="125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55"/>
  </r>
  <r>
    <x v="0"/>
    <x v="4"/>
    <x v="1"/>
    <n v="29435005005600"/>
    <x v="125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55"/>
  </r>
  <r>
    <x v="0"/>
    <x v="4"/>
    <x v="1"/>
    <n v="3850913000195"/>
    <x v="12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30"/>
  </r>
  <r>
    <x v="0"/>
    <x v="4"/>
    <x v="1"/>
    <n v="3850913000195"/>
    <x v="12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630"/>
  </r>
  <r>
    <x v="0"/>
    <x v="4"/>
    <x v="1"/>
    <n v="30117769000155"/>
    <x v="129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4"/>
    <x v="1"/>
    <n v="30117769000155"/>
    <x v="129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4"/>
    <x v="1"/>
    <n v="78044815000240"/>
    <x v="589"/>
    <s v="GUARAPUAVA"/>
    <s v="PR"/>
    <s v="1-Setorizado"/>
    <n v="2"/>
    <x v="8"/>
    <x v="8"/>
    <s v="Especialidade (ESP)"/>
    <s v="rafael.esteves@cslbehring.com"/>
    <s v="RAFAEL ESTEVES (RJ/SPI/SUL)"/>
    <n v="0"/>
    <n v="0"/>
    <n v="0"/>
    <n v="0"/>
    <n v="75"/>
  </r>
  <r>
    <x v="0"/>
    <x v="4"/>
    <x v="1"/>
    <n v="78044815000240"/>
    <x v="589"/>
    <s v="GUARAPUAVA"/>
    <s v="PR"/>
    <s v="1-Setorizado"/>
    <n v="2"/>
    <x v="9"/>
    <x v="9"/>
    <s v="Hospitalar (HSP)"/>
    <s v="rafael.esteves@cslbehring.com"/>
    <s v="RAFAEL ESTEVES (RJ/SPI/SUL)"/>
    <n v="0"/>
    <n v="0"/>
    <n v="0"/>
    <n v="0"/>
    <n v="75"/>
  </r>
  <r>
    <x v="0"/>
    <x v="4"/>
    <x v="1"/>
    <n v="78633088000176"/>
    <x v="389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25"/>
  </r>
  <r>
    <x v="0"/>
    <x v="4"/>
    <x v="1"/>
    <n v="78633088000176"/>
    <x v="389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25"/>
  </r>
  <r>
    <x v="0"/>
    <x v="4"/>
    <x v="1"/>
    <n v="75222224001895"/>
    <x v="132"/>
    <s v="LONDRINA"/>
    <s v="PR"/>
    <s v="1-Setorizado"/>
    <n v="2"/>
    <x v="8"/>
    <x v="8"/>
    <s v="Especialidade (ESP)"/>
    <s v="rafael.esteves@cslbehring.com"/>
    <s v="RAFAEL ESTEVES (RJ/SPI/SUL)"/>
    <n v="0"/>
    <n v="0"/>
    <n v="0"/>
    <n v="0"/>
    <n v="630"/>
  </r>
  <r>
    <x v="0"/>
    <x v="4"/>
    <x v="1"/>
    <n v="75222224001895"/>
    <x v="132"/>
    <s v="LONDRINA"/>
    <s v="PR"/>
    <s v="1-Setorizado"/>
    <n v="2"/>
    <x v="9"/>
    <x v="9"/>
    <s v="Hospitalar (HSP)"/>
    <s v="rafael.esteves@cslbehring.com"/>
    <s v="RAFAEL ESTEVES (RJ/SPI/SUL)"/>
    <n v="0"/>
    <n v="0"/>
    <n v="0"/>
    <n v="0"/>
    <n v="630"/>
  </r>
  <r>
    <x v="0"/>
    <x v="4"/>
    <x v="1"/>
    <n v="79115762000193"/>
    <x v="391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5"/>
  </r>
  <r>
    <x v="0"/>
    <x v="4"/>
    <x v="1"/>
    <n v="79115762000193"/>
    <x v="391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175"/>
  </r>
  <r>
    <x v="0"/>
    <x v="4"/>
    <x v="1"/>
    <n v="77265361000194"/>
    <x v="133"/>
    <s v="MARINGÁ"/>
    <s v="PR"/>
    <s v="1-Setorizado"/>
    <n v="2"/>
    <x v="8"/>
    <x v="8"/>
    <s v="Especialidade (ESP)"/>
    <s v="rafael.esteves@cslbehring.com"/>
    <s v="RAFAEL ESTEVES (RJ/SPI/SUL)"/>
    <n v="0"/>
    <n v="0"/>
    <n v="0"/>
    <n v="0"/>
    <n v="175"/>
  </r>
  <r>
    <x v="0"/>
    <x v="4"/>
    <x v="1"/>
    <n v="77265361000194"/>
    <x v="133"/>
    <s v="MARINGÁ"/>
    <s v="PR"/>
    <s v="1-Setorizado"/>
    <n v="2"/>
    <x v="9"/>
    <x v="9"/>
    <s v="Hospitalar (HSP)"/>
    <s v="rafael.esteves@cslbehring.com"/>
    <s v="RAFAEL ESTEVES (RJ/SPI/SUL)"/>
    <n v="0"/>
    <n v="0"/>
    <n v="0"/>
    <n v="0"/>
    <n v="175"/>
  </r>
  <r>
    <x v="0"/>
    <x v="4"/>
    <x v="1"/>
    <n v="77781706000243"/>
    <x v="590"/>
    <s v="PONTA GROSSA"/>
    <s v="PR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4"/>
    <x v="1"/>
    <n v="77781706000243"/>
    <x v="590"/>
    <s v="PONTA GROSSA"/>
    <s v="PR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4"/>
    <x v="1"/>
    <n v="7794623002257"/>
    <x v="134"/>
    <s v="SÃO JOSÉ DOS PINHAIS"/>
    <s v="PR"/>
    <s v="1-Setorizado"/>
    <n v="2"/>
    <x v="8"/>
    <x v="8"/>
    <s v="Especialidade (ESP)"/>
    <s v="rafael.esteves@cslbehring.com"/>
    <s v="RAFAEL ESTEVES (RJ/SPI/SUL)"/>
    <n v="0"/>
    <n v="0"/>
    <n v="0"/>
    <n v="0"/>
    <n v="290"/>
  </r>
  <r>
    <x v="0"/>
    <x v="4"/>
    <x v="1"/>
    <n v="7794623002257"/>
    <x v="134"/>
    <s v="SÃO JOSÉ DOS PINHAIS"/>
    <s v="PR"/>
    <s v="1-Setorizado"/>
    <n v="2"/>
    <x v="9"/>
    <x v="9"/>
    <s v="Hospitalar (HSP)"/>
    <s v="rafael.esteves@cslbehring.com"/>
    <s v="RAFAEL ESTEVES (RJ/SPI/SUL)"/>
    <n v="0"/>
    <n v="0"/>
    <n v="0"/>
    <n v="0"/>
    <n v="290"/>
  </r>
  <r>
    <x v="0"/>
    <x v="4"/>
    <x v="1"/>
    <n v="36238913000198"/>
    <x v="392"/>
    <s v="ANGRA DOS REIS"/>
    <s v="RJ"/>
    <s v="1-Setorizado"/>
    <n v="2"/>
    <x v="10"/>
    <x v="10"/>
    <s v="Especialidade (ESP)"/>
    <s v="rafael.esteves@cslbehring.com"/>
    <s v="RAFAEL ESTEVES (RJ/SPI/SUL)"/>
    <n v="0"/>
    <n v="0"/>
    <n v="0"/>
    <n v="112"/>
    <n v="0"/>
  </r>
  <r>
    <x v="0"/>
    <x v="4"/>
    <x v="1"/>
    <n v="36238913000198"/>
    <x v="392"/>
    <s v="ANGRA DOS RE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4"/>
    <x v="1"/>
    <n v="6047087001372"/>
    <x v="135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6047087001372"/>
    <x v="135"/>
    <s v="DUQUE DE CAXIAS"/>
    <s v="RJ"/>
    <s v="1-Setorizado"/>
    <n v="2"/>
    <x v="11"/>
    <x v="11"/>
    <s v="Hospitalar (HSP)"/>
    <s v="rafael.esteves@cslbehring.com"/>
    <s v="RAFAEL ESTEVES (RJ/SPI/SUL)"/>
    <n v="0"/>
    <n v="7"/>
    <n v="0"/>
    <n v="0"/>
    <n v="0"/>
  </r>
  <r>
    <x v="0"/>
    <x v="4"/>
    <x v="1"/>
    <n v="29435005003497"/>
    <x v="394"/>
    <s v="DUQUE DE CAXIAS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0"/>
  </r>
  <r>
    <x v="0"/>
    <x v="4"/>
    <x v="1"/>
    <n v="29435005003497"/>
    <x v="394"/>
    <s v="DUQUE DE CAXIAS"/>
    <s v="RJ"/>
    <s v="1-Setorizado"/>
    <n v="2"/>
    <x v="12"/>
    <x v="12"/>
    <s v="Hospitalar (HSP)"/>
    <s v="rafael.esteves@cslbehring.com"/>
    <s v="RAFAEL ESTEVES (RJ/SPI/SUL)"/>
    <n v="0"/>
    <n v="0"/>
    <n v="0"/>
    <n v="0"/>
    <n v="100"/>
  </r>
  <r>
    <x v="0"/>
    <x v="4"/>
    <x v="1"/>
    <n v="29640612000120"/>
    <x v="395"/>
    <s v="ITAPERUNA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9640612000120"/>
    <x v="395"/>
    <s v="ITAPERUNA"/>
    <s v="RJ"/>
    <s v="1-Setorizado"/>
    <n v="2"/>
    <x v="12"/>
    <x v="12"/>
    <s v="Hospitalar (HSP)"/>
    <s v="rafael.esteves@cslbehring.com"/>
    <s v="RAFAEL ESTEVES (RJ/SPI/SUL)"/>
    <n v="0"/>
    <n v="4"/>
    <n v="0"/>
    <n v="0"/>
    <n v="0"/>
  </r>
  <r>
    <x v="0"/>
    <x v="4"/>
    <x v="1"/>
    <n v="15126437003673"/>
    <x v="591"/>
    <s v="NITERO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0"/>
  </r>
  <r>
    <x v="0"/>
    <x v="4"/>
    <x v="1"/>
    <n v="15126437003673"/>
    <x v="591"/>
    <s v="NITEROI"/>
    <s v="RJ"/>
    <s v="1-Setorizado"/>
    <n v="2"/>
    <x v="11"/>
    <x v="11"/>
    <s v="Hospitalar (HSP)"/>
    <s v="rafael.esteves@cslbehring.com"/>
    <s v="RAFAEL ESTEVES (RJ/SPI/SUL)"/>
    <n v="0"/>
    <n v="5"/>
    <n v="0"/>
    <n v="0"/>
    <n v="100"/>
  </r>
  <r>
    <x v="0"/>
    <x v="4"/>
    <x v="1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206"/>
    <n v="35"/>
  </r>
  <r>
    <x v="0"/>
    <x v="4"/>
    <x v="1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35"/>
  </r>
  <r>
    <x v="0"/>
    <x v="4"/>
    <x v="1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910"/>
  </r>
  <r>
    <x v="0"/>
    <x v="4"/>
    <x v="1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53"/>
    <n v="28"/>
    <n v="0"/>
    <n v="910"/>
  </r>
  <r>
    <x v="0"/>
    <x v="4"/>
    <x v="1"/>
    <n v="31671480000308"/>
    <x v="592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31671480000308"/>
    <x v="592"/>
    <s v="NITERÓI"/>
    <s v="RJ"/>
    <s v="1-Setorizado"/>
    <n v="2"/>
    <x v="11"/>
    <x v="11"/>
    <s v="Hospitalar (HSP)"/>
    <s v="rafael.esteves@cslbehring.com"/>
    <s v="RAFAEL ESTEVES (RJ/SPI/SUL)"/>
    <n v="0"/>
    <n v="10"/>
    <n v="0"/>
    <n v="0"/>
    <n v="0"/>
  </r>
  <r>
    <x v="0"/>
    <x v="4"/>
    <x v="1"/>
    <n v="521197000104"/>
    <x v="139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10"/>
  </r>
  <r>
    <x v="0"/>
    <x v="4"/>
    <x v="1"/>
    <n v="521197000104"/>
    <x v="139"/>
    <s v="NITERÓI"/>
    <s v="RJ"/>
    <s v="1-Setorizado"/>
    <n v="2"/>
    <x v="12"/>
    <x v="12"/>
    <s v="Hospitalar (HSP)"/>
    <s v="rafael.esteves@cslbehring.com"/>
    <s v="RAFAEL ESTEVES (RJ/SPI/SUL)"/>
    <n v="0"/>
    <n v="0"/>
    <n v="0"/>
    <n v="0"/>
    <n v="310"/>
  </r>
  <r>
    <x v="0"/>
    <x v="4"/>
    <x v="1"/>
    <n v="29135795000208"/>
    <x v="140"/>
    <s v="NOVA FRIBURG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75"/>
  </r>
  <r>
    <x v="0"/>
    <x v="4"/>
    <x v="1"/>
    <n v="29135795000208"/>
    <x v="140"/>
    <s v="NOVA FRIBURGO"/>
    <s v="RJ"/>
    <s v="1-Setorizado"/>
    <n v="2"/>
    <x v="12"/>
    <x v="12"/>
    <s v="Hospitalar (HSP)"/>
    <s v="rafael.esteves@cslbehring.com"/>
    <s v="RAFAEL ESTEVES (RJ/SPI/SUL)"/>
    <n v="0"/>
    <n v="0"/>
    <n v="0"/>
    <n v="0"/>
    <n v="75"/>
  </r>
  <r>
    <x v="0"/>
    <x v="4"/>
    <x v="1"/>
    <n v="7794623001528"/>
    <x v="141"/>
    <s v="NOVA IGUAÇU"/>
    <s v="RJ"/>
    <s v="1-Setorizado"/>
    <n v="2"/>
    <x v="10"/>
    <x v="10"/>
    <s v="Especialidade (ESP)"/>
    <s v="rafael.esteves@cslbehring.com"/>
    <s v="RAFAEL ESTEVES (RJ/SPI/SUL)"/>
    <n v="0"/>
    <n v="0"/>
    <n v="0"/>
    <n v="14"/>
    <n v="0"/>
  </r>
  <r>
    <x v="0"/>
    <x v="4"/>
    <x v="1"/>
    <n v="7794623001528"/>
    <x v="141"/>
    <s v="NOVA IGUAÇU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4"/>
    <x v="1"/>
    <n v="28806545000532"/>
    <x v="142"/>
    <s v="PETRÓPOLIS"/>
    <s v="RJ"/>
    <s v="1-Setorizado"/>
    <n v="2"/>
    <x v="10"/>
    <x v="10"/>
    <s v="Especialidade (ESP)"/>
    <s v="rafael.esteves@cslbehring.com"/>
    <s v="RAFAEL ESTEVES (RJ/SPI/SUL)"/>
    <n v="0"/>
    <n v="0"/>
    <n v="0"/>
    <n v="72"/>
    <n v="0"/>
  </r>
  <r>
    <x v="0"/>
    <x v="4"/>
    <x v="1"/>
    <n v="28806545000532"/>
    <x v="142"/>
    <s v="PETRÓPOLIS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4"/>
    <x v="1"/>
    <n v="68709211000212"/>
    <x v="143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475"/>
  </r>
  <r>
    <x v="0"/>
    <x v="4"/>
    <x v="1"/>
    <n v="68709211000212"/>
    <x v="143"/>
    <s v="RESENDE"/>
    <s v="RJ"/>
    <s v="1-Setorizado"/>
    <n v="2"/>
    <x v="12"/>
    <x v="12"/>
    <s v="Hospitalar (HSP)"/>
    <s v="rafael.esteves@cslbehring.com"/>
    <s v="RAFAEL ESTEVES (RJ/SPI/SUL)"/>
    <n v="0"/>
    <n v="0"/>
    <n v="0"/>
    <n v="0"/>
    <n v="475"/>
  </r>
  <r>
    <x v="0"/>
    <x v="4"/>
    <x v="1"/>
    <n v="29072642000188"/>
    <x v="144"/>
    <s v="RESENDE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9072642000188"/>
    <x v="144"/>
    <s v="RESENDE"/>
    <s v="RJ"/>
    <s v="1-Setorizado"/>
    <n v="2"/>
    <x v="12"/>
    <x v="12"/>
    <s v="Hospitalar (HSP)"/>
    <s v="rafael.esteves@cslbehring.com"/>
    <s v="RAFAEL ESTEVES (RJ/SPI/SUL)"/>
    <n v="0"/>
    <n v="6"/>
    <n v="0"/>
    <n v="0"/>
    <n v="0"/>
  </r>
  <r>
    <x v="0"/>
    <x v="4"/>
    <x v="1"/>
    <n v="33575127000600"/>
    <x v="59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75"/>
  </r>
  <r>
    <x v="0"/>
    <x v="4"/>
    <x v="1"/>
    <n v="33575127000600"/>
    <x v="59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75"/>
  </r>
  <r>
    <x v="0"/>
    <x v="4"/>
    <x v="1"/>
    <n v="60922168000348"/>
    <x v="14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80"/>
  </r>
  <r>
    <x v="0"/>
    <x v="4"/>
    <x v="1"/>
    <n v="60922168000348"/>
    <x v="146"/>
    <s v="RIO DE JANEIRO"/>
    <s v="RJ"/>
    <s v="1-Setorizado"/>
    <n v="2"/>
    <x v="11"/>
    <x v="11"/>
    <s v="Hospitalar (HSP)"/>
    <s v="rafael.esteves@cslbehring.com"/>
    <s v="RAFAEL ESTEVES (RJ/SPI/SUL)"/>
    <n v="0"/>
    <n v="12"/>
    <n v="0"/>
    <n v="0"/>
    <n v="380"/>
  </r>
  <r>
    <x v="0"/>
    <x v="4"/>
    <x v="1"/>
    <n v="7794623004896"/>
    <x v="14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400"/>
  </r>
  <r>
    <x v="0"/>
    <x v="4"/>
    <x v="1"/>
    <n v="7794623004896"/>
    <x v="147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400"/>
  </r>
  <r>
    <x v="0"/>
    <x v="4"/>
    <x v="1"/>
    <n v="2864097000106"/>
    <x v="14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80"/>
  </r>
  <r>
    <x v="0"/>
    <x v="4"/>
    <x v="1"/>
    <n v="2864097000106"/>
    <x v="14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80"/>
  </r>
  <r>
    <x v="0"/>
    <x v="4"/>
    <x v="1"/>
    <n v="10922058000146"/>
    <x v="59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50"/>
  </r>
  <r>
    <x v="0"/>
    <x v="4"/>
    <x v="1"/>
    <n v="10922058000146"/>
    <x v="594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50"/>
  </r>
  <r>
    <x v="0"/>
    <x v="4"/>
    <x v="1"/>
    <n v="39086160000130"/>
    <x v="15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20"/>
    <n v="200"/>
  </r>
  <r>
    <x v="0"/>
    <x v="4"/>
    <x v="1"/>
    <n v="39086160000130"/>
    <x v="15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0"/>
  </r>
  <r>
    <x v="0"/>
    <x v="4"/>
    <x v="1"/>
    <n v="10834118000179"/>
    <x v="595"/>
    <s v="RIO DE JANEIRO"/>
    <s v="RJ"/>
    <s v="0-Setorizar"/>
    <n v="0"/>
    <x v="22"/>
    <x v="22"/>
    <m/>
    <m/>
    <m/>
    <n v="0"/>
    <n v="0"/>
    <n v="0"/>
    <n v="0"/>
    <n v="0"/>
  </r>
  <r>
    <x v="0"/>
    <x v="4"/>
    <x v="1"/>
    <n v="21265360000195"/>
    <x v="15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4"/>
    <x v="1"/>
    <n v="21265360000195"/>
    <x v="152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4"/>
    <x v="1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6"/>
    <n v="0"/>
  </r>
  <r>
    <x v="0"/>
    <x v="4"/>
    <x v="1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4"/>
    <x v="1"/>
    <n v="73696718000219"/>
    <x v="15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73696718000219"/>
    <x v="154"/>
    <s v="RIO DE JANEIRO"/>
    <s v="RJ"/>
    <s v="1-Setorizado"/>
    <n v="2"/>
    <x v="12"/>
    <x v="12"/>
    <s v="Hospitalar (HSP)"/>
    <s v="rafael.esteves@cslbehring.com"/>
    <s v="RAFAEL ESTEVES (RJ/SPI/SUL)"/>
    <n v="0"/>
    <n v="5"/>
    <n v="8"/>
    <n v="0"/>
    <n v="0"/>
  </r>
  <r>
    <x v="0"/>
    <x v="4"/>
    <x v="1"/>
    <n v="2284062000521"/>
    <x v="15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284062000521"/>
    <x v="155"/>
    <s v="RIO DE JANEIRO"/>
    <s v="RJ"/>
    <s v="1-Setorizado"/>
    <n v="2"/>
    <x v="12"/>
    <x v="12"/>
    <s v="Hospitalar (HSP)"/>
    <s v="rafael.esteves@cslbehring.com"/>
    <s v="RAFAEL ESTEVES (RJ/SPI/SUL)"/>
    <n v="0"/>
    <n v="5"/>
    <n v="0"/>
    <n v="0"/>
    <n v="0"/>
  </r>
  <r>
    <x v="0"/>
    <x v="4"/>
    <x v="1"/>
    <n v="24217779000160"/>
    <x v="15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4217779000160"/>
    <x v="156"/>
    <s v="RIO DE JANEIRO"/>
    <s v="RJ"/>
    <s v="1-Setorizado"/>
    <n v="2"/>
    <x v="12"/>
    <x v="12"/>
    <s v="Hospitalar (HSP)"/>
    <s v="rafael.esteves@cslbehring.com"/>
    <s v="RAFAEL ESTEVES (RJ/SPI/SUL)"/>
    <n v="0"/>
    <n v="4"/>
    <n v="3"/>
    <n v="0"/>
    <n v="0"/>
  </r>
  <r>
    <x v="0"/>
    <x v="4"/>
    <x v="1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24"/>
    <n v="120"/>
  </r>
  <r>
    <x v="0"/>
    <x v="4"/>
    <x v="1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20"/>
  </r>
  <r>
    <x v="0"/>
    <x v="4"/>
    <x v="1"/>
    <n v="6047087002697"/>
    <x v="16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6047087002697"/>
    <x v="160"/>
    <s v="RIO DE JANEIRO"/>
    <s v="RJ"/>
    <s v="1-Setorizado"/>
    <n v="2"/>
    <x v="11"/>
    <x v="11"/>
    <s v="Hospitalar (HSP)"/>
    <s v="rafael.esteves@cslbehring.com"/>
    <s v="RAFAEL ESTEVES (RJ/SPI/SUL)"/>
    <n v="0"/>
    <n v="0"/>
    <n v="4"/>
    <n v="0"/>
    <n v="0"/>
  </r>
  <r>
    <x v="0"/>
    <x v="4"/>
    <x v="1"/>
    <n v="27901222000131"/>
    <x v="16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7901222000131"/>
    <x v="163"/>
    <s v="RIO DE JANEIRO"/>
    <s v="RJ"/>
    <s v="1-Setorizado"/>
    <n v="2"/>
    <x v="11"/>
    <x v="11"/>
    <s v="Hospitalar (HSP)"/>
    <s v="rafael.esteves@cslbehring.com"/>
    <s v="RAFAEL ESTEVES (RJ/SPI/SUL)"/>
    <n v="0"/>
    <n v="1"/>
    <n v="0"/>
    <n v="0"/>
    <n v="0"/>
  </r>
  <r>
    <x v="0"/>
    <x v="4"/>
    <x v="1"/>
    <n v="33705849000543"/>
    <x v="596"/>
    <s v="RIO DE JANEIRO"/>
    <s v="RJ"/>
    <s v="0-Setorizar"/>
    <n v="0"/>
    <x v="22"/>
    <x v="22"/>
    <m/>
    <m/>
    <m/>
    <n v="0"/>
    <n v="0"/>
    <n v="0"/>
    <n v="0"/>
    <n v="0"/>
  </r>
  <r>
    <x v="0"/>
    <x v="4"/>
    <x v="1"/>
    <n v="394502014870"/>
    <x v="40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000"/>
  </r>
  <r>
    <x v="0"/>
    <x v="4"/>
    <x v="1"/>
    <n v="394502014870"/>
    <x v="403"/>
    <s v="RIO DE JANEIRO"/>
    <s v="RJ"/>
    <s v="1-Setorizado"/>
    <n v="2"/>
    <x v="12"/>
    <x v="12"/>
    <s v="Hospitalar (HSP)"/>
    <s v="rafael.esteves@cslbehring.com"/>
    <s v="RAFAEL ESTEVES (RJ/SPI/SUL)"/>
    <n v="0"/>
    <n v="10"/>
    <n v="0"/>
    <n v="0"/>
    <n v="1000"/>
  </r>
  <r>
    <x v="0"/>
    <x v="4"/>
    <x v="1"/>
    <n v="9578217000158"/>
    <x v="16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9578217000158"/>
    <x v="167"/>
    <s v="RIO DE JANEIRO"/>
    <s v="RJ"/>
    <s v="1-Setorizado"/>
    <n v="2"/>
    <x v="11"/>
    <x v="11"/>
    <s v="Hospitalar (HSP)"/>
    <s v="rafael.esteves@cslbehring.com"/>
    <s v="RAFAEL ESTEVES (RJ/SPI/SUL)"/>
    <n v="0"/>
    <n v="4"/>
    <n v="3"/>
    <n v="0"/>
    <n v="0"/>
  </r>
  <r>
    <x v="0"/>
    <x v="4"/>
    <x v="1"/>
    <n v="6047087003316"/>
    <x v="16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6047087003316"/>
    <x v="168"/>
    <s v="RIO DE JANEIRO"/>
    <s v="RJ"/>
    <s v="1-Setorizado"/>
    <n v="2"/>
    <x v="11"/>
    <x v="11"/>
    <s v="Hospitalar (HSP)"/>
    <s v="rafael.esteves@cslbehring.com"/>
    <s v="RAFAEL ESTEVES (RJ/SPI/SUL)"/>
    <n v="0"/>
    <n v="0"/>
    <n v="2"/>
    <n v="0"/>
    <n v="0"/>
  </r>
  <r>
    <x v="0"/>
    <x v="4"/>
    <x v="1"/>
    <n v="29435005005783"/>
    <x v="16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5"/>
  </r>
  <r>
    <x v="0"/>
    <x v="4"/>
    <x v="1"/>
    <n v="29435005005783"/>
    <x v="169"/>
    <s v="RIO DE JANEIRO"/>
    <s v="RJ"/>
    <s v="1-Setorizado"/>
    <n v="2"/>
    <x v="12"/>
    <x v="12"/>
    <s v="Hospitalar (HSP)"/>
    <s v="rafael.esteves@cslbehring.com"/>
    <s v="RAFAEL ESTEVES (RJ/SPI/SUL)"/>
    <n v="0"/>
    <n v="0"/>
    <n v="0"/>
    <n v="0"/>
    <n v="25"/>
  </r>
  <r>
    <x v="0"/>
    <x v="4"/>
    <x v="1"/>
    <n v="29435005005198"/>
    <x v="17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4"/>
    <x v="1"/>
    <n v="29435005005198"/>
    <x v="170"/>
    <s v="RIO DE JANEIRO"/>
    <s v="RJ"/>
    <s v="1-Setorizado"/>
    <n v="2"/>
    <x v="11"/>
    <x v="11"/>
    <s v="Hospitalar (HSP)"/>
    <s v="rafael.esteves@cslbehring.com"/>
    <s v="RAFAEL ESTEVES (RJ/SPI/SUL)"/>
    <n v="0"/>
    <n v="10"/>
    <n v="12"/>
    <n v="0"/>
    <n v="200"/>
  </r>
  <r>
    <x v="0"/>
    <x v="4"/>
    <x v="1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41"/>
    <n v="65"/>
    <n v="0"/>
    <n v="0"/>
  </r>
  <r>
    <x v="0"/>
    <x v="4"/>
    <x v="1"/>
    <n v="29259736000403"/>
    <x v="172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29"/>
    <n v="0"/>
  </r>
  <r>
    <x v="0"/>
    <x v="4"/>
    <x v="1"/>
    <n v="29259736000403"/>
    <x v="172"/>
    <s v="RIO DE JANEIRO"/>
    <s v="RJ"/>
    <s v="1-Setorizado"/>
    <n v="2"/>
    <x v="11"/>
    <x v="11"/>
    <s v="Hospitalar (HSP)"/>
    <s v="rafael.esteves@cslbehring.com"/>
    <s v="RAFAEL ESTEVES (RJ/SPI/SUL)"/>
    <n v="0"/>
    <n v="2"/>
    <n v="0"/>
    <n v="0"/>
    <n v="0"/>
  </r>
  <r>
    <x v="0"/>
    <x v="4"/>
    <x v="1"/>
    <n v="8100676002102"/>
    <x v="17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8100676002102"/>
    <x v="173"/>
    <s v="RIO DE JANEIRO"/>
    <s v="RJ"/>
    <s v="1-Setorizado"/>
    <n v="2"/>
    <x v="11"/>
    <x v="11"/>
    <s v="Hospitalar (HSP)"/>
    <s v="rafael.esteves@cslbehring.com"/>
    <s v="RAFAEL ESTEVES (RJ/SPI/SUL)"/>
    <n v="0"/>
    <n v="20"/>
    <n v="10"/>
    <n v="0"/>
    <n v="0"/>
  </r>
  <r>
    <x v="0"/>
    <x v="4"/>
    <x v="1"/>
    <n v="29435005006160"/>
    <x v="174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29435005006160"/>
    <x v="174"/>
    <s v="RIO DE JANEIRO"/>
    <s v="RJ"/>
    <s v="1-Setorizado"/>
    <n v="2"/>
    <x v="11"/>
    <x v="11"/>
    <s v="Hospitalar (HSP)"/>
    <s v="rafael.esteves@cslbehring.com"/>
    <s v="RAFAEL ESTEVES (RJ/SPI/SUL)"/>
    <n v="0"/>
    <n v="0"/>
    <n v="2"/>
    <n v="0"/>
    <n v="0"/>
  </r>
  <r>
    <x v="0"/>
    <x v="4"/>
    <x v="1"/>
    <n v="53221255004995"/>
    <x v="17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53221255004995"/>
    <x v="175"/>
    <s v="RIO DE JANEIRO"/>
    <s v="RJ"/>
    <s v="1-Setorizado"/>
    <n v="2"/>
    <x v="11"/>
    <x v="11"/>
    <s v="Hospitalar (HSP)"/>
    <s v="rafael.esteves@cslbehring.com"/>
    <s v="RAFAEL ESTEVES (RJ/SPI/SUL)"/>
    <n v="0"/>
    <n v="0"/>
    <n v="1"/>
    <n v="0"/>
    <n v="0"/>
  </r>
  <r>
    <x v="0"/>
    <x v="4"/>
    <x v="1"/>
    <n v="60884855001630"/>
    <x v="17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55"/>
  </r>
  <r>
    <x v="0"/>
    <x v="4"/>
    <x v="1"/>
    <n v="60884855001630"/>
    <x v="176"/>
    <s v="RIO DE JANEIRO"/>
    <s v="RJ"/>
    <s v="1-Setorizado"/>
    <n v="2"/>
    <x v="12"/>
    <x v="12"/>
    <s v="Hospitalar (HSP)"/>
    <s v="rafael.esteves@cslbehring.com"/>
    <s v="RAFAEL ESTEVES (RJ/SPI/SUL)"/>
    <n v="0"/>
    <n v="20"/>
    <n v="27"/>
    <n v="0"/>
    <n v="255"/>
  </r>
  <r>
    <x v="0"/>
    <x v="4"/>
    <x v="1"/>
    <n v="18010750000100"/>
    <x v="177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655"/>
  </r>
  <r>
    <x v="0"/>
    <x v="4"/>
    <x v="1"/>
    <n v="18010750000100"/>
    <x v="177"/>
    <s v="RIO DE JANEIRO"/>
    <s v="RJ"/>
    <s v="1-Setorizado"/>
    <n v="2"/>
    <x v="12"/>
    <x v="12"/>
    <s v="Hospitalar (HSP)"/>
    <s v="rafael.esteves@cslbehring.com"/>
    <s v="RAFAEL ESTEVES (RJ/SPI/SUL)"/>
    <n v="0"/>
    <n v="0"/>
    <n v="2"/>
    <n v="0"/>
    <n v="655"/>
  </r>
  <r>
    <x v="0"/>
    <x v="4"/>
    <x v="1"/>
    <n v="8850962000222"/>
    <x v="180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8850962000222"/>
    <x v="180"/>
    <s v="RIO DE JANEIRO"/>
    <s v="RJ"/>
    <s v="1-Setorizado"/>
    <n v="2"/>
    <x v="11"/>
    <x v="11"/>
    <s v="Hospitalar (HSP)"/>
    <s v="rafael.esteves@cslbehring.com"/>
    <s v="RAFAEL ESTEVES (RJ/SPI/SUL)"/>
    <n v="0"/>
    <n v="4"/>
    <n v="7"/>
    <n v="0"/>
    <n v="0"/>
  </r>
  <r>
    <x v="0"/>
    <x v="4"/>
    <x v="1"/>
    <n v="33781055000216"/>
    <x v="18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50"/>
  </r>
  <r>
    <x v="0"/>
    <x v="4"/>
    <x v="1"/>
    <n v="33781055000216"/>
    <x v="181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350"/>
  </r>
  <r>
    <x v="0"/>
    <x v="4"/>
    <x v="1"/>
    <n v="33419482000259"/>
    <x v="18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33419482000259"/>
    <x v="183"/>
    <s v="RIO DE JANEIRO"/>
    <s v="RJ"/>
    <s v="1-Setorizado"/>
    <n v="2"/>
    <x v="11"/>
    <x v="11"/>
    <s v="Hospitalar (HSP)"/>
    <s v="rafael.esteves@cslbehring.com"/>
    <s v="RAFAEL ESTEVES (RJ/SPI/SUL)"/>
    <n v="0"/>
    <n v="6"/>
    <n v="5"/>
    <n v="0"/>
    <n v="0"/>
  </r>
  <r>
    <x v="0"/>
    <x v="4"/>
    <x v="1"/>
    <n v="72101124000506"/>
    <x v="185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55"/>
    <n v="280"/>
  </r>
  <r>
    <x v="0"/>
    <x v="4"/>
    <x v="1"/>
    <n v="72101124000506"/>
    <x v="185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80"/>
  </r>
  <r>
    <x v="0"/>
    <x v="4"/>
    <x v="1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0"/>
    <n v="90"/>
  </r>
  <r>
    <x v="0"/>
    <x v="4"/>
    <x v="1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90"/>
  </r>
  <r>
    <x v="0"/>
    <x v="4"/>
    <x v="1"/>
    <n v="92929000198"/>
    <x v="597"/>
    <s v="RIO DE JANEIRO"/>
    <s v="RJ"/>
    <s v="0-Setorizar"/>
    <n v="0"/>
    <x v="22"/>
    <x v="22"/>
    <m/>
    <m/>
    <m/>
    <n v="0"/>
    <n v="0"/>
    <n v="0"/>
    <n v="0"/>
    <n v="0"/>
  </r>
  <r>
    <x v="0"/>
    <x v="4"/>
    <x v="1"/>
    <n v="42498733000148"/>
    <x v="59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200"/>
  </r>
  <r>
    <x v="0"/>
    <x v="4"/>
    <x v="1"/>
    <n v="42498733000148"/>
    <x v="598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200"/>
  </r>
  <r>
    <x v="0"/>
    <x v="4"/>
    <x v="1"/>
    <n v="9219138000401"/>
    <x v="4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1105"/>
  </r>
  <r>
    <x v="0"/>
    <x v="4"/>
    <x v="1"/>
    <n v="9219138000401"/>
    <x v="488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1105"/>
  </r>
  <r>
    <x v="0"/>
    <x v="4"/>
    <x v="1"/>
    <n v="9219138000584"/>
    <x v="188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104"/>
    <n v="430"/>
  </r>
  <r>
    <x v="0"/>
    <x v="4"/>
    <x v="1"/>
    <n v="9219138000584"/>
    <x v="188"/>
    <s v="RIO DE JANEIRO"/>
    <s v="RJ"/>
    <s v="1-Setorizado"/>
    <n v="2"/>
    <x v="12"/>
    <x v="12"/>
    <s v="Hospitalar (HSP)"/>
    <s v="rafael.esteves@cslbehring.com"/>
    <s v="RAFAEL ESTEVES (RJ/SPI/SUL)"/>
    <n v="0"/>
    <n v="0"/>
    <n v="4"/>
    <n v="0"/>
    <n v="430"/>
  </r>
  <r>
    <x v="0"/>
    <x v="4"/>
    <x v="1"/>
    <n v="28602407000108"/>
    <x v="18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4"/>
    <n v="0"/>
  </r>
  <r>
    <x v="0"/>
    <x v="4"/>
    <x v="1"/>
    <n v="28602407000108"/>
    <x v="189"/>
    <s v="RIO DE JANEIRO"/>
    <s v="RJ"/>
    <s v="1-Setorizado"/>
    <n v="2"/>
    <x v="11"/>
    <x v="11"/>
    <s v="Hospitalar (HSP)"/>
    <s v="rafael.esteves@cslbehring.com"/>
    <s v="RAFAEL ESTEVES (RJ/SPI/SUL)"/>
    <n v="0"/>
    <n v="4"/>
    <n v="0"/>
    <n v="0"/>
    <n v="0"/>
  </r>
  <r>
    <x v="0"/>
    <x v="4"/>
    <x v="1"/>
    <n v="31671480000146"/>
    <x v="599"/>
    <s v="SÃO GONÇAL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4"/>
    <x v="1"/>
    <n v="31671480000146"/>
    <x v="599"/>
    <s v="SÃO GONÇALO"/>
    <s v="RJ"/>
    <s v="1-Setorizado"/>
    <n v="2"/>
    <x v="11"/>
    <x v="11"/>
    <s v="Hospitalar (HSP)"/>
    <s v="rafael.esteves@cslbehring.com"/>
    <s v="RAFAEL ESTEVES (RJ/SPI/SUL)"/>
    <n v="0"/>
    <n v="10"/>
    <n v="0"/>
    <n v="0"/>
    <n v="0"/>
  </r>
  <r>
    <x v="0"/>
    <x v="4"/>
    <x v="1"/>
    <n v="35917970000726"/>
    <x v="405"/>
    <s v="VOLTA REDONDA"/>
    <s v="RJ"/>
    <s v="1-Setorizado"/>
    <n v="2"/>
    <x v="10"/>
    <x v="10"/>
    <s v="Especialidade (ESP)"/>
    <s v="rafael.esteves@cslbehring.com"/>
    <s v="RAFAEL ESTEVES (RJ/SPI/SUL)"/>
    <n v="0"/>
    <n v="0"/>
    <n v="0"/>
    <n v="12"/>
    <n v="0"/>
  </r>
  <r>
    <x v="0"/>
    <x v="4"/>
    <x v="1"/>
    <n v="35917970000726"/>
    <x v="405"/>
    <s v="VOLTA REDONDA"/>
    <s v="RJ"/>
    <s v="1-Setorizado"/>
    <n v="2"/>
    <x v="12"/>
    <x v="12"/>
    <s v="Hospitalar (HSP)"/>
    <s v="rafael.esteves@cslbehring.com"/>
    <s v="RAFAEL ESTEVES (RJ/SPI/SUL)"/>
    <n v="0"/>
    <n v="0"/>
    <n v="0"/>
    <n v="0"/>
    <n v="0"/>
  </r>
  <r>
    <x v="0"/>
    <x v="4"/>
    <x v="1"/>
    <n v="15126437000739"/>
    <x v="192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5126437000739"/>
    <x v="192"/>
    <s v="NATAL"/>
    <s v="RN"/>
    <s v="1-Setorizado"/>
    <n v="2"/>
    <x v="7"/>
    <x v="7"/>
    <s v="Hospitalar (HSP)"/>
    <s v="fernando.leony@cslbehring.com"/>
    <s v="FERNANDO LEONY (CO/NO/NE)"/>
    <n v="0"/>
    <n v="500"/>
    <n v="0"/>
    <n v="0"/>
    <n v="0"/>
  </r>
  <r>
    <x v="0"/>
    <x v="4"/>
    <x v="1"/>
    <n v="29435005009851"/>
    <x v="193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175"/>
  </r>
  <r>
    <x v="0"/>
    <x v="4"/>
    <x v="1"/>
    <n v="29435005009851"/>
    <x v="193"/>
    <s v="NATAL"/>
    <s v="RN"/>
    <s v="1-Setorizado"/>
    <n v="2"/>
    <x v="7"/>
    <x v="7"/>
    <s v="Hospitalar (HSP)"/>
    <s v="fernando.leony@cslbehring.com"/>
    <s v="FERNANDO LEONY (CO/NO/NE)"/>
    <n v="0"/>
    <n v="25"/>
    <n v="0"/>
    <n v="0"/>
    <n v="175"/>
  </r>
  <r>
    <x v="0"/>
    <x v="4"/>
    <x v="1"/>
    <n v="820737000150"/>
    <x v="195"/>
    <s v="NATAL"/>
    <s v="RN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820737000150"/>
    <x v="195"/>
    <s v="NATAL"/>
    <s v="RN"/>
    <s v="1-Setorizado"/>
    <n v="2"/>
    <x v="7"/>
    <x v="7"/>
    <s v="Hospitalar (HSP)"/>
    <s v="fernando.leony@cslbehring.com"/>
    <s v="FERNANDO LEONY (CO/NO/NE)"/>
    <n v="0"/>
    <n v="30"/>
    <n v="9"/>
    <n v="0"/>
    <n v="0"/>
  </r>
  <r>
    <x v="0"/>
    <x v="4"/>
    <x v="1"/>
    <n v="88645403001372"/>
    <x v="411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4"/>
    <x v="1"/>
    <n v="88645403001372"/>
    <x v="411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4"/>
    <x v="1"/>
    <n v="87827689002405"/>
    <x v="199"/>
    <s v="CAXIAS DO SUL"/>
    <s v="RS"/>
    <s v="1-Setorizado"/>
    <n v="2"/>
    <x v="8"/>
    <x v="8"/>
    <s v="Especialidade (ESP)"/>
    <s v="rafael.esteves@cslbehring.com"/>
    <s v="RAFAEL ESTEVES (RJ/SPI/SUL)"/>
    <n v="0"/>
    <n v="0"/>
    <n v="0"/>
    <n v="186"/>
    <n v="0"/>
  </r>
  <r>
    <x v="0"/>
    <x v="4"/>
    <x v="1"/>
    <n v="87827689002405"/>
    <x v="199"/>
    <s v="CAXIAS DO SUL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4"/>
    <x v="1"/>
    <n v="87638334000505"/>
    <x v="413"/>
    <s v="ERECHIM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4"/>
    <x v="1"/>
    <n v="87638334000505"/>
    <x v="413"/>
    <s v="ERECHIM"/>
    <s v="RS"/>
    <s v="1-Setorizado"/>
    <n v="2"/>
    <x v="13"/>
    <x v="13"/>
    <s v="Hospitalar (HSP)"/>
    <s v="rafael.esteves@cslbehring.com"/>
    <s v="RAFAEL ESTEVES (RJ/SPI/SUL)"/>
    <n v="0"/>
    <n v="0"/>
    <n v="0"/>
    <n v="0"/>
    <n v="10"/>
  </r>
  <r>
    <x v="0"/>
    <x v="4"/>
    <x v="1"/>
    <n v="92404789000164"/>
    <x v="414"/>
    <s v="FREDERICO WESTPHALEN"/>
    <s v="RS"/>
    <s v="1-Setorizado"/>
    <n v="2"/>
    <x v="8"/>
    <x v="8"/>
    <s v="Especialidade (ESP)"/>
    <s v="rafael.esteves@cslbehring.com"/>
    <s v="RAFAEL ESTEVES (RJ/SPI/SUL)"/>
    <n v="0"/>
    <n v="0"/>
    <n v="0"/>
    <n v="16"/>
    <n v="0"/>
  </r>
  <r>
    <x v="0"/>
    <x v="4"/>
    <x v="1"/>
    <n v="92404789000164"/>
    <x v="414"/>
    <s v="FREDERICO WESTPHALEN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4"/>
    <x v="1"/>
    <n v="87607149000626"/>
    <x v="203"/>
    <s v="PASSO FUNDO"/>
    <s v="RS"/>
    <s v="1-Setorizado"/>
    <n v="2"/>
    <x v="8"/>
    <x v="8"/>
    <s v="Especialidade (ESP)"/>
    <s v="rafael.esteves@cslbehring.com"/>
    <s v="RAFAEL ESTEVES (RJ/SPI/SUL)"/>
    <n v="0"/>
    <n v="0"/>
    <n v="0"/>
    <n v="0"/>
    <n v="145"/>
  </r>
  <r>
    <x v="0"/>
    <x v="4"/>
    <x v="1"/>
    <n v="87607149000626"/>
    <x v="203"/>
    <s v="PASSO FUNDO"/>
    <s v="RS"/>
    <s v="1-Setorizado"/>
    <n v="2"/>
    <x v="13"/>
    <x v="13"/>
    <s v="Hospitalar (HSP)"/>
    <s v="rafael.esteves@cslbehring.com"/>
    <s v="RAFAEL ESTEVES (RJ/SPI/SUL)"/>
    <n v="0"/>
    <n v="0"/>
    <n v="0"/>
    <n v="0"/>
    <n v="145"/>
  </r>
  <r>
    <x v="0"/>
    <x v="4"/>
    <x v="1"/>
    <n v="92685833000151"/>
    <x v="20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26"/>
    <n v="0"/>
  </r>
  <r>
    <x v="0"/>
    <x v="4"/>
    <x v="1"/>
    <n v="92685833000151"/>
    <x v="204"/>
    <s v="PORTO ALEGRE"/>
    <s v="RS"/>
    <s v="1-Setorizado"/>
    <n v="2"/>
    <x v="13"/>
    <x v="13"/>
    <s v="Hospitalar (HSP)"/>
    <s v="rafael.esteves@cslbehring.com"/>
    <s v="RAFAEL ESTEVES (RJ/SPI/SUL)"/>
    <n v="0"/>
    <n v="6"/>
    <n v="14"/>
    <n v="0"/>
    <n v="0"/>
  </r>
  <r>
    <x v="0"/>
    <x v="4"/>
    <x v="1"/>
    <n v="92898550000198"/>
    <x v="205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92898550000198"/>
    <x v="205"/>
    <s v="PORTO ALEGRE"/>
    <s v="RS"/>
    <s v="1-Setorizado"/>
    <n v="2"/>
    <x v="13"/>
    <x v="13"/>
    <s v="Hospitalar (HSP)"/>
    <s v="rafael.esteves@cslbehring.com"/>
    <s v="RAFAEL ESTEVES (RJ/SPI/SUL)"/>
    <n v="0"/>
    <n v="2"/>
    <n v="1"/>
    <n v="0"/>
    <n v="0"/>
  </r>
  <r>
    <x v="0"/>
    <x v="4"/>
    <x v="1"/>
    <n v="92787118000391"/>
    <x v="207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92787118000391"/>
    <x v="207"/>
    <s v="PORTO ALEGRE"/>
    <s v="RS"/>
    <s v="1-Setorizado"/>
    <n v="2"/>
    <x v="13"/>
    <x v="13"/>
    <s v="Hospitalar (HSP)"/>
    <s v="rafael.esteves@cslbehring.com"/>
    <s v="RAFAEL ESTEVES (RJ/SPI/SUL)"/>
    <n v="0"/>
    <n v="0"/>
    <n v="1"/>
    <n v="0"/>
    <n v="0"/>
  </r>
  <r>
    <x v="0"/>
    <x v="4"/>
    <x v="1"/>
    <n v="87317764001084"/>
    <x v="209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130"/>
  </r>
  <r>
    <x v="0"/>
    <x v="4"/>
    <x v="1"/>
    <n v="87317764001084"/>
    <x v="209"/>
    <s v="PORTO ALEGRE"/>
    <s v="RS"/>
    <s v="1-Setorizado"/>
    <n v="2"/>
    <x v="13"/>
    <x v="13"/>
    <s v="Hospitalar (HSP)"/>
    <s v="rafael.esteves@cslbehring.com"/>
    <s v="RAFAEL ESTEVES (RJ/SPI/SUL)"/>
    <n v="0"/>
    <n v="1"/>
    <n v="0"/>
    <n v="0"/>
    <n v="130"/>
  </r>
  <r>
    <x v="0"/>
    <x v="4"/>
    <x v="1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10"/>
    <n v="0"/>
    <n v="0"/>
    <n v="0"/>
  </r>
  <r>
    <x v="0"/>
    <x v="4"/>
    <x v="1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17"/>
    <n v="0"/>
    <n v="0"/>
    <n v="0"/>
  </r>
  <r>
    <x v="0"/>
    <x v="4"/>
    <x v="1"/>
    <n v="88630413000796"/>
    <x v="212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88630413000796"/>
    <x v="212"/>
    <s v="PORTO ALEGRE"/>
    <s v="RS"/>
    <s v="1-Setorizado"/>
    <n v="2"/>
    <x v="13"/>
    <x v="13"/>
    <s v="Hospitalar (HSP)"/>
    <s v="rafael.esteves@cslbehring.com"/>
    <s v="RAFAEL ESTEVES (RJ/SPI/SUL)"/>
    <n v="0"/>
    <n v="14"/>
    <n v="0"/>
    <n v="0"/>
    <n v="0"/>
  </r>
  <r>
    <x v="0"/>
    <x v="4"/>
    <x v="1"/>
    <n v="94831294000147"/>
    <x v="213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30"/>
  </r>
  <r>
    <x v="0"/>
    <x v="4"/>
    <x v="1"/>
    <n v="94831294000147"/>
    <x v="213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30"/>
  </r>
  <r>
    <x v="0"/>
    <x v="4"/>
    <x v="1"/>
    <n v="92815000000168"/>
    <x v="214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36"/>
    <n v="0"/>
  </r>
  <r>
    <x v="0"/>
    <x v="4"/>
    <x v="1"/>
    <n v="92815000000168"/>
    <x v="214"/>
    <s v="PORTO ALEGRE"/>
    <s v="RS"/>
    <s v="1-Setorizado"/>
    <n v="2"/>
    <x v="13"/>
    <x v="13"/>
    <s v="Hospitalar (HSP)"/>
    <s v="rafael.esteves@cslbehring.com"/>
    <s v="RAFAEL ESTEVES (RJ/SPI/SUL)"/>
    <n v="0"/>
    <n v="20"/>
    <n v="93"/>
    <n v="0"/>
    <n v="0"/>
  </r>
  <r>
    <x v="0"/>
    <x v="4"/>
    <x v="1"/>
    <n v="9087150000230"/>
    <x v="216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8"/>
    <n v="0"/>
  </r>
  <r>
    <x v="0"/>
    <x v="4"/>
    <x v="1"/>
    <n v="9087150000230"/>
    <x v="216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4"/>
    <x v="1"/>
    <n v="12508728000108"/>
    <x v="420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4"/>
    <x v="1"/>
    <n v="12508728000108"/>
    <x v="420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20"/>
  </r>
  <r>
    <x v="0"/>
    <x v="4"/>
    <x v="1"/>
    <n v="15126437001972"/>
    <x v="217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15126437001972"/>
    <x v="217"/>
    <s v="SANTA MARIA"/>
    <s v="RS"/>
    <s v="1-Setorizado"/>
    <n v="2"/>
    <x v="13"/>
    <x v="13"/>
    <s v="Hospitalar (HSP)"/>
    <s v="rafael.esteves@cslbehring.com"/>
    <s v="RAFAEL ESTEVES (RJ/SPI/SUL)"/>
    <n v="0"/>
    <n v="0"/>
    <n v="10"/>
    <n v="0"/>
    <n v="0"/>
  </r>
  <r>
    <x v="0"/>
    <x v="4"/>
    <x v="1"/>
    <n v="95610887000146"/>
    <x v="218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20"/>
    <n v="750"/>
  </r>
  <r>
    <x v="0"/>
    <x v="4"/>
    <x v="1"/>
    <n v="95610887000146"/>
    <x v="218"/>
    <s v="SANTA MARIA"/>
    <s v="RS"/>
    <s v="1-Setorizado"/>
    <n v="2"/>
    <x v="13"/>
    <x v="13"/>
    <s v="Hospitalar (HSP)"/>
    <s v="rafael.esteves@cslbehring.com"/>
    <s v="RAFAEL ESTEVES (RJ/SPI/SUL)"/>
    <n v="0"/>
    <n v="0"/>
    <n v="13"/>
    <n v="0"/>
    <n v="750"/>
  </r>
  <r>
    <x v="0"/>
    <x v="4"/>
    <x v="1"/>
    <n v="9605231000284"/>
    <x v="219"/>
    <s v="SANTA MARIA"/>
    <s v="RS"/>
    <s v="1-Setorizado"/>
    <n v="2"/>
    <x v="8"/>
    <x v="8"/>
    <s v="Especialidade (ESP)"/>
    <s v="rafael.esteves@cslbehring.com"/>
    <s v="RAFAEL ESTEVES (RJ/SPI/SUL)"/>
    <n v="0"/>
    <n v="0"/>
    <n v="0"/>
    <n v="0"/>
    <n v="100"/>
  </r>
  <r>
    <x v="0"/>
    <x v="4"/>
    <x v="1"/>
    <n v="9605231000284"/>
    <x v="219"/>
    <s v="SANTA MARIA"/>
    <s v="RS"/>
    <s v="1-Setorizado"/>
    <n v="2"/>
    <x v="13"/>
    <x v="13"/>
    <s v="Hospitalar (HSP)"/>
    <s v="rafael.esteves@cslbehring.com"/>
    <s v="RAFAEL ESTEVES (RJ/SPI/SUL)"/>
    <n v="0"/>
    <n v="0"/>
    <n v="0"/>
    <n v="0"/>
    <n v="100"/>
  </r>
  <r>
    <x v="0"/>
    <x v="4"/>
    <x v="1"/>
    <n v="1517626000132"/>
    <x v="220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2"/>
    <n v="0"/>
  </r>
  <r>
    <x v="0"/>
    <x v="4"/>
    <x v="1"/>
    <n v="1517626000132"/>
    <x v="220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4"/>
    <x v="1"/>
    <n v="85377174000392"/>
    <x v="221"/>
    <s v="BALNEÁRIO CAMBORIÚ"/>
    <s v="SC"/>
    <s v="1-Setorizado"/>
    <n v="2"/>
    <x v="8"/>
    <x v="8"/>
    <s v="Especialidade (ESP)"/>
    <s v="rafael.esteves@cslbehring.com"/>
    <s v="RAFAEL ESTEVES (RJ/SPI/SUL)"/>
    <n v="0"/>
    <n v="0"/>
    <n v="0"/>
    <n v="14"/>
    <n v="0"/>
  </r>
  <r>
    <x v="0"/>
    <x v="4"/>
    <x v="1"/>
    <n v="85377174000392"/>
    <x v="221"/>
    <s v="BALNEÁRIO CAMBORIÚ"/>
    <s v="SC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4"/>
    <x v="1"/>
    <n v="3354642000187"/>
    <x v="600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15"/>
  </r>
  <r>
    <x v="0"/>
    <x v="4"/>
    <x v="1"/>
    <n v="3354642000187"/>
    <x v="600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15"/>
  </r>
  <r>
    <x v="0"/>
    <x v="4"/>
    <x v="1"/>
    <n v="1880344000103"/>
    <x v="421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20"/>
  </r>
  <r>
    <x v="0"/>
    <x v="4"/>
    <x v="1"/>
    <n v="1880344000103"/>
    <x v="421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20"/>
  </r>
  <r>
    <x v="0"/>
    <x v="4"/>
    <x v="1"/>
    <n v="60922168005226"/>
    <x v="222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60922168005226"/>
    <x v="222"/>
    <s v="BLUMENAU"/>
    <s v="SC"/>
    <s v="1-Setorizado"/>
    <n v="2"/>
    <x v="9"/>
    <x v="9"/>
    <s v="Hospitalar (HSP)"/>
    <s v="rafael.esteves@cslbehring.com"/>
    <s v="RAFAEL ESTEVES (RJ/SPI/SUL)"/>
    <n v="0"/>
    <n v="2"/>
    <n v="2"/>
    <n v="0"/>
    <n v="0"/>
  </r>
  <r>
    <x v="0"/>
    <x v="4"/>
    <x v="1"/>
    <n v="82624776000651"/>
    <x v="223"/>
    <s v="BLUMENAU"/>
    <s v="SC"/>
    <s v="1-Setorizado"/>
    <n v="2"/>
    <x v="8"/>
    <x v="8"/>
    <s v="Especialidade (ESP)"/>
    <s v="rafael.esteves@cslbehring.com"/>
    <s v="RAFAEL ESTEVES (RJ/SPI/SUL)"/>
    <n v="0"/>
    <n v="0"/>
    <n v="0"/>
    <n v="0"/>
    <n v="15"/>
  </r>
  <r>
    <x v="0"/>
    <x v="4"/>
    <x v="1"/>
    <n v="82624776000651"/>
    <x v="223"/>
    <s v="BLUMENAU"/>
    <s v="SC"/>
    <s v="1-Setorizado"/>
    <n v="2"/>
    <x v="9"/>
    <x v="9"/>
    <s v="Hospitalar (HSP)"/>
    <s v="rafael.esteves@cslbehring.com"/>
    <s v="RAFAEL ESTEVES (RJ/SPI/SUL)"/>
    <n v="0"/>
    <n v="0"/>
    <n v="0"/>
    <n v="0"/>
    <n v="15"/>
  </r>
  <r>
    <x v="0"/>
    <x v="4"/>
    <x v="1"/>
    <n v="1554266000300"/>
    <x v="224"/>
    <s v="BRUSQUE"/>
    <s v="SC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4"/>
    <x v="1"/>
    <n v="1554266000300"/>
    <x v="224"/>
    <s v="BRUSQUE"/>
    <s v="SC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4"/>
    <x v="1"/>
    <n v="15126437003401"/>
    <x v="601"/>
    <s v="FLORIANO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15126437003401"/>
    <x v="601"/>
    <s v="FLORIANOPOLIS"/>
    <s v="SC"/>
    <s v="1-Setorizado"/>
    <n v="2"/>
    <x v="9"/>
    <x v="9"/>
    <s v="Hospitalar (HSP)"/>
    <s v="rafael.esteves@cslbehring.com"/>
    <s v="RAFAEL ESTEVES (RJ/SPI/SUL)"/>
    <n v="0"/>
    <n v="0"/>
    <n v="8"/>
    <n v="0"/>
    <n v="0"/>
  </r>
  <r>
    <x v="0"/>
    <x v="4"/>
    <x v="1"/>
    <n v="1125832000105"/>
    <x v="225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140"/>
  </r>
  <r>
    <x v="0"/>
    <x v="4"/>
    <x v="1"/>
    <n v="1125832000105"/>
    <x v="225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140"/>
  </r>
  <r>
    <x v="0"/>
    <x v="4"/>
    <x v="1"/>
    <n v="80673411000187"/>
    <x v="226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64"/>
    <n v="1000"/>
  </r>
  <r>
    <x v="0"/>
    <x v="4"/>
    <x v="1"/>
    <n v="80673411000187"/>
    <x v="226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1000"/>
  </r>
  <r>
    <x v="0"/>
    <x v="4"/>
    <x v="1"/>
    <n v="83899526000425"/>
    <x v="227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300"/>
  </r>
  <r>
    <x v="0"/>
    <x v="4"/>
    <x v="1"/>
    <n v="83899526000425"/>
    <x v="227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300"/>
  </r>
  <r>
    <x v="0"/>
    <x v="4"/>
    <x v="1"/>
    <n v="4670913000176"/>
    <x v="229"/>
    <s v="FLORIANÓPOLIS"/>
    <s v="SC"/>
    <s v="1-Setorizado"/>
    <n v="2"/>
    <x v="8"/>
    <x v="8"/>
    <s v="Especialidade (ESP)"/>
    <s v="rafael.esteves@cslbehring.com"/>
    <s v="RAFAEL ESTEVES (RJ/SPI/SUL)"/>
    <n v="0"/>
    <n v="0"/>
    <n v="0"/>
    <n v="0"/>
    <n v="355"/>
  </r>
  <r>
    <x v="0"/>
    <x v="4"/>
    <x v="1"/>
    <n v="4670913000176"/>
    <x v="229"/>
    <s v="FLORIANÓPOLIS"/>
    <s v="SC"/>
    <s v="1-Setorizado"/>
    <n v="2"/>
    <x v="9"/>
    <x v="9"/>
    <s v="Hospitalar (HSP)"/>
    <s v="rafael.esteves@cslbehring.com"/>
    <s v="RAFAEL ESTEVES (RJ/SPI/SUL)"/>
    <n v="0"/>
    <n v="0"/>
    <n v="0"/>
    <n v="0"/>
    <n v="355"/>
  </r>
  <r>
    <x v="0"/>
    <x v="4"/>
    <x v="1"/>
    <n v="3855214000219"/>
    <x v="548"/>
    <s v="JARAGUÁ DO SUL"/>
    <s v="SC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4"/>
    <x v="1"/>
    <n v="3855214000219"/>
    <x v="548"/>
    <s v="JARAGUÁ DO SUL"/>
    <s v="SC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4"/>
    <x v="1"/>
    <n v="82602327000360"/>
    <x v="602"/>
    <s v="JOINVILLE"/>
    <s v="SC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4"/>
    <x v="1"/>
    <n v="82602327000360"/>
    <x v="602"/>
    <s v="JOINVILLE"/>
    <s v="SC"/>
    <s v="1-Setorizado"/>
    <n v="2"/>
    <x v="9"/>
    <x v="9"/>
    <s v="Hospitalar (HSP)"/>
    <s v="rafael.esteves@cslbehring.com"/>
    <s v="RAFAEL ESTEVES (RJ/SPI/SUL)"/>
    <n v="0"/>
    <n v="6"/>
    <n v="0"/>
    <n v="0"/>
    <n v="0"/>
  </r>
  <r>
    <x v="0"/>
    <x v="4"/>
    <x v="1"/>
    <n v="77858611001414"/>
    <x v="231"/>
    <s v="SÃO JOSÉ"/>
    <s v="SC"/>
    <s v="1-Setorizado"/>
    <n v="2"/>
    <x v="8"/>
    <x v="8"/>
    <s v="Especialidade (ESP)"/>
    <s v="rafael.esteves@cslbehring.com"/>
    <s v="RAFAEL ESTEVES (RJ/SPI/SUL)"/>
    <n v="0"/>
    <n v="0"/>
    <n v="0"/>
    <n v="0"/>
    <n v="325"/>
  </r>
  <r>
    <x v="0"/>
    <x v="4"/>
    <x v="1"/>
    <n v="77858611001414"/>
    <x v="231"/>
    <s v="SÃO JOSÉ"/>
    <s v="SC"/>
    <s v="1-Setorizado"/>
    <n v="2"/>
    <x v="9"/>
    <x v="9"/>
    <s v="Hospitalar (HSP)"/>
    <s v="rafael.esteves@cslbehring.com"/>
    <s v="RAFAEL ESTEVES (RJ/SPI/SUL)"/>
    <n v="0"/>
    <n v="0"/>
    <n v="0"/>
    <n v="0"/>
    <n v="325"/>
  </r>
  <r>
    <x v="0"/>
    <x v="4"/>
    <x v="1"/>
    <n v="80490618000116"/>
    <x v="232"/>
    <s v="TUBARÃO"/>
    <s v="SC"/>
    <s v="1-Setorizado"/>
    <n v="2"/>
    <x v="8"/>
    <x v="8"/>
    <s v="Especialidade (ESP)"/>
    <s v="rafael.esteves@cslbehring.com"/>
    <s v="RAFAEL ESTEVES (RJ/SPI/SUL)"/>
    <n v="0"/>
    <n v="0"/>
    <n v="0"/>
    <n v="0"/>
    <n v="60"/>
  </r>
  <r>
    <x v="0"/>
    <x v="4"/>
    <x v="1"/>
    <n v="80490618000116"/>
    <x v="232"/>
    <s v="TUBARÃO"/>
    <s v="SC"/>
    <s v="1-Setorizado"/>
    <n v="2"/>
    <x v="9"/>
    <x v="9"/>
    <s v="Hospitalar (HSP)"/>
    <s v="rafael.esteves@cslbehring.com"/>
    <s v="RAFAEL ESTEVES (RJ/SPI/SUL)"/>
    <n v="0"/>
    <n v="0"/>
    <n v="0"/>
    <n v="0"/>
    <n v="60"/>
  </r>
  <r>
    <x v="0"/>
    <x v="4"/>
    <x v="1"/>
    <n v="12361267000517"/>
    <x v="233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30"/>
  </r>
  <r>
    <x v="0"/>
    <x v="4"/>
    <x v="1"/>
    <n v="12361267000517"/>
    <x v="233"/>
    <s v="ARACAJU"/>
    <s v="SE"/>
    <s v="1-Setorizado"/>
    <n v="2"/>
    <x v="1"/>
    <x v="1"/>
    <s v="Hospitalar (HSP)"/>
    <s v="fernando.leony@cslbehring.com"/>
    <s v="FERNANDO LEONY (CO/NO/NE)"/>
    <n v="0"/>
    <n v="2"/>
    <n v="0"/>
    <n v="0"/>
    <n v="30"/>
  </r>
  <r>
    <x v="0"/>
    <x v="4"/>
    <x v="1"/>
    <n v="13016332000106"/>
    <x v="23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4"/>
    <x v="1"/>
    <n v="13016332000106"/>
    <x v="234"/>
    <s v="ARACAJU"/>
    <s v="SE"/>
    <s v="1-Setorizado"/>
    <n v="2"/>
    <x v="1"/>
    <x v="1"/>
    <s v="Hospitalar (HSP)"/>
    <s v="fernando.leony@cslbehring.com"/>
    <s v="FERNANDO LEONY (CO/NO/NE)"/>
    <n v="0"/>
    <n v="0"/>
    <n v="4"/>
    <n v="0"/>
    <n v="0"/>
  </r>
  <r>
    <x v="0"/>
    <x v="4"/>
    <x v="1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66"/>
    <n v="200"/>
  </r>
  <r>
    <x v="0"/>
    <x v="4"/>
    <x v="1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4"/>
    <n v="0"/>
    <n v="0"/>
    <n v="200"/>
  </r>
  <r>
    <x v="0"/>
    <x v="4"/>
    <x v="1"/>
    <n v="3091003000176"/>
    <x v="424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75"/>
  </r>
  <r>
    <x v="0"/>
    <x v="4"/>
    <x v="1"/>
    <n v="3091003000176"/>
    <x v="424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175"/>
  </r>
  <r>
    <x v="0"/>
    <x v="4"/>
    <x v="1"/>
    <n v="16064313000577"/>
    <x v="42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21"/>
    <n v="0"/>
  </r>
  <r>
    <x v="0"/>
    <x v="4"/>
    <x v="1"/>
    <n v="16064313000577"/>
    <x v="42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0"/>
  </r>
  <r>
    <x v="0"/>
    <x v="4"/>
    <x v="1"/>
    <n v="25026561000190"/>
    <x v="238"/>
    <s v="ANDRADINA"/>
    <s v="SP"/>
    <s v="1-Setorizado"/>
    <n v="2"/>
    <x v="14"/>
    <x v="14"/>
    <s v="Especialidade (ESP)"/>
    <s v="claudia.bueno@cslbehring.com"/>
    <s v="CLAUDIA BUENO (SPC/SPI)"/>
    <n v="0"/>
    <n v="0"/>
    <n v="0"/>
    <n v="0"/>
    <n v="40"/>
  </r>
  <r>
    <x v="0"/>
    <x v="4"/>
    <x v="1"/>
    <n v="25026561000190"/>
    <x v="238"/>
    <s v="ANDRADINA"/>
    <s v="SP"/>
    <s v="1-Setorizado"/>
    <n v="2"/>
    <x v="15"/>
    <x v="15"/>
    <s v="Hospitalar (HSP)"/>
    <s v="claudia.bueno@cslbehring.com"/>
    <s v="CLAUDIA BUENO (SPC/SPI)"/>
    <n v="0"/>
    <n v="0"/>
    <n v="0"/>
    <n v="0"/>
    <n v="40"/>
  </r>
  <r>
    <x v="0"/>
    <x v="4"/>
    <x v="1"/>
    <n v="54012406000385"/>
    <x v="239"/>
    <s v="ARARAS"/>
    <s v="SP"/>
    <s v="1-Setorizado"/>
    <n v="2"/>
    <x v="14"/>
    <x v="14"/>
    <s v="Especialidade (ESP)"/>
    <s v="claudia.bueno@cslbehring.com"/>
    <s v="CLAUDIA BUENO (SPC/SPI)"/>
    <n v="0"/>
    <n v="0"/>
    <n v="0"/>
    <n v="0"/>
    <n v="65"/>
  </r>
  <r>
    <x v="0"/>
    <x v="4"/>
    <x v="1"/>
    <n v="54012406000385"/>
    <x v="239"/>
    <s v="ARARAS"/>
    <s v="SP"/>
    <s v="1-Setorizado"/>
    <n v="2"/>
    <x v="15"/>
    <x v="15"/>
    <s v="Hospitalar (HSP)"/>
    <s v="claudia.bueno@cslbehring.com"/>
    <s v="CLAUDIA BUENO (SPC/SPI)"/>
    <n v="0"/>
    <n v="0"/>
    <n v="0"/>
    <n v="0"/>
    <n v="65"/>
  </r>
  <r>
    <x v="0"/>
    <x v="4"/>
    <x v="1"/>
    <n v="51093193000456"/>
    <x v="496"/>
    <s v="ARAÇATUBA"/>
    <s v="SP"/>
    <s v="1-Setorizado"/>
    <n v="2"/>
    <x v="14"/>
    <x v="14"/>
    <s v="Especialidade (ESP)"/>
    <s v="claudia.bueno@cslbehring.com"/>
    <s v="CLAUDIA BUENO (SPC/SPI)"/>
    <n v="0"/>
    <n v="0"/>
    <n v="0"/>
    <n v="0"/>
    <n v="20"/>
  </r>
  <r>
    <x v="0"/>
    <x v="4"/>
    <x v="1"/>
    <n v="51093193000456"/>
    <x v="496"/>
    <s v="ARAÇATUBA"/>
    <s v="SP"/>
    <s v="1-Setorizado"/>
    <n v="2"/>
    <x v="15"/>
    <x v="15"/>
    <s v="Hospitalar (HSP)"/>
    <s v="claudia.bueno@cslbehring.com"/>
    <s v="CLAUDIA BUENO (SPC/SPI)"/>
    <n v="0"/>
    <n v="0"/>
    <n v="0"/>
    <n v="0"/>
    <n v="20"/>
  </r>
  <r>
    <x v="0"/>
    <x v="4"/>
    <x v="1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45"/>
    <n v="0"/>
  </r>
  <r>
    <x v="0"/>
    <x v="4"/>
    <x v="1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49150352000201"/>
    <x v="603"/>
    <s v="BARRETOS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49150352000201"/>
    <x v="603"/>
    <s v="BARRETOS"/>
    <s v="SP"/>
    <s v="1-Setorizado"/>
    <n v="2"/>
    <x v="15"/>
    <x v="15"/>
    <s v="Hospitalar (HSP)"/>
    <s v="claudia.bueno@cslbehring.com"/>
    <s v="CLAUDIA BUENO (SPC/SPI)"/>
    <n v="0"/>
    <n v="5"/>
    <n v="0"/>
    <n v="0"/>
    <n v="0"/>
  </r>
  <r>
    <x v="0"/>
    <x v="4"/>
    <x v="1"/>
    <n v="44456036000311"/>
    <x v="241"/>
    <s v="BAURU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44456036000311"/>
    <x v="241"/>
    <s v="BAURU"/>
    <s v="SP"/>
    <s v="1-Setorizado"/>
    <n v="2"/>
    <x v="15"/>
    <x v="15"/>
    <s v="Hospitalar (HSP)"/>
    <s v="claudia.bueno@cslbehring.com"/>
    <s v="CLAUDIA BUENO (SPC/SPI)"/>
    <n v="0"/>
    <n v="2"/>
    <n v="1"/>
    <n v="0"/>
    <n v="0"/>
  </r>
  <r>
    <x v="0"/>
    <x v="4"/>
    <x v="1"/>
    <n v="10447300000177"/>
    <x v="242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20"/>
    <n v="0"/>
  </r>
  <r>
    <x v="0"/>
    <x v="4"/>
    <x v="1"/>
    <n v="10447300000177"/>
    <x v="242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46020301000269"/>
    <x v="243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5"/>
    <n v="0"/>
  </r>
  <r>
    <x v="0"/>
    <x v="4"/>
    <x v="1"/>
    <n v="46020301000269"/>
    <x v="243"/>
    <s v="CAMPINAS"/>
    <s v="SP"/>
    <s v="1-Setorizado"/>
    <n v="2"/>
    <x v="15"/>
    <x v="15"/>
    <s v="Hospitalar (HSP)"/>
    <s v="claudia.bueno@cslbehring.com"/>
    <s v="CLAUDIA BUENO (SPC/SPI)"/>
    <n v="0"/>
    <n v="1"/>
    <n v="0"/>
    <n v="0"/>
    <n v="0"/>
  </r>
  <r>
    <x v="0"/>
    <x v="4"/>
    <x v="1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6"/>
    <n v="0"/>
  </r>
  <r>
    <x v="0"/>
    <x v="4"/>
    <x v="1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51885242000140"/>
    <x v="247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240"/>
    <n v="0"/>
  </r>
  <r>
    <x v="0"/>
    <x v="4"/>
    <x v="1"/>
    <n v="51885242000140"/>
    <x v="247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29435005008456"/>
    <x v="248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0"/>
    <n v="250"/>
  </r>
  <r>
    <x v="0"/>
    <x v="4"/>
    <x v="1"/>
    <n v="29435005008456"/>
    <x v="248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250"/>
  </r>
  <r>
    <x v="0"/>
    <x v="4"/>
    <x v="1"/>
    <n v="46124624000111"/>
    <x v="249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32"/>
    <n v="690"/>
  </r>
  <r>
    <x v="0"/>
    <x v="4"/>
    <x v="1"/>
    <n v="46124624000111"/>
    <x v="24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690"/>
  </r>
  <r>
    <x v="0"/>
    <x v="4"/>
    <x v="1"/>
    <n v="46068425000133"/>
    <x v="429"/>
    <s v="CAMPINAS"/>
    <s v="SP"/>
    <s v="1-Setorizado"/>
    <n v="2"/>
    <x v="14"/>
    <x v="14"/>
    <s v="Especialidade (ESP)"/>
    <s v="claudia.bueno@cslbehring.com"/>
    <s v="CLAUDIA BUENO (SPC/SPI)"/>
    <n v="2"/>
    <n v="0"/>
    <n v="0"/>
    <n v="0"/>
    <n v="0"/>
  </r>
  <r>
    <x v="0"/>
    <x v="4"/>
    <x v="1"/>
    <n v="46068425000133"/>
    <x v="429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45118429001279"/>
    <x v="251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0"/>
    <n v="50"/>
  </r>
  <r>
    <x v="0"/>
    <x v="4"/>
    <x v="1"/>
    <n v="45118429001279"/>
    <x v="251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50"/>
  </r>
  <r>
    <x v="0"/>
    <x v="4"/>
    <x v="1"/>
    <n v="50486026000160"/>
    <x v="252"/>
    <s v="FRANCA"/>
    <s v="SP"/>
    <s v="1-Setorizado"/>
    <n v="2"/>
    <x v="14"/>
    <x v="14"/>
    <s v="Especialidade (ESP)"/>
    <s v="claudia.bueno@cslbehring.com"/>
    <s v="CLAUDIA BUENO (SPC/SPI)"/>
    <n v="0"/>
    <n v="0"/>
    <n v="0"/>
    <n v="0"/>
    <n v="100"/>
  </r>
  <r>
    <x v="0"/>
    <x v="4"/>
    <x v="1"/>
    <n v="50486026000160"/>
    <x v="252"/>
    <s v="FRANCA"/>
    <s v="SP"/>
    <s v="1-Setorizado"/>
    <n v="2"/>
    <x v="15"/>
    <x v="15"/>
    <s v="Hospitalar (HSP)"/>
    <s v="claudia.bueno@cslbehring.com"/>
    <s v="CLAUDIA BUENO (SPC/SPI)"/>
    <n v="0"/>
    <n v="0"/>
    <n v="0"/>
    <n v="0"/>
    <n v="100"/>
  </r>
  <r>
    <x v="0"/>
    <x v="4"/>
    <x v="1"/>
    <n v="44732469000190"/>
    <x v="604"/>
    <s v="INDAIATUBA"/>
    <s v="SP"/>
    <s v="1-Setorizado"/>
    <n v="2"/>
    <x v="14"/>
    <x v="14"/>
    <s v="Especialidade (ESP)"/>
    <s v="claudia.bueno@cslbehring.com"/>
    <s v="CLAUDIA BUENO (SPC/SPI)"/>
    <n v="0"/>
    <n v="0"/>
    <n v="0"/>
    <n v="0"/>
    <n v="55"/>
  </r>
  <r>
    <x v="0"/>
    <x v="4"/>
    <x v="1"/>
    <n v="44732469000190"/>
    <x v="604"/>
    <s v="INDAIATUBA"/>
    <s v="SP"/>
    <s v="1-Setorizado"/>
    <n v="2"/>
    <x v="15"/>
    <x v="15"/>
    <s v="Hospitalar (HSP)"/>
    <s v="claudia.bueno@cslbehring.com"/>
    <s v="CLAUDIA BUENO (SPC/SPI)"/>
    <n v="0"/>
    <n v="0"/>
    <n v="0"/>
    <n v="0"/>
    <n v="55"/>
  </r>
  <r>
    <x v="0"/>
    <x v="4"/>
    <x v="1"/>
    <n v="50944198000130"/>
    <x v="500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50944198000130"/>
    <x v="500"/>
    <s v="JUNDIAÍ"/>
    <s v="SP"/>
    <s v="1-Setorizado"/>
    <n v="2"/>
    <x v="15"/>
    <x v="15"/>
    <s v="Hospitalar (HSP)"/>
    <s v="claudia.bueno@cslbehring.com"/>
    <s v="CLAUDIA BUENO (SPC/SPI)"/>
    <n v="0"/>
    <n v="16"/>
    <n v="0"/>
    <n v="0"/>
    <n v="0"/>
  </r>
  <r>
    <x v="0"/>
    <x v="4"/>
    <x v="1"/>
    <n v="44649812001614"/>
    <x v="501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44649812001614"/>
    <x v="501"/>
    <s v="JUNDIAÍ"/>
    <s v="SP"/>
    <s v="1-Setorizado"/>
    <n v="2"/>
    <x v="15"/>
    <x v="15"/>
    <s v="Hospitalar (HSP)"/>
    <s v="claudia.bueno@cslbehring.com"/>
    <s v="CLAUDIA BUENO (SPC/SPI)"/>
    <n v="0"/>
    <n v="2"/>
    <n v="0"/>
    <n v="0"/>
    <n v="0"/>
  </r>
  <r>
    <x v="0"/>
    <x v="4"/>
    <x v="1"/>
    <n v="56727134001216"/>
    <x v="605"/>
    <s v="JUNDIAÍ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56727134001216"/>
    <x v="605"/>
    <s v="JUNDIAÍ"/>
    <s v="SP"/>
    <s v="1-Setorizado"/>
    <n v="2"/>
    <x v="15"/>
    <x v="15"/>
    <s v="Hospitalar (HSP)"/>
    <s v="claudia.bueno@cslbehring.com"/>
    <s v="CLAUDIA BUENO (SPC/SPI)"/>
    <n v="0"/>
    <n v="2"/>
    <n v="0"/>
    <n v="0"/>
    <n v="0"/>
  </r>
  <r>
    <x v="0"/>
    <x v="4"/>
    <x v="1"/>
    <n v="61699567000869"/>
    <x v="606"/>
    <s v="MOJI DAS CRUZES"/>
    <s v="SP"/>
    <s v="1-Setorizado"/>
    <n v="2"/>
    <x v="14"/>
    <x v="14"/>
    <s v="Especialidade (ESP)"/>
    <s v="claudia.bueno@cslbehring.com"/>
    <s v="CLAUDIA BUENO (SPC/SPI)"/>
    <n v="0"/>
    <n v="0"/>
    <n v="0"/>
    <n v="0"/>
    <n v="160"/>
  </r>
  <r>
    <x v="0"/>
    <x v="4"/>
    <x v="1"/>
    <n v="61699567000869"/>
    <x v="606"/>
    <s v="MOJI DAS CRUZES"/>
    <s v="SP"/>
    <s v="1-Setorizado"/>
    <n v="2"/>
    <x v="15"/>
    <x v="15"/>
    <s v="Hospitalar (HSP)"/>
    <s v="claudia.bueno@cslbehring.com"/>
    <s v="CLAUDIA BUENO (SPC/SPI)"/>
    <n v="0"/>
    <n v="0"/>
    <n v="0"/>
    <n v="0"/>
    <n v="160"/>
  </r>
  <r>
    <x v="0"/>
    <x v="4"/>
    <x v="1"/>
    <n v="53311999000156"/>
    <x v="504"/>
    <s v="ORLÂNDIA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53311999000156"/>
    <x v="504"/>
    <s v="ORLÂNDIA"/>
    <s v="SP"/>
    <s v="1-Setorizado"/>
    <n v="2"/>
    <x v="15"/>
    <x v="15"/>
    <s v="Hospitalar (HSP)"/>
    <s v="claudia.bueno@cslbehring.com"/>
    <s v="CLAUDIA BUENO (SPC/SPI)"/>
    <n v="0"/>
    <n v="10"/>
    <n v="0"/>
    <n v="0"/>
    <n v="0"/>
  </r>
  <r>
    <x v="0"/>
    <x v="4"/>
    <x v="1"/>
    <n v="6047087007656"/>
    <x v="258"/>
    <s v="OSASCO"/>
    <s v="SP"/>
    <s v="1-Setorizado"/>
    <n v="2"/>
    <x v="18"/>
    <x v="18"/>
    <s v="Especialidade (ESP)"/>
    <s v="claudia.bueno@cslbehring.com"/>
    <s v="CLAUDIA BUENO (SPC/SPI)"/>
    <n v="0"/>
    <n v="0"/>
    <n v="0"/>
    <n v="0"/>
    <n v="0"/>
  </r>
  <r>
    <x v="0"/>
    <x v="4"/>
    <x v="1"/>
    <n v="6047087007656"/>
    <x v="258"/>
    <s v="OSASCO"/>
    <s v="SP"/>
    <s v="1-Setorizado"/>
    <n v="2"/>
    <x v="17"/>
    <x v="17"/>
    <s v="Hospitalar (HSP)"/>
    <s v="claudia.bueno@cslbehring.com"/>
    <s v="CLAUDIA BUENO (SPC/SPI)"/>
    <n v="0"/>
    <n v="0"/>
    <n v="2"/>
    <n v="0"/>
    <n v="0"/>
  </r>
  <r>
    <x v="0"/>
    <x v="4"/>
    <x v="1"/>
    <n v="840048000450"/>
    <x v="260"/>
    <s v="PIRASSUNUNGA"/>
    <s v="SP"/>
    <s v="1-Setorizado"/>
    <n v="2"/>
    <x v="14"/>
    <x v="14"/>
    <s v="Especialidade (ESP)"/>
    <s v="claudia.bueno@cslbehring.com"/>
    <s v="CLAUDIA BUENO (SPC/SPI)"/>
    <n v="0"/>
    <n v="0"/>
    <n v="0"/>
    <n v="0"/>
    <n v="160"/>
  </r>
  <r>
    <x v="0"/>
    <x v="4"/>
    <x v="1"/>
    <n v="840048000450"/>
    <x v="260"/>
    <s v="PIRASSUNUNGA"/>
    <s v="SP"/>
    <s v="1-Setorizado"/>
    <n v="2"/>
    <x v="15"/>
    <x v="15"/>
    <s v="Hospitalar (HSP)"/>
    <s v="claudia.bueno@cslbehring.com"/>
    <s v="CLAUDIA BUENO (SPC/SPI)"/>
    <n v="0"/>
    <n v="0"/>
    <n v="0"/>
    <n v="0"/>
    <n v="160"/>
  </r>
  <r>
    <x v="0"/>
    <x v="4"/>
    <x v="1"/>
    <n v="31378288000166"/>
    <x v="607"/>
    <s v="RIBEIRAO PRETO"/>
    <s v="SP"/>
    <s v="1-Setorizado"/>
    <n v="2"/>
    <x v="14"/>
    <x v="14"/>
    <s v="Especialidade (ESP)"/>
    <s v="claudia.bueno@cslbehring.com"/>
    <s v="CLAUDIA BUENO (SPC/SPI)"/>
    <n v="0"/>
    <n v="0"/>
    <n v="0"/>
    <n v="530"/>
    <n v="4000"/>
  </r>
  <r>
    <x v="0"/>
    <x v="4"/>
    <x v="1"/>
    <n v="31378288000166"/>
    <x v="607"/>
    <s v="RIBEIRAO PRETO"/>
    <s v="SP"/>
    <s v="1-Setorizado"/>
    <n v="2"/>
    <x v="15"/>
    <x v="15"/>
    <s v="Hospitalar (HSP)"/>
    <s v="claudia.bueno@cslbehring.com"/>
    <s v="CLAUDIA BUENO (SPC/SPI)"/>
    <n v="0"/>
    <n v="100"/>
    <n v="100"/>
    <n v="0"/>
    <n v="4000"/>
  </r>
  <r>
    <x v="0"/>
    <x v="4"/>
    <x v="1"/>
    <n v="46374500003533"/>
    <x v="262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000"/>
  </r>
  <r>
    <x v="0"/>
    <x v="4"/>
    <x v="1"/>
    <n v="46374500003533"/>
    <x v="262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000"/>
  </r>
  <r>
    <x v="0"/>
    <x v="4"/>
    <x v="1"/>
    <n v="1613433006892"/>
    <x v="263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805"/>
  </r>
  <r>
    <x v="0"/>
    <x v="4"/>
    <x v="1"/>
    <n v="1613433006892"/>
    <x v="263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805"/>
  </r>
  <r>
    <x v="0"/>
    <x v="4"/>
    <x v="1"/>
    <n v="57723280000183"/>
    <x v="55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35"/>
  </r>
  <r>
    <x v="0"/>
    <x v="4"/>
    <x v="1"/>
    <n v="57723280000183"/>
    <x v="55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35"/>
  </r>
  <r>
    <x v="0"/>
    <x v="4"/>
    <x v="1"/>
    <n v="45232246000550"/>
    <x v="265"/>
    <s v="RIBEIRÃO PRETO"/>
    <s v="SP"/>
    <s v="1-Setorizado"/>
    <n v="2"/>
    <x v="14"/>
    <x v="14"/>
    <s v="Especialidade (ESP)"/>
    <s v="claudia.bueno@cslbehring.com"/>
    <s v="CLAUDIA BUENO (SPC/SPI)"/>
    <n v="0"/>
    <n v="0"/>
    <n v="0"/>
    <n v="42"/>
    <n v="80"/>
  </r>
  <r>
    <x v="0"/>
    <x v="4"/>
    <x v="1"/>
    <n v="45232246000550"/>
    <x v="265"/>
    <s v="RIBEIRÃO PRETO"/>
    <s v="SP"/>
    <s v="1-Setorizado"/>
    <n v="2"/>
    <x v="15"/>
    <x v="15"/>
    <s v="Hospitalar (HSP)"/>
    <s v="claudia.bueno@cslbehring.com"/>
    <s v="CLAUDIA BUENO (SPC/SPI)"/>
    <n v="0"/>
    <n v="0"/>
    <n v="0"/>
    <n v="0"/>
    <n v="80"/>
  </r>
  <r>
    <x v="0"/>
    <x v="4"/>
    <x v="1"/>
    <n v="13718999001041"/>
    <x v="267"/>
    <s v="SANTO ANDRÉ"/>
    <s v="SP"/>
    <s v="1-Setorizado"/>
    <n v="2"/>
    <x v="18"/>
    <x v="18"/>
    <s v="Especialidade (ESP)"/>
    <s v="claudia.bueno@cslbehring.com"/>
    <s v="CLAUDIA BUENO (SPC/SPI)"/>
    <n v="0"/>
    <n v="0"/>
    <n v="0"/>
    <n v="8"/>
    <n v="0"/>
  </r>
  <r>
    <x v="0"/>
    <x v="4"/>
    <x v="1"/>
    <n v="13718999001041"/>
    <x v="267"/>
    <s v="SANTO ANDRÉ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10868295000176"/>
    <x v="436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0"/>
    <n v="270"/>
  </r>
  <r>
    <x v="0"/>
    <x v="4"/>
    <x v="1"/>
    <n v="10868295000176"/>
    <x v="436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270"/>
  </r>
  <r>
    <x v="0"/>
    <x v="4"/>
    <x v="1"/>
    <n v="58229691001070"/>
    <x v="270"/>
    <s v="SANTOS"/>
    <s v="SP"/>
    <s v="1-Setorizado"/>
    <n v="2"/>
    <x v="18"/>
    <x v="18"/>
    <s v="Especialidade (ESP)"/>
    <s v="claudia.bueno@cslbehring.com"/>
    <s v="CLAUDIA BUENO (SPC/SPI)"/>
    <n v="0"/>
    <n v="0"/>
    <n v="0"/>
    <n v="16"/>
    <n v="0"/>
  </r>
  <r>
    <x v="0"/>
    <x v="4"/>
    <x v="1"/>
    <n v="58229691001070"/>
    <x v="270"/>
    <s v="SANTOS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45399961000230"/>
    <x v="271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250"/>
  </r>
  <r>
    <x v="0"/>
    <x v="4"/>
    <x v="1"/>
    <n v="45399961000230"/>
    <x v="271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250"/>
  </r>
  <r>
    <x v="0"/>
    <x v="4"/>
    <x v="1"/>
    <n v="46124624002599"/>
    <x v="272"/>
    <s v="SUMARÉ"/>
    <s v="SP"/>
    <s v="1-Setorizado"/>
    <n v="2"/>
    <x v="14"/>
    <x v="14"/>
    <s v="Especialidade (ESP)"/>
    <s v="claudia.bueno@cslbehring.com"/>
    <s v="CLAUDIA BUENO (SPC/SPI)"/>
    <n v="0"/>
    <n v="0"/>
    <n v="0"/>
    <n v="120"/>
    <n v="300"/>
  </r>
  <r>
    <x v="0"/>
    <x v="4"/>
    <x v="1"/>
    <n v="46124624002599"/>
    <x v="272"/>
    <s v="SUMARÉ"/>
    <s v="SP"/>
    <s v="1-Setorizado"/>
    <n v="2"/>
    <x v="15"/>
    <x v="15"/>
    <s v="Hospitalar (HSP)"/>
    <s v="claudia.bueno@cslbehring.com"/>
    <s v="CLAUDIA BUENO (SPC/SPI)"/>
    <n v="0"/>
    <n v="0"/>
    <n v="0"/>
    <n v="0"/>
    <n v="300"/>
  </r>
  <r>
    <x v="0"/>
    <x v="4"/>
    <x v="1"/>
    <n v="45359213000576"/>
    <x v="274"/>
    <s v="SÃO CARLOS"/>
    <s v="SP"/>
    <s v="1-Setorizado"/>
    <n v="2"/>
    <x v="14"/>
    <x v="14"/>
    <s v="Especialidade (ESP)"/>
    <s v="claudia.bueno@cslbehring.com"/>
    <s v="CLAUDIA BUENO (SPC/SPI)"/>
    <n v="0"/>
    <n v="0"/>
    <n v="0"/>
    <n v="16"/>
    <n v="0"/>
  </r>
  <r>
    <x v="0"/>
    <x v="4"/>
    <x v="1"/>
    <n v="45359213000576"/>
    <x v="274"/>
    <s v="SÃO CARLO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10576443000189"/>
    <x v="438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185"/>
  </r>
  <r>
    <x v="0"/>
    <x v="4"/>
    <x v="1"/>
    <n v="10576443000189"/>
    <x v="438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185"/>
  </r>
  <r>
    <x v="0"/>
    <x v="4"/>
    <x v="1"/>
    <n v="2643405000173"/>
    <x v="276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25"/>
    <n v="0"/>
  </r>
  <r>
    <x v="0"/>
    <x v="4"/>
    <x v="1"/>
    <n v="2643405000173"/>
    <x v="276"/>
    <s v="SÃO JOSÉ DO RIO PRETO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4"/>
    <x v="1"/>
    <n v="60003761000129"/>
    <x v="277"/>
    <s v="SÃO JOSÉ DO RIO PRETO"/>
    <s v="SP"/>
    <s v="1-Setorizado"/>
    <n v="2"/>
    <x v="14"/>
    <x v="14"/>
    <s v="Especialidade (ESP)"/>
    <s v="claudia.bueno@cslbehring.com"/>
    <s v="CLAUDIA BUENO (SPC/SPI)"/>
    <n v="0"/>
    <n v="0"/>
    <n v="0"/>
    <n v="0"/>
    <n v="0"/>
  </r>
  <r>
    <x v="0"/>
    <x v="4"/>
    <x v="1"/>
    <n v="60003761000129"/>
    <x v="277"/>
    <s v="SÃO JOSÉ DO RIO PRETO"/>
    <s v="SP"/>
    <s v="1-Setorizado"/>
    <n v="2"/>
    <x v="15"/>
    <x v="15"/>
    <s v="Hospitalar (HSP)"/>
    <s v="claudia.bueno@cslbehring.com"/>
    <s v="CLAUDIA BUENO (SPC/SPI)"/>
    <n v="0"/>
    <n v="30"/>
    <n v="16"/>
    <n v="0"/>
    <n v="0"/>
  </r>
  <r>
    <x v="0"/>
    <x v="4"/>
    <x v="1"/>
    <n v="45184066000117"/>
    <x v="279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10"/>
    <n v="0"/>
  </r>
  <r>
    <x v="0"/>
    <x v="4"/>
    <x v="1"/>
    <n v="45184066000117"/>
    <x v="279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60214517001691"/>
    <x v="280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0"/>
    <n v="35"/>
  </r>
  <r>
    <x v="0"/>
    <x v="4"/>
    <x v="1"/>
    <n v="60214517001691"/>
    <x v="280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35"/>
  </r>
  <r>
    <x v="0"/>
    <x v="4"/>
    <x v="1"/>
    <n v="6047087003073"/>
    <x v="281"/>
    <s v="SÃO JOSÉ DOS CAMPOS"/>
    <s v="SP"/>
    <s v="1-Setorizado"/>
    <n v="2"/>
    <x v="16"/>
    <x v="16"/>
    <s v="Especialidade (ESP)"/>
    <s v="claudia.bueno@cslbehring.com"/>
    <s v="CLAUDIA BUENO (SPC/SPI)"/>
    <n v="4"/>
    <n v="0"/>
    <n v="0"/>
    <n v="48"/>
    <n v="0"/>
  </r>
  <r>
    <x v="0"/>
    <x v="4"/>
    <x v="1"/>
    <n v="6047087003073"/>
    <x v="281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18321477000134"/>
    <x v="282"/>
    <s v="SÃO JOSÉ DOS CAMPOS"/>
    <s v="SP"/>
    <s v="1-Setorizado"/>
    <n v="2"/>
    <x v="16"/>
    <x v="16"/>
    <s v="Especialidade (ESP)"/>
    <s v="claudia.bueno@cslbehring.com"/>
    <s v="CLAUDIA BUENO (SPC/SPI)"/>
    <n v="0"/>
    <n v="0"/>
    <n v="0"/>
    <n v="50"/>
    <n v="0"/>
  </r>
  <r>
    <x v="0"/>
    <x v="4"/>
    <x v="1"/>
    <n v="18321477000134"/>
    <x v="282"/>
    <s v="SÃO JOSÉ DOS CAMPOS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60979457000111"/>
    <x v="6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4"/>
    <x v="1"/>
    <n v="60979457000111"/>
    <x v="608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20"/>
  </r>
  <r>
    <x v="0"/>
    <x v="4"/>
    <x v="1"/>
    <n v="51722957000506"/>
    <x v="4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0"/>
  </r>
  <r>
    <x v="0"/>
    <x v="4"/>
    <x v="1"/>
    <n v="51722957000506"/>
    <x v="439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00"/>
  </r>
  <r>
    <x v="0"/>
    <x v="4"/>
    <x v="1"/>
    <n v="51722957010226"/>
    <x v="28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"/>
    <n v="165"/>
  </r>
  <r>
    <x v="0"/>
    <x v="4"/>
    <x v="1"/>
    <n v="51722957010226"/>
    <x v="28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65"/>
  </r>
  <r>
    <x v="0"/>
    <x v="4"/>
    <x v="1"/>
    <n v="18180008000142"/>
    <x v="28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18180008000142"/>
    <x v="286"/>
    <s v="SÃO PAULO"/>
    <s v="SP"/>
    <s v="1-Setorizado"/>
    <n v="2"/>
    <x v="20"/>
    <x v="20"/>
    <s v="Hospitalar (HSP)"/>
    <s v="claudia.bueno@cslbehring.com"/>
    <s v="CLAUDIA BUENO (SPC/SPI)"/>
    <n v="0"/>
    <n v="8"/>
    <n v="6"/>
    <n v="0"/>
    <n v="0"/>
  </r>
  <r>
    <x v="0"/>
    <x v="4"/>
    <x v="1"/>
    <n v="4995603000121"/>
    <x v="6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000"/>
  </r>
  <r>
    <x v="0"/>
    <x v="4"/>
    <x v="1"/>
    <n v="4995603000121"/>
    <x v="609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000"/>
  </r>
  <r>
    <x v="0"/>
    <x v="4"/>
    <x v="1"/>
    <n v="60992427000650"/>
    <x v="50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992427000650"/>
    <x v="509"/>
    <s v="SÃO PAULO"/>
    <s v="SP"/>
    <s v="1-Setorizado"/>
    <n v="2"/>
    <x v="17"/>
    <x v="17"/>
    <s v="Hospitalar (HSP)"/>
    <s v="claudia.bueno@cslbehring.com"/>
    <s v="CLAUDIA BUENO (SPC/SPI)"/>
    <n v="0"/>
    <n v="11"/>
    <n v="0"/>
    <n v="0"/>
    <n v="0"/>
  </r>
  <r>
    <x v="0"/>
    <x v="4"/>
    <x v="1"/>
    <n v="2383508000494"/>
    <x v="28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7"/>
    <n v="0"/>
  </r>
  <r>
    <x v="0"/>
    <x v="4"/>
    <x v="1"/>
    <n v="2383508000494"/>
    <x v="287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8871521000126"/>
    <x v="28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528"/>
  </r>
  <r>
    <x v="0"/>
    <x v="4"/>
    <x v="1"/>
    <n v="8871521000126"/>
    <x v="28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528"/>
  </r>
  <r>
    <x v="0"/>
    <x v="4"/>
    <x v="1"/>
    <n v="59481028000130"/>
    <x v="29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0"/>
  </r>
  <r>
    <x v="0"/>
    <x v="4"/>
    <x v="1"/>
    <n v="59481028000130"/>
    <x v="290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4"/>
    <x v="1"/>
    <n v="43775956000178"/>
    <x v="55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30"/>
  </r>
  <r>
    <x v="0"/>
    <x v="4"/>
    <x v="1"/>
    <n v="43775956000178"/>
    <x v="559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0"/>
  </r>
  <r>
    <x v="0"/>
    <x v="4"/>
    <x v="1"/>
    <n v="10468341000220"/>
    <x v="29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895"/>
  </r>
  <r>
    <x v="0"/>
    <x v="4"/>
    <x v="1"/>
    <n v="10468341000220"/>
    <x v="29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895"/>
  </r>
  <r>
    <x v="0"/>
    <x v="4"/>
    <x v="1"/>
    <n v="10468341000140"/>
    <x v="29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8"/>
    <n v="760"/>
  </r>
  <r>
    <x v="0"/>
    <x v="4"/>
    <x v="1"/>
    <n v="10468341000140"/>
    <x v="292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760"/>
  </r>
  <r>
    <x v="0"/>
    <x v="4"/>
    <x v="1"/>
    <n v="29435005009932"/>
    <x v="29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010"/>
  </r>
  <r>
    <x v="0"/>
    <x v="4"/>
    <x v="1"/>
    <n v="29435005009932"/>
    <x v="293"/>
    <s v="SÃO PAULO"/>
    <s v="SP"/>
    <s v="1-Setorizado"/>
    <n v="2"/>
    <x v="17"/>
    <x v="17"/>
    <s v="Hospitalar (HSP)"/>
    <s v="claudia.bueno@cslbehring.com"/>
    <s v="CLAUDIA BUENO (SPC/SPI)"/>
    <n v="0"/>
    <n v="2"/>
    <n v="0"/>
    <n v="0"/>
    <n v="1010"/>
  </r>
  <r>
    <x v="0"/>
    <x v="4"/>
    <x v="1"/>
    <n v="3872790000193"/>
    <x v="29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4"/>
    <n v="0"/>
  </r>
  <r>
    <x v="0"/>
    <x v="4"/>
    <x v="1"/>
    <n v="3872790000193"/>
    <x v="29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5"/>
  </r>
  <r>
    <x v="0"/>
    <x v="4"/>
    <x v="1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4"/>
    <x v="1"/>
    <n v="603226000187"/>
    <x v="56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8"/>
    <n v="0"/>
  </r>
  <r>
    <x v="0"/>
    <x v="4"/>
    <x v="1"/>
    <n v="603226000187"/>
    <x v="560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0"/>
  </r>
  <r>
    <x v="0"/>
    <x v="4"/>
    <x v="1"/>
    <n v="60884855000316"/>
    <x v="30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48"/>
    <n v="1205"/>
  </r>
  <r>
    <x v="0"/>
    <x v="4"/>
    <x v="1"/>
    <n v="60884855000316"/>
    <x v="302"/>
    <s v="SÃO PAULO"/>
    <s v="SP"/>
    <s v="1-Setorizado"/>
    <n v="2"/>
    <x v="19"/>
    <x v="19"/>
    <s v="Hospitalar (HSP)"/>
    <s v="claudia.bueno@cslbehring.com"/>
    <s v="CLAUDIA BUENO (SPC/SPI)"/>
    <n v="0"/>
    <n v="6"/>
    <n v="5"/>
    <n v="0"/>
    <n v="1205"/>
  </r>
  <r>
    <x v="0"/>
    <x v="4"/>
    <x v="1"/>
    <n v="60726502000126"/>
    <x v="30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70"/>
  </r>
  <r>
    <x v="0"/>
    <x v="4"/>
    <x v="1"/>
    <n v="60726502000126"/>
    <x v="303"/>
    <s v="SÃO PAULO"/>
    <s v="SP"/>
    <s v="1-Setorizado"/>
    <n v="2"/>
    <x v="19"/>
    <x v="19"/>
    <s v="Hospitalar (HSP)"/>
    <s v="claudia.bueno@cslbehring.com"/>
    <s v="CLAUDIA BUENO (SPC/SPI)"/>
    <n v="0"/>
    <n v="3"/>
    <n v="0"/>
    <n v="0"/>
    <n v="70"/>
  </r>
  <r>
    <x v="0"/>
    <x v="4"/>
    <x v="1"/>
    <n v="8100676000592"/>
    <x v="30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85"/>
  </r>
  <r>
    <x v="0"/>
    <x v="4"/>
    <x v="1"/>
    <n v="8100676000592"/>
    <x v="30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85"/>
  </r>
  <r>
    <x v="0"/>
    <x v="4"/>
    <x v="1"/>
    <n v="8100676000673"/>
    <x v="6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"/>
  </r>
  <r>
    <x v="0"/>
    <x v="4"/>
    <x v="1"/>
    <n v="8100676000673"/>
    <x v="610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0"/>
  </r>
  <r>
    <x v="0"/>
    <x v="4"/>
    <x v="1"/>
    <n v="8100676002455"/>
    <x v="30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8100676002455"/>
    <x v="306"/>
    <s v="SÃO PAULO"/>
    <s v="SP"/>
    <s v="1-Setorizado"/>
    <n v="2"/>
    <x v="19"/>
    <x v="19"/>
    <s v="Hospitalar (HSP)"/>
    <s v="claudia.bueno@cslbehring.com"/>
    <s v="CLAUDIA BUENO (SPC/SPI)"/>
    <n v="0"/>
    <n v="36"/>
    <n v="0"/>
    <n v="0"/>
    <n v="0"/>
  </r>
  <r>
    <x v="0"/>
    <x v="4"/>
    <x v="1"/>
    <n v="21371777000132"/>
    <x v="30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0"/>
  </r>
  <r>
    <x v="0"/>
    <x v="4"/>
    <x v="1"/>
    <n v="21371777000132"/>
    <x v="308"/>
    <s v="SÃO PAULO"/>
    <s v="SP"/>
    <s v="1-Setorizado"/>
    <n v="2"/>
    <x v="19"/>
    <x v="19"/>
    <s v="Hospitalar (HSP)"/>
    <s v="claudia.bueno@cslbehring.com"/>
    <s v="CLAUDIA BUENO (SPC/SPI)"/>
    <n v="0"/>
    <n v="0"/>
    <n v="10"/>
    <n v="0"/>
    <n v="100"/>
  </r>
  <r>
    <x v="0"/>
    <x v="4"/>
    <x v="1"/>
    <n v="60448040000122"/>
    <x v="30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40"/>
    <n v="0"/>
  </r>
  <r>
    <x v="0"/>
    <x v="4"/>
    <x v="1"/>
    <n v="60448040000122"/>
    <x v="309"/>
    <s v="SÃO PAULO"/>
    <s v="SP"/>
    <s v="1-Setorizado"/>
    <n v="2"/>
    <x v="20"/>
    <x v="20"/>
    <s v="Hospitalar (HSP)"/>
    <s v="claudia.bueno@cslbehring.com"/>
    <s v="CLAUDIA BUENO (SPC/SPI)"/>
    <n v="0"/>
    <n v="0"/>
    <n v="66"/>
    <n v="0"/>
    <n v="0"/>
  </r>
  <r>
    <x v="0"/>
    <x v="4"/>
    <x v="1"/>
    <n v="60453024000390"/>
    <x v="310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453024000390"/>
    <x v="310"/>
    <s v="SÃO PAULO"/>
    <s v="SP"/>
    <s v="1-Setorizado"/>
    <n v="2"/>
    <x v="20"/>
    <x v="20"/>
    <s v="Hospitalar (HSP)"/>
    <s v="claudia.bueno@cslbehring.com"/>
    <s v="CLAUDIA BUENO (SPC/SPI)"/>
    <n v="0"/>
    <n v="11"/>
    <n v="33"/>
    <n v="0"/>
    <n v="0"/>
  </r>
  <r>
    <x v="0"/>
    <x v="4"/>
    <x v="1"/>
    <n v="51722957012512"/>
    <x v="31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80"/>
  </r>
  <r>
    <x v="0"/>
    <x v="4"/>
    <x v="1"/>
    <n v="51722957012512"/>
    <x v="3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280"/>
  </r>
  <r>
    <x v="0"/>
    <x v="4"/>
    <x v="1"/>
    <n v="60678604000113"/>
    <x v="3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678604000113"/>
    <x v="312"/>
    <s v="SÃO PAULO"/>
    <s v="SP"/>
    <s v="1-Setorizado"/>
    <n v="2"/>
    <x v="17"/>
    <x v="17"/>
    <s v="Hospitalar (HSP)"/>
    <s v="claudia.bueno@cslbehring.com"/>
    <s v="CLAUDIA BUENO (SPC/SPI)"/>
    <n v="0"/>
    <n v="1"/>
    <n v="26"/>
    <n v="0"/>
    <n v="0"/>
  </r>
  <r>
    <x v="0"/>
    <x v="4"/>
    <x v="1"/>
    <n v="29435005004540"/>
    <x v="31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50"/>
  </r>
  <r>
    <x v="0"/>
    <x v="4"/>
    <x v="1"/>
    <n v="29435005004540"/>
    <x v="315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50"/>
  </r>
  <r>
    <x v="0"/>
    <x v="4"/>
    <x v="1"/>
    <n v="61213674000240"/>
    <x v="316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10"/>
    <n v="0"/>
  </r>
  <r>
    <x v="0"/>
    <x v="4"/>
    <x v="1"/>
    <n v="61213674000240"/>
    <x v="316"/>
    <s v="SÃO PAULO"/>
    <s v="SP"/>
    <s v="1-Setorizado"/>
    <n v="2"/>
    <x v="17"/>
    <x v="17"/>
    <s v="Hospitalar (HSP)"/>
    <s v="claudia.bueno@cslbehring.com"/>
    <s v="CLAUDIA BUENO (SPC/SPI)"/>
    <n v="0"/>
    <n v="5"/>
    <n v="16"/>
    <n v="0"/>
    <n v="0"/>
  </r>
  <r>
    <x v="0"/>
    <x v="4"/>
    <x v="1"/>
    <n v="60765823000130"/>
    <x v="442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130"/>
    <n v="75"/>
  </r>
  <r>
    <x v="0"/>
    <x v="4"/>
    <x v="1"/>
    <n v="60765823000130"/>
    <x v="442"/>
    <s v="SÃO PAULO"/>
    <s v="SP"/>
    <s v="1-Setorizado"/>
    <n v="2"/>
    <x v="17"/>
    <x v="17"/>
    <s v="Hospitalar (HSP)"/>
    <s v="claudia.bueno@cslbehring.com"/>
    <s v="CLAUDIA BUENO (SPC/SPI)"/>
    <n v="0"/>
    <n v="40"/>
    <n v="200"/>
    <n v="0"/>
    <n v="75"/>
  </r>
  <r>
    <x v="0"/>
    <x v="4"/>
    <x v="1"/>
    <n v="29435005002687"/>
    <x v="31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500"/>
  </r>
  <r>
    <x v="0"/>
    <x v="4"/>
    <x v="1"/>
    <n v="29435005002687"/>
    <x v="317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500"/>
  </r>
  <r>
    <x v="0"/>
    <x v="4"/>
    <x v="1"/>
    <n v="461479001054"/>
    <x v="56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461479001054"/>
    <x v="561"/>
    <s v="SÃO PAULO"/>
    <s v="SP"/>
    <s v="1-Setorizado"/>
    <n v="2"/>
    <x v="19"/>
    <x v="19"/>
    <s v="Hospitalar (HSP)"/>
    <s v="claudia.bueno@cslbehring.com"/>
    <s v="CLAUDIA BUENO (SPC/SPI)"/>
    <n v="0"/>
    <n v="8"/>
    <n v="0"/>
    <n v="0"/>
    <n v="0"/>
  </r>
  <r>
    <x v="0"/>
    <x v="4"/>
    <x v="1"/>
    <n v="461479004150"/>
    <x v="611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80"/>
  </r>
  <r>
    <x v="0"/>
    <x v="4"/>
    <x v="1"/>
    <n v="461479004150"/>
    <x v="61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80"/>
  </r>
  <r>
    <x v="0"/>
    <x v="4"/>
    <x v="1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6"/>
    <n v="100"/>
  </r>
  <r>
    <x v="0"/>
    <x v="4"/>
    <x v="1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13"/>
    <n v="0"/>
    <n v="100"/>
  </r>
  <r>
    <x v="0"/>
    <x v="4"/>
    <x v="1"/>
    <n v="60777901000116"/>
    <x v="32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150"/>
  </r>
  <r>
    <x v="0"/>
    <x v="4"/>
    <x v="1"/>
    <n v="60777901000116"/>
    <x v="321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150"/>
  </r>
  <r>
    <x v="0"/>
    <x v="4"/>
    <x v="1"/>
    <n v="60975737005110"/>
    <x v="44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975737005110"/>
    <x v="444"/>
    <s v="SÃO PAULO"/>
    <s v="SP"/>
    <s v="1-Setorizado"/>
    <n v="2"/>
    <x v="20"/>
    <x v="20"/>
    <s v="Hospitalar (HSP)"/>
    <s v="claudia.bueno@cslbehring.com"/>
    <s v="CLAUDIA BUENO (SPC/SPI)"/>
    <n v="0"/>
    <n v="2"/>
    <n v="2"/>
    <n v="0"/>
    <n v="0"/>
  </r>
  <r>
    <x v="0"/>
    <x v="4"/>
    <x v="1"/>
    <n v="60975737000232"/>
    <x v="44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975737000232"/>
    <x v="445"/>
    <s v="SÃO PAULO"/>
    <s v="SP"/>
    <s v="1-Setorizado"/>
    <n v="2"/>
    <x v="20"/>
    <x v="20"/>
    <s v="Hospitalar (HSP)"/>
    <s v="claudia.bueno@cslbehring.com"/>
    <s v="CLAUDIA BUENO (SPC/SPI)"/>
    <n v="0"/>
    <n v="0"/>
    <n v="8"/>
    <n v="0"/>
    <n v="0"/>
  </r>
  <r>
    <x v="0"/>
    <x v="4"/>
    <x v="1"/>
    <n v="60975737001204"/>
    <x v="32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0975737001204"/>
    <x v="322"/>
    <s v="SÃO PAULO"/>
    <s v="SP"/>
    <s v="1-Setorizado"/>
    <n v="2"/>
    <x v="20"/>
    <x v="20"/>
    <s v="Hospitalar (HSP)"/>
    <s v="claudia.bueno@cslbehring.com"/>
    <s v="CLAUDIA BUENO (SPC/SPI)"/>
    <n v="0"/>
    <n v="0"/>
    <n v="4"/>
    <n v="0"/>
    <n v="0"/>
  </r>
  <r>
    <x v="0"/>
    <x v="4"/>
    <x v="1"/>
    <n v="46374500000941"/>
    <x v="61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46374500000941"/>
    <x v="612"/>
    <s v="SÃO PAULO"/>
    <s v="SP"/>
    <s v="1-Setorizado"/>
    <n v="2"/>
    <x v="20"/>
    <x v="20"/>
    <s v="Hospitalar (HSP)"/>
    <s v="claudia.bueno@cslbehring.com"/>
    <s v="CLAUDIA BUENO (SPC/SPI)"/>
    <n v="0"/>
    <n v="24"/>
    <n v="0"/>
    <n v="0"/>
    <n v="0"/>
  </r>
  <r>
    <x v="0"/>
    <x v="4"/>
    <x v="1"/>
    <n v="5831510000124"/>
    <x v="32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40"/>
  </r>
  <r>
    <x v="0"/>
    <x v="4"/>
    <x v="1"/>
    <n v="5831510000124"/>
    <x v="325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40"/>
  </r>
  <r>
    <x v="0"/>
    <x v="4"/>
    <x v="1"/>
    <n v="15217814000150"/>
    <x v="613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5"/>
  </r>
  <r>
    <x v="0"/>
    <x v="4"/>
    <x v="1"/>
    <n v="15217814000150"/>
    <x v="613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5"/>
  </r>
  <r>
    <x v="0"/>
    <x v="4"/>
    <x v="1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50"/>
  </r>
  <r>
    <x v="0"/>
    <x v="4"/>
    <x v="1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250"/>
  </r>
  <r>
    <x v="0"/>
    <x v="4"/>
    <x v="1"/>
    <n v="2837922000183"/>
    <x v="334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100"/>
    <n v="0"/>
  </r>
  <r>
    <x v="0"/>
    <x v="4"/>
    <x v="1"/>
    <n v="2837922000183"/>
    <x v="334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461479005122"/>
    <x v="614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0"/>
    <n v="125"/>
  </r>
  <r>
    <x v="0"/>
    <x v="4"/>
    <x v="1"/>
    <n v="461479005122"/>
    <x v="614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125"/>
  </r>
  <r>
    <x v="0"/>
    <x v="4"/>
    <x v="1"/>
    <n v="61599908000158"/>
    <x v="335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1599908000158"/>
    <x v="335"/>
    <s v="SÃO PAULO"/>
    <s v="SP"/>
    <s v="1-Setorizado"/>
    <n v="2"/>
    <x v="19"/>
    <x v="19"/>
    <s v="Hospitalar (HSP)"/>
    <s v="claudia.bueno@cslbehring.com"/>
    <s v="CLAUDIA BUENO (SPC/SPI)"/>
    <n v="0"/>
    <n v="180"/>
    <n v="168"/>
    <n v="0"/>
    <n v="0"/>
  </r>
  <r>
    <x v="0"/>
    <x v="4"/>
    <x v="1"/>
    <n v="7045325000130"/>
    <x v="336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375"/>
  </r>
  <r>
    <x v="0"/>
    <x v="4"/>
    <x v="1"/>
    <n v="7045325000130"/>
    <x v="336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375"/>
  </r>
  <r>
    <x v="0"/>
    <x v="4"/>
    <x v="1"/>
    <n v="60961422000155"/>
    <x v="338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20"/>
  </r>
  <r>
    <x v="0"/>
    <x v="4"/>
    <x v="1"/>
    <n v="60961422000155"/>
    <x v="338"/>
    <s v="SÃO PAULO"/>
    <s v="SP"/>
    <s v="1-Setorizado"/>
    <n v="2"/>
    <x v="17"/>
    <x v="17"/>
    <s v="Hospitalar (HSP)"/>
    <s v="claudia.bueno@cslbehring.com"/>
    <s v="CLAUDIA BUENO (SPC/SPI)"/>
    <n v="0"/>
    <n v="4"/>
    <n v="11"/>
    <n v="0"/>
    <n v="20"/>
  </r>
  <r>
    <x v="0"/>
    <x v="4"/>
    <x v="1"/>
    <n v="61590410000124"/>
    <x v="33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4"/>
    <x v="1"/>
    <n v="61590410000124"/>
    <x v="339"/>
    <s v="SÃO PAULO"/>
    <s v="SP"/>
    <s v="1-Setorizado"/>
    <n v="2"/>
    <x v="20"/>
    <x v="20"/>
    <s v="Hospitalar (HSP)"/>
    <s v="claudia.bueno@cslbehring.com"/>
    <s v="CLAUDIA BUENO (SPC/SPI)"/>
    <n v="0"/>
    <n v="20"/>
    <n v="4"/>
    <n v="0"/>
    <n v="0"/>
  </r>
  <r>
    <x v="0"/>
    <x v="4"/>
    <x v="1"/>
    <n v="20812223000241"/>
    <x v="341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23"/>
    <n v="0"/>
  </r>
  <r>
    <x v="0"/>
    <x v="4"/>
    <x v="1"/>
    <n v="20812223000241"/>
    <x v="341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4"/>
    <x v="1"/>
    <n v="46124624002670"/>
    <x v="615"/>
    <s v="SÃO PAULO"/>
    <s v="SP"/>
    <s v="1-Setorizado"/>
    <n v="2"/>
    <x v="14"/>
    <x v="14"/>
    <s v="Especialidade (ESP)"/>
    <s v="claudia.bueno@cslbehring.com"/>
    <s v="CLAUDIA BUENO (SPC/SPI)"/>
    <n v="0"/>
    <n v="0"/>
    <n v="0"/>
    <n v="240"/>
    <n v="750"/>
  </r>
  <r>
    <x v="0"/>
    <x v="4"/>
    <x v="1"/>
    <n v="46124624002670"/>
    <x v="615"/>
    <s v="SÃO PAULO"/>
    <s v="SP"/>
    <s v="1-Setorizado"/>
    <n v="2"/>
    <x v="15"/>
    <x v="15"/>
    <s v="Hospitalar (HSP)"/>
    <s v="claudia.bueno@cslbehring.com"/>
    <s v="CLAUDIA BUENO (SPC/SPI)"/>
    <n v="0"/>
    <n v="0"/>
    <n v="0"/>
    <n v="0"/>
    <n v="750"/>
  </r>
  <r>
    <x v="0"/>
    <x v="4"/>
    <x v="1"/>
    <n v="9087150000159"/>
    <x v="563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7"/>
    <n v="0"/>
  </r>
  <r>
    <x v="0"/>
    <x v="4"/>
    <x v="1"/>
    <n v="9087150000159"/>
    <x v="563"/>
    <s v="SÃO PAULO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29929600000110"/>
    <x v="616"/>
    <s v="TAUBATÉ"/>
    <s v="SP"/>
    <s v="1-Setorizado"/>
    <n v="2"/>
    <x v="16"/>
    <x v="16"/>
    <s v="Especialidade (ESP)"/>
    <s v="claudia.bueno@cslbehring.com"/>
    <s v="CLAUDIA BUENO (SPC/SPI)"/>
    <n v="0"/>
    <n v="0"/>
    <n v="0"/>
    <n v="8"/>
    <n v="0"/>
  </r>
  <r>
    <x v="0"/>
    <x v="4"/>
    <x v="1"/>
    <n v="29929600000110"/>
    <x v="616"/>
    <s v="TAUBATÉ"/>
    <s v="SP"/>
    <s v="1-Setorizado"/>
    <n v="2"/>
    <x v="19"/>
    <x v="19"/>
    <s v="Hospitalar (HSP)"/>
    <s v="claudia.bueno@cslbehring.com"/>
    <s v="CLAUDIA BUENO (SPC/SPI)"/>
    <n v="0"/>
    <n v="0"/>
    <n v="0"/>
    <n v="0"/>
    <n v="0"/>
  </r>
  <r>
    <x v="0"/>
    <x v="4"/>
    <x v="1"/>
    <n v="61699567008924"/>
    <x v="617"/>
    <s v="TAUBATÉ"/>
    <s v="SP"/>
    <s v="1-Setorizado"/>
    <n v="2"/>
    <x v="16"/>
    <x v="16"/>
    <s v="Especialidade (ESP)"/>
    <s v="claudia.bueno@cslbehring.com"/>
    <s v="CLAUDIA BUENO (SPC/SPI)"/>
    <n v="0"/>
    <n v="0"/>
    <n v="0"/>
    <n v="0"/>
    <n v="30"/>
  </r>
  <r>
    <x v="0"/>
    <x v="4"/>
    <x v="1"/>
    <n v="61699567008924"/>
    <x v="617"/>
    <s v="TAUBATÉ"/>
    <s v="SP"/>
    <s v="1-Setorizado"/>
    <n v="2"/>
    <x v="19"/>
    <x v="19"/>
    <s v="Hospitalar (HSP)"/>
    <s v="claudia.bueno@cslbehring.com"/>
    <s v="CLAUDIA BUENO (SPC/SPI)"/>
    <n v="0"/>
    <n v="0"/>
    <n v="0"/>
    <n v="0"/>
    <n v="30"/>
  </r>
  <r>
    <x v="0"/>
    <x v="5"/>
    <x v="1"/>
    <n v="12442737000496"/>
    <x v="1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595"/>
  </r>
  <r>
    <x v="0"/>
    <x v="5"/>
    <x v="1"/>
    <n v="12442737000496"/>
    <x v="1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595"/>
  </r>
  <r>
    <x v="0"/>
    <x v="5"/>
    <x v="1"/>
    <n v="3866223000124"/>
    <x v="343"/>
    <s v="MACEIÓ"/>
    <s v="AL"/>
    <s v="1-Setorizado"/>
    <n v="2"/>
    <x v="0"/>
    <x v="0"/>
    <s v="Especialidade (ESP)"/>
    <s v="fernando.leony@cslbehring.com"/>
    <s v="FERNANDO LEONY (CO/NO/NE)"/>
    <n v="0"/>
    <n v="0"/>
    <n v="0"/>
    <n v="0"/>
    <n v="625"/>
  </r>
  <r>
    <x v="0"/>
    <x v="5"/>
    <x v="1"/>
    <n v="3866223000124"/>
    <x v="343"/>
    <s v="MACEIÓ"/>
    <s v="AL"/>
    <s v="1-Setorizado"/>
    <n v="2"/>
    <x v="1"/>
    <x v="1"/>
    <s v="Hospitalar (HSP)"/>
    <s v="fernando.leony@cslbehring.com"/>
    <s v="FERNANDO LEONY (CO/NO/NE)"/>
    <n v="0"/>
    <n v="0"/>
    <n v="0"/>
    <n v="0"/>
    <n v="625"/>
  </r>
  <r>
    <x v="0"/>
    <x v="5"/>
    <x v="1"/>
    <n v="14074546000100"/>
    <x v="5"/>
    <s v="FEIRA DE SANTANA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5"/>
    <x v="1"/>
    <n v="14074546000100"/>
    <x v="5"/>
    <s v="FEIRA DE SANTANA"/>
    <s v="BA"/>
    <s v="1-Setorizado"/>
    <n v="2"/>
    <x v="1"/>
    <x v="1"/>
    <s v="Hospitalar (HSP)"/>
    <s v="fernando.leony@cslbehring.com"/>
    <s v="FERNANDO LEONY (CO/NO/NE)"/>
    <n v="0"/>
    <n v="1"/>
    <n v="0"/>
    <n v="0"/>
    <n v="0"/>
  </r>
  <r>
    <x v="0"/>
    <x v="5"/>
    <x v="1"/>
    <n v="15194004000125"/>
    <x v="10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5"/>
    <x v="1"/>
    <n v="15194004000125"/>
    <x v="10"/>
    <s v="SALVADOR"/>
    <s v="BA"/>
    <s v="1-Setorizado"/>
    <n v="2"/>
    <x v="1"/>
    <x v="1"/>
    <s v="Hospitalar (HSP)"/>
    <s v="fernando.leony@cslbehring.com"/>
    <s v="FERNANDO LEONY (CO/NO/NE)"/>
    <n v="0"/>
    <n v="1"/>
    <n v="0"/>
    <n v="0"/>
    <n v="0"/>
  </r>
  <r>
    <x v="0"/>
    <x v="5"/>
    <x v="1"/>
    <n v="5469172000122"/>
    <x v="11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5"/>
    <x v="1"/>
    <n v="5469172000122"/>
    <x v="11"/>
    <s v="SALVADOR"/>
    <s v="BA"/>
    <s v="1-Setorizado"/>
    <n v="2"/>
    <x v="1"/>
    <x v="1"/>
    <s v="Hospitalar (HSP)"/>
    <s v="fernando.leony@cslbehring.com"/>
    <s v="FERNANDO LEONY (CO/NO/NE)"/>
    <n v="0"/>
    <n v="5"/>
    <n v="0"/>
    <n v="0"/>
    <n v="0"/>
  </r>
  <r>
    <x v="0"/>
    <x v="5"/>
    <x v="1"/>
    <n v="27372066000169"/>
    <x v="16"/>
    <s v="SALVADOR"/>
    <s v="BA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5"/>
    <x v="1"/>
    <n v="27372066000169"/>
    <x v="16"/>
    <s v="SALVADOR"/>
    <s v="BA"/>
    <s v="1-Setorizado"/>
    <n v="2"/>
    <x v="1"/>
    <x v="1"/>
    <s v="Hospitalar (HSP)"/>
    <s v="fernando.leony@cslbehring.com"/>
    <s v="FERNANDO LEONY (CO/NO/NE)"/>
    <n v="0"/>
    <n v="5"/>
    <n v="5"/>
    <n v="0"/>
    <n v="0"/>
  </r>
  <r>
    <x v="0"/>
    <x v="5"/>
    <x v="1"/>
    <n v="520237000101"/>
    <x v="36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5"/>
    <x v="1"/>
    <n v="520237000101"/>
    <x v="36"/>
    <s v="BRASÍLIA"/>
    <s v="DF"/>
    <s v="1-Setorizado"/>
    <n v="2"/>
    <x v="2"/>
    <x v="2"/>
    <s v="Misto (EMH)"/>
    <s v="fernando.leony@cslbehring.com"/>
    <s v="FERNANDO LEONY (CO/NO/NE)"/>
    <n v="0"/>
    <n v="0"/>
    <n v="0"/>
    <n v="123"/>
    <n v="0"/>
  </r>
  <r>
    <x v="0"/>
    <x v="5"/>
    <x v="1"/>
    <n v="37108388000159"/>
    <x v="38"/>
    <s v="BRASÍLIA"/>
    <s v="DF"/>
    <s v="1-Setorizado"/>
    <n v="2"/>
    <x v="4"/>
    <x v="4"/>
    <s v="Hospitalar (HSP)"/>
    <s v="fernando.leony@cslbehring.com"/>
    <s v="FERNANDO LEONY (CO/NO/NE)"/>
    <n v="0"/>
    <n v="10"/>
    <n v="0"/>
    <n v="0"/>
    <n v="0"/>
  </r>
  <r>
    <x v="0"/>
    <x v="5"/>
    <x v="1"/>
    <n v="37108388000159"/>
    <x v="38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5"/>
    <x v="1"/>
    <n v="2560878000107"/>
    <x v="40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5"/>
    <x v="1"/>
    <n v="2560878000107"/>
    <x v="40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25"/>
  </r>
  <r>
    <x v="0"/>
    <x v="5"/>
    <x v="1"/>
    <n v="6047087004207"/>
    <x v="42"/>
    <s v="BRASÍLIA"/>
    <s v="DF"/>
    <s v="1-Setorizado"/>
    <n v="2"/>
    <x v="4"/>
    <x v="4"/>
    <s v="Hospitalar (HSP)"/>
    <s v="fernando.leony@cslbehring.com"/>
    <s v="FERNANDO LEONY (CO/NO/NE)"/>
    <n v="0"/>
    <n v="14"/>
    <n v="2"/>
    <n v="0"/>
    <n v="0"/>
  </r>
  <r>
    <x v="0"/>
    <x v="5"/>
    <x v="1"/>
    <n v="6047087004207"/>
    <x v="42"/>
    <s v="BRASÍLIA"/>
    <s v="DF"/>
    <s v="1-Setorizado"/>
    <n v="2"/>
    <x v="2"/>
    <x v="2"/>
    <s v="Misto (EMH)"/>
    <s v="fernando.leony@cslbehring.com"/>
    <s v="FERNANDO LEONY (CO/NO/NE)"/>
    <n v="0"/>
    <n v="0"/>
    <n v="0"/>
    <n v="0"/>
    <n v="0"/>
  </r>
  <r>
    <x v="0"/>
    <x v="5"/>
    <x v="1"/>
    <n v="11859927000106"/>
    <x v="49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5"/>
    <x v="1"/>
    <n v="11859927000106"/>
    <x v="49"/>
    <s v="BRASÍLIA"/>
    <s v="DF"/>
    <s v="1-Setorizado"/>
    <n v="2"/>
    <x v="2"/>
    <x v="2"/>
    <s v="Misto (EMH)"/>
    <s v="fernando.leony@cslbehring.com"/>
    <s v="FERNANDO LEONY (CO/NO/NE)"/>
    <n v="0"/>
    <n v="0"/>
    <n v="0"/>
    <n v="4"/>
    <n v="0"/>
  </r>
  <r>
    <x v="0"/>
    <x v="5"/>
    <x v="1"/>
    <n v="16739984000167"/>
    <x v="52"/>
    <s v="BRASÍLIA"/>
    <s v="DF"/>
    <s v="1-Setorizado"/>
    <n v="2"/>
    <x v="4"/>
    <x v="4"/>
    <s v="Hospitalar (HSP)"/>
    <s v="fernando.leony@cslbehring.com"/>
    <s v="FERNANDO LEONY (CO/NO/NE)"/>
    <n v="0"/>
    <n v="0"/>
    <n v="0"/>
    <n v="0"/>
    <n v="0"/>
  </r>
  <r>
    <x v="0"/>
    <x v="5"/>
    <x v="1"/>
    <n v="16739984000167"/>
    <x v="52"/>
    <s v="BRASÍLIA"/>
    <s v="DF"/>
    <s v="1-Setorizado"/>
    <n v="2"/>
    <x v="2"/>
    <x v="2"/>
    <s v="Misto (EMH)"/>
    <s v="fernando.leony@cslbehring.com"/>
    <s v="FERNANDO LEONY (CO/NO/NE)"/>
    <n v="0"/>
    <n v="0"/>
    <n v="0"/>
    <n v="12"/>
    <n v="0"/>
  </r>
  <r>
    <x v="0"/>
    <x v="5"/>
    <x v="1"/>
    <n v="1396804000114"/>
    <x v="56"/>
    <s v="SERRA"/>
    <s v="ES"/>
    <s v="1-Setorizado"/>
    <n v="1"/>
    <x v="5"/>
    <x v="5"/>
    <s v="Misto (EMH)"/>
    <s v="rafael.esteves@cslbehring.com"/>
    <s v="RAFAEL ESTEVES (RJ/SPI/SUL)"/>
    <n v="0"/>
    <n v="0"/>
    <n v="0"/>
    <n v="0"/>
    <n v="25"/>
  </r>
  <r>
    <x v="0"/>
    <x v="5"/>
    <x v="1"/>
    <n v="6337035000105"/>
    <x v="522"/>
    <s v="GOIÂNIA"/>
    <s v="GO"/>
    <s v="1-Setorizado"/>
    <n v="2"/>
    <x v="6"/>
    <x v="6"/>
    <s v="Especialidade (ESP)"/>
    <s v="fernando.leony@cslbehring.com"/>
    <s v="FERNANDO LEONY (CO/NO/NE)"/>
    <n v="0"/>
    <n v="0"/>
    <n v="0"/>
    <n v="0"/>
    <n v="25"/>
  </r>
  <r>
    <x v="0"/>
    <x v="5"/>
    <x v="1"/>
    <n v="6337035000105"/>
    <x v="522"/>
    <s v="GOIÂNIA"/>
    <s v="GO"/>
    <s v="1-Setorizado"/>
    <n v="2"/>
    <x v="4"/>
    <x v="4"/>
    <s v="Hospitalar (HSP)"/>
    <s v="fernando.leony@cslbehring.com"/>
    <s v="FERNANDO LEONY (CO/NO/NE)"/>
    <n v="0"/>
    <n v="0"/>
    <n v="0"/>
    <n v="0"/>
    <n v="25"/>
  </r>
  <r>
    <x v="0"/>
    <x v="5"/>
    <x v="1"/>
    <n v="41781949000234"/>
    <x v="81"/>
    <s v="POÇOS DE CALDAS"/>
    <s v="MG"/>
    <s v="1-Setorizado"/>
    <n v="1"/>
    <x v="5"/>
    <x v="5"/>
    <s v="Misto (EMH)"/>
    <s v="rafael.esteves@cslbehring.com"/>
    <s v="RAFAEL ESTEVES (RJ/SPI/SUL)"/>
    <n v="0"/>
    <n v="0"/>
    <n v="0"/>
    <n v="0"/>
    <n v="120"/>
  </r>
  <r>
    <x v="0"/>
    <x v="5"/>
    <x v="1"/>
    <n v="14408631000159"/>
    <x v="87"/>
    <s v="VIÇOSA"/>
    <s v="MG"/>
    <s v="1-Setorizado"/>
    <n v="1"/>
    <x v="5"/>
    <x v="5"/>
    <s v="Misto (EMH)"/>
    <s v="rafael.esteves@cslbehring.com"/>
    <s v="RAFAEL ESTEVES (RJ/SPI/SUL)"/>
    <n v="0"/>
    <n v="0"/>
    <n v="0"/>
    <n v="4"/>
    <n v="0"/>
  </r>
  <r>
    <x v="0"/>
    <x v="5"/>
    <x v="1"/>
    <n v="6047087009276"/>
    <x v="107"/>
    <s v="RECIFE"/>
    <s v="PE"/>
    <s v="1-Setorizado"/>
    <n v="2"/>
    <x v="0"/>
    <x v="0"/>
    <s v="Especialidade (ESP)"/>
    <s v="fernando.leony@cslbehring.com"/>
    <s v="FERNANDO LEONY (CO/NO/NE)"/>
    <n v="0"/>
    <n v="0"/>
    <n v="0"/>
    <n v="0"/>
    <n v="0"/>
  </r>
  <r>
    <x v="0"/>
    <x v="5"/>
    <x v="1"/>
    <n v="6047087009276"/>
    <x v="107"/>
    <s v="RECIFE"/>
    <s v="PE"/>
    <s v="1-Setorizado"/>
    <n v="2"/>
    <x v="7"/>
    <x v="7"/>
    <s v="Hospitalar (HSP)"/>
    <s v="fernando.leony@cslbehring.com"/>
    <s v="FERNANDO LEONY (CO/NO/NE)"/>
    <n v="0"/>
    <n v="5"/>
    <n v="0"/>
    <n v="0"/>
    <n v="0"/>
  </r>
  <r>
    <x v="0"/>
    <x v="5"/>
    <x v="1"/>
    <n v="76081892000164"/>
    <x v="618"/>
    <s v="CASCAVEL"/>
    <s v="PR"/>
    <s v="0-Setorizar"/>
    <n v="0"/>
    <x v="22"/>
    <x v="22"/>
    <m/>
    <m/>
    <m/>
    <n v="0"/>
    <n v="0"/>
    <n v="0"/>
    <n v="0"/>
    <n v="0"/>
  </r>
  <r>
    <x v="0"/>
    <x v="5"/>
    <x v="1"/>
    <n v="81270548000153"/>
    <x v="480"/>
    <s v="CASCAVEL"/>
    <s v="PR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5"/>
    <x v="1"/>
    <n v="81270548000153"/>
    <x v="480"/>
    <s v="CASCAVEL"/>
    <s v="PR"/>
    <s v="1-Setorizado"/>
    <n v="2"/>
    <x v="9"/>
    <x v="9"/>
    <s v="Hospitalar (HSP)"/>
    <s v="rafael.esteves@cslbehring.com"/>
    <s v="RAFAEL ESTEVES (RJ/SPI/SUL)"/>
    <n v="0"/>
    <n v="0"/>
    <n v="3"/>
    <n v="0"/>
    <n v="0"/>
  </r>
  <r>
    <x v="0"/>
    <x v="5"/>
    <x v="1"/>
    <n v="7734165000136"/>
    <x v="117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32"/>
    <n v="0"/>
  </r>
  <r>
    <x v="0"/>
    <x v="5"/>
    <x v="1"/>
    <n v="7734165000136"/>
    <x v="117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0"/>
  </r>
  <r>
    <x v="0"/>
    <x v="5"/>
    <x v="1"/>
    <n v="75055772002254"/>
    <x v="536"/>
    <s v="CURITIBA"/>
    <s v="PR"/>
    <s v="1-Setorizado"/>
    <n v="2"/>
    <x v="8"/>
    <x v="8"/>
    <s v="Especialidade (ESP)"/>
    <s v="rafael.esteves@cslbehring.com"/>
    <s v="RAFAEL ESTEVES (RJ/SPI/SUL)"/>
    <n v="0"/>
    <n v="0"/>
    <n v="0"/>
    <n v="0"/>
    <n v="70"/>
  </r>
  <r>
    <x v="0"/>
    <x v="5"/>
    <x v="1"/>
    <n v="75055772002254"/>
    <x v="536"/>
    <s v="CURITIBA"/>
    <s v="PR"/>
    <s v="1-Setorizado"/>
    <n v="2"/>
    <x v="9"/>
    <x v="9"/>
    <s v="Hospitalar (HSP)"/>
    <s v="rafael.esteves@cslbehring.com"/>
    <s v="RAFAEL ESTEVES (RJ/SPI/SUL)"/>
    <n v="0"/>
    <n v="0"/>
    <n v="0"/>
    <n v="0"/>
    <n v="70"/>
  </r>
  <r>
    <x v="0"/>
    <x v="5"/>
    <x v="1"/>
    <n v="437007000175"/>
    <x v="137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102"/>
    <n v="0"/>
  </r>
  <r>
    <x v="0"/>
    <x v="5"/>
    <x v="1"/>
    <n v="437007000175"/>
    <x v="137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5"/>
    <x v="1"/>
    <n v="60884855001207"/>
    <x v="138"/>
    <s v="NITERÓI"/>
    <s v="RJ"/>
    <s v="1-Setorizado"/>
    <n v="2"/>
    <x v="10"/>
    <x v="10"/>
    <s v="Especialidade (ESP)"/>
    <s v="rafael.esteves@cslbehring.com"/>
    <s v="RAFAEL ESTEVES (RJ/SPI/SUL)"/>
    <n v="0"/>
    <n v="0"/>
    <n v="0"/>
    <n v="25"/>
    <n v="0"/>
  </r>
  <r>
    <x v="0"/>
    <x v="5"/>
    <x v="1"/>
    <n v="60884855001207"/>
    <x v="138"/>
    <s v="NITERÓI"/>
    <s v="RJ"/>
    <s v="1-Setorizado"/>
    <n v="2"/>
    <x v="11"/>
    <x v="11"/>
    <s v="Hospitalar (HSP)"/>
    <s v="rafael.esteves@cslbehring.com"/>
    <s v="RAFAEL ESTEVES (RJ/SPI/SUL)"/>
    <n v="0"/>
    <n v="0"/>
    <n v="0"/>
    <n v="0"/>
    <n v="0"/>
  </r>
  <r>
    <x v="0"/>
    <x v="5"/>
    <x v="1"/>
    <n v="31635857000292"/>
    <x v="153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5"/>
    <x v="1"/>
    <n v="31635857000292"/>
    <x v="153"/>
    <s v="RIO DE JANEIRO"/>
    <s v="RJ"/>
    <s v="1-Setorizado"/>
    <n v="2"/>
    <x v="11"/>
    <x v="11"/>
    <s v="Hospitalar (HSP)"/>
    <s v="rafael.esteves@cslbehring.com"/>
    <s v="RAFAEL ESTEVES (RJ/SPI/SUL)"/>
    <n v="0"/>
    <n v="0"/>
    <n v="2"/>
    <n v="0"/>
    <n v="0"/>
  </r>
  <r>
    <x v="0"/>
    <x v="5"/>
    <x v="1"/>
    <n v="6047087000996"/>
    <x v="159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5"/>
    <x v="1"/>
    <n v="6047087000996"/>
    <x v="159"/>
    <s v="RIO DE JANEIRO"/>
    <s v="RJ"/>
    <s v="1-Setorizado"/>
    <n v="2"/>
    <x v="11"/>
    <x v="11"/>
    <s v="Hospitalar (HSP)"/>
    <s v="rafael.esteves@cslbehring.com"/>
    <s v="RAFAEL ESTEVES (RJ/SPI/SUL)"/>
    <n v="0"/>
    <n v="0"/>
    <n v="15"/>
    <n v="0"/>
    <n v="0"/>
  </r>
  <r>
    <x v="0"/>
    <x v="5"/>
    <x v="1"/>
    <n v="6047087001020"/>
    <x v="171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0"/>
  </r>
  <r>
    <x v="0"/>
    <x v="5"/>
    <x v="1"/>
    <n v="6047087001020"/>
    <x v="171"/>
    <s v="RIO DE JANEIRO"/>
    <s v="RJ"/>
    <s v="1-Setorizado"/>
    <n v="2"/>
    <x v="11"/>
    <x v="11"/>
    <s v="Hospitalar (HSP)"/>
    <s v="rafael.esteves@cslbehring.com"/>
    <s v="RAFAEL ESTEVES (RJ/SPI/SUL)"/>
    <n v="0"/>
    <n v="30"/>
    <n v="0"/>
    <n v="0"/>
    <n v="0"/>
  </r>
  <r>
    <x v="0"/>
    <x v="5"/>
    <x v="1"/>
    <n v="28000107000159"/>
    <x v="186"/>
    <s v="RIO DE JANEIRO"/>
    <s v="RJ"/>
    <s v="1-Setorizado"/>
    <n v="2"/>
    <x v="10"/>
    <x v="10"/>
    <s v="Especialidade (ESP)"/>
    <s v="rafael.esteves@cslbehring.com"/>
    <s v="RAFAEL ESTEVES (RJ/SPI/SUL)"/>
    <n v="0"/>
    <n v="0"/>
    <n v="0"/>
    <n v="0"/>
    <n v="30"/>
  </r>
  <r>
    <x v="0"/>
    <x v="5"/>
    <x v="1"/>
    <n v="28000107000159"/>
    <x v="186"/>
    <s v="RIO DE JANEIRO"/>
    <s v="RJ"/>
    <s v="1-Setorizado"/>
    <n v="2"/>
    <x v="11"/>
    <x v="11"/>
    <s v="Hospitalar (HSP)"/>
    <s v="rafael.esteves@cslbehring.com"/>
    <s v="RAFAEL ESTEVES (RJ/SPI/SUL)"/>
    <n v="0"/>
    <n v="0"/>
    <n v="0"/>
    <n v="0"/>
    <n v="30"/>
  </r>
  <r>
    <x v="0"/>
    <x v="5"/>
    <x v="1"/>
    <n v="87096616003101"/>
    <x v="417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48"/>
    <n v="0"/>
  </r>
  <r>
    <x v="0"/>
    <x v="5"/>
    <x v="1"/>
    <n v="87096616003101"/>
    <x v="417"/>
    <s v="PORTO ALEGRE"/>
    <s v="RS"/>
    <s v="1-Setorizado"/>
    <n v="2"/>
    <x v="13"/>
    <x v="13"/>
    <s v="Hospitalar (HSP)"/>
    <s v="rafael.esteves@cslbehring.com"/>
    <s v="RAFAEL ESTEVES (RJ/SPI/SUL)"/>
    <n v="0"/>
    <n v="0"/>
    <n v="0"/>
    <n v="0"/>
    <n v="0"/>
  </r>
  <r>
    <x v="0"/>
    <x v="5"/>
    <x v="1"/>
    <n v="92741016000254"/>
    <x v="210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5"/>
    <x v="1"/>
    <n v="92741016000254"/>
    <x v="210"/>
    <s v="PORTO ALEGRE"/>
    <s v="RS"/>
    <s v="1-Setorizado"/>
    <n v="2"/>
    <x v="13"/>
    <x v="13"/>
    <s v="Hospitalar (HSP)"/>
    <s v="rafael.esteves@cslbehring.com"/>
    <s v="RAFAEL ESTEVES (RJ/SPI/SUL)"/>
    <n v="0"/>
    <n v="0"/>
    <n v="2"/>
    <n v="0"/>
    <n v="0"/>
  </r>
  <r>
    <x v="0"/>
    <x v="5"/>
    <x v="1"/>
    <n v="88625686002443"/>
    <x v="211"/>
    <s v="PORTO ALEGRE"/>
    <s v="RS"/>
    <s v="1-Setorizado"/>
    <n v="2"/>
    <x v="8"/>
    <x v="8"/>
    <s v="Especialidade (ESP)"/>
    <s v="rafael.esteves@cslbehring.com"/>
    <s v="RAFAEL ESTEVES (RJ/SPI/SUL)"/>
    <n v="0"/>
    <n v="0"/>
    <n v="0"/>
    <n v="0"/>
    <n v="0"/>
  </r>
  <r>
    <x v="0"/>
    <x v="5"/>
    <x v="1"/>
    <n v="88625686002443"/>
    <x v="211"/>
    <s v="PORTO ALEGRE"/>
    <s v="RS"/>
    <s v="1-Setorizado"/>
    <n v="2"/>
    <x v="13"/>
    <x v="13"/>
    <s v="Hospitalar (HSP)"/>
    <s v="rafael.esteves@cslbehring.com"/>
    <s v="RAFAEL ESTEVES (RJ/SPI/SUL)"/>
    <n v="0"/>
    <n v="0"/>
    <n v="9"/>
    <n v="0"/>
    <n v="0"/>
  </r>
  <r>
    <x v="0"/>
    <x v="5"/>
    <x v="1"/>
    <n v="3855214000219"/>
    <x v="548"/>
    <s v="JARAGUÁ DO SUL"/>
    <s v="SC"/>
    <s v="1-Setorizado"/>
    <n v="2"/>
    <x v="8"/>
    <x v="8"/>
    <s v="Especialidade (ESP)"/>
    <s v="rafael.esteves@cslbehring.com"/>
    <s v="RAFAEL ESTEVES (RJ/SPI/SUL)"/>
    <n v="0"/>
    <n v="0"/>
    <n v="0"/>
    <n v="0"/>
    <n v="10"/>
  </r>
  <r>
    <x v="0"/>
    <x v="5"/>
    <x v="1"/>
    <n v="3855214000219"/>
    <x v="548"/>
    <s v="JARAGUÁ DO SUL"/>
    <s v="SC"/>
    <s v="1-Setorizado"/>
    <n v="2"/>
    <x v="9"/>
    <x v="9"/>
    <s v="Hospitalar (HSP)"/>
    <s v="rafael.esteves@cslbehring.com"/>
    <s v="RAFAEL ESTEVES (RJ/SPI/SUL)"/>
    <n v="0"/>
    <n v="0"/>
    <n v="0"/>
    <n v="0"/>
    <n v="10"/>
  </r>
  <r>
    <x v="0"/>
    <x v="5"/>
    <x v="1"/>
    <n v="13131370000100"/>
    <x v="235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250"/>
  </r>
  <r>
    <x v="0"/>
    <x v="5"/>
    <x v="1"/>
    <n v="13131370000100"/>
    <x v="235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250"/>
  </r>
  <r>
    <x v="0"/>
    <x v="5"/>
    <x v="1"/>
    <n v="15592785000106"/>
    <x v="236"/>
    <s v="ARACAJU"/>
    <s v="SE"/>
    <s v="1-Setorizado"/>
    <n v="2"/>
    <x v="0"/>
    <x v="0"/>
    <s v="Especialidade (ESP)"/>
    <s v="fernando.leony@cslbehring.com"/>
    <s v="FERNANDO LEONY (CO/NO/NE)"/>
    <n v="0"/>
    <n v="0"/>
    <n v="0"/>
    <n v="0"/>
    <n v="165"/>
  </r>
  <r>
    <x v="0"/>
    <x v="5"/>
    <x v="1"/>
    <n v="15592785000106"/>
    <x v="236"/>
    <s v="ARACAJU"/>
    <s v="SE"/>
    <s v="1-Setorizado"/>
    <n v="2"/>
    <x v="1"/>
    <x v="1"/>
    <s v="Hospitalar (HSP)"/>
    <s v="fernando.leony@cslbehring.com"/>
    <s v="FERNANDO LEONY (CO/NO/NE)"/>
    <n v="0"/>
    <n v="0"/>
    <n v="0"/>
    <n v="0"/>
    <n v="165"/>
  </r>
  <r>
    <x v="0"/>
    <x v="5"/>
    <x v="1"/>
    <n v="4275687000129"/>
    <x v="240"/>
    <s v="ATIBAIA"/>
    <s v="SP"/>
    <s v="1-Setorizado"/>
    <n v="2"/>
    <x v="14"/>
    <x v="14"/>
    <s v="Especialidade (ESP)"/>
    <s v="claudia.bueno@cslbehring.com"/>
    <s v="CLAUDIA BUENO (SPC/SPI)"/>
    <n v="0"/>
    <n v="0"/>
    <n v="0"/>
    <n v="25"/>
    <n v="0"/>
  </r>
  <r>
    <x v="0"/>
    <x v="5"/>
    <x v="1"/>
    <n v="4275687000129"/>
    <x v="240"/>
    <s v="ATIBAI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5"/>
    <x v="1"/>
    <n v="46009718000140"/>
    <x v="244"/>
    <s v="CAMPINAS"/>
    <s v="SP"/>
    <s v="1-Setorizado"/>
    <n v="2"/>
    <x v="14"/>
    <x v="14"/>
    <s v="Especialidade (ESP)"/>
    <s v="claudia.bueno@cslbehring.com"/>
    <s v="CLAUDIA BUENO (SPC/SPI)"/>
    <n v="0"/>
    <n v="0"/>
    <n v="0"/>
    <n v="40"/>
    <n v="0"/>
  </r>
  <r>
    <x v="0"/>
    <x v="5"/>
    <x v="1"/>
    <n v="46009718000140"/>
    <x v="244"/>
    <s v="CAMPINAS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5"/>
    <x v="1"/>
    <n v="45118429001279"/>
    <x v="251"/>
    <s v="CATANDUVA"/>
    <s v="SP"/>
    <s v="1-Setorizado"/>
    <n v="2"/>
    <x v="14"/>
    <x v="14"/>
    <s v="Especialidade (ESP)"/>
    <s v="claudia.bueno@cslbehring.com"/>
    <s v="CLAUDIA BUENO (SPC/SPI)"/>
    <n v="0"/>
    <n v="0"/>
    <n v="0"/>
    <n v="6"/>
    <n v="0"/>
  </r>
  <r>
    <x v="0"/>
    <x v="5"/>
    <x v="1"/>
    <n v="45118429001279"/>
    <x v="251"/>
    <s v="CATANDUVA"/>
    <s v="SP"/>
    <s v="1-Setorizado"/>
    <n v="2"/>
    <x v="15"/>
    <x v="15"/>
    <s v="Hospitalar (HSP)"/>
    <s v="claudia.bueno@cslbehring.com"/>
    <s v="CLAUDIA BUENO (SPC/SPI)"/>
    <n v="0"/>
    <n v="0"/>
    <n v="0"/>
    <n v="0"/>
    <n v="0"/>
  </r>
  <r>
    <x v="0"/>
    <x v="5"/>
    <x v="1"/>
    <n v="45399961000230"/>
    <x v="271"/>
    <s v="SOROCABA"/>
    <s v="SP"/>
    <s v="1-Setorizado"/>
    <n v="2"/>
    <x v="18"/>
    <x v="18"/>
    <s v="Especialidade (ESP)"/>
    <s v="claudia.bueno@cslbehring.com"/>
    <s v="CLAUDIA BUENO (SPC/SPI)"/>
    <n v="0"/>
    <n v="0"/>
    <n v="0"/>
    <n v="0"/>
    <n v="200"/>
  </r>
  <r>
    <x v="0"/>
    <x v="5"/>
    <x v="1"/>
    <n v="45399961000230"/>
    <x v="271"/>
    <s v="SOROCABA"/>
    <s v="SP"/>
    <s v="1-Setorizado"/>
    <n v="2"/>
    <x v="19"/>
    <x v="19"/>
    <s v="Hospitalar (HSP)"/>
    <s v="claudia.bueno@cslbehring.com"/>
    <s v="CLAUDIA BUENO (SPC/SPI)"/>
    <n v="0"/>
    <n v="0"/>
    <n v="0"/>
    <n v="0"/>
    <n v="200"/>
  </r>
  <r>
    <x v="0"/>
    <x v="5"/>
    <x v="1"/>
    <n v="60992427000650"/>
    <x v="50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5"/>
    <x v="1"/>
    <n v="60992427000650"/>
    <x v="509"/>
    <s v="SÃO PAULO"/>
    <s v="SP"/>
    <s v="1-Setorizado"/>
    <n v="2"/>
    <x v="17"/>
    <x v="17"/>
    <s v="Hospitalar (HSP)"/>
    <s v="claudia.bueno@cslbehring.com"/>
    <s v="CLAUDIA BUENO (SPC/SPI)"/>
    <n v="0"/>
    <n v="5"/>
    <n v="2"/>
    <n v="0"/>
    <n v="0"/>
  </r>
  <r>
    <x v="0"/>
    <x v="5"/>
    <x v="1"/>
    <n v="10475230000160"/>
    <x v="299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45"/>
  </r>
  <r>
    <x v="0"/>
    <x v="5"/>
    <x v="1"/>
    <n v="10475230000160"/>
    <x v="299"/>
    <s v="SÃO PAULO"/>
    <s v="SP"/>
    <s v="1-Setorizado"/>
    <n v="2"/>
    <x v="20"/>
    <x v="20"/>
    <s v="Hospitalar (HSP)"/>
    <s v="claudia.bueno@cslbehring.com"/>
    <s v="CLAUDIA BUENO (SPC/SPI)"/>
    <n v="0"/>
    <n v="0"/>
    <n v="0"/>
    <n v="0"/>
    <n v="45"/>
  </r>
  <r>
    <x v="0"/>
    <x v="5"/>
    <x v="1"/>
    <n v="60922168000771"/>
    <x v="319"/>
    <s v="SÃO PAULO"/>
    <s v="SP"/>
    <s v="1-Setorizado"/>
    <n v="2"/>
    <x v="18"/>
    <x v="18"/>
    <s v="Especialidade (ESP)"/>
    <s v="claudia.bueno@cslbehring.com"/>
    <s v="CLAUDIA BUENO (SPC/SPI)"/>
    <n v="0"/>
    <n v="0"/>
    <n v="0"/>
    <n v="8"/>
    <n v="0"/>
  </r>
  <r>
    <x v="0"/>
    <x v="5"/>
    <x v="1"/>
    <n v="60922168000771"/>
    <x v="319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0"/>
  </r>
  <r>
    <x v="0"/>
    <x v="5"/>
    <x v="1"/>
    <n v="4036348000190"/>
    <x v="332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100"/>
  </r>
  <r>
    <x v="0"/>
    <x v="5"/>
    <x v="1"/>
    <n v="4036348000190"/>
    <x v="332"/>
    <s v="SÃO PAULO"/>
    <s v="SP"/>
    <s v="1-Setorizado"/>
    <n v="2"/>
    <x v="17"/>
    <x v="17"/>
    <s v="Hospitalar (HSP)"/>
    <s v="claudia.bueno@cslbehring.com"/>
    <s v="CLAUDIA BUENO (SPC/SPI)"/>
    <n v="0"/>
    <n v="0"/>
    <n v="0"/>
    <n v="0"/>
    <n v="100"/>
  </r>
  <r>
    <x v="0"/>
    <x v="5"/>
    <x v="1"/>
    <n v="6047087000210"/>
    <x v="337"/>
    <s v="SÃO PAULO"/>
    <s v="SP"/>
    <s v="1-Setorizado"/>
    <n v="2"/>
    <x v="16"/>
    <x v="16"/>
    <s v="Especialidade (ESP)"/>
    <s v="claudia.bueno@cslbehring.com"/>
    <s v="CLAUDIA BUENO (SPC/SPI)"/>
    <n v="0"/>
    <n v="0"/>
    <n v="0"/>
    <n v="0"/>
    <n v="0"/>
  </r>
  <r>
    <x v="0"/>
    <x v="5"/>
    <x v="1"/>
    <n v="6047087000210"/>
    <x v="337"/>
    <s v="SÃO PAULO"/>
    <s v="SP"/>
    <s v="1-Setorizado"/>
    <n v="2"/>
    <x v="17"/>
    <x v="17"/>
    <s v="Hospitalar (HSP)"/>
    <s v="claudia.bueno@cslbehring.com"/>
    <s v="CLAUDIA BUENO (SPC/SPI)"/>
    <n v="0"/>
    <n v="25"/>
    <n v="1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5">
  <r>
    <x v="0"/>
    <x v="0"/>
    <x v="0"/>
    <n v="461479004584"/>
    <x v="0"/>
    <s v="SÃO PAULO"/>
    <s v="SP"/>
    <x v="0"/>
    <s v="CLAUDIA BUENO (SPC/SPI)"/>
    <n v="70"/>
    <x v="0"/>
    <s v="INSTITUTO DE ONCOLOGIA PREVENT SENIOR - SÃO PAULO - SP - 00.461.479/0045-84"/>
    <n v="225"/>
  </r>
  <r>
    <x v="0"/>
    <x v="1"/>
    <x v="0"/>
    <n v="2383508000494"/>
    <x v="1"/>
    <s v="SÃO PAULO"/>
    <s v="SP"/>
    <x v="0"/>
    <s v="CLAUDIA BUENO (SPC/SPI)"/>
    <n v="70"/>
    <x v="0"/>
    <s v="CENTRAL CLINIC - SÃO PAULO - SP - 02.383.508/0004-94"/>
    <n v="280"/>
  </r>
  <r>
    <x v="0"/>
    <x v="0"/>
    <x v="0"/>
    <n v="4036348000190"/>
    <x v="2"/>
    <s v="SÃO PAULO"/>
    <s v="SP"/>
    <x v="0"/>
    <s v="CLAUDIA BUENO (SPC/SPI)"/>
    <n v="70"/>
    <x v="0"/>
    <s v="ONCOCENTER SERVICOS MEDICOS LTDA. - SÃO PAULO - SP - 04.036.348/0001-90"/>
    <n v="515"/>
  </r>
  <r>
    <x v="0"/>
    <x v="1"/>
    <x v="0"/>
    <n v="4036348000190"/>
    <x v="2"/>
    <s v="SÃO PAULO"/>
    <s v="SP"/>
    <x v="0"/>
    <s v="CLAUDIA BUENO (SPC/SPI)"/>
    <n v="70"/>
    <x v="0"/>
    <s v="ONCOCENTER SERVICOS MEDICOS LTDA. - SÃO PAULO - SP - 04.036.348/0001-90"/>
    <n v="320"/>
  </r>
  <r>
    <x v="0"/>
    <x v="0"/>
    <x v="0"/>
    <n v="5831510000124"/>
    <x v="3"/>
    <s v="SÃO PAULO"/>
    <s v="SP"/>
    <x v="0"/>
    <s v="CLAUDIA BUENO (SPC/SPI)"/>
    <n v="70"/>
    <x v="0"/>
    <s v="INSTITUTO DE IMUNOLOGIA E ONCOLOGIA S/S LTDA - SÃO PAULO - SP - 05.831.510/0001-24"/>
    <n v="195"/>
  </r>
  <r>
    <x v="0"/>
    <x v="1"/>
    <x v="0"/>
    <n v="5831510000124"/>
    <x v="3"/>
    <s v="SÃO PAULO"/>
    <s v="SP"/>
    <x v="0"/>
    <s v="CLAUDIA BUENO (SPC/SPI)"/>
    <n v="70"/>
    <x v="0"/>
    <s v="INSTITUTO DE IMUNOLOGIA E ONCOLOGIA S/S LTDA - SÃO PAULO - SP - 05.831.510/0001-24"/>
    <n v="140"/>
  </r>
  <r>
    <x v="0"/>
    <x v="1"/>
    <x v="0"/>
    <n v="7045325000130"/>
    <x v="4"/>
    <s v="SÃO PAULO"/>
    <s v="SP"/>
    <x v="0"/>
    <s v="CLAUDIA BUENO (SPC/SPI)"/>
    <n v="70"/>
    <x v="0"/>
    <s v="SAHA SERVICOS MEDICOS E HOSPITALARES LTDA. - SÃO PAULO - SP - 07.045.325/0001-30"/>
    <n v="200"/>
  </r>
  <r>
    <x v="0"/>
    <x v="0"/>
    <x v="0"/>
    <n v="8100676000592"/>
    <x v="5"/>
    <s v="SÃO PAULO"/>
    <s v="SP"/>
    <x v="0"/>
    <s v="CLAUDIA BUENO (SPC/SPI)"/>
    <n v="70"/>
    <x v="0"/>
    <s v="HOSPITAL ALVORADA MOEMA - SÃO PAULO - SP - 08.100.676/0005-92"/>
    <n v="130"/>
  </r>
  <r>
    <x v="0"/>
    <x v="1"/>
    <x v="0"/>
    <n v="8100676000592"/>
    <x v="5"/>
    <s v="SÃO PAULO"/>
    <s v="SP"/>
    <x v="0"/>
    <s v="CLAUDIA BUENO (SPC/SPI)"/>
    <n v="70"/>
    <x v="0"/>
    <s v="HOSPITAL ALVORADA MOEMA - SÃO PAULO - SP - 08.100.676/0005-92"/>
    <n v="220"/>
  </r>
  <r>
    <x v="0"/>
    <x v="0"/>
    <x v="0"/>
    <n v="8100676000835"/>
    <x v="6"/>
    <s v="SÃO PAULO"/>
    <s v="SP"/>
    <x v="0"/>
    <s v="CLAUDIA BUENO (SPC/SPI)"/>
    <n v="70"/>
    <x v="0"/>
    <s v="H. METROPOLITANO - UNIDADE BUTANTA - SÃO PAULO - SP - 08.100.676/0008-35"/>
    <n v="25"/>
  </r>
  <r>
    <x v="0"/>
    <x v="0"/>
    <x v="0"/>
    <n v="8100676002455"/>
    <x v="7"/>
    <s v="SÃO PAULO"/>
    <s v="SP"/>
    <x v="0"/>
    <s v="CLAUDIA BUENO (SPC/SPI)"/>
    <n v="70"/>
    <x v="0"/>
    <s v="HOSPITAL ALVORADA TAGUATINGA LTDA - SÃO PAULO - SP - 08.100.676/0024-55"/>
    <n v="340"/>
  </r>
  <r>
    <x v="0"/>
    <x v="1"/>
    <x v="0"/>
    <n v="8100676002455"/>
    <x v="7"/>
    <s v="SÃO PAULO"/>
    <s v="SP"/>
    <x v="0"/>
    <s v="CLAUDIA BUENO (SPC/SPI)"/>
    <n v="70"/>
    <x v="0"/>
    <s v="HOSPITAL ALVORADA TAGUATINGA LTDA - SÃO PAULO - SP - 08.100.676/0024-55"/>
    <n v="525"/>
  </r>
  <r>
    <x v="0"/>
    <x v="0"/>
    <x v="0"/>
    <n v="8871521000126"/>
    <x v="8"/>
    <s v="SÃO PAULO"/>
    <s v="SP"/>
    <x v="0"/>
    <s v="CLAUDIA BUENO (SPC/SPI)"/>
    <n v="70"/>
    <x v="0"/>
    <s v="CIP - CENTRO DE INFUSOES PACAEMBU LTDA - SÃO PAULO - SP - 08.871.521/0001-26"/>
    <n v="60"/>
  </r>
  <r>
    <x v="0"/>
    <x v="1"/>
    <x v="0"/>
    <n v="8871521000126"/>
    <x v="8"/>
    <s v="SÃO PAULO"/>
    <s v="SP"/>
    <x v="0"/>
    <s v="CLAUDIA BUENO (SPC/SPI)"/>
    <n v="70"/>
    <x v="0"/>
    <s v="CIP - CENTRO DE INFUSOES PACAEMBU LTDA - SÃO PAULO - SP - 08.871.521/0001-26"/>
    <n v="397.5"/>
  </r>
  <r>
    <x v="0"/>
    <x v="0"/>
    <x v="0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2065"/>
  </r>
  <r>
    <x v="0"/>
    <x v="1"/>
    <x v="0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805"/>
  </r>
  <r>
    <x v="0"/>
    <x v="0"/>
    <x v="0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635"/>
  </r>
  <r>
    <x v="0"/>
    <x v="1"/>
    <x v="0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550"/>
  </r>
  <r>
    <x v="0"/>
    <x v="0"/>
    <x v="0"/>
    <n v="10475230000160"/>
    <x v="11"/>
    <s v="SÃO PAULO"/>
    <s v="SP"/>
    <x v="0"/>
    <s v="CLAUDIA BUENO (SPC/SPI)"/>
    <n v="70"/>
    <x v="0"/>
    <s v="HEMOMED - SÃO PAULO - SP - 10.475.230/0001-60"/>
    <n v="45"/>
  </r>
  <r>
    <x v="0"/>
    <x v="1"/>
    <x v="0"/>
    <n v="10475230000160"/>
    <x v="11"/>
    <s v="SÃO PAULO"/>
    <s v="SP"/>
    <x v="0"/>
    <s v="CLAUDIA BUENO (SPC/SPI)"/>
    <n v="70"/>
    <x v="0"/>
    <s v="HEMOMED - SÃO PAULO - SP - 10.475.230/0001-60"/>
    <n v="45"/>
  </r>
  <r>
    <x v="0"/>
    <x v="0"/>
    <x v="0"/>
    <n v="19803199000114"/>
    <x v="12"/>
    <s v="SÃO PAULO"/>
    <s v="SP"/>
    <x v="0"/>
    <s v="CLAUDIA BUENO (SPC/SPI)"/>
    <n v="70"/>
    <x v="0"/>
    <s v="SOCIEDADE BENEFICENTE DE PRESIDENTE BERNARDES - SÃO PAULO - SP - 19.803.199/0001-14"/>
    <n v="50"/>
  </r>
  <r>
    <x v="0"/>
    <x v="1"/>
    <x v="0"/>
    <n v="19803199000114"/>
    <x v="12"/>
    <s v="SÃO PAULO"/>
    <s v="SP"/>
    <x v="0"/>
    <s v="CLAUDIA BUENO (SPC/SPI)"/>
    <n v="70"/>
    <x v="0"/>
    <s v="SOCIEDADE BENEFICENTE DE PRESIDENTE BERNARDES - SÃO PAULO - SP - 19.803.199/0001-14"/>
    <n v="175"/>
  </r>
  <r>
    <x v="0"/>
    <x v="0"/>
    <x v="0"/>
    <n v="21371777000132"/>
    <x v="13"/>
    <s v="SÃO PAULO"/>
    <s v="SP"/>
    <x v="0"/>
    <s v="CLAUDIA BUENO (SPC/SPI)"/>
    <n v="70"/>
    <x v="0"/>
    <s v="HOSPITAL BANDEIRANTES LTDA  - SÃO PAULO - SP - 21.371.777/0001-32"/>
    <n v="175"/>
  </r>
  <r>
    <x v="0"/>
    <x v="1"/>
    <x v="0"/>
    <n v="21371777000132"/>
    <x v="13"/>
    <s v="SÃO PAULO"/>
    <s v="SP"/>
    <x v="0"/>
    <s v="CLAUDIA BUENO (SPC/SPI)"/>
    <n v="70"/>
    <x v="0"/>
    <s v="HOSPITAL BANDEIRANTES LTDA  - SÃO PAULO - SP - 21.371.777/0001-32"/>
    <n v="600"/>
  </r>
  <r>
    <x v="0"/>
    <x v="0"/>
    <x v="0"/>
    <n v="29435005002687"/>
    <x v="14"/>
    <s v="SÃO PAULO"/>
    <s v="SP"/>
    <x v="0"/>
    <s v="CLAUDIA BUENO (SPC/SPI)"/>
    <n v="70"/>
    <x v="0"/>
    <s v="HOSPITAL PAULISTANO - SÃO PAULO - SP - 29.435.005/0026-87"/>
    <n v="500"/>
  </r>
  <r>
    <x v="0"/>
    <x v="1"/>
    <x v="0"/>
    <n v="29435005002687"/>
    <x v="14"/>
    <s v="SÃO PAULO"/>
    <s v="SP"/>
    <x v="0"/>
    <s v="CLAUDIA BUENO (SPC/SPI)"/>
    <n v="70"/>
    <x v="0"/>
    <s v="HOSPITAL PAULISTANO - SÃO PAULO - SP - 29.435.005/0026-87"/>
    <n v="1350"/>
  </r>
  <r>
    <x v="0"/>
    <x v="0"/>
    <x v="0"/>
    <n v="29435005004540"/>
    <x v="15"/>
    <s v="SÃO PAULO"/>
    <s v="SP"/>
    <x v="0"/>
    <s v="CLAUDIA BUENO (SPC/SPI)"/>
    <n v="70"/>
    <x v="0"/>
    <s v="HOSPITAL E MATERNIDADE VITORIA - SÃO PAULO - SP - 29.435.005/0045-40"/>
    <n v="500"/>
  </r>
  <r>
    <x v="0"/>
    <x v="0"/>
    <x v="0"/>
    <n v="29435005009932"/>
    <x v="16"/>
    <s v="SÃO PAULO"/>
    <s v="SP"/>
    <x v="0"/>
    <s v="CLAUDIA BUENO (SPC/SPI)"/>
    <n v="70"/>
    <x v="0"/>
    <s v="ESHO EMPRESA DE SERVICOS HOSPITALARES S.A - SÃO PAULO - SP - 29.435.005/0099-32"/>
    <n v="350"/>
  </r>
  <r>
    <x v="0"/>
    <x v="1"/>
    <x v="0"/>
    <n v="29435005009932"/>
    <x v="16"/>
    <s v="SÃO PAULO"/>
    <s v="SP"/>
    <x v="0"/>
    <s v="CLAUDIA BUENO (SPC/SPI)"/>
    <n v="70"/>
    <x v="0"/>
    <s v="ESHO EMPRESA DE SERVICOS HOSPITALARES S.A - SÃO PAULO - SP - 29.435.005/0099-32"/>
    <n v="1700"/>
  </r>
  <r>
    <x v="0"/>
    <x v="0"/>
    <x v="0"/>
    <n v="43643139000409"/>
    <x v="17"/>
    <s v="SÃO PAULO"/>
    <s v="SP"/>
    <x v="0"/>
    <s v="CLAUDIA BUENO (SPC/SPI)"/>
    <n v="70"/>
    <x v="0"/>
    <s v="CENTRO INFUSIONAL E REFERENCIA MEDICA - FESP - SÃO PAULO - SP - 43.643.139/0004-09"/>
    <n v="160"/>
  </r>
  <r>
    <x v="0"/>
    <x v="0"/>
    <x v="0"/>
    <n v="44649812005520"/>
    <x v="18"/>
    <s v="SÃO PAULO"/>
    <s v="SP"/>
    <x v="0"/>
    <s v="CLAUDIA BUENO (SPC/SPI)"/>
    <n v="70"/>
    <x v="0"/>
    <s v="INTERMEDICA SISTEMA DE SAUDE - SÃO PAULO - SP - 44.649.812/0055-20"/>
    <n v="10"/>
  </r>
  <r>
    <x v="0"/>
    <x v="0"/>
    <x v="0"/>
    <n v="51722957010226"/>
    <x v="19"/>
    <s v="SÃO PAULO"/>
    <s v="SP"/>
    <x v="0"/>
    <s v="CLAUDIA BUENO (SPC/SPI)"/>
    <n v="70"/>
    <x v="0"/>
    <s v="AMICO SAUDE LTDA - SÃO PAULO - SP - 51.722.957/0102-26"/>
    <n v="535"/>
  </r>
  <r>
    <x v="0"/>
    <x v="0"/>
    <x v="0"/>
    <n v="51722957012512"/>
    <x v="20"/>
    <s v="SÃO PAULO"/>
    <s v="SP"/>
    <x v="0"/>
    <s v="CLAUDIA BUENO (SPC/SPI)"/>
    <n v="70"/>
    <x v="0"/>
    <s v="HOSPITAL E MATERNIDADE METROPOLITANO - SÃO PAULO - SP - 51.722.957/0125-12"/>
    <n v="65"/>
  </r>
  <r>
    <x v="0"/>
    <x v="0"/>
    <x v="0"/>
    <n v="57394710000160"/>
    <x v="21"/>
    <s v="SÃO PAULO"/>
    <s v="SP"/>
    <x v="0"/>
    <s v="CLAUDIA BUENO (SPC/SPI)"/>
    <n v="70"/>
    <x v="0"/>
    <s v="UNIDADE DE ONCOLOGIA CLINICA E PEDIATRICA LTDA. - EPP - SÃO PAULO - SP - 57.394.710/0001-60"/>
    <n v="25"/>
  </r>
  <r>
    <x v="0"/>
    <x v="0"/>
    <x v="0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10"/>
  </r>
  <r>
    <x v="0"/>
    <x v="0"/>
    <x v="0"/>
    <n v="60552098000111"/>
    <x v="23"/>
    <s v="SÃO PAULO"/>
    <s v="SP"/>
    <x v="0"/>
    <s v="CLAUDIA BUENO (SPC/SPI)"/>
    <n v="70"/>
    <x v="0"/>
    <s v="HOSPITAL SANTA CRUZ - SÃO PAULO - SP - 60.552.098/0001-11"/>
    <n v="225"/>
  </r>
  <r>
    <x v="0"/>
    <x v="0"/>
    <x v="0"/>
    <n v="60726502000126"/>
    <x v="24"/>
    <s v="SÃO PAULO"/>
    <s v="SP"/>
    <x v="0"/>
    <s v="CLAUDIA BUENO (SPC/SPI)"/>
    <n v="70"/>
    <x v="0"/>
    <s v="HOSPITAL ALEMAO OSWALDO CRUZ - SÃO PAULO - SP - 60.726.502/0001-26"/>
    <n v="390"/>
  </r>
  <r>
    <x v="0"/>
    <x v="0"/>
    <x v="0"/>
    <n v="60777901000116"/>
    <x v="25"/>
    <s v="SÃO PAULO"/>
    <s v="SP"/>
    <x v="0"/>
    <s v="CLAUDIA BUENO (SPC/SPI)"/>
    <n v="70"/>
    <x v="0"/>
    <s v="HOSPITAL SANTA PAULA LTDA - SÃO PAULO - SP - 60.777.901/0001-16"/>
    <n v="1650"/>
  </r>
  <r>
    <x v="0"/>
    <x v="0"/>
    <x v="0"/>
    <n v="60884855000316"/>
    <x v="26"/>
    <s v="SÃO PAULO"/>
    <s v="SP"/>
    <x v="0"/>
    <s v="CLAUDIA BUENO (SPC/SPI)"/>
    <n v="70"/>
    <x v="0"/>
    <s v="HOSPITAL 9 DE JULHO - SÃO PAULO - SP - 60.884.855/0003-16"/>
    <n v="1930"/>
  </r>
  <r>
    <x v="0"/>
    <x v="0"/>
    <x v="0"/>
    <n v="60922168000771"/>
    <x v="27"/>
    <s v="SÃO PAULO"/>
    <s v="SP"/>
    <x v="0"/>
    <s v="CLAUDIA BUENO (SPC/SPI)"/>
    <n v="70"/>
    <x v="0"/>
    <s v="HOSPITAL SANTA CATARINA - SÃO PAULO - SP - 60.922.168/0007-71"/>
    <n v="350"/>
  </r>
  <r>
    <x v="0"/>
    <x v="0"/>
    <x v="0"/>
    <n v="60922168004335"/>
    <x v="28"/>
    <s v="SÃO PAULO"/>
    <s v="SP"/>
    <x v="0"/>
    <s v="CLAUDIA BUENO (SPC/SPI)"/>
    <n v="70"/>
    <x v="0"/>
    <s v="HOSPITAL AMPARO MATERNAL - SÃO PAULO - SP - 60.922.168/0043-35"/>
    <n v="5"/>
  </r>
  <r>
    <x v="0"/>
    <x v="0"/>
    <x v="0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0"/>
    <x v="0"/>
    <n v="60961968000106"/>
    <x v="30"/>
    <s v="SÃO PAULO"/>
    <s v="SP"/>
    <x v="0"/>
    <s v="CLAUDIA BUENO (SPC/SPI)"/>
    <n v="70"/>
    <x v="0"/>
    <s v="A.C.CAMARGO CANCER CENTER - SÃO PAULO - SP - 60.961.968/0001-06"/>
    <n v="1825"/>
  </r>
  <r>
    <x v="0"/>
    <x v="0"/>
    <x v="0"/>
    <n v="60975174000363"/>
    <x v="31"/>
    <s v="SÃO PAULO"/>
    <s v="SP"/>
    <x v="0"/>
    <s v="CLAUDIA BUENO (SPC/SPI)"/>
    <n v="70"/>
    <x v="0"/>
    <s v="HOSPITAL E MATERNIDADE SAO CRISTOVAO - SÃO PAULO - SP - 60.975.174/0003-63"/>
    <n v="150"/>
  </r>
  <r>
    <x v="0"/>
    <x v="0"/>
    <x v="0"/>
    <n v="61213674000240"/>
    <x v="32"/>
    <s v="SÃO PAULO"/>
    <s v="SP"/>
    <x v="0"/>
    <s v="CLAUDIA BUENO (SPC/SPI)"/>
    <n v="70"/>
    <x v="0"/>
    <s v="HOSPITAL INFANTIL SABARA - SÃO PAULO - SP - 61.213.674/0002-40"/>
    <n v="5"/>
  </r>
  <r>
    <x v="0"/>
    <x v="0"/>
    <x v="0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2360"/>
  </r>
  <r>
    <x v="0"/>
    <x v="0"/>
    <x v="0"/>
    <n v="61849980001087"/>
    <x v="34"/>
    <s v="SÃO PAULO"/>
    <s v="SP"/>
    <x v="0"/>
    <s v="CLAUDIA BUENO (SPC/SPI)"/>
    <n v="70"/>
    <x v="0"/>
    <s v="GREEN LINE SISTEMA DE SAUDE S/A - SÃO PAULO - SP - 61.849.980/0010-87"/>
    <n v="40"/>
  </r>
  <r>
    <x v="0"/>
    <x v="1"/>
    <x v="0"/>
    <n v="43643139000409"/>
    <x v="17"/>
    <s v="SÃO PAULO"/>
    <s v="SP"/>
    <x v="0"/>
    <s v="CLAUDIA BUENO (SPC/SPI)"/>
    <n v="70"/>
    <x v="0"/>
    <s v="CENTRO INFUSIONAL E REFERENCIA MEDICA - FESP - SÃO PAULO - SP - 43.643.139/0004-09"/>
    <n v="160"/>
  </r>
  <r>
    <x v="0"/>
    <x v="1"/>
    <x v="0"/>
    <n v="44649812005520"/>
    <x v="18"/>
    <s v="SÃO PAULO"/>
    <s v="SP"/>
    <x v="0"/>
    <s v="CLAUDIA BUENO (SPC/SPI)"/>
    <n v="70"/>
    <x v="0"/>
    <s v="INTERMEDICA SISTEMA DE SAUDE - SÃO PAULO - SP - 44.649.812/0055-20"/>
    <n v="150"/>
  </r>
  <r>
    <x v="0"/>
    <x v="1"/>
    <x v="0"/>
    <n v="46374500026231"/>
    <x v="35"/>
    <s v="SÃO PAULO"/>
    <s v="SP"/>
    <x v="0"/>
    <s v="CLAUDIA BUENO (SPC/SPI)"/>
    <n v="70"/>
    <x v="0"/>
    <s v="COORDENADORIA DE ASSISTENCIA FARMACEUTICA - SÃO PAULO - SP - 46.374.500/0262-31"/>
    <n v="20285"/>
  </r>
  <r>
    <x v="0"/>
    <x v="1"/>
    <x v="0"/>
    <n v="51722957000506"/>
    <x v="36"/>
    <s v="SÃO PAULO"/>
    <s v="SP"/>
    <x v="0"/>
    <s v="CLAUDIA BUENO (SPC/SPI)"/>
    <n v="70"/>
    <x v="0"/>
    <s v="AMICO SAUDE LTDA - SÃO PAULO - SP - 51.722.957/0005-06"/>
    <n v="400"/>
  </r>
  <r>
    <x v="0"/>
    <x v="1"/>
    <x v="0"/>
    <n v="51722957010226"/>
    <x v="19"/>
    <s v="SÃO PAULO"/>
    <s v="SP"/>
    <x v="0"/>
    <s v="CLAUDIA BUENO (SPC/SPI)"/>
    <n v="70"/>
    <x v="0"/>
    <s v="AMICO SAUDE LTDA - SÃO PAULO - SP - 51.722.957/0102-26"/>
    <n v="950"/>
  </r>
  <r>
    <x v="0"/>
    <x v="1"/>
    <x v="0"/>
    <n v="51722957012512"/>
    <x v="20"/>
    <s v="SÃO PAULO"/>
    <s v="SP"/>
    <x v="0"/>
    <s v="CLAUDIA BUENO (SPC/SPI)"/>
    <n v="70"/>
    <x v="0"/>
    <s v="HOSPITAL E MATERNIDADE METROPOLITANO - SÃO PAULO - SP - 51.722.957/0125-12"/>
    <n v="265"/>
  </r>
  <r>
    <x v="0"/>
    <x v="1"/>
    <x v="0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30"/>
  </r>
  <r>
    <x v="0"/>
    <x v="1"/>
    <x v="0"/>
    <n v="60552098000111"/>
    <x v="23"/>
    <s v="SÃO PAULO"/>
    <s v="SP"/>
    <x v="0"/>
    <s v="CLAUDIA BUENO (SPC/SPI)"/>
    <n v="70"/>
    <x v="0"/>
    <s v="HOSPITAL SANTA CRUZ - SÃO PAULO - SP - 60.552.098/0001-11"/>
    <n v="405"/>
  </r>
  <r>
    <x v="0"/>
    <x v="1"/>
    <x v="0"/>
    <n v="60726502000126"/>
    <x v="24"/>
    <s v="SÃO PAULO"/>
    <s v="SP"/>
    <x v="0"/>
    <s v="CLAUDIA BUENO (SPC/SPI)"/>
    <n v="70"/>
    <x v="0"/>
    <s v="HOSPITAL ALEMAO OSWALDO CRUZ - SÃO PAULO - SP - 60.726.502/0001-26"/>
    <n v="830"/>
  </r>
  <r>
    <x v="0"/>
    <x v="1"/>
    <x v="0"/>
    <n v="60777901000116"/>
    <x v="25"/>
    <s v="SÃO PAULO"/>
    <s v="SP"/>
    <x v="0"/>
    <s v="CLAUDIA BUENO (SPC/SPI)"/>
    <n v="70"/>
    <x v="0"/>
    <s v="HOSPITAL SANTA PAULA LTDA - SÃO PAULO - SP - 60.777.901/0001-16"/>
    <n v="1000"/>
  </r>
  <r>
    <x v="0"/>
    <x v="1"/>
    <x v="0"/>
    <n v="60884855000316"/>
    <x v="26"/>
    <s v="SÃO PAULO"/>
    <s v="SP"/>
    <x v="0"/>
    <s v="CLAUDIA BUENO (SPC/SPI)"/>
    <n v="70"/>
    <x v="0"/>
    <s v="HOSPITAL 9 DE JULHO - SÃO PAULO - SP - 60.884.855/0003-16"/>
    <n v="875"/>
  </r>
  <r>
    <x v="0"/>
    <x v="1"/>
    <x v="0"/>
    <n v="60922168000771"/>
    <x v="27"/>
    <s v="SÃO PAULO"/>
    <s v="SP"/>
    <x v="0"/>
    <s v="CLAUDIA BUENO (SPC/SPI)"/>
    <n v="70"/>
    <x v="0"/>
    <s v="HOSPITAL SANTA CATARINA - SÃO PAULO - SP - 60.922.168/0007-71"/>
    <n v="105"/>
  </r>
  <r>
    <x v="0"/>
    <x v="1"/>
    <x v="0"/>
    <n v="60922168004335"/>
    <x v="28"/>
    <s v="SÃO PAULO"/>
    <s v="SP"/>
    <x v="0"/>
    <s v="CLAUDIA BUENO (SPC/SPI)"/>
    <n v="70"/>
    <x v="0"/>
    <s v="HOSPITAL AMPARO MATERNAL - SÃO PAULO - SP - 60.922.168/0043-35"/>
    <n v="60"/>
  </r>
  <r>
    <x v="0"/>
    <x v="1"/>
    <x v="0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1"/>
    <x v="0"/>
    <n v="60961968000106"/>
    <x v="30"/>
    <s v="SÃO PAULO"/>
    <s v="SP"/>
    <x v="0"/>
    <s v="CLAUDIA BUENO (SPC/SPI)"/>
    <n v="70"/>
    <x v="0"/>
    <s v="A.C.CAMARGO CANCER CENTER - SÃO PAULO - SP - 60.961.968/0001-06"/>
    <n v="1500"/>
  </r>
  <r>
    <x v="0"/>
    <x v="1"/>
    <x v="0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2670"/>
  </r>
  <r>
    <x v="0"/>
    <x v="2"/>
    <x v="0"/>
    <n v="2383508000494"/>
    <x v="1"/>
    <s v="SÃO PAULO"/>
    <s v="SP"/>
    <x v="0"/>
    <s v="CLAUDIA BUENO (SPC/SPI)"/>
    <n v="70"/>
    <x v="0"/>
    <s v="CENTRAL CLINIC - SÃO PAULO - SP - 02.383.508/0004-94"/>
    <n v="280"/>
  </r>
  <r>
    <x v="0"/>
    <x v="2"/>
    <x v="0"/>
    <n v="4036348000190"/>
    <x v="2"/>
    <s v="SÃO PAULO"/>
    <s v="SP"/>
    <x v="0"/>
    <s v="CLAUDIA BUENO (SPC/SPI)"/>
    <n v="70"/>
    <x v="0"/>
    <s v="ONCOCENTER SERVICOS MEDICOS LTDA. - SÃO PAULO - SP - 04.036.348/0001-90"/>
    <n v="365"/>
  </r>
  <r>
    <x v="0"/>
    <x v="2"/>
    <x v="0"/>
    <n v="5831510000124"/>
    <x v="3"/>
    <s v="SÃO PAULO"/>
    <s v="SP"/>
    <x v="0"/>
    <s v="CLAUDIA BUENO (SPC/SPI)"/>
    <n v="70"/>
    <x v="0"/>
    <s v="INSTITUTO DE IMUNOLOGIA E ONCOLOGIA S/S LTDA - SÃO PAULO - SP - 05.831.510/0001-24"/>
    <n v="140"/>
  </r>
  <r>
    <x v="0"/>
    <x v="2"/>
    <x v="0"/>
    <n v="8100676000592"/>
    <x v="5"/>
    <s v="SÃO PAULO"/>
    <s v="SP"/>
    <x v="0"/>
    <s v="CLAUDIA BUENO (SPC/SPI)"/>
    <n v="70"/>
    <x v="0"/>
    <s v="HOSPITAL ALVORADA MOEMA - SÃO PAULO - SP - 08.100.676/0005-92"/>
    <n v="490"/>
  </r>
  <r>
    <x v="0"/>
    <x v="2"/>
    <x v="0"/>
    <n v="8100676000835"/>
    <x v="6"/>
    <s v="SÃO PAULO"/>
    <s v="SP"/>
    <x v="0"/>
    <s v="CLAUDIA BUENO (SPC/SPI)"/>
    <n v="70"/>
    <x v="0"/>
    <s v="H. METROPOLITANO - UNIDADE BUTANTA - SÃO PAULO - SP - 08.100.676/0008-35"/>
    <n v="240"/>
  </r>
  <r>
    <x v="0"/>
    <x v="2"/>
    <x v="0"/>
    <n v="8100676002455"/>
    <x v="7"/>
    <s v="SÃO PAULO"/>
    <s v="SP"/>
    <x v="0"/>
    <s v="CLAUDIA BUENO (SPC/SPI)"/>
    <n v="70"/>
    <x v="0"/>
    <s v="HOSPITAL ALVORADA TAGUATINGA LTDA - SÃO PAULO - SP - 08.100.676/0024-55"/>
    <n v="825"/>
  </r>
  <r>
    <x v="0"/>
    <x v="2"/>
    <x v="0"/>
    <n v="8871521000126"/>
    <x v="8"/>
    <s v="SÃO PAULO"/>
    <s v="SP"/>
    <x v="0"/>
    <s v="CLAUDIA BUENO (SPC/SPI)"/>
    <n v="70"/>
    <x v="0"/>
    <s v="CIP - CENTRO DE INFUSOES PACAEMBU LTDA - SÃO PAULO - SP - 08.871.521/0001-26"/>
    <n v="45"/>
  </r>
  <r>
    <x v="0"/>
    <x v="2"/>
    <x v="0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305"/>
  </r>
  <r>
    <x v="0"/>
    <x v="2"/>
    <x v="0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805"/>
  </r>
  <r>
    <x v="0"/>
    <x v="2"/>
    <x v="0"/>
    <n v="10475230000160"/>
    <x v="11"/>
    <s v="SÃO PAULO"/>
    <s v="SP"/>
    <x v="0"/>
    <s v="CLAUDIA BUENO (SPC/SPI)"/>
    <n v="70"/>
    <x v="0"/>
    <s v="HEMOMED - SÃO PAULO - SP - 10.475.230/0001-60"/>
    <n v="25"/>
  </r>
  <r>
    <x v="0"/>
    <x v="2"/>
    <x v="0"/>
    <n v="19803199000114"/>
    <x v="12"/>
    <s v="SÃO PAULO"/>
    <s v="SP"/>
    <x v="0"/>
    <s v="CLAUDIA BUENO (SPC/SPI)"/>
    <n v="70"/>
    <x v="0"/>
    <s v="SOCIEDADE BENEFICENTE DE PRESIDENTE BERNARDES - SÃO PAULO - SP - 19.803.199/0001-14"/>
    <n v="125"/>
  </r>
  <r>
    <x v="0"/>
    <x v="2"/>
    <x v="0"/>
    <n v="29435005002687"/>
    <x v="14"/>
    <s v="SÃO PAULO"/>
    <s v="SP"/>
    <x v="0"/>
    <s v="CLAUDIA BUENO (SPC/SPI)"/>
    <n v="70"/>
    <x v="0"/>
    <s v="HOSPITAL PAULISTANO - SÃO PAULO - SP - 29.435.005/0026-87"/>
    <n v="1150"/>
  </r>
  <r>
    <x v="0"/>
    <x v="2"/>
    <x v="0"/>
    <n v="29435005004540"/>
    <x v="15"/>
    <s v="SÃO PAULO"/>
    <s v="SP"/>
    <x v="0"/>
    <s v="CLAUDIA BUENO (SPC/SPI)"/>
    <n v="70"/>
    <x v="0"/>
    <s v="HOSPITAL E MATERNIDADE VITORIA - SÃO PAULO - SP - 29.435.005/0045-40"/>
    <n v="180"/>
  </r>
  <r>
    <x v="0"/>
    <x v="2"/>
    <x v="0"/>
    <n v="29435005009932"/>
    <x v="16"/>
    <s v="SÃO PAULO"/>
    <s v="SP"/>
    <x v="0"/>
    <s v="CLAUDIA BUENO (SPC/SPI)"/>
    <n v="70"/>
    <x v="0"/>
    <s v="ESHO EMPRESA DE SERVICOS HOSPITALARES S.A - SÃO PAULO - SP - 29.435.005/0099-32"/>
    <n v="1050"/>
  </r>
  <r>
    <x v="0"/>
    <x v="2"/>
    <x v="0"/>
    <n v="46374500008845"/>
    <x v="37"/>
    <s v="SÃO PAULO"/>
    <s v="SP"/>
    <x v="0"/>
    <s v="CLAUDIA BUENO (SPC/SPI)"/>
    <n v="70"/>
    <x v="0"/>
    <s v="CONJUNTO HOSPITALAR DO MANDAQUI - SÃO PAULO - SP - 46.374.500/0088-45"/>
    <n v="200"/>
  </r>
  <r>
    <x v="0"/>
    <x v="2"/>
    <x v="0"/>
    <n v="46374500010823"/>
    <x v="38"/>
    <s v="SÃO PAULO"/>
    <s v="SP"/>
    <x v="0"/>
    <s v="CLAUDIA BUENO (SPC/SPI)"/>
    <n v="70"/>
    <x v="0"/>
    <s v="HOSPITAL GERAL DE VILA NOVA CACHOEIRINHA - SÃO PAULO - SP - 46.374.500/0108-23"/>
    <n v="150"/>
  </r>
  <r>
    <x v="0"/>
    <x v="2"/>
    <x v="0"/>
    <n v="51722957000506"/>
    <x v="36"/>
    <s v="SÃO PAULO"/>
    <s v="SP"/>
    <x v="0"/>
    <s v="CLAUDIA BUENO (SPC/SPI)"/>
    <n v="70"/>
    <x v="0"/>
    <s v="AMICO SAUDE LTDA - SÃO PAULO - SP - 51.722.957/0005-06"/>
    <n v="1170"/>
  </r>
  <r>
    <x v="0"/>
    <x v="2"/>
    <x v="0"/>
    <n v="51722957010226"/>
    <x v="19"/>
    <s v="SÃO PAULO"/>
    <s v="SP"/>
    <x v="0"/>
    <s v="CLAUDIA BUENO (SPC/SPI)"/>
    <n v="70"/>
    <x v="0"/>
    <s v="AMICO SAUDE LTDA - SÃO PAULO - SP - 51.722.957/0102-26"/>
    <n v="1125"/>
  </r>
  <r>
    <x v="0"/>
    <x v="2"/>
    <x v="0"/>
    <n v="51722957012512"/>
    <x v="20"/>
    <s v="SÃO PAULO"/>
    <s v="SP"/>
    <x v="0"/>
    <s v="CLAUDIA BUENO (SPC/SPI)"/>
    <n v="70"/>
    <x v="0"/>
    <s v="HOSPITAL E MATERNIDADE METROPOLITANO - SÃO PAULO - SP - 51.722.957/0125-12"/>
    <n v="90"/>
  </r>
  <r>
    <x v="0"/>
    <x v="2"/>
    <x v="0"/>
    <n v="56577059000100"/>
    <x v="39"/>
    <s v="SÃO PAULO"/>
    <s v="SP"/>
    <x v="0"/>
    <s v="CLAUDIA BUENO (SPC/SPI)"/>
    <n v="70"/>
    <x v="0"/>
    <s v="FUNDACAO FACULDADE DE MEDICINA - SÃO PAULO - SP - 56.577.059/0001-00"/>
    <n v="135"/>
  </r>
  <r>
    <x v="0"/>
    <x v="2"/>
    <x v="0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30"/>
  </r>
  <r>
    <x v="0"/>
    <x v="2"/>
    <x v="0"/>
    <n v="60552098000111"/>
    <x v="23"/>
    <s v="SÃO PAULO"/>
    <s v="SP"/>
    <x v="0"/>
    <s v="CLAUDIA BUENO (SPC/SPI)"/>
    <n v="70"/>
    <x v="0"/>
    <s v="HOSPITAL SANTA CRUZ - SÃO PAULO - SP - 60.552.098/0001-11"/>
    <n v="75"/>
  </r>
  <r>
    <x v="0"/>
    <x v="2"/>
    <x v="0"/>
    <n v="60678604000113"/>
    <x v="40"/>
    <s v="SÃO PAULO"/>
    <s v="SP"/>
    <x v="0"/>
    <s v="CLAUDIA BUENO (SPC/SPI)"/>
    <n v="70"/>
    <x v="0"/>
    <s v="HOSPITAL E MATERNIDADE SANTA JOANA S/A - SÃO PAULO - SP - 60.678.604/0001-13"/>
    <n v="200"/>
  </r>
  <r>
    <x v="0"/>
    <x v="2"/>
    <x v="0"/>
    <n v="60726502000126"/>
    <x v="24"/>
    <s v="SÃO PAULO"/>
    <s v="SP"/>
    <x v="0"/>
    <s v="CLAUDIA BUENO (SPC/SPI)"/>
    <n v="70"/>
    <x v="0"/>
    <s v="HOSPITAL ALEMAO OSWALDO CRUZ - SÃO PAULO - SP - 60.726.502/0001-26"/>
    <n v="535"/>
  </r>
  <r>
    <x v="0"/>
    <x v="2"/>
    <x v="0"/>
    <n v="60777901000116"/>
    <x v="25"/>
    <s v="SÃO PAULO"/>
    <s v="SP"/>
    <x v="0"/>
    <s v="CLAUDIA BUENO (SPC/SPI)"/>
    <n v="70"/>
    <x v="0"/>
    <s v="HOSPITAL SANTA PAULA LTDA - SÃO PAULO - SP - 60.777.901/0001-16"/>
    <n v="1400"/>
  </r>
  <r>
    <x v="0"/>
    <x v="2"/>
    <x v="0"/>
    <n v="60884855000316"/>
    <x v="26"/>
    <s v="SÃO PAULO"/>
    <s v="SP"/>
    <x v="0"/>
    <s v="CLAUDIA BUENO (SPC/SPI)"/>
    <n v="70"/>
    <x v="0"/>
    <s v="HOSPITAL 9 DE JULHO - SÃO PAULO - SP - 60.884.855/0003-16"/>
    <n v="2130"/>
  </r>
  <r>
    <x v="0"/>
    <x v="2"/>
    <x v="0"/>
    <n v="60922168004335"/>
    <x v="28"/>
    <s v="SÃO PAULO"/>
    <s v="SP"/>
    <x v="0"/>
    <s v="CLAUDIA BUENO (SPC/SPI)"/>
    <n v="70"/>
    <x v="0"/>
    <s v="HOSPITAL AMPARO MATERNAL - SÃO PAULO - SP - 60.922.168/0043-35"/>
    <n v="10"/>
  </r>
  <r>
    <x v="0"/>
    <x v="2"/>
    <x v="0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2"/>
    <x v="0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1745"/>
  </r>
  <r>
    <x v="0"/>
    <x v="3"/>
    <x v="1"/>
    <n v="2383508000494"/>
    <x v="1"/>
    <s v="SÃO PAULO"/>
    <s v="SP"/>
    <x v="0"/>
    <s v="CLAUDIA BUENO (SPC/SPI)"/>
    <n v="70"/>
    <x v="0"/>
    <s v="CENTRAL CLINIC - SÃO PAULO - SP - 02.383.508/0004-94"/>
    <n v="160"/>
  </r>
  <r>
    <x v="0"/>
    <x v="3"/>
    <x v="1"/>
    <n v="4036348000190"/>
    <x v="2"/>
    <s v="SÃO PAULO"/>
    <s v="SP"/>
    <x v="0"/>
    <s v="CLAUDIA BUENO (SPC/SPI)"/>
    <n v="70"/>
    <x v="0"/>
    <s v="ONCOCENTER SERVICOS MEDICOS LTDA. - SÃO PAULO - SP - 04.036.348/0001-90"/>
    <n v="330"/>
  </r>
  <r>
    <x v="0"/>
    <x v="3"/>
    <x v="1"/>
    <n v="5831510000124"/>
    <x v="3"/>
    <s v="SÃO PAULO"/>
    <s v="SP"/>
    <x v="0"/>
    <s v="CLAUDIA BUENO (SPC/SPI)"/>
    <n v="70"/>
    <x v="0"/>
    <s v="INSTITUTO DE IMUNOLOGIA E ONCOLOGIA S/S LTDA - SÃO PAULO - SP - 05.831.510/0001-24"/>
    <n v="135"/>
  </r>
  <r>
    <x v="0"/>
    <x v="3"/>
    <x v="1"/>
    <n v="8100676000592"/>
    <x v="5"/>
    <s v="SÃO PAULO"/>
    <s v="SP"/>
    <x v="0"/>
    <s v="CLAUDIA BUENO (SPC/SPI)"/>
    <n v="70"/>
    <x v="0"/>
    <s v="HOSPITAL ALVORADA MOEMA - SÃO PAULO - SP - 08.100.676/0005-92"/>
    <n v="300"/>
  </r>
  <r>
    <x v="0"/>
    <x v="3"/>
    <x v="1"/>
    <n v="8871521000126"/>
    <x v="8"/>
    <s v="SÃO PAULO"/>
    <s v="SP"/>
    <x v="0"/>
    <s v="CLAUDIA BUENO (SPC/SPI)"/>
    <n v="70"/>
    <x v="0"/>
    <s v="CIP - CENTRO DE INFUSOES PACAEMBU LTDA - SÃO PAULO - SP - 08.871.521/0001-26"/>
    <n v="870"/>
  </r>
  <r>
    <x v="0"/>
    <x v="3"/>
    <x v="1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1100"/>
  </r>
  <r>
    <x v="0"/>
    <x v="3"/>
    <x v="1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950"/>
  </r>
  <r>
    <x v="0"/>
    <x v="3"/>
    <x v="1"/>
    <n v="10475230000160"/>
    <x v="11"/>
    <s v="SÃO PAULO"/>
    <s v="SP"/>
    <x v="0"/>
    <s v="CLAUDIA BUENO (SPC/SPI)"/>
    <n v="70"/>
    <x v="0"/>
    <s v="HEMOMED - SÃO PAULO - SP - 10.475.230/0001-60"/>
    <n v="45"/>
  </r>
  <r>
    <x v="0"/>
    <x v="3"/>
    <x v="1"/>
    <n v="22227973000109"/>
    <x v="41"/>
    <s v="SÃO PAULO"/>
    <s v="SP"/>
    <x v="0"/>
    <s v="CLAUDIA BUENO (SPC/SPI)"/>
    <n v="70"/>
    <x v="0"/>
    <s v="ONCOEXPRESS - SÃO PAULO - SP - 22.227.973/0001-09"/>
    <n v="2.5"/>
  </r>
  <r>
    <x v="0"/>
    <x v="3"/>
    <x v="1"/>
    <n v="29435005002687"/>
    <x v="14"/>
    <s v="SÃO PAULO"/>
    <s v="SP"/>
    <x v="0"/>
    <s v="CLAUDIA BUENO (SPC/SPI)"/>
    <n v="70"/>
    <x v="0"/>
    <s v="HOSPITAL PAULISTANO - SÃO PAULO - SP - 29.435.005/0026-87"/>
    <n v="1300"/>
  </r>
  <r>
    <x v="0"/>
    <x v="3"/>
    <x v="1"/>
    <n v="29435005004540"/>
    <x v="15"/>
    <s v="SÃO PAULO"/>
    <s v="SP"/>
    <x v="0"/>
    <s v="CLAUDIA BUENO (SPC/SPI)"/>
    <n v="70"/>
    <x v="0"/>
    <s v="HOSPITAL E MATERNIDADE VITORIA - SÃO PAULO - SP - 29.435.005/0045-40"/>
    <n v="250"/>
  </r>
  <r>
    <x v="0"/>
    <x v="3"/>
    <x v="1"/>
    <n v="29435005009932"/>
    <x v="16"/>
    <s v="SÃO PAULO"/>
    <s v="SP"/>
    <x v="0"/>
    <s v="CLAUDIA BUENO (SPC/SPI)"/>
    <n v="70"/>
    <x v="0"/>
    <s v="ESHO EMPRESA DE SERVICOS HOSPITALARES S.A - SÃO PAULO - SP - 29.435.005/0099-32"/>
    <n v="650"/>
  </r>
  <r>
    <x v="0"/>
    <x v="3"/>
    <x v="1"/>
    <n v="43775956000178"/>
    <x v="42"/>
    <s v="SÃO PAULO"/>
    <s v="SP"/>
    <x v="0"/>
    <s v="CLAUDIA BUENO (SPC/SPI)"/>
    <n v="70"/>
    <x v="0"/>
    <s v="CLINICA MEDICA CROCE LTDA - SÃO PAULO - SP - 43.775.956/0001-78"/>
    <n v="30"/>
  </r>
  <r>
    <x v="0"/>
    <x v="3"/>
    <x v="1"/>
    <n v="44649812005520"/>
    <x v="18"/>
    <s v="SÃO PAULO"/>
    <s v="SP"/>
    <x v="0"/>
    <s v="CLAUDIA BUENO (SPC/SPI)"/>
    <n v="70"/>
    <x v="0"/>
    <s v="INTERMEDICA SISTEMA DE SAUDE - SÃO PAULO - SP - 44.649.812/0055-20"/>
    <n v="70"/>
  </r>
  <r>
    <x v="0"/>
    <x v="3"/>
    <x v="1"/>
    <n v="51722957012512"/>
    <x v="20"/>
    <s v="SÃO PAULO"/>
    <s v="SP"/>
    <x v="0"/>
    <s v="CLAUDIA BUENO (SPC/SPI)"/>
    <n v="70"/>
    <x v="0"/>
    <s v="HOSPITAL E MATERNIDADE METROPOLITANO - SÃO PAULO - SP - 51.722.957/0125-12"/>
    <n v="680"/>
  </r>
  <r>
    <x v="0"/>
    <x v="3"/>
    <x v="1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30"/>
  </r>
  <r>
    <x v="0"/>
    <x v="3"/>
    <x v="1"/>
    <n v="60552098000111"/>
    <x v="23"/>
    <s v="SÃO PAULO"/>
    <s v="SP"/>
    <x v="0"/>
    <s v="CLAUDIA BUENO (SPC/SPI)"/>
    <n v="70"/>
    <x v="0"/>
    <s v="HOSPITAL SANTA CRUZ - SÃO PAULO - SP - 60.552.098/0001-11"/>
    <n v="635"/>
  </r>
  <r>
    <x v="0"/>
    <x v="3"/>
    <x v="1"/>
    <n v="60678604000113"/>
    <x v="40"/>
    <s v="SÃO PAULO"/>
    <s v="SP"/>
    <x v="0"/>
    <s v="CLAUDIA BUENO (SPC/SPI)"/>
    <n v="70"/>
    <x v="0"/>
    <s v="HOSPITAL E MATERNIDADE SANTA JOANA S/A - SÃO PAULO - SP - 60.678.604/0001-13"/>
    <n v="100"/>
  </r>
  <r>
    <x v="0"/>
    <x v="3"/>
    <x v="1"/>
    <n v="60726502000126"/>
    <x v="24"/>
    <s v="SÃO PAULO"/>
    <s v="SP"/>
    <x v="0"/>
    <s v="CLAUDIA BUENO (SPC/SPI)"/>
    <n v="70"/>
    <x v="0"/>
    <s v="HOSPITAL ALEMAO OSWALDO CRUZ - SÃO PAULO - SP - 60.726.502/0001-26"/>
    <n v="405"/>
  </r>
  <r>
    <x v="0"/>
    <x v="3"/>
    <x v="1"/>
    <n v="60777901000116"/>
    <x v="25"/>
    <s v="SÃO PAULO"/>
    <s v="SP"/>
    <x v="0"/>
    <s v="CLAUDIA BUENO (SPC/SPI)"/>
    <n v="70"/>
    <x v="0"/>
    <s v="HOSPITAL SANTA PAULA LTDA - SÃO PAULO - SP - 60.777.901/0001-16"/>
    <n v="1250"/>
  </r>
  <r>
    <x v="0"/>
    <x v="3"/>
    <x v="1"/>
    <n v="60884855000316"/>
    <x v="26"/>
    <s v="SÃO PAULO"/>
    <s v="SP"/>
    <x v="0"/>
    <s v="CLAUDIA BUENO (SPC/SPI)"/>
    <n v="70"/>
    <x v="0"/>
    <s v="HOSPITAL 9 DE JULHO - SÃO PAULO - SP - 60.884.855/0003-16"/>
    <n v="1695"/>
  </r>
  <r>
    <x v="0"/>
    <x v="3"/>
    <x v="1"/>
    <n v="60922168000771"/>
    <x v="27"/>
    <s v="SÃO PAULO"/>
    <s v="SP"/>
    <x v="0"/>
    <s v="CLAUDIA BUENO (SPC/SPI)"/>
    <n v="70"/>
    <x v="0"/>
    <s v="HOSPITAL SANTA CATARINA - SÃO PAULO - SP - 60.922.168/0007-71"/>
    <n v="195"/>
  </r>
  <r>
    <x v="0"/>
    <x v="3"/>
    <x v="1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3"/>
    <x v="1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1860"/>
  </r>
  <r>
    <x v="0"/>
    <x v="4"/>
    <x v="1"/>
    <n v="461479004150"/>
    <x v="43"/>
    <s v="SÃO PAULO"/>
    <s v="SP"/>
    <x v="0"/>
    <s v="CLAUDIA BUENO (SPC/SPI)"/>
    <n v="70"/>
    <x v="0"/>
    <s v="HOSPITAL SANCTA MAGGIORE PINHEIROS - SÃO PAULO - SP - 00.461.479/0041-50"/>
    <n v="80"/>
  </r>
  <r>
    <x v="0"/>
    <x v="4"/>
    <x v="1"/>
    <n v="461479005122"/>
    <x v="44"/>
    <s v="SÃO PAULO"/>
    <s v="SP"/>
    <x v="0"/>
    <s v="CLAUDIA BUENO (SPC/SPI)"/>
    <n v="70"/>
    <x v="0"/>
    <s v="PRONTO ATENDIMENTO SANCTA MAGGIORE JARDIM PAULISTA - SÃO PAULO - SP - 00.461.479/0051-22"/>
    <n v="125"/>
  </r>
  <r>
    <x v="0"/>
    <x v="4"/>
    <x v="1"/>
    <n v="4036348000190"/>
    <x v="2"/>
    <s v="SÃO PAULO"/>
    <s v="SP"/>
    <x v="0"/>
    <s v="CLAUDIA BUENO (SPC/SPI)"/>
    <n v="70"/>
    <x v="0"/>
    <s v="ONCOCENTER SERVICOS MEDICOS LTDA. - SÃO PAULO - SP - 04.036.348/0001-90"/>
    <n v="250"/>
  </r>
  <r>
    <x v="0"/>
    <x v="4"/>
    <x v="1"/>
    <n v="4995603000121"/>
    <x v="45"/>
    <s v="SÃO PAULO"/>
    <s v="SP"/>
    <x v="0"/>
    <s v="CLAUDIA BUENO (SPC/SPI)"/>
    <n v="70"/>
    <x v="0"/>
    <s v="AUTARQUIA HOSPITALAR MUNICIPAL - SÃO PAULO - SP - 04.995.603/0001-21"/>
    <n v="1000"/>
  </r>
  <r>
    <x v="0"/>
    <x v="4"/>
    <x v="1"/>
    <n v="5831510000124"/>
    <x v="3"/>
    <s v="SÃO PAULO"/>
    <s v="SP"/>
    <x v="0"/>
    <s v="CLAUDIA BUENO (SPC/SPI)"/>
    <n v="70"/>
    <x v="0"/>
    <s v="INSTITUTO DE IMUNOLOGIA E ONCOLOGIA S/S LTDA - SÃO PAULO - SP - 05.831.510/0001-24"/>
    <n v="140"/>
  </r>
  <r>
    <x v="0"/>
    <x v="4"/>
    <x v="1"/>
    <n v="7045325000130"/>
    <x v="4"/>
    <s v="SÃO PAULO"/>
    <s v="SP"/>
    <x v="0"/>
    <s v="CLAUDIA BUENO (SPC/SPI)"/>
    <n v="70"/>
    <x v="0"/>
    <s v="SAHA SERVICOS MEDICOS E HOSPITALARES LTDA. - SÃO PAULO - SP - 07.045.325/0001-30"/>
    <n v="375"/>
  </r>
  <r>
    <x v="0"/>
    <x v="4"/>
    <x v="1"/>
    <n v="8100676000592"/>
    <x v="5"/>
    <s v="SÃO PAULO"/>
    <s v="SP"/>
    <x v="0"/>
    <s v="CLAUDIA BUENO (SPC/SPI)"/>
    <n v="70"/>
    <x v="0"/>
    <s v="HOSPITAL ALVORADA MOEMA - SÃO PAULO - SP - 08.100.676/0005-92"/>
    <n v="285"/>
  </r>
  <r>
    <x v="0"/>
    <x v="4"/>
    <x v="1"/>
    <n v="8100676000673"/>
    <x v="46"/>
    <s v="SÃO PAULO"/>
    <s v="SP"/>
    <x v="0"/>
    <s v="CLAUDIA BUENO (SPC/SPI)"/>
    <n v="70"/>
    <x v="0"/>
    <s v="HOSPITAL ALVORADA SANTO AMARO - SÃO PAULO - SP - 08.100.676/0006-73"/>
    <n v="10"/>
  </r>
  <r>
    <x v="0"/>
    <x v="4"/>
    <x v="1"/>
    <n v="8871521000126"/>
    <x v="8"/>
    <s v="SÃO PAULO"/>
    <s v="SP"/>
    <x v="0"/>
    <s v="CLAUDIA BUENO (SPC/SPI)"/>
    <n v="70"/>
    <x v="0"/>
    <s v="CIP - CENTRO DE INFUSOES PACAEMBU LTDA - SÃO PAULO - SP - 08.871.521/0001-26"/>
    <n v="527.5"/>
  </r>
  <r>
    <x v="0"/>
    <x v="4"/>
    <x v="1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760"/>
  </r>
  <r>
    <x v="0"/>
    <x v="4"/>
    <x v="1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895"/>
  </r>
  <r>
    <x v="0"/>
    <x v="4"/>
    <x v="1"/>
    <n v="10475230000160"/>
    <x v="11"/>
    <s v="SÃO PAULO"/>
    <s v="SP"/>
    <x v="0"/>
    <s v="CLAUDIA BUENO (SPC/SPI)"/>
    <n v="70"/>
    <x v="0"/>
    <s v="HEMOMED - SÃO PAULO - SP - 10.475.230/0001-60"/>
    <n v="45"/>
  </r>
  <r>
    <x v="0"/>
    <x v="4"/>
    <x v="1"/>
    <n v="15217814000150"/>
    <x v="47"/>
    <s v="SÃO PAULO"/>
    <s v="SP"/>
    <x v="0"/>
    <s v="CLAUDIA BUENO (SPC/SPI)"/>
    <n v="70"/>
    <x v="0"/>
    <s v="ONCO CANE VETERINARIA LTDA - SAO PAULO - SP - PRIVADO - 15.217.814/0001-50"/>
    <n v="5"/>
  </r>
  <r>
    <x v="0"/>
    <x v="4"/>
    <x v="1"/>
    <n v="21371777000132"/>
    <x v="13"/>
    <s v="SÃO PAULO"/>
    <s v="SP"/>
    <x v="0"/>
    <s v="CLAUDIA BUENO (SPC/SPI)"/>
    <n v="70"/>
    <x v="0"/>
    <s v="HOSPITAL BANDEIRANTES LTDA  - SÃO PAULO - SP - 21.371.777/0001-32"/>
    <n v="100"/>
  </r>
  <r>
    <x v="0"/>
    <x v="4"/>
    <x v="1"/>
    <n v="29435005002687"/>
    <x v="14"/>
    <s v="SÃO PAULO"/>
    <s v="SP"/>
    <x v="0"/>
    <s v="CLAUDIA BUENO (SPC/SPI)"/>
    <n v="70"/>
    <x v="0"/>
    <s v="HOSPITAL PAULISTANO - SÃO PAULO - SP - 29.435.005/0026-87"/>
    <n v="500"/>
  </r>
  <r>
    <x v="0"/>
    <x v="4"/>
    <x v="1"/>
    <n v="29435005004540"/>
    <x v="15"/>
    <s v="SÃO PAULO"/>
    <s v="SP"/>
    <x v="0"/>
    <s v="CLAUDIA BUENO (SPC/SPI)"/>
    <n v="70"/>
    <x v="0"/>
    <s v="HOSPITAL E MATERNIDADE VITORIA - SÃO PAULO - SP - 29.435.005/0045-40"/>
    <n v="150"/>
  </r>
  <r>
    <x v="0"/>
    <x v="4"/>
    <x v="1"/>
    <n v="29435005009932"/>
    <x v="16"/>
    <s v="SÃO PAULO"/>
    <s v="SP"/>
    <x v="0"/>
    <s v="CLAUDIA BUENO (SPC/SPI)"/>
    <n v="70"/>
    <x v="0"/>
    <s v="ESHO EMPRESA DE SERVICOS HOSPITALARES S.A - SÃO PAULO - SP - 29.435.005/0099-32"/>
    <n v="1010"/>
  </r>
  <r>
    <x v="0"/>
    <x v="4"/>
    <x v="1"/>
    <n v="43775956000178"/>
    <x v="42"/>
    <s v="SÃO PAULO"/>
    <s v="SP"/>
    <x v="0"/>
    <s v="CLAUDIA BUENO (SPC/SPI)"/>
    <n v="70"/>
    <x v="0"/>
    <s v="CLINICA MEDICA CROCE LTDA - SÃO PAULO - SP - 43.775.956/0001-78"/>
    <n v="30"/>
  </r>
  <r>
    <x v="0"/>
    <x v="4"/>
    <x v="1"/>
    <n v="46124624002670"/>
    <x v="48"/>
    <s v="SÃO PAULO"/>
    <s v="SP"/>
    <x v="0"/>
    <s v="CLAUDIA BUENO (SPC/SPI)"/>
    <n v="70"/>
    <x v="0"/>
    <s v="UNIMED CAMPINAS COOPERATIVA DE TRABALHO MEDICO - SÃO PAULO - SP - 46.124.624/0026-70"/>
    <n v="750"/>
  </r>
  <r>
    <x v="0"/>
    <x v="4"/>
    <x v="1"/>
    <n v="51722957000506"/>
    <x v="36"/>
    <s v="SÃO PAULO"/>
    <s v="SP"/>
    <x v="0"/>
    <s v="CLAUDIA BUENO (SPC/SPI)"/>
    <n v="70"/>
    <x v="0"/>
    <s v="AMICO SAUDE LTDA - SÃO PAULO - SP - 51.722.957/0005-06"/>
    <n v="100"/>
  </r>
  <r>
    <x v="0"/>
    <x v="4"/>
    <x v="1"/>
    <n v="51722957010226"/>
    <x v="19"/>
    <s v="SÃO PAULO"/>
    <s v="SP"/>
    <x v="0"/>
    <s v="CLAUDIA BUENO (SPC/SPI)"/>
    <n v="70"/>
    <x v="0"/>
    <s v="AMICO SAUDE LTDA - SÃO PAULO - SP - 51.722.957/0102-26"/>
    <n v="165"/>
  </r>
  <r>
    <x v="0"/>
    <x v="4"/>
    <x v="1"/>
    <n v="51722957012512"/>
    <x v="20"/>
    <s v="SÃO PAULO"/>
    <s v="SP"/>
    <x v="0"/>
    <s v="CLAUDIA BUENO (SPC/SPI)"/>
    <n v="70"/>
    <x v="0"/>
    <s v="HOSPITAL E MATERNIDADE METROPOLITANO - SÃO PAULO - SP - 51.722.957/0125-12"/>
    <n v="280"/>
  </r>
  <r>
    <x v="0"/>
    <x v="4"/>
    <x v="1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30"/>
  </r>
  <r>
    <x v="0"/>
    <x v="4"/>
    <x v="1"/>
    <n v="60726502000126"/>
    <x v="24"/>
    <s v="SÃO PAULO"/>
    <s v="SP"/>
    <x v="0"/>
    <s v="CLAUDIA BUENO (SPC/SPI)"/>
    <n v="70"/>
    <x v="0"/>
    <s v="HOSPITAL ALEMAO OSWALDO CRUZ - SÃO PAULO - SP - 60.726.502/0001-26"/>
    <n v="70"/>
  </r>
  <r>
    <x v="0"/>
    <x v="4"/>
    <x v="1"/>
    <n v="60765823000130"/>
    <x v="49"/>
    <s v="SÃO PAULO"/>
    <s v="SP"/>
    <x v="0"/>
    <s v="CLAUDIA BUENO (SPC/SPI)"/>
    <n v="70"/>
    <x v="0"/>
    <s v="HOSPITAL ISRAELITA ALBERTEINSTEIN - SÃO PAULO - SP - 60.765.823/0001-30"/>
    <n v="75"/>
  </r>
  <r>
    <x v="0"/>
    <x v="4"/>
    <x v="1"/>
    <n v="60777901000116"/>
    <x v="25"/>
    <s v="SÃO PAULO"/>
    <s v="SP"/>
    <x v="0"/>
    <s v="CLAUDIA BUENO (SPC/SPI)"/>
    <n v="70"/>
    <x v="0"/>
    <s v="HOSPITAL SANTA PAULA LTDA - SÃO PAULO - SP - 60.777.901/0001-16"/>
    <n v="1150"/>
  </r>
  <r>
    <x v="0"/>
    <x v="4"/>
    <x v="1"/>
    <n v="60884855000316"/>
    <x v="26"/>
    <s v="SÃO PAULO"/>
    <s v="SP"/>
    <x v="0"/>
    <s v="CLAUDIA BUENO (SPC/SPI)"/>
    <n v="70"/>
    <x v="0"/>
    <s v="HOSPITAL 9 DE JULHO - SÃO PAULO - SP - 60.884.855/0003-16"/>
    <n v="1205"/>
  </r>
  <r>
    <x v="0"/>
    <x v="4"/>
    <x v="1"/>
    <n v="60922168000771"/>
    <x v="27"/>
    <s v="SÃO PAULO"/>
    <s v="SP"/>
    <x v="0"/>
    <s v="CLAUDIA BUENO (SPC/SPI)"/>
    <n v="70"/>
    <x v="0"/>
    <s v="HOSPITAL SANTA CATARINA - SÃO PAULO - SP - 60.922.168/0007-71"/>
    <n v="100"/>
  </r>
  <r>
    <x v="0"/>
    <x v="4"/>
    <x v="1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4"/>
    <x v="1"/>
    <n v="60979457000111"/>
    <x v="50"/>
    <s v="SÃO PAULO"/>
    <s v="SP"/>
    <x v="0"/>
    <s v="CLAUDIA BUENO (SPC/SPI)"/>
    <n v="70"/>
    <x v="0"/>
    <s v="AACD - SÃO PAULO - SP - 60.979.457/0001-11"/>
    <n v="20"/>
  </r>
  <r>
    <x v="0"/>
    <x v="5"/>
    <x v="1"/>
    <n v="461479001054"/>
    <x v="51"/>
    <s v="SÃO PAULO"/>
    <s v="SP"/>
    <x v="0"/>
    <s v="CLAUDIA BUENO (SPC/SPI)"/>
    <n v="70"/>
    <x v="0"/>
    <s v="HOSPITAL SANCTA MAGGIORE PARAISO - SÃO PAULO - SP - 00.461.479/0010-54"/>
    <n v="100"/>
  </r>
  <r>
    <x v="0"/>
    <x v="5"/>
    <x v="1"/>
    <n v="461479004584"/>
    <x v="0"/>
    <s v="SÃO PAULO"/>
    <s v="SP"/>
    <x v="0"/>
    <s v="CLAUDIA BUENO (SPC/SPI)"/>
    <n v="70"/>
    <x v="0"/>
    <s v="INSTITUTO DE ONCOLOGIA PREVENT SENIOR - SÃO PAULO - SP - 00.461.479/0045-84"/>
    <n v="1220"/>
  </r>
  <r>
    <x v="0"/>
    <x v="5"/>
    <x v="1"/>
    <n v="4036348000190"/>
    <x v="2"/>
    <s v="SÃO PAULO"/>
    <s v="SP"/>
    <x v="0"/>
    <s v="CLAUDIA BUENO (SPC/SPI)"/>
    <n v="70"/>
    <x v="0"/>
    <s v="ONCOCENTER SERVICOS MEDICOS LTDA. - SÃO PAULO - SP - 04.036.348/0001-90"/>
    <n v="395"/>
  </r>
  <r>
    <x v="0"/>
    <x v="5"/>
    <x v="1"/>
    <n v="5831510000124"/>
    <x v="3"/>
    <s v="SÃO PAULO"/>
    <s v="SP"/>
    <x v="0"/>
    <s v="CLAUDIA BUENO (SPC/SPI)"/>
    <n v="70"/>
    <x v="0"/>
    <s v="INSTITUTO DE IMUNOLOGIA E ONCOLOGIA S/S LTDA - SÃO PAULO - SP - 05.831.510/0001-24"/>
    <n v="140"/>
  </r>
  <r>
    <x v="0"/>
    <x v="5"/>
    <x v="1"/>
    <n v="7045325000130"/>
    <x v="4"/>
    <s v="SÃO PAULO"/>
    <s v="SP"/>
    <x v="0"/>
    <s v="CLAUDIA BUENO (SPC/SPI)"/>
    <n v="70"/>
    <x v="0"/>
    <s v="SAHA SERVICOS MEDICOS E HOSPITALARES LTDA. - SÃO PAULO - SP - 07.045.325/0001-30"/>
    <n v="850"/>
  </r>
  <r>
    <x v="0"/>
    <x v="5"/>
    <x v="1"/>
    <n v="8100676000592"/>
    <x v="5"/>
    <s v="SÃO PAULO"/>
    <s v="SP"/>
    <x v="0"/>
    <s v="CLAUDIA BUENO (SPC/SPI)"/>
    <n v="70"/>
    <x v="0"/>
    <s v="HOSPITAL ALVORADA MOEMA - SÃO PAULO - SP - 08.100.676/0005-92"/>
    <n v="335"/>
  </r>
  <r>
    <x v="0"/>
    <x v="5"/>
    <x v="1"/>
    <n v="8604105000161"/>
    <x v="52"/>
    <s v="SÃO PAULO"/>
    <s v="SP"/>
    <x v="0"/>
    <s v="CLAUDIA BUENO (SPC/SPI)"/>
    <n v="70"/>
    <x v="0"/>
    <s v="HOSPITAL INGLES LTDA. - EPP - SÃO PAULO - SP - 08.604.105/0001-61"/>
    <n v="35"/>
  </r>
  <r>
    <x v="0"/>
    <x v="5"/>
    <x v="1"/>
    <n v="8677327000104"/>
    <x v="53"/>
    <s v="SÃO PAULO"/>
    <s v="SP"/>
    <x v="0"/>
    <s v="CLAUDIA BUENO (SPC/SPI)"/>
    <n v="70"/>
    <x v="0"/>
    <s v="SARE DROGARIAS - SÃO PAULO - SP - 08.677.327/0001-04"/>
    <n v="60"/>
  </r>
  <r>
    <x v="0"/>
    <x v="5"/>
    <x v="1"/>
    <n v="8871521000126"/>
    <x v="8"/>
    <s v="SÃO PAULO"/>
    <s v="SP"/>
    <x v="0"/>
    <s v="CLAUDIA BUENO (SPC/SPI)"/>
    <n v="70"/>
    <x v="0"/>
    <s v="CIP - CENTRO DE INFUSOES PACAEMBU LTDA - SÃO PAULO - SP - 08.871.521/0001-26"/>
    <n v="565"/>
  </r>
  <r>
    <x v="0"/>
    <x v="5"/>
    <x v="1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445"/>
  </r>
  <r>
    <x v="0"/>
    <x v="5"/>
    <x v="1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750"/>
  </r>
  <r>
    <x v="0"/>
    <x v="5"/>
    <x v="1"/>
    <n v="10475230000160"/>
    <x v="11"/>
    <s v="SÃO PAULO"/>
    <s v="SP"/>
    <x v="0"/>
    <s v="CLAUDIA BUENO (SPC/SPI)"/>
    <n v="70"/>
    <x v="0"/>
    <s v="HEMOMED - SÃO PAULO - SP - 10.475.230/0001-60"/>
    <n v="45"/>
  </r>
  <r>
    <x v="0"/>
    <x v="5"/>
    <x v="1"/>
    <n v="29435005002687"/>
    <x v="14"/>
    <s v="SÃO PAULO"/>
    <s v="SP"/>
    <x v="0"/>
    <s v="CLAUDIA BUENO (SPC/SPI)"/>
    <n v="70"/>
    <x v="0"/>
    <s v="HOSPITAL PAULISTANO - SÃO PAULO - SP - 29.435.005/0026-87"/>
    <n v="2000"/>
  </r>
  <r>
    <x v="0"/>
    <x v="5"/>
    <x v="1"/>
    <n v="29435005004540"/>
    <x v="15"/>
    <s v="SÃO PAULO"/>
    <s v="SP"/>
    <x v="0"/>
    <s v="CLAUDIA BUENO (SPC/SPI)"/>
    <n v="70"/>
    <x v="0"/>
    <s v="HOSPITAL E MATERNIDADE VITORIA - SÃO PAULO - SP - 29.435.005/0045-40"/>
    <n v="100"/>
  </r>
  <r>
    <x v="0"/>
    <x v="5"/>
    <x v="1"/>
    <n v="29435005009932"/>
    <x v="16"/>
    <s v="SÃO PAULO"/>
    <s v="SP"/>
    <x v="0"/>
    <s v="CLAUDIA BUENO (SPC/SPI)"/>
    <n v="70"/>
    <x v="0"/>
    <s v="ESHO EMPRESA DE SERVICOS HOSPITALARES S.A - SÃO PAULO - SP - 29.435.005/0099-32"/>
    <n v="900"/>
  </r>
  <r>
    <x v="0"/>
    <x v="5"/>
    <x v="1"/>
    <n v="43775956000178"/>
    <x v="42"/>
    <s v="SÃO PAULO"/>
    <s v="SP"/>
    <x v="0"/>
    <s v="CLAUDIA BUENO (SPC/SPI)"/>
    <n v="70"/>
    <x v="0"/>
    <s v="CLINICA MEDICA CROCE LTDA - SÃO PAULO - SP - 43.775.956/0001-78"/>
    <n v="90"/>
  </r>
  <r>
    <x v="0"/>
    <x v="5"/>
    <x v="1"/>
    <n v="44649812005520"/>
    <x v="18"/>
    <s v="SÃO PAULO"/>
    <s v="SP"/>
    <x v="0"/>
    <s v="CLAUDIA BUENO (SPC/SPI)"/>
    <n v="70"/>
    <x v="0"/>
    <s v="INTERMEDICA SISTEMA DE SAUDE - SÃO PAULO - SP - 44.649.812/0055-20"/>
    <n v="70"/>
  </r>
  <r>
    <x v="0"/>
    <x v="5"/>
    <x v="1"/>
    <n v="46124624002670"/>
    <x v="48"/>
    <s v="SÃO PAULO"/>
    <s v="SP"/>
    <x v="0"/>
    <s v="CLAUDIA BUENO (SPC/SPI)"/>
    <n v="70"/>
    <x v="0"/>
    <s v="UNIMED CAMPINAS COOPERATIVA DE TRABALHO MEDICO - SÃO PAULO - SP - 46.124.624/0026-70"/>
    <n v="1300"/>
  </r>
  <r>
    <x v="0"/>
    <x v="5"/>
    <x v="1"/>
    <n v="51722957000506"/>
    <x v="36"/>
    <s v="SÃO PAULO"/>
    <s v="SP"/>
    <x v="0"/>
    <s v="CLAUDIA BUENO (SPC/SPI)"/>
    <n v="70"/>
    <x v="0"/>
    <s v="AMICO SAUDE LTDA - SÃO PAULO - SP - 51.722.957/0005-06"/>
    <n v="150"/>
  </r>
  <r>
    <x v="0"/>
    <x v="5"/>
    <x v="1"/>
    <n v="51722957010226"/>
    <x v="19"/>
    <s v="SÃO PAULO"/>
    <s v="SP"/>
    <x v="0"/>
    <s v="CLAUDIA BUENO (SPC/SPI)"/>
    <n v="70"/>
    <x v="0"/>
    <s v="AMICO SAUDE LTDA - SÃO PAULO - SP - 51.722.957/0102-26"/>
    <n v="1090"/>
  </r>
  <r>
    <x v="0"/>
    <x v="5"/>
    <x v="1"/>
    <n v="51722957012512"/>
    <x v="20"/>
    <s v="SÃO PAULO"/>
    <s v="SP"/>
    <x v="0"/>
    <s v="CLAUDIA BUENO (SPC/SPI)"/>
    <n v="70"/>
    <x v="0"/>
    <s v="HOSPITAL E MATERNIDADE METROPOLITANO - SÃO PAULO - SP - 51.722.957/0125-12"/>
    <n v="600"/>
  </r>
  <r>
    <x v="0"/>
    <x v="5"/>
    <x v="1"/>
    <n v="56577059000100"/>
    <x v="39"/>
    <s v="SÃO PAULO"/>
    <s v="SP"/>
    <x v="0"/>
    <s v="CLAUDIA BUENO (SPC/SPI)"/>
    <n v="70"/>
    <x v="0"/>
    <s v="FUNDACAO FACULDADE DE MEDICINA - SÃO PAULO - SP - 56.577.059/0001-00"/>
    <n v="1530"/>
  </r>
  <r>
    <x v="0"/>
    <x v="5"/>
    <x v="1"/>
    <n v="59481028000130"/>
    <x v="22"/>
    <s v="SÃO PAULO"/>
    <s v="SP"/>
    <x v="0"/>
    <s v="CLAUDIA BUENO (SPC/SPI)"/>
    <n v="70"/>
    <x v="0"/>
    <s v="CLINICA DE ONCOLOGIA MEDICA SOCIEDADE SIMPLES LTDA - SÃO PAULO - SP - 59.481.028/0001-30"/>
    <n v="30"/>
  </r>
  <r>
    <x v="0"/>
    <x v="5"/>
    <x v="1"/>
    <n v="60678604000113"/>
    <x v="40"/>
    <s v="SÃO PAULO"/>
    <s v="SP"/>
    <x v="0"/>
    <s v="CLAUDIA BUENO (SPC/SPI)"/>
    <n v="70"/>
    <x v="0"/>
    <s v="HOSPITAL E MATERNIDADE SANTA JOANA S/A - SÃO PAULO - SP - 60.678.604/0001-13"/>
    <n v="75"/>
  </r>
  <r>
    <x v="0"/>
    <x v="5"/>
    <x v="1"/>
    <n v="60726502000126"/>
    <x v="24"/>
    <s v="SÃO PAULO"/>
    <s v="SP"/>
    <x v="0"/>
    <s v="CLAUDIA BUENO (SPC/SPI)"/>
    <n v="70"/>
    <x v="0"/>
    <s v="HOSPITAL ALEMAO OSWALDO CRUZ - SÃO PAULO - SP - 60.726.502/0001-26"/>
    <n v="500"/>
  </r>
  <r>
    <x v="0"/>
    <x v="5"/>
    <x v="1"/>
    <n v="60742616000160"/>
    <x v="54"/>
    <s v="SÃO PAULO"/>
    <s v="SP"/>
    <x v="0"/>
    <s v="CLAUDIA BUENO (SPC/SPI)"/>
    <n v="70"/>
    <x v="0"/>
    <s v="HOSPITAL SANTA MARCELINA - SÃO PAULO - SP - 60.742.616/0001-60"/>
    <n v="50"/>
  </r>
  <r>
    <x v="0"/>
    <x v="5"/>
    <x v="1"/>
    <n v="60765823000130"/>
    <x v="49"/>
    <s v="SÃO PAULO"/>
    <s v="SP"/>
    <x v="0"/>
    <s v="CLAUDIA BUENO (SPC/SPI)"/>
    <n v="70"/>
    <x v="0"/>
    <s v="HOSPITAL ISRAELITA ALBERTEINSTEIN - SÃO PAULO - SP - 60.765.823/0001-30"/>
    <n v="1300"/>
  </r>
  <r>
    <x v="0"/>
    <x v="5"/>
    <x v="1"/>
    <n v="60777901000116"/>
    <x v="25"/>
    <s v="SÃO PAULO"/>
    <s v="SP"/>
    <x v="0"/>
    <s v="CLAUDIA BUENO (SPC/SPI)"/>
    <n v="70"/>
    <x v="0"/>
    <s v="HOSPITAL SANTA PAULA LTDA - SÃO PAULO - SP - 60.777.901/0001-16"/>
    <n v="1750"/>
  </r>
  <r>
    <x v="0"/>
    <x v="5"/>
    <x v="1"/>
    <n v="60884855000316"/>
    <x v="26"/>
    <s v="SÃO PAULO"/>
    <s v="SP"/>
    <x v="0"/>
    <s v="CLAUDIA BUENO (SPC/SPI)"/>
    <n v="70"/>
    <x v="0"/>
    <s v="HOSPITAL 9 DE JULHO - SÃO PAULO - SP - 60.884.855/0003-16"/>
    <n v="3280"/>
  </r>
  <r>
    <x v="0"/>
    <x v="5"/>
    <x v="1"/>
    <n v="60922168000771"/>
    <x v="27"/>
    <s v="SÃO PAULO"/>
    <s v="SP"/>
    <x v="0"/>
    <s v="CLAUDIA BUENO (SPC/SPI)"/>
    <n v="70"/>
    <x v="0"/>
    <s v="HOSPITAL SANTA CATARINA - SÃO PAULO - SP - 60.922.168/0007-71"/>
    <n v="915"/>
  </r>
  <r>
    <x v="0"/>
    <x v="5"/>
    <x v="1"/>
    <n v="60961422000155"/>
    <x v="29"/>
    <s v="SÃO PAULO"/>
    <s v="SP"/>
    <x v="0"/>
    <s v="CLAUDIA BUENO (SPC/SPI)"/>
    <n v="70"/>
    <x v="0"/>
    <s v="SEPACO - SÃO PAULO - SP - 60.961.422/0001-55"/>
    <n v="20"/>
  </r>
  <r>
    <x v="0"/>
    <x v="5"/>
    <x v="1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1050"/>
  </r>
  <r>
    <x v="0"/>
    <x v="5"/>
    <x v="1"/>
    <n v="61699567006204"/>
    <x v="55"/>
    <s v="SÃO PAULO"/>
    <s v="SP"/>
    <x v="0"/>
    <s v="CLAUDIA BUENO (SPC/SPI)"/>
    <n v="70"/>
    <x v="0"/>
    <s v="HOSPITAL GERAL DE PEDREIRA - SÃO PAULO - SP - 61.699.567/0062-04"/>
    <n v="60"/>
  </r>
  <r>
    <x v="0"/>
    <x v="5"/>
    <x v="1"/>
    <n v="62779145000190"/>
    <x v="56"/>
    <s v="SÃO PAULO"/>
    <s v="SP"/>
    <x v="0"/>
    <s v="CLAUDIA BUENO (SPC/SPI)"/>
    <n v="70"/>
    <x v="0"/>
    <s v="IRMANDADE DA SANTA CASA DE MISERICORDIA DE SAO PAULO - SÃO PAULO - SP - 62.779.145/0001-90"/>
    <n v="300"/>
  </r>
  <r>
    <x v="0"/>
    <x v="6"/>
    <x v="2"/>
    <n v="461479004150"/>
    <x v="43"/>
    <s v="SÃO PAULO"/>
    <s v="SP"/>
    <x v="0"/>
    <s v="CLAUDIA BUENO (SPC/SPI)"/>
    <n v="70"/>
    <x v="0"/>
    <s v="HOSPITAL SANCTA MAGGIORE PINHEIROS - SÃO PAULO - SP - 00.461.479/0041-50"/>
    <n v="175"/>
  </r>
  <r>
    <x v="0"/>
    <x v="6"/>
    <x v="2"/>
    <n v="461479004584"/>
    <x v="0"/>
    <s v="SÃO PAULO"/>
    <s v="SP"/>
    <x v="0"/>
    <s v="CLAUDIA BUENO (SPC/SPI)"/>
    <n v="70"/>
    <x v="0"/>
    <s v="INSTITUTO DE ONCOLOGIA PREVENT SENIOR - SÃO PAULO - SP - 00.461.479/0045-84"/>
    <n v="1940"/>
  </r>
  <r>
    <x v="0"/>
    <x v="6"/>
    <x v="2"/>
    <n v="4036348000190"/>
    <x v="2"/>
    <s v="SÃO PAULO"/>
    <s v="SP"/>
    <x v="0"/>
    <s v="CLAUDIA BUENO (SPC/SPI)"/>
    <n v="70"/>
    <x v="0"/>
    <s v="ONCOCENTER SERVICOS MEDICOS LTDA. - SÃO PAULO - SP - 04.036.348/0001-90"/>
    <n v="375"/>
  </r>
  <r>
    <x v="0"/>
    <x v="6"/>
    <x v="2"/>
    <n v="5831510000124"/>
    <x v="3"/>
    <s v="SÃO PAULO"/>
    <s v="SP"/>
    <x v="0"/>
    <s v="CLAUDIA BUENO (SPC/SPI)"/>
    <n v="70"/>
    <x v="0"/>
    <s v="INSTITUTO DE IMUNOLOGIA E ONCOLOGIA S/S LTDA - SÃO PAULO - SP - 05.831.510/0001-24"/>
    <n v="140"/>
  </r>
  <r>
    <x v="0"/>
    <x v="6"/>
    <x v="2"/>
    <n v="7045325000130"/>
    <x v="4"/>
    <s v="SÃO PAULO"/>
    <s v="SP"/>
    <x v="0"/>
    <s v="CLAUDIA BUENO (SPC/SPI)"/>
    <n v="70"/>
    <x v="0"/>
    <s v="SAHA SERVICOS MEDICOS E HOSPITALARES LTDA. - SÃO PAULO - SP - 07.045.325/0001-30"/>
    <n v="500"/>
  </r>
  <r>
    <x v="0"/>
    <x v="6"/>
    <x v="2"/>
    <n v="8100676000592"/>
    <x v="5"/>
    <s v="SÃO PAULO"/>
    <s v="SP"/>
    <x v="0"/>
    <s v="CLAUDIA BUENO (SPC/SPI)"/>
    <n v="70"/>
    <x v="0"/>
    <s v="HOSPITAL ALVORADA MOEMA - SÃO PAULO - SP - 08.100.676/0005-92"/>
    <n v="685"/>
  </r>
  <r>
    <x v="0"/>
    <x v="6"/>
    <x v="2"/>
    <n v="8604105000161"/>
    <x v="52"/>
    <s v="SÃO PAULO"/>
    <s v="SP"/>
    <x v="0"/>
    <s v="CLAUDIA BUENO (SPC/SPI)"/>
    <n v="70"/>
    <x v="0"/>
    <s v="HOSPITAL INGLES LTDA. - EPP - SÃO PAULO - SP - 08.604.105/0001-61"/>
    <n v="35"/>
  </r>
  <r>
    <x v="0"/>
    <x v="6"/>
    <x v="2"/>
    <n v="8871521000126"/>
    <x v="8"/>
    <s v="SÃO PAULO"/>
    <s v="SP"/>
    <x v="0"/>
    <s v="CLAUDIA BUENO (SPC/SPI)"/>
    <n v="70"/>
    <x v="0"/>
    <s v="CIP - CENTRO DE INFUSOES PACAEMBU LTDA - SÃO PAULO - SP - 08.871.521/0001-26"/>
    <n v="110"/>
  </r>
  <r>
    <x v="0"/>
    <x v="6"/>
    <x v="2"/>
    <n v="10468341000140"/>
    <x v="9"/>
    <s v="SÃO PAULO"/>
    <s v="SP"/>
    <x v="0"/>
    <s v="CLAUDIA BUENO (SPC/SPI)"/>
    <n v="70"/>
    <x v="0"/>
    <s v="CRETA - CENTRO REUMATOLOGICO DE TERAPIA AVANCADA LTDA. - ME - SÃO PAULO - SP - 10.468.341/0001-40"/>
    <n v="1635"/>
  </r>
  <r>
    <x v="0"/>
    <x v="6"/>
    <x v="2"/>
    <n v="10468341000220"/>
    <x v="10"/>
    <s v="SÃO PAULO"/>
    <s v="SP"/>
    <x v="0"/>
    <s v="CLAUDIA BUENO (SPC/SPI)"/>
    <n v="70"/>
    <x v="0"/>
    <s v="CRETA - CENTRO REUMATOLOGICO DE TERAPIA AVANCADA LTDA - SÃO PAULO - SP - 10.468.341/0002-20"/>
    <n v="130"/>
  </r>
  <r>
    <x v="0"/>
    <x v="6"/>
    <x v="2"/>
    <n v="10475230000160"/>
    <x v="11"/>
    <s v="SÃO PAULO"/>
    <s v="SP"/>
    <x v="0"/>
    <s v="CLAUDIA BUENO (SPC/SPI)"/>
    <n v="70"/>
    <x v="0"/>
    <s v="HEMOMED - SÃO PAULO - SP - 10.475.230/0001-60"/>
    <n v="280"/>
  </r>
  <r>
    <x v="0"/>
    <x v="6"/>
    <x v="2"/>
    <n v="28290788000307"/>
    <x v="57"/>
    <s v="SÃO PAULO"/>
    <s v="SP"/>
    <x v="0"/>
    <s v="CLAUDIA BUENO (SPC/SPI)"/>
    <n v="70"/>
    <x v="0"/>
    <s v="FARMACIA ONCO STAR - SÃO PAULO - SP - 28.290.788/0003-07"/>
    <n v="320"/>
  </r>
  <r>
    <x v="0"/>
    <x v="6"/>
    <x v="2"/>
    <n v="29435005009932"/>
    <x v="16"/>
    <s v="SÃO PAULO"/>
    <s v="SP"/>
    <x v="0"/>
    <s v="CLAUDIA BUENO (SPC/SPI)"/>
    <n v="70"/>
    <x v="0"/>
    <s v="ESHO EMPRESA DE SERVICOS HOSPITALARES S.A - SÃO PAULO - SP - 29.435.005/0099-32"/>
    <n v="1300"/>
  </r>
  <r>
    <x v="0"/>
    <x v="6"/>
    <x v="2"/>
    <n v="43775956000178"/>
    <x v="42"/>
    <s v="SÃO PAULO"/>
    <s v="SP"/>
    <x v="0"/>
    <s v="CLAUDIA BUENO (SPC/SPI)"/>
    <n v="70"/>
    <x v="0"/>
    <s v="CLINICA MEDICA CROCE LTDA - SÃO PAULO - SP - 43.775.956/0001-78"/>
    <n v="100"/>
  </r>
  <r>
    <x v="0"/>
    <x v="6"/>
    <x v="2"/>
    <n v="45876208000107"/>
    <x v="58"/>
    <s v="SÃO PAULO"/>
    <s v="SP"/>
    <x v="0"/>
    <s v="CLAUDIA BUENO (SPC/SPI)"/>
    <n v="70"/>
    <x v="0"/>
    <s v="CENTRO DE HEMATOLOGIA DE SAO PAULO - SÃO PAULO - SP - 45.876.208/0001-07"/>
    <n v="30"/>
  </r>
  <r>
    <x v="0"/>
    <x v="6"/>
    <x v="2"/>
    <n v="46124624002670"/>
    <x v="48"/>
    <s v="SÃO PAULO"/>
    <s v="SP"/>
    <x v="0"/>
    <s v="CLAUDIA BUENO (SPC/SPI)"/>
    <n v="70"/>
    <x v="0"/>
    <s v="UNIMED CAMPINAS COOPERATIVA DE TRABALHO MEDICO - SÃO PAULO - SP - 46.124.624/0026-70"/>
    <n v="1250"/>
  </r>
  <r>
    <x v="0"/>
    <x v="6"/>
    <x v="2"/>
    <n v="46374500008845"/>
    <x v="37"/>
    <s v="SÃO PAULO"/>
    <s v="SP"/>
    <x v="0"/>
    <s v="CLAUDIA BUENO (SPC/SPI)"/>
    <n v="70"/>
    <x v="0"/>
    <s v="CONJUNTO HOSPITALAR DO MANDAQUI - SÃO PAULO - SP - 46.374.500/0088-45"/>
    <n v="320"/>
  </r>
  <r>
    <x v="0"/>
    <x v="6"/>
    <x v="2"/>
    <n v="46374500026231"/>
    <x v="35"/>
    <s v="SÃO PAULO"/>
    <s v="SP"/>
    <x v="0"/>
    <s v="CLAUDIA BUENO (SPC/SPI)"/>
    <n v="70"/>
    <x v="0"/>
    <s v="COORDENADORIA DE ASSISTENCIA FARMACEUTICA - SÃO PAULO - SP - 46.374.500/0262-31"/>
    <n v="180"/>
  </r>
  <r>
    <x v="0"/>
    <x v="6"/>
    <x v="2"/>
    <n v="51722957000506"/>
    <x v="36"/>
    <s v="SÃO PAULO"/>
    <s v="SP"/>
    <x v="0"/>
    <s v="CLAUDIA BUENO (SPC/SPI)"/>
    <n v="70"/>
    <x v="0"/>
    <s v="AMICO SAUDE LTDA - SÃO PAULO - SP - 51.722.957/0005-06"/>
    <n v="300"/>
  </r>
  <r>
    <x v="0"/>
    <x v="6"/>
    <x v="2"/>
    <n v="60552098000111"/>
    <x v="23"/>
    <s v="SÃO PAULO"/>
    <s v="SP"/>
    <x v="0"/>
    <s v="CLAUDIA BUENO (SPC/SPI)"/>
    <n v="70"/>
    <x v="0"/>
    <s v="HOSPITAL SANTA CRUZ - SÃO PAULO - SP - 60.552.098/0001-11"/>
    <n v="450"/>
  </r>
  <r>
    <x v="0"/>
    <x v="6"/>
    <x v="2"/>
    <n v="60678604000113"/>
    <x v="40"/>
    <s v="SÃO PAULO"/>
    <s v="SP"/>
    <x v="0"/>
    <s v="CLAUDIA BUENO (SPC/SPI)"/>
    <n v="70"/>
    <x v="0"/>
    <s v="HOSPITAL E MATERNIDADE SANTA JOANA S/A - SÃO PAULO - SP - 60.678.604/0001-13"/>
    <n v="150"/>
  </r>
  <r>
    <x v="0"/>
    <x v="6"/>
    <x v="2"/>
    <n v="60742616000160"/>
    <x v="54"/>
    <s v="SÃO PAULO"/>
    <s v="SP"/>
    <x v="0"/>
    <s v="CLAUDIA BUENO (SPC/SPI)"/>
    <n v="70"/>
    <x v="0"/>
    <s v="HOSPITAL SANTA MARCELINA - SÃO PAULO - SP - 60.742.616/0001-60"/>
    <n v="530"/>
  </r>
  <r>
    <x v="0"/>
    <x v="6"/>
    <x v="2"/>
    <n v="60742616000674"/>
    <x v="59"/>
    <s v="SÃO PAULO"/>
    <s v="SP"/>
    <x v="0"/>
    <s v="CLAUDIA BUENO (SPC/SPI)"/>
    <n v="70"/>
    <x v="0"/>
    <s v="ORGANIZACAO SOCIAL DE SAUDE SANTA MARCELINA - SÃO PAULO - SP - 60.742.616/0006-74"/>
    <n v="25"/>
  </r>
  <r>
    <x v="0"/>
    <x v="6"/>
    <x v="2"/>
    <n v="60765823000130"/>
    <x v="49"/>
    <s v="SÃO PAULO"/>
    <s v="SP"/>
    <x v="0"/>
    <s v="CLAUDIA BUENO (SPC/SPI)"/>
    <n v="70"/>
    <x v="0"/>
    <s v="HOSPITAL ISRAELITA ALBERTEINSTEIN - SÃO PAULO - SP - 60.765.823/0001-30"/>
    <n v="1300"/>
  </r>
  <r>
    <x v="0"/>
    <x v="6"/>
    <x v="2"/>
    <n v="60777901000116"/>
    <x v="25"/>
    <s v="SÃO PAULO"/>
    <s v="SP"/>
    <x v="0"/>
    <s v="CLAUDIA BUENO (SPC/SPI)"/>
    <n v="70"/>
    <x v="0"/>
    <s v="HOSPITAL SANTA PAULA LTDA - SÃO PAULO - SP - 60.777.901/0001-16"/>
    <n v="850"/>
  </r>
  <r>
    <x v="0"/>
    <x v="6"/>
    <x v="2"/>
    <n v="60884855000316"/>
    <x v="26"/>
    <s v="SÃO PAULO"/>
    <s v="SP"/>
    <x v="0"/>
    <s v="CLAUDIA BUENO (SPC/SPI)"/>
    <n v="70"/>
    <x v="0"/>
    <s v="HOSPITAL 9 DE JULHO - SÃO PAULO - SP - 60.884.855/0003-16"/>
    <n v="1855"/>
  </r>
  <r>
    <x v="0"/>
    <x v="6"/>
    <x v="2"/>
    <n v="60922168000771"/>
    <x v="27"/>
    <s v="SÃO PAULO"/>
    <s v="SP"/>
    <x v="0"/>
    <s v="CLAUDIA BUENO (SPC/SPI)"/>
    <n v="70"/>
    <x v="0"/>
    <s v="HOSPITAL SANTA CATARINA - SÃO PAULO - SP - 60.922.168/0007-71"/>
    <n v="300"/>
  </r>
  <r>
    <x v="0"/>
    <x v="6"/>
    <x v="2"/>
    <n v="60922168004335"/>
    <x v="28"/>
    <s v="SÃO PAULO"/>
    <s v="SP"/>
    <x v="0"/>
    <s v="CLAUDIA BUENO (SPC/SPI)"/>
    <n v="70"/>
    <x v="0"/>
    <s v="HOSPITAL AMPARO MATERNAL - SÃO PAULO - SP - 60.922.168/0043-35"/>
    <n v="10"/>
  </r>
  <r>
    <x v="0"/>
    <x v="6"/>
    <x v="2"/>
    <n v="60961422000155"/>
    <x v="29"/>
    <s v="SÃO PAULO"/>
    <s v="SP"/>
    <x v="0"/>
    <s v="CLAUDIA BUENO (SPC/SPI)"/>
    <n v="70"/>
    <x v="0"/>
    <s v="SEPACO - SÃO PAULO - SP - 60.961.422/0001-55"/>
    <n v="200"/>
  </r>
  <r>
    <x v="0"/>
    <x v="6"/>
    <x v="2"/>
    <n v="60961968000106"/>
    <x v="30"/>
    <s v="SÃO PAULO"/>
    <s v="SP"/>
    <x v="0"/>
    <s v="CLAUDIA BUENO (SPC/SPI)"/>
    <n v="70"/>
    <x v="0"/>
    <s v="A.C.CAMARGO CANCER CENTER - SÃO PAULO - SP - 60.961.968/0001-06"/>
    <n v="350"/>
  </r>
  <r>
    <x v="0"/>
    <x v="6"/>
    <x v="2"/>
    <n v="60961968000459"/>
    <x v="60"/>
    <s v="SÃO PAULO"/>
    <s v="SP"/>
    <x v="0"/>
    <s v="CLAUDIA BUENO (SPC/SPI)"/>
    <n v="70"/>
    <x v="0"/>
    <s v="HOSPITAL A.C.CAMARGO - TAMANDARE - SÃO PAULO - SP - 60.961.968/0004-59"/>
    <n v="150"/>
  </r>
  <r>
    <x v="0"/>
    <x v="6"/>
    <x v="2"/>
    <n v="61590410000124"/>
    <x v="33"/>
    <s v="SÃO PAULO"/>
    <s v="SP"/>
    <x v="0"/>
    <s v="CLAUDIA BUENO (SPC/SPI)"/>
    <n v="70"/>
    <x v="0"/>
    <s v="SOC BENEFICIENTE DE SENHORAS HOSPITAL SIRIO LIBANES - SÃO PAULO - SP - 61.590.410/0001-24"/>
    <n v="2485"/>
  </r>
  <r>
    <x v="0"/>
    <x v="0"/>
    <x v="0"/>
    <n v="23941593838"/>
    <x v="61"/>
    <s v="SÃO PAULO"/>
    <s v="SP"/>
    <x v="0"/>
    <s v="CLAUDIA BUENO (SPC/SPI)"/>
    <n v="73"/>
    <x v="1"/>
    <s v="JEAN STANISLAS MARIE BRUNET-LECOMTE - SÃO PAULO - SP - 239.415.938-38"/>
    <n v="60"/>
  </r>
  <r>
    <x v="0"/>
    <x v="0"/>
    <x v="0"/>
    <n v="461479001992"/>
    <x v="62"/>
    <s v="SÃO PAULO"/>
    <s v="SP"/>
    <x v="0"/>
    <s v="CLAUDIA BUENO (SPC/SPI)"/>
    <n v="64"/>
    <x v="2"/>
    <s v="HOSPITAL SANCTA MAGGIORE ITAIM - SÃO PAULO - SP - 00.461.479/0019-92"/>
    <n v="6"/>
  </r>
  <r>
    <x v="0"/>
    <x v="0"/>
    <x v="0"/>
    <n v="2383508000494"/>
    <x v="1"/>
    <s v="SÃO PAULO"/>
    <s v="SP"/>
    <x v="0"/>
    <s v="CLAUDIA BUENO (SPC/SPI)"/>
    <n v="73"/>
    <x v="1"/>
    <s v="CENTRAL CLINIC - SÃO PAULO - SP - 02.383.508/0004-94"/>
    <n v="31"/>
  </r>
  <r>
    <x v="0"/>
    <x v="1"/>
    <x v="0"/>
    <n v="2383508000494"/>
    <x v="1"/>
    <s v="SÃO PAULO"/>
    <s v="SP"/>
    <x v="0"/>
    <s v="CLAUDIA BUENO (SPC/SPI)"/>
    <n v="73"/>
    <x v="1"/>
    <s v="CENTRAL CLINIC - SÃO PAULO - SP - 02.383.508/0004-94"/>
    <n v="39"/>
  </r>
  <r>
    <x v="0"/>
    <x v="0"/>
    <x v="0"/>
    <n v="2837922000183"/>
    <x v="63"/>
    <s v="SÃO PAULO"/>
    <s v="SP"/>
    <x v="0"/>
    <s v="CLAUDIA BUENO (SPC/SPI)"/>
    <n v="73"/>
    <x v="1"/>
    <s v="PRONEP SAO PAULO - SÃO PAULO - SP - 02.837.922/0001-83"/>
    <n v="100"/>
  </r>
  <r>
    <x v="0"/>
    <x v="1"/>
    <x v="0"/>
    <n v="2837922000183"/>
    <x v="63"/>
    <s v="SÃO PAULO"/>
    <s v="SP"/>
    <x v="0"/>
    <s v="CLAUDIA BUENO (SPC/SPI)"/>
    <n v="73"/>
    <x v="1"/>
    <s v="PRONEP SAO PAULO - SÃO PAULO - SP - 02.837.922/0001-83"/>
    <n v="100"/>
  </r>
  <r>
    <x v="0"/>
    <x v="0"/>
    <x v="0"/>
    <n v="3872790000193"/>
    <x v="64"/>
    <s v="SÃO PAULO"/>
    <s v="SP"/>
    <x v="0"/>
    <s v="CLAUDIA BUENO (SPC/SPI)"/>
    <n v="73"/>
    <x v="1"/>
    <s v="GLOBAL CARE ASSISTENCIA DOMICILIAR LTDA - SÃO PAULO - SP - 03.872.790/0001-93"/>
    <n v="8"/>
  </r>
  <r>
    <x v="0"/>
    <x v="1"/>
    <x v="0"/>
    <n v="3872790000193"/>
    <x v="64"/>
    <s v="SÃO PAULO"/>
    <s v="SP"/>
    <x v="0"/>
    <s v="CLAUDIA BUENO (SPC/SPI)"/>
    <n v="73"/>
    <x v="1"/>
    <s v="GLOBAL CARE ASSISTENCIA DOMICILIAR LTDA - SÃO PAULO - SP - 03.872.790/0001-93"/>
    <n v="8"/>
  </r>
  <r>
    <x v="0"/>
    <x v="0"/>
    <x v="0"/>
    <n v="6047087000139"/>
    <x v="65"/>
    <s v="SÃO PAULO"/>
    <s v="SP"/>
    <x v="0"/>
    <s v="CLAUDIA BUENO (SPC/SPI)"/>
    <n v="64"/>
    <x v="2"/>
    <s v="HOSP SAO LUIZ ANALIA FRANCO (REDE DOR) - SÃO PAULO - SP - 06.047.087/0001-39"/>
    <n v="2"/>
  </r>
  <r>
    <x v="0"/>
    <x v="0"/>
    <x v="0"/>
    <n v="6047087000210"/>
    <x v="66"/>
    <s v="SÃO PAULO"/>
    <s v="SP"/>
    <x v="0"/>
    <s v="CLAUDIA BUENO (SPC/SPI)"/>
    <n v="62"/>
    <x v="3"/>
    <s v="SAO LUIZ UNIDADE ITAIM (REDE DOR) - SÃO PAULO - SP - 06.047.087/0002-10"/>
    <n v="10"/>
  </r>
  <r>
    <x v="0"/>
    <x v="0"/>
    <x v="0"/>
    <n v="6047087000210"/>
    <x v="66"/>
    <s v="SÃO PAULO"/>
    <s v="SP"/>
    <x v="0"/>
    <s v="CLAUDIA BUENO (SPC/SPI)"/>
    <n v="64"/>
    <x v="2"/>
    <s v="SAO LUIZ UNIDADE ITAIM (REDE DOR) - SÃO PAULO - SP - 06.047.087/0002-10"/>
    <n v="43"/>
  </r>
  <r>
    <x v="0"/>
    <x v="1"/>
    <x v="0"/>
    <n v="6047087000210"/>
    <x v="66"/>
    <s v="SÃO PAULO"/>
    <s v="SP"/>
    <x v="0"/>
    <s v="CLAUDIA BUENO (SPC/SPI)"/>
    <n v="62"/>
    <x v="3"/>
    <s v="SAO LUIZ UNIDADE ITAIM (REDE DOR) - SÃO PAULO - SP - 06.047.087/0002-10"/>
    <n v="33"/>
  </r>
  <r>
    <x v="0"/>
    <x v="1"/>
    <x v="0"/>
    <n v="6047087000210"/>
    <x v="66"/>
    <s v="SÃO PAULO"/>
    <s v="SP"/>
    <x v="0"/>
    <s v="CLAUDIA BUENO (SPC/SPI)"/>
    <n v="64"/>
    <x v="2"/>
    <s v="SAO LUIZ UNIDADE ITAIM (REDE DOR) - SÃO PAULO - SP - 06.047.087/0002-10"/>
    <n v="41"/>
  </r>
  <r>
    <x v="0"/>
    <x v="0"/>
    <x v="0"/>
    <n v="6047087003820"/>
    <x v="67"/>
    <s v="SÃO PAULO"/>
    <s v="SP"/>
    <x v="0"/>
    <s v="CLAUDIA BUENO (SPC/SPI)"/>
    <n v="62"/>
    <x v="3"/>
    <s v="HOSPITAL SAO LUIZ JABAQUARA (REDE DOR) - SÃO PAULO - SP - 06.047.087/0038-20"/>
    <n v="6"/>
  </r>
  <r>
    <x v="0"/>
    <x v="0"/>
    <x v="0"/>
    <n v="6047087003820"/>
    <x v="67"/>
    <s v="SÃO PAULO"/>
    <s v="SP"/>
    <x v="0"/>
    <s v="CLAUDIA BUENO (SPC/SPI)"/>
    <n v="64"/>
    <x v="2"/>
    <s v="HOSPITAL SAO LUIZ JABAQUARA (REDE DOR) - SÃO PAULO - SP - 06.047.087/0038-20"/>
    <n v="3"/>
  </r>
  <r>
    <x v="0"/>
    <x v="1"/>
    <x v="0"/>
    <n v="6047087003820"/>
    <x v="67"/>
    <s v="SÃO PAULO"/>
    <s v="SP"/>
    <x v="0"/>
    <s v="CLAUDIA BUENO (SPC/SPI)"/>
    <n v="62"/>
    <x v="3"/>
    <s v="HOSPITAL SAO LUIZ JABAQUARA (REDE DOR) - SÃO PAULO - SP - 06.047.087/0038-20"/>
    <n v="11"/>
  </r>
  <r>
    <x v="0"/>
    <x v="1"/>
    <x v="0"/>
    <n v="6047087003820"/>
    <x v="67"/>
    <s v="SÃO PAULO"/>
    <s v="SP"/>
    <x v="0"/>
    <s v="CLAUDIA BUENO (SPC/SPI)"/>
    <n v="64"/>
    <x v="2"/>
    <s v="HOSPITAL SAO LUIZ JABAQUARA (REDE DOR) - SÃO PAULO - SP - 06.047.087/0038-20"/>
    <n v="2"/>
  </r>
  <r>
    <x v="0"/>
    <x v="0"/>
    <x v="0"/>
    <n v="7045325000130"/>
    <x v="4"/>
    <s v="SÃO PAULO"/>
    <s v="SP"/>
    <x v="0"/>
    <s v="CLAUDIA BUENO (SPC/SPI)"/>
    <n v="73"/>
    <x v="1"/>
    <s v="SAHA SERVICOS MEDICOS E HOSPITALARES LTDA. - SÃO PAULO - SP - 07.045.325/0001-30"/>
    <n v="96"/>
  </r>
  <r>
    <x v="0"/>
    <x v="1"/>
    <x v="0"/>
    <n v="7045325000130"/>
    <x v="4"/>
    <s v="SÃO PAULO"/>
    <s v="SP"/>
    <x v="0"/>
    <s v="CLAUDIA BUENO (SPC/SPI)"/>
    <n v="73"/>
    <x v="1"/>
    <s v="SAHA SERVICOS MEDICOS E HOSPITALARES LTDA. - SÃO PAULO - SP - 07.045.325/0001-30"/>
    <n v="80"/>
  </r>
  <r>
    <x v="0"/>
    <x v="0"/>
    <x v="0"/>
    <n v="8100676002455"/>
    <x v="7"/>
    <s v="SÃO PAULO"/>
    <s v="SP"/>
    <x v="0"/>
    <s v="CLAUDIA BUENO (SPC/SPI)"/>
    <n v="64"/>
    <x v="2"/>
    <s v="HOSPITAL ALVORADA TAGUATINGA LTDA - SÃO PAULO - SP - 08.100.676/0024-55"/>
    <n v="3"/>
  </r>
  <r>
    <x v="0"/>
    <x v="1"/>
    <x v="0"/>
    <n v="8100676002455"/>
    <x v="7"/>
    <s v="SÃO PAULO"/>
    <s v="SP"/>
    <x v="0"/>
    <s v="CLAUDIA BUENO (SPC/SPI)"/>
    <n v="64"/>
    <x v="2"/>
    <s v="HOSPITAL ALVORADA TAGUATINGA LTDA - SÃO PAULO - SP - 08.100.676/0024-55"/>
    <n v="12"/>
  </r>
  <r>
    <x v="0"/>
    <x v="0"/>
    <x v="0"/>
    <n v="8438844000392"/>
    <x v="68"/>
    <s v="SÃO PAULO"/>
    <s v="SP"/>
    <x v="0"/>
    <s v="CLAUDIA BUENO (SPC/SPI)"/>
    <n v="73"/>
    <x v="1"/>
    <s v="HOME LIFE ASSISTENCIA DOMICILIAR EM SAUDE - SÃO PAULO - SP - 08.438.844/0003-92"/>
    <n v="2"/>
  </r>
  <r>
    <x v="0"/>
    <x v="0"/>
    <x v="0"/>
    <n v="10211939000230"/>
    <x v="69"/>
    <s v="SÃO PAULO"/>
    <s v="SP"/>
    <x v="0"/>
    <s v="CLAUDIA BUENO (SPC/SPI)"/>
    <n v="73"/>
    <x v="1"/>
    <s v="PEDIATRICS HOME CARE - INTERNACAO MEDICA DOMICILIAR LTDA - SÃO PAULO - SP - 10.211.939/0002-30"/>
    <n v="8"/>
  </r>
  <r>
    <x v="0"/>
    <x v="1"/>
    <x v="0"/>
    <n v="10211939000230"/>
    <x v="69"/>
    <s v="SÃO PAULO"/>
    <s v="SP"/>
    <x v="0"/>
    <s v="CLAUDIA BUENO (SPC/SPI)"/>
    <n v="73"/>
    <x v="1"/>
    <s v="PEDIATRICS HOME CARE - INTERNACAO MEDICA DOMICILIAR LTDA - SÃO PAULO - SP - 10.211.939/0002-30"/>
    <n v="8"/>
  </r>
  <r>
    <x v="0"/>
    <x v="0"/>
    <x v="0"/>
    <n v="10323381000101"/>
    <x v="70"/>
    <s v="SÃO PAULO"/>
    <s v="SP"/>
    <x v="0"/>
    <s v="CLAUDIA BUENO (SPC/SPI)"/>
    <n v="73"/>
    <x v="1"/>
    <s v="EV CITI - SÃO PAULO - SP - 10.323.381/0001-01"/>
    <n v="3"/>
  </r>
  <r>
    <x v="0"/>
    <x v="1"/>
    <x v="0"/>
    <n v="10323381000101"/>
    <x v="70"/>
    <s v="SÃO PAULO"/>
    <s v="SP"/>
    <x v="0"/>
    <s v="CLAUDIA BUENO (SPC/SPI)"/>
    <n v="73"/>
    <x v="1"/>
    <s v="EV CITI - SÃO PAULO - SP - 10.323.381/0001-01"/>
    <n v="6"/>
  </r>
  <r>
    <x v="0"/>
    <x v="0"/>
    <x v="0"/>
    <n v="10468341000140"/>
    <x v="9"/>
    <s v="SÃO PAULO"/>
    <s v="SP"/>
    <x v="0"/>
    <s v="CLAUDIA BUENO (SPC/SPI)"/>
    <n v="73"/>
    <x v="1"/>
    <s v="CRETA - CENTRO REUMATOLOGICO DE TERAPIA AVANCADA LTDA. - ME - SÃO PAULO - SP - 10.468.341/0001-40"/>
    <n v="36"/>
  </r>
  <r>
    <x v="0"/>
    <x v="0"/>
    <x v="0"/>
    <n v="10468341000220"/>
    <x v="10"/>
    <s v="SÃO PAULO"/>
    <s v="SP"/>
    <x v="0"/>
    <s v="CLAUDIA BUENO (SPC/SPI)"/>
    <n v="73"/>
    <x v="1"/>
    <s v="CRETA - CENTRO REUMATOLOGICO DE TERAPIA AVANCADA LTDA - SÃO PAULO - SP - 10.468.341/0002-20"/>
    <n v="12"/>
  </r>
  <r>
    <x v="0"/>
    <x v="1"/>
    <x v="0"/>
    <n v="10468341000220"/>
    <x v="10"/>
    <s v="SÃO PAULO"/>
    <s v="SP"/>
    <x v="0"/>
    <s v="CLAUDIA BUENO (SPC/SPI)"/>
    <n v="73"/>
    <x v="1"/>
    <s v="CRETA - CENTRO REUMATOLOGICO DE TERAPIA AVANCADA LTDA - SÃO PAULO - SP - 10.468.341/0002-20"/>
    <n v="24"/>
  </r>
  <r>
    <x v="0"/>
    <x v="0"/>
    <x v="0"/>
    <n v="13718999000150"/>
    <x v="71"/>
    <s v="SÃO PAULO"/>
    <s v="SP"/>
    <x v="0"/>
    <s v="CLAUDIA BUENO (SPC/SPI)"/>
    <n v="73"/>
    <x v="1"/>
    <s v="NOVO SANTO EXPEDITO - SÃO PAULO - SP - 13.718.999/0001-50"/>
    <n v="4"/>
  </r>
  <r>
    <x v="0"/>
    <x v="1"/>
    <x v="0"/>
    <n v="13718999000150"/>
    <x v="71"/>
    <s v="SÃO PAULO"/>
    <s v="SP"/>
    <x v="0"/>
    <s v="CLAUDIA BUENO (SPC/SPI)"/>
    <n v="73"/>
    <x v="1"/>
    <s v="NOVO SANTO EXPEDITO - SÃO PAULO - SP - 13.718.999/0001-50"/>
    <n v="4"/>
  </r>
  <r>
    <x v="0"/>
    <x v="0"/>
    <x v="0"/>
    <n v="18180008000142"/>
    <x v="72"/>
    <s v="SÃO PAULO"/>
    <s v="SP"/>
    <x v="0"/>
    <s v="CLAUDIA BUENO (SPC/SPI)"/>
    <n v="64"/>
    <x v="2"/>
    <s v="ASSOCIACAO HOSPITALAR FILHAS DE NOSSA SENHORA DO MONTE CALVARIO - SÃO PAULO - SP - 18.180.008/0001-42"/>
    <n v="2"/>
  </r>
  <r>
    <x v="0"/>
    <x v="0"/>
    <x v="0"/>
    <n v="19803199000114"/>
    <x v="12"/>
    <s v="SÃO PAULO"/>
    <s v="SP"/>
    <x v="0"/>
    <s v="CLAUDIA BUENO (SPC/SPI)"/>
    <n v="62"/>
    <x v="3"/>
    <s v="SOCIEDADE BENEFICENTE DE PRESIDENTE BERNARDES - SÃO PAULO - SP - 19.803.199/0001-14"/>
    <n v="1"/>
  </r>
  <r>
    <x v="0"/>
    <x v="1"/>
    <x v="0"/>
    <n v="19803199000114"/>
    <x v="12"/>
    <s v="SÃO PAULO"/>
    <s v="SP"/>
    <x v="0"/>
    <s v="CLAUDIA BUENO (SPC/SPI)"/>
    <n v="62"/>
    <x v="3"/>
    <s v="SOCIEDADE BENEFICENTE DE PRESIDENTE BERNARDES - SÃO PAULO - SP - 19.803.199/0001-14"/>
    <n v="3"/>
  </r>
  <r>
    <x v="0"/>
    <x v="1"/>
    <x v="0"/>
    <n v="19803199000114"/>
    <x v="12"/>
    <s v="SÃO PAULO"/>
    <s v="SP"/>
    <x v="0"/>
    <s v="CLAUDIA BUENO (SPC/SPI)"/>
    <n v="64"/>
    <x v="2"/>
    <s v="SOCIEDADE BENEFICENTE DE PRESIDENTE BERNARDES - SÃO PAULO - SP - 19.803.199/0001-14"/>
    <n v="2"/>
  </r>
  <r>
    <x v="0"/>
    <x v="1"/>
    <x v="0"/>
    <n v="8677327000104"/>
    <x v="53"/>
    <s v="SÃO PAULO"/>
    <s v="SP"/>
    <x v="0"/>
    <s v="CLAUDIA BUENO (SPC/SPI)"/>
    <n v="64"/>
    <x v="2"/>
    <s v="SARE DROGARIAS - SÃO PAULO - SP - 08.677.327/0001-04"/>
    <n v="2"/>
  </r>
  <r>
    <x v="0"/>
    <x v="0"/>
    <x v="0"/>
    <n v="20812223000241"/>
    <x v="73"/>
    <s v="SÃO PAULO"/>
    <s v="SP"/>
    <x v="0"/>
    <s v="CLAUDIA BUENO (SPC/SPI)"/>
    <n v="73"/>
    <x v="1"/>
    <s v="SR CARE ASSISTENCIA DOMICILIAR LTDA - SÃO PAULO - SP - 20.812.223/0002-41"/>
    <n v="10"/>
  </r>
  <r>
    <x v="0"/>
    <x v="1"/>
    <x v="0"/>
    <n v="20812223000241"/>
    <x v="73"/>
    <s v="SÃO PAULO"/>
    <s v="SP"/>
    <x v="0"/>
    <s v="CLAUDIA BUENO (SPC/SPI)"/>
    <n v="73"/>
    <x v="1"/>
    <s v="SR CARE ASSISTENCIA DOMICILIAR LTDA - SÃO PAULO - SP - 20.812.223/0002-41"/>
    <n v="20"/>
  </r>
  <r>
    <x v="0"/>
    <x v="0"/>
    <x v="0"/>
    <n v="21371777000132"/>
    <x v="13"/>
    <s v="SÃO PAULO"/>
    <s v="SP"/>
    <x v="0"/>
    <s v="CLAUDIA BUENO (SPC/SPI)"/>
    <n v="62"/>
    <x v="3"/>
    <s v="HOSPITAL BANDEIRANTES LTDA  - SÃO PAULO - SP - 21.371.777/0001-32"/>
    <n v="8"/>
  </r>
  <r>
    <x v="0"/>
    <x v="1"/>
    <x v="0"/>
    <n v="21371777000132"/>
    <x v="13"/>
    <s v="SÃO PAULO"/>
    <s v="SP"/>
    <x v="0"/>
    <s v="CLAUDIA BUENO (SPC/SPI)"/>
    <n v="62"/>
    <x v="3"/>
    <s v="HOSPITAL BANDEIRANTES LTDA  - SÃO PAULO - SP - 21.371.777/0001-32"/>
    <n v="16"/>
  </r>
  <r>
    <x v="0"/>
    <x v="1"/>
    <x v="0"/>
    <n v="21371777000132"/>
    <x v="13"/>
    <s v="SÃO PAULO"/>
    <s v="SP"/>
    <x v="0"/>
    <s v="CLAUDIA BUENO (SPC/SPI)"/>
    <n v="64"/>
    <x v="2"/>
    <s v="HOSPITAL BANDEIRANTES LTDA  - SÃO PAULO - SP - 21.371.777/0001-32"/>
    <n v="38"/>
  </r>
  <r>
    <x v="0"/>
    <x v="0"/>
    <x v="0"/>
    <n v="28290788000137"/>
    <x v="74"/>
    <s v="SÃO PAULO"/>
    <s v="SP"/>
    <x v="0"/>
    <s v="CLAUDIA BUENO (SPC/SPI)"/>
    <n v="62"/>
    <x v="3"/>
    <s v="HOSPITAL VILA NOVA STAR - SÃO PAULO - SP - 28.290.788/0001-37"/>
    <n v="34"/>
  </r>
  <r>
    <x v="0"/>
    <x v="1"/>
    <x v="0"/>
    <n v="28290788000137"/>
    <x v="74"/>
    <s v="SÃO PAULO"/>
    <s v="SP"/>
    <x v="0"/>
    <s v="CLAUDIA BUENO (SPC/SPI)"/>
    <n v="62"/>
    <x v="3"/>
    <s v="HOSPITAL VILA NOVA STAR - SÃO PAULO - SP - 28.290.788/0001-37"/>
    <n v="5"/>
  </r>
  <r>
    <x v="0"/>
    <x v="1"/>
    <x v="0"/>
    <n v="28290788000137"/>
    <x v="74"/>
    <s v="SÃO PAULO"/>
    <s v="SP"/>
    <x v="0"/>
    <s v="CLAUDIA BUENO (SPC/SPI)"/>
    <n v="64"/>
    <x v="2"/>
    <s v="HOSPITAL VILA NOVA STAR - SÃO PAULO - SP - 28.290.788/0001-37"/>
    <n v="5"/>
  </r>
  <r>
    <x v="0"/>
    <x v="0"/>
    <x v="0"/>
    <n v="28290788000307"/>
    <x v="57"/>
    <s v="SÃO PAULO"/>
    <s v="SP"/>
    <x v="0"/>
    <s v="CLAUDIA BUENO (SPC/SPI)"/>
    <n v="73"/>
    <x v="1"/>
    <s v="FARMACIA ONCO STAR - SÃO PAULO - SP - 28.290.788/0003-07"/>
    <n v="24"/>
  </r>
  <r>
    <x v="0"/>
    <x v="1"/>
    <x v="0"/>
    <n v="28290788000307"/>
    <x v="57"/>
    <s v="SÃO PAULO"/>
    <s v="SP"/>
    <x v="0"/>
    <s v="CLAUDIA BUENO (SPC/SPI)"/>
    <n v="73"/>
    <x v="1"/>
    <s v="FARMACIA ONCO STAR - SÃO PAULO - SP - 28.290.788/0003-07"/>
    <n v="20"/>
  </r>
  <r>
    <x v="0"/>
    <x v="0"/>
    <x v="0"/>
    <n v="29435005009932"/>
    <x v="16"/>
    <s v="SÃO PAULO"/>
    <s v="SP"/>
    <x v="0"/>
    <s v="CLAUDIA BUENO (SPC/SPI)"/>
    <n v="62"/>
    <x v="3"/>
    <s v="ESHO EMPRESA DE SERVICOS HOSPITALARES S.A - SÃO PAULO - SP - 29.435.005/0099-32"/>
    <n v="6"/>
  </r>
  <r>
    <x v="0"/>
    <x v="0"/>
    <x v="0"/>
    <n v="29435005009932"/>
    <x v="16"/>
    <s v="SÃO PAULO"/>
    <s v="SP"/>
    <x v="0"/>
    <s v="CLAUDIA BUENO (SPC/SPI)"/>
    <n v="64"/>
    <x v="2"/>
    <s v="ESHO EMPRESA DE SERVICOS HOSPITALARES S.A - SÃO PAULO - SP - 29.435.005/0099-32"/>
    <n v="4"/>
  </r>
  <r>
    <x v="0"/>
    <x v="1"/>
    <x v="0"/>
    <n v="29435005009932"/>
    <x v="16"/>
    <s v="SÃO PAULO"/>
    <s v="SP"/>
    <x v="0"/>
    <s v="CLAUDIA BUENO (SPC/SPI)"/>
    <n v="62"/>
    <x v="3"/>
    <s v="ESHO EMPRESA DE SERVICOS HOSPITALARES S.A - SÃO PAULO - SP - 29.435.005/0099-32"/>
    <n v="13"/>
  </r>
  <r>
    <x v="0"/>
    <x v="0"/>
    <x v="0"/>
    <n v="51722957010226"/>
    <x v="19"/>
    <s v="SÃO PAULO"/>
    <s v="SP"/>
    <x v="0"/>
    <s v="CLAUDIA BUENO (SPC/SPI)"/>
    <n v="73"/>
    <x v="1"/>
    <s v="AMICO SAUDE LTDA - SÃO PAULO - SP - 51.722.957/0102-26"/>
    <n v="7"/>
  </r>
  <r>
    <x v="0"/>
    <x v="0"/>
    <x v="0"/>
    <n v="56577059000606"/>
    <x v="75"/>
    <s v="SÃO PAULO"/>
    <s v="SP"/>
    <x v="0"/>
    <s v="CLAUDIA BUENO (SPC/SPI)"/>
    <n v="64"/>
    <x v="2"/>
    <s v="INSTITUTO DO CANCER DO ESTADO DE SAO PAULO - SÃO PAULO - SP - 56.577.059/0006-06"/>
    <n v="30"/>
  </r>
  <r>
    <x v="0"/>
    <x v="0"/>
    <x v="0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55"/>
  </r>
  <r>
    <x v="0"/>
    <x v="0"/>
    <x v="0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60"/>
  </r>
  <r>
    <x v="0"/>
    <x v="0"/>
    <x v="0"/>
    <n v="60453024000390"/>
    <x v="77"/>
    <s v="SÃO PAULO"/>
    <s v="SP"/>
    <x v="0"/>
    <s v="CLAUDIA BUENO (SPC/SPI)"/>
    <n v="62"/>
    <x v="3"/>
    <s v="HOSPITAL DO CORACAO - SÃO PAULO - SP - 60.453.024/0003-90"/>
    <n v="10"/>
  </r>
  <r>
    <x v="0"/>
    <x v="0"/>
    <x v="0"/>
    <n v="60453024000390"/>
    <x v="77"/>
    <s v="SÃO PAULO"/>
    <s v="SP"/>
    <x v="0"/>
    <s v="CLAUDIA BUENO (SPC/SPI)"/>
    <n v="64"/>
    <x v="2"/>
    <s v="HOSPITAL DO CORACAO - SÃO PAULO - SP - 60.453.024/0003-90"/>
    <n v="5"/>
  </r>
  <r>
    <x v="0"/>
    <x v="0"/>
    <x v="0"/>
    <n v="60678604000113"/>
    <x v="40"/>
    <s v="SÃO PAULO"/>
    <s v="SP"/>
    <x v="0"/>
    <s v="CLAUDIA BUENO (SPC/SPI)"/>
    <n v="62"/>
    <x v="3"/>
    <s v="HOSPITAL E MATERNIDADE SANTA JOANA S/A - SÃO PAULO - SP - 60.678.604/0001-13"/>
    <n v="42"/>
  </r>
  <r>
    <x v="0"/>
    <x v="0"/>
    <x v="0"/>
    <n v="60678604000113"/>
    <x v="40"/>
    <s v="SÃO PAULO"/>
    <s v="SP"/>
    <x v="0"/>
    <s v="CLAUDIA BUENO (SPC/SPI)"/>
    <n v="64"/>
    <x v="2"/>
    <s v="HOSPITAL E MATERNIDADE SANTA JOANA S/A - SÃO PAULO - SP - 60.678.604/0001-13"/>
    <n v="2"/>
  </r>
  <r>
    <x v="0"/>
    <x v="0"/>
    <x v="0"/>
    <n v="60726502000126"/>
    <x v="24"/>
    <s v="SÃO PAULO"/>
    <s v="SP"/>
    <x v="0"/>
    <s v="CLAUDIA BUENO (SPC/SPI)"/>
    <n v="62"/>
    <x v="3"/>
    <s v="HOSPITAL ALEMAO OSWALDO CRUZ - SÃO PAULO - SP - 60.726.502/0001-26"/>
    <n v="6"/>
  </r>
  <r>
    <x v="0"/>
    <x v="0"/>
    <x v="0"/>
    <n v="60726502000126"/>
    <x v="24"/>
    <s v="SÃO PAULO"/>
    <s v="SP"/>
    <x v="0"/>
    <s v="CLAUDIA BUENO (SPC/SPI)"/>
    <n v="64"/>
    <x v="2"/>
    <s v="HOSPITAL ALEMAO OSWALDO CRUZ - SÃO PAULO - SP - 60.726.502/0001-26"/>
    <n v="3"/>
  </r>
  <r>
    <x v="0"/>
    <x v="0"/>
    <x v="0"/>
    <n v="60726502000711"/>
    <x v="78"/>
    <s v="SÃO PAULO"/>
    <s v="SP"/>
    <x v="0"/>
    <s v="CLAUDIA BUENO (SPC/SPI)"/>
    <n v="62"/>
    <x v="3"/>
    <s v="HOSPITAL ALEMAO OSWALDO CRUZ - SÃO PAULO - SP - 60.726.502/0007-11"/>
    <n v="5"/>
  </r>
  <r>
    <x v="0"/>
    <x v="0"/>
    <x v="0"/>
    <n v="60884855000316"/>
    <x v="26"/>
    <s v="SÃO PAULO"/>
    <s v="SP"/>
    <x v="0"/>
    <s v="CLAUDIA BUENO (SPC/SPI)"/>
    <n v="62"/>
    <x v="3"/>
    <s v="HOSPITAL 9 DE JULHO - SÃO PAULO - SP - 60.884.855/0003-16"/>
    <n v="38"/>
  </r>
  <r>
    <x v="0"/>
    <x v="0"/>
    <x v="0"/>
    <n v="60884855000316"/>
    <x v="26"/>
    <s v="SÃO PAULO"/>
    <s v="SP"/>
    <x v="0"/>
    <s v="CLAUDIA BUENO (SPC/SPI)"/>
    <n v="64"/>
    <x v="2"/>
    <s v="HOSPITAL 9 DE JULHO - SÃO PAULO - SP - 60.884.855/0003-16"/>
    <n v="8"/>
  </r>
  <r>
    <x v="0"/>
    <x v="1"/>
    <x v="0"/>
    <n v="19056055000141"/>
    <x v="79"/>
    <s v="SÃO PAULO"/>
    <s v="SP"/>
    <x v="0"/>
    <s v="CLAUDIA BUENO (SPC/SPI)"/>
    <n v="62"/>
    <x v="3"/>
    <s v="HOSPITAL MORIAH - SÃO PAULO - SP - 19.056.055/0001-41"/>
    <n v="3"/>
  </r>
  <r>
    <x v="0"/>
    <x v="0"/>
    <x v="0"/>
    <n v="60922168000771"/>
    <x v="27"/>
    <s v="SÃO PAULO"/>
    <s v="SP"/>
    <x v="0"/>
    <s v="CLAUDIA BUENO (SPC/SPI)"/>
    <n v="73"/>
    <x v="1"/>
    <s v="HOSPITAL SANTA CATARINA - SÃO PAULO - SP - 60.922.168/0007-71"/>
    <n v="16"/>
  </r>
  <r>
    <x v="0"/>
    <x v="0"/>
    <x v="0"/>
    <n v="60961422000155"/>
    <x v="29"/>
    <s v="SÃO PAULO"/>
    <s v="SP"/>
    <x v="0"/>
    <s v="CLAUDIA BUENO (SPC/SPI)"/>
    <n v="62"/>
    <x v="3"/>
    <s v="SEPACO - SÃO PAULO - SP - 60.961.422/0001-55"/>
    <n v="13"/>
  </r>
  <r>
    <x v="0"/>
    <x v="0"/>
    <x v="0"/>
    <n v="60961422000155"/>
    <x v="29"/>
    <s v="SÃO PAULO"/>
    <s v="SP"/>
    <x v="0"/>
    <s v="CLAUDIA BUENO (SPC/SPI)"/>
    <n v="64"/>
    <x v="2"/>
    <s v="SEPACO - SÃO PAULO - SP - 60.961.422/0001-55"/>
    <n v="10"/>
  </r>
  <r>
    <x v="0"/>
    <x v="0"/>
    <x v="0"/>
    <n v="60975737001204"/>
    <x v="80"/>
    <s v="SÃO PAULO"/>
    <s v="SP"/>
    <x v="0"/>
    <s v="CLAUDIA BUENO (SPC/SPI)"/>
    <n v="64"/>
    <x v="2"/>
    <s v="HOSPITAL SAO CAMILO - SANTANA - SÃO PAULO - SP - 60.975.737/0012-04"/>
    <n v="6"/>
  </r>
  <r>
    <x v="0"/>
    <x v="0"/>
    <x v="0"/>
    <n v="61213674000240"/>
    <x v="32"/>
    <s v="SÃO PAULO"/>
    <s v="SP"/>
    <x v="0"/>
    <s v="CLAUDIA BUENO (SPC/SPI)"/>
    <n v="62"/>
    <x v="3"/>
    <s v="HOSPITAL INFANTIL SABARA - SÃO PAULO - SP - 61.213.674/0002-40"/>
    <n v="1"/>
  </r>
  <r>
    <x v="0"/>
    <x v="0"/>
    <x v="0"/>
    <n v="61213674000240"/>
    <x v="32"/>
    <s v="SÃO PAULO"/>
    <s v="SP"/>
    <x v="0"/>
    <s v="CLAUDIA BUENO (SPC/SPI)"/>
    <n v="64"/>
    <x v="2"/>
    <s v="HOSPITAL INFANTIL SABARA - SÃO PAULO - SP - 61.213.674/0002-40"/>
    <n v="3"/>
  </r>
  <r>
    <x v="0"/>
    <x v="0"/>
    <x v="0"/>
    <n v="61213674000240"/>
    <x v="32"/>
    <s v="SÃO PAULO"/>
    <s v="SP"/>
    <x v="0"/>
    <s v="CLAUDIA BUENO (SPC/SPI)"/>
    <n v="73"/>
    <x v="1"/>
    <s v="HOSPITAL INFANTIL SABARA - SÃO PAULO - SP - 61.213.674/0002-40"/>
    <n v="49"/>
  </r>
  <r>
    <x v="0"/>
    <x v="0"/>
    <x v="0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30"/>
  </r>
  <r>
    <x v="0"/>
    <x v="0"/>
    <x v="0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130"/>
  </r>
  <r>
    <x v="0"/>
    <x v="0"/>
    <x v="0"/>
    <n v="62106505000192"/>
    <x v="82"/>
    <s v="SÃO PAULO"/>
    <s v="SP"/>
    <x v="0"/>
    <s v="CLAUDIA BUENO (SPC/SPI)"/>
    <n v="62"/>
    <x v="3"/>
    <s v="HOSPITAL E MATERNIDADE SANTA MARIA - SÃO PAULO - SP - 62.106.505/0001-92"/>
    <n v="2"/>
  </r>
  <r>
    <x v="0"/>
    <x v="0"/>
    <x v="0"/>
    <n v="62779145000190"/>
    <x v="56"/>
    <s v="SÃO PAULO"/>
    <s v="SP"/>
    <x v="0"/>
    <s v="CLAUDIA BUENO (SPC/SPI)"/>
    <n v="64"/>
    <x v="2"/>
    <s v="IRMANDADE DA SANTA CASA DE MISERICORDIA DE SAO PAULO - SÃO PAULO - SP - 62.779.145/0001-90"/>
    <n v="2"/>
  </r>
  <r>
    <x v="0"/>
    <x v="1"/>
    <x v="0"/>
    <n v="44649812005520"/>
    <x v="18"/>
    <s v="SÃO PAULO"/>
    <s v="SP"/>
    <x v="0"/>
    <s v="CLAUDIA BUENO (SPC/SPI)"/>
    <n v="73"/>
    <x v="1"/>
    <s v="INTERMEDICA SISTEMA DE SAUDE - SÃO PAULO - SP - 44.649.812/0055-20"/>
    <n v="16"/>
  </r>
  <r>
    <x v="0"/>
    <x v="1"/>
    <x v="0"/>
    <n v="51722957010226"/>
    <x v="19"/>
    <s v="SÃO PAULO"/>
    <s v="SP"/>
    <x v="0"/>
    <s v="CLAUDIA BUENO (SPC/SPI)"/>
    <n v="73"/>
    <x v="1"/>
    <s v="AMICO SAUDE LTDA - SÃO PAULO - SP - 51.722.957/0102-26"/>
    <n v="42"/>
  </r>
  <r>
    <x v="0"/>
    <x v="1"/>
    <x v="0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87"/>
  </r>
  <r>
    <x v="0"/>
    <x v="1"/>
    <x v="0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57"/>
  </r>
  <r>
    <x v="0"/>
    <x v="1"/>
    <x v="0"/>
    <n v="60453024000390"/>
    <x v="77"/>
    <s v="SÃO PAULO"/>
    <s v="SP"/>
    <x v="0"/>
    <s v="CLAUDIA BUENO (SPC/SPI)"/>
    <n v="62"/>
    <x v="3"/>
    <s v="HOSPITAL DO CORACAO - SÃO PAULO - SP - 60.453.024/0003-90"/>
    <n v="37"/>
  </r>
  <r>
    <x v="0"/>
    <x v="1"/>
    <x v="0"/>
    <n v="60453024000390"/>
    <x v="77"/>
    <s v="SÃO PAULO"/>
    <s v="SP"/>
    <x v="0"/>
    <s v="CLAUDIA BUENO (SPC/SPI)"/>
    <n v="64"/>
    <x v="2"/>
    <s v="HOSPITAL DO CORACAO - SÃO PAULO - SP - 60.453.024/0003-90"/>
    <n v="10"/>
  </r>
  <r>
    <x v="0"/>
    <x v="1"/>
    <x v="0"/>
    <n v="60678604000113"/>
    <x v="40"/>
    <s v="SÃO PAULO"/>
    <s v="SP"/>
    <x v="0"/>
    <s v="CLAUDIA BUENO (SPC/SPI)"/>
    <n v="62"/>
    <x v="3"/>
    <s v="HOSPITAL E MATERNIDADE SANTA JOANA S/A - SÃO PAULO - SP - 60.678.604/0001-13"/>
    <n v="23"/>
  </r>
  <r>
    <x v="0"/>
    <x v="1"/>
    <x v="0"/>
    <n v="60726502000126"/>
    <x v="24"/>
    <s v="SÃO PAULO"/>
    <s v="SP"/>
    <x v="0"/>
    <s v="CLAUDIA BUENO (SPC/SPI)"/>
    <n v="62"/>
    <x v="3"/>
    <s v="HOSPITAL ALEMAO OSWALDO CRUZ - SÃO PAULO - SP - 60.726.502/0001-26"/>
    <n v="2"/>
  </r>
  <r>
    <x v="0"/>
    <x v="1"/>
    <x v="0"/>
    <n v="60726502000126"/>
    <x v="24"/>
    <s v="SÃO PAULO"/>
    <s v="SP"/>
    <x v="0"/>
    <s v="CLAUDIA BUENO (SPC/SPI)"/>
    <n v="64"/>
    <x v="2"/>
    <s v="HOSPITAL ALEMAO OSWALDO CRUZ - SÃO PAULO - SP - 60.726.502/0001-26"/>
    <n v="6"/>
  </r>
  <r>
    <x v="0"/>
    <x v="1"/>
    <x v="0"/>
    <n v="60726502000126"/>
    <x v="24"/>
    <s v="SÃO PAULO"/>
    <s v="SP"/>
    <x v="0"/>
    <s v="CLAUDIA BUENO (SPC/SPI)"/>
    <n v="73"/>
    <x v="1"/>
    <s v="HOSPITAL ALEMAO OSWALDO CRUZ - SÃO PAULO - SP - 60.726.502/0001-26"/>
    <n v="16"/>
  </r>
  <r>
    <x v="0"/>
    <x v="1"/>
    <x v="0"/>
    <n v="60765823000130"/>
    <x v="49"/>
    <s v="SÃO PAULO"/>
    <s v="SP"/>
    <x v="0"/>
    <s v="CLAUDIA BUENO (SPC/SPI)"/>
    <n v="62"/>
    <x v="3"/>
    <s v="HOSPITAL ISRAELITA ALBERTEINSTEIN - SÃO PAULO - SP - 60.765.823/0001-30"/>
    <n v="65"/>
  </r>
  <r>
    <x v="0"/>
    <x v="1"/>
    <x v="0"/>
    <n v="60777901000116"/>
    <x v="25"/>
    <s v="SÃO PAULO"/>
    <s v="SP"/>
    <x v="0"/>
    <s v="CLAUDIA BUENO (SPC/SPI)"/>
    <n v="64"/>
    <x v="2"/>
    <s v="HOSPITAL SANTA PAULA LTDA - SÃO PAULO - SP - 60.777.901/0001-16"/>
    <n v="100"/>
  </r>
  <r>
    <x v="0"/>
    <x v="1"/>
    <x v="0"/>
    <n v="60884855000316"/>
    <x v="26"/>
    <s v="SÃO PAULO"/>
    <s v="SP"/>
    <x v="0"/>
    <s v="CLAUDIA BUENO (SPC/SPI)"/>
    <n v="62"/>
    <x v="3"/>
    <s v="HOSPITAL 9 DE JULHO - SÃO PAULO - SP - 60.884.855/0003-16"/>
    <n v="3"/>
  </r>
  <r>
    <x v="0"/>
    <x v="1"/>
    <x v="0"/>
    <n v="60884855000316"/>
    <x v="26"/>
    <s v="SÃO PAULO"/>
    <s v="SP"/>
    <x v="0"/>
    <s v="CLAUDIA BUENO (SPC/SPI)"/>
    <n v="64"/>
    <x v="2"/>
    <s v="HOSPITAL 9 DE JULHO - SÃO PAULO - SP - 60.884.855/0003-16"/>
    <n v="10"/>
  </r>
  <r>
    <x v="0"/>
    <x v="1"/>
    <x v="0"/>
    <n v="60884855000316"/>
    <x v="26"/>
    <s v="SÃO PAULO"/>
    <s v="SP"/>
    <x v="0"/>
    <s v="CLAUDIA BUENO (SPC/SPI)"/>
    <n v="73"/>
    <x v="1"/>
    <s v="HOSPITAL 9 DE JULHO - SÃO PAULO - SP - 60.884.855/0003-16"/>
    <n v="24"/>
  </r>
  <r>
    <x v="0"/>
    <x v="1"/>
    <x v="0"/>
    <n v="60922168000771"/>
    <x v="27"/>
    <s v="SÃO PAULO"/>
    <s v="SP"/>
    <x v="0"/>
    <s v="CLAUDIA BUENO (SPC/SPI)"/>
    <n v="62"/>
    <x v="3"/>
    <s v="HOSPITAL SANTA CATARINA - SÃO PAULO - SP - 60.922.168/0007-71"/>
    <n v="5"/>
  </r>
  <r>
    <x v="0"/>
    <x v="1"/>
    <x v="0"/>
    <n v="60922168000771"/>
    <x v="27"/>
    <s v="SÃO PAULO"/>
    <s v="SP"/>
    <x v="0"/>
    <s v="CLAUDIA BUENO (SPC/SPI)"/>
    <n v="73"/>
    <x v="1"/>
    <s v="HOSPITAL SANTA CATARINA - SÃO PAULO - SP - 60.922.168/0007-71"/>
    <n v="4"/>
  </r>
  <r>
    <x v="0"/>
    <x v="1"/>
    <x v="0"/>
    <n v="60961422000155"/>
    <x v="29"/>
    <s v="SÃO PAULO"/>
    <s v="SP"/>
    <x v="0"/>
    <s v="CLAUDIA BUENO (SPC/SPI)"/>
    <n v="62"/>
    <x v="3"/>
    <s v="SEPACO - SÃO PAULO - SP - 60.961.422/0001-55"/>
    <n v="3"/>
  </r>
  <r>
    <x v="0"/>
    <x v="1"/>
    <x v="0"/>
    <n v="60961422000155"/>
    <x v="29"/>
    <s v="SÃO PAULO"/>
    <s v="SP"/>
    <x v="0"/>
    <s v="CLAUDIA BUENO (SPC/SPI)"/>
    <n v="64"/>
    <x v="2"/>
    <s v="SEPACO - SÃO PAULO - SP - 60.961.422/0001-55"/>
    <n v="3"/>
  </r>
  <r>
    <x v="0"/>
    <x v="1"/>
    <x v="0"/>
    <n v="60961968000106"/>
    <x v="30"/>
    <s v="SÃO PAULO"/>
    <s v="SP"/>
    <x v="0"/>
    <s v="CLAUDIA BUENO (SPC/SPI)"/>
    <n v="62"/>
    <x v="3"/>
    <s v="A.C.CAMARGO CANCER CENTER - SÃO PAULO - SP - 60.961.968/0001-06"/>
    <n v="10"/>
  </r>
  <r>
    <x v="0"/>
    <x v="1"/>
    <x v="0"/>
    <n v="60961968000106"/>
    <x v="30"/>
    <s v="SÃO PAULO"/>
    <s v="SP"/>
    <x v="0"/>
    <s v="CLAUDIA BUENO (SPC/SPI)"/>
    <n v="64"/>
    <x v="2"/>
    <s v="A.C.CAMARGO CANCER CENTER - SÃO PAULO - SP - 60.961.968/0001-06"/>
    <n v="10"/>
  </r>
  <r>
    <x v="0"/>
    <x v="1"/>
    <x v="0"/>
    <n v="60961968000459"/>
    <x v="60"/>
    <s v="SÃO PAULO"/>
    <s v="SP"/>
    <x v="0"/>
    <s v="CLAUDIA BUENO (SPC/SPI)"/>
    <n v="62"/>
    <x v="3"/>
    <s v="HOSPITAL A.C.CAMARGO - TAMANDARE - SÃO PAULO - SP - 60.961.968/0004-59"/>
    <n v="5"/>
  </r>
  <r>
    <x v="0"/>
    <x v="1"/>
    <x v="0"/>
    <n v="60961968000459"/>
    <x v="60"/>
    <s v="SÃO PAULO"/>
    <s v="SP"/>
    <x v="0"/>
    <s v="CLAUDIA BUENO (SPC/SPI)"/>
    <n v="64"/>
    <x v="2"/>
    <s v="HOSPITAL A.C.CAMARGO - TAMANDARE - SÃO PAULO - SP - 60.961.968/0004-59"/>
    <n v="2"/>
  </r>
  <r>
    <x v="0"/>
    <x v="1"/>
    <x v="0"/>
    <n v="60975737000232"/>
    <x v="83"/>
    <s v="SÃO PAULO"/>
    <s v="SP"/>
    <x v="0"/>
    <s v="CLAUDIA BUENO (SPC/SPI)"/>
    <n v="62"/>
    <x v="3"/>
    <s v="HOSPITAL SAO CAMILO - POMPEIA - SÃO PAULO - SP - 60.975.737/0002-32"/>
    <n v="4"/>
  </r>
  <r>
    <x v="0"/>
    <x v="1"/>
    <x v="0"/>
    <n v="60975737000232"/>
    <x v="83"/>
    <s v="SÃO PAULO"/>
    <s v="SP"/>
    <x v="0"/>
    <s v="CLAUDIA BUENO (SPC/SPI)"/>
    <n v="64"/>
    <x v="2"/>
    <s v="HOSPITAL SAO CAMILO - POMPEIA - SÃO PAULO - SP - 60.975.737/0002-32"/>
    <n v="6"/>
  </r>
  <r>
    <x v="0"/>
    <x v="1"/>
    <x v="0"/>
    <n v="60975737001204"/>
    <x v="80"/>
    <s v="SÃO PAULO"/>
    <s v="SP"/>
    <x v="0"/>
    <s v="CLAUDIA BUENO (SPC/SPI)"/>
    <n v="64"/>
    <x v="2"/>
    <s v="HOSPITAL SAO CAMILO - SANTANA - SÃO PAULO - SP - 60.975.737/0012-04"/>
    <n v="4"/>
  </r>
  <r>
    <x v="0"/>
    <x v="1"/>
    <x v="0"/>
    <n v="60975737005110"/>
    <x v="84"/>
    <s v="SÃO PAULO"/>
    <s v="SP"/>
    <x v="0"/>
    <s v="CLAUDIA BUENO (SPC/SPI)"/>
    <n v="64"/>
    <x v="2"/>
    <s v="HOSPITAL SAO CAMILO - IPIRANGA - SÃO PAULO - SP - 60.975.737/0051-10"/>
    <n v="1"/>
  </r>
  <r>
    <x v="0"/>
    <x v="1"/>
    <x v="0"/>
    <n v="61213674000240"/>
    <x v="32"/>
    <s v="SÃO PAULO"/>
    <s v="SP"/>
    <x v="0"/>
    <s v="CLAUDIA BUENO (SPC/SPI)"/>
    <n v="62"/>
    <x v="3"/>
    <s v="HOSPITAL INFANTIL SABARA - SÃO PAULO - SP - 61.213.674/0002-40"/>
    <n v="4"/>
  </r>
  <r>
    <x v="0"/>
    <x v="1"/>
    <x v="0"/>
    <n v="61213674000240"/>
    <x v="32"/>
    <s v="SÃO PAULO"/>
    <s v="SP"/>
    <x v="0"/>
    <s v="CLAUDIA BUENO (SPC/SPI)"/>
    <n v="64"/>
    <x v="2"/>
    <s v="HOSPITAL INFANTIL SABARA - SÃO PAULO - SP - 61.213.674/0002-40"/>
    <n v="5"/>
  </r>
  <r>
    <x v="0"/>
    <x v="1"/>
    <x v="0"/>
    <n v="61213674000240"/>
    <x v="32"/>
    <s v="SÃO PAULO"/>
    <s v="SP"/>
    <x v="0"/>
    <s v="CLAUDIA BUENO (SPC/SPI)"/>
    <n v="73"/>
    <x v="1"/>
    <s v="HOSPITAL INFANTIL SABARA - SÃO PAULO - SP - 61.213.674/0002-40"/>
    <n v="77"/>
  </r>
  <r>
    <x v="0"/>
    <x v="1"/>
    <x v="0"/>
    <n v="61590410000124"/>
    <x v="33"/>
    <s v="SÃO PAULO"/>
    <s v="SP"/>
    <x v="0"/>
    <s v="CLAUDIA BUENO (SPC/SPI)"/>
    <n v="62"/>
    <x v="3"/>
    <s v="SOC BENEFICIENTE DE SENHORAS HOSPITAL SIRIO LIBANES - SÃO PAULO - SP - 61.590.410/0001-24"/>
    <n v="81"/>
  </r>
  <r>
    <x v="0"/>
    <x v="1"/>
    <x v="0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75"/>
  </r>
  <r>
    <x v="0"/>
    <x v="1"/>
    <x v="0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20"/>
  </r>
  <r>
    <x v="0"/>
    <x v="1"/>
    <x v="0"/>
    <n v="62779145000190"/>
    <x v="56"/>
    <s v="SÃO PAULO"/>
    <s v="SP"/>
    <x v="0"/>
    <s v="CLAUDIA BUENO (SPC/SPI)"/>
    <n v="64"/>
    <x v="2"/>
    <s v="IRMANDADE DA SANTA CASA DE MISERICORDIA DE SAO PAULO - SÃO PAULO - SP - 62.779.145/0001-90"/>
    <n v="2"/>
  </r>
  <r>
    <x v="0"/>
    <x v="1"/>
    <x v="0"/>
    <n v="67185694000150"/>
    <x v="85"/>
    <s v="SÃO PAULO"/>
    <s v="SP"/>
    <x v="0"/>
    <s v="CLAUDIA BUENO (SPC/SPI)"/>
    <n v="64"/>
    <x v="2"/>
    <s v="INSTITUTO DE ONCOLOGIA PEDIATRICA - IOP - SÃO PAULO - SP - 67.185.694/0001-50"/>
    <n v="2"/>
  </r>
  <r>
    <x v="0"/>
    <x v="2"/>
    <x v="0"/>
    <n v="2383508000494"/>
    <x v="1"/>
    <s v="SÃO PAULO"/>
    <s v="SP"/>
    <x v="0"/>
    <s v="CLAUDIA BUENO (SPC/SPI)"/>
    <n v="73"/>
    <x v="1"/>
    <s v="CENTRAL CLINIC - SÃO PAULO - SP - 02.383.508/0004-94"/>
    <n v="15"/>
  </r>
  <r>
    <x v="0"/>
    <x v="2"/>
    <x v="0"/>
    <n v="2837922000183"/>
    <x v="63"/>
    <s v="SÃO PAULO"/>
    <s v="SP"/>
    <x v="0"/>
    <s v="CLAUDIA BUENO (SPC/SPI)"/>
    <n v="73"/>
    <x v="1"/>
    <s v="PRONEP SAO PAULO - SÃO PAULO - SP - 02.837.922/0001-83"/>
    <n v="150"/>
  </r>
  <r>
    <x v="0"/>
    <x v="2"/>
    <x v="0"/>
    <n v="3872790000193"/>
    <x v="64"/>
    <s v="SÃO PAULO"/>
    <s v="SP"/>
    <x v="0"/>
    <s v="CLAUDIA BUENO (SPC/SPI)"/>
    <n v="73"/>
    <x v="1"/>
    <s v="GLOBAL CARE ASSISTENCIA DOMICILIAR LTDA - SÃO PAULO - SP - 03.872.790/0001-93"/>
    <n v="16"/>
  </r>
  <r>
    <x v="0"/>
    <x v="2"/>
    <x v="0"/>
    <n v="6047087000139"/>
    <x v="65"/>
    <s v="SÃO PAULO"/>
    <s v="SP"/>
    <x v="0"/>
    <s v="CLAUDIA BUENO (SPC/SPI)"/>
    <n v="62"/>
    <x v="3"/>
    <s v="HOSP SAO LUIZ ANALIA FRANCO (REDE DOR) - SÃO PAULO - SP - 06.047.087/0001-39"/>
    <n v="4"/>
  </r>
  <r>
    <x v="0"/>
    <x v="2"/>
    <x v="0"/>
    <n v="6047087000210"/>
    <x v="66"/>
    <s v="SÃO PAULO"/>
    <s v="SP"/>
    <x v="0"/>
    <s v="CLAUDIA BUENO (SPC/SPI)"/>
    <n v="62"/>
    <x v="3"/>
    <s v="SAO LUIZ UNIDADE ITAIM (REDE DOR) - SÃO PAULO - SP - 06.047.087/0002-10"/>
    <n v="20"/>
  </r>
  <r>
    <x v="0"/>
    <x v="2"/>
    <x v="0"/>
    <n v="6047087000210"/>
    <x v="66"/>
    <s v="SÃO PAULO"/>
    <s v="SP"/>
    <x v="0"/>
    <s v="CLAUDIA BUENO (SPC/SPI)"/>
    <n v="64"/>
    <x v="2"/>
    <s v="SAO LUIZ UNIDADE ITAIM (REDE DOR) - SÃO PAULO - SP - 06.047.087/0002-10"/>
    <n v="36"/>
  </r>
  <r>
    <x v="0"/>
    <x v="2"/>
    <x v="0"/>
    <n v="6047087003820"/>
    <x v="67"/>
    <s v="SÃO PAULO"/>
    <s v="SP"/>
    <x v="0"/>
    <s v="CLAUDIA BUENO (SPC/SPI)"/>
    <n v="62"/>
    <x v="3"/>
    <s v="HOSPITAL SAO LUIZ JABAQUARA (REDE DOR) - SÃO PAULO - SP - 06.047.087/0038-20"/>
    <n v="3"/>
  </r>
  <r>
    <x v="0"/>
    <x v="2"/>
    <x v="0"/>
    <n v="7045325000130"/>
    <x v="4"/>
    <s v="SÃO PAULO"/>
    <s v="SP"/>
    <x v="0"/>
    <s v="CLAUDIA BUENO (SPC/SPI)"/>
    <n v="73"/>
    <x v="1"/>
    <s v="SAHA SERVICOS MEDICOS E HOSPITALARES LTDA. - SÃO PAULO - SP - 07.045.325/0001-30"/>
    <n v="56"/>
  </r>
  <r>
    <x v="0"/>
    <x v="2"/>
    <x v="0"/>
    <n v="8100676002455"/>
    <x v="7"/>
    <s v="SÃO PAULO"/>
    <s v="SP"/>
    <x v="0"/>
    <s v="CLAUDIA BUENO (SPC/SPI)"/>
    <n v="64"/>
    <x v="2"/>
    <s v="HOSPITAL ALVORADA TAGUATINGA LTDA - SÃO PAULO - SP - 08.100.676/0024-55"/>
    <n v="24"/>
  </r>
  <r>
    <x v="0"/>
    <x v="2"/>
    <x v="0"/>
    <n v="10323381000101"/>
    <x v="70"/>
    <s v="SÃO PAULO"/>
    <s v="SP"/>
    <x v="0"/>
    <s v="CLAUDIA BUENO (SPC/SPI)"/>
    <n v="73"/>
    <x v="1"/>
    <s v="EV CITI - SÃO PAULO - SP - 10.323.381/0001-01"/>
    <n v="6"/>
  </r>
  <r>
    <x v="0"/>
    <x v="2"/>
    <x v="0"/>
    <n v="10468341000220"/>
    <x v="10"/>
    <s v="SÃO PAULO"/>
    <s v="SP"/>
    <x v="0"/>
    <s v="CLAUDIA BUENO (SPC/SPI)"/>
    <n v="73"/>
    <x v="1"/>
    <s v="CRETA - CENTRO REUMATOLOGICO DE TERAPIA AVANCADA LTDA - SÃO PAULO - SP - 10.468.341/0002-20"/>
    <n v="36"/>
  </r>
  <r>
    <x v="0"/>
    <x v="2"/>
    <x v="0"/>
    <n v="19803199000114"/>
    <x v="12"/>
    <s v="SÃO PAULO"/>
    <s v="SP"/>
    <x v="0"/>
    <s v="CLAUDIA BUENO (SPC/SPI)"/>
    <n v="64"/>
    <x v="2"/>
    <s v="SOCIEDADE BENEFICENTE DE PRESIDENTE BERNARDES - SÃO PAULO - SP - 19.803.199/0001-14"/>
    <n v="4"/>
  </r>
  <r>
    <x v="0"/>
    <x v="2"/>
    <x v="0"/>
    <n v="20812223000241"/>
    <x v="73"/>
    <s v="SÃO PAULO"/>
    <s v="SP"/>
    <x v="0"/>
    <s v="CLAUDIA BUENO (SPC/SPI)"/>
    <n v="73"/>
    <x v="1"/>
    <s v="SR CARE ASSISTENCIA DOMICILIAR LTDA - SÃO PAULO - SP - 20.812.223/0002-41"/>
    <n v="10"/>
  </r>
  <r>
    <x v="0"/>
    <x v="2"/>
    <x v="0"/>
    <n v="21371777000132"/>
    <x v="13"/>
    <s v="SÃO PAULO"/>
    <s v="SP"/>
    <x v="0"/>
    <s v="CLAUDIA BUENO (SPC/SPI)"/>
    <n v="62"/>
    <x v="3"/>
    <s v="HOSPITAL BANDEIRANTES LTDA  - SÃO PAULO - SP - 21.371.777/0001-32"/>
    <n v="11"/>
  </r>
  <r>
    <x v="0"/>
    <x v="2"/>
    <x v="0"/>
    <n v="29435005002687"/>
    <x v="14"/>
    <s v="SÃO PAULO"/>
    <s v="SP"/>
    <x v="0"/>
    <s v="CLAUDIA BUENO (SPC/SPI)"/>
    <n v="64"/>
    <x v="2"/>
    <s v="HOSPITAL PAULISTANO - SÃO PAULO - SP - 29.435.005/0026-87"/>
    <n v="7"/>
  </r>
  <r>
    <x v="0"/>
    <x v="2"/>
    <x v="0"/>
    <n v="29435005009932"/>
    <x v="16"/>
    <s v="SÃO PAULO"/>
    <s v="SP"/>
    <x v="0"/>
    <s v="CLAUDIA BUENO (SPC/SPI)"/>
    <n v="62"/>
    <x v="3"/>
    <s v="ESHO EMPRESA DE SERVICOS HOSPITALARES S.A - SÃO PAULO - SP - 29.435.005/0099-32"/>
    <n v="8"/>
  </r>
  <r>
    <x v="0"/>
    <x v="2"/>
    <x v="0"/>
    <n v="29435005009932"/>
    <x v="16"/>
    <s v="SÃO PAULO"/>
    <s v="SP"/>
    <x v="0"/>
    <s v="CLAUDIA BUENO (SPC/SPI)"/>
    <n v="64"/>
    <x v="2"/>
    <s v="ESHO EMPRESA DE SERVICOS HOSPITALARES S.A - SÃO PAULO - SP - 29.435.005/0099-32"/>
    <n v="3"/>
  </r>
  <r>
    <x v="0"/>
    <x v="2"/>
    <x v="0"/>
    <n v="44649812005520"/>
    <x v="18"/>
    <s v="SÃO PAULO"/>
    <s v="SP"/>
    <x v="0"/>
    <s v="CLAUDIA BUENO (SPC/SPI)"/>
    <n v="73"/>
    <x v="1"/>
    <s v="INTERMEDICA SISTEMA DE SAUDE - SÃO PAULO - SP - 44.649.812/0055-20"/>
    <n v="4"/>
  </r>
  <r>
    <x v="0"/>
    <x v="2"/>
    <x v="0"/>
    <n v="46374500026231"/>
    <x v="35"/>
    <s v="SÃO PAULO"/>
    <s v="SP"/>
    <x v="0"/>
    <s v="CLAUDIA BUENO (SPC/SPI)"/>
    <n v="66"/>
    <x v="4"/>
    <s v="COORDENADORIA DE ASSISTENCIA FARMACEUTICA - SÃO PAULO - SP - 46.374.500/0262-31"/>
    <n v="28"/>
  </r>
  <r>
    <x v="0"/>
    <x v="2"/>
    <x v="0"/>
    <n v="46374500026231"/>
    <x v="35"/>
    <s v="SÃO PAULO"/>
    <s v="SP"/>
    <x v="0"/>
    <s v="CLAUDIA BUENO (SPC/SPI)"/>
    <n v="73"/>
    <x v="1"/>
    <s v="COORDENADORIA DE ASSISTENCIA FARMACEUTICA - SÃO PAULO - SP - 46.374.500/0262-31"/>
    <n v="192"/>
  </r>
  <r>
    <x v="0"/>
    <x v="2"/>
    <x v="0"/>
    <n v="51722957000506"/>
    <x v="36"/>
    <s v="SÃO PAULO"/>
    <s v="SP"/>
    <x v="0"/>
    <s v="CLAUDIA BUENO (SPC/SPI)"/>
    <n v="66"/>
    <x v="4"/>
    <s v="AMICO SAUDE LTDA - SÃO PAULO - SP - 51.722.957/0005-06"/>
    <n v="3"/>
  </r>
  <r>
    <x v="0"/>
    <x v="2"/>
    <x v="0"/>
    <n v="51722957010226"/>
    <x v="19"/>
    <s v="SÃO PAULO"/>
    <s v="SP"/>
    <x v="0"/>
    <s v="CLAUDIA BUENO (SPC/SPI)"/>
    <n v="73"/>
    <x v="1"/>
    <s v="AMICO SAUDE LTDA - SÃO PAULO - SP - 51.722.957/0102-26"/>
    <n v="106"/>
  </r>
  <r>
    <x v="0"/>
    <x v="2"/>
    <x v="0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60"/>
  </r>
  <r>
    <x v="0"/>
    <x v="2"/>
    <x v="0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66"/>
  </r>
  <r>
    <x v="0"/>
    <x v="2"/>
    <x v="0"/>
    <n v="60448040000122"/>
    <x v="76"/>
    <s v="SÃO PAULO"/>
    <s v="SP"/>
    <x v="0"/>
    <s v="CLAUDIA BUENO (SPC/SPI)"/>
    <n v="73"/>
    <x v="1"/>
    <s v="HOSPITAL DAS CLINICAS DA FACULDADE DE MEDICINA DA U S P - SÃO PAULO - SP - 60.448.040/0001-22"/>
    <n v="92"/>
  </r>
  <r>
    <x v="0"/>
    <x v="2"/>
    <x v="0"/>
    <n v="60453024000390"/>
    <x v="77"/>
    <s v="SÃO PAULO"/>
    <s v="SP"/>
    <x v="0"/>
    <s v="CLAUDIA BUENO (SPC/SPI)"/>
    <n v="62"/>
    <x v="3"/>
    <s v="HOSPITAL DO CORACAO - SÃO PAULO - SP - 60.453.024/0003-90"/>
    <n v="55"/>
  </r>
  <r>
    <x v="0"/>
    <x v="2"/>
    <x v="0"/>
    <n v="60453024000390"/>
    <x v="77"/>
    <s v="SÃO PAULO"/>
    <s v="SP"/>
    <x v="0"/>
    <s v="CLAUDIA BUENO (SPC/SPI)"/>
    <n v="64"/>
    <x v="2"/>
    <s v="HOSPITAL DO CORACAO - SÃO PAULO - SP - 60.453.024/0003-90"/>
    <n v="11"/>
  </r>
  <r>
    <x v="0"/>
    <x v="2"/>
    <x v="0"/>
    <n v="60678604000113"/>
    <x v="40"/>
    <s v="SÃO PAULO"/>
    <s v="SP"/>
    <x v="0"/>
    <s v="CLAUDIA BUENO (SPC/SPI)"/>
    <n v="62"/>
    <x v="3"/>
    <s v="HOSPITAL E MATERNIDADE SANTA JOANA S/A - SÃO PAULO - SP - 60.678.604/0001-13"/>
    <n v="24"/>
  </r>
  <r>
    <x v="0"/>
    <x v="2"/>
    <x v="0"/>
    <n v="60678604000113"/>
    <x v="40"/>
    <s v="SÃO PAULO"/>
    <s v="SP"/>
    <x v="0"/>
    <s v="CLAUDIA BUENO (SPC/SPI)"/>
    <n v="64"/>
    <x v="2"/>
    <s v="HOSPITAL E MATERNIDADE SANTA JOANA S/A - SÃO PAULO - SP - 60.678.604/0001-13"/>
    <n v="1"/>
  </r>
  <r>
    <x v="0"/>
    <x v="2"/>
    <x v="0"/>
    <n v="60726502000126"/>
    <x v="24"/>
    <s v="SÃO PAULO"/>
    <s v="SP"/>
    <x v="0"/>
    <s v="CLAUDIA BUENO (SPC/SPI)"/>
    <n v="62"/>
    <x v="3"/>
    <s v="HOSPITAL ALEMAO OSWALDO CRUZ - SÃO PAULO - SP - 60.726.502/0001-26"/>
    <n v="2"/>
  </r>
  <r>
    <x v="0"/>
    <x v="2"/>
    <x v="0"/>
    <n v="60726502000126"/>
    <x v="24"/>
    <s v="SÃO PAULO"/>
    <s v="SP"/>
    <x v="0"/>
    <s v="CLAUDIA BUENO (SPC/SPI)"/>
    <n v="64"/>
    <x v="2"/>
    <s v="HOSPITAL ALEMAO OSWALDO CRUZ - SÃO PAULO - SP - 60.726.502/0001-26"/>
    <n v="6"/>
  </r>
  <r>
    <x v="0"/>
    <x v="2"/>
    <x v="0"/>
    <n v="60726502000126"/>
    <x v="24"/>
    <s v="SÃO PAULO"/>
    <s v="SP"/>
    <x v="0"/>
    <s v="CLAUDIA BUENO (SPC/SPI)"/>
    <n v="73"/>
    <x v="1"/>
    <s v="HOSPITAL ALEMAO OSWALDO CRUZ - SÃO PAULO - SP - 60.726.502/0001-26"/>
    <n v="16"/>
  </r>
  <r>
    <x v="0"/>
    <x v="2"/>
    <x v="0"/>
    <n v="60765823000130"/>
    <x v="49"/>
    <s v="SÃO PAULO"/>
    <s v="SP"/>
    <x v="0"/>
    <s v="CLAUDIA BUENO (SPC/SPI)"/>
    <n v="62"/>
    <x v="3"/>
    <s v="HOSPITAL ISRAELITA ALBERTEINSTEIN - SÃO PAULO - SP - 60.765.823/0001-30"/>
    <n v="70"/>
  </r>
  <r>
    <x v="0"/>
    <x v="2"/>
    <x v="0"/>
    <n v="60765823000130"/>
    <x v="49"/>
    <s v="SÃO PAULO"/>
    <s v="SP"/>
    <x v="0"/>
    <s v="CLAUDIA BUENO (SPC/SPI)"/>
    <n v="64"/>
    <x v="2"/>
    <s v="HOSPITAL ISRAELITA ALBERTEINSTEIN - SÃO PAULO - SP - 60.765.823/0001-30"/>
    <n v="30"/>
  </r>
  <r>
    <x v="0"/>
    <x v="2"/>
    <x v="0"/>
    <n v="60765823000130"/>
    <x v="49"/>
    <s v="SÃO PAULO"/>
    <s v="SP"/>
    <x v="0"/>
    <s v="CLAUDIA BUENO (SPC/SPI)"/>
    <n v="73"/>
    <x v="1"/>
    <s v="HOSPITAL ISRAELITA ALBERTEINSTEIN - SÃO PAULO - SP - 60.765.823/0001-30"/>
    <n v="130"/>
  </r>
  <r>
    <x v="0"/>
    <x v="2"/>
    <x v="0"/>
    <n v="60884855000316"/>
    <x v="26"/>
    <s v="SÃO PAULO"/>
    <s v="SP"/>
    <x v="0"/>
    <s v="CLAUDIA BUENO (SPC/SPI)"/>
    <n v="62"/>
    <x v="3"/>
    <s v="HOSPITAL 9 DE JULHO - SÃO PAULO - SP - 60.884.855/0003-16"/>
    <n v="19"/>
  </r>
  <r>
    <x v="0"/>
    <x v="2"/>
    <x v="0"/>
    <n v="60884855000316"/>
    <x v="26"/>
    <s v="SÃO PAULO"/>
    <s v="SP"/>
    <x v="0"/>
    <s v="CLAUDIA BUENO (SPC/SPI)"/>
    <n v="64"/>
    <x v="2"/>
    <s v="HOSPITAL 9 DE JULHO - SÃO PAULO - SP - 60.884.855/0003-16"/>
    <n v="14"/>
  </r>
  <r>
    <x v="0"/>
    <x v="2"/>
    <x v="0"/>
    <n v="60884855000316"/>
    <x v="26"/>
    <s v="SÃO PAULO"/>
    <s v="SP"/>
    <x v="0"/>
    <s v="CLAUDIA BUENO (SPC/SPI)"/>
    <n v="73"/>
    <x v="1"/>
    <s v="HOSPITAL 9 DE JULHO - SÃO PAULO - SP - 60.884.855/0003-16"/>
    <n v="24"/>
  </r>
  <r>
    <x v="0"/>
    <x v="2"/>
    <x v="0"/>
    <n v="60922168000771"/>
    <x v="27"/>
    <s v="SÃO PAULO"/>
    <s v="SP"/>
    <x v="0"/>
    <s v="CLAUDIA BUENO (SPC/SPI)"/>
    <n v="62"/>
    <x v="3"/>
    <s v="HOSPITAL SANTA CATARINA - SÃO PAULO - SP - 60.922.168/0007-71"/>
    <n v="4"/>
  </r>
  <r>
    <x v="0"/>
    <x v="2"/>
    <x v="0"/>
    <n v="60922168000771"/>
    <x v="27"/>
    <s v="SÃO PAULO"/>
    <s v="SP"/>
    <x v="0"/>
    <s v="CLAUDIA BUENO (SPC/SPI)"/>
    <n v="73"/>
    <x v="1"/>
    <s v="HOSPITAL SANTA CATARINA - SÃO PAULO - SP - 60.922.168/0007-71"/>
    <n v="23"/>
  </r>
  <r>
    <x v="0"/>
    <x v="2"/>
    <x v="0"/>
    <n v="60961422000155"/>
    <x v="29"/>
    <s v="SÃO PAULO"/>
    <s v="SP"/>
    <x v="0"/>
    <s v="CLAUDIA BUENO (SPC/SPI)"/>
    <n v="62"/>
    <x v="3"/>
    <s v="SEPACO - SÃO PAULO - SP - 60.961.422/0001-55"/>
    <n v="8"/>
  </r>
  <r>
    <x v="0"/>
    <x v="2"/>
    <x v="0"/>
    <n v="60961422000155"/>
    <x v="29"/>
    <s v="SÃO PAULO"/>
    <s v="SP"/>
    <x v="0"/>
    <s v="CLAUDIA BUENO (SPC/SPI)"/>
    <n v="64"/>
    <x v="2"/>
    <s v="SEPACO - SÃO PAULO - SP - 60.961.422/0001-55"/>
    <n v="6"/>
  </r>
  <r>
    <x v="0"/>
    <x v="2"/>
    <x v="0"/>
    <n v="60961422000155"/>
    <x v="29"/>
    <s v="SÃO PAULO"/>
    <s v="SP"/>
    <x v="0"/>
    <s v="CLAUDIA BUENO (SPC/SPI)"/>
    <n v="66"/>
    <x v="4"/>
    <s v="SEPACO - SÃO PAULO - SP - 60.961.422/0001-55"/>
    <n v="4"/>
  </r>
  <r>
    <x v="0"/>
    <x v="2"/>
    <x v="0"/>
    <n v="60961968000106"/>
    <x v="30"/>
    <s v="SÃO PAULO"/>
    <s v="SP"/>
    <x v="0"/>
    <s v="CLAUDIA BUENO (SPC/SPI)"/>
    <n v="62"/>
    <x v="3"/>
    <s v="A.C.CAMARGO CANCER CENTER - SÃO PAULO - SP - 60.961.968/0001-06"/>
    <n v="5"/>
  </r>
  <r>
    <x v="0"/>
    <x v="2"/>
    <x v="0"/>
    <n v="60961968000106"/>
    <x v="30"/>
    <s v="SÃO PAULO"/>
    <s v="SP"/>
    <x v="0"/>
    <s v="CLAUDIA BUENO (SPC/SPI)"/>
    <n v="64"/>
    <x v="2"/>
    <s v="A.C.CAMARGO CANCER CENTER - SÃO PAULO - SP - 60.961.968/0001-06"/>
    <n v="40"/>
  </r>
  <r>
    <x v="0"/>
    <x v="2"/>
    <x v="0"/>
    <n v="60961968000459"/>
    <x v="60"/>
    <s v="SÃO PAULO"/>
    <s v="SP"/>
    <x v="0"/>
    <s v="CLAUDIA BUENO (SPC/SPI)"/>
    <n v="64"/>
    <x v="2"/>
    <s v="HOSPITAL A.C.CAMARGO - TAMANDARE - SÃO PAULO - SP - 60.961.968/0004-59"/>
    <n v="15"/>
  </r>
  <r>
    <x v="0"/>
    <x v="2"/>
    <x v="0"/>
    <n v="60975737001204"/>
    <x v="80"/>
    <s v="SÃO PAULO"/>
    <s v="SP"/>
    <x v="0"/>
    <s v="CLAUDIA BUENO (SPC/SPI)"/>
    <n v="64"/>
    <x v="2"/>
    <s v="HOSPITAL SAO CAMILO - SANTANA - SÃO PAULO - SP - 60.975.737/0012-04"/>
    <n v="13"/>
  </r>
  <r>
    <x v="0"/>
    <x v="2"/>
    <x v="0"/>
    <n v="60992427000650"/>
    <x v="86"/>
    <s v="SÃO PAULO"/>
    <s v="SP"/>
    <x v="0"/>
    <s v="CLAUDIA BUENO (SPC/SPI)"/>
    <n v="62"/>
    <x v="3"/>
    <s v="BENEFICENCIA NIPO BRASILEIRA DE SAO PAULO - SÃO PAULO - SP - 60.992.427/0006-50"/>
    <n v="3"/>
  </r>
  <r>
    <x v="0"/>
    <x v="2"/>
    <x v="0"/>
    <n v="60992427000650"/>
    <x v="86"/>
    <s v="SÃO PAULO"/>
    <s v="SP"/>
    <x v="0"/>
    <s v="CLAUDIA BUENO (SPC/SPI)"/>
    <n v="64"/>
    <x v="2"/>
    <s v="BENEFICENCIA NIPO BRASILEIRA DE SAO PAULO - SÃO PAULO - SP - 60.992.427/0006-50"/>
    <n v="1"/>
  </r>
  <r>
    <x v="0"/>
    <x v="2"/>
    <x v="0"/>
    <n v="61062212000198"/>
    <x v="87"/>
    <s v="SÃO PAULO"/>
    <s v="SP"/>
    <x v="0"/>
    <s v="CLAUDIA BUENO (SPC/SPI)"/>
    <n v="62"/>
    <x v="3"/>
    <s v="HOSPITAL PROFESSOR EDMUNDO VASCONCELOS - SÃO PAULO - SP - 61.062.212/0001-98"/>
    <n v="4"/>
  </r>
  <r>
    <x v="0"/>
    <x v="2"/>
    <x v="0"/>
    <n v="61213674000240"/>
    <x v="32"/>
    <s v="SÃO PAULO"/>
    <s v="SP"/>
    <x v="0"/>
    <s v="CLAUDIA BUENO (SPC/SPI)"/>
    <n v="62"/>
    <x v="3"/>
    <s v="HOSPITAL INFANTIL SABARA - SÃO PAULO - SP - 61.213.674/0002-40"/>
    <n v="2"/>
  </r>
  <r>
    <x v="0"/>
    <x v="2"/>
    <x v="0"/>
    <n v="61213674000240"/>
    <x v="32"/>
    <s v="SÃO PAULO"/>
    <s v="SP"/>
    <x v="0"/>
    <s v="CLAUDIA BUENO (SPC/SPI)"/>
    <n v="64"/>
    <x v="2"/>
    <s v="HOSPITAL INFANTIL SABARA - SÃO PAULO - SP - 61.213.674/0002-40"/>
    <n v="1"/>
  </r>
  <r>
    <x v="0"/>
    <x v="2"/>
    <x v="0"/>
    <n v="61213674000240"/>
    <x v="32"/>
    <s v="SÃO PAULO"/>
    <s v="SP"/>
    <x v="0"/>
    <s v="CLAUDIA BUENO (SPC/SPI)"/>
    <n v="73"/>
    <x v="1"/>
    <s v="HOSPITAL INFANTIL SABARA - SÃO PAULO - SP - 61.213.674/0002-40"/>
    <n v="113"/>
  </r>
  <r>
    <x v="0"/>
    <x v="2"/>
    <x v="0"/>
    <n v="61590410000124"/>
    <x v="33"/>
    <s v="SÃO PAULO"/>
    <s v="SP"/>
    <x v="0"/>
    <s v="CLAUDIA BUENO (SPC/SPI)"/>
    <n v="62"/>
    <x v="3"/>
    <s v="SOC BENEFICIENTE DE SENHORAS HOSPITAL SIRIO LIBANES - SÃO PAULO - SP - 61.590.410/0001-24"/>
    <n v="56"/>
  </r>
  <r>
    <x v="0"/>
    <x v="2"/>
    <x v="0"/>
    <n v="61590410000124"/>
    <x v="33"/>
    <s v="SÃO PAULO"/>
    <s v="SP"/>
    <x v="0"/>
    <s v="CLAUDIA BUENO (SPC/SPI)"/>
    <n v="64"/>
    <x v="2"/>
    <s v="SOC BENEFICIENTE DE SENHORAS HOSPITAL SIRIO LIBANES - SÃO PAULO - SP - 61.590.410/0001-24"/>
    <n v="16"/>
  </r>
  <r>
    <x v="0"/>
    <x v="2"/>
    <x v="0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50"/>
  </r>
  <r>
    <x v="0"/>
    <x v="2"/>
    <x v="0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150"/>
  </r>
  <r>
    <x v="0"/>
    <x v="2"/>
    <x v="0"/>
    <n v="72775745000133"/>
    <x v="88"/>
    <s v="SÃO PAULO"/>
    <s v="SP"/>
    <x v="0"/>
    <s v="CLAUDIA BUENO (SPC/SPI)"/>
    <n v="62"/>
    <x v="3"/>
    <s v="HOSPITAL AVICCENA S/A - SÃO PAULO - SP - 72.775.745/0001-33"/>
    <n v="15"/>
  </r>
  <r>
    <x v="0"/>
    <x v="2"/>
    <x v="0"/>
    <n v="72775745000133"/>
    <x v="88"/>
    <s v="SÃO PAULO"/>
    <s v="SP"/>
    <x v="0"/>
    <s v="CLAUDIA BUENO (SPC/SPI)"/>
    <n v="64"/>
    <x v="2"/>
    <s v="HOSPITAL AVICCENA S/A - SÃO PAULO - SP - 72.775.745/0001-33"/>
    <n v="15"/>
  </r>
  <r>
    <x v="0"/>
    <x v="3"/>
    <x v="1"/>
    <n v="461479001054"/>
    <x v="51"/>
    <s v="SÃO PAULO"/>
    <s v="SP"/>
    <x v="0"/>
    <s v="CLAUDIA BUENO (SPC/SPI)"/>
    <n v="64"/>
    <x v="2"/>
    <s v="HOSPITAL SANCTA MAGGIORE PARAISO - SÃO PAULO - SP - 00.461.479/0010-54"/>
    <n v="5"/>
  </r>
  <r>
    <x v="0"/>
    <x v="3"/>
    <x v="1"/>
    <n v="603226000187"/>
    <x v="89"/>
    <s v="SÃO PAULO"/>
    <s v="SP"/>
    <x v="0"/>
    <s v="CLAUDIA BUENO (SPC/SPI)"/>
    <n v="73"/>
    <x v="1"/>
    <s v="HOME HEALTH CARE DOCTOR SERVICOS MEDICOS DOMICILIARES S/S LTDA - SÃO PAULO - SP - 00.603.226/0001-87"/>
    <n v="28"/>
  </r>
  <r>
    <x v="0"/>
    <x v="3"/>
    <x v="1"/>
    <n v="2383508000494"/>
    <x v="1"/>
    <s v="SÃO PAULO"/>
    <s v="SP"/>
    <x v="0"/>
    <s v="CLAUDIA BUENO (SPC/SPI)"/>
    <n v="73"/>
    <x v="1"/>
    <s v="CENTRAL CLINIC - SÃO PAULO - SP - 02.383.508/0004-94"/>
    <n v="43"/>
  </r>
  <r>
    <x v="0"/>
    <x v="3"/>
    <x v="1"/>
    <n v="2837922000183"/>
    <x v="63"/>
    <s v="SÃO PAULO"/>
    <s v="SP"/>
    <x v="0"/>
    <s v="CLAUDIA BUENO (SPC/SPI)"/>
    <n v="73"/>
    <x v="1"/>
    <s v="PRONEP SAO PAULO - SÃO PAULO - SP - 02.837.922/0001-83"/>
    <n v="100"/>
  </r>
  <r>
    <x v="0"/>
    <x v="3"/>
    <x v="1"/>
    <n v="3872790000193"/>
    <x v="64"/>
    <s v="SÃO PAULO"/>
    <s v="SP"/>
    <x v="0"/>
    <s v="CLAUDIA BUENO (SPC/SPI)"/>
    <n v="73"/>
    <x v="1"/>
    <s v="GLOBAL CARE ASSISTENCIA DOMICILIAR LTDA - SÃO PAULO - SP - 03.872.790/0001-93"/>
    <n v="12"/>
  </r>
  <r>
    <x v="0"/>
    <x v="3"/>
    <x v="1"/>
    <n v="6047087000210"/>
    <x v="66"/>
    <s v="SÃO PAULO"/>
    <s v="SP"/>
    <x v="0"/>
    <s v="CLAUDIA BUENO (SPC/SPI)"/>
    <n v="62"/>
    <x v="3"/>
    <s v="SAO LUIZ UNIDADE ITAIM (REDE DOR) - SÃO PAULO - SP - 06.047.087/0002-10"/>
    <n v="69"/>
  </r>
  <r>
    <x v="0"/>
    <x v="3"/>
    <x v="1"/>
    <n v="6047087000210"/>
    <x v="66"/>
    <s v="SÃO PAULO"/>
    <s v="SP"/>
    <x v="0"/>
    <s v="CLAUDIA BUENO (SPC/SPI)"/>
    <n v="64"/>
    <x v="2"/>
    <s v="SAO LUIZ UNIDADE ITAIM (REDE DOR) - SÃO PAULO - SP - 06.047.087/0002-10"/>
    <n v="60"/>
  </r>
  <r>
    <x v="0"/>
    <x v="3"/>
    <x v="1"/>
    <n v="7045325000130"/>
    <x v="4"/>
    <s v="SÃO PAULO"/>
    <s v="SP"/>
    <x v="0"/>
    <s v="CLAUDIA BUENO (SPC/SPI)"/>
    <n v="73"/>
    <x v="1"/>
    <s v="SAHA SERVICOS MEDICOS E HOSPITALARES LTDA. - SÃO PAULO - SP - 07.045.325/0001-30"/>
    <n v="88"/>
  </r>
  <r>
    <x v="0"/>
    <x v="3"/>
    <x v="1"/>
    <n v="9087150000159"/>
    <x v="90"/>
    <s v="SÃO PAULO"/>
    <s v="SP"/>
    <x v="0"/>
    <s v="CLAUDIA BUENO (SPC/SPI)"/>
    <n v="73"/>
    <x v="1"/>
    <s v="VIP HOME CARE ATENDIMENTO DOMICILIAR LTDA - SÃO PAULO - SP - 09.087.150/0001-59"/>
    <n v="11"/>
  </r>
  <r>
    <x v="0"/>
    <x v="3"/>
    <x v="1"/>
    <n v="10323381000101"/>
    <x v="70"/>
    <s v="SÃO PAULO"/>
    <s v="SP"/>
    <x v="0"/>
    <s v="CLAUDIA BUENO (SPC/SPI)"/>
    <n v="73"/>
    <x v="1"/>
    <s v="EV CITI - SÃO PAULO - SP - 10.323.381/0001-01"/>
    <n v="2"/>
  </r>
  <r>
    <x v="0"/>
    <x v="3"/>
    <x v="1"/>
    <n v="10468341000140"/>
    <x v="9"/>
    <s v="SÃO PAULO"/>
    <s v="SP"/>
    <x v="0"/>
    <s v="CLAUDIA BUENO (SPC/SPI)"/>
    <n v="73"/>
    <x v="1"/>
    <s v="CRETA - CENTRO REUMATOLOGICO DE TERAPIA AVANCADA LTDA. - ME - SÃO PAULO - SP - 10.468.341/0001-40"/>
    <n v="12"/>
  </r>
  <r>
    <x v="0"/>
    <x v="3"/>
    <x v="1"/>
    <n v="10468341000220"/>
    <x v="10"/>
    <s v="SÃO PAULO"/>
    <s v="SP"/>
    <x v="0"/>
    <s v="CLAUDIA BUENO (SPC/SPI)"/>
    <n v="73"/>
    <x v="1"/>
    <s v="CRETA - CENTRO REUMATOLOGICO DE TERAPIA AVANCADA LTDA - SÃO PAULO - SP - 10.468.341/0002-20"/>
    <n v="24"/>
  </r>
  <r>
    <x v="0"/>
    <x v="3"/>
    <x v="1"/>
    <n v="19056055000141"/>
    <x v="79"/>
    <s v="SÃO PAULO"/>
    <s v="SP"/>
    <x v="0"/>
    <s v="CLAUDIA BUENO (SPC/SPI)"/>
    <n v="62"/>
    <x v="3"/>
    <s v="HOSPITAL MORIAH - SÃO PAULO - SP - 19.056.055/0001-41"/>
    <n v="15"/>
  </r>
  <r>
    <x v="0"/>
    <x v="3"/>
    <x v="1"/>
    <n v="20812223000241"/>
    <x v="73"/>
    <s v="SÃO PAULO"/>
    <s v="SP"/>
    <x v="0"/>
    <s v="CLAUDIA BUENO (SPC/SPI)"/>
    <n v="73"/>
    <x v="1"/>
    <s v="SR CARE ASSISTENCIA DOMICILIAR LTDA - SÃO PAULO - SP - 20.812.223/0002-41"/>
    <n v="30"/>
  </r>
  <r>
    <x v="0"/>
    <x v="3"/>
    <x v="1"/>
    <n v="21371777000132"/>
    <x v="13"/>
    <s v="SÃO PAULO"/>
    <s v="SP"/>
    <x v="0"/>
    <s v="CLAUDIA BUENO (SPC/SPI)"/>
    <n v="62"/>
    <x v="3"/>
    <s v="HOSPITAL BANDEIRANTES LTDA  - SÃO PAULO - SP - 21.371.777/0001-32"/>
    <n v="33"/>
  </r>
  <r>
    <x v="0"/>
    <x v="3"/>
    <x v="1"/>
    <n v="28290788000137"/>
    <x v="74"/>
    <s v="SÃO PAULO"/>
    <s v="SP"/>
    <x v="0"/>
    <s v="CLAUDIA BUENO (SPC/SPI)"/>
    <n v="64"/>
    <x v="2"/>
    <s v="HOSPITAL VILA NOVA STAR - SÃO PAULO - SP - 28.290.788/0001-37"/>
    <n v="14"/>
  </r>
  <r>
    <x v="0"/>
    <x v="3"/>
    <x v="1"/>
    <n v="29435005002687"/>
    <x v="14"/>
    <s v="SÃO PAULO"/>
    <s v="SP"/>
    <x v="0"/>
    <s v="CLAUDIA BUENO (SPC/SPI)"/>
    <n v="64"/>
    <x v="2"/>
    <s v="HOSPITAL PAULISTANO - SÃO PAULO - SP - 29.435.005/0026-87"/>
    <n v="5"/>
  </r>
  <r>
    <x v="0"/>
    <x v="3"/>
    <x v="1"/>
    <n v="29435005009932"/>
    <x v="16"/>
    <s v="SÃO PAULO"/>
    <s v="SP"/>
    <x v="0"/>
    <s v="CLAUDIA BUENO (SPC/SPI)"/>
    <n v="62"/>
    <x v="3"/>
    <s v="ESHO EMPRESA DE SERVICOS HOSPITALARES S.A - SÃO PAULO - SP - 29.435.005/0099-32"/>
    <n v="30"/>
  </r>
  <r>
    <x v="0"/>
    <x v="3"/>
    <x v="1"/>
    <n v="44649812005520"/>
    <x v="18"/>
    <s v="SÃO PAULO"/>
    <s v="SP"/>
    <x v="0"/>
    <s v="CLAUDIA BUENO (SPC/SPI)"/>
    <n v="73"/>
    <x v="1"/>
    <s v="INTERMEDICA SISTEMA DE SAUDE - SÃO PAULO - SP - 44.649.812/0055-20"/>
    <n v="52"/>
  </r>
  <r>
    <x v="0"/>
    <x v="3"/>
    <x v="1"/>
    <n v="51722957010226"/>
    <x v="19"/>
    <s v="SÃO PAULO"/>
    <s v="SP"/>
    <x v="0"/>
    <s v="CLAUDIA BUENO (SPC/SPI)"/>
    <n v="73"/>
    <x v="1"/>
    <s v="AMICO SAUDE LTDA - SÃO PAULO - SP - 51.722.957/0102-26"/>
    <n v="3"/>
  </r>
  <r>
    <x v="0"/>
    <x v="3"/>
    <x v="1"/>
    <n v="56577059000606"/>
    <x v="75"/>
    <s v="SÃO PAULO"/>
    <s v="SP"/>
    <x v="0"/>
    <s v="CLAUDIA BUENO (SPC/SPI)"/>
    <n v="64"/>
    <x v="2"/>
    <s v="INSTITUTO DO CANCER DO ESTADO DE SAO PAULO - SÃO PAULO - SP - 56.577.059/0006-06"/>
    <n v="30"/>
  </r>
  <r>
    <x v="0"/>
    <x v="3"/>
    <x v="1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66"/>
  </r>
  <r>
    <x v="0"/>
    <x v="3"/>
    <x v="1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70"/>
  </r>
  <r>
    <x v="0"/>
    <x v="3"/>
    <x v="1"/>
    <n v="60453024000390"/>
    <x v="77"/>
    <s v="SÃO PAULO"/>
    <s v="SP"/>
    <x v="0"/>
    <s v="CLAUDIA BUENO (SPC/SPI)"/>
    <n v="62"/>
    <x v="3"/>
    <s v="HOSPITAL DO CORACAO - SÃO PAULO - SP - 60.453.024/0003-90"/>
    <n v="30"/>
  </r>
  <r>
    <x v="0"/>
    <x v="3"/>
    <x v="1"/>
    <n v="60453024000390"/>
    <x v="77"/>
    <s v="SÃO PAULO"/>
    <s v="SP"/>
    <x v="0"/>
    <s v="CLAUDIA BUENO (SPC/SPI)"/>
    <n v="64"/>
    <x v="2"/>
    <s v="HOSPITAL DO CORACAO - SÃO PAULO - SP - 60.453.024/0003-90"/>
    <n v="13"/>
  </r>
  <r>
    <x v="0"/>
    <x v="3"/>
    <x v="1"/>
    <n v="60678604000113"/>
    <x v="40"/>
    <s v="SÃO PAULO"/>
    <s v="SP"/>
    <x v="0"/>
    <s v="CLAUDIA BUENO (SPC/SPI)"/>
    <n v="62"/>
    <x v="3"/>
    <s v="HOSPITAL E MATERNIDADE SANTA JOANA S/A - SÃO PAULO - SP - 60.678.604/0001-13"/>
    <n v="56"/>
  </r>
  <r>
    <x v="0"/>
    <x v="3"/>
    <x v="1"/>
    <n v="60678604000113"/>
    <x v="40"/>
    <s v="SÃO PAULO"/>
    <s v="SP"/>
    <x v="0"/>
    <s v="CLAUDIA BUENO (SPC/SPI)"/>
    <n v="64"/>
    <x v="2"/>
    <s v="HOSPITAL E MATERNIDADE SANTA JOANA S/A - SÃO PAULO - SP - 60.678.604/0001-13"/>
    <n v="1"/>
  </r>
  <r>
    <x v="0"/>
    <x v="3"/>
    <x v="1"/>
    <n v="60726502000126"/>
    <x v="24"/>
    <s v="SÃO PAULO"/>
    <s v="SP"/>
    <x v="0"/>
    <s v="CLAUDIA BUENO (SPC/SPI)"/>
    <n v="62"/>
    <x v="3"/>
    <s v="HOSPITAL ALEMAO OSWALDO CRUZ - SÃO PAULO - SP - 60.726.502/0001-26"/>
    <n v="10"/>
  </r>
  <r>
    <x v="0"/>
    <x v="3"/>
    <x v="1"/>
    <n v="60726502000126"/>
    <x v="24"/>
    <s v="SÃO PAULO"/>
    <s v="SP"/>
    <x v="0"/>
    <s v="CLAUDIA BUENO (SPC/SPI)"/>
    <n v="64"/>
    <x v="2"/>
    <s v="HOSPITAL ALEMAO OSWALDO CRUZ - SÃO PAULO - SP - 60.726.502/0001-26"/>
    <n v="10"/>
  </r>
  <r>
    <x v="0"/>
    <x v="3"/>
    <x v="1"/>
    <n v="60726502000711"/>
    <x v="78"/>
    <s v="SÃO PAULO"/>
    <s v="SP"/>
    <x v="0"/>
    <s v="CLAUDIA BUENO (SPC/SPI)"/>
    <n v="62"/>
    <x v="3"/>
    <s v="HOSPITAL ALEMAO OSWALDO CRUZ - SÃO PAULO - SP - 60.726.502/0007-11"/>
    <n v="4"/>
  </r>
  <r>
    <x v="0"/>
    <x v="3"/>
    <x v="1"/>
    <n v="60765823000130"/>
    <x v="49"/>
    <s v="SÃO PAULO"/>
    <s v="SP"/>
    <x v="0"/>
    <s v="CLAUDIA BUENO (SPC/SPI)"/>
    <n v="62"/>
    <x v="3"/>
    <s v="HOSPITAL ISRAELITA ALBERTEINSTEIN - SÃO PAULO - SP - 60.765.823/0001-30"/>
    <n v="60"/>
  </r>
  <r>
    <x v="0"/>
    <x v="3"/>
    <x v="1"/>
    <n v="60884855000316"/>
    <x v="26"/>
    <s v="SÃO PAULO"/>
    <s v="SP"/>
    <x v="0"/>
    <s v="CLAUDIA BUENO (SPC/SPI)"/>
    <n v="62"/>
    <x v="3"/>
    <s v="HOSPITAL 9 DE JULHO - SÃO PAULO - SP - 60.884.855/0003-16"/>
    <n v="8"/>
  </r>
  <r>
    <x v="0"/>
    <x v="3"/>
    <x v="1"/>
    <n v="60884855000316"/>
    <x v="26"/>
    <s v="SÃO PAULO"/>
    <s v="SP"/>
    <x v="0"/>
    <s v="CLAUDIA BUENO (SPC/SPI)"/>
    <n v="73"/>
    <x v="1"/>
    <s v="HOSPITAL 9 DE JULHO - SÃO PAULO - SP - 60.884.855/0003-16"/>
    <n v="40"/>
  </r>
  <r>
    <x v="0"/>
    <x v="3"/>
    <x v="1"/>
    <n v="60922168000771"/>
    <x v="27"/>
    <s v="SÃO PAULO"/>
    <s v="SP"/>
    <x v="0"/>
    <s v="CLAUDIA BUENO (SPC/SPI)"/>
    <n v="62"/>
    <x v="3"/>
    <s v="HOSPITAL SANTA CATARINA - SÃO PAULO - SP - 60.922.168/0007-71"/>
    <n v="21"/>
  </r>
  <r>
    <x v="0"/>
    <x v="3"/>
    <x v="1"/>
    <n v="60922168000771"/>
    <x v="27"/>
    <s v="SÃO PAULO"/>
    <s v="SP"/>
    <x v="0"/>
    <s v="CLAUDIA BUENO (SPC/SPI)"/>
    <n v="73"/>
    <x v="1"/>
    <s v="HOSPITAL SANTA CATARINA - SÃO PAULO - SP - 60.922.168/0007-71"/>
    <n v="22"/>
  </r>
  <r>
    <x v="0"/>
    <x v="3"/>
    <x v="1"/>
    <n v="60961422000155"/>
    <x v="29"/>
    <s v="SÃO PAULO"/>
    <s v="SP"/>
    <x v="0"/>
    <s v="CLAUDIA BUENO (SPC/SPI)"/>
    <n v="62"/>
    <x v="3"/>
    <s v="SEPACO - SÃO PAULO - SP - 60.961.422/0001-55"/>
    <n v="13"/>
  </r>
  <r>
    <x v="0"/>
    <x v="3"/>
    <x v="1"/>
    <n v="60961422000155"/>
    <x v="29"/>
    <s v="SÃO PAULO"/>
    <s v="SP"/>
    <x v="0"/>
    <s v="CLAUDIA BUENO (SPC/SPI)"/>
    <n v="64"/>
    <x v="2"/>
    <s v="SEPACO - SÃO PAULO - SP - 60.961.422/0001-55"/>
    <n v="3"/>
  </r>
  <r>
    <x v="0"/>
    <x v="3"/>
    <x v="1"/>
    <n v="60975737001204"/>
    <x v="80"/>
    <s v="SÃO PAULO"/>
    <s v="SP"/>
    <x v="0"/>
    <s v="CLAUDIA BUENO (SPC/SPI)"/>
    <n v="62"/>
    <x v="3"/>
    <s v="HOSPITAL SAO CAMILO - SANTANA - SÃO PAULO - SP - 60.975.737/0012-04"/>
    <n v="4"/>
  </r>
  <r>
    <x v="0"/>
    <x v="3"/>
    <x v="1"/>
    <n v="60975737001204"/>
    <x v="80"/>
    <s v="SÃO PAULO"/>
    <s v="SP"/>
    <x v="0"/>
    <s v="CLAUDIA BUENO (SPC/SPI)"/>
    <n v="64"/>
    <x v="2"/>
    <s v="HOSPITAL SAO CAMILO - SANTANA - SÃO PAULO - SP - 60.975.737/0012-04"/>
    <n v="10"/>
  </r>
  <r>
    <x v="0"/>
    <x v="3"/>
    <x v="1"/>
    <n v="60992427000650"/>
    <x v="86"/>
    <s v="SÃO PAULO"/>
    <s v="SP"/>
    <x v="0"/>
    <s v="CLAUDIA BUENO (SPC/SPI)"/>
    <n v="62"/>
    <x v="3"/>
    <s v="BENEFICENCIA NIPO BRASILEIRA DE SAO PAULO - SÃO PAULO - SP - 60.992.427/0006-50"/>
    <n v="0"/>
  </r>
  <r>
    <x v="0"/>
    <x v="3"/>
    <x v="1"/>
    <n v="61213674000240"/>
    <x v="32"/>
    <s v="SÃO PAULO"/>
    <s v="SP"/>
    <x v="0"/>
    <s v="CLAUDIA BUENO (SPC/SPI)"/>
    <n v="62"/>
    <x v="3"/>
    <s v="HOSPITAL INFANTIL SABARA - SÃO PAULO - SP - 61.213.674/0002-40"/>
    <n v="3"/>
  </r>
  <r>
    <x v="0"/>
    <x v="3"/>
    <x v="1"/>
    <n v="61213674000240"/>
    <x v="32"/>
    <s v="SÃO PAULO"/>
    <s v="SP"/>
    <x v="0"/>
    <s v="CLAUDIA BUENO (SPC/SPI)"/>
    <n v="64"/>
    <x v="2"/>
    <s v="HOSPITAL INFANTIL SABARA - SÃO PAULO - SP - 61.213.674/0002-40"/>
    <n v="3"/>
  </r>
  <r>
    <x v="0"/>
    <x v="3"/>
    <x v="1"/>
    <n v="61213674000240"/>
    <x v="32"/>
    <s v="SÃO PAULO"/>
    <s v="SP"/>
    <x v="0"/>
    <s v="CLAUDIA BUENO (SPC/SPI)"/>
    <n v="73"/>
    <x v="1"/>
    <s v="HOSPITAL INFANTIL SABARA - SÃO PAULO - SP - 61.213.674/0002-40"/>
    <n v="97"/>
  </r>
  <r>
    <x v="0"/>
    <x v="3"/>
    <x v="1"/>
    <n v="61590410000124"/>
    <x v="33"/>
    <s v="SÃO PAULO"/>
    <s v="SP"/>
    <x v="0"/>
    <s v="CLAUDIA BUENO (SPC/SPI)"/>
    <n v="62"/>
    <x v="3"/>
    <s v="SOC BENEFICIENTE DE SENHORAS HOSPITAL SIRIO LIBANES - SÃO PAULO - SP - 61.590.410/0001-24"/>
    <n v="46"/>
  </r>
  <r>
    <x v="0"/>
    <x v="3"/>
    <x v="1"/>
    <n v="61590410000124"/>
    <x v="33"/>
    <s v="SÃO PAULO"/>
    <s v="SP"/>
    <x v="0"/>
    <s v="CLAUDIA BUENO (SPC/SPI)"/>
    <n v="64"/>
    <x v="2"/>
    <s v="SOC BENEFICIENTE DE SENHORAS HOSPITAL SIRIO LIBANES - SÃO PAULO - SP - 61.590.410/0001-24"/>
    <n v="26"/>
  </r>
  <r>
    <x v="0"/>
    <x v="3"/>
    <x v="1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72"/>
  </r>
  <r>
    <x v="0"/>
    <x v="3"/>
    <x v="1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27"/>
  </r>
  <r>
    <x v="0"/>
    <x v="3"/>
    <x v="1"/>
    <n v="62779145000190"/>
    <x v="56"/>
    <s v="SÃO PAULO"/>
    <s v="SP"/>
    <x v="0"/>
    <s v="CLAUDIA BUENO (SPC/SPI)"/>
    <n v="64"/>
    <x v="2"/>
    <s v="IRMANDADE DA SANTA CASA DE MISERICORDIA DE SAO PAULO - SÃO PAULO - SP - 62.779.145/0001-90"/>
    <n v="10"/>
  </r>
  <r>
    <x v="0"/>
    <x v="4"/>
    <x v="1"/>
    <n v="461479001054"/>
    <x v="51"/>
    <s v="SÃO PAULO"/>
    <s v="SP"/>
    <x v="0"/>
    <s v="CLAUDIA BUENO (SPC/SPI)"/>
    <n v="64"/>
    <x v="2"/>
    <s v="HOSPITAL SANCTA MAGGIORE PARAISO - SÃO PAULO - SP - 00.461.479/0010-54"/>
    <n v="8"/>
  </r>
  <r>
    <x v="0"/>
    <x v="4"/>
    <x v="1"/>
    <n v="603226000187"/>
    <x v="89"/>
    <s v="SÃO PAULO"/>
    <s v="SP"/>
    <x v="0"/>
    <s v="CLAUDIA BUENO (SPC/SPI)"/>
    <n v="73"/>
    <x v="1"/>
    <s v="HOME HEALTH CARE DOCTOR SERVICOS MEDICOS DOMICILIARES S/S LTDA - SÃO PAULO - SP - 00.603.226/0001-87"/>
    <n v="8"/>
  </r>
  <r>
    <x v="0"/>
    <x v="4"/>
    <x v="1"/>
    <n v="2383508000494"/>
    <x v="1"/>
    <s v="SÃO PAULO"/>
    <s v="SP"/>
    <x v="0"/>
    <s v="CLAUDIA BUENO (SPC/SPI)"/>
    <n v="73"/>
    <x v="1"/>
    <s v="CENTRAL CLINIC - SÃO PAULO - SP - 02.383.508/0004-94"/>
    <n v="17"/>
  </r>
  <r>
    <x v="0"/>
    <x v="4"/>
    <x v="1"/>
    <n v="2837922000183"/>
    <x v="63"/>
    <s v="SÃO PAULO"/>
    <s v="SP"/>
    <x v="0"/>
    <s v="CLAUDIA BUENO (SPC/SPI)"/>
    <n v="73"/>
    <x v="1"/>
    <s v="PRONEP SAO PAULO - SÃO PAULO - SP - 02.837.922/0001-83"/>
    <n v="100"/>
  </r>
  <r>
    <x v="0"/>
    <x v="4"/>
    <x v="1"/>
    <n v="3872790000193"/>
    <x v="64"/>
    <s v="SÃO PAULO"/>
    <s v="SP"/>
    <x v="0"/>
    <s v="CLAUDIA BUENO (SPC/SPI)"/>
    <n v="73"/>
    <x v="1"/>
    <s v="GLOBAL CARE ASSISTENCIA DOMICILIAR LTDA - SÃO PAULO - SP - 03.872.790/0001-93"/>
    <n v="4"/>
  </r>
  <r>
    <x v="0"/>
    <x v="4"/>
    <x v="1"/>
    <n v="8100676002455"/>
    <x v="7"/>
    <s v="SÃO PAULO"/>
    <s v="SP"/>
    <x v="0"/>
    <s v="CLAUDIA BUENO (SPC/SPI)"/>
    <n v="64"/>
    <x v="2"/>
    <s v="HOSPITAL ALVORADA TAGUATINGA LTDA - SÃO PAULO - SP - 08.100.676/0024-55"/>
    <n v="36"/>
  </r>
  <r>
    <x v="0"/>
    <x v="4"/>
    <x v="1"/>
    <n v="9087150000159"/>
    <x v="90"/>
    <s v="SÃO PAULO"/>
    <s v="SP"/>
    <x v="0"/>
    <s v="CLAUDIA BUENO (SPC/SPI)"/>
    <n v="73"/>
    <x v="1"/>
    <s v="VIP HOME CARE ATENDIMENTO DOMICILIAR LTDA - SÃO PAULO - SP - 09.087.150/0001-59"/>
    <n v="7"/>
  </r>
  <r>
    <x v="0"/>
    <x v="4"/>
    <x v="1"/>
    <n v="10468341000140"/>
    <x v="9"/>
    <s v="SÃO PAULO"/>
    <s v="SP"/>
    <x v="0"/>
    <s v="CLAUDIA BUENO (SPC/SPI)"/>
    <n v="73"/>
    <x v="1"/>
    <s v="CRETA - CENTRO REUMATOLOGICO DE TERAPIA AVANCADA LTDA. - ME - SÃO PAULO - SP - 10.468.341/0001-40"/>
    <n v="48"/>
  </r>
  <r>
    <x v="0"/>
    <x v="4"/>
    <x v="1"/>
    <n v="18180008000142"/>
    <x v="72"/>
    <s v="SÃO PAULO"/>
    <s v="SP"/>
    <x v="0"/>
    <s v="CLAUDIA BUENO (SPC/SPI)"/>
    <n v="62"/>
    <x v="3"/>
    <s v="ASSOCIACAO HOSPITALAR FILHAS DE NOSSA SENHORA DO MONTE CALVARIO - SÃO PAULO - SP - 18.180.008/0001-42"/>
    <n v="6"/>
  </r>
  <r>
    <x v="0"/>
    <x v="4"/>
    <x v="1"/>
    <n v="18180008000142"/>
    <x v="72"/>
    <s v="SÃO PAULO"/>
    <s v="SP"/>
    <x v="0"/>
    <s v="CLAUDIA BUENO (SPC/SPI)"/>
    <n v="64"/>
    <x v="2"/>
    <s v="ASSOCIACAO HOSPITALAR FILHAS DE NOSSA SENHORA DO MONTE CALVARIO - SÃO PAULO - SP - 18.180.008/0001-42"/>
    <n v="8"/>
  </r>
  <r>
    <x v="0"/>
    <x v="4"/>
    <x v="1"/>
    <n v="20812223000241"/>
    <x v="73"/>
    <s v="SÃO PAULO"/>
    <s v="SP"/>
    <x v="0"/>
    <s v="CLAUDIA BUENO (SPC/SPI)"/>
    <n v="73"/>
    <x v="1"/>
    <s v="SR CARE ASSISTENCIA DOMICILIAR LTDA - SÃO PAULO - SP - 20.812.223/0002-41"/>
    <n v="23"/>
  </r>
  <r>
    <x v="0"/>
    <x v="4"/>
    <x v="1"/>
    <n v="21371777000132"/>
    <x v="13"/>
    <s v="SÃO PAULO"/>
    <s v="SP"/>
    <x v="0"/>
    <s v="CLAUDIA BUENO (SPC/SPI)"/>
    <n v="62"/>
    <x v="3"/>
    <s v="HOSPITAL BANDEIRANTES LTDA  - SÃO PAULO - SP - 21.371.777/0001-32"/>
    <n v="10"/>
  </r>
  <r>
    <x v="0"/>
    <x v="4"/>
    <x v="1"/>
    <n v="29435005009932"/>
    <x v="16"/>
    <s v="SÃO PAULO"/>
    <s v="SP"/>
    <x v="0"/>
    <s v="CLAUDIA BUENO (SPC/SPI)"/>
    <n v="64"/>
    <x v="2"/>
    <s v="ESHO EMPRESA DE SERVICOS HOSPITALARES S.A - SÃO PAULO - SP - 29.435.005/0099-32"/>
    <n v="2"/>
  </r>
  <r>
    <x v="0"/>
    <x v="4"/>
    <x v="1"/>
    <n v="46124624002670"/>
    <x v="48"/>
    <s v="SÃO PAULO"/>
    <s v="SP"/>
    <x v="0"/>
    <s v="CLAUDIA BUENO (SPC/SPI)"/>
    <n v="73"/>
    <x v="1"/>
    <s v="UNIMED CAMPINAS COOPERATIVA DE TRABALHO MEDICO - SÃO PAULO - SP - 46.124.624/0026-70"/>
    <n v="240"/>
  </r>
  <r>
    <x v="0"/>
    <x v="4"/>
    <x v="1"/>
    <n v="46374500000941"/>
    <x v="91"/>
    <s v="SÃO PAULO"/>
    <s v="SP"/>
    <x v="0"/>
    <s v="CLAUDIA BUENO (SPC/SPI)"/>
    <n v="64"/>
    <x v="2"/>
    <s v="INSTITUTO DANTE PAZZANESE DE CARDIOLOGIA - SÃO PAULO - SP - 46.374.500/0009-41"/>
    <n v="24"/>
  </r>
  <r>
    <x v="0"/>
    <x v="4"/>
    <x v="1"/>
    <n v="51722957010226"/>
    <x v="19"/>
    <s v="SÃO PAULO"/>
    <s v="SP"/>
    <x v="0"/>
    <s v="CLAUDIA BUENO (SPC/SPI)"/>
    <n v="73"/>
    <x v="1"/>
    <s v="AMICO SAUDE LTDA - SÃO PAULO - SP - 51.722.957/0102-26"/>
    <n v="8"/>
  </r>
  <r>
    <x v="0"/>
    <x v="4"/>
    <x v="1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66"/>
  </r>
  <r>
    <x v="0"/>
    <x v="4"/>
    <x v="1"/>
    <n v="60448040000122"/>
    <x v="76"/>
    <s v="SÃO PAULO"/>
    <s v="SP"/>
    <x v="0"/>
    <s v="CLAUDIA BUENO (SPC/SPI)"/>
    <n v="73"/>
    <x v="1"/>
    <s v="HOSPITAL DAS CLINICAS DA FACULDADE DE MEDICINA DA U S P - SÃO PAULO - SP - 60.448.040/0001-22"/>
    <n v="40"/>
  </r>
  <r>
    <x v="0"/>
    <x v="4"/>
    <x v="1"/>
    <n v="60453024000390"/>
    <x v="77"/>
    <s v="SÃO PAULO"/>
    <s v="SP"/>
    <x v="0"/>
    <s v="CLAUDIA BUENO (SPC/SPI)"/>
    <n v="62"/>
    <x v="3"/>
    <s v="HOSPITAL DO CORACAO - SÃO PAULO - SP - 60.453.024/0003-90"/>
    <n v="33"/>
  </r>
  <r>
    <x v="0"/>
    <x v="4"/>
    <x v="1"/>
    <n v="60453024000390"/>
    <x v="77"/>
    <s v="SÃO PAULO"/>
    <s v="SP"/>
    <x v="0"/>
    <s v="CLAUDIA BUENO (SPC/SPI)"/>
    <n v="64"/>
    <x v="2"/>
    <s v="HOSPITAL DO CORACAO - SÃO PAULO - SP - 60.453.024/0003-90"/>
    <n v="11"/>
  </r>
  <r>
    <x v="0"/>
    <x v="4"/>
    <x v="1"/>
    <n v="60678604000113"/>
    <x v="40"/>
    <s v="SÃO PAULO"/>
    <s v="SP"/>
    <x v="0"/>
    <s v="CLAUDIA BUENO (SPC/SPI)"/>
    <n v="62"/>
    <x v="3"/>
    <s v="HOSPITAL E MATERNIDADE SANTA JOANA S/A - SÃO PAULO - SP - 60.678.604/0001-13"/>
    <n v="26"/>
  </r>
  <r>
    <x v="0"/>
    <x v="4"/>
    <x v="1"/>
    <n v="60678604000113"/>
    <x v="40"/>
    <s v="SÃO PAULO"/>
    <s v="SP"/>
    <x v="0"/>
    <s v="CLAUDIA BUENO (SPC/SPI)"/>
    <n v="64"/>
    <x v="2"/>
    <s v="HOSPITAL E MATERNIDADE SANTA JOANA S/A - SÃO PAULO - SP - 60.678.604/0001-13"/>
    <n v="1"/>
  </r>
  <r>
    <x v="0"/>
    <x v="4"/>
    <x v="1"/>
    <n v="60726502000126"/>
    <x v="24"/>
    <s v="SÃO PAULO"/>
    <s v="SP"/>
    <x v="0"/>
    <s v="CLAUDIA BUENO (SPC/SPI)"/>
    <n v="64"/>
    <x v="2"/>
    <s v="HOSPITAL ALEMAO OSWALDO CRUZ - SÃO PAULO - SP - 60.726.502/0001-26"/>
    <n v="3"/>
  </r>
  <r>
    <x v="0"/>
    <x v="4"/>
    <x v="1"/>
    <n v="60765823000130"/>
    <x v="49"/>
    <s v="SÃO PAULO"/>
    <s v="SP"/>
    <x v="0"/>
    <s v="CLAUDIA BUENO (SPC/SPI)"/>
    <n v="62"/>
    <x v="3"/>
    <s v="HOSPITAL ISRAELITA ALBERTEINSTEIN - SÃO PAULO - SP - 60.765.823/0001-30"/>
    <n v="200"/>
  </r>
  <r>
    <x v="0"/>
    <x v="4"/>
    <x v="1"/>
    <n v="60765823000130"/>
    <x v="49"/>
    <s v="SÃO PAULO"/>
    <s v="SP"/>
    <x v="0"/>
    <s v="CLAUDIA BUENO (SPC/SPI)"/>
    <n v="64"/>
    <x v="2"/>
    <s v="HOSPITAL ISRAELITA ALBERTEINSTEIN - SÃO PAULO - SP - 60.765.823/0001-30"/>
    <n v="40"/>
  </r>
  <r>
    <x v="0"/>
    <x v="4"/>
    <x v="1"/>
    <n v="60765823000130"/>
    <x v="49"/>
    <s v="SÃO PAULO"/>
    <s v="SP"/>
    <x v="0"/>
    <s v="CLAUDIA BUENO (SPC/SPI)"/>
    <n v="73"/>
    <x v="1"/>
    <s v="HOSPITAL ISRAELITA ALBERTEINSTEIN - SÃO PAULO - SP - 60.765.823/0001-30"/>
    <n v="130"/>
  </r>
  <r>
    <x v="0"/>
    <x v="4"/>
    <x v="1"/>
    <n v="60884855000316"/>
    <x v="26"/>
    <s v="SÃO PAULO"/>
    <s v="SP"/>
    <x v="0"/>
    <s v="CLAUDIA BUENO (SPC/SPI)"/>
    <n v="62"/>
    <x v="3"/>
    <s v="HOSPITAL 9 DE JULHO - SÃO PAULO - SP - 60.884.855/0003-16"/>
    <n v="5"/>
  </r>
  <r>
    <x v="0"/>
    <x v="4"/>
    <x v="1"/>
    <n v="60884855000316"/>
    <x v="26"/>
    <s v="SÃO PAULO"/>
    <s v="SP"/>
    <x v="0"/>
    <s v="CLAUDIA BUENO (SPC/SPI)"/>
    <n v="64"/>
    <x v="2"/>
    <s v="HOSPITAL 9 DE JULHO - SÃO PAULO - SP - 60.884.855/0003-16"/>
    <n v="6"/>
  </r>
  <r>
    <x v="0"/>
    <x v="4"/>
    <x v="1"/>
    <n v="60884855000316"/>
    <x v="26"/>
    <s v="SÃO PAULO"/>
    <s v="SP"/>
    <x v="0"/>
    <s v="CLAUDIA BUENO (SPC/SPI)"/>
    <n v="73"/>
    <x v="1"/>
    <s v="HOSPITAL 9 DE JULHO - SÃO PAULO - SP - 60.884.855/0003-16"/>
    <n v="48"/>
  </r>
  <r>
    <x v="0"/>
    <x v="4"/>
    <x v="1"/>
    <n v="60922168000771"/>
    <x v="27"/>
    <s v="SÃO PAULO"/>
    <s v="SP"/>
    <x v="0"/>
    <s v="CLAUDIA BUENO (SPC/SPI)"/>
    <n v="62"/>
    <x v="3"/>
    <s v="HOSPITAL SANTA CATARINA - SÃO PAULO - SP - 60.922.168/0007-71"/>
    <n v="13"/>
  </r>
  <r>
    <x v="0"/>
    <x v="4"/>
    <x v="1"/>
    <n v="60922168000771"/>
    <x v="27"/>
    <s v="SÃO PAULO"/>
    <s v="SP"/>
    <x v="0"/>
    <s v="CLAUDIA BUENO (SPC/SPI)"/>
    <n v="73"/>
    <x v="1"/>
    <s v="HOSPITAL SANTA CATARINA - SÃO PAULO - SP - 60.922.168/0007-71"/>
    <n v="6"/>
  </r>
  <r>
    <x v="0"/>
    <x v="4"/>
    <x v="1"/>
    <n v="60961422000155"/>
    <x v="29"/>
    <s v="SÃO PAULO"/>
    <s v="SP"/>
    <x v="0"/>
    <s v="CLAUDIA BUENO (SPC/SPI)"/>
    <n v="62"/>
    <x v="3"/>
    <s v="SEPACO - SÃO PAULO - SP - 60.961.422/0001-55"/>
    <n v="11"/>
  </r>
  <r>
    <x v="0"/>
    <x v="4"/>
    <x v="1"/>
    <n v="60961422000155"/>
    <x v="29"/>
    <s v="SÃO PAULO"/>
    <s v="SP"/>
    <x v="0"/>
    <s v="CLAUDIA BUENO (SPC/SPI)"/>
    <n v="64"/>
    <x v="2"/>
    <s v="SEPACO - SÃO PAULO - SP - 60.961.422/0001-55"/>
    <n v="4"/>
  </r>
  <r>
    <x v="0"/>
    <x v="4"/>
    <x v="1"/>
    <n v="60975737000232"/>
    <x v="83"/>
    <s v="SÃO PAULO"/>
    <s v="SP"/>
    <x v="0"/>
    <s v="CLAUDIA BUENO (SPC/SPI)"/>
    <n v="62"/>
    <x v="3"/>
    <s v="HOSPITAL SAO CAMILO - POMPEIA - SÃO PAULO - SP - 60.975.737/0002-32"/>
    <n v="8"/>
  </r>
  <r>
    <x v="0"/>
    <x v="4"/>
    <x v="1"/>
    <n v="60975737001204"/>
    <x v="80"/>
    <s v="SÃO PAULO"/>
    <s v="SP"/>
    <x v="0"/>
    <s v="CLAUDIA BUENO (SPC/SPI)"/>
    <n v="62"/>
    <x v="3"/>
    <s v="HOSPITAL SAO CAMILO - SANTANA - SÃO PAULO - SP - 60.975.737/0012-04"/>
    <n v="4"/>
  </r>
  <r>
    <x v="0"/>
    <x v="4"/>
    <x v="1"/>
    <n v="60975737005110"/>
    <x v="84"/>
    <s v="SÃO PAULO"/>
    <s v="SP"/>
    <x v="0"/>
    <s v="CLAUDIA BUENO (SPC/SPI)"/>
    <n v="62"/>
    <x v="3"/>
    <s v="HOSPITAL SAO CAMILO - IPIRANGA - SÃO PAULO - SP - 60.975.737/0051-10"/>
    <n v="2"/>
  </r>
  <r>
    <x v="0"/>
    <x v="4"/>
    <x v="1"/>
    <n v="60975737005110"/>
    <x v="84"/>
    <s v="SÃO PAULO"/>
    <s v="SP"/>
    <x v="0"/>
    <s v="CLAUDIA BUENO (SPC/SPI)"/>
    <n v="64"/>
    <x v="2"/>
    <s v="HOSPITAL SAO CAMILO - IPIRANGA - SÃO PAULO - SP - 60.975.737/0051-10"/>
    <n v="2"/>
  </r>
  <r>
    <x v="0"/>
    <x v="4"/>
    <x v="1"/>
    <n v="60992427000650"/>
    <x v="86"/>
    <s v="SÃO PAULO"/>
    <s v="SP"/>
    <x v="0"/>
    <s v="CLAUDIA BUENO (SPC/SPI)"/>
    <n v="64"/>
    <x v="2"/>
    <s v="BENEFICENCIA NIPO BRASILEIRA DE SAO PAULO - SÃO PAULO - SP - 60.992.427/0006-50"/>
    <n v="11"/>
  </r>
  <r>
    <x v="0"/>
    <x v="4"/>
    <x v="1"/>
    <n v="61213674000240"/>
    <x v="32"/>
    <s v="SÃO PAULO"/>
    <s v="SP"/>
    <x v="0"/>
    <s v="CLAUDIA BUENO (SPC/SPI)"/>
    <n v="62"/>
    <x v="3"/>
    <s v="HOSPITAL INFANTIL SABARA - SÃO PAULO - SP - 61.213.674/0002-40"/>
    <n v="16"/>
  </r>
  <r>
    <x v="0"/>
    <x v="4"/>
    <x v="1"/>
    <n v="61213674000240"/>
    <x v="32"/>
    <s v="SÃO PAULO"/>
    <s v="SP"/>
    <x v="0"/>
    <s v="CLAUDIA BUENO (SPC/SPI)"/>
    <n v="64"/>
    <x v="2"/>
    <s v="HOSPITAL INFANTIL SABARA - SÃO PAULO - SP - 61.213.674/0002-40"/>
    <n v="5"/>
  </r>
  <r>
    <x v="0"/>
    <x v="4"/>
    <x v="1"/>
    <n v="61213674000240"/>
    <x v="32"/>
    <s v="SÃO PAULO"/>
    <s v="SP"/>
    <x v="0"/>
    <s v="CLAUDIA BUENO (SPC/SPI)"/>
    <n v="73"/>
    <x v="1"/>
    <s v="HOSPITAL INFANTIL SABARA - SÃO PAULO - SP - 61.213.674/0002-40"/>
    <n v="110"/>
  </r>
  <r>
    <x v="0"/>
    <x v="4"/>
    <x v="1"/>
    <n v="61590410000124"/>
    <x v="33"/>
    <s v="SÃO PAULO"/>
    <s v="SP"/>
    <x v="0"/>
    <s v="CLAUDIA BUENO (SPC/SPI)"/>
    <n v="62"/>
    <x v="3"/>
    <s v="SOC BENEFICIENTE DE SENHORAS HOSPITAL SIRIO LIBANES - SÃO PAULO - SP - 61.590.410/0001-24"/>
    <n v="4"/>
  </r>
  <r>
    <x v="0"/>
    <x v="4"/>
    <x v="1"/>
    <n v="61590410000124"/>
    <x v="33"/>
    <s v="SÃO PAULO"/>
    <s v="SP"/>
    <x v="0"/>
    <s v="CLAUDIA BUENO (SPC/SPI)"/>
    <n v="64"/>
    <x v="2"/>
    <s v="SOC BENEFICIENTE DE SENHORAS HOSPITAL SIRIO LIBANES - SÃO PAULO - SP - 61.590.410/0001-24"/>
    <n v="20"/>
  </r>
  <r>
    <x v="0"/>
    <x v="4"/>
    <x v="1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168"/>
  </r>
  <r>
    <x v="0"/>
    <x v="4"/>
    <x v="1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180"/>
  </r>
  <r>
    <x v="0"/>
    <x v="5"/>
    <x v="1"/>
    <n v="23941593838"/>
    <x v="61"/>
    <s v="SÃO PAULO"/>
    <s v="SP"/>
    <x v="0"/>
    <s v="CLAUDIA BUENO (SPC/SPI)"/>
    <n v="73"/>
    <x v="1"/>
    <s v="JEAN STANISLAS MARIE BRUNET-LECOMTE - SÃO PAULO - SP - 239.415.938-38"/>
    <n v="60"/>
  </r>
  <r>
    <x v="0"/>
    <x v="5"/>
    <x v="1"/>
    <n v="461479007176"/>
    <x v="92"/>
    <s v="SÃO PAULO"/>
    <s v="SP"/>
    <x v="0"/>
    <s v="CLAUDIA BUENO (SPC/SPI)"/>
    <n v="64"/>
    <x v="2"/>
    <s v="HOSPITAL SANCTA MAGGIORE HIGIENOPOLIS - SÃO PAULO - SP - 00.461.479/0071-76"/>
    <n v="10"/>
  </r>
  <r>
    <x v="0"/>
    <x v="5"/>
    <x v="1"/>
    <n v="603226000187"/>
    <x v="89"/>
    <s v="SÃO PAULO"/>
    <s v="SP"/>
    <x v="0"/>
    <s v="CLAUDIA BUENO (SPC/SPI)"/>
    <n v="73"/>
    <x v="1"/>
    <s v="HOME HEALTH CARE DOCTOR SERVICOS MEDICOS DOMICILIARES S/S LTDA - SÃO PAULO - SP - 00.603.226/0001-87"/>
    <n v="12"/>
  </r>
  <r>
    <x v="0"/>
    <x v="5"/>
    <x v="1"/>
    <n v="2383508000494"/>
    <x v="1"/>
    <s v="SÃO PAULO"/>
    <s v="SP"/>
    <x v="0"/>
    <s v="CLAUDIA BUENO (SPC/SPI)"/>
    <n v="73"/>
    <x v="1"/>
    <s v="CENTRAL CLINIC - SÃO PAULO - SP - 02.383.508/0004-94"/>
    <n v="51"/>
  </r>
  <r>
    <x v="0"/>
    <x v="5"/>
    <x v="1"/>
    <n v="2837922000183"/>
    <x v="63"/>
    <s v="SÃO PAULO"/>
    <s v="SP"/>
    <x v="0"/>
    <s v="CLAUDIA BUENO (SPC/SPI)"/>
    <n v="73"/>
    <x v="1"/>
    <s v="PRONEP SAO PAULO - SÃO PAULO - SP - 02.837.922/0001-83"/>
    <n v="40"/>
  </r>
  <r>
    <x v="0"/>
    <x v="5"/>
    <x v="1"/>
    <n v="3872790000193"/>
    <x v="64"/>
    <s v="SÃO PAULO"/>
    <s v="SP"/>
    <x v="0"/>
    <s v="CLAUDIA BUENO (SPC/SPI)"/>
    <n v="73"/>
    <x v="1"/>
    <s v="GLOBAL CARE ASSISTENCIA DOMICILIAR LTDA - SÃO PAULO - SP - 03.872.790/0001-93"/>
    <n v="8"/>
  </r>
  <r>
    <x v="0"/>
    <x v="5"/>
    <x v="1"/>
    <n v="6047087000210"/>
    <x v="66"/>
    <s v="SÃO PAULO"/>
    <s v="SP"/>
    <x v="0"/>
    <s v="CLAUDIA BUENO (SPC/SPI)"/>
    <n v="62"/>
    <x v="3"/>
    <s v="SAO LUIZ UNIDADE ITAIM (REDE DOR) - SÃO PAULO - SP - 06.047.087/0002-10"/>
    <n v="35"/>
  </r>
  <r>
    <x v="0"/>
    <x v="5"/>
    <x v="1"/>
    <n v="6047087000210"/>
    <x v="66"/>
    <s v="SÃO PAULO"/>
    <s v="SP"/>
    <x v="0"/>
    <s v="CLAUDIA BUENO (SPC/SPI)"/>
    <n v="64"/>
    <x v="2"/>
    <s v="SAO LUIZ UNIDADE ITAIM (REDE DOR) - SÃO PAULO - SP - 06.047.087/0002-10"/>
    <n v="35"/>
  </r>
  <r>
    <x v="0"/>
    <x v="5"/>
    <x v="1"/>
    <n v="7045325000130"/>
    <x v="4"/>
    <s v="SÃO PAULO"/>
    <s v="SP"/>
    <x v="0"/>
    <s v="CLAUDIA BUENO (SPC/SPI)"/>
    <n v="73"/>
    <x v="1"/>
    <s v="SAHA SERVICOS MEDICOS E HOSPITALARES LTDA. - SÃO PAULO - SP - 07.045.325/0001-30"/>
    <n v="60"/>
  </r>
  <r>
    <x v="0"/>
    <x v="5"/>
    <x v="1"/>
    <n v="9087150000159"/>
    <x v="90"/>
    <s v="SÃO PAULO"/>
    <s v="SP"/>
    <x v="0"/>
    <s v="CLAUDIA BUENO (SPC/SPI)"/>
    <n v="73"/>
    <x v="1"/>
    <s v="VIP HOME CARE ATENDIMENTO DOMICILIAR LTDA - SÃO PAULO - SP - 09.087.150/0001-59"/>
    <n v="10"/>
  </r>
  <r>
    <x v="0"/>
    <x v="5"/>
    <x v="1"/>
    <n v="10468341000140"/>
    <x v="9"/>
    <s v="SÃO PAULO"/>
    <s v="SP"/>
    <x v="0"/>
    <s v="CLAUDIA BUENO (SPC/SPI)"/>
    <n v="73"/>
    <x v="1"/>
    <s v="CRETA - CENTRO REUMATOLOGICO DE TERAPIA AVANCADA LTDA. - ME - SÃO PAULO - SP - 10.468.341/0001-40"/>
    <n v="36"/>
  </r>
  <r>
    <x v="0"/>
    <x v="5"/>
    <x v="1"/>
    <n v="19056055000141"/>
    <x v="79"/>
    <s v="SÃO PAULO"/>
    <s v="SP"/>
    <x v="0"/>
    <s v="CLAUDIA BUENO (SPC/SPI)"/>
    <n v="62"/>
    <x v="3"/>
    <s v="HOSPITAL MORIAH - SÃO PAULO - SP - 19.056.055/0001-41"/>
    <n v="8"/>
  </r>
  <r>
    <x v="0"/>
    <x v="5"/>
    <x v="1"/>
    <n v="19803199000114"/>
    <x v="12"/>
    <s v="SÃO PAULO"/>
    <s v="SP"/>
    <x v="0"/>
    <s v="CLAUDIA BUENO (SPC/SPI)"/>
    <n v="62"/>
    <x v="3"/>
    <s v="SOCIEDADE BENEFICENTE DE PRESIDENTE BERNARDES - SÃO PAULO - SP - 19.803.199/0001-14"/>
    <n v="16"/>
  </r>
  <r>
    <x v="0"/>
    <x v="5"/>
    <x v="1"/>
    <n v="20812223000241"/>
    <x v="73"/>
    <s v="SÃO PAULO"/>
    <s v="SP"/>
    <x v="0"/>
    <s v="CLAUDIA BUENO (SPC/SPI)"/>
    <n v="73"/>
    <x v="1"/>
    <s v="SR CARE ASSISTENCIA DOMICILIAR LTDA - SÃO PAULO - SP - 20.812.223/0002-41"/>
    <n v="13"/>
  </r>
  <r>
    <x v="0"/>
    <x v="5"/>
    <x v="1"/>
    <n v="20973216000140"/>
    <x v="93"/>
    <s v="SÃO PAULO"/>
    <s v="SP"/>
    <x v="0"/>
    <s v="CLAUDIA BUENO (SPC/SPI)"/>
    <n v="73"/>
    <x v="1"/>
    <s v="HOSPITAL SANTA CLARA - SÃO PAULO - SP - 20.973.216/0001-40"/>
    <n v="20"/>
  </r>
  <r>
    <x v="0"/>
    <x v="5"/>
    <x v="1"/>
    <n v="22227973000109"/>
    <x v="41"/>
    <s v="SÃO PAULO"/>
    <s v="SP"/>
    <x v="0"/>
    <s v="CLAUDIA BUENO (SPC/SPI)"/>
    <n v="66"/>
    <x v="4"/>
    <s v="ONCOEXPRESS - SÃO PAULO - SP - 22.227.973/0001-09"/>
    <n v="31"/>
  </r>
  <r>
    <x v="0"/>
    <x v="5"/>
    <x v="1"/>
    <n v="28290788000137"/>
    <x v="74"/>
    <s v="SÃO PAULO"/>
    <s v="SP"/>
    <x v="0"/>
    <s v="CLAUDIA BUENO (SPC/SPI)"/>
    <n v="62"/>
    <x v="3"/>
    <s v="HOSPITAL VILA NOVA STAR - SÃO PAULO - SP - 28.290.788/0001-37"/>
    <n v="11"/>
  </r>
  <r>
    <x v="0"/>
    <x v="5"/>
    <x v="1"/>
    <n v="28290788000137"/>
    <x v="74"/>
    <s v="SÃO PAULO"/>
    <s v="SP"/>
    <x v="0"/>
    <s v="CLAUDIA BUENO (SPC/SPI)"/>
    <n v="64"/>
    <x v="2"/>
    <s v="HOSPITAL VILA NOVA STAR - SÃO PAULO - SP - 28.290.788/0001-37"/>
    <n v="21"/>
  </r>
  <r>
    <x v="0"/>
    <x v="5"/>
    <x v="1"/>
    <n v="29435005002687"/>
    <x v="14"/>
    <s v="SÃO PAULO"/>
    <s v="SP"/>
    <x v="0"/>
    <s v="CLAUDIA BUENO (SPC/SPI)"/>
    <n v="64"/>
    <x v="2"/>
    <s v="HOSPITAL PAULISTANO - SÃO PAULO - SP - 29.435.005/0026-87"/>
    <n v="15"/>
  </r>
  <r>
    <x v="0"/>
    <x v="5"/>
    <x v="1"/>
    <n v="29435005009932"/>
    <x v="16"/>
    <s v="SÃO PAULO"/>
    <s v="SP"/>
    <x v="0"/>
    <s v="CLAUDIA BUENO (SPC/SPI)"/>
    <n v="62"/>
    <x v="3"/>
    <s v="ESHO EMPRESA DE SERVICOS HOSPITALARES S.A - SÃO PAULO - SP - 29.435.005/0099-32"/>
    <n v="9"/>
  </r>
  <r>
    <x v="0"/>
    <x v="5"/>
    <x v="1"/>
    <n v="29435005009932"/>
    <x v="16"/>
    <s v="SÃO PAULO"/>
    <s v="SP"/>
    <x v="0"/>
    <s v="CLAUDIA BUENO (SPC/SPI)"/>
    <n v="64"/>
    <x v="2"/>
    <s v="ESHO EMPRESA DE SERVICOS HOSPITALARES S.A - SÃO PAULO - SP - 29.435.005/0099-32"/>
    <n v="30"/>
  </r>
  <r>
    <x v="0"/>
    <x v="5"/>
    <x v="1"/>
    <n v="44649812021216"/>
    <x v="94"/>
    <s v="SÃO PAULO"/>
    <s v="SP"/>
    <x v="0"/>
    <s v="CLAUDIA BUENO (SPC/SPI)"/>
    <n v="73"/>
    <x v="1"/>
    <s v="NOTRE DAME INTERMEDICA SAUDE S.A.  - SÃO PAULO - SP - 44.649.812/0212-16"/>
    <n v="8"/>
  </r>
  <r>
    <x v="0"/>
    <x v="5"/>
    <x v="1"/>
    <n v="46124624002670"/>
    <x v="48"/>
    <s v="SÃO PAULO"/>
    <s v="SP"/>
    <x v="0"/>
    <s v="CLAUDIA BUENO (SPC/SPI)"/>
    <n v="73"/>
    <x v="1"/>
    <s v="UNIMED CAMPINAS COOPERATIVA DE TRABALHO MEDICO - SÃO PAULO - SP - 46.124.624/0026-70"/>
    <n v="204"/>
  </r>
  <r>
    <x v="0"/>
    <x v="5"/>
    <x v="1"/>
    <n v="51722957000506"/>
    <x v="36"/>
    <s v="SÃO PAULO"/>
    <s v="SP"/>
    <x v="0"/>
    <s v="CLAUDIA BUENO (SPC/SPI)"/>
    <n v="64"/>
    <x v="2"/>
    <s v="AMICO SAUDE LTDA - SÃO PAULO - SP - 51.722.957/0005-06"/>
    <n v="3"/>
  </r>
  <r>
    <x v="0"/>
    <x v="5"/>
    <x v="1"/>
    <n v="51722957010226"/>
    <x v="19"/>
    <s v="SÃO PAULO"/>
    <s v="SP"/>
    <x v="0"/>
    <s v="CLAUDIA BUENO (SPC/SPI)"/>
    <n v="73"/>
    <x v="1"/>
    <s v="AMICO SAUDE LTDA - SÃO PAULO - SP - 51.722.957/0102-26"/>
    <n v="15"/>
  </r>
  <r>
    <x v="0"/>
    <x v="5"/>
    <x v="1"/>
    <n v="56577059000606"/>
    <x v="75"/>
    <s v="SÃO PAULO"/>
    <s v="SP"/>
    <x v="0"/>
    <s v="CLAUDIA BUENO (SPC/SPI)"/>
    <n v="64"/>
    <x v="2"/>
    <s v="INSTITUTO DO CANCER DO ESTADO DE SAO PAULO - SÃO PAULO - SP - 56.577.059/0006-06"/>
    <n v="8"/>
  </r>
  <r>
    <x v="0"/>
    <x v="5"/>
    <x v="1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45"/>
  </r>
  <r>
    <x v="0"/>
    <x v="5"/>
    <x v="1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65"/>
  </r>
  <r>
    <x v="0"/>
    <x v="5"/>
    <x v="1"/>
    <n v="60453024000390"/>
    <x v="77"/>
    <s v="SÃO PAULO"/>
    <s v="SP"/>
    <x v="0"/>
    <s v="CLAUDIA BUENO (SPC/SPI)"/>
    <n v="62"/>
    <x v="3"/>
    <s v="HOSPITAL DO CORACAO - SÃO PAULO - SP - 60.453.024/0003-90"/>
    <n v="68"/>
  </r>
  <r>
    <x v="0"/>
    <x v="5"/>
    <x v="1"/>
    <n v="60453024000390"/>
    <x v="77"/>
    <s v="SÃO PAULO"/>
    <s v="SP"/>
    <x v="0"/>
    <s v="CLAUDIA BUENO (SPC/SPI)"/>
    <n v="64"/>
    <x v="2"/>
    <s v="HOSPITAL DO CORACAO - SÃO PAULO - SP - 60.453.024/0003-90"/>
    <n v="35"/>
  </r>
  <r>
    <x v="0"/>
    <x v="5"/>
    <x v="1"/>
    <n v="60552098000111"/>
    <x v="23"/>
    <s v="SÃO PAULO"/>
    <s v="SP"/>
    <x v="0"/>
    <s v="CLAUDIA BUENO (SPC/SPI)"/>
    <n v="62"/>
    <x v="3"/>
    <s v="HOSPITAL SANTA CRUZ - SÃO PAULO - SP - 60.552.098/0001-11"/>
    <n v="4"/>
  </r>
  <r>
    <x v="0"/>
    <x v="5"/>
    <x v="1"/>
    <n v="60678604000113"/>
    <x v="40"/>
    <s v="SÃO PAULO"/>
    <s v="SP"/>
    <x v="0"/>
    <s v="CLAUDIA BUENO (SPC/SPI)"/>
    <n v="62"/>
    <x v="3"/>
    <s v="HOSPITAL E MATERNIDADE SANTA JOANA S/A - SÃO PAULO - SP - 60.678.604/0001-13"/>
    <n v="55"/>
  </r>
  <r>
    <x v="0"/>
    <x v="5"/>
    <x v="1"/>
    <n v="60678604000113"/>
    <x v="40"/>
    <s v="SÃO PAULO"/>
    <s v="SP"/>
    <x v="0"/>
    <s v="CLAUDIA BUENO (SPC/SPI)"/>
    <n v="64"/>
    <x v="2"/>
    <s v="HOSPITAL E MATERNIDADE SANTA JOANA S/A - SÃO PAULO - SP - 60.678.604/0001-13"/>
    <n v="4"/>
  </r>
  <r>
    <x v="0"/>
    <x v="5"/>
    <x v="1"/>
    <n v="60726502000126"/>
    <x v="24"/>
    <s v="SÃO PAULO"/>
    <s v="SP"/>
    <x v="0"/>
    <s v="CLAUDIA BUENO (SPC/SPI)"/>
    <n v="62"/>
    <x v="3"/>
    <s v="HOSPITAL ALEMAO OSWALDO CRUZ - SÃO PAULO - SP - 60.726.502/0001-26"/>
    <n v="9"/>
  </r>
  <r>
    <x v="0"/>
    <x v="5"/>
    <x v="1"/>
    <n v="60726502000126"/>
    <x v="24"/>
    <s v="SÃO PAULO"/>
    <s v="SP"/>
    <x v="0"/>
    <s v="CLAUDIA BUENO (SPC/SPI)"/>
    <n v="64"/>
    <x v="2"/>
    <s v="HOSPITAL ALEMAO OSWALDO CRUZ - SÃO PAULO - SP - 60.726.502/0001-26"/>
    <n v="10"/>
  </r>
  <r>
    <x v="0"/>
    <x v="5"/>
    <x v="1"/>
    <n v="60765823000130"/>
    <x v="49"/>
    <s v="SÃO PAULO"/>
    <s v="SP"/>
    <x v="0"/>
    <s v="CLAUDIA BUENO (SPC/SPI)"/>
    <n v="62"/>
    <x v="3"/>
    <s v="HOSPITAL ISRAELITA ALBERTEINSTEIN - SÃO PAULO - SP - 60.765.823/0001-30"/>
    <n v="190"/>
  </r>
  <r>
    <x v="0"/>
    <x v="5"/>
    <x v="1"/>
    <n v="60765823000130"/>
    <x v="49"/>
    <s v="SÃO PAULO"/>
    <s v="SP"/>
    <x v="0"/>
    <s v="CLAUDIA BUENO (SPC/SPI)"/>
    <n v="64"/>
    <x v="2"/>
    <s v="HOSPITAL ISRAELITA ALBERTEINSTEIN - SÃO PAULO - SP - 60.765.823/0001-30"/>
    <n v="40"/>
  </r>
  <r>
    <x v="0"/>
    <x v="5"/>
    <x v="1"/>
    <n v="60765823000130"/>
    <x v="49"/>
    <s v="SÃO PAULO"/>
    <s v="SP"/>
    <x v="0"/>
    <s v="CLAUDIA BUENO (SPC/SPI)"/>
    <n v="73"/>
    <x v="1"/>
    <s v="HOSPITAL ISRAELITA ALBERTEINSTEIN - SÃO PAULO - SP - 60.765.823/0001-30"/>
    <n v="60"/>
  </r>
  <r>
    <x v="0"/>
    <x v="5"/>
    <x v="1"/>
    <n v="60777901000116"/>
    <x v="25"/>
    <s v="SÃO PAULO"/>
    <s v="SP"/>
    <x v="0"/>
    <s v="CLAUDIA BUENO (SPC/SPI)"/>
    <n v="64"/>
    <x v="2"/>
    <s v="HOSPITAL SANTA PAULA LTDA - SÃO PAULO - SP - 60.777.901/0001-16"/>
    <n v="8"/>
  </r>
  <r>
    <x v="0"/>
    <x v="5"/>
    <x v="1"/>
    <n v="60777901000116"/>
    <x v="25"/>
    <s v="SÃO PAULO"/>
    <s v="SP"/>
    <x v="0"/>
    <s v="CLAUDIA BUENO (SPC/SPI)"/>
    <n v="73"/>
    <x v="1"/>
    <s v="HOSPITAL SANTA PAULA LTDA - SÃO PAULO - SP - 60.777.901/0001-16"/>
    <n v="30"/>
  </r>
  <r>
    <x v="0"/>
    <x v="5"/>
    <x v="1"/>
    <n v="60884855000316"/>
    <x v="26"/>
    <s v="SÃO PAULO"/>
    <s v="SP"/>
    <x v="0"/>
    <s v="CLAUDIA BUENO (SPC/SPI)"/>
    <n v="62"/>
    <x v="3"/>
    <s v="HOSPITAL 9 DE JULHO - SÃO PAULO - SP - 60.884.855/0003-16"/>
    <n v="58"/>
  </r>
  <r>
    <x v="0"/>
    <x v="5"/>
    <x v="1"/>
    <n v="60884855000316"/>
    <x v="26"/>
    <s v="SÃO PAULO"/>
    <s v="SP"/>
    <x v="0"/>
    <s v="CLAUDIA BUENO (SPC/SPI)"/>
    <n v="64"/>
    <x v="2"/>
    <s v="HOSPITAL 9 DE JULHO - SÃO PAULO - SP - 60.884.855/0003-16"/>
    <n v="48"/>
  </r>
  <r>
    <x v="0"/>
    <x v="5"/>
    <x v="1"/>
    <n v="60884855000316"/>
    <x v="26"/>
    <s v="SÃO PAULO"/>
    <s v="SP"/>
    <x v="0"/>
    <s v="CLAUDIA BUENO (SPC/SPI)"/>
    <n v="73"/>
    <x v="1"/>
    <s v="HOSPITAL 9 DE JULHO - SÃO PAULO - SP - 60.884.855/0003-16"/>
    <n v="32"/>
  </r>
  <r>
    <x v="0"/>
    <x v="5"/>
    <x v="1"/>
    <n v="60922168000771"/>
    <x v="27"/>
    <s v="SÃO PAULO"/>
    <s v="SP"/>
    <x v="0"/>
    <s v="CLAUDIA BUENO (SPC/SPI)"/>
    <n v="73"/>
    <x v="1"/>
    <s v="HOSPITAL SANTA CATARINA - SÃO PAULO - SP - 60.922.168/0007-71"/>
    <n v="32"/>
  </r>
  <r>
    <x v="0"/>
    <x v="5"/>
    <x v="1"/>
    <n v="60961422000155"/>
    <x v="29"/>
    <s v="SÃO PAULO"/>
    <s v="SP"/>
    <x v="0"/>
    <s v="CLAUDIA BUENO (SPC/SPI)"/>
    <n v="62"/>
    <x v="3"/>
    <s v="SEPACO - SÃO PAULO - SP - 60.961.422/0001-55"/>
    <n v="5"/>
  </r>
  <r>
    <x v="0"/>
    <x v="5"/>
    <x v="1"/>
    <n v="60961422000155"/>
    <x v="29"/>
    <s v="SÃO PAULO"/>
    <s v="SP"/>
    <x v="0"/>
    <s v="CLAUDIA BUENO (SPC/SPI)"/>
    <n v="64"/>
    <x v="2"/>
    <s v="SEPACO - SÃO PAULO - SP - 60.961.422/0001-55"/>
    <n v="6"/>
  </r>
  <r>
    <x v="0"/>
    <x v="5"/>
    <x v="1"/>
    <n v="60975737000232"/>
    <x v="83"/>
    <s v="SÃO PAULO"/>
    <s v="SP"/>
    <x v="0"/>
    <s v="CLAUDIA BUENO (SPC/SPI)"/>
    <n v="62"/>
    <x v="3"/>
    <s v="HOSPITAL SAO CAMILO - POMPEIA - SÃO PAULO - SP - 60.975.737/0002-32"/>
    <n v="6"/>
  </r>
  <r>
    <x v="0"/>
    <x v="5"/>
    <x v="1"/>
    <n v="60992427000650"/>
    <x v="86"/>
    <s v="SÃO PAULO"/>
    <s v="SP"/>
    <x v="0"/>
    <s v="CLAUDIA BUENO (SPC/SPI)"/>
    <n v="62"/>
    <x v="3"/>
    <s v="BENEFICENCIA NIPO BRASILEIRA DE SAO PAULO - SÃO PAULO - SP - 60.992.427/0006-50"/>
    <n v="2"/>
  </r>
  <r>
    <x v="0"/>
    <x v="5"/>
    <x v="1"/>
    <n v="60992427000650"/>
    <x v="86"/>
    <s v="SÃO PAULO"/>
    <s v="SP"/>
    <x v="0"/>
    <s v="CLAUDIA BUENO (SPC/SPI)"/>
    <n v="64"/>
    <x v="2"/>
    <s v="BENEFICENCIA NIPO BRASILEIRA DE SAO PAULO - SÃO PAULO - SP - 60.992.427/0006-50"/>
    <n v="13"/>
  </r>
  <r>
    <x v="0"/>
    <x v="5"/>
    <x v="1"/>
    <n v="61213674000240"/>
    <x v="32"/>
    <s v="SÃO PAULO"/>
    <s v="SP"/>
    <x v="0"/>
    <s v="CLAUDIA BUENO (SPC/SPI)"/>
    <n v="62"/>
    <x v="3"/>
    <s v="HOSPITAL INFANTIL SABARA - SÃO PAULO - SP - 61.213.674/0002-40"/>
    <n v="5"/>
  </r>
  <r>
    <x v="0"/>
    <x v="5"/>
    <x v="1"/>
    <n v="61213674000240"/>
    <x v="32"/>
    <s v="SÃO PAULO"/>
    <s v="SP"/>
    <x v="0"/>
    <s v="CLAUDIA BUENO (SPC/SPI)"/>
    <n v="64"/>
    <x v="2"/>
    <s v="HOSPITAL INFANTIL SABARA - SÃO PAULO - SP - 61.213.674/0002-40"/>
    <n v="3"/>
  </r>
  <r>
    <x v="0"/>
    <x v="5"/>
    <x v="1"/>
    <n v="61213674000240"/>
    <x v="32"/>
    <s v="SÃO PAULO"/>
    <s v="SP"/>
    <x v="0"/>
    <s v="CLAUDIA BUENO (SPC/SPI)"/>
    <n v="73"/>
    <x v="1"/>
    <s v="HOSPITAL INFANTIL SABARA - SÃO PAULO - SP - 61.213.674/0002-40"/>
    <n v="135"/>
  </r>
  <r>
    <x v="0"/>
    <x v="5"/>
    <x v="1"/>
    <n v="61590410000124"/>
    <x v="33"/>
    <s v="SÃO PAULO"/>
    <s v="SP"/>
    <x v="0"/>
    <s v="CLAUDIA BUENO (SPC/SPI)"/>
    <n v="62"/>
    <x v="3"/>
    <s v="SOC BENEFICIENTE DE SENHORAS HOSPITAL SIRIO LIBANES - SÃO PAULO - SP - 61.590.410/0001-24"/>
    <n v="56"/>
  </r>
  <r>
    <x v="0"/>
    <x v="5"/>
    <x v="1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75"/>
  </r>
  <r>
    <x v="0"/>
    <x v="5"/>
    <x v="1"/>
    <n v="61599908000158"/>
    <x v="81"/>
    <s v="SÃO PAULO"/>
    <s v="SP"/>
    <x v="0"/>
    <s v="CLAUDIA BUENO (SPC/SPI)"/>
    <n v="64"/>
    <x v="2"/>
    <s v="REAL E BENEMERITA ASSOCIACAO PORTUGUESA DE BENEFICENCIA - SÃO PAULO - SP - 61.599.908/0001-58"/>
    <n v="120"/>
  </r>
  <r>
    <x v="0"/>
    <x v="5"/>
    <x v="1"/>
    <n v="62779145000190"/>
    <x v="56"/>
    <s v="SÃO PAULO"/>
    <s v="SP"/>
    <x v="0"/>
    <s v="CLAUDIA BUENO (SPC/SPI)"/>
    <n v="64"/>
    <x v="2"/>
    <s v="IRMANDADE DA SANTA CASA DE MISERICORDIA DE SAO PAULO - SÃO PAULO - SP - 62.779.145/0001-90"/>
    <n v="6"/>
  </r>
  <r>
    <x v="0"/>
    <x v="6"/>
    <x v="2"/>
    <n v="603226000187"/>
    <x v="89"/>
    <s v="SÃO PAULO"/>
    <s v="SP"/>
    <x v="0"/>
    <s v="CLAUDIA BUENO (SPC/SPI)"/>
    <n v="73"/>
    <x v="1"/>
    <s v="HOME HEALTH CARE DOCTOR SERVICOS MEDICOS DOMICILIARES S/S LTDA - SÃO PAULO - SP - 00.603.226/0001-87"/>
    <n v="4"/>
  </r>
  <r>
    <x v="0"/>
    <x v="6"/>
    <x v="2"/>
    <n v="2383508000494"/>
    <x v="1"/>
    <s v="SÃO PAULO"/>
    <s v="SP"/>
    <x v="0"/>
    <s v="CLAUDIA BUENO (SPC/SPI)"/>
    <n v="73"/>
    <x v="1"/>
    <s v="CENTRAL CLINIC - SÃO PAULO - SP - 02.383.508/0004-94"/>
    <n v="12"/>
  </r>
  <r>
    <x v="0"/>
    <x v="6"/>
    <x v="2"/>
    <n v="2837922000183"/>
    <x v="63"/>
    <s v="SÃO PAULO"/>
    <s v="SP"/>
    <x v="0"/>
    <s v="CLAUDIA BUENO (SPC/SPI)"/>
    <n v="73"/>
    <x v="1"/>
    <s v="PRONEP SAO PAULO - SÃO PAULO - SP - 02.837.922/0001-83"/>
    <n v="50"/>
  </r>
  <r>
    <x v="0"/>
    <x v="6"/>
    <x v="2"/>
    <n v="3872790000193"/>
    <x v="64"/>
    <s v="SÃO PAULO"/>
    <s v="SP"/>
    <x v="0"/>
    <s v="CLAUDIA BUENO (SPC/SPI)"/>
    <n v="73"/>
    <x v="1"/>
    <s v="GLOBAL CARE ASSISTENCIA DOMICILIAR LTDA - SÃO PAULO - SP - 03.872.790/0001-93"/>
    <n v="8"/>
  </r>
  <r>
    <x v="0"/>
    <x v="6"/>
    <x v="2"/>
    <n v="6047087000139"/>
    <x v="65"/>
    <s v="SÃO PAULO"/>
    <s v="SP"/>
    <x v="0"/>
    <s v="CLAUDIA BUENO (SPC/SPI)"/>
    <n v="62"/>
    <x v="3"/>
    <s v="HOSP SAO LUIZ ANALIA FRANCO (REDE DOR) - SÃO PAULO - SP - 06.047.087/0001-39"/>
    <n v="5"/>
  </r>
  <r>
    <x v="0"/>
    <x v="6"/>
    <x v="2"/>
    <n v="6047087000210"/>
    <x v="66"/>
    <s v="SÃO PAULO"/>
    <s v="SP"/>
    <x v="0"/>
    <s v="CLAUDIA BUENO (SPC/SPI)"/>
    <n v="64"/>
    <x v="2"/>
    <s v="SAO LUIZ UNIDADE ITAIM (REDE DOR) - SÃO PAULO - SP - 06.047.087/0002-10"/>
    <n v="60"/>
  </r>
  <r>
    <x v="0"/>
    <x v="6"/>
    <x v="2"/>
    <n v="7045325000130"/>
    <x v="4"/>
    <s v="SÃO PAULO"/>
    <s v="SP"/>
    <x v="0"/>
    <s v="CLAUDIA BUENO (SPC/SPI)"/>
    <n v="73"/>
    <x v="1"/>
    <s v="SAHA SERVICOS MEDICOS E HOSPITALARES LTDA. - SÃO PAULO - SP - 07.045.325/0001-30"/>
    <n v="184"/>
  </r>
  <r>
    <x v="0"/>
    <x v="6"/>
    <x v="2"/>
    <n v="8100676000592"/>
    <x v="5"/>
    <s v="SÃO PAULO"/>
    <s v="SP"/>
    <x v="0"/>
    <s v="CLAUDIA BUENO (SPC/SPI)"/>
    <n v="64"/>
    <x v="2"/>
    <s v="HOSPITAL ALVORADA MOEMA - SÃO PAULO - SP - 08.100.676/0005-92"/>
    <n v="3"/>
  </r>
  <r>
    <x v="0"/>
    <x v="6"/>
    <x v="2"/>
    <n v="9087150000159"/>
    <x v="90"/>
    <s v="SÃO PAULO"/>
    <s v="SP"/>
    <x v="0"/>
    <s v="CLAUDIA BUENO (SPC/SPI)"/>
    <n v="73"/>
    <x v="1"/>
    <s v="VIP HOME CARE ATENDIMENTO DOMICILIAR LTDA - SÃO PAULO - SP - 09.087.150/0001-59"/>
    <n v="6"/>
  </r>
  <r>
    <x v="0"/>
    <x v="6"/>
    <x v="2"/>
    <n v="19056055000141"/>
    <x v="79"/>
    <s v="SÃO PAULO"/>
    <s v="SP"/>
    <x v="0"/>
    <s v="CLAUDIA BUENO (SPC/SPI)"/>
    <n v="62"/>
    <x v="3"/>
    <s v="HOSPITAL MORIAH - SÃO PAULO - SP - 19.056.055/0001-41"/>
    <n v="3"/>
  </r>
  <r>
    <x v="0"/>
    <x v="6"/>
    <x v="2"/>
    <n v="19056055000141"/>
    <x v="79"/>
    <s v="SÃO PAULO"/>
    <s v="SP"/>
    <x v="0"/>
    <s v="CLAUDIA BUENO (SPC/SPI)"/>
    <n v="64"/>
    <x v="2"/>
    <s v="HOSPITAL MORIAH - SÃO PAULO - SP - 19.056.055/0001-41"/>
    <n v="4"/>
  </r>
  <r>
    <x v="0"/>
    <x v="6"/>
    <x v="2"/>
    <n v="21371777000132"/>
    <x v="13"/>
    <s v="SÃO PAULO"/>
    <s v="SP"/>
    <x v="0"/>
    <s v="CLAUDIA BUENO (SPC/SPI)"/>
    <n v="64"/>
    <x v="2"/>
    <s v="HOSPITAL BANDEIRANTES LTDA  - SÃO PAULO - SP - 21.371.777/0001-32"/>
    <n v="18"/>
  </r>
  <r>
    <x v="0"/>
    <x v="6"/>
    <x v="2"/>
    <n v="29435005002687"/>
    <x v="14"/>
    <s v="SÃO PAULO"/>
    <s v="SP"/>
    <x v="0"/>
    <s v="CLAUDIA BUENO (SPC/SPI)"/>
    <n v="64"/>
    <x v="2"/>
    <s v="HOSPITAL PAULISTANO - SÃO PAULO - SP - 29.435.005/0026-87"/>
    <n v="10"/>
  </r>
  <r>
    <x v="0"/>
    <x v="6"/>
    <x v="2"/>
    <n v="29435005009932"/>
    <x v="16"/>
    <s v="SÃO PAULO"/>
    <s v="SP"/>
    <x v="0"/>
    <s v="CLAUDIA BUENO (SPC/SPI)"/>
    <n v="62"/>
    <x v="3"/>
    <s v="ESHO EMPRESA DE SERVICOS HOSPITALARES S.A - SÃO PAULO - SP - 29.435.005/0099-32"/>
    <n v="7"/>
  </r>
  <r>
    <x v="0"/>
    <x v="6"/>
    <x v="2"/>
    <n v="29435005009932"/>
    <x v="16"/>
    <s v="SÃO PAULO"/>
    <s v="SP"/>
    <x v="0"/>
    <s v="CLAUDIA BUENO (SPC/SPI)"/>
    <n v="64"/>
    <x v="2"/>
    <s v="ESHO EMPRESA DE SERVICOS HOSPITALARES S.A - SÃO PAULO - SP - 29.435.005/0099-32"/>
    <n v="25"/>
  </r>
  <r>
    <x v="0"/>
    <x v="6"/>
    <x v="2"/>
    <n v="44649812021216"/>
    <x v="94"/>
    <s v="SÃO PAULO"/>
    <s v="SP"/>
    <x v="0"/>
    <s v="CLAUDIA BUENO (SPC/SPI)"/>
    <n v="73"/>
    <x v="1"/>
    <s v="NOTRE DAME INTERMEDICA SAUDE S.A.  - SÃO PAULO - SP - 44.649.812/0212-16"/>
    <n v="24"/>
  </r>
  <r>
    <x v="0"/>
    <x v="6"/>
    <x v="2"/>
    <n v="46124624002670"/>
    <x v="48"/>
    <s v="SÃO PAULO"/>
    <s v="SP"/>
    <x v="0"/>
    <s v="CLAUDIA BUENO (SPC/SPI)"/>
    <n v="73"/>
    <x v="1"/>
    <s v="UNIMED CAMPINAS COOPERATIVA DE TRABALHO MEDICO - SÃO PAULO - SP - 46.124.624/0026-70"/>
    <n v="240"/>
  </r>
  <r>
    <x v="0"/>
    <x v="6"/>
    <x v="2"/>
    <n v="51722957000506"/>
    <x v="36"/>
    <s v="SÃO PAULO"/>
    <s v="SP"/>
    <x v="0"/>
    <s v="CLAUDIA BUENO (SPC/SPI)"/>
    <n v="64"/>
    <x v="2"/>
    <s v="AMICO SAUDE LTDA - SÃO PAULO - SP - 51.722.957/0005-06"/>
    <n v="4"/>
  </r>
  <r>
    <x v="0"/>
    <x v="6"/>
    <x v="2"/>
    <n v="51722957010226"/>
    <x v="19"/>
    <s v="SÃO PAULO"/>
    <s v="SP"/>
    <x v="0"/>
    <s v="CLAUDIA BUENO (SPC/SPI)"/>
    <n v="73"/>
    <x v="1"/>
    <s v="AMICO SAUDE LTDA - SÃO PAULO - SP - 51.722.957/0102-26"/>
    <n v="100"/>
  </r>
  <r>
    <x v="0"/>
    <x v="6"/>
    <x v="2"/>
    <n v="51722957012512"/>
    <x v="20"/>
    <s v="SÃO PAULO"/>
    <s v="SP"/>
    <x v="0"/>
    <s v="CLAUDIA BUENO (SPC/SPI)"/>
    <n v="64"/>
    <x v="2"/>
    <s v="HOSPITAL E MATERNIDADE METROPOLITANO - SÃO PAULO - SP - 51.722.957/0125-12"/>
    <n v="6"/>
  </r>
  <r>
    <x v="0"/>
    <x v="6"/>
    <x v="2"/>
    <n v="56577059000606"/>
    <x v="75"/>
    <s v="SÃO PAULO"/>
    <s v="SP"/>
    <x v="0"/>
    <s v="CLAUDIA BUENO (SPC/SPI)"/>
    <n v="64"/>
    <x v="2"/>
    <s v="INSTITUTO DO CANCER DO ESTADO DE SAO PAULO - SÃO PAULO - SP - 56.577.059/0006-06"/>
    <n v="40"/>
  </r>
  <r>
    <x v="0"/>
    <x v="6"/>
    <x v="2"/>
    <n v="60448040000122"/>
    <x v="76"/>
    <s v="SÃO PAULO"/>
    <s v="SP"/>
    <x v="0"/>
    <s v="CLAUDIA BUENO (SPC/SPI)"/>
    <n v="62"/>
    <x v="3"/>
    <s v="HOSPITAL DAS CLINICAS DA FACULDADE DE MEDICINA DA U S P - SÃO PAULO - SP - 60.448.040/0001-22"/>
    <n v="165"/>
  </r>
  <r>
    <x v="0"/>
    <x v="6"/>
    <x v="2"/>
    <n v="60448040000122"/>
    <x v="76"/>
    <s v="SÃO PAULO"/>
    <s v="SP"/>
    <x v="0"/>
    <s v="CLAUDIA BUENO (SPC/SPI)"/>
    <n v="64"/>
    <x v="2"/>
    <s v="HOSPITAL DAS CLINICAS DA FACULDADE DE MEDICINA DA U S P - SÃO PAULO - SP - 60.448.040/0001-22"/>
    <n v="158"/>
  </r>
  <r>
    <x v="0"/>
    <x v="6"/>
    <x v="2"/>
    <n v="60453024000390"/>
    <x v="77"/>
    <s v="SÃO PAULO"/>
    <s v="SP"/>
    <x v="0"/>
    <s v="CLAUDIA BUENO (SPC/SPI)"/>
    <n v="62"/>
    <x v="3"/>
    <s v="HOSPITAL DO CORACAO - SÃO PAULO - SP - 60.453.024/0003-90"/>
    <n v="50"/>
  </r>
  <r>
    <x v="0"/>
    <x v="6"/>
    <x v="2"/>
    <n v="60678604000113"/>
    <x v="40"/>
    <s v="SÃO PAULO"/>
    <s v="SP"/>
    <x v="0"/>
    <s v="CLAUDIA BUENO (SPC/SPI)"/>
    <n v="62"/>
    <x v="3"/>
    <s v="HOSPITAL E MATERNIDADE SANTA JOANA S/A - SÃO PAULO - SP - 60.678.604/0001-13"/>
    <n v="43"/>
  </r>
  <r>
    <x v="0"/>
    <x v="6"/>
    <x v="2"/>
    <n v="60726502000126"/>
    <x v="24"/>
    <s v="SÃO PAULO"/>
    <s v="SP"/>
    <x v="0"/>
    <s v="CLAUDIA BUENO (SPC/SPI)"/>
    <n v="62"/>
    <x v="3"/>
    <s v="HOSPITAL ALEMAO OSWALDO CRUZ - SÃO PAULO - SP - 60.726.502/0001-26"/>
    <n v="7"/>
  </r>
  <r>
    <x v="0"/>
    <x v="6"/>
    <x v="2"/>
    <n v="60726502000126"/>
    <x v="24"/>
    <s v="SÃO PAULO"/>
    <s v="SP"/>
    <x v="0"/>
    <s v="CLAUDIA BUENO (SPC/SPI)"/>
    <n v="64"/>
    <x v="2"/>
    <s v="HOSPITAL ALEMAO OSWALDO CRUZ - SÃO PAULO - SP - 60.726.502/0001-26"/>
    <n v="7"/>
  </r>
  <r>
    <x v="0"/>
    <x v="6"/>
    <x v="2"/>
    <n v="60726502000711"/>
    <x v="78"/>
    <s v="SÃO PAULO"/>
    <s v="SP"/>
    <x v="0"/>
    <s v="CLAUDIA BUENO (SPC/SPI)"/>
    <n v="62"/>
    <x v="3"/>
    <s v="HOSPITAL ALEMAO OSWALDO CRUZ - SÃO PAULO - SP - 60.726.502/0007-11"/>
    <n v="6"/>
  </r>
  <r>
    <x v="0"/>
    <x v="6"/>
    <x v="2"/>
    <n v="60765823000130"/>
    <x v="49"/>
    <s v="SÃO PAULO"/>
    <s v="SP"/>
    <x v="0"/>
    <s v="CLAUDIA BUENO (SPC/SPI)"/>
    <n v="62"/>
    <x v="3"/>
    <s v="HOSPITAL ISRAELITA ALBERTEINSTEIN - SÃO PAULO - SP - 60.765.823/0001-30"/>
    <n v="140"/>
  </r>
  <r>
    <x v="0"/>
    <x v="6"/>
    <x v="2"/>
    <n v="60765823000130"/>
    <x v="49"/>
    <s v="SÃO PAULO"/>
    <s v="SP"/>
    <x v="0"/>
    <s v="CLAUDIA BUENO (SPC/SPI)"/>
    <n v="64"/>
    <x v="2"/>
    <s v="HOSPITAL ISRAELITA ALBERTEINSTEIN - SÃO PAULO - SP - 60.765.823/0001-30"/>
    <n v="100"/>
  </r>
  <r>
    <x v="0"/>
    <x v="6"/>
    <x v="2"/>
    <n v="60765823000130"/>
    <x v="49"/>
    <s v="SÃO PAULO"/>
    <s v="SP"/>
    <x v="0"/>
    <s v="CLAUDIA BUENO (SPC/SPI)"/>
    <n v="73"/>
    <x v="1"/>
    <s v="HOSPITAL ISRAELITA ALBERTEINSTEIN - SÃO PAULO - SP - 60.765.823/0001-30"/>
    <n v="50"/>
  </r>
  <r>
    <x v="0"/>
    <x v="6"/>
    <x v="2"/>
    <n v="60777901000116"/>
    <x v="25"/>
    <s v="SÃO PAULO"/>
    <s v="SP"/>
    <x v="0"/>
    <s v="CLAUDIA BUENO (SPC/SPI)"/>
    <n v="73"/>
    <x v="1"/>
    <s v="HOSPITAL SANTA PAULA LTDA - SÃO PAULO - SP - 60.777.901/0001-16"/>
    <n v="60"/>
  </r>
  <r>
    <x v="0"/>
    <x v="6"/>
    <x v="2"/>
    <n v="60884855000316"/>
    <x v="26"/>
    <s v="SÃO PAULO"/>
    <s v="SP"/>
    <x v="0"/>
    <s v="CLAUDIA BUENO (SPC/SPI)"/>
    <n v="64"/>
    <x v="2"/>
    <s v="HOSPITAL 9 DE JULHO - SÃO PAULO - SP - 60.884.855/0003-16"/>
    <n v="14"/>
  </r>
  <r>
    <x v="0"/>
    <x v="6"/>
    <x v="2"/>
    <n v="60884855000316"/>
    <x v="26"/>
    <s v="SÃO PAULO"/>
    <s v="SP"/>
    <x v="0"/>
    <s v="CLAUDIA BUENO (SPC/SPI)"/>
    <n v="73"/>
    <x v="1"/>
    <s v="HOSPITAL 9 DE JULHO - SÃO PAULO - SP - 60.884.855/0003-16"/>
    <n v="32"/>
  </r>
  <r>
    <x v="0"/>
    <x v="6"/>
    <x v="2"/>
    <n v="60922168000771"/>
    <x v="27"/>
    <s v="SÃO PAULO"/>
    <s v="SP"/>
    <x v="0"/>
    <s v="CLAUDIA BUENO (SPC/SPI)"/>
    <n v="62"/>
    <x v="3"/>
    <s v="HOSPITAL SANTA CATARINA - SÃO PAULO - SP - 60.922.168/0007-71"/>
    <n v="1"/>
  </r>
  <r>
    <x v="0"/>
    <x v="6"/>
    <x v="2"/>
    <n v="60922168000771"/>
    <x v="27"/>
    <s v="SÃO PAULO"/>
    <s v="SP"/>
    <x v="0"/>
    <s v="CLAUDIA BUENO (SPC/SPI)"/>
    <n v="73"/>
    <x v="1"/>
    <s v="HOSPITAL SANTA CATARINA - SÃO PAULO - SP - 60.922.168/0007-71"/>
    <n v="18"/>
  </r>
  <r>
    <x v="0"/>
    <x v="6"/>
    <x v="2"/>
    <n v="60961422000155"/>
    <x v="29"/>
    <s v="SÃO PAULO"/>
    <s v="SP"/>
    <x v="0"/>
    <s v="CLAUDIA BUENO (SPC/SPI)"/>
    <n v="62"/>
    <x v="3"/>
    <s v="SEPACO - SÃO PAULO - SP - 60.961.422/0001-55"/>
    <n v="11"/>
  </r>
  <r>
    <x v="0"/>
    <x v="6"/>
    <x v="2"/>
    <n v="60961422000155"/>
    <x v="29"/>
    <s v="SÃO PAULO"/>
    <s v="SP"/>
    <x v="0"/>
    <s v="CLAUDIA BUENO (SPC/SPI)"/>
    <n v="64"/>
    <x v="2"/>
    <s v="SEPACO - SÃO PAULO - SP - 60.961.422/0001-55"/>
    <n v="5"/>
  </r>
  <r>
    <x v="0"/>
    <x v="6"/>
    <x v="2"/>
    <n v="60975737000232"/>
    <x v="83"/>
    <s v="SÃO PAULO"/>
    <s v="SP"/>
    <x v="0"/>
    <s v="CLAUDIA BUENO (SPC/SPI)"/>
    <n v="64"/>
    <x v="2"/>
    <s v="HOSPITAL SAO CAMILO - POMPEIA - SÃO PAULO - SP - 60.975.737/0002-32"/>
    <n v="5"/>
  </r>
  <r>
    <x v="0"/>
    <x v="6"/>
    <x v="2"/>
    <n v="60975737001204"/>
    <x v="80"/>
    <s v="SÃO PAULO"/>
    <s v="SP"/>
    <x v="0"/>
    <s v="CLAUDIA BUENO (SPC/SPI)"/>
    <n v="62"/>
    <x v="3"/>
    <s v="HOSPITAL SAO CAMILO - SANTANA - SÃO PAULO - SP - 60.975.737/0012-04"/>
    <n v="6"/>
  </r>
  <r>
    <x v="0"/>
    <x v="6"/>
    <x v="2"/>
    <n v="60975737001204"/>
    <x v="80"/>
    <s v="SÃO PAULO"/>
    <s v="SP"/>
    <x v="0"/>
    <s v="CLAUDIA BUENO (SPC/SPI)"/>
    <n v="64"/>
    <x v="2"/>
    <s v="HOSPITAL SAO CAMILO - SANTANA - SÃO PAULO - SP - 60.975.737/0012-04"/>
    <n v="6"/>
  </r>
  <r>
    <x v="0"/>
    <x v="6"/>
    <x v="2"/>
    <n v="60975737005110"/>
    <x v="84"/>
    <s v="SÃO PAULO"/>
    <s v="SP"/>
    <x v="0"/>
    <s v="CLAUDIA BUENO (SPC/SPI)"/>
    <n v="64"/>
    <x v="2"/>
    <s v="HOSPITAL SAO CAMILO - IPIRANGA - SÃO PAULO - SP - 60.975.737/0051-10"/>
    <n v="3"/>
  </r>
  <r>
    <x v="0"/>
    <x v="6"/>
    <x v="2"/>
    <n v="60992427000650"/>
    <x v="86"/>
    <s v="SÃO PAULO"/>
    <s v="SP"/>
    <x v="0"/>
    <s v="CLAUDIA BUENO (SPC/SPI)"/>
    <n v="64"/>
    <x v="2"/>
    <s v="BENEFICENCIA NIPO BRASILEIRA DE SAO PAULO - SÃO PAULO - SP - 60.992.427/0006-50"/>
    <n v="5"/>
  </r>
  <r>
    <x v="0"/>
    <x v="6"/>
    <x v="2"/>
    <n v="61213674000240"/>
    <x v="32"/>
    <s v="SÃO PAULO"/>
    <s v="SP"/>
    <x v="0"/>
    <s v="CLAUDIA BUENO (SPC/SPI)"/>
    <n v="62"/>
    <x v="3"/>
    <s v="HOSPITAL INFANTIL SABARA - SÃO PAULO - SP - 61.213.674/0002-40"/>
    <n v="4"/>
  </r>
  <r>
    <x v="0"/>
    <x v="6"/>
    <x v="2"/>
    <n v="61213674000240"/>
    <x v="32"/>
    <s v="SÃO PAULO"/>
    <s v="SP"/>
    <x v="0"/>
    <s v="CLAUDIA BUENO (SPC/SPI)"/>
    <n v="64"/>
    <x v="2"/>
    <s v="HOSPITAL INFANTIL SABARA - SÃO PAULO - SP - 61.213.674/0002-40"/>
    <n v="1"/>
  </r>
  <r>
    <x v="0"/>
    <x v="6"/>
    <x v="2"/>
    <n v="61213674000240"/>
    <x v="32"/>
    <s v="SÃO PAULO"/>
    <s v="SP"/>
    <x v="0"/>
    <s v="CLAUDIA BUENO (SPC/SPI)"/>
    <n v="73"/>
    <x v="1"/>
    <s v="HOSPITAL INFANTIL SABARA - SÃO PAULO - SP - 61.213.674/0002-40"/>
    <n v="49"/>
  </r>
  <r>
    <x v="0"/>
    <x v="6"/>
    <x v="2"/>
    <n v="61599908000158"/>
    <x v="81"/>
    <s v="SÃO PAULO"/>
    <s v="SP"/>
    <x v="0"/>
    <s v="CLAUDIA BUENO (SPC/SPI)"/>
    <n v="62"/>
    <x v="3"/>
    <s v="REAL E BENEMERITA ASSOCIACAO PORTUGUESA DE BENEFICENCIA - SÃO PAULO - SP - 61.599.908/0001-58"/>
    <n v="10"/>
  </r>
  <r>
    <x v="0"/>
    <x v="6"/>
    <x v="2"/>
    <n v="62779145000190"/>
    <x v="56"/>
    <s v="SÃO PAULO"/>
    <s v="SP"/>
    <x v="0"/>
    <s v="CLAUDIA BUENO (SPC/SPI)"/>
    <n v="64"/>
    <x v="2"/>
    <s v="IRMANDADE DA SANTA CASA DE MISERICORDIA DE SAO PAULO - SÃO PAULO - SP - 62.779.145/0001-90"/>
    <n v="6"/>
  </r>
  <r>
    <x v="0"/>
    <x v="6"/>
    <x v="2"/>
    <n v="9591608000293"/>
    <x v="95"/>
    <s v="SÃO PAULO"/>
    <s v="SP"/>
    <x v="1"/>
    <m/>
    <n v="62"/>
    <x v="3"/>
    <s v="HGESP - SÃO PAULO - SP - 09.591.608/0002-93"/>
    <n v="24"/>
  </r>
  <r>
    <x v="0"/>
    <x v="6"/>
    <x v="2"/>
    <n v="9591608000293"/>
    <x v="95"/>
    <s v="SÃO PAULO"/>
    <s v="SP"/>
    <x v="1"/>
    <m/>
    <n v="70"/>
    <x v="0"/>
    <s v="HGESP - SÃO PAULO - SP - 09.591.608/0002-93"/>
    <n v="750"/>
  </r>
  <r>
    <x v="0"/>
    <x v="6"/>
    <x v="2"/>
    <n v="43586122000971"/>
    <x v="96"/>
    <s v="SÃO PAULO"/>
    <s v="SP"/>
    <x v="1"/>
    <m/>
    <n v="70"/>
    <x v="0"/>
    <s v="HOSPITAL ADVENTISTA DE SAO PAULO - SÃO PAULO - SP - 43.586.122/0009-71"/>
    <n v="170"/>
  </r>
  <r>
    <x v="0"/>
    <x v="6"/>
    <x v="2"/>
    <n v="46374500011803"/>
    <x v="97"/>
    <s v="SÃO PAULO"/>
    <s v="SP"/>
    <x v="1"/>
    <m/>
    <n v="70"/>
    <x v="0"/>
    <s v="HOSPITAL INFANTIL DARCY VARGAS - SÃO PAULO - SP - 46.374.500/0118-03"/>
    <n v="350"/>
  </r>
  <r>
    <x v="0"/>
    <x v="6"/>
    <x v="2"/>
    <n v="60742616001301"/>
    <x v="98"/>
    <s v="SÃO PAULO"/>
    <s v="SP"/>
    <x v="1"/>
    <m/>
    <n v="70"/>
    <x v="0"/>
    <s v="O.S.S. SANTA MARCELINA HOSPITAL CIDADE TIRADENTES - SÃO PAULO - SP - 60.742.616/0013-01"/>
    <n v="120"/>
  </r>
  <r>
    <x v="0"/>
    <x v="6"/>
    <x v="2"/>
    <n v="60840055000131"/>
    <x v="99"/>
    <s v="SÃO PAULO"/>
    <s v="SP"/>
    <x v="1"/>
    <m/>
    <n v="73"/>
    <x v="1"/>
    <s v="FLEURY MEDICINA E SAUDE - SÃO PAULO - SP - 60.840.055/0001-31"/>
    <n v="10"/>
  </r>
  <r>
    <x v="0"/>
    <x v="6"/>
    <x v="2"/>
    <n v="60975976000101"/>
    <x v="100"/>
    <s v="SÃO PAULO"/>
    <s v="SP"/>
    <x v="1"/>
    <m/>
    <n v="64"/>
    <x v="2"/>
    <s v="CLINICA INFANTIL DO IPIRANGA/HOSPITAL DOM ANTONIO DE AL - SÃO PAULO - SP - 60.975.976/0001-01"/>
    <n v="4"/>
  </r>
  <r>
    <x v="0"/>
    <x v="6"/>
    <x v="2"/>
    <n v="461479007257"/>
    <x v="101"/>
    <s v="SANTOS"/>
    <s v="SP"/>
    <x v="1"/>
    <m/>
    <n v="70"/>
    <x v="0"/>
    <s v="NUCLEO DE MEDICINA AVANCADA PREVENT SENIOR - SANTOS - SANTOS - SP - 00.461.479/0072-57"/>
    <n v="175"/>
  </r>
  <r>
    <x v="0"/>
    <x v="6"/>
    <x v="2"/>
    <n v="745887000570"/>
    <x v="102"/>
    <s v="TAUBATE"/>
    <s v="SP"/>
    <x v="1"/>
    <m/>
    <n v="70"/>
    <x v="0"/>
    <s v="CENTRO ONCOLOGICO DO VALE LTDA - TAUBATE - SP - PRIVADO - 00.745.887/0005-70"/>
    <n v="50"/>
  </r>
  <r>
    <x v="0"/>
    <x v="6"/>
    <x v="2"/>
    <n v="2639768000135"/>
    <x v="103"/>
    <s v="SAO PAULO"/>
    <s v="SP"/>
    <x v="1"/>
    <m/>
    <n v="70"/>
    <x v="0"/>
    <s v="MONTELEONE MEDICOS ASSOCIADOS EIRELI - SAO PAULO - SP - PRIVADO - 02.639.768/0001-35"/>
    <n v="10"/>
  </r>
  <r>
    <x v="0"/>
    <x v="6"/>
    <x v="2"/>
    <n v="3117525000108"/>
    <x v="104"/>
    <s v="SANTOS"/>
    <s v="SP"/>
    <x v="1"/>
    <m/>
    <n v="70"/>
    <x v="0"/>
    <s v="CITAC - CENTRO INTEGRADO DE TRATAMENTO AMBULATORIAL DO CANCER LTDA. - SANTOS - SP - PRIVADO - 03.117.525/0001-08"/>
    <n v="160"/>
  </r>
  <r>
    <x v="0"/>
    <x v="6"/>
    <x v="2"/>
    <n v="4708424000166"/>
    <x v="105"/>
    <s v="SÃO BERNARDO DO CAMPO"/>
    <s v="SP"/>
    <x v="1"/>
    <m/>
    <n v="64"/>
    <x v="2"/>
    <s v="SAFELAB - SÃO BERNARDO DO CAMPO - SP - 04.708.424/0001-66"/>
    <n v="1"/>
  </r>
  <r>
    <x v="0"/>
    <x v="6"/>
    <x v="2"/>
    <n v="33215770000100"/>
    <x v="106"/>
    <s v="VINHEDO"/>
    <s v="SP"/>
    <x v="1"/>
    <m/>
    <n v="70"/>
    <x v="0"/>
    <s v="NOVA MEDICAMENTOS ESPECIAIS - VINHEDO - SP - PRIVADO - 33.215.770/0001-00"/>
    <n v="110"/>
  </r>
  <r>
    <x v="0"/>
    <x v="6"/>
    <x v="2"/>
    <n v="47018676000176"/>
    <x v="107"/>
    <s v="CAMPINAS"/>
    <s v="SP"/>
    <x v="1"/>
    <m/>
    <n v="70"/>
    <x v="0"/>
    <s v="HOSPITAL MUNICIPAL DR MARIO GATTI - CAMPINAS - SP - 47.018.676/0001-76"/>
    <n v="225"/>
  </r>
  <r>
    <x v="0"/>
    <x v="6"/>
    <x v="2"/>
    <n v="50739135001709"/>
    <x v="108"/>
    <s v="JUNDIAÍ"/>
    <s v="SP"/>
    <x v="1"/>
    <m/>
    <n v="70"/>
    <x v="0"/>
    <s v="SOBAM CENTRO MEDICO HOSPITALAR LTDA - JUNDIAÍ - SP - 50.739.135/0017-09"/>
    <n v="295"/>
  </r>
  <r>
    <x v="0"/>
    <x v="6"/>
    <x v="2"/>
    <n v="51427540000359"/>
    <x v="109"/>
    <s v="OURINHOS"/>
    <s v="SP"/>
    <x v="1"/>
    <m/>
    <n v="70"/>
    <x v="0"/>
    <s v="HOSPITAL E MATERNIDADE UNIMED DE ORS COOP.DE TRABALHO - OURINHOS - SP - 51.427.540/0003-59"/>
    <n v="45"/>
  </r>
  <r>
    <x v="0"/>
    <x v="6"/>
    <x v="2"/>
    <n v="56014830000122"/>
    <x v="110"/>
    <s v="RIBEIRÃO PRETO"/>
    <s v="SP"/>
    <x v="1"/>
    <m/>
    <n v="70"/>
    <x v="0"/>
    <s v="FUNDACAO MATERNIDADE SINHA JUNQUEIRA - RIBEIRÃO PRETO - SP - 56.014.830/0001-22"/>
    <n v="70"/>
  </r>
  <r>
    <x v="0"/>
    <x v="6"/>
    <x v="2"/>
    <n v="58597774000121"/>
    <x v="111"/>
    <s v="CAMPINAS"/>
    <s v="SP"/>
    <x v="1"/>
    <m/>
    <n v="70"/>
    <x v="0"/>
    <s v="DROGA ANCHIETA - CAMPINAS - SP - 58.597.774/0001-21"/>
    <n v="100"/>
  </r>
  <r>
    <x v="0"/>
    <x v="6"/>
    <x v="2"/>
    <n v="60190550000142"/>
    <x v="112"/>
    <s v="SÃO JOSÉ DOS CAMPOS"/>
    <s v="SP"/>
    <x v="1"/>
    <m/>
    <n v="66"/>
    <x v="4"/>
    <s v="HOSPITAL SAO JOSE - SÃO JOSÉ DOS CAMPOS - SP - 60.190.550/0001-42"/>
    <n v="1"/>
  </r>
  <r>
    <x v="0"/>
    <x v="6"/>
    <x v="2"/>
    <n v="61687356004399"/>
    <x v="113"/>
    <s v="SOROCABA"/>
    <s v="SP"/>
    <x v="1"/>
    <m/>
    <n v="70"/>
    <x v="0"/>
    <s v="CHS - CONJUNTO HOSPITALAR DE SOROCABA - SOROCABA - SP - 61.687.356/0043-99"/>
    <n v="75"/>
  </r>
  <r>
    <x v="0"/>
    <x v="6"/>
    <x v="2"/>
    <n v="69289171000189"/>
    <x v="114"/>
    <s v="JACAREI"/>
    <s v="SP"/>
    <x v="1"/>
    <m/>
    <n v="70"/>
    <x v="0"/>
    <s v="ATIVIA SERVICOS DE SAUDE S/A - JACAREI - SP - PRIVADO - 69.289.171/0001-89"/>
    <n v="175"/>
  </r>
  <r>
    <x v="0"/>
    <x v="1"/>
    <x v="0"/>
    <n v="6033403000113"/>
    <x v="115"/>
    <s v="SANTO ANDRÉ"/>
    <s v="SP"/>
    <x v="0"/>
    <s v="CLAUDIA BUENO (SPC/SPI)"/>
    <n v="64"/>
    <x v="2"/>
    <s v="HSH - SANTO ANDRÉ - SP - 06.033.403/0001-13"/>
    <n v="2"/>
  </r>
  <r>
    <x v="0"/>
    <x v="0"/>
    <x v="0"/>
    <n v="6047087003073"/>
    <x v="116"/>
    <s v="SÃO JOSÉ DOS CAMPOS"/>
    <s v="SP"/>
    <x v="0"/>
    <s v="CLAUDIA BUENO (SPC/SPI)"/>
    <n v="66"/>
    <x v="4"/>
    <s v="HOSPITAL VIVALLE (REDE DOR) - SÃO JOSÉ DOS CAMPOS - SP - 06.047.087/0030-73"/>
    <n v="2"/>
  </r>
  <r>
    <x v="0"/>
    <x v="1"/>
    <x v="0"/>
    <n v="6047087003073"/>
    <x v="116"/>
    <s v="SÃO JOSÉ DOS CAMPOS"/>
    <s v="SP"/>
    <x v="0"/>
    <s v="CLAUDIA BUENO (SPC/SPI)"/>
    <n v="66"/>
    <x v="4"/>
    <s v="HOSPITAL VIVALLE (REDE DOR) - SÃO JOSÉ DOS CAMPOS - SP - 06.047.087/0030-73"/>
    <n v="1"/>
  </r>
  <r>
    <x v="0"/>
    <x v="0"/>
    <x v="0"/>
    <n v="6047087007656"/>
    <x v="117"/>
    <s v="OSASCO"/>
    <s v="SP"/>
    <x v="0"/>
    <s v="CLAUDIA BUENO (SPC/SPI)"/>
    <n v="62"/>
    <x v="3"/>
    <s v="HOSPITAL SINO BRASILEIRO (REDE DOR) - OSASCO - SP - 06.047.087/0076-56"/>
    <n v="9"/>
  </r>
  <r>
    <x v="0"/>
    <x v="1"/>
    <x v="0"/>
    <n v="6047087007907"/>
    <x v="118"/>
    <s v="SANTO ANDRÉ"/>
    <s v="SP"/>
    <x v="0"/>
    <s v="CLAUDIA BUENO (SPC/SPI)"/>
    <n v="62"/>
    <x v="3"/>
    <s v="HOSPITAL BARTIRA (REDE DOR) - SANTO ANDRÉ - SP - 06.047.087/0079-07"/>
    <n v="12"/>
  </r>
  <r>
    <x v="0"/>
    <x v="0"/>
    <x v="0"/>
    <n v="44456036000311"/>
    <x v="119"/>
    <s v="BAURU"/>
    <s v="SP"/>
    <x v="0"/>
    <s v="CLAUDIA BUENO (SPC/SPI)"/>
    <n v="62"/>
    <x v="3"/>
    <s v="HOSPITAL UNIMED - BAURU - SP - 44.456.036/0003-11"/>
    <n v="8"/>
  </r>
  <r>
    <x v="0"/>
    <x v="0"/>
    <x v="0"/>
    <n v="44456036000311"/>
    <x v="119"/>
    <s v="BAURU"/>
    <s v="SP"/>
    <x v="0"/>
    <s v="CLAUDIA BUENO (SPC/SPI)"/>
    <n v="64"/>
    <x v="2"/>
    <s v="HOSPITAL UNIMED - BAURU - SP - 44.456.036/0003-11"/>
    <n v="2"/>
  </r>
  <r>
    <x v="0"/>
    <x v="0"/>
    <x v="0"/>
    <n v="59970947000178"/>
    <x v="120"/>
    <s v="SÃO JOSÉ DO RIO PRETO"/>
    <s v="SP"/>
    <x v="0"/>
    <s v="CLAUDIA BUENO (SPC/SPI)"/>
    <n v="62"/>
    <x v="3"/>
    <s v="CASA DE SAUDE SANTA HELENA - SÃO JOSÉ DO RIO PRETO - SP - 59.970.947/0001-78"/>
    <n v="1"/>
  </r>
  <r>
    <x v="0"/>
    <x v="0"/>
    <x v="0"/>
    <n v="59972307000105"/>
    <x v="121"/>
    <s v="SÃO JOSÉ DO RIO PRETO"/>
    <s v="SP"/>
    <x v="0"/>
    <s v="CLAUDIA BUENO (SPC/SPI)"/>
    <n v="64"/>
    <x v="2"/>
    <s v="HOSPITAL INFANTE DOM HENRIQUE - SÃO JOSÉ DO RIO PRETO - SP - 59.972.307/0001-05"/>
    <n v="2"/>
  </r>
  <r>
    <x v="0"/>
    <x v="0"/>
    <x v="0"/>
    <n v="60003761000129"/>
    <x v="122"/>
    <s v="SÃO JOSÉ DO RIO PRETO"/>
    <s v="SP"/>
    <x v="0"/>
    <s v="CLAUDIA BUENO (SPC/SPI)"/>
    <n v="64"/>
    <x v="2"/>
    <s v="HOSPITAL DE BASE - SÃO JOSÉ DO RIO PRETO - SP - 60.003.761/0001-29"/>
    <n v="10"/>
  </r>
  <r>
    <x v="0"/>
    <x v="1"/>
    <x v="0"/>
    <n v="18290268000170"/>
    <x v="123"/>
    <s v="SANTOS"/>
    <s v="SP"/>
    <x v="0"/>
    <s v="CLAUDIA BUENO (SPC/SPI)"/>
    <n v="64"/>
    <x v="2"/>
    <s v="ASSOCIACAO HOSPITALAR CASA DE SAUDE DE SANTOS - SANTOS - SP - 18.290.268/0001-70"/>
    <n v="0"/>
  </r>
  <r>
    <x v="0"/>
    <x v="1"/>
    <x v="0"/>
    <n v="44456036000311"/>
    <x v="119"/>
    <s v="BAURU"/>
    <s v="SP"/>
    <x v="0"/>
    <s v="CLAUDIA BUENO (SPC/SPI)"/>
    <n v="62"/>
    <x v="3"/>
    <s v="HOSPITAL UNIMED - BAURU - SP - 44.456.036/0003-11"/>
    <n v="28"/>
  </r>
  <r>
    <x v="0"/>
    <x v="1"/>
    <x v="0"/>
    <n v="44456036000311"/>
    <x v="119"/>
    <s v="BAURU"/>
    <s v="SP"/>
    <x v="0"/>
    <s v="CLAUDIA BUENO (SPC/SPI)"/>
    <n v="64"/>
    <x v="2"/>
    <s v="HOSPITAL UNIMED - BAURU - SP - 44.456.036/0003-11"/>
    <n v="4"/>
  </r>
  <r>
    <x v="0"/>
    <x v="1"/>
    <x v="0"/>
    <n v="46009718000140"/>
    <x v="124"/>
    <s v="CAMPINAS"/>
    <s v="SP"/>
    <x v="0"/>
    <s v="CLAUDIA BUENO (SPC/SPI)"/>
    <n v="66"/>
    <x v="4"/>
    <s v="HOSPITAL VERA CRUZ S A - CAMPINAS - SP - 46.009.718/0001-40"/>
    <n v="6"/>
  </r>
  <r>
    <x v="0"/>
    <x v="1"/>
    <x v="0"/>
    <n v="46068425000133"/>
    <x v="125"/>
    <s v="CAMPINAS"/>
    <s v="SP"/>
    <x v="0"/>
    <s v="CLAUDIA BUENO (SPC/SPI)"/>
    <n v="66"/>
    <x v="4"/>
    <s v="UNIVERSIDADE ESTADUAL DE CAMPINAS - CAMPINAS - SP - 46.068.425/0001-33"/>
    <n v="2"/>
  </r>
  <r>
    <x v="0"/>
    <x v="1"/>
    <x v="0"/>
    <n v="46374500003886"/>
    <x v="126"/>
    <s v="ARAÇATUBA"/>
    <s v="SP"/>
    <x v="0"/>
    <s v="CLAUDIA BUENO (SPC/SPI)"/>
    <n v="66"/>
    <x v="4"/>
    <s v="DEPARTAMENTO REGIONAL DE SAUDE - DRS II - ARACATUBA - ARAÇATUBA - SP - 46.374.500/0038-86"/>
    <n v="18"/>
  </r>
  <r>
    <x v="0"/>
    <x v="1"/>
    <x v="0"/>
    <n v="48310098000100"/>
    <x v="127"/>
    <s v="SÃO JOSÉ DO RIO PRETO"/>
    <s v="SP"/>
    <x v="0"/>
    <s v="CLAUDIA BUENO (SPC/SPI)"/>
    <n v="64"/>
    <x v="2"/>
    <s v="CENTRO MEDICO RIO PRETO LTDA - SÃO JOSÉ DO RIO PRETO - SP - 48.310.098/0001-00"/>
    <n v="1"/>
  </r>
  <r>
    <x v="0"/>
    <x v="1"/>
    <x v="0"/>
    <n v="59970947000178"/>
    <x v="120"/>
    <s v="SÃO JOSÉ DO RIO PRETO"/>
    <s v="SP"/>
    <x v="0"/>
    <s v="CLAUDIA BUENO (SPC/SPI)"/>
    <n v="62"/>
    <x v="3"/>
    <s v="CASA DE SAUDE SANTA HELENA - SÃO JOSÉ DO RIO PRETO - SP - 59.970.947/0001-78"/>
    <n v="4"/>
  </r>
  <r>
    <x v="0"/>
    <x v="1"/>
    <x v="0"/>
    <n v="60003761000129"/>
    <x v="122"/>
    <s v="SÃO JOSÉ DO RIO PRETO"/>
    <s v="SP"/>
    <x v="0"/>
    <s v="CLAUDIA BUENO (SPC/SPI)"/>
    <n v="62"/>
    <x v="3"/>
    <s v="HOSPITAL DE BASE - SÃO JOSÉ DO RIO PRETO - SP - 60.003.761/0001-29"/>
    <n v="5"/>
  </r>
  <r>
    <x v="0"/>
    <x v="1"/>
    <x v="0"/>
    <n v="60003761000129"/>
    <x v="122"/>
    <s v="SÃO JOSÉ DO RIO PRETO"/>
    <s v="SP"/>
    <x v="0"/>
    <s v="CLAUDIA BUENO (SPC/SPI)"/>
    <n v="64"/>
    <x v="2"/>
    <s v="HOSPITAL DE BASE - SÃO JOSÉ DO RIO PRETO - SP - 60.003.761/0001-29"/>
    <n v="12"/>
  </r>
  <r>
    <x v="0"/>
    <x v="2"/>
    <x v="0"/>
    <n v="6033403000113"/>
    <x v="115"/>
    <s v="SANTO ANDRÉ"/>
    <s v="SP"/>
    <x v="0"/>
    <s v="CLAUDIA BUENO (SPC/SPI)"/>
    <n v="64"/>
    <x v="2"/>
    <s v="HSH - SANTO ANDRÉ - SP - 06.033.403/0001-13"/>
    <n v="14"/>
  </r>
  <r>
    <x v="0"/>
    <x v="2"/>
    <x v="0"/>
    <n v="6047087000724"/>
    <x v="128"/>
    <s v="SANTO ANDRÉ"/>
    <s v="SP"/>
    <x v="0"/>
    <s v="CLAUDIA BUENO (SPC/SPI)"/>
    <n v="62"/>
    <x v="3"/>
    <s v="HOSPITAL E MATERNIDADE BRASIL (REDE DOR) - SANTO ANDRÉ - SP - 06.047.087/0007-24"/>
    <n v="10"/>
  </r>
  <r>
    <x v="0"/>
    <x v="2"/>
    <x v="0"/>
    <n v="6047087000724"/>
    <x v="128"/>
    <s v="SANTO ANDRÉ"/>
    <s v="SP"/>
    <x v="0"/>
    <s v="CLAUDIA BUENO (SPC/SPI)"/>
    <n v="64"/>
    <x v="2"/>
    <s v="HOSPITAL E MATERNIDADE BRASIL (REDE DOR) - SANTO ANDRÉ - SP - 06.047.087/0007-24"/>
    <n v="12"/>
  </r>
  <r>
    <x v="0"/>
    <x v="2"/>
    <x v="0"/>
    <n v="6047087003073"/>
    <x v="116"/>
    <s v="SÃO JOSÉ DOS CAMPOS"/>
    <s v="SP"/>
    <x v="0"/>
    <s v="CLAUDIA BUENO (SPC/SPI)"/>
    <n v="66"/>
    <x v="4"/>
    <s v="HOSPITAL VIVALLE (REDE DOR) - SÃO JOSÉ DOS CAMPOS - SP - 06.047.087/0030-73"/>
    <n v="3"/>
  </r>
  <r>
    <x v="0"/>
    <x v="2"/>
    <x v="0"/>
    <n v="6047087007656"/>
    <x v="117"/>
    <s v="OSASCO"/>
    <s v="SP"/>
    <x v="0"/>
    <s v="CLAUDIA BUENO (SPC/SPI)"/>
    <n v="62"/>
    <x v="3"/>
    <s v="HOSPITAL SINO BRASILEIRO (REDE DOR) - OSASCO - SP - 06.047.087/0076-56"/>
    <n v="3"/>
  </r>
  <r>
    <x v="0"/>
    <x v="2"/>
    <x v="0"/>
    <n v="44456036000311"/>
    <x v="119"/>
    <s v="BAURU"/>
    <s v="SP"/>
    <x v="0"/>
    <s v="CLAUDIA BUENO (SPC/SPI)"/>
    <n v="64"/>
    <x v="2"/>
    <s v="HOSPITAL UNIMED - BAURU - SP - 44.456.036/0003-11"/>
    <n v="7"/>
  </r>
  <r>
    <x v="0"/>
    <x v="2"/>
    <x v="0"/>
    <n v="44649812001614"/>
    <x v="129"/>
    <s v="JUNDIAÍ"/>
    <s v="SP"/>
    <x v="0"/>
    <s v="CLAUDIA BUENO (SPC/SPI)"/>
    <n v="64"/>
    <x v="2"/>
    <s v="HOSPITAL PAULO SACRAMENTO - JUNDIAÍ - SP - 44.649.812/0016-14"/>
    <n v="4"/>
  </r>
  <r>
    <x v="0"/>
    <x v="2"/>
    <x v="0"/>
    <n v="45118429001279"/>
    <x v="130"/>
    <s v="CATANDUVA"/>
    <s v="SP"/>
    <x v="0"/>
    <s v="CLAUDIA BUENO (SPC/SPI)"/>
    <n v="64"/>
    <x v="2"/>
    <s v="UNIMED HOSPITAL SAO DOMINGOS - CATANDUVA - SP - 45.118.429/0012-79"/>
    <n v="7"/>
  </r>
  <r>
    <x v="0"/>
    <x v="2"/>
    <x v="0"/>
    <n v="46009718000140"/>
    <x v="124"/>
    <s v="CAMPINAS"/>
    <s v="SP"/>
    <x v="0"/>
    <s v="CLAUDIA BUENO (SPC/SPI)"/>
    <n v="66"/>
    <x v="4"/>
    <s v="HOSPITAL VERA CRUZ S A - CAMPINAS - SP - 46.009.718/0001-40"/>
    <n v="3"/>
  </r>
  <r>
    <x v="0"/>
    <x v="2"/>
    <x v="0"/>
    <n v="46020301000269"/>
    <x v="131"/>
    <s v="CAMPINAS"/>
    <s v="SP"/>
    <x v="0"/>
    <s v="CLAUDIA BUENO (SPC/SPI)"/>
    <n v="64"/>
    <x v="2"/>
    <s v="HOSPITAL E MATERNIDADE CELSO PIERRO - CAMPINAS - SP - 46.020.301/0002-69"/>
    <n v="1"/>
  </r>
  <r>
    <x v="0"/>
    <x v="2"/>
    <x v="0"/>
    <n v="47565155000996"/>
    <x v="132"/>
    <s v="PINDAMONHANGABA"/>
    <s v="SP"/>
    <x v="0"/>
    <s v="CLAUDIA BUENO (SPC/SPI)"/>
    <n v="62"/>
    <x v="3"/>
    <s v="HOSPITAL 10 JULHO - PINDAMONHANGABA - SP - 47.565.155/0009-96"/>
    <n v="3"/>
  </r>
  <r>
    <x v="0"/>
    <x v="2"/>
    <x v="0"/>
    <n v="47565155000996"/>
    <x v="132"/>
    <s v="PINDAMONHANGABA"/>
    <s v="SP"/>
    <x v="0"/>
    <s v="CLAUDIA BUENO (SPC/SPI)"/>
    <n v="64"/>
    <x v="2"/>
    <s v="HOSPITAL 10 JULHO - PINDAMONHANGABA - SP - 47.565.155/0009-96"/>
    <n v="4"/>
  </r>
  <r>
    <x v="0"/>
    <x v="2"/>
    <x v="0"/>
    <n v="50944198000130"/>
    <x v="133"/>
    <s v="JUNDIAÍ"/>
    <s v="SP"/>
    <x v="0"/>
    <s v="CLAUDIA BUENO (SPC/SPI)"/>
    <n v="64"/>
    <x v="2"/>
    <s v="HOSPITAL DE CARIDADE SAO VICENTE DE PAULO - JUNDIAÍ - SP - 50.944.198/0001-30"/>
    <n v="8"/>
  </r>
  <r>
    <x v="0"/>
    <x v="2"/>
    <x v="0"/>
    <n v="53311999000156"/>
    <x v="134"/>
    <s v="ORLÂNDIA"/>
    <s v="SP"/>
    <x v="0"/>
    <s v="CLAUDIA BUENO (SPC/SPI)"/>
    <n v="64"/>
    <x v="2"/>
    <s v="HOSPITAL BENEFICENTE SANTO ANTONIO - ORLÂNDIA - SP - 53.311.999/0001-56"/>
    <n v="2"/>
  </r>
  <r>
    <x v="0"/>
    <x v="2"/>
    <x v="0"/>
    <n v="60003761000129"/>
    <x v="122"/>
    <s v="SÃO JOSÉ DO RIO PRETO"/>
    <s v="SP"/>
    <x v="0"/>
    <s v="CLAUDIA BUENO (SPC/SPI)"/>
    <n v="62"/>
    <x v="3"/>
    <s v="HOSPITAL DE BASE - SÃO JOSÉ DO RIO PRETO - SP - 60.003.761/0001-29"/>
    <n v="10"/>
  </r>
  <r>
    <x v="0"/>
    <x v="2"/>
    <x v="0"/>
    <n v="60003761000129"/>
    <x v="122"/>
    <s v="SÃO JOSÉ DO RIO PRETO"/>
    <s v="SP"/>
    <x v="0"/>
    <s v="CLAUDIA BUENO (SPC/SPI)"/>
    <n v="64"/>
    <x v="2"/>
    <s v="HOSPITAL DE BASE - SÃO JOSÉ DO RIO PRETO - SP - 60.003.761/0001-29"/>
    <n v="15"/>
  </r>
  <r>
    <x v="0"/>
    <x v="3"/>
    <x v="1"/>
    <n v="6047087007656"/>
    <x v="117"/>
    <s v="OSASCO"/>
    <s v="SP"/>
    <x v="0"/>
    <s v="CLAUDIA BUENO (SPC/SPI)"/>
    <n v="62"/>
    <x v="3"/>
    <s v="HOSPITAL SINO BRASILEIRO (REDE DOR) - OSASCO - SP - 06.047.087/0076-56"/>
    <n v="1"/>
  </r>
  <r>
    <x v="0"/>
    <x v="3"/>
    <x v="1"/>
    <n v="8000609000172"/>
    <x v="135"/>
    <s v="FRANCO DA ROCHA"/>
    <s v="SP"/>
    <x v="0"/>
    <s v="CLAUDIA BUENO (SPC/SPI)"/>
    <n v="64"/>
    <x v="2"/>
    <s v="KR MEDICINA E DIAGNOSTICOS LTDA - FRANCO DA ROCHA - SP - 08.000.609/0001-72"/>
    <n v="2"/>
  </r>
  <r>
    <x v="0"/>
    <x v="3"/>
    <x v="1"/>
    <n v="44456036000311"/>
    <x v="119"/>
    <s v="BAURU"/>
    <s v="SP"/>
    <x v="0"/>
    <s v="CLAUDIA BUENO (SPC/SPI)"/>
    <n v="62"/>
    <x v="3"/>
    <s v="HOSPITAL UNIMED - BAURU - SP - 44.456.036/0003-11"/>
    <n v="12"/>
  </r>
  <r>
    <x v="0"/>
    <x v="3"/>
    <x v="1"/>
    <n v="45184066000117"/>
    <x v="136"/>
    <s v="SÃO JOSÉ DOS CAMPOS"/>
    <s v="SP"/>
    <x v="0"/>
    <s v="CLAUDIA BUENO (SPC/SPI)"/>
    <n v="64"/>
    <x v="2"/>
    <s v="HOSPITAL POLICLIN - SÃO JOSÉ DOS CAMPOS - SP - 45.184.066/0001-17"/>
    <n v="2"/>
  </r>
  <r>
    <x v="0"/>
    <x v="3"/>
    <x v="1"/>
    <n v="45232246000550"/>
    <x v="137"/>
    <s v="RIBEIRÃO PRETO"/>
    <s v="SP"/>
    <x v="0"/>
    <s v="CLAUDIA BUENO (SPC/SPI)"/>
    <n v="62"/>
    <x v="3"/>
    <s v="UNIMED DE RIBEIRAO PRETO COOPERATIVA DE TRABALHO MEDICO - RIBEIRÃO PRETO - SP - 45.232.246/0005-50"/>
    <n v="23"/>
  </r>
  <r>
    <x v="0"/>
    <x v="3"/>
    <x v="1"/>
    <n v="46068425000133"/>
    <x v="125"/>
    <s v="CAMPINAS"/>
    <s v="SP"/>
    <x v="0"/>
    <s v="CLAUDIA BUENO (SPC/SPI)"/>
    <n v="66"/>
    <x v="4"/>
    <s v="UNIVERSIDADE ESTADUAL DE CAMPINAS - CAMPINAS - SP - 46.068.425/0001-33"/>
    <n v="1"/>
  </r>
  <r>
    <x v="0"/>
    <x v="3"/>
    <x v="1"/>
    <n v="53311999000156"/>
    <x v="134"/>
    <s v="ORLÂNDIA"/>
    <s v="SP"/>
    <x v="0"/>
    <s v="CLAUDIA BUENO (SPC/SPI)"/>
    <n v="64"/>
    <x v="2"/>
    <s v="HOSPITAL BENEFICENTE SANTO ANTONIO - ORLÂNDIA - SP - 53.311.999/0001-56"/>
    <n v="1"/>
  </r>
  <r>
    <x v="0"/>
    <x v="3"/>
    <x v="1"/>
    <n v="60003761000129"/>
    <x v="122"/>
    <s v="SÃO JOSÉ DO RIO PRETO"/>
    <s v="SP"/>
    <x v="0"/>
    <s v="CLAUDIA BUENO (SPC/SPI)"/>
    <n v="62"/>
    <x v="3"/>
    <s v="HOSPITAL DE BASE - SÃO JOSÉ DO RIO PRETO - SP - 60.003.761/0001-29"/>
    <n v="20"/>
  </r>
  <r>
    <x v="0"/>
    <x v="3"/>
    <x v="1"/>
    <n v="60003761000129"/>
    <x v="122"/>
    <s v="SÃO JOSÉ DO RIO PRETO"/>
    <s v="SP"/>
    <x v="0"/>
    <s v="CLAUDIA BUENO (SPC/SPI)"/>
    <n v="64"/>
    <x v="2"/>
    <s v="HOSPITAL DE BASE - SÃO JOSÉ DO RIO PRETO - SP - 60.003.761/0001-29"/>
    <n v="36"/>
  </r>
  <r>
    <x v="0"/>
    <x v="3"/>
    <x v="1"/>
    <n v="60214517001691"/>
    <x v="138"/>
    <s v="SÃO JOSÉ DOS CAMPOS"/>
    <s v="SP"/>
    <x v="0"/>
    <s v="CLAUDIA BUENO (SPC/SPI)"/>
    <n v="62"/>
    <x v="3"/>
    <s v="HOSPITAL SANTOS DUMONT - SÃO JOSÉ DOS CAMPOS - SP - 60.214.517/0016-91"/>
    <n v="20"/>
  </r>
  <r>
    <x v="0"/>
    <x v="4"/>
    <x v="1"/>
    <n v="6047087003073"/>
    <x v="116"/>
    <s v="SÃO JOSÉ DOS CAMPOS"/>
    <s v="SP"/>
    <x v="0"/>
    <s v="CLAUDIA BUENO (SPC/SPI)"/>
    <n v="66"/>
    <x v="4"/>
    <s v="HOSPITAL VIVALLE (REDE DOR) - SÃO JOSÉ DOS CAMPOS - SP - 06.047.087/0030-73"/>
    <n v="4"/>
  </r>
  <r>
    <x v="0"/>
    <x v="4"/>
    <x v="1"/>
    <n v="6047087007656"/>
    <x v="117"/>
    <s v="OSASCO"/>
    <s v="SP"/>
    <x v="0"/>
    <s v="CLAUDIA BUENO (SPC/SPI)"/>
    <n v="62"/>
    <x v="3"/>
    <s v="HOSPITAL SINO BRASILEIRO (REDE DOR) - OSASCO - SP - 06.047.087/0076-56"/>
    <n v="2"/>
  </r>
  <r>
    <x v="0"/>
    <x v="4"/>
    <x v="1"/>
    <n v="44456036000311"/>
    <x v="119"/>
    <s v="BAURU"/>
    <s v="SP"/>
    <x v="0"/>
    <s v="CLAUDIA BUENO (SPC/SPI)"/>
    <n v="62"/>
    <x v="3"/>
    <s v="HOSPITAL UNIMED - BAURU - SP - 44.456.036/0003-11"/>
    <n v="1"/>
  </r>
  <r>
    <x v="0"/>
    <x v="4"/>
    <x v="1"/>
    <n v="44456036000311"/>
    <x v="119"/>
    <s v="BAURU"/>
    <s v="SP"/>
    <x v="0"/>
    <s v="CLAUDIA BUENO (SPC/SPI)"/>
    <n v="64"/>
    <x v="2"/>
    <s v="HOSPITAL UNIMED - BAURU - SP - 44.456.036/0003-11"/>
    <n v="2"/>
  </r>
  <r>
    <x v="0"/>
    <x v="4"/>
    <x v="1"/>
    <n v="44456036000311"/>
    <x v="119"/>
    <s v="BAURU"/>
    <s v="SP"/>
    <x v="0"/>
    <s v="CLAUDIA BUENO (SPC/SPI)"/>
    <n v="66"/>
    <x v="4"/>
    <s v="HOSPITAL UNIMED - BAURU - SP - 44.456.036/0003-11"/>
    <n v="4"/>
  </r>
  <r>
    <x v="0"/>
    <x v="4"/>
    <x v="1"/>
    <n v="44649812001614"/>
    <x v="129"/>
    <s v="JUNDIAÍ"/>
    <s v="SP"/>
    <x v="0"/>
    <s v="CLAUDIA BUENO (SPC/SPI)"/>
    <n v="64"/>
    <x v="2"/>
    <s v="HOSPITAL PAULO SACRAMENTO - JUNDIAÍ - SP - 44.649.812/0016-14"/>
    <n v="2"/>
  </r>
  <r>
    <x v="0"/>
    <x v="4"/>
    <x v="1"/>
    <n v="46020301000269"/>
    <x v="131"/>
    <s v="CAMPINAS"/>
    <s v="SP"/>
    <x v="0"/>
    <s v="CLAUDIA BUENO (SPC/SPI)"/>
    <n v="64"/>
    <x v="2"/>
    <s v="HOSPITAL E MATERNIDADE CELSO PIERRO - CAMPINAS - SP - 46.020.301/0002-69"/>
    <n v="1"/>
  </r>
  <r>
    <x v="0"/>
    <x v="4"/>
    <x v="1"/>
    <n v="46068425000133"/>
    <x v="125"/>
    <s v="CAMPINAS"/>
    <s v="SP"/>
    <x v="0"/>
    <s v="CLAUDIA BUENO (SPC/SPI)"/>
    <n v="66"/>
    <x v="4"/>
    <s v="UNIVERSIDADE ESTADUAL DE CAMPINAS - CAMPINAS - SP - 46.068.425/0001-33"/>
    <n v="2"/>
  </r>
  <r>
    <x v="0"/>
    <x v="4"/>
    <x v="1"/>
    <n v="49150352000201"/>
    <x v="139"/>
    <s v="BARRETOS"/>
    <s v="SP"/>
    <x v="0"/>
    <s v="CLAUDIA BUENO (SPC/SPI)"/>
    <n v="64"/>
    <x v="2"/>
    <s v="FUNDACAO PIO XII - BARRETOS - SP - 49.150.352/0002-01"/>
    <n v="5"/>
  </r>
  <r>
    <x v="0"/>
    <x v="4"/>
    <x v="1"/>
    <n v="50944198000130"/>
    <x v="133"/>
    <s v="JUNDIAÍ"/>
    <s v="SP"/>
    <x v="0"/>
    <s v="CLAUDIA BUENO (SPC/SPI)"/>
    <n v="64"/>
    <x v="2"/>
    <s v="HOSPITAL DE CARIDADE SAO VICENTE DE PAULO - JUNDIAÍ - SP - 50.944.198/0001-30"/>
    <n v="16"/>
  </r>
  <r>
    <x v="0"/>
    <x v="4"/>
    <x v="1"/>
    <n v="53311999000156"/>
    <x v="134"/>
    <s v="ORLÂNDIA"/>
    <s v="SP"/>
    <x v="0"/>
    <s v="CLAUDIA BUENO (SPC/SPI)"/>
    <n v="64"/>
    <x v="2"/>
    <s v="HOSPITAL BENEFICENTE SANTO ANTONIO - ORLÂNDIA - SP - 53.311.999/0001-56"/>
    <n v="10"/>
  </r>
  <r>
    <x v="0"/>
    <x v="4"/>
    <x v="1"/>
    <n v="56727134001216"/>
    <x v="140"/>
    <s v="JUNDIAÍ"/>
    <s v="SP"/>
    <x v="0"/>
    <s v="CLAUDIA BUENO (SPC/SPI)"/>
    <n v="64"/>
    <x v="2"/>
    <s v="HOSPITAL UNIMED - UNIDADE ANCHIETA - JUNDIAÍ - SP - 56.727.134/0012-16"/>
    <n v="2"/>
  </r>
  <r>
    <x v="0"/>
    <x v="4"/>
    <x v="1"/>
    <n v="60003761000129"/>
    <x v="122"/>
    <s v="SÃO JOSÉ DO RIO PRETO"/>
    <s v="SP"/>
    <x v="0"/>
    <s v="CLAUDIA BUENO (SPC/SPI)"/>
    <n v="62"/>
    <x v="3"/>
    <s v="HOSPITAL DE BASE - SÃO JOSÉ DO RIO PRETO - SP - 60.003.761/0001-29"/>
    <n v="16"/>
  </r>
  <r>
    <x v="0"/>
    <x v="4"/>
    <x v="1"/>
    <n v="60003761000129"/>
    <x v="122"/>
    <s v="SÃO JOSÉ DO RIO PRETO"/>
    <s v="SP"/>
    <x v="0"/>
    <s v="CLAUDIA BUENO (SPC/SPI)"/>
    <n v="64"/>
    <x v="2"/>
    <s v="HOSPITAL DE BASE - SÃO JOSÉ DO RIO PRETO - SP - 60.003.761/0001-29"/>
    <n v="30"/>
  </r>
  <r>
    <x v="0"/>
    <x v="5"/>
    <x v="1"/>
    <n v="44456036000311"/>
    <x v="119"/>
    <s v="BAURU"/>
    <s v="SP"/>
    <x v="0"/>
    <s v="CLAUDIA BUENO (SPC/SPI)"/>
    <n v="62"/>
    <x v="3"/>
    <s v="HOSPITAL UNIMED - BAURU - SP - 44.456.036/0003-11"/>
    <n v="2"/>
  </r>
  <r>
    <x v="0"/>
    <x v="5"/>
    <x v="1"/>
    <n v="44456036000311"/>
    <x v="119"/>
    <s v="BAURU"/>
    <s v="SP"/>
    <x v="0"/>
    <s v="CLAUDIA BUENO (SPC/SPI)"/>
    <n v="64"/>
    <x v="2"/>
    <s v="HOSPITAL UNIMED - BAURU - SP - 44.456.036/0003-11"/>
    <n v="1"/>
  </r>
  <r>
    <x v="0"/>
    <x v="5"/>
    <x v="1"/>
    <n v="50944198000130"/>
    <x v="133"/>
    <s v="JUNDIAÍ"/>
    <s v="SP"/>
    <x v="0"/>
    <s v="CLAUDIA BUENO (SPC/SPI)"/>
    <n v="64"/>
    <x v="2"/>
    <s v="HOSPITAL DE CARIDADE SAO VICENTE DE PAULO - JUNDIAÍ - SP - 50.944.198/0001-30"/>
    <n v="4"/>
  </r>
  <r>
    <x v="0"/>
    <x v="5"/>
    <x v="1"/>
    <n v="53311999000156"/>
    <x v="134"/>
    <s v="ORLÂNDIA"/>
    <s v="SP"/>
    <x v="0"/>
    <s v="CLAUDIA BUENO (SPC/SPI)"/>
    <n v="64"/>
    <x v="2"/>
    <s v="HOSPITAL BENEFICENTE SANTO ANTONIO - ORLÂNDIA - SP - 53.311.999/0001-56"/>
    <n v="2"/>
  </r>
  <r>
    <x v="0"/>
    <x v="5"/>
    <x v="1"/>
    <n v="60003761000129"/>
    <x v="122"/>
    <s v="SÃO JOSÉ DO RIO PRETO"/>
    <s v="SP"/>
    <x v="0"/>
    <s v="CLAUDIA BUENO (SPC/SPI)"/>
    <n v="62"/>
    <x v="3"/>
    <s v="HOSPITAL DE BASE - SÃO JOSÉ DO RIO PRETO - SP - 60.003.761/0001-29"/>
    <n v="8"/>
  </r>
  <r>
    <x v="0"/>
    <x v="5"/>
    <x v="1"/>
    <n v="60003761000129"/>
    <x v="122"/>
    <s v="SÃO JOSÉ DO RIO PRETO"/>
    <s v="SP"/>
    <x v="0"/>
    <s v="CLAUDIA BUENO (SPC/SPI)"/>
    <n v="64"/>
    <x v="2"/>
    <s v="HOSPITAL DE BASE - SÃO JOSÉ DO RIO PRETO - SP - 60.003.761/0001-29"/>
    <n v="35"/>
  </r>
  <r>
    <x v="0"/>
    <x v="6"/>
    <x v="2"/>
    <n v="6033403000113"/>
    <x v="115"/>
    <s v="SANTO ANDRÉ"/>
    <s v="SP"/>
    <x v="0"/>
    <s v="CLAUDIA BUENO (SPC/SPI)"/>
    <n v="64"/>
    <x v="2"/>
    <s v="HSH - SANTO ANDRÉ - SP - 06.033.403/0001-13"/>
    <n v="3"/>
  </r>
  <r>
    <x v="0"/>
    <x v="6"/>
    <x v="2"/>
    <n v="44456036000311"/>
    <x v="119"/>
    <s v="BAURU"/>
    <s v="SP"/>
    <x v="0"/>
    <s v="CLAUDIA BUENO (SPC/SPI)"/>
    <n v="62"/>
    <x v="3"/>
    <s v="HOSPITAL UNIMED - BAURU - SP - 44.456.036/0003-11"/>
    <n v="8"/>
  </r>
  <r>
    <x v="0"/>
    <x v="6"/>
    <x v="2"/>
    <n v="44456036000311"/>
    <x v="119"/>
    <s v="BAURU"/>
    <s v="SP"/>
    <x v="0"/>
    <s v="CLAUDIA BUENO (SPC/SPI)"/>
    <n v="66"/>
    <x v="4"/>
    <s v="HOSPITAL UNIMED - BAURU - SP - 44.456.036/0003-11"/>
    <n v="4"/>
  </r>
  <r>
    <x v="0"/>
    <x v="6"/>
    <x v="2"/>
    <n v="44649812001614"/>
    <x v="129"/>
    <s v="JUNDIAÍ"/>
    <s v="SP"/>
    <x v="0"/>
    <s v="CLAUDIA BUENO (SPC/SPI)"/>
    <n v="64"/>
    <x v="2"/>
    <s v="HOSPITAL PAULO SACRAMENTO - JUNDIAÍ - SP - 44.649.812/0016-14"/>
    <n v="4"/>
  </r>
  <r>
    <x v="0"/>
    <x v="6"/>
    <x v="2"/>
    <n v="45184066000117"/>
    <x v="136"/>
    <s v="SÃO JOSÉ DOS CAMPOS"/>
    <s v="SP"/>
    <x v="0"/>
    <s v="CLAUDIA BUENO (SPC/SPI)"/>
    <n v="64"/>
    <x v="2"/>
    <s v="HOSPITAL POLICLIN - SÃO JOSÉ DOS CAMPOS - SP - 45.184.066/0001-17"/>
    <n v="1"/>
  </r>
  <r>
    <x v="0"/>
    <x v="6"/>
    <x v="2"/>
    <n v="46068425000133"/>
    <x v="125"/>
    <s v="CAMPINAS"/>
    <s v="SP"/>
    <x v="0"/>
    <s v="CLAUDIA BUENO (SPC/SPI)"/>
    <n v="66"/>
    <x v="4"/>
    <s v="UNIVERSIDADE ESTADUAL DE CAMPINAS - CAMPINAS - SP - 46.068.425/0001-33"/>
    <n v="1"/>
  </r>
  <r>
    <x v="0"/>
    <x v="6"/>
    <x v="2"/>
    <n v="60003761000129"/>
    <x v="122"/>
    <s v="SÃO JOSÉ DO RIO PRETO"/>
    <s v="SP"/>
    <x v="0"/>
    <s v="CLAUDIA BUENO (SPC/SPI)"/>
    <n v="64"/>
    <x v="2"/>
    <s v="HOSPITAL DE BASE - SÃO JOSÉ DO RIO PRETO - SP - 60.003.761/0001-29"/>
    <n v="20"/>
  </r>
  <r>
    <x v="0"/>
    <x v="0"/>
    <x v="0"/>
    <n v="2643405000173"/>
    <x v="141"/>
    <s v="SÃO JOSÉ DO RIO PRETO"/>
    <s v="SP"/>
    <x v="0"/>
    <s v="CLAUDIA BUENO (SPC/SPI)"/>
    <n v="73"/>
    <x v="1"/>
    <s v="HOME CARE CENE - SÃO JOSÉ DO RIO PRETO - SP - 02.643.405/0001-73"/>
    <n v="6"/>
  </r>
  <r>
    <x v="0"/>
    <x v="1"/>
    <x v="0"/>
    <n v="2643405000173"/>
    <x v="141"/>
    <s v="SÃO JOSÉ DO RIO PRETO"/>
    <s v="SP"/>
    <x v="0"/>
    <s v="CLAUDIA BUENO (SPC/SPI)"/>
    <n v="73"/>
    <x v="1"/>
    <s v="HOME CARE CENE - SÃO JOSÉ DO RIO PRETO - SP - 02.643.405/0001-73"/>
    <n v="12"/>
  </r>
  <r>
    <x v="0"/>
    <x v="0"/>
    <x v="0"/>
    <n v="4275687000129"/>
    <x v="142"/>
    <s v="ATIBAIA"/>
    <s v="SP"/>
    <x v="0"/>
    <s v="CLAUDIA BUENO (SPC/SPI)"/>
    <n v="73"/>
    <x v="1"/>
    <s v="ALBERT SABIN HOSPITAL E MATERNIDADE - ATIBAIA - SP - 04.275.687/0001-29"/>
    <n v="36"/>
  </r>
  <r>
    <x v="0"/>
    <x v="1"/>
    <x v="0"/>
    <n v="4275687000129"/>
    <x v="142"/>
    <s v="ATIBAIA"/>
    <s v="SP"/>
    <x v="0"/>
    <s v="CLAUDIA BUENO (SPC/SPI)"/>
    <n v="73"/>
    <x v="1"/>
    <s v="ALBERT SABIN HOSPITAL E MATERNIDADE - ATIBAIA - SP - 04.275.687/0001-29"/>
    <n v="15"/>
  </r>
  <r>
    <x v="0"/>
    <x v="0"/>
    <x v="0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48"/>
  </r>
  <r>
    <x v="0"/>
    <x v="1"/>
    <x v="0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48"/>
  </r>
  <r>
    <x v="0"/>
    <x v="0"/>
    <x v="0"/>
    <n v="10447300000177"/>
    <x v="143"/>
    <s v="CAMPINAS"/>
    <s v="SP"/>
    <x v="0"/>
    <s v="CLAUDIA BUENO (SPC/SPI)"/>
    <n v="73"/>
    <x v="1"/>
    <s v="ALERGO LOGICA DIAGNOSTICO EM ALERGIA LTDA ME - CAMPINAS - SP - 10.447.300/0001-77"/>
    <n v="4"/>
  </r>
  <r>
    <x v="0"/>
    <x v="1"/>
    <x v="0"/>
    <n v="10447300000177"/>
    <x v="143"/>
    <s v="CAMPINAS"/>
    <s v="SP"/>
    <x v="0"/>
    <s v="CLAUDIA BUENO (SPC/SPI)"/>
    <n v="73"/>
    <x v="1"/>
    <s v="ALERGO LOGICA DIAGNOSTICO EM ALERGIA LTDA ME - CAMPINAS - SP - 10.447.300/0001-77"/>
    <n v="4"/>
  </r>
  <r>
    <x v="0"/>
    <x v="0"/>
    <x v="0"/>
    <n v="13718999001041"/>
    <x v="144"/>
    <s v="SANTO ANDRÉ"/>
    <s v="SP"/>
    <x v="0"/>
    <s v="CLAUDIA BUENO (SPC/SPI)"/>
    <n v="73"/>
    <x v="1"/>
    <s v="HOSPITAL ACACIAS - SANTO ANDRÉ - SP - 13.718.999/0010-41"/>
    <n v="4"/>
  </r>
  <r>
    <x v="0"/>
    <x v="1"/>
    <x v="0"/>
    <n v="13718999001041"/>
    <x v="144"/>
    <s v="SANTO ANDRÉ"/>
    <s v="SP"/>
    <x v="0"/>
    <s v="CLAUDIA BUENO (SPC/SPI)"/>
    <n v="73"/>
    <x v="1"/>
    <s v="HOSPITAL ACACIAS - SANTO ANDRÉ - SP - 13.718.999/0010-41"/>
    <n v="4"/>
  </r>
  <r>
    <x v="0"/>
    <x v="0"/>
    <x v="0"/>
    <n v="18321477000134"/>
    <x v="145"/>
    <s v="SÃO JOSÉ DOS CAMPOS"/>
    <s v="SP"/>
    <x v="0"/>
    <s v="CLAUDIA BUENO (SPC/SPI)"/>
    <n v="73"/>
    <x v="1"/>
    <s v="SANTA CASA SAUDE - SÃO JOSÉ DOS CAMPOS - SP - 18.321.477/0001-34"/>
    <n v="48"/>
  </r>
  <r>
    <x v="0"/>
    <x v="1"/>
    <x v="0"/>
    <n v="18321477000134"/>
    <x v="145"/>
    <s v="SÃO JOSÉ DOS CAMPOS"/>
    <s v="SP"/>
    <x v="0"/>
    <s v="CLAUDIA BUENO (SPC/SPI)"/>
    <n v="73"/>
    <x v="1"/>
    <s v="SANTA CASA SAUDE - SÃO JOSÉ DOS CAMPOS - SP - 18.321.477/0001-34"/>
    <n v="48"/>
  </r>
  <r>
    <x v="0"/>
    <x v="0"/>
    <x v="0"/>
    <n v="44531788000138"/>
    <x v="146"/>
    <s v="LINS"/>
    <s v="SP"/>
    <x v="0"/>
    <s v="CLAUDIA BUENO (SPC/SPI)"/>
    <n v="73"/>
    <x v="1"/>
    <s v="PREFEITURA DE LINS - LINS - SP - 44.531.788/0001-38"/>
    <n v="120"/>
  </r>
  <r>
    <x v="0"/>
    <x v="0"/>
    <x v="0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0"/>
    <x v="0"/>
    <n v="44663631000590"/>
    <x v="148"/>
    <s v="RIO CLARO"/>
    <s v="SP"/>
    <x v="0"/>
    <s v="CLAUDIA BUENO (SPC/SPI)"/>
    <n v="73"/>
    <x v="1"/>
    <s v="HOSPITAL E MATERNIDADE UNIMED - RIO CLARO - SP - 44.663.631/0005-90"/>
    <n v="32"/>
  </r>
  <r>
    <x v="0"/>
    <x v="0"/>
    <x v="0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6"/>
  </r>
  <r>
    <x v="0"/>
    <x v="0"/>
    <x v="0"/>
    <n v="45118429001279"/>
    <x v="130"/>
    <s v="CATANDUVA"/>
    <s v="SP"/>
    <x v="0"/>
    <s v="CLAUDIA BUENO (SPC/SPI)"/>
    <n v="73"/>
    <x v="1"/>
    <s v="UNIMED HOSPITAL SAO DOMINGOS - CATANDUVA - SP - 45.118.429/0012-79"/>
    <n v="12"/>
  </r>
  <r>
    <x v="0"/>
    <x v="0"/>
    <x v="0"/>
    <n v="45184066000117"/>
    <x v="136"/>
    <s v="SÃO JOSÉ DOS CAMPOS"/>
    <s v="SP"/>
    <x v="0"/>
    <s v="CLAUDIA BUENO (SPC/SPI)"/>
    <n v="73"/>
    <x v="1"/>
    <s v="HOSPITAL POLICLIN - SÃO JOSÉ DOS CAMPOS - SP - 45.184.066/0001-17"/>
    <n v="14"/>
  </r>
  <r>
    <x v="0"/>
    <x v="0"/>
    <x v="0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35"/>
  </r>
  <r>
    <x v="0"/>
    <x v="0"/>
    <x v="0"/>
    <n v="45359213000576"/>
    <x v="150"/>
    <s v="SÃO CARLOS"/>
    <s v="SP"/>
    <x v="0"/>
    <s v="CLAUDIA BUENO (SPC/SPI)"/>
    <n v="73"/>
    <x v="1"/>
    <s v="HOSPITAL UNIMED SAO CARLOS - SÃO CARLOS - SP - 45.359.213/0005-76"/>
    <n v="40"/>
  </r>
  <r>
    <x v="0"/>
    <x v="0"/>
    <x v="0"/>
    <n v="46009718000140"/>
    <x v="124"/>
    <s v="CAMPINAS"/>
    <s v="SP"/>
    <x v="0"/>
    <s v="CLAUDIA BUENO (SPC/SPI)"/>
    <n v="73"/>
    <x v="1"/>
    <s v="HOSPITAL VERA CRUZ S A - CAMPINAS - SP - 46.009.718/0001-40"/>
    <n v="34"/>
  </r>
  <r>
    <x v="0"/>
    <x v="0"/>
    <x v="0"/>
    <n v="46020301000269"/>
    <x v="131"/>
    <s v="CAMPINAS"/>
    <s v="SP"/>
    <x v="0"/>
    <s v="CLAUDIA BUENO (SPC/SPI)"/>
    <n v="73"/>
    <x v="1"/>
    <s v="HOSPITAL E MATERNIDADE CELSO PIERRO - CAMPINAS - SP - 46.020.301/0002-69"/>
    <n v="50"/>
  </r>
  <r>
    <x v="0"/>
    <x v="0"/>
    <x v="0"/>
    <n v="46124624000111"/>
    <x v="151"/>
    <s v="CAMPINAS"/>
    <s v="SP"/>
    <x v="0"/>
    <s v="CLAUDIA BUENO (SPC/SPI)"/>
    <n v="73"/>
    <x v="1"/>
    <s v="UNIMED CAMPINAS COOPERATIVA DE TRABALHO MEDICO - CAMPINAS - SP - 46.124.624/0001-11"/>
    <n v="208"/>
  </r>
  <r>
    <x v="0"/>
    <x v="0"/>
    <x v="0"/>
    <n v="46124624002599"/>
    <x v="152"/>
    <s v="SUMARÉ"/>
    <s v="SP"/>
    <x v="0"/>
    <s v="CLAUDIA BUENO (SPC/SPI)"/>
    <n v="73"/>
    <x v="1"/>
    <s v="UNIMED CAMPINAS COOPERATIVA DE TRABALHO MEDICO - SUMARÉ - SP - 46.124.624/0025-99"/>
    <n v="120"/>
  </r>
  <r>
    <x v="0"/>
    <x v="0"/>
    <x v="0"/>
    <n v="47074851000819"/>
    <x v="153"/>
    <s v="CATANDUVA"/>
    <s v="SP"/>
    <x v="0"/>
    <s v="CLAUDIA BUENO (SPC/SPI)"/>
    <n v="73"/>
    <x v="1"/>
    <s v="HOSPITAL PADRE ALBINO - CATANDUVA - SP - 47.074.851/0008-19"/>
    <n v="12"/>
  </r>
  <r>
    <x v="0"/>
    <x v="0"/>
    <x v="0"/>
    <n v="51885242000140"/>
    <x v="154"/>
    <s v="CAMPINAS"/>
    <s v="SP"/>
    <x v="0"/>
    <s v="CLAUDIA BUENO (SPC/SPI)"/>
    <n v="73"/>
    <x v="1"/>
    <s v="PREFEITURA MUNICIPAL DE CAMPINAS - CAMPINAS - SP - 51.885.242/0001-40"/>
    <n v="240"/>
  </r>
  <r>
    <x v="0"/>
    <x v="0"/>
    <x v="0"/>
    <n v="55980148000121"/>
    <x v="155"/>
    <s v="RIBEIRÃO PRETO"/>
    <s v="SP"/>
    <x v="0"/>
    <s v="CLAUDIA BUENO (SPC/SPI)"/>
    <n v="73"/>
    <x v="1"/>
    <s v="HOSPITAL SAO LUCAS - RIBEIRÃO PRETO - SP - 55.980.148/0001-21"/>
    <n v="1"/>
  </r>
  <r>
    <x v="0"/>
    <x v="0"/>
    <x v="0"/>
    <n v="58229691001070"/>
    <x v="156"/>
    <s v="SANTOS"/>
    <s v="SP"/>
    <x v="0"/>
    <s v="CLAUDIA BUENO (SPC/SPI)"/>
    <n v="73"/>
    <x v="1"/>
    <s v="UNIMED DE SANTOS COOPERATIVA DE TRABALHO MEDICO - SANTOS - SP - 58.229.691/0010-70"/>
    <n v="48"/>
  </r>
  <r>
    <x v="0"/>
    <x v="1"/>
    <x v="0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1"/>
    <x v="0"/>
    <n v="44663631000590"/>
    <x v="148"/>
    <s v="RIO CLARO"/>
    <s v="SP"/>
    <x v="0"/>
    <s v="CLAUDIA BUENO (SPC/SPI)"/>
    <n v="73"/>
    <x v="1"/>
    <s v="HOSPITAL E MATERNIDADE UNIMED - RIO CLARO - SP - 44.663.631/0005-90"/>
    <n v="32"/>
  </r>
  <r>
    <x v="0"/>
    <x v="1"/>
    <x v="0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10"/>
  </r>
  <r>
    <x v="0"/>
    <x v="1"/>
    <x v="0"/>
    <n v="45184066000117"/>
    <x v="136"/>
    <s v="SÃO JOSÉ DOS CAMPOS"/>
    <s v="SP"/>
    <x v="0"/>
    <s v="CLAUDIA BUENO (SPC/SPI)"/>
    <n v="73"/>
    <x v="1"/>
    <s v="HOSPITAL POLICLIN - SÃO JOSÉ DOS CAMPOS - SP - 45.184.066/0001-17"/>
    <n v="15"/>
  </r>
  <r>
    <x v="0"/>
    <x v="1"/>
    <x v="0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51"/>
  </r>
  <r>
    <x v="0"/>
    <x v="1"/>
    <x v="0"/>
    <n v="45359213000576"/>
    <x v="150"/>
    <s v="SÃO CARLOS"/>
    <s v="SP"/>
    <x v="0"/>
    <s v="CLAUDIA BUENO (SPC/SPI)"/>
    <n v="73"/>
    <x v="1"/>
    <s v="HOSPITAL UNIMED SAO CARLOS - SÃO CARLOS - SP - 45.359.213/0005-76"/>
    <n v="40"/>
  </r>
  <r>
    <x v="0"/>
    <x v="1"/>
    <x v="0"/>
    <n v="46009718000140"/>
    <x v="124"/>
    <s v="CAMPINAS"/>
    <s v="SP"/>
    <x v="0"/>
    <s v="CLAUDIA BUENO (SPC/SPI)"/>
    <n v="73"/>
    <x v="1"/>
    <s v="HOSPITAL VERA CRUZ S A - CAMPINAS - SP - 46.009.718/0001-40"/>
    <n v="83"/>
  </r>
  <r>
    <x v="0"/>
    <x v="1"/>
    <x v="0"/>
    <n v="46020301000269"/>
    <x v="131"/>
    <s v="CAMPINAS"/>
    <s v="SP"/>
    <x v="0"/>
    <s v="CLAUDIA BUENO (SPC/SPI)"/>
    <n v="73"/>
    <x v="1"/>
    <s v="HOSPITAL E MATERNIDADE CELSO PIERRO - CAMPINAS - SP - 46.020.301/0002-69"/>
    <n v="35"/>
  </r>
  <r>
    <x v="0"/>
    <x v="1"/>
    <x v="0"/>
    <n v="46124624000111"/>
    <x v="151"/>
    <s v="CAMPINAS"/>
    <s v="SP"/>
    <x v="0"/>
    <s v="CLAUDIA BUENO (SPC/SPI)"/>
    <n v="73"/>
    <x v="1"/>
    <s v="UNIMED CAMPINAS COOPERATIVA DE TRABALHO MEDICO - CAMPINAS - SP - 46.124.624/0001-11"/>
    <n v="48"/>
  </r>
  <r>
    <x v="0"/>
    <x v="1"/>
    <x v="0"/>
    <n v="46124624002599"/>
    <x v="152"/>
    <s v="SUMARÉ"/>
    <s v="SP"/>
    <x v="0"/>
    <s v="CLAUDIA BUENO (SPC/SPI)"/>
    <n v="73"/>
    <x v="1"/>
    <s v="UNIMED CAMPINAS COOPERATIVA DE TRABALHO MEDICO - SUMARÉ - SP - 46.124.624/0025-99"/>
    <n v="240"/>
  </r>
  <r>
    <x v="0"/>
    <x v="1"/>
    <x v="0"/>
    <n v="47074851000819"/>
    <x v="153"/>
    <s v="CATANDUVA"/>
    <s v="SP"/>
    <x v="0"/>
    <s v="CLAUDIA BUENO (SPC/SPI)"/>
    <n v="73"/>
    <x v="1"/>
    <s v="HOSPITAL PADRE ALBINO - CATANDUVA - SP - 47.074.851/0008-19"/>
    <n v="6"/>
  </r>
  <r>
    <x v="0"/>
    <x v="1"/>
    <x v="0"/>
    <n v="58229691001070"/>
    <x v="156"/>
    <s v="SANTOS"/>
    <s v="SP"/>
    <x v="0"/>
    <s v="CLAUDIA BUENO (SPC/SPI)"/>
    <n v="73"/>
    <x v="1"/>
    <s v="UNIMED DE SANTOS COOPERATIVA DE TRABALHO MEDICO - SANTOS - SP - 58.229.691/0010-70"/>
    <n v="32"/>
  </r>
  <r>
    <x v="0"/>
    <x v="2"/>
    <x v="0"/>
    <n v="2643405000173"/>
    <x v="141"/>
    <s v="SÃO JOSÉ DO RIO PRETO"/>
    <s v="SP"/>
    <x v="0"/>
    <s v="CLAUDIA BUENO (SPC/SPI)"/>
    <n v="73"/>
    <x v="1"/>
    <s v="HOME CARE CENE - SÃO JOSÉ DO RIO PRETO - SP - 02.643.405/0001-73"/>
    <n v="36"/>
  </r>
  <r>
    <x v="0"/>
    <x v="2"/>
    <x v="0"/>
    <n v="4275687000129"/>
    <x v="142"/>
    <s v="ATIBAIA"/>
    <s v="SP"/>
    <x v="0"/>
    <s v="CLAUDIA BUENO (SPC/SPI)"/>
    <n v="73"/>
    <x v="1"/>
    <s v="ALBERT SABIN HOSPITAL E MATERNIDADE - ATIBAIA - SP - 04.275.687/0001-29"/>
    <n v="52"/>
  </r>
  <r>
    <x v="0"/>
    <x v="2"/>
    <x v="0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48"/>
  </r>
  <r>
    <x v="0"/>
    <x v="2"/>
    <x v="0"/>
    <n v="10447300000177"/>
    <x v="143"/>
    <s v="CAMPINAS"/>
    <s v="SP"/>
    <x v="0"/>
    <s v="CLAUDIA BUENO (SPC/SPI)"/>
    <n v="73"/>
    <x v="1"/>
    <s v="ALERGO LOGICA DIAGNOSTICO EM ALERGIA LTDA ME - CAMPINAS - SP - 10.447.300/0001-77"/>
    <n v="4"/>
  </r>
  <r>
    <x v="0"/>
    <x v="2"/>
    <x v="0"/>
    <n v="13718999001041"/>
    <x v="144"/>
    <s v="SANTO ANDRÉ"/>
    <s v="SP"/>
    <x v="0"/>
    <s v="CLAUDIA BUENO (SPC/SPI)"/>
    <n v="73"/>
    <x v="1"/>
    <s v="HOSPITAL ACACIAS - SANTO ANDRÉ - SP - 13.718.999/0010-41"/>
    <n v="8"/>
  </r>
  <r>
    <x v="0"/>
    <x v="2"/>
    <x v="0"/>
    <n v="18321477000134"/>
    <x v="145"/>
    <s v="SÃO JOSÉ DOS CAMPOS"/>
    <s v="SP"/>
    <x v="0"/>
    <s v="CLAUDIA BUENO (SPC/SPI)"/>
    <n v="73"/>
    <x v="1"/>
    <s v="SANTA CASA SAUDE - SÃO JOSÉ DOS CAMPOS - SP - 18.321.477/0001-34"/>
    <n v="48"/>
  </r>
  <r>
    <x v="0"/>
    <x v="2"/>
    <x v="0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2"/>
    <x v="0"/>
    <n v="44663631000590"/>
    <x v="148"/>
    <s v="RIO CLARO"/>
    <s v="SP"/>
    <x v="0"/>
    <s v="CLAUDIA BUENO (SPC/SPI)"/>
    <n v="73"/>
    <x v="1"/>
    <s v="HOSPITAL E MATERNIDADE UNIMED - RIO CLARO - SP - 44.663.631/0005-90"/>
    <n v="32"/>
  </r>
  <r>
    <x v="0"/>
    <x v="2"/>
    <x v="0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8"/>
  </r>
  <r>
    <x v="0"/>
    <x v="2"/>
    <x v="0"/>
    <n v="45118429001279"/>
    <x v="130"/>
    <s v="CATANDUVA"/>
    <s v="SP"/>
    <x v="0"/>
    <s v="CLAUDIA BUENO (SPC/SPI)"/>
    <n v="73"/>
    <x v="1"/>
    <s v="UNIMED HOSPITAL SAO DOMINGOS - CATANDUVA - SP - 45.118.429/0012-79"/>
    <n v="6"/>
  </r>
  <r>
    <x v="0"/>
    <x v="2"/>
    <x v="0"/>
    <n v="45184066000117"/>
    <x v="136"/>
    <s v="SÃO JOSÉ DOS CAMPOS"/>
    <s v="SP"/>
    <x v="0"/>
    <s v="CLAUDIA BUENO (SPC/SPI)"/>
    <n v="73"/>
    <x v="1"/>
    <s v="HOSPITAL POLICLIN - SÃO JOSÉ DOS CAMPOS - SP - 45.184.066/0001-17"/>
    <n v="15"/>
  </r>
  <r>
    <x v="0"/>
    <x v="2"/>
    <x v="0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62"/>
  </r>
  <r>
    <x v="0"/>
    <x v="2"/>
    <x v="0"/>
    <n v="45359213000576"/>
    <x v="150"/>
    <s v="SÃO CARLOS"/>
    <s v="SP"/>
    <x v="0"/>
    <s v="CLAUDIA BUENO (SPC/SPI)"/>
    <n v="73"/>
    <x v="1"/>
    <s v="HOSPITAL UNIMED SAO CARLOS - SÃO CARLOS - SP - 45.359.213/0005-76"/>
    <n v="8"/>
  </r>
  <r>
    <x v="0"/>
    <x v="2"/>
    <x v="0"/>
    <n v="46009718000140"/>
    <x v="124"/>
    <s v="CAMPINAS"/>
    <s v="SP"/>
    <x v="0"/>
    <s v="CLAUDIA BUENO (SPC/SPI)"/>
    <n v="73"/>
    <x v="1"/>
    <s v="HOSPITAL VERA CRUZ S A - CAMPINAS - SP - 46.009.718/0001-40"/>
    <n v="42"/>
  </r>
  <r>
    <x v="0"/>
    <x v="2"/>
    <x v="0"/>
    <n v="46020301000269"/>
    <x v="131"/>
    <s v="CAMPINAS"/>
    <s v="SP"/>
    <x v="0"/>
    <s v="CLAUDIA BUENO (SPC/SPI)"/>
    <n v="73"/>
    <x v="1"/>
    <s v="HOSPITAL E MATERNIDADE CELSO PIERRO - CAMPINAS - SP - 46.020.301/0002-69"/>
    <n v="55"/>
  </r>
  <r>
    <x v="0"/>
    <x v="2"/>
    <x v="0"/>
    <n v="46124624000111"/>
    <x v="151"/>
    <s v="CAMPINAS"/>
    <s v="SP"/>
    <x v="0"/>
    <s v="CLAUDIA BUENO (SPC/SPI)"/>
    <n v="73"/>
    <x v="1"/>
    <s v="UNIMED CAMPINAS COOPERATIVA DE TRABALHO MEDICO - CAMPINAS - SP - 46.124.624/0001-11"/>
    <n v="120"/>
  </r>
  <r>
    <x v="0"/>
    <x v="2"/>
    <x v="0"/>
    <n v="46124624002599"/>
    <x v="152"/>
    <s v="SUMARÉ"/>
    <s v="SP"/>
    <x v="0"/>
    <s v="CLAUDIA BUENO (SPC/SPI)"/>
    <n v="73"/>
    <x v="1"/>
    <s v="UNIMED CAMPINAS COOPERATIVA DE TRABALHO MEDICO - SUMARÉ - SP - 46.124.624/0025-99"/>
    <n v="80"/>
  </r>
  <r>
    <x v="0"/>
    <x v="2"/>
    <x v="0"/>
    <n v="51885242000140"/>
    <x v="154"/>
    <s v="CAMPINAS"/>
    <s v="SP"/>
    <x v="0"/>
    <s v="CLAUDIA BUENO (SPC/SPI)"/>
    <n v="73"/>
    <x v="1"/>
    <s v="PREFEITURA MUNICIPAL DE CAMPINAS - CAMPINAS - SP - 51.885.242/0001-40"/>
    <n v="160"/>
  </r>
  <r>
    <x v="0"/>
    <x v="2"/>
    <x v="0"/>
    <n v="58229691001070"/>
    <x v="156"/>
    <s v="SANTOS"/>
    <s v="SP"/>
    <x v="0"/>
    <s v="CLAUDIA BUENO (SPC/SPI)"/>
    <n v="73"/>
    <x v="1"/>
    <s v="UNIMED DE SANTOS COOPERATIVA DE TRABALHO MEDICO - SANTOS - SP - 58.229.691/0010-70"/>
    <n v="32"/>
  </r>
  <r>
    <x v="0"/>
    <x v="3"/>
    <x v="1"/>
    <n v="2643405000173"/>
    <x v="141"/>
    <s v="SÃO JOSÉ DO RIO PRETO"/>
    <s v="SP"/>
    <x v="0"/>
    <s v="CLAUDIA BUENO (SPC/SPI)"/>
    <n v="73"/>
    <x v="1"/>
    <s v="HOME CARE CENE - SÃO JOSÉ DO RIO PRETO - SP - 02.643.405/0001-73"/>
    <n v="17"/>
  </r>
  <r>
    <x v="0"/>
    <x v="3"/>
    <x v="1"/>
    <n v="4275687000129"/>
    <x v="142"/>
    <s v="ATIBAIA"/>
    <s v="SP"/>
    <x v="0"/>
    <s v="CLAUDIA BUENO (SPC/SPI)"/>
    <n v="73"/>
    <x v="1"/>
    <s v="ALBERT SABIN HOSPITAL E MATERNIDADE - ATIBAIA - SP - 04.275.687/0001-29"/>
    <n v="36"/>
  </r>
  <r>
    <x v="0"/>
    <x v="3"/>
    <x v="1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48"/>
  </r>
  <r>
    <x v="0"/>
    <x v="3"/>
    <x v="1"/>
    <n v="10447300000177"/>
    <x v="143"/>
    <s v="CAMPINAS"/>
    <s v="SP"/>
    <x v="0"/>
    <s v="CLAUDIA BUENO (SPC/SPI)"/>
    <n v="73"/>
    <x v="1"/>
    <s v="ALERGO LOGICA DIAGNOSTICO EM ALERGIA LTDA ME - CAMPINAS - SP - 10.447.300/0001-77"/>
    <n v="16"/>
  </r>
  <r>
    <x v="0"/>
    <x v="3"/>
    <x v="1"/>
    <n v="13718999001041"/>
    <x v="144"/>
    <s v="SANTO ANDRÉ"/>
    <s v="SP"/>
    <x v="0"/>
    <s v="CLAUDIA BUENO (SPC/SPI)"/>
    <n v="73"/>
    <x v="1"/>
    <s v="HOSPITAL ACACIAS - SANTO ANDRÉ - SP - 13.718.999/0010-41"/>
    <n v="12"/>
  </r>
  <r>
    <x v="0"/>
    <x v="3"/>
    <x v="1"/>
    <n v="18321477000134"/>
    <x v="145"/>
    <s v="SÃO JOSÉ DOS CAMPOS"/>
    <s v="SP"/>
    <x v="0"/>
    <s v="CLAUDIA BUENO (SPC/SPI)"/>
    <n v="73"/>
    <x v="1"/>
    <s v="SANTA CASA SAUDE - SÃO JOSÉ DOS CAMPOS - SP - 18.321.477/0001-34"/>
    <n v="48"/>
  </r>
  <r>
    <x v="0"/>
    <x v="3"/>
    <x v="1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3"/>
    <x v="1"/>
    <n v="44663631000590"/>
    <x v="148"/>
    <s v="RIO CLARO"/>
    <s v="SP"/>
    <x v="0"/>
    <s v="CLAUDIA BUENO (SPC/SPI)"/>
    <n v="73"/>
    <x v="1"/>
    <s v="HOSPITAL E MATERNIDADE UNIMED - RIO CLARO - SP - 44.663.631/0005-90"/>
    <n v="32"/>
  </r>
  <r>
    <x v="0"/>
    <x v="3"/>
    <x v="1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8"/>
  </r>
  <r>
    <x v="0"/>
    <x v="3"/>
    <x v="1"/>
    <n v="45118429001279"/>
    <x v="130"/>
    <s v="CATANDUVA"/>
    <s v="SP"/>
    <x v="0"/>
    <s v="CLAUDIA BUENO (SPC/SPI)"/>
    <n v="73"/>
    <x v="1"/>
    <s v="UNIMED HOSPITAL SAO DOMINGOS - CATANDUVA - SP - 45.118.429/0012-79"/>
    <n v="12"/>
  </r>
  <r>
    <x v="0"/>
    <x v="3"/>
    <x v="1"/>
    <n v="45184066000117"/>
    <x v="136"/>
    <s v="SÃO JOSÉ DOS CAMPOS"/>
    <s v="SP"/>
    <x v="0"/>
    <s v="CLAUDIA BUENO (SPC/SPI)"/>
    <n v="73"/>
    <x v="1"/>
    <s v="HOSPITAL POLICLIN - SÃO JOSÉ DOS CAMPOS - SP - 45.184.066/0001-17"/>
    <n v="15"/>
  </r>
  <r>
    <x v="0"/>
    <x v="3"/>
    <x v="1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15"/>
  </r>
  <r>
    <x v="0"/>
    <x v="3"/>
    <x v="1"/>
    <n v="45359213000576"/>
    <x v="150"/>
    <s v="SÃO CARLOS"/>
    <s v="SP"/>
    <x v="0"/>
    <s v="CLAUDIA BUENO (SPC/SPI)"/>
    <n v="73"/>
    <x v="1"/>
    <s v="HOSPITAL UNIMED SAO CARLOS - SÃO CARLOS - SP - 45.359.213/0005-76"/>
    <n v="66"/>
  </r>
  <r>
    <x v="0"/>
    <x v="3"/>
    <x v="1"/>
    <n v="46009718000140"/>
    <x v="124"/>
    <s v="CAMPINAS"/>
    <s v="SP"/>
    <x v="0"/>
    <s v="CLAUDIA BUENO (SPC/SPI)"/>
    <n v="73"/>
    <x v="1"/>
    <s v="HOSPITAL VERA CRUZ S A - CAMPINAS - SP - 46.009.718/0001-40"/>
    <n v="48"/>
  </r>
  <r>
    <x v="0"/>
    <x v="3"/>
    <x v="1"/>
    <n v="46020301000269"/>
    <x v="131"/>
    <s v="CAMPINAS"/>
    <s v="SP"/>
    <x v="0"/>
    <s v="CLAUDIA BUENO (SPC/SPI)"/>
    <n v="73"/>
    <x v="1"/>
    <s v="HOSPITAL E MATERNIDADE CELSO PIERRO - CAMPINAS - SP - 46.020.301/0002-69"/>
    <n v="35"/>
  </r>
  <r>
    <x v="0"/>
    <x v="3"/>
    <x v="1"/>
    <n v="46124624000111"/>
    <x v="151"/>
    <s v="CAMPINAS"/>
    <s v="SP"/>
    <x v="0"/>
    <s v="CLAUDIA BUENO (SPC/SPI)"/>
    <n v="73"/>
    <x v="1"/>
    <s v="UNIMED CAMPINAS COOPERATIVA DE TRABALHO MEDICO - CAMPINAS - SP - 46.124.624/0001-11"/>
    <n v="72"/>
  </r>
  <r>
    <x v="0"/>
    <x v="3"/>
    <x v="1"/>
    <n v="46124624002599"/>
    <x v="152"/>
    <s v="SUMARÉ"/>
    <s v="SP"/>
    <x v="0"/>
    <s v="CLAUDIA BUENO (SPC/SPI)"/>
    <n v="73"/>
    <x v="1"/>
    <s v="UNIMED CAMPINAS COOPERATIVA DE TRABALHO MEDICO - SUMARÉ - SP - 46.124.624/0025-99"/>
    <n v="280"/>
  </r>
  <r>
    <x v="0"/>
    <x v="3"/>
    <x v="1"/>
    <n v="47074851000819"/>
    <x v="153"/>
    <s v="CATANDUVA"/>
    <s v="SP"/>
    <x v="0"/>
    <s v="CLAUDIA BUENO (SPC/SPI)"/>
    <n v="73"/>
    <x v="1"/>
    <s v="HOSPITAL PADRE ALBINO - CATANDUVA - SP - 47.074.851/0008-19"/>
    <n v="12"/>
  </r>
  <r>
    <x v="0"/>
    <x v="3"/>
    <x v="1"/>
    <n v="57507402000102"/>
    <x v="157"/>
    <s v="SANTO ANDRÉ"/>
    <s v="SP"/>
    <x v="0"/>
    <s v="CLAUDIA BUENO (SPC/SPI)"/>
    <n v="73"/>
    <x v="1"/>
    <s v="HOSP.E MATERN. BENEFICENCIA PORTUGUESA DE SANTO ANDRE - SANTO ANDRÉ - SP - 57.507.402/0001-02"/>
    <n v="150"/>
  </r>
  <r>
    <x v="0"/>
    <x v="3"/>
    <x v="1"/>
    <n v="57722118000302"/>
    <x v="158"/>
    <s v="RIBEIRÃO PRETO"/>
    <s v="SP"/>
    <x v="0"/>
    <s v="CLAUDIA BUENO (SPC/SPI)"/>
    <n v="73"/>
    <x v="1"/>
    <s v="CENTRO DE REFERENCIA DA SAUDE DA MULHER - MATER - RIBEIRÃO PRETO - SP - 57.722.118/0003-02"/>
    <n v="68"/>
  </r>
  <r>
    <x v="0"/>
    <x v="3"/>
    <x v="1"/>
    <n v="58229691001070"/>
    <x v="156"/>
    <s v="SANTOS"/>
    <s v="SP"/>
    <x v="0"/>
    <s v="CLAUDIA BUENO (SPC/SPI)"/>
    <n v="73"/>
    <x v="1"/>
    <s v="UNIMED DE SANTOS COOPERATIVA DE TRABALHO MEDICO - SANTOS - SP - 58.229.691/0010-70"/>
    <n v="32"/>
  </r>
  <r>
    <x v="0"/>
    <x v="4"/>
    <x v="1"/>
    <n v="2643405000173"/>
    <x v="141"/>
    <s v="SÃO JOSÉ DO RIO PRETO"/>
    <s v="SP"/>
    <x v="0"/>
    <s v="CLAUDIA BUENO (SPC/SPI)"/>
    <n v="73"/>
    <x v="1"/>
    <s v="HOME CARE CENE - SÃO JOSÉ DO RIO PRETO - SP - 02.643.405/0001-73"/>
    <n v="25"/>
  </r>
  <r>
    <x v="0"/>
    <x v="4"/>
    <x v="1"/>
    <n v="4275687000129"/>
    <x v="142"/>
    <s v="ATIBAIA"/>
    <s v="SP"/>
    <x v="0"/>
    <s v="CLAUDIA BUENO (SPC/SPI)"/>
    <n v="73"/>
    <x v="1"/>
    <s v="ALBERT SABIN HOSPITAL E MATERNIDADE - ATIBAIA - SP - 04.275.687/0001-29"/>
    <n v="45"/>
  </r>
  <r>
    <x v="0"/>
    <x v="4"/>
    <x v="1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48"/>
  </r>
  <r>
    <x v="0"/>
    <x v="4"/>
    <x v="1"/>
    <n v="10447300000177"/>
    <x v="143"/>
    <s v="CAMPINAS"/>
    <s v="SP"/>
    <x v="0"/>
    <s v="CLAUDIA BUENO (SPC/SPI)"/>
    <n v="73"/>
    <x v="1"/>
    <s v="ALERGO LOGICA DIAGNOSTICO EM ALERGIA LTDA ME - CAMPINAS - SP - 10.447.300/0001-77"/>
    <n v="20"/>
  </r>
  <r>
    <x v="0"/>
    <x v="4"/>
    <x v="1"/>
    <n v="13718999001041"/>
    <x v="144"/>
    <s v="SANTO ANDRÉ"/>
    <s v="SP"/>
    <x v="0"/>
    <s v="CLAUDIA BUENO (SPC/SPI)"/>
    <n v="73"/>
    <x v="1"/>
    <s v="HOSPITAL ACACIAS - SANTO ANDRÉ - SP - 13.718.999/0010-41"/>
    <n v="8"/>
  </r>
  <r>
    <x v="0"/>
    <x v="4"/>
    <x v="1"/>
    <n v="18321477000134"/>
    <x v="145"/>
    <s v="SÃO JOSÉ DOS CAMPOS"/>
    <s v="SP"/>
    <x v="0"/>
    <s v="CLAUDIA BUENO (SPC/SPI)"/>
    <n v="73"/>
    <x v="1"/>
    <s v="SANTA CASA SAUDE - SÃO JOSÉ DOS CAMPOS - SP - 18.321.477/0001-34"/>
    <n v="50"/>
  </r>
  <r>
    <x v="0"/>
    <x v="4"/>
    <x v="1"/>
    <n v="29929600000110"/>
    <x v="159"/>
    <s v="TAUBATÉ"/>
    <s v="SP"/>
    <x v="0"/>
    <s v="CLAUDIA BUENO (SPC/SPI)"/>
    <n v="73"/>
    <x v="1"/>
    <s v="DA MATTA AIN CLINICA DE VACINA LTDA - TAUBATÉ - SP - 29.929.600/0001-10"/>
    <n v="8"/>
  </r>
  <r>
    <x v="0"/>
    <x v="4"/>
    <x v="1"/>
    <n v="45184066000117"/>
    <x v="136"/>
    <s v="SÃO JOSÉ DOS CAMPOS"/>
    <s v="SP"/>
    <x v="0"/>
    <s v="CLAUDIA BUENO (SPC/SPI)"/>
    <n v="73"/>
    <x v="1"/>
    <s v="HOSPITAL POLICLIN - SÃO JOSÉ DOS CAMPOS - SP - 45.184.066/0001-17"/>
    <n v="10"/>
  </r>
  <r>
    <x v="0"/>
    <x v="4"/>
    <x v="1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42"/>
  </r>
  <r>
    <x v="0"/>
    <x v="4"/>
    <x v="1"/>
    <n v="45359213000576"/>
    <x v="150"/>
    <s v="SÃO CARLOS"/>
    <s v="SP"/>
    <x v="0"/>
    <s v="CLAUDIA BUENO (SPC/SPI)"/>
    <n v="73"/>
    <x v="1"/>
    <s v="HOSPITAL UNIMED SAO CARLOS - SÃO CARLOS - SP - 45.359.213/0005-76"/>
    <n v="16"/>
  </r>
  <r>
    <x v="0"/>
    <x v="4"/>
    <x v="1"/>
    <n v="46009718000140"/>
    <x v="124"/>
    <s v="CAMPINAS"/>
    <s v="SP"/>
    <x v="0"/>
    <s v="CLAUDIA BUENO (SPC/SPI)"/>
    <n v="73"/>
    <x v="1"/>
    <s v="HOSPITAL VERA CRUZ S A - CAMPINAS - SP - 46.009.718/0001-40"/>
    <n v="36"/>
  </r>
  <r>
    <x v="0"/>
    <x v="4"/>
    <x v="1"/>
    <n v="46020301000269"/>
    <x v="131"/>
    <s v="CAMPINAS"/>
    <s v="SP"/>
    <x v="0"/>
    <s v="CLAUDIA BUENO (SPC/SPI)"/>
    <n v="73"/>
    <x v="1"/>
    <s v="HOSPITAL E MATERNIDADE CELSO PIERRO - CAMPINAS - SP - 46.020.301/0002-69"/>
    <n v="35"/>
  </r>
  <r>
    <x v="0"/>
    <x v="4"/>
    <x v="1"/>
    <n v="46124624000111"/>
    <x v="151"/>
    <s v="CAMPINAS"/>
    <s v="SP"/>
    <x v="0"/>
    <s v="CLAUDIA BUENO (SPC/SPI)"/>
    <n v="73"/>
    <x v="1"/>
    <s v="UNIMED CAMPINAS COOPERATIVA DE TRABALHO MEDICO - CAMPINAS - SP - 46.124.624/0001-11"/>
    <n v="32"/>
  </r>
  <r>
    <x v="0"/>
    <x v="4"/>
    <x v="1"/>
    <n v="46124624002599"/>
    <x v="152"/>
    <s v="SUMARÉ"/>
    <s v="SP"/>
    <x v="0"/>
    <s v="CLAUDIA BUENO (SPC/SPI)"/>
    <n v="73"/>
    <x v="1"/>
    <s v="UNIMED CAMPINAS COOPERATIVA DE TRABALHO MEDICO - SUMARÉ - SP - 46.124.624/0025-99"/>
    <n v="120"/>
  </r>
  <r>
    <x v="0"/>
    <x v="4"/>
    <x v="1"/>
    <n v="51885242000140"/>
    <x v="154"/>
    <s v="CAMPINAS"/>
    <s v="SP"/>
    <x v="0"/>
    <s v="CLAUDIA BUENO (SPC/SPI)"/>
    <n v="73"/>
    <x v="1"/>
    <s v="PREFEITURA MUNICIPAL DE CAMPINAS - CAMPINAS - SP - 51.885.242/0001-40"/>
    <n v="240"/>
  </r>
  <r>
    <x v="0"/>
    <x v="4"/>
    <x v="1"/>
    <n v="58229691001070"/>
    <x v="156"/>
    <s v="SANTOS"/>
    <s v="SP"/>
    <x v="0"/>
    <s v="CLAUDIA BUENO (SPC/SPI)"/>
    <n v="73"/>
    <x v="1"/>
    <s v="UNIMED DE SANTOS COOPERATIVA DE TRABALHO MEDICO - SANTOS - SP - 58.229.691/0010-70"/>
    <n v="16"/>
  </r>
  <r>
    <x v="0"/>
    <x v="5"/>
    <x v="1"/>
    <n v="2643405000173"/>
    <x v="141"/>
    <s v="SÃO JOSÉ DO RIO PRETO"/>
    <s v="SP"/>
    <x v="0"/>
    <s v="CLAUDIA BUENO (SPC/SPI)"/>
    <n v="73"/>
    <x v="1"/>
    <s v="HOME CARE CENE - SÃO JOSÉ DO RIO PRETO - SP - 02.643.405/0001-73"/>
    <n v="22"/>
  </r>
  <r>
    <x v="0"/>
    <x v="5"/>
    <x v="1"/>
    <n v="4275687000129"/>
    <x v="142"/>
    <s v="ATIBAIA"/>
    <s v="SP"/>
    <x v="0"/>
    <s v="CLAUDIA BUENO (SPC/SPI)"/>
    <n v="73"/>
    <x v="1"/>
    <s v="ALBERT SABIN HOSPITAL E MATERNIDADE - ATIBAIA - SP - 04.275.687/0001-29"/>
    <n v="25"/>
  </r>
  <r>
    <x v="0"/>
    <x v="5"/>
    <x v="1"/>
    <n v="6047087003073"/>
    <x v="116"/>
    <s v="SÃO JOSÉ DOS CAMPOS"/>
    <s v="SP"/>
    <x v="0"/>
    <s v="CLAUDIA BUENO (SPC/SPI)"/>
    <n v="73"/>
    <x v="1"/>
    <s v="HOSPITAL VIVALLE (REDE DOR) - SÃO JOSÉ DOS CAMPOS - SP - 06.047.087/0030-73"/>
    <n v="120"/>
  </r>
  <r>
    <x v="0"/>
    <x v="5"/>
    <x v="1"/>
    <n v="10447300000177"/>
    <x v="143"/>
    <s v="CAMPINAS"/>
    <s v="SP"/>
    <x v="0"/>
    <s v="CLAUDIA BUENO (SPC/SPI)"/>
    <n v="73"/>
    <x v="1"/>
    <s v="ALERGO LOGICA DIAGNOSTICO EM ALERGIA LTDA ME - CAMPINAS - SP - 10.447.300/0001-77"/>
    <n v="28"/>
  </r>
  <r>
    <x v="0"/>
    <x v="5"/>
    <x v="1"/>
    <n v="13718999001041"/>
    <x v="144"/>
    <s v="SANTO ANDRÉ"/>
    <s v="SP"/>
    <x v="0"/>
    <s v="CLAUDIA BUENO (SPC/SPI)"/>
    <n v="73"/>
    <x v="1"/>
    <s v="HOSPITAL ACACIAS - SANTO ANDRÉ - SP - 13.718.999/0010-41"/>
    <n v="4"/>
  </r>
  <r>
    <x v="0"/>
    <x v="5"/>
    <x v="1"/>
    <n v="18321477000134"/>
    <x v="145"/>
    <s v="SÃO JOSÉ DOS CAMPOS"/>
    <s v="SP"/>
    <x v="0"/>
    <s v="CLAUDIA BUENO (SPC/SPI)"/>
    <n v="73"/>
    <x v="1"/>
    <s v="SANTA CASA SAUDE - SÃO JOSÉ DOS CAMPOS - SP - 18.321.477/0001-34"/>
    <n v="54"/>
  </r>
  <r>
    <x v="0"/>
    <x v="5"/>
    <x v="1"/>
    <n v="29929600000110"/>
    <x v="159"/>
    <s v="TAUBATÉ"/>
    <s v="SP"/>
    <x v="0"/>
    <s v="CLAUDIA BUENO (SPC/SPI)"/>
    <n v="73"/>
    <x v="1"/>
    <s v="DA MATTA AIN CLINICA DE VACINA LTDA - TAUBATÉ - SP - 29.929.600/0001-10"/>
    <n v="4"/>
  </r>
  <r>
    <x v="0"/>
    <x v="5"/>
    <x v="1"/>
    <n v="44531788000138"/>
    <x v="146"/>
    <s v="LINS"/>
    <s v="SP"/>
    <x v="0"/>
    <s v="CLAUDIA BUENO (SPC/SPI)"/>
    <n v="73"/>
    <x v="1"/>
    <s v="PREFEITURA DE LINS - LINS - SP - 44.531.788/0001-38"/>
    <n v="40"/>
  </r>
  <r>
    <x v="0"/>
    <x v="5"/>
    <x v="1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5"/>
    <x v="1"/>
    <n v="44663631000590"/>
    <x v="148"/>
    <s v="RIO CLARO"/>
    <s v="SP"/>
    <x v="0"/>
    <s v="CLAUDIA BUENO (SPC/SPI)"/>
    <n v="73"/>
    <x v="1"/>
    <s v="HOSPITAL E MATERNIDADE UNIMED - RIO CLARO - SP - 44.663.631/0005-90"/>
    <n v="32"/>
  </r>
  <r>
    <x v="0"/>
    <x v="5"/>
    <x v="1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8"/>
  </r>
  <r>
    <x v="0"/>
    <x v="5"/>
    <x v="1"/>
    <n v="45118429001279"/>
    <x v="130"/>
    <s v="CATANDUVA"/>
    <s v="SP"/>
    <x v="0"/>
    <s v="CLAUDIA BUENO (SPC/SPI)"/>
    <n v="73"/>
    <x v="1"/>
    <s v="UNIMED HOSPITAL SAO DOMINGOS - CATANDUVA - SP - 45.118.429/0012-79"/>
    <n v="6"/>
  </r>
  <r>
    <x v="0"/>
    <x v="5"/>
    <x v="1"/>
    <n v="45184066000117"/>
    <x v="136"/>
    <s v="SÃO JOSÉ DOS CAMPOS"/>
    <s v="SP"/>
    <x v="0"/>
    <s v="CLAUDIA BUENO (SPC/SPI)"/>
    <n v="73"/>
    <x v="1"/>
    <s v="HOSPITAL POLICLIN - SÃO JOSÉ DOS CAMPOS - SP - 45.184.066/0001-17"/>
    <n v="15"/>
  </r>
  <r>
    <x v="0"/>
    <x v="5"/>
    <x v="1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18"/>
  </r>
  <r>
    <x v="0"/>
    <x v="5"/>
    <x v="1"/>
    <n v="45359213000576"/>
    <x v="150"/>
    <s v="SÃO CARLOS"/>
    <s v="SP"/>
    <x v="0"/>
    <s v="CLAUDIA BUENO (SPC/SPI)"/>
    <n v="73"/>
    <x v="1"/>
    <s v="HOSPITAL UNIMED SAO CARLOS - SÃO CARLOS - SP - 45.359.213/0005-76"/>
    <n v="16"/>
  </r>
  <r>
    <x v="0"/>
    <x v="5"/>
    <x v="1"/>
    <n v="46009718000140"/>
    <x v="124"/>
    <s v="CAMPINAS"/>
    <s v="SP"/>
    <x v="0"/>
    <s v="CLAUDIA BUENO (SPC/SPI)"/>
    <n v="73"/>
    <x v="1"/>
    <s v="HOSPITAL VERA CRUZ S A - CAMPINAS - SP - 46.009.718/0001-40"/>
    <n v="54"/>
  </r>
  <r>
    <x v="0"/>
    <x v="5"/>
    <x v="1"/>
    <n v="46020301000269"/>
    <x v="131"/>
    <s v="CAMPINAS"/>
    <s v="SP"/>
    <x v="0"/>
    <s v="CLAUDIA BUENO (SPC/SPI)"/>
    <n v="73"/>
    <x v="1"/>
    <s v="HOSPITAL E MATERNIDADE CELSO PIERRO - CAMPINAS - SP - 46.020.301/0002-69"/>
    <n v="35"/>
  </r>
  <r>
    <x v="0"/>
    <x v="5"/>
    <x v="1"/>
    <n v="46124624000111"/>
    <x v="151"/>
    <s v="CAMPINAS"/>
    <s v="SP"/>
    <x v="0"/>
    <s v="CLAUDIA BUENO (SPC/SPI)"/>
    <n v="73"/>
    <x v="1"/>
    <s v="UNIMED CAMPINAS COOPERATIVA DE TRABALHO MEDICO - CAMPINAS - SP - 46.124.624/0001-11"/>
    <n v="96"/>
  </r>
  <r>
    <x v="0"/>
    <x v="5"/>
    <x v="1"/>
    <n v="56023443000152"/>
    <x v="160"/>
    <s v="RIBEIRÃO PRETO"/>
    <s v="SP"/>
    <x v="0"/>
    <s v="CLAUDIA BUENO (SPC/SPI)"/>
    <n v="73"/>
    <x v="1"/>
    <s v="HCRP - RIBEIRÃO PRETO - SP - 56.023.443/0001-52"/>
    <n v="24"/>
  </r>
  <r>
    <x v="0"/>
    <x v="5"/>
    <x v="1"/>
    <n v="57507402000102"/>
    <x v="157"/>
    <s v="SANTO ANDRÉ"/>
    <s v="SP"/>
    <x v="0"/>
    <s v="CLAUDIA BUENO (SPC/SPI)"/>
    <n v="73"/>
    <x v="1"/>
    <s v="HOSP.E MATERN. BENEFICENCIA PORTUGUESA DE SANTO ANDRE - SANTO ANDRÉ - SP - 57.507.402/0001-02"/>
    <n v="150"/>
  </r>
  <r>
    <x v="0"/>
    <x v="5"/>
    <x v="1"/>
    <n v="57722118000302"/>
    <x v="158"/>
    <s v="RIBEIRÃO PRETO"/>
    <s v="SP"/>
    <x v="0"/>
    <s v="CLAUDIA BUENO (SPC/SPI)"/>
    <n v="73"/>
    <x v="1"/>
    <s v="CENTRO DE REFERENCIA DA SAUDE DA MULHER - MATER - RIBEIRÃO PRETO - SP - 57.722.118/0003-02"/>
    <n v="32"/>
  </r>
  <r>
    <x v="0"/>
    <x v="5"/>
    <x v="1"/>
    <n v="58229691001070"/>
    <x v="156"/>
    <s v="SANTOS"/>
    <s v="SP"/>
    <x v="0"/>
    <s v="CLAUDIA BUENO (SPC/SPI)"/>
    <n v="73"/>
    <x v="1"/>
    <s v="UNIMED DE SANTOS COOPERATIVA DE TRABALHO MEDICO - SANTOS - SP - 58.229.691/0010-70"/>
    <n v="32"/>
  </r>
  <r>
    <x v="0"/>
    <x v="6"/>
    <x v="2"/>
    <n v="2643405000173"/>
    <x v="141"/>
    <s v="SÃO JOSÉ DO RIO PRETO"/>
    <s v="SP"/>
    <x v="0"/>
    <s v="CLAUDIA BUENO (SPC/SPI)"/>
    <n v="73"/>
    <x v="1"/>
    <s v="HOME CARE CENE - SÃO JOSÉ DO RIO PRETO - SP - 02.643.405/0001-73"/>
    <n v="22"/>
  </r>
  <r>
    <x v="0"/>
    <x v="6"/>
    <x v="2"/>
    <n v="4275687000129"/>
    <x v="142"/>
    <s v="ATIBAIA"/>
    <s v="SP"/>
    <x v="0"/>
    <s v="CLAUDIA BUENO (SPC/SPI)"/>
    <n v="73"/>
    <x v="1"/>
    <s v="ALBERT SABIN HOSPITAL E MATERNIDADE - ATIBAIA - SP - 04.275.687/0001-29"/>
    <n v="54"/>
  </r>
  <r>
    <x v="0"/>
    <x v="6"/>
    <x v="2"/>
    <n v="10447300000177"/>
    <x v="143"/>
    <s v="CAMPINAS"/>
    <s v="SP"/>
    <x v="0"/>
    <s v="CLAUDIA BUENO (SPC/SPI)"/>
    <n v="73"/>
    <x v="1"/>
    <s v="ALERGO LOGICA DIAGNOSTICO EM ALERGIA LTDA ME - CAMPINAS - SP - 10.447.300/0001-77"/>
    <n v="30"/>
  </r>
  <r>
    <x v="0"/>
    <x v="6"/>
    <x v="2"/>
    <n v="18321477000134"/>
    <x v="145"/>
    <s v="SÃO JOSÉ DOS CAMPOS"/>
    <s v="SP"/>
    <x v="0"/>
    <s v="CLAUDIA BUENO (SPC/SPI)"/>
    <n v="73"/>
    <x v="1"/>
    <s v="SANTA CASA SAUDE - SÃO JOSÉ DOS CAMPOS - SP - 18.321.477/0001-34"/>
    <n v="98"/>
  </r>
  <r>
    <x v="0"/>
    <x v="6"/>
    <x v="2"/>
    <n v="29929600000110"/>
    <x v="159"/>
    <s v="TAUBATÉ"/>
    <s v="SP"/>
    <x v="0"/>
    <s v="CLAUDIA BUENO (SPC/SPI)"/>
    <n v="73"/>
    <x v="1"/>
    <s v="DA MATTA AIN CLINICA DE VACINA LTDA - TAUBATÉ - SP - 29.929.600/0001-10"/>
    <n v="4"/>
  </r>
  <r>
    <x v="0"/>
    <x v="6"/>
    <x v="2"/>
    <n v="44649812019238"/>
    <x v="147"/>
    <s v="CAMPINAS"/>
    <s v="SP"/>
    <x v="0"/>
    <s v="CLAUDIA BUENO (SPC/SPI)"/>
    <n v="73"/>
    <x v="1"/>
    <s v="INTERMEDICA SISTEMA DE SAUDE S A - CAMPINAS - SP - 44.649.812/0192-38"/>
    <n v="8"/>
  </r>
  <r>
    <x v="0"/>
    <x v="6"/>
    <x v="2"/>
    <n v="44663631000590"/>
    <x v="148"/>
    <s v="RIO CLARO"/>
    <s v="SP"/>
    <x v="0"/>
    <s v="CLAUDIA BUENO (SPC/SPI)"/>
    <n v="73"/>
    <x v="1"/>
    <s v="HOSPITAL E MATERNIDADE UNIMED - RIO CLARO - SP - 44.663.631/0005-90"/>
    <n v="16"/>
  </r>
  <r>
    <x v="0"/>
    <x v="6"/>
    <x v="2"/>
    <n v="44803922000293"/>
    <x v="149"/>
    <s v="PIRACICABA"/>
    <s v="SP"/>
    <x v="0"/>
    <s v="CLAUDIA BUENO (SPC/SPI)"/>
    <n v="73"/>
    <x v="1"/>
    <s v="UNIMED DE PIRACICABA SOC COOP DE SERVICOS MEDICOS - PIRACICABA - SP - 44.803.922/0002-93"/>
    <n v="8"/>
  </r>
  <r>
    <x v="0"/>
    <x v="6"/>
    <x v="2"/>
    <n v="45184066000117"/>
    <x v="136"/>
    <s v="SÃO JOSÉ DOS CAMPOS"/>
    <s v="SP"/>
    <x v="0"/>
    <s v="CLAUDIA BUENO (SPC/SPI)"/>
    <n v="73"/>
    <x v="1"/>
    <s v="HOSPITAL POLICLIN - SÃO JOSÉ DOS CAMPOS - SP - 45.184.066/0001-17"/>
    <n v="15"/>
  </r>
  <r>
    <x v="0"/>
    <x v="6"/>
    <x v="2"/>
    <n v="45232246000550"/>
    <x v="137"/>
    <s v="RIBEIRÃO PRETO"/>
    <s v="SP"/>
    <x v="0"/>
    <s v="CLAUDIA BUENO (SPC/SPI)"/>
    <n v="73"/>
    <x v="1"/>
    <s v="UNIMED DE RIBEIRAO PRETO COOPERATIVA DE TRABALHO MEDICO - RIBEIRÃO PRETO - SP - 45.232.246/0005-50"/>
    <n v="47"/>
  </r>
  <r>
    <x v="0"/>
    <x v="6"/>
    <x v="2"/>
    <n v="45359213000576"/>
    <x v="150"/>
    <s v="SÃO CARLOS"/>
    <s v="SP"/>
    <x v="0"/>
    <s v="CLAUDIA BUENO (SPC/SPI)"/>
    <n v="73"/>
    <x v="1"/>
    <s v="HOSPITAL UNIMED SAO CARLOS - SÃO CARLOS - SP - 45.359.213/0005-76"/>
    <n v="28"/>
  </r>
  <r>
    <x v="0"/>
    <x v="6"/>
    <x v="2"/>
    <n v="46009718000140"/>
    <x v="124"/>
    <s v="CAMPINAS"/>
    <s v="SP"/>
    <x v="0"/>
    <s v="CLAUDIA BUENO (SPC/SPI)"/>
    <n v="73"/>
    <x v="1"/>
    <s v="HOSPITAL VERA CRUZ S A - CAMPINAS - SP - 46.009.718/0001-40"/>
    <n v="40"/>
  </r>
  <r>
    <x v="0"/>
    <x v="6"/>
    <x v="2"/>
    <n v="46020301000269"/>
    <x v="131"/>
    <s v="CAMPINAS"/>
    <s v="SP"/>
    <x v="0"/>
    <s v="CLAUDIA BUENO (SPC/SPI)"/>
    <n v="73"/>
    <x v="1"/>
    <s v="HOSPITAL E MATERNIDADE CELSO PIERRO - CAMPINAS - SP - 46.020.301/0002-69"/>
    <n v="20"/>
  </r>
  <r>
    <x v="0"/>
    <x v="6"/>
    <x v="2"/>
    <n v="46124624000111"/>
    <x v="151"/>
    <s v="CAMPINAS"/>
    <s v="SP"/>
    <x v="0"/>
    <s v="CLAUDIA BUENO (SPC/SPI)"/>
    <n v="73"/>
    <x v="1"/>
    <s v="UNIMED CAMPINAS COOPERATIVA DE TRABALHO MEDICO - CAMPINAS - SP - 46.124.624/0001-11"/>
    <n v="276"/>
  </r>
  <r>
    <x v="0"/>
    <x v="6"/>
    <x v="2"/>
    <n v="58229691001070"/>
    <x v="156"/>
    <s v="SANTOS"/>
    <s v="SP"/>
    <x v="0"/>
    <s v="CLAUDIA BUENO (SPC/SPI)"/>
    <n v="73"/>
    <x v="1"/>
    <s v="UNIMED DE SANTOS COOPERATIVA DE TRABALHO MEDICO - SANTOS - SP - 58.229.691/0010-70"/>
    <n v="32"/>
  </r>
  <r>
    <x v="0"/>
    <x v="0"/>
    <x v="0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85"/>
  </r>
  <r>
    <x v="0"/>
    <x v="1"/>
    <x v="0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5"/>
  </r>
  <r>
    <x v="0"/>
    <x v="0"/>
    <x v="0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1200"/>
  </r>
  <r>
    <x v="0"/>
    <x v="1"/>
    <x v="0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450"/>
  </r>
  <r>
    <x v="0"/>
    <x v="0"/>
    <x v="0"/>
    <n v="6033403000113"/>
    <x v="115"/>
    <s v="SANTO ANDRÉ"/>
    <s v="SP"/>
    <x v="0"/>
    <s v="CLAUDIA BUENO (SPC/SPI)"/>
    <n v="70"/>
    <x v="0"/>
    <s v="HSH - SANTO ANDRÉ - SP - 06.033.403/0001-13"/>
    <n v="20"/>
  </r>
  <r>
    <x v="0"/>
    <x v="0"/>
    <x v="0"/>
    <n v="6047087003073"/>
    <x v="116"/>
    <s v="SÃO JOSÉ DOS CAMPOS"/>
    <s v="SP"/>
    <x v="0"/>
    <s v="CLAUDIA BUENO (SPC/SPI)"/>
    <n v="70"/>
    <x v="0"/>
    <s v="HOSPITAL VIVALLE (REDE DOR) - SÃO JOSÉ DOS CAMPOS - SP - 06.047.087/0030-73"/>
    <n v="250"/>
  </r>
  <r>
    <x v="0"/>
    <x v="0"/>
    <x v="0"/>
    <n v="6209132000104"/>
    <x v="163"/>
    <s v="HORTOLÂNDIA"/>
    <s v="SP"/>
    <x v="0"/>
    <s v="CLAUDIA BUENO (SPC/SPI)"/>
    <n v="70"/>
    <x v="0"/>
    <s v="ASSOCIACAO BENEFICENTE SAMARITANO - HORTOLÂNDIA - SP - 06.209.132/0001-04"/>
    <n v="75"/>
  </r>
  <r>
    <x v="0"/>
    <x v="0"/>
    <x v="0"/>
    <n v="25026561000190"/>
    <x v="164"/>
    <s v="ANDRADINA"/>
    <s v="SP"/>
    <x v="0"/>
    <s v="CLAUDIA BUENO (SPC/SPI)"/>
    <n v="70"/>
    <x v="0"/>
    <s v="INSTITUTO DO CANCER DE ANDRADINA - ANDRADINA - SP - 25.026.561/0001-90"/>
    <n v="25"/>
  </r>
  <r>
    <x v="0"/>
    <x v="1"/>
    <x v="0"/>
    <n v="25026561000190"/>
    <x v="164"/>
    <s v="ANDRADINA"/>
    <s v="SP"/>
    <x v="0"/>
    <s v="CLAUDIA BUENO (SPC/SPI)"/>
    <n v="70"/>
    <x v="0"/>
    <s v="INSTITUTO DO CANCER DE ANDRADINA - ANDRADINA - SP - 25.026.561/0001-90"/>
    <n v="20"/>
  </r>
  <r>
    <x v="0"/>
    <x v="1"/>
    <x v="0"/>
    <n v="10576443000189"/>
    <x v="165"/>
    <s v="SÃO JOSÉ DO RIO PRETO"/>
    <s v="SP"/>
    <x v="0"/>
    <s v="CLAUDIA BUENO (SPC/SPI)"/>
    <n v="70"/>
    <x v="0"/>
    <s v="CORP - SÃO JOSÉ DO RIO PRETO - SP - 10.576.443/0001-89"/>
    <n v="140"/>
  </r>
  <r>
    <x v="0"/>
    <x v="1"/>
    <x v="0"/>
    <n v="10868295000176"/>
    <x v="166"/>
    <s v="SANTOS"/>
    <s v="SP"/>
    <x v="0"/>
    <s v="CLAUDIA BUENO (SPC/SPI)"/>
    <n v="70"/>
    <x v="0"/>
    <s v="BIO IMUNE - CENTRO DE APLICACOES E VACINAS  CONSULTORIA E PROCEDIMENTOS MEDICOS LTDA - ME - SANTOS - SP - 10.868.295/0001-76"/>
    <n v="40"/>
  </r>
  <r>
    <x v="0"/>
    <x v="0"/>
    <x v="0"/>
    <n v="29435005008022"/>
    <x v="167"/>
    <s v="SANTOS"/>
    <s v="SP"/>
    <x v="0"/>
    <s v="CLAUDIA BUENO (SPC/SPI)"/>
    <n v="70"/>
    <x v="0"/>
    <s v="(UNIDADE HOSPITAL VITORIA SANTOS) - SANTOS - SP - 29.435.005/0080-22"/>
    <n v="60"/>
  </r>
  <r>
    <x v="0"/>
    <x v="0"/>
    <x v="0"/>
    <n v="29435005008294"/>
    <x v="168"/>
    <s v="GUARULHOS"/>
    <s v="SP"/>
    <x v="0"/>
    <s v="CLAUDIA BUENO (SPC/SPI)"/>
    <n v="70"/>
    <x v="0"/>
    <s v="ESHO EMPRESA DE SERVICOS HOSPITALARES S.A. - GUARULHOS - SP - 29.435.005/0082-94"/>
    <n v="245"/>
  </r>
  <r>
    <x v="0"/>
    <x v="1"/>
    <x v="0"/>
    <n v="29435005008294"/>
    <x v="168"/>
    <s v="GUARULHOS"/>
    <s v="SP"/>
    <x v="0"/>
    <s v="CLAUDIA BUENO (SPC/SPI)"/>
    <n v="70"/>
    <x v="0"/>
    <s v="ESHO EMPRESA DE SERVICOS HOSPITALARES S.A. - GUARULHOS - SP - 29.435.005/0082-94"/>
    <n v="150"/>
  </r>
  <r>
    <x v="0"/>
    <x v="0"/>
    <x v="0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125"/>
  </r>
  <r>
    <x v="0"/>
    <x v="1"/>
    <x v="0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35"/>
  </r>
  <r>
    <x v="0"/>
    <x v="0"/>
    <x v="0"/>
    <n v="43293604002120"/>
    <x v="170"/>
    <s v="SÃO BERNARDO DO CAMPO"/>
    <s v="SP"/>
    <x v="0"/>
    <s v="CLAUDIA BUENO (SPC/SPI)"/>
    <n v="70"/>
    <x v="0"/>
    <s v="SANTA HELENA ASSISTENCIA MEDICA S/A - SÃO BERNARDO DO CAMPO - SP - 43.293.604/0021-20"/>
    <n v="120"/>
  </r>
  <r>
    <x v="0"/>
    <x v="0"/>
    <x v="0"/>
    <n v="44663631000590"/>
    <x v="148"/>
    <s v="RIO CLARO"/>
    <s v="SP"/>
    <x v="0"/>
    <s v="CLAUDIA BUENO (SPC/SPI)"/>
    <n v="70"/>
    <x v="0"/>
    <s v="HOSPITAL E MATERNIDADE UNIMED - RIO CLARO - SP - 44.663.631/0005-90"/>
    <n v="225"/>
  </r>
  <r>
    <x v="0"/>
    <x v="0"/>
    <x v="0"/>
    <n v="45118429001279"/>
    <x v="130"/>
    <s v="CATANDUVA"/>
    <s v="SP"/>
    <x v="0"/>
    <s v="CLAUDIA BUENO (SPC/SPI)"/>
    <n v="70"/>
    <x v="0"/>
    <s v="UNIMED HOSPITAL SAO DOMINGOS - CATANDUVA - SP - 45.118.429/0012-79"/>
    <n v="100"/>
  </r>
  <r>
    <x v="0"/>
    <x v="0"/>
    <x v="0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235"/>
  </r>
  <r>
    <x v="0"/>
    <x v="0"/>
    <x v="0"/>
    <n v="45399961000230"/>
    <x v="171"/>
    <s v="SOROCABA"/>
    <s v="SP"/>
    <x v="0"/>
    <s v="CLAUDIA BUENO (SPC/SPI)"/>
    <n v="70"/>
    <x v="0"/>
    <s v="UNIMED - SOROCABA - SP - 45.399.961/0002-30"/>
    <n v="725"/>
  </r>
  <r>
    <x v="0"/>
    <x v="0"/>
    <x v="0"/>
    <n v="45780103000150"/>
    <x v="172"/>
    <s v="JUNDIAÍ"/>
    <s v="SP"/>
    <x v="0"/>
    <s v="CLAUDIA BUENO (SPC/SPI)"/>
    <n v="70"/>
    <x v="0"/>
    <s v="JUNDIAI GABINETE PREFEITO - JUNDIAÍ - SP - 45.780.103/0001-50"/>
    <n v="730"/>
  </r>
  <r>
    <x v="0"/>
    <x v="0"/>
    <x v="0"/>
    <n v="46009718000140"/>
    <x v="124"/>
    <s v="CAMPINAS"/>
    <s v="SP"/>
    <x v="0"/>
    <s v="CLAUDIA BUENO (SPC/SPI)"/>
    <n v="70"/>
    <x v="0"/>
    <s v="HOSPITAL VERA CRUZ S A - CAMPINAS - SP - 46.009.718/0001-40"/>
    <n v="860"/>
  </r>
  <r>
    <x v="0"/>
    <x v="0"/>
    <x v="0"/>
    <n v="46124624000111"/>
    <x v="151"/>
    <s v="CAMPINAS"/>
    <s v="SP"/>
    <x v="0"/>
    <s v="CLAUDIA BUENO (SPC/SPI)"/>
    <n v="70"/>
    <x v="0"/>
    <s v="UNIMED CAMPINAS COOPERATIVA DE TRABALHO MEDICO - CAMPINAS - SP - 46.124.624/0001-11"/>
    <n v="545"/>
  </r>
  <r>
    <x v="0"/>
    <x v="0"/>
    <x v="0"/>
    <n v="46124624002599"/>
    <x v="152"/>
    <s v="SUMARÉ"/>
    <s v="SP"/>
    <x v="0"/>
    <s v="CLAUDIA BUENO (SPC/SPI)"/>
    <n v="70"/>
    <x v="0"/>
    <s v="UNIMED CAMPINAS COOPERATIVA DE TRABALHO MEDICO - SUMARÉ - SP - 46.124.624/0025-99"/>
    <n v="400"/>
  </r>
  <r>
    <x v="0"/>
    <x v="0"/>
    <x v="0"/>
    <n v="46374500003533"/>
    <x v="173"/>
    <s v="RIBEIRÃO PRETO"/>
    <s v="SP"/>
    <x v="0"/>
    <s v="CLAUDIA BUENO (SPC/SPI)"/>
    <n v="70"/>
    <x v="0"/>
    <s v="DEPARTAM. REGIONAL DE SAUDE DE RIB. PRETO - DRS XIII - RIBEIRÃO PRETO - SP - 46.374.500/0035-33"/>
    <n v="1000"/>
  </r>
  <r>
    <x v="0"/>
    <x v="0"/>
    <x v="0"/>
    <n v="47074851000819"/>
    <x v="153"/>
    <s v="CATANDUVA"/>
    <s v="SP"/>
    <x v="0"/>
    <s v="CLAUDIA BUENO (SPC/SPI)"/>
    <n v="70"/>
    <x v="0"/>
    <s v="HOSPITAL PADRE ALBINO - CATANDUVA - SP - 47.074.851/0008-19"/>
    <n v="40"/>
  </r>
  <r>
    <x v="0"/>
    <x v="0"/>
    <x v="0"/>
    <n v="48468284000171"/>
    <x v="174"/>
    <s v="GUARARAPES"/>
    <s v="SP"/>
    <x v="0"/>
    <s v="CLAUDIA BUENO (SPC/SPI)"/>
    <n v="70"/>
    <x v="0"/>
    <s v="PREFEITURA MUNICIPAL DE GUARARAPES - GUARARAPES - SP - 48.468.284/0001-71"/>
    <n v="100"/>
  </r>
  <r>
    <x v="0"/>
    <x v="0"/>
    <x v="0"/>
    <n v="50486026000160"/>
    <x v="175"/>
    <s v="FRANCA"/>
    <s v="SP"/>
    <x v="0"/>
    <s v="CLAUDIA BUENO (SPC/SPI)"/>
    <n v="70"/>
    <x v="0"/>
    <s v="HOSPITAL SAO JOAQUIM - FRANCA - SP - 50.486.026/0001-60"/>
    <n v="100"/>
  </r>
  <r>
    <x v="0"/>
    <x v="0"/>
    <x v="0"/>
    <n v="51877926000109"/>
    <x v="176"/>
    <s v="CAMPINAS"/>
    <s v="SP"/>
    <x v="0"/>
    <s v="CLAUDIA BUENO (SPC/SPI)"/>
    <n v="70"/>
    <x v="0"/>
    <s v="INSTITUTO DO RADIUM - CAMPINAS - SP - 51.877.926/0001-09"/>
    <n v="165"/>
  </r>
  <r>
    <x v="0"/>
    <x v="0"/>
    <x v="0"/>
    <n v="54012406000385"/>
    <x v="177"/>
    <s v="ARARAS"/>
    <s v="SP"/>
    <x v="0"/>
    <s v="CLAUDIA BUENO (SPC/SPI)"/>
    <n v="70"/>
    <x v="0"/>
    <s v="JHOSPITAL UNIMED DE ARARAS - ARARAS - SP - 54.012.406/0003-85"/>
    <n v="70"/>
  </r>
  <r>
    <x v="0"/>
    <x v="0"/>
    <x v="0"/>
    <n v="57722118000302"/>
    <x v="158"/>
    <s v="RIBEIRÃO PRETO"/>
    <s v="SP"/>
    <x v="0"/>
    <s v="CLAUDIA BUENO (SPC/SPI)"/>
    <n v="70"/>
    <x v="0"/>
    <s v="CENTRO DE REFERENCIA DA SAUDE DA MULHER - MATER - RIBEIRÃO PRETO - SP - 57.722.118/0003-02"/>
    <n v="1650"/>
  </r>
  <r>
    <x v="0"/>
    <x v="0"/>
    <x v="0"/>
    <n v="60214517000962"/>
    <x v="178"/>
    <s v="SÃO JOSÉ DOS CAMPOS"/>
    <s v="SP"/>
    <x v="0"/>
    <s v="CLAUDIA BUENO (SPC/SPI)"/>
    <n v="70"/>
    <x v="0"/>
    <s v="UNIMED SAO JOSE DOS CAMPOS - COOPERATIVA DE TRABALHO MEDICO - SÃO JOSÉ DOS CAMPOS - SP - 60.214.517/0009-62"/>
    <n v="90"/>
  </r>
  <r>
    <x v="0"/>
    <x v="0"/>
    <x v="0"/>
    <n v="60214517001691"/>
    <x v="138"/>
    <s v="SÃO JOSÉ DOS CAMPOS"/>
    <s v="SP"/>
    <x v="0"/>
    <s v="CLAUDIA BUENO (SPC/SPI)"/>
    <n v="70"/>
    <x v="0"/>
    <s v="HOSPITAL SANTOS DUMONT - SÃO JOSÉ DOS CAMPOS - SP - 60.214.517/0016-91"/>
    <n v="150"/>
  </r>
  <r>
    <x v="0"/>
    <x v="1"/>
    <x v="0"/>
    <n v="24082016000159"/>
    <x v="179"/>
    <s v="MARÍLIA"/>
    <s v="SP"/>
    <x v="0"/>
    <s v="CLAUDIA BUENO (SPC/SPI)"/>
    <n v="70"/>
    <x v="0"/>
    <s v="HCFAMEMA - MARÍLIA - SP - 24.082.016/0001-59"/>
    <n v="2000"/>
  </r>
  <r>
    <x v="0"/>
    <x v="1"/>
    <x v="0"/>
    <n v="43293604002120"/>
    <x v="170"/>
    <s v="SÃO BERNARDO DO CAMPO"/>
    <s v="SP"/>
    <x v="0"/>
    <s v="CLAUDIA BUENO (SPC/SPI)"/>
    <n v="70"/>
    <x v="0"/>
    <s v="SANTA HELENA ASSISTENCIA MEDICA S/A - SÃO BERNARDO DO CAMPO - SP - 43.293.604/0021-20"/>
    <n v="80"/>
  </r>
  <r>
    <x v="0"/>
    <x v="1"/>
    <x v="0"/>
    <n v="44663631000590"/>
    <x v="148"/>
    <s v="RIO CLARO"/>
    <s v="SP"/>
    <x v="0"/>
    <s v="CLAUDIA BUENO (SPC/SPI)"/>
    <n v="70"/>
    <x v="0"/>
    <s v="HOSPITAL E MATERNIDADE UNIMED - RIO CLARO - SP - 44.663.631/0005-90"/>
    <n v="165"/>
  </r>
  <r>
    <x v="0"/>
    <x v="1"/>
    <x v="0"/>
    <n v="45184066000117"/>
    <x v="136"/>
    <s v="SÃO JOSÉ DOS CAMPOS"/>
    <s v="SP"/>
    <x v="0"/>
    <s v="CLAUDIA BUENO (SPC/SPI)"/>
    <n v="70"/>
    <x v="0"/>
    <s v="HOSPITAL POLICLIN - SÃO JOSÉ DOS CAMPOS - SP - 45.184.066/0001-17"/>
    <n v="50"/>
  </r>
  <r>
    <x v="0"/>
    <x v="1"/>
    <x v="0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60"/>
  </r>
  <r>
    <x v="0"/>
    <x v="1"/>
    <x v="0"/>
    <n v="45399961000230"/>
    <x v="171"/>
    <s v="SOROCABA"/>
    <s v="SP"/>
    <x v="0"/>
    <s v="CLAUDIA BUENO (SPC/SPI)"/>
    <n v="70"/>
    <x v="0"/>
    <s v="UNIMED - SOROCABA - SP - 45.399.961/0002-30"/>
    <n v="450"/>
  </r>
  <r>
    <x v="0"/>
    <x v="1"/>
    <x v="0"/>
    <n v="46009718000140"/>
    <x v="124"/>
    <s v="CAMPINAS"/>
    <s v="SP"/>
    <x v="0"/>
    <s v="CLAUDIA BUENO (SPC/SPI)"/>
    <n v="70"/>
    <x v="0"/>
    <s v="HOSPITAL VERA CRUZ S A - CAMPINAS - SP - 46.009.718/0001-40"/>
    <n v="1150"/>
  </r>
  <r>
    <x v="0"/>
    <x v="1"/>
    <x v="0"/>
    <n v="46124624000111"/>
    <x v="151"/>
    <s v="CAMPINAS"/>
    <s v="SP"/>
    <x v="0"/>
    <s v="CLAUDIA BUENO (SPC/SPI)"/>
    <n v="70"/>
    <x v="0"/>
    <s v="UNIMED CAMPINAS COOPERATIVA DE TRABALHO MEDICO - CAMPINAS - SP - 46.124.624/0001-11"/>
    <n v="340"/>
  </r>
  <r>
    <x v="0"/>
    <x v="1"/>
    <x v="0"/>
    <n v="46124624002599"/>
    <x v="152"/>
    <s v="SUMARÉ"/>
    <s v="SP"/>
    <x v="0"/>
    <s v="CLAUDIA BUENO (SPC/SPI)"/>
    <n v="70"/>
    <x v="0"/>
    <s v="UNIMED CAMPINAS COOPERATIVA DE TRABALHO MEDICO - SUMARÉ - SP - 46.124.624/0025-99"/>
    <n v="700"/>
  </r>
  <r>
    <x v="0"/>
    <x v="1"/>
    <x v="0"/>
    <n v="46374500009060"/>
    <x v="180"/>
    <s v="PIRACICABA"/>
    <s v="SP"/>
    <x v="0"/>
    <s v="CLAUDIA BUENO (SPC/SPI)"/>
    <n v="70"/>
    <x v="0"/>
    <s v="DEPARTAMENTO REGIONAL DE SAUDE DE PIRACICABA - DRS X - PIRACICABA - SP - 46.374.500/0090-60"/>
    <n v="300"/>
  </r>
  <r>
    <x v="0"/>
    <x v="1"/>
    <x v="0"/>
    <n v="50486026000160"/>
    <x v="175"/>
    <s v="FRANCA"/>
    <s v="SP"/>
    <x v="0"/>
    <s v="CLAUDIA BUENO (SPC/SPI)"/>
    <n v="70"/>
    <x v="0"/>
    <s v="HOSPITAL SAO JOAQUIM - FRANCA - SP - 50.486.026/0001-60"/>
    <n v="100"/>
  </r>
  <r>
    <x v="0"/>
    <x v="1"/>
    <x v="0"/>
    <n v="54012406000385"/>
    <x v="177"/>
    <s v="ARARAS"/>
    <s v="SP"/>
    <x v="0"/>
    <s v="CLAUDIA BUENO (SPC/SPI)"/>
    <n v="70"/>
    <x v="0"/>
    <s v="JHOSPITAL UNIMED DE ARARAS - ARARAS - SP - 54.012.406/0003-85"/>
    <n v="70"/>
  </r>
  <r>
    <x v="0"/>
    <x v="1"/>
    <x v="0"/>
    <n v="57722118000140"/>
    <x v="181"/>
    <s v="RIBEIRÃO PRETO"/>
    <s v="SP"/>
    <x v="0"/>
    <s v="CLAUDIA BUENO (SPC/SPI)"/>
    <n v="70"/>
    <x v="0"/>
    <s v="FAEPA - RIBEIRÃO PRETO - SP - 57.722.118/0001-40"/>
    <n v="150"/>
  </r>
  <r>
    <x v="0"/>
    <x v="1"/>
    <x v="0"/>
    <n v="60214517000962"/>
    <x v="178"/>
    <s v="SÃO JOSÉ DOS CAMPOS"/>
    <s v="SP"/>
    <x v="0"/>
    <s v="CLAUDIA BUENO (SPC/SPI)"/>
    <n v="70"/>
    <x v="0"/>
    <s v="UNIMED SAO JOSE DOS CAMPOS - COOPERATIVA DE TRABALHO MEDICO - SÃO JOSÉ DOS CAMPOS - SP - 60.214.517/0009-62"/>
    <n v="60"/>
  </r>
  <r>
    <x v="0"/>
    <x v="1"/>
    <x v="0"/>
    <n v="60214517001691"/>
    <x v="138"/>
    <s v="SÃO JOSÉ DOS CAMPOS"/>
    <s v="SP"/>
    <x v="0"/>
    <s v="CLAUDIA BUENO (SPC/SPI)"/>
    <n v="70"/>
    <x v="0"/>
    <s v="HOSPITAL SANTOS DUMONT - SÃO JOSÉ DOS CAMPOS - SP - 60.214.517/0016-91"/>
    <n v="660"/>
  </r>
  <r>
    <x v="0"/>
    <x v="1"/>
    <x v="0"/>
    <n v="63025530008270"/>
    <x v="182"/>
    <s v="BAURU"/>
    <s v="SP"/>
    <x v="0"/>
    <s v="CLAUDIA BUENO (SPC/SPI)"/>
    <n v="70"/>
    <x v="0"/>
    <s v="HOSPITAL DE REABILITACAO DE ANOMALIAS CRANIOFACIAIS - BAURU - SP - 63.025.530/0082-70"/>
    <n v="5"/>
  </r>
  <r>
    <x v="0"/>
    <x v="1"/>
    <x v="0"/>
    <n v="68204486000113"/>
    <x v="183"/>
    <s v="DRACENA"/>
    <s v="SP"/>
    <x v="0"/>
    <s v="CLAUDIA BUENO (SPC/SPI)"/>
    <n v="70"/>
    <x v="0"/>
    <s v="UNIMED DE DRACENA COOPERATIVA DE TRABALHO MEDICO - DRACENA - SP - 68.204.486/0001-13"/>
    <n v="150"/>
  </r>
  <r>
    <x v="0"/>
    <x v="2"/>
    <x v="0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240"/>
  </r>
  <r>
    <x v="0"/>
    <x v="2"/>
    <x v="0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1220"/>
  </r>
  <r>
    <x v="0"/>
    <x v="2"/>
    <x v="0"/>
    <n v="1613433008089"/>
    <x v="184"/>
    <s v="SERTÃOZINHO"/>
    <s v="SP"/>
    <x v="0"/>
    <s v="CLAUDIA BUENO (SPC/SPI)"/>
    <n v="70"/>
    <x v="0"/>
    <s v="HOSPITAL NETTO CAMPELLO DE SERTAOZINHO - SP - SERTÃOZINHO - SP - 01.613.433/0080-89"/>
    <n v="80"/>
  </r>
  <r>
    <x v="0"/>
    <x v="2"/>
    <x v="0"/>
    <n v="9528436000122"/>
    <x v="185"/>
    <s v="MARÍLIA"/>
    <s v="SP"/>
    <x v="0"/>
    <s v="CLAUDIA BUENO (SPC/SPI)"/>
    <n v="70"/>
    <x v="0"/>
    <s v="HOSPITAL UNIVERSITARIO DE MARILIA - MARÍLIA - SP - 09.528.436/0001-22"/>
    <n v="150"/>
  </r>
  <r>
    <x v="0"/>
    <x v="2"/>
    <x v="0"/>
    <n v="10576443000189"/>
    <x v="165"/>
    <s v="SÃO JOSÉ DO RIO PRETO"/>
    <s v="SP"/>
    <x v="0"/>
    <s v="CLAUDIA BUENO (SPC/SPI)"/>
    <n v="70"/>
    <x v="0"/>
    <s v="CORP - SÃO JOSÉ DO RIO PRETO - SP - 10.576.443/0001-89"/>
    <n v="160"/>
  </r>
  <r>
    <x v="0"/>
    <x v="2"/>
    <x v="0"/>
    <n v="10868295000176"/>
    <x v="166"/>
    <s v="SANTOS"/>
    <s v="SP"/>
    <x v="0"/>
    <s v="CLAUDIA BUENO (SPC/SPI)"/>
    <n v="70"/>
    <x v="0"/>
    <s v="BIO IMUNE - CENTRO DE APLICACOES E VACINAS  CONSULTORIA E PROCEDIMENTOS MEDICOS LTDA - ME - SANTOS - SP - 10.868.295/0001-76"/>
    <n v="120"/>
  </r>
  <r>
    <x v="0"/>
    <x v="2"/>
    <x v="0"/>
    <n v="12474705000120"/>
    <x v="186"/>
    <s v="BOTUCATU"/>
    <s v="SP"/>
    <x v="0"/>
    <s v="CLAUDIA BUENO (SPC/SPI)"/>
    <n v="70"/>
    <x v="0"/>
    <s v="HCFMB - BOTUCATU - SP - 12.474.705/0001-20"/>
    <n v="125"/>
  </r>
  <r>
    <x v="0"/>
    <x v="2"/>
    <x v="0"/>
    <n v="25026561000190"/>
    <x v="164"/>
    <s v="ANDRADINA"/>
    <s v="SP"/>
    <x v="0"/>
    <s v="CLAUDIA BUENO (SPC/SPI)"/>
    <n v="70"/>
    <x v="0"/>
    <s v="INSTITUTO DO CANCER DE ANDRADINA - ANDRADINA - SP - 25.026.561/0001-90"/>
    <n v="20"/>
  </r>
  <r>
    <x v="0"/>
    <x v="2"/>
    <x v="0"/>
    <n v="29435005008103"/>
    <x v="187"/>
    <s v="ARUJÁ"/>
    <s v="SP"/>
    <x v="0"/>
    <s v="CLAUDIA BUENO (SPC/SPI)"/>
    <n v="70"/>
    <x v="0"/>
    <s v="ESHO EMPRESA DE SERVICOS HOSPITALARES S.A. - ARUJÁ - SP - 29.435.005/0081-03"/>
    <n v="5"/>
  </r>
  <r>
    <x v="0"/>
    <x v="2"/>
    <x v="0"/>
    <n v="29435005008294"/>
    <x v="168"/>
    <s v="GUARULHOS"/>
    <s v="SP"/>
    <x v="0"/>
    <s v="CLAUDIA BUENO (SPC/SPI)"/>
    <n v="70"/>
    <x v="0"/>
    <s v="ESHO EMPRESA DE SERVICOS HOSPITALARES S.A. - GUARULHOS - SP - 29.435.005/0082-94"/>
    <n v="300"/>
  </r>
  <r>
    <x v="0"/>
    <x v="2"/>
    <x v="0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200"/>
  </r>
  <r>
    <x v="0"/>
    <x v="2"/>
    <x v="0"/>
    <n v="43293604002120"/>
    <x v="170"/>
    <s v="SÃO BERNARDO DO CAMPO"/>
    <s v="SP"/>
    <x v="0"/>
    <s v="CLAUDIA BUENO (SPC/SPI)"/>
    <n v="70"/>
    <x v="0"/>
    <s v="SANTA HELENA ASSISTENCIA MEDICA S/A - SÃO BERNARDO DO CAMPO - SP - 43.293.604/0021-20"/>
    <n v="65"/>
  </r>
  <r>
    <x v="0"/>
    <x v="2"/>
    <x v="0"/>
    <n v="44663631000590"/>
    <x v="148"/>
    <s v="RIO CLARO"/>
    <s v="SP"/>
    <x v="0"/>
    <s v="CLAUDIA BUENO (SPC/SPI)"/>
    <n v="70"/>
    <x v="0"/>
    <s v="HOSPITAL E MATERNIDADE UNIMED - RIO CLARO - SP - 44.663.631/0005-90"/>
    <n v="195"/>
  </r>
  <r>
    <x v="0"/>
    <x v="2"/>
    <x v="0"/>
    <n v="45118429001279"/>
    <x v="130"/>
    <s v="CATANDUVA"/>
    <s v="SP"/>
    <x v="0"/>
    <s v="CLAUDIA BUENO (SPC/SPI)"/>
    <n v="70"/>
    <x v="0"/>
    <s v="UNIMED HOSPITAL SAO DOMINGOS - CATANDUVA - SP - 45.118.429/0012-79"/>
    <n v="100"/>
  </r>
  <r>
    <x v="0"/>
    <x v="2"/>
    <x v="0"/>
    <n v="45184066000117"/>
    <x v="136"/>
    <s v="SÃO JOSÉ DOS CAMPOS"/>
    <s v="SP"/>
    <x v="0"/>
    <s v="CLAUDIA BUENO (SPC/SPI)"/>
    <n v="70"/>
    <x v="0"/>
    <s v="HOSPITAL POLICLIN - SÃO JOSÉ DOS CAMPOS - SP - 45.184.066/0001-17"/>
    <n v="100"/>
  </r>
  <r>
    <x v="0"/>
    <x v="2"/>
    <x v="0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360"/>
  </r>
  <r>
    <x v="0"/>
    <x v="2"/>
    <x v="0"/>
    <n v="45399961000230"/>
    <x v="171"/>
    <s v="SOROCABA"/>
    <s v="SP"/>
    <x v="0"/>
    <s v="CLAUDIA BUENO (SPC/SPI)"/>
    <n v="70"/>
    <x v="0"/>
    <s v="UNIMED - SOROCABA - SP - 45.399.961/0002-30"/>
    <n v="300"/>
  </r>
  <r>
    <x v="0"/>
    <x v="2"/>
    <x v="0"/>
    <n v="45780103000150"/>
    <x v="172"/>
    <s v="JUNDIAÍ"/>
    <s v="SP"/>
    <x v="0"/>
    <s v="CLAUDIA BUENO (SPC/SPI)"/>
    <n v="70"/>
    <x v="0"/>
    <s v="JUNDIAI GABINETE PREFEITO - JUNDIAÍ - SP - 45.780.103/0001-50"/>
    <n v="615"/>
  </r>
  <r>
    <x v="0"/>
    <x v="2"/>
    <x v="0"/>
    <n v="46009718000140"/>
    <x v="124"/>
    <s v="CAMPINAS"/>
    <s v="SP"/>
    <x v="0"/>
    <s v="CLAUDIA BUENO (SPC/SPI)"/>
    <n v="70"/>
    <x v="0"/>
    <s v="HOSPITAL VERA CRUZ S A - CAMPINAS - SP - 46.009.718/0001-40"/>
    <n v="850"/>
  </r>
  <r>
    <x v="0"/>
    <x v="2"/>
    <x v="0"/>
    <n v="46124624000111"/>
    <x v="151"/>
    <s v="CAMPINAS"/>
    <s v="SP"/>
    <x v="0"/>
    <s v="CLAUDIA BUENO (SPC/SPI)"/>
    <n v="70"/>
    <x v="0"/>
    <s v="UNIMED CAMPINAS COOPERATIVA DE TRABALHO MEDICO - CAMPINAS - SP - 46.124.624/0001-11"/>
    <n v="265"/>
  </r>
  <r>
    <x v="0"/>
    <x v="2"/>
    <x v="0"/>
    <n v="46124624002599"/>
    <x v="152"/>
    <s v="SUMARÉ"/>
    <s v="SP"/>
    <x v="0"/>
    <s v="CLAUDIA BUENO (SPC/SPI)"/>
    <n v="70"/>
    <x v="0"/>
    <s v="UNIMED CAMPINAS COOPERATIVA DE TRABALHO MEDICO - SUMARÉ - SP - 46.124.624/0025-99"/>
    <n v="1250"/>
  </r>
  <r>
    <x v="0"/>
    <x v="2"/>
    <x v="0"/>
    <n v="46374500003533"/>
    <x v="173"/>
    <s v="RIBEIRÃO PRETO"/>
    <s v="SP"/>
    <x v="0"/>
    <s v="CLAUDIA BUENO (SPC/SPI)"/>
    <n v="70"/>
    <x v="0"/>
    <s v="DEPARTAM. REGIONAL DE SAUDE DE RIB. PRETO - DRS XIII - RIBEIRÃO PRETO - SP - 46.374.500/0035-33"/>
    <n v="1000"/>
  </r>
  <r>
    <x v="0"/>
    <x v="2"/>
    <x v="0"/>
    <n v="46374500009221"/>
    <x v="188"/>
    <s v="ARARAQUARA"/>
    <s v="SP"/>
    <x v="0"/>
    <s v="CLAUDIA BUENO (SPC/SPI)"/>
    <n v="70"/>
    <x v="0"/>
    <s v="DEPARTAMENTO REGIONAL DE SAUDE DE ARARAQUARA - DRS III - ARARAQUARA - SP - 46.374.500/0092-21"/>
    <n v="900"/>
  </r>
  <r>
    <x v="0"/>
    <x v="2"/>
    <x v="0"/>
    <n v="46643466000106"/>
    <x v="189"/>
    <s v="SÃO JOSÉ DOS CAMPOS"/>
    <s v="SP"/>
    <x v="0"/>
    <s v="CLAUDIA BUENO (SPC/SPI)"/>
    <n v="70"/>
    <x v="0"/>
    <s v="SAO JOSE DOS CAMPOS GABINETE DO PREFEITO - SÃO JOSÉ DOS CAMPOS - SP - 46.643.466/0001-06"/>
    <n v="700"/>
  </r>
  <r>
    <x v="0"/>
    <x v="2"/>
    <x v="0"/>
    <n v="48468284000171"/>
    <x v="174"/>
    <s v="GUARARAPES"/>
    <s v="SP"/>
    <x v="0"/>
    <s v="CLAUDIA BUENO (SPC/SPI)"/>
    <n v="70"/>
    <x v="0"/>
    <s v="PREFEITURA MUNICIPAL DE GUARARAPES - GUARARAPES - SP - 48.468.284/0001-71"/>
    <n v="200"/>
  </r>
  <r>
    <x v="0"/>
    <x v="2"/>
    <x v="0"/>
    <n v="50486026000160"/>
    <x v="175"/>
    <s v="FRANCA"/>
    <s v="SP"/>
    <x v="0"/>
    <s v="CLAUDIA BUENO (SPC/SPI)"/>
    <n v="70"/>
    <x v="0"/>
    <s v="HOSPITAL SAO JOAQUIM - FRANCA - SP - 50.486.026/0001-60"/>
    <n v="110"/>
  </r>
  <r>
    <x v="0"/>
    <x v="2"/>
    <x v="0"/>
    <n v="51093193000456"/>
    <x v="190"/>
    <s v="ARAÇATUBA"/>
    <s v="SP"/>
    <x v="0"/>
    <s v="CLAUDIA BUENO (SPC/SPI)"/>
    <n v="70"/>
    <x v="0"/>
    <s v="HOSPITAL UNIMED DE ARACATUBA - ARAÇATUBA - SP - 51.093.193/0004-56"/>
    <n v="20"/>
  </r>
  <r>
    <x v="0"/>
    <x v="2"/>
    <x v="0"/>
    <n v="52852100000140"/>
    <x v="191"/>
    <s v="MONTE ALTO"/>
    <s v="SP"/>
    <x v="0"/>
    <s v="CLAUDIA BUENO (SPC/SPI)"/>
    <n v="70"/>
    <x v="0"/>
    <s v="IRMANDADE DE MISERICORDIA DO HOSPITAL DA SANTA CASA DE MONTE ALTO - MONTE ALTO - SP - 52.852.100/0001-40"/>
    <n v="300"/>
  </r>
  <r>
    <x v="0"/>
    <x v="2"/>
    <x v="0"/>
    <n v="54012406000385"/>
    <x v="177"/>
    <s v="ARARAS"/>
    <s v="SP"/>
    <x v="0"/>
    <s v="CLAUDIA BUENO (SPC/SPI)"/>
    <n v="70"/>
    <x v="0"/>
    <s v="JHOSPITAL UNIMED DE ARARAS - ARARAS - SP - 54.012.406/0003-85"/>
    <n v="70"/>
  </r>
  <r>
    <x v="0"/>
    <x v="2"/>
    <x v="0"/>
    <n v="57722118000140"/>
    <x v="181"/>
    <s v="RIBEIRÃO PRETO"/>
    <s v="SP"/>
    <x v="0"/>
    <s v="CLAUDIA BUENO (SPC/SPI)"/>
    <n v="70"/>
    <x v="0"/>
    <s v="FAEPA - RIBEIRÃO PRETO - SP - 57.722.118/0001-40"/>
    <n v="150"/>
  </r>
  <r>
    <x v="0"/>
    <x v="2"/>
    <x v="0"/>
    <n v="60214517001187"/>
    <x v="192"/>
    <s v="JACAREÍ"/>
    <s v="SP"/>
    <x v="0"/>
    <s v="CLAUDIA BUENO (SPC/SPI)"/>
    <n v="70"/>
    <x v="0"/>
    <s v="PRONTO ATENDIMENTO JACAREI - JACAREÍ - SP - 60.214.517/0011-87"/>
    <n v="20"/>
  </r>
  <r>
    <x v="0"/>
    <x v="2"/>
    <x v="0"/>
    <n v="60214517001691"/>
    <x v="138"/>
    <s v="SÃO JOSÉ DOS CAMPOS"/>
    <s v="SP"/>
    <x v="0"/>
    <s v="CLAUDIA BUENO (SPC/SPI)"/>
    <n v="70"/>
    <x v="0"/>
    <s v="HOSPITAL SANTOS DUMONT - SÃO JOSÉ DOS CAMPOS - SP - 60.214.517/0016-91"/>
    <n v="730"/>
  </r>
  <r>
    <x v="0"/>
    <x v="2"/>
    <x v="0"/>
    <n v="68204486000113"/>
    <x v="183"/>
    <s v="DRACENA"/>
    <s v="SP"/>
    <x v="0"/>
    <s v="CLAUDIA BUENO (SPC/SPI)"/>
    <n v="70"/>
    <x v="0"/>
    <s v="UNIMED DE DRACENA COOPERATIVA DE TRABALHO MEDICO - DRACENA - SP - 68.204.486/0001-13"/>
    <n v="150"/>
  </r>
  <r>
    <x v="0"/>
    <x v="3"/>
    <x v="1"/>
    <n v="1613433010814"/>
    <x v="193"/>
    <s v="ARARAQUARA"/>
    <s v="SP"/>
    <x v="0"/>
    <s v="CLAUDIA BUENO (SPC/SPI)"/>
    <n v="70"/>
    <x v="0"/>
    <s v="SAO FRANCISCO SISTEMAS DE SAUDE SOCIEDADE EMPRESARIA LIMITADA - ARARAQUARA - SP - 01.613.433/0108-14"/>
    <n v="50"/>
  </r>
  <r>
    <x v="0"/>
    <x v="3"/>
    <x v="1"/>
    <n v="4127483000140"/>
    <x v="194"/>
    <s v="RIBEIRÃO PRETO"/>
    <s v="SP"/>
    <x v="0"/>
    <s v="CLAUDIA BUENO (SPC/SPI)"/>
    <n v="70"/>
    <x v="0"/>
    <s v="CM MEDICAMENTOS ESPECIAIS LTDA. - RIBEIRÃO PRETO - SP - 04.127.483/0001-40"/>
    <n v="5"/>
  </r>
  <r>
    <x v="0"/>
    <x v="3"/>
    <x v="1"/>
    <n v="10868295000176"/>
    <x v="166"/>
    <s v="SANTOS"/>
    <s v="SP"/>
    <x v="0"/>
    <s v="CLAUDIA BUENO (SPC/SPI)"/>
    <n v="70"/>
    <x v="0"/>
    <s v="BIO IMUNE - CENTRO DE APLICACOES E VACINAS  CONSULTORIA E PROCEDIMENTOS MEDICOS LTDA - ME - SANTOS - SP - 10.868.295/0001-76"/>
    <n v="90"/>
  </r>
  <r>
    <x v="0"/>
    <x v="3"/>
    <x v="1"/>
    <n v="24082016000159"/>
    <x v="179"/>
    <s v="MARÍLIA"/>
    <s v="SP"/>
    <x v="0"/>
    <s v="CLAUDIA BUENO (SPC/SPI)"/>
    <n v="70"/>
    <x v="0"/>
    <s v="HCFAMEMA - MARÍLIA - SP - 24.082.016/0001-59"/>
    <n v="250"/>
  </r>
  <r>
    <x v="0"/>
    <x v="3"/>
    <x v="1"/>
    <n v="25026561000190"/>
    <x v="164"/>
    <s v="ANDRADINA"/>
    <s v="SP"/>
    <x v="0"/>
    <s v="CLAUDIA BUENO (SPC/SPI)"/>
    <n v="70"/>
    <x v="0"/>
    <s v="INSTITUTO DO CANCER DE ANDRADINA - ANDRADINA - SP - 25.026.561/0001-90"/>
    <n v="40"/>
  </r>
  <r>
    <x v="0"/>
    <x v="3"/>
    <x v="1"/>
    <n v="26048123000196"/>
    <x v="195"/>
    <s v="SOROCABA"/>
    <s v="SP"/>
    <x v="0"/>
    <s v="CLAUDIA BUENO (SPC/SPI)"/>
    <n v="70"/>
    <x v="0"/>
    <s v="HCS - SOROCABA - SP - 26.048.123/0001-96"/>
    <n v="40"/>
  </r>
  <r>
    <x v="0"/>
    <x v="3"/>
    <x v="1"/>
    <n v="29435005008294"/>
    <x v="168"/>
    <s v="GUARULHOS"/>
    <s v="SP"/>
    <x v="0"/>
    <s v="CLAUDIA BUENO (SPC/SPI)"/>
    <n v="70"/>
    <x v="0"/>
    <s v="ESHO EMPRESA DE SERVICOS HOSPITALARES S.A. - GUARULHOS - SP - 29.435.005/0082-94"/>
    <n v="250"/>
  </r>
  <r>
    <x v="0"/>
    <x v="3"/>
    <x v="1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175"/>
  </r>
  <r>
    <x v="0"/>
    <x v="3"/>
    <x v="1"/>
    <n v="43293604002120"/>
    <x v="170"/>
    <s v="SÃO BERNARDO DO CAMPO"/>
    <s v="SP"/>
    <x v="0"/>
    <s v="CLAUDIA BUENO (SPC/SPI)"/>
    <n v="70"/>
    <x v="0"/>
    <s v="SANTA HELENA ASSISTENCIA MEDICA S/A - SÃO BERNARDO DO CAMPO - SP - 43.293.604/0021-20"/>
    <n v="150"/>
  </r>
  <r>
    <x v="0"/>
    <x v="3"/>
    <x v="1"/>
    <n v="44663631000590"/>
    <x v="148"/>
    <s v="RIO CLARO"/>
    <s v="SP"/>
    <x v="0"/>
    <s v="CLAUDIA BUENO (SPC/SPI)"/>
    <n v="70"/>
    <x v="0"/>
    <s v="HOSPITAL E MATERNIDADE UNIMED - RIO CLARO - SP - 44.663.631/0005-90"/>
    <n v="195"/>
  </r>
  <r>
    <x v="0"/>
    <x v="3"/>
    <x v="1"/>
    <n v="44863959000126"/>
    <x v="196"/>
    <s v="PRESIDENTE PRUDENTE"/>
    <s v="SP"/>
    <x v="0"/>
    <s v="CLAUDIA BUENO (SPC/SPI)"/>
    <n v="70"/>
    <x v="0"/>
    <s v="UNIMED DE PRES PRUDENTE COOPERATIVA DE TRABALHO MEDICO - PRESIDENTE PRUDENTE - SP - 44.863.959/0001-26"/>
    <n v="125"/>
  </r>
  <r>
    <x v="0"/>
    <x v="3"/>
    <x v="1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290"/>
  </r>
  <r>
    <x v="0"/>
    <x v="3"/>
    <x v="1"/>
    <n v="45780103000150"/>
    <x v="172"/>
    <s v="JUNDIAÍ"/>
    <s v="SP"/>
    <x v="0"/>
    <s v="CLAUDIA BUENO (SPC/SPI)"/>
    <n v="70"/>
    <x v="0"/>
    <s v="JUNDIAI GABINETE PREFEITO - JUNDIAÍ - SP - 45.780.103/0001-50"/>
    <n v="365"/>
  </r>
  <r>
    <x v="0"/>
    <x v="3"/>
    <x v="1"/>
    <n v="46124624000111"/>
    <x v="151"/>
    <s v="CAMPINAS"/>
    <s v="SP"/>
    <x v="0"/>
    <s v="CLAUDIA BUENO (SPC/SPI)"/>
    <n v="70"/>
    <x v="0"/>
    <s v="UNIMED CAMPINAS COOPERATIVA DE TRABALHO MEDICO - CAMPINAS - SP - 46.124.624/0001-11"/>
    <n v="1170"/>
  </r>
  <r>
    <x v="0"/>
    <x v="3"/>
    <x v="1"/>
    <n v="46124624002599"/>
    <x v="152"/>
    <s v="SUMARÉ"/>
    <s v="SP"/>
    <x v="0"/>
    <s v="CLAUDIA BUENO (SPC/SPI)"/>
    <n v="70"/>
    <x v="0"/>
    <s v="UNIMED CAMPINAS COOPERATIVA DE TRABALHO MEDICO - SUMARÉ - SP - 46.124.624/0025-99"/>
    <n v="1100"/>
  </r>
  <r>
    <x v="0"/>
    <x v="3"/>
    <x v="1"/>
    <n v="46374500003533"/>
    <x v="173"/>
    <s v="RIBEIRÃO PRETO"/>
    <s v="SP"/>
    <x v="0"/>
    <s v="CLAUDIA BUENO (SPC/SPI)"/>
    <n v="70"/>
    <x v="0"/>
    <s v="DEPARTAM. REGIONAL DE SAUDE DE RIB. PRETO - DRS XIII - RIBEIRÃO PRETO - SP - 46.374.500/0035-33"/>
    <n v="1000"/>
  </r>
  <r>
    <x v="0"/>
    <x v="3"/>
    <x v="1"/>
    <n v="46643466000106"/>
    <x v="189"/>
    <s v="SÃO JOSÉ DOS CAMPOS"/>
    <s v="SP"/>
    <x v="0"/>
    <s v="CLAUDIA BUENO (SPC/SPI)"/>
    <n v="70"/>
    <x v="0"/>
    <s v="SAO JOSE DOS CAMPOS GABINETE DO PREFEITO - SÃO JOSÉ DOS CAMPOS - SP - 46.643.466/0001-06"/>
    <n v="1450"/>
  </r>
  <r>
    <x v="0"/>
    <x v="3"/>
    <x v="1"/>
    <n v="48468284000171"/>
    <x v="174"/>
    <s v="GUARARAPES"/>
    <s v="SP"/>
    <x v="0"/>
    <s v="CLAUDIA BUENO (SPC/SPI)"/>
    <n v="70"/>
    <x v="0"/>
    <s v="PREFEITURA MUNICIPAL DE GUARARAPES - GUARARAPES - SP - 48.468.284/0001-71"/>
    <n v="100"/>
  </r>
  <r>
    <x v="0"/>
    <x v="3"/>
    <x v="1"/>
    <n v="50486026000160"/>
    <x v="175"/>
    <s v="FRANCA"/>
    <s v="SP"/>
    <x v="0"/>
    <s v="CLAUDIA BUENO (SPC/SPI)"/>
    <n v="70"/>
    <x v="0"/>
    <s v="HOSPITAL SAO JOAQUIM - FRANCA - SP - 50.486.026/0001-60"/>
    <n v="100"/>
  </r>
  <r>
    <x v="0"/>
    <x v="3"/>
    <x v="1"/>
    <n v="51093193000456"/>
    <x v="190"/>
    <s v="ARAÇATUBA"/>
    <s v="SP"/>
    <x v="0"/>
    <s v="CLAUDIA BUENO (SPC/SPI)"/>
    <n v="70"/>
    <x v="0"/>
    <s v="HOSPITAL UNIMED DE ARACATUBA - ARAÇATUBA - SP - 51.093.193/0004-56"/>
    <n v="20"/>
  </r>
  <r>
    <x v="0"/>
    <x v="3"/>
    <x v="1"/>
    <n v="51722957014302"/>
    <x v="197"/>
    <s v="MOJI DAS CRUZES"/>
    <s v="SP"/>
    <x v="0"/>
    <s v="CLAUDIA BUENO (SPC/SPI)"/>
    <n v="70"/>
    <x v="0"/>
    <s v="AMICO SAUDE LTDA - MOJI DAS CRUZES - SP - 51.722.957/0143-02"/>
    <n v="75"/>
  </r>
  <r>
    <x v="0"/>
    <x v="3"/>
    <x v="1"/>
    <n v="53678264000246"/>
    <x v="198"/>
    <s v="SÃO JOÃO DA BOA VISTA"/>
    <s v="SP"/>
    <x v="0"/>
    <s v="CLAUDIA BUENO (SPC/SPI)"/>
    <n v="70"/>
    <x v="0"/>
    <s v="UNIMED LESTE PAULISTA COOPERATIVA DE TRABALHO MEDICO - SÃO JOÃO DA BOA VISTA - SP - 53.678.264/0002-46"/>
    <n v="80"/>
  </r>
  <r>
    <x v="0"/>
    <x v="3"/>
    <x v="1"/>
    <n v="54012406000385"/>
    <x v="177"/>
    <s v="ARARAS"/>
    <s v="SP"/>
    <x v="0"/>
    <s v="CLAUDIA BUENO (SPC/SPI)"/>
    <n v="70"/>
    <x v="0"/>
    <s v="JHOSPITAL UNIMED DE ARARAS - ARARAS - SP - 54.012.406/0003-85"/>
    <n v="70"/>
  </r>
  <r>
    <x v="0"/>
    <x v="3"/>
    <x v="1"/>
    <n v="54370630000187"/>
    <x v="199"/>
    <s v="PIRACICABA"/>
    <s v="SP"/>
    <x v="0"/>
    <s v="CLAUDIA BUENO (SPC/SPI)"/>
    <n v="70"/>
    <x v="0"/>
    <s v="IRMANDADE DA SANTA CASA DE MISERICORDIA DE PIRACICABA - PIRACICABA - SP - 54.370.630/0001-87"/>
    <n v="120"/>
  </r>
  <r>
    <x v="0"/>
    <x v="3"/>
    <x v="1"/>
    <n v="57507402000102"/>
    <x v="157"/>
    <s v="SANTO ANDRÉ"/>
    <s v="SP"/>
    <x v="0"/>
    <s v="CLAUDIA BUENO (SPC/SPI)"/>
    <n v="70"/>
    <x v="0"/>
    <s v="HOSP.E MATERN. BENEFICENCIA PORTUGUESA DE SANTO ANDRE - SANTO ANDRÉ - SP - 57.507.402/0001-02"/>
    <n v="150"/>
  </r>
  <r>
    <x v="0"/>
    <x v="3"/>
    <x v="1"/>
    <n v="57723280000183"/>
    <x v="200"/>
    <s v="RIBEIRÃO PRETO"/>
    <s v="SP"/>
    <x v="0"/>
    <s v="CLAUDIA BUENO (SPC/SPI)"/>
    <n v="70"/>
    <x v="0"/>
    <s v="INSTITUTO ONCOLOGICO DE RIBEIRAO PRETO LTDA - RIBEIRÃO PRETO - SP - 57.723.280/0001-83"/>
    <n v="5"/>
  </r>
  <r>
    <x v="0"/>
    <x v="3"/>
    <x v="1"/>
    <n v="60214517001691"/>
    <x v="138"/>
    <s v="SÃO JOSÉ DOS CAMPOS"/>
    <s v="SP"/>
    <x v="0"/>
    <s v="CLAUDIA BUENO (SPC/SPI)"/>
    <n v="70"/>
    <x v="0"/>
    <s v="HOSPITAL SANTOS DUMONT - SÃO JOSÉ DOS CAMPOS - SP - 60.214.517/0016-91"/>
    <n v="500"/>
  </r>
  <r>
    <x v="0"/>
    <x v="4"/>
    <x v="1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160"/>
  </r>
  <r>
    <x v="0"/>
    <x v="4"/>
    <x v="1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805"/>
  </r>
  <r>
    <x v="0"/>
    <x v="4"/>
    <x v="1"/>
    <n v="10576443000189"/>
    <x v="165"/>
    <s v="SÃO JOSÉ DO RIO PRETO"/>
    <s v="SP"/>
    <x v="0"/>
    <s v="CLAUDIA BUENO (SPC/SPI)"/>
    <n v="70"/>
    <x v="0"/>
    <s v="CORP - SÃO JOSÉ DO RIO PRETO - SP - 10.576.443/0001-89"/>
    <n v="185"/>
  </r>
  <r>
    <x v="0"/>
    <x v="4"/>
    <x v="1"/>
    <n v="10868295000176"/>
    <x v="166"/>
    <s v="SANTOS"/>
    <s v="SP"/>
    <x v="0"/>
    <s v="CLAUDIA BUENO (SPC/SPI)"/>
    <n v="70"/>
    <x v="0"/>
    <s v="BIO IMUNE - CENTRO DE APLICACOES E VACINAS  CONSULTORIA E PROCEDIMENTOS MEDICOS LTDA - ME - SANTOS - SP - 10.868.295/0001-76"/>
    <n v="270"/>
  </r>
  <r>
    <x v="0"/>
    <x v="4"/>
    <x v="1"/>
    <n v="25026561000190"/>
    <x v="164"/>
    <s v="ANDRADINA"/>
    <s v="SP"/>
    <x v="0"/>
    <s v="CLAUDIA BUENO (SPC/SPI)"/>
    <n v="70"/>
    <x v="0"/>
    <s v="INSTITUTO DO CANCER DE ANDRADINA - ANDRADINA - SP - 25.026.561/0001-90"/>
    <n v="40"/>
  </r>
  <r>
    <x v="0"/>
    <x v="4"/>
    <x v="1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250"/>
  </r>
  <r>
    <x v="0"/>
    <x v="4"/>
    <x v="1"/>
    <n v="44732469000190"/>
    <x v="201"/>
    <s v="INDAIATUBA"/>
    <s v="SP"/>
    <x v="0"/>
    <s v="CLAUDIA BUENO (SPC/SPI)"/>
    <n v="70"/>
    <x v="0"/>
    <s v="HOSPITAL SANTA IGNES - INDAIATUBA - SP - 44.732.469/0001-90"/>
    <n v="55"/>
  </r>
  <r>
    <x v="0"/>
    <x v="4"/>
    <x v="1"/>
    <n v="45118429001279"/>
    <x v="130"/>
    <s v="CATANDUVA"/>
    <s v="SP"/>
    <x v="0"/>
    <s v="CLAUDIA BUENO (SPC/SPI)"/>
    <n v="70"/>
    <x v="0"/>
    <s v="UNIMED HOSPITAL SAO DOMINGOS - CATANDUVA - SP - 45.118.429/0012-79"/>
    <n v="50"/>
  </r>
  <r>
    <x v="0"/>
    <x v="4"/>
    <x v="1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80"/>
  </r>
  <r>
    <x v="0"/>
    <x v="4"/>
    <x v="1"/>
    <n v="45399961000230"/>
    <x v="171"/>
    <s v="SOROCABA"/>
    <s v="SP"/>
    <x v="0"/>
    <s v="CLAUDIA BUENO (SPC/SPI)"/>
    <n v="70"/>
    <x v="0"/>
    <s v="UNIMED - SOROCABA - SP - 45.399.961/0002-30"/>
    <n v="250"/>
  </r>
  <r>
    <x v="0"/>
    <x v="4"/>
    <x v="1"/>
    <n v="46124624000111"/>
    <x v="151"/>
    <s v="CAMPINAS"/>
    <s v="SP"/>
    <x v="0"/>
    <s v="CLAUDIA BUENO (SPC/SPI)"/>
    <n v="70"/>
    <x v="0"/>
    <s v="UNIMED CAMPINAS COOPERATIVA DE TRABALHO MEDICO - CAMPINAS - SP - 46.124.624/0001-11"/>
    <n v="690"/>
  </r>
  <r>
    <x v="0"/>
    <x v="4"/>
    <x v="1"/>
    <n v="46124624002599"/>
    <x v="152"/>
    <s v="SUMARÉ"/>
    <s v="SP"/>
    <x v="0"/>
    <s v="CLAUDIA BUENO (SPC/SPI)"/>
    <n v="70"/>
    <x v="0"/>
    <s v="UNIMED CAMPINAS COOPERATIVA DE TRABALHO MEDICO - SUMARÉ - SP - 46.124.624/0025-99"/>
    <n v="300"/>
  </r>
  <r>
    <x v="0"/>
    <x v="4"/>
    <x v="1"/>
    <n v="46374500003533"/>
    <x v="173"/>
    <s v="RIBEIRÃO PRETO"/>
    <s v="SP"/>
    <x v="0"/>
    <s v="CLAUDIA BUENO (SPC/SPI)"/>
    <n v="70"/>
    <x v="0"/>
    <s v="DEPARTAM. REGIONAL DE SAUDE DE RIB. PRETO - DRS XIII - RIBEIRÃO PRETO - SP - 46.374.500/0035-33"/>
    <n v="1000"/>
  </r>
  <r>
    <x v="0"/>
    <x v="4"/>
    <x v="1"/>
    <n v="50486026000160"/>
    <x v="175"/>
    <s v="FRANCA"/>
    <s v="SP"/>
    <x v="0"/>
    <s v="CLAUDIA BUENO (SPC/SPI)"/>
    <n v="70"/>
    <x v="0"/>
    <s v="HOSPITAL SAO JOAQUIM - FRANCA - SP - 50.486.026/0001-60"/>
    <n v="100"/>
  </r>
  <r>
    <x v="0"/>
    <x v="4"/>
    <x v="1"/>
    <n v="51093193000456"/>
    <x v="190"/>
    <s v="ARAÇATUBA"/>
    <s v="SP"/>
    <x v="0"/>
    <s v="CLAUDIA BUENO (SPC/SPI)"/>
    <n v="70"/>
    <x v="0"/>
    <s v="HOSPITAL UNIMED DE ARACATUBA - ARAÇATUBA - SP - 51.093.193/0004-56"/>
    <n v="20"/>
  </r>
  <r>
    <x v="0"/>
    <x v="4"/>
    <x v="1"/>
    <n v="54012406000385"/>
    <x v="177"/>
    <s v="ARARAS"/>
    <s v="SP"/>
    <x v="0"/>
    <s v="CLAUDIA BUENO (SPC/SPI)"/>
    <n v="70"/>
    <x v="0"/>
    <s v="JHOSPITAL UNIMED DE ARARAS - ARARAS - SP - 54.012.406/0003-85"/>
    <n v="65"/>
  </r>
  <r>
    <x v="0"/>
    <x v="4"/>
    <x v="1"/>
    <n v="57723280000183"/>
    <x v="200"/>
    <s v="RIBEIRÃO PRETO"/>
    <s v="SP"/>
    <x v="0"/>
    <s v="CLAUDIA BUENO (SPC/SPI)"/>
    <n v="70"/>
    <x v="0"/>
    <s v="INSTITUTO ONCOLOGICO DE RIBEIRAO PRETO LTDA - RIBEIRÃO PRETO - SP - 57.723.280/0001-83"/>
    <n v="35"/>
  </r>
  <r>
    <x v="0"/>
    <x v="4"/>
    <x v="1"/>
    <n v="60214517001691"/>
    <x v="138"/>
    <s v="SÃO JOSÉ DOS CAMPOS"/>
    <s v="SP"/>
    <x v="0"/>
    <s v="CLAUDIA BUENO (SPC/SPI)"/>
    <n v="70"/>
    <x v="0"/>
    <s v="HOSPITAL SANTOS DUMONT - SÃO JOSÉ DOS CAMPOS - SP - 60.214.517/0016-91"/>
    <n v="35"/>
  </r>
  <r>
    <x v="0"/>
    <x v="4"/>
    <x v="1"/>
    <n v="61699567000869"/>
    <x v="202"/>
    <s v="MOJI DAS CRUZES"/>
    <s v="SP"/>
    <x v="0"/>
    <s v="CLAUDIA BUENO (SPC/SPI)"/>
    <n v="70"/>
    <x v="0"/>
    <s v="HOSPITAL DE CLINICAS LUZIA DE PINHO MELO - MOJI DAS CRUZES - SP - 61.699.567/0008-69"/>
    <n v="160"/>
  </r>
  <r>
    <x v="0"/>
    <x v="4"/>
    <x v="1"/>
    <n v="61699567008924"/>
    <x v="203"/>
    <s v="TAUBATÉ"/>
    <s v="SP"/>
    <x v="0"/>
    <s v="CLAUDIA BUENO (SPC/SPI)"/>
    <n v="70"/>
    <x v="0"/>
    <s v="SPDM - ASSOCIACAO PAULISTA PARA O DESENVOLVIMENTO DA MEDICINA - TAUBATÉ - SP - 61.699.567/0089-24"/>
    <n v="30"/>
  </r>
  <r>
    <x v="0"/>
    <x v="5"/>
    <x v="1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20"/>
  </r>
  <r>
    <x v="0"/>
    <x v="5"/>
    <x v="1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565"/>
  </r>
  <r>
    <x v="0"/>
    <x v="5"/>
    <x v="1"/>
    <n v="1773319000201"/>
    <x v="204"/>
    <s v="LORENA"/>
    <s v="SP"/>
    <x v="0"/>
    <s v="CLAUDIA BUENO (SPC/SPI)"/>
    <n v="70"/>
    <x v="0"/>
    <s v="UNIMED VALE DO PARAIBA - FEDERACAO INTRAFEDERATIVA DAS COOPERATIVAS MEDICAS - LORENA - SP - PRIVADO - 01.773.319/0002-01"/>
    <n v="35"/>
  </r>
  <r>
    <x v="0"/>
    <x v="5"/>
    <x v="1"/>
    <n v="8100676000401"/>
    <x v="205"/>
    <s v="SÃO BERNARDO DO CAMPO"/>
    <s v="SP"/>
    <x v="0"/>
    <s v="CLAUDIA BUENO (SPC/SPI)"/>
    <n v="70"/>
    <x v="0"/>
    <s v="HOSPITAL ABC UNIDADE CIRURGICA - SÃO BERNARDO DO CAMPO - SP - 08.100.676/0004-01"/>
    <n v="50"/>
  </r>
  <r>
    <x v="0"/>
    <x v="5"/>
    <x v="1"/>
    <n v="10447300000177"/>
    <x v="143"/>
    <s v="CAMPINAS"/>
    <s v="SP"/>
    <x v="0"/>
    <s v="CLAUDIA BUENO (SPC/SPI)"/>
    <n v="70"/>
    <x v="0"/>
    <s v="ALERGO LOGICA DIAGNOSTICO EM ALERGIA LTDA ME - CAMPINAS - SP - 10.447.300/0001-77"/>
    <n v="30"/>
  </r>
  <r>
    <x v="0"/>
    <x v="5"/>
    <x v="1"/>
    <n v="10576443000189"/>
    <x v="165"/>
    <s v="SÃO JOSÉ DO RIO PRETO"/>
    <s v="SP"/>
    <x v="0"/>
    <s v="CLAUDIA BUENO (SPC/SPI)"/>
    <n v="70"/>
    <x v="0"/>
    <s v="CORP - SÃO JOSÉ DO RIO PRETO - SP - 10.576.443/0001-89"/>
    <n v="185"/>
  </r>
  <r>
    <x v="0"/>
    <x v="5"/>
    <x v="1"/>
    <n v="13718999001041"/>
    <x v="144"/>
    <s v="SANTO ANDRÉ"/>
    <s v="SP"/>
    <x v="0"/>
    <s v="CLAUDIA BUENO (SPC/SPI)"/>
    <n v="70"/>
    <x v="0"/>
    <s v="HOSPITAL ACACIAS - SANTO ANDRÉ - SP - 13.718.999/0010-41"/>
    <n v="80"/>
  </r>
  <r>
    <x v="0"/>
    <x v="5"/>
    <x v="1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50"/>
  </r>
  <r>
    <x v="0"/>
    <x v="5"/>
    <x v="1"/>
    <n v="44595700000141"/>
    <x v="206"/>
    <s v="CAMPINAS"/>
    <s v="SP"/>
    <x v="0"/>
    <s v="CLAUDIA BUENO (SPC/SPI)"/>
    <n v="70"/>
    <x v="0"/>
    <s v="FUNDACAO CENTRO MEDICO DE CAMPINAS - CAMPINAS - SP - 44.595.700/0001-41"/>
    <n v="45"/>
  </r>
  <r>
    <x v="0"/>
    <x v="5"/>
    <x v="1"/>
    <n v="44663631000590"/>
    <x v="148"/>
    <s v="RIO CLARO"/>
    <s v="SP"/>
    <x v="0"/>
    <s v="CLAUDIA BUENO (SPC/SPI)"/>
    <n v="70"/>
    <x v="0"/>
    <s v="HOSPITAL E MATERNIDADE UNIMED - RIO CLARO - SP - 44.663.631/0005-90"/>
    <n v="30"/>
  </r>
  <r>
    <x v="0"/>
    <x v="5"/>
    <x v="1"/>
    <n v="44863959000126"/>
    <x v="196"/>
    <s v="PRESIDENTE PRUDENTE"/>
    <s v="SP"/>
    <x v="0"/>
    <s v="CLAUDIA BUENO (SPC/SPI)"/>
    <n v="70"/>
    <x v="0"/>
    <s v="UNIMED DE PRES PRUDENTE COOPERATIVA DE TRABALHO MEDICO - PRESIDENTE PRUDENTE - SP - 44.863.959/0001-26"/>
    <n v="30"/>
  </r>
  <r>
    <x v="0"/>
    <x v="5"/>
    <x v="1"/>
    <n v="45118429001279"/>
    <x v="130"/>
    <s v="CATANDUVA"/>
    <s v="SP"/>
    <x v="0"/>
    <s v="CLAUDIA BUENO (SPC/SPI)"/>
    <n v="70"/>
    <x v="0"/>
    <s v="UNIMED HOSPITAL SAO DOMINGOS - CATANDUVA - SP - 45.118.429/0012-79"/>
    <n v="100"/>
  </r>
  <r>
    <x v="0"/>
    <x v="5"/>
    <x v="1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175"/>
  </r>
  <r>
    <x v="0"/>
    <x v="5"/>
    <x v="1"/>
    <n v="45399961000230"/>
    <x v="171"/>
    <s v="SOROCABA"/>
    <s v="SP"/>
    <x v="0"/>
    <s v="CLAUDIA BUENO (SPC/SPI)"/>
    <n v="70"/>
    <x v="0"/>
    <s v="UNIMED - SOROCABA - SP - 45.399.961/0002-30"/>
    <n v="200"/>
  </r>
  <r>
    <x v="0"/>
    <x v="5"/>
    <x v="1"/>
    <n v="46009718000140"/>
    <x v="124"/>
    <s v="CAMPINAS"/>
    <s v="SP"/>
    <x v="0"/>
    <s v="CLAUDIA BUENO (SPC/SPI)"/>
    <n v="70"/>
    <x v="0"/>
    <s v="HOSPITAL VERA CRUZ S A - CAMPINAS - SP - 46.009.718/0001-40"/>
    <n v="450"/>
  </r>
  <r>
    <x v="0"/>
    <x v="5"/>
    <x v="1"/>
    <n v="46124624000111"/>
    <x v="151"/>
    <s v="CAMPINAS"/>
    <s v="SP"/>
    <x v="0"/>
    <s v="CLAUDIA BUENO (SPC/SPI)"/>
    <n v="70"/>
    <x v="0"/>
    <s v="UNIMED CAMPINAS COOPERATIVA DE TRABALHO MEDICO - CAMPINAS - SP - 46.124.624/0001-11"/>
    <n v="155"/>
  </r>
  <r>
    <x v="0"/>
    <x v="5"/>
    <x v="1"/>
    <n v="46374500001670"/>
    <x v="207"/>
    <s v="SANTOS"/>
    <s v="SP"/>
    <x v="0"/>
    <s v="CLAUDIA BUENO (SPC/SPI)"/>
    <n v="70"/>
    <x v="0"/>
    <s v="HOSPITAL GUILHERME ALVARO - SANTOS - SP - 46.374.500/0016-70"/>
    <n v="75"/>
  </r>
  <r>
    <x v="0"/>
    <x v="5"/>
    <x v="1"/>
    <n v="46374500009221"/>
    <x v="188"/>
    <s v="ARARAQUARA"/>
    <s v="SP"/>
    <x v="0"/>
    <s v="CLAUDIA BUENO (SPC/SPI)"/>
    <n v="70"/>
    <x v="0"/>
    <s v="DEPARTAMENTO REGIONAL DE SAUDE DE ARARAQUARA - DRS III - ARARAQUARA - SP - 46.374.500/0092-21"/>
    <n v="840"/>
  </r>
  <r>
    <x v="0"/>
    <x v="5"/>
    <x v="1"/>
    <n v="48547806000120"/>
    <x v="208"/>
    <s v="GUARATINGUETÁ"/>
    <s v="SP"/>
    <x v="0"/>
    <s v="CLAUDIA BUENO (SPC/SPI)"/>
    <n v="70"/>
    <x v="0"/>
    <s v="IRM SENHOR DOS PASSOS E STA CAS MISER GUARATINGUETA - GUARATINGUETÁ - SP - 48.547.806/0001-20"/>
    <n v="20"/>
  </r>
  <r>
    <x v="0"/>
    <x v="5"/>
    <x v="1"/>
    <n v="48628366000721"/>
    <x v="209"/>
    <s v="AMERICANA"/>
    <s v="SP"/>
    <x v="0"/>
    <s v="CLAUDIA BUENO (SPC/SPI)"/>
    <n v="70"/>
    <x v="0"/>
    <s v="HOSPITAL UNIMED - AMERICANA - SP - 48.628.366/0007-21"/>
    <n v="40"/>
  </r>
  <r>
    <x v="0"/>
    <x v="5"/>
    <x v="1"/>
    <n v="53221255003247"/>
    <x v="210"/>
    <s v="PRESIDENTE PRUDENTE"/>
    <s v="SP"/>
    <x v="0"/>
    <s v="CLAUDIA BUENO (SPC/SPI)"/>
    <n v="70"/>
    <x v="0"/>
    <s v="HOSPITAL REGIONAL DE PRESIDENTE PRUDENTE - PRESIDENTE PRUDENTE - SP - 53.221.255/0032-47"/>
    <n v="150"/>
  </r>
  <r>
    <x v="0"/>
    <x v="5"/>
    <x v="1"/>
    <n v="53678264000246"/>
    <x v="198"/>
    <s v="SÃO JOÃO DA BOA VISTA"/>
    <s v="SP"/>
    <x v="0"/>
    <s v="CLAUDIA BUENO (SPC/SPI)"/>
    <n v="70"/>
    <x v="0"/>
    <s v="UNIMED LESTE PAULISTA COOPERATIVA DE TRABALHO MEDICO - SÃO JOÃO DA BOA VISTA - SP - 53.678.264/0002-46"/>
    <n v="40"/>
  </r>
  <r>
    <x v="0"/>
    <x v="5"/>
    <x v="1"/>
    <n v="54012406000385"/>
    <x v="177"/>
    <s v="ARARAS"/>
    <s v="SP"/>
    <x v="0"/>
    <s v="CLAUDIA BUENO (SPC/SPI)"/>
    <n v="70"/>
    <x v="0"/>
    <s v="JHOSPITAL UNIMED DE ARARAS - ARARAS - SP - 54.012.406/0003-85"/>
    <n v="65"/>
  </r>
  <r>
    <x v="0"/>
    <x v="5"/>
    <x v="1"/>
    <n v="54370630000187"/>
    <x v="199"/>
    <s v="PIRACICABA"/>
    <s v="SP"/>
    <x v="0"/>
    <s v="CLAUDIA BUENO (SPC/SPI)"/>
    <n v="70"/>
    <x v="0"/>
    <s v="IRMANDADE DA SANTA CASA DE MISERICORDIA DE PIRACICABA - PIRACICABA - SP - 54.370.630/0001-87"/>
    <n v="50"/>
  </r>
  <r>
    <x v="0"/>
    <x v="5"/>
    <x v="1"/>
    <n v="57507402000102"/>
    <x v="157"/>
    <s v="SANTO ANDRÉ"/>
    <s v="SP"/>
    <x v="0"/>
    <s v="CLAUDIA BUENO (SPC/SPI)"/>
    <n v="70"/>
    <x v="0"/>
    <s v="HOSP.E MATERN. BENEFICENCIA PORTUGUESA DE SANTO ANDRE - SANTO ANDRÉ - SP - 57.507.402/0001-02"/>
    <n v="150"/>
  </r>
  <r>
    <x v="0"/>
    <x v="5"/>
    <x v="1"/>
    <n v="57722118000140"/>
    <x v="181"/>
    <s v="RIBEIRÃO PRETO"/>
    <s v="SP"/>
    <x v="0"/>
    <s v="CLAUDIA BUENO (SPC/SPI)"/>
    <n v="70"/>
    <x v="0"/>
    <s v="FAEPA - RIBEIRÃO PRETO - SP - 57.722.118/0001-40"/>
    <n v="150"/>
  </r>
  <r>
    <x v="0"/>
    <x v="5"/>
    <x v="1"/>
    <n v="57723280000183"/>
    <x v="200"/>
    <s v="RIBEIRÃO PRETO"/>
    <s v="SP"/>
    <x v="0"/>
    <s v="CLAUDIA BUENO (SPC/SPI)"/>
    <n v="70"/>
    <x v="0"/>
    <s v="INSTITUTO ONCOLOGICO DE RIBEIRAO PRETO LTDA - RIBEIRÃO PRETO - SP - 57.723.280/0001-83"/>
    <n v="35"/>
  </r>
  <r>
    <x v="0"/>
    <x v="5"/>
    <x v="1"/>
    <n v="58837188000298"/>
    <x v="211"/>
    <s v="SALTO"/>
    <s v="SP"/>
    <x v="0"/>
    <s v="CLAUDIA BUENO (SPC/SPI)"/>
    <n v="70"/>
    <x v="0"/>
    <s v="UNIMED SALTO/ITU - COOPERATIVA MEDICA - SALTO - SP - 58.837.188/0002-98"/>
    <n v="20"/>
  </r>
  <r>
    <x v="0"/>
    <x v="5"/>
    <x v="1"/>
    <n v="60214517000962"/>
    <x v="178"/>
    <s v="SÃO JOSÉ DOS CAMPOS"/>
    <s v="SP"/>
    <x v="0"/>
    <s v="CLAUDIA BUENO (SPC/SPI)"/>
    <n v="70"/>
    <x v="0"/>
    <s v="UNIMED SAO JOSE DOS CAMPOS - COOPERATIVA DE TRABALHO MEDICO - SÃO JOSÉ DOS CAMPOS - SP - 60.214.517/0009-62"/>
    <n v="200"/>
  </r>
  <r>
    <x v="0"/>
    <x v="5"/>
    <x v="1"/>
    <n v="60214517001691"/>
    <x v="138"/>
    <s v="SÃO JOSÉ DOS CAMPOS"/>
    <s v="SP"/>
    <x v="0"/>
    <s v="CLAUDIA BUENO (SPC/SPI)"/>
    <n v="70"/>
    <x v="0"/>
    <s v="HOSPITAL SANTOS DUMONT - SÃO JOSÉ DOS CAMPOS - SP - 60.214.517/0016-91"/>
    <n v="230"/>
  </r>
  <r>
    <x v="0"/>
    <x v="5"/>
    <x v="1"/>
    <n v="61699567000869"/>
    <x v="202"/>
    <s v="MOJI DAS CRUZES"/>
    <s v="SP"/>
    <x v="0"/>
    <s v="CLAUDIA BUENO (SPC/SPI)"/>
    <n v="70"/>
    <x v="0"/>
    <s v="HOSPITAL DE CLINICAS LUZIA DE PINHO MELO - MOJI DAS CRUZES - SP - 61.699.567/0008-69"/>
    <n v="200"/>
  </r>
  <r>
    <x v="0"/>
    <x v="5"/>
    <x v="1"/>
    <n v="68029156000481"/>
    <x v="212"/>
    <s v="SAO PAULO"/>
    <s v="SP"/>
    <x v="0"/>
    <s v="CLAUDIA BUENO (SPC/SPI)"/>
    <n v="70"/>
    <x v="0"/>
    <s v="UNIMED ADMINISTRACAO E SERVICOS LTDA - SAO PAULO - SP - PRIVADO - 68.029.156/0004-81"/>
    <n v="10"/>
  </r>
  <r>
    <x v="0"/>
    <x v="6"/>
    <x v="2"/>
    <n v="840048000450"/>
    <x v="161"/>
    <s v="PIRASSUNUNGA"/>
    <s v="SP"/>
    <x v="0"/>
    <s v="CLAUDIA BUENO (SPC/SPI)"/>
    <n v="70"/>
    <x v="0"/>
    <s v="UNIMED DE PIRASSUNUNGA COOPERATIVA DE TRABALHO MEDICO - PIRASSUNUNGA - SP - 00.840.048/0004-50"/>
    <n v="180"/>
  </r>
  <r>
    <x v="0"/>
    <x v="6"/>
    <x v="2"/>
    <n v="1613433006892"/>
    <x v="162"/>
    <s v="RIBEIRÃO PRETO"/>
    <s v="SP"/>
    <x v="0"/>
    <s v="CLAUDIA BUENO (SPC/SPI)"/>
    <n v="70"/>
    <x v="0"/>
    <s v="HOSPITAL SAO FRANCISCO DE RIBEIRAO PRETO SP - RIBEIRÃO PRETO - SP - 01.613.433/0068-92"/>
    <n v="375"/>
  </r>
  <r>
    <x v="0"/>
    <x v="6"/>
    <x v="2"/>
    <n v="1613433010814"/>
    <x v="193"/>
    <s v="ARARAQUARA"/>
    <s v="SP"/>
    <x v="0"/>
    <s v="CLAUDIA BUENO (SPC/SPI)"/>
    <n v="70"/>
    <x v="0"/>
    <s v="SAO FRANCISCO SISTEMAS DE SAUDE SOCIEDADE EMPRESARIA LIMITADA - ARARAQUARA - SP - 01.613.433/0108-14"/>
    <n v="350"/>
  </r>
  <r>
    <x v="0"/>
    <x v="6"/>
    <x v="2"/>
    <n v="10447300000177"/>
    <x v="143"/>
    <s v="CAMPINAS"/>
    <s v="SP"/>
    <x v="0"/>
    <s v="CLAUDIA BUENO (SPC/SPI)"/>
    <n v="70"/>
    <x v="0"/>
    <s v="ALERGO LOGICA DIAGNOSTICO EM ALERGIA LTDA ME - CAMPINAS - SP - 10.447.300/0001-77"/>
    <n v="30"/>
  </r>
  <r>
    <x v="0"/>
    <x v="6"/>
    <x v="2"/>
    <n v="10576443000189"/>
    <x v="165"/>
    <s v="SÃO JOSÉ DO RIO PRETO"/>
    <s v="SP"/>
    <x v="0"/>
    <s v="CLAUDIA BUENO (SPC/SPI)"/>
    <n v="70"/>
    <x v="0"/>
    <s v="CORP - SÃO JOSÉ DO RIO PRETO - SP - 10.576.443/0001-89"/>
    <n v="25"/>
  </r>
  <r>
    <x v="0"/>
    <x v="6"/>
    <x v="2"/>
    <n v="10868295000176"/>
    <x v="166"/>
    <s v="SANTOS"/>
    <s v="SP"/>
    <x v="0"/>
    <s v="CLAUDIA BUENO (SPC/SPI)"/>
    <n v="70"/>
    <x v="0"/>
    <s v="BIO IMUNE - CENTRO DE APLICACOES E VACINAS  CONSULTORIA E PROCEDIMENTOS MEDICOS LTDA - ME - SANTOS - SP - 10.868.295/0001-76"/>
    <n v="45"/>
  </r>
  <r>
    <x v="0"/>
    <x v="6"/>
    <x v="2"/>
    <n v="18290268000170"/>
    <x v="123"/>
    <s v="SANTOS"/>
    <s v="SP"/>
    <x v="0"/>
    <s v="CLAUDIA BUENO (SPC/SPI)"/>
    <n v="70"/>
    <x v="0"/>
    <s v="ASSOCIACAO HOSPITALAR CASA DE SAUDE DE SANTOS - SANTOS - SP - 18.290.268/0001-70"/>
    <n v="150"/>
  </r>
  <r>
    <x v="0"/>
    <x v="6"/>
    <x v="2"/>
    <n v="18321477000134"/>
    <x v="145"/>
    <s v="SÃO JOSÉ DOS CAMPOS"/>
    <s v="SP"/>
    <x v="0"/>
    <s v="CLAUDIA BUENO (SPC/SPI)"/>
    <n v="70"/>
    <x v="0"/>
    <s v="SANTA CASA SAUDE - SÃO JOSÉ DOS CAMPOS - SP - 18.321.477/0001-34"/>
    <n v="180"/>
  </r>
  <r>
    <x v="0"/>
    <x v="6"/>
    <x v="2"/>
    <n v="29435005008294"/>
    <x v="168"/>
    <s v="GUARULHOS"/>
    <s v="SP"/>
    <x v="0"/>
    <s v="CLAUDIA BUENO (SPC/SPI)"/>
    <n v="70"/>
    <x v="0"/>
    <s v="ESHO EMPRESA DE SERVICOS HOSPITALARES S.A. - GUARULHOS - SP - 29.435.005/0082-94"/>
    <n v="305"/>
  </r>
  <r>
    <x v="0"/>
    <x v="6"/>
    <x v="2"/>
    <n v="29435005008456"/>
    <x v="169"/>
    <s v="CAMPINAS"/>
    <s v="SP"/>
    <x v="0"/>
    <s v="CLAUDIA BUENO (SPC/SPI)"/>
    <n v="70"/>
    <x v="0"/>
    <s v="UNIDADE HOSP GERAL E MATERNIDADE MADRE MARIA THEODORA - CAMPINAS - SP - 29.435.005/0084-56"/>
    <n v="350"/>
  </r>
  <r>
    <x v="0"/>
    <x v="6"/>
    <x v="2"/>
    <n v="44595700000141"/>
    <x v="206"/>
    <s v="CAMPINAS"/>
    <s v="SP"/>
    <x v="0"/>
    <s v="CLAUDIA BUENO (SPC/SPI)"/>
    <n v="70"/>
    <x v="0"/>
    <s v="FUNDACAO CENTRO MEDICO DE CAMPINAS - CAMPINAS - SP - 44.595.700/0001-41"/>
    <n v="50"/>
  </r>
  <r>
    <x v="0"/>
    <x v="6"/>
    <x v="2"/>
    <n v="44663631000590"/>
    <x v="148"/>
    <s v="RIO CLARO"/>
    <s v="SP"/>
    <x v="0"/>
    <s v="CLAUDIA BUENO (SPC/SPI)"/>
    <n v="70"/>
    <x v="0"/>
    <s v="HOSPITAL E MATERNIDADE UNIMED - RIO CLARO - SP - 44.663.631/0005-90"/>
    <n v="75"/>
  </r>
  <r>
    <x v="0"/>
    <x v="6"/>
    <x v="2"/>
    <n v="44863959000126"/>
    <x v="196"/>
    <s v="PRESIDENTE PRUDENTE"/>
    <s v="SP"/>
    <x v="0"/>
    <s v="CLAUDIA BUENO (SPC/SPI)"/>
    <n v="70"/>
    <x v="0"/>
    <s v="UNIMED DE PRES PRUDENTE COOPERATIVA DE TRABALHO MEDICO - PRESIDENTE PRUDENTE - SP - 44.863.959/0001-26"/>
    <n v="40"/>
  </r>
  <r>
    <x v="0"/>
    <x v="6"/>
    <x v="2"/>
    <n v="45118429001279"/>
    <x v="130"/>
    <s v="CATANDUVA"/>
    <s v="SP"/>
    <x v="0"/>
    <s v="CLAUDIA BUENO (SPC/SPI)"/>
    <n v="70"/>
    <x v="0"/>
    <s v="UNIMED HOSPITAL SAO DOMINGOS - CATANDUVA - SP - 45.118.429/0012-79"/>
    <n v="50"/>
  </r>
  <r>
    <x v="0"/>
    <x v="6"/>
    <x v="2"/>
    <n v="45232246000550"/>
    <x v="137"/>
    <s v="RIBEIRÃO PRETO"/>
    <s v="SP"/>
    <x v="0"/>
    <s v="CLAUDIA BUENO (SPC/SPI)"/>
    <n v="70"/>
    <x v="0"/>
    <s v="UNIMED DE RIBEIRAO PRETO COOPERATIVA DE TRABALHO MEDICO - RIBEIRÃO PRETO - SP - 45.232.246/0005-50"/>
    <n v="145"/>
  </r>
  <r>
    <x v="0"/>
    <x v="6"/>
    <x v="2"/>
    <n v="45780103000150"/>
    <x v="172"/>
    <s v="JUNDIAÍ"/>
    <s v="SP"/>
    <x v="0"/>
    <s v="CLAUDIA BUENO (SPC/SPI)"/>
    <n v="70"/>
    <x v="0"/>
    <s v="JUNDIAI GABINETE PREFEITO - JUNDIAÍ - SP - 45.780.103/0001-50"/>
    <n v="500"/>
  </r>
  <r>
    <x v="0"/>
    <x v="6"/>
    <x v="2"/>
    <n v="46009718000140"/>
    <x v="124"/>
    <s v="CAMPINAS"/>
    <s v="SP"/>
    <x v="0"/>
    <s v="CLAUDIA BUENO (SPC/SPI)"/>
    <n v="70"/>
    <x v="0"/>
    <s v="HOSPITAL VERA CRUZ S A - CAMPINAS - SP - 46.009.718/0001-40"/>
    <n v="550"/>
  </r>
  <r>
    <x v="0"/>
    <x v="6"/>
    <x v="2"/>
    <n v="46124624000111"/>
    <x v="151"/>
    <s v="CAMPINAS"/>
    <s v="SP"/>
    <x v="0"/>
    <s v="CLAUDIA BUENO (SPC/SPI)"/>
    <n v="70"/>
    <x v="0"/>
    <s v="UNIMED CAMPINAS COOPERATIVA DE TRABALHO MEDICO - CAMPINAS - SP - 46.124.624/0001-11"/>
    <n v="1120"/>
  </r>
  <r>
    <x v="0"/>
    <x v="6"/>
    <x v="2"/>
    <n v="48468284000171"/>
    <x v="174"/>
    <s v="GUARARAPES"/>
    <s v="SP"/>
    <x v="0"/>
    <s v="CLAUDIA BUENO (SPC/SPI)"/>
    <n v="70"/>
    <x v="0"/>
    <s v="PREFEITURA MUNICIPAL DE GUARARAPES - GUARARAPES - SP - 48.468.284/0001-71"/>
    <n v="150"/>
  </r>
  <r>
    <x v="0"/>
    <x v="6"/>
    <x v="2"/>
    <n v="48547806000120"/>
    <x v="208"/>
    <s v="GUARATINGUETÁ"/>
    <s v="SP"/>
    <x v="0"/>
    <s v="CLAUDIA BUENO (SPC/SPI)"/>
    <n v="70"/>
    <x v="0"/>
    <s v="IRM SENHOR DOS PASSOS E STA CAS MISER GUARATINGUETA - GUARATINGUETÁ - SP - 48.547.806/0001-20"/>
    <n v="105"/>
  </r>
  <r>
    <x v="0"/>
    <x v="6"/>
    <x v="2"/>
    <n v="48628366000721"/>
    <x v="209"/>
    <s v="AMERICANA"/>
    <s v="SP"/>
    <x v="0"/>
    <s v="CLAUDIA BUENO (SPC/SPI)"/>
    <n v="70"/>
    <x v="0"/>
    <s v="HOSPITAL UNIMED - AMERICANA - SP - 48.628.366/0007-21"/>
    <n v="40"/>
  </r>
  <r>
    <x v="0"/>
    <x v="6"/>
    <x v="2"/>
    <n v="50486026000160"/>
    <x v="175"/>
    <s v="FRANCA"/>
    <s v="SP"/>
    <x v="0"/>
    <s v="CLAUDIA BUENO (SPC/SPI)"/>
    <n v="70"/>
    <x v="0"/>
    <s v="HOSPITAL SAO JOAQUIM - FRANCA - SP - 50.486.026/0001-60"/>
    <n v="275"/>
  </r>
  <r>
    <x v="0"/>
    <x v="6"/>
    <x v="2"/>
    <n v="54012406000385"/>
    <x v="177"/>
    <s v="ARARAS"/>
    <s v="SP"/>
    <x v="0"/>
    <s v="CLAUDIA BUENO (SPC/SPI)"/>
    <n v="70"/>
    <x v="0"/>
    <s v="JHOSPITAL UNIMED DE ARARAS - ARARAS - SP - 54.012.406/0003-85"/>
    <n v="65"/>
  </r>
  <r>
    <x v="0"/>
    <x v="6"/>
    <x v="2"/>
    <n v="57723280000183"/>
    <x v="200"/>
    <s v="RIBEIRÃO PRETO"/>
    <s v="SP"/>
    <x v="0"/>
    <s v="CLAUDIA BUENO (SPC/SPI)"/>
    <n v="70"/>
    <x v="0"/>
    <s v="INSTITUTO ONCOLOGICO DE RIBEIRAO PRETO LTDA - RIBEIRÃO PRETO - SP - 57.723.280/0001-83"/>
    <n v="35"/>
  </r>
  <r>
    <x v="0"/>
    <x v="6"/>
    <x v="2"/>
    <n v="60214517000962"/>
    <x v="178"/>
    <s v="SÃO JOSÉ DOS CAMPOS"/>
    <s v="SP"/>
    <x v="0"/>
    <s v="CLAUDIA BUENO (SPC/SPI)"/>
    <n v="70"/>
    <x v="0"/>
    <s v="UNIMED SAO JOSE DOS CAMPOS - COOPERATIVA DE TRABALHO MEDICO - SÃO JOSÉ DOS CAMPOS - SP - 60.214.517/0009-62"/>
    <n v="120"/>
  </r>
  <r>
    <x v="0"/>
    <x v="6"/>
    <x v="2"/>
    <n v="60214517001691"/>
    <x v="138"/>
    <s v="SÃO JOSÉ DOS CAMPOS"/>
    <s v="SP"/>
    <x v="0"/>
    <s v="CLAUDIA BUENO (SPC/SPI)"/>
    <n v="70"/>
    <x v="0"/>
    <s v="HOSPITAL SANTOS DUMONT - SÃO JOSÉ DOS CAMPOS - SP - 60.214.517/0016-91"/>
    <n v="225"/>
  </r>
  <r>
    <x v="0"/>
    <x v="6"/>
    <x v="2"/>
    <n v="68029156000481"/>
    <x v="212"/>
    <s v="SAO PAULO"/>
    <s v="SP"/>
    <x v="0"/>
    <s v="CLAUDIA BUENO (SPC/SPI)"/>
    <n v="70"/>
    <x v="0"/>
    <s v="UNIMED ADMINISTRACAO E SERVICOS LTDA - SAO PAULO - SP - PRIVADO - 68.029.156/0004-81"/>
    <n v="65"/>
  </r>
  <r>
    <x v="0"/>
    <x v="1"/>
    <x v="0"/>
    <n v="394544000851"/>
    <x v="213"/>
    <s v="BRASÍLIA"/>
    <s v="DF"/>
    <x v="2"/>
    <s v="LUIS GUSTAVO"/>
    <n v="66"/>
    <x v="4"/>
    <s v="DEPARTAMENTO DE LOGISTICA - BRASÍLIA - DF - 00.394.544/0008-51"/>
    <n v="12"/>
  </r>
  <r>
    <x v="0"/>
    <x v="1"/>
    <x v="0"/>
    <n v="394544000851"/>
    <x v="213"/>
    <s v="BRASÍLIA"/>
    <s v="DF"/>
    <x v="2"/>
    <s v="LUIS GUSTAVO"/>
    <n v="70"/>
    <x v="0"/>
    <s v="DEPARTAMENTO DE LOGISTICA - BRASÍLIA - DF - 00.394.544/0008-51"/>
    <n v="630"/>
  </r>
  <r>
    <x v="0"/>
    <x v="2"/>
    <x v="0"/>
    <n v="394544000851"/>
    <x v="213"/>
    <s v="BRASÍLIA"/>
    <s v="DF"/>
    <x v="2"/>
    <s v="LUIS GUSTAVO"/>
    <n v="62"/>
    <x v="3"/>
    <s v="DEPARTAMENTO DE LOGISTICA - BRASÍLIA - DF - 00.394.544/0008-51"/>
    <n v="1050"/>
  </r>
  <r>
    <x v="0"/>
    <x v="2"/>
    <x v="0"/>
    <n v="394544000851"/>
    <x v="213"/>
    <s v="BRASÍLIA"/>
    <s v="DF"/>
    <x v="2"/>
    <s v="LUIS GUSTAVO"/>
    <n v="70"/>
    <x v="0"/>
    <s v="DEPARTAMENTO DE LOGISTICA - BRASÍLIA - DF - 00.394.544/0008-51"/>
    <n v="120"/>
  </r>
  <r>
    <x v="0"/>
    <x v="3"/>
    <x v="1"/>
    <n v="394544000851"/>
    <x v="213"/>
    <s v="BRASÍLIA"/>
    <s v="DF"/>
    <x v="2"/>
    <s v="LUIS GUSTAVO"/>
    <n v="66"/>
    <x v="4"/>
    <s v="DEPARTAMENTO DE LOGISTICA - BRASÍLIA - DF - 00.394.544/0008-51"/>
    <n v="326"/>
  </r>
  <r>
    <x v="0"/>
    <x v="4"/>
    <x v="1"/>
    <n v="394544000851"/>
    <x v="213"/>
    <s v="BRASÍLIA"/>
    <s v="DF"/>
    <x v="2"/>
    <s v="LUIS GUSTAVO"/>
    <n v="73"/>
    <x v="1"/>
    <s v="DEPARTAMENTO DE LOGISTICA - BRASÍLIA - DF - 00.394.544/0008-51"/>
    <n v="24"/>
  </r>
  <r>
    <x v="0"/>
    <x v="5"/>
    <x v="1"/>
    <n v="46709932249"/>
    <x v="214"/>
    <s v="BELÉM"/>
    <s v="PA"/>
    <x v="1"/>
    <m/>
    <n v="70"/>
    <x v="0"/>
    <s v="VANDA BRABO COELHO - BELÉM - PA - 467.099.322-49"/>
    <n v="10"/>
  </r>
  <r>
    <x v="0"/>
    <x v="6"/>
    <x v="2"/>
    <n v="92390000177"/>
    <x v="215"/>
    <s v="JOINVILLE"/>
    <s v="SC"/>
    <x v="1"/>
    <m/>
    <n v="70"/>
    <x v="0"/>
    <s v="INSTITUTO JOINVILENSE DE HEMATOLOGIA E ONCOLOGIA S/S LTDA. - JOINVILLE - SC - 00.092.390/0001-77"/>
    <n v="90"/>
  </r>
  <r>
    <x v="0"/>
    <x v="6"/>
    <x v="2"/>
    <n v="754174000140"/>
    <x v="216"/>
    <s v="GOIÂNIA"/>
    <s v="GO"/>
    <x v="1"/>
    <m/>
    <n v="70"/>
    <x v="0"/>
    <s v="CEBROM - GOIÂNIA - GO - 00.754.174/0001-40"/>
    <n v="50"/>
  </r>
  <r>
    <x v="0"/>
    <x v="6"/>
    <x v="2"/>
    <n v="773639001505"/>
    <x v="217"/>
    <s v="CANOAS"/>
    <s v="RS"/>
    <x v="1"/>
    <m/>
    <n v="70"/>
    <x v="0"/>
    <s v="CENTRO CLINICO GAUCHO LTDA  - CANOAS - RS - 00.773.639/0015-05"/>
    <n v="150"/>
  </r>
  <r>
    <x v="0"/>
    <x v="6"/>
    <x v="2"/>
    <n v="855774000102"/>
    <x v="218"/>
    <s v="MARINGÁ"/>
    <s v="PR"/>
    <x v="1"/>
    <m/>
    <n v="70"/>
    <x v="0"/>
    <s v="HOSPITAL E MATERNIDADE SAO MARCOS - MARINGÁ - PR - 00.855.774/0001-02"/>
    <n v="50"/>
  </r>
  <r>
    <x v="0"/>
    <x v="6"/>
    <x v="2"/>
    <n v="1116300000101"/>
    <x v="219"/>
    <s v="ANÁPOLIS"/>
    <s v="GO"/>
    <x v="1"/>
    <m/>
    <n v="70"/>
    <x v="0"/>
    <s v="INSTITUTO ONCO-HEMATOLOGICO DE ANAPOLIS - ANÁPOLIS - GO - 01.116.300/0001-01"/>
    <n v="15"/>
  </r>
  <r>
    <x v="0"/>
    <x v="6"/>
    <x v="2"/>
    <n v="1141127000193"/>
    <x v="220"/>
    <s v="JAGUARI"/>
    <s v="RS"/>
    <x v="1"/>
    <m/>
    <n v="70"/>
    <x v="0"/>
    <s v="FARMACENTRO - JAGUARI - RS - 01.141.127/0001-93"/>
    <n v="10"/>
  </r>
  <r>
    <x v="0"/>
    <x v="6"/>
    <x v="2"/>
    <n v="1753991000146"/>
    <x v="221"/>
    <s v="SANTANA DO LIVRAMENTO"/>
    <s v="RS"/>
    <x v="1"/>
    <m/>
    <n v="70"/>
    <x v="0"/>
    <s v="ONCOCLINICA - SANTANA DO LIVRAMENTO - RS - PRIVADO - 01.753.991/0001-46"/>
    <n v="15"/>
  </r>
  <r>
    <x v="0"/>
    <x v="6"/>
    <x v="2"/>
    <n v="3989821000433"/>
    <x v="222"/>
    <s v="BRASILIA"/>
    <s v="DF"/>
    <x v="1"/>
    <m/>
    <n v="70"/>
    <x v="0"/>
    <s v="GRUPO ACREDITAR - BRASILIA - DF - PRIVADO - 03.989.821/0004-33"/>
    <n v="70"/>
  </r>
  <r>
    <x v="0"/>
    <x v="6"/>
    <x v="2"/>
    <n v="6054754000100"/>
    <x v="223"/>
    <s v="BRASILIA"/>
    <s v="DF"/>
    <x v="1"/>
    <m/>
    <n v="70"/>
    <x v="0"/>
    <s v="PRONTONEURO - BRASILIA - DF - PRIVADO - 06.054.754/0001-00"/>
    <n v="250"/>
  </r>
  <r>
    <x v="0"/>
    <x v="6"/>
    <x v="2"/>
    <n v="7549453000110"/>
    <x v="224"/>
    <s v="ARACAJU"/>
    <s v="SE"/>
    <x v="1"/>
    <m/>
    <n v="70"/>
    <x v="0"/>
    <s v="VITTA CENTRO DE ONCOLOGIA - ARACAJU - SE - PRIVADO - 07.549.453/0001-10"/>
    <n v="90"/>
  </r>
  <r>
    <x v="0"/>
    <x v="6"/>
    <x v="2"/>
    <n v="7862532000187"/>
    <x v="225"/>
    <s v="CUIABÁ"/>
    <s v="MT"/>
    <x v="1"/>
    <m/>
    <n v="70"/>
    <x v="0"/>
    <s v="CENTRO DE ONCO - HEMATOLOGIA DE MATO GROSSO LTDA - ME - CUIABÁ - MT - 07.862.532/0001-87"/>
    <n v="20"/>
  </r>
  <r>
    <x v="0"/>
    <x v="6"/>
    <x v="2"/>
    <n v="8580014000133"/>
    <x v="226"/>
    <s v="CURITIBA"/>
    <s v="PR"/>
    <x v="1"/>
    <m/>
    <n v="70"/>
    <x v="0"/>
    <s v="H.V. BATEL MEDICINA PARA ANIMAIS DE COMPANHIA LTDA - CURITIBA - PR - PRIVADO - 08.580.014/0001-33"/>
    <n v="10"/>
  </r>
  <r>
    <x v="0"/>
    <x v="6"/>
    <x v="2"/>
    <n v="9635024000272"/>
    <x v="227"/>
    <s v="VARGINHA"/>
    <s v="MG"/>
    <x v="1"/>
    <m/>
    <n v="70"/>
    <x v="0"/>
    <s v="CENTRO MEDICO VARGINHA CMV - VARGINHA - MG - 09.635.024/0002-72"/>
    <n v="270"/>
  </r>
  <r>
    <x v="0"/>
    <x v="6"/>
    <x v="2"/>
    <n v="9767633000102"/>
    <x v="228"/>
    <s v="RECIFE"/>
    <s v="PE"/>
    <x v="1"/>
    <m/>
    <n v="70"/>
    <x v="0"/>
    <s v="FUNDACAO MANOEL DA SILVA ALMEIDA - RECIFE - PE - 09.767.633/0001-02"/>
    <n v="20"/>
  </r>
  <r>
    <x v="0"/>
    <x v="6"/>
    <x v="2"/>
    <n v="11697594000310"/>
    <x v="229"/>
    <s v="VIANA"/>
    <s v="ES"/>
    <x v="1"/>
    <m/>
    <n v="73"/>
    <x v="1"/>
    <s v="AGILLE COMERCIO DE MEDICAMENTOS - VIANA - ES - 11.697.594/0003-10"/>
    <n v="4"/>
  </r>
  <r>
    <x v="0"/>
    <x v="6"/>
    <x v="2"/>
    <n v="12307187000583"/>
    <x v="230"/>
    <s v="MACEIÓ"/>
    <s v="AL"/>
    <x v="1"/>
    <m/>
    <n v="64"/>
    <x v="2"/>
    <s v="SANTA CASA DE MACEIO - CENTRAL DE DISTRIBUICAO - MACEIÓ - AL - 12.307.187/0005-83"/>
    <n v="6"/>
  </r>
  <r>
    <x v="0"/>
    <x v="6"/>
    <x v="2"/>
    <n v="12361267011985"/>
    <x v="231"/>
    <s v="MANAUS"/>
    <s v="AM"/>
    <x v="1"/>
    <m/>
    <n v="70"/>
    <x v="0"/>
    <s v="DEPOSITO - ARMAZEM MANAUS/AM - MANAUS - AM - 12.361.267/0119-85"/>
    <n v="295"/>
  </r>
  <r>
    <x v="0"/>
    <x v="6"/>
    <x v="2"/>
    <n v="12981527000204"/>
    <x v="232"/>
    <s v="CUIABA"/>
    <s v="MT"/>
    <x v="1"/>
    <m/>
    <n v="70"/>
    <x v="0"/>
    <s v="ONCOLOG - CUIABA - MT - PRIVADO - 12.981.527/0002-04"/>
    <n v="25"/>
  </r>
  <r>
    <x v="0"/>
    <x v="6"/>
    <x v="2"/>
    <n v="15126437001549"/>
    <x v="233"/>
    <s v="BELO HORIZONTE"/>
    <s v="MG"/>
    <x v="1"/>
    <m/>
    <n v="70"/>
    <x v="0"/>
    <s v="HOSP DAS CLINICAS DA UNIV FED DE MINAS GERAIS - EBSERH - BELO HORIZONTE - MG - 15.126.437/0015-49"/>
    <n v="1000"/>
  </r>
  <r>
    <x v="0"/>
    <x v="6"/>
    <x v="2"/>
    <n v="15126437002510"/>
    <x v="234"/>
    <s v="JUIZ DE FORA"/>
    <s v="MG"/>
    <x v="1"/>
    <m/>
    <n v="70"/>
    <x v="0"/>
    <s v="HOSPITAL UNIVERSITARIO DA UNIV. FEDERAL DE JUIZ DE FORA - JUIZ DE FORA - MG - PRIVADO - 15.126.437/0025-10"/>
    <n v="200"/>
  </r>
  <r>
    <x v="0"/>
    <x v="6"/>
    <x v="2"/>
    <n v="15178551000117"/>
    <x v="235"/>
    <s v="SALVADOR"/>
    <s v="BA"/>
    <x v="1"/>
    <m/>
    <n v="70"/>
    <x v="0"/>
    <s v="ASSOCIACAO OBRAS SOCIAIS IRMA DULCE - SALVADOR - BA - 15.178.551/0001-17"/>
    <n v="10"/>
  </r>
  <r>
    <x v="0"/>
    <x v="6"/>
    <x v="2"/>
    <n v="18770112000197"/>
    <x v="236"/>
    <s v="PORTO ALEGRE"/>
    <s v="RS"/>
    <x v="1"/>
    <m/>
    <n v="70"/>
    <x v="0"/>
    <s v="AGIL MED - PORTO ALEGRE - RS - 18.770.112/0001-97"/>
    <n v="20"/>
  </r>
  <r>
    <x v="0"/>
    <x v="6"/>
    <x v="2"/>
    <n v="24449225000279"/>
    <x v="237"/>
    <s v="CARUARU"/>
    <s v="PE"/>
    <x v="1"/>
    <m/>
    <n v="64"/>
    <x v="2"/>
    <s v="HOSPITAL UNIMED CARUARU - CARUARU - PE - 24.449.225/0002-79"/>
    <n v="1"/>
  </r>
  <r>
    <x v="0"/>
    <x v="6"/>
    <x v="2"/>
    <n v="26645426000196"/>
    <x v="238"/>
    <s v="NOVA LIMA"/>
    <s v="MG"/>
    <x v="1"/>
    <m/>
    <n v="70"/>
    <x v="0"/>
    <s v="ONCOBIO SERVICOS DE SAUDE S.A. - NOVA LIMA - MG - PRIVADO - 26.645.426/0001-96"/>
    <n v="170"/>
  </r>
  <r>
    <x v="0"/>
    <x v="6"/>
    <x v="2"/>
    <n v="27080605000609"/>
    <x v="239"/>
    <s v="SÃO JOSÉ DO CALÇADO"/>
    <s v="ES"/>
    <x v="1"/>
    <m/>
    <n v="70"/>
    <x v="0"/>
    <s v="HOSPITAL SAO JOSE - SÃO JOSÉ DO CALÇADO - ES - 27.080.605/0006-09"/>
    <n v="100"/>
  </r>
  <r>
    <x v="0"/>
    <x v="6"/>
    <x v="2"/>
    <n v="27080605002059"/>
    <x v="240"/>
    <s v="VITÓRIA"/>
    <s v="ES"/>
    <x v="1"/>
    <m/>
    <n v="70"/>
    <x v="0"/>
    <s v="HOSPITAL INFANTIL NOSSA SENHORA DA GLORIA - VITÓRIA - ES - 27.080.605/0020-59"/>
    <n v="50"/>
  </r>
  <r>
    <x v="0"/>
    <x v="6"/>
    <x v="2"/>
    <n v="32972408000111"/>
    <x v="241"/>
    <s v="RONDONÓPOLIS"/>
    <s v="MT"/>
    <x v="1"/>
    <m/>
    <n v="70"/>
    <x v="0"/>
    <s v="MATER CLIN - RONDONÓPOLIS - MT - 32.972.408/0001-11"/>
    <n v="15"/>
  </r>
  <r>
    <x v="0"/>
    <x v="6"/>
    <x v="2"/>
    <n v="37436920000167"/>
    <x v="242"/>
    <s v="BARRA DO GARCAS"/>
    <s v="MT"/>
    <x v="1"/>
    <m/>
    <n v="64"/>
    <x v="2"/>
    <s v="UNIMED ARAGUAIA - BARRA DO GARCAS - MT - PRIVADO - 37.436.920/0001-67"/>
    <n v="2"/>
  </r>
  <r>
    <x v="0"/>
    <x v="6"/>
    <x v="2"/>
    <n v="41871989000277"/>
    <x v="243"/>
    <s v="ITUIUTABA"/>
    <s v="MG"/>
    <x v="1"/>
    <m/>
    <n v="73"/>
    <x v="1"/>
    <s v="DROGARIA UNIMED ITUIUTABA - ITUIUTABA - MG - 41.871.989/0002-77"/>
    <n v="8"/>
  </r>
  <r>
    <x v="0"/>
    <x v="6"/>
    <x v="2"/>
    <n v="42043067000153"/>
    <x v="244"/>
    <s v="TEIXEIRA DE FREITAS"/>
    <s v="BA"/>
    <x v="1"/>
    <m/>
    <n v="70"/>
    <x v="0"/>
    <s v="UNIMED EXTREMO SUL COOPERATIVA DE TRABALHO MEDICO - TEIXEIRA DE FREITAS - BA - 42.043.067/0001-53"/>
    <n v="125"/>
  </r>
  <r>
    <x v="0"/>
    <x v="6"/>
    <x v="2"/>
    <n v="42946061000196"/>
    <x v="245"/>
    <s v="ALFENAS"/>
    <s v="MG"/>
    <x v="1"/>
    <m/>
    <n v="70"/>
    <x v="0"/>
    <s v="UNIMED ALFENAS - ALFENAS - MG - 42.946.061/0001-96"/>
    <n v="150"/>
  </r>
  <r>
    <x v="0"/>
    <x v="6"/>
    <x v="2"/>
    <n v="84942887000127"/>
    <x v="246"/>
    <s v="LAGES"/>
    <s v="SC"/>
    <x v="1"/>
    <m/>
    <n v="70"/>
    <x v="0"/>
    <s v="HOSPITAL NOSSA SENHORA DOS PRAZERES - LAGES - SC - 84.942.887/0001-27"/>
    <n v="150"/>
  </r>
  <r>
    <x v="0"/>
    <x v="6"/>
    <x v="2"/>
    <n v="84947167000154"/>
    <x v="247"/>
    <s v="LAGES"/>
    <s v="SC"/>
    <x v="1"/>
    <m/>
    <n v="70"/>
    <x v="0"/>
    <s v="HOSPITAL INF SEARA DO BEM - LAGES - SC - 84.947.167/0001-54"/>
    <n v="10"/>
  </r>
  <r>
    <x v="0"/>
    <x v="6"/>
    <x v="2"/>
    <n v="85307098000187"/>
    <x v="248"/>
    <s v="FLORIANÓPOLIS"/>
    <s v="SC"/>
    <x v="1"/>
    <m/>
    <n v="70"/>
    <x v="0"/>
    <s v="SOS CARDIO SERVICOS HOSPITALARES LTDA - FLORIANÓPOLIS - SC - 85.307.098/0001-87"/>
    <n v="255"/>
  </r>
  <r>
    <x v="0"/>
    <x v="6"/>
    <x v="2"/>
    <n v="87647756000296"/>
    <x v="249"/>
    <s v="IJUÍ"/>
    <s v="RS"/>
    <x v="1"/>
    <m/>
    <n v="70"/>
    <x v="0"/>
    <s v="HOSPITAL UNIMED IJUI - IJUÍ - RS - 87.647.756/0002-96"/>
    <n v="75"/>
  </r>
  <r>
    <x v="0"/>
    <x v="0"/>
    <x v="0"/>
    <n v="12371009253"/>
    <x v="250"/>
    <s v="BELÉM"/>
    <s v="PA"/>
    <x v="3"/>
    <s v="FERNANDO LEONY (CO/NO/NE)"/>
    <n v="73"/>
    <x v="1"/>
    <s v="PEDRO FLÁVIO - BELÉM - PA - 123.710.092-53"/>
    <n v="24"/>
  </r>
  <r>
    <x v="0"/>
    <x v="1"/>
    <x v="0"/>
    <n v="700386513"/>
    <x v="251"/>
    <s v="NOSSA SENHORA DA GLÓRIA"/>
    <s v="SE"/>
    <x v="3"/>
    <s v="FERNANDO LEONY (CO/NO/NE)"/>
    <n v="66"/>
    <x v="4"/>
    <s v="MARIA LEDA FEITOSA FARIAS - MARIA LEDA FEITOSA FARIAS - NOSSA SENHORA DA GLÓRIA - SE - 007.003.865-13"/>
    <n v="4"/>
  </r>
  <r>
    <x v="0"/>
    <x v="0"/>
    <x v="0"/>
    <n v="83925694404"/>
    <x v="252"/>
    <s v="JOÃO PESSOA"/>
    <s v="PB"/>
    <x v="3"/>
    <s v="FERNANDO LEONY (CO/NO/NE)"/>
    <n v="66"/>
    <x v="4"/>
    <s v="ROBERTO MOURA GRISI - JOÃO PESSOA - PB - 839.256.944-04"/>
    <n v="24"/>
  </r>
  <r>
    <x v="0"/>
    <x v="0"/>
    <x v="0"/>
    <n v="91777186234"/>
    <x v="253"/>
    <s v="BELÉM"/>
    <s v="PA"/>
    <x v="3"/>
    <s v="FERNANDO LEONY (CO/NO/NE)"/>
    <n v="73"/>
    <x v="1"/>
    <s v="LARISSA HELENA AMARAL CASTRO - BELÉM - PA - 917.771.862-34"/>
    <n v="36"/>
  </r>
  <r>
    <x v="0"/>
    <x v="1"/>
    <x v="0"/>
    <n v="53629000108"/>
    <x v="254"/>
    <s v="GOIÂNIA"/>
    <s v="GO"/>
    <x v="3"/>
    <s v="FERNANDO LEONY (CO/NO/NE)"/>
    <n v="70"/>
    <x v="0"/>
    <s v="MATERNIDADE FEMINA - GOIÂNIA - GO - 00.053.629/0001-08"/>
    <n v="0"/>
  </r>
  <r>
    <x v="0"/>
    <x v="0"/>
    <x v="0"/>
    <n v="418954000119"/>
    <x v="255"/>
    <s v="GOIÂNIA"/>
    <s v="GO"/>
    <x v="3"/>
    <s v="FERNANDO LEONY (CO/NO/NE)"/>
    <n v="64"/>
    <x v="2"/>
    <s v="HEMOLABOR - GOIÂNIA - GO - 00.418.954/0001-19"/>
    <n v="10"/>
  </r>
  <r>
    <x v="0"/>
    <x v="1"/>
    <x v="0"/>
    <n v="418954000119"/>
    <x v="255"/>
    <s v="GOIÂNIA"/>
    <s v="GO"/>
    <x v="3"/>
    <s v="FERNANDO LEONY (CO/NO/NE)"/>
    <n v="64"/>
    <x v="2"/>
    <s v="HEMOLABOR - GOIÂNIA - GO - 00.418.954/0001-19"/>
    <n v="10"/>
  </r>
  <r>
    <x v="0"/>
    <x v="0"/>
    <x v="0"/>
    <n v="820737000150"/>
    <x v="256"/>
    <s v="NATAL"/>
    <s v="RN"/>
    <x v="3"/>
    <s v="FERNANDO LEONY (CO/NO/NE)"/>
    <n v="64"/>
    <x v="2"/>
    <s v="HOSPITAL DO CORACAO DE NATAL LTDA - NATAL - RN - 00.820.737/0001-50"/>
    <n v="30"/>
  </r>
  <r>
    <x v="0"/>
    <x v="1"/>
    <x v="0"/>
    <n v="820737000150"/>
    <x v="256"/>
    <s v="NATAL"/>
    <s v="RN"/>
    <x v="3"/>
    <s v="FERNANDO LEONY (CO/NO/NE)"/>
    <n v="64"/>
    <x v="2"/>
    <s v="HOSPITAL DO CORACAO DE NATAL LTDA - NATAL - RN - 00.820.737/0001-50"/>
    <n v="173"/>
  </r>
  <r>
    <x v="0"/>
    <x v="0"/>
    <x v="0"/>
    <n v="860841000179"/>
    <x v="257"/>
    <s v="CAMPO GRANDE"/>
    <s v="MS"/>
    <x v="3"/>
    <s v="FERNANDO LEONY (CO/NO/NE)"/>
    <n v="64"/>
    <x v="2"/>
    <s v="CLINICA DE CAMPO GRANDE S/A - CAMPO GRANDE - MS - 00.860.841/0001-79"/>
    <n v="2"/>
  </r>
  <r>
    <x v="0"/>
    <x v="1"/>
    <x v="0"/>
    <n v="860841000179"/>
    <x v="257"/>
    <s v="CAMPO GRANDE"/>
    <s v="MS"/>
    <x v="3"/>
    <s v="FERNANDO LEONY (CO/NO/NE)"/>
    <n v="64"/>
    <x v="2"/>
    <s v="CLINICA DE CAMPO GRANDE S/A - CAMPO GRANDE - MS - 00.860.841/0001-79"/>
    <n v="-2"/>
  </r>
  <r>
    <x v="0"/>
    <x v="0"/>
    <x v="0"/>
    <n v="1011865000116"/>
    <x v="258"/>
    <s v="GOIÂNIA"/>
    <s v="GO"/>
    <x v="3"/>
    <s v="FERNANDO LEONY (CO/NO/NE)"/>
    <n v="70"/>
    <x v="0"/>
    <s v="INSTITUTO DE NEUROLOGIA - GOIÂNIA - GO - 01.011.865/0001-16"/>
    <n v="350"/>
  </r>
  <r>
    <x v="0"/>
    <x v="1"/>
    <x v="0"/>
    <n v="1011865000116"/>
    <x v="258"/>
    <s v="GOIÂNIA"/>
    <s v="GO"/>
    <x v="3"/>
    <s v="FERNANDO LEONY (CO/NO/NE)"/>
    <n v="70"/>
    <x v="0"/>
    <s v="INSTITUTO DE NEUROLOGIA - GOIÂNIA - GO - 01.011.865/0001-16"/>
    <n v="350"/>
  </r>
  <r>
    <x v="0"/>
    <x v="0"/>
    <x v="0"/>
    <n v="1326206000179"/>
    <x v="259"/>
    <s v="CATALÃO"/>
    <s v="GO"/>
    <x v="3"/>
    <s v="FERNANDO LEONY (CO/NO/NE)"/>
    <n v="73"/>
    <x v="1"/>
    <s v="HOSPITAL E MATERNIDADE SAO NICOLAU - CATALÃO - GO - 01.326.206/0001-79"/>
    <n v="10"/>
  </r>
  <r>
    <x v="0"/>
    <x v="1"/>
    <x v="0"/>
    <n v="1326206000179"/>
    <x v="259"/>
    <s v="CATALÃO"/>
    <s v="GO"/>
    <x v="3"/>
    <s v="FERNANDO LEONY (CO/NO/NE)"/>
    <n v="70"/>
    <x v="0"/>
    <s v="HOSPITAL E MATERNIDADE SAO NICOLAU - CATALÃO - GO - 01.326.206/0001-79"/>
    <n v="50"/>
  </r>
  <r>
    <x v="0"/>
    <x v="1"/>
    <x v="0"/>
    <n v="1326206000179"/>
    <x v="259"/>
    <s v="CATALÃO"/>
    <s v="GO"/>
    <x v="3"/>
    <s v="FERNANDO LEONY (CO/NO/NE)"/>
    <n v="73"/>
    <x v="1"/>
    <s v="HOSPITAL E MATERNIDADE SAO NICOLAU - CATALÃO - GO - 01.326.206/0001-79"/>
    <n v="18"/>
  </r>
  <r>
    <x v="0"/>
    <x v="0"/>
    <x v="0"/>
    <n v="1383835000130"/>
    <x v="260"/>
    <s v="PRIMAVERA DO LESTE"/>
    <s v="MT"/>
    <x v="3"/>
    <s v="FERNANDO LEONY (CO/NO/NE)"/>
    <n v="70"/>
    <x v="0"/>
    <s v="HOSPITAL DAS CLINICAS PRIMAVERA - PRIMAVERA DO LESTE - MT - 01.383.835/0001-30"/>
    <n v="30"/>
  </r>
  <r>
    <x v="0"/>
    <x v="0"/>
    <x v="0"/>
    <n v="1454407000151"/>
    <x v="261"/>
    <s v="MACEIÓ"/>
    <s v="AL"/>
    <x v="3"/>
    <s v="FERNANDO LEONY (CO/NO/NE)"/>
    <n v="70"/>
    <x v="0"/>
    <s v="HOSPITAL DO CORACAO DE ALAGOAS - MACEIÓ - AL - 01.454.407/0001-51"/>
    <n v="480"/>
  </r>
  <r>
    <x v="0"/>
    <x v="1"/>
    <x v="0"/>
    <n v="1454407000151"/>
    <x v="261"/>
    <s v="MACEIÓ"/>
    <s v="AL"/>
    <x v="3"/>
    <s v="FERNANDO LEONY (CO/NO/NE)"/>
    <n v="70"/>
    <x v="0"/>
    <s v="HOSPITAL DO CORACAO DE ALAGOAS - MACEIÓ - AL - 01.454.407/0001-51"/>
    <n v="500"/>
  </r>
  <r>
    <x v="0"/>
    <x v="0"/>
    <x v="0"/>
    <n v="1507901000137"/>
    <x v="262"/>
    <s v="NATAL"/>
    <s v="RN"/>
    <x v="3"/>
    <s v="FERNANDO LEONY (CO/NO/NE)"/>
    <n v="62"/>
    <x v="3"/>
    <s v="INCOR NATAL - NATAL - RN - 01.507.901/0001-37"/>
    <n v="3"/>
  </r>
  <r>
    <x v="0"/>
    <x v="0"/>
    <x v="0"/>
    <n v="1507901000137"/>
    <x v="262"/>
    <s v="NATAL"/>
    <s v="RN"/>
    <x v="3"/>
    <s v="FERNANDO LEONY (CO/NO/NE)"/>
    <n v="64"/>
    <x v="2"/>
    <s v="INCOR NATAL - NATAL - RN - 01.507.901/0001-37"/>
    <n v="10"/>
  </r>
  <r>
    <x v="0"/>
    <x v="0"/>
    <x v="0"/>
    <n v="1757351000104"/>
    <x v="263"/>
    <s v="CUIABÁ"/>
    <s v="MT"/>
    <x v="3"/>
    <s v="FERNANDO LEONY (CO/NO/NE)"/>
    <n v="64"/>
    <x v="2"/>
    <s v="COMPLEXO HOSPITALAR JARDIM CUIABA - CUIABÁ - MT - 01.757.351/0001-04"/>
    <n v="6"/>
  </r>
  <r>
    <x v="0"/>
    <x v="1"/>
    <x v="0"/>
    <n v="1757351000104"/>
    <x v="263"/>
    <s v="CUIABÁ"/>
    <s v="MT"/>
    <x v="3"/>
    <s v="FERNANDO LEONY (CO/NO/NE)"/>
    <n v="64"/>
    <x v="2"/>
    <s v="COMPLEXO HOSPITALAR JARDIM CUIABA - CUIABÁ - MT - 01.757.351/0001-04"/>
    <n v="10"/>
  </r>
  <r>
    <x v="0"/>
    <x v="0"/>
    <x v="0"/>
    <n v="2284062000440"/>
    <x v="264"/>
    <s v="RECIFE"/>
    <s v="PE"/>
    <x v="3"/>
    <s v="FERNANDO LEONY (CO/NO/NE)"/>
    <n v="64"/>
    <x v="2"/>
    <s v="HOSPITAL SAO MARCOS (REDE DOR) - RECIFE - PE - 02.284.062/0004-40"/>
    <n v="21"/>
  </r>
  <r>
    <x v="0"/>
    <x v="1"/>
    <x v="0"/>
    <n v="2284062000440"/>
    <x v="264"/>
    <s v="RECIFE"/>
    <s v="PE"/>
    <x v="3"/>
    <s v="FERNANDO LEONY (CO/NO/NE)"/>
    <n v="64"/>
    <x v="2"/>
    <s v="HOSPITAL SAO MARCOS (REDE DOR) - RECIFE - PE - 02.284.062/0004-40"/>
    <n v="55"/>
  </r>
  <r>
    <x v="0"/>
    <x v="0"/>
    <x v="0"/>
    <n v="2284062001170"/>
    <x v="265"/>
    <s v="SÃO LUÍS"/>
    <s v="MA"/>
    <x v="3"/>
    <s v="FERNANDO LEONY (CO/NO/NE)"/>
    <n v="62"/>
    <x v="3"/>
    <s v="UDI HOSPITAL - SÃO LUÍS - MA - 02.284.062/0011-70"/>
    <n v="5"/>
  </r>
  <r>
    <x v="0"/>
    <x v="1"/>
    <x v="0"/>
    <n v="2284062001170"/>
    <x v="265"/>
    <s v="SÃO LUÍS"/>
    <s v="MA"/>
    <x v="3"/>
    <s v="FERNANDO LEONY (CO/NO/NE)"/>
    <n v="64"/>
    <x v="2"/>
    <s v="UDI HOSPITAL - SÃO LUÍS - MA - 02.284.062/0011-70"/>
    <n v="4"/>
  </r>
  <r>
    <x v="0"/>
    <x v="1"/>
    <x v="0"/>
    <n v="2284062001170"/>
    <x v="265"/>
    <s v="SÃO LUÍS"/>
    <s v="MA"/>
    <x v="3"/>
    <s v="FERNANDO LEONY (CO/NO/NE)"/>
    <n v="70"/>
    <x v="0"/>
    <s v="UDI HOSPITAL - SÃO LUÍS - MA - 02.284.062/0011-70"/>
    <n v="150"/>
  </r>
  <r>
    <x v="0"/>
    <x v="0"/>
    <x v="0"/>
    <n v="2476067000122"/>
    <x v="266"/>
    <s v="GOIÂNIA"/>
    <s v="GO"/>
    <x v="3"/>
    <s v="FERNANDO LEONY (CO/NO/NE)"/>
    <n v="70"/>
    <x v="0"/>
    <s v="UNIMED GOIANIA - GOIÂNIA - GO - 02.476.067/0001-22"/>
    <n v="15"/>
  </r>
  <r>
    <x v="0"/>
    <x v="0"/>
    <x v="0"/>
    <n v="2476067000203"/>
    <x v="267"/>
    <s v="GOIÂNIA"/>
    <s v="GO"/>
    <x v="3"/>
    <s v="FERNANDO LEONY (CO/NO/NE)"/>
    <n v="73"/>
    <x v="1"/>
    <s v="SERVICO DE ATENDIMENTO UNIMED - GOIÂNIA - GO - 02.476.067/0002-03"/>
    <n v="20"/>
  </r>
  <r>
    <x v="0"/>
    <x v="1"/>
    <x v="0"/>
    <n v="2476067000203"/>
    <x v="267"/>
    <s v="GOIÂNIA"/>
    <s v="GO"/>
    <x v="3"/>
    <s v="FERNANDO LEONY (CO/NO/NE)"/>
    <n v="73"/>
    <x v="1"/>
    <s v="SERVICO DE ATENDIMENTO UNIMED - GOIÂNIA - GO - 02.476.067/0002-03"/>
    <n v="40"/>
  </r>
  <r>
    <x v="0"/>
    <x v="0"/>
    <x v="0"/>
    <n v="2476067000394"/>
    <x v="268"/>
    <s v="GOIÂNIA"/>
    <s v="GO"/>
    <x v="3"/>
    <s v="FERNANDO LEONY (CO/NO/NE)"/>
    <n v="70"/>
    <x v="0"/>
    <s v="CENTRO CLINICO UNIMED - GOIÂNIA - GO - 02.476.067/0003-94"/>
    <n v="117.5"/>
  </r>
  <r>
    <x v="0"/>
    <x v="1"/>
    <x v="0"/>
    <n v="2476067000394"/>
    <x v="268"/>
    <s v="GOIÂNIA"/>
    <s v="GO"/>
    <x v="3"/>
    <s v="FERNANDO LEONY (CO/NO/NE)"/>
    <n v="70"/>
    <x v="0"/>
    <s v="CENTRO CLINICO UNIMED - GOIÂNIA - GO - 02.476.067/0003-94"/>
    <n v="75"/>
  </r>
  <r>
    <x v="0"/>
    <x v="0"/>
    <x v="0"/>
    <n v="3533726000773"/>
    <x v="269"/>
    <s v="CUIABÁ"/>
    <s v="MT"/>
    <x v="3"/>
    <s v="FERNANDO LEONY (CO/NO/NE)"/>
    <n v="70"/>
    <x v="0"/>
    <s v="UNIMED CUIABA DISTRIBUIDORA DE MEDICAMENTOS - CUIABÁ - MT - 03.533.726/0007-73"/>
    <n v="30"/>
  </r>
  <r>
    <x v="0"/>
    <x v="1"/>
    <x v="0"/>
    <n v="3533726000773"/>
    <x v="269"/>
    <s v="CUIABÁ"/>
    <s v="MT"/>
    <x v="3"/>
    <s v="FERNANDO LEONY (CO/NO/NE)"/>
    <n v="70"/>
    <x v="0"/>
    <s v="UNIMED CUIABA DISTRIBUIDORA DE MEDICAMENTOS - CUIABÁ - MT - 03.533.726/0007-73"/>
    <n v="90"/>
  </r>
  <r>
    <x v="0"/>
    <x v="0"/>
    <x v="0"/>
    <n v="3533726001583"/>
    <x v="270"/>
    <s v="ACORIZAL"/>
    <s v="MT"/>
    <x v="3"/>
    <s v="FERNANDO LEONY (CO/NO/NE)"/>
    <n v="70"/>
    <x v="0"/>
    <s v="CENTRO DE ESPECIALIDADES MEDICAS UNIMED FACIL - ACORIZAL - MT - 03.533.726/0015-83"/>
    <n v="130"/>
  </r>
  <r>
    <x v="0"/>
    <x v="0"/>
    <x v="0"/>
    <n v="3533726001583"/>
    <x v="270"/>
    <s v="ACORIZAL"/>
    <s v="MT"/>
    <x v="3"/>
    <s v="FERNANDO LEONY (CO/NO/NE)"/>
    <n v="73"/>
    <x v="1"/>
    <s v="CENTRO DE ESPECIALIDADES MEDICAS UNIMED FACIL - ACORIZAL - MT - 03.533.726/0015-83"/>
    <n v="36"/>
  </r>
  <r>
    <x v="0"/>
    <x v="1"/>
    <x v="0"/>
    <n v="3533726001583"/>
    <x v="270"/>
    <s v="ACORIZAL"/>
    <s v="MT"/>
    <x v="3"/>
    <s v="FERNANDO LEONY (CO/NO/NE)"/>
    <n v="70"/>
    <x v="0"/>
    <s v="CENTRO DE ESPECIALIDADES MEDICAS UNIMED FACIL - ACORIZAL - MT - 03.533.726/0015-83"/>
    <n v="30"/>
  </r>
  <r>
    <x v="0"/>
    <x v="0"/>
    <x v="0"/>
    <n v="3858924000111"/>
    <x v="271"/>
    <s v="GARANHUNS"/>
    <s v="PE"/>
    <x v="3"/>
    <s v="FERNANDO LEONY (CO/NO/NE)"/>
    <n v="70"/>
    <x v="0"/>
    <s v="HOSPITAL MONTE SINAI LTDA - GARANHUNS - PE - 03.858.924/0001-11"/>
    <n v="120"/>
  </r>
  <r>
    <x v="0"/>
    <x v="0"/>
    <x v="0"/>
    <n v="3925419000142"/>
    <x v="272"/>
    <s v="CUIABÁ"/>
    <s v="MT"/>
    <x v="3"/>
    <s v="FERNANDO LEONY (CO/NO/NE)"/>
    <n v="64"/>
    <x v="2"/>
    <s v="HOSPITAL AMECOR - CUIABÁ - MT - 03.925.419/0001-42"/>
    <n v="13"/>
  </r>
  <r>
    <x v="0"/>
    <x v="1"/>
    <x v="0"/>
    <n v="3925419000142"/>
    <x v="272"/>
    <s v="CUIABÁ"/>
    <s v="MT"/>
    <x v="3"/>
    <s v="FERNANDO LEONY (CO/NO/NE)"/>
    <n v="64"/>
    <x v="2"/>
    <s v="HOSPITAL AMECOR - CUIABÁ - MT - 03.925.419/0001-42"/>
    <n v="8"/>
  </r>
  <r>
    <x v="0"/>
    <x v="0"/>
    <x v="0"/>
    <n v="4201372001028"/>
    <x v="273"/>
    <s v="BELÉM"/>
    <s v="PA"/>
    <x v="3"/>
    <s v="FERNANDO LEONY (CO/NO/NE)"/>
    <n v="73"/>
    <x v="1"/>
    <s v="UNIMED DE BELEM COOPERATIVA DE TRABALHO MEDICO - BELÉM - PA - 04.201.372/0010-28"/>
    <n v="40"/>
  </r>
  <r>
    <x v="0"/>
    <x v="1"/>
    <x v="0"/>
    <n v="4201372001028"/>
    <x v="273"/>
    <s v="BELÉM"/>
    <s v="PA"/>
    <x v="3"/>
    <s v="FERNANDO LEONY (CO/NO/NE)"/>
    <n v="73"/>
    <x v="1"/>
    <s v="UNIMED DE BELEM COOPERATIVA DE TRABALHO MEDICO - BELÉM - PA - 04.201.372/0010-28"/>
    <n v="52"/>
  </r>
  <r>
    <x v="0"/>
    <x v="0"/>
    <x v="0"/>
    <n v="4602792000125"/>
    <x v="274"/>
    <s v="LAURO DE FREITAS"/>
    <s v="BA"/>
    <x v="3"/>
    <s v="FERNANDO LEONY (CO/NO/NE)"/>
    <n v="64"/>
    <x v="2"/>
    <s v="HOSPITAL AEROPORTO - LAURO DE FREITAS - BA - 04.602.792/0001-25"/>
    <n v="2"/>
  </r>
  <r>
    <x v="0"/>
    <x v="1"/>
    <x v="0"/>
    <n v="4602792000125"/>
    <x v="274"/>
    <s v="LAURO DE FREITAS"/>
    <s v="BA"/>
    <x v="3"/>
    <s v="FERNANDO LEONY (CO/NO/NE)"/>
    <n v="64"/>
    <x v="2"/>
    <s v="HOSPITAL AEROPORTO - LAURO DE FREITAS - BA - 04.602.792/0001-25"/>
    <n v="3"/>
  </r>
  <r>
    <x v="0"/>
    <x v="0"/>
    <x v="0"/>
    <n v="4966545000370"/>
    <x v="275"/>
    <s v="BELÉM"/>
    <s v="PA"/>
    <x v="3"/>
    <s v="FERNANDO LEONY (CO/NO/NE)"/>
    <n v="70"/>
    <x v="0"/>
    <s v="BENEFICENCIA NIPO BRASILEIRA DA AMAZONIA - BELÉM - PA - 04.966.545/0003-70"/>
    <n v="80"/>
  </r>
  <r>
    <x v="0"/>
    <x v="1"/>
    <x v="0"/>
    <n v="2109397000180"/>
    <x v="276"/>
    <s v="NATAL"/>
    <s v="RN"/>
    <x v="3"/>
    <s v="FERNANDO LEONY (CO/NO/NE)"/>
    <n v="64"/>
    <x v="2"/>
    <s v="NATAL HOSPITAL CENTER S.A. - NATAL - RN - 02.109.397/0001-80"/>
    <n v="30"/>
  </r>
  <r>
    <x v="0"/>
    <x v="1"/>
    <x v="0"/>
    <n v="2284062000106"/>
    <x v="277"/>
    <s v="RECIFE"/>
    <s v="PE"/>
    <x v="3"/>
    <s v="FERNANDO LEONY (CO/NO/NE)"/>
    <n v="62"/>
    <x v="3"/>
    <s v="HOSPITAL ESPERANCA (REDE DOR) - RECIFE - PE - 02.284.062/0001-06"/>
    <n v="4"/>
  </r>
  <r>
    <x v="0"/>
    <x v="1"/>
    <x v="0"/>
    <n v="2284062000106"/>
    <x v="277"/>
    <s v="RECIFE"/>
    <s v="PE"/>
    <x v="3"/>
    <s v="FERNANDO LEONY (CO/NO/NE)"/>
    <n v="64"/>
    <x v="2"/>
    <s v="HOSPITAL ESPERANCA (REDE DOR) - RECIFE - PE - 02.284.062/0001-06"/>
    <n v="6"/>
  </r>
  <r>
    <x v="0"/>
    <x v="0"/>
    <x v="0"/>
    <n v="6047087009276"/>
    <x v="278"/>
    <s v="RECIFE"/>
    <s v="PE"/>
    <x v="3"/>
    <s v="FERNANDO LEONY (CO/NO/NE)"/>
    <n v="70"/>
    <x v="0"/>
    <s v="HOSPITAL MEMORIAL SAO JOSE (REDE DOR) - RECIFE - PE - 06.047.087/0092-76"/>
    <n v="300"/>
  </r>
  <r>
    <x v="0"/>
    <x v="1"/>
    <x v="0"/>
    <n v="6047087009276"/>
    <x v="278"/>
    <s v="RECIFE"/>
    <s v="PE"/>
    <x v="3"/>
    <s v="FERNANDO LEONY (CO/NO/NE)"/>
    <n v="62"/>
    <x v="3"/>
    <s v="HOSPITAL MEMORIAL SAO JOSE (REDE DOR) - RECIFE - PE - 06.047.087/0092-76"/>
    <n v="2"/>
  </r>
  <r>
    <x v="0"/>
    <x v="0"/>
    <x v="0"/>
    <n v="6070425000153"/>
    <x v="279"/>
    <s v="MACAPÁ"/>
    <s v="AP"/>
    <x v="3"/>
    <s v="FERNANDO LEONY (CO/NO/NE)"/>
    <n v="73"/>
    <x v="1"/>
    <s v="I. O. M. - MACAPÁ - AP - 06.070.425/0001-53"/>
    <n v="12"/>
  </r>
  <r>
    <x v="0"/>
    <x v="0"/>
    <x v="0"/>
    <n v="6190522000180"/>
    <x v="280"/>
    <s v="RIO VERDE"/>
    <s v="GO"/>
    <x v="3"/>
    <s v="FERNANDO LEONY (CO/NO/NE)"/>
    <n v="66"/>
    <x v="4"/>
    <s v="FUNDO MUNICIPAL DE SAUDE DE RIO VERDE - GO - RIO VERDE - GO - 06.190.522/0001-80"/>
    <n v="24"/>
  </r>
  <r>
    <x v="0"/>
    <x v="1"/>
    <x v="0"/>
    <n v="3091003000176"/>
    <x v="281"/>
    <s v="ARACAJU"/>
    <s v="SE"/>
    <x v="3"/>
    <s v="FERNANDO LEONY (CO/NO/NE)"/>
    <n v="70"/>
    <x v="0"/>
    <s v="ONCO HEMATOS S/S LTDA - ME - ARACAJU - SE - 03.091.003/0001-76"/>
    <n v="175"/>
  </r>
  <r>
    <x v="0"/>
    <x v="0"/>
    <x v="0"/>
    <n v="6555031000276"/>
    <x v="282"/>
    <s v="TERESINA"/>
    <s v="PI"/>
    <x v="3"/>
    <s v="FERNANDO LEONY (CO/NO/NE)"/>
    <n v="73"/>
    <x v="1"/>
    <s v="HOSPITAL UNIMED PRIMAVERA - TERESINA - PI - 06.555.031/0002-76"/>
    <n v="12"/>
  </r>
  <r>
    <x v="0"/>
    <x v="1"/>
    <x v="0"/>
    <n v="6555031000276"/>
    <x v="282"/>
    <s v="TERESINA"/>
    <s v="PI"/>
    <x v="3"/>
    <s v="FERNANDO LEONY (CO/NO/NE)"/>
    <n v="73"/>
    <x v="1"/>
    <s v="HOSPITAL UNIMED PRIMAVERA - TERESINA - PI - 06.555.031/0002-76"/>
    <n v="20"/>
  </r>
  <r>
    <x v="0"/>
    <x v="1"/>
    <x v="0"/>
    <n v="3210872000172"/>
    <x v="283"/>
    <s v="SANTA HELENA"/>
    <s v="MA"/>
    <x v="3"/>
    <s v="FERNANDO LEONY (CO/NO/NE)"/>
    <n v="70"/>
    <x v="0"/>
    <s v="FARMA REGIA - SANTA HELENA - MA - 03.210.872/0001-72"/>
    <n v="5"/>
  </r>
  <r>
    <x v="0"/>
    <x v="1"/>
    <x v="0"/>
    <n v="3866223000124"/>
    <x v="284"/>
    <s v="MACEIÓ"/>
    <s v="AL"/>
    <x v="3"/>
    <s v="FERNANDO LEONY (CO/NO/NE)"/>
    <n v="70"/>
    <x v="0"/>
    <s v="MEDRADIUS - MACEIÓ - AL - 03.866.223/0001-24"/>
    <n v="1740"/>
  </r>
  <r>
    <x v="0"/>
    <x v="0"/>
    <x v="0"/>
    <n v="8319329000121"/>
    <x v="285"/>
    <s v="NATAL"/>
    <s v="RN"/>
    <x v="3"/>
    <s v="FERNANDO LEONY (CO/NO/NE)"/>
    <n v="64"/>
    <x v="2"/>
    <s v="CASA DE SAUDE SAO LUCAS S/A - NATAL - RN - 08.319.329/0001-21"/>
    <n v="4"/>
  </r>
  <r>
    <x v="0"/>
    <x v="1"/>
    <x v="0"/>
    <n v="8319329000121"/>
    <x v="285"/>
    <s v="NATAL"/>
    <s v="RN"/>
    <x v="3"/>
    <s v="FERNANDO LEONY (CO/NO/NE)"/>
    <n v="64"/>
    <x v="2"/>
    <s v="CASA DE SAUDE SAO LUCAS S/A - NATAL - RN - 08.319.329/0001-21"/>
    <n v="26"/>
  </r>
  <r>
    <x v="0"/>
    <x v="0"/>
    <x v="0"/>
    <n v="8337586000196"/>
    <x v="286"/>
    <s v="NATAL"/>
    <s v="RN"/>
    <x v="3"/>
    <s v="FERNANDO LEONY (CO/NO/NE)"/>
    <n v="64"/>
    <x v="2"/>
    <s v="HOSP INF VAR SANT - NATAL - RN - 08.337.586/0001-96"/>
    <n v="1"/>
  </r>
  <r>
    <x v="0"/>
    <x v="0"/>
    <x v="0"/>
    <n v="8380701000610"/>
    <x v="287"/>
    <s v="NATAL"/>
    <s v="RN"/>
    <x v="3"/>
    <s v="FERNANDO LEONY (CO/NO/NE)"/>
    <n v="70"/>
    <x v="0"/>
    <s v="HOSPITAL UNIMED - NATAL - RN - 08.380.701/0006-10"/>
    <n v="250"/>
  </r>
  <r>
    <x v="0"/>
    <x v="0"/>
    <x v="0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80"/>
  </r>
  <r>
    <x v="0"/>
    <x v="0"/>
    <x v="0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36"/>
  </r>
  <r>
    <x v="0"/>
    <x v="1"/>
    <x v="0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155"/>
  </r>
  <r>
    <x v="0"/>
    <x v="1"/>
    <x v="0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68"/>
  </r>
  <r>
    <x v="0"/>
    <x v="1"/>
    <x v="0"/>
    <n v="5054929000117"/>
    <x v="289"/>
    <s v="BELÉM"/>
    <s v="PA"/>
    <x v="3"/>
    <s v="FERNANDO LEONY (CO/NO/NE)"/>
    <n v="73"/>
    <x v="1"/>
    <s v="PA SSA GABINETE DO SECRETARIO - BELÉM - PA - 05.054.929/0001-17"/>
    <n v="48"/>
  </r>
  <r>
    <x v="0"/>
    <x v="1"/>
    <x v="0"/>
    <n v="5652543000107"/>
    <x v="290"/>
    <s v="SANTO ANTÔNIO DE JESUS"/>
    <s v="BA"/>
    <x v="3"/>
    <s v="FERNANDO LEONY (CO/NO/NE)"/>
    <n v="64"/>
    <x v="2"/>
    <s v="HOSPITAL INCAR - SANTO ANTÔNIO DE JESUS - BA - 05.652.543/0001-07"/>
    <n v="2"/>
  </r>
  <r>
    <x v="0"/>
    <x v="0"/>
    <x v="0"/>
    <n v="10572048000209"/>
    <x v="291"/>
    <s v="RECIFE"/>
    <s v="PE"/>
    <x v="3"/>
    <s v="FERNANDO LEONY (CO/NO/NE)"/>
    <n v="70"/>
    <x v="0"/>
    <s v="HOSPITAL DA RESTAURACAO - RECIFE - PE - 10.572.048/0002-09"/>
    <n v="1535"/>
  </r>
  <r>
    <x v="0"/>
    <x v="0"/>
    <x v="0"/>
    <n v="10839561000132"/>
    <x v="292"/>
    <s v="RECIFE"/>
    <s v="PE"/>
    <x v="3"/>
    <s v="FERNANDO LEONY (CO/NO/NE)"/>
    <n v="73"/>
    <x v="1"/>
    <s v="SANTA JOANA - RECIFE - PE - 10.839.561/0001-32"/>
    <n v="60"/>
  </r>
  <r>
    <x v="0"/>
    <x v="1"/>
    <x v="0"/>
    <n v="10839561000132"/>
    <x v="292"/>
    <s v="RECIFE"/>
    <s v="PE"/>
    <x v="3"/>
    <s v="FERNANDO LEONY (CO/NO/NE)"/>
    <n v="70"/>
    <x v="0"/>
    <s v="SANTA JOANA - RECIFE - PE - 10.839.561/0001-32"/>
    <n v="420"/>
  </r>
  <r>
    <x v="0"/>
    <x v="1"/>
    <x v="0"/>
    <n v="10839561000132"/>
    <x v="292"/>
    <s v="RECIFE"/>
    <s v="PE"/>
    <x v="3"/>
    <s v="FERNANDO LEONY (CO/NO/NE)"/>
    <n v="73"/>
    <x v="1"/>
    <s v="SANTA JOANA - RECIFE - PE - 10.839.561/0001-32"/>
    <n v="32"/>
  </r>
  <r>
    <x v="0"/>
    <x v="0"/>
    <x v="0"/>
    <n v="10892164000124"/>
    <x v="293"/>
    <s v="RECIFE"/>
    <s v="PE"/>
    <x v="3"/>
    <s v="FERNANDO LEONY (CO/NO/NE)"/>
    <n v="62"/>
    <x v="3"/>
    <s v="HOSPITAL PORTUGUES - RECIFE - PE - 10.892.164/0001-24"/>
    <n v="17"/>
  </r>
  <r>
    <x v="0"/>
    <x v="0"/>
    <x v="0"/>
    <n v="10892164000124"/>
    <x v="293"/>
    <s v="RECIFE"/>
    <s v="PE"/>
    <x v="3"/>
    <s v="FERNANDO LEONY (CO/NO/NE)"/>
    <n v="64"/>
    <x v="2"/>
    <s v="HOSPITAL PORTUGUES - RECIFE - PE - 10.892.164/0001-24"/>
    <n v="45"/>
  </r>
  <r>
    <x v="0"/>
    <x v="0"/>
    <x v="0"/>
    <n v="10988301000129"/>
    <x v="294"/>
    <s v="RECIFE"/>
    <s v="PE"/>
    <x v="3"/>
    <s v="FERNANDO LEONY (CO/NO/NE)"/>
    <n v="64"/>
    <x v="2"/>
    <s v="IMIP - RECIFE - PE - 10.988.301/0001-29"/>
    <n v="10"/>
  </r>
  <r>
    <x v="0"/>
    <x v="0"/>
    <x v="0"/>
    <n v="11006293000130"/>
    <x v="295"/>
    <s v="SÃO LUÍS"/>
    <s v="MA"/>
    <x v="3"/>
    <s v="FERNANDO LEONY (CO/NO/NE)"/>
    <n v="70"/>
    <x v="0"/>
    <s v="HOSPITAL SAO DOMINGOS LTDA. - SÃO LUÍS - MA - 11.006.293/0001-30"/>
    <n v="500"/>
  </r>
  <r>
    <x v="0"/>
    <x v="0"/>
    <x v="0"/>
    <n v="11006293000130"/>
    <x v="295"/>
    <s v="SÃO LUÍS"/>
    <s v="MA"/>
    <x v="3"/>
    <s v="FERNANDO LEONY (CO/NO/NE)"/>
    <n v="73"/>
    <x v="1"/>
    <s v="HOSPITAL SAO DOMINGOS LTDA. - SÃO LUÍS - MA - 11.006.293/0001-30"/>
    <n v="40"/>
  </r>
  <r>
    <x v="0"/>
    <x v="1"/>
    <x v="0"/>
    <n v="11006293000130"/>
    <x v="295"/>
    <s v="SÃO LUÍS"/>
    <s v="MA"/>
    <x v="3"/>
    <s v="FERNANDO LEONY (CO/NO/NE)"/>
    <n v="70"/>
    <x v="0"/>
    <s v="HOSPITAL SAO DOMINGOS LTDA. - SÃO LUÍS - MA - 11.006.293/0001-30"/>
    <n v="500"/>
  </r>
  <r>
    <x v="0"/>
    <x v="0"/>
    <x v="0"/>
    <n v="11452240000143"/>
    <x v="296"/>
    <s v="RECIFE"/>
    <s v="PE"/>
    <x v="3"/>
    <s v="FERNANDO LEONY (CO/NO/NE)"/>
    <n v="62"/>
    <x v="3"/>
    <s v="HOSPITAL JAYME DA FONTE - RECIFE - PE - 11.452.240/0001-43"/>
    <n v="6"/>
  </r>
  <r>
    <x v="0"/>
    <x v="1"/>
    <x v="0"/>
    <n v="11452240000143"/>
    <x v="296"/>
    <s v="RECIFE"/>
    <s v="PE"/>
    <x v="3"/>
    <s v="FERNANDO LEONY (CO/NO/NE)"/>
    <n v="62"/>
    <x v="3"/>
    <s v="HOSPITAL JAYME DA FONTE - RECIFE - PE - 11.452.240/0001-43"/>
    <n v="1"/>
  </r>
  <r>
    <x v="0"/>
    <x v="1"/>
    <x v="0"/>
    <n v="11452240000143"/>
    <x v="296"/>
    <s v="RECIFE"/>
    <s v="PE"/>
    <x v="3"/>
    <s v="FERNANDO LEONY (CO/NO/NE)"/>
    <n v="70"/>
    <x v="0"/>
    <s v="HOSPITAL JAYME DA FONTE - RECIFE - PE - 11.452.240/0001-43"/>
    <n v="635"/>
  </r>
  <r>
    <x v="0"/>
    <x v="0"/>
    <x v="0"/>
    <n v="12361267000517"/>
    <x v="297"/>
    <s v="ARACAJU"/>
    <s v="SE"/>
    <x v="3"/>
    <s v="FERNANDO LEONY (CO/NO/NE)"/>
    <n v="70"/>
    <x v="0"/>
    <s v="CENTRO MEDICO GABRIEL SOARES - ARACAJU - SE - 12.361.267/0005-17"/>
    <n v="20"/>
  </r>
  <r>
    <x v="0"/>
    <x v="1"/>
    <x v="0"/>
    <n v="12361267000517"/>
    <x v="297"/>
    <s v="ARACAJU"/>
    <s v="SE"/>
    <x v="3"/>
    <s v="FERNANDO LEONY (CO/NO/NE)"/>
    <n v="70"/>
    <x v="0"/>
    <s v="CENTRO MEDICO GABRIEL SOARES - ARACAJU - SE - 12.361.267/0005-17"/>
    <n v="85"/>
  </r>
  <r>
    <x v="0"/>
    <x v="0"/>
    <x v="0"/>
    <n v="12361267009140"/>
    <x v="298"/>
    <s v="ACARI"/>
    <s v="RN"/>
    <x v="3"/>
    <s v="FERNANDO LEONY (CO/NO/NE)"/>
    <n v="70"/>
    <x v="0"/>
    <s v="HOSPITAL RODOLFO FERNANDES - ACARI - RN - 12.361.267/0091-40"/>
    <n v="10"/>
  </r>
  <r>
    <x v="0"/>
    <x v="1"/>
    <x v="0"/>
    <n v="12361267009140"/>
    <x v="298"/>
    <s v="ACARI"/>
    <s v="RN"/>
    <x v="3"/>
    <s v="FERNANDO LEONY (CO/NO/NE)"/>
    <n v="70"/>
    <x v="0"/>
    <s v="HOSPITAL RODOLFO FERNANDES - ACARI - RN - 12.361.267/0091-40"/>
    <n v="5"/>
  </r>
  <r>
    <x v="0"/>
    <x v="0"/>
    <x v="0"/>
    <n v="12361267011632"/>
    <x v="299"/>
    <s v="MANAUS"/>
    <s v="AM"/>
    <x v="3"/>
    <s v="FERNANDO LEONY (CO/NO/NE)"/>
    <n v="70"/>
    <x v="0"/>
    <s v="HOSPITAL SAO LUCAS - MANAUS - AM - 12.361.267/0116-32"/>
    <n v="125"/>
  </r>
  <r>
    <x v="0"/>
    <x v="0"/>
    <x v="0"/>
    <n v="12442737000496"/>
    <x v="300"/>
    <s v="MACEIÓ"/>
    <s v="AL"/>
    <x v="3"/>
    <s v="FERNANDO LEONY (CO/NO/NE)"/>
    <n v="70"/>
    <x v="0"/>
    <s v="HOSPITAL UNIMED - MACEIÓ - AL - 12.442.737/0004-96"/>
    <n v="400"/>
  </r>
  <r>
    <x v="0"/>
    <x v="1"/>
    <x v="0"/>
    <n v="12442737000496"/>
    <x v="300"/>
    <s v="MACEIÓ"/>
    <s v="AL"/>
    <x v="3"/>
    <s v="FERNANDO LEONY (CO/NO/NE)"/>
    <n v="62"/>
    <x v="3"/>
    <s v="HOSPITAL UNIMED - MACEIÓ - AL - 12.442.737/0004-96"/>
    <n v="2"/>
  </r>
  <r>
    <x v="0"/>
    <x v="1"/>
    <x v="0"/>
    <n v="12442737000496"/>
    <x v="300"/>
    <s v="MACEIÓ"/>
    <s v="AL"/>
    <x v="3"/>
    <s v="FERNANDO LEONY (CO/NO/NE)"/>
    <n v="64"/>
    <x v="2"/>
    <s v="HOSPITAL UNIMED - MACEIÓ - AL - 12.442.737/0004-96"/>
    <n v="3"/>
  </r>
  <r>
    <x v="0"/>
    <x v="1"/>
    <x v="0"/>
    <n v="12442737000496"/>
    <x v="300"/>
    <s v="MACEIÓ"/>
    <s v="AL"/>
    <x v="3"/>
    <s v="FERNANDO LEONY (CO/NO/NE)"/>
    <n v="70"/>
    <x v="0"/>
    <s v="HOSPITAL UNIMED - MACEIÓ - AL - 12.442.737/0004-96"/>
    <n v="400"/>
  </r>
  <r>
    <x v="0"/>
    <x v="0"/>
    <x v="0"/>
    <n v="13016332000106"/>
    <x v="301"/>
    <s v="ARACAJU"/>
    <s v="SE"/>
    <x v="3"/>
    <s v="FERNANDO LEONY (CO/NO/NE)"/>
    <n v="62"/>
    <x v="3"/>
    <s v="HOSPITAL DE CIRURGIA - ARACAJU - SE - 13.016.332/0001-06"/>
    <n v="3"/>
  </r>
  <r>
    <x v="0"/>
    <x v="0"/>
    <x v="0"/>
    <n v="13016332000106"/>
    <x v="301"/>
    <s v="ARACAJU"/>
    <s v="SE"/>
    <x v="3"/>
    <s v="FERNANDO LEONY (CO/NO/NE)"/>
    <n v="70"/>
    <x v="0"/>
    <s v="HOSPITAL DE CIRURGIA - ARACAJU - SE - 13.016.332/0001-06"/>
    <n v="15"/>
  </r>
  <r>
    <x v="0"/>
    <x v="1"/>
    <x v="0"/>
    <n v="13016332000106"/>
    <x v="301"/>
    <s v="ARACAJU"/>
    <s v="SE"/>
    <x v="3"/>
    <s v="FERNANDO LEONY (CO/NO/NE)"/>
    <n v="62"/>
    <x v="3"/>
    <s v="HOSPITAL DE CIRURGIA - ARACAJU - SE - 13.016.332/0001-06"/>
    <n v="6"/>
  </r>
  <r>
    <x v="0"/>
    <x v="0"/>
    <x v="0"/>
    <n v="13131370000100"/>
    <x v="302"/>
    <s v="ARACAJU"/>
    <s v="SE"/>
    <x v="3"/>
    <s v="FERNANDO LEONY (CO/NO/NE)"/>
    <n v="70"/>
    <x v="0"/>
    <s v="HOSPITAL SAO LUCAS - ARACAJU - SE - 13.131.370/0001-00"/>
    <n v="550"/>
  </r>
  <r>
    <x v="0"/>
    <x v="0"/>
    <x v="0"/>
    <n v="13131370000100"/>
    <x v="302"/>
    <s v="ARACAJU"/>
    <s v="SE"/>
    <x v="3"/>
    <s v="FERNANDO LEONY (CO/NO/NE)"/>
    <n v="73"/>
    <x v="1"/>
    <s v="HOSPITAL SAO LUCAS - ARACAJU - SE - 13.131.370/0001-00"/>
    <n v="60"/>
  </r>
  <r>
    <x v="0"/>
    <x v="1"/>
    <x v="0"/>
    <n v="13131370000100"/>
    <x v="302"/>
    <s v="ARACAJU"/>
    <s v="SE"/>
    <x v="3"/>
    <s v="FERNANDO LEONY (CO/NO/NE)"/>
    <n v="62"/>
    <x v="3"/>
    <s v="HOSPITAL SAO LUCAS - ARACAJU - SE - 13.131.370/0001-00"/>
    <n v="6"/>
  </r>
  <r>
    <x v="0"/>
    <x v="1"/>
    <x v="0"/>
    <n v="13131370000100"/>
    <x v="302"/>
    <s v="ARACAJU"/>
    <s v="SE"/>
    <x v="3"/>
    <s v="FERNANDO LEONY (CO/NO/NE)"/>
    <n v="70"/>
    <x v="0"/>
    <s v="HOSPITAL SAO LUCAS - ARACAJU - SE - 13.131.370/0001-00"/>
    <n v="400"/>
  </r>
  <r>
    <x v="0"/>
    <x v="1"/>
    <x v="0"/>
    <n v="13131370000100"/>
    <x v="302"/>
    <s v="ARACAJU"/>
    <s v="SE"/>
    <x v="3"/>
    <s v="FERNANDO LEONY (CO/NO/NE)"/>
    <n v="73"/>
    <x v="1"/>
    <s v="HOSPITAL SAO LUCAS - ARACAJU - SE - 13.131.370/0001-00"/>
    <n v="44"/>
  </r>
  <r>
    <x v="0"/>
    <x v="0"/>
    <x v="0"/>
    <n v="13284872000170"/>
    <x v="303"/>
    <s v="VITÓRIA DA CONQUISTA"/>
    <s v="BA"/>
    <x v="3"/>
    <s v="FERNANDO LEONY (CO/NO/NE)"/>
    <n v="70"/>
    <x v="0"/>
    <s v="IBR INSTITUTO BRANDAO DE REABILITACAO LTDA - EPP - VITÓRIA DA CONQUISTA - BA - 13.284.872/0001-70"/>
    <n v="5"/>
  </r>
  <r>
    <x v="0"/>
    <x v="1"/>
    <x v="0"/>
    <n v="13284872000170"/>
    <x v="303"/>
    <s v="VITÓRIA DA CONQUISTA"/>
    <s v="BA"/>
    <x v="3"/>
    <s v="FERNANDO LEONY (CO/NO/NE)"/>
    <n v="70"/>
    <x v="0"/>
    <s v="IBR INSTITUTO BRANDAO DE REABILITACAO LTDA - EPP - VITÓRIA DA CONQUISTA - BA - 13.284.872/0001-70"/>
    <n v="30"/>
  </r>
  <r>
    <x v="0"/>
    <x v="0"/>
    <x v="0"/>
    <n v="13356779000124"/>
    <x v="304"/>
    <s v="ARACAJU"/>
    <s v="SE"/>
    <x v="3"/>
    <s v="FERNANDO LEONY (CO/NO/NE)"/>
    <n v="62"/>
    <x v="3"/>
    <s v="REDE PRIMAVERA - HOSPITAL PRIMAVERA - ARACAJU - SE - 13.356.779/0001-24"/>
    <n v="4"/>
  </r>
  <r>
    <x v="0"/>
    <x v="0"/>
    <x v="0"/>
    <n v="14074546000100"/>
    <x v="305"/>
    <s v="FEIRA DE SANTANA"/>
    <s v="BA"/>
    <x v="3"/>
    <s v="FERNANDO LEONY (CO/NO/NE)"/>
    <n v="64"/>
    <x v="2"/>
    <s v="EMEC - FEIRA DE SANTANA - BA - 14.074.546/0001-00"/>
    <n v="1"/>
  </r>
  <r>
    <x v="0"/>
    <x v="0"/>
    <x v="0"/>
    <n v="15016827000160"/>
    <x v="306"/>
    <s v="CUIABÁ"/>
    <s v="MT"/>
    <x v="3"/>
    <s v="FERNANDO LEONY (CO/NO/NE)"/>
    <n v="62"/>
    <x v="3"/>
    <s v="CLINICA SOUZA BRITO - CUIABÁ - MT - 15.016.827/0001-60"/>
    <n v="4"/>
  </r>
  <r>
    <x v="0"/>
    <x v="0"/>
    <x v="0"/>
    <n v="15016827000160"/>
    <x v="306"/>
    <s v="CUIABÁ"/>
    <s v="MT"/>
    <x v="3"/>
    <s v="FERNANDO LEONY (CO/NO/NE)"/>
    <n v="64"/>
    <x v="2"/>
    <s v="CLINICA SOUZA BRITO - CUIABÁ - MT - 15.016.827/0001-60"/>
    <n v="10"/>
  </r>
  <r>
    <x v="0"/>
    <x v="0"/>
    <x v="0"/>
    <n v="15126437000224"/>
    <x v="307"/>
    <s v="TERESINA"/>
    <s v="PI"/>
    <x v="3"/>
    <s v="FERNANDO LEONY (CO/NO/NE)"/>
    <n v="64"/>
    <x v="2"/>
    <s v="EBSERH - HOSPITAL UNIVERSITARIO DO PIAUI - TERESINA - PI - 15.126.437/0002-24"/>
    <n v="5"/>
  </r>
  <r>
    <x v="0"/>
    <x v="0"/>
    <x v="0"/>
    <n v="15126437000496"/>
    <x v="308"/>
    <s v="SÃO LUÍS"/>
    <s v="MA"/>
    <x v="3"/>
    <s v="FERNANDO LEONY (CO/NO/NE)"/>
    <n v="62"/>
    <x v="3"/>
    <s v="EBSERH HOSPITAL UNIVERSITARIO DE SAO LUIS - SÃO LUÍS - MA - 15.126.437/0004-96"/>
    <n v="1"/>
  </r>
  <r>
    <x v="0"/>
    <x v="1"/>
    <x v="0"/>
    <n v="15126437000496"/>
    <x v="308"/>
    <s v="SÃO LUÍS"/>
    <s v="MA"/>
    <x v="3"/>
    <s v="FERNANDO LEONY (CO/NO/NE)"/>
    <n v="62"/>
    <x v="3"/>
    <s v="EBSERH HOSPITAL UNIVERSITARIO DE SAO LUIS - SÃO LUÍS - MA - 15.126.437/0004-96"/>
    <n v="9"/>
  </r>
  <r>
    <x v="0"/>
    <x v="1"/>
    <x v="0"/>
    <n v="15126437000496"/>
    <x v="308"/>
    <s v="SÃO LUÍS"/>
    <s v="MA"/>
    <x v="3"/>
    <s v="FERNANDO LEONY (CO/NO/NE)"/>
    <n v="64"/>
    <x v="2"/>
    <s v="EBSERH HOSPITAL UNIVERSITARIO DE SAO LUIS - SÃO LUÍS - MA - 15.126.437/0004-96"/>
    <n v="4"/>
  </r>
  <r>
    <x v="0"/>
    <x v="0"/>
    <x v="0"/>
    <n v="15126437000739"/>
    <x v="309"/>
    <s v="NATAL"/>
    <s v="RN"/>
    <x v="3"/>
    <s v="FERNANDO LEONY (CO/NO/NE)"/>
    <n v="64"/>
    <x v="2"/>
    <s v="EMPRESA BRASILEIRA DE SERVICOS HOSPITALARES - EBSERH - NATAL - RN - 15.126.437/0007-39"/>
    <n v="100"/>
  </r>
  <r>
    <x v="0"/>
    <x v="1"/>
    <x v="0"/>
    <n v="7750144000104"/>
    <x v="310"/>
    <s v="SÃO LUÍS"/>
    <s v="MA"/>
    <x v="3"/>
    <s v="FERNANDO LEONY (CO/NO/NE)"/>
    <n v="70"/>
    <x v="0"/>
    <s v="CLINICA SAO MARCOS - SÃO LUÍS - MA - 07.750.144/0001-04"/>
    <n v="20"/>
  </r>
  <r>
    <x v="0"/>
    <x v="1"/>
    <x v="0"/>
    <n v="7775847000278"/>
    <x v="311"/>
    <s v="DOURADOS"/>
    <s v="MS"/>
    <x v="3"/>
    <s v="FERNANDO LEONY (CO/NO/NE)"/>
    <n v="70"/>
    <x v="0"/>
    <s v="HOSPITAL UNIVERSITARIO DA UFGD - DOURADOS - MS - 07.775.847/0002-78"/>
    <n v="335"/>
  </r>
  <r>
    <x v="0"/>
    <x v="0"/>
    <x v="0"/>
    <n v="15170723000530"/>
    <x v="312"/>
    <s v="FEIRA DE SANTANA"/>
    <s v="BA"/>
    <x v="3"/>
    <s v="FERNANDO LEONY (CO/NO/NE)"/>
    <n v="64"/>
    <x v="2"/>
    <s v="LABCMI GESTAO HOSPITALAR - HEC - FEIRA DE SANTANA - BA - 15.170.723/0005-30"/>
    <n v="1"/>
  </r>
  <r>
    <x v="0"/>
    <x v="0"/>
    <x v="0"/>
    <n v="15592785000106"/>
    <x v="313"/>
    <s v="ARACAJU"/>
    <s v="SE"/>
    <x v="3"/>
    <s v="FERNANDO LEONY (CO/NO/NE)"/>
    <n v="70"/>
    <x v="0"/>
    <s v="HOSPITAL UNIMED - ARACAJU - SE - 15.592.785/0001-06"/>
    <n v="100"/>
  </r>
  <r>
    <x v="0"/>
    <x v="1"/>
    <x v="0"/>
    <n v="15592785000106"/>
    <x v="313"/>
    <s v="ARACAJU"/>
    <s v="SE"/>
    <x v="3"/>
    <s v="FERNANDO LEONY (CO/NO/NE)"/>
    <n v="70"/>
    <x v="0"/>
    <s v="HOSPITAL UNIMED - ARACAJU - SE - 15.592.785/0001-06"/>
    <n v="25"/>
  </r>
  <r>
    <x v="0"/>
    <x v="1"/>
    <x v="0"/>
    <n v="8380701001772"/>
    <x v="314"/>
    <s v="NATAL"/>
    <s v="RN"/>
    <x v="3"/>
    <s v="FERNANDO LEONY (CO/NO/NE)"/>
    <n v="64"/>
    <x v="2"/>
    <s v="UNIMED NATAL SOCIEDADE COOPERATIVA DE TRABALHO MEDICO - NATAL - RN - 08.380.701/0017-72"/>
    <n v="50"/>
  </r>
  <r>
    <x v="0"/>
    <x v="1"/>
    <x v="0"/>
    <n v="9039744000275"/>
    <x v="315"/>
    <s v="PAULISTA"/>
    <s v="PE"/>
    <x v="3"/>
    <s v="FERNANDO LEONY (CO/NO/NE)"/>
    <n v="64"/>
    <x v="2"/>
    <s v="IMIP HOSPITALAR - HMA - PAULISTA - PE - 09.039.744/0002-75"/>
    <n v="1"/>
  </r>
  <r>
    <x v="0"/>
    <x v="0"/>
    <x v="0"/>
    <n v="24232886008303"/>
    <x v="316"/>
    <s v="SANTARÉM"/>
    <s v="PA"/>
    <x v="3"/>
    <s v="FERNANDO LEONY (CO/NO/NE)"/>
    <n v="62"/>
    <x v="3"/>
    <s v="HOSPITAL REGIONAL DO BAIXO AM DO PARA DR WALDEMAR PENNA - SANTARÉM - PA - 24.232.886/0083-03"/>
    <n v="3"/>
  </r>
  <r>
    <x v="0"/>
    <x v="0"/>
    <x v="0"/>
    <n v="24232886008303"/>
    <x v="316"/>
    <s v="SANTARÉM"/>
    <s v="PA"/>
    <x v="3"/>
    <s v="FERNANDO LEONY (CO/NO/NE)"/>
    <n v="64"/>
    <x v="2"/>
    <s v="HOSPITAL REGIONAL DO BAIXO AM DO PARA DR WALDEMAR PENNA - SANTARÉM - PA - 24.232.886/0083-03"/>
    <n v="3"/>
  </r>
  <r>
    <x v="0"/>
    <x v="1"/>
    <x v="0"/>
    <n v="24232886008303"/>
    <x v="316"/>
    <s v="SANTARÉM"/>
    <s v="PA"/>
    <x v="3"/>
    <s v="FERNANDO LEONY (CO/NO/NE)"/>
    <n v="64"/>
    <x v="2"/>
    <s v="HOSPITAL REGIONAL DO BAIXO AM DO PARA DR WALDEMAR PENNA - SANTARÉM - PA - 24.232.886/0083-03"/>
    <n v="2"/>
  </r>
  <r>
    <x v="0"/>
    <x v="0"/>
    <x v="0"/>
    <n v="24464109000229"/>
    <x v="317"/>
    <s v="MACEIÓ"/>
    <s v="AL"/>
    <x v="3"/>
    <s v="FERNANDO LEONY (CO/NO/NE)"/>
    <n v="66"/>
    <x v="4"/>
    <s v="HUPAA - MACEIÓ - AL - 24.464.109/0002-29"/>
    <n v="50"/>
  </r>
  <r>
    <x v="0"/>
    <x v="1"/>
    <x v="0"/>
    <n v="24464109000229"/>
    <x v="317"/>
    <s v="MACEIÓ"/>
    <s v="AL"/>
    <x v="3"/>
    <s v="FERNANDO LEONY (CO/NO/NE)"/>
    <n v="66"/>
    <x v="4"/>
    <s v="HUPAA - MACEIÓ - AL - 24.464.109/0002-29"/>
    <n v="4"/>
  </r>
  <r>
    <x v="0"/>
    <x v="0"/>
    <x v="0"/>
    <n v="24676884000752"/>
    <x v="318"/>
    <s v="RONDONÓPOLIS"/>
    <s v="MT"/>
    <x v="3"/>
    <s v="FERNANDO LEONY (CO/NO/NE)"/>
    <n v="70"/>
    <x v="0"/>
    <s v="PRONTO ATENDIMENTO UNIMED RONDONOPOLIS - RONDONÓPOLIS - MT - 24.676.884/0007-52"/>
    <n v="25"/>
  </r>
  <r>
    <x v="0"/>
    <x v="1"/>
    <x v="0"/>
    <n v="11022597001597"/>
    <x v="319"/>
    <s v="RECIFE"/>
    <s v="PE"/>
    <x v="3"/>
    <s v="FERNANDO LEONY (CO/NO/NE)"/>
    <n v="64"/>
    <x v="2"/>
    <s v="PRONTO S.CARDIOLOGICO DE PE.PROF.LUIZ TAVARES-PROCAPE - RECIFE - PE - 11.022.597/0015-97"/>
    <n v="25"/>
  </r>
  <r>
    <x v="0"/>
    <x v="1"/>
    <x v="0"/>
    <n v="11214624000470"/>
    <x v="320"/>
    <s v="RECIFE"/>
    <s v="PE"/>
    <x v="3"/>
    <s v="FERNANDO LEONY (CO/NO/NE)"/>
    <n v="70"/>
    <x v="0"/>
    <s v="HOSPITAL UNIMED RECIFE - RECIFE - PE - 11.214.624/0004-70"/>
    <n v="100"/>
  </r>
  <r>
    <x v="0"/>
    <x v="1"/>
    <x v="0"/>
    <n v="11273170000166"/>
    <x v="321"/>
    <s v="TERESINA"/>
    <s v="PI"/>
    <x v="3"/>
    <s v="FERNANDO LEONY (CO/NO/NE)"/>
    <n v="70"/>
    <x v="0"/>
    <s v="FUNDO MUNICIPAL DE SAUDE DE TERESINA - TERESINA - PI - 11.273.170/0001-66"/>
    <n v="500"/>
  </r>
  <r>
    <x v="0"/>
    <x v="0"/>
    <x v="0"/>
    <n v="29435005009851"/>
    <x v="322"/>
    <s v="NATAL"/>
    <s v="RN"/>
    <x v="3"/>
    <s v="FERNANDO LEONY (CO/NO/NE)"/>
    <n v="64"/>
    <x v="2"/>
    <s v="ESHO EMPRESA DE SERVICOS HOSPITALARES S.A. - NATAL - RN - 29.435.005/0098-51"/>
    <n v="15"/>
  </r>
  <r>
    <x v="0"/>
    <x v="0"/>
    <x v="0"/>
    <n v="29435005009851"/>
    <x v="322"/>
    <s v="NATAL"/>
    <s v="RN"/>
    <x v="3"/>
    <s v="FERNANDO LEONY (CO/NO/NE)"/>
    <n v="70"/>
    <x v="0"/>
    <s v="ESHO EMPRESA DE SERVICOS HOSPITALARES S.A. - NATAL - RN - 29.435.005/0098-51"/>
    <n v="175"/>
  </r>
  <r>
    <x v="0"/>
    <x v="1"/>
    <x v="0"/>
    <n v="29435005009851"/>
    <x v="322"/>
    <s v="NATAL"/>
    <s v="RN"/>
    <x v="3"/>
    <s v="FERNANDO LEONY (CO/NO/NE)"/>
    <n v="64"/>
    <x v="2"/>
    <s v="ESHO EMPRESA DE SERVICOS HOSPITALARES S.A. - NATAL - RN - 29.435.005/0098-51"/>
    <n v="15"/>
  </r>
  <r>
    <x v="0"/>
    <x v="1"/>
    <x v="0"/>
    <n v="29435005009851"/>
    <x v="322"/>
    <s v="NATAL"/>
    <s v="RN"/>
    <x v="3"/>
    <s v="FERNANDO LEONY (CO/NO/NE)"/>
    <n v="70"/>
    <x v="0"/>
    <s v="ESHO EMPRESA DE SERVICOS HOSPITALARES S.A. - NATAL - RN - 29.435.005/0098-51"/>
    <n v="200"/>
  </r>
  <r>
    <x v="0"/>
    <x v="1"/>
    <x v="0"/>
    <n v="12361267000274"/>
    <x v="323"/>
    <s v="BELÉM"/>
    <s v="PA"/>
    <x v="3"/>
    <s v="FERNANDO LEONY (CO/NO/NE)"/>
    <n v="70"/>
    <x v="0"/>
    <s v="HOSPITAL LAYR MAIA - BELÉM - PA - 12.361.267/0002-74"/>
    <n v="150"/>
  </r>
  <r>
    <x v="0"/>
    <x v="1"/>
    <x v="0"/>
    <n v="12361267007287"/>
    <x v="324"/>
    <s v="RECIFE"/>
    <s v="PE"/>
    <x v="3"/>
    <s v="FERNANDO LEONY (CO/NO/NE)"/>
    <n v="70"/>
    <x v="0"/>
    <s v="HOSPITAL ESPINHEIRO - RECIFE - PE - 12.361.267/0072-87"/>
    <n v="150"/>
  </r>
  <r>
    <x v="0"/>
    <x v="1"/>
    <x v="0"/>
    <n v="12361267009654"/>
    <x v="325"/>
    <s v="NATAL"/>
    <s v="RN"/>
    <x v="3"/>
    <s v="FERNANDO LEONY (CO/NO/NE)"/>
    <n v="70"/>
    <x v="0"/>
    <s v="HOSPITAL ANTONIO PRUDENTE DE NATAL - NATAL - RN - 12.361.267/0096-54"/>
    <n v="125"/>
  </r>
  <r>
    <x v="0"/>
    <x v="1"/>
    <x v="0"/>
    <n v="12361267010407"/>
    <x v="326"/>
    <s v="FEIRA DE SANTANA"/>
    <s v="BA"/>
    <x v="3"/>
    <s v="FERNANDO LEONY (CO/NO/NE)"/>
    <n v="70"/>
    <x v="0"/>
    <s v="HOSPITAL FRANCISCA DE SANDE - FEIRA DE SANTANA - BA - 12.361.267/0104-07"/>
    <n v="130"/>
  </r>
  <r>
    <x v="0"/>
    <x v="1"/>
    <x v="0"/>
    <n v="13086053000119"/>
    <x v="327"/>
    <s v="ARACAJU"/>
    <s v="SE"/>
    <x v="3"/>
    <s v="FERNANDO LEONY (CO/NO/NE)"/>
    <n v="70"/>
    <x v="0"/>
    <s v="CLINICA SANTA HELENA - ARACAJU - SE - 13.086.053/0001-19"/>
    <n v="5"/>
  </r>
  <r>
    <x v="0"/>
    <x v="1"/>
    <x v="0"/>
    <n v="13262578000168"/>
    <x v="328"/>
    <s v="NATAL"/>
    <s v="RN"/>
    <x v="3"/>
    <s v="FERNANDO LEONY (CO/NO/NE)"/>
    <n v="66"/>
    <x v="4"/>
    <s v="CDDS SERVICOS MEDICOS LTDA - NATAL - RN - 13.262.578/0001-68"/>
    <n v="6"/>
  </r>
  <r>
    <x v="0"/>
    <x v="1"/>
    <x v="0"/>
    <n v="14112023000100"/>
    <x v="329"/>
    <s v="MARABÁ"/>
    <s v="PA"/>
    <x v="3"/>
    <s v="FERNANDO LEONY (CO/NO/NE)"/>
    <n v="70"/>
    <x v="0"/>
    <s v="UNIMED SUL DO PARA - MARABÁ - PA - 14.112.023/0001-00"/>
    <n v="17.5"/>
  </r>
  <r>
    <x v="0"/>
    <x v="1"/>
    <x v="0"/>
    <n v="16064313000577"/>
    <x v="330"/>
    <s v="ARACAJU"/>
    <s v="SE"/>
    <x v="3"/>
    <s v="FERNANDO LEONY (CO/NO/NE)"/>
    <n v="73"/>
    <x v="1"/>
    <s v="S O S VIDA SOLUCOES EM SAUDE - ARACAJU - SE - 16.064.313/0005-77"/>
    <n v="23"/>
  </r>
  <r>
    <x v="0"/>
    <x v="1"/>
    <x v="0"/>
    <n v="21155621000114"/>
    <x v="331"/>
    <s v="APARECIDA DE GOIÂNIA"/>
    <s v="GO"/>
    <x v="3"/>
    <s v="FERNANDO LEONY (CO/NO/NE)"/>
    <n v="70"/>
    <x v="0"/>
    <s v="HOSPITAL MULTI ESPECIALIDADES LTDA EPP - APARECIDA DE GOIÂNIA - GO - 21.155.621/0001-14"/>
    <n v="40"/>
  </r>
  <r>
    <x v="0"/>
    <x v="0"/>
    <x v="0"/>
    <n v="63326243000487"/>
    <x v="332"/>
    <s v="TERESINA"/>
    <s v="PI"/>
    <x v="3"/>
    <s v="FERNANDO LEONY (CO/NO/NE)"/>
    <n v="70"/>
    <x v="0"/>
    <s v="ONCOMEDICA - TERESINA - PI - 63.326.243/0004-87"/>
    <n v="2.5"/>
  </r>
  <r>
    <x v="0"/>
    <x v="0"/>
    <x v="0"/>
    <n v="83367342000252"/>
    <x v="333"/>
    <s v="BELÉM"/>
    <s v="PA"/>
    <x v="3"/>
    <s v="FERNANDO LEONY (CO/NO/NE)"/>
    <n v="70"/>
    <x v="0"/>
    <s v="HOSPITAL ADVENTISTA DE BELEM - BELÉM - PA - 83.367.342/0002-52"/>
    <n v="25"/>
  </r>
  <r>
    <x v="0"/>
    <x v="1"/>
    <x v="0"/>
    <n v="33000167002155"/>
    <x v="334"/>
    <s v="SENADOR CANEDO"/>
    <s v="GO"/>
    <x v="3"/>
    <s v="FERNANDO LEONY (CO/NO/NE)"/>
    <n v="70"/>
    <x v="0"/>
    <s v="PETROBRAS - SENADOR CANEDO - GO - 33.000.167/0021-55"/>
    <n v="120"/>
  </r>
  <r>
    <x v="0"/>
    <x v="2"/>
    <x v="0"/>
    <n v="12371009253"/>
    <x v="250"/>
    <s v="BELÉM"/>
    <s v="PA"/>
    <x v="3"/>
    <s v="FERNANDO LEONY (CO/NO/NE)"/>
    <n v="73"/>
    <x v="1"/>
    <s v="PEDRO FLÁVIO - BELÉM - PA - 123.710.092-53"/>
    <n v="12"/>
  </r>
  <r>
    <x v="0"/>
    <x v="2"/>
    <x v="0"/>
    <n v="44482299472"/>
    <x v="335"/>
    <s v="MACEIÓ"/>
    <s v="AL"/>
    <x v="3"/>
    <s v="FERNANDO LEONY (CO/NO/NE)"/>
    <n v="66"/>
    <x v="4"/>
    <s v="ANA ANGELICA TORRES - MACEIÓ - AL - 444.822.994-72"/>
    <n v="90"/>
  </r>
  <r>
    <x v="0"/>
    <x v="2"/>
    <x v="0"/>
    <n v="83925694404"/>
    <x v="252"/>
    <s v="JOÃO PESSOA"/>
    <s v="PB"/>
    <x v="3"/>
    <s v="FERNANDO LEONY (CO/NO/NE)"/>
    <n v="66"/>
    <x v="4"/>
    <s v="ROBERTO MOURA GRISI - JOÃO PESSOA - PB - 839.256.944-04"/>
    <n v="26"/>
  </r>
  <r>
    <x v="0"/>
    <x v="2"/>
    <x v="0"/>
    <n v="93326645287"/>
    <x v="336"/>
    <s v="BELÉM"/>
    <s v="PA"/>
    <x v="3"/>
    <s v="FERNANDO LEONY (CO/NO/NE)"/>
    <n v="73"/>
    <x v="1"/>
    <s v="TAIANA ANGELICA LUZ _x000d__x000a_ - BELÉM - PA - 933.266.452-87"/>
    <n v="16"/>
  </r>
  <r>
    <x v="0"/>
    <x v="2"/>
    <x v="0"/>
    <n v="418954000119"/>
    <x v="255"/>
    <s v="GOIÂNIA"/>
    <s v="GO"/>
    <x v="3"/>
    <s v="FERNANDO LEONY (CO/NO/NE)"/>
    <n v="64"/>
    <x v="2"/>
    <s v="HEMOLABOR - GOIÂNIA - GO - 00.418.954/0001-19"/>
    <n v="18"/>
  </r>
  <r>
    <x v="0"/>
    <x v="2"/>
    <x v="0"/>
    <n v="418954000704"/>
    <x v="337"/>
    <s v="ABADIA DE GOIÁS"/>
    <s v="GO"/>
    <x v="3"/>
    <s v="FERNANDO LEONY (CO/NO/NE)"/>
    <n v="64"/>
    <x v="2"/>
    <s v="HEMOLABOR UNIDADE ONCO-HEMATOLOGICA - ABADIA DE GOIÁS - GO - 00.418.954/0007-04"/>
    <n v="20"/>
  </r>
  <r>
    <x v="0"/>
    <x v="2"/>
    <x v="0"/>
    <n v="820737000150"/>
    <x v="256"/>
    <s v="NATAL"/>
    <s v="RN"/>
    <x v="3"/>
    <s v="FERNANDO LEONY (CO/NO/NE)"/>
    <n v="64"/>
    <x v="2"/>
    <s v="HOSPITAL DO CORACAO DE NATAL LTDA - NATAL - RN - 00.820.737/0001-50"/>
    <n v="21"/>
  </r>
  <r>
    <x v="0"/>
    <x v="2"/>
    <x v="0"/>
    <n v="1011865000116"/>
    <x v="258"/>
    <s v="GOIÂNIA"/>
    <s v="GO"/>
    <x v="3"/>
    <s v="FERNANDO LEONY (CO/NO/NE)"/>
    <n v="70"/>
    <x v="0"/>
    <s v="INSTITUTO DE NEUROLOGIA - GOIÂNIA - GO - 01.011.865/0001-16"/>
    <n v="250"/>
  </r>
  <r>
    <x v="0"/>
    <x v="2"/>
    <x v="0"/>
    <n v="1277573000120"/>
    <x v="338"/>
    <s v="GOIÂNIA"/>
    <s v="GO"/>
    <x v="3"/>
    <s v="FERNANDO LEONY (CO/NO/NE)"/>
    <n v="64"/>
    <x v="2"/>
    <s v="INGOH - INSTITUTO GOIANO DE ONCOLOGIA E HEMATOLOGIA - GOIÂNIA - GO - 01.277.573/0001-20"/>
    <n v="9"/>
  </r>
  <r>
    <x v="0"/>
    <x v="2"/>
    <x v="0"/>
    <n v="1326206000179"/>
    <x v="259"/>
    <s v="CATALÃO"/>
    <s v="GO"/>
    <x v="3"/>
    <s v="FERNANDO LEONY (CO/NO/NE)"/>
    <n v="73"/>
    <x v="1"/>
    <s v="HOSPITAL E MATERNIDADE SAO NICOLAU - CATALÃO - GO - 01.326.206/0001-79"/>
    <n v="77"/>
  </r>
  <r>
    <x v="0"/>
    <x v="2"/>
    <x v="0"/>
    <n v="1454407000151"/>
    <x v="261"/>
    <s v="MACEIÓ"/>
    <s v="AL"/>
    <x v="3"/>
    <s v="FERNANDO LEONY (CO/NO/NE)"/>
    <n v="70"/>
    <x v="0"/>
    <s v="HOSPITAL DO CORACAO DE ALAGOAS - MACEIÓ - AL - 01.454.407/0001-51"/>
    <n v="110"/>
  </r>
  <r>
    <x v="0"/>
    <x v="2"/>
    <x v="0"/>
    <n v="1507901000137"/>
    <x v="262"/>
    <s v="NATAL"/>
    <s v="RN"/>
    <x v="3"/>
    <s v="FERNANDO LEONY (CO/NO/NE)"/>
    <n v="62"/>
    <x v="3"/>
    <s v="INCOR NATAL - NATAL - RN - 01.507.901/0001-37"/>
    <n v="7"/>
  </r>
  <r>
    <x v="0"/>
    <x v="2"/>
    <x v="0"/>
    <n v="1507901000137"/>
    <x v="262"/>
    <s v="NATAL"/>
    <s v="RN"/>
    <x v="3"/>
    <s v="FERNANDO LEONY (CO/NO/NE)"/>
    <n v="64"/>
    <x v="2"/>
    <s v="INCOR NATAL - NATAL - RN - 01.507.901/0001-37"/>
    <n v="10"/>
  </r>
  <r>
    <x v="0"/>
    <x v="2"/>
    <x v="0"/>
    <n v="1570589000126"/>
    <x v="339"/>
    <s v="GOIÂNIA"/>
    <s v="GO"/>
    <x v="3"/>
    <s v="FERNANDO LEONY (CO/NO/NE)"/>
    <n v="70"/>
    <x v="0"/>
    <s v="INSTITUTO ORTOPEDICO DE GOIANIA LTDA - GOIÂNIA - GO - 01.570.589/0001-26"/>
    <n v="190"/>
  </r>
  <r>
    <x v="0"/>
    <x v="2"/>
    <x v="0"/>
    <n v="1656123000148"/>
    <x v="340"/>
    <s v="GOIÂNIA"/>
    <s v="GO"/>
    <x v="3"/>
    <s v="FERNANDO LEONY (CO/NO/NE)"/>
    <n v="70"/>
    <x v="0"/>
    <s v="HOSPITAL SANTA HELENA - GOIÂNIA - GO - 01.656.123/0001-48"/>
    <n v="90"/>
  </r>
  <r>
    <x v="0"/>
    <x v="2"/>
    <x v="0"/>
    <n v="1722424000122"/>
    <x v="341"/>
    <s v="MACEIÓ"/>
    <s v="AL"/>
    <x v="3"/>
    <s v="FERNANDO LEONY (CO/NO/NE)"/>
    <n v="70"/>
    <x v="0"/>
    <s v="HOSPITAL MEMORIAL ARTHUR RAMOS - MACEIÓ - AL - 01.722.424/0001-22"/>
    <n v="265"/>
  </r>
  <r>
    <x v="0"/>
    <x v="2"/>
    <x v="0"/>
    <n v="2109397000180"/>
    <x v="276"/>
    <s v="NATAL"/>
    <s v="RN"/>
    <x v="3"/>
    <s v="FERNANDO LEONY (CO/NO/NE)"/>
    <n v="64"/>
    <x v="2"/>
    <s v="NATAL HOSPITAL CENTER S.A. - NATAL - RN - 02.109.397/0001-80"/>
    <n v="24"/>
  </r>
  <r>
    <x v="0"/>
    <x v="2"/>
    <x v="0"/>
    <n v="2284062000440"/>
    <x v="264"/>
    <s v="RECIFE"/>
    <s v="PE"/>
    <x v="3"/>
    <s v="FERNANDO LEONY (CO/NO/NE)"/>
    <n v="64"/>
    <x v="2"/>
    <s v="HOSPITAL SAO MARCOS (REDE DOR) - RECIFE - PE - 02.284.062/0004-40"/>
    <n v="20"/>
  </r>
  <r>
    <x v="0"/>
    <x v="2"/>
    <x v="0"/>
    <n v="2476067000122"/>
    <x v="266"/>
    <s v="GOIÂNIA"/>
    <s v="GO"/>
    <x v="3"/>
    <s v="FERNANDO LEONY (CO/NO/NE)"/>
    <n v="70"/>
    <x v="0"/>
    <s v="UNIMED GOIANIA - GOIÂNIA - GO - 02.476.067/0001-22"/>
    <n v="-15"/>
  </r>
  <r>
    <x v="0"/>
    <x v="2"/>
    <x v="0"/>
    <n v="2476067000203"/>
    <x v="267"/>
    <s v="GOIÂNIA"/>
    <s v="GO"/>
    <x v="3"/>
    <s v="FERNANDO LEONY (CO/NO/NE)"/>
    <n v="73"/>
    <x v="1"/>
    <s v="SERVICO DE ATENDIMENTO UNIMED - GOIÂNIA - GO - 02.476.067/0002-03"/>
    <n v="20"/>
  </r>
  <r>
    <x v="0"/>
    <x v="2"/>
    <x v="0"/>
    <n v="2476067000394"/>
    <x v="268"/>
    <s v="GOIÂNIA"/>
    <s v="GO"/>
    <x v="3"/>
    <s v="FERNANDO LEONY (CO/NO/NE)"/>
    <n v="70"/>
    <x v="0"/>
    <s v="CENTRO CLINICO UNIMED - GOIÂNIA - GO - 02.476.067/0003-94"/>
    <n v="70"/>
  </r>
  <r>
    <x v="0"/>
    <x v="2"/>
    <x v="0"/>
    <n v="3091003000176"/>
    <x v="281"/>
    <s v="ARACAJU"/>
    <s v="SE"/>
    <x v="3"/>
    <s v="FERNANDO LEONY (CO/NO/NE)"/>
    <n v="70"/>
    <x v="0"/>
    <s v="ONCO HEMATOS S/S LTDA - ME - ARACAJU - SE - 03.091.003/0001-76"/>
    <n v="175"/>
  </r>
  <r>
    <x v="0"/>
    <x v="2"/>
    <x v="0"/>
    <n v="3222051000156"/>
    <x v="342"/>
    <s v="ARACAJU"/>
    <s v="SE"/>
    <x v="3"/>
    <s v="FERNANDO LEONY (CO/NO/NE)"/>
    <n v="62"/>
    <x v="3"/>
    <s v="HOSPITAL DO CORACAO - ARACAJU - SE - 03.222.051/0001-56"/>
    <n v="2"/>
  </r>
  <r>
    <x v="0"/>
    <x v="2"/>
    <x v="0"/>
    <n v="3222051000156"/>
    <x v="342"/>
    <s v="ARACAJU"/>
    <s v="SE"/>
    <x v="3"/>
    <s v="FERNANDO LEONY (CO/NO/NE)"/>
    <n v="64"/>
    <x v="2"/>
    <s v="HOSPITAL DO CORACAO - ARACAJU - SE - 03.222.051/0001-56"/>
    <n v="2"/>
  </r>
  <r>
    <x v="0"/>
    <x v="2"/>
    <x v="0"/>
    <n v="3533726001583"/>
    <x v="270"/>
    <s v="ACORIZAL"/>
    <s v="MT"/>
    <x v="3"/>
    <s v="FERNANDO LEONY (CO/NO/NE)"/>
    <n v="70"/>
    <x v="0"/>
    <s v="CENTRO DE ESPECIALIDADES MEDICAS UNIMED FACIL - ACORIZAL - MT - 03.533.726/0015-83"/>
    <n v="55"/>
  </r>
  <r>
    <x v="0"/>
    <x v="2"/>
    <x v="0"/>
    <n v="3904395000145"/>
    <x v="343"/>
    <s v="JABOATÃO DOS GUARARAPES"/>
    <s v="PE"/>
    <x v="3"/>
    <s v="FERNANDO LEONY (CO/NO/NE)"/>
    <n v="66"/>
    <x v="4"/>
    <s v="FUNDO MUNICIPAL DE SAUDE DO JABOATAO DOS GUARARAPES - JABOATÃO DOS GUARARAPES - PE - 03.904.395/0001-45"/>
    <n v="24"/>
  </r>
  <r>
    <x v="0"/>
    <x v="2"/>
    <x v="0"/>
    <n v="3925419000142"/>
    <x v="272"/>
    <s v="CUIABÁ"/>
    <s v="MT"/>
    <x v="3"/>
    <s v="FERNANDO LEONY (CO/NO/NE)"/>
    <n v="64"/>
    <x v="2"/>
    <s v="HOSPITAL AMECOR - CUIABÁ - MT - 03.925.419/0001-42"/>
    <n v="4"/>
  </r>
  <r>
    <x v="0"/>
    <x v="2"/>
    <x v="0"/>
    <n v="4159778000107"/>
    <x v="344"/>
    <s v="MANAUS"/>
    <s v="AM"/>
    <x v="3"/>
    <s v="FERNANDO LEONY (CO/NO/NE)"/>
    <n v="64"/>
    <x v="2"/>
    <s v="SAMEL - MANAUS - AM - 04.159.778/0001-07"/>
    <n v="3"/>
  </r>
  <r>
    <x v="0"/>
    <x v="2"/>
    <x v="0"/>
    <n v="4201372001028"/>
    <x v="273"/>
    <s v="BELÉM"/>
    <s v="PA"/>
    <x v="3"/>
    <s v="FERNANDO LEONY (CO/NO/NE)"/>
    <n v="73"/>
    <x v="1"/>
    <s v="UNIMED DE BELEM COOPERATIVA DE TRABALHO MEDICO - BELÉM - PA - 04.201.372/0010-28"/>
    <n v="32"/>
  </r>
  <r>
    <x v="0"/>
    <x v="2"/>
    <x v="0"/>
    <n v="4966545000370"/>
    <x v="275"/>
    <s v="BELÉM"/>
    <s v="PA"/>
    <x v="3"/>
    <s v="FERNANDO LEONY (CO/NO/NE)"/>
    <n v="70"/>
    <x v="0"/>
    <s v="BENEFICENCIA NIPO BRASILEIRA DA AMAZONIA - BELÉM - PA - 04.966.545/0003-70"/>
    <n v="40"/>
  </r>
  <r>
    <x v="0"/>
    <x v="2"/>
    <x v="0"/>
    <n v="5055128000257"/>
    <x v="345"/>
    <s v="CAMPINA GRANDE"/>
    <s v="PB"/>
    <x v="3"/>
    <s v="FERNANDO LEONY (CO/NO/NE)"/>
    <n v="70"/>
    <x v="0"/>
    <s v="HOSPITAL UNIVERSITARIO ALCIDES CARNEIRO/UFCG - CAMPINA GRANDE - PB - 05.055.128/0002-57"/>
    <n v="75"/>
  </r>
  <r>
    <x v="0"/>
    <x v="2"/>
    <x v="0"/>
    <n v="5612725000154"/>
    <x v="346"/>
    <s v="MACEIÓ"/>
    <s v="AL"/>
    <x v="3"/>
    <s v="FERNANDO LEONY (CO/NO/NE)"/>
    <n v="70"/>
    <x v="0"/>
    <s v="CLIOM - MACEIÓ - AL - 05.612.725/0001-54"/>
    <n v="30"/>
  </r>
  <r>
    <x v="0"/>
    <x v="2"/>
    <x v="0"/>
    <n v="5652543000107"/>
    <x v="290"/>
    <s v="SANTO ANTÔNIO DE JESUS"/>
    <s v="BA"/>
    <x v="3"/>
    <s v="FERNANDO LEONY (CO/NO/NE)"/>
    <n v="64"/>
    <x v="2"/>
    <s v="HOSPITAL INCAR - SANTO ANTÔNIO DE JESUS - BA - 05.652.543/0001-07"/>
    <n v="30"/>
  </r>
  <r>
    <x v="0"/>
    <x v="2"/>
    <x v="0"/>
    <n v="5919720000179"/>
    <x v="347"/>
    <s v="GOIÂNIA"/>
    <s v="GO"/>
    <x v="3"/>
    <s v="FERNANDO LEONY (CO/NO/NE)"/>
    <n v="70"/>
    <x v="0"/>
    <s v="HOSPITAL AMPARO - GOIÂNIA - GO - 05.919.720/0001-79"/>
    <n v="25"/>
  </r>
  <r>
    <x v="0"/>
    <x v="2"/>
    <x v="0"/>
    <n v="6047087001291"/>
    <x v="348"/>
    <s v="OLINDA"/>
    <s v="PE"/>
    <x v="3"/>
    <s v="FERNANDO LEONY (CO/NO/NE)"/>
    <n v="64"/>
    <x v="2"/>
    <s v="HOSPITAL ESPERANCA OLINDA (REDE DOR) - OLINDA - PE - 06.047.087/0012-91"/>
    <n v="8"/>
  </r>
  <r>
    <x v="0"/>
    <x v="2"/>
    <x v="0"/>
    <n v="6047087009276"/>
    <x v="278"/>
    <s v="RECIFE"/>
    <s v="PE"/>
    <x v="3"/>
    <s v="FERNANDO LEONY (CO/NO/NE)"/>
    <n v="64"/>
    <x v="2"/>
    <s v="HOSPITAL MEMORIAL SAO JOSE (REDE DOR) - RECIFE - PE - 06.047.087/0092-76"/>
    <n v="30"/>
  </r>
  <r>
    <x v="0"/>
    <x v="2"/>
    <x v="0"/>
    <n v="6070425000153"/>
    <x v="279"/>
    <s v="MACAPÁ"/>
    <s v="AP"/>
    <x v="3"/>
    <s v="FERNANDO LEONY (CO/NO/NE)"/>
    <n v="73"/>
    <x v="1"/>
    <s v="I. O. M. - MACAPÁ - AP - 06.070.425/0001-53"/>
    <n v="12"/>
  </r>
  <r>
    <x v="0"/>
    <x v="2"/>
    <x v="0"/>
    <n v="8319329000121"/>
    <x v="285"/>
    <s v="NATAL"/>
    <s v="RN"/>
    <x v="3"/>
    <s v="FERNANDO LEONY (CO/NO/NE)"/>
    <n v="64"/>
    <x v="2"/>
    <s v="CASA DE SAUDE SAO LUCAS S/A - NATAL - RN - 08.319.329/0001-21"/>
    <n v="47"/>
  </r>
  <r>
    <x v="0"/>
    <x v="2"/>
    <x v="0"/>
    <n v="8337586000196"/>
    <x v="286"/>
    <s v="NATAL"/>
    <s v="RN"/>
    <x v="3"/>
    <s v="FERNANDO LEONY (CO/NO/NE)"/>
    <n v="64"/>
    <x v="2"/>
    <s v="HOSP INF VAR SANT - NATAL - RN - 08.337.586/0001-96"/>
    <n v="2"/>
  </r>
  <r>
    <x v="0"/>
    <x v="2"/>
    <x v="0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140"/>
  </r>
  <r>
    <x v="0"/>
    <x v="2"/>
    <x v="0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80"/>
  </r>
  <r>
    <x v="0"/>
    <x v="2"/>
    <x v="0"/>
    <n v="9039744000275"/>
    <x v="315"/>
    <s v="PAULISTA"/>
    <s v="PE"/>
    <x v="3"/>
    <s v="FERNANDO LEONY (CO/NO/NE)"/>
    <n v="64"/>
    <x v="2"/>
    <s v="IMIP HOSPITALAR - HMA - PAULISTA - PE - 09.039.744/0002-75"/>
    <n v="7"/>
  </r>
  <r>
    <x v="0"/>
    <x v="2"/>
    <x v="0"/>
    <n v="9192098000109"/>
    <x v="349"/>
    <s v="SÃO JOSÉ DE RIBAMAR"/>
    <s v="MA"/>
    <x v="3"/>
    <s v="FERNANDO LEONY (CO/NO/NE)"/>
    <n v="70"/>
    <x v="0"/>
    <s v="HOSPITAL SAO LUIS - HSLZ LTDA. - SÃO JOSÉ DE RIBAMAR - MA - 09.192.098/0001-09"/>
    <n v="100"/>
  </r>
  <r>
    <x v="0"/>
    <x v="2"/>
    <x v="0"/>
    <n v="10839561000132"/>
    <x v="292"/>
    <s v="RECIFE"/>
    <s v="PE"/>
    <x v="3"/>
    <s v="FERNANDO LEONY (CO/NO/NE)"/>
    <n v="62"/>
    <x v="3"/>
    <s v="SANTA JOANA - RECIFE - PE - 10.839.561/0001-32"/>
    <n v="6"/>
  </r>
  <r>
    <x v="0"/>
    <x v="2"/>
    <x v="0"/>
    <n v="10839561000132"/>
    <x v="292"/>
    <s v="RECIFE"/>
    <s v="PE"/>
    <x v="3"/>
    <s v="FERNANDO LEONY (CO/NO/NE)"/>
    <n v="73"/>
    <x v="1"/>
    <s v="SANTA JOANA - RECIFE - PE - 10.839.561/0001-32"/>
    <n v="28"/>
  </r>
  <r>
    <x v="0"/>
    <x v="2"/>
    <x v="0"/>
    <n v="10892164000124"/>
    <x v="293"/>
    <s v="RECIFE"/>
    <s v="PE"/>
    <x v="3"/>
    <s v="FERNANDO LEONY (CO/NO/NE)"/>
    <n v="64"/>
    <x v="2"/>
    <s v="HOSPITAL PORTUGUES - RECIFE - PE - 10.892.164/0001-24"/>
    <n v="10"/>
  </r>
  <r>
    <x v="0"/>
    <x v="2"/>
    <x v="0"/>
    <n v="10892164000124"/>
    <x v="293"/>
    <s v="RECIFE"/>
    <s v="PE"/>
    <x v="3"/>
    <s v="FERNANDO LEONY (CO/NO/NE)"/>
    <n v="73"/>
    <x v="1"/>
    <s v="HOSPITAL PORTUGUES - RECIFE - PE - 10.892.164/0001-24"/>
    <n v="40"/>
  </r>
  <r>
    <x v="0"/>
    <x v="2"/>
    <x v="0"/>
    <n v="11006293000130"/>
    <x v="295"/>
    <s v="SÃO LUÍS"/>
    <s v="MA"/>
    <x v="3"/>
    <s v="FERNANDO LEONY (CO/NO/NE)"/>
    <n v="70"/>
    <x v="0"/>
    <s v="HOSPITAL SAO DOMINGOS LTDA. - SÃO LUÍS - MA - 11.006.293/0001-30"/>
    <n v="450"/>
  </r>
  <r>
    <x v="0"/>
    <x v="2"/>
    <x v="0"/>
    <n v="11022597001597"/>
    <x v="319"/>
    <s v="RECIFE"/>
    <s v="PE"/>
    <x v="3"/>
    <s v="FERNANDO LEONY (CO/NO/NE)"/>
    <n v="64"/>
    <x v="2"/>
    <s v="PRONTO S.CARDIOLOGICO DE PE.PROF.LUIZ TAVARES-PROCAPE - RECIFE - PE - 11.022.597/0015-97"/>
    <n v="25"/>
  </r>
  <r>
    <x v="0"/>
    <x v="2"/>
    <x v="0"/>
    <n v="11214624000470"/>
    <x v="320"/>
    <s v="RECIFE"/>
    <s v="PE"/>
    <x v="3"/>
    <s v="FERNANDO LEONY (CO/NO/NE)"/>
    <n v="70"/>
    <x v="0"/>
    <s v="HOSPITAL UNIMED RECIFE - RECIFE - PE - 11.214.624/0004-70"/>
    <n v="50"/>
  </r>
  <r>
    <x v="0"/>
    <x v="2"/>
    <x v="0"/>
    <n v="11214624001957"/>
    <x v="350"/>
    <s v="RECIFE"/>
    <s v="PE"/>
    <x v="3"/>
    <s v="FERNANDO LEONY (CO/NO/NE)"/>
    <n v="64"/>
    <x v="2"/>
    <s v="HOSPITAL UNIMED RECIFE III - RECIFE - PE - 11.214.624/0019-57"/>
    <n v="6"/>
  </r>
  <r>
    <x v="0"/>
    <x v="2"/>
    <x v="0"/>
    <n v="11452240000143"/>
    <x v="296"/>
    <s v="RECIFE"/>
    <s v="PE"/>
    <x v="3"/>
    <s v="FERNANDO LEONY (CO/NO/NE)"/>
    <n v="62"/>
    <x v="3"/>
    <s v="HOSPITAL JAYME DA FONTE - RECIFE - PE - 11.452.240/0001-43"/>
    <n v="4"/>
  </r>
  <r>
    <x v="0"/>
    <x v="2"/>
    <x v="0"/>
    <n v="12361267000274"/>
    <x v="323"/>
    <s v="BELÉM"/>
    <s v="PA"/>
    <x v="3"/>
    <s v="FERNANDO LEONY (CO/NO/NE)"/>
    <n v="64"/>
    <x v="2"/>
    <s v="HOSPITAL LAYR MAIA - BELÉM - PA - 12.361.267/0002-74"/>
    <n v="4"/>
  </r>
  <r>
    <x v="0"/>
    <x v="2"/>
    <x v="0"/>
    <n v="12361267000517"/>
    <x v="297"/>
    <s v="ARACAJU"/>
    <s v="SE"/>
    <x v="3"/>
    <s v="FERNANDO LEONY (CO/NO/NE)"/>
    <n v="64"/>
    <x v="2"/>
    <s v="CENTRO MEDICO GABRIEL SOARES - ARACAJU - SE - 12.361.267/0005-17"/>
    <n v="2"/>
  </r>
  <r>
    <x v="0"/>
    <x v="2"/>
    <x v="0"/>
    <n v="12361267000789"/>
    <x v="351"/>
    <s v="SÃO LUÍS"/>
    <s v="MA"/>
    <x v="3"/>
    <s v="FERNANDO LEONY (CO/NO/NE)"/>
    <n v="64"/>
    <x v="2"/>
    <s v="HOSPITAL GUARAS - SÃO LUÍS - MA - 12.361.267/0007-89"/>
    <n v="2"/>
  </r>
  <r>
    <x v="0"/>
    <x v="2"/>
    <x v="0"/>
    <n v="12361267000860"/>
    <x v="352"/>
    <s v="MACEIÓ"/>
    <s v="AL"/>
    <x v="3"/>
    <s v="FERNANDO LEONY (CO/NO/NE)"/>
    <n v="64"/>
    <x v="2"/>
    <s v="HOSPITAL MACEIO - MACEIÓ - AL - 12.361.267/0008-60"/>
    <n v="2"/>
  </r>
  <r>
    <x v="0"/>
    <x v="2"/>
    <x v="0"/>
    <n v="12361267004008"/>
    <x v="353"/>
    <s v="TERESINA"/>
    <s v="PI"/>
    <x v="3"/>
    <s v="FERNANDO LEONY (CO/NO/NE)"/>
    <n v="64"/>
    <x v="2"/>
    <s v="HOSPITAL RIO POTY - TERESINA - PI - 12.361.267/0040-08"/>
    <n v="2"/>
  </r>
  <r>
    <x v="0"/>
    <x v="2"/>
    <x v="0"/>
    <n v="12361267007287"/>
    <x v="324"/>
    <s v="RECIFE"/>
    <s v="PE"/>
    <x v="3"/>
    <s v="FERNANDO LEONY (CO/NO/NE)"/>
    <n v="62"/>
    <x v="3"/>
    <s v="HOSPITAL ESPINHEIRO - RECIFE - PE - 12.361.267/0072-87"/>
    <n v="16"/>
  </r>
  <r>
    <x v="0"/>
    <x v="2"/>
    <x v="0"/>
    <n v="12361267007287"/>
    <x v="324"/>
    <s v="RECIFE"/>
    <s v="PE"/>
    <x v="3"/>
    <s v="FERNANDO LEONY (CO/NO/NE)"/>
    <n v="64"/>
    <x v="2"/>
    <s v="HOSPITAL ESPINHEIRO - RECIFE - PE - 12.361.267/0072-87"/>
    <n v="8"/>
  </r>
  <r>
    <x v="0"/>
    <x v="2"/>
    <x v="0"/>
    <n v="12361267008410"/>
    <x v="354"/>
    <s v="MARACANAÚ"/>
    <s v="CE"/>
    <x v="3"/>
    <s v="FERNANDO LEONY (CO/NO/NE)"/>
    <n v="64"/>
    <x v="2"/>
    <s v="HOSPITAL ANA LIMA - MARACANAÚ - CE - 12.361.267/0084-10"/>
    <n v="2"/>
  </r>
  <r>
    <x v="0"/>
    <x v="2"/>
    <x v="0"/>
    <n v="12361267008844"/>
    <x v="355"/>
    <s v="ÁGUA BRANCA"/>
    <s v="PB"/>
    <x v="3"/>
    <s v="FERNANDO LEONY (CO/NO/NE)"/>
    <n v="62"/>
    <x v="3"/>
    <s v="HOSPITAL GERAL DA PARAIBA - ÁGUA BRANCA - PB - 12.361.267/0088-44"/>
    <n v="2"/>
  </r>
  <r>
    <x v="0"/>
    <x v="2"/>
    <x v="0"/>
    <n v="12361267008844"/>
    <x v="355"/>
    <s v="ÁGUA BRANCA"/>
    <s v="PB"/>
    <x v="3"/>
    <s v="FERNANDO LEONY (CO/NO/NE)"/>
    <n v="64"/>
    <x v="2"/>
    <s v="HOSPITAL GERAL DA PARAIBA - ÁGUA BRANCA - PB - 12.361.267/0088-44"/>
    <n v="2"/>
  </r>
  <r>
    <x v="0"/>
    <x v="2"/>
    <x v="0"/>
    <n v="12361267009140"/>
    <x v="298"/>
    <s v="ACARI"/>
    <s v="RN"/>
    <x v="3"/>
    <s v="FERNANDO LEONY (CO/NO/NE)"/>
    <n v="70"/>
    <x v="0"/>
    <s v="HOSPITAL RODOLFO FERNANDES - ACARI - RN - 12.361.267/0091-40"/>
    <n v="5"/>
  </r>
  <r>
    <x v="0"/>
    <x v="2"/>
    <x v="0"/>
    <n v="12361267009654"/>
    <x v="325"/>
    <s v="NATAL"/>
    <s v="RN"/>
    <x v="3"/>
    <s v="FERNANDO LEONY (CO/NO/NE)"/>
    <n v="62"/>
    <x v="3"/>
    <s v="HOSPITAL ANTONIO PRUDENTE DE NATAL - NATAL - RN - 12.361.267/0096-54"/>
    <n v="2"/>
  </r>
  <r>
    <x v="0"/>
    <x v="2"/>
    <x v="0"/>
    <n v="12361267009654"/>
    <x v="325"/>
    <s v="NATAL"/>
    <s v="RN"/>
    <x v="3"/>
    <s v="FERNANDO LEONY (CO/NO/NE)"/>
    <n v="64"/>
    <x v="2"/>
    <s v="HOSPITAL ANTONIO PRUDENTE DE NATAL - NATAL - RN - 12.361.267/0096-54"/>
    <n v="2"/>
  </r>
  <r>
    <x v="0"/>
    <x v="2"/>
    <x v="0"/>
    <n v="12361267010407"/>
    <x v="326"/>
    <s v="FEIRA DE SANTANA"/>
    <s v="BA"/>
    <x v="3"/>
    <s v="FERNANDO LEONY (CO/NO/NE)"/>
    <n v="64"/>
    <x v="2"/>
    <s v="HOSPITAL FRANCISCA DE SANDE - FEIRA DE SANTANA - BA - 12.361.267/0104-07"/>
    <n v="2"/>
  </r>
  <r>
    <x v="0"/>
    <x v="2"/>
    <x v="0"/>
    <n v="12361267011632"/>
    <x v="299"/>
    <s v="MANAUS"/>
    <s v="AM"/>
    <x v="3"/>
    <s v="FERNANDO LEONY (CO/NO/NE)"/>
    <n v="62"/>
    <x v="3"/>
    <s v="HOSPITAL SAO LUCAS - MANAUS - AM - 12.361.267/0116-32"/>
    <n v="4"/>
  </r>
  <r>
    <x v="0"/>
    <x v="2"/>
    <x v="0"/>
    <n v="12361267011632"/>
    <x v="299"/>
    <s v="MANAUS"/>
    <s v="AM"/>
    <x v="3"/>
    <s v="FERNANDO LEONY (CO/NO/NE)"/>
    <n v="64"/>
    <x v="2"/>
    <s v="HOSPITAL SAO LUCAS - MANAUS - AM - 12.361.267/0116-32"/>
    <n v="2"/>
  </r>
  <r>
    <x v="0"/>
    <x v="2"/>
    <x v="0"/>
    <n v="12442737000496"/>
    <x v="300"/>
    <s v="MACEIÓ"/>
    <s v="AL"/>
    <x v="3"/>
    <s v="FERNANDO LEONY (CO/NO/NE)"/>
    <n v="62"/>
    <x v="3"/>
    <s v="HOSPITAL UNIMED - MACEIÓ - AL - 12.442.737/0004-96"/>
    <n v="2"/>
  </r>
  <r>
    <x v="0"/>
    <x v="2"/>
    <x v="0"/>
    <n v="13131370000100"/>
    <x v="302"/>
    <s v="ARACAJU"/>
    <s v="SE"/>
    <x v="3"/>
    <s v="FERNANDO LEONY (CO/NO/NE)"/>
    <n v="70"/>
    <x v="0"/>
    <s v="HOSPITAL SAO LUCAS - ARACAJU - SE - 13.131.370/0001-00"/>
    <n v="300"/>
  </r>
  <r>
    <x v="0"/>
    <x v="2"/>
    <x v="0"/>
    <n v="13131370000100"/>
    <x v="302"/>
    <s v="ARACAJU"/>
    <s v="SE"/>
    <x v="3"/>
    <s v="FERNANDO LEONY (CO/NO/NE)"/>
    <n v="73"/>
    <x v="1"/>
    <s v="HOSPITAL SAO LUCAS - ARACAJU - SE - 13.131.370/0001-00"/>
    <n v="38"/>
  </r>
  <r>
    <x v="0"/>
    <x v="2"/>
    <x v="0"/>
    <n v="15126437000496"/>
    <x v="308"/>
    <s v="SÃO LUÍS"/>
    <s v="MA"/>
    <x v="3"/>
    <s v="FERNANDO LEONY (CO/NO/NE)"/>
    <n v="70"/>
    <x v="0"/>
    <s v="EBSERH HOSPITAL UNIVERSITARIO DE SAO LUIS - SÃO LUÍS - MA - 15.126.437/0004-96"/>
    <n v="500"/>
  </r>
  <r>
    <x v="0"/>
    <x v="2"/>
    <x v="0"/>
    <n v="15126437000739"/>
    <x v="309"/>
    <s v="NATAL"/>
    <s v="RN"/>
    <x v="3"/>
    <s v="FERNANDO LEONY (CO/NO/NE)"/>
    <n v="64"/>
    <x v="2"/>
    <s v="EMPRESA BRASILEIRA DE SERVICOS HOSPITALARES - EBSERH - NATAL - RN - 15.126.437/0007-39"/>
    <n v="50"/>
  </r>
  <r>
    <x v="0"/>
    <x v="2"/>
    <x v="0"/>
    <n v="15126437001204"/>
    <x v="356"/>
    <s v="CUIABÁ"/>
    <s v="MT"/>
    <x v="3"/>
    <s v="FERNANDO LEONY (CO/NO/NE)"/>
    <n v="70"/>
    <x v="0"/>
    <s v="EBSERH - HOSPITAL UNIVERSITARIO JULIO MULLER - CUIABÁ - MT - 15.126.437/0012-04"/>
    <n v="750"/>
  </r>
  <r>
    <x v="0"/>
    <x v="2"/>
    <x v="0"/>
    <n v="15592785000106"/>
    <x v="313"/>
    <s v="ARACAJU"/>
    <s v="SE"/>
    <x v="3"/>
    <s v="FERNANDO LEONY (CO/NO/NE)"/>
    <n v="70"/>
    <x v="0"/>
    <s v="HOSPITAL UNIMED - ARACAJU - SE - 15.592.785/0001-06"/>
    <n v="30"/>
  </r>
  <r>
    <x v="0"/>
    <x v="2"/>
    <x v="0"/>
    <n v="29435005009851"/>
    <x v="322"/>
    <s v="NATAL"/>
    <s v="RN"/>
    <x v="3"/>
    <s v="FERNANDO LEONY (CO/NO/NE)"/>
    <n v="64"/>
    <x v="2"/>
    <s v="ESHO EMPRESA DE SERVICOS HOSPITALARES S.A. - NATAL - RN - 29.435.005/0098-51"/>
    <n v="70"/>
  </r>
  <r>
    <x v="0"/>
    <x v="2"/>
    <x v="0"/>
    <n v="29435005009851"/>
    <x v="322"/>
    <s v="NATAL"/>
    <s v="RN"/>
    <x v="3"/>
    <s v="FERNANDO LEONY (CO/NO/NE)"/>
    <n v="70"/>
    <x v="0"/>
    <s v="ESHO EMPRESA DE SERVICOS HOSPITALARES S.A. - NATAL - RN - 29.435.005/0098-51"/>
    <n v="125"/>
  </r>
  <r>
    <x v="0"/>
    <x v="2"/>
    <x v="0"/>
    <n v="33000167002155"/>
    <x v="334"/>
    <s v="SENADOR CANEDO"/>
    <s v="GO"/>
    <x v="3"/>
    <s v="FERNANDO LEONY (CO/NO/NE)"/>
    <n v="70"/>
    <x v="0"/>
    <s v="PETROBRAS - SENADOR CANEDO - GO - 33.000.167/0021-55"/>
    <n v="25"/>
  </r>
  <r>
    <x v="0"/>
    <x v="2"/>
    <x v="0"/>
    <n v="83367342000252"/>
    <x v="333"/>
    <s v="BELÉM"/>
    <s v="PA"/>
    <x v="3"/>
    <s v="FERNANDO LEONY (CO/NO/NE)"/>
    <n v="70"/>
    <x v="0"/>
    <s v="HOSPITAL ADVENTISTA DE BELEM - BELÉM - PA - 83.367.342/0002-52"/>
    <n v="40"/>
  </r>
  <r>
    <x v="0"/>
    <x v="3"/>
    <x v="1"/>
    <n v="12371009253"/>
    <x v="250"/>
    <s v="BELÉM"/>
    <s v="PA"/>
    <x v="3"/>
    <s v="FERNANDO LEONY (CO/NO/NE)"/>
    <n v="73"/>
    <x v="1"/>
    <s v="PEDRO FLÁVIO - BELÉM - PA - 123.710.092-53"/>
    <n v="12"/>
  </r>
  <r>
    <x v="0"/>
    <x v="3"/>
    <x v="1"/>
    <n v="44482299472"/>
    <x v="335"/>
    <s v="MACEIÓ"/>
    <s v="AL"/>
    <x v="3"/>
    <s v="FERNANDO LEONY (CO/NO/NE)"/>
    <n v="66"/>
    <x v="4"/>
    <s v="ANA ANGELICA TORRES - MACEIÓ - AL - 444.822.994-72"/>
    <n v="30"/>
  </r>
  <r>
    <x v="0"/>
    <x v="3"/>
    <x v="1"/>
    <n v="394429019391"/>
    <x v="357"/>
    <s v="RECIFE"/>
    <s v="PE"/>
    <x v="3"/>
    <s v="FERNANDO LEONY (CO/NO/NE)"/>
    <n v="70"/>
    <x v="0"/>
    <s v="GRUPAMENTO DE APOIO DE RECIFE - GAP-RF - RECIFE - PE - 00.394.429/0193-91"/>
    <n v="25"/>
  </r>
  <r>
    <x v="0"/>
    <x v="3"/>
    <x v="1"/>
    <n v="820737000150"/>
    <x v="256"/>
    <s v="NATAL"/>
    <s v="RN"/>
    <x v="3"/>
    <s v="FERNANDO LEONY (CO/NO/NE)"/>
    <n v="64"/>
    <x v="2"/>
    <s v="HOSPITAL DO CORACAO DE NATAL LTDA - NATAL - RN - 00.820.737/0001-50"/>
    <n v="21"/>
  </r>
  <r>
    <x v="0"/>
    <x v="3"/>
    <x v="1"/>
    <n v="1011865000116"/>
    <x v="258"/>
    <s v="GOIÂNIA"/>
    <s v="GO"/>
    <x v="3"/>
    <s v="FERNANDO LEONY (CO/NO/NE)"/>
    <n v="70"/>
    <x v="0"/>
    <s v="INSTITUTO DE NEUROLOGIA - GOIÂNIA - GO - 01.011.865/0001-16"/>
    <n v="800"/>
  </r>
  <r>
    <x v="0"/>
    <x v="3"/>
    <x v="1"/>
    <n v="1277573000120"/>
    <x v="338"/>
    <s v="GOIÂNIA"/>
    <s v="GO"/>
    <x v="3"/>
    <s v="FERNANDO LEONY (CO/NO/NE)"/>
    <n v="64"/>
    <x v="2"/>
    <s v="INGOH - INSTITUTO GOIANO DE ONCOLOGIA E HEMATOLOGIA - GOIÂNIA - GO - 01.277.573/0001-20"/>
    <n v="6"/>
  </r>
  <r>
    <x v="0"/>
    <x v="3"/>
    <x v="1"/>
    <n v="1326206000179"/>
    <x v="259"/>
    <s v="CATALÃO"/>
    <s v="GO"/>
    <x v="3"/>
    <s v="FERNANDO LEONY (CO/NO/NE)"/>
    <n v="73"/>
    <x v="1"/>
    <s v="HOSPITAL E MATERNIDADE SAO NICOLAU - CATALÃO - GO - 01.326.206/0001-79"/>
    <n v="30"/>
  </r>
  <r>
    <x v="0"/>
    <x v="3"/>
    <x v="1"/>
    <n v="1454407000151"/>
    <x v="261"/>
    <s v="MACEIÓ"/>
    <s v="AL"/>
    <x v="3"/>
    <s v="FERNANDO LEONY (CO/NO/NE)"/>
    <n v="70"/>
    <x v="0"/>
    <s v="HOSPITAL DO CORACAO DE ALAGOAS - MACEIÓ - AL - 01.454.407/0001-51"/>
    <n v="260"/>
  </r>
  <r>
    <x v="0"/>
    <x v="3"/>
    <x v="1"/>
    <n v="1507901000137"/>
    <x v="262"/>
    <s v="NATAL"/>
    <s v="RN"/>
    <x v="3"/>
    <s v="FERNANDO LEONY (CO/NO/NE)"/>
    <n v="64"/>
    <x v="2"/>
    <s v="INCOR NATAL - NATAL - RN - 01.507.901/0001-37"/>
    <n v="10"/>
  </r>
  <r>
    <x v="0"/>
    <x v="3"/>
    <x v="1"/>
    <n v="1757351000104"/>
    <x v="263"/>
    <s v="CUIABÁ"/>
    <s v="MT"/>
    <x v="3"/>
    <s v="FERNANDO LEONY (CO/NO/NE)"/>
    <n v="64"/>
    <x v="2"/>
    <s v="COMPLEXO HOSPITALAR JARDIM CUIABA - CUIABÁ - MT - 01.757.351/0001-04"/>
    <n v="3"/>
  </r>
  <r>
    <x v="0"/>
    <x v="3"/>
    <x v="1"/>
    <n v="2109397000180"/>
    <x v="276"/>
    <s v="NATAL"/>
    <s v="RN"/>
    <x v="3"/>
    <s v="FERNANDO LEONY (CO/NO/NE)"/>
    <n v="62"/>
    <x v="3"/>
    <s v="NATAL HOSPITAL CENTER S.A. - NATAL - RN - 02.109.397/0001-80"/>
    <n v="3"/>
  </r>
  <r>
    <x v="0"/>
    <x v="3"/>
    <x v="1"/>
    <n v="2284062000440"/>
    <x v="264"/>
    <s v="RECIFE"/>
    <s v="PE"/>
    <x v="3"/>
    <s v="FERNANDO LEONY (CO/NO/NE)"/>
    <n v="64"/>
    <x v="2"/>
    <s v="HOSPITAL SAO MARCOS (REDE DOR) - RECIFE - PE - 02.284.062/0004-40"/>
    <n v="5"/>
  </r>
  <r>
    <x v="0"/>
    <x v="3"/>
    <x v="1"/>
    <n v="2476067000203"/>
    <x v="267"/>
    <s v="GOIÂNIA"/>
    <s v="GO"/>
    <x v="3"/>
    <s v="FERNANDO LEONY (CO/NO/NE)"/>
    <n v="73"/>
    <x v="1"/>
    <s v="SERVICO DE ATENDIMENTO UNIMED - GOIÂNIA - GO - 02.476.067/0002-03"/>
    <n v="76"/>
  </r>
  <r>
    <x v="0"/>
    <x v="3"/>
    <x v="1"/>
    <n v="2476067000394"/>
    <x v="268"/>
    <s v="GOIÂNIA"/>
    <s v="GO"/>
    <x v="3"/>
    <s v="FERNANDO LEONY (CO/NO/NE)"/>
    <n v="70"/>
    <x v="0"/>
    <s v="CENTRO CLINICO UNIMED - GOIÂNIA - GO - 02.476.067/0003-94"/>
    <n v="45"/>
  </r>
  <r>
    <x v="0"/>
    <x v="3"/>
    <x v="1"/>
    <n v="3866223000124"/>
    <x v="284"/>
    <s v="MACEIÓ"/>
    <s v="AL"/>
    <x v="3"/>
    <s v="FERNANDO LEONY (CO/NO/NE)"/>
    <n v="70"/>
    <x v="0"/>
    <s v="MEDRADIUS - MACEIÓ - AL - 03.866.223/0001-24"/>
    <n v="615"/>
  </r>
  <r>
    <x v="0"/>
    <x v="3"/>
    <x v="1"/>
    <n v="3925419000142"/>
    <x v="272"/>
    <s v="CUIABÁ"/>
    <s v="MT"/>
    <x v="3"/>
    <s v="FERNANDO LEONY (CO/NO/NE)"/>
    <n v="64"/>
    <x v="2"/>
    <s v="HOSPITAL AMECOR - CUIABÁ - MT - 03.925.419/0001-42"/>
    <n v="4"/>
  </r>
  <r>
    <x v="0"/>
    <x v="3"/>
    <x v="1"/>
    <n v="4159778000107"/>
    <x v="344"/>
    <s v="MANAUS"/>
    <s v="AM"/>
    <x v="3"/>
    <s v="FERNANDO LEONY (CO/NO/NE)"/>
    <n v="62"/>
    <x v="3"/>
    <s v="SAMEL - MANAUS - AM - 04.159.778/0001-07"/>
    <n v="10"/>
  </r>
  <r>
    <x v="0"/>
    <x v="3"/>
    <x v="1"/>
    <n v="4159778000107"/>
    <x v="344"/>
    <s v="MANAUS"/>
    <s v="AM"/>
    <x v="3"/>
    <s v="FERNANDO LEONY (CO/NO/NE)"/>
    <n v="64"/>
    <x v="2"/>
    <s v="SAMEL - MANAUS - AM - 04.159.778/0001-07"/>
    <n v="3"/>
  </r>
  <r>
    <x v="0"/>
    <x v="3"/>
    <x v="1"/>
    <n v="4201372001028"/>
    <x v="273"/>
    <s v="BELÉM"/>
    <s v="PA"/>
    <x v="3"/>
    <s v="FERNANDO LEONY (CO/NO/NE)"/>
    <n v="73"/>
    <x v="1"/>
    <s v="UNIMED DE BELEM COOPERATIVA DE TRABALHO MEDICO - BELÉM - PA - 04.201.372/0010-28"/>
    <n v="80"/>
  </r>
  <r>
    <x v="0"/>
    <x v="3"/>
    <x v="1"/>
    <n v="4966545000370"/>
    <x v="275"/>
    <s v="BELÉM"/>
    <s v="PA"/>
    <x v="3"/>
    <s v="FERNANDO LEONY (CO/NO/NE)"/>
    <n v="70"/>
    <x v="0"/>
    <s v="BENEFICENCIA NIPO BRASILEIRA DA AMAZONIA - BELÉM - PA - 04.966.545/0003-70"/>
    <n v="40"/>
  </r>
  <r>
    <x v="0"/>
    <x v="3"/>
    <x v="1"/>
    <n v="5612725000154"/>
    <x v="346"/>
    <s v="MACEIÓ"/>
    <s v="AL"/>
    <x v="3"/>
    <s v="FERNANDO LEONY (CO/NO/NE)"/>
    <n v="70"/>
    <x v="0"/>
    <s v="CLIOM - MACEIÓ - AL - 05.612.725/0001-54"/>
    <n v="30"/>
  </r>
  <r>
    <x v="0"/>
    <x v="3"/>
    <x v="1"/>
    <n v="5652543000107"/>
    <x v="290"/>
    <s v="SANTO ANTÔNIO DE JESUS"/>
    <s v="BA"/>
    <x v="3"/>
    <s v="FERNANDO LEONY (CO/NO/NE)"/>
    <n v="64"/>
    <x v="2"/>
    <s v="HOSPITAL INCAR - SANTO ANTÔNIO DE JESUS - BA - 05.652.543/0001-07"/>
    <n v="22"/>
  </r>
  <r>
    <x v="0"/>
    <x v="3"/>
    <x v="1"/>
    <n v="6337035000105"/>
    <x v="358"/>
    <s v="GOIÂNIA"/>
    <s v="GO"/>
    <x v="3"/>
    <s v="FERNANDO LEONY (CO/NO/NE)"/>
    <n v="70"/>
    <x v="0"/>
    <s v="HONCORD - GOIÂNIA - GO - 06.337.035/0001-05"/>
    <n v="50"/>
  </r>
  <r>
    <x v="0"/>
    <x v="3"/>
    <x v="1"/>
    <n v="6555031000276"/>
    <x v="282"/>
    <s v="TERESINA"/>
    <s v="PI"/>
    <x v="3"/>
    <s v="FERNANDO LEONY (CO/NO/NE)"/>
    <n v="73"/>
    <x v="1"/>
    <s v="HOSPITAL UNIMED PRIMAVERA - TERESINA - PI - 06.555.031/0002-76"/>
    <n v="48"/>
  </r>
  <r>
    <x v="0"/>
    <x v="3"/>
    <x v="1"/>
    <n v="8319329000121"/>
    <x v="285"/>
    <s v="NATAL"/>
    <s v="RN"/>
    <x v="3"/>
    <s v="FERNANDO LEONY (CO/NO/NE)"/>
    <n v="64"/>
    <x v="2"/>
    <s v="CASA DE SAUDE SAO LUCAS S/A - NATAL - RN - 08.319.329/0001-21"/>
    <n v="61"/>
  </r>
  <r>
    <x v="0"/>
    <x v="3"/>
    <x v="1"/>
    <n v="8337586000196"/>
    <x v="286"/>
    <s v="NATAL"/>
    <s v="RN"/>
    <x v="3"/>
    <s v="FERNANDO LEONY (CO/NO/NE)"/>
    <n v="64"/>
    <x v="2"/>
    <s v="HOSP INF VAR SANT - NATAL - RN - 08.337.586/0001-96"/>
    <n v="1"/>
  </r>
  <r>
    <x v="0"/>
    <x v="3"/>
    <x v="1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200"/>
  </r>
  <r>
    <x v="0"/>
    <x v="3"/>
    <x v="1"/>
    <n v="10839561000132"/>
    <x v="292"/>
    <s v="RECIFE"/>
    <s v="PE"/>
    <x v="3"/>
    <s v="FERNANDO LEONY (CO/NO/NE)"/>
    <n v="62"/>
    <x v="3"/>
    <s v="SANTA JOANA - RECIFE - PE - 10.839.561/0001-32"/>
    <n v="26"/>
  </r>
  <r>
    <x v="0"/>
    <x v="3"/>
    <x v="1"/>
    <n v="10839561000132"/>
    <x v="292"/>
    <s v="RECIFE"/>
    <s v="PE"/>
    <x v="3"/>
    <s v="FERNANDO LEONY (CO/NO/NE)"/>
    <n v="70"/>
    <x v="0"/>
    <s v="SANTA JOANA - RECIFE - PE - 10.839.561/0001-32"/>
    <n v="175"/>
  </r>
  <r>
    <x v="0"/>
    <x v="3"/>
    <x v="1"/>
    <n v="10839561000132"/>
    <x v="292"/>
    <s v="RECIFE"/>
    <s v="PE"/>
    <x v="3"/>
    <s v="FERNANDO LEONY (CO/NO/NE)"/>
    <n v="73"/>
    <x v="1"/>
    <s v="SANTA JOANA - RECIFE - PE - 10.839.561/0001-32"/>
    <n v="64"/>
  </r>
  <r>
    <x v="0"/>
    <x v="3"/>
    <x v="1"/>
    <n v="10892164000124"/>
    <x v="293"/>
    <s v="RECIFE"/>
    <s v="PE"/>
    <x v="3"/>
    <s v="FERNANDO LEONY (CO/NO/NE)"/>
    <n v="64"/>
    <x v="2"/>
    <s v="HOSPITAL PORTUGUES - RECIFE - PE - 10.892.164/0001-24"/>
    <n v="10"/>
  </r>
  <r>
    <x v="0"/>
    <x v="3"/>
    <x v="1"/>
    <n v="10892164000124"/>
    <x v="293"/>
    <s v="RECIFE"/>
    <s v="PE"/>
    <x v="3"/>
    <s v="FERNANDO LEONY (CO/NO/NE)"/>
    <n v="73"/>
    <x v="1"/>
    <s v="HOSPITAL PORTUGUES - RECIFE - PE - 10.892.164/0001-24"/>
    <n v="40"/>
  </r>
  <r>
    <x v="0"/>
    <x v="3"/>
    <x v="1"/>
    <n v="10988301000129"/>
    <x v="294"/>
    <s v="RECIFE"/>
    <s v="PE"/>
    <x v="3"/>
    <s v="FERNANDO LEONY (CO/NO/NE)"/>
    <n v="64"/>
    <x v="2"/>
    <s v="IMIP - RECIFE - PE - 10.988.301/0001-29"/>
    <n v="15"/>
  </r>
  <r>
    <x v="0"/>
    <x v="3"/>
    <x v="1"/>
    <n v="11006293000130"/>
    <x v="295"/>
    <s v="SÃO LUÍS"/>
    <s v="MA"/>
    <x v="3"/>
    <s v="FERNANDO LEONY (CO/NO/NE)"/>
    <n v="70"/>
    <x v="0"/>
    <s v="HOSPITAL SAO DOMINGOS LTDA. - SÃO LUÍS - MA - 11.006.293/0001-30"/>
    <n v="550"/>
  </r>
  <r>
    <x v="0"/>
    <x v="3"/>
    <x v="1"/>
    <n v="11022597001325"/>
    <x v="359"/>
    <s v="RECIFE"/>
    <s v="PE"/>
    <x v="3"/>
    <s v="FERNANDO LEONY (CO/NO/NE)"/>
    <n v="64"/>
    <x v="2"/>
    <s v="HOSPITAL UNIVERSITARIO OSWALDO CRUZ - RECIFE - PE - 11.022.597/0013-25"/>
    <n v="60"/>
  </r>
  <r>
    <x v="0"/>
    <x v="3"/>
    <x v="1"/>
    <n v="11022597001325"/>
    <x v="359"/>
    <s v="RECIFE"/>
    <s v="PE"/>
    <x v="3"/>
    <s v="FERNANDO LEONY (CO/NO/NE)"/>
    <n v="70"/>
    <x v="0"/>
    <s v="HOSPITAL UNIVERSITARIO OSWALDO CRUZ - RECIFE - PE - 11.022.597/0013-25"/>
    <n v="750"/>
  </r>
  <r>
    <x v="0"/>
    <x v="3"/>
    <x v="1"/>
    <n v="11022597001597"/>
    <x v="319"/>
    <s v="RECIFE"/>
    <s v="PE"/>
    <x v="3"/>
    <s v="FERNANDO LEONY (CO/NO/NE)"/>
    <n v="64"/>
    <x v="2"/>
    <s v="PRONTO S.CARDIOLOGICO DE PE.PROF.LUIZ TAVARES-PROCAPE - RECIFE - PE - 11.022.597/0015-97"/>
    <n v="25"/>
  </r>
  <r>
    <x v="0"/>
    <x v="3"/>
    <x v="1"/>
    <n v="11214624000470"/>
    <x v="320"/>
    <s v="RECIFE"/>
    <s v="PE"/>
    <x v="3"/>
    <s v="FERNANDO LEONY (CO/NO/NE)"/>
    <n v="73"/>
    <x v="1"/>
    <s v="HOSPITAL UNIMED RECIFE - RECIFE - PE - 11.214.624/0004-70"/>
    <n v="96"/>
  </r>
  <r>
    <x v="0"/>
    <x v="3"/>
    <x v="1"/>
    <n v="11214624001957"/>
    <x v="350"/>
    <s v="RECIFE"/>
    <s v="PE"/>
    <x v="3"/>
    <s v="FERNANDO LEONY (CO/NO/NE)"/>
    <n v="70"/>
    <x v="0"/>
    <s v="HOSPITAL UNIMED RECIFE III - RECIFE - PE - 11.214.624/0019-57"/>
    <n v="50"/>
  </r>
  <r>
    <x v="0"/>
    <x v="3"/>
    <x v="1"/>
    <n v="12307187000150"/>
    <x v="360"/>
    <s v="MACEIÓ"/>
    <s v="AL"/>
    <x v="3"/>
    <s v="FERNANDO LEONY (CO/NO/NE)"/>
    <n v="70"/>
    <x v="0"/>
    <s v="SANTA CASA DE MISERICORDIA DE MACEIO - MACEIÓ - AL - 12.307.187/0001-50"/>
    <n v="210"/>
  </r>
  <r>
    <x v="0"/>
    <x v="3"/>
    <x v="1"/>
    <n v="12361267011632"/>
    <x v="299"/>
    <s v="MANAUS"/>
    <s v="AM"/>
    <x v="3"/>
    <s v="FERNANDO LEONY (CO/NO/NE)"/>
    <n v="64"/>
    <x v="2"/>
    <s v="HOSPITAL SAO LUCAS - MANAUS - AM - 12.361.267/0116-32"/>
    <n v="1"/>
  </r>
  <r>
    <x v="0"/>
    <x v="3"/>
    <x v="1"/>
    <n v="12442737000496"/>
    <x v="300"/>
    <s v="MACEIÓ"/>
    <s v="AL"/>
    <x v="3"/>
    <s v="FERNANDO LEONY (CO/NO/NE)"/>
    <n v="70"/>
    <x v="0"/>
    <s v="HOSPITAL UNIMED - MACEIÓ - AL - 12.442.737/0004-96"/>
    <n v="420"/>
  </r>
  <r>
    <x v="0"/>
    <x v="3"/>
    <x v="1"/>
    <n v="13016332000106"/>
    <x v="301"/>
    <s v="ARACAJU"/>
    <s v="SE"/>
    <x v="3"/>
    <s v="FERNANDO LEONY (CO/NO/NE)"/>
    <n v="62"/>
    <x v="3"/>
    <s v="HOSPITAL DE CIRURGIA - ARACAJU - SE - 13.016.332/0001-06"/>
    <n v="6"/>
  </r>
  <r>
    <x v="0"/>
    <x v="3"/>
    <x v="1"/>
    <n v="13131370000100"/>
    <x v="302"/>
    <s v="ARACAJU"/>
    <s v="SE"/>
    <x v="3"/>
    <s v="FERNANDO LEONY (CO/NO/NE)"/>
    <n v="70"/>
    <x v="0"/>
    <s v="HOSPITAL SAO LUCAS - ARACAJU - SE - 13.131.370/0001-00"/>
    <n v="250"/>
  </r>
  <r>
    <x v="0"/>
    <x v="3"/>
    <x v="1"/>
    <n v="13131370000100"/>
    <x v="302"/>
    <s v="ARACAJU"/>
    <s v="SE"/>
    <x v="3"/>
    <s v="FERNANDO LEONY (CO/NO/NE)"/>
    <n v="73"/>
    <x v="1"/>
    <s v="HOSPITAL SAO LUCAS - ARACAJU - SE - 13.131.370/0001-00"/>
    <n v="46"/>
  </r>
  <r>
    <x v="0"/>
    <x v="3"/>
    <x v="1"/>
    <n v="15016827000160"/>
    <x v="306"/>
    <s v="CUIABÁ"/>
    <s v="MT"/>
    <x v="3"/>
    <s v="FERNANDO LEONY (CO/NO/NE)"/>
    <n v="64"/>
    <x v="2"/>
    <s v="CLINICA SOUZA BRITO - CUIABÁ - MT - 15.016.827/0001-60"/>
    <n v="1"/>
  </r>
  <r>
    <x v="0"/>
    <x v="3"/>
    <x v="1"/>
    <n v="15126437000224"/>
    <x v="307"/>
    <s v="TERESINA"/>
    <s v="PI"/>
    <x v="3"/>
    <s v="FERNANDO LEONY (CO/NO/NE)"/>
    <n v="64"/>
    <x v="2"/>
    <s v="EBSERH - HOSPITAL UNIVERSITARIO DO PIAUI - TERESINA - PI - 15.126.437/0002-24"/>
    <n v="10"/>
  </r>
  <r>
    <x v="0"/>
    <x v="3"/>
    <x v="1"/>
    <n v="15126437000739"/>
    <x v="309"/>
    <s v="NATAL"/>
    <s v="RN"/>
    <x v="3"/>
    <s v="FERNANDO LEONY (CO/NO/NE)"/>
    <n v="64"/>
    <x v="2"/>
    <s v="EMPRESA BRASILEIRA DE SERVICOS HOSPITALARES - EBSERH - NATAL - RN - 15.126.437/0007-39"/>
    <n v="60"/>
  </r>
  <r>
    <x v="0"/>
    <x v="3"/>
    <x v="1"/>
    <n v="15126437000739"/>
    <x v="309"/>
    <s v="NATAL"/>
    <s v="RN"/>
    <x v="3"/>
    <s v="FERNANDO LEONY (CO/NO/NE)"/>
    <n v="70"/>
    <x v="0"/>
    <s v="EMPRESA BRASILEIRA DE SERVICOS HOSPITALARES - EBSERH - NATAL - RN - 15.126.437/0007-39"/>
    <n v="400"/>
  </r>
  <r>
    <x v="0"/>
    <x v="3"/>
    <x v="1"/>
    <n v="15592785000106"/>
    <x v="313"/>
    <s v="ARACAJU"/>
    <s v="SE"/>
    <x v="3"/>
    <s v="FERNANDO LEONY (CO/NO/NE)"/>
    <n v="70"/>
    <x v="0"/>
    <s v="HOSPITAL UNIMED - ARACAJU - SE - 15.592.785/0001-06"/>
    <n v="35"/>
  </r>
  <r>
    <x v="0"/>
    <x v="3"/>
    <x v="1"/>
    <n v="16064313000577"/>
    <x v="330"/>
    <s v="ARACAJU"/>
    <s v="SE"/>
    <x v="3"/>
    <s v="FERNANDO LEONY (CO/NO/NE)"/>
    <n v="73"/>
    <x v="1"/>
    <s v="S O S VIDA SOLUCOES EM SAUDE - ARACAJU - SE - 16.064.313/0005-77"/>
    <n v="38"/>
  </r>
  <r>
    <x v="0"/>
    <x v="3"/>
    <x v="1"/>
    <n v="23813270000117"/>
    <x v="361"/>
    <s v="SÃO LUÍS"/>
    <s v="MA"/>
    <x v="3"/>
    <s v="FERNANDO LEONY (CO/NO/NE)"/>
    <n v="70"/>
    <x v="0"/>
    <s v="NATUS LUMINE MATERNIDADE - SÃO LUÍS - MA - 23.813.270/0001-17"/>
    <n v="35"/>
  </r>
  <r>
    <x v="0"/>
    <x v="3"/>
    <x v="1"/>
    <n v="29435005009851"/>
    <x v="322"/>
    <s v="NATAL"/>
    <s v="RN"/>
    <x v="3"/>
    <s v="FERNANDO LEONY (CO/NO/NE)"/>
    <n v="70"/>
    <x v="0"/>
    <s v="ESHO EMPRESA DE SERVICOS HOSPITALARES S.A. - NATAL - RN - 29.435.005/0098-51"/>
    <n v="100"/>
  </r>
  <r>
    <x v="0"/>
    <x v="3"/>
    <x v="1"/>
    <n v="33000167002155"/>
    <x v="334"/>
    <s v="SENADOR CANEDO"/>
    <s v="GO"/>
    <x v="3"/>
    <s v="FERNANDO LEONY (CO/NO/NE)"/>
    <n v="70"/>
    <x v="0"/>
    <s v="PETROBRAS - SENADOR CANEDO - GO - 33.000.167/0021-55"/>
    <n v="225"/>
  </r>
  <r>
    <x v="0"/>
    <x v="3"/>
    <x v="1"/>
    <n v="70524145000177"/>
    <x v="362"/>
    <s v="CUIABÁ"/>
    <s v="MT"/>
    <x v="3"/>
    <s v="FERNANDO LEONY (CO/NO/NE)"/>
    <n v="64"/>
    <x v="2"/>
    <s v="HOSPITAL SANTA ROSA - CUIABÁ - MT - 70.524.145/0001-77"/>
    <n v="2"/>
  </r>
  <r>
    <x v="0"/>
    <x v="3"/>
    <x v="1"/>
    <n v="84537141000138"/>
    <x v="363"/>
    <s v="MANAUS"/>
    <s v="AM"/>
    <x v="3"/>
    <s v="FERNANDO LEONY (CO/NO/NE)"/>
    <n v="62"/>
    <x v="3"/>
    <s v="SAMEL - MANAUS - AM - 84.537.141/0001-38"/>
    <n v="6"/>
  </r>
  <r>
    <x v="0"/>
    <x v="4"/>
    <x v="1"/>
    <n v="12371009253"/>
    <x v="250"/>
    <s v="BELÉM"/>
    <s v="PA"/>
    <x v="3"/>
    <s v="FERNANDO LEONY (CO/NO/NE)"/>
    <n v="73"/>
    <x v="1"/>
    <s v="PEDRO FLÁVIO - BELÉM - PA - 123.710.092-53"/>
    <n v="24"/>
  </r>
  <r>
    <x v="0"/>
    <x v="4"/>
    <x v="1"/>
    <n v="83925694404"/>
    <x v="252"/>
    <s v="JOÃO PESSOA"/>
    <s v="PB"/>
    <x v="3"/>
    <s v="FERNANDO LEONY (CO/NO/NE)"/>
    <n v="66"/>
    <x v="4"/>
    <s v="ROBERTO MOURA GRISI - JOÃO PESSOA - PB - 839.256.944-04"/>
    <n v="24"/>
  </r>
  <r>
    <x v="0"/>
    <x v="4"/>
    <x v="1"/>
    <n v="820737000150"/>
    <x v="256"/>
    <s v="NATAL"/>
    <s v="RN"/>
    <x v="3"/>
    <s v="FERNANDO LEONY (CO/NO/NE)"/>
    <n v="62"/>
    <x v="3"/>
    <s v="HOSPITAL DO CORACAO DE NATAL LTDA - NATAL - RN - 00.820.737/0001-50"/>
    <n v="9"/>
  </r>
  <r>
    <x v="0"/>
    <x v="4"/>
    <x v="1"/>
    <n v="820737000150"/>
    <x v="256"/>
    <s v="NATAL"/>
    <s v="RN"/>
    <x v="3"/>
    <s v="FERNANDO LEONY (CO/NO/NE)"/>
    <n v="64"/>
    <x v="2"/>
    <s v="HOSPITAL DO CORACAO DE NATAL LTDA - NATAL - RN - 00.820.737/0001-50"/>
    <n v="30"/>
  </r>
  <r>
    <x v="0"/>
    <x v="4"/>
    <x v="1"/>
    <n v="1011865000116"/>
    <x v="258"/>
    <s v="GOIÂNIA"/>
    <s v="GO"/>
    <x v="3"/>
    <s v="FERNANDO LEONY (CO/NO/NE)"/>
    <n v="70"/>
    <x v="0"/>
    <s v="INSTITUTO DE NEUROLOGIA - GOIÂNIA - GO - 01.011.865/0001-16"/>
    <n v="450"/>
  </r>
  <r>
    <x v="0"/>
    <x v="4"/>
    <x v="1"/>
    <n v="1277573000120"/>
    <x v="338"/>
    <s v="GOIÂNIA"/>
    <s v="GO"/>
    <x v="3"/>
    <s v="FERNANDO LEONY (CO/NO/NE)"/>
    <n v="64"/>
    <x v="2"/>
    <s v="INGOH - INSTITUTO GOIANO DE ONCOLOGIA E HEMATOLOGIA - GOIÂNIA - GO - 01.277.573/0001-20"/>
    <n v="11"/>
  </r>
  <r>
    <x v="0"/>
    <x v="4"/>
    <x v="1"/>
    <n v="1326206000179"/>
    <x v="259"/>
    <s v="CATALÃO"/>
    <s v="GO"/>
    <x v="3"/>
    <s v="FERNANDO LEONY (CO/NO/NE)"/>
    <n v="73"/>
    <x v="1"/>
    <s v="HOSPITAL E MATERNIDADE SAO NICOLAU - CATALÃO - GO - 01.326.206/0001-79"/>
    <n v="26"/>
  </r>
  <r>
    <x v="0"/>
    <x v="4"/>
    <x v="1"/>
    <n v="1454407000151"/>
    <x v="261"/>
    <s v="MACEIÓ"/>
    <s v="AL"/>
    <x v="3"/>
    <s v="FERNANDO LEONY (CO/NO/NE)"/>
    <n v="70"/>
    <x v="0"/>
    <s v="HOSPITAL DO CORACAO DE ALAGOAS - MACEIÓ - AL - 01.454.407/0001-51"/>
    <n v="180"/>
  </r>
  <r>
    <x v="0"/>
    <x v="4"/>
    <x v="1"/>
    <n v="1757351000104"/>
    <x v="263"/>
    <s v="CUIABÁ"/>
    <s v="MT"/>
    <x v="3"/>
    <s v="FERNANDO LEONY (CO/NO/NE)"/>
    <n v="62"/>
    <x v="3"/>
    <s v="COMPLEXO HOSPITALAR JARDIM CUIABA - CUIABÁ - MT - 01.757.351/0001-04"/>
    <n v="4"/>
  </r>
  <r>
    <x v="0"/>
    <x v="4"/>
    <x v="1"/>
    <n v="1757351000104"/>
    <x v="263"/>
    <s v="CUIABÁ"/>
    <s v="MT"/>
    <x v="3"/>
    <s v="FERNANDO LEONY (CO/NO/NE)"/>
    <n v="64"/>
    <x v="2"/>
    <s v="COMPLEXO HOSPITALAR JARDIM CUIABA - CUIABÁ - MT - 01.757.351/0001-04"/>
    <n v="5"/>
  </r>
  <r>
    <x v="0"/>
    <x v="4"/>
    <x v="1"/>
    <n v="2284062001170"/>
    <x v="265"/>
    <s v="SÃO LUÍS"/>
    <s v="MA"/>
    <x v="3"/>
    <s v="FERNANDO LEONY (CO/NO/NE)"/>
    <n v="64"/>
    <x v="2"/>
    <s v="UDI HOSPITAL - SÃO LUÍS - MA - 02.284.062/0011-70"/>
    <n v="2"/>
  </r>
  <r>
    <x v="0"/>
    <x v="4"/>
    <x v="1"/>
    <n v="2476067000203"/>
    <x v="267"/>
    <s v="GOIÂNIA"/>
    <s v="GO"/>
    <x v="3"/>
    <s v="FERNANDO LEONY (CO/NO/NE)"/>
    <n v="73"/>
    <x v="1"/>
    <s v="SERVICO DE ATENDIMENTO UNIMED - GOIÂNIA - GO - 02.476.067/0002-03"/>
    <n v="58"/>
  </r>
  <r>
    <x v="0"/>
    <x v="4"/>
    <x v="1"/>
    <n v="2476067000394"/>
    <x v="268"/>
    <s v="GOIÂNIA"/>
    <s v="GO"/>
    <x v="3"/>
    <s v="FERNANDO LEONY (CO/NO/NE)"/>
    <n v="70"/>
    <x v="0"/>
    <s v="CENTRO CLINICO UNIMED - GOIÂNIA - GO - 02.476.067/0003-94"/>
    <n v="135"/>
  </r>
  <r>
    <x v="0"/>
    <x v="4"/>
    <x v="1"/>
    <n v="3091003000176"/>
    <x v="281"/>
    <s v="ARACAJU"/>
    <s v="SE"/>
    <x v="3"/>
    <s v="FERNANDO LEONY (CO/NO/NE)"/>
    <n v="70"/>
    <x v="0"/>
    <s v="ONCO HEMATOS S/S LTDA - ME - ARACAJU - SE - 03.091.003/0001-76"/>
    <n v="175"/>
  </r>
  <r>
    <x v="0"/>
    <x v="4"/>
    <x v="1"/>
    <n v="3315918000541"/>
    <x v="364"/>
    <s v="CAMPO GRANDE"/>
    <s v="MS"/>
    <x v="3"/>
    <s v="FERNANDO LEONY (CO/NO/NE)"/>
    <n v="70"/>
    <x v="0"/>
    <s v="HOSPITAL UNIMED - CAMPO GRANDE - MS - 03.315.918/0005-41"/>
    <n v="50"/>
  </r>
  <r>
    <x v="0"/>
    <x v="4"/>
    <x v="1"/>
    <n v="3866223000124"/>
    <x v="284"/>
    <s v="MACEIÓ"/>
    <s v="AL"/>
    <x v="3"/>
    <s v="FERNANDO LEONY (CO/NO/NE)"/>
    <n v="70"/>
    <x v="0"/>
    <s v="MEDRADIUS - MACEIÓ - AL - 03.866.223/0001-24"/>
    <n v="420"/>
  </r>
  <r>
    <x v="0"/>
    <x v="4"/>
    <x v="1"/>
    <n v="3925419000142"/>
    <x v="272"/>
    <s v="CUIABÁ"/>
    <s v="MT"/>
    <x v="3"/>
    <s v="FERNANDO LEONY (CO/NO/NE)"/>
    <n v="64"/>
    <x v="2"/>
    <s v="HOSPITAL AMECOR - CUIABÁ - MT - 03.925.419/0001-42"/>
    <n v="9"/>
  </r>
  <r>
    <x v="0"/>
    <x v="4"/>
    <x v="1"/>
    <n v="4201372001028"/>
    <x v="273"/>
    <s v="BELÉM"/>
    <s v="PA"/>
    <x v="3"/>
    <s v="FERNANDO LEONY (CO/NO/NE)"/>
    <n v="73"/>
    <x v="1"/>
    <s v="UNIMED DE BELEM COOPERATIVA DE TRABALHO MEDICO - BELÉM - PA - 04.201.372/0010-28"/>
    <n v="48"/>
  </r>
  <r>
    <x v="0"/>
    <x v="4"/>
    <x v="1"/>
    <n v="4929345000185"/>
    <x v="365"/>
    <s v="BELÉM"/>
    <s v="PA"/>
    <x v="3"/>
    <s v="FERNANDO LEONY (CO/NO/NE)"/>
    <n v="62"/>
    <x v="3"/>
    <s v="FUNDACAO SANTA CASA - BELÉM - PA - 04.929.345/0001-85"/>
    <n v="25"/>
  </r>
  <r>
    <x v="0"/>
    <x v="4"/>
    <x v="1"/>
    <n v="4929345000185"/>
    <x v="365"/>
    <s v="BELÉM"/>
    <s v="PA"/>
    <x v="3"/>
    <s v="FERNANDO LEONY (CO/NO/NE)"/>
    <n v="64"/>
    <x v="2"/>
    <s v="FUNDACAO SANTA CASA - BELÉM - PA - 04.929.345/0001-85"/>
    <n v="25"/>
  </r>
  <r>
    <x v="0"/>
    <x v="4"/>
    <x v="1"/>
    <n v="4929345000185"/>
    <x v="365"/>
    <s v="BELÉM"/>
    <s v="PA"/>
    <x v="3"/>
    <s v="FERNANDO LEONY (CO/NO/NE)"/>
    <n v="70"/>
    <x v="0"/>
    <s v="FUNDACAO SANTA CASA - BELÉM - PA - 04.929.345/0001-85"/>
    <n v="625"/>
  </r>
  <r>
    <x v="0"/>
    <x v="4"/>
    <x v="1"/>
    <n v="4929345000185"/>
    <x v="365"/>
    <s v="BELÉM"/>
    <s v="PA"/>
    <x v="3"/>
    <s v="FERNANDO LEONY (CO/NO/NE)"/>
    <n v="73"/>
    <x v="1"/>
    <s v="FUNDACAO SANTA CASA - BELÉM - PA - 04.929.345/0001-85"/>
    <n v="50"/>
  </r>
  <r>
    <x v="0"/>
    <x v="4"/>
    <x v="1"/>
    <n v="5430118000173"/>
    <x v="366"/>
    <s v="LUÍS EDUARDO MAGALHÃES"/>
    <s v="BA"/>
    <x v="3"/>
    <s v="FERNANDO LEONY (CO/NO/NE)"/>
    <n v="73"/>
    <x v="1"/>
    <s v="CLINICA SAO CAMILO - LUÍS EDUARDO MAGALHÃES - BA - 05.430.118/0001-73"/>
    <n v="12"/>
  </r>
  <r>
    <x v="0"/>
    <x v="4"/>
    <x v="1"/>
    <n v="5612725000154"/>
    <x v="346"/>
    <s v="MACEIÓ"/>
    <s v="AL"/>
    <x v="3"/>
    <s v="FERNANDO LEONY (CO/NO/NE)"/>
    <n v="70"/>
    <x v="0"/>
    <s v="CLIOM - MACEIÓ - AL - 05.612.725/0001-54"/>
    <n v="30"/>
  </r>
  <r>
    <x v="0"/>
    <x v="4"/>
    <x v="1"/>
    <n v="6553564000138"/>
    <x v="367"/>
    <s v="TERESINA"/>
    <s v="PI"/>
    <x v="3"/>
    <s v="FERNANDO LEONY (CO/NO/NE)"/>
    <n v="70"/>
    <x v="0"/>
    <s v="PIAUI SECRETARIA DE SAUDE - TERESINA - PI - 06.553.564/0001-38"/>
    <n v="210"/>
  </r>
  <r>
    <x v="0"/>
    <x v="4"/>
    <x v="1"/>
    <n v="6555031000276"/>
    <x v="282"/>
    <s v="TERESINA"/>
    <s v="PI"/>
    <x v="3"/>
    <s v="FERNANDO LEONY (CO/NO/NE)"/>
    <n v="64"/>
    <x v="2"/>
    <s v="HOSPITAL UNIMED PRIMAVERA - TERESINA - PI - 06.555.031/0002-76"/>
    <n v="5"/>
  </r>
  <r>
    <x v="0"/>
    <x v="4"/>
    <x v="1"/>
    <n v="6555031000276"/>
    <x v="282"/>
    <s v="TERESINA"/>
    <s v="PI"/>
    <x v="3"/>
    <s v="FERNANDO LEONY (CO/NO/NE)"/>
    <n v="73"/>
    <x v="1"/>
    <s v="HOSPITAL UNIMED PRIMAVERA - TERESINA - PI - 06.555.031/0002-76"/>
    <n v="64"/>
  </r>
  <r>
    <x v="0"/>
    <x v="4"/>
    <x v="1"/>
    <n v="7775847000278"/>
    <x v="311"/>
    <s v="DOURADOS"/>
    <s v="MS"/>
    <x v="3"/>
    <s v="FERNANDO LEONY (CO/NO/NE)"/>
    <n v="70"/>
    <x v="0"/>
    <s v="HOSPITAL UNIVERSITARIO DA UFGD - DOURADOS - MS - 07.775.847/0002-78"/>
    <n v="360"/>
  </r>
  <r>
    <x v="0"/>
    <x v="4"/>
    <x v="1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52"/>
  </r>
  <r>
    <x v="0"/>
    <x v="4"/>
    <x v="1"/>
    <n v="10839561000132"/>
    <x v="292"/>
    <s v="RECIFE"/>
    <s v="PE"/>
    <x v="3"/>
    <s v="FERNANDO LEONY (CO/NO/NE)"/>
    <n v="73"/>
    <x v="1"/>
    <s v="SANTA JOANA - RECIFE - PE - 10.839.561/0001-32"/>
    <n v="8"/>
  </r>
  <r>
    <x v="0"/>
    <x v="4"/>
    <x v="1"/>
    <n v="10892164000124"/>
    <x v="293"/>
    <s v="RECIFE"/>
    <s v="PE"/>
    <x v="3"/>
    <s v="FERNANDO LEONY (CO/NO/NE)"/>
    <n v="64"/>
    <x v="2"/>
    <s v="HOSPITAL PORTUGUES - RECIFE - PE - 10.892.164/0001-24"/>
    <n v="10"/>
  </r>
  <r>
    <x v="0"/>
    <x v="4"/>
    <x v="1"/>
    <n v="10892164000124"/>
    <x v="293"/>
    <s v="RECIFE"/>
    <s v="PE"/>
    <x v="3"/>
    <s v="FERNANDO LEONY (CO/NO/NE)"/>
    <n v="73"/>
    <x v="1"/>
    <s v="HOSPITAL PORTUGUES - RECIFE - PE - 10.892.164/0001-24"/>
    <n v="60"/>
  </r>
  <r>
    <x v="0"/>
    <x v="4"/>
    <x v="1"/>
    <n v="11006293000130"/>
    <x v="295"/>
    <s v="SÃO LUÍS"/>
    <s v="MA"/>
    <x v="3"/>
    <s v="FERNANDO LEONY (CO/NO/NE)"/>
    <n v="62"/>
    <x v="3"/>
    <s v="HOSPITAL SAO DOMINGOS LTDA. - SÃO LUÍS - MA - 11.006.293/0001-30"/>
    <n v="1"/>
  </r>
  <r>
    <x v="0"/>
    <x v="4"/>
    <x v="1"/>
    <n v="11006293000130"/>
    <x v="295"/>
    <s v="SÃO LUÍS"/>
    <s v="MA"/>
    <x v="3"/>
    <s v="FERNANDO LEONY (CO/NO/NE)"/>
    <n v="70"/>
    <x v="0"/>
    <s v="HOSPITAL SAO DOMINGOS LTDA. - SÃO LUÍS - MA - 11.006.293/0001-30"/>
    <n v="500"/>
  </r>
  <r>
    <x v="0"/>
    <x v="4"/>
    <x v="1"/>
    <n v="11214624000470"/>
    <x v="320"/>
    <s v="RECIFE"/>
    <s v="PE"/>
    <x v="3"/>
    <s v="FERNANDO LEONY (CO/NO/NE)"/>
    <n v="70"/>
    <x v="0"/>
    <s v="HOSPITAL UNIMED RECIFE - RECIFE - PE - 11.214.624/0004-70"/>
    <n v="50"/>
  </r>
  <r>
    <x v="0"/>
    <x v="4"/>
    <x v="1"/>
    <n v="11836436000131"/>
    <x v="368"/>
    <s v="RONDONÓPOLIS"/>
    <s v="MT"/>
    <x v="3"/>
    <s v="FERNANDO LEONY (CO/NO/NE)"/>
    <n v="70"/>
    <x v="0"/>
    <s v="NUTEC ROO - RONDONÓPOLIS - MT - 11.836.436/0001-31"/>
    <n v="25"/>
  </r>
  <r>
    <x v="0"/>
    <x v="4"/>
    <x v="1"/>
    <n v="12361267000517"/>
    <x v="297"/>
    <s v="ARACAJU"/>
    <s v="SE"/>
    <x v="3"/>
    <s v="FERNANDO LEONY (CO/NO/NE)"/>
    <n v="64"/>
    <x v="2"/>
    <s v="CENTRO MEDICO GABRIEL SOARES - ARACAJU - SE - 12.361.267/0005-17"/>
    <n v="2"/>
  </r>
  <r>
    <x v="0"/>
    <x v="4"/>
    <x v="1"/>
    <n v="12361267000517"/>
    <x v="297"/>
    <s v="ARACAJU"/>
    <s v="SE"/>
    <x v="3"/>
    <s v="FERNANDO LEONY (CO/NO/NE)"/>
    <n v="70"/>
    <x v="0"/>
    <s v="CENTRO MEDICO GABRIEL SOARES - ARACAJU - SE - 12.361.267/0005-17"/>
    <n v="30"/>
  </r>
  <r>
    <x v="0"/>
    <x v="4"/>
    <x v="1"/>
    <n v="12361267000789"/>
    <x v="351"/>
    <s v="SÃO LUÍS"/>
    <s v="MA"/>
    <x v="3"/>
    <s v="FERNANDO LEONY (CO/NO/NE)"/>
    <n v="62"/>
    <x v="3"/>
    <s v="HOSPITAL GUARAS - SÃO LUÍS - MA - 12.361.267/0007-89"/>
    <n v="2"/>
  </r>
  <r>
    <x v="0"/>
    <x v="4"/>
    <x v="1"/>
    <n v="12361267000789"/>
    <x v="351"/>
    <s v="SÃO LUÍS"/>
    <s v="MA"/>
    <x v="3"/>
    <s v="FERNANDO LEONY (CO/NO/NE)"/>
    <n v="64"/>
    <x v="2"/>
    <s v="HOSPITAL GUARAS - SÃO LUÍS - MA - 12.361.267/0007-89"/>
    <n v="-2"/>
  </r>
  <r>
    <x v="0"/>
    <x v="4"/>
    <x v="1"/>
    <n v="12361267000789"/>
    <x v="351"/>
    <s v="SÃO LUÍS"/>
    <s v="MA"/>
    <x v="3"/>
    <s v="FERNANDO LEONY (CO/NO/NE)"/>
    <n v="70"/>
    <x v="0"/>
    <s v="HOSPITAL GUARAS - SÃO LUÍS - MA - 12.361.267/0007-89"/>
    <n v="20"/>
  </r>
  <r>
    <x v="0"/>
    <x v="4"/>
    <x v="1"/>
    <n v="12361267003370"/>
    <x v="369"/>
    <s v="BELÉM"/>
    <s v="PA"/>
    <x v="3"/>
    <s v="FERNANDO LEONY (CO/NO/NE)"/>
    <n v="62"/>
    <x v="3"/>
    <s v="DEPOSITO-ARMAZEM BELEM/PA - BELÉM - PA - 12.361.267/0033-70"/>
    <n v="4"/>
  </r>
  <r>
    <x v="0"/>
    <x v="4"/>
    <x v="1"/>
    <n v="12361267003370"/>
    <x v="369"/>
    <s v="BELÉM"/>
    <s v="PA"/>
    <x v="3"/>
    <s v="FERNANDO LEONY (CO/NO/NE)"/>
    <n v="70"/>
    <x v="0"/>
    <s v="DEPOSITO-ARMAZEM BELEM/PA - BELÉM - PA - 12.361.267/0033-70"/>
    <n v="305"/>
  </r>
  <r>
    <x v="0"/>
    <x v="4"/>
    <x v="1"/>
    <n v="12361267005748"/>
    <x v="370"/>
    <s v="JABOATÃO DOS GUARARAPES"/>
    <s v="PE"/>
    <x v="3"/>
    <s v="FERNANDO LEONY (CO/NO/NE)"/>
    <n v="62"/>
    <x v="3"/>
    <s v="DEPOSITO - ARMAZEM JABOATAO DOS GUARARAPES/PE - JABOATÃO DOS GUARARAPES - PE - 12.361.267/0057-48"/>
    <n v="4"/>
  </r>
  <r>
    <x v="0"/>
    <x v="4"/>
    <x v="1"/>
    <n v="12361267008410"/>
    <x v="354"/>
    <s v="MARACANAÚ"/>
    <s v="CE"/>
    <x v="3"/>
    <s v="FERNANDO LEONY (CO/NO/NE)"/>
    <n v="62"/>
    <x v="3"/>
    <s v="HOSPITAL ANA LIMA - MARACANAÚ - CE - 12.361.267/0084-10"/>
    <n v="2"/>
  </r>
  <r>
    <x v="0"/>
    <x v="4"/>
    <x v="1"/>
    <n v="12361267010407"/>
    <x v="326"/>
    <s v="FEIRA DE SANTANA"/>
    <s v="BA"/>
    <x v="3"/>
    <s v="FERNANDO LEONY (CO/NO/NE)"/>
    <n v="62"/>
    <x v="3"/>
    <s v="HOSPITAL FRANCISCA DE SANDE - FEIRA DE SANTANA - BA - 12.361.267/0104-07"/>
    <n v="2"/>
  </r>
  <r>
    <x v="0"/>
    <x v="4"/>
    <x v="1"/>
    <n v="12442737000496"/>
    <x v="300"/>
    <s v="MACEIÓ"/>
    <s v="AL"/>
    <x v="3"/>
    <s v="FERNANDO LEONY (CO/NO/NE)"/>
    <n v="70"/>
    <x v="0"/>
    <s v="HOSPITAL UNIMED - MACEIÓ - AL - 12.442.737/0004-96"/>
    <n v="1085"/>
  </r>
  <r>
    <x v="0"/>
    <x v="4"/>
    <x v="1"/>
    <n v="13016332000106"/>
    <x v="301"/>
    <s v="ARACAJU"/>
    <s v="SE"/>
    <x v="3"/>
    <s v="FERNANDO LEONY (CO/NO/NE)"/>
    <n v="62"/>
    <x v="3"/>
    <s v="HOSPITAL DE CIRURGIA - ARACAJU - SE - 13.016.332/0001-06"/>
    <n v="4"/>
  </r>
  <r>
    <x v="0"/>
    <x v="4"/>
    <x v="1"/>
    <n v="13131370000100"/>
    <x v="302"/>
    <s v="ARACAJU"/>
    <s v="SE"/>
    <x v="3"/>
    <s v="FERNANDO LEONY (CO/NO/NE)"/>
    <n v="64"/>
    <x v="2"/>
    <s v="HOSPITAL SAO LUCAS - ARACAJU - SE - 13.131.370/0001-00"/>
    <n v="4"/>
  </r>
  <r>
    <x v="0"/>
    <x v="4"/>
    <x v="1"/>
    <n v="13131370000100"/>
    <x v="302"/>
    <s v="ARACAJU"/>
    <s v="SE"/>
    <x v="3"/>
    <s v="FERNANDO LEONY (CO/NO/NE)"/>
    <n v="70"/>
    <x v="0"/>
    <s v="HOSPITAL SAO LUCAS - ARACAJU - SE - 13.131.370/0001-00"/>
    <n v="200"/>
  </r>
  <r>
    <x v="0"/>
    <x v="4"/>
    <x v="1"/>
    <n v="13131370000100"/>
    <x v="302"/>
    <s v="ARACAJU"/>
    <s v="SE"/>
    <x v="3"/>
    <s v="FERNANDO LEONY (CO/NO/NE)"/>
    <n v="73"/>
    <x v="1"/>
    <s v="HOSPITAL SAO LUCAS - ARACAJU - SE - 13.131.370/0001-00"/>
    <n v="66"/>
  </r>
  <r>
    <x v="0"/>
    <x v="4"/>
    <x v="1"/>
    <n v="15016827000160"/>
    <x v="306"/>
    <s v="CUIABÁ"/>
    <s v="MT"/>
    <x v="3"/>
    <s v="FERNANDO LEONY (CO/NO/NE)"/>
    <n v="64"/>
    <x v="2"/>
    <s v="CLINICA SOUZA BRITO - CUIABÁ - MT - 15.016.827/0001-60"/>
    <n v="14"/>
  </r>
  <r>
    <x v="0"/>
    <x v="4"/>
    <x v="1"/>
    <n v="15126437000224"/>
    <x v="307"/>
    <s v="TERESINA"/>
    <s v="PI"/>
    <x v="3"/>
    <s v="FERNANDO LEONY (CO/NO/NE)"/>
    <n v="64"/>
    <x v="2"/>
    <s v="EBSERH - HOSPITAL UNIVERSITARIO DO PIAUI - TERESINA - PI - 15.126.437/0002-24"/>
    <n v="10"/>
  </r>
  <r>
    <x v="0"/>
    <x v="4"/>
    <x v="1"/>
    <n v="15126437000739"/>
    <x v="309"/>
    <s v="NATAL"/>
    <s v="RN"/>
    <x v="3"/>
    <s v="FERNANDO LEONY (CO/NO/NE)"/>
    <n v="64"/>
    <x v="2"/>
    <s v="EMPRESA BRASILEIRA DE SERVICOS HOSPITALARES - EBSERH - NATAL - RN - 15.126.437/0007-39"/>
    <n v="500"/>
  </r>
  <r>
    <x v="0"/>
    <x v="4"/>
    <x v="1"/>
    <n v="15126437003240"/>
    <x v="371"/>
    <s v="CAMPINA GRANDE"/>
    <s v="PB"/>
    <x v="3"/>
    <s v="FERNANDO LEONY (CO/NO/NE)"/>
    <n v="70"/>
    <x v="0"/>
    <s v="HOSPITAL UNIVERSITARIO ALCIDES CARNEIRO - CAMPINA GRANDE - PB - PRIVADO - 15.126.437/0032-40"/>
    <n v="75"/>
  </r>
  <r>
    <x v="0"/>
    <x v="4"/>
    <x v="1"/>
    <n v="16064313000577"/>
    <x v="330"/>
    <s v="ARACAJU"/>
    <s v="SE"/>
    <x v="3"/>
    <s v="FERNANDO LEONY (CO/NO/NE)"/>
    <n v="73"/>
    <x v="1"/>
    <s v="S O S VIDA SOLUCOES EM SAUDE - ARACAJU - SE - 16.064.313/0005-77"/>
    <n v="21"/>
  </r>
  <r>
    <x v="0"/>
    <x v="4"/>
    <x v="1"/>
    <n v="27456372000183"/>
    <x v="372"/>
    <s v="GOIÂNIA"/>
    <s v="GO"/>
    <x v="3"/>
    <s v="FERNANDO LEONY (CO/NO/NE)"/>
    <n v="64"/>
    <x v="2"/>
    <s v="INSTITUTO HAVER - GOIÂNIA - GO - 27.456.372/0001-83"/>
    <n v="2"/>
  </r>
  <r>
    <x v="0"/>
    <x v="4"/>
    <x v="1"/>
    <n v="29435005009851"/>
    <x v="322"/>
    <s v="NATAL"/>
    <s v="RN"/>
    <x v="3"/>
    <s v="FERNANDO LEONY (CO/NO/NE)"/>
    <n v="64"/>
    <x v="2"/>
    <s v="ESHO EMPRESA DE SERVICOS HOSPITALARES S.A. - NATAL - RN - 29.435.005/0098-51"/>
    <n v="25"/>
  </r>
  <r>
    <x v="0"/>
    <x v="4"/>
    <x v="1"/>
    <n v="29435005009851"/>
    <x v="322"/>
    <s v="NATAL"/>
    <s v="RN"/>
    <x v="3"/>
    <s v="FERNANDO LEONY (CO/NO/NE)"/>
    <n v="70"/>
    <x v="0"/>
    <s v="ESHO EMPRESA DE SERVICOS HOSPITALARES S.A. - NATAL - RN - 29.435.005/0098-51"/>
    <n v="175"/>
  </r>
  <r>
    <x v="0"/>
    <x v="4"/>
    <x v="1"/>
    <n v="83367342000252"/>
    <x v="333"/>
    <s v="BELÉM"/>
    <s v="PA"/>
    <x v="3"/>
    <s v="FERNANDO LEONY (CO/NO/NE)"/>
    <n v="64"/>
    <x v="2"/>
    <s v="HOSPITAL ADVENTISTA DE BELEM - BELÉM - PA - 83.367.342/0002-52"/>
    <n v="10"/>
  </r>
  <r>
    <x v="0"/>
    <x v="4"/>
    <x v="1"/>
    <n v="83367342000252"/>
    <x v="333"/>
    <s v="BELÉM"/>
    <s v="PA"/>
    <x v="3"/>
    <s v="FERNANDO LEONY (CO/NO/NE)"/>
    <n v="70"/>
    <x v="0"/>
    <s v="HOSPITAL ADVENTISTA DE BELEM - BELÉM - PA - 83.367.342/0002-52"/>
    <n v="25"/>
  </r>
  <r>
    <x v="0"/>
    <x v="4"/>
    <x v="1"/>
    <n v="84537141000138"/>
    <x v="363"/>
    <s v="MANAUS"/>
    <s v="AM"/>
    <x v="3"/>
    <s v="FERNANDO LEONY (CO/NO/NE)"/>
    <n v="64"/>
    <x v="2"/>
    <s v="SAMEL - MANAUS - AM - 84.537.141/0001-38"/>
    <n v="3"/>
  </r>
  <r>
    <x v="0"/>
    <x v="5"/>
    <x v="1"/>
    <n v="1325113204"/>
    <x v="373"/>
    <s v="@ Não Informado"/>
    <s v="PA"/>
    <x v="3"/>
    <s v="FERNANDO LEONY (CO/NO/NE)"/>
    <n v="73"/>
    <x v="1"/>
    <s v="Mariana Nasser Arouca Lamas - BELÉM -PA -013.251.132-04"/>
    <n v="4"/>
  </r>
  <r>
    <x v="0"/>
    <x v="5"/>
    <x v="1"/>
    <n v="12371009253"/>
    <x v="250"/>
    <s v="BELÉM"/>
    <s v="PA"/>
    <x v="3"/>
    <s v="FERNANDO LEONY (CO/NO/NE)"/>
    <n v="73"/>
    <x v="1"/>
    <s v="PEDRO FLÁVIO - BELÉM - PA - 123.710.092-53"/>
    <n v="12"/>
  </r>
  <r>
    <x v="0"/>
    <x v="5"/>
    <x v="1"/>
    <n v="93326645287"/>
    <x v="336"/>
    <s v="BELÉM"/>
    <s v="PA"/>
    <x v="3"/>
    <s v="FERNANDO LEONY (CO/NO/NE)"/>
    <n v="73"/>
    <x v="1"/>
    <s v="TAIANA ANGELICA LUZ _x000d__x000a_ - BELÉM - PA - 933.266.452-87"/>
    <n v="12"/>
  </r>
  <r>
    <x v="0"/>
    <x v="5"/>
    <x v="1"/>
    <n v="1011865000116"/>
    <x v="258"/>
    <s v="GOIÂNIA"/>
    <s v="GO"/>
    <x v="3"/>
    <s v="FERNANDO LEONY (CO/NO/NE)"/>
    <n v="70"/>
    <x v="0"/>
    <s v="INSTITUTO DE NEUROLOGIA - GOIÂNIA - GO - 01.011.865/0001-16"/>
    <n v="1150"/>
  </r>
  <r>
    <x v="0"/>
    <x v="5"/>
    <x v="1"/>
    <n v="1326206000179"/>
    <x v="259"/>
    <s v="CATALÃO"/>
    <s v="GO"/>
    <x v="3"/>
    <s v="FERNANDO LEONY (CO/NO/NE)"/>
    <n v="73"/>
    <x v="1"/>
    <s v="HOSPITAL E MATERNIDADE SAO NICOLAU - CATALÃO - GO - 01.326.206/0001-79"/>
    <n v="44"/>
  </r>
  <r>
    <x v="0"/>
    <x v="5"/>
    <x v="1"/>
    <n v="1454407000151"/>
    <x v="261"/>
    <s v="MACEIÓ"/>
    <s v="AL"/>
    <x v="3"/>
    <s v="FERNANDO LEONY (CO/NO/NE)"/>
    <n v="70"/>
    <x v="0"/>
    <s v="HOSPITAL DO CORACAO DE ALAGOAS - MACEIÓ - AL - 01.454.407/0001-51"/>
    <n v="100"/>
  </r>
  <r>
    <x v="0"/>
    <x v="5"/>
    <x v="1"/>
    <n v="1507901000137"/>
    <x v="262"/>
    <s v="NATAL"/>
    <s v="RN"/>
    <x v="3"/>
    <s v="FERNANDO LEONY (CO/NO/NE)"/>
    <n v="70"/>
    <x v="0"/>
    <s v="INCOR NATAL - NATAL - RN - 01.507.901/0001-37"/>
    <n v="75"/>
  </r>
  <r>
    <x v="0"/>
    <x v="5"/>
    <x v="1"/>
    <n v="1545649000150"/>
    <x v="374"/>
    <s v="GOIÂNIA"/>
    <s v="GO"/>
    <x v="3"/>
    <s v="FERNANDO LEONY (CO/NO/NE)"/>
    <n v="70"/>
    <x v="0"/>
    <s v="PRONTO SOCORRO INFANTIL DE GOIANIA LTDA - GOIÂNIA - GO - 01.545.649/0001-50"/>
    <n v="80"/>
  </r>
  <r>
    <x v="0"/>
    <x v="5"/>
    <x v="1"/>
    <n v="2284062000106"/>
    <x v="277"/>
    <s v="RECIFE"/>
    <s v="PE"/>
    <x v="3"/>
    <s v="FERNANDO LEONY (CO/NO/NE)"/>
    <n v="64"/>
    <x v="2"/>
    <s v="HOSPITAL ESPERANCA (REDE DOR) - RECIFE - PE - 02.284.062/0001-06"/>
    <n v="2"/>
  </r>
  <r>
    <x v="0"/>
    <x v="5"/>
    <x v="1"/>
    <n v="2284062001170"/>
    <x v="265"/>
    <s v="SÃO LUÍS"/>
    <s v="MA"/>
    <x v="3"/>
    <s v="FERNANDO LEONY (CO/NO/NE)"/>
    <n v="64"/>
    <x v="2"/>
    <s v="UDI HOSPITAL - SÃO LUÍS - MA - 02.284.062/0011-70"/>
    <n v="3"/>
  </r>
  <r>
    <x v="0"/>
    <x v="5"/>
    <x v="1"/>
    <n v="2284062001170"/>
    <x v="265"/>
    <s v="SÃO LUÍS"/>
    <s v="MA"/>
    <x v="3"/>
    <s v="FERNANDO LEONY (CO/NO/NE)"/>
    <n v="70"/>
    <x v="0"/>
    <s v="UDI HOSPITAL - SÃO LUÍS - MA - 02.284.062/0011-70"/>
    <n v="75"/>
  </r>
  <r>
    <x v="0"/>
    <x v="5"/>
    <x v="1"/>
    <n v="2476067000203"/>
    <x v="267"/>
    <s v="GOIÂNIA"/>
    <s v="GO"/>
    <x v="3"/>
    <s v="FERNANDO LEONY (CO/NO/NE)"/>
    <n v="73"/>
    <x v="1"/>
    <s v="SERVICO DE ATENDIMENTO UNIMED - GOIÂNIA - GO - 02.476.067/0002-03"/>
    <n v="110"/>
  </r>
  <r>
    <x v="0"/>
    <x v="5"/>
    <x v="1"/>
    <n v="2476067000394"/>
    <x v="268"/>
    <s v="GOIÂNIA"/>
    <s v="GO"/>
    <x v="3"/>
    <s v="FERNANDO LEONY (CO/NO/NE)"/>
    <n v="70"/>
    <x v="0"/>
    <s v="CENTRO CLINICO UNIMED - GOIÂNIA - GO - 02.476.067/0003-94"/>
    <n v="135"/>
  </r>
  <r>
    <x v="0"/>
    <x v="5"/>
    <x v="1"/>
    <n v="3533726001583"/>
    <x v="270"/>
    <s v="ACORIZAL"/>
    <s v="MT"/>
    <x v="3"/>
    <s v="FERNANDO LEONY (CO/NO/NE)"/>
    <n v="70"/>
    <x v="0"/>
    <s v="CENTRO DE ESPECIALIDADES MEDICAS UNIMED FACIL - ACORIZAL - MT - 03.533.726/0015-83"/>
    <n v="155"/>
  </r>
  <r>
    <x v="0"/>
    <x v="5"/>
    <x v="1"/>
    <n v="3866223000124"/>
    <x v="284"/>
    <s v="MACEIÓ"/>
    <s v="AL"/>
    <x v="3"/>
    <s v="FERNANDO LEONY (CO/NO/NE)"/>
    <n v="70"/>
    <x v="0"/>
    <s v="MEDRADIUS - MACEIÓ - AL - 03.866.223/0001-24"/>
    <n v="1395"/>
  </r>
  <r>
    <x v="0"/>
    <x v="5"/>
    <x v="1"/>
    <n v="3925419000142"/>
    <x v="272"/>
    <s v="CUIABÁ"/>
    <s v="MT"/>
    <x v="3"/>
    <s v="FERNANDO LEONY (CO/NO/NE)"/>
    <n v="64"/>
    <x v="2"/>
    <s v="HOSPITAL AMECOR - CUIABÁ - MT - 03.925.419/0001-42"/>
    <n v="3"/>
  </r>
  <r>
    <x v="0"/>
    <x v="5"/>
    <x v="1"/>
    <n v="4201372001028"/>
    <x v="273"/>
    <s v="BELÉM"/>
    <s v="PA"/>
    <x v="3"/>
    <s v="FERNANDO LEONY (CO/NO/NE)"/>
    <n v="73"/>
    <x v="1"/>
    <s v="UNIMED DE BELEM COOPERATIVA DE TRABALHO MEDICO - BELÉM - PA - 04.201.372/0010-28"/>
    <n v="72"/>
  </r>
  <r>
    <x v="0"/>
    <x v="5"/>
    <x v="1"/>
    <n v="4966545000370"/>
    <x v="275"/>
    <s v="BELÉM"/>
    <s v="PA"/>
    <x v="3"/>
    <s v="FERNANDO LEONY (CO/NO/NE)"/>
    <n v="70"/>
    <x v="0"/>
    <s v="BENEFICENCIA NIPO BRASILEIRA DA AMAZONIA - BELÉM - PA - 04.966.545/0003-70"/>
    <n v="80"/>
  </r>
  <r>
    <x v="0"/>
    <x v="5"/>
    <x v="1"/>
    <n v="5562645000131"/>
    <x v="375"/>
    <s v="GOIÂNIA"/>
    <s v="GO"/>
    <x v="3"/>
    <s v="FERNANDO LEONY (CO/NO/NE)"/>
    <n v="70"/>
    <x v="0"/>
    <s v="OX-UTI - GOIÂNIA - GO - 05.562.645/0001-31"/>
    <n v="10"/>
  </r>
  <r>
    <x v="0"/>
    <x v="5"/>
    <x v="1"/>
    <n v="5612725000154"/>
    <x v="346"/>
    <s v="MACEIÓ"/>
    <s v="AL"/>
    <x v="3"/>
    <s v="FERNANDO LEONY (CO/NO/NE)"/>
    <n v="70"/>
    <x v="0"/>
    <s v="CLIOM - MACEIÓ - AL - 05.612.725/0001-54"/>
    <n v="30"/>
  </r>
  <r>
    <x v="0"/>
    <x v="5"/>
    <x v="1"/>
    <n v="6047087009276"/>
    <x v="278"/>
    <s v="RECIFE"/>
    <s v="PE"/>
    <x v="3"/>
    <s v="FERNANDO LEONY (CO/NO/NE)"/>
    <n v="64"/>
    <x v="2"/>
    <s v="HOSPITAL MEMORIAL SAO JOSE (REDE DOR) - RECIFE - PE - 06.047.087/0092-76"/>
    <n v="5"/>
  </r>
  <r>
    <x v="0"/>
    <x v="5"/>
    <x v="1"/>
    <n v="6337035000105"/>
    <x v="358"/>
    <s v="GOIÂNIA"/>
    <s v="GO"/>
    <x v="3"/>
    <s v="FERNANDO LEONY (CO/NO/NE)"/>
    <n v="70"/>
    <x v="0"/>
    <s v="HONCORD - GOIÂNIA - GO - 06.337.035/0001-05"/>
    <n v="30"/>
  </r>
  <r>
    <x v="0"/>
    <x v="5"/>
    <x v="1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175"/>
  </r>
  <r>
    <x v="0"/>
    <x v="5"/>
    <x v="1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36"/>
  </r>
  <r>
    <x v="0"/>
    <x v="5"/>
    <x v="1"/>
    <n v="9577422000280"/>
    <x v="376"/>
    <s v="RECIFE"/>
    <s v="PE"/>
    <x v="3"/>
    <s v="FERNANDO LEONY (CO/NO/NE)"/>
    <n v="70"/>
    <x v="0"/>
    <s v="HOSPITAL MILITAR DE AREA DE RECIFE - RECIFE - PE - 09.577.422/0002-80"/>
    <n v="135"/>
  </r>
  <r>
    <x v="0"/>
    <x v="5"/>
    <x v="1"/>
    <n v="10572048000209"/>
    <x v="291"/>
    <s v="RECIFE"/>
    <s v="PE"/>
    <x v="3"/>
    <s v="FERNANDO LEONY (CO/NO/NE)"/>
    <n v="70"/>
    <x v="0"/>
    <s v="HOSPITAL DA RESTAURACAO - RECIFE - PE - 10.572.048/0002-09"/>
    <n v="2000"/>
  </r>
  <r>
    <x v="0"/>
    <x v="5"/>
    <x v="1"/>
    <n v="10839561000132"/>
    <x v="292"/>
    <s v="RECIFE"/>
    <s v="PE"/>
    <x v="3"/>
    <s v="FERNANDO LEONY (CO/NO/NE)"/>
    <n v="70"/>
    <x v="0"/>
    <s v="SANTA JOANA - RECIFE - PE - 10.839.561/0001-32"/>
    <n v="350"/>
  </r>
  <r>
    <x v="0"/>
    <x v="5"/>
    <x v="1"/>
    <n v="10892164000124"/>
    <x v="293"/>
    <s v="RECIFE"/>
    <s v="PE"/>
    <x v="3"/>
    <s v="FERNANDO LEONY (CO/NO/NE)"/>
    <n v="62"/>
    <x v="3"/>
    <s v="HOSPITAL PORTUGUES - RECIFE - PE - 10.892.164/0001-24"/>
    <n v="5"/>
  </r>
  <r>
    <x v="0"/>
    <x v="5"/>
    <x v="1"/>
    <n v="10892164000124"/>
    <x v="293"/>
    <s v="RECIFE"/>
    <s v="PE"/>
    <x v="3"/>
    <s v="FERNANDO LEONY (CO/NO/NE)"/>
    <n v="73"/>
    <x v="1"/>
    <s v="HOSPITAL PORTUGUES - RECIFE - PE - 10.892.164/0001-24"/>
    <n v="60"/>
  </r>
  <r>
    <x v="0"/>
    <x v="5"/>
    <x v="1"/>
    <n v="11006293000130"/>
    <x v="295"/>
    <s v="SÃO LUÍS"/>
    <s v="MA"/>
    <x v="3"/>
    <s v="FERNANDO LEONY (CO/NO/NE)"/>
    <n v="70"/>
    <x v="0"/>
    <s v="HOSPITAL SAO DOMINGOS LTDA. - SÃO LUÍS - MA - 11.006.293/0001-30"/>
    <n v="990"/>
  </r>
  <r>
    <x v="0"/>
    <x v="5"/>
    <x v="1"/>
    <n v="11022597001325"/>
    <x v="359"/>
    <s v="RECIFE"/>
    <s v="PE"/>
    <x v="3"/>
    <s v="FERNANDO LEONY (CO/NO/NE)"/>
    <n v="62"/>
    <x v="3"/>
    <s v="HOSPITAL UNIVERSITARIO OSWALDO CRUZ - RECIFE - PE - 11.022.597/0013-25"/>
    <n v="4"/>
  </r>
  <r>
    <x v="0"/>
    <x v="5"/>
    <x v="1"/>
    <n v="11022597001325"/>
    <x v="359"/>
    <s v="RECIFE"/>
    <s v="PE"/>
    <x v="3"/>
    <s v="FERNANDO LEONY (CO/NO/NE)"/>
    <n v="64"/>
    <x v="2"/>
    <s v="HOSPITAL UNIVERSITARIO OSWALDO CRUZ - RECIFE - PE - 11.022.597/0013-25"/>
    <n v="36"/>
  </r>
  <r>
    <x v="0"/>
    <x v="5"/>
    <x v="1"/>
    <n v="11022597001325"/>
    <x v="359"/>
    <s v="RECIFE"/>
    <s v="PE"/>
    <x v="3"/>
    <s v="FERNANDO LEONY (CO/NO/NE)"/>
    <n v="70"/>
    <x v="0"/>
    <s v="HOSPITAL UNIVERSITARIO OSWALDO CRUZ - RECIFE - PE - 11.022.597/0013-25"/>
    <n v="1000"/>
  </r>
  <r>
    <x v="0"/>
    <x v="5"/>
    <x v="1"/>
    <n v="11022597001597"/>
    <x v="319"/>
    <s v="RECIFE"/>
    <s v="PE"/>
    <x v="3"/>
    <s v="FERNANDO LEONY (CO/NO/NE)"/>
    <n v="64"/>
    <x v="2"/>
    <s v="PRONTO S.CARDIOLOGICO DE PE.PROF.LUIZ TAVARES-PROCAPE - RECIFE - PE - 11.022.597/0015-97"/>
    <n v="70"/>
  </r>
  <r>
    <x v="0"/>
    <x v="5"/>
    <x v="1"/>
    <n v="11214624001957"/>
    <x v="350"/>
    <s v="RECIFE"/>
    <s v="PE"/>
    <x v="3"/>
    <s v="FERNANDO LEONY (CO/NO/NE)"/>
    <n v="73"/>
    <x v="1"/>
    <s v="HOSPITAL UNIMED RECIFE III - RECIFE - PE - 11.214.624/0019-57"/>
    <n v="192"/>
  </r>
  <r>
    <x v="0"/>
    <x v="5"/>
    <x v="1"/>
    <n v="11452240000143"/>
    <x v="296"/>
    <s v="RECIFE"/>
    <s v="PE"/>
    <x v="3"/>
    <s v="FERNANDO LEONY (CO/NO/NE)"/>
    <n v="70"/>
    <x v="0"/>
    <s v="HOSPITAL JAYME DA FONTE - RECIFE - PE - 11.452.240/0001-43"/>
    <n v="150"/>
  </r>
  <r>
    <x v="0"/>
    <x v="5"/>
    <x v="1"/>
    <n v="12282163000193"/>
    <x v="377"/>
    <s v="ARACAJU"/>
    <s v="SE"/>
    <x v="3"/>
    <s v="FERNANDO LEONY (CO/NO/NE)"/>
    <n v="70"/>
    <x v="0"/>
    <s v="NOS-NUCLEO DE ONCOLOGIA DE SERGIPE - ARACAJU - SE - PRIVADO - 12.282.163/0001-93"/>
    <n v="25"/>
  </r>
  <r>
    <x v="0"/>
    <x v="5"/>
    <x v="1"/>
    <n v="12361267000517"/>
    <x v="297"/>
    <s v="ARACAJU"/>
    <s v="SE"/>
    <x v="3"/>
    <s v="FERNANDO LEONY (CO/NO/NE)"/>
    <n v="70"/>
    <x v="0"/>
    <s v="CENTRO MEDICO GABRIEL SOARES - ARACAJU - SE - 12.361.267/0005-17"/>
    <n v="60"/>
  </r>
  <r>
    <x v="0"/>
    <x v="5"/>
    <x v="1"/>
    <n v="12361267000860"/>
    <x v="352"/>
    <s v="MACEIÓ"/>
    <s v="AL"/>
    <x v="3"/>
    <s v="FERNANDO LEONY (CO/NO/NE)"/>
    <n v="62"/>
    <x v="3"/>
    <s v="HOSPITAL MACEIO - MACEIÓ - AL - 12.361.267/0008-60"/>
    <n v="5"/>
  </r>
  <r>
    <x v="0"/>
    <x v="5"/>
    <x v="1"/>
    <n v="12361267003370"/>
    <x v="369"/>
    <s v="BELÉM"/>
    <s v="PA"/>
    <x v="3"/>
    <s v="FERNANDO LEONY (CO/NO/NE)"/>
    <n v="70"/>
    <x v="0"/>
    <s v="DEPOSITO-ARMAZEM BELEM/PA - BELÉM - PA - 12.361.267/0033-70"/>
    <n v="220"/>
  </r>
  <r>
    <x v="0"/>
    <x v="5"/>
    <x v="1"/>
    <n v="12361267004008"/>
    <x v="353"/>
    <s v="TERESINA"/>
    <s v="PI"/>
    <x v="3"/>
    <s v="FERNANDO LEONY (CO/NO/NE)"/>
    <n v="62"/>
    <x v="3"/>
    <s v="HOSPITAL RIO POTY - TERESINA - PI - 12.361.267/0040-08"/>
    <n v="2"/>
  </r>
  <r>
    <x v="0"/>
    <x v="5"/>
    <x v="1"/>
    <n v="12361267005748"/>
    <x v="370"/>
    <s v="JABOATÃO DOS GUARARAPES"/>
    <s v="PE"/>
    <x v="3"/>
    <s v="FERNANDO LEONY (CO/NO/NE)"/>
    <n v="70"/>
    <x v="0"/>
    <s v="DEPOSITO - ARMAZEM JABOATAO DOS GUARARAPES/PE - JABOATÃO DOS GUARARAPES - PE - 12.361.267/0057-48"/>
    <n v="125"/>
  </r>
  <r>
    <x v="0"/>
    <x v="5"/>
    <x v="1"/>
    <n v="12361267008844"/>
    <x v="355"/>
    <s v="ÁGUA BRANCA"/>
    <s v="PB"/>
    <x v="3"/>
    <s v="FERNANDO LEONY (CO/NO/NE)"/>
    <n v="62"/>
    <x v="3"/>
    <s v="HOSPITAL GERAL DA PARAIBA - ÁGUA BRANCA - PB - 12.361.267/0088-44"/>
    <n v="2"/>
  </r>
  <r>
    <x v="0"/>
    <x v="5"/>
    <x v="1"/>
    <n v="12361267008844"/>
    <x v="355"/>
    <s v="ÁGUA BRANCA"/>
    <s v="PB"/>
    <x v="3"/>
    <s v="FERNANDO LEONY (CO/NO/NE)"/>
    <n v="70"/>
    <x v="0"/>
    <s v="HOSPITAL GERAL DA PARAIBA - ÁGUA BRANCA - PB - 12.361.267/0088-44"/>
    <n v="75"/>
  </r>
  <r>
    <x v="0"/>
    <x v="5"/>
    <x v="1"/>
    <n v="12361267011632"/>
    <x v="299"/>
    <s v="MANAUS"/>
    <s v="AM"/>
    <x v="3"/>
    <s v="FERNANDO LEONY (CO/NO/NE)"/>
    <n v="70"/>
    <x v="0"/>
    <s v="HOSPITAL SAO LUCAS - MANAUS - AM - 12.361.267/0116-32"/>
    <n v="35"/>
  </r>
  <r>
    <x v="0"/>
    <x v="5"/>
    <x v="1"/>
    <n v="12442737000496"/>
    <x v="300"/>
    <s v="MACEIÓ"/>
    <s v="AL"/>
    <x v="3"/>
    <s v="FERNANDO LEONY (CO/NO/NE)"/>
    <n v="70"/>
    <x v="0"/>
    <s v="HOSPITAL UNIMED - MACEIÓ - AL - 12.442.737/0004-96"/>
    <n v="1295"/>
  </r>
  <r>
    <x v="0"/>
    <x v="5"/>
    <x v="1"/>
    <n v="13016332000106"/>
    <x v="301"/>
    <s v="ARACAJU"/>
    <s v="SE"/>
    <x v="3"/>
    <s v="FERNANDO LEONY (CO/NO/NE)"/>
    <n v="62"/>
    <x v="3"/>
    <s v="HOSPITAL DE CIRURGIA - ARACAJU - SE - 13.016.332/0001-06"/>
    <n v="5"/>
  </r>
  <r>
    <x v="0"/>
    <x v="5"/>
    <x v="1"/>
    <n v="13131370000100"/>
    <x v="302"/>
    <s v="ARACAJU"/>
    <s v="SE"/>
    <x v="3"/>
    <s v="FERNANDO LEONY (CO/NO/NE)"/>
    <n v="70"/>
    <x v="0"/>
    <s v="HOSPITAL SAO LUCAS - ARACAJU - SE - 13.131.370/0001-00"/>
    <n v="750"/>
  </r>
  <r>
    <x v="0"/>
    <x v="5"/>
    <x v="1"/>
    <n v="13131370000100"/>
    <x v="302"/>
    <s v="ARACAJU"/>
    <s v="SE"/>
    <x v="3"/>
    <s v="FERNANDO LEONY (CO/NO/NE)"/>
    <n v="73"/>
    <x v="1"/>
    <s v="HOSPITAL SAO LUCAS - ARACAJU - SE - 13.131.370/0001-00"/>
    <n v="31"/>
  </r>
  <r>
    <x v="0"/>
    <x v="5"/>
    <x v="1"/>
    <n v="13969621000120"/>
    <x v="378"/>
    <s v="FEIRA DE SANTANA"/>
    <s v="BA"/>
    <x v="3"/>
    <s v="FERNANDO LEONY (CO/NO/NE)"/>
    <n v="70"/>
    <x v="0"/>
    <s v="HOSPITAL SAO MATHEUS - FEIRA DE SANTANA - BA - 13.969.621/0001-20"/>
    <n v="35"/>
  </r>
  <r>
    <x v="0"/>
    <x v="5"/>
    <x v="1"/>
    <n v="14074546000100"/>
    <x v="305"/>
    <s v="FEIRA DE SANTANA"/>
    <s v="BA"/>
    <x v="3"/>
    <s v="FERNANDO LEONY (CO/NO/NE)"/>
    <n v="64"/>
    <x v="2"/>
    <s v="EMEC - FEIRA DE SANTANA - BA - 14.074.546/0001-00"/>
    <n v="1"/>
  </r>
  <r>
    <x v="0"/>
    <x v="5"/>
    <x v="1"/>
    <n v="15592785000106"/>
    <x v="313"/>
    <s v="ARACAJU"/>
    <s v="SE"/>
    <x v="3"/>
    <s v="FERNANDO LEONY (CO/NO/NE)"/>
    <n v="70"/>
    <x v="0"/>
    <s v="HOSPITAL UNIMED - ARACAJU - SE - 15.592.785/0001-06"/>
    <n v="165"/>
  </r>
  <r>
    <x v="0"/>
    <x v="5"/>
    <x v="1"/>
    <n v="16064313000577"/>
    <x v="330"/>
    <s v="ARACAJU"/>
    <s v="SE"/>
    <x v="3"/>
    <s v="FERNANDO LEONY (CO/NO/NE)"/>
    <n v="73"/>
    <x v="1"/>
    <s v="S O S VIDA SOLUCOES EM SAUDE - ARACAJU - SE - 16.064.313/0005-77"/>
    <n v="22"/>
  </r>
  <r>
    <x v="0"/>
    <x v="5"/>
    <x v="1"/>
    <n v="17239624000169"/>
    <x v="379"/>
    <s v="GOIANIA"/>
    <s v="GO"/>
    <x v="3"/>
    <s v="FERNANDO LEONY (CO/NO/NE)"/>
    <n v="64"/>
    <x v="2"/>
    <s v="HOSPITAL ORION - GOIANIA - GO - PRIVADO - 17.239.624/0001-69"/>
    <n v="2"/>
  </r>
  <r>
    <x v="0"/>
    <x v="5"/>
    <x v="1"/>
    <n v="18034143000180"/>
    <x v="380"/>
    <s v="ABADIA DE GOIÁS"/>
    <s v="GO"/>
    <x v="3"/>
    <s v="FERNANDO LEONY (CO/NO/NE)"/>
    <n v="70"/>
    <x v="0"/>
    <s v="ANIMA CENTRO HOSPITALAR LTDA - ABADIA DE GOIÁS - GO - 18.034.143/0001-80"/>
    <n v="65"/>
  </r>
  <r>
    <x v="0"/>
    <x v="5"/>
    <x v="1"/>
    <n v="24232886008303"/>
    <x v="316"/>
    <s v="SANTARÉM"/>
    <s v="PA"/>
    <x v="3"/>
    <s v="FERNANDO LEONY (CO/NO/NE)"/>
    <n v="62"/>
    <x v="3"/>
    <s v="HOSPITAL REGIONAL DO BAIXO AM DO PARA DR WALDEMAR PENNA - SANTARÉM - PA - 24.232.886/0083-03"/>
    <n v="6"/>
  </r>
  <r>
    <x v="0"/>
    <x v="5"/>
    <x v="1"/>
    <n v="24232886008303"/>
    <x v="316"/>
    <s v="SANTARÉM"/>
    <s v="PA"/>
    <x v="3"/>
    <s v="FERNANDO LEONY (CO/NO/NE)"/>
    <n v="64"/>
    <x v="2"/>
    <s v="HOSPITAL REGIONAL DO BAIXO AM DO PARA DR WALDEMAR PENNA - SANTARÉM - PA - 24.232.886/0083-03"/>
    <n v="8"/>
  </r>
  <r>
    <x v="0"/>
    <x v="5"/>
    <x v="1"/>
    <n v="24464109000229"/>
    <x v="317"/>
    <s v="MACEIÓ"/>
    <s v="AL"/>
    <x v="3"/>
    <s v="FERNANDO LEONY (CO/NO/NE)"/>
    <n v="66"/>
    <x v="4"/>
    <s v="HUPAA - MACEIÓ - AL - 24.464.109/0002-29"/>
    <n v="24"/>
  </r>
  <r>
    <x v="0"/>
    <x v="5"/>
    <x v="1"/>
    <n v="33000167002155"/>
    <x v="334"/>
    <s v="SENADOR CANEDO"/>
    <s v="GO"/>
    <x v="3"/>
    <s v="FERNANDO LEONY (CO/NO/NE)"/>
    <n v="70"/>
    <x v="0"/>
    <s v="PETROBRAS - SENADOR CANEDO - GO - 33.000.167/0021-55"/>
    <n v="145"/>
  </r>
  <r>
    <x v="0"/>
    <x v="5"/>
    <x v="1"/>
    <n v="84112481000117"/>
    <x v="381"/>
    <s v="MANAUS"/>
    <s v="AM"/>
    <x v="3"/>
    <s v="FERNANDO LEONY (CO/NO/NE)"/>
    <n v="73"/>
    <x v="1"/>
    <s v="UNIMED DA AMAZONIA - FEDERACAO UNIMED DA AMAZONIA - MANAUS - AM - PRIVADO - 84.112.481/0001-17"/>
    <n v="18"/>
  </r>
  <r>
    <x v="0"/>
    <x v="6"/>
    <x v="2"/>
    <n v="83925694404"/>
    <x v="252"/>
    <s v="JOÃO PESSOA"/>
    <s v="PB"/>
    <x v="3"/>
    <s v="FERNANDO LEONY (CO/NO/NE)"/>
    <n v="66"/>
    <x v="4"/>
    <s v="ROBERTO MOURA GRISI - JOÃO PESSOA - PB - 839.256.944-04"/>
    <n v="16"/>
  </r>
  <r>
    <x v="0"/>
    <x v="6"/>
    <x v="2"/>
    <n v="418954000119"/>
    <x v="255"/>
    <s v="GOIÂNIA"/>
    <s v="GO"/>
    <x v="3"/>
    <s v="FERNANDO LEONY (CO/NO/NE)"/>
    <n v="70"/>
    <x v="0"/>
    <s v="HEMOLABOR - GOIÂNIA - GO - 00.418.954/0001-19"/>
    <n v="150"/>
  </r>
  <r>
    <x v="0"/>
    <x v="6"/>
    <x v="2"/>
    <n v="820737000150"/>
    <x v="256"/>
    <s v="NATAL"/>
    <s v="RN"/>
    <x v="3"/>
    <s v="FERNANDO LEONY (CO/NO/NE)"/>
    <n v="64"/>
    <x v="2"/>
    <s v="HOSPITAL DO CORACAO DE NATAL LTDA - NATAL - RN - 00.820.737/0001-50"/>
    <n v="20"/>
  </r>
  <r>
    <x v="0"/>
    <x v="6"/>
    <x v="2"/>
    <n v="1011865000116"/>
    <x v="258"/>
    <s v="GOIÂNIA"/>
    <s v="GO"/>
    <x v="3"/>
    <s v="FERNANDO LEONY (CO/NO/NE)"/>
    <n v="70"/>
    <x v="0"/>
    <s v="INSTITUTO DE NEUROLOGIA - GOIÂNIA - GO - 01.011.865/0001-16"/>
    <n v="650"/>
  </r>
  <r>
    <x v="0"/>
    <x v="6"/>
    <x v="2"/>
    <n v="1277573000120"/>
    <x v="338"/>
    <s v="GOIÂNIA"/>
    <s v="GO"/>
    <x v="3"/>
    <s v="FERNANDO LEONY (CO/NO/NE)"/>
    <n v="70"/>
    <x v="0"/>
    <s v="INGOH - INSTITUTO GOIANO DE ONCOLOGIA E HEMATOLOGIA - GOIÂNIA - GO - 01.277.573/0001-20"/>
    <n v="40"/>
  </r>
  <r>
    <x v="0"/>
    <x v="6"/>
    <x v="2"/>
    <n v="1326206000179"/>
    <x v="259"/>
    <s v="CATALÃO"/>
    <s v="GO"/>
    <x v="3"/>
    <s v="FERNANDO LEONY (CO/NO/NE)"/>
    <n v="73"/>
    <x v="1"/>
    <s v="HOSPITAL E MATERNIDADE SAO NICOLAU - CATALÃO - GO - 01.326.206/0001-79"/>
    <n v="44"/>
  </r>
  <r>
    <x v="0"/>
    <x v="6"/>
    <x v="2"/>
    <n v="1570589000126"/>
    <x v="339"/>
    <s v="GOIÂNIA"/>
    <s v="GO"/>
    <x v="3"/>
    <s v="FERNANDO LEONY (CO/NO/NE)"/>
    <n v="70"/>
    <x v="0"/>
    <s v="INSTITUTO ORTOPEDICO DE GOIANIA LTDA - GOIÂNIA - GO - 01.570.589/0001-26"/>
    <n v="300"/>
  </r>
  <r>
    <x v="0"/>
    <x v="6"/>
    <x v="2"/>
    <n v="2284062000106"/>
    <x v="277"/>
    <s v="RECIFE"/>
    <s v="PE"/>
    <x v="3"/>
    <s v="FERNANDO LEONY (CO/NO/NE)"/>
    <n v="64"/>
    <x v="2"/>
    <s v="HOSPITAL ESPERANCA (REDE DOR) - RECIFE - PE - 02.284.062/0001-06"/>
    <n v="1"/>
  </r>
  <r>
    <x v="0"/>
    <x v="6"/>
    <x v="2"/>
    <n v="2284062000440"/>
    <x v="264"/>
    <s v="RECIFE"/>
    <s v="PE"/>
    <x v="3"/>
    <s v="FERNANDO LEONY (CO/NO/NE)"/>
    <n v="64"/>
    <x v="2"/>
    <s v="HOSPITAL SAO MARCOS (REDE DOR) - RECIFE - PE - 02.284.062/0004-40"/>
    <n v="42"/>
  </r>
  <r>
    <x v="0"/>
    <x v="6"/>
    <x v="2"/>
    <n v="2284062001170"/>
    <x v="265"/>
    <s v="SÃO LUÍS"/>
    <s v="MA"/>
    <x v="3"/>
    <s v="FERNANDO LEONY (CO/NO/NE)"/>
    <n v="64"/>
    <x v="2"/>
    <s v="UDI HOSPITAL - SÃO LUÍS - MA - 02.284.062/0011-70"/>
    <n v="10"/>
  </r>
  <r>
    <x v="0"/>
    <x v="6"/>
    <x v="2"/>
    <n v="2284062001170"/>
    <x v="265"/>
    <s v="SÃO LUÍS"/>
    <s v="MA"/>
    <x v="3"/>
    <s v="FERNANDO LEONY (CO/NO/NE)"/>
    <n v="70"/>
    <x v="0"/>
    <s v="UDI HOSPITAL - SÃO LUÍS - MA - 02.284.062/0011-70"/>
    <n v="200"/>
  </r>
  <r>
    <x v="0"/>
    <x v="6"/>
    <x v="2"/>
    <n v="2476067000203"/>
    <x v="267"/>
    <s v="GOIÂNIA"/>
    <s v="GO"/>
    <x v="3"/>
    <s v="FERNANDO LEONY (CO/NO/NE)"/>
    <n v="73"/>
    <x v="1"/>
    <s v="SERVICO DE ATENDIMENTO UNIMED - GOIÂNIA - GO - 02.476.067/0002-03"/>
    <n v="17"/>
  </r>
  <r>
    <x v="0"/>
    <x v="6"/>
    <x v="2"/>
    <n v="2476067000394"/>
    <x v="268"/>
    <s v="GOIÂNIA"/>
    <s v="GO"/>
    <x v="3"/>
    <s v="FERNANDO LEONY (CO/NO/NE)"/>
    <n v="70"/>
    <x v="0"/>
    <s v="CENTRO CLINICO UNIMED - GOIÂNIA - GO - 02.476.067/0003-94"/>
    <n v="660"/>
  </r>
  <r>
    <x v="0"/>
    <x v="6"/>
    <x v="2"/>
    <n v="3315918000541"/>
    <x v="364"/>
    <s v="CAMPO GRANDE"/>
    <s v="MS"/>
    <x v="3"/>
    <s v="FERNANDO LEONY (CO/NO/NE)"/>
    <n v="70"/>
    <x v="0"/>
    <s v="HOSPITAL UNIMED - CAMPO GRANDE - MS - 03.315.918/0005-41"/>
    <n v="50"/>
  </r>
  <r>
    <x v="0"/>
    <x v="6"/>
    <x v="2"/>
    <n v="3533726001583"/>
    <x v="270"/>
    <s v="ACORIZAL"/>
    <s v="MT"/>
    <x v="3"/>
    <s v="FERNANDO LEONY (CO/NO/NE)"/>
    <n v="70"/>
    <x v="0"/>
    <s v="CENTRO DE ESPECIALIDADES MEDICAS UNIMED FACIL - ACORIZAL - MT - 03.533.726/0015-83"/>
    <n v="55"/>
  </r>
  <r>
    <x v="0"/>
    <x v="6"/>
    <x v="2"/>
    <n v="3866223000124"/>
    <x v="284"/>
    <s v="MACEIÓ"/>
    <s v="AL"/>
    <x v="3"/>
    <s v="FERNANDO LEONY (CO/NO/NE)"/>
    <n v="70"/>
    <x v="0"/>
    <s v="MEDRADIUS - MACEIÓ - AL - 03.866.223/0001-24"/>
    <n v="900"/>
  </r>
  <r>
    <x v="0"/>
    <x v="6"/>
    <x v="2"/>
    <n v="3925419000142"/>
    <x v="272"/>
    <s v="CUIABÁ"/>
    <s v="MT"/>
    <x v="3"/>
    <s v="FERNANDO LEONY (CO/NO/NE)"/>
    <n v="64"/>
    <x v="2"/>
    <s v="HOSPITAL AMECOR - CUIABÁ - MT - 03.925.419/0001-42"/>
    <n v="3"/>
  </r>
  <r>
    <x v="0"/>
    <x v="6"/>
    <x v="2"/>
    <n v="4159778000107"/>
    <x v="344"/>
    <s v="MANAUS"/>
    <s v="AM"/>
    <x v="3"/>
    <s v="FERNANDO LEONY (CO/NO/NE)"/>
    <n v="62"/>
    <x v="3"/>
    <s v="SAMEL - MANAUS - AM - 04.159.778/0001-07"/>
    <n v="3"/>
  </r>
  <r>
    <x v="0"/>
    <x v="6"/>
    <x v="2"/>
    <n v="4159778000107"/>
    <x v="344"/>
    <s v="MANAUS"/>
    <s v="AM"/>
    <x v="3"/>
    <s v="FERNANDO LEONY (CO/NO/NE)"/>
    <n v="64"/>
    <x v="2"/>
    <s v="SAMEL - MANAUS - AM - 04.159.778/0001-07"/>
    <n v="3"/>
  </r>
  <r>
    <x v="0"/>
    <x v="6"/>
    <x v="2"/>
    <n v="4159778000107"/>
    <x v="344"/>
    <s v="MANAUS"/>
    <s v="AM"/>
    <x v="3"/>
    <s v="FERNANDO LEONY (CO/NO/NE)"/>
    <n v="70"/>
    <x v="0"/>
    <s v="SAMEL - MANAUS - AM - 04.159.778/0001-07"/>
    <n v="25"/>
  </r>
  <r>
    <x v="0"/>
    <x v="6"/>
    <x v="2"/>
    <n v="6047087009276"/>
    <x v="278"/>
    <s v="RECIFE"/>
    <s v="PE"/>
    <x v="3"/>
    <s v="FERNANDO LEONY (CO/NO/NE)"/>
    <n v="64"/>
    <x v="2"/>
    <s v="HOSPITAL MEMORIAL SAO JOSE (REDE DOR) - RECIFE - PE - 06.047.087/0092-76"/>
    <n v="30"/>
  </r>
  <r>
    <x v="0"/>
    <x v="6"/>
    <x v="2"/>
    <n v="6337035000105"/>
    <x v="358"/>
    <s v="GOIÂNIA"/>
    <s v="GO"/>
    <x v="3"/>
    <s v="FERNANDO LEONY (CO/NO/NE)"/>
    <n v="70"/>
    <x v="0"/>
    <s v="HONCORD - GOIÂNIA - GO - 06.337.035/0001-05"/>
    <n v="50"/>
  </r>
  <r>
    <x v="0"/>
    <x v="6"/>
    <x v="2"/>
    <n v="6553564000138"/>
    <x v="367"/>
    <s v="TERESINA"/>
    <s v="PI"/>
    <x v="3"/>
    <s v="FERNANDO LEONY (CO/NO/NE)"/>
    <n v="70"/>
    <x v="0"/>
    <s v="PIAUI SECRETARIA DE SAUDE - TERESINA - PI - 06.553.564/0001-38"/>
    <n v="105"/>
  </r>
  <r>
    <x v="0"/>
    <x v="6"/>
    <x v="2"/>
    <n v="6555031000276"/>
    <x v="282"/>
    <s v="TERESINA"/>
    <s v="PI"/>
    <x v="3"/>
    <s v="FERNANDO LEONY (CO/NO/NE)"/>
    <n v="73"/>
    <x v="1"/>
    <s v="HOSPITAL UNIMED PRIMAVERA - TERESINA - PI - 06.555.031/0002-76"/>
    <n v="64"/>
  </r>
  <r>
    <x v="0"/>
    <x v="6"/>
    <x v="2"/>
    <n v="6833917000153"/>
    <x v="382"/>
    <s v="TERESINA"/>
    <s v="PI"/>
    <x v="3"/>
    <s v="FERNANDO LEONY (CO/NO/NE)"/>
    <n v="70"/>
    <x v="0"/>
    <s v="CASAMATER - TERESINA - PI - 06.833.917/0001-53"/>
    <n v="150"/>
  </r>
  <r>
    <x v="0"/>
    <x v="6"/>
    <x v="2"/>
    <n v="8319329000121"/>
    <x v="285"/>
    <s v="NATAL"/>
    <s v="RN"/>
    <x v="3"/>
    <s v="FERNANDO LEONY (CO/NO/NE)"/>
    <n v="64"/>
    <x v="2"/>
    <s v="CASA DE SAUDE SAO LUCAS S/A - NATAL - RN - 08.319.329/0001-21"/>
    <n v="36"/>
  </r>
  <r>
    <x v="0"/>
    <x v="6"/>
    <x v="2"/>
    <n v="8680639000681"/>
    <x v="288"/>
    <s v="JOÃO PESSOA"/>
    <s v="PB"/>
    <x v="3"/>
    <s v="FERNANDO LEONY (CO/NO/NE)"/>
    <n v="70"/>
    <x v="0"/>
    <s v="UNIMED JOAO PESSOA COOPERATIVA DO TRABALHO MEDICO - JOÃO PESSOA - PB - 08.680.639/0006-81"/>
    <n v="50"/>
  </r>
  <r>
    <x v="0"/>
    <x v="6"/>
    <x v="2"/>
    <n v="8680639000681"/>
    <x v="288"/>
    <s v="JOÃO PESSOA"/>
    <s v="PB"/>
    <x v="3"/>
    <s v="FERNANDO LEONY (CO/NO/NE)"/>
    <n v="73"/>
    <x v="1"/>
    <s v="UNIMED JOAO PESSOA COOPERATIVA DO TRABALHO MEDICO - JOÃO PESSOA - PB - 08.680.639/0006-81"/>
    <n v="60"/>
  </r>
  <r>
    <x v="0"/>
    <x v="6"/>
    <x v="2"/>
    <n v="9577422000280"/>
    <x v="376"/>
    <s v="RECIFE"/>
    <s v="PE"/>
    <x v="3"/>
    <s v="FERNANDO LEONY (CO/NO/NE)"/>
    <n v="70"/>
    <x v="0"/>
    <s v="HOSPITAL MILITAR DE AREA DE RECIFE - RECIFE - PE - 09.577.422/0002-80"/>
    <n v="150"/>
  </r>
  <r>
    <x v="0"/>
    <x v="6"/>
    <x v="2"/>
    <n v="10839561000132"/>
    <x v="292"/>
    <s v="RECIFE"/>
    <s v="PE"/>
    <x v="3"/>
    <s v="FERNANDO LEONY (CO/NO/NE)"/>
    <n v="70"/>
    <x v="0"/>
    <s v="SANTA JOANA - RECIFE - PE - 10.839.561/0001-32"/>
    <n v="460"/>
  </r>
  <r>
    <x v="0"/>
    <x v="6"/>
    <x v="2"/>
    <n v="10839561000132"/>
    <x v="292"/>
    <s v="RECIFE"/>
    <s v="PE"/>
    <x v="3"/>
    <s v="FERNANDO LEONY (CO/NO/NE)"/>
    <n v="73"/>
    <x v="1"/>
    <s v="SANTA JOANA - RECIFE - PE - 10.839.561/0001-32"/>
    <n v="36"/>
  </r>
  <r>
    <x v="0"/>
    <x v="6"/>
    <x v="2"/>
    <n v="10892164000124"/>
    <x v="293"/>
    <s v="RECIFE"/>
    <s v="PE"/>
    <x v="3"/>
    <s v="FERNANDO LEONY (CO/NO/NE)"/>
    <n v="64"/>
    <x v="2"/>
    <s v="HOSPITAL PORTUGUES - RECIFE - PE - 10.892.164/0001-24"/>
    <n v="10"/>
  </r>
  <r>
    <x v="0"/>
    <x v="6"/>
    <x v="2"/>
    <n v="11006293000130"/>
    <x v="295"/>
    <s v="SÃO LUÍS"/>
    <s v="MA"/>
    <x v="3"/>
    <s v="FERNANDO LEONY (CO/NO/NE)"/>
    <n v="70"/>
    <x v="0"/>
    <s v="HOSPITAL SAO DOMINGOS LTDA. - SÃO LUÍS - MA - 11.006.293/0001-30"/>
    <n v="610"/>
  </r>
  <r>
    <x v="0"/>
    <x v="6"/>
    <x v="2"/>
    <n v="11214624000470"/>
    <x v="320"/>
    <s v="RECIFE"/>
    <s v="PE"/>
    <x v="3"/>
    <s v="FERNANDO LEONY (CO/NO/NE)"/>
    <n v="70"/>
    <x v="0"/>
    <s v="HOSPITAL UNIMED RECIFE - RECIFE - PE - 11.214.624/0004-70"/>
    <n v="100"/>
  </r>
  <r>
    <x v="0"/>
    <x v="6"/>
    <x v="2"/>
    <n v="11214624000470"/>
    <x v="320"/>
    <s v="RECIFE"/>
    <s v="PE"/>
    <x v="3"/>
    <s v="FERNANDO LEONY (CO/NO/NE)"/>
    <n v="73"/>
    <x v="1"/>
    <s v="HOSPITAL UNIMED RECIFE - RECIFE - PE - 11.214.624/0004-70"/>
    <n v="192"/>
  </r>
  <r>
    <x v="0"/>
    <x v="6"/>
    <x v="2"/>
    <n v="11452240000143"/>
    <x v="296"/>
    <s v="RECIFE"/>
    <s v="PE"/>
    <x v="3"/>
    <s v="FERNANDO LEONY (CO/NO/NE)"/>
    <n v="70"/>
    <x v="0"/>
    <s v="HOSPITAL JAYME DA FONTE - RECIFE - PE - 11.452.240/0001-43"/>
    <n v="100"/>
  </r>
  <r>
    <x v="0"/>
    <x v="6"/>
    <x v="2"/>
    <n v="11836436000131"/>
    <x v="368"/>
    <s v="RONDONÓPOLIS"/>
    <s v="MT"/>
    <x v="3"/>
    <s v="FERNANDO LEONY (CO/NO/NE)"/>
    <n v="70"/>
    <x v="0"/>
    <s v="NUTEC ROO - RONDONÓPOLIS - MT - 11.836.436/0001-31"/>
    <n v="25"/>
  </r>
  <r>
    <x v="0"/>
    <x v="6"/>
    <x v="2"/>
    <n v="12442737000496"/>
    <x v="300"/>
    <s v="MACEIÓ"/>
    <s v="AL"/>
    <x v="3"/>
    <s v="FERNANDO LEONY (CO/NO/NE)"/>
    <n v="70"/>
    <x v="0"/>
    <s v="HOSPITAL UNIMED - MACEIÓ - AL - 12.442.737/0004-96"/>
    <n v="350"/>
  </r>
  <r>
    <x v="0"/>
    <x v="6"/>
    <x v="2"/>
    <n v="13131370000100"/>
    <x v="302"/>
    <s v="ARACAJU"/>
    <s v="SE"/>
    <x v="3"/>
    <s v="FERNANDO LEONY (CO/NO/NE)"/>
    <n v="73"/>
    <x v="1"/>
    <s v="HOSPITAL SAO LUCAS - ARACAJU - SE - 13.131.370/0001-00"/>
    <n v="150"/>
  </r>
  <r>
    <x v="0"/>
    <x v="6"/>
    <x v="2"/>
    <n v="13284872000170"/>
    <x v="303"/>
    <s v="VITÓRIA DA CONQUISTA"/>
    <s v="BA"/>
    <x v="3"/>
    <s v="FERNANDO LEONY (CO/NO/NE)"/>
    <n v="70"/>
    <x v="0"/>
    <s v="IBR INSTITUTO BRANDAO DE REABILITACAO LTDA - EPP - VITÓRIA DA CONQUISTA - BA - 13.284.872/0001-70"/>
    <n v="50"/>
  </r>
  <r>
    <x v="0"/>
    <x v="6"/>
    <x v="2"/>
    <n v="15016827000160"/>
    <x v="306"/>
    <s v="CUIABÁ"/>
    <s v="MT"/>
    <x v="3"/>
    <s v="FERNANDO LEONY (CO/NO/NE)"/>
    <n v="64"/>
    <x v="2"/>
    <s v="CLINICA SOUZA BRITO - CUIABÁ - MT - 15.016.827/0001-60"/>
    <n v="13"/>
  </r>
  <r>
    <x v="0"/>
    <x v="6"/>
    <x v="2"/>
    <n v="15126437003240"/>
    <x v="371"/>
    <s v="CAMPINA GRANDE"/>
    <s v="PB"/>
    <x v="3"/>
    <s v="FERNANDO LEONY (CO/NO/NE)"/>
    <n v="70"/>
    <x v="0"/>
    <s v="HOSPITAL UNIVERSITARIO ALCIDES CARNEIRO - CAMPINA GRANDE - PB - PRIVADO - 15.126.437/0032-40"/>
    <n v="125"/>
  </r>
  <r>
    <x v="0"/>
    <x v="6"/>
    <x v="2"/>
    <n v="16064313000577"/>
    <x v="330"/>
    <s v="ARACAJU"/>
    <s v="SE"/>
    <x v="3"/>
    <s v="FERNANDO LEONY (CO/NO/NE)"/>
    <n v="73"/>
    <x v="1"/>
    <s v="S O S VIDA SOLUCOES EM SAUDE - ARACAJU - SE - 16.064.313/0005-77"/>
    <n v="42"/>
  </r>
  <r>
    <x v="0"/>
    <x v="6"/>
    <x v="2"/>
    <n v="17239624000169"/>
    <x v="379"/>
    <s v="GOIANIA"/>
    <s v="GO"/>
    <x v="3"/>
    <s v="FERNANDO LEONY (CO/NO/NE)"/>
    <n v="64"/>
    <x v="2"/>
    <s v="HOSPITAL ORION - GOIANIA - GO - PRIVADO - 17.239.624/0001-69"/>
    <n v="29"/>
  </r>
  <r>
    <x v="0"/>
    <x v="6"/>
    <x v="2"/>
    <n v="18034143000180"/>
    <x v="380"/>
    <s v="ABADIA DE GOIÁS"/>
    <s v="GO"/>
    <x v="3"/>
    <s v="FERNANDO LEONY (CO/NO/NE)"/>
    <n v="70"/>
    <x v="0"/>
    <s v="ANIMA CENTRO HOSPITALAR LTDA - ABADIA DE GOIÁS - GO - 18.034.143/0001-80"/>
    <n v="255"/>
  </r>
  <r>
    <x v="0"/>
    <x v="6"/>
    <x v="2"/>
    <n v="29435005009851"/>
    <x v="322"/>
    <s v="NATAL"/>
    <s v="RN"/>
    <x v="3"/>
    <s v="FERNANDO LEONY (CO/NO/NE)"/>
    <n v="62"/>
    <x v="3"/>
    <s v="ESHO EMPRESA DE SERVICOS HOSPITALARES S.A. - NATAL - RN - 29.435.005/0098-51"/>
    <n v="8"/>
  </r>
  <r>
    <x v="0"/>
    <x v="0"/>
    <x v="0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1"/>
    <x v="0"/>
    <n v="5867015000175"/>
    <x v="383"/>
    <s v="FORTALEZA"/>
    <s v="CE"/>
    <x v="3"/>
    <s v="FERNANDO LEONY (CO/NO/NE)"/>
    <n v="73"/>
    <x v="1"/>
    <s v="UNICLINIC - FORTALEZA - CE - 05.867.015/0001-75"/>
    <n v="12"/>
  </r>
  <r>
    <x v="0"/>
    <x v="0"/>
    <x v="0"/>
    <n v="5868278000280"/>
    <x v="384"/>
    <s v="FORTALEZA"/>
    <s v="CE"/>
    <x v="3"/>
    <s v="FERNANDO LEONY (CO/NO/NE)"/>
    <n v="64"/>
    <x v="2"/>
    <s v="HOSPITAL REGIONAL UNIMED - FORTALEZA - CE - 05.868.278/0002-80"/>
    <n v="20"/>
  </r>
  <r>
    <x v="0"/>
    <x v="0"/>
    <x v="0"/>
    <n v="5868278000280"/>
    <x v="384"/>
    <s v="FORTALEZA"/>
    <s v="CE"/>
    <x v="3"/>
    <s v="FERNANDO LEONY (CO/NO/NE)"/>
    <n v="70"/>
    <x v="0"/>
    <s v="HOSPITAL REGIONAL UNIMED - FORTALEZA - CE - 05.868.278/0002-80"/>
    <n v="80"/>
  </r>
  <r>
    <x v="0"/>
    <x v="0"/>
    <x v="0"/>
    <n v="5868278000280"/>
    <x v="384"/>
    <s v="FORTALEZA"/>
    <s v="CE"/>
    <x v="3"/>
    <s v="FERNANDO LEONY (CO/NO/NE)"/>
    <n v="73"/>
    <x v="1"/>
    <s v="HOSPITAL REGIONAL UNIMED - FORTALEZA - CE - 05.868.278/0002-80"/>
    <n v="16"/>
  </r>
  <r>
    <x v="0"/>
    <x v="1"/>
    <x v="0"/>
    <n v="5868278000280"/>
    <x v="384"/>
    <s v="FORTALEZA"/>
    <s v="CE"/>
    <x v="3"/>
    <s v="FERNANDO LEONY (CO/NO/NE)"/>
    <n v="62"/>
    <x v="3"/>
    <s v="HOSPITAL REGIONAL UNIMED - FORTALEZA - CE - 05.868.278/0002-80"/>
    <n v="10"/>
  </r>
  <r>
    <x v="0"/>
    <x v="1"/>
    <x v="0"/>
    <n v="5868278000280"/>
    <x v="384"/>
    <s v="FORTALEZA"/>
    <s v="CE"/>
    <x v="3"/>
    <s v="FERNANDO LEONY (CO/NO/NE)"/>
    <n v="70"/>
    <x v="0"/>
    <s v="HOSPITAL REGIONAL UNIMED - FORTALEZA - CE - 05.868.278/0002-80"/>
    <n v="220"/>
  </r>
  <r>
    <x v="0"/>
    <x v="1"/>
    <x v="0"/>
    <n v="5868278000280"/>
    <x v="384"/>
    <s v="FORTALEZA"/>
    <s v="CE"/>
    <x v="3"/>
    <s v="FERNANDO LEONY (CO/NO/NE)"/>
    <n v="73"/>
    <x v="1"/>
    <s v="HOSPITAL REGIONAL UNIMED - FORTALEZA - CE - 05.868.278/0002-80"/>
    <n v="46"/>
  </r>
  <r>
    <x v="0"/>
    <x v="0"/>
    <x v="0"/>
    <n v="5874946000109"/>
    <x v="385"/>
    <s v="FORTALEZA"/>
    <s v="CE"/>
    <x v="3"/>
    <s v="FERNANDO LEONY (CO/NO/NE)"/>
    <n v="62"/>
    <x v="3"/>
    <s v="H A P - FORTALEZA - CE - 05.874.946/0001-09"/>
    <n v="6"/>
  </r>
  <r>
    <x v="0"/>
    <x v="0"/>
    <x v="0"/>
    <n v="5874946000109"/>
    <x v="385"/>
    <s v="FORTALEZA"/>
    <s v="CE"/>
    <x v="3"/>
    <s v="FERNANDO LEONY (CO/NO/NE)"/>
    <n v="64"/>
    <x v="2"/>
    <s v="H A P - FORTALEZA - CE - 05.874.946/0001-09"/>
    <n v="2"/>
  </r>
  <r>
    <x v="0"/>
    <x v="0"/>
    <x v="0"/>
    <n v="7272404000183"/>
    <x v="386"/>
    <s v="FORTALEZA"/>
    <s v="CE"/>
    <x v="3"/>
    <s v="FERNANDO LEONY (CO/NO/NE)"/>
    <n v="70"/>
    <x v="0"/>
    <s v="GASTROCLINICA - FORTALEZA - CE - 07.272.404/0001-83"/>
    <n v="120"/>
  </r>
  <r>
    <x v="0"/>
    <x v="0"/>
    <x v="0"/>
    <n v="7272636000212"/>
    <x v="387"/>
    <s v="FORTALEZA"/>
    <s v="CE"/>
    <x v="3"/>
    <s v="FERNANDO LEONY (CO/NO/NE)"/>
    <n v="62"/>
    <x v="3"/>
    <s v="HOSPITAL UNIVERSITARIO WALTER CANTIDIO - FORTALEZA - CE - 07.272.636/0002-12"/>
    <n v="30"/>
  </r>
  <r>
    <x v="0"/>
    <x v="0"/>
    <x v="0"/>
    <n v="7835044000180"/>
    <x v="388"/>
    <s v="FORTALEZA"/>
    <s v="CE"/>
    <x v="3"/>
    <s v="FERNANDO LEONY (CO/NO/NE)"/>
    <n v="62"/>
    <x v="3"/>
    <s v="INSTITUTO DR JOSE FROTA - FORTALEZA - CE - 07.835.044/0001-80"/>
    <n v="10"/>
  </r>
  <r>
    <x v="0"/>
    <x v="1"/>
    <x v="0"/>
    <n v="5874946000281"/>
    <x v="389"/>
    <s v="FORTALEZA"/>
    <s v="CE"/>
    <x v="3"/>
    <s v="FERNANDO LEONY (CO/NO/NE)"/>
    <n v="62"/>
    <x v="3"/>
    <s v="DEPOSITO-ARMAZEM DE FORTALEZA - FORTALEZA - CE - 05.874.946/0002-81"/>
    <n v="5"/>
  </r>
  <r>
    <x v="0"/>
    <x v="1"/>
    <x v="0"/>
    <n v="5874946000281"/>
    <x v="389"/>
    <s v="FORTALEZA"/>
    <s v="CE"/>
    <x v="3"/>
    <s v="FERNANDO LEONY (CO/NO/NE)"/>
    <n v="64"/>
    <x v="2"/>
    <s v="DEPOSITO-ARMAZEM DE FORTALEZA - FORTALEZA - CE - 05.874.946/0002-81"/>
    <n v="11"/>
  </r>
  <r>
    <x v="0"/>
    <x v="0"/>
    <x v="0"/>
    <n v="12361267011802"/>
    <x v="390"/>
    <s v="FORTALEZA"/>
    <s v="CE"/>
    <x v="3"/>
    <s v="FERNANDO LEONY (CO/NO/NE)"/>
    <n v="62"/>
    <x v="3"/>
    <s v="DEPOSITO - ARMAZEM FORTALEZA/CE - FORTALEZA - CE - 12.361.267/0118-02"/>
    <n v="6"/>
  </r>
  <r>
    <x v="0"/>
    <x v="0"/>
    <x v="0"/>
    <n v="12361267011802"/>
    <x v="390"/>
    <s v="FORTALEZA"/>
    <s v="CE"/>
    <x v="3"/>
    <s v="FERNANDO LEONY (CO/NO/NE)"/>
    <n v="64"/>
    <x v="2"/>
    <s v="DEPOSITO - ARMAZEM FORTALEZA/CE - FORTALEZA - CE - 12.361.267/0118-02"/>
    <n v="4"/>
  </r>
  <r>
    <x v="0"/>
    <x v="0"/>
    <x v="0"/>
    <n v="12568570000161"/>
    <x v="391"/>
    <s v="FORTALEZA"/>
    <s v="CE"/>
    <x v="3"/>
    <s v="FERNANDO LEONY (CO/NO/NE)"/>
    <n v="70"/>
    <x v="0"/>
    <s v="INTEGRARE TERAPEUTICA - FORTALEZA - CE - 12.568.570/0001-61"/>
    <n v="130"/>
  </r>
  <r>
    <x v="0"/>
    <x v="1"/>
    <x v="0"/>
    <n v="12568570000161"/>
    <x v="391"/>
    <s v="FORTALEZA"/>
    <s v="CE"/>
    <x v="3"/>
    <s v="FERNANDO LEONY (CO/NO/NE)"/>
    <n v="70"/>
    <x v="0"/>
    <s v="INTEGRARE TERAPEUTICA - FORTALEZA - CE - 12.568.570/0001-61"/>
    <n v="225"/>
  </r>
  <r>
    <x v="0"/>
    <x v="1"/>
    <x v="0"/>
    <n v="7245269000187"/>
    <x v="392"/>
    <s v="FORTALEZA"/>
    <s v="CE"/>
    <x v="3"/>
    <s v="FERNANDO LEONY (CO/NO/NE)"/>
    <n v="64"/>
    <x v="2"/>
    <s v="CASA DE SAUDE E MATERNIDADE SAO RAIMUNDO SA - FORTALEZA - CE - 07.245.269/0001-87"/>
    <n v="7"/>
  </r>
  <r>
    <x v="0"/>
    <x v="0"/>
    <x v="0"/>
    <n v="29435005007484"/>
    <x v="393"/>
    <s v="FORTALEZA"/>
    <s v="CE"/>
    <x v="3"/>
    <s v="FERNANDO LEONY (CO/NO/NE)"/>
    <n v="62"/>
    <x v="3"/>
    <s v="HOSPITAL MONTE KLINIKUM - FORTALEZA - CE - 29.435.005/0074-84"/>
    <n v="7"/>
  </r>
  <r>
    <x v="0"/>
    <x v="0"/>
    <x v="0"/>
    <n v="29435005007484"/>
    <x v="393"/>
    <s v="FORTALEZA"/>
    <s v="CE"/>
    <x v="3"/>
    <s v="FERNANDO LEONY (CO/NO/NE)"/>
    <n v="64"/>
    <x v="2"/>
    <s v="HOSPITAL MONTE KLINIKUM - FORTALEZA - CE - 29.435.005/0074-84"/>
    <n v="36"/>
  </r>
  <r>
    <x v="0"/>
    <x v="0"/>
    <x v="0"/>
    <n v="29435005007484"/>
    <x v="393"/>
    <s v="FORTALEZA"/>
    <s v="CE"/>
    <x v="3"/>
    <s v="FERNANDO LEONY (CO/NO/NE)"/>
    <n v="70"/>
    <x v="0"/>
    <s v="HOSPITAL MONTE KLINIKUM - FORTALEZA - CE - 29.435.005/0074-84"/>
    <n v="15"/>
  </r>
  <r>
    <x v="0"/>
    <x v="1"/>
    <x v="0"/>
    <n v="29435005007484"/>
    <x v="393"/>
    <s v="FORTALEZA"/>
    <s v="CE"/>
    <x v="3"/>
    <s v="FERNANDO LEONY (CO/NO/NE)"/>
    <n v="70"/>
    <x v="0"/>
    <s v="HOSPITAL MONTE KLINIKUM - FORTALEZA - CE - 29.435.005/0074-84"/>
    <n v="100"/>
  </r>
  <r>
    <x v="0"/>
    <x v="1"/>
    <x v="0"/>
    <n v="11794674000121"/>
    <x v="394"/>
    <s v="FORTALEZA"/>
    <s v="CE"/>
    <x v="3"/>
    <s v="FERNANDO LEONY (CO/NO/NE)"/>
    <n v="64"/>
    <x v="2"/>
    <s v="HOSPITAL SAO CARLOS LTDA - FORTALEZA - CE - 11.794.674/0001-21"/>
    <n v="50"/>
  </r>
  <r>
    <x v="0"/>
    <x v="1"/>
    <x v="0"/>
    <n v="15126437001468"/>
    <x v="395"/>
    <s v="FORTALEZA"/>
    <s v="CE"/>
    <x v="3"/>
    <s v="FERNANDO LEONY (CO/NO/NE)"/>
    <n v="64"/>
    <x v="2"/>
    <s v="EBSERH - COMPLEXO HOSPITALAR DO CEARA (HUWC E MEAC) - FORTALEZA - CE - 15.126.437/0014-68"/>
    <n v="20"/>
  </r>
  <r>
    <x v="0"/>
    <x v="0"/>
    <x v="0"/>
    <n v="60975737003509"/>
    <x v="396"/>
    <s v="FORTALEZA"/>
    <s v="CE"/>
    <x v="3"/>
    <s v="FERNANDO LEONY (CO/NO/NE)"/>
    <n v="62"/>
    <x v="3"/>
    <s v="HOSPITAL CURA DARS - FORTALEZA - CE - 60.975.737/0035-09"/>
    <n v="12"/>
  </r>
  <r>
    <x v="0"/>
    <x v="0"/>
    <x v="0"/>
    <n v="60975737003509"/>
    <x v="396"/>
    <s v="FORTALEZA"/>
    <s v="CE"/>
    <x v="3"/>
    <s v="FERNANDO LEONY (CO/NO/NE)"/>
    <n v="64"/>
    <x v="2"/>
    <s v="HOSPITAL CURA DARS - FORTALEZA - CE - 60.975.737/0035-09"/>
    <n v="4"/>
  </r>
  <r>
    <x v="0"/>
    <x v="0"/>
    <x v="0"/>
    <n v="74031865000151"/>
    <x v="397"/>
    <s v="FORTALEZA"/>
    <s v="CE"/>
    <x v="3"/>
    <s v="FERNANDO LEONY (CO/NO/NE)"/>
    <n v="62"/>
    <x v="3"/>
    <s v="FUNDES - FORTALEZA - CE - 74.031.865/0001-51"/>
    <n v="420"/>
  </r>
  <r>
    <x v="0"/>
    <x v="0"/>
    <x v="0"/>
    <n v="74031865000151"/>
    <x v="397"/>
    <s v="FORTALEZA"/>
    <s v="CE"/>
    <x v="3"/>
    <s v="FERNANDO LEONY (CO/NO/NE)"/>
    <n v="64"/>
    <x v="2"/>
    <s v="FUNDES - FORTALEZA - CE - 74.031.865/0001-51"/>
    <n v="100"/>
  </r>
  <r>
    <x v="0"/>
    <x v="1"/>
    <x v="0"/>
    <n v="41580077000165"/>
    <x v="398"/>
    <s v="FORTALEZA"/>
    <s v="CE"/>
    <x v="3"/>
    <s v="FERNANDO LEONY (CO/NO/NE)"/>
    <n v="70"/>
    <x v="0"/>
    <s v="HOSPITAL SAO MATEUS LTDA. - FORTALEZA - CE - 41.580.077/0001-65"/>
    <n v="75"/>
  </r>
  <r>
    <x v="0"/>
    <x v="1"/>
    <x v="0"/>
    <n v="60975737003509"/>
    <x v="396"/>
    <s v="FORTALEZA"/>
    <s v="CE"/>
    <x v="3"/>
    <s v="FERNANDO LEONY (CO/NO/NE)"/>
    <n v="62"/>
    <x v="3"/>
    <s v="HOSPITAL CURA DARS - FORTALEZA - CE - 60.975.737/0035-09"/>
    <n v="4"/>
  </r>
  <r>
    <x v="0"/>
    <x v="1"/>
    <x v="0"/>
    <n v="60975737003509"/>
    <x v="396"/>
    <s v="FORTALEZA"/>
    <s v="CE"/>
    <x v="3"/>
    <s v="FERNANDO LEONY (CO/NO/NE)"/>
    <n v="64"/>
    <x v="2"/>
    <s v="HOSPITAL CURA DARS - FORTALEZA - CE - 60.975.737/0035-09"/>
    <n v="6"/>
  </r>
  <r>
    <x v="0"/>
    <x v="1"/>
    <x v="0"/>
    <n v="74031865000151"/>
    <x v="397"/>
    <s v="FORTALEZA"/>
    <s v="CE"/>
    <x v="3"/>
    <s v="FERNANDO LEONY (CO/NO/NE)"/>
    <n v="64"/>
    <x v="2"/>
    <s v="FUNDES - FORTALEZA - CE - 74.031.865/0001-51"/>
    <n v="800"/>
  </r>
  <r>
    <x v="0"/>
    <x v="2"/>
    <x v="0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2"/>
    <x v="0"/>
    <n v="5868278000280"/>
    <x v="384"/>
    <s v="FORTALEZA"/>
    <s v="CE"/>
    <x v="3"/>
    <s v="FERNANDO LEONY (CO/NO/NE)"/>
    <n v="62"/>
    <x v="3"/>
    <s v="HOSPITAL REGIONAL UNIMED - FORTALEZA - CE - 05.868.278/0002-80"/>
    <n v="8"/>
  </r>
  <r>
    <x v="0"/>
    <x v="2"/>
    <x v="0"/>
    <n v="5868278000280"/>
    <x v="384"/>
    <s v="FORTALEZA"/>
    <s v="CE"/>
    <x v="3"/>
    <s v="FERNANDO LEONY (CO/NO/NE)"/>
    <n v="64"/>
    <x v="2"/>
    <s v="HOSPITAL REGIONAL UNIMED - FORTALEZA - CE - 05.868.278/0002-80"/>
    <n v="13"/>
  </r>
  <r>
    <x v="0"/>
    <x v="2"/>
    <x v="0"/>
    <n v="5868278000280"/>
    <x v="384"/>
    <s v="FORTALEZA"/>
    <s v="CE"/>
    <x v="3"/>
    <s v="FERNANDO LEONY (CO/NO/NE)"/>
    <n v="73"/>
    <x v="1"/>
    <s v="HOSPITAL REGIONAL UNIMED - FORTALEZA - CE - 05.868.278/0002-80"/>
    <n v="26"/>
  </r>
  <r>
    <x v="0"/>
    <x v="2"/>
    <x v="0"/>
    <n v="5874946000281"/>
    <x v="389"/>
    <s v="FORTALEZA"/>
    <s v="CE"/>
    <x v="3"/>
    <s v="FERNANDO LEONY (CO/NO/NE)"/>
    <n v="62"/>
    <x v="3"/>
    <s v="DEPOSITO-ARMAZEM DE FORTALEZA - FORTALEZA - CE - 05.874.946/0002-81"/>
    <n v="5"/>
  </r>
  <r>
    <x v="0"/>
    <x v="2"/>
    <x v="0"/>
    <n v="5874946000281"/>
    <x v="389"/>
    <s v="FORTALEZA"/>
    <s v="CE"/>
    <x v="3"/>
    <s v="FERNANDO LEONY (CO/NO/NE)"/>
    <n v="64"/>
    <x v="2"/>
    <s v="DEPOSITO-ARMAZEM DE FORTALEZA - FORTALEZA - CE - 05.874.946/0002-81"/>
    <n v="7"/>
  </r>
  <r>
    <x v="0"/>
    <x v="2"/>
    <x v="0"/>
    <n v="7245269000187"/>
    <x v="392"/>
    <s v="FORTALEZA"/>
    <s v="CE"/>
    <x v="3"/>
    <s v="FERNANDO LEONY (CO/NO/NE)"/>
    <n v="64"/>
    <x v="2"/>
    <s v="CASA DE SAUDE E MATERNIDADE SAO RAIMUNDO SA - FORTALEZA - CE - 07.245.269/0001-87"/>
    <n v="7"/>
  </r>
  <r>
    <x v="0"/>
    <x v="2"/>
    <x v="0"/>
    <n v="7272636000212"/>
    <x v="387"/>
    <s v="FORTALEZA"/>
    <s v="CE"/>
    <x v="3"/>
    <s v="FERNANDO LEONY (CO/NO/NE)"/>
    <n v="62"/>
    <x v="3"/>
    <s v="HOSPITAL UNIVERSITARIO WALTER CANTIDIO - FORTALEZA - CE - 07.272.636/0002-12"/>
    <n v="30"/>
  </r>
  <r>
    <x v="0"/>
    <x v="2"/>
    <x v="0"/>
    <n v="7272636000212"/>
    <x v="387"/>
    <s v="FORTALEZA"/>
    <s v="CE"/>
    <x v="3"/>
    <s v="FERNANDO LEONY (CO/NO/NE)"/>
    <n v="70"/>
    <x v="0"/>
    <s v="HOSPITAL UNIVERSITARIO WALTER CANTIDIO - FORTALEZA - CE - 07.272.636/0002-12"/>
    <n v="600"/>
  </r>
  <r>
    <x v="0"/>
    <x v="2"/>
    <x v="0"/>
    <n v="11794674000121"/>
    <x v="394"/>
    <s v="FORTALEZA"/>
    <s v="CE"/>
    <x v="3"/>
    <s v="FERNANDO LEONY (CO/NO/NE)"/>
    <n v="62"/>
    <x v="3"/>
    <s v="HOSPITAL SAO CARLOS LTDA - FORTALEZA - CE - 11.794.674/0001-21"/>
    <n v="4"/>
  </r>
  <r>
    <x v="0"/>
    <x v="2"/>
    <x v="0"/>
    <n v="11794674000121"/>
    <x v="394"/>
    <s v="FORTALEZA"/>
    <s v="CE"/>
    <x v="3"/>
    <s v="FERNANDO LEONY (CO/NO/NE)"/>
    <n v="70"/>
    <x v="0"/>
    <s v="HOSPITAL SAO CARLOS LTDA - FORTALEZA - CE - 11.794.674/0001-21"/>
    <n v="180"/>
  </r>
  <r>
    <x v="0"/>
    <x v="2"/>
    <x v="0"/>
    <n v="12361267011802"/>
    <x v="390"/>
    <s v="FORTALEZA"/>
    <s v="CE"/>
    <x v="3"/>
    <s v="FERNANDO LEONY (CO/NO/NE)"/>
    <n v="62"/>
    <x v="3"/>
    <s v="DEPOSITO - ARMAZEM FORTALEZA/CE - FORTALEZA - CE - 12.361.267/0118-02"/>
    <n v="2"/>
  </r>
  <r>
    <x v="0"/>
    <x v="2"/>
    <x v="0"/>
    <n v="12361267011802"/>
    <x v="390"/>
    <s v="FORTALEZA"/>
    <s v="CE"/>
    <x v="3"/>
    <s v="FERNANDO LEONY (CO/NO/NE)"/>
    <n v="64"/>
    <x v="2"/>
    <s v="DEPOSITO - ARMAZEM FORTALEZA/CE - FORTALEZA - CE - 12.361.267/0118-02"/>
    <n v="4"/>
  </r>
  <r>
    <x v="0"/>
    <x v="2"/>
    <x v="0"/>
    <n v="12568570000161"/>
    <x v="391"/>
    <s v="FORTALEZA"/>
    <s v="CE"/>
    <x v="3"/>
    <s v="FERNANDO LEONY (CO/NO/NE)"/>
    <n v="70"/>
    <x v="0"/>
    <s v="INTEGRARE TERAPEUTICA - FORTALEZA - CE - 12.568.570/0001-61"/>
    <n v="-5"/>
  </r>
  <r>
    <x v="0"/>
    <x v="2"/>
    <x v="0"/>
    <n v="29435005007484"/>
    <x v="393"/>
    <s v="FORTALEZA"/>
    <s v="CE"/>
    <x v="3"/>
    <s v="FERNANDO LEONY (CO/NO/NE)"/>
    <n v="62"/>
    <x v="3"/>
    <s v="HOSPITAL MONTE KLINIKUM - FORTALEZA - CE - 29.435.005/0074-84"/>
    <n v="5"/>
  </r>
  <r>
    <x v="0"/>
    <x v="2"/>
    <x v="0"/>
    <n v="29435005007484"/>
    <x v="393"/>
    <s v="FORTALEZA"/>
    <s v="CE"/>
    <x v="3"/>
    <s v="FERNANDO LEONY (CO/NO/NE)"/>
    <n v="64"/>
    <x v="2"/>
    <s v="HOSPITAL MONTE KLINIKUM - FORTALEZA - CE - 29.435.005/0074-84"/>
    <n v="13"/>
  </r>
  <r>
    <x v="0"/>
    <x v="2"/>
    <x v="0"/>
    <n v="29435005007484"/>
    <x v="393"/>
    <s v="FORTALEZA"/>
    <s v="CE"/>
    <x v="3"/>
    <s v="FERNANDO LEONY (CO/NO/NE)"/>
    <n v="70"/>
    <x v="0"/>
    <s v="HOSPITAL MONTE KLINIKUM - FORTALEZA - CE - 29.435.005/0074-84"/>
    <n v="200"/>
  </r>
  <r>
    <x v="0"/>
    <x v="2"/>
    <x v="0"/>
    <n v="41580077000165"/>
    <x v="398"/>
    <s v="FORTALEZA"/>
    <s v="CE"/>
    <x v="3"/>
    <s v="FERNANDO LEONY (CO/NO/NE)"/>
    <n v="62"/>
    <x v="3"/>
    <s v="HOSPITAL SAO MATEUS LTDA. - FORTALEZA - CE - 41.580.077/0001-65"/>
    <n v="3"/>
  </r>
  <r>
    <x v="0"/>
    <x v="2"/>
    <x v="0"/>
    <n v="60975737003509"/>
    <x v="396"/>
    <s v="FORTALEZA"/>
    <s v="CE"/>
    <x v="3"/>
    <s v="FERNANDO LEONY (CO/NO/NE)"/>
    <n v="62"/>
    <x v="3"/>
    <s v="HOSPITAL CURA DARS - FORTALEZA - CE - 60.975.737/0035-09"/>
    <n v="19"/>
  </r>
  <r>
    <x v="0"/>
    <x v="2"/>
    <x v="0"/>
    <n v="60975737003509"/>
    <x v="396"/>
    <s v="FORTALEZA"/>
    <s v="CE"/>
    <x v="3"/>
    <s v="FERNANDO LEONY (CO/NO/NE)"/>
    <n v="64"/>
    <x v="2"/>
    <s v="HOSPITAL CURA DARS - FORTALEZA - CE - 60.975.737/0035-09"/>
    <n v="10"/>
  </r>
  <r>
    <x v="0"/>
    <x v="2"/>
    <x v="0"/>
    <n v="74031865000151"/>
    <x v="397"/>
    <s v="FORTALEZA"/>
    <s v="CE"/>
    <x v="3"/>
    <s v="FERNANDO LEONY (CO/NO/NE)"/>
    <n v="62"/>
    <x v="3"/>
    <s v="FUNDES - FORTALEZA - CE - 74.031.865/0001-51"/>
    <n v="140"/>
  </r>
  <r>
    <x v="0"/>
    <x v="2"/>
    <x v="0"/>
    <n v="74031865000151"/>
    <x v="397"/>
    <s v="FORTALEZA"/>
    <s v="CE"/>
    <x v="3"/>
    <s v="FERNANDO LEONY (CO/NO/NE)"/>
    <n v="66"/>
    <x v="4"/>
    <s v="FUNDES - FORTALEZA - CE - 74.031.865/0001-51"/>
    <n v="192"/>
  </r>
  <r>
    <x v="0"/>
    <x v="3"/>
    <x v="1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3"/>
    <x v="1"/>
    <n v="5868278000280"/>
    <x v="384"/>
    <s v="FORTALEZA"/>
    <s v="CE"/>
    <x v="3"/>
    <s v="FERNANDO LEONY (CO/NO/NE)"/>
    <n v="62"/>
    <x v="3"/>
    <s v="HOSPITAL REGIONAL UNIMED - FORTALEZA - CE - 05.868.278/0002-80"/>
    <n v="40"/>
  </r>
  <r>
    <x v="0"/>
    <x v="3"/>
    <x v="1"/>
    <n v="5868278000280"/>
    <x v="384"/>
    <s v="FORTALEZA"/>
    <s v="CE"/>
    <x v="3"/>
    <s v="FERNANDO LEONY (CO/NO/NE)"/>
    <n v="64"/>
    <x v="2"/>
    <s v="HOSPITAL REGIONAL UNIMED - FORTALEZA - CE - 05.868.278/0002-80"/>
    <n v="6"/>
  </r>
  <r>
    <x v="0"/>
    <x v="3"/>
    <x v="1"/>
    <n v="5868278000280"/>
    <x v="384"/>
    <s v="FORTALEZA"/>
    <s v="CE"/>
    <x v="3"/>
    <s v="FERNANDO LEONY (CO/NO/NE)"/>
    <n v="73"/>
    <x v="1"/>
    <s v="HOSPITAL REGIONAL UNIMED - FORTALEZA - CE - 05.868.278/0002-80"/>
    <n v="128"/>
  </r>
  <r>
    <x v="0"/>
    <x v="3"/>
    <x v="1"/>
    <n v="5874946000281"/>
    <x v="389"/>
    <s v="FORTALEZA"/>
    <s v="CE"/>
    <x v="3"/>
    <s v="FERNANDO LEONY (CO/NO/NE)"/>
    <n v="62"/>
    <x v="3"/>
    <s v="DEPOSITO-ARMAZEM DE FORTALEZA - FORTALEZA - CE - 05.874.946/0002-81"/>
    <n v="5"/>
  </r>
  <r>
    <x v="0"/>
    <x v="3"/>
    <x v="1"/>
    <n v="7272636000212"/>
    <x v="387"/>
    <s v="FORTALEZA"/>
    <s v="CE"/>
    <x v="3"/>
    <s v="FERNANDO LEONY (CO/NO/NE)"/>
    <n v="62"/>
    <x v="3"/>
    <s v="HOSPITAL UNIVERSITARIO WALTER CANTIDIO - FORTALEZA - CE - 07.272.636/0002-12"/>
    <n v="25"/>
  </r>
  <r>
    <x v="0"/>
    <x v="3"/>
    <x v="1"/>
    <n v="7272636000212"/>
    <x v="387"/>
    <s v="FORTALEZA"/>
    <s v="CE"/>
    <x v="3"/>
    <s v="FERNANDO LEONY (CO/NO/NE)"/>
    <n v="64"/>
    <x v="2"/>
    <s v="HOSPITAL UNIVERSITARIO WALTER CANTIDIO - FORTALEZA - CE - 07.272.636/0002-12"/>
    <n v="20"/>
  </r>
  <r>
    <x v="0"/>
    <x v="3"/>
    <x v="1"/>
    <n v="7272636000212"/>
    <x v="387"/>
    <s v="FORTALEZA"/>
    <s v="CE"/>
    <x v="3"/>
    <s v="FERNANDO LEONY (CO/NO/NE)"/>
    <n v="70"/>
    <x v="0"/>
    <s v="HOSPITAL UNIVERSITARIO WALTER CANTIDIO - FORTALEZA - CE - 07.272.636/0002-12"/>
    <n v="2400"/>
  </r>
  <r>
    <x v="0"/>
    <x v="3"/>
    <x v="1"/>
    <n v="8711085000128"/>
    <x v="399"/>
    <s v="FORTALEZA"/>
    <s v="CE"/>
    <x v="3"/>
    <s v="FERNANDO LEONY (CO/NO/NE)"/>
    <n v="62"/>
    <x v="3"/>
    <s v="PRONTOCARDIO SERVICOS MEDICOS HOSPITALARES S/A - FORTALEZA - CE - 08.711.085/0001-28"/>
    <n v="3"/>
  </r>
  <r>
    <x v="0"/>
    <x v="3"/>
    <x v="1"/>
    <n v="8711085000128"/>
    <x v="399"/>
    <s v="FORTALEZA"/>
    <s v="CE"/>
    <x v="3"/>
    <s v="FERNANDO LEONY (CO/NO/NE)"/>
    <n v="64"/>
    <x v="2"/>
    <s v="PRONTOCARDIO SERVICOS MEDICOS HOSPITALARES S/A - FORTALEZA - CE - 08.711.085/0001-28"/>
    <n v="1"/>
  </r>
  <r>
    <x v="0"/>
    <x v="3"/>
    <x v="1"/>
    <n v="11794674000121"/>
    <x v="394"/>
    <s v="FORTALEZA"/>
    <s v="CE"/>
    <x v="3"/>
    <s v="FERNANDO LEONY (CO/NO/NE)"/>
    <n v="62"/>
    <x v="3"/>
    <s v="HOSPITAL SAO CARLOS LTDA - FORTALEZA - CE - 11.794.674/0001-21"/>
    <n v="7"/>
  </r>
  <r>
    <x v="0"/>
    <x v="3"/>
    <x v="1"/>
    <n v="11794674000121"/>
    <x v="394"/>
    <s v="FORTALEZA"/>
    <s v="CE"/>
    <x v="3"/>
    <s v="FERNANDO LEONY (CO/NO/NE)"/>
    <n v="64"/>
    <x v="2"/>
    <s v="HOSPITAL SAO CARLOS LTDA - FORTALEZA - CE - 11.794.674/0001-21"/>
    <n v="4"/>
  </r>
  <r>
    <x v="0"/>
    <x v="3"/>
    <x v="1"/>
    <n v="23443518000103"/>
    <x v="400"/>
    <s v="FORTALEZA"/>
    <s v="CE"/>
    <x v="3"/>
    <s v="FERNANDO LEONY (CO/NO/NE)"/>
    <n v="64"/>
    <x v="2"/>
    <s v="HOSPITAL OTOCLINICA - FORTALEZA - CE - 23.443.518/0001-03"/>
    <n v="2"/>
  </r>
  <r>
    <x v="0"/>
    <x v="3"/>
    <x v="1"/>
    <n v="29435005007484"/>
    <x v="393"/>
    <s v="FORTALEZA"/>
    <s v="CE"/>
    <x v="3"/>
    <s v="FERNANDO LEONY (CO/NO/NE)"/>
    <n v="62"/>
    <x v="3"/>
    <s v="HOSPITAL MONTE KLINIKUM - FORTALEZA - CE - 29.435.005/0074-84"/>
    <n v="17"/>
  </r>
  <r>
    <x v="0"/>
    <x v="3"/>
    <x v="1"/>
    <n v="29435005007484"/>
    <x v="393"/>
    <s v="FORTALEZA"/>
    <s v="CE"/>
    <x v="3"/>
    <s v="FERNANDO LEONY (CO/NO/NE)"/>
    <n v="64"/>
    <x v="2"/>
    <s v="HOSPITAL MONTE KLINIKUM - FORTALEZA - CE - 29.435.005/0074-84"/>
    <n v="20"/>
  </r>
  <r>
    <x v="0"/>
    <x v="3"/>
    <x v="1"/>
    <n v="29435005007484"/>
    <x v="393"/>
    <s v="FORTALEZA"/>
    <s v="CE"/>
    <x v="3"/>
    <s v="FERNANDO LEONY (CO/NO/NE)"/>
    <n v="70"/>
    <x v="0"/>
    <s v="HOSPITAL MONTE KLINIKUM - FORTALEZA - CE - 29.435.005/0074-84"/>
    <n v="105"/>
  </r>
  <r>
    <x v="0"/>
    <x v="3"/>
    <x v="1"/>
    <n v="74031865000151"/>
    <x v="397"/>
    <s v="FORTALEZA"/>
    <s v="CE"/>
    <x v="3"/>
    <s v="FERNANDO LEONY (CO/NO/NE)"/>
    <n v="62"/>
    <x v="3"/>
    <s v="FUNDES - FORTALEZA - CE - 74.031.865/0001-51"/>
    <n v="428"/>
  </r>
  <r>
    <x v="0"/>
    <x v="4"/>
    <x v="1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4"/>
    <x v="1"/>
    <n v="5868278000280"/>
    <x v="384"/>
    <s v="FORTALEZA"/>
    <s v="CE"/>
    <x v="3"/>
    <s v="FERNANDO LEONY (CO/NO/NE)"/>
    <n v="62"/>
    <x v="3"/>
    <s v="HOSPITAL REGIONAL UNIMED - FORTALEZA - CE - 05.868.278/0002-80"/>
    <n v="24"/>
  </r>
  <r>
    <x v="0"/>
    <x v="4"/>
    <x v="1"/>
    <n v="5868278000280"/>
    <x v="384"/>
    <s v="FORTALEZA"/>
    <s v="CE"/>
    <x v="3"/>
    <s v="FERNANDO LEONY (CO/NO/NE)"/>
    <n v="64"/>
    <x v="2"/>
    <s v="HOSPITAL REGIONAL UNIMED - FORTALEZA - CE - 05.868.278/0002-80"/>
    <n v="16"/>
  </r>
  <r>
    <x v="0"/>
    <x v="4"/>
    <x v="1"/>
    <n v="5868278000280"/>
    <x v="384"/>
    <s v="FORTALEZA"/>
    <s v="CE"/>
    <x v="3"/>
    <s v="FERNANDO LEONY (CO/NO/NE)"/>
    <n v="70"/>
    <x v="0"/>
    <s v="HOSPITAL REGIONAL UNIMED - FORTALEZA - CE - 05.868.278/0002-80"/>
    <n v="585"/>
  </r>
  <r>
    <x v="0"/>
    <x v="4"/>
    <x v="1"/>
    <n v="5868278000280"/>
    <x v="384"/>
    <s v="FORTALEZA"/>
    <s v="CE"/>
    <x v="3"/>
    <s v="FERNANDO LEONY (CO/NO/NE)"/>
    <n v="73"/>
    <x v="1"/>
    <s v="HOSPITAL REGIONAL UNIMED - FORTALEZA - CE - 05.868.278/0002-80"/>
    <n v="154"/>
  </r>
  <r>
    <x v="0"/>
    <x v="4"/>
    <x v="1"/>
    <n v="5874946000281"/>
    <x v="389"/>
    <s v="FORTALEZA"/>
    <s v="CE"/>
    <x v="3"/>
    <s v="FERNANDO LEONY (CO/NO/NE)"/>
    <n v="70"/>
    <x v="0"/>
    <s v="DEPOSITO-ARMAZEM DE FORTALEZA - FORTALEZA - CE - 05.874.946/0002-81"/>
    <n v="225"/>
  </r>
  <r>
    <x v="0"/>
    <x v="4"/>
    <x v="1"/>
    <n v="12361267011802"/>
    <x v="390"/>
    <s v="FORTALEZA"/>
    <s v="CE"/>
    <x v="3"/>
    <s v="FERNANDO LEONY (CO/NO/NE)"/>
    <n v="62"/>
    <x v="3"/>
    <s v="DEPOSITO - ARMAZEM FORTALEZA/CE - FORTALEZA - CE - 12.361.267/0118-02"/>
    <n v="2"/>
  </r>
  <r>
    <x v="0"/>
    <x v="4"/>
    <x v="1"/>
    <n v="12361267011802"/>
    <x v="390"/>
    <s v="FORTALEZA"/>
    <s v="CE"/>
    <x v="3"/>
    <s v="FERNANDO LEONY (CO/NO/NE)"/>
    <n v="64"/>
    <x v="2"/>
    <s v="DEPOSITO - ARMAZEM FORTALEZA/CE - FORTALEZA - CE - 12.361.267/0118-02"/>
    <n v="3"/>
  </r>
  <r>
    <x v="0"/>
    <x v="4"/>
    <x v="1"/>
    <n v="12568570000161"/>
    <x v="391"/>
    <s v="FORTALEZA"/>
    <s v="CE"/>
    <x v="3"/>
    <s v="FERNANDO LEONY (CO/NO/NE)"/>
    <n v="70"/>
    <x v="0"/>
    <s v="INTEGRARE TERAPEUTICA - FORTALEZA - CE - 12.568.570/0001-61"/>
    <n v="5"/>
  </r>
  <r>
    <x v="0"/>
    <x v="4"/>
    <x v="1"/>
    <n v="15126437001468"/>
    <x v="395"/>
    <s v="FORTALEZA"/>
    <s v="CE"/>
    <x v="3"/>
    <s v="FERNANDO LEONY (CO/NO/NE)"/>
    <n v="64"/>
    <x v="2"/>
    <s v="EBSERH - COMPLEXO HOSPITALAR DO CEARA (HUWC E MEAC) - FORTALEZA - CE - 15.126.437/0014-68"/>
    <n v="50"/>
  </r>
  <r>
    <x v="0"/>
    <x v="4"/>
    <x v="1"/>
    <n v="23443518000103"/>
    <x v="400"/>
    <s v="FORTALEZA"/>
    <s v="CE"/>
    <x v="3"/>
    <s v="FERNANDO LEONY (CO/NO/NE)"/>
    <n v="64"/>
    <x v="2"/>
    <s v="HOSPITAL OTOCLINICA - FORTALEZA - CE - 23.443.518/0001-03"/>
    <n v="3"/>
  </r>
  <r>
    <x v="0"/>
    <x v="4"/>
    <x v="1"/>
    <n v="28102490000156"/>
    <x v="401"/>
    <s v="FORTALEZA"/>
    <s v="CE"/>
    <x v="3"/>
    <s v="FERNANDO LEONY (CO/NO/NE)"/>
    <n v="73"/>
    <x v="1"/>
    <s v="FORTAL FARMACE - FORTALEZA - CE - 28.12.490/0001-56"/>
    <n v="30"/>
  </r>
  <r>
    <x v="0"/>
    <x v="4"/>
    <x v="1"/>
    <n v="29435005007484"/>
    <x v="393"/>
    <s v="FORTALEZA"/>
    <s v="CE"/>
    <x v="3"/>
    <s v="FERNANDO LEONY (CO/NO/NE)"/>
    <n v="62"/>
    <x v="3"/>
    <s v="HOSPITAL MONTE KLINIKUM - FORTALEZA - CE - 29.435.005/0074-84"/>
    <n v="6"/>
  </r>
  <r>
    <x v="0"/>
    <x v="4"/>
    <x v="1"/>
    <n v="29435005007484"/>
    <x v="393"/>
    <s v="FORTALEZA"/>
    <s v="CE"/>
    <x v="3"/>
    <s v="FERNANDO LEONY (CO/NO/NE)"/>
    <n v="64"/>
    <x v="2"/>
    <s v="HOSPITAL MONTE KLINIKUM - FORTALEZA - CE - 29.435.005/0074-84"/>
    <n v="20"/>
  </r>
  <r>
    <x v="0"/>
    <x v="4"/>
    <x v="1"/>
    <n v="60975737003509"/>
    <x v="396"/>
    <s v="FORTALEZA"/>
    <s v="CE"/>
    <x v="3"/>
    <s v="FERNANDO LEONY (CO/NO/NE)"/>
    <n v="62"/>
    <x v="3"/>
    <s v="HOSPITAL CURA DARS - FORTALEZA - CE - 60.975.737/0035-09"/>
    <n v="12"/>
  </r>
  <r>
    <x v="0"/>
    <x v="4"/>
    <x v="1"/>
    <n v="60975737003509"/>
    <x v="396"/>
    <s v="FORTALEZA"/>
    <s v="CE"/>
    <x v="3"/>
    <s v="FERNANDO LEONY (CO/NO/NE)"/>
    <n v="64"/>
    <x v="2"/>
    <s v="HOSPITAL CURA DARS - FORTALEZA - CE - 60.975.737/0035-09"/>
    <n v="17"/>
  </r>
  <r>
    <x v="0"/>
    <x v="4"/>
    <x v="1"/>
    <n v="60975737003509"/>
    <x v="396"/>
    <s v="FORTALEZA"/>
    <s v="CE"/>
    <x v="3"/>
    <s v="FERNANDO LEONY (CO/NO/NE)"/>
    <n v="73"/>
    <x v="1"/>
    <s v="HOSPITAL CURA DARS - FORTALEZA - CE - 60.975.737/0035-09"/>
    <n v="3"/>
  </r>
  <r>
    <x v="0"/>
    <x v="4"/>
    <x v="1"/>
    <n v="74031865000151"/>
    <x v="397"/>
    <s v="FORTALEZA"/>
    <s v="CE"/>
    <x v="3"/>
    <s v="FERNANDO LEONY (CO/NO/NE)"/>
    <n v="62"/>
    <x v="3"/>
    <s v="FUNDES - FORTALEZA - CE - 74.031.865/0001-51"/>
    <n v="390"/>
  </r>
  <r>
    <x v="0"/>
    <x v="5"/>
    <x v="1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5"/>
    <x v="1"/>
    <n v="5868278000280"/>
    <x v="384"/>
    <s v="FORTALEZA"/>
    <s v="CE"/>
    <x v="3"/>
    <s v="FERNANDO LEONY (CO/NO/NE)"/>
    <n v="62"/>
    <x v="3"/>
    <s v="HOSPITAL REGIONAL UNIMED - FORTALEZA - CE - 05.868.278/0002-80"/>
    <n v="38"/>
  </r>
  <r>
    <x v="0"/>
    <x v="5"/>
    <x v="1"/>
    <n v="5868278000280"/>
    <x v="384"/>
    <s v="FORTALEZA"/>
    <s v="CE"/>
    <x v="3"/>
    <s v="FERNANDO LEONY (CO/NO/NE)"/>
    <n v="64"/>
    <x v="2"/>
    <s v="HOSPITAL REGIONAL UNIMED - FORTALEZA - CE - 05.868.278/0002-80"/>
    <n v="22"/>
  </r>
  <r>
    <x v="0"/>
    <x v="5"/>
    <x v="1"/>
    <n v="5868278000280"/>
    <x v="384"/>
    <s v="FORTALEZA"/>
    <s v="CE"/>
    <x v="3"/>
    <s v="FERNANDO LEONY (CO/NO/NE)"/>
    <n v="73"/>
    <x v="1"/>
    <s v="HOSPITAL REGIONAL UNIMED - FORTALEZA - CE - 05.868.278/0002-80"/>
    <n v="40"/>
  </r>
  <r>
    <x v="0"/>
    <x v="5"/>
    <x v="1"/>
    <n v="5874946000281"/>
    <x v="389"/>
    <s v="FORTALEZA"/>
    <s v="CE"/>
    <x v="3"/>
    <s v="FERNANDO LEONY (CO/NO/NE)"/>
    <n v="70"/>
    <x v="0"/>
    <s v="DEPOSITO-ARMAZEM DE FORTALEZA - FORTALEZA - CE - 05.874.946/0002-81"/>
    <n v="25"/>
  </r>
  <r>
    <x v="0"/>
    <x v="5"/>
    <x v="1"/>
    <n v="7272636000212"/>
    <x v="387"/>
    <s v="FORTALEZA"/>
    <s v="CE"/>
    <x v="3"/>
    <s v="FERNANDO LEONY (CO/NO/NE)"/>
    <n v="62"/>
    <x v="3"/>
    <s v="HOSPITAL UNIVERSITARIO WALTER CANTIDIO - FORTALEZA - CE - 07.272.636/0002-12"/>
    <n v="30"/>
  </r>
  <r>
    <x v="0"/>
    <x v="5"/>
    <x v="1"/>
    <n v="11794674000121"/>
    <x v="394"/>
    <s v="FORTALEZA"/>
    <s v="CE"/>
    <x v="3"/>
    <s v="FERNANDO LEONY (CO/NO/NE)"/>
    <n v="64"/>
    <x v="2"/>
    <s v="HOSPITAL SAO CARLOS LTDA - FORTALEZA - CE - 11.794.674/0001-21"/>
    <n v="18"/>
  </r>
  <r>
    <x v="0"/>
    <x v="5"/>
    <x v="1"/>
    <n v="11794674000121"/>
    <x v="394"/>
    <s v="FORTALEZA"/>
    <s v="CE"/>
    <x v="3"/>
    <s v="FERNANDO LEONY (CO/NO/NE)"/>
    <n v="70"/>
    <x v="0"/>
    <s v="HOSPITAL SAO CARLOS LTDA - FORTALEZA - CE - 11.794.674/0001-21"/>
    <n v="250"/>
  </r>
  <r>
    <x v="0"/>
    <x v="5"/>
    <x v="1"/>
    <n v="23443518000103"/>
    <x v="400"/>
    <s v="FORTALEZA"/>
    <s v="CE"/>
    <x v="3"/>
    <s v="FERNANDO LEONY (CO/NO/NE)"/>
    <n v="62"/>
    <x v="3"/>
    <s v="HOSPITAL OTOCLINICA - FORTALEZA - CE - 23.443.518/0001-03"/>
    <n v="6"/>
  </r>
  <r>
    <x v="0"/>
    <x v="5"/>
    <x v="1"/>
    <n v="60975737003509"/>
    <x v="396"/>
    <s v="FORTALEZA"/>
    <s v="CE"/>
    <x v="3"/>
    <s v="FERNANDO LEONY (CO/NO/NE)"/>
    <n v="62"/>
    <x v="3"/>
    <s v="HOSPITAL CURA DARS - FORTALEZA - CE - 60.975.737/0035-09"/>
    <n v="9"/>
  </r>
  <r>
    <x v="0"/>
    <x v="5"/>
    <x v="1"/>
    <n v="60975737003509"/>
    <x v="396"/>
    <s v="FORTALEZA"/>
    <s v="CE"/>
    <x v="3"/>
    <s v="FERNANDO LEONY (CO/NO/NE)"/>
    <n v="64"/>
    <x v="2"/>
    <s v="HOSPITAL CURA DARS - FORTALEZA - CE - 60.975.737/0035-09"/>
    <n v="2"/>
  </r>
  <r>
    <x v="0"/>
    <x v="5"/>
    <x v="1"/>
    <n v="60975737003509"/>
    <x v="396"/>
    <s v="FORTALEZA"/>
    <s v="CE"/>
    <x v="3"/>
    <s v="FERNANDO LEONY (CO/NO/NE)"/>
    <n v="73"/>
    <x v="1"/>
    <s v="HOSPITAL CURA DARS - FORTALEZA - CE - 60.975.737/0035-09"/>
    <n v="3"/>
  </r>
  <r>
    <x v="0"/>
    <x v="6"/>
    <x v="2"/>
    <n v="5867015000175"/>
    <x v="383"/>
    <s v="FORTALEZA"/>
    <s v="CE"/>
    <x v="3"/>
    <s v="FERNANDO LEONY (CO/NO/NE)"/>
    <n v="73"/>
    <x v="1"/>
    <s v="UNICLINIC - FORTALEZA - CE - 05.867.015/0001-75"/>
    <n v="8"/>
  </r>
  <r>
    <x v="0"/>
    <x v="6"/>
    <x v="2"/>
    <n v="5868278000280"/>
    <x v="384"/>
    <s v="FORTALEZA"/>
    <s v="CE"/>
    <x v="3"/>
    <s v="FERNANDO LEONY (CO/NO/NE)"/>
    <n v="73"/>
    <x v="1"/>
    <s v="HOSPITAL REGIONAL UNIMED - FORTALEZA - CE - 05.868.278/0002-80"/>
    <n v="84"/>
  </r>
  <r>
    <x v="0"/>
    <x v="6"/>
    <x v="2"/>
    <n v="7272636000212"/>
    <x v="387"/>
    <s v="FORTALEZA"/>
    <s v="CE"/>
    <x v="3"/>
    <s v="FERNANDO LEONY (CO/NO/NE)"/>
    <n v="62"/>
    <x v="3"/>
    <s v="HOSPITAL UNIVERSITARIO WALTER CANTIDIO - FORTALEZA - CE - 07.272.636/0002-12"/>
    <n v="40"/>
  </r>
  <r>
    <x v="0"/>
    <x v="6"/>
    <x v="2"/>
    <n v="7835044000180"/>
    <x v="388"/>
    <s v="FORTALEZA"/>
    <s v="CE"/>
    <x v="3"/>
    <s v="FERNANDO LEONY (CO/NO/NE)"/>
    <n v="62"/>
    <x v="3"/>
    <s v="INSTITUTO DR JOSE FROTA - FORTALEZA - CE - 07.835.044/0001-80"/>
    <n v="15"/>
  </r>
  <r>
    <x v="0"/>
    <x v="6"/>
    <x v="2"/>
    <n v="11794674000121"/>
    <x v="394"/>
    <s v="FORTALEZA"/>
    <s v="CE"/>
    <x v="3"/>
    <s v="FERNANDO LEONY (CO/NO/NE)"/>
    <n v="62"/>
    <x v="3"/>
    <s v="HOSPITAL SAO CARLOS LTDA - FORTALEZA - CE - 11.794.674/0001-21"/>
    <n v="6"/>
  </r>
  <r>
    <x v="0"/>
    <x v="6"/>
    <x v="2"/>
    <n v="11794674000121"/>
    <x v="394"/>
    <s v="FORTALEZA"/>
    <s v="CE"/>
    <x v="3"/>
    <s v="FERNANDO LEONY (CO/NO/NE)"/>
    <n v="64"/>
    <x v="2"/>
    <s v="HOSPITAL SAO CARLOS LTDA - FORTALEZA - CE - 11.794.674/0001-21"/>
    <n v="4"/>
  </r>
  <r>
    <x v="0"/>
    <x v="6"/>
    <x v="2"/>
    <n v="11794674000121"/>
    <x v="394"/>
    <s v="FORTALEZA"/>
    <s v="CE"/>
    <x v="3"/>
    <s v="FERNANDO LEONY (CO/NO/NE)"/>
    <n v="70"/>
    <x v="0"/>
    <s v="HOSPITAL SAO CARLOS LTDA - FORTALEZA - CE - 11.794.674/0001-21"/>
    <n v="50"/>
  </r>
  <r>
    <x v="0"/>
    <x v="6"/>
    <x v="2"/>
    <n v="29435005007484"/>
    <x v="393"/>
    <s v="FORTALEZA"/>
    <s v="CE"/>
    <x v="3"/>
    <s v="FERNANDO LEONY (CO/NO/NE)"/>
    <n v="62"/>
    <x v="3"/>
    <s v="HOSPITAL MONTE KLINIKUM - FORTALEZA - CE - 29.435.005/0074-84"/>
    <n v="7"/>
  </r>
  <r>
    <x v="0"/>
    <x v="6"/>
    <x v="2"/>
    <n v="29435005007484"/>
    <x v="393"/>
    <s v="FORTALEZA"/>
    <s v="CE"/>
    <x v="3"/>
    <s v="FERNANDO LEONY (CO/NO/NE)"/>
    <n v="64"/>
    <x v="2"/>
    <s v="HOSPITAL MONTE KLINIKUM - FORTALEZA - CE - 29.435.005/0074-84"/>
    <n v="4"/>
  </r>
  <r>
    <x v="0"/>
    <x v="6"/>
    <x v="2"/>
    <n v="60975737003509"/>
    <x v="396"/>
    <s v="FORTALEZA"/>
    <s v="CE"/>
    <x v="3"/>
    <s v="FERNANDO LEONY (CO/NO/NE)"/>
    <n v="62"/>
    <x v="3"/>
    <s v="HOSPITAL CURA DARS - FORTALEZA - CE - 60.975.737/0035-09"/>
    <n v="3"/>
  </r>
  <r>
    <x v="0"/>
    <x v="6"/>
    <x v="2"/>
    <n v="60975737003509"/>
    <x v="396"/>
    <s v="FORTALEZA"/>
    <s v="CE"/>
    <x v="3"/>
    <s v="FERNANDO LEONY (CO/NO/NE)"/>
    <n v="64"/>
    <x v="2"/>
    <s v="HOSPITAL CURA DARS - FORTALEZA - CE - 60.975.737/0035-09"/>
    <n v="57"/>
  </r>
  <r>
    <x v="0"/>
    <x v="6"/>
    <x v="2"/>
    <n v="60975737003509"/>
    <x v="396"/>
    <s v="FORTALEZA"/>
    <s v="CE"/>
    <x v="3"/>
    <s v="FERNANDO LEONY (CO/NO/NE)"/>
    <n v="73"/>
    <x v="1"/>
    <s v="HOSPITAL CURA DARS - FORTALEZA - CE - 60.975.737/0035-09"/>
    <n v="6"/>
  </r>
  <r>
    <x v="0"/>
    <x v="6"/>
    <x v="2"/>
    <n v="74031865000151"/>
    <x v="397"/>
    <s v="FORTALEZA"/>
    <s v="CE"/>
    <x v="3"/>
    <s v="FERNANDO LEONY (CO/NO/NE)"/>
    <n v="62"/>
    <x v="3"/>
    <s v="FUNDES - FORTALEZA - CE - 74.031.865/0001-51"/>
    <n v="80"/>
  </r>
  <r>
    <x v="0"/>
    <x v="0"/>
    <x v="0"/>
    <n v="5469172000122"/>
    <x v="402"/>
    <s v="SALVADOR"/>
    <s v="BA"/>
    <x v="3"/>
    <s v="FERNANDO LEONY (CO/NO/NE)"/>
    <n v="64"/>
    <x v="2"/>
    <s v="HBA - SALVADOR - BA - 05.469.172/0001-22"/>
    <n v="6"/>
  </r>
  <r>
    <x v="0"/>
    <x v="1"/>
    <x v="0"/>
    <n v="5469172000122"/>
    <x v="402"/>
    <s v="SALVADOR"/>
    <s v="BA"/>
    <x v="3"/>
    <s v="FERNANDO LEONY (CO/NO/NE)"/>
    <n v="62"/>
    <x v="3"/>
    <s v="HBA - SALVADOR - BA - 05.469.172/0001-22"/>
    <n v="7"/>
  </r>
  <r>
    <x v="0"/>
    <x v="1"/>
    <x v="0"/>
    <n v="5469172000122"/>
    <x v="402"/>
    <s v="SALVADOR"/>
    <s v="BA"/>
    <x v="3"/>
    <s v="FERNANDO LEONY (CO/NO/NE)"/>
    <n v="64"/>
    <x v="2"/>
    <s v="HBA - SALVADOR - BA - 05.469.172/0001-22"/>
    <n v="11"/>
  </r>
  <r>
    <x v="0"/>
    <x v="0"/>
    <x v="0"/>
    <n v="5816630000152"/>
    <x v="403"/>
    <s v="SALVADOR"/>
    <s v="BA"/>
    <x v="3"/>
    <s v="FERNANDO LEONY (CO/NO/NE)"/>
    <n v="64"/>
    <x v="2"/>
    <s v="FES/BA - SALVADOR - BA - 05.816.630/0001-52"/>
    <n v="18"/>
  </r>
  <r>
    <x v="0"/>
    <x v="0"/>
    <x v="0"/>
    <n v="5816630000152"/>
    <x v="403"/>
    <s v="SALVADOR"/>
    <s v="BA"/>
    <x v="3"/>
    <s v="FERNANDO LEONY (CO/NO/NE)"/>
    <n v="70"/>
    <x v="0"/>
    <s v="FES/BA - SALVADOR - BA - 05.816.630/0001-52"/>
    <n v="150"/>
  </r>
  <r>
    <x v="0"/>
    <x v="1"/>
    <x v="0"/>
    <n v="5816630000152"/>
    <x v="403"/>
    <s v="SALVADOR"/>
    <s v="BA"/>
    <x v="3"/>
    <s v="FERNANDO LEONY (CO/NO/NE)"/>
    <n v="62"/>
    <x v="3"/>
    <s v="FES/BA - SALVADOR - BA - 05.816.630/0001-52"/>
    <n v="5"/>
  </r>
  <r>
    <x v="0"/>
    <x v="1"/>
    <x v="0"/>
    <n v="5816630000152"/>
    <x v="403"/>
    <s v="SALVADOR"/>
    <s v="BA"/>
    <x v="3"/>
    <s v="FERNANDO LEONY (CO/NO/NE)"/>
    <n v="64"/>
    <x v="2"/>
    <s v="FES/BA - SALVADOR - BA - 05.816.630/0001-52"/>
    <n v="15"/>
  </r>
  <r>
    <x v="0"/>
    <x v="1"/>
    <x v="0"/>
    <n v="5816630000152"/>
    <x v="403"/>
    <s v="SALVADOR"/>
    <s v="BA"/>
    <x v="3"/>
    <s v="FERNANDO LEONY (CO/NO/NE)"/>
    <n v="70"/>
    <x v="0"/>
    <s v="FES/BA - SALVADOR - BA - 05.816.630/0001-52"/>
    <n v="2960"/>
  </r>
  <r>
    <x v="0"/>
    <x v="1"/>
    <x v="0"/>
    <n v="3376102000102"/>
    <x v="404"/>
    <s v="SALVADOR"/>
    <s v="BA"/>
    <x v="3"/>
    <s v="FERNANDO LEONY (CO/NO/NE)"/>
    <n v="62"/>
    <x v="3"/>
    <s v="HOSPITAL DA CIDADE - SALVADOR - BA - 03.376.102/0001-02"/>
    <n v="3"/>
  </r>
  <r>
    <x v="0"/>
    <x v="0"/>
    <x v="0"/>
    <n v="12361267010318"/>
    <x v="405"/>
    <s v="SALVADOR"/>
    <s v="BA"/>
    <x v="3"/>
    <s v="FERNANDO LEONY (CO/NO/NE)"/>
    <n v="64"/>
    <x v="2"/>
    <s v="HOSPITAL TEREZA DE LISIEUX - SALVADOR - BA - 12.361.267/0103-18"/>
    <n v="7"/>
  </r>
  <r>
    <x v="0"/>
    <x v="0"/>
    <x v="0"/>
    <n v="12361267010318"/>
    <x v="405"/>
    <s v="SALVADOR"/>
    <s v="BA"/>
    <x v="3"/>
    <s v="FERNANDO LEONY (CO/NO/NE)"/>
    <n v="70"/>
    <x v="0"/>
    <s v="HOSPITAL TEREZA DE LISIEUX - SALVADOR - BA - 12.361.267/0103-18"/>
    <n v="290"/>
  </r>
  <r>
    <x v="0"/>
    <x v="1"/>
    <x v="0"/>
    <n v="12361267010318"/>
    <x v="405"/>
    <s v="SALVADOR"/>
    <s v="BA"/>
    <x v="3"/>
    <s v="FERNANDO LEONY (CO/NO/NE)"/>
    <n v="62"/>
    <x v="3"/>
    <s v="HOSPITAL TEREZA DE LISIEUX - SALVADOR - BA - 12.361.267/0103-18"/>
    <n v="5"/>
  </r>
  <r>
    <x v="0"/>
    <x v="1"/>
    <x v="0"/>
    <n v="12361267010318"/>
    <x v="405"/>
    <s v="SALVADOR"/>
    <s v="BA"/>
    <x v="3"/>
    <s v="FERNANDO LEONY (CO/NO/NE)"/>
    <n v="64"/>
    <x v="2"/>
    <s v="HOSPITAL TEREZA DE LISIEUX - SALVADOR - BA - 12.361.267/0103-18"/>
    <n v="11"/>
  </r>
  <r>
    <x v="0"/>
    <x v="1"/>
    <x v="0"/>
    <n v="12361267010318"/>
    <x v="405"/>
    <s v="SALVADOR"/>
    <s v="BA"/>
    <x v="3"/>
    <s v="FERNANDO LEONY (CO/NO/NE)"/>
    <n v="70"/>
    <x v="0"/>
    <s v="HOSPITAL TEREZA DE LISIEUX - SALVADOR - BA - 12.361.267/0103-18"/>
    <n v="275"/>
  </r>
  <r>
    <x v="0"/>
    <x v="0"/>
    <x v="0"/>
    <n v="13016092000140"/>
    <x v="406"/>
    <s v="SALVADOR"/>
    <s v="BA"/>
    <x v="3"/>
    <s v="FERNANDO LEONY (CO/NO/NE)"/>
    <n v="64"/>
    <x v="2"/>
    <s v="HOSPITAL ALIANCA - SALVADOR - BA - 13.016.092/0001-40"/>
    <n v="10"/>
  </r>
  <r>
    <x v="0"/>
    <x v="1"/>
    <x v="0"/>
    <n v="13016092000140"/>
    <x v="406"/>
    <s v="SALVADOR"/>
    <s v="BA"/>
    <x v="3"/>
    <s v="FERNANDO LEONY (CO/NO/NE)"/>
    <n v="64"/>
    <x v="2"/>
    <s v="HOSPITAL ALIANCA - SALVADOR - BA - 13.016.092/0001-40"/>
    <n v="10"/>
  </r>
  <r>
    <x v="0"/>
    <x v="0"/>
    <x v="0"/>
    <n v="13952064000134"/>
    <x v="407"/>
    <s v="SALVADOR"/>
    <s v="BA"/>
    <x v="3"/>
    <s v="FERNANDO LEONY (CO/NO/NE)"/>
    <n v="62"/>
    <x v="3"/>
    <s v="CARDIO PULMONAR DA BAHIA S.A - SALVADOR - BA - 13.952.064/0001-34"/>
    <n v="3"/>
  </r>
  <r>
    <x v="0"/>
    <x v="1"/>
    <x v="0"/>
    <n v="13952064000134"/>
    <x v="407"/>
    <s v="SALVADOR"/>
    <s v="BA"/>
    <x v="3"/>
    <s v="FERNANDO LEONY (CO/NO/NE)"/>
    <n v="64"/>
    <x v="2"/>
    <s v="CARDIO PULMONAR DA BAHIA S.A - SALVADOR - BA - 13.952.064/0001-34"/>
    <n v="8"/>
  </r>
  <r>
    <x v="0"/>
    <x v="0"/>
    <x v="0"/>
    <n v="15153745000249"/>
    <x v="408"/>
    <s v="SALVADOR"/>
    <s v="BA"/>
    <x v="3"/>
    <s v="FERNANDO LEONY (CO/NO/NE)"/>
    <n v="62"/>
    <x v="3"/>
    <s v="HOSPITAL SANTA IZABEL - SALVADOR - BA - 15.153.745/0002-49"/>
    <n v="2"/>
  </r>
  <r>
    <x v="0"/>
    <x v="0"/>
    <x v="0"/>
    <n v="15153745002705"/>
    <x v="409"/>
    <s v="SALVADOR"/>
    <s v="BA"/>
    <x v="3"/>
    <s v="FERNANDO LEONY (CO/NO/NE)"/>
    <n v="64"/>
    <x v="2"/>
    <s v="HOSPITAL MUNICIPAL DE SALVADOR - SALVADOR - BA - 15.153.745/0027-05"/>
    <n v="11"/>
  </r>
  <r>
    <x v="0"/>
    <x v="1"/>
    <x v="0"/>
    <n v="15153745002705"/>
    <x v="409"/>
    <s v="SALVADOR"/>
    <s v="BA"/>
    <x v="3"/>
    <s v="FERNANDO LEONY (CO/NO/NE)"/>
    <n v="64"/>
    <x v="2"/>
    <s v="HOSPITAL MUNICIPAL DE SALVADOR - SALVADOR - BA - 15.153.745/0027-05"/>
    <n v="10"/>
  </r>
  <r>
    <x v="0"/>
    <x v="0"/>
    <x v="0"/>
    <n v="15166416000151"/>
    <x v="410"/>
    <s v="SALVADOR"/>
    <s v="BA"/>
    <x v="3"/>
    <s v="FERNANDO LEONY (CO/NO/NE)"/>
    <n v="62"/>
    <x v="3"/>
    <s v="HOSPITAL PORTUGUES - SALVADOR - BA - 15.166.416/0001-51"/>
    <n v="11"/>
  </r>
  <r>
    <x v="0"/>
    <x v="0"/>
    <x v="0"/>
    <n v="15166416000151"/>
    <x v="410"/>
    <s v="SALVADOR"/>
    <s v="BA"/>
    <x v="3"/>
    <s v="FERNANDO LEONY (CO/NO/NE)"/>
    <n v="64"/>
    <x v="2"/>
    <s v="HOSPITAL PORTUGUES - SALVADOR - BA - 15.166.416/0001-51"/>
    <n v="17"/>
  </r>
  <r>
    <x v="0"/>
    <x v="1"/>
    <x v="0"/>
    <n v="15166416000151"/>
    <x v="410"/>
    <s v="SALVADOR"/>
    <s v="BA"/>
    <x v="3"/>
    <s v="FERNANDO LEONY (CO/NO/NE)"/>
    <n v="62"/>
    <x v="3"/>
    <s v="HOSPITAL PORTUGUES - SALVADOR - BA - 15.166.416/0001-51"/>
    <n v="8"/>
  </r>
  <r>
    <x v="0"/>
    <x v="1"/>
    <x v="0"/>
    <n v="15166416000151"/>
    <x v="410"/>
    <s v="SALVADOR"/>
    <s v="BA"/>
    <x v="3"/>
    <s v="FERNANDO LEONY (CO/NO/NE)"/>
    <n v="64"/>
    <x v="2"/>
    <s v="HOSPITAL PORTUGUES - SALVADOR - BA - 15.166.416/0001-51"/>
    <n v="29"/>
  </r>
  <r>
    <x v="0"/>
    <x v="0"/>
    <x v="0"/>
    <n v="15170723000106"/>
    <x v="411"/>
    <s v="SALVADOR"/>
    <s v="BA"/>
    <x v="3"/>
    <s v="FERNANDO LEONY (CO/NO/NE)"/>
    <n v="62"/>
    <x v="3"/>
    <s v="LIGA ALVARO BAHIA CONTRA A MORTALIDADE INFANTIL - SALVADOR - BA - 15.170.723/0001-06"/>
    <n v="1"/>
  </r>
  <r>
    <x v="0"/>
    <x v="0"/>
    <x v="0"/>
    <n v="15170723000106"/>
    <x v="411"/>
    <s v="SALVADOR"/>
    <s v="BA"/>
    <x v="3"/>
    <s v="FERNANDO LEONY (CO/NO/NE)"/>
    <n v="64"/>
    <x v="2"/>
    <s v="LIGA ALVARO BAHIA CONTRA A MORTALIDADE INFANTIL - SALVADOR - BA - 15.170.723/0001-06"/>
    <n v="11"/>
  </r>
  <r>
    <x v="0"/>
    <x v="0"/>
    <x v="0"/>
    <n v="15170723000106"/>
    <x v="411"/>
    <s v="SALVADOR"/>
    <s v="BA"/>
    <x v="3"/>
    <s v="FERNANDO LEONY (CO/NO/NE)"/>
    <n v="70"/>
    <x v="0"/>
    <s v="LIGA ALVARO BAHIA CONTRA A MORTALIDADE INFANTIL - SALVADOR - BA - 15.170.723/0001-06"/>
    <n v="300"/>
  </r>
  <r>
    <x v="0"/>
    <x v="0"/>
    <x v="0"/>
    <n v="15180714000368"/>
    <x v="412"/>
    <s v="SALVADOR"/>
    <s v="BA"/>
    <x v="3"/>
    <s v="FERNANDO LEONY (CO/NO/NE)"/>
    <n v="64"/>
    <x v="2"/>
    <s v="MCO - SALVADOR - BA - 15.180.714/0003-68"/>
    <n v="12"/>
  </r>
  <r>
    <x v="0"/>
    <x v="0"/>
    <x v="0"/>
    <n v="15180714000520"/>
    <x v="413"/>
    <s v="SALVADOR"/>
    <s v="BA"/>
    <x v="3"/>
    <s v="FERNANDO LEONY (CO/NO/NE)"/>
    <n v="62"/>
    <x v="3"/>
    <s v="UNIVERSIDADE FEDERAL DA BAHIA - SALVADOR - BA - 15.180.714/0005-20"/>
    <n v="5"/>
  </r>
  <r>
    <x v="0"/>
    <x v="0"/>
    <x v="0"/>
    <n v="15194004000125"/>
    <x v="414"/>
    <s v="SALVADOR"/>
    <s v="BA"/>
    <x v="3"/>
    <s v="FERNANDO LEONY (CO/NO/NE)"/>
    <n v="64"/>
    <x v="2"/>
    <s v="FUNDACAO JOSE SILVEIRA - SALVADOR - BA - 15.194.004/0001-25"/>
    <n v="2"/>
  </r>
  <r>
    <x v="0"/>
    <x v="1"/>
    <x v="0"/>
    <n v="15194004000125"/>
    <x v="414"/>
    <s v="SALVADOR"/>
    <s v="BA"/>
    <x v="3"/>
    <s v="FERNANDO LEONY (CO/NO/NE)"/>
    <n v="64"/>
    <x v="2"/>
    <s v="FUNDACAO JOSE SILVEIRA - SALVADOR - BA - 15.194.004/0001-25"/>
    <n v="5"/>
  </r>
  <r>
    <x v="0"/>
    <x v="0"/>
    <x v="0"/>
    <n v="15242761000127"/>
    <x v="415"/>
    <s v="SALVADOR"/>
    <s v="BA"/>
    <x v="3"/>
    <s v="FERNANDO LEONY (CO/NO/NE)"/>
    <n v="70"/>
    <x v="0"/>
    <s v="NOVACLIN - SALVADOR - BA - 15.242.761/0001-27"/>
    <n v="100"/>
  </r>
  <r>
    <x v="0"/>
    <x v="0"/>
    <x v="0"/>
    <n v="15242761000127"/>
    <x v="415"/>
    <s v="SALVADOR"/>
    <s v="BA"/>
    <x v="3"/>
    <s v="FERNANDO LEONY (CO/NO/NE)"/>
    <n v="73"/>
    <x v="1"/>
    <s v="NOVACLIN - SALVADOR - BA - 15.242.761/0001-27"/>
    <n v="114"/>
  </r>
  <r>
    <x v="0"/>
    <x v="0"/>
    <x v="0"/>
    <n v="27372066000169"/>
    <x v="416"/>
    <s v="SALVADOR"/>
    <s v="BA"/>
    <x v="3"/>
    <s v="FERNANDO LEONY (CO/NO/NE)"/>
    <n v="64"/>
    <x v="2"/>
    <s v="HOSPITAL SAO RAFAEL S.A - SALVADOR - BA - 27.372.066/0001-69"/>
    <n v="17"/>
  </r>
  <r>
    <x v="0"/>
    <x v="1"/>
    <x v="0"/>
    <n v="27372066000169"/>
    <x v="416"/>
    <s v="SALVADOR"/>
    <s v="BA"/>
    <x v="3"/>
    <s v="FERNANDO LEONY (CO/NO/NE)"/>
    <n v="64"/>
    <x v="2"/>
    <s v="HOSPITAL SAO RAFAEL S.A - SALVADOR - BA - 27.372.066/0001-69"/>
    <n v="4"/>
  </r>
  <r>
    <x v="0"/>
    <x v="1"/>
    <x v="0"/>
    <n v="11943553000102"/>
    <x v="417"/>
    <s v="SALVADOR"/>
    <s v="BA"/>
    <x v="3"/>
    <s v="FERNANDO LEONY (CO/NO/NE)"/>
    <n v="64"/>
    <x v="2"/>
    <s v="PRODAL SAUDE S/A - SALVADOR - BA - 11.943.553/0001-02"/>
    <n v="2"/>
  </r>
  <r>
    <x v="0"/>
    <x v="1"/>
    <x v="0"/>
    <n v="15140254000182"/>
    <x v="418"/>
    <s v="SALVADOR"/>
    <s v="BA"/>
    <x v="3"/>
    <s v="FERNANDO LEONY (CO/NO/NE)"/>
    <n v="73"/>
    <x v="1"/>
    <s v="SEMEC - SALVADOR - BA - 15.140.254/0001-82"/>
    <n v="2"/>
  </r>
  <r>
    <x v="0"/>
    <x v="1"/>
    <x v="0"/>
    <n v="16475154000250"/>
    <x v="419"/>
    <s v="SALVADOR"/>
    <s v="BA"/>
    <x v="3"/>
    <s v="FERNANDO LEONY (CO/NO/NE)"/>
    <n v="64"/>
    <x v="2"/>
    <s v="FBC - SALVADOR - BA - 16.475.154/0002-50"/>
    <n v="3"/>
  </r>
  <r>
    <x v="0"/>
    <x v="2"/>
    <x v="0"/>
    <n v="9324322559"/>
    <x v="420"/>
    <s v="SALVADOR"/>
    <s v="BA"/>
    <x v="3"/>
    <s v="FERNANDO LEONY (CO/NO/NE)"/>
    <n v="73"/>
    <x v="1"/>
    <s v="EDUARDO SEIBERT TEIXEIRA - SALVADOR - BA - 093.243.225-59"/>
    <n v="5"/>
  </r>
  <r>
    <x v="0"/>
    <x v="2"/>
    <x v="0"/>
    <n v="5469172000122"/>
    <x v="402"/>
    <s v="SALVADOR"/>
    <s v="BA"/>
    <x v="3"/>
    <s v="FERNANDO LEONY (CO/NO/NE)"/>
    <n v="62"/>
    <x v="3"/>
    <s v="HBA - SALVADOR - BA - 05.469.172/0001-22"/>
    <n v="4"/>
  </r>
  <r>
    <x v="0"/>
    <x v="2"/>
    <x v="0"/>
    <n v="5816630000152"/>
    <x v="403"/>
    <s v="SALVADOR"/>
    <s v="BA"/>
    <x v="3"/>
    <s v="FERNANDO LEONY (CO/NO/NE)"/>
    <n v="64"/>
    <x v="2"/>
    <s v="FES/BA - SALVADOR - BA - 05.816.630/0001-52"/>
    <n v="15"/>
  </r>
  <r>
    <x v="0"/>
    <x v="2"/>
    <x v="0"/>
    <n v="5816630000152"/>
    <x v="403"/>
    <s v="SALVADOR"/>
    <s v="BA"/>
    <x v="3"/>
    <s v="FERNANDO LEONY (CO/NO/NE)"/>
    <n v="70"/>
    <x v="0"/>
    <s v="FES/BA - SALVADOR - BA - 05.816.630/0001-52"/>
    <n v="650"/>
  </r>
  <r>
    <x v="0"/>
    <x v="2"/>
    <x v="0"/>
    <n v="12361267010318"/>
    <x v="405"/>
    <s v="SALVADOR"/>
    <s v="BA"/>
    <x v="3"/>
    <s v="FERNANDO LEONY (CO/NO/NE)"/>
    <n v="62"/>
    <x v="3"/>
    <s v="HOSPITAL TEREZA DE LISIEUX - SALVADOR - BA - 12.361.267/0103-18"/>
    <n v="5"/>
  </r>
  <r>
    <x v="0"/>
    <x v="2"/>
    <x v="0"/>
    <n v="12361267010318"/>
    <x v="405"/>
    <s v="SALVADOR"/>
    <s v="BA"/>
    <x v="3"/>
    <s v="FERNANDO LEONY (CO/NO/NE)"/>
    <n v="64"/>
    <x v="2"/>
    <s v="HOSPITAL TEREZA DE LISIEUX - SALVADOR - BA - 12.361.267/0103-18"/>
    <n v="2"/>
  </r>
  <r>
    <x v="0"/>
    <x v="2"/>
    <x v="0"/>
    <n v="12361267014739"/>
    <x v="421"/>
    <s v="SALVADOR"/>
    <s v="BA"/>
    <x v="3"/>
    <s v="FERNANDO LEONY (CO/NO/NE)"/>
    <n v="64"/>
    <x v="2"/>
    <s v="DEPOSITO-ARMAZEM SALVADOR/BA - SALVADOR - BA - 12.361.267/0147-39"/>
    <n v="3"/>
  </r>
  <r>
    <x v="0"/>
    <x v="2"/>
    <x v="0"/>
    <n v="13952064000134"/>
    <x v="407"/>
    <s v="SALVADOR"/>
    <s v="BA"/>
    <x v="3"/>
    <s v="FERNANDO LEONY (CO/NO/NE)"/>
    <n v="62"/>
    <x v="3"/>
    <s v="CARDIO PULMONAR DA BAHIA S.A - SALVADOR - BA - 13.952.064/0001-34"/>
    <n v="8"/>
  </r>
  <r>
    <x v="0"/>
    <x v="2"/>
    <x v="0"/>
    <n v="13952064000134"/>
    <x v="407"/>
    <s v="SALVADOR"/>
    <s v="BA"/>
    <x v="3"/>
    <s v="FERNANDO LEONY (CO/NO/NE)"/>
    <n v="64"/>
    <x v="2"/>
    <s v="CARDIO PULMONAR DA BAHIA S.A - SALVADOR - BA - 13.952.064/0001-34"/>
    <n v="6"/>
  </r>
  <r>
    <x v="0"/>
    <x v="2"/>
    <x v="0"/>
    <n v="15153745000249"/>
    <x v="408"/>
    <s v="SALVADOR"/>
    <s v="BA"/>
    <x v="3"/>
    <s v="FERNANDO LEONY (CO/NO/NE)"/>
    <n v="62"/>
    <x v="3"/>
    <s v="HOSPITAL SANTA IZABEL - SALVADOR - BA - 15.153.745/0002-49"/>
    <n v="8"/>
  </r>
  <r>
    <x v="0"/>
    <x v="2"/>
    <x v="0"/>
    <n v="15153745000249"/>
    <x v="408"/>
    <s v="SALVADOR"/>
    <s v="BA"/>
    <x v="3"/>
    <s v="FERNANDO LEONY (CO/NO/NE)"/>
    <n v="64"/>
    <x v="2"/>
    <s v="HOSPITAL SANTA IZABEL - SALVADOR - BA - 15.153.745/0002-49"/>
    <n v="13"/>
  </r>
  <r>
    <x v="0"/>
    <x v="2"/>
    <x v="0"/>
    <n v="15166416000151"/>
    <x v="410"/>
    <s v="SALVADOR"/>
    <s v="BA"/>
    <x v="3"/>
    <s v="FERNANDO LEONY (CO/NO/NE)"/>
    <n v="62"/>
    <x v="3"/>
    <s v="HOSPITAL PORTUGUES - SALVADOR - BA - 15.166.416/0001-51"/>
    <n v="10"/>
  </r>
  <r>
    <x v="0"/>
    <x v="2"/>
    <x v="0"/>
    <n v="15166416000151"/>
    <x v="410"/>
    <s v="SALVADOR"/>
    <s v="BA"/>
    <x v="3"/>
    <s v="FERNANDO LEONY (CO/NO/NE)"/>
    <n v="64"/>
    <x v="2"/>
    <s v="HOSPITAL PORTUGUES - SALVADOR - BA - 15.166.416/0001-51"/>
    <n v="10"/>
  </r>
  <r>
    <x v="0"/>
    <x v="2"/>
    <x v="0"/>
    <n v="15180714000520"/>
    <x v="413"/>
    <s v="SALVADOR"/>
    <s v="BA"/>
    <x v="3"/>
    <s v="FERNANDO LEONY (CO/NO/NE)"/>
    <n v="62"/>
    <x v="3"/>
    <s v="UNIVERSIDADE FEDERAL DA BAHIA - SALVADOR - BA - 15.180.714/0005-20"/>
    <n v="20"/>
  </r>
  <r>
    <x v="0"/>
    <x v="2"/>
    <x v="0"/>
    <n v="15194004000125"/>
    <x v="414"/>
    <s v="SALVADOR"/>
    <s v="BA"/>
    <x v="3"/>
    <s v="FERNANDO LEONY (CO/NO/NE)"/>
    <n v="64"/>
    <x v="2"/>
    <s v="FUNDACAO JOSE SILVEIRA - SALVADOR - BA - 15.194.004/0001-25"/>
    <n v="24"/>
  </r>
  <r>
    <x v="0"/>
    <x v="2"/>
    <x v="0"/>
    <n v="15242761000127"/>
    <x v="415"/>
    <s v="SALVADOR"/>
    <s v="BA"/>
    <x v="3"/>
    <s v="FERNANDO LEONY (CO/NO/NE)"/>
    <n v="70"/>
    <x v="0"/>
    <s v="NOVACLIN - SALVADOR - BA - 15.242.761/0001-27"/>
    <n v="100"/>
  </r>
  <r>
    <x v="0"/>
    <x v="2"/>
    <x v="0"/>
    <n v="15242761000127"/>
    <x v="415"/>
    <s v="SALVADOR"/>
    <s v="BA"/>
    <x v="3"/>
    <s v="FERNANDO LEONY (CO/NO/NE)"/>
    <n v="73"/>
    <x v="1"/>
    <s v="NOVACLIN - SALVADOR - BA - 15.242.761/0001-27"/>
    <n v="112"/>
  </r>
  <r>
    <x v="0"/>
    <x v="2"/>
    <x v="0"/>
    <n v="27372066000169"/>
    <x v="416"/>
    <s v="SALVADOR"/>
    <s v="BA"/>
    <x v="3"/>
    <s v="FERNANDO LEONY (CO/NO/NE)"/>
    <n v="62"/>
    <x v="3"/>
    <s v="HOSPITAL SAO RAFAEL S.A - SALVADOR - BA - 27.372.066/0001-69"/>
    <n v="5"/>
  </r>
  <r>
    <x v="0"/>
    <x v="2"/>
    <x v="0"/>
    <n v="27372066000169"/>
    <x v="416"/>
    <s v="SALVADOR"/>
    <s v="BA"/>
    <x v="3"/>
    <s v="FERNANDO LEONY (CO/NO/NE)"/>
    <n v="64"/>
    <x v="2"/>
    <s v="HOSPITAL SAO RAFAEL S.A - SALVADOR - BA - 27.372.066/0001-69"/>
    <n v="8"/>
  </r>
  <r>
    <x v="0"/>
    <x v="2"/>
    <x v="0"/>
    <n v="97397848000138"/>
    <x v="422"/>
    <s v="SALVADOR"/>
    <s v="BA"/>
    <x v="3"/>
    <s v="FERNANDO LEONY (CO/NO/NE)"/>
    <n v="64"/>
    <x v="2"/>
    <s v="HOSPITAL JAAR ANDRADE LTDA - SALVADOR - BA - 97.397.848/0001-38"/>
    <n v="4"/>
  </r>
  <r>
    <x v="0"/>
    <x v="3"/>
    <x v="1"/>
    <n v="5469172000122"/>
    <x v="402"/>
    <s v="SALVADOR"/>
    <s v="BA"/>
    <x v="3"/>
    <s v="FERNANDO LEONY (CO/NO/NE)"/>
    <n v="62"/>
    <x v="3"/>
    <s v="HBA - SALVADOR - BA - 05.469.172/0001-22"/>
    <n v="5"/>
  </r>
  <r>
    <x v="0"/>
    <x v="3"/>
    <x v="1"/>
    <n v="5469172000122"/>
    <x v="402"/>
    <s v="SALVADOR"/>
    <s v="BA"/>
    <x v="3"/>
    <s v="FERNANDO LEONY (CO/NO/NE)"/>
    <n v="64"/>
    <x v="2"/>
    <s v="HBA - SALVADOR - BA - 05.469.172/0001-22"/>
    <n v="18"/>
  </r>
  <r>
    <x v="0"/>
    <x v="3"/>
    <x v="1"/>
    <n v="5816630000152"/>
    <x v="403"/>
    <s v="SALVADOR"/>
    <s v="BA"/>
    <x v="3"/>
    <s v="FERNANDO LEONY (CO/NO/NE)"/>
    <n v="62"/>
    <x v="3"/>
    <s v="FES/BA - SALVADOR - BA - 05.816.630/0001-52"/>
    <n v="30"/>
  </r>
  <r>
    <x v="0"/>
    <x v="3"/>
    <x v="1"/>
    <n v="5816630000152"/>
    <x v="403"/>
    <s v="SALVADOR"/>
    <s v="BA"/>
    <x v="3"/>
    <s v="FERNANDO LEONY (CO/NO/NE)"/>
    <n v="64"/>
    <x v="2"/>
    <s v="FES/BA - SALVADOR - BA - 05.816.630/0001-52"/>
    <n v="40"/>
  </r>
  <r>
    <x v="0"/>
    <x v="3"/>
    <x v="1"/>
    <n v="5816630000152"/>
    <x v="403"/>
    <s v="SALVADOR"/>
    <s v="BA"/>
    <x v="3"/>
    <s v="FERNANDO LEONY (CO/NO/NE)"/>
    <n v="70"/>
    <x v="0"/>
    <s v="FES/BA - SALVADOR - BA - 05.816.630/0001-52"/>
    <n v="515"/>
  </r>
  <r>
    <x v="0"/>
    <x v="3"/>
    <x v="1"/>
    <n v="12361267014739"/>
    <x v="421"/>
    <s v="SALVADOR"/>
    <s v="BA"/>
    <x v="3"/>
    <s v="FERNANDO LEONY (CO/NO/NE)"/>
    <n v="62"/>
    <x v="3"/>
    <s v="DEPOSITO-ARMAZEM SALVADOR/BA - SALVADOR - BA - 12.361.267/0147-39"/>
    <n v="4"/>
  </r>
  <r>
    <x v="0"/>
    <x v="3"/>
    <x v="1"/>
    <n v="12361267014739"/>
    <x v="421"/>
    <s v="SALVADOR"/>
    <s v="BA"/>
    <x v="3"/>
    <s v="FERNANDO LEONY (CO/NO/NE)"/>
    <n v="64"/>
    <x v="2"/>
    <s v="DEPOSITO-ARMAZEM SALVADOR/BA - SALVADOR - BA - 12.361.267/0147-39"/>
    <n v="5"/>
  </r>
  <r>
    <x v="0"/>
    <x v="3"/>
    <x v="1"/>
    <n v="13016092000140"/>
    <x v="406"/>
    <s v="SALVADOR"/>
    <s v="BA"/>
    <x v="3"/>
    <s v="FERNANDO LEONY (CO/NO/NE)"/>
    <n v="64"/>
    <x v="2"/>
    <s v="HOSPITAL ALIANCA - SALVADOR - BA - 13.016.092/0001-40"/>
    <n v="6"/>
  </r>
  <r>
    <x v="0"/>
    <x v="3"/>
    <x v="1"/>
    <n v="13952064000134"/>
    <x v="407"/>
    <s v="SALVADOR"/>
    <s v="BA"/>
    <x v="3"/>
    <s v="FERNANDO LEONY (CO/NO/NE)"/>
    <n v="62"/>
    <x v="3"/>
    <s v="CARDIO PULMONAR DA BAHIA S.A - SALVADOR - BA - 13.952.064/0001-34"/>
    <n v="4"/>
  </r>
  <r>
    <x v="0"/>
    <x v="3"/>
    <x v="1"/>
    <n v="13952064000134"/>
    <x v="407"/>
    <s v="SALVADOR"/>
    <s v="BA"/>
    <x v="3"/>
    <s v="FERNANDO LEONY (CO/NO/NE)"/>
    <n v="64"/>
    <x v="2"/>
    <s v="CARDIO PULMONAR DA BAHIA S.A - SALVADOR - BA - 13.952.064/0001-34"/>
    <n v="4"/>
  </r>
  <r>
    <x v="0"/>
    <x v="3"/>
    <x v="1"/>
    <n v="15153745000249"/>
    <x v="408"/>
    <s v="SALVADOR"/>
    <s v="BA"/>
    <x v="3"/>
    <s v="FERNANDO LEONY (CO/NO/NE)"/>
    <n v="64"/>
    <x v="2"/>
    <s v="HOSPITAL SANTA IZABEL - SALVADOR - BA - 15.153.745/0002-49"/>
    <n v="14"/>
  </r>
  <r>
    <x v="0"/>
    <x v="3"/>
    <x v="1"/>
    <n v="15166416000151"/>
    <x v="410"/>
    <s v="SALVADOR"/>
    <s v="BA"/>
    <x v="3"/>
    <s v="FERNANDO LEONY (CO/NO/NE)"/>
    <n v="62"/>
    <x v="3"/>
    <s v="HOSPITAL PORTUGUES - SALVADOR - BA - 15.166.416/0001-51"/>
    <n v="13"/>
  </r>
  <r>
    <x v="0"/>
    <x v="3"/>
    <x v="1"/>
    <n v="15166416000151"/>
    <x v="410"/>
    <s v="SALVADOR"/>
    <s v="BA"/>
    <x v="3"/>
    <s v="FERNANDO LEONY (CO/NO/NE)"/>
    <n v="64"/>
    <x v="2"/>
    <s v="HOSPITAL PORTUGUES - SALVADOR - BA - 15.166.416/0001-51"/>
    <n v="37"/>
  </r>
  <r>
    <x v="0"/>
    <x v="3"/>
    <x v="1"/>
    <n v="15194004000125"/>
    <x v="414"/>
    <s v="SALVADOR"/>
    <s v="BA"/>
    <x v="3"/>
    <s v="FERNANDO LEONY (CO/NO/NE)"/>
    <n v="64"/>
    <x v="2"/>
    <s v="FUNDACAO JOSE SILVEIRA - SALVADOR - BA - 15.194.004/0001-25"/>
    <n v="7"/>
  </r>
  <r>
    <x v="0"/>
    <x v="3"/>
    <x v="1"/>
    <n v="15242761000127"/>
    <x v="415"/>
    <s v="SALVADOR"/>
    <s v="BA"/>
    <x v="3"/>
    <s v="FERNANDO LEONY (CO/NO/NE)"/>
    <n v="70"/>
    <x v="0"/>
    <s v="NOVACLIN - SALVADOR - BA - 15.242.761/0001-27"/>
    <n v="100"/>
  </r>
  <r>
    <x v="0"/>
    <x v="3"/>
    <x v="1"/>
    <n v="15242761000127"/>
    <x v="415"/>
    <s v="SALVADOR"/>
    <s v="BA"/>
    <x v="3"/>
    <s v="FERNANDO LEONY (CO/NO/NE)"/>
    <n v="73"/>
    <x v="1"/>
    <s v="NOVACLIN - SALVADOR - BA - 15.242.761/0001-27"/>
    <n v="56"/>
  </r>
  <r>
    <x v="0"/>
    <x v="3"/>
    <x v="1"/>
    <n v="16475154000250"/>
    <x v="419"/>
    <s v="SALVADOR"/>
    <s v="BA"/>
    <x v="3"/>
    <s v="FERNANDO LEONY (CO/NO/NE)"/>
    <n v="64"/>
    <x v="2"/>
    <s v="FBC - SALVADOR - BA - 16.475.154/0002-50"/>
    <n v="4"/>
  </r>
  <r>
    <x v="0"/>
    <x v="3"/>
    <x v="1"/>
    <n v="27372066000169"/>
    <x v="416"/>
    <s v="SALVADOR"/>
    <s v="BA"/>
    <x v="3"/>
    <s v="FERNANDO LEONY (CO/NO/NE)"/>
    <n v="62"/>
    <x v="3"/>
    <s v="HOSPITAL SAO RAFAEL S.A - SALVADOR - BA - 27.372.066/0001-69"/>
    <n v="14"/>
  </r>
  <r>
    <x v="0"/>
    <x v="3"/>
    <x v="1"/>
    <n v="27372066000169"/>
    <x v="416"/>
    <s v="SALVADOR"/>
    <s v="BA"/>
    <x v="3"/>
    <s v="FERNANDO LEONY (CO/NO/NE)"/>
    <n v="64"/>
    <x v="2"/>
    <s v="HOSPITAL SAO RAFAEL S.A - SALVADOR - BA - 27.372.066/0001-69"/>
    <n v="5"/>
  </r>
  <r>
    <x v="0"/>
    <x v="4"/>
    <x v="1"/>
    <n v="9324322559"/>
    <x v="420"/>
    <s v="SALVADOR"/>
    <s v="BA"/>
    <x v="3"/>
    <s v="FERNANDO LEONY (CO/NO/NE)"/>
    <n v="73"/>
    <x v="1"/>
    <s v="EDUARDO SEIBERT TEIXEIRA - SALVADOR - BA - 093.243.225-59"/>
    <n v="5"/>
  </r>
  <r>
    <x v="0"/>
    <x v="4"/>
    <x v="1"/>
    <n v="5469172000122"/>
    <x v="402"/>
    <s v="SALVADOR"/>
    <s v="BA"/>
    <x v="3"/>
    <s v="FERNANDO LEONY (CO/NO/NE)"/>
    <n v="62"/>
    <x v="3"/>
    <s v="HBA - SALVADOR - BA - 05.469.172/0001-22"/>
    <n v="10"/>
  </r>
  <r>
    <x v="0"/>
    <x v="4"/>
    <x v="1"/>
    <n v="5469172000122"/>
    <x v="402"/>
    <s v="SALVADOR"/>
    <s v="BA"/>
    <x v="3"/>
    <s v="FERNANDO LEONY (CO/NO/NE)"/>
    <n v="64"/>
    <x v="2"/>
    <s v="HBA - SALVADOR - BA - 05.469.172/0001-22"/>
    <n v="31"/>
  </r>
  <r>
    <x v="0"/>
    <x v="4"/>
    <x v="1"/>
    <n v="5816630000152"/>
    <x v="403"/>
    <s v="SALVADOR"/>
    <s v="BA"/>
    <x v="3"/>
    <s v="FERNANDO LEONY (CO/NO/NE)"/>
    <n v="70"/>
    <x v="0"/>
    <s v="FES/BA - SALVADOR - BA - 05.816.630/0001-52"/>
    <n v="3455"/>
  </r>
  <r>
    <x v="0"/>
    <x v="4"/>
    <x v="1"/>
    <n v="12361267014739"/>
    <x v="421"/>
    <s v="SALVADOR"/>
    <s v="BA"/>
    <x v="3"/>
    <s v="FERNANDO LEONY (CO/NO/NE)"/>
    <n v="62"/>
    <x v="3"/>
    <s v="DEPOSITO-ARMAZEM SALVADOR/BA - SALVADOR - BA - 12.361.267/0147-39"/>
    <n v="10"/>
  </r>
  <r>
    <x v="0"/>
    <x v="4"/>
    <x v="1"/>
    <n v="12361267014739"/>
    <x v="421"/>
    <s v="SALVADOR"/>
    <s v="BA"/>
    <x v="3"/>
    <s v="FERNANDO LEONY (CO/NO/NE)"/>
    <n v="70"/>
    <x v="0"/>
    <s v="DEPOSITO-ARMAZEM SALVADOR/BA - SALVADOR - BA - 12.361.267/0147-39"/>
    <n v="220"/>
  </r>
  <r>
    <x v="0"/>
    <x v="4"/>
    <x v="1"/>
    <n v="15126437002863"/>
    <x v="423"/>
    <s v="SALVADOR"/>
    <s v="BA"/>
    <x v="3"/>
    <s v="FERNANDO LEONY (CO/NO/NE)"/>
    <n v="64"/>
    <x v="2"/>
    <s v="MATERNIDADE CLIMERIO DE OLIVEIRA - SALVADOR - BA - PRIVADO - 15.126.437/0028-63"/>
    <n v="12"/>
  </r>
  <r>
    <x v="0"/>
    <x v="4"/>
    <x v="1"/>
    <n v="15153745000249"/>
    <x v="408"/>
    <s v="SALVADOR"/>
    <s v="BA"/>
    <x v="3"/>
    <s v="FERNANDO LEONY (CO/NO/NE)"/>
    <n v="62"/>
    <x v="3"/>
    <s v="HOSPITAL SANTA IZABEL - SALVADOR - BA - 15.153.745/0002-49"/>
    <n v="4"/>
  </r>
  <r>
    <x v="0"/>
    <x v="4"/>
    <x v="1"/>
    <n v="15153745000249"/>
    <x v="408"/>
    <s v="SALVADOR"/>
    <s v="BA"/>
    <x v="3"/>
    <s v="FERNANDO LEONY (CO/NO/NE)"/>
    <n v="64"/>
    <x v="2"/>
    <s v="HOSPITAL SANTA IZABEL - SALVADOR - BA - 15.153.745/0002-49"/>
    <n v="7"/>
  </r>
  <r>
    <x v="0"/>
    <x v="4"/>
    <x v="1"/>
    <n v="15166416000151"/>
    <x v="410"/>
    <s v="SALVADOR"/>
    <s v="BA"/>
    <x v="3"/>
    <s v="FERNANDO LEONY (CO/NO/NE)"/>
    <n v="62"/>
    <x v="3"/>
    <s v="HOSPITAL PORTUGUES - SALVADOR - BA - 15.166.416/0001-51"/>
    <n v="2"/>
  </r>
  <r>
    <x v="0"/>
    <x v="4"/>
    <x v="1"/>
    <n v="15166416000151"/>
    <x v="410"/>
    <s v="SALVADOR"/>
    <s v="BA"/>
    <x v="3"/>
    <s v="FERNANDO LEONY (CO/NO/NE)"/>
    <n v="64"/>
    <x v="2"/>
    <s v="HOSPITAL PORTUGUES - SALVADOR - BA - 15.166.416/0001-51"/>
    <n v="2"/>
  </r>
  <r>
    <x v="0"/>
    <x v="4"/>
    <x v="1"/>
    <n v="15170723000106"/>
    <x v="411"/>
    <s v="SALVADOR"/>
    <s v="BA"/>
    <x v="3"/>
    <s v="FERNANDO LEONY (CO/NO/NE)"/>
    <n v="64"/>
    <x v="2"/>
    <s v="LIGA ALVARO BAHIA CONTRA A MORTALIDADE INFANTIL - SALVADOR - BA - 15.170.723/0001-06"/>
    <n v="7"/>
  </r>
  <r>
    <x v="0"/>
    <x v="4"/>
    <x v="1"/>
    <n v="15180714000287"/>
    <x v="424"/>
    <s v="SALVADOR"/>
    <s v="BA"/>
    <x v="3"/>
    <s v="FERNANDO LEONY (CO/NO/NE)"/>
    <n v="70"/>
    <x v="0"/>
    <s v="HOSPITAL PROFESSOR EDGARDSANTOS - SALVADOR - BA - 15.180.714/0002-87"/>
    <n v="400"/>
  </r>
  <r>
    <x v="0"/>
    <x v="4"/>
    <x v="1"/>
    <n v="15194004000125"/>
    <x v="414"/>
    <s v="SALVADOR"/>
    <s v="BA"/>
    <x v="3"/>
    <s v="FERNANDO LEONY (CO/NO/NE)"/>
    <n v="64"/>
    <x v="2"/>
    <s v="FUNDACAO JOSE SILVEIRA - SALVADOR - BA - 15.194.004/0001-25"/>
    <n v="2"/>
  </r>
  <r>
    <x v="0"/>
    <x v="4"/>
    <x v="1"/>
    <n v="15242761000127"/>
    <x v="415"/>
    <s v="SALVADOR"/>
    <s v="BA"/>
    <x v="3"/>
    <s v="FERNANDO LEONY (CO/NO/NE)"/>
    <n v="73"/>
    <x v="1"/>
    <s v="NOVACLIN - SALVADOR - BA - 15.242.761/0001-27"/>
    <n v="54"/>
  </r>
  <r>
    <x v="0"/>
    <x v="4"/>
    <x v="1"/>
    <n v="27372066000169"/>
    <x v="416"/>
    <s v="SALVADOR"/>
    <s v="BA"/>
    <x v="3"/>
    <s v="FERNANDO LEONY (CO/NO/NE)"/>
    <n v="62"/>
    <x v="3"/>
    <s v="HOSPITAL SAO RAFAEL S.A - SALVADOR - BA - 27.372.066/0001-69"/>
    <n v="5"/>
  </r>
  <r>
    <x v="0"/>
    <x v="4"/>
    <x v="1"/>
    <n v="27372066000169"/>
    <x v="416"/>
    <s v="SALVADOR"/>
    <s v="BA"/>
    <x v="3"/>
    <s v="FERNANDO LEONY (CO/NO/NE)"/>
    <n v="64"/>
    <x v="2"/>
    <s v="HOSPITAL SAO RAFAEL S.A - SALVADOR - BA - 27.372.066/0001-69"/>
    <n v="17"/>
  </r>
  <r>
    <x v="0"/>
    <x v="5"/>
    <x v="1"/>
    <n v="394502006770"/>
    <x v="425"/>
    <s v="SALVADOR"/>
    <s v="BA"/>
    <x v="3"/>
    <s v="FERNANDO LEONY (CO/NO/NE)"/>
    <n v="70"/>
    <x v="0"/>
    <s v="HOSPITAL NAVAL DE SALVADOR - SALVADOR - BA - 00.394.502/0067-70"/>
    <n v="200"/>
  </r>
  <r>
    <x v="0"/>
    <x v="5"/>
    <x v="1"/>
    <n v="1837492000137"/>
    <x v="426"/>
    <s v="SALVADOR"/>
    <s v="BA"/>
    <x v="3"/>
    <s v="FERNANDO LEONY (CO/NO/NE)"/>
    <n v="70"/>
    <x v="0"/>
    <s v="CEHON - CENTRO DE HEMATOLOGIA E ONCOLOGIA DA BAHIA LTDA - SALVADOR - BA - 01.837.492/0001-37"/>
    <n v="120"/>
  </r>
  <r>
    <x v="0"/>
    <x v="5"/>
    <x v="1"/>
    <n v="5469172000122"/>
    <x v="402"/>
    <s v="SALVADOR"/>
    <s v="BA"/>
    <x v="3"/>
    <s v="FERNANDO LEONY (CO/NO/NE)"/>
    <n v="62"/>
    <x v="3"/>
    <s v="HBA - SALVADOR - BA - 05.469.172/0001-22"/>
    <n v="2"/>
  </r>
  <r>
    <x v="0"/>
    <x v="5"/>
    <x v="1"/>
    <n v="5469172000122"/>
    <x v="402"/>
    <s v="SALVADOR"/>
    <s v="BA"/>
    <x v="3"/>
    <s v="FERNANDO LEONY (CO/NO/NE)"/>
    <n v="64"/>
    <x v="2"/>
    <s v="HBA - SALVADOR - BA - 05.469.172/0001-22"/>
    <n v="8"/>
  </r>
  <r>
    <x v="0"/>
    <x v="5"/>
    <x v="1"/>
    <n v="5816630000152"/>
    <x v="403"/>
    <s v="SALVADOR"/>
    <s v="BA"/>
    <x v="3"/>
    <s v="FERNANDO LEONY (CO/NO/NE)"/>
    <n v="64"/>
    <x v="2"/>
    <s v="FES/BA - SALVADOR - BA - 05.816.630/0001-52"/>
    <n v="50"/>
  </r>
  <r>
    <x v="0"/>
    <x v="5"/>
    <x v="1"/>
    <n v="5816630000152"/>
    <x v="403"/>
    <s v="SALVADOR"/>
    <s v="BA"/>
    <x v="3"/>
    <s v="FERNANDO LEONY (CO/NO/NE)"/>
    <n v="70"/>
    <x v="0"/>
    <s v="FES/BA - SALVADOR - BA - 05.816.630/0001-52"/>
    <n v="790"/>
  </r>
  <r>
    <x v="0"/>
    <x v="5"/>
    <x v="1"/>
    <n v="13016092000140"/>
    <x v="406"/>
    <s v="SALVADOR"/>
    <s v="BA"/>
    <x v="3"/>
    <s v="FERNANDO LEONY (CO/NO/NE)"/>
    <n v="64"/>
    <x v="2"/>
    <s v="HOSPITAL ALIANCA - SALVADOR - BA - 13.016.092/0001-40"/>
    <n v="5"/>
  </r>
  <r>
    <x v="0"/>
    <x v="5"/>
    <x v="1"/>
    <n v="15153745000249"/>
    <x v="408"/>
    <s v="SALVADOR"/>
    <s v="BA"/>
    <x v="3"/>
    <s v="FERNANDO LEONY (CO/NO/NE)"/>
    <n v="64"/>
    <x v="2"/>
    <s v="HOSPITAL SANTA IZABEL - SALVADOR - BA - 15.153.745/0002-49"/>
    <n v="8"/>
  </r>
  <r>
    <x v="0"/>
    <x v="5"/>
    <x v="1"/>
    <n v="15166416000151"/>
    <x v="410"/>
    <s v="SALVADOR"/>
    <s v="BA"/>
    <x v="3"/>
    <s v="FERNANDO LEONY (CO/NO/NE)"/>
    <n v="62"/>
    <x v="3"/>
    <s v="HOSPITAL PORTUGUES - SALVADOR - BA - 15.166.416/0001-51"/>
    <n v="10"/>
  </r>
  <r>
    <x v="0"/>
    <x v="5"/>
    <x v="1"/>
    <n v="15166416000151"/>
    <x v="410"/>
    <s v="SALVADOR"/>
    <s v="BA"/>
    <x v="3"/>
    <s v="FERNANDO LEONY (CO/NO/NE)"/>
    <n v="64"/>
    <x v="2"/>
    <s v="HOSPITAL PORTUGUES - SALVADOR - BA - 15.166.416/0001-51"/>
    <n v="60"/>
  </r>
  <r>
    <x v="0"/>
    <x v="5"/>
    <x v="1"/>
    <n v="15170723000106"/>
    <x v="411"/>
    <s v="SALVADOR"/>
    <s v="BA"/>
    <x v="3"/>
    <s v="FERNANDO LEONY (CO/NO/NE)"/>
    <n v="70"/>
    <x v="0"/>
    <s v="LIGA ALVARO BAHIA CONTRA A MORTALIDADE INFANTIL - SALVADOR - BA - 15.170.723/0001-06"/>
    <n v="75"/>
  </r>
  <r>
    <x v="0"/>
    <x v="5"/>
    <x v="1"/>
    <n v="15194004000125"/>
    <x v="414"/>
    <s v="SALVADOR"/>
    <s v="BA"/>
    <x v="3"/>
    <s v="FERNANDO LEONY (CO/NO/NE)"/>
    <n v="64"/>
    <x v="2"/>
    <s v="FUNDACAO JOSE SILVEIRA - SALVADOR - BA - 15.194.004/0001-25"/>
    <n v="1"/>
  </r>
  <r>
    <x v="0"/>
    <x v="5"/>
    <x v="1"/>
    <n v="27372066000169"/>
    <x v="416"/>
    <s v="SALVADOR"/>
    <s v="BA"/>
    <x v="3"/>
    <s v="FERNANDO LEONY (CO/NO/NE)"/>
    <n v="62"/>
    <x v="3"/>
    <s v="HOSPITAL SAO RAFAEL S.A - SALVADOR - BA - 27.372.066/0001-69"/>
    <n v="15"/>
  </r>
  <r>
    <x v="0"/>
    <x v="5"/>
    <x v="1"/>
    <n v="27372066000169"/>
    <x v="416"/>
    <s v="SALVADOR"/>
    <s v="BA"/>
    <x v="3"/>
    <s v="FERNANDO LEONY (CO/NO/NE)"/>
    <n v="64"/>
    <x v="2"/>
    <s v="HOSPITAL SAO RAFAEL S.A - SALVADOR - BA - 27.372.066/0001-69"/>
    <n v="10"/>
  </r>
  <r>
    <x v="0"/>
    <x v="6"/>
    <x v="2"/>
    <n v="5469172000122"/>
    <x v="402"/>
    <s v="SALVADOR"/>
    <s v="BA"/>
    <x v="3"/>
    <s v="FERNANDO LEONY (CO/NO/NE)"/>
    <n v="62"/>
    <x v="3"/>
    <s v="HBA - SALVADOR - BA - 05.469.172/0001-22"/>
    <n v="6"/>
  </r>
  <r>
    <x v="0"/>
    <x v="6"/>
    <x v="2"/>
    <n v="5469172000122"/>
    <x v="402"/>
    <s v="SALVADOR"/>
    <s v="BA"/>
    <x v="3"/>
    <s v="FERNANDO LEONY (CO/NO/NE)"/>
    <n v="64"/>
    <x v="2"/>
    <s v="HBA - SALVADOR - BA - 05.469.172/0001-22"/>
    <n v="4"/>
  </r>
  <r>
    <x v="0"/>
    <x v="6"/>
    <x v="2"/>
    <n v="13016092000140"/>
    <x v="406"/>
    <s v="SALVADOR"/>
    <s v="BA"/>
    <x v="3"/>
    <s v="FERNANDO LEONY (CO/NO/NE)"/>
    <n v="62"/>
    <x v="3"/>
    <s v="HOSPITAL ALIANCA - SALVADOR - BA - 13.016.092/0001-40"/>
    <n v="7"/>
  </r>
  <r>
    <x v="0"/>
    <x v="6"/>
    <x v="2"/>
    <n v="13016092000140"/>
    <x v="406"/>
    <s v="SALVADOR"/>
    <s v="BA"/>
    <x v="3"/>
    <s v="FERNANDO LEONY (CO/NO/NE)"/>
    <n v="64"/>
    <x v="2"/>
    <s v="HOSPITAL ALIANCA - SALVADOR - BA - 13.016.092/0001-40"/>
    <n v="21"/>
  </r>
  <r>
    <x v="0"/>
    <x v="6"/>
    <x v="2"/>
    <n v="13808803000119"/>
    <x v="427"/>
    <s v="SALVADOR"/>
    <s v="BA"/>
    <x v="3"/>
    <s v="FERNANDO LEONY (CO/NO/NE)"/>
    <n v="62"/>
    <x v="3"/>
    <s v="PROMEDICA PATRIMONIAL S A PROPAT - SALVADOR - BA - 13.808.803/0001-19"/>
    <n v="1"/>
  </r>
  <r>
    <x v="0"/>
    <x v="6"/>
    <x v="2"/>
    <n v="13952064000134"/>
    <x v="407"/>
    <s v="SALVADOR"/>
    <s v="BA"/>
    <x v="3"/>
    <s v="FERNANDO LEONY (CO/NO/NE)"/>
    <n v="62"/>
    <x v="3"/>
    <s v="CARDIO PULMONAR DA BAHIA S.A - SALVADOR - BA - 13.952.064/0001-34"/>
    <n v="10"/>
  </r>
  <r>
    <x v="0"/>
    <x v="6"/>
    <x v="2"/>
    <n v="13952064000134"/>
    <x v="407"/>
    <s v="SALVADOR"/>
    <s v="BA"/>
    <x v="3"/>
    <s v="FERNANDO LEONY (CO/NO/NE)"/>
    <n v="64"/>
    <x v="2"/>
    <s v="CARDIO PULMONAR DA BAHIA S.A - SALVADOR - BA - 13.952.064/0001-34"/>
    <n v="22"/>
  </r>
  <r>
    <x v="0"/>
    <x v="6"/>
    <x v="2"/>
    <n v="15153745000249"/>
    <x v="408"/>
    <s v="SALVADOR"/>
    <s v="BA"/>
    <x v="3"/>
    <s v="FERNANDO LEONY (CO/NO/NE)"/>
    <n v="62"/>
    <x v="3"/>
    <s v="HOSPITAL SANTA IZABEL - SALVADOR - BA - 15.153.745/0002-49"/>
    <n v="3"/>
  </r>
  <r>
    <x v="0"/>
    <x v="6"/>
    <x v="2"/>
    <n v="15166416000151"/>
    <x v="410"/>
    <s v="SALVADOR"/>
    <s v="BA"/>
    <x v="3"/>
    <s v="FERNANDO LEONY (CO/NO/NE)"/>
    <n v="62"/>
    <x v="3"/>
    <s v="HOSPITAL PORTUGUES - SALVADOR - BA - 15.166.416/0001-51"/>
    <n v="34"/>
  </r>
  <r>
    <x v="0"/>
    <x v="6"/>
    <x v="2"/>
    <n v="15166416000151"/>
    <x v="410"/>
    <s v="SALVADOR"/>
    <s v="BA"/>
    <x v="3"/>
    <s v="FERNANDO LEONY (CO/NO/NE)"/>
    <n v="64"/>
    <x v="2"/>
    <s v="HOSPITAL PORTUGUES - SALVADOR - BA - 15.166.416/0001-51"/>
    <n v="20"/>
  </r>
  <r>
    <x v="0"/>
    <x v="6"/>
    <x v="2"/>
    <n v="15170723000106"/>
    <x v="411"/>
    <s v="SALVADOR"/>
    <s v="BA"/>
    <x v="3"/>
    <s v="FERNANDO LEONY (CO/NO/NE)"/>
    <n v="64"/>
    <x v="2"/>
    <s v="LIGA ALVARO BAHIA CONTRA A MORTALIDADE INFANTIL - SALVADOR - BA - 15.170.723/0001-06"/>
    <n v="4"/>
  </r>
  <r>
    <x v="0"/>
    <x v="6"/>
    <x v="2"/>
    <n v="15180714000287"/>
    <x v="424"/>
    <s v="SALVADOR"/>
    <s v="BA"/>
    <x v="3"/>
    <s v="FERNANDO LEONY (CO/NO/NE)"/>
    <n v="62"/>
    <x v="3"/>
    <s v="HOSPITAL PROFESSOR EDGARDSANTOS - SALVADOR - BA - 15.180.714/0002-87"/>
    <n v="25"/>
  </r>
  <r>
    <x v="0"/>
    <x v="6"/>
    <x v="2"/>
    <n v="15180714000287"/>
    <x v="424"/>
    <s v="SALVADOR"/>
    <s v="BA"/>
    <x v="3"/>
    <s v="FERNANDO LEONY (CO/NO/NE)"/>
    <n v="64"/>
    <x v="2"/>
    <s v="HOSPITAL PROFESSOR EDGARDSANTOS - SALVADOR - BA - 15.180.714/0002-87"/>
    <n v="75"/>
  </r>
  <r>
    <x v="0"/>
    <x v="6"/>
    <x v="2"/>
    <n v="15180714000287"/>
    <x v="424"/>
    <s v="SALVADOR"/>
    <s v="BA"/>
    <x v="3"/>
    <s v="FERNANDO LEONY (CO/NO/NE)"/>
    <n v="70"/>
    <x v="0"/>
    <s v="HOSPITAL PROFESSOR EDGARDSANTOS - SALVADOR - BA - 15.180.714/0002-87"/>
    <n v="850"/>
  </r>
  <r>
    <x v="0"/>
    <x v="6"/>
    <x v="2"/>
    <n v="15194004000125"/>
    <x v="414"/>
    <s v="SALVADOR"/>
    <s v="BA"/>
    <x v="3"/>
    <s v="FERNANDO LEONY (CO/NO/NE)"/>
    <n v="64"/>
    <x v="2"/>
    <s v="FUNDACAO JOSE SILVEIRA - SALVADOR - BA - 15.194.004/0001-25"/>
    <n v="3"/>
  </r>
  <r>
    <x v="0"/>
    <x v="6"/>
    <x v="2"/>
    <n v="16475154000250"/>
    <x v="419"/>
    <s v="SALVADOR"/>
    <s v="BA"/>
    <x v="3"/>
    <s v="FERNANDO LEONY (CO/NO/NE)"/>
    <n v="64"/>
    <x v="2"/>
    <s v="FBC - SALVADOR - BA - 16.475.154/0002-50"/>
    <n v="5"/>
  </r>
  <r>
    <x v="0"/>
    <x v="6"/>
    <x v="2"/>
    <n v="27372066000169"/>
    <x v="416"/>
    <s v="SALVADOR"/>
    <s v="BA"/>
    <x v="3"/>
    <s v="FERNANDO LEONY (CO/NO/NE)"/>
    <n v="62"/>
    <x v="3"/>
    <s v="HOSPITAL SAO RAFAEL S.A - SALVADOR - BA - 27.372.066/0001-69"/>
    <n v="18"/>
  </r>
  <r>
    <x v="0"/>
    <x v="6"/>
    <x v="2"/>
    <n v="27372066000169"/>
    <x v="416"/>
    <s v="SALVADOR"/>
    <s v="BA"/>
    <x v="3"/>
    <s v="FERNANDO LEONY (CO/NO/NE)"/>
    <n v="64"/>
    <x v="2"/>
    <s v="HOSPITAL SAO RAFAEL S.A - SALVADOR - BA - 27.372.066/0001-69"/>
    <n v="39"/>
  </r>
  <r>
    <x v="0"/>
    <x v="0"/>
    <x v="0"/>
    <n v="49791000144"/>
    <x v="428"/>
    <s v="BRASÍLIA"/>
    <s v="DF"/>
    <x v="3"/>
    <s v="FERNANDO LEONY (CO/NO/NE)"/>
    <n v="62"/>
    <x v="3"/>
    <s v="HOSPITAL SANTA HELENA (REDE DOR) - BRASÍLIA - DF - 00.049.791/0001-44"/>
    <n v="4"/>
  </r>
  <r>
    <x v="0"/>
    <x v="0"/>
    <x v="0"/>
    <n v="49791000144"/>
    <x v="428"/>
    <s v="BRASÍLIA"/>
    <s v="DF"/>
    <x v="3"/>
    <s v="FERNANDO LEONY (CO/NO/NE)"/>
    <n v="64"/>
    <x v="2"/>
    <s v="HOSPITAL SANTA HELENA (REDE DOR) - BRASÍLIA - DF - 00.049.791/0001-44"/>
    <n v="13"/>
  </r>
  <r>
    <x v="0"/>
    <x v="1"/>
    <x v="0"/>
    <n v="49791000144"/>
    <x v="428"/>
    <s v="BRASÍLIA"/>
    <s v="DF"/>
    <x v="3"/>
    <s v="FERNANDO LEONY (CO/NO/NE)"/>
    <n v="62"/>
    <x v="3"/>
    <s v="HOSPITAL SANTA HELENA (REDE DOR) - BRASÍLIA - DF - 00.049.791/0001-44"/>
    <n v="4"/>
  </r>
  <r>
    <x v="0"/>
    <x v="1"/>
    <x v="0"/>
    <n v="49791000144"/>
    <x v="428"/>
    <s v="BRASÍLIA"/>
    <s v="DF"/>
    <x v="3"/>
    <s v="FERNANDO LEONY (CO/NO/NE)"/>
    <n v="64"/>
    <x v="2"/>
    <s v="HOSPITAL SANTA HELENA (REDE DOR) - BRASÍLIA - DF - 00.049.791/0001-44"/>
    <n v="9"/>
  </r>
  <r>
    <x v="0"/>
    <x v="1"/>
    <x v="0"/>
    <n v="25841000153"/>
    <x v="429"/>
    <s v="BRASÍLIA"/>
    <s v="DF"/>
    <x v="3"/>
    <s v="FERNANDO LEONY (CO/NO/NE)"/>
    <n v="70"/>
    <x v="0"/>
    <s v="SANTA LUCIA - BRASÍLIA - DF - 00.025.841/0001-53"/>
    <n v="120"/>
  </r>
  <r>
    <x v="0"/>
    <x v="0"/>
    <x v="0"/>
    <n v="511816000180"/>
    <x v="430"/>
    <s v="BRASÍLIA"/>
    <s v="DF"/>
    <x v="3"/>
    <s v="FERNANDO LEONY (CO/NO/NE)"/>
    <n v="64"/>
    <x v="2"/>
    <s v="PRONTONORTE - BRASÍLIA - DF - 00.511.816/0001-80"/>
    <n v="8"/>
  </r>
  <r>
    <x v="0"/>
    <x v="1"/>
    <x v="0"/>
    <n v="511816000180"/>
    <x v="430"/>
    <s v="BRASÍLIA"/>
    <s v="DF"/>
    <x v="3"/>
    <s v="FERNANDO LEONY (CO/NO/NE)"/>
    <n v="62"/>
    <x v="3"/>
    <s v="PRONTONORTE - BRASÍLIA - DF - 00.511.816/0001-80"/>
    <n v="4"/>
  </r>
  <r>
    <x v="0"/>
    <x v="0"/>
    <x v="0"/>
    <n v="520237000101"/>
    <x v="431"/>
    <s v="BRASÍLIA"/>
    <s v="DF"/>
    <x v="3"/>
    <s v="FERNANDO LEONY (CO/NO/NE)"/>
    <n v="70"/>
    <x v="0"/>
    <s v="CETTRO - CENTRO DE CANCER DE BRASILIA - BRASÍLIA - DF - 00.520.237/0001-01"/>
    <n v="35"/>
  </r>
  <r>
    <x v="0"/>
    <x v="0"/>
    <x v="0"/>
    <n v="520237000101"/>
    <x v="431"/>
    <s v="BRASÍLIA"/>
    <s v="DF"/>
    <x v="3"/>
    <s v="FERNANDO LEONY (CO/NO/NE)"/>
    <n v="73"/>
    <x v="1"/>
    <s v="CETTRO - CENTRO DE CANCER DE BRASILIA - BRASÍLIA - DF - 00.520.237/0001-01"/>
    <n v="102"/>
  </r>
  <r>
    <x v="0"/>
    <x v="1"/>
    <x v="0"/>
    <n v="520237000101"/>
    <x v="431"/>
    <s v="BRASÍLIA"/>
    <s v="DF"/>
    <x v="3"/>
    <s v="FERNANDO LEONY (CO/NO/NE)"/>
    <n v="70"/>
    <x v="0"/>
    <s v="CETTRO - CENTRO DE CANCER DE BRASILIA - BRASÍLIA - DF - 00.520.237/0001-01"/>
    <n v="800"/>
  </r>
  <r>
    <x v="0"/>
    <x v="1"/>
    <x v="0"/>
    <n v="520237000101"/>
    <x v="431"/>
    <s v="BRASÍLIA"/>
    <s v="DF"/>
    <x v="3"/>
    <s v="FERNANDO LEONY (CO/NO/NE)"/>
    <n v="73"/>
    <x v="1"/>
    <s v="CETTRO - CENTRO DE CANCER DE BRASILIA - BRASÍLIA - DF - 00.520.237/0001-01"/>
    <n v="259"/>
  </r>
  <r>
    <x v="0"/>
    <x v="0"/>
    <x v="0"/>
    <n v="610980000144"/>
    <x v="432"/>
    <s v="BRASÍLIA"/>
    <s v="DF"/>
    <x v="3"/>
    <s v="FERNANDO LEONY (CO/NO/NE)"/>
    <n v="64"/>
    <x v="2"/>
    <s v="HOSPITAL SANTA MARTA LTDA - BRASÍLIA - DF - 00.610.980/0001-44"/>
    <n v="24"/>
  </r>
  <r>
    <x v="0"/>
    <x v="1"/>
    <x v="0"/>
    <n v="610980000144"/>
    <x v="432"/>
    <s v="BRASÍLIA"/>
    <s v="DF"/>
    <x v="3"/>
    <s v="FERNANDO LEONY (CO/NO/NE)"/>
    <n v="64"/>
    <x v="2"/>
    <s v="HOSPITAL SANTA MARTA LTDA - BRASÍLIA - DF - 00.610.980/0001-44"/>
    <n v="5"/>
  </r>
  <r>
    <x v="0"/>
    <x v="1"/>
    <x v="0"/>
    <n v="610980000144"/>
    <x v="432"/>
    <s v="BRASÍLIA"/>
    <s v="DF"/>
    <x v="3"/>
    <s v="FERNANDO LEONY (CO/NO/NE)"/>
    <n v="70"/>
    <x v="0"/>
    <s v="HOSPITAL SANTA MARTA LTDA - BRASÍLIA - DF - 00.610.980/0001-44"/>
    <n v="150"/>
  </r>
  <r>
    <x v="0"/>
    <x v="0"/>
    <x v="0"/>
    <n v="1682668000129"/>
    <x v="433"/>
    <s v="BRASÍLIA"/>
    <s v="DF"/>
    <x v="3"/>
    <s v="FERNANDO LEONY (CO/NO/NE)"/>
    <n v="70"/>
    <x v="0"/>
    <s v="ONCO VIDA - BRASÍLIA - DF - 01.682.668/0001-29"/>
    <n v="50"/>
  </r>
  <r>
    <x v="0"/>
    <x v="1"/>
    <x v="0"/>
    <n v="1682668000129"/>
    <x v="433"/>
    <s v="BRASÍLIA"/>
    <s v="DF"/>
    <x v="3"/>
    <s v="FERNANDO LEONY (CO/NO/NE)"/>
    <n v="70"/>
    <x v="0"/>
    <s v="ONCO VIDA - BRASÍLIA - DF - 01.682.668/0001-29"/>
    <n v="25"/>
  </r>
  <r>
    <x v="0"/>
    <x v="0"/>
    <x v="0"/>
    <n v="2560878000107"/>
    <x v="434"/>
    <s v="BRASÍLIA"/>
    <s v="DF"/>
    <x v="3"/>
    <s v="FERNANDO LEONY (CO/NO/NE)"/>
    <n v="62"/>
    <x v="3"/>
    <s v="HOSPITAL ANCHIETA LTDA - BRASÍLIA - DF - 02.560.878/0001-07"/>
    <n v="1"/>
  </r>
  <r>
    <x v="0"/>
    <x v="0"/>
    <x v="0"/>
    <n v="2560878000107"/>
    <x v="434"/>
    <s v="BRASÍLIA"/>
    <s v="DF"/>
    <x v="3"/>
    <s v="FERNANDO LEONY (CO/NO/NE)"/>
    <n v="64"/>
    <x v="2"/>
    <s v="HOSPITAL ANCHIETA LTDA - BRASÍLIA - DF - 02.560.878/0001-07"/>
    <n v="7"/>
  </r>
  <r>
    <x v="0"/>
    <x v="0"/>
    <x v="0"/>
    <n v="2560878000107"/>
    <x v="434"/>
    <s v="BRASÍLIA"/>
    <s v="DF"/>
    <x v="3"/>
    <s v="FERNANDO LEONY (CO/NO/NE)"/>
    <n v="70"/>
    <x v="0"/>
    <s v="HOSPITAL ANCHIETA LTDA - BRASÍLIA - DF - 02.560.878/0001-07"/>
    <n v="275"/>
  </r>
  <r>
    <x v="0"/>
    <x v="1"/>
    <x v="0"/>
    <n v="2560878000107"/>
    <x v="434"/>
    <s v="BRASÍLIA"/>
    <s v="DF"/>
    <x v="3"/>
    <s v="FERNANDO LEONY (CO/NO/NE)"/>
    <n v="70"/>
    <x v="0"/>
    <s v="HOSPITAL ANCHIETA LTDA - BRASÍLIA - DF - 02.560.878/0001-07"/>
    <n v="30"/>
  </r>
  <r>
    <x v="0"/>
    <x v="1"/>
    <x v="0"/>
    <n v="2560878000107"/>
    <x v="434"/>
    <s v="BRASÍLIA"/>
    <s v="DF"/>
    <x v="3"/>
    <s v="FERNANDO LEONY (CO/NO/NE)"/>
    <n v="73"/>
    <x v="1"/>
    <s v="HOSPITAL ANCHIETA LTDA - BRASÍLIA - DF - 02.560.878/0001-07"/>
    <n v="1"/>
  </r>
  <r>
    <x v="0"/>
    <x v="0"/>
    <x v="0"/>
    <n v="3989821000190"/>
    <x v="435"/>
    <s v="BRASÍLIA"/>
    <s v="DF"/>
    <x v="3"/>
    <s v="FERNANDO LEONY (CO/NO/NE)"/>
    <n v="70"/>
    <x v="0"/>
    <s v="GRUPO ACREDITAR - BRASÍLIA - DF - 03.989.821/0001-90"/>
    <n v="245"/>
  </r>
  <r>
    <x v="0"/>
    <x v="1"/>
    <x v="0"/>
    <n v="3989821000190"/>
    <x v="435"/>
    <s v="BRASÍLIA"/>
    <s v="DF"/>
    <x v="3"/>
    <s v="FERNANDO LEONY (CO/NO/NE)"/>
    <n v="70"/>
    <x v="0"/>
    <s v="GRUPO ACREDITAR - BRASÍLIA - DF - 03.989.821/0001-90"/>
    <n v="360"/>
  </r>
  <r>
    <x v="0"/>
    <x v="1"/>
    <x v="0"/>
    <n v="1602408000104"/>
    <x v="436"/>
    <s v="BRASÍLIA"/>
    <s v="DF"/>
    <x v="3"/>
    <s v="FERNANDO LEONY (CO/NO/NE)"/>
    <n v="70"/>
    <x v="0"/>
    <s v="CLINICA DE DOENCAS RENAIS DE BRASILIA LTDA - BRASÍLIA - DF - 01.602.408/0001-04"/>
    <n v="250"/>
  </r>
  <r>
    <x v="0"/>
    <x v="0"/>
    <x v="0"/>
    <n v="6047087004126"/>
    <x v="437"/>
    <s v="BRASÍLIA"/>
    <s v="DF"/>
    <x v="3"/>
    <s v="FERNANDO LEONY (CO/NO/NE)"/>
    <n v="64"/>
    <x v="2"/>
    <s v="HOSPITAL SANTA LUZIA (REDE DOR) - BRASÍLIA - DF - 06.047.087/0041-26"/>
    <n v="3"/>
  </r>
  <r>
    <x v="0"/>
    <x v="1"/>
    <x v="0"/>
    <n v="6047087004126"/>
    <x v="437"/>
    <s v="BRASÍLIA"/>
    <s v="DF"/>
    <x v="3"/>
    <s v="FERNANDO LEONY (CO/NO/NE)"/>
    <n v="64"/>
    <x v="2"/>
    <s v="HOSPITAL SANTA LUZIA (REDE DOR) - BRASÍLIA - DF - 06.047.087/0041-26"/>
    <n v="7"/>
  </r>
  <r>
    <x v="0"/>
    <x v="1"/>
    <x v="0"/>
    <n v="6047087004126"/>
    <x v="437"/>
    <s v="BRASÍLIA"/>
    <s v="DF"/>
    <x v="3"/>
    <s v="FERNANDO LEONY (CO/NO/NE)"/>
    <n v="70"/>
    <x v="0"/>
    <s v="HOSPITAL SANTA LUZIA (REDE DOR) - BRASÍLIA - DF - 06.047.087/0041-26"/>
    <n v="400"/>
  </r>
  <r>
    <x v="0"/>
    <x v="0"/>
    <x v="0"/>
    <n v="6047087004207"/>
    <x v="438"/>
    <s v="BRASÍLIA"/>
    <s v="DF"/>
    <x v="3"/>
    <s v="FERNANDO LEONY (CO/NO/NE)"/>
    <n v="64"/>
    <x v="2"/>
    <s v="HOSPITAL DO CORACAO DO BRASIL (REDE DOR) - BRASÍLIA - DF - 06.047.087/0042-07"/>
    <n v="45"/>
  </r>
  <r>
    <x v="0"/>
    <x v="1"/>
    <x v="0"/>
    <n v="6047087004207"/>
    <x v="438"/>
    <s v="BRASÍLIA"/>
    <s v="DF"/>
    <x v="3"/>
    <s v="FERNANDO LEONY (CO/NO/NE)"/>
    <n v="64"/>
    <x v="2"/>
    <s v="HOSPITAL DO CORACAO DO BRASIL (REDE DOR) - BRASÍLIA - DF - 06.047.087/0042-07"/>
    <n v="8"/>
  </r>
  <r>
    <x v="0"/>
    <x v="0"/>
    <x v="0"/>
    <n v="7794623005191"/>
    <x v="439"/>
    <s v="BRASÍLIA"/>
    <s v="DF"/>
    <x v="3"/>
    <s v="FERNANDO LEONY (CO/NO/NE)"/>
    <n v="70"/>
    <x v="0"/>
    <s v="CEMED CARE EMPRESA DE ATENDIMENTO CLINICO GERAL LTDA - BRASÍLIA - DF - 07.794.623/0051-91"/>
    <n v="25"/>
  </r>
  <r>
    <x v="0"/>
    <x v="0"/>
    <x v="0"/>
    <n v="9104513000974"/>
    <x v="440"/>
    <s v="BRASÍLIA"/>
    <s v="DF"/>
    <x v="3"/>
    <s v="FERNANDO LEONY (CO/NO/NE)"/>
    <n v="70"/>
    <x v="0"/>
    <s v="ALIANCA INSTITUTO DE ONCOLOGIA - BRASÍLIA - DF - 09.104.513/0009-74"/>
    <n v="505"/>
  </r>
  <r>
    <x v="0"/>
    <x v="1"/>
    <x v="0"/>
    <n v="9104513000974"/>
    <x v="440"/>
    <s v="BRASÍLIA"/>
    <s v="DF"/>
    <x v="3"/>
    <s v="FERNANDO LEONY (CO/NO/NE)"/>
    <n v="70"/>
    <x v="0"/>
    <s v="ALIANCA INSTITUTO DE ONCOLOGIA - BRASÍLIA - DF - 09.104.513/0009-74"/>
    <n v="170"/>
  </r>
  <r>
    <x v="0"/>
    <x v="0"/>
    <x v="0"/>
    <n v="11859927000106"/>
    <x v="441"/>
    <s v="BRASÍLIA"/>
    <s v="DF"/>
    <x v="3"/>
    <s v="FERNANDO LEONY (CO/NO/NE)"/>
    <n v="73"/>
    <x v="1"/>
    <s v="INSTITUTO DE CANCER DE BRASILIA LTDA - BRASÍLIA - DF - 11.859.927/0001-06"/>
    <n v="44"/>
  </r>
  <r>
    <x v="0"/>
    <x v="1"/>
    <x v="0"/>
    <n v="11859927000106"/>
    <x v="441"/>
    <s v="BRASÍLIA"/>
    <s v="DF"/>
    <x v="3"/>
    <s v="FERNANDO LEONY (CO/NO/NE)"/>
    <n v="70"/>
    <x v="0"/>
    <s v="INSTITUTO DE CANCER DE BRASILIA LTDA - BRASÍLIA - DF - 11.859.927/0001-06"/>
    <n v="30"/>
  </r>
  <r>
    <x v="0"/>
    <x v="1"/>
    <x v="0"/>
    <n v="11859927000106"/>
    <x v="441"/>
    <s v="BRASÍLIA"/>
    <s v="DF"/>
    <x v="3"/>
    <s v="FERNANDO LEONY (CO/NO/NE)"/>
    <n v="73"/>
    <x v="1"/>
    <s v="INSTITUTO DE CANCER DE BRASILIA LTDA - BRASÍLIA - DF - 11.859.927/0001-06"/>
    <n v="49"/>
  </r>
  <r>
    <x v="0"/>
    <x v="0"/>
    <x v="0"/>
    <n v="16739984000167"/>
    <x v="442"/>
    <s v="BRASÍLIA"/>
    <s v="DF"/>
    <x v="3"/>
    <s v="FERNANDO LEONY (CO/NO/NE)"/>
    <n v="73"/>
    <x v="1"/>
    <s v="PRIME HOME CARE - BRASÍLIA - DF - 16.739.984/0001-67"/>
    <n v="41"/>
  </r>
  <r>
    <x v="0"/>
    <x v="1"/>
    <x v="0"/>
    <n v="16739984000167"/>
    <x v="442"/>
    <s v="BRASÍLIA"/>
    <s v="DF"/>
    <x v="3"/>
    <s v="FERNANDO LEONY (CO/NO/NE)"/>
    <n v="73"/>
    <x v="1"/>
    <s v="PRIME HOME CARE - BRASÍLIA - DF - 16.739.984/0001-67"/>
    <n v="36"/>
  </r>
  <r>
    <x v="0"/>
    <x v="0"/>
    <x v="0"/>
    <n v="28481233000172"/>
    <x v="443"/>
    <s v="BRASÍLIA"/>
    <s v="DF"/>
    <x v="3"/>
    <s v="FERNANDO LEONY (CO/NO/NE)"/>
    <n v="64"/>
    <x v="2"/>
    <s v="IHBDF - BRASÍLIA - DF - 28.481.233/0001-72"/>
    <n v="130"/>
  </r>
  <r>
    <x v="0"/>
    <x v="0"/>
    <x v="0"/>
    <n v="29435005004620"/>
    <x v="444"/>
    <s v="BRASÍLIA"/>
    <s v="DF"/>
    <x v="3"/>
    <s v="FERNANDO LEONY (CO/NO/NE)"/>
    <n v="62"/>
    <x v="3"/>
    <s v="HOSPITAL ALVORADA DE BRASILIA - BRASÍLIA - DF - 29.435.005/0046-20"/>
    <n v="5"/>
  </r>
  <r>
    <x v="0"/>
    <x v="0"/>
    <x v="0"/>
    <n v="29435005004620"/>
    <x v="444"/>
    <s v="BRASÍLIA"/>
    <s v="DF"/>
    <x v="3"/>
    <s v="FERNANDO LEONY (CO/NO/NE)"/>
    <n v="64"/>
    <x v="2"/>
    <s v="HOSPITAL ALVORADA DE BRASILIA - BRASÍLIA - DF - 29.435.005/0046-20"/>
    <n v="10"/>
  </r>
  <r>
    <x v="0"/>
    <x v="1"/>
    <x v="0"/>
    <n v="29435005004620"/>
    <x v="444"/>
    <s v="BRASÍLIA"/>
    <s v="DF"/>
    <x v="3"/>
    <s v="FERNANDO LEONY (CO/NO/NE)"/>
    <n v="64"/>
    <x v="2"/>
    <s v="HOSPITAL ALVORADA DE BRASILIA - BRASÍLIA - DF - 29.435.005/0046-20"/>
    <n v="30"/>
  </r>
  <r>
    <x v="0"/>
    <x v="1"/>
    <x v="0"/>
    <n v="10942995000163"/>
    <x v="445"/>
    <s v="BRASÍLIA"/>
    <s v="DF"/>
    <x v="3"/>
    <s v="FERNANDO LEONY (CO/NO/NE)"/>
    <n v="70"/>
    <x v="0"/>
    <s v="ICIPE - BRASÍLIA - DF - 10.942.995/0001-63"/>
    <n v="300"/>
  </r>
  <r>
    <x v="0"/>
    <x v="1"/>
    <x v="0"/>
    <n v="10942995000163"/>
    <x v="445"/>
    <s v="BRASÍLIA"/>
    <s v="DF"/>
    <x v="3"/>
    <s v="FERNANDO LEONY (CO/NO/NE)"/>
    <n v="73"/>
    <x v="1"/>
    <s v="ICIPE - BRASÍLIA - DF - 10.942.995/0001-63"/>
    <n v="40"/>
  </r>
  <r>
    <x v="0"/>
    <x v="0"/>
    <x v="0"/>
    <n v="37108388000159"/>
    <x v="446"/>
    <s v="BRASÍLIA"/>
    <s v="DF"/>
    <x v="3"/>
    <s v="FERNANDO LEONY (CO/NO/NE)"/>
    <n v="62"/>
    <x v="3"/>
    <s v="HOME - BRASÍLIA - DF - 37.108.388/0001-59"/>
    <n v="15"/>
  </r>
  <r>
    <x v="0"/>
    <x v="0"/>
    <x v="0"/>
    <n v="37108388000159"/>
    <x v="446"/>
    <s v="BRASÍLIA"/>
    <s v="DF"/>
    <x v="3"/>
    <s v="FERNANDO LEONY (CO/NO/NE)"/>
    <n v="64"/>
    <x v="2"/>
    <s v="HOME - BRASÍLIA - DF - 37.108.388/0001-59"/>
    <n v="37"/>
  </r>
  <r>
    <x v="0"/>
    <x v="0"/>
    <x v="0"/>
    <n v="38000485000196"/>
    <x v="447"/>
    <s v="BRASÍLIA"/>
    <s v="DF"/>
    <x v="3"/>
    <s v="FERNANDO LEONY (CO/NO/NE)"/>
    <n v="64"/>
    <x v="2"/>
    <s v="HOSPITAL MARIA AUXILIADORA - BRASÍLIA - DF - 38.000.485/0001-96"/>
    <n v="3"/>
  </r>
  <r>
    <x v="0"/>
    <x v="1"/>
    <x v="0"/>
    <n v="15126437000305"/>
    <x v="448"/>
    <s v="BRASÍLIA"/>
    <s v="DF"/>
    <x v="3"/>
    <s v="FERNANDO LEONY (CO/NO/NE)"/>
    <n v="70"/>
    <x v="0"/>
    <s v="EBSERH HOSPITAL UNIVERSITARIO DE BRASILIA - BRASÍLIA - DF - 15.126.437/0003-05"/>
    <n v="550"/>
  </r>
  <r>
    <x v="0"/>
    <x v="0"/>
    <x v="0"/>
    <n v="60884855002289"/>
    <x v="449"/>
    <s v="BRASÍLIA"/>
    <s v="DF"/>
    <x v="3"/>
    <s v="FERNANDO LEONY (CO/NO/NE)"/>
    <n v="62"/>
    <x v="3"/>
    <s v="HOSPITAL BRASILIA - BRASÍLIA - DF - 60.884.855/0022-89"/>
    <n v="11"/>
  </r>
  <r>
    <x v="0"/>
    <x v="0"/>
    <x v="0"/>
    <n v="60884855002289"/>
    <x v="449"/>
    <s v="BRASÍLIA"/>
    <s v="DF"/>
    <x v="3"/>
    <s v="FERNANDO LEONY (CO/NO/NE)"/>
    <n v="64"/>
    <x v="2"/>
    <s v="HOSPITAL BRASILIA - BRASÍLIA - DF - 60.884.855/0022-89"/>
    <n v="90"/>
  </r>
  <r>
    <x v="0"/>
    <x v="0"/>
    <x v="0"/>
    <n v="60884855002289"/>
    <x v="449"/>
    <s v="BRASÍLIA"/>
    <s v="DF"/>
    <x v="3"/>
    <s v="FERNANDO LEONY (CO/NO/NE)"/>
    <n v="70"/>
    <x v="0"/>
    <s v="HOSPITAL BRASILIA - BRASÍLIA - DF - 60.884.855/0022-89"/>
    <n v="370"/>
  </r>
  <r>
    <x v="0"/>
    <x v="0"/>
    <x v="0"/>
    <n v="61590410000558"/>
    <x v="450"/>
    <s v="BRASÍLIA"/>
    <s v="DF"/>
    <x v="3"/>
    <s v="FERNANDO LEONY (CO/NO/NE)"/>
    <n v="73"/>
    <x v="1"/>
    <s v="HSL UNIDADE BRASILIA - BRASÍLIA - DF - 61.590.410/0005-58"/>
    <n v="16"/>
  </r>
  <r>
    <x v="0"/>
    <x v="0"/>
    <x v="0"/>
    <n v="61590410001287"/>
    <x v="451"/>
    <s v="BRASÍLIA"/>
    <s v="DF"/>
    <x v="3"/>
    <s v="FERNANDO LEONY (CO/NO/NE)"/>
    <n v="70"/>
    <x v="0"/>
    <s v="UNIDADE BRASILIA IV - BRASÍLIA - DF - 61.590.410/0012-87"/>
    <n v="610"/>
  </r>
  <r>
    <x v="0"/>
    <x v="0"/>
    <x v="0"/>
    <n v="92898550000600"/>
    <x v="452"/>
    <s v="BRASÍLIA"/>
    <s v="DF"/>
    <x v="3"/>
    <s v="FERNANDO LEONY (CO/NO/NE)"/>
    <n v="64"/>
    <x v="2"/>
    <s v="INSTITUTO DE CARDIOLOGIA DO DISTRITO FEDERAL - BRASÍLIA - DF - 92.898.550/0006-00"/>
    <n v="4"/>
  </r>
  <r>
    <x v="0"/>
    <x v="1"/>
    <x v="0"/>
    <n v="30135335000188"/>
    <x v="453"/>
    <s v="BRASÍLIA"/>
    <s v="DF"/>
    <x v="3"/>
    <s v="FERNANDO LEONY (CO/NO/NE)"/>
    <n v="70"/>
    <x v="0"/>
    <s v="CLINICA DE NEUROLOGIA E NEUROINFUSAO DE BRASILIA - BRASÍLIA - DF - 30.135.335/0001-88"/>
    <n v="550"/>
  </r>
  <r>
    <x v="0"/>
    <x v="1"/>
    <x v="0"/>
    <n v="37108388000159"/>
    <x v="446"/>
    <s v="BRASÍLIA"/>
    <s v="DF"/>
    <x v="3"/>
    <s v="FERNANDO LEONY (CO/NO/NE)"/>
    <n v="64"/>
    <x v="2"/>
    <s v="HOME - BRASÍLIA - DF - 37.108.388/0001-59"/>
    <n v="30"/>
  </r>
  <r>
    <x v="0"/>
    <x v="1"/>
    <x v="0"/>
    <n v="60884855002289"/>
    <x v="449"/>
    <s v="BRASÍLIA"/>
    <s v="DF"/>
    <x v="3"/>
    <s v="FERNANDO LEONY (CO/NO/NE)"/>
    <n v="62"/>
    <x v="3"/>
    <s v="HOSPITAL BRASILIA - BRASÍLIA - DF - 60.884.855/0022-89"/>
    <n v="7"/>
  </r>
  <r>
    <x v="0"/>
    <x v="1"/>
    <x v="0"/>
    <n v="60884855002289"/>
    <x v="449"/>
    <s v="BRASÍLIA"/>
    <s v="DF"/>
    <x v="3"/>
    <s v="FERNANDO LEONY (CO/NO/NE)"/>
    <n v="64"/>
    <x v="2"/>
    <s v="HOSPITAL BRASILIA - BRASÍLIA - DF - 60.884.855/0022-89"/>
    <n v="24"/>
  </r>
  <r>
    <x v="0"/>
    <x v="1"/>
    <x v="0"/>
    <n v="60884855002289"/>
    <x v="449"/>
    <s v="BRASÍLIA"/>
    <s v="DF"/>
    <x v="3"/>
    <s v="FERNANDO LEONY (CO/NO/NE)"/>
    <n v="70"/>
    <x v="0"/>
    <s v="HOSPITAL BRASILIA - BRASÍLIA - DF - 60.884.855/0022-89"/>
    <n v="300"/>
  </r>
  <r>
    <x v="0"/>
    <x v="1"/>
    <x v="0"/>
    <n v="61590410000558"/>
    <x v="450"/>
    <s v="BRASÍLIA"/>
    <s v="DF"/>
    <x v="3"/>
    <s v="FERNANDO LEONY (CO/NO/NE)"/>
    <n v="73"/>
    <x v="1"/>
    <s v="HSL UNIDADE BRASILIA - BRASÍLIA - DF - 61.590.410/0005-58"/>
    <n v="16"/>
  </r>
  <r>
    <x v="0"/>
    <x v="1"/>
    <x v="0"/>
    <n v="61590410001287"/>
    <x v="451"/>
    <s v="BRASÍLIA"/>
    <s v="DF"/>
    <x v="3"/>
    <s v="FERNANDO LEONY (CO/NO/NE)"/>
    <n v="70"/>
    <x v="0"/>
    <s v="UNIDADE BRASILIA IV - BRASÍLIA - DF - 61.590.410/0012-87"/>
    <n v="2250"/>
  </r>
  <r>
    <x v="0"/>
    <x v="2"/>
    <x v="0"/>
    <n v="25841000153"/>
    <x v="429"/>
    <s v="BRASÍLIA"/>
    <s v="DF"/>
    <x v="3"/>
    <s v="FERNANDO LEONY (CO/NO/NE)"/>
    <n v="62"/>
    <x v="3"/>
    <s v="SANTA LUCIA - BRASÍLIA - DF - 00.025.841/0001-53"/>
    <n v="4"/>
  </r>
  <r>
    <x v="0"/>
    <x v="2"/>
    <x v="0"/>
    <n v="49791000144"/>
    <x v="428"/>
    <s v="BRASÍLIA"/>
    <s v="DF"/>
    <x v="3"/>
    <s v="FERNANDO LEONY (CO/NO/NE)"/>
    <n v="64"/>
    <x v="2"/>
    <s v="HOSPITAL SANTA HELENA (REDE DOR) - BRASÍLIA - DF - 00.049.791/0001-44"/>
    <n v="1"/>
  </r>
  <r>
    <x v="0"/>
    <x v="2"/>
    <x v="0"/>
    <n v="85465526149"/>
    <x v="454"/>
    <s v="BRASÍLIA"/>
    <s v="DF"/>
    <x v="3"/>
    <s v="FERNANDO LEONY (CO/NO/NE)"/>
    <n v="66"/>
    <x v="4"/>
    <s v="NUBIA SOARES SALES DE MORAES - BRASÍLIA - DF - 854.655.261-49"/>
    <n v="3"/>
  </r>
  <r>
    <x v="0"/>
    <x v="2"/>
    <x v="0"/>
    <n v="520237000101"/>
    <x v="431"/>
    <s v="BRASÍLIA"/>
    <s v="DF"/>
    <x v="3"/>
    <s v="FERNANDO LEONY (CO/NO/NE)"/>
    <n v="70"/>
    <x v="0"/>
    <s v="CETTRO - CENTRO DE CANCER DE BRASILIA - BRASÍLIA - DF - 00.520.237/0001-01"/>
    <n v="150"/>
  </r>
  <r>
    <x v="0"/>
    <x v="2"/>
    <x v="0"/>
    <n v="520237000101"/>
    <x v="431"/>
    <s v="BRASÍLIA"/>
    <s v="DF"/>
    <x v="3"/>
    <s v="FERNANDO LEONY (CO/NO/NE)"/>
    <n v="73"/>
    <x v="1"/>
    <s v="CETTRO - CENTRO DE CANCER DE BRASILIA - BRASÍLIA - DF - 00.520.237/0001-01"/>
    <n v="155"/>
  </r>
  <r>
    <x v="0"/>
    <x v="2"/>
    <x v="0"/>
    <n v="610980000144"/>
    <x v="432"/>
    <s v="BRASÍLIA"/>
    <s v="DF"/>
    <x v="3"/>
    <s v="FERNANDO LEONY (CO/NO/NE)"/>
    <n v="64"/>
    <x v="2"/>
    <s v="HOSPITAL SANTA MARTA LTDA - BRASÍLIA - DF - 00.610.980/0001-44"/>
    <n v="12"/>
  </r>
  <r>
    <x v="0"/>
    <x v="2"/>
    <x v="0"/>
    <n v="610980000144"/>
    <x v="432"/>
    <s v="BRASÍLIA"/>
    <s v="DF"/>
    <x v="3"/>
    <s v="FERNANDO LEONY (CO/NO/NE)"/>
    <n v="70"/>
    <x v="0"/>
    <s v="HOSPITAL SANTA MARTA LTDA - BRASÍLIA - DF - 00.610.980/0001-44"/>
    <n v="400"/>
  </r>
  <r>
    <x v="0"/>
    <x v="2"/>
    <x v="0"/>
    <n v="2560878000107"/>
    <x v="434"/>
    <s v="BRASÍLIA"/>
    <s v="DF"/>
    <x v="3"/>
    <s v="FERNANDO LEONY (CO/NO/NE)"/>
    <n v="64"/>
    <x v="2"/>
    <s v="HOSPITAL ANCHIETA LTDA - BRASÍLIA - DF - 02.560.878/0001-07"/>
    <n v="4"/>
  </r>
  <r>
    <x v="0"/>
    <x v="2"/>
    <x v="0"/>
    <n v="2560878000107"/>
    <x v="434"/>
    <s v="BRASÍLIA"/>
    <s v="DF"/>
    <x v="3"/>
    <s v="FERNANDO LEONY (CO/NO/NE)"/>
    <n v="70"/>
    <x v="0"/>
    <s v="HOSPITAL ANCHIETA LTDA - BRASÍLIA - DF - 02.560.878/0001-07"/>
    <n v="135"/>
  </r>
  <r>
    <x v="0"/>
    <x v="2"/>
    <x v="0"/>
    <n v="3989821000190"/>
    <x v="435"/>
    <s v="BRASÍLIA"/>
    <s v="DF"/>
    <x v="3"/>
    <s v="FERNANDO LEONY (CO/NO/NE)"/>
    <n v="70"/>
    <x v="0"/>
    <s v="GRUPO ACREDITAR - BRASÍLIA - DF - 03.989.821/0001-90"/>
    <n v="45"/>
  </r>
  <r>
    <x v="0"/>
    <x v="2"/>
    <x v="0"/>
    <n v="6047087004126"/>
    <x v="437"/>
    <s v="BRASÍLIA"/>
    <s v="DF"/>
    <x v="3"/>
    <s v="FERNANDO LEONY (CO/NO/NE)"/>
    <n v="64"/>
    <x v="2"/>
    <s v="HOSPITAL SANTA LUZIA (REDE DOR) - BRASÍLIA - DF - 06.047.087/0041-26"/>
    <n v="3"/>
  </r>
  <r>
    <x v="0"/>
    <x v="2"/>
    <x v="0"/>
    <n v="6047087004207"/>
    <x v="438"/>
    <s v="BRASÍLIA"/>
    <s v="DF"/>
    <x v="3"/>
    <s v="FERNANDO LEONY (CO/NO/NE)"/>
    <n v="62"/>
    <x v="3"/>
    <s v="HOSPITAL DO CORACAO DO BRASIL (REDE DOR) - BRASÍLIA - DF - 06.047.087/0042-07"/>
    <n v="18"/>
  </r>
  <r>
    <x v="0"/>
    <x v="2"/>
    <x v="0"/>
    <n v="6047087004207"/>
    <x v="438"/>
    <s v="BRASÍLIA"/>
    <s v="DF"/>
    <x v="3"/>
    <s v="FERNANDO LEONY (CO/NO/NE)"/>
    <n v="64"/>
    <x v="2"/>
    <s v="HOSPITAL DO CORACAO DO BRASIL (REDE DOR) - BRASÍLIA - DF - 06.047.087/0042-07"/>
    <n v="28"/>
  </r>
  <r>
    <x v="0"/>
    <x v="2"/>
    <x v="0"/>
    <n v="9104513000974"/>
    <x v="440"/>
    <s v="BRASÍLIA"/>
    <s v="DF"/>
    <x v="3"/>
    <s v="FERNANDO LEONY (CO/NO/NE)"/>
    <n v="70"/>
    <x v="0"/>
    <s v="ALIANCA INSTITUTO DE ONCOLOGIA - BRASÍLIA - DF - 09.104.513/0009-74"/>
    <n v="515"/>
  </r>
  <r>
    <x v="0"/>
    <x v="2"/>
    <x v="0"/>
    <n v="10942995000163"/>
    <x v="445"/>
    <s v="BRASÍLIA"/>
    <s v="DF"/>
    <x v="3"/>
    <s v="FERNANDO LEONY (CO/NO/NE)"/>
    <n v="70"/>
    <x v="0"/>
    <s v="ICIPE - BRASÍLIA - DF - 10.942.995/0001-63"/>
    <n v="500"/>
  </r>
  <r>
    <x v="0"/>
    <x v="2"/>
    <x v="0"/>
    <n v="10942995000163"/>
    <x v="445"/>
    <s v="BRASÍLIA"/>
    <s v="DF"/>
    <x v="3"/>
    <s v="FERNANDO LEONY (CO/NO/NE)"/>
    <n v="73"/>
    <x v="1"/>
    <s v="ICIPE - BRASÍLIA - DF - 10.942.995/0001-63"/>
    <n v="160"/>
  </r>
  <r>
    <x v="0"/>
    <x v="2"/>
    <x v="0"/>
    <n v="11859927000106"/>
    <x v="441"/>
    <s v="BRASÍLIA"/>
    <s v="DF"/>
    <x v="3"/>
    <s v="FERNANDO LEONY (CO/NO/NE)"/>
    <n v="73"/>
    <x v="1"/>
    <s v="INSTITUTO DE CANCER DE BRASILIA LTDA - BRASÍLIA - DF - 11.859.927/0001-06"/>
    <n v="45"/>
  </r>
  <r>
    <x v="0"/>
    <x v="2"/>
    <x v="0"/>
    <n v="16739984000167"/>
    <x v="442"/>
    <s v="BRASÍLIA"/>
    <s v="DF"/>
    <x v="3"/>
    <s v="FERNANDO LEONY (CO/NO/NE)"/>
    <n v="73"/>
    <x v="1"/>
    <s v="PRIME HOME CARE - BRASÍLIA - DF - 16.739.984/0001-67"/>
    <n v="36"/>
  </r>
  <r>
    <x v="0"/>
    <x v="2"/>
    <x v="0"/>
    <n v="29435005004620"/>
    <x v="444"/>
    <s v="BRASÍLIA"/>
    <s v="DF"/>
    <x v="3"/>
    <s v="FERNANDO LEONY (CO/NO/NE)"/>
    <n v="62"/>
    <x v="3"/>
    <s v="HOSPITAL ALVORADA DE BRASILIA - BRASÍLIA - DF - 29.435.005/0046-20"/>
    <n v="1"/>
  </r>
  <r>
    <x v="0"/>
    <x v="2"/>
    <x v="0"/>
    <n v="29435005004620"/>
    <x v="444"/>
    <s v="BRASÍLIA"/>
    <s v="DF"/>
    <x v="3"/>
    <s v="FERNANDO LEONY (CO/NO/NE)"/>
    <n v="64"/>
    <x v="2"/>
    <s v="HOSPITAL ALVORADA DE BRASILIA - BRASÍLIA - DF - 29.435.005/0046-20"/>
    <n v="15"/>
  </r>
  <r>
    <x v="0"/>
    <x v="2"/>
    <x v="0"/>
    <n v="29435005004620"/>
    <x v="444"/>
    <s v="BRASÍLIA"/>
    <s v="DF"/>
    <x v="3"/>
    <s v="FERNANDO LEONY (CO/NO/NE)"/>
    <n v="70"/>
    <x v="0"/>
    <s v="HOSPITAL ALVORADA DE BRASILIA - BRASÍLIA - DF - 29.435.005/0046-20"/>
    <n v="145"/>
  </r>
  <r>
    <x v="0"/>
    <x v="2"/>
    <x v="0"/>
    <n v="30135335000188"/>
    <x v="453"/>
    <s v="BRASÍLIA"/>
    <s v="DF"/>
    <x v="3"/>
    <s v="FERNANDO LEONY (CO/NO/NE)"/>
    <n v="70"/>
    <x v="0"/>
    <s v="CLINICA DE NEUROLOGIA E NEUROINFUSAO DE BRASILIA - BRASÍLIA - DF - 30.135.335/0001-88"/>
    <n v="455"/>
  </r>
  <r>
    <x v="0"/>
    <x v="2"/>
    <x v="0"/>
    <n v="37108388000159"/>
    <x v="446"/>
    <s v="BRASÍLIA"/>
    <s v="DF"/>
    <x v="3"/>
    <s v="FERNANDO LEONY (CO/NO/NE)"/>
    <n v="62"/>
    <x v="3"/>
    <s v="HOME - BRASÍLIA - DF - 37.108.388/0001-59"/>
    <n v="15"/>
  </r>
  <r>
    <x v="0"/>
    <x v="2"/>
    <x v="0"/>
    <n v="37108388000159"/>
    <x v="446"/>
    <s v="BRASÍLIA"/>
    <s v="DF"/>
    <x v="3"/>
    <s v="FERNANDO LEONY (CO/NO/NE)"/>
    <n v="64"/>
    <x v="2"/>
    <s v="HOME - BRASÍLIA - DF - 37.108.388/0001-59"/>
    <n v="30"/>
  </r>
  <r>
    <x v="0"/>
    <x v="2"/>
    <x v="0"/>
    <n v="38000485000196"/>
    <x v="447"/>
    <s v="BRASÍLIA"/>
    <s v="DF"/>
    <x v="3"/>
    <s v="FERNANDO LEONY (CO/NO/NE)"/>
    <n v="62"/>
    <x v="3"/>
    <s v="HOSPITAL MARIA AUXILIADORA - BRASÍLIA - DF - 38.000.485/0001-96"/>
    <n v="9"/>
  </r>
  <r>
    <x v="0"/>
    <x v="2"/>
    <x v="0"/>
    <n v="60884855001983"/>
    <x v="455"/>
    <s v="BRASÍLIA"/>
    <s v="DF"/>
    <x v="3"/>
    <s v="FERNANDO LEONY (CO/NO/NE)"/>
    <n v="62"/>
    <x v="3"/>
    <s v="MATERNIDADE BRASILIA - BRASÍLIA - DF - 60.884.855/0019-83"/>
    <n v="1"/>
  </r>
  <r>
    <x v="0"/>
    <x v="2"/>
    <x v="0"/>
    <n v="60884855002289"/>
    <x v="449"/>
    <s v="BRASÍLIA"/>
    <s v="DF"/>
    <x v="3"/>
    <s v="FERNANDO LEONY (CO/NO/NE)"/>
    <n v="62"/>
    <x v="3"/>
    <s v="HOSPITAL BRASILIA - BRASÍLIA - DF - 60.884.855/0022-89"/>
    <n v="38"/>
  </r>
  <r>
    <x v="0"/>
    <x v="2"/>
    <x v="0"/>
    <n v="60884855002289"/>
    <x v="449"/>
    <s v="BRASÍLIA"/>
    <s v="DF"/>
    <x v="3"/>
    <s v="FERNANDO LEONY (CO/NO/NE)"/>
    <n v="64"/>
    <x v="2"/>
    <s v="HOSPITAL BRASILIA - BRASÍLIA - DF - 60.884.855/0022-89"/>
    <n v="61"/>
  </r>
  <r>
    <x v="0"/>
    <x v="2"/>
    <x v="0"/>
    <n v="60884855002289"/>
    <x v="449"/>
    <s v="BRASÍLIA"/>
    <s v="DF"/>
    <x v="3"/>
    <s v="FERNANDO LEONY (CO/NO/NE)"/>
    <n v="70"/>
    <x v="0"/>
    <s v="HOSPITAL BRASILIA - BRASÍLIA - DF - 60.884.855/0022-89"/>
    <n v="650"/>
  </r>
  <r>
    <x v="0"/>
    <x v="2"/>
    <x v="0"/>
    <n v="61590410001287"/>
    <x v="451"/>
    <s v="BRASÍLIA"/>
    <s v="DF"/>
    <x v="3"/>
    <s v="FERNANDO LEONY (CO/NO/NE)"/>
    <n v="70"/>
    <x v="0"/>
    <s v="UNIDADE BRASILIA IV - BRASÍLIA - DF - 61.590.410/0012-87"/>
    <n v="170"/>
  </r>
  <r>
    <x v="0"/>
    <x v="3"/>
    <x v="1"/>
    <n v="25841000153"/>
    <x v="429"/>
    <s v="BRASÍLIA"/>
    <s v="DF"/>
    <x v="3"/>
    <s v="FERNANDO LEONY (CO/NO/NE)"/>
    <n v="62"/>
    <x v="3"/>
    <s v="SANTA LUCIA - BRASÍLIA - DF - 00.025.841/0001-53"/>
    <n v="9"/>
  </r>
  <r>
    <x v="0"/>
    <x v="3"/>
    <x v="1"/>
    <n v="25841000153"/>
    <x v="429"/>
    <s v="BRASÍLIA"/>
    <s v="DF"/>
    <x v="3"/>
    <s v="FERNANDO LEONY (CO/NO/NE)"/>
    <n v="64"/>
    <x v="2"/>
    <s v="SANTA LUCIA - BRASÍLIA - DF - 00.025.841/0001-53"/>
    <n v="5"/>
  </r>
  <r>
    <x v="0"/>
    <x v="3"/>
    <x v="1"/>
    <n v="49791000144"/>
    <x v="428"/>
    <s v="BRASÍLIA"/>
    <s v="DF"/>
    <x v="3"/>
    <s v="FERNANDO LEONY (CO/NO/NE)"/>
    <n v="64"/>
    <x v="2"/>
    <s v="HOSPITAL SANTA HELENA (REDE DOR) - BRASÍLIA - DF - 00.049.791/0001-44"/>
    <n v="3"/>
  </r>
  <r>
    <x v="0"/>
    <x v="3"/>
    <x v="1"/>
    <n v="382069000127"/>
    <x v="456"/>
    <s v="BRASÍLIA"/>
    <s v="DF"/>
    <x v="3"/>
    <s v="FERNANDO LEONY (CO/NO/NE)"/>
    <n v="62"/>
    <x v="3"/>
    <s v="HOSPITAL DAHER LAGO SUL S/A - BRASÍLIA - DF - 00.382.069/0001-27"/>
    <n v="2"/>
  </r>
  <r>
    <x v="0"/>
    <x v="3"/>
    <x v="1"/>
    <n v="382069000127"/>
    <x v="456"/>
    <s v="BRASÍLIA"/>
    <s v="DF"/>
    <x v="3"/>
    <s v="FERNANDO LEONY (CO/NO/NE)"/>
    <n v="64"/>
    <x v="2"/>
    <s v="HOSPITAL DAHER LAGO SUL S/A - BRASÍLIA - DF - 00.382.069/0001-27"/>
    <n v="4"/>
  </r>
  <r>
    <x v="0"/>
    <x v="3"/>
    <x v="1"/>
    <n v="382069000127"/>
    <x v="456"/>
    <s v="BRASÍLIA"/>
    <s v="DF"/>
    <x v="3"/>
    <s v="FERNANDO LEONY (CO/NO/NE)"/>
    <n v="70"/>
    <x v="0"/>
    <s v="HOSPITAL DAHER LAGO SUL S/A - BRASÍLIA - DF - 00.382.069/0001-27"/>
    <n v="0"/>
  </r>
  <r>
    <x v="0"/>
    <x v="3"/>
    <x v="1"/>
    <n v="520237000101"/>
    <x v="431"/>
    <s v="BRASÍLIA"/>
    <s v="DF"/>
    <x v="3"/>
    <s v="FERNANDO LEONY (CO/NO/NE)"/>
    <n v="70"/>
    <x v="0"/>
    <s v="CETTRO - CENTRO DE CANCER DE BRASILIA - BRASÍLIA - DF - 00.520.237/0001-01"/>
    <n v="450"/>
  </r>
  <r>
    <x v="0"/>
    <x v="3"/>
    <x v="1"/>
    <n v="520237000101"/>
    <x v="431"/>
    <s v="BRASÍLIA"/>
    <s v="DF"/>
    <x v="3"/>
    <s v="FERNANDO LEONY (CO/NO/NE)"/>
    <n v="73"/>
    <x v="1"/>
    <s v="CETTRO - CENTRO DE CANCER DE BRASILIA - BRASÍLIA - DF - 00.520.237/0001-01"/>
    <n v="240"/>
  </r>
  <r>
    <x v="0"/>
    <x v="3"/>
    <x v="1"/>
    <n v="610980000144"/>
    <x v="432"/>
    <s v="BRASÍLIA"/>
    <s v="DF"/>
    <x v="3"/>
    <s v="FERNANDO LEONY (CO/NO/NE)"/>
    <n v="64"/>
    <x v="2"/>
    <s v="HOSPITAL SANTA MARTA LTDA - BRASÍLIA - DF - 00.610.980/0001-44"/>
    <n v="22"/>
  </r>
  <r>
    <x v="0"/>
    <x v="3"/>
    <x v="1"/>
    <n v="610980000144"/>
    <x v="432"/>
    <s v="BRASÍLIA"/>
    <s v="DF"/>
    <x v="3"/>
    <s v="FERNANDO LEONY (CO/NO/NE)"/>
    <n v="70"/>
    <x v="0"/>
    <s v="HOSPITAL SANTA MARTA LTDA - BRASÍLIA - DF - 00.610.980/0001-44"/>
    <n v="50"/>
  </r>
  <r>
    <x v="0"/>
    <x v="3"/>
    <x v="1"/>
    <n v="2560878000107"/>
    <x v="434"/>
    <s v="BRASÍLIA"/>
    <s v="DF"/>
    <x v="3"/>
    <s v="FERNANDO LEONY (CO/NO/NE)"/>
    <n v="64"/>
    <x v="2"/>
    <s v="HOSPITAL ANCHIETA LTDA - BRASÍLIA - DF - 02.560.878/0001-07"/>
    <n v="9"/>
  </r>
  <r>
    <x v="0"/>
    <x v="3"/>
    <x v="1"/>
    <n v="2560878000107"/>
    <x v="434"/>
    <s v="BRASÍLIA"/>
    <s v="DF"/>
    <x v="3"/>
    <s v="FERNANDO LEONY (CO/NO/NE)"/>
    <n v="70"/>
    <x v="0"/>
    <s v="HOSPITAL ANCHIETA LTDA - BRASÍLIA - DF - 02.560.878/0001-07"/>
    <n v="65"/>
  </r>
  <r>
    <x v="0"/>
    <x v="3"/>
    <x v="1"/>
    <n v="3568867000136"/>
    <x v="457"/>
    <s v="BRASÍLIA"/>
    <s v="DF"/>
    <x v="3"/>
    <s v="FERNANDO LEONY (CO/NO/NE)"/>
    <n v="70"/>
    <x v="0"/>
    <s v="HOSPITAL DAS FORCAS ARMADAS - BRASÍLIA - DF - 03.568.867/0001-36"/>
    <n v="430"/>
  </r>
  <r>
    <x v="0"/>
    <x v="3"/>
    <x v="1"/>
    <n v="6047087004126"/>
    <x v="437"/>
    <s v="BRASÍLIA"/>
    <s v="DF"/>
    <x v="3"/>
    <s v="FERNANDO LEONY (CO/NO/NE)"/>
    <n v="64"/>
    <x v="2"/>
    <s v="HOSPITAL SANTA LUZIA (REDE DOR) - BRASÍLIA - DF - 06.047.087/0041-26"/>
    <n v="6"/>
  </r>
  <r>
    <x v="0"/>
    <x v="3"/>
    <x v="1"/>
    <n v="6047087004207"/>
    <x v="438"/>
    <s v="BRASÍLIA"/>
    <s v="DF"/>
    <x v="3"/>
    <s v="FERNANDO LEONY (CO/NO/NE)"/>
    <n v="62"/>
    <x v="3"/>
    <s v="HOSPITAL DO CORACAO DO BRASIL (REDE DOR) - BRASÍLIA - DF - 06.047.087/0042-07"/>
    <n v="5"/>
  </r>
  <r>
    <x v="0"/>
    <x v="3"/>
    <x v="1"/>
    <n v="6047087004207"/>
    <x v="438"/>
    <s v="BRASÍLIA"/>
    <s v="DF"/>
    <x v="3"/>
    <s v="FERNANDO LEONY (CO/NO/NE)"/>
    <n v="64"/>
    <x v="2"/>
    <s v="HOSPITAL DO CORACAO DO BRASIL (REDE DOR) - BRASÍLIA - DF - 06.047.087/0042-07"/>
    <n v="17"/>
  </r>
  <r>
    <x v="0"/>
    <x v="3"/>
    <x v="1"/>
    <n v="9104513000974"/>
    <x v="440"/>
    <s v="BRASÍLIA"/>
    <s v="DF"/>
    <x v="3"/>
    <s v="FERNANDO LEONY (CO/NO/NE)"/>
    <n v="70"/>
    <x v="0"/>
    <s v="ALIANCA INSTITUTO DE ONCOLOGIA - BRASÍLIA - DF - 09.104.513/0009-74"/>
    <n v="365"/>
  </r>
  <r>
    <x v="0"/>
    <x v="3"/>
    <x v="1"/>
    <n v="10942995000163"/>
    <x v="445"/>
    <s v="BRASÍLIA"/>
    <s v="DF"/>
    <x v="3"/>
    <s v="FERNANDO LEONY (CO/NO/NE)"/>
    <n v="70"/>
    <x v="0"/>
    <s v="ICIPE - BRASÍLIA - DF - 10.942.995/0001-63"/>
    <n v="350"/>
  </r>
  <r>
    <x v="0"/>
    <x v="3"/>
    <x v="1"/>
    <n v="10942995000163"/>
    <x v="445"/>
    <s v="BRASÍLIA"/>
    <s v="DF"/>
    <x v="3"/>
    <s v="FERNANDO LEONY (CO/NO/NE)"/>
    <n v="73"/>
    <x v="1"/>
    <s v="ICIPE - BRASÍLIA - DF - 10.942.995/0001-63"/>
    <n v="120"/>
  </r>
  <r>
    <x v="0"/>
    <x v="3"/>
    <x v="1"/>
    <n v="11859927000106"/>
    <x v="441"/>
    <s v="BRASÍLIA"/>
    <s v="DF"/>
    <x v="3"/>
    <s v="FERNANDO LEONY (CO/NO/NE)"/>
    <n v="73"/>
    <x v="1"/>
    <s v="INSTITUTO DE CANCER DE BRASILIA LTDA - BRASÍLIA - DF - 11.859.927/0001-06"/>
    <n v="48"/>
  </r>
  <r>
    <x v="0"/>
    <x v="3"/>
    <x v="1"/>
    <n v="16739984000167"/>
    <x v="442"/>
    <s v="BRASÍLIA"/>
    <s v="DF"/>
    <x v="3"/>
    <s v="FERNANDO LEONY (CO/NO/NE)"/>
    <n v="73"/>
    <x v="1"/>
    <s v="PRIME HOME CARE - BRASÍLIA - DF - 16.739.984/0001-67"/>
    <n v="42"/>
  </r>
  <r>
    <x v="0"/>
    <x v="3"/>
    <x v="1"/>
    <n v="29435005004620"/>
    <x v="444"/>
    <s v="BRASÍLIA"/>
    <s v="DF"/>
    <x v="3"/>
    <s v="FERNANDO LEONY (CO/NO/NE)"/>
    <n v="62"/>
    <x v="3"/>
    <s v="HOSPITAL ALVORADA DE BRASILIA - BRASÍLIA - DF - 29.435.005/0046-20"/>
    <n v="2"/>
  </r>
  <r>
    <x v="0"/>
    <x v="3"/>
    <x v="1"/>
    <n v="37108388000159"/>
    <x v="446"/>
    <s v="BRASÍLIA"/>
    <s v="DF"/>
    <x v="3"/>
    <s v="FERNANDO LEONY (CO/NO/NE)"/>
    <n v="64"/>
    <x v="2"/>
    <s v="HOME - BRASÍLIA - DF - 37.108.388/0001-59"/>
    <n v="20"/>
  </r>
  <r>
    <x v="0"/>
    <x v="3"/>
    <x v="1"/>
    <n v="38000485000196"/>
    <x v="447"/>
    <s v="BRASÍLIA"/>
    <s v="DF"/>
    <x v="3"/>
    <s v="FERNANDO LEONY (CO/NO/NE)"/>
    <n v="64"/>
    <x v="2"/>
    <s v="HOSPITAL MARIA AUXILIADORA - BRASÍLIA - DF - 38.000.485/0001-96"/>
    <n v="5"/>
  </r>
  <r>
    <x v="0"/>
    <x v="3"/>
    <x v="1"/>
    <n v="60884855002289"/>
    <x v="449"/>
    <s v="BRASÍLIA"/>
    <s v="DF"/>
    <x v="3"/>
    <s v="FERNANDO LEONY (CO/NO/NE)"/>
    <n v="62"/>
    <x v="3"/>
    <s v="HOSPITAL BRASILIA - BRASÍLIA - DF - 60.884.855/0022-89"/>
    <n v="20"/>
  </r>
  <r>
    <x v="0"/>
    <x v="3"/>
    <x v="1"/>
    <n v="60884855002289"/>
    <x v="449"/>
    <s v="BRASÍLIA"/>
    <s v="DF"/>
    <x v="3"/>
    <s v="FERNANDO LEONY (CO/NO/NE)"/>
    <n v="64"/>
    <x v="2"/>
    <s v="HOSPITAL BRASILIA - BRASÍLIA - DF - 60.884.855/0022-89"/>
    <n v="21"/>
  </r>
  <r>
    <x v="0"/>
    <x v="3"/>
    <x v="1"/>
    <n v="60884855002289"/>
    <x v="449"/>
    <s v="BRASÍLIA"/>
    <s v="DF"/>
    <x v="3"/>
    <s v="FERNANDO LEONY (CO/NO/NE)"/>
    <n v="70"/>
    <x v="0"/>
    <s v="HOSPITAL BRASILIA - BRASÍLIA - DF - 60.884.855/0022-89"/>
    <n v="675"/>
  </r>
  <r>
    <x v="0"/>
    <x v="3"/>
    <x v="1"/>
    <n v="61590410000558"/>
    <x v="450"/>
    <s v="BRASÍLIA"/>
    <s v="DF"/>
    <x v="3"/>
    <s v="FERNANDO LEONY (CO/NO/NE)"/>
    <n v="73"/>
    <x v="1"/>
    <s v="HSL UNIDADE BRASILIA - BRASÍLIA - DF - 61.590.410/0005-58"/>
    <n v="16"/>
  </r>
  <r>
    <x v="0"/>
    <x v="4"/>
    <x v="1"/>
    <n v="382069000127"/>
    <x v="456"/>
    <s v="BRASÍLIA"/>
    <s v="DF"/>
    <x v="3"/>
    <s v="FERNANDO LEONY (CO/NO/NE)"/>
    <n v="62"/>
    <x v="3"/>
    <s v="HOSPITAL DAHER LAGO SUL S/A - BRASÍLIA - DF - 00.382.069/0001-27"/>
    <n v="6"/>
  </r>
  <r>
    <x v="0"/>
    <x v="4"/>
    <x v="1"/>
    <n v="382069000127"/>
    <x v="456"/>
    <s v="BRASÍLIA"/>
    <s v="DF"/>
    <x v="3"/>
    <s v="FERNANDO LEONY (CO/NO/NE)"/>
    <n v="64"/>
    <x v="2"/>
    <s v="HOSPITAL DAHER LAGO SUL S/A - BRASÍLIA - DF - 00.382.069/0001-27"/>
    <n v="9"/>
  </r>
  <r>
    <x v="0"/>
    <x v="4"/>
    <x v="1"/>
    <n v="382069000127"/>
    <x v="456"/>
    <s v="BRASÍLIA"/>
    <s v="DF"/>
    <x v="3"/>
    <s v="FERNANDO LEONY (CO/NO/NE)"/>
    <n v="70"/>
    <x v="0"/>
    <s v="HOSPITAL DAHER LAGO SUL S/A - BRASÍLIA - DF - 00.382.069/0001-27"/>
    <n v="100"/>
  </r>
  <r>
    <x v="0"/>
    <x v="4"/>
    <x v="1"/>
    <n v="511816000180"/>
    <x v="430"/>
    <s v="BRASÍLIA"/>
    <s v="DF"/>
    <x v="3"/>
    <s v="FERNANDO LEONY (CO/NO/NE)"/>
    <n v="64"/>
    <x v="2"/>
    <s v="PRONTONORTE - BRASÍLIA - DF - 00.511.816/0001-80"/>
    <n v="4"/>
  </r>
  <r>
    <x v="0"/>
    <x v="4"/>
    <x v="1"/>
    <n v="520237000101"/>
    <x v="431"/>
    <s v="BRASÍLIA"/>
    <s v="DF"/>
    <x v="3"/>
    <s v="FERNANDO LEONY (CO/NO/NE)"/>
    <n v="70"/>
    <x v="0"/>
    <s v="CETTRO - CENTRO DE CANCER DE BRASILIA - BRASÍLIA - DF - 00.520.237/0001-01"/>
    <n v="550"/>
  </r>
  <r>
    <x v="0"/>
    <x v="4"/>
    <x v="1"/>
    <n v="520237000101"/>
    <x v="431"/>
    <s v="BRASÍLIA"/>
    <s v="DF"/>
    <x v="3"/>
    <s v="FERNANDO LEONY (CO/NO/NE)"/>
    <n v="73"/>
    <x v="1"/>
    <s v="CETTRO - CENTRO DE CANCER DE BRASILIA - BRASÍLIA - DF - 00.520.237/0001-01"/>
    <n v="86"/>
  </r>
  <r>
    <x v="0"/>
    <x v="4"/>
    <x v="1"/>
    <n v="610980000144"/>
    <x v="432"/>
    <s v="BRASÍLIA"/>
    <s v="DF"/>
    <x v="3"/>
    <s v="FERNANDO LEONY (CO/NO/NE)"/>
    <n v="62"/>
    <x v="3"/>
    <s v="HOSPITAL SANTA MARTA LTDA - BRASÍLIA - DF - 00.610.980/0001-44"/>
    <n v="2"/>
  </r>
  <r>
    <x v="0"/>
    <x v="4"/>
    <x v="1"/>
    <n v="610980000144"/>
    <x v="432"/>
    <s v="BRASÍLIA"/>
    <s v="DF"/>
    <x v="3"/>
    <s v="FERNANDO LEONY (CO/NO/NE)"/>
    <n v="64"/>
    <x v="2"/>
    <s v="HOSPITAL SANTA MARTA LTDA - BRASÍLIA - DF - 00.610.980/0001-44"/>
    <n v="7"/>
  </r>
  <r>
    <x v="0"/>
    <x v="4"/>
    <x v="1"/>
    <n v="610980000144"/>
    <x v="432"/>
    <s v="BRASÍLIA"/>
    <s v="DF"/>
    <x v="3"/>
    <s v="FERNANDO LEONY (CO/NO/NE)"/>
    <n v="70"/>
    <x v="0"/>
    <s v="HOSPITAL SANTA MARTA LTDA - BRASÍLIA - DF - 00.610.980/0001-44"/>
    <n v="50"/>
  </r>
  <r>
    <x v="0"/>
    <x v="4"/>
    <x v="1"/>
    <n v="1682668000129"/>
    <x v="433"/>
    <s v="BRASÍLIA"/>
    <s v="DF"/>
    <x v="3"/>
    <s v="FERNANDO LEONY (CO/NO/NE)"/>
    <n v="70"/>
    <x v="0"/>
    <s v="ONCO VIDA - BRASÍLIA - DF - 01.682.668/0001-29"/>
    <n v="25"/>
  </r>
  <r>
    <x v="0"/>
    <x v="4"/>
    <x v="1"/>
    <n v="2560878000107"/>
    <x v="434"/>
    <s v="BRASÍLIA"/>
    <s v="DF"/>
    <x v="3"/>
    <s v="FERNANDO LEONY (CO/NO/NE)"/>
    <n v="62"/>
    <x v="3"/>
    <s v="HOSPITAL ANCHIETA LTDA - BRASÍLIA - DF - 02.560.878/0001-07"/>
    <n v="6"/>
  </r>
  <r>
    <x v="0"/>
    <x v="4"/>
    <x v="1"/>
    <n v="2560878000107"/>
    <x v="434"/>
    <s v="BRASÍLIA"/>
    <s v="DF"/>
    <x v="3"/>
    <s v="FERNANDO LEONY (CO/NO/NE)"/>
    <n v="64"/>
    <x v="2"/>
    <s v="HOSPITAL ANCHIETA LTDA - BRASÍLIA - DF - 02.560.878/0001-07"/>
    <n v="12"/>
  </r>
  <r>
    <x v="0"/>
    <x v="4"/>
    <x v="1"/>
    <n v="2560878000107"/>
    <x v="434"/>
    <s v="BRASÍLIA"/>
    <s v="DF"/>
    <x v="3"/>
    <s v="FERNANDO LEONY (CO/NO/NE)"/>
    <n v="70"/>
    <x v="0"/>
    <s v="HOSPITAL ANCHIETA LTDA - BRASÍLIA - DF - 02.560.878/0001-07"/>
    <n v="55"/>
  </r>
  <r>
    <x v="0"/>
    <x v="4"/>
    <x v="1"/>
    <n v="6047087004207"/>
    <x v="438"/>
    <s v="BRASÍLIA"/>
    <s v="DF"/>
    <x v="3"/>
    <s v="FERNANDO LEONY (CO/NO/NE)"/>
    <n v="64"/>
    <x v="2"/>
    <s v="HOSPITAL DO CORACAO DO BRASIL (REDE DOR) - BRASÍLIA - DF - 06.047.087/0042-07"/>
    <n v="4"/>
  </r>
  <r>
    <x v="0"/>
    <x v="4"/>
    <x v="1"/>
    <n v="9104513000974"/>
    <x v="440"/>
    <s v="BRASÍLIA"/>
    <s v="DF"/>
    <x v="3"/>
    <s v="FERNANDO LEONY (CO/NO/NE)"/>
    <n v="70"/>
    <x v="0"/>
    <s v="ALIANCA INSTITUTO DE ONCOLOGIA - BRASÍLIA - DF - 09.104.513/0009-74"/>
    <n v="570"/>
  </r>
  <r>
    <x v="0"/>
    <x v="4"/>
    <x v="1"/>
    <n v="10942995000163"/>
    <x v="445"/>
    <s v="BRASÍLIA"/>
    <s v="DF"/>
    <x v="3"/>
    <s v="FERNANDO LEONY (CO/NO/NE)"/>
    <n v="70"/>
    <x v="0"/>
    <s v="ICIPE - BRASÍLIA - DF - 10.942.995/0001-63"/>
    <n v="850"/>
  </r>
  <r>
    <x v="0"/>
    <x v="4"/>
    <x v="1"/>
    <n v="10942995000163"/>
    <x v="445"/>
    <s v="BRASÍLIA"/>
    <s v="DF"/>
    <x v="3"/>
    <s v="FERNANDO LEONY (CO/NO/NE)"/>
    <n v="73"/>
    <x v="1"/>
    <s v="ICIPE - BRASÍLIA - DF - 10.942.995/0001-63"/>
    <n v="200"/>
  </r>
  <r>
    <x v="0"/>
    <x v="4"/>
    <x v="1"/>
    <n v="11859927000106"/>
    <x v="441"/>
    <s v="BRASÍLIA"/>
    <s v="DF"/>
    <x v="3"/>
    <s v="FERNANDO LEONY (CO/NO/NE)"/>
    <n v="73"/>
    <x v="1"/>
    <s v="INSTITUTO DE CANCER DE BRASILIA LTDA - BRASÍLIA - DF - 11.859.927/0001-06"/>
    <n v="34"/>
  </r>
  <r>
    <x v="0"/>
    <x v="4"/>
    <x v="1"/>
    <n v="16739984000167"/>
    <x v="442"/>
    <s v="BRASÍLIA"/>
    <s v="DF"/>
    <x v="3"/>
    <s v="FERNANDO LEONY (CO/NO/NE)"/>
    <n v="73"/>
    <x v="1"/>
    <s v="PRIME HOME CARE - BRASÍLIA - DF - 16.739.984/0001-67"/>
    <n v="18"/>
  </r>
  <r>
    <x v="0"/>
    <x v="4"/>
    <x v="1"/>
    <n v="30135335000188"/>
    <x v="453"/>
    <s v="BRASÍLIA"/>
    <s v="DF"/>
    <x v="3"/>
    <s v="FERNANDO LEONY (CO/NO/NE)"/>
    <n v="70"/>
    <x v="0"/>
    <s v="CLINICA DE NEUROLOGIA E NEUROINFUSAO DE BRASILIA - BRASÍLIA - DF - 30.135.335/0001-88"/>
    <n v="745"/>
  </r>
  <r>
    <x v="0"/>
    <x v="4"/>
    <x v="1"/>
    <n v="60884855002289"/>
    <x v="449"/>
    <s v="BRASÍLIA"/>
    <s v="DF"/>
    <x v="3"/>
    <s v="FERNANDO LEONY (CO/NO/NE)"/>
    <n v="62"/>
    <x v="3"/>
    <s v="HOSPITAL BRASILIA - BRASÍLIA - DF - 60.884.855/0022-89"/>
    <n v="19"/>
  </r>
  <r>
    <x v="0"/>
    <x v="4"/>
    <x v="1"/>
    <n v="60884855002289"/>
    <x v="449"/>
    <s v="BRASÍLIA"/>
    <s v="DF"/>
    <x v="3"/>
    <s v="FERNANDO LEONY (CO/NO/NE)"/>
    <n v="64"/>
    <x v="2"/>
    <s v="HOSPITAL BRASILIA - BRASÍLIA - DF - 60.884.855/0022-89"/>
    <n v="28"/>
  </r>
  <r>
    <x v="0"/>
    <x v="4"/>
    <x v="1"/>
    <n v="60884855002289"/>
    <x v="449"/>
    <s v="BRASÍLIA"/>
    <s v="DF"/>
    <x v="3"/>
    <s v="FERNANDO LEONY (CO/NO/NE)"/>
    <n v="70"/>
    <x v="0"/>
    <s v="HOSPITAL BRASILIA - BRASÍLIA - DF - 60.884.855/0022-89"/>
    <n v="75"/>
  </r>
  <r>
    <x v="0"/>
    <x v="4"/>
    <x v="1"/>
    <n v="72576143000157"/>
    <x v="458"/>
    <s v="BRASÍLIA"/>
    <s v="DF"/>
    <x v="3"/>
    <s v="FERNANDO LEONY (CO/NO/NE)"/>
    <n v="64"/>
    <x v="2"/>
    <s v="HOSPITAL SAO FRANSCISCO - BRASÍLIA - DF - 72.576.143/0001-57"/>
    <n v="20"/>
  </r>
  <r>
    <x v="0"/>
    <x v="5"/>
    <x v="1"/>
    <n v="25841000153"/>
    <x v="429"/>
    <s v="BRASÍLIA"/>
    <s v="DF"/>
    <x v="3"/>
    <s v="FERNANDO LEONY (CO/NO/NE)"/>
    <n v="64"/>
    <x v="2"/>
    <s v="SANTA LUCIA - BRASÍLIA - DF - 00.025.841/0001-53"/>
    <n v="24"/>
  </r>
  <r>
    <x v="0"/>
    <x v="5"/>
    <x v="1"/>
    <n v="511816000180"/>
    <x v="430"/>
    <s v="BRASÍLIA"/>
    <s v="DF"/>
    <x v="3"/>
    <s v="FERNANDO LEONY (CO/NO/NE)"/>
    <n v="64"/>
    <x v="2"/>
    <s v="PRONTONORTE - BRASÍLIA - DF - 00.511.816/0001-80"/>
    <n v="3"/>
  </r>
  <r>
    <x v="0"/>
    <x v="5"/>
    <x v="1"/>
    <n v="520237000101"/>
    <x v="431"/>
    <s v="BRASÍLIA"/>
    <s v="DF"/>
    <x v="3"/>
    <s v="FERNANDO LEONY (CO/NO/NE)"/>
    <n v="70"/>
    <x v="0"/>
    <s v="CETTRO - CENTRO DE CANCER DE BRASILIA - BRASÍLIA - DF - 00.520.237/0001-01"/>
    <n v="660"/>
  </r>
  <r>
    <x v="0"/>
    <x v="5"/>
    <x v="1"/>
    <n v="520237000101"/>
    <x v="431"/>
    <s v="BRASÍLIA"/>
    <s v="DF"/>
    <x v="3"/>
    <s v="FERNANDO LEONY (CO/NO/NE)"/>
    <n v="73"/>
    <x v="1"/>
    <s v="CETTRO - CENTRO DE CANCER DE BRASILIA - BRASÍLIA - DF - 00.520.237/0001-01"/>
    <n v="167"/>
  </r>
  <r>
    <x v="0"/>
    <x v="5"/>
    <x v="1"/>
    <n v="2560878000107"/>
    <x v="434"/>
    <s v="BRASÍLIA"/>
    <s v="DF"/>
    <x v="3"/>
    <s v="FERNANDO LEONY (CO/NO/NE)"/>
    <n v="62"/>
    <x v="3"/>
    <s v="HOSPITAL ANCHIETA LTDA - BRASÍLIA - DF - 02.560.878/0001-07"/>
    <n v="10"/>
  </r>
  <r>
    <x v="0"/>
    <x v="5"/>
    <x v="1"/>
    <n v="2560878000107"/>
    <x v="434"/>
    <s v="BRASÍLIA"/>
    <s v="DF"/>
    <x v="3"/>
    <s v="FERNANDO LEONY (CO/NO/NE)"/>
    <n v="64"/>
    <x v="2"/>
    <s v="HOSPITAL ANCHIETA LTDA - BRASÍLIA - DF - 02.560.878/0001-07"/>
    <n v="18"/>
  </r>
  <r>
    <x v="0"/>
    <x v="5"/>
    <x v="1"/>
    <n v="2560878000107"/>
    <x v="434"/>
    <s v="BRASÍLIA"/>
    <s v="DF"/>
    <x v="3"/>
    <s v="FERNANDO LEONY (CO/NO/NE)"/>
    <n v="70"/>
    <x v="0"/>
    <s v="HOSPITAL ANCHIETA LTDA - BRASÍLIA - DF - 02.560.878/0001-07"/>
    <n v="175"/>
  </r>
  <r>
    <x v="0"/>
    <x v="5"/>
    <x v="1"/>
    <n v="3989821000190"/>
    <x v="435"/>
    <s v="BRASÍLIA"/>
    <s v="DF"/>
    <x v="3"/>
    <s v="FERNANDO LEONY (CO/NO/NE)"/>
    <n v="70"/>
    <x v="0"/>
    <s v="GRUPO ACREDITAR - BRASÍLIA - DF - 03.989.821/0001-90"/>
    <n v="45"/>
  </r>
  <r>
    <x v="0"/>
    <x v="5"/>
    <x v="1"/>
    <n v="6047087004207"/>
    <x v="438"/>
    <s v="BRASÍLIA"/>
    <s v="DF"/>
    <x v="3"/>
    <s v="FERNANDO LEONY (CO/NO/NE)"/>
    <n v="62"/>
    <x v="3"/>
    <s v="HOSPITAL DO CORACAO DO BRASIL (REDE DOR) - BRASÍLIA - DF - 06.047.087/0042-07"/>
    <n v="11"/>
  </r>
  <r>
    <x v="0"/>
    <x v="5"/>
    <x v="1"/>
    <n v="6047087004207"/>
    <x v="438"/>
    <s v="BRASÍLIA"/>
    <s v="DF"/>
    <x v="3"/>
    <s v="FERNANDO LEONY (CO/NO/NE)"/>
    <n v="64"/>
    <x v="2"/>
    <s v="HOSPITAL DO CORACAO DO BRASIL (REDE DOR) - BRASÍLIA - DF - 06.047.087/0042-07"/>
    <n v="34"/>
  </r>
  <r>
    <x v="0"/>
    <x v="5"/>
    <x v="1"/>
    <n v="9104513000974"/>
    <x v="440"/>
    <s v="BRASÍLIA"/>
    <s v="DF"/>
    <x v="3"/>
    <s v="FERNANDO LEONY (CO/NO/NE)"/>
    <n v="70"/>
    <x v="0"/>
    <s v="ALIANCA INSTITUTO DE ONCOLOGIA - BRASÍLIA - DF - 09.104.513/0009-74"/>
    <n v="610"/>
  </r>
  <r>
    <x v="0"/>
    <x v="5"/>
    <x v="1"/>
    <n v="9104513000974"/>
    <x v="440"/>
    <s v="BRASÍLIA"/>
    <s v="DF"/>
    <x v="3"/>
    <s v="FERNANDO LEONY (CO/NO/NE)"/>
    <n v="73"/>
    <x v="1"/>
    <s v="ALIANCA INSTITUTO DE ONCOLOGIA - BRASÍLIA - DF - 09.104.513/0009-74"/>
    <n v="2"/>
  </r>
  <r>
    <x v="0"/>
    <x v="5"/>
    <x v="1"/>
    <n v="10942995000163"/>
    <x v="445"/>
    <s v="BRASÍLIA"/>
    <s v="DF"/>
    <x v="3"/>
    <s v="FERNANDO LEONY (CO/NO/NE)"/>
    <n v="70"/>
    <x v="0"/>
    <s v="ICIPE - BRASÍLIA - DF - 10.942.995/0001-63"/>
    <n v="500"/>
  </r>
  <r>
    <x v="0"/>
    <x v="5"/>
    <x v="1"/>
    <n v="10942995000163"/>
    <x v="445"/>
    <s v="BRASÍLIA"/>
    <s v="DF"/>
    <x v="3"/>
    <s v="FERNANDO LEONY (CO/NO/NE)"/>
    <n v="73"/>
    <x v="1"/>
    <s v="ICIPE - BRASÍLIA - DF - 10.942.995/0001-63"/>
    <n v="80"/>
  </r>
  <r>
    <x v="0"/>
    <x v="5"/>
    <x v="1"/>
    <n v="11859927000106"/>
    <x v="441"/>
    <s v="BRASÍLIA"/>
    <s v="DF"/>
    <x v="3"/>
    <s v="FERNANDO LEONY (CO/NO/NE)"/>
    <n v="73"/>
    <x v="1"/>
    <s v="INSTITUTO DE CANCER DE BRASILIA LTDA - BRASÍLIA - DF - 11.859.927/0001-06"/>
    <n v="43"/>
  </r>
  <r>
    <x v="0"/>
    <x v="5"/>
    <x v="1"/>
    <n v="16739984000167"/>
    <x v="442"/>
    <s v="BRASÍLIA"/>
    <s v="DF"/>
    <x v="3"/>
    <s v="FERNANDO LEONY (CO/NO/NE)"/>
    <n v="73"/>
    <x v="1"/>
    <s v="PRIME HOME CARE - BRASÍLIA - DF - 16.739.984/0001-67"/>
    <n v="48"/>
  </r>
  <r>
    <x v="0"/>
    <x v="5"/>
    <x v="1"/>
    <n v="29435005004620"/>
    <x v="444"/>
    <s v="BRASÍLIA"/>
    <s v="DF"/>
    <x v="3"/>
    <s v="FERNANDO LEONY (CO/NO/NE)"/>
    <n v="62"/>
    <x v="3"/>
    <s v="HOSPITAL ALVORADA DE BRASILIA - BRASÍLIA - DF - 29.435.005/0046-20"/>
    <n v="3"/>
  </r>
  <r>
    <x v="0"/>
    <x v="5"/>
    <x v="1"/>
    <n v="30135335000188"/>
    <x v="453"/>
    <s v="BRASÍLIA"/>
    <s v="DF"/>
    <x v="3"/>
    <s v="FERNANDO LEONY (CO/NO/NE)"/>
    <n v="70"/>
    <x v="0"/>
    <s v="CLINICA DE NEUROLOGIA E NEUROINFUSAO DE BRASILIA - BRASÍLIA - DF - 30.135.335/0001-88"/>
    <n v="100"/>
  </r>
  <r>
    <x v="0"/>
    <x v="5"/>
    <x v="1"/>
    <n v="37108388000159"/>
    <x v="446"/>
    <s v="BRASÍLIA"/>
    <s v="DF"/>
    <x v="3"/>
    <s v="FERNANDO LEONY (CO/NO/NE)"/>
    <n v="62"/>
    <x v="3"/>
    <s v="HOME - BRASÍLIA - DF - 37.108.388/0001-59"/>
    <n v="4"/>
  </r>
  <r>
    <x v="0"/>
    <x v="5"/>
    <x v="1"/>
    <n v="37108388000159"/>
    <x v="446"/>
    <s v="BRASÍLIA"/>
    <s v="DF"/>
    <x v="3"/>
    <s v="FERNANDO LEONY (CO/NO/NE)"/>
    <n v="64"/>
    <x v="2"/>
    <s v="HOME - BRASÍLIA - DF - 37.108.388/0001-59"/>
    <n v="17"/>
  </r>
  <r>
    <x v="0"/>
    <x v="5"/>
    <x v="1"/>
    <n v="38000485000196"/>
    <x v="447"/>
    <s v="BRASÍLIA"/>
    <s v="DF"/>
    <x v="3"/>
    <s v="FERNANDO LEONY (CO/NO/NE)"/>
    <n v="64"/>
    <x v="2"/>
    <s v="HOSPITAL MARIA AUXILIADORA - BRASÍLIA - DF - 38.000.485/0001-96"/>
    <n v="7"/>
  </r>
  <r>
    <x v="0"/>
    <x v="5"/>
    <x v="1"/>
    <n v="60884855002289"/>
    <x v="449"/>
    <s v="BRASÍLIA"/>
    <s v="DF"/>
    <x v="3"/>
    <s v="FERNANDO LEONY (CO/NO/NE)"/>
    <n v="62"/>
    <x v="3"/>
    <s v="HOSPITAL BRASILIA - BRASÍLIA - DF - 60.884.855/0022-89"/>
    <n v="10"/>
  </r>
  <r>
    <x v="0"/>
    <x v="5"/>
    <x v="1"/>
    <n v="60884855002289"/>
    <x v="449"/>
    <s v="BRASÍLIA"/>
    <s v="DF"/>
    <x v="3"/>
    <s v="FERNANDO LEONY (CO/NO/NE)"/>
    <n v="64"/>
    <x v="2"/>
    <s v="HOSPITAL BRASILIA - BRASÍLIA - DF - 60.884.855/0022-89"/>
    <n v="5"/>
  </r>
  <r>
    <x v="0"/>
    <x v="5"/>
    <x v="1"/>
    <n v="60884855002289"/>
    <x v="449"/>
    <s v="BRASÍLIA"/>
    <s v="DF"/>
    <x v="3"/>
    <s v="FERNANDO LEONY (CO/NO/NE)"/>
    <n v="70"/>
    <x v="0"/>
    <s v="HOSPITAL BRASILIA - BRASÍLIA - DF - 60.884.855/0022-89"/>
    <n v="370"/>
  </r>
  <r>
    <x v="0"/>
    <x v="5"/>
    <x v="1"/>
    <n v="61590410000558"/>
    <x v="450"/>
    <s v="BRASÍLIA"/>
    <s v="DF"/>
    <x v="3"/>
    <s v="FERNANDO LEONY (CO/NO/NE)"/>
    <n v="73"/>
    <x v="1"/>
    <s v="HSL UNIDADE BRASILIA - BRASÍLIA - DF - 61.590.410/0005-58"/>
    <n v="16"/>
  </r>
  <r>
    <x v="0"/>
    <x v="5"/>
    <x v="1"/>
    <n v="61590410001287"/>
    <x v="451"/>
    <s v="BRASÍLIA"/>
    <s v="DF"/>
    <x v="3"/>
    <s v="FERNANDO LEONY (CO/NO/NE)"/>
    <n v="62"/>
    <x v="3"/>
    <s v="UNIDADE BRASILIA IV - BRASÍLIA - DF - 61.590.410/0012-87"/>
    <n v="3"/>
  </r>
  <r>
    <x v="0"/>
    <x v="5"/>
    <x v="1"/>
    <n v="61590410001287"/>
    <x v="451"/>
    <s v="BRASÍLIA"/>
    <s v="DF"/>
    <x v="3"/>
    <s v="FERNANDO LEONY (CO/NO/NE)"/>
    <n v="70"/>
    <x v="0"/>
    <s v="UNIDADE BRASILIA IV - BRASÍLIA - DF - 61.590.410/0012-87"/>
    <n v="1300"/>
  </r>
  <r>
    <x v="0"/>
    <x v="5"/>
    <x v="1"/>
    <n v="72576143000157"/>
    <x v="458"/>
    <s v="BRASÍLIA"/>
    <s v="DF"/>
    <x v="3"/>
    <s v="FERNANDO LEONY (CO/NO/NE)"/>
    <n v="64"/>
    <x v="2"/>
    <s v="HOSPITAL SAO FRANSCISCO - BRASÍLIA - DF - 72.576.143/0001-57"/>
    <n v="5"/>
  </r>
  <r>
    <x v="0"/>
    <x v="6"/>
    <x v="2"/>
    <n v="25841000153"/>
    <x v="429"/>
    <s v="BRASÍLIA"/>
    <s v="DF"/>
    <x v="3"/>
    <s v="FERNANDO LEONY (CO/NO/NE)"/>
    <n v="70"/>
    <x v="0"/>
    <s v="SANTA LUCIA - BRASÍLIA - DF - 00.025.841/0001-53"/>
    <n v="120"/>
  </r>
  <r>
    <x v="0"/>
    <x v="6"/>
    <x v="2"/>
    <n v="49791000144"/>
    <x v="428"/>
    <s v="BRASÍLIA"/>
    <s v="DF"/>
    <x v="3"/>
    <s v="FERNANDO LEONY (CO/NO/NE)"/>
    <n v="62"/>
    <x v="3"/>
    <s v="HOSPITAL SANTA HELENA (REDE DOR) - BRASÍLIA - DF - 00.049.791/0001-44"/>
    <n v="3"/>
  </r>
  <r>
    <x v="0"/>
    <x v="6"/>
    <x v="2"/>
    <n v="49791000144"/>
    <x v="428"/>
    <s v="BRASÍLIA"/>
    <s v="DF"/>
    <x v="3"/>
    <s v="FERNANDO LEONY (CO/NO/NE)"/>
    <n v="64"/>
    <x v="2"/>
    <s v="HOSPITAL SANTA HELENA (REDE DOR) - BRASÍLIA - DF - 00.049.791/0001-44"/>
    <n v="3"/>
  </r>
  <r>
    <x v="0"/>
    <x v="6"/>
    <x v="2"/>
    <n v="520237000101"/>
    <x v="431"/>
    <s v="BRASÍLIA"/>
    <s v="DF"/>
    <x v="3"/>
    <s v="FERNANDO LEONY (CO/NO/NE)"/>
    <n v="70"/>
    <x v="0"/>
    <s v="CETTRO - CENTRO DE CANCER DE BRASILIA - BRASÍLIA - DF - 00.520.237/0001-01"/>
    <n v="800"/>
  </r>
  <r>
    <x v="0"/>
    <x v="6"/>
    <x v="2"/>
    <n v="520237000101"/>
    <x v="431"/>
    <s v="BRASÍLIA"/>
    <s v="DF"/>
    <x v="3"/>
    <s v="FERNANDO LEONY (CO/NO/NE)"/>
    <n v="73"/>
    <x v="1"/>
    <s v="CETTRO - CENTRO DE CANCER DE BRASILIA - BRASÍLIA - DF - 00.520.237/0001-01"/>
    <n v="163"/>
  </r>
  <r>
    <x v="0"/>
    <x v="6"/>
    <x v="2"/>
    <n v="610980000144"/>
    <x v="432"/>
    <s v="BRASÍLIA"/>
    <s v="DF"/>
    <x v="3"/>
    <s v="FERNANDO LEONY (CO/NO/NE)"/>
    <n v="70"/>
    <x v="0"/>
    <s v="HOSPITAL SANTA MARTA LTDA - BRASÍLIA - DF - 00.610.980/0001-44"/>
    <n v="300"/>
  </r>
  <r>
    <x v="0"/>
    <x v="6"/>
    <x v="2"/>
    <n v="2560878000107"/>
    <x v="434"/>
    <s v="BRASÍLIA"/>
    <s v="DF"/>
    <x v="3"/>
    <s v="FERNANDO LEONY (CO/NO/NE)"/>
    <n v="64"/>
    <x v="2"/>
    <s v="HOSPITAL ANCHIETA LTDA - BRASÍLIA - DF - 02.560.878/0001-07"/>
    <n v="5"/>
  </r>
  <r>
    <x v="0"/>
    <x v="6"/>
    <x v="2"/>
    <n v="2560878000107"/>
    <x v="434"/>
    <s v="BRASÍLIA"/>
    <s v="DF"/>
    <x v="3"/>
    <s v="FERNANDO LEONY (CO/NO/NE)"/>
    <n v="70"/>
    <x v="0"/>
    <s v="HOSPITAL ANCHIETA LTDA - BRASÍLIA - DF - 02.560.878/0001-07"/>
    <n v="790"/>
  </r>
  <r>
    <x v="0"/>
    <x v="6"/>
    <x v="2"/>
    <n v="3989821000190"/>
    <x v="435"/>
    <s v="BRASÍLIA"/>
    <s v="DF"/>
    <x v="3"/>
    <s v="FERNANDO LEONY (CO/NO/NE)"/>
    <n v="70"/>
    <x v="0"/>
    <s v="GRUPO ACREDITAR - BRASÍLIA - DF - 03.989.821/0001-90"/>
    <n v="75"/>
  </r>
  <r>
    <x v="0"/>
    <x v="6"/>
    <x v="2"/>
    <n v="6047087004207"/>
    <x v="438"/>
    <s v="BRASÍLIA"/>
    <s v="DF"/>
    <x v="3"/>
    <s v="FERNANDO LEONY (CO/NO/NE)"/>
    <n v="62"/>
    <x v="3"/>
    <s v="HOSPITAL DO CORACAO DO BRASIL (REDE DOR) - BRASÍLIA - DF - 06.047.087/0042-07"/>
    <n v="4"/>
  </r>
  <r>
    <x v="0"/>
    <x v="6"/>
    <x v="2"/>
    <n v="6047087004207"/>
    <x v="438"/>
    <s v="BRASÍLIA"/>
    <s v="DF"/>
    <x v="3"/>
    <s v="FERNANDO LEONY (CO/NO/NE)"/>
    <n v="64"/>
    <x v="2"/>
    <s v="HOSPITAL DO CORACAO DO BRASIL (REDE DOR) - BRASÍLIA - DF - 06.047.087/0042-07"/>
    <n v="18"/>
  </r>
  <r>
    <x v="0"/>
    <x v="6"/>
    <x v="2"/>
    <n v="9104513000974"/>
    <x v="440"/>
    <s v="BRASÍLIA"/>
    <s v="DF"/>
    <x v="3"/>
    <s v="FERNANDO LEONY (CO/NO/NE)"/>
    <n v="70"/>
    <x v="0"/>
    <s v="ALIANCA INSTITUTO DE ONCOLOGIA - BRASÍLIA - DF - 09.104.513/0009-74"/>
    <n v="765"/>
  </r>
  <r>
    <x v="0"/>
    <x v="6"/>
    <x v="2"/>
    <n v="10942995000163"/>
    <x v="445"/>
    <s v="BRASÍLIA"/>
    <s v="DF"/>
    <x v="3"/>
    <s v="FERNANDO LEONY (CO/NO/NE)"/>
    <n v="70"/>
    <x v="0"/>
    <s v="ICIPE - BRASÍLIA - DF - 10.942.995/0001-63"/>
    <n v="1215"/>
  </r>
  <r>
    <x v="0"/>
    <x v="6"/>
    <x v="2"/>
    <n v="11859927000106"/>
    <x v="441"/>
    <s v="BRASÍLIA"/>
    <s v="DF"/>
    <x v="3"/>
    <s v="FERNANDO LEONY (CO/NO/NE)"/>
    <n v="73"/>
    <x v="1"/>
    <s v="INSTITUTO DE CANCER DE BRASILIA LTDA - BRASÍLIA - DF - 11.859.927/0001-06"/>
    <n v="49"/>
  </r>
  <r>
    <x v="0"/>
    <x v="6"/>
    <x v="2"/>
    <n v="16739984000167"/>
    <x v="442"/>
    <s v="BRASÍLIA"/>
    <s v="DF"/>
    <x v="3"/>
    <s v="FERNANDO LEONY (CO/NO/NE)"/>
    <n v="73"/>
    <x v="1"/>
    <s v="PRIME HOME CARE - BRASÍLIA - DF - 16.739.984/0001-67"/>
    <n v="36"/>
  </r>
  <r>
    <x v="0"/>
    <x v="6"/>
    <x v="2"/>
    <n v="29435005004620"/>
    <x v="444"/>
    <s v="BRASÍLIA"/>
    <s v="DF"/>
    <x v="3"/>
    <s v="FERNANDO LEONY (CO/NO/NE)"/>
    <n v="64"/>
    <x v="2"/>
    <s v="HOSPITAL ALVORADA DE BRASILIA - BRASÍLIA - DF - 29.435.005/0046-20"/>
    <n v="20"/>
  </r>
  <r>
    <x v="0"/>
    <x v="6"/>
    <x v="2"/>
    <n v="30135335000188"/>
    <x v="453"/>
    <s v="BRASÍLIA"/>
    <s v="DF"/>
    <x v="3"/>
    <s v="FERNANDO LEONY (CO/NO/NE)"/>
    <n v="70"/>
    <x v="0"/>
    <s v="CLINICA DE NEUROLOGIA E NEUROINFUSAO DE BRASILIA - BRASÍLIA - DF - 30.135.335/0001-88"/>
    <n v="425"/>
  </r>
  <r>
    <x v="0"/>
    <x v="6"/>
    <x v="2"/>
    <n v="37108388000159"/>
    <x v="446"/>
    <s v="BRASÍLIA"/>
    <s v="DF"/>
    <x v="3"/>
    <s v="FERNANDO LEONY (CO/NO/NE)"/>
    <n v="62"/>
    <x v="3"/>
    <s v="HOME - BRASÍLIA - DF - 37.108.388/0001-59"/>
    <n v="6"/>
  </r>
  <r>
    <x v="0"/>
    <x v="6"/>
    <x v="2"/>
    <n v="37108388000159"/>
    <x v="446"/>
    <s v="BRASÍLIA"/>
    <s v="DF"/>
    <x v="3"/>
    <s v="FERNANDO LEONY (CO/NO/NE)"/>
    <n v="70"/>
    <x v="0"/>
    <s v="HOME - BRASÍLIA - DF - 37.108.388/0001-59"/>
    <n v="30"/>
  </r>
  <r>
    <x v="0"/>
    <x v="6"/>
    <x v="2"/>
    <n v="60884855001983"/>
    <x v="455"/>
    <s v="BRASÍLIA"/>
    <s v="DF"/>
    <x v="3"/>
    <s v="FERNANDO LEONY (CO/NO/NE)"/>
    <n v="62"/>
    <x v="3"/>
    <s v="MATERNIDADE BRASILIA - BRASÍLIA - DF - 60.884.855/0019-83"/>
    <n v="3"/>
  </r>
  <r>
    <x v="0"/>
    <x v="6"/>
    <x v="2"/>
    <n v="60884855001983"/>
    <x v="455"/>
    <s v="BRASÍLIA"/>
    <s v="DF"/>
    <x v="3"/>
    <s v="FERNANDO LEONY (CO/NO/NE)"/>
    <n v="64"/>
    <x v="2"/>
    <s v="MATERNIDADE BRASILIA - BRASÍLIA - DF - 60.884.855/0019-83"/>
    <n v="2"/>
  </r>
  <r>
    <x v="0"/>
    <x v="6"/>
    <x v="2"/>
    <n v="60884855002289"/>
    <x v="449"/>
    <s v="BRASÍLIA"/>
    <s v="DF"/>
    <x v="3"/>
    <s v="FERNANDO LEONY (CO/NO/NE)"/>
    <n v="62"/>
    <x v="3"/>
    <s v="HOSPITAL BRASILIA - BRASÍLIA - DF - 60.884.855/0022-89"/>
    <n v="8"/>
  </r>
  <r>
    <x v="0"/>
    <x v="6"/>
    <x v="2"/>
    <n v="60884855002289"/>
    <x v="449"/>
    <s v="BRASÍLIA"/>
    <s v="DF"/>
    <x v="3"/>
    <s v="FERNANDO LEONY (CO/NO/NE)"/>
    <n v="64"/>
    <x v="2"/>
    <s v="HOSPITAL BRASILIA - BRASÍLIA - DF - 60.884.855/0022-89"/>
    <n v="65"/>
  </r>
  <r>
    <x v="0"/>
    <x v="6"/>
    <x v="2"/>
    <n v="60884855002289"/>
    <x v="449"/>
    <s v="BRASÍLIA"/>
    <s v="DF"/>
    <x v="3"/>
    <s v="FERNANDO LEONY (CO/NO/NE)"/>
    <n v="70"/>
    <x v="0"/>
    <s v="HOSPITAL BRASILIA - BRASÍLIA - DF - 60.884.855/0022-89"/>
    <n v="500"/>
  </r>
  <r>
    <x v="0"/>
    <x v="6"/>
    <x v="2"/>
    <n v="61590410001287"/>
    <x v="451"/>
    <s v="BRASÍLIA"/>
    <s v="DF"/>
    <x v="3"/>
    <s v="FERNANDO LEONY (CO/NO/NE)"/>
    <n v="62"/>
    <x v="3"/>
    <s v="UNIDADE BRASILIA IV - BRASÍLIA - DF - 61.590.410/0012-87"/>
    <n v="8"/>
  </r>
  <r>
    <x v="0"/>
    <x v="1"/>
    <x v="0"/>
    <n v="82854246004"/>
    <x v="459"/>
    <s v="PORTO ALEGRE"/>
    <s v="RS"/>
    <x v="4"/>
    <s v="RAFAEL ESTEVES (RJ/SPI/SUL)"/>
    <n v="73"/>
    <x v="1"/>
    <s v="HENRIQUE WALCHER NOGUEIRA - PORTO ALEGRE - RS - 828.542.460-04"/>
    <n v="64"/>
  </r>
  <r>
    <x v="0"/>
    <x v="0"/>
    <x v="0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8"/>
  </r>
  <r>
    <x v="0"/>
    <x v="1"/>
    <x v="0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10"/>
  </r>
  <r>
    <x v="0"/>
    <x v="0"/>
    <x v="0"/>
    <n v="26947257000149"/>
    <x v="461"/>
    <s v="PORTO ALEGRE"/>
    <s v="RS"/>
    <x v="4"/>
    <s v="RAFAEL ESTEVES (RJ/SPI/SUL)"/>
    <n v="62"/>
    <x v="3"/>
    <s v="HOSPITAL BDW - PORTO ALEGRE - RS - 26.947.257/0001-49"/>
    <n v="6"/>
  </r>
  <r>
    <x v="0"/>
    <x v="0"/>
    <x v="0"/>
    <n v="87020517000120"/>
    <x v="462"/>
    <s v="PORTO ALEGRE"/>
    <s v="RS"/>
    <x v="4"/>
    <s v="RAFAEL ESTEVES (RJ/SPI/SUL)"/>
    <n v="62"/>
    <x v="3"/>
    <s v="HOSPITAL DE CLINICAS - PORTO ALEGRE - RS - 87.020.517/0001-20"/>
    <n v="25"/>
  </r>
  <r>
    <x v="0"/>
    <x v="0"/>
    <x v="0"/>
    <n v="87020517000120"/>
    <x v="462"/>
    <s v="PORTO ALEGRE"/>
    <s v="RS"/>
    <x v="4"/>
    <s v="RAFAEL ESTEVES (RJ/SPI/SUL)"/>
    <n v="64"/>
    <x v="2"/>
    <s v="HOSPITAL DE CLINICAS - PORTO ALEGRE - RS - 87.020.517/0001-20"/>
    <n v="10"/>
  </r>
  <r>
    <x v="0"/>
    <x v="0"/>
    <x v="0"/>
    <n v="87958625000149"/>
    <x v="463"/>
    <s v="PORTO ALEGRE"/>
    <s v="RS"/>
    <x v="4"/>
    <s v="RAFAEL ESTEVES (RJ/SPI/SUL)"/>
    <n v="66"/>
    <x v="4"/>
    <s v="RS SSA GABINETE DO SECRETARIO - PORTO ALEGRE - RS - 87.958.625/0001-49"/>
    <n v="12"/>
  </r>
  <r>
    <x v="0"/>
    <x v="0"/>
    <x v="0"/>
    <n v="88625686002443"/>
    <x v="464"/>
    <s v="PORTO ALEGRE"/>
    <s v="RS"/>
    <x v="4"/>
    <s v="RAFAEL ESTEVES (RJ/SPI/SUL)"/>
    <n v="62"/>
    <x v="3"/>
    <s v="HOSPITAL MAE DE DEUS - PORTO ALEGRE - RS - 88.625.686/0024-43"/>
    <n v="5"/>
  </r>
  <r>
    <x v="0"/>
    <x v="0"/>
    <x v="0"/>
    <n v="88625686002443"/>
    <x v="464"/>
    <s v="PORTO ALEGRE"/>
    <s v="RS"/>
    <x v="4"/>
    <s v="RAFAEL ESTEVES (RJ/SPI/SUL)"/>
    <n v="64"/>
    <x v="2"/>
    <s v="HOSPITAL MAE DE DEUS - PORTO ALEGRE - RS - 88.625.686/0024-43"/>
    <n v="24"/>
  </r>
  <r>
    <x v="0"/>
    <x v="0"/>
    <x v="0"/>
    <n v="88630413000796"/>
    <x v="465"/>
    <s v="PORTO ALEGRE"/>
    <s v="RS"/>
    <x v="4"/>
    <s v="RAFAEL ESTEVES (RJ/SPI/SUL)"/>
    <n v="62"/>
    <x v="3"/>
    <s v="HOSPITAL SAO LUCAS DA PUCRS - PORTO ALEGRE - RS - 88.630.413/0007-96"/>
    <n v="14"/>
  </r>
  <r>
    <x v="0"/>
    <x v="0"/>
    <x v="0"/>
    <n v="88630413000796"/>
    <x v="465"/>
    <s v="PORTO ALEGRE"/>
    <s v="RS"/>
    <x v="4"/>
    <s v="RAFAEL ESTEVES (RJ/SPI/SUL)"/>
    <n v="64"/>
    <x v="2"/>
    <s v="HOSPITAL SAO LUCAS DA PUCRS - PORTO ALEGRE - RS - 88.630.413/0007-96"/>
    <n v="6"/>
  </r>
  <r>
    <x v="0"/>
    <x v="0"/>
    <x v="0"/>
    <n v="92685833000151"/>
    <x v="466"/>
    <s v="PORTO ALEGRE"/>
    <s v="RS"/>
    <x v="4"/>
    <s v="RAFAEL ESTEVES (RJ/SPI/SUL)"/>
    <n v="62"/>
    <x v="3"/>
    <s v="ASSOCIACAO HOSPITALAR MOINHOS DE VENTO - PORTO ALEGRE - RS - 92.685.833/0001-51"/>
    <n v="40"/>
  </r>
  <r>
    <x v="0"/>
    <x v="0"/>
    <x v="0"/>
    <n v="92685833000151"/>
    <x v="466"/>
    <s v="PORTO ALEGRE"/>
    <s v="RS"/>
    <x v="4"/>
    <s v="RAFAEL ESTEVES (RJ/SPI/SUL)"/>
    <n v="64"/>
    <x v="2"/>
    <s v="ASSOCIACAO HOSPITALAR MOINHOS DE VENTO - PORTO ALEGRE - RS - 92.685.833/0001-51"/>
    <n v="16"/>
  </r>
  <r>
    <x v="0"/>
    <x v="0"/>
    <x v="0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4"/>
  </r>
  <r>
    <x v="0"/>
    <x v="0"/>
    <x v="0"/>
    <n v="92741016000254"/>
    <x v="467"/>
    <s v="PORTO ALEGRE"/>
    <s v="RS"/>
    <x v="4"/>
    <s v="RAFAEL ESTEVES (RJ/SPI/SUL)"/>
    <n v="64"/>
    <x v="2"/>
    <s v="HOSPITAL ERNESTO DORNELLES - PORTO ALEGRE - RS - 92.741.016/0002-54"/>
    <n v="5"/>
  </r>
  <r>
    <x v="0"/>
    <x v="0"/>
    <x v="0"/>
    <n v="92787118000391"/>
    <x v="468"/>
    <s v="PORTO ALEGRE"/>
    <s v="RS"/>
    <x v="4"/>
    <s v="RAFAEL ESTEVES (RJ/SPI/SUL)"/>
    <n v="64"/>
    <x v="2"/>
    <s v="HOSPITAL CRISTO REDENTOR - PORTO ALEGRE - RS - 92.787.118/0003-91"/>
    <n v="12"/>
  </r>
  <r>
    <x v="0"/>
    <x v="0"/>
    <x v="0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62"/>
  </r>
  <r>
    <x v="0"/>
    <x v="0"/>
    <x v="0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8"/>
  </r>
  <r>
    <x v="0"/>
    <x v="0"/>
    <x v="0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38"/>
  </r>
  <r>
    <x v="0"/>
    <x v="0"/>
    <x v="0"/>
    <n v="92898550000198"/>
    <x v="470"/>
    <s v="PORTO ALEGRE"/>
    <s v="RS"/>
    <x v="4"/>
    <s v="RAFAEL ESTEVES (RJ/SPI/SUL)"/>
    <n v="64"/>
    <x v="2"/>
    <s v="FUNDACAO UNIVERSITARIA DE CARDIOLOGIA - PORTO ALEGRE - RS - 92.898.550/0001-98"/>
    <n v="14"/>
  </r>
  <r>
    <x v="0"/>
    <x v="1"/>
    <x v="0"/>
    <n v="87020517000120"/>
    <x v="462"/>
    <s v="PORTO ALEGRE"/>
    <s v="RS"/>
    <x v="4"/>
    <s v="RAFAEL ESTEVES (RJ/SPI/SUL)"/>
    <n v="62"/>
    <x v="3"/>
    <s v="HOSPITAL DE CLINICAS - PORTO ALEGRE - RS - 87.020.517/0001-20"/>
    <n v="30"/>
  </r>
  <r>
    <x v="0"/>
    <x v="1"/>
    <x v="0"/>
    <n v="87020517000120"/>
    <x v="462"/>
    <s v="PORTO ALEGRE"/>
    <s v="RS"/>
    <x v="4"/>
    <s v="RAFAEL ESTEVES (RJ/SPI/SUL)"/>
    <n v="64"/>
    <x v="2"/>
    <s v="HOSPITAL DE CLINICAS - PORTO ALEGRE - RS - 87.020.517/0001-20"/>
    <n v="8"/>
  </r>
  <r>
    <x v="0"/>
    <x v="1"/>
    <x v="0"/>
    <n v="87317764001084"/>
    <x v="471"/>
    <s v="PORTO ALEGRE"/>
    <s v="RS"/>
    <x v="4"/>
    <s v="RAFAEL ESTEVES (RJ/SPI/SUL)"/>
    <n v="62"/>
    <x v="3"/>
    <s v="HOSPITAL DIVINA PROVIDENCIA - PORTO ALEGRE - RS - 87.317.764/0010-84"/>
    <n v="4"/>
  </r>
  <r>
    <x v="0"/>
    <x v="1"/>
    <x v="0"/>
    <n v="88625686002443"/>
    <x v="464"/>
    <s v="PORTO ALEGRE"/>
    <s v="RS"/>
    <x v="4"/>
    <s v="RAFAEL ESTEVES (RJ/SPI/SUL)"/>
    <n v="64"/>
    <x v="2"/>
    <s v="HOSPITAL MAE DE DEUS - PORTO ALEGRE - RS - 88.625.686/0024-43"/>
    <n v="10"/>
  </r>
  <r>
    <x v="0"/>
    <x v="1"/>
    <x v="0"/>
    <n v="88630413000796"/>
    <x v="465"/>
    <s v="PORTO ALEGRE"/>
    <s v="RS"/>
    <x v="4"/>
    <s v="RAFAEL ESTEVES (RJ/SPI/SUL)"/>
    <n v="62"/>
    <x v="3"/>
    <s v="HOSPITAL SAO LUCAS DA PUCRS - PORTO ALEGRE - RS - 88.630.413/0007-96"/>
    <n v="3"/>
  </r>
  <r>
    <x v="0"/>
    <x v="1"/>
    <x v="0"/>
    <n v="92685833000151"/>
    <x v="466"/>
    <s v="PORTO ALEGRE"/>
    <s v="RS"/>
    <x v="4"/>
    <s v="RAFAEL ESTEVES (RJ/SPI/SUL)"/>
    <n v="64"/>
    <x v="2"/>
    <s v="ASSOCIACAO HOSPITALAR MOINHOS DE VENTO - PORTO ALEGRE - RS - 92.685.833/0001-51"/>
    <n v="14"/>
  </r>
  <r>
    <x v="0"/>
    <x v="1"/>
    <x v="0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8"/>
  </r>
  <r>
    <x v="0"/>
    <x v="1"/>
    <x v="0"/>
    <n v="92741016000254"/>
    <x v="467"/>
    <s v="PORTO ALEGRE"/>
    <s v="RS"/>
    <x v="4"/>
    <s v="RAFAEL ESTEVES (RJ/SPI/SUL)"/>
    <n v="62"/>
    <x v="3"/>
    <s v="HOSPITAL ERNESTO DORNELLES - PORTO ALEGRE - RS - 92.741.016/0002-54"/>
    <n v="3"/>
  </r>
  <r>
    <x v="0"/>
    <x v="1"/>
    <x v="0"/>
    <n v="92741016000254"/>
    <x v="467"/>
    <s v="PORTO ALEGRE"/>
    <s v="RS"/>
    <x v="4"/>
    <s v="RAFAEL ESTEVES (RJ/SPI/SUL)"/>
    <n v="64"/>
    <x v="2"/>
    <s v="HOSPITAL ERNESTO DORNELLES - PORTO ALEGRE - RS - 92.741.016/0002-54"/>
    <n v="11"/>
  </r>
  <r>
    <x v="0"/>
    <x v="1"/>
    <x v="0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56"/>
  </r>
  <r>
    <x v="0"/>
    <x v="1"/>
    <x v="0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23"/>
  </r>
  <r>
    <x v="0"/>
    <x v="1"/>
    <x v="0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54"/>
  </r>
  <r>
    <x v="0"/>
    <x v="1"/>
    <x v="0"/>
    <n v="92898550000198"/>
    <x v="470"/>
    <s v="PORTO ALEGRE"/>
    <s v="RS"/>
    <x v="4"/>
    <s v="RAFAEL ESTEVES (RJ/SPI/SUL)"/>
    <n v="62"/>
    <x v="3"/>
    <s v="FUNDACAO UNIVERSITARIA DE CARDIOLOGIA - PORTO ALEGRE - RS - 92.898.550/0001-98"/>
    <n v="2"/>
  </r>
  <r>
    <x v="0"/>
    <x v="1"/>
    <x v="0"/>
    <n v="92963560000160"/>
    <x v="472"/>
    <s v="PORTO ALEGRE"/>
    <s v="RS"/>
    <x v="4"/>
    <s v="RAFAEL ESTEVES (RJ/SPI/SUL)"/>
    <n v="64"/>
    <x v="2"/>
    <s v="PMPA - PORTO ALEGRE - RS - 92.963.560/0001-60"/>
    <n v="20"/>
  </r>
  <r>
    <x v="0"/>
    <x v="2"/>
    <x v="0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8"/>
  </r>
  <r>
    <x v="0"/>
    <x v="2"/>
    <x v="0"/>
    <n v="87020517000120"/>
    <x v="462"/>
    <s v="PORTO ALEGRE"/>
    <s v="RS"/>
    <x v="4"/>
    <s v="RAFAEL ESTEVES (RJ/SPI/SUL)"/>
    <n v="62"/>
    <x v="3"/>
    <s v="HOSPITAL DE CLINICAS - PORTO ALEGRE - RS - 87.020.517/0001-20"/>
    <n v="15"/>
  </r>
  <r>
    <x v="0"/>
    <x v="2"/>
    <x v="0"/>
    <n v="87020517000120"/>
    <x v="462"/>
    <s v="PORTO ALEGRE"/>
    <s v="RS"/>
    <x v="4"/>
    <s v="RAFAEL ESTEVES (RJ/SPI/SUL)"/>
    <n v="64"/>
    <x v="2"/>
    <s v="HOSPITAL DE CLINICAS - PORTO ALEGRE - RS - 87.020.517/0001-20"/>
    <n v="12"/>
  </r>
  <r>
    <x v="0"/>
    <x v="2"/>
    <x v="0"/>
    <n v="88625686002443"/>
    <x v="464"/>
    <s v="PORTO ALEGRE"/>
    <s v="RS"/>
    <x v="4"/>
    <s v="RAFAEL ESTEVES (RJ/SPI/SUL)"/>
    <n v="62"/>
    <x v="3"/>
    <s v="HOSPITAL MAE DE DEUS - PORTO ALEGRE - RS - 88.625.686/0024-43"/>
    <n v="2"/>
  </r>
  <r>
    <x v="0"/>
    <x v="2"/>
    <x v="0"/>
    <n v="88625686002443"/>
    <x v="464"/>
    <s v="PORTO ALEGRE"/>
    <s v="RS"/>
    <x v="4"/>
    <s v="RAFAEL ESTEVES (RJ/SPI/SUL)"/>
    <n v="64"/>
    <x v="2"/>
    <s v="HOSPITAL MAE DE DEUS - PORTO ALEGRE - RS - 88.625.686/0024-43"/>
    <n v="19"/>
  </r>
  <r>
    <x v="0"/>
    <x v="2"/>
    <x v="0"/>
    <n v="92685833000151"/>
    <x v="466"/>
    <s v="PORTO ALEGRE"/>
    <s v="RS"/>
    <x v="4"/>
    <s v="RAFAEL ESTEVES (RJ/SPI/SUL)"/>
    <n v="64"/>
    <x v="2"/>
    <s v="ASSOCIACAO HOSPITALAR MOINHOS DE VENTO - PORTO ALEGRE - RS - 92.685.833/0001-51"/>
    <n v="32"/>
  </r>
  <r>
    <x v="0"/>
    <x v="2"/>
    <x v="0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8"/>
  </r>
  <r>
    <x v="0"/>
    <x v="2"/>
    <x v="0"/>
    <n v="92741016000254"/>
    <x v="467"/>
    <s v="PORTO ALEGRE"/>
    <s v="RS"/>
    <x v="4"/>
    <s v="RAFAEL ESTEVES (RJ/SPI/SUL)"/>
    <n v="62"/>
    <x v="3"/>
    <s v="HOSPITAL ERNESTO DORNELLES - PORTO ALEGRE - RS - 92.741.016/0002-54"/>
    <n v="2"/>
  </r>
  <r>
    <x v="0"/>
    <x v="2"/>
    <x v="0"/>
    <n v="92741016000254"/>
    <x v="467"/>
    <s v="PORTO ALEGRE"/>
    <s v="RS"/>
    <x v="4"/>
    <s v="RAFAEL ESTEVES (RJ/SPI/SUL)"/>
    <n v="64"/>
    <x v="2"/>
    <s v="HOSPITAL ERNESTO DORNELLES - PORTO ALEGRE - RS - 92.741.016/0002-54"/>
    <n v="9"/>
  </r>
  <r>
    <x v="0"/>
    <x v="2"/>
    <x v="0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61"/>
  </r>
  <r>
    <x v="0"/>
    <x v="2"/>
    <x v="0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25"/>
  </r>
  <r>
    <x v="0"/>
    <x v="2"/>
    <x v="0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28"/>
  </r>
  <r>
    <x v="0"/>
    <x v="2"/>
    <x v="0"/>
    <n v="92963560000160"/>
    <x v="472"/>
    <s v="PORTO ALEGRE"/>
    <s v="RS"/>
    <x v="4"/>
    <s v="RAFAEL ESTEVES (RJ/SPI/SUL)"/>
    <n v="62"/>
    <x v="3"/>
    <s v="PMPA - PORTO ALEGRE - RS - 92.963.560/0001-60"/>
    <n v="15"/>
  </r>
  <r>
    <x v="0"/>
    <x v="3"/>
    <x v="1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10"/>
  </r>
  <r>
    <x v="0"/>
    <x v="3"/>
    <x v="1"/>
    <n v="87020517000120"/>
    <x v="462"/>
    <s v="PORTO ALEGRE"/>
    <s v="RS"/>
    <x v="4"/>
    <s v="RAFAEL ESTEVES (RJ/SPI/SUL)"/>
    <n v="62"/>
    <x v="3"/>
    <s v="HOSPITAL DE CLINICAS - PORTO ALEGRE - RS - 87.020.517/0001-20"/>
    <n v="20"/>
  </r>
  <r>
    <x v="0"/>
    <x v="3"/>
    <x v="1"/>
    <n v="87020517000120"/>
    <x v="462"/>
    <s v="PORTO ALEGRE"/>
    <s v="RS"/>
    <x v="4"/>
    <s v="RAFAEL ESTEVES (RJ/SPI/SUL)"/>
    <n v="64"/>
    <x v="2"/>
    <s v="HOSPITAL DE CLINICAS - PORTO ALEGRE - RS - 87.020.517/0001-20"/>
    <n v="15"/>
  </r>
  <r>
    <x v="0"/>
    <x v="3"/>
    <x v="1"/>
    <n v="88625686002443"/>
    <x v="464"/>
    <s v="PORTO ALEGRE"/>
    <s v="RS"/>
    <x v="4"/>
    <s v="RAFAEL ESTEVES (RJ/SPI/SUL)"/>
    <n v="62"/>
    <x v="3"/>
    <s v="HOSPITAL MAE DE DEUS - PORTO ALEGRE - RS - 88.625.686/0024-43"/>
    <n v="8"/>
  </r>
  <r>
    <x v="0"/>
    <x v="3"/>
    <x v="1"/>
    <n v="88625686002443"/>
    <x v="464"/>
    <s v="PORTO ALEGRE"/>
    <s v="RS"/>
    <x v="4"/>
    <s v="RAFAEL ESTEVES (RJ/SPI/SUL)"/>
    <n v="64"/>
    <x v="2"/>
    <s v="HOSPITAL MAE DE DEUS - PORTO ALEGRE - RS - 88.625.686/0024-43"/>
    <n v="21"/>
  </r>
  <r>
    <x v="0"/>
    <x v="3"/>
    <x v="1"/>
    <n v="92685833000151"/>
    <x v="466"/>
    <s v="PORTO ALEGRE"/>
    <s v="RS"/>
    <x v="4"/>
    <s v="RAFAEL ESTEVES (RJ/SPI/SUL)"/>
    <n v="62"/>
    <x v="3"/>
    <s v="ASSOCIACAO HOSPITALAR MOINHOS DE VENTO - PORTO ALEGRE - RS - 92.685.833/0001-51"/>
    <n v="10"/>
  </r>
  <r>
    <x v="0"/>
    <x v="3"/>
    <x v="1"/>
    <n v="92685833000151"/>
    <x v="466"/>
    <s v="PORTO ALEGRE"/>
    <s v="RS"/>
    <x v="4"/>
    <s v="RAFAEL ESTEVES (RJ/SPI/SUL)"/>
    <n v="64"/>
    <x v="2"/>
    <s v="ASSOCIACAO HOSPITALAR MOINHOS DE VENTO - PORTO ALEGRE - RS - 92.685.833/0001-51"/>
    <n v="28"/>
  </r>
  <r>
    <x v="0"/>
    <x v="3"/>
    <x v="1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20"/>
  </r>
  <r>
    <x v="0"/>
    <x v="3"/>
    <x v="1"/>
    <n v="92741016000254"/>
    <x v="467"/>
    <s v="PORTO ALEGRE"/>
    <s v="RS"/>
    <x v="4"/>
    <s v="RAFAEL ESTEVES (RJ/SPI/SUL)"/>
    <n v="64"/>
    <x v="2"/>
    <s v="HOSPITAL ERNESTO DORNELLES - PORTO ALEGRE - RS - 92.741.016/0002-54"/>
    <n v="12"/>
  </r>
  <r>
    <x v="0"/>
    <x v="3"/>
    <x v="1"/>
    <n v="92787118000120"/>
    <x v="473"/>
    <s v="PORTO ALEGRE"/>
    <s v="RS"/>
    <x v="4"/>
    <s v="RAFAEL ESTEVES (RJ/SPI/SUL)"/>
    <n v="62"/>
    <x v="3"/>
    <s v="HOSPITAL NOSSA SENHORA DA CONCEICAO SA - PORTO ALEGRE - RS - 92.787.118/0001-20"/>
    <n v="2"/>
  </r>
  <r>
    <x v="0"/>
    <x v="3"/>
    <x v="1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62"/>
  </r>
  <r>
    <x v="0"/>
    <x v="3"/>
    <x v="1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20"/>
  </r>
  <r>
    <x v="0"/>
    <x v="3"/>
    <x v="1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45"/>
  </r>
  <r>
    <x v="0"/>
    <x v="3"/>
    <x v="1"/>
    <n v="92898550000198"/>
    <x v="470"/>
    <s v="PORTO ALEGRE"/>
    <s v="RS"/>
    <x v="4"/>
    <s v="RAFAEL ESTEVES (RJ/SPI/SUL)"/>
    <n v="62"/>
    <x v="3"/>
    <s v="FUNDACAO UNIVERSITARIA DE CARDIOLOGIA - PORTO ALEGRE - RS - 92.898.550/0001-98"/>
    <n v="3"/>
  </r>
  <r>
    <x v="0"/>
    <x v="3"/>
    <x v="1"/>
    <n v="92963560000160"/>
    <x v="472"/>
    <s v="PORTO ALEGRE"/>
    <s v="RS"/>
    <x v="4"/>
    <s v="RAFAEL ESTEVES (RJ/SPI/SUL)"/>
    <n v="62"/>
    <x v="3"/>
    <s v="PMPA - PORTO ALEGRE - RS - 92.963.560/0001-60"/>
    <n v="30"/>
  </r>
  <r>
    <x v="0"/>
    <x v="3"/>
    <x v="1"/>
    <n v="92963560000160"/>
    <x v="472"/>
    <s v="PORTO ALEGRE"/>
    <s v="RS"/>
    <x v="4"/>
    <s v="RAFAEL ESTEVES (RJ/SPI/SUL)"/>
    <n v="64"/>
    <x v="2"/>
    <s v="PMPA - PORTO ALEGRE - RS - 92.963.560/0001-60"/>
    <n v="20"/>
  </r>
  <r>
    <x v="0"/>
    <x v="4"/>
    <x v="1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8"/>
  </r>
  <r>
    <x v="0"/>
    <x v="4"/>
    <x v="1"/>
    <n v="87317764001084"/>
    <x v="471"/>
    <s v="PORTO ALEGRE"/>
    <s v="RS"/>
    <x v="4"/>
    <s v="RAFAEL ESTEVES (RJ/SPI/SUL)"/>
    <n v="64"/>
    <x v="2"/>
    <s v="HOSPITAL DIVINA PROVIDENCIA - PORTO ALEGRE - RS - 87.317.764/0010-84"/>
    <n v="1"/>
  </r>
  <r>
    <x v="0"/>
    <x v="4"/>
    <x v="1"/>
    <n v="88625686002443"/>
    <x v="464"/>
    <s v="PORTO ALEGRE"/>
    <s v="RS"/>
    <x v="4"/>
    <s v="RAFAEL ESTEVES (RJ/SPI/SUL)"/>
    <n v="64"/>
    <x v="2"/>
    <s v="HOSPITAL MAE DE DEUS - PORTO ALEGRE - RS - 88.625.686/0024-43"/>
    <n v="17"/>
  </r>
  <r>
    <x v="0"/>
    <x v="4"/>
    <x v="1"/>
    <n v="88630413000796"/>
    <x v="465"/>
    <s v="PORTO ALEGRE"/>
    <s v="RS"/>
    <x v="4"/>
    <s v="RAFAEL ESTEVES (RJ/SPI/SUL)"/>
    <n v="64"/>
    <x v="2"/>
    <s v="HOSPITAL SAO LUCAS DA PUCRS - PORTO ALEGRE - RS - 88.630.413/0007-96"/>
    <n v="14"/>
  </r>
  <r>
    <x v="0"/>
    <x v="4"/>
    <x v="1"/>
    <n v="92685833000151"/>
    <x v="466"/>
    <s v="PORTO ALEGRE"/>
    <s v="RS"/>
    <x v="4"/>
    <s v="RAFAEL ESTEVES (RJ/SPI/SUL)"/>
    <n v="62"/>
    <x v="3"/>
    <s v="ASSOCIACAO HOSPITALAR MOINHOS DE VENTO - PORTO ALEGRE - RS - 92.685.833/0001-51"/>
    <n v="14"/>
  </r>
  <r>
    <x v="0"/>
    <x v="4"/>
    <x v="1"/>
    <n v="92685833000151"/>
    <x v="466"/>
    <s v="PORTO ALEGRE"/>
    <s v="RS"/>
    <x v="4"/>
    <s v="RAFAEL ESTEVES (RJ/SPI/SUL)"/>
    <n v="64"/>
    <x v="2"/>
    <s v="ASSOCIACAO HOSPITALAR MOINHOS DE VENTO - PORTO ALEGRE - RS - 92.685.833/0001-51"/>
    <n v="6"/>
  </r>
  <r>
    <x v="0"/>
    <x v="4"/>
    <x v="1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26"/>
  </r>
  <r>
    <x v="0"/>
    <x v="4"/>
    <x v="1"/>
    <n v="92741016000254"/>
    <x v="467"/>
    <s v="PORTO ALEGRE"/>
    <s v="RS"/>
    <x v="4"/>
    <s v="RAFAEL ESTEVES (RJ/SPI/SUL)"/>
    <n v="64"/>
    <x v="2"/>
    <s v="HOSPITAL ERNESTO DORNELLES - PORTO ALEGRE - RS - 92.741.016/0002-54"/>
    <n v="10"/>
  </r>
  <r>
    <x v="0"/>
    <x v="4"/>
    <x v="1"/>
    <n v="92787118000391"/>
    <x v="468"/>
    <s v="PORTO ALEGRE"/>
    <s v="RS"/>
    <x v="4"/>
    <s v="RAFAEL ESTEVES (RJ/SPI/SUL)"/>
    <n v="62"/>
    <x v="3"/>
    <s v="HOSPITAL CRISTO REDENTOR - PORTO ALEGRE - RS - 92.787.118/0003-91"/>
    <n v="1"/>
  </r>
  <r>
    <x v="0"/>
    <x v="4"/>
    <x v="1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93"/>
  </r>
  <r>
    <x v="0"/>
    <x v="4"/>
    <x v="1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20"/>
  </r>
  <r>
    <x v="0"/>
    <x v="4"/>
    <x v="1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36"/>
  </r>
  <r>
    <x v="0"/>
    <x v="4"/>
    <x v="1"/>
    <n v="92898550000198"/>
    <x v="470"/>
    <s v="PORTO ALEGRE"/>
    <s v="RS"/>
    <x v="4"/>
    <s v="RAFAEL ESTEVES (RJ/SPI/SUL)"/>
    <n v="62"/>
    <x v="3"/>
    <s v="FUNDACAO UNIVERSITARIA DE CARDIOLOGIA - PORTO ALEGRE - RS - 92.898.550/0001-98"/>
    <n v="1"/>
  </r>
  <r>
    <x v="0"/>
    <x v="4"/>
    <x v="1"/>
    <n v="92898550000198"/>
    <x v="470"/>
    <s v="PORTO ALEGRE"/>
    <s v="RS"/>
    <x v="4"/>
    <s v="RAFAEL ESTEVES (RJ/SPI/SUL)"/>
    <n v="64"/>
    <x v="2"/>
    <s v="FUNDACAO UNIVERSITARIA DE CARDIOLOGIA - PORTO ALEGRE - RS - 92.898.550/0001-98"/>
    <n v="2"/>
  </r>
  <r>
    <x v="0"/>
    <x v="5"/>
    <x v="1"/>
    <n v="773639000100"/>
    <x v="474"/>
    <s v="PORTO ALEGRE"/>
    <s v="RS"/>
    <x v="4"/>
    <s v="RAFAEL ESTEVES (RJ/SPI/SUL)"/>
    <n v="73"/>
    <x v="1"/>
    <s v="CENTRO CLINICO GAUCHO LTDA - PORTO ALEGRE - RS - 00.773.639/0001-00"/>
    <n v="8"/>
  </r>
  <r>
    <x v="0"/>
    <x v="5"/>
    <x v="1"/>
    <n v="87020517000120"/>
    <x v="462"/>
    <s v="PORTO ALEGRE"/>
    <s v="RS"/>
    <x v="4"/>
    <s v="RAFAEL ESTEVES (RJ/SPI/SUL)"/>
    <n v="62"/>
    <x v="3"/>
    <s v="HOSPITAL DE CLINICAS - PORTO ALEGRE - RS - 87.020.517/0001-20"/>
    <n v="30"/>
  </r>
  <r>
    <x v="0"/>
    <x v="5"/>
    <x v="1"/>
    <n v="87096616003101"/>
    <x v="475"/>
    <s v="PORTO ALEGRE"/>
    <s v="RS"/>
    <x v="4"/>
    <s v="RAFAEL ESTEVES (RJ/SPI/SUL)"/>
    <n v="73"/>
    <x v="1"/>
    <s v="CENTRO DE ONCOLOGIA UNIMED PORTO ALEGRE - PORTO ALEGRE - RS - 87.096.616/0031-01"/>
    <n v="80"/>
  </r>
  <r>
    <x v="0"/>
    <x v="5"/>
    <x v="1"/>
    <n v="88625686002443"/>
    <x v="464"/>
    <s v="PORTO ALEGRE"/>
    <s v="RS"/>
    <x v="4"/>
    <s v="RAFAEL ESTEVES (RJ/SPI/SUL)"/>
    <n v="62"/>
    <x v="3"/>
    <s v="HOSPITAL MAE DE DEUS - PORTO ALEGRE - RS - 88.625.686/0024-43"/>
    <n v="9"/>
  </r>
  <r>
    <x v="0"/>
    <x v="5"/>
    <x v="1"/>
    <n v="88625686002443"/>
    <x v="464"/>
    <s v="PORTO ALEGRE"/>
    <s v="RS"/>
    <x v="4"/>
    <s v="RAFAEL ESTEVES (RJ/SPI/SUL)"/>
    <n v="64"/>
    <x v="2"/>
    <s v="HOSPITAL MAE DE DEUS - PORTO ALEGRE - RS - 88.625.686/0024-43"/>
    <n v="5"/>
  </r>
  <r>
    <x v="0"/>
    <x v="5"/>
    <x v="1"/>
    <n v="88630413000796"/>
    <x v="465"/>
    <s v="PORTO ALEGRE"/>
    <s v="RS"/>
    <x v="4"/>
    <s v="RAFAEL ESTEVES (RJ/SPI/SUL)"/>
    <n v="62"/>
    <x v="3"/>
    <s v="HOSPITAL SAO LUCAS DA PUCRS - PORTO ALEGRE - RS - 88.630.413/0007-96"/>
    <n v="15"/>
  </r>
  <r>
    <x v="0"/>
    <x v="5"/>
    <x v="1"/>
    <n v="88630413000796"/>
    <x v="465"/>
    <s v="PORTO ALEGRE"/>
    <s v="RS"/>
    <x v="4"/>
    <s v="RAFAEL ESTEVES (RJ/SPI/SUL)"/>
    <n v="64"/>
    <x v="2"/>
    <s v="HOSPITAL SAO LUCAS DA PUCRS - PORTO ALEGRE - RS - 88.630.413/0007-96"/>
    <n v="8"/>
  </r>
  <r>
    <x v="0"/>
    <x v="5"/>
    <x v="1"/>
    <n v="92685833000151"/>
    <x v="466"/>
    <s v="PORTO ALEGRE"/>
    <s v="RS"/>
    <x v="4"/>
    <s v="RAFAEL ESTEVES (RJ/SPI/SUL)"/>
    <n v="62"/>
    <x v="3"/>
    <s v="ASSOCIACAO HOSPITALAR MOINHOS DE VENTO - PORTO ALEGRE - RS - 92.685.833/0001-51"/>
    <n v="96"/>
  </r>
  <r>
    <x v="0"/>
    <x v="5"/>
    <x v="1"/>
    <n v="92685833000151"/>
    <x v="466"/>
    <s v="PORTO ALEGRE"/>
    <s v="RS"/>
    <x v="4"/>
    <s v="RAFAEL ESTEVES (RJ/SPI/SUL)"/>
    <n v="73"/>
    <x v="1"/>
    <s v="ASSOCIACAO HOSPITALAR MOINHOS DE VENTO - PORTO ALEGRE - RS - 92.685.833/0001-51"/>
    <n v="32"/>
  </r>
  <r>
    <x v="0"/>
    <x v="5"/>
    <x v="1"/>
    <n v="92741016000254"/>
    <x v="467"/>
    <s v="PORTO ALEGRE"/>
    <s v="RS"/>
    <x v="4"/>
    <s v="RAFAEL ESTEVES (RJ/SPI/SUL)"/>
    <n v="62"/>
    <x v="3"/>
    <s v="HOSPITAL ERNESTO DORNELLES - PORTO ALEGRE - RS - 92.741.016/0002-54"/>
    <n v="10"/>
  </r>
  <r>
    <x v="0"/>
    <x v="5"/>
    <x v="1"/>
    <n v="92741016000254"/>
    <x v="467"/>
    <s v="PORTO ALEGRE"/>
    <s v="RS"/>
    <x v="4"/>
    <s v="RAFAEL ESTEVES (RJ/SPI/SUL)"/>
    <n v="64"/>
    <x v="2"/>
    <s v="HOSPITAL ERNESTO DORNELLES - PORTO ALEGRE - RS - 92.741.016/0002-54"/>
    <n v="29"/>
  </r>
  <r>
    <x v="0"/>
    <x v="5"/>
    <x v="1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91"/>
  </r>
  <r>
    <x v="0"/>
    <x v="5"/>
    <x v="1"/>
    <n v="92815000000168"/>
    <x v="469"/>
    <s v="PORTO ALEGRE"/>
    <s v="RS"/>
    <x v="4"/>
    <s v="RAFAEL ESTEVES (RJ/SPI/SUL)"/>
    <n v="64"/>
    <x v="2"/>
    <s v="IRMANDADE DA SANTA CASA DE MISERICORDIA DE PORTO ALEGRE - PORTO ALEGRE - RS - 92.815.000/0001-68"/>
    <n v="21"/>
  </r>
  <r>
    <x v="0"/>
    <x v="5"/>
    <x v="1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35"/>
  </r>
  <r>
    <x v="0"/>
    <x v="5"/>
    <x v="1"/>
    <n v="92898550000198"/>
    <x v="470"/>
    <s v="PORTO ALEGRE"/>
    <s v="RS"/>
    <x v="4"/>
    <s v="RAFAEL ESTEVES (RJ/SPI/SUL)"/>
    <n v="62"/>
    <x v="3"/>
    <s v="FUNDACAO UNIVERSITARIA DE CARDIOLOGIA - PORTO ALEGRE - RS - 92.898.550/0001-98"/>
    <n v="4"/>
  </r>
  <r>
    <x v="0"/>
    <x v="5"/>
    <x v="1"/>
    <n v="92898550000198"/>
    <x v="470"/>
    <s v="PORTO ALEGRE"/>
    <s v="RS"/>
    <x v="4"/>
    <s v="RAFAEL ESTEVES (RJ/SPI/SUL)"/>
    <n v="64"/>
    <x v="2"/>
    <s v="FUNDACAO UNIVERSITARIA DE CARDIOLOGIA - PORTO ALEGRE - RS - 92.898.550/0001-98"/>
    <n v="3"/>
  </r>
  <r>
    <x v="0"/>
    <x v="5"/>
    <x v="1"/>
    <n v="92963560000160"/>
    <x v="472"/>
    <s v="PORTO ALEGRE"/>
    <s v="RS"/>
    <x v="4"/>
    <s v="RAFAEL ESTEVES (RJ/SPI/SUL)"/>
    <n v="62"/>
    <x v="3"/>
    <s v="PMPA - PORTO ALEGRE - RS - 92.963.560/0001-60"/>
    <n v="60"/>
  </r>
  <r>
    <x v="0"/>
    <x v="5"/>
    <x v="1"/>
    <n v="92963560000160"/>
    <x v="472"/>
    <s v="PORTO ALEGRE"/>
    <s v="RS"/>
    <x v="4"/>
    <s v="RAFAEL ESTEVES (RJ/SPI/SUL)"/>
    <n v="64"/>
    <x v="2"/>
    <s v="PMPA - PORTO ALEGRE - RS - 92.963.560/0001-60"/>
    <n v="40"/>
  </r>
  <r>
    <x v="0"/>
    <x v="6"/>
    <x v="2"/>
    <n v="9087150000230"/>
    <x v="460"/>
    <s v="PORTO ALEGRE"/>
    <s v="RS"/>
    <x v="4"/>
    <s v="RAFAEL ESTEVES (RJ/SPI/SUL)"/>
    <n v="73"/>
    <x v="1"/>
    <s v="VIP HOME CARE ATENDIMENTO DOMICILIAR LTDA - PORTO ALEGRE - RS - 09.087.150/0002-30"/>
    <n v="8"/>
  </r>
  <r>
    <x v="0"/>
    <x v="6"/>
    <x v="2"/>
    <n v="87020517000120"/>
    <x v="462"/>
    <s v="PORTO ALEGRE"/>
    <s v="RS"/>
    <x v="4"/>
    <s v="RAFAEL ESTEVES (RJ/SPI/SUL)"/>
    <n v="62"/>
    <x v="3"/>
    <s v="HOSPITAL DE CLINICAS - PORTO ALEGRE - RS - 87.020.517/0001-20"/>
    <n v="4"/>
  </r>
  <r>
    <x v="0"/>
    <x v="6"/>
    <x v="2"/>
    <n v="87020517000120"/>
    <x v="462"/>
    <s v="PORTO ALEGRE"/>
    <s v="RS"/>
    <x v="4"/>
    <s v="RAFAEL ESTEVES (RJ/SPI/SUL)"/>
    <n v="64"/>
    <x v="2"/>
    <s v="HOSPITAL DE CLINICAS - PORTO ALEGRE - RS - 87.020.517/0001-20"/>
    <n v="33"/>
  </r>
  <r>
    <x v="0"/>
    <x v="6"/>
    <x v="2"/>
    <n v="87096616003101"/>
    <x v="475"/>
    <s v="PORTO ALEGRE"/>
    <s v="RS"/>
    <x v="4"/>
    <s v="RAFAEL ESTEVES (RJ/SPI/SUL)"/>
    <n v="73"/>
    <x v="1"/>
    <s v="CENTRO DE ONCOLOGIA UNIMED PORTO ALEGRE - PORTO ALEGRE - RS - 87.096.616/0031-01"/>
    <n v="200"/>
  </r>
  <r>
    <x v="0"/>
    <x v="6"/>
    <x v="2"/>
    <n v="88625686002443"/>
    <x v="464"/>
    <s v="PORTO ALEGRE"/>
    <s v="RS"/>
    <x v="4"/>
    <s v="RAFAEL ESTEVES (RJ/SPI/SUL)"/>
    <n v="64"/>
    <x v="2"/>
    <s v="HOSPITAL MAE DE DEUS - PORTO ALEGRE - RS - 88.625.686/0024-43"/>
    <n v="14"/>
  </r>
  <r>
    <x v="0"/>
    <x v="6"/>
    <x v="2"/>
    <n v="88630413000796"/>
    <x v="465"/>
    <s v="PORTO ALEGRE"/>
    <s v="RS"/>
    <x v="4"/>
    <s v="RAFAEL ESTEVES (RJ/SPI/SUL)"/>
    <n v="64"/>
    <x v="2"/>
    <s v="HOSPITAL SAO LUCAS DA PUCRS - PORTO ALEGRE - RS - 88.630.413/0007-96"/>
    <n v="5"/>
  </r>
  <r>
    <x v="0"/>
    <x v="6"/>
    <x v="2"/>
    <n v="92815000000168"/>
    <x v="469"/>
    <s v="PORTO ALEGRE"/>
    <s v="RS"/>
    <x v="4"/>
    <s v="RAFAEL ESTEVES (RJ/SPI/SUL)"/>
    <n v="62"/>
    <x v="3"/>
    <s v="IRMANDADE DA SANTA CASA DE MISERICORDIA DE PORTO ALEGRE - PORTO ALEGRE - RS - 92.815.000/0001-68"/>
    <n v="21"/>
  </r>
  <r>
    <x v="0"/>
    <x v="6"/>
    <x v="2"/>
    <n v="92815000000168"/>
    <x v="469"/>
    <s v="PORTO ALEGRE"/>
    <s v="RS"/>
    <x v="4"/>
    <s v="RAFAEL ESTEVES (RJ/SPI/SUL)"/>
    <n v="73"/>
    <x v="1"/>
    <s v="IRMANDADE DA SANTA CASA DE MISERICORDIA DE PORTO ALEGRE - PORTO ALEGRE - RS - 92.815.000/0001-68"/>
    <n v="25"/>
  </r>
  <r>
    <x v="0"/>
    <x v="0"/>
    <x v="0"/>
    <n v="17376968601"/>
    <x v="476"/>
    <s v="CONSELHEIRO LAFAIETE"/>
    <s v="MG"/>
    <x v="4"/>
    <s v="RAFAEL ESTEVES (RJ/SPI/SUL)"/>
    <n v="66"/>
    <x v="4"/>
    <s v="GUSTAVO PRIETO BORGES MOREIRA - CONSELHEIRO LAFAIETE - MG - 173.769.686-01"/>
    <n v="24"/>
  </r>
  <r>
    <x v="0"/>
    <x v="0"/>
    <x v="0"/>
    <n v="304148000110"/>
    <x v="477"/>
    <s v="FOZ DO IGUAÇU"/>
    <s v="PR"/>
    <x v="4"/>
    <s v="RAFAEL ESTEVES (RJ/SPI/SUL)"/>
    <n v="73"/>
    <x v="1"/>
    <s v="HOSPITAL MINISTRO COSTA CAVALCANTI - FOZ DO IGUAÇU - PR - 00.304.148/0001-10"/>
    <n v="48"/>
  </r>
  <r>
    <x v="0"/>
    <x v="0"/>
    <x v="0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36"/>
  </r>
  <r>
    <x v="0"/>
    <x v="1"/>
    <x v="0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64"/>
  </r>
  <r>
    <x v="0"/>
    <x v="1"/>
    <x v="0"/>
    <n v="70306453673"/>
    <x v="479"/>
    <s v="RIBEIRÃO DAS NEVES"/>
    <s v="MG"/>
    <x v="4"/>
    <s v="RAFAEL ESTEVES (RJ/SPI/SUL)"/>
    <n v="66"/>
    <x v="4"/>
    <s v="GUILHERME MOURA DA SILVA - RIBEIRÃO DAS NEVES - MG - 703.064.536-73"/>
    <n v="20"/>
  </r>
  <r>
    <x v="0"/>
    <x v="0"/>
    <x v="0"/>
    <n v="437007000175"/>
    <x v="480"/>
    <s v="NITERÓI"/>
    <s v="RJ"/>
    <x v="4"/>
    <s v="RAFAEL ESTEVES (RJ/SPI/SUL)"/>
    <n v="73"/>
    <x v="1"/>
    <s v="CON-CENTRO ONCOLOGICO DE NITEROI LTDA - NITERÓI - RJ - 00.437.007/0001-75"/>
    <n v="358"/>
  </r>
  <r>
    <x v="0"/>
    <x v="1"/>
    <x v="0"/>
    <n v="437007000175"/>
    <x v="480"/>
    <s v="NITERÓI"/>
    <s v="RJ"/>
    <x v="4"/>
    <s v="RAFAEL ESTEVES (RJ/SPI/SUL)"/>
    <n v="73"/>
    <x v="1"/>
    <s v="CON-CENTRO ONCOLOGICO DE NITEROI LTDA - NITERÓI - RJ - 00.437.007/0001-75"/>
    <n v="228"/>
  </r>
  <r>
    <x v="0"/>
    <x v="0"/>
    <x v="0"/>
    <n v="1140803000104"/>
    <x v="481"/>
    <s v="CAXIAS DO SUL"/>
    <s v="RS"/>
    <x v="4"/>
    <s v="RAFAEL ESTEVES (RJ/SPI/SUL)"/>
    <n v="73"/>
    <x v="1"/>
    <s v="INSTITUTO DEVITA - CAXIAS DO SUL - RS - 01.140.803/0001-04"/>
    <n v="32"/>
  </r>
  <r>
    <x v="0"/>
    <x v="0"/>
    <x v="0"/>
    <n v="1517626000132"/>
    <x v="482"/>
    <s v="BALNEÁRIO CAMBORIÚ"/>
    <s v="SC"/>
    <x v="4"/>
    <s v="RAFAEL ESTEVES (RJ/SPI/SUL)"/>
    <n v="73"/>
    <x v="1"/>
    <s v="HOSPITAL DO CORACAO DE BALNEARIO CAMBORIU LTDA - BALNEÁRIO CAMBORIÚ - SC - 01.517.626/0001-32"/>
    <n v="12"/>
  </r>
  <r>
    <x v="0"/>
    <x v="0"/>
    <x v="0"/>
    <n v="6047087001372"/>
    <x v="483"/>
    <s v="DUQUE DE CAXIAS"/>
    <s v="RJ"/>
    <x v="4"/>
    <s v="RAFAEL ESTEVES (RJ/SPI/SUL)"/>
    <n v="62"/>
    <x v="3"/>
    <s v="HOSPITAL CAXIAS DOR  (REDE DOR) - DUQUE DE CAXIAS - RJ - 06.047.087/0013-72"/>
    <n v="12"/>
  </r>
  <r>
    <x v="0"/>
    <x v="1"/>
    <x v="0"/>
    <n v="6047087001372"/>
    <x v="483"/>
    <s v="DUQUE DE CAXIAS"/>
    <s v="RJ"/>
    <x v="4"/>
    <s v="RAFAEL ESTEVES (RJ/SPI/SUL)"/>
    <n v="62"/>
    <x v="3"/>
    <s v="HOSPITAL CAXIAS DOR  (REDE DOR) - DUQUE DE CAXIAS - RJ - 06.047.087/0013-72"/>
    <n v="4"/>
  </r>
  <r>
    <x v="0"/>
    <x v="1"/>
    <x v="0"/>
    <n v="6047087001372"/>
    <x v="483"/>
    <s v="DUQUE DE CAXIAS"/>
    <s v="RJ"/>
    <x v="4"/>
    <s v="RAFAEL ESTEVES (RJ/SPI/SUL)"/>
    <n v="64"/>
    <x v="2"/>
    <s v="HOSPITAL CAXIAS DOR  (REDE DOR) - DUQUE DE CAXIAS - RJ - 06.047.087/0013-72"/>
    <n v="3"/>
  </r>
  <r>
    <x v="0"/>
    <x v="1"/>
    <x v="0"/>
    <n v="7734165000136"/>
    <x v="484"/>
    <s v="CURITIBA"/>
    <s v="PR"/>
    <x v="4"/>
    <s v="RAFAEL ESTEVES (RJ/SPI/SUL)"/>
    <n v="73"/>
    <x v="1"/>
    <s v="CIONC - CENTRO INTEGRADO DE ONCOLOGIA DE CURITIBA S/S - CURITIBA - PR - 07.734.165/0001-36"/>
    <n v="120"/>
  </r>
  <r>
    <x v="0"/>
    <x v="0"/>
    <x v="0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28"/>
  </r>
  <r>
    <x v="0"/>
    <x v="1"/>
    <x v="0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28"/>
  </r>
  <r>
    <x v="0"/>
    <x v="1"/>
    <x v="0"/>
    <n v="8597121000174"/>
    <x v="486"/>
    <s v="CURITIBA"/>
    <s v="PR"/>
    <x v="4"/>
    <s v="RAFAEL ESTEVES (RJ/SPI/SUL)"/>
    <n v="66"/>
    <x v="4"/>
    <s v="FUNDO ESTADUAL DE SAUDE DO PARANA - FUNSAUDE - CURITIBA - PR - 08.597.121/0001-74"/>
    <n v="80"/>
  </r>
  <r>
    <x v="0"/>
    <x v="1"/>
    <x v="0"/>
    <n v="4786490000154"/>
    <x v="487"/>
    <s v="SERRA"/>
    <s v="ES"/>
    <x v="4"/>
    <s v="RAFAEL ESTEVES (RJ/SPI/SUL)"/>
    <n v="73"/>
    <x v="1"/>
    <s v="NEON - NUCLEO ESPECIALIZADO EM ONCOLOGIA - SERRA - ES - 04.786.490/0001-54"/>
    <n v="14"/>
  </r>
  <r>
    <x v="0"/>
    <x v="0"/>
    <x v="0"/>
    <n v="14408631000159"/>
    <x v="488"/>
    <s v="VIÇOSA"/>
    <s v="MG"/>
    <x v="4"/>
    <s v="RAFAEL ESTEVES (RJ/SPI/SUL)"/>
    <n v="73"/>
    <x v="1"/>
    <s v="PLAMHUV - VIÇOSA - MG - 14.408.631/0001-59"/>
    <n v="8"/>
  </r>
  <r>
    <x v="0"/>
    <x v="1"/>
    <x v="0"/>
    <n v="14408631000159"/>
    <x v="488"/>
    <s v="VIÇOSA"/>
    <s v="MG"/>
    <x v="4"/>
    <s v="RAFAEL ESTEVES (RJ/SPI/SUL)"/>
    <n v="73"/>
    <x v="1"/>
    <s v="PLAMHUV - VIÇOSA - MG - 14.408.631/0001-59"/>
    <n v="8"/>
  </r>
  <r>
    <x v="0"/>
    <x v="0"/>
    <x v="0"/>
    <n v="15126437001972"/>
    <x v="489"/>
    <s v="SANTA MARIA"/>
    <s v="RS"/>
    <x v="4"/>
    <s v="RAFAEL ESTEVES (RJ/SPI/SUL)"/>
    <n v="64"/>
    <x v="2"/>
    <s v="EBSERH - HOSPITAL UNIVERSITARIO DE SANTA MARIA - SANTA MARIA - RS - 15.126.437/0019-72"/>
    <n v="15"/>
  </r>
  <r>
    <x v="0"/>
    <x v="1"/>
    <x v="0"/>
    <n v="15126437001972"/>
    <x v="489"/>
    <s v="SANTA MARIA"/>
    <s v="RS"/>
    <x v="4"/>
    <s v="RAFAEL ESTEVES (RJ/SPI/SUL)"/>
    <n v="62"/>
    <x v="3"/>
    <s v="EBSERH - HOSPITAL UNIVERSITARIO DE SANTA MARIA - SANTA MARIA - RS - 15.126.437/0019-72"/>
    <n v="15"/>
  </r>
  <r>
    <x v="0"/>
    <x v="0"/>
    <x v="0"/>
    <n v="16676520000159"/>
    <x v="490"/>
    <s v="BELO HORIZONTE"/>
    <s v="MG"/>
    <x v="4"/>
    <s v="RAFAEL ESTEVES (RJ/SPI/SUL)"/>
    <n v="66"/>
    <x v="4"/>
    <s v="HOSPITAL MATER DEI SA - BELO HORIZONTE - MG - 16.676.520/0001-59"/>
    <n v="2"/>
  </r>
  <r>
    <x v="0"/>
    <x v="0"/>
    <x v="0"/>
    <n v="17034086000176"/>
    <x v="491"/>
    <s v="SÃO JOSÉ"/>
    <s v="SC"/>
    <x v="4"/>
    <s v="RAFAEL ESTEVES (RJ/SPI/SUL)"/>
    <n v="64"/>
    <x v="2"/>
    <s v="HOSPITAL UNIMED - SÃO JOSÉ - SC - 17.034.086/0001-76"/>
    <n v="5"/>
  </r>
  <r>
    <x v="0"/>
    <x v="0"/>
    <x v="0"/>
    <n v="17087591000189"/>
    <x v="492"/>
    <s v="UBERLÂNDIA"/>
    <s v="MG"/>
    <x v="4"/>
    <s v="RAFAEL ESTEVES (RJ/SPI/SUL)"/>
    <n v="62"/>
    <x v="3"/>
    <s v="UBERLANDIA MEDICAL CENTER - UBERLÂNDIA - MG - 17.087.591/0001-89"/>
    <n v="7"/>
  </r>
  <r>
    <x v="0"/>
    <x v="0"/>
    <x v="0"/>
    <n v="17214149000176"/>
    <x v="493"/>
    <s v="BELO HORIZONTE"/>
    <s v="MG"/>
    <x v="4"/>
    <s v="RAFAEL ESTEVES (RJ/SPI/SUL)"/>
    <n v="62"/>
    <x v="3"/>
    <s v="FUNDACAO FELICE ROSSO - BELO HORIZONTE - MG - 17.214.149/0001-76"/>
    <n v="10"/>
  </r>
  <r>
    <x v="0"/>
    <x v="1"/>
    <x v="0"/>
    <n v="17214149000176"/>
    <x v="493"/>
    <s v="BELO HORIZONTE"/>
    <s v="MG"/>
    <x v="4"/>
    <s v="RAFAEL ESTEVES (RJ/SPI/SUL)"/>
    <n v="62"/>
    <x v="3"/>
    <s v="FUNDACAO FELICE ROSSO - BELO HORIZONTE - MG - 17.214.149/0001-76"/>
    <n v="18"/>
  </r>
  <r>
    <x v="0"/>
    <x v="0"/>
    <x v="0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4"/>
  </r>
  <r>
    <x v="0"/>
    <x v="1"/>
    <x v="0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6"/>
  </r>
  <r>
    <x v="0"/>
    <x v="1"/>
    <x v="0"/>
    <n v="8562523000133"/>
    <x v="495"/>
    <s v="DUQUE DE CAXIAS"/>
    <s v="RJ"/>
    <x v="4"/>
    <s v="RAFAEL ESTEVES (RJ/SPI/SUL)"/>
    <n v="62"/>
    <x v="3"/>
    <s v="H S COR - DUQUE DE CAXIAS - RJ - 08.562.523/0001-33"/>
    <n v="2"/>
  </r>
  <r>
    <x v="0"/>
    <x v="1"/>
    <x v="0"/>
    <n v="8562523000133"/>
    <x v="495"/>
    <s v="DUQUE DE CAXIAS"/>
    <s v="RJ"/>
    <x v="4"/>
    <s v="RAFAEL ESTEVES (RJ/SPI/SUL)"/>
    <n v="64"/>
    <x v="2"/>
    <s v="H S COR - DUQUE DE CAXIAS - RJ - 08.562.523/0001-33"/>
    <n v="5"/>
  </r>
  <r>
    <x v="0"/>
    <x v="0"/>
    <x v="0"/>
    <n v="18484378000173"/>
    <x v="496"/>
    <s v="UBERLÂNDIA"/>
    <s v="MG"/>
    <x v="4"/>
    <s v="RAFAEL ESTEVES (RJ/SPI/SUL)"/>
    <n v="62"/>
    <x v="3"/>
    <s v="HOSPITAL SANTA GENOVEVA LTDA - UBERLÂNDIA - MG - 18.484.378/0001-73"/>
    <n v="3"/>
  </r>
  <r>
    <x v="0"/>
    <x v="1"/>
    <x v="0"/>
    <n v="18484378000173"/>
    <x v="496"/>
    <s v="UBERLÂNDIA"/>
    <s v="MG"/>
    <x v="4"/>
    <s v="RAFAEL ESTEVES (RJ/SPI/SUL)"/>
    <n v="62"/>
    <x v="3"/>
    <s v="HOSPITAL SANTA GENOVEVA LTDA - UBERLÂNDIA - MG - 18.484.378/0001-73"/>
    <n v="2"/>
  </r>
  <r>
    <x v="0"/>
    <x v="0"/>
    <x v="0"/>
    <n v="19878404000100"/>
    <x v="497"/>
    <s v="IPATINGA"/>
    <s v="MG"/>
    <x v="4"/>
    <s v="RAFAEL ESTEVES (RJ/SPI/SUL)"/>
    <n v="73"/>
    <x v="1"/>
    <s v="HOSPITAL MARCIO CUNHA - IPATINGA - MG - 19.878.404/0001-00"/>
    <n v="120"/>
  </r>
  <r>
    <x v="0"/>
    <x v="1"/>
    <x v="0"/>
    <n v="19878404000100"/>
    <x v="497"/>
    <s v="IPATINGA"/>
    <s v="MG"/>
    <x v="4"/>
    <s v="RAFAEL ESTEVES (RJ/SPI/SUL)"/>
    <n v="73"/>
    <x v="1"/>
    <s v="HOSPITAL MARCIO CUNHA - IPATINGA - MG - 19.878.404/0001-00"/>
    <n v="80"/>
  </r>
  <r>
    <x v="0"/>
    <x v="0"/>
    <x v="0"/>
    <n v="20150900000122"/>
    <x v="498"/>
    <s v="UBERLÂNDIA"/>
    <s v="MG"/>
    <x v="4"/>
    <s v="RAFAEL ESTEVES (RJ/SPI/SUL)"/>
    <n v="73"/>
    <x v="1"/>
    <s v="HOSPITAL E MATERNIDADE MADRECOR - UBERLÂNDIA - MG - 20.150.900/0001-22"/>
    <n v="6"/>
  </r>
  <r>
    <x v="0"/>
    <x v="0"/>
    <x v="0"/>
    <n v="21040696000311"/>
    <x v="499"/>
    <s v="ITAJUBÁ"/>
    <s v="MG"/>
    <x v="4"/>
    <s v="RAFAEL ESTEVES (RJ/SPI/SUL)"/>
    <n v="62"/>
    <x v="3"/>
    <s v="AISI FMIT HE - ITAJUBÁ - MG - 21.040.696/0003-11"/>
    <n v="2"/>
  </r>
  <r>
    <x v="0"/>
    <x v="1"/>
    <x v="0"/>
    <n v="21040696000311"/>
    <x v="499"/>
    <s v="ITAJUBÁ"/>
    <s v="MG"/>
    <x v="4"/>
    <s v="RAFAEL ESTEVES (RJ/SPI/SUL)"/>
    <n v="62"/>
    <x v="3"/>
    <s v="AISI FMIT HE - ITAJUBÁ - MG - 21.040.696/0003-11"/>
    <n v="5"/>
  </r>
  <r>
    <x v="0"/>
    <x v="1"/>
    <x v="0"/>
    <n v="21040696000311"/>
    <x v="499"/>
    <s v="ITAJUBÁ"/>
    <s v="MG"/>
    <x v="4"/>
    <s v="RAFAEL ESTEVES (RJ/SPI/SUL)"/>
    <n v="64"/>
    <x v="2"/>
    <s v="AISI FMIT HE - ITAJUBÁ - MG - 21.040.696/0003-11"/>
    <n v="4"/>
  </r>
  <r>
    <x v="0"/>
    <x v="0"/>
    <x v="0"/>
    <n v="23338387000196"/>
    <x v="500"/>
    <s v="PATOS DE MINAS"/>
    <s v="MG"/>
    <x v="4"/>
    <s v="RAFAEL ESTEVES (RJ/SPI/SUL)"/>
    <n v="73"/>
    <x v="1"/>
    <s v="CASA DE SAUDE E MATERNIDADE NOSSA SENHORA DE FATIMA S A - PATOS DE MINAS - MG - 23.338.387/0001-96"/>
    <n v="10"/>
  </r>
  <r>
    <x v="0"/>
    <x v="1"/>
    <x v="0"/>
    <n v="9549061000268"/>
    <x v="501"/>
    <s v="CANOAS"/>
    <s v="RS"/>
    <x v="4"/>
    <s v="RAFAEL ESTEVES (RJ/SPI/SUL)"/>
    <n v="64"/>
    <x v="2"/>
    <s v="GAMP - CANOAS - RS - 09.549.061/0002-68"/>
    <n v="3"/>
  </r>
  <r>
    <x v="0"/>
    <x v="0"/>
    <x v="0"/>
    <n v="28806545000532"/>
    <x v="502"/>
    <s v="PETRÓPOLIS"/>
    <s v="RJ"/>
    <x v="4"/>
    <s v="RAFAEL ESTEVES (RJ/SPI/SUL)"/>
    <n v="73"/>
    <x v="1"/>
    <s v="HOSPITAL UNIMED - PETRÓPOLIS - RJ - 28.806.545/0005-32"/>
    <n v="128"/>
  </r>
  <r>
    <x v="0"/>
    <x v="1"/>
    <x v="0"/>
    <n v="28806545000532"/>
    <x v="502"/>
    <s v="PETRÓPOLIS"/>
    <s v="RJ"/>
    <x v="4"/>
    <s v="RAFAEL ESTEVES (RJ/SPI/SUL)"/>
    <n v="73"/>
    <x v="1"/>
    <s v="HOSPITAL UNIMED - PETRÓPOLIS - RJ - 28.806.545/0005-32"/>
    <n v="96"/>
  </r>
  <r>
    <x v="0"/>
    <x v="0"/>
    <x v="0"/>
    <n v="29072642000188"/>
    <x v="503"/>
    <s v="RESENDE"/>
    <s v="RJ"/>
    <x v="4"/>
    <s v="RAFAEL ESTEVES (RJ/SPI/SUL)"/>
    <n v="64"/>
    <x v="2"/>
    <s v="SAMER HOSPITAL - RESENDE - RJ - 29.072.642/0001-88"/>
    <n v="2"/>
  </r>
  <r>
    <x v="0"/>
    <x v="0"/>
    <x v="0"/>
    <n v="35830868000446"/>
    <x v="504"/>
    <s v="MACAÉ"/>
    <s v="RJ"/>
    <x v="4"/>
    <s v="RAFAEL ESTEVES (RJ/SPI/SUL)"/>
    <n v="64"/>
    <x v="2"/>
    <s v="UNIMED COSTA DO SOL - HOSPITAL - MACAÉ - RJ - 35.830.868/0004-46"/>
    <n v="3"/>
  </r>
  <r>
    <x v="0"/>
    <x v="0"/>
    <x v="0"/>
    <n v="60884855001207"/>
    <x v="505"/>
    <s v="NITERÓI"/>
    <s v="RJ"/>
    <x v="4"/>
    <s v="RAFAEL ESTEVES (RJ/SPI/SUL)"/>
    <n v="62"/>
    <x v="3"/>
    <s v="HOSPITAL HCN - NITERÓI - RJ - 60.884.855/0012-07"/>
    <n v="24"/>
  </r>
  <r>
    <x v="0"/>
    <x v="0"/>
    <x v="0"/>
    <n v="60884855001207"/>
    <x v="505"/>
    <s v="NITERÓI"/>
    <s v="RJ"/>
    <x v="4"/>
    <s v="RAFAEL ESTEVES (RJ/SPI/SUL)"/>
    <n v="64"/>
    <x v="2"/>
    <s v="HOSPITAL HCN - NITERÓI - RJ - 60.884.855/0012-07"/>
    <n v="83"/>
  </r>
  <r>
    <x v="0"/>
    <x v="0"/>
    <x v="0"/>
    <n v="60884855001207"/>
    <x v="505"/>
    <s v="NITERÓI"/>
    <s v="RJ"/>
    <x v="4"/>
    <s v="RAFAEL ESTEVES (RJ/SPI/SUL)"/>
    <n v="73"/>
    <x v="1"/>
    <s v="HOSPITAL HCN - NITERÓI - RJ - 60.884.855/0012-07"/>
    <n v="18"/>
  </r>
  <r>
    <x v="0"/>
    <x v="0"/>
    <x v="0"/>
    <n v="60922168005226"/>
    <x v="506"/>
    <s v="BLUMENAU"/>
    <s v="SC"/>
    <x v="4"/>
    <s v="RAFAEL ESTEVES (RJ/SPI/SUL)"/>
    <n v="64"/>
    <x v="2"/>
    <s v="HOSPITAL SANTA ISABEL - BLUMENAU - SC - 60.922.168/0052-26"/>
    <n v="1"/>
  </r>
  <r>
    <x v="0"/>
    <x v="1"/>
    <x v="0"/>
    <n v="20909271000171"/>
    <x v="507"/>
    <s v="ARAGUARI"/>
    <s v="MG"/>
    <x v="4"/>
    <s v="RAFAEL ESTEVES (RJ/SPI/SUL)"/>
    <n v="73"/>
    <x v="1"/>
    <s v="UNIMED ARAGUARI - ARAGUARI - MG - 20.909.271/0001-71"/>
    <n v="51"/>
  </r>
  <r>
    <x v="0"/>
    <x v="1"/>
    <x v="0"/>
    <n v="21299615000130"/>
    <x v="508"/>
    <s v="OURO BRANCO"/>
    <s v="MG"/>
    <x v="4"/>
    <s v="RAFAEL ESTEVES (RJ/SPI/SUL)"/>
    <n v="66"/>
    <x v="4"/>
    <s v="FUNDACAO OURO BRANCO - OURO BRANCO - MG - 21.299.615/0001-30"/>
    <n v="6"/>
  </r>
  <r>
    <x v="0"/>
    <x v="1"/>
    <x v="0"/>
    <n v="23406564000124"/>
    <x v="509"/>
    <s v="PATROCÍNIO"/>
    <s v="MG"/>
    <x v="4"/>
    <s v="RAFAEL ESTEVES (RJ/SPI/SUL)"/>
    <n v="66"/>
    <x v="4"/>
    <s v="SANTA CASA DE MISERICORDIA NOSSA SENHORA DO PATROCINIO - PATROCÍNIO - MG - 23.406.564/0001-24"/>
    <n v="6"/>
  </r>
  <r>
    <x v="0"/>
    <x v="0"/>
    <x v="0"/>
    <n v="76555069000143"/>
    <x v="510"/>
    <s v="CURITIBA"/>
    <s v="PR"/>
    <x v="4"/>
    <s v="RAFAEL ESTEVES (RJ/SPI/SUL)"/>
    <n v="62"/>
    <x v="3"/>
    <s v="HOSPITAL SANTA CRUZ SOCIEDADE ANONIMA - CURITIBA - PR - 76.555.069/0001-43"/>
    <n v="2"/>
  </r>
  <r>
    <x v="0"/>
    <x v="0"/>
    <x v="0"/>
    <n v="76591569000130"/>
    <x v="511"/>
    <s v="CURITIBA"/>
    <s v="PR"/>
    <x v="4"/>
    <s v="RAFAEL ESTEVES (RJ/SPI/SUL)"/>
    <n v="73"/>
    <x v="1"/>
    <s v="HOSPITAL INFANTIL PEQUENO PRINCIPE - CURITIBA - PR - 76.591.569/0001-30"/>
    <n v="24"/>
  </r>
  <r>
    <x v="0"/>
    <x v="0"/>
    <x v="0"/>
    <n v="80673411000187"/>
    <x v="512"/>
    <s v="FLORIANÓPOLIS"/>
    <s v="SC"/>
    <x v="4"/>
    <s v="RAFAEL ESTEVES (RJ/SPI/SUL)"/>
    <n v="66"/>
    <x v="4"/>
    <s v="FES - FLORIANÓPOLIS - SC - 80.673.411/0001-87"/>
    <n v="74"/>
  </r>
  <r>
    <x v="0"/>
    <x v="1"/>
    <x v="0"/>
    <n v="25415993000193"/>
    <x v="513"/>
    <s v="JUIZ DE FORA"/>
    <s v="MG"/>
    <x v="4"/>
    <s v="RAFAEL ESTEVES (RJ/SPI/SUL)"/>
    <n v="62"/>
    <x v="3"/>
    <s v="INSTITUTO DE CLINICAS E CIRURGIA DE JUIZ DE FORA LTDA - JUIZ DE FORA - MG - 25.415.993/0001-93"/>
    <n v="3"/>
  </r>
  <r>
    <x v="0"/>
    <x v="0"/>
    <x v="0"/>
    <n v="83899526000425"/>
    <x v="514"/>
    <s v="FLORIANÓPOLIS"/>
    <s v="SC"/>
    <x v="4"/>
    <s v="RAFAEL ESTEVES (RJ/SPI/SUL)"/>
    <n v="62"/>
    <x v="3"/>
    <s v="HU - UFSC - FLORIANÓPOLIS - SC - 83.899.526/0004-25"/>
    <n v="17"/>
  </r>
  <r>
    <x v="0"/>
    <x v="1"/>
    <x v="0"/>
    <n v="25761040000187"/>
    <x v="515"/>
    <s v="UBERLÂNDIA"/>
    <s v="MG"/>
    <x v="4"/>
    <s v="RAFAEL ESTEVES (RJ/SPI/SUL)"/>
    <n v="62"/>
    <x v="3"/>
    <s v="HOSPITAL E MATERNIDADE SANTA CLARA LTDA - UBERLÂNDIA - MG - 25.761.040/0001-87"/>
    <n v="2"/>
  </r>
  <r>
    <x v="0"/>
    <x v="0"/>
    <x v="0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15"/>
  </r>
  <r>
    <x v="0"/>
    <x v="0"/>
    <x v="0"/>
    <n v="87547444000120"/>
    <x v="517"/>
    <s v="BENTO GONÇALVES"/>
    <s v="RS"/>
    <x v="4"/>
    <s v="RAFAEL ESTEVES (RJ/SPI/SUL)"/>
    <n v="64"/>
    <x v="2"/>
    <s v="ASSOCIACAO DR BARTHOLOMEU TACCHINI - BENTO GONÇALVES - RS - 87.547.444/0001-20"/>
    <n v="2"/>
  </r>
  <r>
    <x v="0"/>
    <x v="0"/>
    <x v="0"/>
    <n v="87827689002405"/>
    <x v="518"/>
    <s v="CAXIAS DO SUL"/>
    <s v="RS"/>
    <x v="4"/>
    <s v="RAFAEL ESTEVES (RJ/SPI/SUL)"/>
    <n v="73"/>
    <x v="1"/>
    <s v="HOSPITAL UNIMED CAXIAS DO SUL - CAXIAS DO SUL - RS - 87.827.689/0024-05"/>
    <n v="38"/>
  </r>
  <r>
    <x v="0"/>
    <x v="1"/>
    <x v="0"/>
    <n v="27578434001525"/>
    <x v="519"/>
    <s v="VITÓRIA"/>
    <s v="ES"/>
    <x v="4"/>
    <s v="RAFAEL ESTEVES (RJ/SPI/SUL)"/>
    <n v="66"/>
    <x v="4"/>
    <s v="CIAS UNIMED VITORIA - CENTRO INTEGRADO ATENCAO A SAUDE - VITÓRIA - ES - 27.578.434/0015-25"/>
    <n v="4"/>
  </r>
  <r>
    <x v="0"/>
    <x v="0"/>
    <x v="0"/>
    <n v="92021062000360"/>
    <x v="520"/>
    <s v="PASSO FUNDO"/>
    <s v="RS"/>
    <x v="4"/>
    <s v="RAFAEL ESTEVES (RJ/SPI/SUL)"/>
    <n v="73"/>
    <x v="1"/>
    <s v="HOSPITAL SAO VICENTE DE PAULO - PASSO FUNDO - RS - 92.021.062/0003-60"/>
    <n v="144"/>
  </r>
  <r>
    <x v="0"/>
    <x v="0"/>
    <x v="0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4"/>
  </r>
  <r>
    <x v="0"/>
    <x v="1"/>
    <x v="0"/>
    <n v="29640612000120"/>
    <x v="522"/>
    <s v="ITAPERUNA"/>
    <s v="RJ"/>
    <x v="4"/>
    <s v="RAFAEL ESTEVES (RJ/SPI/SUL)"/>
    <n v="62"/>
    <x v="3"/>
    <s v="HOSPITAL SAO JOSE DO AVAI - ITAPERUNA - RJ - 29.640.612/0001-20"/>
    <n v="1"/>
  </r>
  <r>
    <x v="0"/>
    <x v="1"/>
    <x v="0"/>
    <n v="29908956000178"/>
    <x v="523"/>
    <s v="JAGUARI"/>
    <s v="RS"/>
    <x v="4"/>
    <s v="RAFAEL ESTEVES (RJ/SPI/SUL)"/>
    <n v="66"/>
    <x v="4"/>
    <s v="LEONARDO VIERO SILVEIRA - JAGUARI - RS - 29.908.956/0001-78"/>
    <n v="4"/>
  </r>
  <r>
    <x v="0"/>
    <x v="1"/>
    <x v="0"/>
    <n v="30079461000162"/>
    <x v="524"/>
    <s v="NITERÓI"/>
    <s v="RJ"/>
    <x v="4"/>
    <s v="RAFAEL ESTEVES (RJ/SPI/SUL)"/>
    <n v="62"/>
    <x v="3"/>
    <s v="CASA DE SAUDE E MATERNIDADE SANTA MARTHA SA - NITERÓI - RJ - 30.079.461/0001-62"/>
    <n v="2"/>
  </r>
  <r>
    <x v="0"/>
    <x v="1"/>
    <x v="0"/>
    <n v="30079461000162"/>
    <x v="524"/>
    <s v="NITERÓI"/>
    <s v="RJ"/>
    <x v="4"/>
    <s v="RAFAEL ESTEVES (RJ/SPI/SUL)"/>
    <n v="64"/>
    <x v="2"/>
    <s v="CASA DE SAUDE E MATERNIDADE SANTA MARTHA SA - NITERÓI - RJ - 30.079.461/0001-62"/>
    <n v="16"/>
  </r>
  <r>
    <x v="0"/>
    <x v="1"/>
    <x v="0"/>
    <n v="35917970000726"/>
    <x v="525"/>
    <s v="VOLTA REDONDA"/>
    <s v="RJ"/>
    <x v="4"/>
    <s v="RAFAEL ESTEVES (RJ/SPI/SUL)"/>
    <n v="73"/>
    <x v="1"/>
    <s v="HOSPITAL UNIMED - VOLTA REDONDA - RJ - 35.917.970/0007-26"/>
    <n v="15"/>
  </r>
  <r>
    <x v="0"/>
    <x v="1"/>
    <x v="0"/>
    <n v="60884855001207"/>
    <x v="505"/>
    <s v="NITERÓI"/>
    <s v="RJ"/>
    <x v="4"/>
    <s v="RAFAEL ESTEVES (RJ/SPI/SUL)"/>
    <n v="62"/>
    <x v="3"/>
    <s v="HOSPITAL HCN - NITERÓI - RJ - 60.884.855/0012-07"/>
    <n v="6"/>
  </r>
  <r>
    <x v="0"/>
    <x v="1"/>
    <x v="0"/>
    <n v="60884855001207"/>
    <x v="505"/>
    <s v="NITERÓI"/>
    <s v="RJ"/>
    <x v="4"/>
    <s v="RAFAEL ESTEVES (RJ/SPI/SUL)"/>
    <n v="64"/>
    <x v="2"/>
    <s v="HOSPITAL HCN - NITERÓI - RJ - 60.884.855/0012-07"/>
    <n v="17"/>
  </r>
  <r>
    <x v="0"/>
    <x v="1"/>
    <x v="0"/>
    <n v="60884855001207"/>
    <x v="505"/>
    <s v="NITERÓI"/>
    <s v="RJ"/>
    <x v="4"/>
    <s v="RAFAEL ESTEVES (RJ/SPI/SUL)"/>
    <n v="73"/>
    <x v="1"/>
    <s v="HOSPITAL HCN - NITERÓI - RJ - 60.884.855/0012-07"/>
    <n v="18"/>
  </r>
  <r>
    <x v="0"/>
    <x v="1"/>
    <x v="0"/>
    <n v="60922168005226"/>
    <x v="506"/>
    <s v="BLUMENAU"/>
    <s v="SC"/>
    <x v="4"/>
    <s v="RAFAEL ESTEVES (RJ/SPI/SUL)"/>
    <n v="62"/>
    <x v="3"/>
    <s v="HOSPITAL SANTA ISABEL - BLUMENAU - SC - 60.922.168/0052-26"/>
    <n v="7"/>
  </r>
  <r>
    <x v="0"/>
    <x v="1"/>
    <x v="0"/>
    <n v="60922168005226"/>
    <x v="506"/>
    <s v="BLUMENAU"/>
    <s v="SC"/>
    <x v="4"/>
    <s v="RAFAEL ESTEVES (RJ/SPI/SUL)"/>
    <n v="64"/>
    <x v="2"/>
    <s v="HOSPITAL SANTA ISABEL - BLUMENAU - SC - 60.922.168/0052-26"/>
    <n v="2"/>
  </r>
  <r>
    <x v="0"/>
    <x v="1"/>
    <x v="0"/>
    <n v="68709211000212"/>
    <x v="526"/>
    <s v="RESENDE"/>
    <s v="RJ"/>
    <x v="4"/>
    <s v="RAFAEL ESTEVES (RJ/SPI/SUL)"/>
    <n v="64"/>
    <x v="2"/>
    <s v="HOSPITAL UNIMED RESENDE - RESENDE - RJ - 68.709.211/0002-12"/>
    <n v="1"/>
  </r>
  <r>
    <x v="0"/>
    <x v="1"/>
    <x v="0"/>
    <n v="77858611001414"/>
    <x v="527"/>
    <s v="SÃO JOSÉ"/>
    <s v="SC"/>
    <x v="4"/>
    <s v="RAFAEL ESTEVES (RJ/SPI/SUL)"/>
    <n v="64"/>
    <x v="2"/>
    <s v="UNIMED GRANDE FLORIANOPOLIS - COOPERATIVA DE TRABALHO MEDICO - SÃO JOSÉ - SC - 77.858.611/0014-14"/>
    <n v="5"/>
  </r>
  <r>
    <x v="0"/>
    <x v="1"/>
    <x v="0"/>
    <n v="80673411000187"/>
    <x v="512"/>
    <s v="FLORIANÓPOLIS"/>
    <s v="SC"/>
    <x v="4"/>
    <s v="RAFAEL ESTEVES (RJ/SPI/SUL)"/>
    <n v="73"/>
    <x v="1"/>
    <s v="FES - FLORIANÓPOLIS - SC - 80.673.411/0001-87"/>
    <n v="48"/>
  </r>
  <r>
    <x v="0"/>
    <x v="1"/>
    <x v="0"/>
    <n v="83899526000425"/>
    <x v="514"/>
    <s v="FLORIANÓPOLIS"/>
    <s v="SC"/>
    <x v="4"/>
    <s v="RAFAEL ESTEVES (RJ/SPI/SUL)"/>
    <n v="62"/>
    <x v="3"/>
    <s v="HU - UFSC - FLORIANÓPOLIS - SC - 83.899.526/0004-25"/>
    <n v="3"/>
  </r>
  <r>
    <x v="0"/>
    <x v="1"/>
    <x v="0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12"/>
  </r>
  <r>
    <x v="0"/>
    <x v="1"/>
    <x v="0"/>
    <n v="87547444000120"/>
    <x v="517"/>
    <s v="BENTO GONÇALVES"/>
    <s v="RS"/>
    <x v="4"/>
    <s v="RAFAEL ESTEVES (RJ/SPI/SUL)"/>
    <n v="64"/>
    <x v="2"/>
    <s v="ASSOCIACAO DR BARTHOLOMEU TACCHINI - BENTO GONÇALVES - RS - 87.547.444/0001-20"/>
    <n v="5"/>
  </r>
  <r>
    <x v="0"/>
    <x v="1"/>
    <x v="0"/>
    <n v="87827689002405"/>
    <x v="518"/>
    <s v="CAXIAS DO SUL"/>
    <s v="RS"/>
    <x v="4"/>
    <s v="RAFAEL ESTEVES (RJ/SPI/SUL)"/>
    <n v="73"/>
    <x v="1"/>
    <s v="HOSPITAL UNIMED CAXIAS DO SUL - CAXIAS DO SUL - RS - 87.827.689/0024-05"/>
    <n v="274"/>
  </r>
  <r>
    <x v="0"/>
    <x v="1"/>
    <x v="0"/>
    <n v="88645403001372"/>
    <x v="528"/>
    <s v="CAXIAS DO SUL"/>
    <s v="RS"/>
    <x v="4"/>
    <s v="RAFAEL ESTEVES (RJ/SPI/SUL)"/>
    <n v="73"/>
    <x v="1"/>
    <s v="HOSPITAL DO CIRCULO - CAXIAS DO SUL - RS - 88.645.403/0013-72"/>
    <n v="32"/>
  </r>
  <r>
    <x v="0"/>
    <x v="1"/>
    <x v="0"/>
    <n v="92404789000164"/>
    <x v="529"/>
    <s v="FREDERICO WESTPHALEN"/>
    <s v="RS"/>
    <x v="4"/>
    <s v="RAFAEL ESTEVES (RJ/SPI/SUL)"/>
    <n v="73"/>
    <x v="1"/>
    <s v="HOSPITAL DIVINA PROVIDENCIA - FREDERICO WESTPHALEN - RS - 92.404.789/0001-64"/>
    <n v="8"/>
  </r>
  <r>
    <x v="0"/>
    <x v="1"/>
    <x v="0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9"/>
  </r>
  <r>
    <x v="0"/>
    <x v="1"/>
    <x v="0"/>
    <n v="95610887000146"/>
    <x v="521"/>
    <s v="SANTA MARIA"/>
    <s v="RS"/>
    <x v="4"/>
    <s v="RAFAEL ESTEVES (RJ/SPI/SUL)"/>
    <n v="64"/>
    <x v="2"/>
    <s v="HOSPITAL DE CARIDADE DR ASTROGILDO DE AZEVEDO - SANTA MARIA - RS - 95.610.887/0001-46"/>
    <n v="9"/>
  </r>
  <r>
    <x v="0"/>
    <x v="2"/>
    <x v="0"/>
    <n v="48063983904"/>
    <x v="530"/>
    <s v="FLORIANÓPOLIS"/>
    <s v="SC"/>
    <x v="4"/>
    <s v="RAFAEL ESTEVES (RJ/SPI/SUL)"/>
    <n v="66"/>
    <x v="4"/>
    <s v="MARCELO CESAR AVILA - FLORIANÓPOLIS - SC - 480.639.839-04"/>
    <n v="59"/>
  </r>
  <r>
    <x v="0"/>
    <x v="2"/>
    <x v="0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46"/>
  </r>
  <r>
    <x v="0"/>
    <x v="2"/>
    <x v="0"/>
    <n v="437007000175"/>
    <x v="480"/>
    <s v="NITERÓI"/>
    <s v="RJ"/>
    <x v="4"/>
    <s v="RAFAEL ESTEVES (RJ/SPI/SUL)"/>
    <n v="73"/>
    <x v="1"/>
    <s v="CON-CENTRO ONCOLOGICO DE NITEROI LTDA - NITERÓI - RJ - 00.437.007/0001-75"/>
    <n v="298"/>
  </r>
  <r>
    <x v="0"/>
    <x v="2"/>
    <x v="0"/>
    <n v="1517626000132"/>
    <x v="482"/>
    <s v="BALNEÁRIO CAMBORIÚ"/>
    <s v="SC"/>
    <x v="4"/>
    <s v="RAFAEL ESTEVES (RJ/SPI/SUL)"/>
    <n v="73"/>
    <x v="1"/>
    <s v="HOSPITAL DO CORACAO DE BALNEARIO CAMBORIU LTDA - BALNEÁRIO CAMBORIÚ - SC - 01.517.626/0001-32"/>
    <n v="12"/>
  </r>
  <r>
    <x v="0"/>
    <x v="2"/>
    <x v="0"/>
    <n v="6047087001372"/>
    <x v="483"/>
    <s v="DUQUE DE CAXIAS"/>
    <s v="RJ"/>
    <x v="4"/>
    <s v="RAFAEL ESTEVES (RJ/SPI/SUL)"/>
    <n v="64"/>
    <x v="2"/>
    <s v="HOSPITAL CAXIAS DOR  (REDE DOR) - DUQUE DE CAXIAS - RJ - 06.047.087/0013-72"/>
    <n v="2"/>
  </r>
  <r>
    <x v="0"/>
    <x v="2"/>
    <x v="0"/>
    <n v="7734165000136"/>
    <x v="484"/>
    <s v="CURITIBA"/>
    <s v="PR"/>
    <x v="4"/>
    <s v="RAFAEL ESTEVES (RJ/SPI/SUL)"/>
    <n v="73"/>
    <x v="1"/>
    <s v="CIONC - CENTRO INTEGRADO DE ONCOLOGIA DE CURITIBA S/S - CURITIBA - PR - 07.734.165/0001-36"/>
    <n v="96"/>
  </r>
  <r>
    <x v="0"/>
    <x v="2"/>
    <x v="0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28"/>
  </r>
  <r>
    <x v="0"/>
    <x v="2"/>
    <x v="0"/>
    <n v="10558548000105"/>
    <x v="531"/>
    <s v="MANGARATIBA"/>
    <s v="RJ"/>
    <x v="4"/>
    <s v="RAFAEL ESTEVES (RJ/SPI/SUL)"/>
    <n v="66"/>
    <x v="4"/>
    <s v="DROGARIA DA PRACA - MANGARATIBA - RJ - 10.558.548/0001-05"/>
    <n v="3"/>
  </r>
  <r>
    <x v="0"/>
    <x v="2"/>
    <x v="0"/>
    <n v="10586940000168"/>
    <x v="532"/>
    <s v="VITÓRIA"/>
    <s v="ES"/>
    <x v="4"/>
    <s v="RAFAEL ESTEVES (RJ/SPI/SUL)"/>
    <n v="62"/>
    <x v="3"/>
    <s v="ONCOVIT DISTRIBUIDORA DE MEDICAMENTOS LTDA - VITÓRIA - ES - 10.586.940/0001-68"/>
    <n v="10"/>
  </r>
  <r>
    <x v="0"/>
    <x v="2"/>
    <x v="0"/>
    <n v="10586940000168"/>
    <x v="532"/>
    <s v="VITÓRIA"/>
    <s v="ES"/>
    <x v="4"/>
    <s v="RAFAEL ESTEVES (RJ/SPI/SUL)"/>
    <n v="64"/>
    <x v="2"/>
    <s v="ONCOVIT DISTRIBUIDORA DE MEDICAMENTOS LTDA - VITÓRIA - ES - 10.586.940/0001-68"/>
    <n v="25"/>
  </r>
  <r>
    <x v="0"/>
    <x v="2"/>
    <x v="0"/>
    <n v="10586940000168"/>
    <x v="532"/>
    <s v="VITÓRIA"/>
    <s v="ES"/>
    <x v="4"/>
    <s v="RAFAEL ESTEVES (RJ/SPI/SUL)"/>
    <n v="73"/>
    <x v="1"/>
    <s v="ONCOVIT DISTRIBUIDORA DE MEDICAMENTOS LTDA - VITÓRIA - ES - 10.586.940/0001-68"/>
    <n v="98"/>
  </r>
  <r>
    <x v="0"/>
    <x v="2"/>
    <x v="0"/>
    <n v="14408631000159"/>
    <x v="488"/>
    <s v="VIÇOSA"/>
    <s v="MG"/>
    <x v="4"/>
    <s v="RAFAEL ESTEVES (RJ/SPI/SUL)"/>
    <n v="73"/>
    <x v="1"/>
    <s v="PLAMHUV - VIÇOSA - MG - 14.408.631/0001-59"/>
    <n v="8"/>
  </r>
  <r>
    <x v="0"/>
    <x v="2"/>
    <x v="0"/>
    <n v="16676520000582"/>
    <x v="533"/>
    <s v="BELO HORIZONTE"/>
    <s v="MG"/>
    <x v="4"/>
    <s v="RAFAEL ESTEVES (RJ/SPI/SUL)"/>
    <n v="62"/>
    <x v="3"/>
    <s v="HOSPITAL MATER DEI - BELO HORIZONTE - MG - PRIVADO - 16.676.520/0005-82"/>
    <n v="2"/>
  </r>
  <r>
    <x v="0"/>
    <x v="2"/>
    <x v="0"/>
    <n v="17087591000189"/>
    <x v="492"/>
    <s v="UBERLÂNDIA"/>
    <s v="MG"/>
    <x v="4"/>
    <s v="RAFAEL ESTEVES (RJ/SPI/SUL)"/>
    <n v="62"/>
    <x v="3"/>
    <s v="UBERLANDIA MEDICAL CENTER - UBERLÂNDIA - MG - 17.087.591/0001-89"/>
    <n v="2"/>
  </r>
  <r>
    <x v="0"/>
    <x v="2"/>
    <x v="0"/>
    <n v="17214149000176"/>
    <x v="493"/>
    <s v="BELO HORIZONTE"/>
    <s v="MG"/>
    <x v="4"/>
    <s v="RAFAEL ESTEVES (RJ/SPI/SUL)"/>
    <n v="62"/>
    <x v="3"/>
    <s v="FUNDACAO FELICE ROSSO - BELO HORIZONTE - MG - 17.214.149/0001-76"/>
    <n v="8"/>
  </r>
  <r>
    <x v="0"/>
    <x v="2"/>
    <x v="0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6"/>
  </r>
  <r>
    <x v="0"/>
    <x v="2"/>
    <x v="0"/>
    <n v="18836965000184"/>
    <x v="534"/>
    <s v="RAUL SOARES"/>
    <s v="MG"/>
    <x v="4"/>
    <s v="RAFAEL ESTEVES (RJ/SPI/SUL)"/>
    <n v="73"/>
    <x v="1"/>
    <s v="RAUL SOARES GABINETE DO PREFEITO - RAUL SOARES - MG - 18.836.965/0001-84"/>
    <n v="20"/>
  </r>
  <r>
    <x v="0"/>
    <x v="2"/>
    <x v="0"/>
    <n v="19878404000100"/>
    <x v="497"/>
    <s v="IPATINGA"/>
    <s v="MG"/>
    <x v="4"/>
    <s v="RAFAEL ESTEVES (RJ/SPI/SUL)"/>
    <n v="73"/>
    <x v="1"/>
    <s v="HOSPITAL MARCIO CUNHA - IPATINGA - MG - 19.878.404/0001-00"/>
    <n v="52"/>
  </r>
  <r>
    <x v="0"/>
    <x v="2"/>
    <x v="0"/>
    <n v="20150900000122"/>
    <x v="498"/>
    <s v="UBERLÂNDIA"/>
    <s v="MG"/>
    <x v="4"/>
    <s v="RAFAEL ESTEVES (RJ/SPI/SUL)"/>
    <n v="73"/>
    <x v="1"/>
    <s v="HOSPITAL E MATERNIDADE MADRECOR - UBERLÂNDIA - MG - 20.150.900/0001-22"/>
    <n v="18"/>
  </r>
  <r>
    <x v="0"/>
    <x v="2"/>
    <x v="0"/>
    <n v="20909271000171"/>
    <x v="507"/>
    <s v="ARAGUARI"/>
    <s v="MG"/>
    <x v="4"/>
    <s v="RAFAEL ESTEVES (RJ/SPI/SUL)"/>
    <n v="73"/>
    <x v="1"/>
    <s v="UNIMED ARAGUARI - ARAGUARI - MG - 20.909.271/0001-71"/>
    <n v="70"/>
  </r>
  <r>
    <x v="0"/>
    <x v="2"/>
    <x v="0"/>
    <n v="25308058000128"/>
    <x v="535"/>
    <s v="MIRACEMA"/>
    <s v="RJ"/>
    <x v="4"/>
    <s v="RAFAEL ESTEVES (RJ/SPI/SUL)"/>
    <n v="64"/>
    <x v="2"/>
    <s v="LIFE HOME CARE - MIRACEMA - RJ - 25.308.058/0001-28"/>
    <n v="2"/>
  </r>
  <r>
    <x v="0"/>
    <x v="2"/>
    <x v="0"/>
    <n v="25761040000187"/>
    <x v="515"/>
    <s v="UBERLÂNDIA"/>
    <s v="MG"/>
    <x v="4"/>
    <s v="RAFAEL ESTEVES (RJ/SPI/SUL)"/>
    <n v="62"/>
    <x v="3"/>
    <s v="HOSPITAL E MATERNIDADE SANTA CLARA LTDA - UBERLÂNDIA - MG - 25.761.040/0001-87"/>
    <n v="6"/>
  </r>
  <r>
    <x v="0"/>
    <x v="2"/>
    <x v="0"/>
    <n v="28806545000532"/>
    <x v="502"/>
    <s v="PETRÓPOLIS"/>
    <s v="RJ"/>
    <x v="4"/>
    <s v="RAFAEL ESTEVES (RJ/SPI/SUL)"/>
    <n v="73"/>
    <x v="1"/>
    <s v="HOSPITAL UNIMED - PETRÓPOLIS - RJ - 28.806.545/0005-32"/>
    <n v="96"/>
  </r>
  <r>
    <x v="0"/>
    <x v="2"/>
    <x v="0"/>
    <n v="29072642000188"/>
    <x v="503"/>
    <s v="RESENDE"/>
    <s v="RJ"/>
    <x v="4"/>
    <s v="RAFAEL ESTEVES (RJ/SPI/SUL)"/>
    <n v="64"/>
    <x v="2"/>
    <s v="SAMER HOSPITAL - RESENDE - RJ - 29.072.642/0001-88"/>
    <n v="10"/>
  </r>
  <r>
    <x v="0"/>
    <x v="2"/>
    <x v="0"/>
    <n v="35917970000726"/>
    <x v="525"/>
    <s v="VOLTA REDONDA"/>
    <s v="RJ"/>
    <x v="4"/>
    <s v="RAFAEL ESTEVES (RJ/SPI/SUL)"/>
    <n v="73"/>
    <x v="1"/>
    <s v="HOSPITAL UNIMED - VOLTA REDONDA - RJ - 35.917.970/0007-26"/>
    <n v="30"/>
  </r>
  <r>
    <x v="0"/>
    <x v="2"/>
    <x v="0"/>
    <n v="36238913000198"/>
    <x v="536"/>
    <s v="ANGRA DOS REIS"/>
    <s v="RJ"/>
    <x v="4"/>
    <s v="RAFAEL ESTEVES (RJ/SPI/SUL)"/>
    <n v="73"/>
    <x v="1"/>
    <s v="MEDCLINICA DO CENTRO DE TERESOPOLIS - ANGRA DOS REIS - RJ - 36.238.913/0001-98"/>
    <n v="200"/>
  </r>
  <r>
    <x v="0"/>
    <x v="2"/>
    <x v="0"/>
    <n v="60194990000844"/>
    <x v="537"/>
    <s v="BELO HORIZONTE"/>
    <s v="MG"/>
    <x v="4"/>
    <s v="RAFAEL ESTEVES (RJ/SPI/SUL)"/>
    <n v="62"/>
    <x v="3"/>
    <s v="HOSPITAL MADRE TERESA - BELO HORIZONTE - MG - 60.194.990/0008-44"/>
    <n v="3"/>
  </r>
  <r>
    <x v="0"/>
    <x v="2"/>
    <x v="0"/>
    <n v="60884855001207"/>
    <x v="505"/>
    <s v="NITERÓI"/>
    <s v="RJ"/>
    <x v="4"/>
    <s v="RAFAEL ESTEVES (RJ/SPI/SUL)"/>
    <n v="62"/>
    <x v="3"/>
    <s v="HOSPITAL HCN - NITERÓI - RJ - 60.884.855/0012-07"/>
    <n v="13"/>
  </r>
  <r>
    <x v="0"/>
    <x v="2"/>
    <x v="0"/>
    <n v="60884855001207"/>
    <x v="505"/>
    <s v="NITERÓI"/>
    <s v="RJ"/>
    <x v="4"/>
    <s v="RAFAEL ESTEVES (RJ/SPI/SUL)"/>
    <n v="73"/>
    <x v="1"/>
    <s v="HOSPITAL HCN - NITERÓI - RJ - 60.884.855/0012-07"/>
    <n v="40"/>
  </r>
  <r>
    <x v="0"/>
    <x v="2"/>
    <x v="0"/>
    <n v="60922168005226"/>
    <x v="506"/>
    <s v="BLUMENAU"/>
    <s v="SC"/>
    <x v="4"/>
    <s v="RAFAEL ESTEVES (RJ/SPI/SUL)"/>
    <n v="64"/>
    <x v="2"/>
    <s v="HOSPITAL SANTA ISABEL - BLUMENAU - SC - 60.922.168/0052-26"/>
    <n v="1"/>
  </r>
  <r>
    <x v="0"/>
    <x v="2"/>
    <x v="0"/>
    <n v="76555069000143"/>
    <x v="510"/>
    <s v="CURITIBA"/>
    <s v="PR"/>
    <x v="4"/>
    <s v="RAFAEL ESTEVES (RJ/SPI/SUL)"/>
    <n v="62"/>
    <x v="3"/>
    <s v="HOSPITAL SANTA CRUZ SOCIEDADE ANONIMA - CURITIBA - PR - 76.555.069/0001-43"/>
    <n v="2"/>
  </r>
  <r>
    <x v="0"/>
    <x v="2"/>
    <x v="0"/>
    <n v="76591569000130"/>
    <x v="511"/>
    <s v="CURITIBA"/>
    <s v="PR"/>
    <x v="4"/>
    <s v="RAFAEL ESTEVES (RJ/SPI/SUL)"/>
    <n v="73"/>
    <x v="1"/>
    <s v="HOSPITAL INFANTIL PEQUENO PRINCIPE - CURITIBA - PR - 76.591.569/0001-30"/>
    <n v="12"/>
  </r>
  <r>
    <x v="0"/>
    <x v="2"/>
    <x v="0"/>
    <n v="80673411000187"/>
    <x v="512"/>
    <s v="FLORIANÓPOLIS"/>
    <s v="SC"/>
    <x v="4"/>
    <s v="RAFAEL ESTEVES (RJ/SPI/SUL)"/>
    <n v="66"/>
    <x v="4"/>
    <s v="FES - FLORIANÓPOLIS - SC - 80.673.411/0001-87"/>
    <n v="76"/>
  </r>
  <r>
    <x v="0"/>
    <x v="2"/>
    <x v="0"/>
    <n v="81270548000153"/>
    <x v="538"/>
    <s v="CASCAVEL"/>
    <s v="PR"/>
    <x v="4"/>
    <s v="RAFAEL ESTEVES (RJ/SPI/SUL)"/>
    <n v="62"/>
    <x v="3"/>
    <s v="UOPECCAN - CASCAVEL - PR - 81.270.548/0001-53"/>
    <n v="3"/>
  </r>
  <r>
    <x v="0"/>
    <x v="2"/>
    <x v="0"/>
    <n v="83899526000425"/>
    <x v="514"/>
    <s v="FLORIANÓPOLIS"/>
    <s v="SC"/>
    <x v="4"/>
    <s v="RAFAEL ESTEVES (RJ/SPI/SUL)"/>
    <n v="62"/>
    <x v="3"/>
    <s v="HU - UFSC - FLORIANÓPOLIS - SC - 83.899.526/0004-25"/>
    <n v="6"/>
  </r>
  <r>
    <x v="0"/>
    <x v="2"/>
    <x v="0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18"/>
  </r>
  <r>
    <x v="0"/>
    <x v="2"/>
    <x v="0"/>
    <n v="87827689002405"/>
    <x v="518"/>
    <s v="CAXIAS DO SUL"/>
    <s v="RS"/>
    <x v="4"/>
    <s v="RAFAEL ESTEVES (RJ/SPI/SUL)"/>
    <n v="73"/>
    <x v="1"/>
    <s v="HOSPITAL UNIMED CAXIAS DO SUL - CAXIAS DO SUL - RS - 87.827.689/0024-05"/>
    <n v="209"/>
  </r>
  <r>
    <x v="0"/>
    <x v="2"/>
    <x v="0"/>
    <n v="88645403001372"/>
    <x v="528"/>
    <s v="CAXIAS DO SUL"/>
    <s v="RS"/>
    <x v="4"/>
    <s v="RAFAEL ESTEVES (RJ/SPI/SUL)"/>
    <n v="73"/>
    <x v="1"/>
    <s v="HOSPITAL DO CIRCULO - CAXIAS DO SUL - RS - 88.645.403/0013-72"/>
    <n v="32"/>
  </r>
  <r>
    <x v="0"/>
    <x v="2"/>
    <x v="0"/>
    <n v="92404789000164"/>
    <x v="529"/>
    <s v="FREDERICO WESTPHALEN"/>
    <s v="RS"/>
    <x v="4"/>
    <s v="RAFAEL ESTEVES (RJ/SPI/SUL)"/>
    <n v="73"/>
    <x v="1"/>
    <s v="HOSPITAL DIVINA PROVIDENCIA - FREDERICO WESTPHALEN - RS - 92.404.789/0001-64"/>
    <n v="16"/>
  </r>
  <r>
    <x v="0"/>
    <x v="2"/>
    <x v="0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3"/>
  </r>
  <r>
    <x v="0"/>
    <x v="3"/>
    <x v="1"/>
    <n v="304148000110"/>
    <x v="477"/>
    <s v="FOZ DO IGUAÇU"/>
    <s v="PR"/>
    <x v="4"/>
    <s v="RAFAEL ESTEVES (RJ/SPI/SUL)"/>
    <n v="73"/>
    <x v="1"/>
    <s v="HOSPITAL MINISTRO COSTA CAVALCANTI - FOZ DO IGUAÇU - PR - 00.304.148/0001-10"/>
    <n v="16"/>
  </r>
  <r>
    <x v="0"/>
    <x v="3"/>
    <x v="1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58"/>
  </r>
  <r>
    <x v="0"/>
    <x v="3"/>
    <x v="1"/>
    <n v="437007000175"/>
    <x v="480"/>
    <s v="NITERÓI"/>
    <s v="RJ"/>
    <x v="4"/>
    <s v="RAFAEL ESTEVES (RJ/SPI/SUL)"/>
    <n v="73"/>
    <x v="1"/>
    <s v="CON-CENTRO ONCOLOGICO DE NITEROI LTDA - NITERÓI - RJ - 00.437.007/0001-75"/>
    <n v="369"/>
  </r>
  <r>
    <x v="0"/>
    <x v="3"/>
    <x v="1"/>
    <n v="3123393000208"/>
    <x v="539"/>
    <s v="ESTRELA"/>
    <s v="RS"/>
    <x v="4"/>
    <s v="RAFAEL ESTEVES (RJ/SPI/SUL)"/>
    <n v="73"/>
    <x v="1"/>
    <s v="HOSPITAL ESTRELA - ESTRELA - RS - 03.123.393/0002-08"/>
    <n v="3"/>
  </r>
  <r>
    <x v="0"/>
    <x v="3"/>
    <x v="1"/>
    <n v="6047087001372"/>
    <x v="483"/>
    <s v="DUQUE DE CAXIAS"/>
    <s v="RJ"/>
    <x v="4"/>
    <s v="RAFAEL ESTEVES (RJ/SPI/SUL)"/>
    <n v="64"/>
    <x v="2"/>
    <s v="HOSPITAL CAXIAS DOR  (REDE DOR) - DUQUE DE CAXIAS - RJ - 06.047.087/0013-72"/>
    <n v="9"/>
  </r>
  <r>
    <x v="0"/>
    <x v="3"/>
    <x v="1"/>
    <n v="14408631000159"/>
    <x v="488"/>
    <s v="VIÇOSA"/>
    <s v="MG"/>
    <x v="4"/>
    <s v="RAFAEL ESTEVES (RJ/SPI/SUL)"/>
    <n v="73"/>
    <x v="1"/>
    <s v="PLAMHUV - VIÇOSA - MG - 14.408.631/0001-59"/>
    <n v="12"/>
  </r>
  <r>
    <x v="0"/>
    <x v="3"/>
    <x v="1"/>
    <n v="15126437001972"/>
    <x v="489"/>
    <s v="SANTA MARIA"/>
    <s v="RS"/>
    <x v="4"/>
    <s v="RAFAEL ESTEVES (RJ/SPI/SUL)"/>
    <n v="64"/>
    <x v="2"/>
    <s v="EBSERH - HOSPITAL UNIVERSITARIO DE SANTA MARIA - SANTA MARIA - RS - 15.126.437/0019-72"/>
    <n v="10"/>
  </r>
  <r>
    <x v="0"/>
    <x v="3"/>
    <x v="1"/>
    <n v="16676520000159"/>
    <x v="490"/>
    <s v="BELO HORIZONTE"/>
    <s v="MG"/>
    <x v="4"/>
    <s v="RAFAEL ESTEVES (RJ/SPI/SUL)"/>
    <n v="62"/>
    <x v="3"/>
    <s v="HOSPITAL MATER DEI SA - BELO HORIZONTE - MG - 16.676.520/0001-59"/>
    <n v="4"/>
  </r>
  <r>
    <x v="0"/>
    <x v="3"/>
    <x v="1"/>
    <n v="17087591000189"/>
    <x v="492"/>
    <s v="UBERLÂNDIA"/>
    <s v="MG"/>
    <x v="4"/>
    <s v="RAFAEL ESTEVES (RJ/SPI/SUL)"/>
    <n v="62"/>
    <x v="3"/>
    <s v="UBERLANDIA MEDICAL CENTER - UBERLÂNDIA - MG - 17.087.591/0001-89"/>
    <n v="3"/>
  </r>
  <r>
    <x v="0"/>
    <x v="3"/>
    <x v="1"/>
    <n v="17214149000176"/>
    <x v="493"/>
    <s v="BELO HORIZONTE"/>
    <s v="MG"/>
    <x v="4"/>
    <s v="RAFAEL ESTEVES (RJ/SPI/SUL)"/>
    <n v="62"/>
    <x v="3"/>
    <s v="FUNDACAO FELICE ROSSO - BELO HORIZONTE - MG - 17.214.149/0001-76"/>
    <n v="56"/>
  </r>
  <r>
    <x v="0"/>
    <x v="3"/>
    <x v="1"/>
    <n v="17217332003906"/>
    <x v="540"/>
    <s v="BELO HORIZONTE"/>
    <s v="MG"/>
    <x v="4"/>
    <s v="RAFAEL ESTEVES (RJ/SPI/SUL)"/>
    <n v="73"/>
    <x v="1"/>
    <s v="HOSPITAL GOVERNADOR ISRAEL PINHEIRO - HGIP - BELO HORIZONTE - MG - 17.217.332/0039-06"/>
    <n v="220"/>
  </r>
  <r>
    <x v="0"/>
    <x v="3"/>
    <x v="1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11"/>
  </r>
  <r>
    <x v="0"/>
    <x v="3"/>
    <x v="1"/>
    <n v="19843929001506"/>
    <x v="541"/>
    <s v="BELO HORIZONTE"/>
    <s v="MG"/>
    <x v="4"/>
    <s v="RAFAEL ESTEVES (RJ/SPI/SUL)"/>
    <n v="73"/>
    <x v="1"/>
    <s v="HOSPITAL INFANTIL JOAO PAULO II - BELO HORIZONTE - MG - 19.843.929/0015-06"/>
    <n v="85"/>
  </r>
  <r>
    <x v="0"/>
    <x v="3"/>
    <x v="1"/>
    <n v="20150900000122"/>
    <x v="498"/>
    <s v="UBERLÂNDIA"/>
    <s v="MG"/>
    <x v="4"/>
    <s v="RAFAEL ESTEVES (RJ/SPI/SUL)"/>
    <n v="73"/>
    <x v="1"/>
    <s v="HOSPITAL E MATERNIDADE MADRECOR - UBERLÂNDIA - MG - 20.150.900/0001-22"/>
    <n v="12"/>
  </r>
  <r>
    <x v="0"/>
    <x v="3"/>
    <x v="1"/>
    <n v="21040696000311"/>
    <x v="499"/>
    <s v="ITAJUBÁ"/>
    <s v="MG"/>
    <x v="4"/>
    <s v="RAFAEL ESTEVES (RJ/SPI/SUL)"/>
    <n v="64"/>
    <x v="2"/>
    <s v="AISI FMIT HE - ITAJUBÁ - MG - 21.040.696/0003-11"/>
    <n v="2"/>
  </r>
  <r>
    <x v="0"/>
    <x v="3"/>
    <x v="1"/>
    <n v="23338387000196"/>
    <x v="500"/>
    <s v="PATOS DE MINAS"/>
    <s v="MG"/>
    <x v="4"/>
    <s v="RAFAEL ESTEVES (RJ/SPI/SUL)"/>
    <n v="73"/>
    <x v="1"/>
    <s v="CASA DE SAUDE E MATERNIDADE NOSSA SENHORA DE FATIMA S A - PATOS DE MINAS - MG - 23.338.387/0001-96"/>
    <n v="10"/>
  </r>
  <r>
    <x v="0"/>
    <x v="3"/>
    <x v="1"/>
    <n v="25761040000187"/>
    <x v="515"/>
    <s v="UBERLÂNDIA"/>
    <s v="MG"/>
    <x v="4"/>
    <s v="RAFAEL ESTEVES (RJ/SPI/SUL)"/>
    <n v="62"/>
    <x v="3"/>
    <s v="HOSPITAL E MATERNIDADE SANTA CLARA LTDA - UBERLÂNDIA - MG - 25.761.040/0001-87"/>
    <n v="2"/>
  </r>
  <r>
    <x v="0"/>
    <x v="3"/>
    <x v="1"/>
    <n v="28806545000532"/>
    <x v="502"/>
    <s v="PETRÓPOLIS"/>
    <s v="RJ"/>
    <x v="4"/>
    <s v="RAFAEL ESTEVES (RJ/SPI/SUL)"/>
    <n v="73"/>
    <x v="1"/>
    <s v="HOSPITAL UNIMED - PETRÓPOLIS - RJ - 28.806.545/0005-32"/>
    <n v="72"/>
  </r>
  <r>
    <x v="0"/>
    <x v="3"/>
    <x v="1"/>
    <n v="29072642000188"/>
    <x v="503"/>
    <s v="RESENDE"/>
    <s v="RJ"/>
    <x v="4"/>
    <s v="RAFAEL ESTEVES (RJ/SPI/SUL)"/>
    <n v="64"/>
    <x v="2"/>
    <s v="SAMER HOSPITAL - RESENDE - RJ - 29.072.642/0001-88"/>
    <n v="8"/>
  </r>
  <r>
    <x v="0"/>
    <x v="3"/>
    <x v="1"/>
    <n v="29435005003497"/>
    <x v="542"/>
    <s v="DUQUE DE CAXIAS"/>
    <s v="RJ"/>
    <x v="4"/>
    <s v="RAFAEL ESTEVES (RJ/SPI/SUL)"/>
    <n v="62"/>
    <x v="3"/>
    <s v="HOSPITAL MARIO LIONI - DUQUE DE CAXIAS - RJ - 29.435.005/0034-97"/>
    <n v="3"/>
  </r>
  <r>
    <x v="0"/>
    <x v="3"/>
    <x v="1"/>
    <n v="29435005003497"/>
    <x v="542"/>
    <s v="DUQUE DE CAXIAS"/>
    <s v="RJ"/>
    <x v="4"/>
    <s v="RAFAEL ESTEVES (RJ/SPI/SUL)"/>
    <n v="64"/>
    <x v="2"/>
    <s v="HOSPITAL MARIO LIONI - DUQUE DE CAXIAS - RJ - 29.435.005/0034-97"/>
    <n v="14"/>
  </r>
  <r>
    <x v="0"/>
    <x v="3"/>
    <x v="1"/>
    <n v="30145502000171"/>
    <x v="543"/>
    <s v="NITERÓI"/>
    <s v="RJ"/>
    <x v="4"/>
    <s v="RAFAEL ESTEVES (RJ/SPI/SUL)"/>
    <n v="64"/>
    <x v="2"/>
    <s v="NITEROI DOR (REDE DOR) - NITERÓI - RJ - 30.145.502/0001-71"/>
    <n v="10"/>
  </r>
  <r>
    <x v="0"/>
    <x v="3"/>
    <x v="1"/>
    <n v="35917970000726"/>
    <x v="525"/>
    <s v="VOLTA REDONDA"/>
    <s v="RJ"/>
    <x v="4"/>
    <s v="RAFAEL ESTEVES (RJ/SPI/SUL)"/>
    <n v="73"/>
    <x v="1"/>
    <s v="HOSPITAL UNIMED - VOLTA REDONDA - RJ - 35.917.970/0007-26"/>
    <n v="30"/>
  </r>
  <r>
    <x v="0"/>
    <x v="3"/>
    <x v="1"/>
    <n v="36238913000198"/>
    <x v="536"/>
    <s v="ANGRA DOS REIS"/>
    <s v="RJ"/>
    <x v="4"/>
    <s v="RAFAEL ESTEVES (RJ/SPI/SUL)"/>
    <n v="73"/>
    <x v="1"/>
    <s v="MEDCLINICA DO CENTRO DE TERESOPOLIS - ANGRA DOS REIS - RJ - 36.238.913/0001-98"/>
    <n v="68"/>
  </r>
  <r>
    <x v="0"/>
    <x v="3"/>
    <x v="1"/>
    <n v="60884855001207"/>
    <x v="505"/>
    <s v="NITERÓI"/>
    <s v="RJ"/>
    <x v="4"/>
    <s v="RAFAEL ESTEVES (RJ/SPI/SUL)"/>
    <n v="62"/>
    <x v="3"/>
    <s v="HOSPITAL HCN - NITERÓI - RJ - 60.884.855/0012-07"/>
    <n v="2"/>
  </r>
  <r>
    <x v="0"/>
    <x v="3"/>
    <x v="1"/>
    <n v="60884855001207"/>
    <x v="505"/>
    <s v="NITERÓI"/>
    <s v="RJ"/>
    <x v="4"/>
    <s v="RAFAEL ESTEVES (RJ/SPI/SUL)"/>
    <n v="64"/>
    <x v="2"/>
    <s v="HOSPITAL HCN - NITERÓI - RJ - 60.884.855/0012-07"/>
    <n v="12"/>
  </r>
  <r>
    <x v="0"/>
    <x v="3"/>
    <x v="1"/>
    <n v="60884855001207"/>
    <x v="505"/>
    <s v="NITERÓI"/>
    <s v="RJ"/>
    <x v="4"/>
    <s v="RAFAEL ESTEVES (RJ/SPI/SUL)"/>
    <n v="73"/>
    <x v="1"/>
    <s v="HOSPITAL HCN - NITERÓI - RJ - 60.884.855/0012-07"/>
    <n v="50"/>
  </r>
  <r>
    <x v="0"/>
    <x v="3"/>
    <x v="1"/>
    <n v="60922168005226"/>
    <x v="506"/>
    <s v="BLUMENAU"/>
    <s v="SC"/>
    <x v="4"/>
    <s v="RAFAEL ESTEVES (RJ/SPI/SUL)"/>
    <n v="62"/>
    <x v="3"/>
    <s v="HOSPITAL SANTA ISABEL - BLUMENAU - SC - 60.922.168/0052-26"/>
    <n v="2"/>
  </r>
  <r>
    <x v="0"/>
    <x v="3"/>
    <x v="1"/>
    <n v="75055772002254"/>
    <x v="544"/>
    <s v="CURITIBA"/>
    <s v="PR"/>
    <x v="4"/>
    <s v="RAFAEL ESTEVES (RJ/SPI/SUL)"/>
    <n v="73"/>
    <x v="1"/>
    <s v="UNIMED CURITIBA - UNIDADE PADRE GERMANO MAYER - CURITIBA - PR - 75.055.772/0022-54"/>
    <n v="7"/>
  </r>
  <r>
    <x v="0"/>
    <x v="3"/>
    <x v="1"/>
    <n v="75095679000220"/>
    <x v="545"/>
    <s v="CURITIBA"/>
    <s v="PR"/>
    <x v="4"/>
    <s v="RAFAEL ESTEVES (RJ/SPI/SUL)"/>
    <n v="66"/>
    <x v="4"/>
    <s v="HOSPITAL DE CLINICAS - CURITIBA - PR - 75.095.679/0002-20"/>
    <n v="48"/>
  </r>
  <r>
    <x v="0"/>
    <x v="3"/>
    <x v="1"/>
    <n v="76555069000143"/>
    <x v="510"/>
    <s v="CURITIBA"/>
    <s v="PR"/>
    <x v="4"/>
    <s v="RAFAEL ESTEVES (RJ/SPI/SUL)"/>
    <n v="62"/>
    <x v="3"/>
    <s v="HOSPITAL SANTA CRUZ SOCIEDADE ANONIMA - CURITIBA - PR - 76.555.069/0001-43"/>
    <n v="3"/>
  </r>
  <r>
    <x v="0"/>
    <x v="3"/>
    <x v="1"/>
    <n v="76555069000143"/>
    <x v="510"/>
    <s v="CURITIBA"/>
    <s v="PR"/>
    <x v="4"/>
    <s v="RAFAEL ESTEVES (RJ/SPI/SUL)"/>
    <n v="64"/>
    <x v="2"/>
    <s v="HOSPITAL SANTA CRUZ SOCIEDADE ANONIMA - CURITIBA - PR - 76.555.069/0001-43"/>
    <n v="2"/>
  </r>
  <r>
    <x v="0"/>
    <x v="3"/>
    <x v="1"/>
    <n v="80673411000187"/>
    <x v="512"/>
    <s v="FLORIANÓPOLIS"/>
    <s v="SC"/>
    <x v="4"/>
    <s v="RAFAEL ESTEVES (RJ/SPI/SUL)"/>
    <n v="66"/>
    <x v="4"/>
    <s v="FES - FLORIANÓPOLIS - SC - 80.673.411/0001-87"/>
    <n v="80"/>
  </r>
  <r>
    <x v="0"/>
    <x v="3"/>
    <x v="1"/>
    <n v="83884999000106"/>
    <x v="546"/>
    <s v="FLORIANÓPOLIS"/>
    <s v="SC"/>
    <x v="4"/>
    <s v="RAFAEL ESTEVES (RJ/SPI/SUL)"/>
    <n v="64"/>
    <x v="2"/>
    <s v="IMPERIAL HOSPITAL DE CARIDADE - FLORIANÓPOLIS - SC - 83.884.999/0001-06"/>
    <n v="6"/>
  </r>
  <r>
    <x v="0"/>
    <x v="3"/>
    <x v="1"/>
    <n v="83899526000425"/>
    <x v="514"/>
    <s v="FLORIANÓPOLIS"/>
    <s v="SC"/>
    <x v="4"/>
    <s v="RAFAEL ESTEVES (RJ/SPI/SUL)"/>
    <n v="62"/>
    <x v="3"/>
    <s v="HU - UFSC - FLORIANÓPOLIS - SC - 83.899.526/0004-25"/>
    <n v="11"/>
  </r>
  <r>
    <x v="0"/>
    <x v="3"/>
    <x v="1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42"/>
  </r>
  <r>
    <x v="0"/>
    <x v="3"/>
    <x v="1"/>
    <n v="87317764001165"/>
    <x v="547"/>
    <s v="ESTRELA"/>
    <s v="RS"/>
    <x v="4"/>
    <s v="RAFAEL ESTEVES (RJ/SPI/SUL)"/>
    <n v="73"/>
    <x v="1"/>
    <s v="HOSPITAL ESTRELA - ESTRELA - RS - 87.317.764/0011-65"/>
    <n v="3"/>
  </r>
  <r>
    <x v="0"/>
    <x v="3"/>
    <x v="1"/>
    <n v="87827689002405"/>
    <x v="518"/>
    <s v="CAXIAS DO SUL"/>
    <s v="RS"/>
    <x v="4"/>
    <s v="RAFAEL ESTEVES (RJ/SPI/SUL)"/>
    <n v="73"/>
    <x v="1"/>
    <s v="HOSPITAL UNIMED CAXIAS DO SUL - CAXIAS DO SUL - RS - 87.827.689/0024-05"/>
    <n v="226"/>
  </r>
  <r>
    <x v="0"/>
    <x v="3"/>
    <x v="1"/>
    <n v="88645403001372"/>
    <x v="528"/>
    <s v="CAXIAS DO SUL"/>
    <s v="RS"/>
    <x v="4"/>
    <s v="RAFAEL ESTEVES (RJ/SPI/SUL)"/>
    <n v="73"/>
    <x v="1"/>
    <s v="HOSPITAL DO CIRCULO - CAXIAS DO SUL - RS - 88.645.403/0013-72"/>
    <n v="32"/>
  </r>
  <r>
    <x v="0"/>
    <x v="3"/>
    <x v="1"/>
    <n v="92404789000164"/>
    <x v="529"/>
    <s v="FREDERICO WESTPHALEN"/>
    <s v="RS"/>
    <x v="4"/>
    <s v="RAFAEL ESTEVES (RJ/SPI/SUL)"/>
    <n v="73"/>
    <x v="1"/>
    <s v="HOSPITAL DIVINA PROVIDENCIA - FREDERICO WESTPHALEN - RS - 92.404.789/0001-64"/>
    <n v="24"/>
  </r>
  <r>
    <x v="0"/>
    <x v="3"/>
    <x v="1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8"/>
  </r>
  <r>
    <x v="0"/>
    <x v="3"/>
    <x v="1"/>
    <n v="95610887000146"/>
    <x v="521"/>
    <s v="SANTA MARIA"/>
    <s v="RS"/>
    <x v="4"/>
    <s v="RAFAEL ESTEVES (RJ/SPI/SUL)"/>
    <n v="73"/>
    <x v="1"/>
    <s v="HOSPITAL DE CARIDADE DR ASTROGILDO DE AZEVEDO - SANTA MARIA - RS - 95.610.887/0001-46"/>
    <n v="10"/>
  </r>
  <r>
    <x v="0"/>
    <x v="4"/>
    <x v="1"/>
    <n v="304148000110"/>
    <x v="477"/>
    <s v="FOZ DO IGUAÇU"/>
    <s v="PR"/>
    <x v="4"/>
    <s v="RAFAEL ESTEVES (RJ/SPI/SUL)"/>
    <n v="73"/>
    <x v="1"/>
    <s v="HOSPITAL MINISTRO COSTA CAVALCANTI - FOZ DO IGUAÇU - PR - 00.304.148/0001-10"/>
    <n v="4"/>
  </r>
  <r>
    <x v="0"/>
    <x v="4"/>
    <x v="1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32"/>
  </r>
  <r>
    <x v="0"/>
    <x v="4"/>
    <x v="1"/>
    <n v="437007000175"/>
    <x v="480"/>
    <s v="NITERÓI"/>
    <s v="RJ"/>
    <x v="4"/>
    <s v="RAFAEL ESTEVES (RJ/SPI/SUL)"/>
    <n v="73"/>
    <x v="1"/>
    <s v="CON-CENTRO ONCOLOGICO DE NITEROI LTDA - NITERÓI - RJ - 00.437.007/0001-75"/>
    <n v="206"/>
  </r>
  <r>
    <x v="0"/>
    <x v="4"/>
    <x v="1"/>
    <n v="1517626000132"/>
    <x v="482"/>
    <s v="BALNEÁRIO CAMBORIÚ"/>
    <s v="SC"/>
    <x v="4"/>
    <s v="RAFAEL ESTEVES (RJ/SPI/SUL)"/>
    <n v="73"/>
    <x v="1"/>
    <s v="HOSPITAL DO CORACAO DE BALNEARIO CAMBORIU LTDA - BALNEÁRIO CAMBORIÚ - SC - 01.517.626/0001-32"/>
    <n v="12"/>
  </r>
  <r>
    <x v="0"/>
    <x v="4"/>
    <x v="1"/>
    <n v="5503803000182"/>
    <x v="548"/>
    <s v="CURITIBA"/>
    <s v="PR"/>
    <x v="4"/>
    <s v="RAFAEL ESTEVES (RJ/SPI/SUL)"/>
    <n v="73"/>
    <x v="1"/>
    <s v="LAR &amp; SAUDE ASSISTENCIA DOMICILIAR - CURITIBA - PR - 05.503.803/0001-82"/>
    <n v="12"/>
  </r>
  <r>
    <x v="0"/>
    <x v="4"/>
    <x v="1"/>
    <n v="6047087001372"/>
    <x v="483"/>
    <s v="DUQUE DE CAXIAS"/>
    <s v="RJ"/>
    <x v="4"/>
    <s v="RAFAEL ESTEVES (RJ/SPI/SUL)"/>
    <n v="64"/>
    <x v="2"/>
    <s v="HOSPITAL CAXIAS DOR  (REDE DOR) - DUQUE DE CAXIAS - RJ - 06.047.087/0013-72"/>
    <n v="7"/>
  </r>
  <r>
    <x v="0"/>
    <x v="4"/>
    <x v="1"/>
    <n v="7734165000136"/>
    <x v="484"/>
    <s v="CURITIBA"/>
    <s v="PR"/>
    <x v="4"/>
    <s v="RAFAEL ESTEVES (RJ/SPI/SUL)"/>
    <n v="73"/>
    <x v="1"/>
    <s v="CIONC - CENTRO INTEGRADO DE ONCOLOGIA DE CURITIBA S/S - CURITIBA - PR - 07.734.165/0001-36"/>
    <n v="64"/>
  </r>
  <r>
    <x v="0"/>
    <x v="4"/>
    <x v="1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14"/>
  </r>
  <r>
    <x v="0"/>
    <x v="4"/>
    <x v="1"/>
    <n v="10586940000168"/>
    <x v="532"/>
    <s v="VITÓRIA"/>
    <s v="ES"/>
    <x v="4"/>
    <s v="RAFAEL ESTEVES (RJ/SPI/SUL)"/>
    <n v="64"/>
    <x v="2"/>
    <s v="ONCOVIT DISTRIBUIDORA DE MEDICAMENTOS LTDA - VITÓRIA - ES - 10.586.940/0001-68"/>
    <n v="30"/>
  </r>
  <r>
    <x v="0"/>
    <x v="4"/>
    <x v="1"/>
    <n v="10586940000168"/>
    <x v="532"/>
    <s v="VITÓRIA"/>
    <s v="ES"/>
    <x v="4"/>
    <s v="RAFAEL ESTEVES (RJ/SPI/SUL)"/>
    <n v="73"/>
    <x v="1"/>
    <s v="ONCOVIT DISTRIBUIDORA DE MEDICAMENTOS LTDA - VITÓRIA - ES - 10.586.940/0001-68"/>
    <n v="80"/>
  </r>
  <r>
    <x v="0"/>
    <x v="4"/>
    <x v="1"/>
    <n v="14408631000159"/>
    <x v="488"/>
    <s v="VIÇOSA"/>
    <s v="MG"/>
    <x v="4"/>
    <s v="RAFAEL ESTEVES (RJ/SPI/SUL)"/>
    <n v="73"/>
    <x v="1"/>
    <s v="PLAMHUV - VIÇOSA - MG - 14.408.631/0001-59"/>
    <n v="4"/>
  </r>
  <r>
    <x v="0"/>
    <x v="4"/>
    <x v="1"/>
    <n v="15126437001972"/>
    <x v="489"/>
    <s v="SANTA MARIA"/>
    <s v="RS"/>
    <x v="4"/>
    <s v="RAFAEL ESTEVES (RJ/SPI/SUL)"/>
    <n v="62"/>
    <x v="3"/>
    <s v="EBSERH - HOSPITAL UNIVERSITARIO DE SANTA MARIA - SANTA MARIA - RS - 15.126.437/0019-72"/>
    <n v="10"/>
  </r>
  <r>
    <x v="0"/>
    <x v="4"/>
    <x v="1"/>
    <n v="15126437003401"/>
    <x v="549"/>
    <s v="FLORIANOPOLIS"/>
    <s v="SC"/>
    <x v="4"/>
    <s v="RAFAEL ESTEVES (RJ/SPI/SUL)"/>
    <n v="62"/>
    <x v="3"/>
    <s v="HOSPITAL UNIV. PROFESSOR POLYDORO ERNANI DE SAO THIAGO - FLORIANOPOLIS - SC - PRIVADO - 15.126.437/0034-01"/>
    <n v="8"/>
  </r>
  <r>
    <x v="0"/>
    <x v="4"/>
    <x v="1"/>
    <n v="15126437003673"/>
    <x v="550"/>
    <s v="NITEROI"/>
    <s v="RJ"/>
    <x v="4"/>
    <s v="RAFAEL ESTEVES (RJ/SPI/SUL)"/>
    <n v="64"/>
    <x v="2"/>
    <s v="HOSPITAL UNIVERSITARIO ANTONIO PEDRO - NITEROI - RJ - PRIVADO - 15.126.437/0036-73"/>
    <n v="5"/>
  </r>
  <r>
    <x v="0"/>
    <x v="4"/>
    <x v="1"/>
    <n v="17214149000176"/>
    <x v="493"/>
    <s v="BELO HORIZONTE"/>
    <s v="MG"/>
    <x v="4"/>
    <s v="RAFAEL ESTEVES (RJ/SPI/SUL)"/>
    <n v="62"/>
    <x v="3"/>
    <s v="FUNDACAO FELICE ROSSO - BELO HORIZONTE - MG - 17.214.149/0001-76"/>
    <n v="22"/>
  </r>
  <r>
    <x v="0"/>
    <x v="4"/>
    <x v="1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10"/>
  </r>
  <r>
    <x v="0"/>
    <x v="4"/>
    <x v="1"/>
    <n v="17774738000613"/>
    <x v="551"/>
    <s v="UBERABA"/>
    <s v="MG"/>
    <x v="4"/>
    <s v="RAFAEL ESTEVES (RJ/SPI/SUL)"/>
    <n v="73"/>
    <x v="1"/>
    <s v="CLINICA UNIMED - UBERABA - MG - 17.774.738/0006-13"/>
    <n v="8"/>
  </r>
  <r>
    <x v="0"/>
    <x v="4"/>
    <x v="1"/>
    <n v="18836965000184"/>
    <x v="534"/>
    <s v="RAUL SOARES"/>
    <s v="MG"/>
    <x v="4"/>
    <s v="RAFAEL ESTEVES (RJ/SPI/SUL)"/>
    <n v="73"/>
    <x v="1"/>
    <s v="RAUL SOARES GABINETE DO PREFEITO - RAUL SOARES - MG - 18.836.965/0001-84"/>
    <n v="20"/>
  </r>
  <r>
    <x v="0"/>
    <x v="4"/>
    <x v="1"/>
    <n v="19878404000100"/>
    <x v="497"/>
    <s v="IPATINGA"/>
    <s v="MG"/>
    <x v="4"/>
    <s v="RAFAEL ESTEVES (RJ/SPI/SUL)"/>
    <n v="73"/>
    <x v="1"/>
    <s v="HOSPITAL MARCIO CUNHA - IPATINGA - MG - 19.878.404/0001-00"/>
    <n v="96"/>
  </r>
  <r>
    <x v="0"/>
    <x v="4"/>
    <x v="1"/>
    <n v="20150900000122"/>
    <x v="498"/>
    <s v="UBERLÂNDIA"/>
    <s v="MG"/>
    <x v="4"/>
    <s v="RAFAEL ESTEVES (RJ/SPI/SUL)"/>
    <n v="73"/>
    <x v="1"/>
    <s v="HOSPITAL E MATERNIDADE MADRECOR - UBERLÂNDIA - MG - 20.150.900/0001-22"/>
    <n v="12"/>
  </r>
  <r>
    <x v="0"/>
    <x v="4"/>
    <x v="1"/>
    <n v="20909271000171"/>
    <x v="507"/>
    <s v="ARAGUARI"/>
    <s v="MG"/>
    <x v="4"/>
    <s v="RAFAEL ESTEVES (RJ/SPI/SUL)"/>
    <n v="73"/>
    <x v="1"/>
    <s v="UNIMED ARAGUARI - ARAGUARI - MG - 20.909.271/0001-71"/>
    <n v="40"/>
  </r>
  <r>
    <x v="0"/>
    <x v="4"/>
    <x v="1"/>
    <n v="23338387000196"/>
    <x v="500"/>
    <s v="PATOS DE MINAS"/>
    <s v="MG"/>
    <x v="4"/>
    <s v="RAFAEL ESTEVES (RJ/SPI/SUL)"/>
    <n v="73"/>
    <x v="1"/>
    <s v="CASA DE SAUDE E MATERNIDADE NOSSA SENHORA DE FATIMA S A - PATOS DE MINAS - MG - 23.338.387/0001-96"/>
    <n v="10"/>
  </r>
  <r>
    <x v="0"/>
    <x v="4"/>
    <x v="1"/>
    <n v="28806545000532"/>
    <x v="502"/>
    <s v="PETRÓPOLIS"/>
    <s v="RJ"/>
    <x v="4"/>
    <s v="RAFAEL ESTEVES (RJ/SPI/SUL)"/>
    <n v="73"/>
    <x v="1"/>
    <s v="HOSPITAL UNIMED - PETRÓPOLIS - RJ - 28.806.545/0005-32"/>
    <n v="72"/>
  </r>
  <r>
    <x v="0"/>
    <x v="4"/>
    <x v="1"/>
    <n v="29072642000188"/>
    <x v="503"/>
    <s v="RESENDE"/>
    <s v="RJ"/>
    <x v="4"/>
    <s v="RAFAEL ESTEVES (RJ/SPI/SUL)"/>
    <n v="64"/>
    <x v="2"/>
    <s v="SAMER HOSPITAL - RESENDE - RJ - 29.072.642/0001-88"/>
    <n v="6"/>
  </r>
  <r>
    <x v="0"/>
    <x v="4"/>
    <x v="1"/>
    <n v="29640612000120"/>
    <x v="522"/>
    <s v="ITAPERUNA"/>
    <s v="RJ"/>
    <x v="4"/>
    <s v="RAFAEL ESTEVES (RJ/SPI/SUL)"/>
    <n v="64"/>
    <x v="2"/>
    <s v="HOSPITAL SAO JOSE DO AVAI - ITAPERUNA - RJ - 29.640.612/0001-20"/>
    <n v="4"/>
  </r>
  <r>
    <x v="0"/>
    <x v="4"/>
    <x v="1"/>
    <n v="31671480000146"/>
    <x v="552"/>
    <s v="SÃO GONÇALO"/>
    <s v="RJ"/>
    <x v="4"/>
    <s v="RAFAEL ESTEVES (RJ/SPI/SUL)"/>
    <n v="64"/>
    <x v="2"/>
    <s v="HOSPITAL E CLINICA SAO GONCALO - SÃO GONÇALO - RJ - 31.671.480/0001-46"/>
    <n v="10"/>
  </r>
  <r>
    <x v="0"/>
    <x v="4"/>
    <x v="1"/>
    <n v="31671480000308"/>
    <x v="553"/>
    <s v="NITERÓI"/>
    <s v="RJ"/>
    <x v="4"/>
    <s v="RAFAEL ESTEVES (RJ/SPI/SUL)"/>
    <n v="64"/>
    <x v="2"/>
    <s v="HOSPITAL ICARAI - NITERÓI - RJ - 31.671.480/0003-08"/>
    <n v="10"/>
  </r>
  <r>
    <x v="0"/>
    <x v="4"/>
    <x v="1"/>
    <n v="35917970000726"/>
    <x v="525"/>
    <s v="VOLTA REDONDA"/>
    <s v="RJ"/>
    <x v="4"/>
    <s v="RAFAEL ESTEVES (RJ/SPI/SUL)"/>
    <n v="73"/>
    <x v="1"/>
    <s v="HOSPITAL UNIMED - VOLTA REDONDA - RJ - 35.917.970/0007-26"/>
    <n v="12"/>
  </r>
  <r>
    <x v="0"/>
    <x v="4"/>
    <x v="1"/>
    <n v="36238913000198"/>
    <x v="536"/>
    <s v="ANGRA DOS REIS"/>
    <s v="RJ"/>
    <x v="4"/>
    <s v="RAFAEL ESTEVES (RJ/SPI/SUL)"/>
    <n v="73"/>
    <x v="1"/>
    <s v="MEDCLINICA DO CENTRO DE TERESOPOLIS - ANGRA DOS REIS - RJ - 36.238.913/0001-98"/>
    <n v="112"/>
  </r>
  <r>
    <x v="0"/>
    <x v="4"/>
    <x v="1"/>
    <n v="42855999000362"/>
    <x v="554"/>
    <s v="TRÊS CORAÇÕES"/>
    <s v="MG"/>
    <x v="4"/>
    <s v="RAFAEL ESTEVES (RJ/SPI/SUL)"/>
    <n v="73"/>
    <x v="1"/>
    <s v="HOSPITAL UNIMED TRES CORACOES - TRÊS CORAÇÕES - MG - 42.855.999/0003-62"/>
    <n v="9"/>
  </r>
  <r>
    <x v="0"/>
    <x v="4"/>
    <x v="1"/>
    <n v="60194990000844"/>
    <x v="537"/>
    <s v="BELO HORIZONTE"/>
    <s v="MG"/>
    <x v="4"/>
    <s v="RAFAEL ESTEVES (RJ/SPI/SUL)"/>
    <n v="62"/>
    <x v="3"/>
    <s v="HOSPITAL MADRE TERESA - BELO HORIZONTE - MG - 60.194.990/0008-44"/>
    <n v="6"/>
  </r>
  <r>
    <x v="0"/>
    <x v="4"/>
    <x v="1"/>
    <n v="60884855001207"/>
    <x v="505"/>
    <s v="NITERÓI"/>
    <s v="RJ"/>
    <x v="4"/>
    <s v="RAFAEL ESTEVES (RJ/SPI/SUL)"/>
    <n v="62"/>
    <x v="3"/>
    <s v="HOSPITAL HCN - NITERÓI - RJ - 60.884.855/0012-07"/>
    <n v="28"/>
  </r>
  <r>
    <x v="0"/>
    <x v="4"/>
    <x v="1"/>
    <n v="60884855001207"/>
    <x v="505"/>
    <s v="NITERÓI"/>
    <s v="RJ"/>
    <x v="4"/>
    <s v="RAFAEL ESTEVES (RJ/SPI/SUL)"/>
    <n v="64"/>
    <x v="2"/>
    <s v="HOSPITAL HCN - NITERÓI - RJ - 60.884.855/0012-07"/>
    <n v="53"/>
  </r>
  <r>
    <x v="0"/>
    <x v="4"/>
    <x v="1"/>
    <n v="60922168005226"/>
    <x v="506"/>
    <s v="BLUMENAU"/>
    <s v="SC"/>
    <x v="4"/>
    <s v="RAFAEL ESTEVES (RJ/SPI/SUL)"/>
    <n v="62"/>
    <x v="3"/>
    <s v="HOSPITAL SANTA ISABEL - BLUMENAU - SC - 60.922.168/0052-26"/>
    <n v="7"/>
  </r>
  <r>
    <x v="0"/>
    <x v="4"/>
    <x v="1"/>
    <n v="60922168005226"/>
    <x v="506"/>
    <s v="BLUMENAU"/>
    <s v="SC"/>
    <x v="4"/>
    <s v="RAFAEL ESTEVES (RJ/SPI/SUL)"/>
    <n v="64"/>
    <x v="2"/>
    <s v="HOSPITAL SANTA ISABEL - BLUMENAU - SC - 60.922.168/0052-26"/>
    <n v="2"/>
  </r>
  <r>
    <x v="0"/>
    <x v="4"/>
    <x v="1"/>
    <n v="80673411000187"/>
    <x v="512"/>
    <s v="FLORIANÓPOLIS"/>
    <s v="SC"/>
    <x v="4"/>
    <s v="RAFAEL ESTEVES (RJ/SPI/SUL)"/>
    <n v="73"/>
    <x v="1"/>
    <s v="FES - FLORIANÓPOLIS - SC - 80.673.411/0001-87"/>
    <n v="64"/>
  </r>
  <r>
    <x v="0"/>
    <x v="4"/>
    <x v="1"/>
    <n v="81170003000256"/>
    <x v="555"/>
    <s v="CASCAVEL"/>
    <s v="PR"/>
    <x v="4"/>
    <s v="RAFAEL ESTEVES (RJ/SPI/SUL)"/>
    <n v="66"/>
    <x v="4"/>
    <s v="CAS-CENTRO DE ATENCAO A SAUDE UNIMED DR.ALVARO RABELLO - CASCAVEL - PR - PRIVADO - 81.170.003/0002-56"/>
    <n v="1"/>
  </r>
  <r>
    <x v="0"/>
    <x v="4"/>
    <x v="1"/>
    <n v="81270548000153"/>
    <x v="538"/>
    <s v="CASCAVEL"/>
    <s v="PR"/>
    <x v="4"/>
    <s v="RAFAEL ESTEVES (RJ/SPI/SUL)"/>
    <n v="62"/>
    <x v="3"/>
    <s v="UOPECCAN - CASCAVEL - PR - 81.270.548/0001-53"/>
    <n v="5"/>
  </r>
  <r>
    <x v="0"/>
    <x v="4"/>
    <x v="1"/>
    <n v="82602327000360"/>
    <x v="556"/>
    <s v="JOINVILLE"/>
    <s v="SC"/>
    <x v="4"/>
    <s v="RAFAEL ESTEVES (RJ/SPI/SUL)"/>
    <n v="64"/>
    <x v="2"/>
    <s v="CENTRO HOSPITALAR UNIMED - JOINVILLE - SC - 82.602.327/0003-60"/>
    <n v="6"/>
  </r>
  <r>
    <x v="0"/>
    <x v="4"/>
    <x v="1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13"/>
  </r>
  <r>
    <x v="0"/>
    <x v="4"/>
    <x v="1"/>
    <n v="87827689002405"/>
    <x v="518"/>
    <s v="CAXIAS DO SUL"/>
    <s v="RS"/>
    <x v="4"/>
    <s v="RAFAEL ESTEVES (RJ/SPI/SUL)"/>
    <n v="73"/>
    <x v="1"/>
    <s v="HOSPITAL UNIMED CAXIAS DO SUL - CAXIAS DO SUL - RS - 87.827.689/0024-05"/>
    <n v="186"/>
  </r>
  <r>
    <x v="0"/>
    <x v="4"/>
    <x v="1"/>
    <n v="88645403001372"/>
    <x v="528"/>
    <s v="CAXIAS DO SUL"/>
    <s v="RS"/>
    <x v="4"/>
    <s v="RAFAEL ESTEVES (RJ/SPI/SUL)"/>
    <n v="73"/>
    <x v="1"/>
    <s v="HOSPITAL DO CIRCULO - CAXIAS DO SUL - RS - 88.645.403/0013-72"/>
    <n v="32"/>
  </r>
  <r>
    <x v="0"/>
    <x v="4"/>
    <x v="1"/>
    <n v="92404789000164"/>
    <x v="529"/>
    <s v="FREDERICO WESTPHALEN"/>
    <s v="RS"/>
    <x v="4"/>
    <s v="RAFAEL ESTEVES (RJ/SPI/SUL)"/>
    <n v="73"/>
    <x v="1"/>
    <s v="HOSPITAL DIVINA PROVIDENCIA - FREDERICO WESTPHALEN - RS - 92.404.789/0001-64"/>
    <n v="16"/>
  </r>
  <r>
    <x v="0"/>
    <x v="4"/>
    <x v="1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13"/>
  </r>
  <r>
    <x v="0"/>
    <x v="4"/>
    <x v="1"/>
    <n v="95610887000146"/>
    <x v="521"/>
    <s v="SANTA MARIA"/>
    <s v="RS"/>
    <x v="4"/>
    <s v="RAFAEL ESTEVES (RJ/SPI/SUL)"/>
    <n v="73"/>
    <x v="1"/>
    <s v="HOSPITAL DE CARIDADE DR ASTROGILDO DE AZEVEDO - SANTA MARIA - RS - 95.610.887/0001-46"/>
    <n v="20"/>
  </r>
  <r>
    <x v="0"/>
    <x v="5"/>
    <x v="1"/>
    <n v="10364254602"/>
    <x v="557"/>
    <s v="BELO HORIZONTE"/>
    <s v="MG"/>
    <x v="4"/>
    <s v="RAFAEL ESTEVES (RJ/SPI/SUL)"/>
    <n v="66"/>
    <x v="4"/>
    <s v="NATALIA FABIANE LUZ - 103.642.546-02"/>
    <n v="29"/>
  </r>
  <r>
    <x v="0"/>
    <x v="5"/>
    <x v="1"/>
    <n v="304148000110"/>
    <x v="477"/>
    <s v="FOZ DO IGUAÇU"/>
    <s v="PR"/>
    <x v="4"/>
    <s v="RAFAEL ESTEVES (RJ/SPI/SUL)"/>
    <n v="73"/>
    <x v="1"/>
    <s v="HOSPITAL MINISTRO COSTA CAVALCANTI - FOZ DO IGUAÇU - PR - 00.304.148/0001-10"/>
    <n v="6"/>
  </r>
  <r>
    <x v="0"/>
    <x v="5"/>
    <x v="1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32"/>
  </r>
  <r>
    <x v="0"/>
    <x v="5"/>
    <x v="1"/>
    <n v="437007000175"/>
    <x v="480"/>
    <s v="NITERÓI"/>
    <s v="RJ"/>
    <x v="4"/>
    <s v="RAFAEL ESTEVES (RJ/SPI/SUL)"/>
    <n v="73"/>
    <x v="1"/>
    <s v="CON-CENTRO ONCOLOGICO DE NITEROI LTDA - NITERÓI - RJ - 00.437.007/0001-75"/>
    <n v="478"/>
  </r>
  <r>
    <x v="0"/>
    <x v="5"/>
    <x v="1"/>
    <n v="1880344000103"/>
    <x v="558"/>
    <s v="BLUMENAU"/>
    <s v="SC"/>
    <x v="4"/>
    <s v="RAFAEL ESTEVES (RJ/SPI/SUL)"/>
    <n v="64"/>
    <x v="2"/>
    <s v="HOSPITAL SANTA CATARINA - BLUMENAU - SC - 01.880.344/0001-03"/>
    <n v="3"/>
  </r>
  <r>
    <x v="0"/>
    <x v="5"/>
    <x v="1"/>
    <n v="5503803000182"/>
    <x v="548"/>
    <s v="CURITIBA"/>
    <s v="PR"/>
    <x v="4"/>
    <s v="RAFAEL ESTEVES (RJ/SPI/SUL)"/>
    <n v="73"/>
    <x v="1"/>
    <s v="LAR &amp; SAUDE ASSISTENCIA DOMICILIAR - CURITIBA - PR - 05.503.803/0001-82"/>
    <n v="8"/>
  </r>
  <r>
    <x v="0"/>
    <x v="5"/>
    <x v="1"/>
    <n v="7734165000136"/>
    <x v="484"/>
    <s v="CURITIBA"/>
    <s v="PR"/>
    <x v="4"/>
    <s v="RAFAEL ESTEVES (RJ/SPI/SUL)"/>
    <n v="73"/>
    <x v="1"/>
    <s v="CIONC - CENTRO INTEGRADO DE ONCOLOGIA DE CURITIBA S/S - CURITIBA - PR - 07.734.165/0001-36"/>
    <n v="200"/>
  </r>
  <r>
    <x v="0"/>
    <x v="5"/>
    <x v="1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28"/>
  </r>
  <r>
    <x v="0"/>
    <x v="5"/>
    <x v="1"/>
    <n v="8579164000127"/>
    <x v="559"/>
    <s v="TENENTE PORTELA"/>
    <s v="RS"/>
    <x v="4"/>
    <s v="RAFAEL ESTEVES (RJ/SPI/SUL)"/>
    <n v="64"/>
    <x v="2"/>
    <s v="ASSOCIACAO HOSPITALAR BENEFICENTE SANTO ANTONIO - TENENTE PORTELA - RS - 08.579.164/0001-27"/>
    <n v="2"/>
  </r>
  <r>
    <x v="0"/>
    <x v="5"/>
    <x v="1"/>
    <n v="10586940000168"/>
    <x v="532"/>
    <s v="VITÓRIA"/>
    <s v="ES"/>
    <x v="4"/>
    <s v="RAFAEL ESTEVES (RJ/SPI/SUL)"/>
    <n v="62"/>
    <x v="3"/>
    <s v="ONCOVIT DISTRIBUIDORA DE MEDICAMENTOS LTDA - VITÓRIA - ES - 10.586.940/0001-68"/>
    <n v="5"/>
  </r>
  <r>
    <x v="0"/>
    <x v="5"/>
    <x v="1"/>
    <n v="10586940000168"/>
    <x v="532"/>
    <s v="VITÓRIA"/>
    <s v="ES"/>
    <x v="4"/>
    <s v="RAFAEL ESTEVES (RJ/SPI/SUL)"/>
    <n v="73"/>
    <x v="1"/>
    <s v="ONCOVIT DISTRIBUIDORA DE MEDICAMENTOS LTDA - VITÓRIA - ES - 10.586.940/0001-68"/>
    <n v="24"/>
  </r>
  <r>
    <x v="0"/>
    <x v="5"/>
    <x v="1"/>
    <n v="14408631000159"/>
    <x v="488"/>
    <s v="VIÇOSA"/>
    <s v="MG"/>
    <x v="4"/>
    <s v="RAFAEL ESTEVES (RJ/SPI/SUL)"/>
    <n v="73"/>
    <x v="1"/>
    <s v="PLAMHUV - VIÇOSA - MG - 14.408.631/0001-59"/>
    <n v="8"/>
  </r>
  <r>
    <x v="0"/>
    <x v="5"/>
    <x v="1"/>
    <n v="15126437001972"/>
    <x v="489"/>
    <s v="SANTA MARIA"/>
    <s v="RS"/>
    <x v="4"/>
    <s v="RAFAEL ESTEVES (RJ/SPI/SUL)"/>
    <n v="62"/>
    <x v="3"/>
    <s v="EBSERH - HOSPITAL UNIVERSITARIO DE SANTA MARIA - SANTA MARIA - RS - 15.126.437/0019-72"/>
    <n v="33"/>
  </r>
  <r>
    <x v="0"/>
    <x v="5"/>
    <x v="1"/>
    <n v="15126437001972"/>
    <x v="489"/>
    <s v="SANTA MARIA"/>
    <s v="RS"/>
    <x v="4"/>
    <s v="RAFAEL ESTEVES (RJ/SPI/SUL)"/>
    <n v="64"/>
    <x v="2"/>
    <s v="EBSERH - HOSPITAL UNIVERSITARIO DE SANTA MARIA - SANTA MARIA - RS - 15.126.437/0019-72"/>
    <n v="25"/>
  </r>
  <r>
    <x v="0"/>
    <x v="5"/>
    <x v="1"/>
    <n v="15126437003401"/>
    <x v="549"/>
    <s v="FLORIANOPOLIS"/>
    <s v="SC"/>
    <x v="4"/>
    <s v="RAFAEL ESTEVES (RJ/SPI/SUL)"/>
    <n v="62"/>
    <x v="3"/>
    <s v="HOSPITAL UNIV. PROFESSOR POLYDORO ERNANI DE SAO THIAGO - FLORIANOPOLIS - SC - PRIVADO - 15.126.437/0034-01"/>
    <n v="10"/>
  </r>
  <r>
    <x v="0"/>
    <x v="5"/>
    <x v="1"/>
    <n v="17087591000189"/>
    <x v="492"/>
    <s v="UBERLÂNDIA"/>
    <s v="MG"/>
    <x v="4"/>
    <s v="RAFAEL ESTEVES (RJ/SPI/SUL)"/>
    <n v="62"/>
    <x v="3"/>
    <s v="UBERLANDIA MEDICAL CENTER - UBERLÂNDIA - MG - 17.087.591/0001-89"/>
    <n v="3"/>
  </r>
  <r>
    <x v="0"/>
    <x v="5"/>
    <x v="1"/>
    <n v="17214149000176"/>
    <x v="493"/>
    <s v="BELO HORIZONTE"/>
    <s v="MG"/>
    <x v="4"/>
    <s v="RAFAEL ESTEVES (RJ/SPI/SUL)"/>
    <n v="62"/>
    <x v="3"/>
    <s v="FUNDACAO FELICE ROSSO - BELO HORIZONTE - MG - 17.214.149/0001-76"/>
    <n v="27"/>
  </r>
  <r>
    <x v="0"/>
    <x v="5"/>
    <x v="1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10"/>
  </r>
  <r>
    <x v="0"/>
    <x v="5"/>
    <x v="1"/>
    <n v="17774738000613"/>
    <x v="551"/>
    <s v="UBERABA"/>
    <s v="MG"/>
    <x v="4"/>
    <s v="RAFAEL ESTEVES (RJ/SPI/SUL)"/>
    <n v="73"/>
    <x v="1"/>
    <s v="CLINICA UNIMED - UBERABA - MG - 17.774.738/0006-13"/>
    <n v="28"/>
  </r>
  <r>
    <x v="0"/>
    <x v="5"/>
    <x v="1"/>
    <n v="18484378000173"/>
    <x v="496"/>
    <s v="UBERLÂNDIA"/>
    <s v="MG"/>
    <x v="4"/>
    <s v="RAFAEL ESTEVES (RJ/SPI/SUL)"/>
    <n v="62"/>
    <x v="3"/>
    <s v="HOSPITAL SANTA GENOVEVA LTDA - UBERLÂNDIA - MG - 18.484.378/0001-73"/>
    <n v="3"/>
  </r>
  <r>
    <x v="0"/>
    <x v="5"/>
    <x v="1"/>
    <n v="20150900000122"/>
    <x v="498"/>
    <s v="UBERLÂNDIA"/>
    <s v="MG"/>
    <x v="4"/>
    <s v="RAFAEL ESTEVES (RJ/SPI/SUL)"/>
    <n v="73"/>
    <x v="1"/>
    <s v="HOSPITAL E MATERNIDADE MADRECOR - UBERLÂNDIA - MG - 20.150.900/0001-22"/>
    <n v="12"/>
  </r>
  <r>
    <x v="0"/>
    <x v="5"/>
    <x v="1"/>
    <n v="20909271000171"/>
    <x v="507"/>
    <s v="ARAGUARI"/>
    <s v="MG"/>
    <x v="4"/>
    <s v="RAFAEL ESTEVES (RJ/SPI/SUL)"/>
    <n v="73"/>
    <x v="1"/>
    <s v="UNIMED ARAGUARI - ARAGUARI - MG - 20.909.271/0001-71"/>
    <n v="40"/>
  </r>
  <r>
    <x v="0"/>
    <x v="5"/>
    <x v="1"/>
    <n v="23982118000168"/>
    <x v="560"/>
    <s v="FLORIANÓPOLIS"/>
    <s v="SC"/>
    <x v="4"/>
    <s v="RAFAEL ESTEVES (RJ/SPI/SUL)"/>
    <n v="73"/>
    <x v="1"/>
    <s v="CCI - CENTRO CATARINENSE DE IMUNOTERAPIA LTDA - FLORIANÓPOLIS - SC - 23.982.118/0001-68"/>
    <n v="32"/>
  </r>
  <r>
    <x v="0"/>
    <x v="5"/>
    <x v="1"/>
    <n v="27193705000129"/>
    <x v="561"/>
    <s v="CACHOEIRO DE ITAPEMIRIM"/>
    <s v="ES"/>
    <x v="4"/>
    <s v="RAFAEL ESTEVES (RJ/SPI/SUL)"/>
    <n v="64"/>
    <x v="2"/>
    <s v="HOSPITAL EVANGELICO DE CACHOEIRO DE ITAPEMIRIM - CACHOEIRO DE ITAPEMIRIM - ES - 27.193.705/0001-29"/>
    <n v="10"/>
  </r>
  <r>
    <x v="0"/>
    <x v="5"/>
    <x v="1"/>
    <n v="28806545000532"/>
    <x v="502"/>
    <s v="PETRÓPOLIS"/>
    <s v="RJ"/>
    <x v="4"/>
    <s v="RAFAEL ESTEVES (RJ/SPI/SUL)"/>
    <n v="73"/>
    <x v="1"/>
    <s v="HOSPITAL UNIMED - PETRÓPOLIS - RJ - 28.806.545/0005-32"/>
    <n v="96"/>
  </r>
  <r>
    <x v="0"/>
    <x v="5"/>
    <x v="1"/>
    <n v="29072642000188"/>
    <x v="503"/>
    <s v="RESENDE"/>
    <s v="RJ"/>
    <x v="4"/>
    <s v="RAFAEL ESTEVES (RJ/SPI/SUL)"/>
    <n v="64"/>
    <x v="2"/>
    <s v="SAMER HOSPITAL - RESENDE - RJ - 29.072.642/0001-88"/>
    <n v="3"/>
  </r>
  <r>
    <x v="0"/>
    <x v="5"/>
    <x v="1"/>
    <n v="30079461000162"/>
    <x v="524"/>
    <s v="NITERÓI"/>
    <s v="RJ"/>
    <x v="4"/>
    <s v="RAFAEL ESTEVES (RJ/SPI/SUL)"/>
    <n v="62"/>
    <x v="3"/>
    <s v="CASA DE SAUDE E MATERNIDADE SANTA MARTHA SA - NITERÓI - RJ - 30.079.461/0001-62"/>
    <n v="3"/>
  </r>
  <r>
    <x v="0"/>
    <x v="5"/>
    <x v="1"/>
    <n v="33092116000157"/>
    <x v="562"/>
    <s v="DUQUE DE CAXIAS"/>
    <s v="RJ"/>
    <x v="4"/>
    <s v="RAFAEL ESTEVES (RJ/SPI/SUL)"/>
    <n v="62"/>
    <x v="3"/>
    <s v="ELOHIM DISTRIBUIDORA  DE MEDICAMENTOS LTDA - DUQUE DE CAXIAS - RJ - PRIVADO - 33.092.116/0001-57"/>
    <n v="4"/>
  </r>
  <r>
    <x v="0"/>
    <x v="5"/>
    <x v="1"/>
    <n v="35917970000726"/>
    <x v="525"/>
    <s v="VOLTA REDONDA"/>
    <s v="RJ"/>
    <x v="4"/>
    <s v="RAFAEL ESTEVES (RJ/SPI/SUL)"/>
    <n v="73"/>
    <x v="1"/>
    <s v="HOSPITAL UNIMED - VOLTA REDONDA - RJ - 35.917.970/0007-26"/>
    <n v="3"/>
  </r>
  <r>
    <x v="0"/>
    <x v="5"/>
    <x v="1"/>
    <n v="36238913000198"/>
    <x v="536"/>
    <s v="ANGRA DOS REIS"/>
    <s v="RJ"/>
    <x v="4"/>
    <s v="RAFAEL ESTEVES (RJ/SPI/SUL)"/>
    <n v="73"/>
    <x v="1"/>
    <s v="MEDCLINICA DO CENTRO DE TERESOPOLIS - ANGRA DOS REIS - RJ - 36.238.913/0001-98"/>
    <n v="64"/>
  </r>
  <r>
    <x v="0"/>
    <x v="5"/>
    <x v="1"/>
    <n v="60884855001207"/>
    <x v="505"/>
    <s v="NITERÓI"/>
    <s v="RJ"/>
    <x v="4"/>
    <s v="RAFAEL ESTEVES (RJ/SPI/SUL)"/>
    <n v="62"/>
    <x v="3"/>
    <s v="HOSPITAL HCN - NITERÓI - RJ - 60.884.855/0012-07"/>
    <n v="15"/>
  </r>
  <r>
    <x v="0"/>
    <x v="5"/>
    <x v="1"/>
    <n v="60884855001207"/>
    <x v="505"/>
    <s v="NITERÓI"/>
    <s v="RJ"/>
    <x v="4"/>
    <s v="RAFAEL ESTEVES (RJ/SPI/SUL)"/>
    <n v="64"/>
    <x v="2"/>
    <s v="HOSPITAL HCN - NITERÓI - RJ - 60.884.855/0012-07"/>
    <n v="44"/>
  </r>
  <r>
    <x v="0"/>
    <x v="5"/>
    <x v="1"/>
    <n v="60884855001207"/>
    <x v="505"/>
    <s v="NITERÓI"/>
    <s v="RJ"/>
    <x v="4"/>
    <s v="RAFAEL ESTEVES (RJ/SPI/SUL)"/>
    <n v="73"/>
    <x v="1"/>
    <s v="HOSPITAL HCN - NITERÓI - RJ - 60.884.855/0012-07"/>
    <n v="50"/>
  </r>
  <r>
    <x v="0"/>
    <x v="5"/>
    <x v="1"/>
    <n v="76081892000164"/>
    <x v="563"/>
    <s v="CASCAVEL"/>
    <s v="PR"/>
    <x v="4"/>
    <s v="RAFAEL ESTEVES (RJ/SPI/SUL)"/>
    <n v="62"/>
    <x v="3"/>
    <s v="HOSPITAL POLICLINICA CASCAVEL - CASCAVEL - PR - 76.081.892/0001-64"/>
    <n v="2"/>
  </r>
  <r>
    <x v="0"/>
    <x v="5"/>
    <x v="1"/>
    <n v="76555069000143"/>
    <x v="510"/>
    <s v="CURITIBA"/>
    <s v="PR"/>
    <x v="4"/>
    <s v="RAFAEL ESTEVES (RJ/SPI/SUL)"/>
    <n v="62"/>
    <x v="3"/>
    <s v="HOSPITAL SANTA CRUZ SOCIEDADE ANONIMA - CURITIBA - PR - 76.555.069/0001-43"/>
    <n v="2"/>
  </r>
  <r>
    <x v="0"/>
    <x v="5"/>
    <x v="1"/>
    <n v="76591569000130"/>
    <x v="511"/>
    <s v="CURITIBA"/>
    <s v="PR"/>
    <x v="4"/>
    <s v="RAFAEL ESTEVES (RJ/SPI/SUL)"/>
    <n v="73"/>
    <x v="1"/>
    <s v="HOSPITAL INFANTIL PEQUENO PRINCIPE - CURITIBA - PR - 76.591.569/0001-30"/>
    <n v="14"/>
  </r>
  <r>
    <x v="0"/>
    <x v="5"/>
    <x v="1"/>
    <n v="77781706000243"/>
    <x v="564"/>
    <s v="PONTA GROSSA"/>
    <s v="PR"/>
    <x v="4"/>
    <s v="RAFAEL ESTEVES (RJ/SPI/SUL)"/>
    <n v="73"/>
    <x v="1"/>
    <s v="HOSPITAL GERAL UNIMED - PONTA GROSSA - PR - 77.781.706/0002-43"/>
    <n v="10"/>
  </r>
  <r>
    <x v="0"/>
    <x v="5"/>
    <x v="1"/>
    <n v="80673411000187"/>
    <x v="512"/>
    <s v="FLORIANÓPOLIS"/>
    <s v="SC"/>
    <x v="4"/>
    <s v="RAFAEL ESTEVES (RJ/SPI/SUL)"/>
    <n v="66"/>
    <x v="4"/>
    <s v="FES - FLORIANÓPOLIS - SC - 80.673.411/0001-87"/>
    <n v="106"/>
  </r>
  <r>
    <x v="0"/>
    <x v="5"/>
    <x v="1"/>
    <n v="81170003000256"/>
    <x v="555"/>
    <s v="CASCAVEL"/>
    <s v="PR"/>
    <x v="4"/>
    <s v="RAFAEL ESTEVES (RJ/SPI/SUL)"/>
    <n v="66"/>
    <x v="4"/>
    <s v="CAS-CENTRO DE ATENCAO A SAUDE UNIMED DR.ALVARO RABELLO - CASCAVEL - PR - PRIVADO - 81.170.003/0002-56"/>
    <n v="1"/>
  </r>
  <r>
    <x v="0"/>
    <x v="5"/>
    <x v="1"/>
    <n v="81270548000153"/>
    <x v="538"/>
    <s v="CASCAVEL"/>
    <s v="PR"/>
    <x v="4"/>
    <s v="RAFAEL ESTEVES (RJ/SPI/SUL)"/>
    <n v="62"/>
    <x v="3"/>
    <s v="UOPECCAN - CASCAVEL - PR - 81.270.548/0001-53"/>
    <n v="3"/>
  </r>
  <r>
    <x v="0"/>
    <x v="5"/>
    <x v="1"/>
    <n v="83884999000106"/>
    <x v="546"/>
    <s v="FLORIANÓPOLIS"/>
    <s v="SC"/>
    <x v="4"/>
    <s v="RAFAEL ESTEVES (RJ/SPI/SUL)"/>
    <n v="64"/>
    <x v="2"/>
    <s v="IMPERIAL HOSPITAL DE CARIDADE - FLORIANÓPOLIS - SC - 83.884.999/0001-06"/>
    <n v="4"/>
  </r>
  <r>
    <x v="0"/>
    <x v="5"/>
    <x v="1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34"/>
  </r>
  <r>
    <x v="0"/>
    <x v="5"/>
    <x v="1"/>
    <n v="87827689002405"/>
    <x v="518"/>
    <s v="CAXIAS DO SUL"/>
    <s v="RS"/>
    <x v="4"/>
    <s v="RAFAEL ESTEVES (RJ/SPI/SUL)"/>
    <n v="73"/>
    <x v="1"/>
    <s v="HOSPITAL UNIMED CAXIAS DO SUL - CAXIAS DO SUL - RS - 87.827.689/0024-05"/>
    <n v="274"/>
  </r>
  <r>
    <x v="0"/>
    <x v="5"/>
    <x v="1"/>
    <n v="88645403001372"/>
    <x v="528"/>
    <s v="CAXIAS DO SUL"/>
    <s v="RS"/>
    <x v="4"/>
    <s v="RAFAEL ESTEVES (RJ/SPI/SUL)"/>
    <n v="73"/>
    <x v="1"/>
    <s v="HOSPITAL DO CIRCULO - CAXIAS DO SUL - RS - 88.645.403/0013-72"/>
    <n v="64"/>
  </r>
  <r>
    <x v="0"/>
    <x v="5"/>
    <x v="1"/>
    <n v="92404789000164"/>
    <x v="529"/>
    <s v="FREDERICO WESTPHALEN"/>
    <s v="RS"/>
    <x v="4"/>
    <s v="RAFAEL ESTEVES (RJ/SPI/SUL)"/>
    <n v="73"/>
    <x v="1"/>
    <s v="HOSPITAL DIVINA PROVIDENCIA - FREDERICO WESTPHALEN - RS - 92.404.789/0001-64"/>
    <n v="24"/>
  </r>
  <r>
    <x v="0"/>
    <x v="5"/>
    <x v="1"/>
    <n v="95610887000146"/>
    <x v="521"/>
    <s v="SANTA MARIA"/>
    <s v="RS"/>
    <x v="4"/>
    <s v="RAFAEL ESTEVES (RJ/SPI/SUL)"/>
    <n v="62"/>
    <x v="3"/>
    <s v="HOSPITAL DE CARIDADE DR ASTROGILDO DE AZEVEDO - SANTA MARIA - RS - 95.610.887/0001-46"/>
    <n v="10"/>
  </r>
  <r>
    <x v="0"/>
    <x v="5"/>
    <x v="1"/>
    <n v="95610887000146"/>
    <x v="521"/>
    <s v="SANTA MARIA"/>
    <s v="RS"/>
    <x v="4"/>
    <s v="RAFAEL ESTEVES (RJ/SPI/SUL)"/>
    <n v="73"/>
    <x v="1"/>
    <s v="HOSPITAL DE CARIDADE DR ASTROGILDO DE AZEVEDO - SANTA MARIA - RS - 95.610.887/0001-46"/>
    <n v="20"/>
  </r>
  <r>
    <x v="0"/>
    <x v="6"/>
    <x v="2"/>
    <n v="304148000110"/>
    <x v="477"/>
    <s v="FOZ DO IGUAÇU"/>
    <s v="PR"/>
    <x v="4"/>
    <s v="RAFAEL ESTEVES (RJ/SPI/SUL)"/>
    <n v="73"/>
    <x v="1"/>
    <s v="HOSPITAL MINISTRO COSTA CAVALCANTI - FOZ DO IGUAÇU - PR - 00.304.148/0001-10"/>
    <n v="28"/>
  </r>
  <r>
    <x v="0"/>
    <x v="6"/>
    <x v="2"/>
    <n v="410960000120"/>
    <x v="478"/>
    <s v="BELO HORIZONTE"/>
    <s v="MG"/>
    <x v="4"/>
    <s v="RAFAEL ESTEVES (RJ/SPI/SUL)"/>
    <n v="73"/>
    <x v="1"/>
    <s v="HEMATOLOGICA - CLINICA DE HEMATOLOGIA LTDA - BELO HORIZONTE - MG - 00.410.960/0001-20"/>
    <n v="32"/>
  </r>
  <r>
    <x v="0"/>
    <x v="6"/>
    <x v="2"/>
    <n v="437007000175"/>
    <x v="480"/>
    <s v="NITERÓI"/>
    <s v="RJ"/>
    <x v="4"/>
    <s v="RAFAEL ESTEVES (RJ/SPI/SUL)"/>
    <n v="73"/>
    <x v="1"/>
    <s v="CON-CENTRO ONCOLOGICO DE NITEROI LTDA - NITERÓI - RJ - 00.437.007/0001-75"/>
    <n v="176"/>
  </r>
  <r>
    <x v="0"/>
    <x v="6"/>
    <x v="2"/>
    <n v="5503803000182"/>
    <x v="548"/>
    <s v="CURITIBA"/>
    <s v="PR"/>
    <x v="4"/>
    <s v="RAFAEL ESTEVES (RJ/SPI/SUL)"/>
    <n v="73"/>
    <x v="1"/>
    <s v="LAR &amp; SAUDE ASSISTENCIA DOMICILIAR - CURITIBA - PR - 05.503.803/0001-82"/>
    <n v="20"/>
  </r>
  <r>
    <x v="0"/>
    <x v="6"/>
    <x v="2"/>
    <n v="6047087001372"/>
    <x v="483"/>
    <s v="DUQUE DE CAXIAS"/>
    <s v="RJ"/>
    <x v="4"/>
    <s v="RAFAEL ESTEVES (RJ/SPI/SUL)"/>
    <n v="62"/>
    <x v="3"/>
    <s v="HOSPITAL CAXIAS DOR  (REDE DOR) - DUQUE DE CAXIAS - RJ - 06.047.087/0013-72"/>
    <n v="2"/>
  </r>
  <r>
    <x v="0"/>
    <x v="6"/>
    <x v="2"/>
    <n v="6047087001372"/>
    <x v="483"/>
    <s v="DUQUE DE CAXIAS"/>
    <s v="RJ"/>
    <x v="4"/>
    <s v="RAFAEL ESTEVES (RJ/SPI/SUL)"/>
    <n v="64"/>
    <x v="2"/>
    <s v="HOSPITAL CAXIAS DOR  (REDE DOR) - DUQUE DE CAXIAS - RJ - 06.047.087/0013-72"/>
    <n v="8"/>
  </r>
  <r>
    <x v="0"/>
    <x v="6"/>
    <x v="2"/>
    <n v="7734165000136"/>
    <x v="484"/>
    <s v="CURITIBA"/>
    <s v="PR"/>
    <x v="4"/>
    <s v="RAFAEL ESTEVES (RJ/SPI/SUL)"/>
    <n v="73"/>
    <x v="1"/>
    <s v="CIONC - CENTRO INTEGRADO DE ONCOLOGIA DE CURITIBA S/S - CURITIBA - PR - 07.734.165/0001-36"/>
    <n v="88"/>
  </r>
  <r>
    <x v="0"/>
    <x v="6"/>
    <x v="2"/>
    <n v="7794623001528"/>
    <x v="485"/>
    <s v="NOVA IGUAÇU"/>
    <s v="RJ"/>
    <x v="4"/>
    <s v="RAFAEL ESTEVES (RJ/SPI/SUL)"/>
    <n v="73"/>
    <x v="1"/>
    <s v="CEMED CARE - EMPRESA DE ATENDIMENTO CLINICO GERAL LTDA - NOVA IGUAÇU - RJ - 07.794.623/0015-28"/>
    <n v="14"/>
  </r>
  <r>
    <x v="0"/>
    <x v="6"/>
    <x v="2"/>
    <n v="14408631000159"/>
    <x v="488"/>
    <s v="VIÇOSA"/>
    <s v="MG"/>
    <x v="4"/>
    <s v="RAFAEL ESTEVES (RJ/SPI/SUL)"/>
    <n v="73"/>
    <x v="1"/>
    <s v="PLAMHUV - VIÇOSA - MG - 14.408.631/0001-59"/>
    <n v="4"/>
  </r>
  <r>
    <x v="0"/>
    <x v="6"/>
    <x v="2"/>
    <n v="15126437001972"/>
    <x v="489"/>
    <s v="SANTA MARIA"/>
    <s v="RS"/>
    <x v="4"/>
    <s v="RAFAEL ESTEVES (RJ/SPI/SUL)"/>
    <n v="64"/>
    <x v="2"/>
    <s v="EBSERH - HOSPITAL UNIVERSITARIO DE SANTA MARIA - SANTA MARIA - RS - 15.126.437/0019-72"/>
    <n v="10"/>
  </r>
  <r>
    <x v="0"/>
    <x v="6"/>
    <x v="2"/>
    <n v="17087591000189"/>
    <x v="492"/>
    <s v="UBERLÂNDIA"/>
    <s v="MG"/>
    <x v="4"/>
    <s v="RAFAEL ESTEVES (RJ/SPI/SUL)"/>
    <n v="62"/>
    <x v="3"/>
    <s v="UBERLANDIA MEDICAL CENTER - UBERLÂNDIA - MG - 17.087.591/0001-89"/>
    <n v="7"/>
  </r>
  <r>
    <x v="0"/>
    <x v="6"/>
    <x v="2"/>
    <n v="17689407000928"/>
    <x v="494"/>
    <s v="JUIZ DE FORA"/>
    <s v="MG"/>
    <x v="4"/>
    <s v="RAFAEL ESTEVES (RJ/SPI/SUL)"/>
    <n v="73"/>
    <x v="1"/>
    <s v="UNIMED JUIZ DE FORA COOP DE TRABALHO MEDICO LTDA - JUIZ DE FORA - MG - 17.689.407/0009-28"/>
    <n v="10"/>
  </r>
  <r>
    <x v="0"/>
    <x v="6"/>
    <x v="2"/>
    <n v="18484378000173"/>
    <x v="496"/>
    <s v="UBERLÂNDIA"/>
    <s v="MG"/>
    <x v="4"/>
    <s v="RAFAEL ESTEVES (RJ/SPI/SUL)"/>
    <n v="62"/>
    <x v="3"/>
    <s v="HOSPITAL SANTA GENOVEVA LTDA - UBERLÂNDIA - MG - 18.484.378/0001-73"/>
    <n v="4"/>
  </r>
  <r>
    <x v="0"/>
    <x v="6"/>
    <x v="2"/>
    <n v="20150900000122"/>
    <x v="498"/>
    <s v="UBERLÂNDIA"/>
    <s v="MG"/>
    <x v="4"/>
    <s v="RAFAEL ESTEVES (RJ/SPI/SUL)"/>
    <n v="73"/>
    <x v="1"/>
    <s v="HOSPITAL E MATERNIDADE MADRECOR - UBERLÂNDIA - MG - 20.150.900/0001-22"/>
    <n v="14"/>
  </r>
  <r>
    <x v="0"/>
    <x v="6"/>
    <x v="2"/>
    <n v="23982118000168"/>
    <x v="560"/>
    <s v="FLORIANÓPOLIS"/>
    <s v="SC"/>
    <x v="4"/>
    <s v="RAFAEL ESTEVES (RJ/SPI/SUL)"/>
    <n v="73"/>
    <x v="1"/>
    <s v="CCI - CENTRO CATARINENSE DE IMUNOTERAPIA LTDA - FLORIANÓPOLIS - SC - 23.982.118/0001-68"/>
    <n v="32"/>
  </r>
  <r>
    <x v="0"/>
    <x v="6"/>
    <x v="2"/>
    <n v="25415993000193"/>
    <x v="513"/>
    <s v="JUIZ DE FORA"/>
    <s v="MG"/>
    <x v="4"/>
    <s v="RAFAEL ESTEVES (RJ/SPI/SUL)"/>
    <n v="62"/>
    <x v="3"/>
    <s v="INSTITUTO DE CLINICAS E CIRURGIA DE JUIZ DE FORA LTDA - JUIZ DE FORA - MG - 25.415.993/0001-93"/>
    <n v="4"/>
  </r>
  <r>
    <x v="0"/>
    <x v="6"/>
    <x v="2"/>
    <n v="25761040000187"/>
    <x v="515"/>
    <s v="UBERLÂNDIA"/>
    <s v="MG"/>
    <x v="4"/>
    <s v="RAFAEL ESTEVES (RJ/SPI/SUL)"/>
    <n v="62"/>
    <x v="3"/>
    <s v="HOSPITAL E MATERNIDADE SANTA CLARA LTDA - UBERLÂNDIA - MG - 25.761.040/0001-87"/>
    <n v="3"/>
  </r>
  <r>
    <x v="0"/>
    <x v="6"/>
    <x v="2"/>
    <n v="28806545000532"/>
    <x v="502"/>
    <s v="PETRÓPOLIS"/>
    <s v="RJ"/>
    <x v="4"/>
    <s v="RAFAEL ESTEVES (RJ/SPI/SUL)"/>
    <n v="73"/>
    <x v="1"/>
    <s v="HOSPITAL UNIMED - PETRÓPOLIS - RJ - 28.806.545/0005-32"/>
    <n v="36"/>
  </r>
  <r>
    <x v="0"/>
    <x v="6"/>
    <x v="2"/>
    <n v="29640612000120"/>
    <x v="522"/>
    <s v="ITAPERUNA"/>
    <s v="RJ"/>
    <x v="4"/>
    <s v="RAFAEL ESTEVES (RJ/SPI/SUL)"/>
    <n v="64"/>
    <x v="2"/>
    <s v="HOSPITAL SAO JOSE DO AVAI - ITAPERUNA - RJ - 29.640.612/0001-20"/>
    <n v="4"/>
  </r>
  <r>
    <x v="0"/>
    <x v="6"/>
    <x v="2"/>
    <n v="30145502000171"/>
    <x v="543"/>
    <s v="NITERÓI"/>
    <s v="RJ"/>
    <x v="4"/>
    <s v="RAFAEL ESTEVES (RJ/SPI/SUL)"/>
    <n v="64"/>
    <x v="2"/>
    <s v="NITEROI DOR (REDE DOR) - NITERÓI - RJ - 30.145.502/0001-71"/>
    <n v="6"/>
  </r>
  <r>
    <x v="0"/>
    <x v="6"/>
    <x v="2"/>
    <n v="30325856000106"/>
    <x v="565"/>
    <s v="ANGRA DOS REIS"/>
    <s v="RJ"/>
    <x v="4"/>
    <s v="RAFAEL ESTEVES (RJ/SPI/SUL)"/>
    <n v="64"/>
    <x v="2"/>
    <s v="CLASS LTDA - CENTRO MEDICO PARQUE DAS PALMEIRAS - ANGRA DOS REIS - RJ - 30.325.856/0001-06"/>
    <n v="2"/>
  </r>
  <r>
    <x v="0"/>
    <x v="6"/>
    <x v="2"/>
    <n v="60194990000844"/>
    <x v="537"/>
    <s v="BELO HORIZONTE"/>
    <s v="MG"/>
    <x v="4"/>
    <s v="RAFAEL ESTEVES (RJ/SPI/SUL)"/>
    <n v="62"/>
    <x v="3"/>
    <s v="HOSPITAL MADRE TERESA - BELO HORIZONTE - MG - 60.194.990/0008-44"/>
    <n v="3"/>
  </r>
  <r>
    <x v="0"/>
    <x v="6"/>
    <x v="2"/>
    <n v="60884855001207"/>
    <x v="505"/>
    <s v="NITERÓI"/>
    <s v="RJ"/>
    <x v="4"/>
    <s v="RAFAEL ESTEVES (RJ/SPI/SUL)"/>
    <n v="62"/>
    <x v="3"/>
    <s v="HOSPITAL HCN - NITERÓI - RJ - 60.884.855/0012-07"/>
    <n v="5"/>
  </r>
  <r>
    <x v="0"/>
    <x v="6"/>
    <x v="2"/>
    <n v="60884855001207"/>
    <x v="505"/>
    <s v="NITERÓI"/>
    <s v="RJ"/>
    <x v="4"/>
    <s v="RAFAEL ESTEVES (RJ/SPI/SUL)"/>
    <n v="64"/>
    <x v="2"/>
    <s v="HOSPITAL HCN - NITERÓI - RJ - 60.884.855/0012-07"/>
    <n v="70"/>
  </r>
  <r>
    <x v="0"/>
    <x v="6"/>
    <x v="2"/>
    <n v="60884855001207"/>
    <x v="505"/>
    <s v="NITERÓI"/>
    <s v="RJ"/>
    <x v="4"/>
    <s v="RAFAEL ESTEVES (RJ/SPI/SUL)"/>
    <n v="73"/>
    <x v="1"/>
    <s v="HOSPITAL HCN - NITERÓI - RJ - 60.884.855/0012-07"/>
    <n v="42"/>
  </r>
  <r>
    <x v="0"/>
    <x v="6"/>
    <x v="2"/>
    <n v="60922168005226"/>
    <x v="506"/>
    <s v="BLUMENAU"/>
    <s v="SC"/>
    <x v="4"/>
    <s v="RAFAEL ESTEVES (RJ/SPI/SUL)"/>
    <n v="62"/>
    <x v="3"/>
    <s v="HOSPITAL SANTA ISABEL - BLUMENAU - SC - 60.922.168/0052-26"/>
    <n v="4"/>
  </r>
  <r>
    <x v="0"/>
    <x v="6"/>
    <x v="2"/>
    <n v="60922168005226"/>
    <x v="506"/>
    <s v="BLUMENAU"/>
    <s v="SC"/>
    <x v="4"/>
    <s v="RAFAEL ESTEVES (RJ/SPI/SUL)"/>
    <n v="64"/>
    <x v="2"/>
    <s v="HOSPITAL SANTA ISABEL - BLUMENAU - SC - 60.922.168/0052-26"/>
    <n v="18"/>
  </r>
  <r>
    <x v="0"/>
    <x v="6"/>
    <x v="2"/>
    <n v="77781706000243"/>
    <x v="564"/>
    <s v="PONTA GROSSA"/>
    <s v="PR"/>
    <x v="4"/>
    <s v="RAFAEL ESTEVES (RJ/SPI/SUL)"/>
    <n v="73"/>
    <x v="1"/>
    <s v="HOSPITAL GERAL UNIMED - PONTA GROSSA - PR - 77.781.706/0002-43"/>
    <n v="2"/>
  </r>
  <r>
    <x v="0"/>
    <x v="6"/>
    <x v="2"/>
    <n v="80673411000187"/>
    <x v="512"/>
    <s v="FLORIANÓPOLIS"/>
    <s v="SC"/>
    <x v="4"/>
    <s v="RAFAEL ESTEVES (RJ/SPI/SUL)"/>
    <n v="73"/>
    <x v="1"/>
    <s v="FES - FLORIANÓPOLIS - SC - 80.673.411/0001-87"/>
    <n v="64"/>
  </r>
  <r>
    <x v="0"/>
    <x v="6"/>
    <x v="2"/>
    <n v="81270548000153"/>
    <x v="538"/>
    <s v="CASCAVEL"/>
    <s v="PR"/>
    <x v="4"/>
    <s v="RAFAEL ESTEVES (RJ/SPI/SUL)"/>
    <n v="62"/>
    <x v="3"/>
    <s v="UOPECCAN - CASCAVEL - PR - 81.270.548/0001-53"/>
    <n v="5"/>
  </r>
  <r>
    <x v="0"/>
    <x v="6"/>
    <x v="2"/>
    <n v="85377174000392"/>
    <x v="516"/>
    <s v="BALNEÁRIO CAMBORIÚ"/>
    <s v="SC"/>
    <x v="4"/>
    <s v="RAFAEL ESTEVES (RJ/SPI/SUL)"/>
    <n v="73"/>
    <x v="1"/>
    <s v="HOSPITAL UNIMED LITORAL - BALNEÁRIO CAMBORIÚ - SC - 85.377.174/0003-92"/>
    <n v="6"/>
  </r>
  <r>
    <x v="0"/>
    <x v="6"/>
    <x v="2"/>
    <n v="87827689002405"/>
    <x v="518"/>
    <s v="CAXIAS DO SUL"/>
    <s v="RS"/>
    <x v="4"/>
    <s v="RAFAEL ESTEVES (RJ/SPI/SUL)"/>
    <n v="73"/>
    <x v="1"/>
    <s v="HOSPITAL UNIMED CAXIAS DO SUL - CAXIAS DO SUL - RS - 87.827.689/0024-05"/>
    <n v="26"/>
  </r>
  <r>
    <x v="0"/>
    <x v="6"/>
    <x v="2"/>
    <n v="88645403001372"/>
    <x v="528"/>
    <s v="CAXIAS DO SUL"/>
    <s v="RS"/>
    <x v="4"/>
    <s v="RAFAEL ESTEVES (RJ/SPI/SUL)"/>
    <n v="73"/>
    <x v="1"/>
    <s v="HOSPITAL DO CIRCULO - CAXIAS DO SUL - RS - 88.645.403/0013-72"/>
    <n v="20"/>
  </r>
  <r>
    <x v="0"/>
    <x v="6"/>
    <x v="2"/>
    <n v="95610887000146"/>
    <x v="521"/>
    <s v="SANTA MARIA"/>
    <s v="RS"/>
    <x v="4"/>
    <s v="RAFAEL ESTEVES (RJ/SPI/SUL)"/>
    <n v="73"/>
    <x v="1"/>
    <s v="HOSPITAL DE CARIDADE DR ASTROGILDO DE AZEVEDO - SANTA MARIA - RS - 95.610.887/0001-46"/>
    <n v="30"/>
  </r>
  <r>
    <x v="0"/>
    <x v="0"/>
    <x v="0"/>
    <n v="437007000175"/>
    <x v="480"/>
    <s v="NITERÓI"/>
    <s v="RJ"/>
    <x v="4"/>
    <s v="RAFAEL ESTEVES (RJ/SPI/SUL)"/>
    <n v="70"/>
    <x v="0"/>
    <s v="CON-CENTRO ONCOLOGICO DE NITEROI LTDA - NITERÓI - RJ - 00.437.007/0001-75"/>
    <n v="420"/>
  </r>
  <r>
    <x v="0"/>
    <x v="1"/>
    <x v="0"/>
    <n v="437007000175"/>
    <x v="480"/>
    <s v="NITERÓI"/>
    <s v="RJ"/>
    <x v="4"/>
    <s v="RAFAEL ESTEVES (RJ/SPI/SUL)"/>
    <n v="70"/>
    <x v="0"/>
    <s v="CON-CENTRO ONCOLOGICO DE NITEROI LTDA - NITERÓI - RJ - 00.437.007/0001-75"/>
    <n v="505"/>
  </r>
  <r>
    <x v="0"/>
    <x v="0"/>
    <x v="0"/>
    <n v="521197000104"/>
    <x v="566"/>
    <s v="NITERÓI"/>
    <s v="RJ"/>
    <x v="4"/>
    <s v="RAFAEL ESTEVES (RJ/SPI/SUL)"/>
    <n v="70"/>
    <x v="0"/>
    <s v="ONCOLOGIA CLINICA NITEROI S/S - NITERÓI - RJ - 00.521.197/0001-04"/>
    <n v="237.5"/>
  </r>
  <r>
    <x v="0"/>
    <x v="1"/>
    <x v="0"/>
    <n v="521197000104"/>
    <x v="566"/>
    <s v="NITERÓI"/>
    <s v="RJ"/>
    <x v="4"/>
    <s v="RAFAEL ESTEVES (RJ/SPI/SUL)"/>
    <n v="70"/>
    <x v="0"/>
    <s v="ONCOLOGIA CLINICA NITEROI S/S - NITERÓI - RJ - 00.521.197/0001-04"/>
    <n v="637.5"/>
  </r>
  <r>
    <x v="0"/>
    <x v="0"/>
    <x v="0"/>
    <n v="1396804000114"/>
    <x v="567"/>
    <s v="SERRA"/>
    <s v="ES"/>
    <x v="4"/>
    <s v="RAFAEL ESTEVES (RJ/SPI/SUL)"/>
    <n v="70"/>
    <x v="0"/>
    <s v="CLINICA PERINATAL VITORIA LTDA - SERRA - ES - 01.396.804/0001-14"/>
    <n v="40"/>
  </r>
  <r>
    <x v="0"/>
    <x v="1"/>
    <x v="0"/>
    <n v="1396804000114"/>
    <x v="567"/>
    <s v="SERRA"/>
    <s v="ES"/>
    <x v="4"/>
    <s v="RAFAEL ESTEVES (RJ/SPI/SUL)"/>
    <n v="70"/>
    <x v="0"/>
    <s v="CLINICA PERINATAL VITORIA LTDA - SERRA - ES - 01.396.804/0001-14"/>
    <n v="25"/>
  </r>
  <r>
    <x v="0"/>
    <x v="0"/>
    <x v="0"/>
    <n v="7039651000134"/>
    <x v="568"/>
    <s v="COLATINA"/>
    <s v="ES"/>
    <x v="4"/>
    <s v="RAFAEL ESTEVES (RJ/SPI/SUL)"/>
    <n v="70"/>
    <x v="0"/>
    <s v="SAO BERNARDO APART - COLATINA - ES - 07.039.651/0001-34"/>
    <n v="15"/>
  </r>
  <r>
    <x v="0"/>
    <x v="0"/>
    <x v="0"/>
    <n v="9572216000287"/>
    <x v="569"/>
    <s v="CRUZ ALTA"/>
    <s v="RS"/>
    <x v="4"/>
    <s v="RAFAEL ESTEVES (RJ/SPI/SUL)"/>
    <n v="70"/>
    <x v="0"/>
    <s v="COMANDO DA ARTILHARIA DIVIS DA TERC DIVISAO DE EXERCITO - CRUZ ALTA - RS - 09.572.216/0002-87"/>
    <n v="90"/>
  </r>
  <r>
    <x v="0"/>
    <x v="0"/>
    <x v="0"/>
    <n v="9605231000284"/>
    <x v="570"/>
    <s v="SANTA MARIA"/>
    <s v="RS"/>
    <x v="4"/>
    <s v="RAFAEL ESTEVES (RJ/SPI/SUL)"/>
    <n v="70"/>
    <x v="0"/>
    <s v="HOSPITAL DE GUARNICAO DE SANTA MARIA - SANTA MARIA - RS - 09.605.231/0002-84"/>
    <n v="100"/>
  </r>
  <r>
    <x v="0"/>
    <x v="0"/>
    <x v="0"/>
    <n v="27080605001591"/>
    <x v="571"/>
    <s v="SERRA"/>
    <s v="ES"/>
    <x v="4"/>
    <s v="RAFAEL ESTEVES (RJ/SPI/SUL)"/>
    <n v="70"/>
    <x v="0"/>
    <s v="HOSPITAL DOUTOR DORIO SILVA - SERRA - ES - 27.080.605/0015-91"/>
    <n v="1000"/>
  </r>
  <r>
    <x v="0"/>
    <x v="0"/>
    <x v="0"/>
    <n v="28137925000106"/>
    <x v="572"/>
    <s v="VITÓRIA"/>
    <s v="ES"/>
    <x v="4"/>
    <s v="RAFAEL ESTEVES (RJ/SPI/SUL)"/>
    <n v="70"/>
    <x v="0"/>
    <s v="HOSPITAL SANTA RITA DE CASSIA - VITÓRIA - ES - 28.137.925/0001-06"/>
    <n v="100"/>
  </r>
  <r>
    <x v="0"/>
    <x v="0"/>
    <x v="0"/>
    <n v="29135795000208"/>
    <x v="573"/>
    <s v="NOVA FRIBURGO"/>
    <s v="RJ"/>
    <x v="4"/>
    <s v="RAFAEL ESTEVES (RJ/SPI/SUL)"/>
    <n v="70"/>
    <x v="0"/>
    <s v="UNIMED DE NOVA FRIBURGO - NOVA FRIBURGO - RJ - 29.135.795/0002-08"/>
    <n v="100"/>
  </r>
  <r>
    <x v="0"/>
    <x v="1"/>
    <x v="0"/>
    <n v="29135795000208"/>
    <x v="573"/>
    <s v="NOVA FRIBURGO"/>
    <s v="RJ"/>
    <x v="4"/>
    <s v="RAFAEL ESTEVES (RJ/SPI/SUL)"/>
    <n v="70"/>
    <x v="0"/>
    <s v="UNIMED DE NOVA FRIBURGO - NOVA FRIBURGO - RJ - 29.135.795/0002-08"/>
    <n v="275"/>
  </r>
  <r>
    <x v="0"/>
    <x v="1"/>
    <x v="0"/>
    <n v="11055682000156"/>
    <x v="574"/>
    <s v="NOVO HAMBURGO"/>
    <s v="RS"/>
    <x v="4"/>
    <s v="RAFAEL ESTEVES (RJ/SPI/SUL)"/>
    <n v="70"/>
    <x v="0"/>
    <s v="FUNDACAO DE SAUDE PUBLICA DE NOVO HAMBURGO - FSNH - NOVO HAMBURGO - RS - 11.055.682/0001-56"/>
    <n v="225"/>
  </r>
  <r>
    <x v="0"/>
    <x v="0"/>
    <x v="0"/>
    <n v="39387477000107"/>
    <x v="575"/>
    <s v="VITÓRIA"/>
    <s v="ES"/>
    <x v="4"/>
    <s v="RAFAEL ESTEVES (RJ/SPI/SUL)"/>
    <n v="70"/>
    <x v="0"/>
    <s v="IMUNOMED ESPECIALIDADES E CLINICA DE INFUSAO - VITÓRIA - ES - 39.387.477/0001-07"/>
    <n v="180"/>
  </r>
  <r>
    <x v="0"/>
    <x v="1"/>
    <x v="0"/>
    <n v="12508728000108"/>
    <x v="576"/>
    <s v="SANTA MARIA"/>
    <s v="RS"/>
    <x v="4"/>
    <s v="RAFAEL ESTEVES (RJ/SPI/SUL)"/>
    <n v="70"/>
    <x v="0"/>
    <s v="CLINICA DE ONCOLOGIA VIVER - SANTA MARIA - RS - 12.508.728/0001-08"/>
    <n v="40"/>
  </r>
  <r>
    <x v="0"/>
    <x v="0"/>
    <x v="0"/>
    <n v="60884855001207"/>
    <x v="505"/>
    <s v="NITERÓI"/>
    <s v="RJ"/>
    <x v="4"/>
    <s v="RAFAEL ESTEVES (RJ/SPI/SUL)"/>
    <n v="70"/>
    <x v="0"/>
    <s v="HOSPITAL HCN - NITERÓI - RJ - 60.884.855/0012-07"/>
    <n v="440"/>
  </r>
  <r>
    <x v="0"/>
    <x v="0"/>
    <x v="0"/>
    <n v="68709211000212"/>
    <x v="526"/>
    <s v="RESENDE"/>
    <s v="RJ"/>
    <x v="4"/>
    <s v="RAFAEL ESTEVES (RJ/SPI/SUL)"/>
    <n v="70"/>
    <x v="0"/>
    <s v="HOSPITAL UNIMED RESENDE - RESENDE - RJ - 68.709.211/0002-12"/>
    <n v="300"/>
  </r>
  <r>
    <x v="0"/>
    <x v="0"/>
    <x v="0"/>
    <n v="87317764001084"/>
    <x v="471"/>
    <s v="PORTO ALEGRE"/>
    <s v="RS"/>
    <x v="4"/>
    <s v="RAFAEL ESTEVES (RJ/SPI/SUL)"/>
    <n v="70"/>
    <x v="0"/>
    <s v="HOSPITAL DIVINA PROVIDENCIA - PORTO ALEGRE - RS - 87.317.764/0010-84"/>
    <n v="330"/>
  </r>
  <r>
    <x v="0"/>
    <x v="1"/>
    <x v="0"/>
    <n v="27080605000358"/>
    <x v="577"/>
    <s v="SÃO MATEUS"/>
    <s v="ES"/>
    <x v="4"/>
    <s v="RAFAEL ESTEVES (RJ/SPI/SUL)"/>
    <n v="70"/>
    <x v="0"/>
    <s v="HOSPITAL DR. ROBERTO ARNIZAUT SILVARES - SÃO MATEUS - ES - 27.080.605/0003-58"/>
    <n v="300"/>
  </r>
  <r>
    <x v="0"/>
    <x v="0"/>
    <x v="0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240"/>
  </r>
  <r>
    <x v="0"/>
    <x v="0"/>
    <x v="0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1"/>
    <x v="0"/>
    <n v="27578434001525"/>
    <x v="519"/>
    <s v="VITÓRIA"/>
    <s v="ES"/>
    <x v="4"/>
    <s v="RAFAEL ESTEVES (RJ/SPI/SUL)"/>
    <n v="70"/>
    <x v="0"/>
    <s v="CIAS UNIMED VITORIA - CENTRO INTEGRADO ATENCAO A SAUDE - VITÓRIA - ES - 27.578.434/0015-25"/>
    <n v="1500"/>
  </r>
  <r>
    <x v="0"/>
    <x v="0"/>
    <x v="0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0"/>
    <x v="0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300"/>
  </r>
  <r>
    <x v="0"/>
    <x v="1"/>
    <x v="0"/>
    <n v="29435005003497"/>
    <x v="542"/>
    <s v="DUQUE DE CAXIAS"/>
    <s v="RJ"/>
    <x v="4"/>
    <s v="RAFAEL ESTEVES (RJ/SPI/SUL)"/>
    <n v="70"/>
    <x v="0"/>
    <s v="HOSPITAL MARIO LIONI - DUQUE DE CAXIAS - RJ - 29.435.005/0034-97"/>
    <n v="150"/>
  </r>
  <r>
    <x v="0"/>
    <x v="1"/>
    <x v="0"/>
    <n v="30537740000122"/>
    <x v="580"/>
    <s v="NOVA FRIBURGO"/>
    <s v="RJ"/>
    <x v="4"/>
    <s v="RAFAEL ESTEVES (RJ/SPI/SUL)"/>
    <n v="70"/>
    <x v="0"/>
    <s v="HOSPITAL SAO LUCAS - NOVA FRIBURGO - RJ - 30.537.740/0001-22"/>
    <n v="215"/>
  </r>
  <r>
    <x v="0"/>
    <x v="1"/>
    <x v="0"/>
    <n v="36238913000198"/>
    <x v="536"/>
    <s v="ANGRA DOS REIS"/>
    <s v="RJ"/>
    <x v="4"/>
    <s v="RAFAEL ESTEVES (RJ/SPI/SUL)"/>
    <n v="70"/>
    <x v="0"/>
    <s v="MEDCLINICA DO CENTRO DE TERESOPOLIS - ANGRA DOS REIS - RJ - 36.238.913/0001-98"/>
    <n v="125"/>
  </r>
  <r>
    <x v="0"/>
    <x v="1"/>
    <x v="0"/>
    <n v="39387477000107"/>
    <x v="575"/>
    <s v="VITÓRIA"/>
    <s v="ES"/>
    <x v="4"/>
    <s v="RAFAEL ESTEVES (RJ/SPI/SUL)"/>
    <n v="70"/>
    <x v="0"/>
    <s v="IMUNOMED ESPECIALIDADES E CLINICA DE INFUSAO - VITÓRIA - ES - 39.387.477/0001-07"/>
    <n v="75"/>
  </r>
  <r>
    <x v="0"/>
    <x v="1"/>
    <x v="0"/>
    <n v="60884855001207"/>
    <x v="505"/>
    <s v="NITERÓI"/>
    <s v="RJ"/>
    <x v="4"/>
    <s v="RAFAEL ESTEVES (RJ/SPI/SUL)"/>
    <n v="70"/>
    <x v="0"/>
    <s v="HOSPITAL HCN - NITERÓI - RJ - 60.884.855/0012-07"/>
    <n v="985"/>
  </r>
  <r>
    <x v="0"/>
    <x v="1"/>
    <x v="0"/>
    <n v="68709211000212"/>
    <x v="526"/>
    <s v="RESENDE"/>
    <s v="RJ"/>
    <x v="4"/>
    <s v="RAFAEL ESTEVES (RJ/SPI/SUL)"/>
    <n v="70"/>
    <x v="0"/>
    <s v="HOSPITAL UNIMED RESENDE - RESENDE - RJ - 68.709.211/0002-12"/>
    <n v="200"/>
  </r>
  <r>
    <x v="0"/>
    <x v="1"/>
    <x v="0"/>
    <n v="87096616003101"/>
    <x v="475"/>
    <s v="PORTO ALEGRE"/>
    <s v="RS"/>
    <x v="4"/>
    <s v="RAFAEL ESTEVES (RJ/SPI/SUL)"/>
    <n v="70"/>
    <x v="0"/>
    <s v="CENTRO DE ONCOLOGIA UNIMED PORTO ALEGRE - PORTO ALEGRE - RS - 87.096.616/0031-01"/>
    <n v="1500"/>
  </r>
  <r>
    <x v="0"/>
    <x v="1"/>
    <x v="0"/>
    <n v="87317764001084"/>
    <x v="471"/>
    <s v="PORTO ALEGRE"/>
    <s v="RS"/>
    <x v="4"/>
    <s v="RAFAEL ESTEVES (RJ/SPI/SUL)"/>
    <n v="70"/>
    <x v="0"/>
    <s v="HOSPITAL DIVINA PROVIDENCIA - PORTO ALEGRE - RS - 87.317.764/0010-84"/>
    <n v="240"/>
  </r>
  <r>
    <x v="0"/>
    <x v="1"/>
    <x v="0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235"/>
  </r>
  <r>
    <x v="0"/>
    <x v="1"/>
    <x v="0"/>
    <n v="87638334000505"/>
    <x v="581"/>
    <s v="ERECHIM"/>
    <s v="RS"/>
    <x v="4"/>
    <s v="RAFAEL ESTEVES (RJ/SPI/SUL)"/>
    <n v="70"/>
    <x v="0"/>
    <s v="UNICLINICA - ERECHIM - RS - 87.638.334/0005-05"/>
    <n v="10"/>
  </r>
  <r>
    <x v="0"/>
    <x v="1"/>
    <x v="0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1"/>
    <x v="0"/>
    <n v="88625686002443"/>
    <x v="464"/>
    <s v="PORTO ALEGRE"/>
    <s v="RS"/>
    <x v="4"/>
    <s v="RAFAEL ESTEVES (RJ/SPI/SUL)"/>
    <n v="70"/>
    <x v="0"/>
    <s v="HOSPITAL MAE DE DEUS - PORTO ALEGRE - RS - 88.625.686/0024-43"/>
    <n v="240"/>
  </r>
  <r>
    <x v="0"/>
    <x v="1"/>
    <x v="0"/>
    <n v="88830609000139"/>
    <x v="582"/>
    <s v="CAXIAS DO SUL"/>
    <s v="RS"/>
    <x v="4"/>
    <s v="RAFAEL ESTEVES (RJ/SPI/SUL)"/>
    <n v="70"/>
    <x v="0"/>
    <s v="MUNICIPIO DE CAXIAS DO SUL - CAXIAS DO SUL - RS - 88.830.609/0001-39"/>
    <n v="140"/>
  </r>
  <r>
    <x v="0"/>
    <x v="1"/>
    <x v="0"/>
    <n v="92815000000168"/>
    <x v="469"/>
    <s v="PORTO ALEGRE"/>
    <s v="RS"/>
    <x v="4"/>
    <s v="RAFAEL ESTEVES (RJ/SPI/SUL)"/>
    <n v="70"/>
    <x v="0"/>
    <s v="IRMANDADE DA SANTA CASA DE MISERICORDIA DE PORTO ALEGRE - PORTO ALEGRE - RS - 92.815.000/0001-68"/>
    <n v="90"/>
  </r>
  <r>
    <x v="0"/>
    <x v="1"/>
    <x v="0"/>
    <n v="92963560000160"/>
    <x v="472"/>
    <s v="PORTO ALEGRE"/>
    <s v="RS"/>
    <x v="4"/>
    <s v="RAFAEL ESTEVES (RJ/SPI/SUL)"/>
    <n v="70"/>
    <x v="0"/>
    <s v="PMPA - PORTO ALEGRE - RS - 92.963.560/0001-60"/>
    <n v="100"/>
  </r>
  <r>
    <x v="0"/>
    <x v="1"/>
    <x v="0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1"/>
    <x v="0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100"/>
  </r>
  <r>
    <x v="0"/>
    <x v="2"/>
    <x v="0"/>
    <n v="437007000175"/>
    <x v="480"/>
    <s v="NITERÓI"/>
    <s v="RJ"/>
    <x v="4"/>
    <s v="RAFAEL ESTEVES (RJ/SPI/SUL)"/>
    <n v="70"/>
    <x v="0"/>
    <s v="CON-CENTRO ONCOLOGICO DE NITEROI LTDA - NITERÓI - RJ - 00.437.007/0001-75"/>
    <n v="500"/>
  </r>
  <r>
    <x v="0"/>
    <x v="2"/>
    <x v="0"/>
    <n v="521197000104"/>
    <x v="566"/>
    <s v="NITERÓI"/>
    <s v="RJ"/>
    <x v="4"/>
    <s v="RAFAEL ESTEVES (RJ/SPI/SUL)"/>
    <n v="70"/>
    <x v="0"/>
    <s v="ONCOLOGIA CLINICA NITEROI S/S - NITERÓI - RJ - 00.521.197/0001-04"/>
    <n v="297.5"/>
  </r>
  <r>
    <x v="0"/>
    <x v="2"/>
    <x v="0"/>
    <n v="7039651000134"/>
    <x v="568"/>
    <s v="COLATINA"/>
    <s v="ES"/>
    <x v="4"/>
    <s v="RAFAEL ESTEVES (RJ/SPI/SUL)"/>
    <n v="70"/>
    <x v="0"/>
    <s v="SAO BERNARDO APART - COLATINA - ES - 07.039.651/0001-34"/>
    <n v="25"/>
  </r>
  <r>
    <x v="0"/>
    <x v="2"/>
    <x v="0"/>
    <n v="10562003000172"/>
    <x v="583"/>
    <s v="VOLTA REDONDA"/>
    <s v="RJ"/>
    <x v="4"/>
    <s v="RAFAEL ESTEVES (RJ/SPI/SUL)"/>
    <n v="70"/>
    <x v="0"/>
    <s v="GLN HOSPITALAR - VOLTA REDONDA - RJ - 10.562.003/0001-72"/>
    <n v="175"/>
  </r>
  <r>
    <x v="0"/>
    <x v="2"/>
    <x v="0"/>
    <n v="10586940000168"/>
    <x v="532"/>
    <s v="VITÓRIA"/>
    <s v="ES"/>
    <x v="4"/>
    <s v="RAFAEL ESTEVES (RJ/SPI/SUL)"/>
    <n v="70"/>
    <x v="0"/>
    <s v="ONCOVIT DISTRIBUIDORA DE MEDICAMENTOS LTDA - VITÓRIA - ES - 10.586.940/0001-68"/>
    <n v="1150"/>
  </r>
  <r>
    <x v="0"/>
    <x v="2"/>
    <x v="0"/>
    <n v="12508728000108"/>
    <x v="576"/>
    <s v="SANTA MARIA"/>
    <s v="RS"/>
    <x v="4"/>
    <s v="RAFAEL ESTEVES (RJ/SPI/SUL)"/>
    <n v="70"/>
    <x v="0"/>
    <s v="CLINICA DE ONCOLOGIA VIVER - SANTA MARIA - RS - 12.508.728/0001-08"/>
    <n v="20"/>
  </r>
  <r>
    <x v="0"/>
    <x v="2"/>
    <x v="0"/>
    <n v="27080605000358"/>
    <x v="577"/>
    <s v="SÃO MATEUS"/>
    <s v="ES"/>
    <x v="4"/>
    <s v="RAFAEL ESTEVES (RJ/SPI/SUL)"/>
    <n v="70"/>
    <x v="0"/>
    <s v="HOSPITAL DR. ROBERTO ARNIZAUT SILVARES - SÃO MATEUS - ES - 27.080.605/0003-58"/>
    <n v="200"/>
  </r>
  <r>
    <x v="0"/>
    <x v="2"/>
    <x v="0"/>
    <n v="27578434001525"/>
    <x v="519"/>
    <s v="VITÓRIA"/>
    <s v="ES"/>
    <x v="4"/>
    <s v="RAFAEL ESTEVES (RJ/SPI/SUL)"/>
    <n v="70"/>
    <x v="0"/>
    <s v="CIAS UNIMED VITORIA - CENTRO INTEGRADO ATENCAO A SAUDE - VITÓRIA - ES - 27.578.434/0015-25"/>
    <n v="1000"/>
  </r>
  <r>
    <x v="0"/>
    <x v="2"/>
    <x v="0"/>
    <n v="28523215000378"/>
    <x v="584"/>
    <s v="NITERÓI"/>
    <s v="RJ"/>
    <x v="4"/>
    <s v="RAFAEL ESTEVES (RJ/SPI/SUL)"/>
    <n v="70"/>
    <x v="0"/>
    <s v="HOSPITAL UNIVERSITARIO ANTONIO PEDRO - NITERÓI - RJ - 28.523.215/0003-78"/>
    <n v="300"/>
  </r>
  <r>
    <x v="0"/>
    <x v="2"/>
    <x v="0"/>
    <n v="30638381000108"/>
    <x v="585"/>
    <s v="PETRÓPOLIS"/>
    <s v="RJ"/>
    <x v="4"/>
    <s v="RAFAEL ESTEVES (RJ/SPI/SUL)"/>
    <n v="70"/>
    <x v="0"/>
    <s v="C.T.O. - PETRÓPOLIS - RJ - 30.638.381/0001-08"/>
    <n v="125"/>
  </r>
  <r>
    <x v="0"/>
    <x v="2"/>
    <x v="0"/>
    <n v="39387477000107"/>
    <x v="575"/>
    <s v="VITÓRIA"/>
    <s v="ES"/>
    <x v="4"/>
    <s v="RAFAEL ESTEVES (RJ/SPI/SUL)"/>
    <n v="70"/>
    <x v="0"/>
    <s v="IMUNOMED ESPECIALIDADES E CLINICA DE INFUSAO - VITÓRIA - ES - 39.387.477/0001-07"/>
    <n v="350"/>
  </r>
  <r>
    <x v="0"/>
    <x v="2"/>
    <x v="0"/>
    <n v="60884855001207"/>
    <x v="505"/>
    <s v="NITERÓI"/>
    <s v="RJ"/>
    <x v="4"/>
    <s v="RAFAEL ESTEVES (RJ/SPI/SUL)"/>
    <n v="70"/>
    <x v="0"/>
    <s v="HOSPITAL HCN - NITERÓI - RJ - 60.884.855/0012-07"/>
    <n v="790"/>
  </r>
  <r>
    <x v="0"/>
    <x v="2"/>
    <x v="0"/>
    <n v="68709211000212"/>
    <x v="526"/>
    <s v="RESENDE"/>
    <s v="RJ"/>
    <x v="4"/>
    <s v="RAFAEL ESTEVES (RJ/SPI/SUL)"/>
    <n v="70"/>
    <x v="0"/>
    <s v="HOSPITAL UNIMED RESENDE - RESENDE - RJ - 68.709.211/0002-12"/>
    <n v="200"/>
  </r>
  <r>
    <x v="0"/>
    <x v="2"/>
    <x v="0"/>
    <n v="87317764001084"/>
    <x v="471"/>
    <s v="PORTO ALEGRE"/>
    <s v="RS"/>
    <x v="4"/>
    <s v="RAFAEL ESTEVES (RJ/SPI/SUL)"/>
    <n v="70"/>
    <x v="0"/>
    <s v="HOSPITAL DIVINA PROVIDENCIA - PORTO ALEGRE - RS - 87.317.764/0010-84"/>
    <n v="200"/>
  </r>
  <r>
    <x v="0"/>
    <x v="2"/>
    <x v="0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2"/>
    <x v="0"/>
    <n v="92815000000168"/>
    <x v="469"/>
    <s v="PORTO ALEGRE"/>
    <s v="RS"/>
    <x v="4"/>
    <s v="RAFAEL ESTEVES (RJ/SPI/SUL)"/>
    <n v="70"/>
    <x v="0"/>
    <s v="IRMANDADE DA SANTA CASA DE MISERICORDIA DE PORTO ALEGRE - PORTO ALEGRE - RS - 92.815.000/0001-68"/>
    <n v="90"/>
  </r>
  <r>
    <x v="0"/>
    <x v="2"/>
    <x v="0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2"/>
    <x v="0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450"/>
  </r>
  <r>
    <x v="0"/>
    <x v="3"/>
    <x v="1"/>
    <n v="437007000175"/>
    <x v="480"/>
    <s v="NITERÓI"/>
    <s v="RJ"/>
    <x v="4"/>
    <s v="RAFAEL ESTEVES (RJ/SPI/SUL)"/>
    <n v="70"/>
    <x v="0"/>
    <s v="CON-CENTRO ONCOLOGICO DE NITEROI LTDA - NITERÓI - RJ - 00.437.007/0001-75"/>
    <n v="660"/>
  </r>
  <r>
    <x v="0"/>
    <x v="3"/>
    <x v="1"/>
    <n v="521197000104"/>
    <x v="566"/>
    <s v="NITERÓI"/>
    <s v="RJ"/>
    <x v="4"/>
    <s v="RAFAEL ESTEVES (RJ/SPI/SUL)"/>
    <n v="70"/>
    <x v="0"/>
    <s v="ONCOLOGIA CLINICA NITEROI S/S - NITERÓI - RJ - 00.521.197/0001-04"/>
    <n v="330"/>
  </r>
  <r>
    <x v="0"/>
    <x v="3"/>
    <x v="1"/>
    <n v="7039651000134"/>
    <x v="568"/>
    <s v="COLATINA"/>
    <s v="ES"/>
    <x v="4"/>
    <s v="RAFAEL ESTEVES (RJ/SPI/SUL)"/>
    <n v="70"/>
    <x v="0"/>
    <s v="SAO BERNARDO APART - COLATINA - ES - 07.039.651/0001-34"/>
    <n v="25"/>
  </r>
  <r>
    <x v="0"/>
    <x v="3"/>
    <x v="1"/>
    <n v="12508728000108"/>
    <x v="576"/>
    <s v="SANTA MARIA"/>
    <s v="RS"/>
    <x v="4"/>
    <s v="RAFAEL ESTEVES (RJ/SPI/SUL)"/>
    <n v="70"/>
    <x v="0"/>
    <s v="CLINICA DE ONCOLOGIA VIVER - SANTA MARIA - RS - 12.508.728/0001-08"/>
    <n v="60"/>
  </r>
  <r>
    <x v="0"/>
    <x v="3"/>
    <x v="1"/>
    <n v="27578434001525"/>
    <x v="519"/>
    <s v="VITÓRIA"/>
    <s v="ES"/>
    <x v="4"/>
    <s v="RAFAEL ESTEVES (RJ/SPI/SUL)"/>
    <n v="70"/>
    <x v="0"/>
    <s v="CIAS UNIMED VITORIA - CENTRO INTEGRADO ATENCAO A SAUDE - VITÓRIA - ES - 27.578.434/0015-25"/>
    <n v="1000"/>
  </r>
  <r>
    <x v="0"/>
    <x v="3"/>
    <x v="1"/>
    <n v="28137925000106"/>
    <x v="572"/>
    <s v="VITÓRIA"/>
    <s v="ES"/>
    <x v="4"/>
    <s v="RAFAEL ESTEVES (RJ/SPI/SUL)"/>
    <n v="70"/>
    <x v="0"/>
    <s v="HOSPITAL SANTA RITA DE CASSIA - VITÓRIA - ES - 28.137.925/0001-06"/>
    <n v="550"/>
  </r>
  <r>
    <x v="0"/>
    <x v="3"/>
    <x v="1"/>
    <n v="29135795000208"/>
    <x v="573"/>
    <s v="NOVA FRIBURGO"/>
    <s v="RJ"/>
    <x v="4"/>
    <s v="RAFAEL ESTEVES (RJ/SPI/SUL)"/>
    <n v="70"/>
    <x v="0"/>
    <s v="UNIMED DE NOVA FRIBURGO - NOVA FRIBURGO - RJ - 29.135.795/0002-08"/>
    <n v="175"/>
  </r>
  <r>
    <x v="0"/>
    <x v="3"/>
    <x v="1"/>
    <n v="29323454000185"/>
    <x v="586"/>
    <s v="LINHARES"/>
    <s v="ES"/>
    <x v="4"/>
    <s v="RAFAEL ESTEVES (RJ/SPI/SUL)"/>
    <n v="70"/>
    <x v="0"/>
    <s v="INFUSIONAL TERAPIA IMUNOBIOLOGICA ASSISTIDA LTDA - LINHARES - ES - 29.323.454/0001-85"/>
    <n v="150"/>
  </r>
  <r>
    <x v="0"/>
    <x v="3"/>
    <x v="1"/>
    <n v="30537740000122"/>
    <x v="580"/>
    <s v="NOVA FRIBURGO"/>
    <s v="RJ"/>
    <x v="4"/>
    <s v="RAFAEL ESTEVES (RJ/SPI/SUL)"/>
    <n v="70"/>
    <x v="0"/>
    <s v="HOSPITAL SAO LUCAS - NOVA FRIBURGO - RJ - 30.537.740/0001-22"/>
    <n v="60"/>
  </r>
  <r>
    <x v="0"/>
    <x v="3"/>
    <x v="1"/>
    <n v="39387477000107"/>
    <x v="575"/>
    <s v="VITÓRIA"/>
    <s v="ES"/>
    <x v="4"/>
    <s v="RAFAEL ESTEVES (RJ/SPI/SUL)"/>
    <n v="70"/>
    <x v="0"/>
    <s v="IMUNOMED ESPECIALIDADES E CLINICA DE INFUSAO - VITÓRIA - ES - 39.387.477/0001-07"/>
    <n v="325"/>
  </r>
  <r>
    <x v="0"/>
    <x v="3"/>
    <x v="1"/>
    <n v="60884855001207"/>
    <x v="505"/>
    <s v="NITERÓI"/>
    <s v="RJ"/>
    <x v="4"/>
    <s v="RAFAEL ESTEVES (RJ/SPI/SUL)"/>
    <n v="70"/>
    <x v="0"/>
    <s v="HOSPITAL HCN - NITERÓI - RJ - 60.884.855/0012-07"/>
    <n v="765"/>
  </r>
  <r>
    <x v="0"/>
    <x v="3"/>
    <x v="1"/>
    <n v="87317764001084"/>
    <x v="471"/>
    <s v="PORTO ALEGRE"/>
    <s v="RS"/>
    <x v="4"/>
    <s v="RAFAEL ESTEVES (RJ/SPI/SUL)"/>
    <n v="70"/>
    <x v="0"/>
    <s v="HOSPITAL DIVINA PROVIDENCIA - PORTO ALEGRE - RS - 87.317.764/0010-84"/>
    <n v="560"/>
  </r>
  <r>
    <x v="0"/>
    <x v="3"/>
    <x v="1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160"/>
  </r>
  <r>
    <x v="0"/>
    <x v="3"/>
    <x v="1"/>
    <n v="87638334000505"/>
    <x v="581"/>
    <s v="ERECHIM"/>
    <s v="RS"/>
    <x v="4"/>
    <s v="RAFAEL ESTEVES (RJ/SPI/SUL)"/>
    <n v="70"/>
    <x v="0"/>
    <s v="UNICLINICA - ERECHIM - RS - 87.638.334/0005-05"/>
    <n v="10"/>
  </r>
  <r>
    <x v="0"/>
    <x v="3"/>
    <x v="1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3"/>
    <x v="1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3"/>
    <x v="1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300"/>
  </r>
  <r>
    <x v="0"/>
    <x v="4"/>
    <x v="1"/>
    <n v="437007000175"/>
    <x v="480"/>
    <s v="NITERÓI"/>
    <s v="RJ"/>
    <x v="4"/>
    <s v="RAFAEL ESTEVES (RJ/SPI/SUL)"/>
    <n v="70"/>
    <x v="0"/>
    <s v="CON-CENTRO ONCOLOGICO DE NITEROI LTDA - NITERÓI - RJ - 00.437.007/0001-75"/>
    <n v="35"/>
  </r>
  <r>
    <x v="0"/>
    <x v="4"/>
    <x v="1"/>
    <n v="521197000104"/>
    <x v="566"/>
    <s v="NITERÓI"/>
    <s v="RJ"/>
    <x v="4"/>
    <s v="RAFAEL ESTEVES (RJ/SPI/SUL)"/>
    <n v="70"/>
    <x v="0"/>
    <s v="ONCOLOGIA CLINICA NITEROI S/S - NITERÓI - RJ - 00.521.197/0001-04"/>
    <n v="310"/>
  </r>
  <r>
    <x v="0"/>
    <x v="4"/>
    <x v="1"/>
    <n v="1396804000114"/>
    <x v="567"/>
    <s v="SERRA"/>
    <s v="ES"/>
    <x v="4"/>
    <s v="RAFAEL ESTEVES (RJ/SPI/SUL)"/>
    <n v="70"/>
    <x v="0"/>
    <s v="CLINICA PERINATAL VITORIA LTDA - SERRA - ES - 01.396.804/0001-14"/>
    <n v="25"/>
  </r>
  <r>
    <x v="0"/>
    <x v="4"/>
    <x v="1"/>
    <n v="7039651000134"/>
    <x v="568"/>
    <s v="COLATINA"/>
    <s v="ES"/>
    <x v="4"/>
    <s v="RAFAEL ESTEVES (RJ/SPI/SUL)"/>
    <n v="70"/>
    <x v="0"/>
    <s v="SAO BERNARDO APART - COLATINA - ES - 07.039.651/0001-34"/>
    <n v="25"/>
  </r>
  <r>
    <x v="0"/>
    <x v="4"/>
    <x v="1"/>
    <n v="9605231000284"/>
    <x v="570"/>
    <s v="SANTA MARIA"/>
    <s v="RS"/>
    <x v="4"/>
    <s v="RAFAEL ESTEVES (RJ/SPI/SUL)"/>
    <n v="70"/>
    <x v="0"/>
    <s v="HOSPITAL DE GUARNICAO DE SANTA MARIA - SANTA MARIA - RS - 09.605.231/0002-84"/>
    <n v="100"/>
  </r>
  <r>
    <x v="0"/>
    <x v="4"/>
    <x v="1"/>
    <n v="12508728000108"/>
    <x v="576"/>
    <s v="SANTA MARIA"/>
    <s v="RS"/>
    <x v="4"/>
    <s v="RAFAEL ESTEVES (RJ/SPI/SUL)"/>
    <n v="70"/>
    <x v="0"/>
    <s v="CLINICA DE ONCOLOGIA VIVER - SANTA MARIA - RS - 12.508.728/0001-08"/>
    <n v="20"/>
  </r>
  <r>
    <x v="0"/>
    <x v="4"/>
    <x v="1"/>
    <n v="15126437003673"/>
    <x v="550"/>
    <s v="NITEROI"/>
    <s v="RJ"/>
    <x v="4"/>
    <s v="RAFAEL ESTEVES (RJ/SPI/SUL)"/>
    <n v="70"/>
    <x v="0"/>
    <s v="HOSPITAL UNIVERSITARIO ANTONIO PEDRO - NITEROI - RJ - PRIVADO - 15.126.437/0036-73"/>
    <n v="100"/>
  </r>
  <r>
    <x v="0"/>
    <x v="4"/>
    <x v="1"/>
    <n v="27578434001525"/>
    <x v="519"/>
    <s v="VITÓRIA"/>
    <s v="ES"/>
    <x v="4"/>
    <s v="RAFAEL ESTEVES (RJ/SPI/SUL)"/>
    <n v="70"/>
    <x v="0"/>
    <s v="CIAS UNIMED VITORIA - CENTRO INTEGRADO ATENCAO A SAUDE - VITÓRIA - ES - 27.578.434/0015-25"/>
    <n v="1500"/>
  </r>
  <r>
    <x v="0"/>
    <x v="4"/>
    <x v="1"/>
    <n v="28137925000106"/>
    <x v="572"/>
    <s v="VITÓRIA"/>
    <s v="ES"/>
    <x v="4"/>
    <s v="RAFAEL ESTEVES (RJ/SPI/SUL)"/>
    <n v="70"/>
    <x v="0"/>
    <s v="HOSPITAL SANTA RITA DE CASSIA - VITÓRIA - ES - 28.137.925/0001-06"/>
    <n v="150"/>
  </r>
  <r>
    <x v="0"/>
    <x v="4"/>
    <x v="1"/>
    <n v="29135795000208"/>
    <x v="573"/>
    <s v="NOVA FRIBURGO"/>
    <s v="RJ"/>
    <x v="4"/>
    <s v="RAFAEL ESTEVES (RJ/SPI/SUL)"/>
    <n v="70"/>
    <x v="0"/>
    <s v="UNIMED DE NOVA FRIBURGO - NOVA FRIBURGO - RJ - 29.135.795/0002-08"/>
    <n v="75"/>
  </r>
  <r>
    <x v="0"/>
    <x v="4"/>
    <x v="1"/>
    <n v="29435005003497"/>
    <x v="542"/>
    <s v="DUQUE DE CAXIAS"/>
    <s v="RJ"/>
    <x v="4"/>
    <s v="RAFAEL ESTEVES (RJ/SPI/SUL)"/>
    <n v="70"/>
    <x v="0"/>
    <s v="HOSPITAL MARIO LIONI - DUQUE DE CAXIAS - RJ - 29.435.005/0034-97"/>
    <n v="100"/>
  </r>
  <r>
    <x v="0"/>
    <x v="4"/>
    <x v="1"/>
    <n v="39387477000107"/>
    <x v="575"/>
    <s v="VITÓRIA"/>
    <s v="ES"/>
    <x v="4"/>
    <s v="RAFAEL ESTEVES (RJ/SPI/SUL)"/>
    <n v="70"/>
    <x v="0"/>
    <s v="IMUNOMED ESPECIALIDADES E CLINICA DE INFUSAO - VITÓRIA - ES - 39.387.477/0001-07"/>
    <n v="375"/>
  </r>
  <r>
    <x v="0"/>
    <x v="4"/>
    <x v="1"/>
    <n v="60884855001207"/>
    <x v="505"/>
    <s v="NITERÓI"/>
    <s v="RJ"/>
    <x v="4"/>
    <s v="RAFAEL ESTEVES (RJ/SPI/SUL)"/>
    <n v="70"/>
    <x v="0"/>
    <s v="HOSPITAL HCN - NITERÓI - RJ - 60.884.855/0012-07"/>
    <n v="910"/>
  </r>
  <r>
    <x v="0"/>
    <x v="4"/>
    <x v="1"/>
    <n v="68709211000212"/>
    <x v="526"/>
    <s v="RESENDE"/>
    <s v="RJ"/>
    <x v="4"/>
    <s v="RAFAEL ESTEVES (RJ/SPI/SUL)"/>
    <n v="70"/>
    <x v="0"/>
    <s v="HOSPITAL UNIMED RESENDE - RESENDE - RJ - 68.709.211/0002-12"/>
    <n v="475"/>
  </r>
  <r>
    <x v="0"/>
    <x v="4"/>
    <x v="1"/>
    <n v="87317764001084"/>
    <x v="471"/>
    <s v="PORTO ALEGRE"/>
    <s v="RS"/>
    <x v="4"/>
    <s v="RAFAEL ESTEVES (RJ/SPI/SUL)"/>
    <n v="70"/>
    <x v="0"/>
    <s v="HOSPITAL DIVINA PROVIDENCIA - PORTO ALEGRE - RS - 87.317.764/0010-84"/>
    <n v="130"/>
  </r>
  <r>
    <x v="0"/>
    <x v="4"/>
    <x v="1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145"/>
  </r>
  <r>
    <x v="0"/>
    <x v="4"/>
    <x v="1"/>
    <n v="87638334000505"/>
    <x v="581"/>
    <s v="ERECHIM"/>
    <s v="RS"/>
    <x v="4"/>
    <s v="RAFAEL ESTEVES (RJ/SPI/SUL)"/>
    <n v="70"/>
    <x v="0"/>
    <s v="UNICLINICA - ERECHIM - RS - 87.638.334/0005-05"/>
    <n v="10"/>
  </r>
  <r>
    <x v="0"/>
    <x v="4"/>
    <x v="1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4"/>
    <x v="1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750"/>
  </r>
  <r>
    <x v="0"/>
    <x v="5"/>
    <x v="1"/>
    <n v="437007000175"/>
    <x v="480"/>
    <s v="NITERÓI"/>
    <s v="RJ"/>
    <x v="4"/>
    <s v="RAFAEL ESTEVES (RJ/SPI/SUL)"/>
    <n v="70"/>
    <x v="0"/>
    <s v="CON-CENTRO ONCOLOGICO DE NITEROI LTDA - NITERÓI - RJ - 00.437.007/0001-75"/>
    <n v="505"/>
  </r>
  <r>
    <x v="0"/>
    <x v="5"/>
    <x v="1"/>
    <n v="521197000104"/>
    <x v="566"/>
    <s v="NITERÓI"/>
    <s v="RJ"/>
    <x v="4"/>
    <s v="RAFAEL ESTEVES (RJ/SPI/SUL)"/>
    <n v="70"/>
    <x v="0"/>
    <s v="ONCOLOGIA CLINICA NITEROI S/S - NITERÓI - RJ - 00.521.197/0001-04"/>
    <n v="452.5"/>
  </r>
  <r>
    <x v="0"/>
    <x v="5"/>
    <x v="1"/>
    <n v="1396804000114"/>
    <x v="567"/>
    <s v="SERRA"/>
    <s v="ES"/>
    <x v="4"/>
    <s v="RAFAEL ESTEVES (RJ/SPI/SUL)"/>
    <n v="70"/>
    <x v="0"/>
    <s v="CLINICA PERINATAL VITORIA LTDA - SERRA - ES - 01.396.804/0001-14"/>
    <n v="25"/>
  </r>
  <r>
    <x v="0"/>
    <x v="5"/>
    <x v="1"/>
    <n v="4703117000192"/>
    <x v="587"/>
    <s v="CABO FRIO"/>
    <s v="RJ"/>
    <x v="4"/>
    <s v="RAFAEL ESTEVES (RJ/SPI/SUL)"/>
    <n v="70"/>
    <x v="0"/>
    <s v="ONKO SOL ASSISTENCIA MEDICA ONCOLOGICA LTDA - CABO FRIO - RJ - 04.703.117/0001-92"/>
    <n v="150"/>
  </r>
  <r>
    <x v="0"/>
    <x v="5"/>
    <x v="1"/>
    <n v="4786490000154"/>
    <x v="487"/>
    <s v="SERRA"/>
    <s v="ES"/>
    <x v="4"/>
    <s v="RAFAEL ESTEVES (RJ/SPI/SUL)"/>
    <n v="70"/>
    <x v="0"/>
    <s v="NEON - NUCLEO ESPECIALIZADO EM ONCOLOGIA - SERRA - ES - 04.786.490/0001-54"/>
    <n v="245"/>
  </r>
  <r>
    <x v="0"/>
    <x v="5"/>
    <x v="1"/>
    <n v="7039651000134"/>
    <x v="568"/>
    <s v="COLATINA"/>
    <s v="ES"/>
    <x v="4"/>
    <s v="RAFAEL ESTEVES (RJ/SPI/SUL)"/>
    <n v="70"/>
    <x v="0"/>
    <s v="SAO BERNARDO APART - COLATINA - ES - 07.039.651/0001-34"/>
    <n v="25"/>
  </r>
  <r>
    <x v="0"/>
    <x v="5"/>
    <x v="1"/>
    <n v="12508728000108"/>
    <x v="576"/>
    <s v="SANTA MARIA"/>
    <s v="RS"/>
    <x v="4"/>
    <s v="RAFAEL ESTEVES (RJ/SPI/SUL)"/>
    <n v="70"/>
    <x v="0"/>
    <s v="CLINICA DE ONCOLOGIA VIVER - SANTA MARIA - RS - 12.508.728/0001-08"/>
    <n v="20"/>
  </r>
  <r>
    <x v="0"/>
    <x v="5"/>
    <x v="1"/>
    <n v="27080605000781"/>
    <x v="588"/>
    <s v="JERÔNIMO MONTEIRO"/>
    <s v="ES"/>
    <x v="4"/>
    <s v="RAFAEL ESTEVES (RJ/SPI/SUL)"/>
    <n v="70"/>
    <x v="0"/>
    <s v="UNIDADE INTEGRADA JERONOMI MONTEIRO - JERÔNIMO MONTEIRO - ES - 27.080.605/0007-81"/>
    <n v="250"/>
  </r>
  <r>
    <x v="0"/>
    <x v="5"/>
    <x v="1"/>
    <n v="28137925000106"/>
    <x v="572"/>
    <s v="VITÓRIA"/>
    <s v="ES"/>
    <x v="4"/>
    <s v="RAFAEL ESTEVES (RJ/SPI/SUL)"/>
    <n v="70"/>
    <x v="0"/>
    <s v="HOSPITAL SANTA RITA DE CASSIA - VITÓRIA - ES - 28.137.925/0001-06"/>
    <n v="190"/>
  </r>
  <r>
    <x v="0"/>
    <x v="5"/>
    <x v="1"/>
    <n v="29135795000208"/>
    <x v="573"/>
    <s v="NOVA FRIBURGO"/>
    <s v="RJ"/>
    <x v="4"/>
    <s v="RAFAEL ESTEVES (RJ/SPI/SUL)"/>
    <n v="70"/>
    <x v="0"/>
    <s v="UNIMED DE NOVA FRIBURGO - NOVA FRIBURGO - RJ - 29.135.795/0002-08"/>
    <n v="225"/>
  </r>
  <r>
    <x v="0"/>
    <x v="5"/>
    <x v="1"/>
    <n v="29323454000185"/>
    <x v="586"/>
    <s v="LINHARES"/>
    <s v="ES"/>
    <x v="4"/>
    <s v="RAFAEL ESTEVES (RJ/SPI/SUL)"/>
    <n v="70"/>
    <x v="0"/>
    <s v="INFUSIONAL TERAPIA IMUNOBIOLOGICA ASSISTIDA LTDA - LINHARES - ES - 29.323.454/0001-85"/>
    <n v="350"/>
  </r>
  <r>
    <x v="0"/>
    <x v="5"/>
    <x v="1"/>
    <n v="30358881000188"/>
    <x v="589"/>
    <s v="SÃO GONÇALO"/>
    <s v="RJ"/>
    <x v="4"/>
    <s v="RAFAEL ESTEVES (RJ/SPI/SUL)"/>
    <n v="70"/>
    <x v="0"/>
    <s v="HOSPITAL DO CORACAO SAMCORDIS - SÃO GONÇALO - RJ - 30.358.881/0001-88"/>
    <n v="200"/>
  </r>
  <r>
    <x v="0"/>
    <x v="5"/>
    <x v="1"/>
    <n v="31684384000132"/>
    <x v="590"/>
    <s v="SÃO GONÇALO"/>
    <s v="RJ"/>
    <x v="4"/>
    <s v="RAFAEL ESTEVES (RJ/SPI/SUL)"/>
    <n v="70"/>
    <x v="0"/>
    <s v="HOSPITAL LESTE FLUMINENSE - SÃO GONÇALO - RJ - 31.684.384/0001-32"/>
    <n v="50"/>
  </r>
  <r>
    <x v="0"/>
    <x v="5"/>
    <x v="1"/>
    <n v="39387477000107"/>
    <x v="575"/>
    <s v="VITÓRIA"/>
    <s v="ES"/>
    <x v="4"/>
    <s v="RAFAEL ESTEVES (RJ/SPI/SUL)"/>
    <n v="70"/>
    <x v="0"/>
    <s v="IMUNOMED ESPECIALIDADES E CLINICA DE INFUSAO - VITÓRIA - ES - 39.387.477/0001-07"/>
    <n v="175"/>
  </r>
  <r>
    <x v="0"/>
    <x v="5"/>
    <x v="1"/>
    <n v="60884855001207"/>
    <x v="505"/>
    <s v="NITERÓI"/>
    <s v="RJ"/>
    <x v="4"/>
    <s v="RAFAEL ESTEVES (RJ/SPI/SUL)"/>
    <n v="70"/>
    <x v="0"/>
    <s v="HOSPITAL HCN - NITERÓI - RJ - 60.884.855/0012-07"/>
    <n v="1225"/>
  </r>
  <r>
    <x v="0"/>
    <x v="5"/>
    <x v="1"/>
    <n v="68709211000212"/>
    <x v="526"/>
    <s v="RESENDE"/>
    <s v="RJ"/>
    <x v="4"/>
    <s v="RAFAEL ESTEVES (RJ/SPI/SUL)"/>
    <n v="70"/>
    <x v="0"/>
    <s v="HOSPITAL UNIMED RESENDE - RESENDE - RJ - 68.709.211/0002-12"/>
    <n v="155"/>
  </r>
  <r>
    <x v="0"/>
    <x v="5"/>
    <x v="1"/>
    <n v="87096616003101"/>
    <x v="475"/>
    <s v="PORTO ALEGRE"/>
    <s v="RS"/>
    <x v="4"/>
    <s v="RAFAEL ESTEVES (RJ/SPI/SUL)"/>
    <n v="70"/>
    <x v="0"/>
    <s v="CENTRO DE ONCOLOGIA UNIMED PORTO ALEGRE - PORTO ALEGRE - RS - 87.096.616/0031-01"/>
    <n v="110"/>
  </r>
  <r>
    <x v="0"/>
    <x v="5"/>
    <x v="1"/>
    <n v="87317764001084"/>
    <x v="471"/>
    <s v="PORTO ALEGRE"/>
    <s v="RS"/>
    <x v="4"/>
    <s v="RAFAEL ESTEVES (RJ/SPI/SUL)"/>
    <n v="70"/>
    <x v="0"/>
    <s v="HOSPITAL DIVINA PROVIDENCIA - PORTO ALEGRE - RS - 87.317.764/0010-84"/>
    <n v="330"/>
  </r>
  <r>
    <x v="0"/>
    <x v="5"/>
    <x v="1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20"/>
  </r>
  <r>
    <x v="0"/>
    <x v="5"/>
    <x v="1"/>
    <n v="87638334000505"/>
    <x v="581"/>
    <s v="ERECHIM"/>
    <s v="RS"/>
    <x v="4"/>
    <s v="RAFAEL ESTEVES (RJ/SPI/SUL)"/>
    <n v="70"/>
    <x v="0"/>
    <s v="UNICLINICA - ERECHIM - RS - 87.638.334/0005-05"/>
    <n v="5"/>
  </r>
  <r>
    <x v="0"/>
    <x v="5"/>
    <x v="1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5"/>
    <x v="1"/>
    <n v="92815000000168"/>
    <x v="469"/>
    <s v="PORTO ALEGRE"/>
    <s v="RS"/>
    <x v="4"/>
    <s v="RAFAEL ESTEVES (RJ/SPI/SUL)"/>
    <n v="70"/>
    <x v="0"/>
    <s v="IRMANDADE DA SANTA CASA DE MISERICORDIA DE PORTO ALEGRE - PORTO ALEGRE - RS - 92.815.000/0001-68"/>
    <n v="160"/>
  </r>
  <r>
    <x v="0"/>
    <x v="5"/>
    <x v="1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5"/>
    <x v="1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600"/>
  </r>
  <r>
    <x v="0"/>
    <x v="6"/>
    <x v="2"/>
    <n v="437007000175"/>
    <x v="480"/>
    <s v="NITERÓI"/>
    <s v="RJ"/>
    <x v="4"/>
    <s v="RAFAEL ESTEVES (RJ/SPI/SUL)"/>
    <n v="70"/>
    <x v="0"/>
    <s v="CON-CENTRO ONCOLOGICO DE NITEROI LTDA - NITERÓI - RJ - 00.437.007/0001-75"/>
    <n v="425"/>
  </r>
  <r>
    <x v="0"/>
    <x v="6"/>
    <x v="2"/>
    <n v="521197000104"/>
    <x v="566"/>
    <s v="NITERÓI"/>
    <s v="RJ"/>
    <x v="4"/>
    <s v="RAFAEL ESTEVES (RJ/SPI/SUL)"/>
    <n v="70"/>
    <x v="0"/>
    <s v="ONCOLOGIA CLINICA NITEROI S/S - NITERÓI - RJ - 00.521.197/0001-04"/>
    <n v="355"/>
  </r>
  <r>
    <x v="0"/>
    <x v="6"/>
    <x v="2"/>
    <n v="4786490000154"/>
    <x v="487"/>
    <s v="SERRA"/>
    <s v="ES"/>
    <x v="4"/>
    <s v="RAFAEL ESTEVES (RJ/SPI/SUL)"/>
    <n v="70"/>
    <x v="0"/>
    <s v="NEON - NUCLEO ESPECIALIZADO EM ONCOLOGIA - SERRA - ES - 04.786.490/0001-54"/>
    <n v="80"/>
  </r>
  <r>
    <x v="0"/>
    <x v="6"/>
    <x v="2"/>
    <n v="10586940000168"/>
    <x v="532"/>
    <s v="VITÓRIA"/>
    <s v="ES"/>
    <x v="4"/>
    <s v="RAFAEL ESTEVES (RJ/SPI/SUL)"/>
    <n v="70"/>
    <x v="0"/>
    <s v="ONCOVIT DISTRIBUIDORA DE MEDICAMENTOS LTDA - VITÓRIA - ES - 10.586.940/0001-68"/>
    <n v="500"/>
  </r>
  <r>
    <x v="0"/>
    <x v="6"/>
    <x v="2"/>
    <n v="12508728000108"/>
    <x v="576"/>
    <s v="SANTA MARIA"/>
    <s v="RS"/>
    <x v="4"/>
    <s v="RAFAEL ESTEVES (RJ/SPI/SUL)"/>
    <n v="70"/>
    <x v="0"/>
    <s v="CLINICA DE ONCOLOGIA VIVER - SANTA MARIA - RS - 12.508.728/0001-08"/>
    <n v="60"/>
  </r>
  <r>
    <x v="0"/>
    <x v="6"/>
    <x v="2"/>
    <n v="27578434001525"/>
    <x v="519"/>
    <s v="VITÓRIA"/>
    <s v="ES"/>
    <x v="4"/>
    <s v="RAFAEL ESTEVES (RJ/SPI/SUL)"/>
    <n v="70"/>
    <x v="0"/>
    <s v="CIAS UNIMED VITORIA - CENTRO INTEGRADO ATENCAO A SAUDE - VITÓRIA - ES - 27.578.434/0015-25"/>
    <n v="1500"/>
  </r>
  <r>
    <x v="0"/>
    <x v="6"/>
    <x v="2"/>
    <n v="28137925000106"/>
    <x v="572"/>
    <s v="VITÓRIA"/>
    <s v="ES"/>
    <x v="4"/>
    <s v="RAFAEL ESTEVES (RJ/SPI/SUL)"/>
    <n v="70"/>
    <x v="0"/>
    <s v="HOSPITAL SANTA RITA DE CASSIA - VITÓRIA - ES - 28.137.925/0001-06"/>
    <n v="35"/>
  </r>
  <r>
    <x v="0"/>
    <x v="6"/>
    <x v="2"/>
    <n v="29135795000208"/>
    <x v="573"/>
    <s v="NOVA FRIBURGO"/>
    <s v="RJ"/>
    <x v="4"/>
    <s v="RAFAEL ESTEVES (RJ/SPI/SUL)"/>
    <n v="70"/>
    <x v="0"/>
    <s v="UNIMED DE NOVA FRIBURGO - NOVA FRIBURGO - RJ - 29.135.795/0002-08"/>
    <n v="150"/>
  </r>
  <r>
    <x v="0"/>
    <x v="6"/>
    <x v="2"/>
    <n v="29323454000185"/>
    <x v="586"/>
    <s v="LINHARES"/>
    <s v="ES"/>
    <x v="4"/>
    <s v="RAFAEL ESTEVES (RJ/SPI/SUL)"/>
    <n v="70"/>
    <x v="0"/>
    <s v="INFUSIONAL TERAPIA IMUNOBIOLOGICA ASSISTIDA LTDA - LINHARES - ES - 29.323.454/0001-85"/>
    <n v="200"/>
  </r>
  <r>
    <x v="0"/>
    <x v="6"/>
    <x v="2"/>
    <n v="29435005003497"/>
    <x v="542"/>
    <s v="DUQUE DE CAXIAS"/>
    <s v="RJ"/>
    <x v="4"/>
    <s v="RAFAEL ESTEVES (RJ/SPI/SUL)"/>
    <n v="70"/>
    <x v="0"/>
    <s v="HOSPITAL MARIO LIONI - DUQUE DE CAXIAS - RJ - 29.435.005/0034-97"/>
    <n v="200"/>
  </r>
  <r>
    <x v="0"/>
    <x v="6"/>
    <x v="2"/>
    <n v="35830868000446"/>
    <x v="504"/>
    <s v="MACAÉ"/>
    <s v="RJ"/>
    <x v="4"/>
    <s v="RAFAEL ESTEVES (RJ/SPI/SUL)"/>
    <n v="70"/>
    <x v="0"/>
    <s v="UNIMED COSTA DO SOL - HOSPITAL - MACAÉ - RJ - 35.830.868/0004-46"/>
    <n v="500"/>
  </r>
  <r>
    <x v="0"/>
    <x v="6"/>
    <x v="2"/>
    <n v="39387477000107"/>
    <x v="575"/>
    <s v="VITÓRIA"/>
    <s v="ES"/>
    <x v="4"/>
    <s v="RAFAEL ESTEVES (RJ/SPI/SUL)"/>
    <n v="70"/>
    <x v="0"/>
    <s v="IMUNOMED ESPECIALIDADES E CLINICA DE INFUSAO - VITÓRIA - ES - 39.387.477/0001-07"/>
    <n v="500"/>
  </r>
  <r>
    <x v="0"/>
    <x v="6"/>
    <x v="2"/>
    <n v="60884855001207"/>
    <x v="505"/>
    <s v="NITERÓI"/>
    <s v="RJ"/>
    <x v="4"/>
    <s v="RAFAEL ESTEVES (RJ/SPI/SUL)"/>
    <n v="70"/>
    <x v="0"/>
    <s v="HOSPITAL HCN - NITERÓI - RJ - 60.884.855/0012-07"/>
    <n v="105"/>
  </r>
  <r>
    <x v="0"/>
    <x v="6"/>
    <x v="2"/>
    <n v="68709211000212"/>
    <x v="526"/>
    <s v="RESENDE"/>
    <s v="RJ"/>
    <x v="4"/>
    <s v="RAFAEL ESTEVES (RJ/SPI/SUL)"/>
    <n v="70"/>
    <x v="0"/>
    <s v="HOSPITAL UNIMED RESENDE - RESENDE - RJ - 68.709.211/0002-12"/>
    <n v="350"/>
  </r>
  <r>
    <x v="0"/>
    <x v="6"/>
    <x v="2"/>
    <n v="87096616003101"/>
    <x v="475"/>
    <s v="PORTO ALEGRE"/>
    <s v="RS"/>
    <x v="4"/>
    <s v="RAFAEL ESTEVES (RJ/SPI/SUL)"/>
    <n v="70"/>
    <x v="0"/>
    <s v="CENTRO DE ONCOLOGIA UNIMED PORTO ALEGRE - PORTO ALEGRE - RS - 87.096.616/0031-01"/>
    <n v="70"/>
  </r>
  <r>
    <x v="0"/>
    <x v="6"/>
    <x v="2"/>
    <n v="87547444000120"/>
    <x v="517"/>
    <s v="BENTO GONÇALVES"/>
    <s v="RS"/>
    <x v="4"/>
    <s v="RAFAEL ESTEVES (RJ/SPI/SUL)"/>
    <n v="70"/>
    <x v="0"/>
    <s v="ASSOCIACAO DR BARTHOLOMEU TACCHINI - BENTO GONÇALVES - RS - 87.547.444/0001-20"/>
    <n v="240"/>
  </r>
  <r>
    <x v="0"/>
    <x v="6"/>
    <x v="2"/>
    <n v="87607149000626"/>
    <x v="578"/>
    <s v="PASSO FUNDO"/>
    <s v="RS"/>
    <x v="4"/>
    <s v="RAFAEL ESTEVES (RJ/SPI/SUL)"/>
    <n v="70"/>
    <x v="0"/>
    <s v="UNIMED PLANALTO MEDIO - COOPERATIVA DE SERVICOS MEDICOS - PASSO FUNDO - RS - 87.607.149/0006-26"/>
    <n v="67.5"/>
  </r>
  <r>
    <x v="0"/>
    <x v="6"/>
    <x v="2"/>
    <n v="87638334000505"/>
    <x v="581"/>
    <s v="ERECHIM"/>
    <s v="RS"/>
    <x v="4"/>
    <s v="RAFAEL ESTEVES (RJ/SPI/SUL)"/>
    <n v="70"/>
    <x v="0"/>
    <s v="UNICLINICA - ERECHIM - RS - 87.638.334/0005-05"/>
    <n v="10"/>
  </r>
  <r>
    <x v="0"/>
    <x v="6"/>
    <x v="2"/>
    <n v="87827689002405"/>
    <x v="518"/>
    <s v="CAXIAS DO SUL"/>
    <s v="RS"/>
    <x v="4"/>
    <s v="RAFAEL ESTEVES (RJ/SPI/SUL)"/>
    <n v="70"/>
    <x v="0"/>
    <s v="HOSPITAL UNIMED CAXIAS DO SUL - CAXIAS DO SUL - RS - 87.827.689/0024-05"/>
    <n v="90"/>
  </r>
  <r>
    <x v="0"/>
    <x v="6"/>
    <x v="2"/>
    <n v="94831294000147"/>
    <x v="579"/>
    <s v="PORTO ALEGRE"/>
    <s v="RS"/>
    <x v="4"/>
    <s v="RAFAEL ESTEVES (RJ/SPI/SUL)"/>
    <n v="70"/>
    <x v="0"/>
    <s v="INSTITUTO DE ONCOLOGIA KAPLAN - PORTO ALEGRE - RS - 94.831.294/0001-47"/>
    <n v="30"/>
  </r>
  <r>
    <x v="0"/>
    <x v="6"/>
    <x v="2"/>
    <n v="95610887000146"/>
    <x v="521"/>
    <s v="SANTA MARIA"/>
    <s v="RS"/>
    <x v="4"/>
    <s v="RAFAEL ESTEVES (RJ/SPI/SUL)"/>
    <n v="70"/>
    <x v="0"/>
    <s v="HOSPITAL DE CARIDADE DR ASTROGILDO DE AZEVEDO - SANTA MARIA - RS - 95.610.887/0001-46"/>
    <n v="400"/>
  </r>
  <r>
    <x v="0"/>
    <x v="0"/>
    <x v="0"/>
    <n v="132229000180"/>
    <x v="591"/>
    <s v="BELO HORIZONTE"/>
    <s v="MG"/>
    <x v="4"/>
    <s v="RAFAEL ESTEVES (RJ/SPI/SUL)"/>
    <n v="70"/>
    <x v="0"/>
    <s v="ONCOMED CENTRO PREV E TRAT DE DOENCAS NEOPLASICAS LTDA - BELO HORIZONTE - MG - 00.132.229/0001-80"/>
    <n v="120"/>
  </r>
  <r>
    <x v="0"/>
    <x v="1"/>
    <x v="0"/>
    <n v="132229000180"/>
    <x v="591"/>
    <s v="BELO HORIZONTE"/>
    <s v="MG"/>
    <x v="4"/>
    <s v="RAFAEL ESTEVES (RJ/SPI/SUL)"/>
    <n v="70"/>
    <x v="0"/>
    <s v="ONCOMED CENTRO PREV E TRAT DE DOENCAS NEOPLASICAS LTDA - BELO HORIZONTE - MG - 00.132.229/0001-80"/>
    <n v="180"/>
  </r>
  <r>
    <x v="0"/>
    <x v="0"/>
    <x v="0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882.5"/>
  </r>
  <r>
    <x v="0"/>
    <x v="1"/>
    <x v="0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685"/>
  </r>
  <r>
    <x v="0"/>
    <x v="0"/>
    <x v="0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0"/>
  </r>
  <r>
    <x v="0"/>
    <x v="0"/>
    <x v="0"/>
    <n v="20207543000191"/>
    <x v="593"/>
    <s v="UBERLÂNDIA"/>
    <s v="MG"/>
    <x v="4"/>
    <s v="RAFAEL ESTEVES (RJ/SPI/SUL)"/>
    <n v="70"/>
    <x v="0"/>
    <s v="CERUB - CENTRO REUMATOLOGICO DE UBERLNDIA - UBERLÂNDIA - MG - 20.207.543/0001-91"/>
    <n v="310"/>
  </r>
  <r>
    <x v="0"/>
    <x v="0"/>
    <x v="0"/>
    <n v="23278898000160"/>
    <x v="594"/>
    <s v="PASSOS"/>
    <s v="MG"/>
    <x v="4"/>
    <s v="RAFAEL ESTEVES (RJ/SPI/SUL)"/>
    <n v="70"/>
    <x v="0"/>
    <s v="SANTA CASA - PASSOS - MG - 23.278.898/0001-60"/>
    <n v="120"/>
  </r>
  <r>
    <x v="0"/>
    <x v="1"/>
    <x v="0"/>
    <n v="23278898000160"/>
    <x v="594"/>
    <s v="PASSOS"/>
    <s v="MG"/>
    <x v="4"/>
    <s v="RAFAEL ESTEVES (RJ/SPI/SUL)"/>
    <n v="70"/>
    <x v="0"/>
    <s v="SANTA CASA - PASSOS - MG - 23.278.898/0001-60"/>
    <n v="120"/>
  </r>
  <r>
    <x v="0"/>
    <x v="0"/>
    <x v="0"/>
    <n v="25648387000207"/>
    <x v="595"/>
    <s v="UBERLÂNDIA"/>
    <s v="MG"/>
    <x v="4"/>
    <s v="RAFAEL ESTEVES (RJ/SPI/SUL)"/>
    <n v="70"/>
    <x v="0"/>
    <s v="HOSPITAL DE CLINICAS DA UFU - UBERLÂNDIA - MG - 25.648.387/0002-07"/>
    <n v="400"/>
  </r>
  <r>
    <x v="0"/>
    <x v="0"/>
    <x v="0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150"/>
  </r>
  <r>
    <x v="0"/>
    <x v="1"/>
    <x v="0"/>
    <n v="17774738000613"/>
    <x v="551"/>
    <s v="UBERABA"/>
    <s v="MG"/>
    <x v="4"/>
    <s v="RAFAEL ESTEVES (RJ/SPI/SUL)"/>
    <n v="70"/>
    <x v="0"/>
    <s v="CLINICA UNIMED - UBERABA - MG - 17.774.738/0006-13"/>
    <n v="180"/>
  </r>
  <r>
    <x v="0"/>
    <x v="1"/>
    <x v="0"/>
    <n v="19274091000181"/>
    <x v="597"/>
    <s v="CARANGOLA"/>
    <s v="MG"/>
    <x v="4"/>
    <s v="RAFAEL ESTEVES (RJ/SPI/SUL)"/>
    <n v="70"/>
    <x v="0"/>
    <s v="CASA DE CARIDADE DE CARANGOLA - CARANGOLA - MG - 19.274.091/0001-81"/>
    <n v="140"/>
  </r>
  <r>
    <x v="0"/>
    <x v="1"/>
    <x v="0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40"/>
  </r>
  <r>
    <x v="0"/>
    <x v="2"/>
    <x v="0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662.5"/>
  </r>
  <r>
    <x v="0"/>
    <x v="2"/>
    <x v="0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0"/>
  </r>
  <r>
    <x v="0"/>
    <x v="2"/>
    <x v="0"/>
    <n v="25648387000207"/>
    <x v="595"/>
    <s v="UBERLÂNDIA"/>
    <s v="MG"/>
    <x v="4"/>
    <s v="RAFAEL ESTEVES (RJ/SPI/SUL)"/>
    <n v="70"/>
    <x v="0"/>
    <s v="HOSPITAL DE CLINICAS DA UFU - UBERLÂNDIA - MG - 25.648.387/0002-07"/>
    <n v="650"/>
  </r>
  <r>
    <x v="0"/>
    <x v="2"/>
    <x v="0"/>
    <n v="25910449000460"/>
    <x v="598"/>
    <s v="ARAXÁ"/>
    <s v="MG"/>
    <x v="4"/>
    <s v="RAFAEL ESTEVES (RJ/SPI/SUL)"/>
    <n v="70"/>
    <x v="0"/>
    <s v="UNIMED ARAXA COOPERATIVA DE TRABALHO MEDICO LTDA - ARAXÁ - MG - 25.910.449/0004-60"/>
    <n v="30"/>
  </r>
  <r>
    <x v="0"/>
    <x v="3"/>
    <x v="1"/>
    <n v="132229000180"/>
    <x v="591"/>
    <s v="BELO HORIZONTE"/>
    <s v="MG"/>
    <x v="4"/>
    <s v="RAFAEL ESTEVES (RJ/SPI/SUL)"/>
    <n v="70"/>
    <x v="0"/>
    <s v="ONCOMED CENTRO PREV E TRAT DE DOENCAS NEOPLASICAS LTDA - BELO HORIZONTE - MG - 00.132.229/0001-80"/>
    <n v="140"/>
  </r>
  <r>
    <x v="0"/>
    <x v="3"/>
    <x v="1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1427.5"/>
  </r>
  <r>
    <x v="0"/>
    <x v="3"/>
    <x v="1"/>
    <n v="1444455000169"/>
    <x v="599"/>
    <s v="BELO HORIZONTE"/>
    <s v="MG"/>
    <x v="4"/>
    <s v="RAFAEL ESTEVES (RJ/SPI/SUL)"/>
    <n v="70"/>
    <x v="0"/>
    <s v="INSTITUTO MINEIRO ESPECIALIZADO EM GASTROENTEROLOGIA - BELO HORIZONTE - MG - 01.444.455/0001-69"/>
    <n v="30"/>
  </r>
  <r>
    <x v="0"/>
    <x v="3"/>
    <x v="1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0"/>
  </r>
  <r>
    <x v="0"/>
    <x v="3"/>
    <x v="1"/>
    <n v="7457902000109"/>
    <x v="600"/>
    <s v="JUIZ DE FORA"/>
    <s v="MG"/>
    <x v="4"/>
    <s v="RAFAEL ESTEVES (RJ/SPI/SUL)"/>
    <n v="70"/>
    <x v="0"/>
    <s v="CETAL - CENTRO DE TRATAMENTO DO APARELHO LOCOMOTOR LTDA - JUIZ DE FORA - MG - 07.457.902/0001-09"/>
    <n v="30"/>
  </r>
  <r>
    <x v="0"/>
    <x v="3"/>
    <x v="1"/>
    <n v="19843929001506"/>
    <x v="541"/>
    <s v="BELO HORIZONTE"/>
    <s v="MG"/>
    <x v="4"/>
    <s v="RAFAEL ESTEVES (RJ/SPI/SUL)"/>
    <n v="70"/>
    <x v="0"/>
    <s v="HOSPITAL INFANTIL JOAO PAULO II - BELO HORIZONTE - MG - 19.843.929/0015-06"/>
    <n v="650"/>
  </r>
  <r>
    <x v="0"/>
    <x v="3"/>
    <x v="1"/>
    <n v="19843929001697"/>
    <x v="601"/>
    <s v="BARBACENA"/>
    <s v="MG"/>
    <x v="4"/>
    <s v="RAFAEL ESTEVES (RJ/SPI/SUL)"/>
    <n v="70"/>
    <x v="0"/>
    <s v="HOSPITAL GERAL DE BARBACENA DR. JOSE AMERICO - BARBACENA - MG - 19.843.929/0016-97"/>
    <n v="350"/>
  </r>
  <r>
    <x v="0"/>
    <x v="3"/>
    <x v="1"/>
    <n v="22675359000100"/>
    <x v="602"/>
    <s v="MONTES CLAROS"/>
    <s v="MG"/>
    <x v="4"/>
    <s v="RAFAEL ESTEVES (RJ/SPI/SUL)"/>
    <n v="70"/>
    <x v="0"/>
    <s v="UNIMONTES - MONTES CLAROS - MG - 22.675.359/0001-00"/>
    <n v="250"/>
  </r>
  <r>
    <x v="0"/>
    <x v="3"/>
    <x v="1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200"/>
  </r>
  <r>
    <x v="0"/>
    <x v="4"/>
    <x v="1"/>
    <n v="132229000180"/>
    <x v="591"/>
    <s v="BELO HORIZONTE"/>
    <s v="MG"/>
    <x v="4"/>
    <s v="RAFAEL ESTEVES (RJ/SPI/SUL)"/>
    <n v="70"/>
    <x v="0"/>
    <s v="ONCOMED CENTRO PREV E TRAT DE DOENCAS NEOPLASICAS LTDA - BELO HORIZONTE - MG - 00.132.229/0001-80"/>
    <n v="25"/>
  </r>
  <r>
    <x v="0"/>
    <x v="4"/>
    <x v="1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1050"/>
  </r>
  <r>
    <x v="0"/>
    <x v="4"/>
    <x v="1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0"/>
  </r>
  <r>
    <x v="0"/>
    <x v="4"/>
    <x v="1"/>
    <n v="15126437000577"/>
    <x v="603"/>
    <s v="UBERABA"/>
    <s v="MG"/>
    <x v="4"/>
    <s v="RAFAEL ESTEVES (RJ/SPI/SUL)"/>
    <n v="70"/>
    <x v="0"/>
    <s v="EBSERH HOSPITAL UNIVERSITARIO DO TRIANGULO MINEIRO - UBERABA - MG - 151.26.437/0005-77"/>
    <n v="500"/>
  </r>
  <r>
    <x v="0"/>
    <x v="4"/>
    <x v="1"/>
    <n v="19130186000121"/>
    <x v="604"/>
    <s v="CAMPO BELO"/>
    <s v="MG"/>
    <x v="4"/>
    <s v="RAFAEL ESTEVES (RJ/SPI/SUL)"/>
    <n v="70"/>
    <x v="0"/>
    <s v="HOSPITAL SAO LUCAS - CAMPO BELO - MG - 19.130.186/0001-21"/>
    <n v="5"/>
  </r>
  <r>
    <x v="0"/>
    <x v="4"/>
    <x v="1"/>
    <n v="19843929001000"/>
    <x v="605"/>
    <s v="JUIZ DE FORA"/>
    <s v="MG"/>
    <x v="4"/>
    <s v="RAFAEL ESTEVES (RJ/SPI/SUL)"/>
    <n v="70"/>
    <x v="0"/>
    <s v="HOSPITAL JOAO PENIDO - JUIZ DE FORA - MG - 19.843.929/0010-00"/>
    <n v="200"/>
  </r>
  <r>
    <x v="0"/>
    <x v="4"/>
    <x v="1"/>
    <n v="19843929001182"/>
    <x v="606"/>
    <s v="BELO HORIZONTE"/>
    <s v="MG"/>
    <x v="4"/>
    <s v="RAFAEL ESTEVES (RJ/SPI/SUL)"/>
    <n v="70"/>
    <x v="0"/>
    <s v="HOSPITAL EDUARDO DE MENEZES - BELO HORIZONTE - MG - 19.843.929/0011-82"/>
    <n v="405"/>
  </r>
  <r>
    <x v="0"/>
    <x v="4"/>
    <x v="1"/>
    <n v="19843929001344"/>
    <x v="607"/>
    <s v="BELO HORIZONTE"/>
    <s v="MG"/>
    <x v="4"/>
    <s v="RAFAEL ESTEVES (RJ/SPI/SUL)"/>
    <n v="70"/>
    <x v="0"/>
    <s v="HOSPITAL JOAO XXIII - BELO HORIZONTE - MG - 19.843.929/0013-44"/>
    <n v="125"/>
  </r>
  <r>
    <x v="0"/>
    <x v="4"/>
    <x v="1"/>
    <n v="19843929001697"/>
    <x v="601"/>
    <s v="BARBACENA"/>
    <s v="MG"/>
    <x v="4"/>
    <s v="RAFAEL ESTEVES (RJ/SPI/SUL)"/>
    <n v="70"/>
    <x v="0"/>
    <s v="HOSPITAL GERAL DE BARBACENA DR. JOSE AMERICO - BARBACENA - MG - 19.843.929/0016-97"/>
    <n v="125"/>
  </r>
  <r>
    <x v="0"/>
    <x v="4"/>
    <x v="1"/>
    <n v="19843929002820"/>
    <x v="608"/>
    <s v="BELO HORIZONTE"/>
    <s v="MG"/>
    <x v="4"/>
    <s v="RAFAEL ESTEVES (RJ/SPI/SUL)"/>
    <n v="70"/>
    <x v="0"/>
    <s v="HOSPITAL JULIA KUBITSCHEK - BELO HORIZONTE - MG - 19.843.929/0028-20"/>
    <n v="1170"/>
  </r>
  <r>
    <x v="0"/>
    <x v="4"/>
    <x v="1"/>
    <n v="20622890000180"/>
    <x v="609"/>
    <s v="GOVERNADOR VALADARES"/>
    <s v="MG"/>
    <x v="4"/>
    <s v="RAFAEL ESTEVES (RJ/SPI/SUL)"/>
    <n v="70"/>
    <x v="0"/>
    <s v="GOVERNADOR VALADARES PREF GABINETE DO PREFEITO - GOVERNADOR VALADARES - MG - 20.622.890/0001-80"/>
    <n v="325"/>
  </r>
  <r>
    <x v="0"/>
    <x v="4"/>
    <x v="1"/>
    <n v="25648387000207"/>
    <x v="595"/>
    <s v="UBERLÂNDIA"/>
    <s v="MG"/>
    <x v="4"/>
    <s v="RAFAEL ESTEVES (RJ/SPI/SUL)"/>
    <n v="70"/>
    <x v="0"/>
    <s v="HOSPITAL DE CLINICAS DA UFU - UBERLÂNDIA - MG - 25.648.387/0002-07"/>
    <n v="600"/>
  </r>
  <r>
    <x v="0"/>
    <x v="4"/>
    <x v="1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40"/>
  </r>
  <r>
    <x v="0"/>
    <x v="4"/>
    <x v="1"/>
    <n v="42855999000362"/>
    <x v="554"/>
    <s v="TRÊS CORAÇÕES"/>
    <s v="MG"/>
    <x v="4"/>
    <s v="RAFAEL ESTEVES (RJ/SPI/SUL)"/>
    <n v="70"/>
    <x v="0"/>
    <s v="HOSPITAL UNIMED TRES CORACOES - TRÊS CORAÇÕES - MG - 42.855.999/0003-62"/>
    <n v="75"/>
  </r>
  <r>
    <x v="0"/>
    <x v="5"/>
    <x v="1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1170"/>
  </r>
  <r>
    <x v="0"/>
    <x v="5"/>
    <x v="1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5"/>
  </r>
  <r>
    <x v="0"/>
    <x v="5"/>
    <x v="1"/>
    <n v="16695025000197"/>
    <x v="610"/>
    <s v="BELO HORIZONTE"/>
    <s v="MG"/>
    <x v="4"/>
    <s v="RAFAEL ESTEVES (RJ/SPI/SUL)"/>
    <n v="70"/>
    <x v="0"/>
    <s v="PMMG - BELO HORIZONTE - MG - 16.695.025/0001-97"/>
    <n v="250"/>
  </r>
  <r>
    <x v="0"/>
    <x v="5"/>
    <x v="1"/>
    <n v="18715516000188"/>
    <x v="611"/>
    <s v="BELO HORIZONTE"/>
    <s v="MG"/>
    <x v="4"/>
    <s v="RAFAEL ESTEVES (RJ/SPI/SUL)"/>
    <n v="70"/>
    <x v="0"/>
    <s v="MG SAS GABINETE DO SECRETARIO - BELO HORIZONTE - MG - 18.715.516/0001-88"/>
    <n v="100"/>
  </r>
  <r>
    <x v="0"/>
    <x v="5"/>
    <x v="1"/>
    <n v="19128248000160"/>
    <x v="612"/>
    <s v="CAMPO BELO"/>
    <s v="MG"/>
    <x v="4"/>
    <s v="RAFAEL ESTEVES (RJ/SPI/SUL)"/>
    <n v="70"/>
    <x v="0"/>
    <s v="HOSPITAL SAO VICENTE - CAMPO BELO - MG - 19.128.248/0001-60"/>
    <n v="5"/>
  </r>
  <r>
    <x v="0"/>
    <x v="5"/>
    <x v="1"/>
    <n v="19843929001000"/>
    <x v="605"/>
    <s v="JUIZ DE FORA"/>
    <s v="MG"/>
    <x v="4"/>
    <s v="RAFAEL ESTEVES (RJ/SPI/SUL)"/>
    <n v="70"/>
    <x v="0"/>
    <s v="HOSPITAL JOAO PENIDO - JUIZ DE FORA - MG - 19.843.929/0010-00"/>
    <n v="5"/>
  </r>
  <r>
    <x v="0"/>
    <x v="5"/>
    <x v="1"/>
    <n v="19843929001506"/>
    <x v="541"/>
    <s v="BELO HORIZONTE"/>
    <s v="MG"/>
    <x v="4"/>
    <s v="RAFAEL ESTEVES (RJ/SPI/SUL)"/>
    <n v="70"/>
    <x v="0"/>
    <s v="HOSPITAL INFANTIL JOAO PAULO II - BELO HORIZONTE - MG - 19.843.929/0015-06"/>
    <n v="600"/>
  </r>
  <r>
    <x v="0"/>
    <x v="5"/>
    <x v="1"/>
    <n v="19843929002901"/>
    <x v="613"/>
    <s v="BELO HORIZONTE"/>
    <s v="MG"/>
    <x v="4"/>
    <s v="RAFAEL ESTEVES (RJ/SPI/SUL)"/>
    <n v="70"/>
    <x v="0"/>
    <s v="HOSPITAL MATERNIDADE ODETE VALADARES - BELO HORIZONTE - MG - 19.843.929/0029-01"/>
    <n v="140"/>
  </r>
  <r>
    <x v="0"/>
    <x v="5"/>
    <x v="1"/>
    <n v="20599890000107"/>
    <x v="614"/>
    <s v="GOVERNADOR VALADARES"/>
    <s v="MG"/>
    <x v="4"/>
    <s v="RAFAEL ESTEVES (RJ/SPI/SUL)"/>
    <n v="70"/>
    <x v="0"/>
    <s v="HOSPITAL SAO LUCAS - GOVERNADOR VALADARES - MG - 20.599.890/0001-07"/>
    <n v="80"/>
  </r>
  <r>
    <x v="0"/>
    <x v="5"/>
    <x v="1"/>
    <n v="23278898000160"/>
    <x v="594"/>
    <s v="PASSOS"/>
    <s v="MG"/>
    <x v="4"/>
    <s v="RAFAEL ESTEVES (RJ/SPI/SUL)"/>
    <n v="70"/>
    <x v="0"/>
    <s v="SANTA CASA - PASSOS - MG - 23.278.898/0001-60"/>
    <n v="105"/>
  </r>
  <r>
    <x v="0"/>
    <x v="5"/>
    <x v="1"/>
    <n v="25431834000182"/>
    <x v="615"/>
    <s v="UBERABA"/>
    <s v="MG"/>
    <x v="4"/>
    <s v="RAFAEL ESTEVES (RJ/SPI/SUL)"/>
    <n v="70"/>
    <x v="0"/>
    <s v="HOSPITAL SAO MARCOS DE UBERABA LTDA - UBERABA - MG - 25.431.834/0001-82"/>
    <n v="150"/>
  </r>
  <r>
    <x v="0"/>
    <x v="5"/>
    <x v="1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160"/>
  </r>
  <r>
    <x v="0"/>
    <x v="5"/>
    <x v="1"/>
    <n v="60194990000844"/>
    <x v="537"/>
    <s v="BELO HORIZONTE"/>
    <s v="MG"/>
    <x v="4"/>
    <s v="RAFAEL ESTEVES (RJ/SPI/SUL)"/>
    <n v="70"/>
    <x v="0"/>
    <s v="HOSPITAL MADRE TERESA - BELO HORIZONTE - MG - 60.194.990/0008-44"/>
    <n v="550"/>
  </r>
  <r>
    <x v="0"/>
    <x v="5"/>
    <x v="1"/>
    <n v="71064539000314"/>
    <x v="616"/>
    <s v="PASSOS"/>
    <s v="MG"/>
    <x v="4"/>
    <s v="RAFAEL ESTEVES (RJ/SPI/SUL)"/>
    <n v="70"/>
    <x v="0"/>
    <s v="HOSPITAL SAO JOSE / UNIMED - PASSOS - MG - 71.064.539/0003-14"/>
    <n v="160"/>
  </r>
  <r>
    <x v="0"/>
    <x v="6"/>
    <x v="2"/>
    <n v="132229000180"/>
    <x v="591"/>
    <s v="BELO HORIZONTE"/>
    <s v="MG"/>
    <x v="4"/>
    <s v="RAFAEL ESTEVES (RJ/SPI/SUL)"/>
    <n v="70"/>
    <x v="0"/>
    <s v="ONCOMED CENTRO PREV E TRAT DE DOENCAS NEOPLASICAS LTDA - BELO HORIZONTE - MG - 00.132.229/0001-80"/>
    <n v="35"/>
  </r>
  <r>
    <x v="0"/>
    <x v="6"/>
    <x v="2"/>
    <n v="410960000120"/>
    <x v="478"/>
    <s v="BELO HORIZONTE"/>
    <s v="MG"/>
    <x v="4"/>
    <s v="RAFAEL ESTEVES (RJ/SPI/SUL)"/>
    <n v="70"/>
    <x v="0"/>
    <s v="HEMATOLOGICA - CLINICA DE HEMATOLOGIA LTDA - BELO HORIZONTE - MG - 00.410.960/0001-20"/>
    <n v="1122.5"/>
  </r>
  <r>
    <x v="0"/>
    <x v="6"/>
    <x v="2"/>
    <n v="2623693000102"/>
    <x v="592"/>
    <s v="BELO HORIZONTE"/>
    <s v="MG"/>
    <x v="4"/>
    <s v="RAFAEL ESTEVES (RJ/SPI/SUL)"/>
    <n v="70"/>
    <x v="0"/>
    <s v="NUCLEO DE HEMATOLOGIA E ONCOLOGIA - BELO HORIZONTE - MG - 02.623.693/0001-02"/>
    <n v="25"/>
  </r>
  <r>
    <x v="0"/>
    <x v="6"/>
    <x v="2"/>
    <n v="13631170000116"/>
    <x v="617"/>
    <s v="BELO HORIZONTE"/>
    <s v="MG"/>
    <x v="4"/>
    <s v="RAFAEL ESTEVES (RJ/SPI/SUL)"/>
    <n v="70"/>
    <x v="0"/>
    <s v="PULSUS - BELO HORIZONTE - MG - PRIVADO - 13.631.170/0001-16"/>
    <n v="120"/>
  </r>
  <r>
    <x v="0"/>
    <x v="6"/>
    <x v="2"/>
    <n v="16695025000197"/>
    <x v="610"/>
    <s v="BELO HORIZONTE"/>
    <s v="MG"/>
    <x v="4"/>
    <s v="RAFAEL ESTEVES (RJ/SPI/SUL)"/>
    <n v="70"/>
    <x v="0"/>
    <s v="PMMG - BELO HORIZONTE - MG - 16.695.025/0001-97"/>
    <n v="250"/>
  </r>
  <r>
    <x v="0"/>
    <x v="6"/>
    <x v="2"/>
    <n v="17312612000112"/>
    <x v="618"/>
    <s v="BELO HORIZONTE"/>
    <s v="MG"/>
    <x v="4"/>
    <s v="RAFAEL ESTEVES (RJ/SPI/SUL)"/>
    <n v="70"/>
    <x v="0"/>
    <s v="HOSPITAL SOCOR S/A - BELO HORIZONTE - MG - 17.312.612/0001-12"/>
    <n v="180"/>
  </r>
  <r>
    <x v="0"/>
    <x v="6"/>
    <x v="2"/>
    <n v="17845504000296"/>
    <x v="619"/>
    <s v="VARGINHA"/>
    <s v="MG"/>
    <x v="4"/>
    <s v="RAFAEL ESTEVES (RJ/SPI/SUL)"/>
    <n v="70"/>
    <x v="0"/>
    <s v="HOSPITAL HUMANITAS - UNIMED - VARGINHA - MG - 17.845.504/0002-96"/>
    <n v="110"/>
  </r>
  <r>
    <x v="0"/>
    <x v="6"/>
    <x v="2"/>
    <n v="20150900000122"/>
    <x v="498"/>
    <s v="UBERLÂNDIA"/>
    <s v="MG"/>
    <x v="4"/>
    <s v="RAFAEL ESTEVES (RJ/SPI/SUL)"/>
    <n v="70"/>
    <x v="0"/>
    <s v="HOSPITAL E MATERNIDADE MADRECOR - UBERLÂNDIA - MG - 20.150.900/0001-22"/>
    <n v="225"/>
  </r>
  <r>
    <x v="0"/>
    <x v="6"/>
    <x v="2"/>
    <n v="20622890000180"/>
    <x v="609"/>
    <s v="GOVERNADOR VALADARES"/>
    <s v="MG"/>
    <x v="4"/>
    <s v="RAFAEL ESTEVES (RJ/SPI/SUL)"/>
    <n v="70"/>
    <x v="0"/>
    <s v="GOVERNADOR VALADARES PREF GABINETE DO PREFEITO - GOVERNADOR VALADARES - MG - 20.622.890/0001-80"/>
    <n v="175"/>
  </r>
  <r>
    <x v="0"/>
    <x v="6"/>
    <x v="2"/>
    <n v="25648387000207"/>
    <x v="595"/>
    <s v="UBERLÂNDIA"/>
    <s v="MG"/>
    <x v="4"/>
    <s v="RAFAEL ESTEVES (RJ/SPI/SUL)"/>
    <n v="70"/>
    <x v="0"/>
    <s v="HOSPITAL DE CLINICAS DA UFU - UBERLÂNDIA - MG - 25.648.387/0002-07"/>
    <n v="200"/>
  </r>
  <r>
    <x v="0"/>
    <x v="6"/>
    <x v="2"/>
    <n v="41781949000234"/>
    <x v="596"/>
    <s v="POÇOS DE CALDAS"/>
    <s v="MG"/>
    <x v="4"/>
    <s v="RAFAEL ESTEVES (RJ/SPI/SUL)"/>
    <n v="70"/>
    <x v="0"/>
    <s v="HOSPITAL UNIMED - PRONTO ATENDIMENTO - POÇOS DE CALDAS - MG - 41.781.949/0002-34"/>
    <n v="160"/>
  </r>
  <r>
    <x v="0"/>
    <x v="0"/>
    <x v="0"/>
    <n v="1125832000105"/>
    <x v="620"/>
    <s v="FLORIANÓPOLIS"/>
    <s v="SC"/>
    <x v="4"/>
    <s v="RAFAEL ESTEVES (RJ/SPI/SUL)"/>
    <n v="70"/>
    <x v="0"/>
    <s v="CEOF - FLORIANÓPOLIS - SC - 01.125.832/0001-05"/>
    <n v="120"/>
  </r>
  <r>
    <x v="0"/>
    <x v="1"/>
    <x v="0"/>
    <n v="1125832000105"/>
    <x v="620"/>
    <s v="FLORIANÓPOLIS"/>
    <s v="SC"/>
    <x v="4"/>
    <s v="RAFAEL ESTEVES (RJ/SPI/SUL)"/>
    <n v="70"/>
    <x v="0"/>
    <s v="CEOF - FLORIANÓPOLIS - SC - 01.125.832/0001-05"/>
    <n v="60"/>
  </r>
  <r>
    <x v="0"/>
    <x v="1"/>
    <x v="0"/>
    <n v="1517626000132"/>
    <x v="482"/>
    <s v="BALNEÁRIO CAMBORIÚ"/>
    <s v="SC"/>
    <x v="4"/>
    <s v="RAFAEL ESTEVES (RJ/SPI/SUL)"/>
    <n v="70"/>
    <x v="0"/>
    <s v="HOSPITAL DO CORACAO DE BALNEARIO CAMBORIU LTDA - BALNEÁRIO CAMBORIÚ - SC - 01.517.626/0001-32"/>
    <n v="190"/>
  </r>
  <r>
    <x v="0"/>
    <x v="0"/>
    <x v="0"/>
    <n v="1554266000300"/>
    <x v="621"/>
    <s v="BRUSQUE"/>
    <s v="SC"/>
    <x v="4"/>
    <s v="RAFAEL ESTEVES (RJ/SPI/SUL)"/>
    <n v="70"/>
    <x v="0"/>
    <s v="SERVICOS DE QUIMIOTERAPIA UNIMED BRUSQUE - BRUSQUE - SC - 01.554.266/0003-00"/>
    <n v="35"/>
  </r>
  <r>
    <x v="0"/>
    <x v="1"/>
    <x v="0"/>
    <n v="1554266000300"/>
    <x v="621"/>
    <s v="BRUSQUE"/>
    <s v="SC"/>
    <x v="4"/>
    <s v="RAFAEL ESTEVES (RJ/SPI/SUL)"/>
    <n v="70"/>
    <x v="0"/>
    <s v="SERVICOS DE QUIMIOTERAPIA UNIMED BRUSQUE - BRUSQUE - SC - 01.554.266/0003-00"/>
    <n v="140"/>
  </r>
  <r>
    <x v="0"/>
    <x v="0"/>
    <x v="0"/>
    <n v="4670913000176"/>
    <x v="622"/>
    <s v="FLORIANÓPOLIS"/>
    <s v="SC"/>
    <x v="4"/>
    <s v="RAFAEL ESTEVES (RJ/SPI/SUL)"/>
    <n v="70"/>
    <x v="0"/>
    <s v="VIVER CLINICA MEDICA LTDA - FLORIANÓPOLIS - SC - 04.670.913/0001-76"/>
    <n v="215"/>
  </r>
  <r>
    <x v="0"/>
    <x v="1"/>
    <x v="0"/>
    <n v="4670913000176"/>
    <x v="622"/>
    <s v="FLORIANÓPOLIS"/>
    <s v="SC"/>
    <x v="4"/>
    <s v="RAFAEL ESTEVES (RJ/SPI/SUL)"/>
    <n v="70"/>
    <x v="0"/>
    <s v="VIVER CLINICA MEDICA LTDA - FLORIANÓPOLIS - SC - 04.670.913/0001-76"/>
    <n v="245"/>
  </r>
  <r>
    <x v="0"/>
    <x v="1"/>
    <x v="0"/>
    <n v="1880344000103"/>
    <x v="558"/>
    <s v="BLUMENAU"/>
    <s v="SC"/>
    <x v="4"/>
    <s v="RAFAEL ESTEVES (RJ/SPI/SUL)"/>
    <n v="70"/>
    <x v="0"/>
    <s v="HOSPITAL SANTA CATARINA - BLUMENAU - SC - 01.880.344/0001-03"/>
    <n v="70"/>
  </r>
  <r>
    <x v="0"/>
    <x v="1"/>
    <x v="0"/>
    <n v="12361267004261"/>
    <x v="623"/>
    <s v="JOINVILLE"/>
    <s v="SC"/>
    <x v="4"/>
    <s v="RAFAEL ESTEVES (RJ/SPI/SUL)"/>
    <n v="70"/>
    <x v="0"/>
    <s v="TITULO DO ESTABELECIMENTO (NOME DE FANTASIA)  HOSPITAL GERAL JOINVILLE - JOINVILLE - SC - 12.361.267/0042-61"/>
    <n v="120"/>
  </r>
  <r>
    <x v="0"/>
    <x v="0"/>
    <x v="0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200"/>
  </r>
  <r>
    <x v="0"/>
    <x v="0"/>
    <x v="0"/>
    <n v="80490618000116"/>
    <x v="624"/>
    <s v="TUBARÃO"/>
    <s v="SC"/>
    <x v="4"/>
    <s v="RAFAEL ESTEVES (RJ/SPI/SUL)"/>
    <n v="70"/>
    <x v="0"/>
    <s v="CLINICA PRO-VIDA LTDA - TUBARÃO - SC - 80.490.618/0001-16"/>
    <n v="80"/>
  </r>
  <r>
    <x v="0"/>
    <x v="0"/>
    <x v="0"/>
    <n v="80673411000187"/>
    <x v="512"/>
    <s v="FLORIANÓPOLIS"/>
    <s v="SC"/>
    <x v="4"/>
    <s v="RAFAEL ESTEVES (RJ/SPI/SUL)"/>
    <n v="70"/>
    <x v="0"/>
    <s v="FES - FLORIANÓPOLIS - SC - 80.673.411/0001-87"/>
    <n v="240"/>
  </r>
  <r>
    <x v="0"/>
    <x v="0"/>
    <x v="0"/>
    <n v="82624776000651"/>
    <x v="625"/>
    <s v="BLUMENAU"/>
    <s v="SC"/>
    <x v="4"/>
    <s v="RAFAEL ESTEVES (RJ/SPI/SUL)"/>
    <n v="70"/>
    <x v="0"/>
    <s v="HOSPITAL UNIMED BLUMENAU - UNIDADE VILA NOVA - BLUMENAU - SC - 82.624.776/0006-51"/>
    <n v="450"/>
  </r>
  <r>
    <x v="0"/>
    <x v="0"/>
    <x v="0"/>
    <n v="83884999000106"/>
    <x v="546"/>
    <s v="FLORIANÓPOLIS"/>
    <s v="SC"/>
    <x v="4"/>
    <s v="RAFAEL ESTEVES (RJ/SPI/SUL)"/>
    <n v="70"/>
    <x v="0"/>
    <s v="IMPERIAL HOSPITAL DE CARIDADE - FLORIANÓPOLIS - SC - 83.884.999/0001-06"/>
    <n v="300"/>
  </r>
  <r>
    <x v="0"/>
    <x v="1"/>
    <x v="0"/>
    <n v="80490618000116"/>
    <x v="624"/>
    <s v="TUBARÃO"/>
    <s v="SC"/>
    <x v="4"/>
    <s v="RAFAEL ESTEVES (RJ/SPI/SUL)"/>
    <n v="70"/>
    <x v="0"/>
    <s v="CLINICA PRO-VIDA LTDA - TUBARÃO - SC - 80.490.618/0001-16"/>
    <n v="60"/>
  </r>
  <r>
    <x v="0"/>
    <x v="2"/>
    <x v="0"/>
    <n v="1125832000105"/>
    <x v="620"/>
    <s v="FLORIANÓPOLIS"/>
    <s v="SC"/>
    <x v="4"/>
    <s v="RAFAEL ESTEVES (RJ/SPI/SUL)"/>
    <n v="70"/>
    <x v="0"/>
    <s v="CEOF - FLORIANÓPOLIS - SC - 01.125.832/0001-05"/>
    <n v="60"/>
  </r>
  <r>
    <x v="0"/>
    <x v="2"/>
    <x v="0"/>
    <n v="1554266000149"/>
    <x v="626"/>
    <s v="BRUSQUE"/>
    <s v="SC"/>
    <x v="4"/>
    <s v="RAFAEL ESTEVES (RJ/SPI/SUL)"/>
    <n v="70"/>
    <x v="0"/>
    <s v="UNIMED DE BRUSQUE - BRUSQUE - SC - 01.554.266/0001-49"/>
    <n v="70"/>
  </r>
  <r>
    <x v="0"/>
    <x v="2"/>
    <x v="0"/>
    <n v="1880344000103"/>
    <x v="558"/>
    <s v="BLUMENAU"/>
    <s v="SC"/>
    <x v="4"/>
    <s v="RAFAEL ESTEVES (RJ/SPI/SUL)"/>
    <n v="70"/>
    <x v="0"/>
    <s v="HOSPITAL SANTA CATARINA - BLUMENAU - SC - 01.880.344/0001-03"/>
    <n v="195"/>
  </r>
  <r>
    <x v="0"/>
    <x v="2"/>
    <x v="0"/>
    <n v="4670913000176"/>
    <x v="622"/>
    <s v="FLORIANÓPOLIS"/>
    <s v="SC"/>
    <x v="4"/>
    <s v="RAFAEL ESTEVES (RJ/SPI/SUL)"/>
    <n v="70"/>
    <x v="0"/>
    <s v="VIVER CLINICA MEDICA LTDA - FLORIANÓPOLIS - SC - 04.670.913/0001-76"/>
    <n v="375"/>
  </r>
  <r>
    <x v="0"/>
    <x v="2"/>
    <x v="0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30"/>
  </r>
  <r>
    <x v="0"/>
    <x v="2"/>
    <x v="0"/>
    <n v="80490618000116"/>
    <x v="624"/>
    <s v="TUBARÃO"/>
    <s v="SC"/>
    <x v="4"/>
    <s v="RAFAEL ESTEVES (RJ/SPI/SUL)"/>
    <n v="70"/>
    <x v="0"/>
    <s v="CLINICA PRO-VIDA LTDA - TUBARÃO - SC - 80.490.618/0001-16"/>
    <n v="60"/>
  </r>
  <r>
    <x v="0"/>
    <x v="2"/>
    <x v="0"/>
    <n v="80673411000187"/>
    <x v="512"/>
    <s v="FLORIANÓPOLIS"/>
    <s v="SC"/>
    <x v="4"/>
    <s v="RAFAEL ESTEVES (RJ/SPI/SUL)"/>
    <n v="70"/>
    <x v="0"/>
    <s v="FES - FLORIANÓPOLIS - SC - 80.673.411/0001-87"/>
    <n v="240"/>
  </r>
  <r>
    <x v="0"/>
    <x v="2"/>
    <x v="0"/>
    <n v="82654088000120"/>
    <x v="627"/>
    <s v="BLUMENAU"/>
    <s v="SC"/>
    <x v="4"/>
    <s v="RAFAEL ESTEVES (RJ/SPI/SUL)"/>
    <n v="70"/>
    <x v="0"/>
    <s v="HOSPITAL STO ANTONIO - BLUMENAU - SC - 82.654.088/0001-20"/>
    <n v="20"/>
  </r>
  <r>
    <x v="0"/>
    <x v="2"/>
    <x v="0"/>
    <n v="85241339000809"/>
    <x v="628"/>
    <s v="TUBARÃO"/>
    <s v="SC"/>
    <x v="4"/>
    <s v="RAFAEL ESTEVES (RJ/SPI/SUL)"/>
    <n v="70"/>
    <x v="0"/>
    <s v="CENTRO MEDICO UNIMED - TUBARÃO - SC - 85.241.339/0008-09"/>
    <n v="310"/>
  </r>
  <r>
    <x v="0"/>
    <x v="3"/>
    <x v="1"/>
    <n v="1125832000105"/>
    <x v="620"/>
    <s v="FLORIANÓPOLIS"/>
    <s v="SC"/>
    <x v="4"/>
    <s v="RAFAEL ESTEVES (RJ/SPI/SUL)"/>
    <n v="70"/>
    <x v="0"/>
    <s v="CEOF - FLORIANÓPOLIS - SC - 01.125.832/0001-05"/>
    <n v="60"/>
  </r>
  <r>
    <x v="0"/>
    <x v="3"/>
    <x v="1"/>
    <n v="1554266000149"/>
    <x v="626"/>
    <s v="BRUSQUE"/>
    <s v="SC"/>
    <x v="4"/>
    <s v="RAFAEL ESTEVES (RJ/SPI/SUL)"/>
    <n v="70"/>
    <x v="0"/>
    <s v="UNIMED DE BRUSQUE - BRUSQUE - SC - 01.554.266/0001-49"/>
    <n v="70"/>
  </r>
  <r>
    <x v="0"/>
    <x v="3"/>
    <x v="1"/>
    <n v="1554266000300"/>
    <x v="621"/>
    <s v="BRUSQUE"/>
    <s v="SC"/>
    <x v="4"/>
    <s v="RAFAEL ESTEVES (RJ/SPI/SUL)"/>
    <n v="70"/>
    <x v="0"/>
    <s v="SERVICOS DE QUIMIOTERAPIA UNIMED BRUSQUE - BRUSQUE - SC - 01.554.266/0003-00"/>
    <n v="70"/>
  </r>
  <r>
    <x v="0"/>
    <x v="3"/>
    <x v="1"/>
    <n v="1880344000103"/>
    <x v="558"/>
    <s v="BLUMENAU"/>
    <s v="SC"/>
    <x v="4"/>
    <s v="RAFAEL ESTEVES (RJ/SPI/SUL)"/>
    <n v="70"/>
    <x v="0"/>
    <s v="HOSPITAL SANTA CATARINA - BLUMENAU - SC - 01.880.344/0001-03"/>
    <n v="245"/>
  </r>
  <r>
    <x v="0"/>
    <x v="3"/>
    <x v="1"/>
    <n v="3855214000219"/>
    <x v="629"/>
    <s v="JARAGUÁ DO SUL"/>
    <s v="SC"/>
    <x v="4"/>
    <s v="RAFAEL ESTEVES (RJ/SPI/SUL)"/>
    <n v="70"/>
    <x v="0"/>
    <s v="HOSPITAL UNIMED JARAGUA DO SUL - JARAGUÁ DO SUL - SC - 03.855.214/0002-19"/>
    <n v="10"/>
  </r>
  <r>
    <x v="0"/>
    <x v="3"/>
    <x v="1"/>
    <n v="4670913000176"/>
    <x v="622"/>
    <s v="FLORIANÓPOLIS"/>
    <s v="SC"/>
    <x v="4"/>
    <s v="RAFAEL ESTEVES (RJ/SPI/SUL)"/>
    <n v="70"/>
    <x v="0"/>
    <s v="VIVER CLINICA MEDICA LTDA - FLORIANÓPOLIS - SC - 04.670.913/0001-76"/>
    <n v="435"/>
  </r>
  <r>
    <x v="0"/>
    <x v="3"/>
    <x v="1"/>
    <n v="23982118000168"/>
    <x v="560"/>
    <s v="FLORIANÓPOLIS"/>
    <s v="SC"/>
    <x v="4"/>
    <s v="RAFAEL ESTEVES (RJ/SPI/SUL)"/>
    <n v="70"/>
    <x v="0"/>
    <s v="CCI - CENTRO CATARINENSE DE IMUNOTERAPIA LTDA - FLORIANÓPOLIS - SC - 23.982.118/0001-68"/>
    <n v="765"/>
  </r>
  <r>
    <x v="0"/>
    <x v="3"/>
    <x v="1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165"/>
  </r>
  <r>
    <x v="0"/>
    <x v="3"/>
    <x v="1"/>
    <n v="80490618000116"/>
    <x v="624"/>
    <s v="TUBARÃO"/>
    <s v="SC"/>
    <x v="4"/>
    <s v="RAFAEL ESTEVES (RJ/SPI/SUL)"/>
    <n v="70"/>
    <x v="0"/>
    <s v="CLINICA PRO-VIDA LTDA - TUBARÃO - SC - 80.490.618/0001-16"/>
    <n v="60"/>
  </r>
  <r>
    <x v="0"/>
    <x v="3"/>
    <x v="1"/>
    <n v="82624776000651"/>
    <x v="625"/>
    <s v="BLUMENAU"/>
    <s v="SC"/>
    <x v="4"/>
    <s v="RAFAEL ESTEVES (RJ/SPI/SUL)"/>
    <n v="70"/>
    <x v="0"/>
    <s v="HOSPITAL UNIMED BLUMENAU - UNIDADE VILA NOVA - BLUMENAU - SC - 82.624.776/0006-51"/>
    <n v="35"/>
  </r>
  <r>
    <x v="0"/>
    <x v="3"/>
    <x v="1"/>
    <n v="85241339000809"/>
    <x v="628"/>
    <s v="TUBARÃO"/>
    <s v="SC"/>
    <x v="4"/>
    <s v="RAFAEL ESTEVES (RJ/SPI/SUL)"/>
    <n v="70"/>
    <x v="0"/>
    <s v="CENTRO MEDICO UNIMED - TUBARÃO - SC - 85.241.339/0008-09"/>
    <n v="390"/>
  </r>
  <r>
    <x v="0"/>
    <x v="4"/>
    <x v="1"/>
    <n v="1125832000105"/>
    <x v="620"/>
    <s v="FLORIANÓPOLIS"/>
    <s v="SC"/>
    <x v="4"/>
    <s v="RAFAEL ESTEVES (RJ/SPI/SUL)"/>
    <n v="70"/>
    <x v="0"/>
    <s v="CEOF - FLORIANÓPOLIS - SC - 01.125.832/0001-05"/>
    <n v="140"/>
  </r>
  <r>
    <x v="0"/>
    <x v="4"/>
    <x v="1"/>
    <n v="1554266000300"/>
    <x v="621"/>
    <s v="BRUSQUE"/>
    <s v="SC"/>
    <x v="4"/>
    <s v="RAFAEL ESTEVES (RJ/SPI/SUL)"/>
    <n v="70"/>
    <x v="0"/>
    <s v="SERVICOS DE QUIMIOTERAPIA UNIMED BRUSQUE - BRUSQUE - SC - 01.554.266/0003-00"/>
    <n v="70"/>
  </r>
  <r>
    <x v="0"/>
    <x v="4"/>
    <x v="1"/>
    <n v="1880344000103"/>
    <x v="558"/>
    <s v="BLUMENAU"/>
    <s v="SC"/>
    <x v="4"/>
    <s v="RAFAEL ESTEVES (RJ/SPI/SUL)"/>
    <n v="70"/>
    <x v="0"/>
    <s v="HOSPITAL SANTA CATARINA - BLUMENAU - SC - 01.880.344/0001-03"/>
    <n v="20"/>
  </r>
  <r>
    <x v="0"/>
    <x v="4"/>
    <x v="1"/>
    <n v="3354642000187"/>
    <x v="630"/>
    <s v="BLUMENAU"/>
    <s v="SC"/>
    <x v="4"/>
    <s v="RAFAEL ESTEVES (RJ/SPI/SUL)"/>
    <n v="70"/>
    <x v="0"/>
    <s v="CLINICA DE ONCOLOGIA REICHOW LTDA - BLUMENAU - SC - PRIVADO - 03.354.642/0001-87"/>
    <n v="15"/>
  </r>
  <r>
    <x v="0"/>
    <x v="4"/>
    <x v="1"/>
    <n v="3855214000219"/>
    <x v="629"/>
    <s v="JARAGUÁ DO SUL"/>
    <s v="SC"/>
    <x v="4"/>
    <s v="RAFAEL ESTEVES (RJ/SPI/SUL)"/>
    <n v="70"/>
    <x v="0"/>
    <s v="HOSPITAL UNIMED JARAGUA DO SUL - JARAGUÁ DO SUL - SC - 03.855.214/0002-19"/>
    <n v="10"/>
  </r>
  <r>
    <x v="0"/>
    <x v="4"/>
    <x v="1"/>
    <n v="4670913000176"/>
    <x v="622"/>
    <s v="FLORIANÓPOLIS"/>
    <s v="SC"/>
    <x v="4"/>
    <s v="RAFAEL ESTEVES (RJ/SPI/SUL)"/>
    <n v="70"/>
    <x v="0"/>
    <s v="VIVER CLINICA MEDICA LTDA - FLORIANÓPOLIS - SC - 04.670.913/0001-76"/>
    <n v="355"/>
  </r>
  <r>
    <x v="0"/>
    <x v="4"/>
    <x v="1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325"/>
  </r>
  <r>
    <x v="0"/>
    <x v="4"/>
    <x v="1"/>
    <n v="80490618000116"/>
    <x v="624"/>
    <s v="TUBARÃO"/>
    <s v="SC"/>
    <x v="4"/>
    <s v="RAFAEL ESTEVES (RJ/SPI/SUL)"/>
    <n v="70"/>
    <x v="0"/>
    <s v="CLINICA PRO-VIDA LTDA - TUBARÃO - SC - 80.490.618/0001-16"/>
    <n v="60"/>
  </r>
  <r>
    <x v="0"/>
    <x v="4"/>
    <x v="1"/>
    <n v="80673411000187"/>
    <x v="512"/>
    <s v="FLORIANÓPOLIS"/>
    <s v="SC"/>
    <x v="4"/>
    <s v="RAFAEL ESTEVES (RJ/SPI/SUL)"/>
    <n v="70"/>
    <x v="0"/>
    <s v="FES - FLORIANÓPOLIS - SC - 80.673.411/0001-87"/>
    <n v="1000"/>
  </r>
  <r>
    <x v="0"/>
    <x v="4"/>
    <x v="1"/>
    <n v="82624776000651"/>
    <x v="625"/>
    <s v="BLUMENAU"/>
    <s v="SC"/>
    <x v="4"/>
    <s v="RAFAEL ESTEVES (RJ/SPI/SUL)"/>
    <n v="70"/>
    <x v="0"/>
    <s v="HOSPITAL UNIMED BLUMENAU - UNIDADE VILA NOVA - BLUMENAU - SC - 82.624.776/0006-51"/>
    <n v="15"/>
  </r>
  <r>
    <x v="0"/>
    <x v="4"/>
    <x v="1"/>
    <n v="83899526000425"/>
    <x v="514"/>
    <s v="FLORIANÓPOLIS"/>
    <s v="SC"/>
    <x v="4"/>
    <s v="RAFAEL ESTEVES (RJ/SPI/SUL)"/>
    <n v="70"/>
    <x v="0"/>
    <s v="HU - UFSC - FLORIANÓPOLIS - SC - 83.899.526/0004-25"/>
    <n v="300"/>
  </r>
  <r>
    <x v="0"/>
    <x v="4"/>
    <x v="1"/>
    <n v="85377174000392"/>
    <x v="516"/>
    <s v="BALNEÁRIO CAMBORIÚ"/>
    <s v="SC"/>
    <x v="4"/>
    <s v="RAFAEL ESTEVES (RJ/SPI/SUL)"/>
    <n v="70"/>
    <x v="0"/>
    <s v="HOSPITAL UNIMED LITORAL - BALNEÁRIO CAMBORIÚ - SC - 85.377.174/0003-92"/>
    <n v="10"/>
  </r>
  <r>
    <x v="0"/>
    <x v="5"/>
    <x v="1"/>
    <n v="1125832000105"/>
    <x v="620"/>
    <s v="FLORIANÓPOLIS"/>
    <s v="SC"/>
    <x v="4"/>
    <s v="RAFAEL ESTEVES (RJ/SPI/SUL)"/>
    <n v="70"/>
    <x v="0"/>
    <s v="CEOF - FLORIANÓPOLIS - SC - 01.125.832/0001-05"/>
    <n v="100"/>
  </r>
  <r>
    <x v="0"/>
    <x v="5"/>
    <x v="1"/>
    <n v="1554266000149"/>
    <x v="626"/>
    <s v="BRUSQUE"/>
    <s v="SC"/>
    <x v="4"/>
    <s v="RAFAEL ESTEVES (RJ/SPI/SUL)"/>
    <n v="70"/>
    <x v="0"/>
    <s v="UNIMED DE BRUSQUE - BRUSQUE - SC - 01.554.266/0001-49"/>
    <n v="35"/>
  </r>
  <r>
    <x v="0"/>
    <x v="5"/>
    <x v="1"/>
    <n v="1554266000300"/>
    <x v="621"/>
    <s v="BRUSQUE"/>
    <s v="SC"/>
    <x v="4"/>
    <s v="RAFAEL ESTEVES (RJ/SPI/SUL)"/>
    <n v="70"/>
    <x v="0"/>
    <s v="SERVICOS DE QUIMIOTERAPIA UNIMED BRUSQUE - BRUSQUE - SC - 01.554.266/0003-00"/>
    <n v="105"/>
  </r>
  <r>
    <x v="0"/>
    <x v="5"/>
    <x v="1"/>
    <n v="1595799000179"/>
    <x v="631"/>
    <s v="TUBARÃO"/>
    <s v="SC"/>
    <x v="4"/>
    <s v="RAFAEL ESTEVES (RJ/SPI/SUL)"/>
    <n v="70"/>
    <x v="0"/>
    <s v="SOCIMED SERVICOS HOSPITALARES S.A - TUBARÃO - SC - 01.595.799/0001-79"/>
    <n v="125"/>
  </r>
  <r>
    <x v="0"/>
    <x v="5"/>
    <x v="1"/>
    <n v="1880344000103"/>
    <x v="558"/>
    <s v="BLUMENAU"/>
    <s v="SC"/>
    <x v="4"/>
    <s v="RAFAEL ESTEVES (RJ/SPI/SUL)"/>
    <n v="70"/>
    <x v="0"/>
    <s v="HOSPITAL SANTA CATARINA - BLUMENAU - SC - 01.880.344/0001-03"/>
    <n v="5"/>
  </r>
  <r>
    <x v="0"/>
    <x v="5"/>
    <x v="1"/>
    <n v="3354642000187"/>
    <x v="630"/>
    <s v="BLUMENAU"/>
    <s v="SC"/>
    <x v="4"/>
    <s v="RAFAEL ESTEVES (RJ/SPI/SUL)"/>
    <n v="70"/>
    <x v="0"/>
    <s v="CLINICA DE ONCOLOGIA REICHOW LTDA - BLUMENAU - SC - PRIVADO - 03.354.642/0001-87"/>
    <n v="30"/>
  </r>
  <r>
    <x v="0"/>
    <x v="5"/>
    <x v="1"/>
    <n v="3855214000219"/>
    <x v="629"/>
    <s v="JARAGUÁ DO SUL"/>
    <s v="SC"/>
    <x v="4"/>
    <s v="RAFAEL ESTEVES (RJ/SPI/SUL)"/>
    <n v="70"/>
    <x v="0"/>
    <s v="HOSPITAL UNIMED JARAGUA DO SUL - JARAGUÁ DO SUL - SC - 03.855.214/0002-19"/>
    <n v="20"/>
  </r>
  <r>
    <x v="0"/>
    <x v="5"/>
    <x v="1"/>
    <n v="4670913000176"/>
    <x v="622"/>
    <s v="FLORIANÓPOLIS"/>
    <s v="SC"/>
    <x v="4"/>
    <s v="RAFAEL ESTEVES (RJ/SPI/SUL)"/>
    <n v="70"/>
    <x v="0"/>
    <s v="VIVER CLINICA MEDICA LTDA - FLORIANÓPOLIS - SC - 04.670.913/0001-76"/>
    <n v="225"/>
  </r>
  <r>
    <x v="0"/>
    <x v="5"/>
    <x v="1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290"/>
  </r>
  <r>
    <x v="0"/>
    <x v="5"/>
    <x v="1"/>
    <n v="80673411000187"/>
    <x v="512"/>
    <s v="FLORIANÓPOLIS"/>
    <s v="SC"/>
    <x v="4"/>
    <s v="RAFAEL ESTEVES (RJ/SPI/SUL)"/>
    <n v="70"/>
    <x v="0"/>
    <s v="FES - FLORIANÓPOLIS - SC - 80.673.411/0001-87"/>
    <n v="4295"/>
  </r>
  <r>
    <x v="0"/>
    <x v="5"/>
    <x v="1"/>
    <n v="82654088000120"/>
    <x v="627"/>
    <s v="BLUMENAU"/>
    <s v="SC"/>
    <x v="4"/>
    <s v="RAFAEL ESTEVES (RJ/SPI/SUL)"/>
    <n v="70"/>
    <x v="0"/>
    <s v="HOSPITAL STO ANTONIO - BLUMENAU - SC - 82.654.088/0001-20"/>
    <n v="5"/>
  </r>
  <r>
    <x v="0"/>
    <x v="5"/>
    <x v="1"/>
    <n v="85241339000809"/>
    <x v="628"/>
    <s v="TUBARÃO"/>
    <s v="SC"/>
    <x v="4"/>
    <s v="RAFAEL ESTEVES (RJ/SPI/SUL)"/>
    <n v="70"/>
    <x v="0"/>
    <s v="CENTRO MEDICO UNIMED - TUBARÃO - SC - 85.241.339/0008-09"/>
    <n v="130"/>
  </r>
  <r>
    <x v="0"/>
    <x v="6"/>
    <x v="2"/>
    <n v="1125832000105"/>
    <x v="620"/>
    <s v="FLORIANÓPOLIS"/>
    <s v="SC"/>
    <x v="4"/>
    <s v="RAFAEL ESTEVES (RJ/SPI/SUL)"/>
    <n v="70"/>
    <x v="0"/>
    <s v="CEOF - FLORIANÓPOLIS - SC - 01.125.832/0001-05"/>
    <n v="110"/>
  </r>
  <r>
    <x v="0"/>
    <x v="6"/>
    <x v="2"/>
    <n v="1554266000149"/>
    <x v="626"/>
    <s v="BRUSQUE"/>
    <s v="SC"/>
    <x v="4"/>
    <s v="RAFAEL ESTEVES (RJ/SPI/SUL)"/>
    <n v="70"/>
    <x v="0"/>
    <s v="UNIMED DE BRUSQUE - BRUSQUE - SC - 01.554.266/0001-49"/>
    <n v="105"/>
  </r>
  <r>
    <x v="0"/>
    <x v="6"/>
    <x v="2"/>
    <n v="1880344000103"/>
    <x v="558"/>
    <s v="BLUMENAU"/>
    <s v="SC"/>
    <x v="4"/>
    <s v="RAFAEL ESTEVES (RJ/SPI/SUL)"/>
    <n v="70"/>
    <x v="0"/>
    <s v="HOSPITAL SANTA CATARINA - BLUMENAU - SC - 01.880.344/0001-03"/>
    <n v="5"/>
  </r>
  <r>
    <x v="0"/>
    <x v="6"/>
    <x v="2"/>
    <n v="4670913000176"/>
    <x v="622"/>
    <s v="FLORIANÓPOLIS"/>
    <s v="SC"/>
    <x v="4"/>
    <s v="RAFAEL ESTEVES (RJ/SPI/SUL)"/>
    <n v="70"/>
    <x v="0"/>
    <s v="VIVER CLINICA MEDICA LTDA - FLORIANÓPOLIS - SC - 04.670.913/0001-76"/>
    <n v="350"/>
  </r>
  <r>
    <x v="0"/>
    <x v="6"/>
    <x v="2"/>
    <n v="23982118000168"/>
    <x v="560"/>
    <s v="FLORIANÓPOLIS"/>
    <s v="SC"/>
    <x v="4"/>
    <s v="RAFAEL ESTEVES (RJ/SPI/SUL)"/>
    <n v="70"/>
    <x v="0"/>
    <s v="CCI - CENTRO CATARINENSE DE IMUNOTERAPIA LTDA - FLORIANÓPOLIS - SC - 23.982.118/0001-68"/>
    <n v="315"/>
  </r>
  <r>
    <x v="0"/>
    <x v="6"/>
    <x v="2"/>
    <n v="77858611001414"/>
    <x v="527"/>
    <s v="SÃO JOSÉ"/>
    <s v="SC"/>
    <x v="4"/>
    <s v="RAFAEL ESTEVES (RJ/SPI/SUL)"/>
    <n v="70"/>
    <x v="0"/>
    <s v="UNIMED GRANDE FLORIANOPOLIS - COOPERATIVA DE TRABALHO MEDICO - SÃO JOSÉ - SC - 77.858.611/0014-14"/>
    <n v="157.5"/>
  </r>
  <r>
    <x v="0"/>
    <x v="6"/>
    <x v="2"/>
    <n v="83884999000106"/>
    <x v="546"/>
    <s v="FLORIANÓPOLIS"/>
    <s v="SC"/>
    <x v="4"/>
    <s v="RAFAEL ESTEVES (RJ/SPI/SUL)"/>
    <n v="70"/>
    <x v="0"/>
    <s v="IMPERIAL HOSPITAL DE CARIDADE - FLORIANÓPOLIS - SC - 83.884.999/0001-06"/>
    <n v="130"/>
  </r>
  <r>
    <x v="0"/>
    <x v="6"/>
    <x v="2"/>
    <n v="85241339000809"/>
    <x v="628"/>
    <s v="TUBARÃO"/>
    <s v="SC"/>
    <x v="4"/>
    <s v="RAFAEL ESTEVES (RJ/SPI/SUL)"/>
    <n v="70"/>
    <x v="0"/>
    <s v="CENTRO MEDICO UNIMED - TUBARÃO - SC - 85.241.339/0008-09"/>
    <n v="10"/>
  </r>
  <r>
    <x v="0"/>
    <x v="6"/>
    <x v="2"/>
    <n v="85377174000392"/>
    <x v="516"/>
    <s v="BALNEÁRIO CAMBORIÚ"/>
    <s v="SC"/>
    <x v="4"/>
    <s v="RAFAEL ESTEVES (RJ/SPI/SUL)"/>
    <n v="70"/>
    <x v="0"/>
    <s v="HOSPITAL UNIMED LITORAL - BALNEÁRIO CAMBORIÚ - SC - 85.377.174/0003-92"/>
    <n v="10"/>
  </r>
  <r>
    <x v="0"/>
    <x v="0"/>
    <x v="0"/>
    <n v="7088017000191"/>
    <x v="632"/>
    <s v="CAMPINA GRANDE DO SUL"/>
    <s v="PR"/>
    <x v="4"/>
    <s v="RAFAEL ESTEVES (RJ/SPI/SUL)"/>
    <n v="70"/>
    <x v="0"/>
    <s v="HOSPITAL ANGELINA CARON - CAMPINA GRANDE DO SUL - PR - 07.088.017/0001-91"/>
    <n v="120"/>
  </r>
  <r>
    <x v="0"/>
    <x v="0"/>
    <x v="0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515"/>
  </r>
  <r>
    <x v="0"/>
    <x v="1"/>
    <x v="0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415"/>
  </r>
  <r>
    <x v="0"/>
    <x v="1"/>
    <x v="0"/>
    <n v="4762301000103"/>
    <x v="634"/>
    <s v="LONDRINA"/>
    <s v="PR"/>
    <x v="4"/>
    <s v="RAFAEL ESTEVES (RJ/SPI/SUL)"/>
    <n v="70"/>
    <x v="0"/>
    <s v="HOSPITAL DO CORACAO DE LONDRINA LTDA - LONDRINA - PR - 04.762.301/0001-03"/>
    <n v="180"/>
  </r>
  <r>
    <x v="0"/>
    <x v="0"/>
    <x v="0"/>
    <n v="21998635000108"/>
    <x v="635"/>
    <s v="CASCAVEL"/>
    <s v="PR"/>
    <x v="4"/>
    <s v="RAFAEL ESTEVES (RJ/SPI/SUL)"/>
    <n v="70"/>
    <x v="0"/>
    <s v="FUNDACAO HOSPITALAR SAO LUCAS - CASCAVEL - PR - 21.998.635/0001-08"/>
    <n v="20"/>
  </r>
  <r>
    <x v="0"/>
    <x v="0"/>
    <x v="0"/>
    <n v="73863342000109"/>
    <x v="636"/>
    <s v="LONDRINA"/>
    <s v="PR"/>
    <x v="4"/>
    <s v="RAFAEL ESTEVES (RJ/SPI/SUL)"/>
    <n v="70"/>
    <x v="0"/>
    <s v="PRO-ONCO CENTRO DE TRATAMENTO ONCOLOGICO SS LTDA - LONDRINA - PR - 73.863.342/0001-09"/>
    <n v="10"/>
  </r>
  <r>
    <x v="0"/>
    <x v="0"/>
    <x v="0"/>
    <n v="75222224001895"/>
    <x v="637"/>
    <s v="LONDRINA"/>
    <s v="PR"/>
    <x v="4"/>
    <s v="RAFAEL ESTEVES (RJ/SPI/SUL)"/>
    <n v="70"/>
    <x v="0"/>
    <s v="PRONTO ATENDIMENTO UNIMED LONDRINA - LONDRINA - PR - 75.222.224/0018-95"/>
    <n v="600"/>
  </r>
  <r>
    <x v="0"/>
    <x v="0"/>
    <x v="0"/>
    <n v="77265361000194"/>
    <x v="638"/>
    <s v="MARINGÁ"/>
    <s v="PR"/>
    <x v="4"/>
    <s v="RAFAEL ESTEVES (RJ/SPI/SUL)"/>
    <n v="70"/>
    <x v="0"/>
    <s v="HOSPITAL PARANA - MARINGÁ - PR - 77.265.361/0001-94"/>
    <n v="100"/>
  </r>
  <r>
    <x v="0"/>
    <x v="1"/>
    <x v="0"/>
    <n v="73863342000109"/>
    <x v="636"/>
    <s v="LONDRINA"/>
    <s v="PR"/>
    <x v="4"/>
    <s v="RAFAEL ESTEVES (RJ/SPI/SUL)"/>
    <n v="70"/>
    <x v="0"/>
    <s v="PRO-ONCO CENTRO DE TRATAMENTO ONCOLOGICO SS LTDA - LONDRINA - PR - 73.863.342/0001-09"/>
    <n v="20"/>
  </r>
  <r>
    <x v="0"/>
    <x v="1"/>
    <x v="0"/>
    <n v="75222224001895"/>
    <x v="637"/>
    <s v="LONDRINA"/>
    <s v="PR"/>
    <x v="4"/>
    <s v="RAFAEL ESTEVES (RJ/SPI/SUL)"/>
    <n v="70"/>
    <x v="0"/>
    <s v="PRONTO ATENDIMENTO UNIMED LONDRINA - LONDRINA - PR - 75.222.224/0018-95"/>
    <n v="1200"/>
  </r>
  <r>
    <x v="0"/>
    <x v="1"/>
    <x v="0"/>
    <n v="78633088000176"/>
    <x v="639"/>
    <s v="LONDRINA"/>
    <s v="PR"/>
    <x v="4"/>
    <s v="RAFAEL ESTEVES (RJ/SPI/SUL)"/>
    <n v="70"/>
    <x v="0"/>
    <s v="HOSPITAL DO CANCER DE LONDRINA - LONDRINA - PR - 78.633.088/0001-76"/>
    <n v="10"/>
  </r>
  <r>
    <x v="0"/>
    <x v="1"/>
    <x v="0"/>
    <n v="79115762000193"/>
    <x v="640"/>
    <s v="MARINGÁ"/>
    <s v="PR"/>
    <x v="4"/>
    <s v="RAFAEL ESTEVES (RJ/SPI/SUL)"/>
    <n v="70"/>
    <x v="0"/>
    <s v="HOSPITAL E MATERNIDADE MARIA AUXILIADORA - MARINGÁ - PR - 79.115.762/0001-93"/>
    <n v="225"/>
  </r>
  <r>
    <x v="0"/>
    <x v="2"/>
    <x v="0"/>
    <n v="4762301000103"/>
    <x v="634"/>
    <s v="LONDRINA"/>
    <s v="PR"/>
    <x v="4"/>
    <s v="RAFAEL ESTEVES (RJ/SPI/SUL)"/>
    <n v="70"/>
    <x v="0"/>
    <s v="HOSPITAL DO CORACAO DE LONDRINA LTDA - LONDRINA - PR - 04.762.301/0001-03"/>
    <n v="405"/>
  </r>
  <r>
    <x v="0"/>
    <x v="2"/>
    <x v="0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630"/>
  </r>
  <r>
    <x v="0"/>
    <x v="2"/>
    <x v="0"/>
    <n v="73863342000109"/>
    <x v="636"/>
    <s v="LONDRINA"/>
    <s v="PR"/>
    <x v="4"/>
    <s v="RAFAEL ESTEVES (RJ/SPI/SUL)"/>
    <n v="70"/>
    <x v="0"/>
    <s v="PRO-ONCO CENTRO DE TRATAMENTO ONCOLOGICO SS LTDA - LONDRINA - PR - 73.863.342/0001-09"/>
    <n v="20"/>
  </r>
  <r>
    <x v="0"/>
    <x v="2"/>
    <x v="0"/>
    <n v="75222224001895"/>
    <x v="637"/>
    <s v="LONDRINA"/>
    <s v="PR"/>
    <x v="4"/>
    <s v="RAFAEL ESTEVES (RJ/SPI/SUL)"/>
    <n v="70"/>
    <x v="0"/>
    <s v="PRONTO ATENDIMENTO UNIMED LONDRINA - LONDRINA - PR - 75.222.224/0018-95"/>
    <n v="1485"/>
  </r>
  <r>
    <x v="0"/>
    <x v="2"/>
    <x v="0"/>
    <n v="78633088000176"/>
    <x v="639"/>
    <s v="LONDRINA"/>
    <s v="PR"/>
    <x v="4"/>
    <s v="RAFAEL ESTEVES (RJ/SPI/SUL)"/>
    <n v="70"/>
    <x v="0"/>
    <s v="HOSPITAL DO CANCER DE LONDRINA - LONDRINA - PR - 78.633.088/0001-76"/>
    <n v="10"/>
  </r>
  <r>
    <x v="0"/>
    <x v="2"/>
    <x v="0"/>
    <n v="79115762000193"/>
    <x v="640"/>
    <s v="MARINGÁ"/>
    <s v="PR"/>
    <x v="4"/>
    <s v="RAFAEL ESTEVES (RJ/SPI/SUL)"/>
    <n v="70"/>
    <x v="0"/>
    <s v="HOSPITAL E MATERNIDADE MARIA AUXILIADORA - MARINGÁ - PR - 79.115.762/0001-93"/>
    <n v="25"/>
  </r>
  <r>
    <x v="0"/>
    <x v="2"/>
    <x v="0"/>
    <n v="81715716000410"/>
    <x v="641"/>
    <s v="CAMPO MOURÃO"/>
    <s v="PR"/>
    <x v="4"/>
    <s v="RAFAEL ESTEVES (RJ/SPI/SUL)"/>
    <n v="70"/>
    <x v="0"/>
    <s v="HOSPITAL UNIMED - UNIDADE CENTRO - CAMPO MOURÃO - PR - 81.715.716/0004-10"/>
    <n v="30"/>
  </r>
  <r>
    <x v="0"/>
    <x v="3"/>
    <x v="1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80"/>
  </r>
  <r>
    <x v="0"/>
    <x v="3"/>
    <x v="1"/>
    <n v="17864888000103"/>
    <x v="642"/>
    <s v="CASCAVEL"/>
    <s v="PR"/>
    <x v="4"/>
    <s v="RAFAEL ESTEVES (RJ/SPI/SUL)"/>
    <n v="70"/>
    <x v="0"/>
    <s v="COOP CENTRO DE ONCOLOGIA DO OESTE DO PARANA - CASCAVEL - PR - 17.864.888/0001-03"/>
    <n v="40"/>
  </r>
  <r>
    <x v="0"/>
    <x v="3"/>
    <x v="1"/>
    <n v="21998635000108"/>
    <x v="635"/>
    <s v="CASCAVEL"/>
    <s v="PR"/>
    <x v="4"/>
    <s v="RAFAEL ESTEVES (RJ/SPI/SUL)"/>
    <n v="70"/>
    <x v="0"/>
    <s v="FUNDACAO HOSPITALAR SAO LUCAS - CASCAVEL - PR - 21.998.635/0001-08"/>
    <n v="10"/>
  </r>
  <r>
    <x v="0"/>
    <x v="3"/>
    <x v="1"/>
    <n v="73863342000109"/>
    <x v="636"/>
    <s v="LONDRINA"/>
    <s v="PR"/>
    <x v="4"/>
    <s v="RAFAEL ESTEVES (RJ/SPI/SUL)"/>
    <n v="70"/>
    <x v="0"/>
    <s v="PRO-ONCO CENTRO DE TRATAMENTO ONCOLOGICO SS LTDA - LONDRINA - PR - 73.863.342/0001-09"/>
    <n v="20"/>
  </r>
  <r>
    <x v="0"/>
    <x v="3"/>
    <x v="1"/>
    <n v="75222224001895"/>
    <x v="637"/>
    <s v="LONDRINA"/>
    <s v="PR"/>
    <x v="4"/>
    <s v="RAFAEL ESTEVES (RJ/SPI/SUL)"/>
    <n v="70"/>
    <x v="0"/>
    <s v="PRONTO ATENDIMENTO UNIMED LONDRINA - LONDRINA - PR - 75.222.224/0018-95"/>
    <n v="630"/>
  </r>
  <r>
    <x v="0"/>
    <x v="3"/>
    <x v="1"/>
    <n v="78614971000119"/>
    <x v="643"/>
    <s v="LONDRINA"/>
    <s v="PR"/>
    <x v="4"/>
    <s v="RAFAEL ESTEVES (RJ/SPI/SUL)"/>
    <n v="70"/>
    <x v="0"/>
    <s v="ISCAL - LONDRINA - PR - 78.614.971/0001-19"/>
    <n v="15"/>
  </r>
  <r>
    <x v="0"/>
    <x v="3"/>
    <x v="1"/>
    <n v="79115762000193"/>
    <x v="640"/>
    <s v="MARINGÁ"/>
    <s v="PR"/>
    <x v="4"/>
    <s v="RAFAEL ESTEVES (RJ/SPI/SUL)"/>
    <n v="70"/>
    <x v="0"/>
    <s v="HOSPITAL E MATERNIDADE MARIA AUXILIADORA - MARINGÁ - PR - 79.115.762/0001-93"/>
    <n v="50"/>
  </r>
  <r>
    <x v="0"/>
    <x v="3"/>
    <x v="1"/>
    <n v="81715716000410"/>
    <x v="641"/>
    <s v="CAMPO MOURÃO"/>
    <s v="PR"/>
    <x v="4"/>
    <s v="RAFAEL ESTEVES (RJ/SPI/SUL)"/>
    <n v="70"/>
    <x v="0"/>
    <s v="HOSPITAL UNIMED - UNIDADE CENTRO - CAMPO MOURÃO - PR - 81.715.716/0004-10"/>
    <n v="30"/>
  </r>
  <r>
    <x v="0"/>
    <x v="4"/>
    <x v="1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290"/>
  </r>
  <r>
    <x v="0"/>
    <x v="4"/>
    <x v="1"/>
    <n v="21998635000108"/>
    <x v="635"/>
    <s v="CASCAVEL"/>
    <s v="PR"/>
    <x v="4"/>
    <s v="RAFAEL ESTEVES (RJ/SPI/SUL)"/>
    <n v="70"/>
    <x v="0"/>
    <s v="FUNDACAO HOSPITALAR SAO LUCAS - CASCAVEL - PR - 21.998.635/0001-08"/>
    <n v="20"/>
  </r>
  <r>
    <x v="0"/>
    <x v="4"/>
    <x v="1"/>
    <n v="75222224001895"/>
    <x v="637"/>
    <s v="LONDRINA"/>
    <s v="PR"/>
    <x v="4"/>
    <s v="RAFAEL ESTEVES (RJ/SPI/SUL)"/>
    <n v="70"/>
    <x v="0"/>
    <s v="PRONTO ATENDIMENTO UNIMED LONDRINA - LONDRINA - PR - 75.222.224/0018-95"/>
    <n v="630"/>
  </r>
  <r>
    <x v="0"/>
    <x v="4"/>
    <x v="1"/>
    <n v="77265361000194"/>
    <x v="638"/>
    <s v="MARINGÁ"/>
    <s v="PR"/>
    <x v="4"/>
    <s v="RAFAEL ESTEVES (RJ/SPI/SUL)"/>
    <n v="70"/>
    <x v="0"/>
    <s v="HOSPITAL PARANA - MARINGÁ - PR - 77.265.361/0001-94"/>
    <n v="175"/>
  </r>
  <r>
    <x v="0"/>
    <x v="4"/>
    <x v="1"/>
    <n v="77781706000243"/>
    <x v="564"/>
    <s v="PONTA GROSSA"/>
    <s v="PR"/>
    <x v="4"/>
    <s v="RAFAEL ESTEVES (RJ/SPI/SUL)"/>
    <n v="70"/>
    <x v="0"/>
    <s v="HOSPITAL GERAL UNIMED - PONTA GROSSA - PR - 77.781.706/0002-43"/>
    <n v="10"/>
  </r>
  <r>
    <x v="0"/>
    <x v="4"/>
    <x v="1"/>
    <n v="78044815000240"/>
    <x v="644"/>
    <s v="GUARAPUAVA"/>
    <s v="PR"/>
    <x v="4"/>
    <s v="RAFAEL ESTEVES (RJ/SPI/SUL)"/>
    <n v="70"/>
    <x v="0"/>
    <s v="ANIMO- ANTINEOPLASICOS INJETAVEIS E MEDICINA ONCOLOGICA - GUARAPUAVA - PR - 78.044.815/0002-40"/>
    <n v="75"/>
  </r>
  <r>
    <x v="0"/>
    <x v="4"/>
    <x v="1"/>
    <n v="78633088000176"/>
    <x v="639"/>
    <s v="LONDRINA"/>
    <s v="PR"/>
    <x v="4"/>
    <s v="RAFAEL ESTEVES (RJ/SPI/SUL)"/>
    <n v="70"/>
    <x v="0"/>
    <s v="HOSPITAL DO CANCER DE LONDRINA - LONDRINA - PR - 78.633.088/0001-76"/>
    <n v="25"/>
  </r>
  <r>
    <x v="0"/>
    <x v="4"/>
    <x v="1"/>
    <n v="79115762000193"/>
    <x v="640"/>
    <s v="MARINGÁ"/>
    <s v="PR"/>
    <x v="4"/>
    <s v="RAFAEL ESTEVES (RJ/SPI/SUL)"/>
    <n v="70"/>
    <x v="0"/>
    <s v="HOSPITAL E MATERNIDADE MARIA AUXILIADORA - MARINGÁ - PR - 79.115.762/0001-93"/>
    <n v="175"/>
  </r>
  <r>
    <x v="0"/>
    <x v="4"/>
    <x v="1"/>
    <n v="81733115000197"/>
    <x v="645"/>
    <s v="CIANORTE"/>
    <s v="PR"/>
    <x v="4"/>
    <s v="RAFAEL ESTEVES (RJ/SPI/SUL)"/>
    <n v="70"/>
    <x v="0"/>
    <s v="UNIMED DE CIANORTE COOPERATIVA DE TRABALHO MEDICO - CIANORTE - PR - 81.733.115/0001-97"/>
    <n v="60"/>
  </r>
  <r>
    <x v="0"/>
    <x v="5"/>
    <x v="1"/>
    <n v="304148000110"/>
    <x v="477"/>
    <s v="FOZ DO IGUAÇU"/>
    <s v="PR"/>
    <x v="4"/>
    <s v="RAFAEL ESTEVES (RJ/SPI/SUL)"/>
    <n v="70"/>
    <x v="0"/>
    <s v="HOSPITAL MINISTRO COSTA CAVALCANTI - FOZ DO IGUAÇU - PR - 00.304.148/0001-10"/>
    <n v="150"/>
  </r>
  <r>
    <x v="0"/>
    <x v="5"/>
    <x v="1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85"/>
  </r>
  <r>
    <x v="0"/>
    <x v="5"/>
    <x v="1"/>
    <n v="17864888000103"/>
    <x v="642"/>
    <s v="CASCAVEL"/>
    <s v="PR"/>
    <x v="4"/>
    <s v="RAFAEL ESTEVES (RJ/SPI/SUL)"/>
    <n v="70"/>
    <x v="0"/>
    <s v="COOP CENTRO DE ONCOLOGIA DO OESTE DO PARANA - CASCAVEL - PR - 17.864.888/0001-03"/>
    <n v="140"/>
  </r>
  <r>
    <x v="0"/>
    <x v="5"/>
    <x v="1"/>
    <n v="73863342000109"/>
    <x v="636"/>
    <s v="LONDRINA"/>
    <s v="PR"/>
    <x v="4"/>
    <s v="RAFAEL ESTEVES (RJ/SPI/SUL)"/>
    <n v="70"/>
    <x v="0"/>
    <s v="PRO-ONCO CENTRO DE TRATAMENTO ONCOLOGICO SS LTDA - LONDRINA - PR - 73.863.342/0001-09"/>
    <n v="20"/>
  </r>
  <r>
    <x v="0"/>
    <x v="5"/>
    <x v="1"/>
    <n v="75222224001895"/>
    <x v="637"/>
    <s v="LONDRINA"/>
    <s v="PR"/>
    <x v="4"/>
    <s v="RAFAEL ESTEVES (RJ/SPI/SUL)"/>
    <n v="70"/>
    <x v="0"/>
    <s v="PRONTO ATENDIMENTO UNIMED LONDRINA - LONDRINA - PR - 75.222.224/0018-95"/>
    <n v="630"/>
  </r>
  <r>
    <x v="0"/>
    <x v="5"/>
    <x v="1"/>
    <n v="77265361000194"/>
    <x v="638"/>
    <s v="MARINGÁ"/>
    <s v="PR"/>
    <x v="4"/>
    <s v="RAFAEL ESTEVES (RJ/SPI/SUL)"/>
    <n v="70"/>
    <x v="0"/>
    <s v="HOSPITAL PARANA - MARINGÁ - PR - 77.265.361/0001-94"/>
    <n v="80"/>
  </r>
  <r>
    <x v="0"/>
    <x v="5"/>
    <x v="1"/>
    <n v="78633088000176"/>
    <x v="639"/>
    <s v="LONDRINA"/>
    <s v="PR"/>
    <x v="4"/>
    <s v="RAFAEL ESTEVES (RJ/SPI/SUL)"/>
    <n v="70"/>
    <x v="0"/>
    <s v="HOSPITAL DO CANCER DE LONDRINA - LONDRINA - PR - 78.633.088/0001-76"/>
    <n v="35"/>
  </r>
  <r>
    <x v="0"/>
    <x v="5"/>
    <x v="1"/>
    <n v="79115762000193"/>
    <x v="640"/>
    <s v="MARINGÁ"/>
    <s v="PR"/>
    <x v="4"/>
    <s v="RAFAEL ESTEVES (RJ/SPI/SUL)"/>
    <n v="70"/>
    <x v="0"/>
    <s v="HOSPITAL E MATERNIDADE MARIA AUXILIADORA - MARINGÁ - PR - 79.115.762/0001-93"/>
    <n v="20"/>
  </r>
  <r>
    <x v="0"/>
    <x v="5"/>
    <x v="1"/>
    <n v="81733115000197"/>
    <x v="645"/>
    <s v="CIANORTE"/>
    <s v="PR"/>
    <x v="4"/>
    <s v="RAFAEL ESTEVES (RJ/SPI/SUL)"/>
    <n v="70"/>
    <x v="0"/>
    <s v="UNIMED DE CIANORTE COOPERATIVA DE TRABALHO MEDICO - CIANORTE - PR - 81.733.115/0001-97"/>
    <n v="60"/>
  </r>
  <r>
    <x v="0"/>
    <x v="6"/>
    <x v="2"/>
    <n v="7794623002257"/>
    <x v="633"/>
    <s v="SÃO JOSÉ DOS PINHAIS"/>
    <s v="PR"/>
    <x v="4"/>
    <s v="RAFAEL ESTEVES (RJ/SPI/SUL)"/>
    <n v="70"/>
    <x v="0"/>
    <s v="CEMED CARE - EMPRESA DE ATENDIMENTO CLINICO GERAL LTDA - SÃO JOSÉ DOS PINHAIS - PR - 07.794.623/0022-57"/>
    <n v="210"/>
  </r>
  <r>
    <x v="0"/>
    <x v="6"/>
    <x v="2"/>
    <n v="21998635000108"/>
    <x v="635"/>
    <s v="CASCAVEL"/>
    <s v="PR"/>
    <x v="4"/>
    <s v="RAFAEL ESTEVES (RJ/SPI/SUL)"/>
    <n v="70"/>
    <x v="0"/>
    <s v="FUNDACAO HOSPITALAR SAO LUCAS - CASCAVEL - PR - 21.998.635/0001-08"/>
    <n v="20"/>
  </r>
  <r>
    <x v="0"/>
    <x v="6"/>
    <x v="2"/>
    <n v="75222224001895"/>
    <x v="637"/>
    <s v="LONDRINA"/>
    <s v="PR"/>
    <x v="4"/>
    <s v="RAFAEL ESTEVES (RJ/SPI/SUL)"/>
    <n v="70"/>
    <x v="0"/>
    <s v="PRONTO ATENDIMENTO UNIMED LONDRINA - LONDRINA - PR - 75.222.224/0018-95"/>
    <n v="950"/>
  </r>
  <r>
    <x v="0"/>
    <x v="6"/>
    <x v="2"/>
    <n v="76081892000164"/>
    <x v="563"/>
    <s v="CASCAVEL"/>
    <s v="PR"/>
    <x v="4"/>
    <s v="RAFAEL ESTEVES (RJ/SPI/SUL)"/>
    <n v="70"/>
    <x v="0"/>
    <s v="HOSPITAL POLICLINICA CASCAVEL - CASCAVEL - PR - 76.081.892/0001-64"/>
    <n v="130"/>
  </r>
  <r>
    <x v="0"/>
    <x v="6"/>
    <x v="2"/>
    <n v="78614971000119"/>
    <x v="643"/>
    <s v="LONDRINA"/>
    <s v="PR"/>
    <x v="4"/>
    <s v="RAFAEL ESTEVES (RJ/SPI/SUL)"/>
    <n v="70"/>
    <x v="0"/>
    <s v="ISCAL - LONDRINA - PR - 78.614.971/0001-19"/>
    <n v="10"/>
  </r>
  <r>
    <x v="0"/>
    <x v="6"/>
    <x v="2"/>
    <n v="78633088000176"/>
    <x v="639"/>
    <s v="LONDRINA"/>
    <s v="PR"/>
    <x v="4"/>
    <s v="RAFAEL ESTEVES (RJ/SPI/SUL)"/>
    <n v="70"/>
    <x v="0"/>
    <s v="HOSPITAL DO CANCER DE LONDRINA - LONDRINA - PR - 78.633.088/0001-76"/>
    <n v="45"/>
  </r>
  <r>
    <x v="0"/>
    <x v="6"/>
    <x v="2"/>
    <n v="79115762000193"/>
    <x v="640"/>
    <s v="MARINGÁ"/>
    <s v="PR"/>
    <x v="4"/>
    <s v="RAFAEL ESTEVES (RJ/SPI/SUL)"/>
    <n v="70"/>
    <x v="0"/>
    <s v="HOSPITAL E MATERNIDADE MARIA AUXILIADORA - MARINGÁ - PR - 79.115.762/0001-93"/>
    <n v="175"/>
  </r>
  <r>
    <x v="0"/>
    <x v="6"/>
    <x v="2"/>
    <n v="81715716000410"/>
    <x v="641"/>
    <s v="CAMPO MOURÃO"/>
    <s v="PR"/>
    <x v="4"/>
    <s v="RAFAEL ESTEVES (RJ/SPI/SUL)"/>
    <n v="70"/>
    <x v="0"/>
    <s v="HOSPITAL UNIMED - UNIDADE CENTRO - CAMPO MOURÃO - PR - 81.715.716/0004-10"/>
    <n v="240"/>
  </r>
  <r>
    <x v="0"/>
    <x v="6"/>
    <x v="2"/>
    <n v="81733115000197"/>
    <x v="645"/>
    <s v="CIANORTE"/>
    <s v="PR"/>
    <x v="4"/>
    <s v="RAFAEL ESTEVES (RJ/SPI/SUL)"/>
    <n v="70"/>
    <x v="0"/>
    <s v="UNIMED DE CIANORTE COOPERATIVA DE TRABALHO MEDICO - CIANORTE - PR - 81.733.115/0001-97"/>
    <n v="60"/>
  </r>
  <r>
    <x v="0"/>
    <x v="0"/>
    <x v="0"/>
    <n v="942063000167"/>
    <x v="646"/>
    <s v="CURITIBA"/>
    <s v="PR"/>
    <x v="4"/>
    <s v="RAFAEL ESTEVES (RJ/SPI/SUL)"/>
    <n v="70"/>
    <x v="0"/>
    <s v="HOSPITAL ECOVILLE - CURITIBA - PR - 00.942.063/0001-67"/>
    <n v="1115"/>
  </r>
  <r>
    <x v="0"/>
    <x v="1"/>
    <x v="0"/>
    <n v="942063000167"/>
    <x v="646"/>
    <s v="CURITIBA"/>
    <s v="PR"/>
    <x v="4"/>
    <s v="RAFAEL ESTEVES (RJ/SPI/SUL)"/>
    <n v="70"/>
    <x v="0"/>
    <s v="HOSPITAL ECOVILLE - CURITIBA - PR - 00.942.063/0001-67"/>
    <n v="1755"/>
  </r>
  <r>
    <x v="0"/>
    <x v="0"/>
    <x v="0"/>
    <n v="2862447000286"/>
    <x v="647"/>
    <s v="CURITIBA"/>
    <s v="PR"/>
    <x v="4"/>
    <s v="RAFAEL ESTEVES (RJ/SPI/SUL)"/>
    <n v="70"/>
    <x v="0"/>
    <s v="NOSSA SAUDE OPERADORA DE PLANOS PRIVADOS DE ASSISTENCIA A SAUDE LTDA. - CURITIBA - PR - 02.862.447/0002-86"/>
    <n v="40"/>
  </r>
  <r>
    <x v="0"/>
    <x v="0"/>
    <x v="0"/>
    <n v="3824198000116"/>
    <x v="648"/>
    <s v="CURITIBA"/>
    <s v="PR"/>
    <x v="4"/>
    <s v="RAFAEL ESTEVES (RJ/SPI/SUL)"/>
    <n v="70"/>
    <x v="0"/>
    <s v="ICTR - INSTITUTO DO CANCER E TRANSPLANTE S/C - CURITIBA - PR - 03.824.198/0001-16"/>
    <n v="250"/>
  </r>
  <r>
    <x v="0"/>
    <x v="1"/>
    <x v="0"/>
    <n v="3824198000116"/>
    <x v="648"/>
    <s v="CURITIBA"/>
    <s v="PR"/>
    <x v="4"/>
    <s v="RAFAEL ESTEVES (RJ/SPI/SUL)"/>
    <n v="70"/>
    <x v="0"/>
    <s v="ICTR - INSTITUTO DO CANCER E TRANSPLANTE S/C - CURITIBA - PR - 03.824.198/0001-16"/>
    <n v="250"/>
  </r>
  <r>
    <x v="0"/>
    <x v="0"/>
    <x v="0"/>
    <n v="3850913000195"/>
    <x v="649"/>
    <s v="CURITIBA"/>
    <s v="PR"/>
    <x v="4"/>
    <s v="RAFAEL ESTEVES (RJ/SPI/SUL)"/>
    <n v="70"/>
    <x v="0"/>
    <s v="INSTITUTO DE HEMATOLOGIA E ONCOLOGIA CURITIBA - CURITIBA - PR - 03.850.913/0001-95"/>
    <n v="665"/>
  </r>
  <r>
    <x v="0"/>
    <x v="1"/>
    <x v="0"/>
    <n v="3850913000195"/>
    <x v="649"/>
    <s v="CURITIBA"/>
    <s v="PR"/>
    <x v="4"/>
    <s v="RAFAEL ESTEVES (RJ/SPI/SUL)"/>
    <n v="70"/>
    <x v="0"/>
    <s v="INSTITUTO DE HEMATOLOGIA E ONCOLOGIA CURITIBA - CURITIBA - PR - 03.850.913/0001-95"/>
    <n v="520"/>
  </r>
  <r>
    <x v="0"/>
    <x v="0"/>
    <x v="0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105"/>
  </r>
  <r>
    <x v="0"/>
    <x v="1"/>
    <x v="0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45"/>
  </r>
  <r>
    <x v="0"/>
    <x v="0"/>
    <x v="0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4500"/>
  </r>
  <r>
    <x v="0"/>
    <x v="1"/>
    <x v="0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4350"/>
  </r>
  <r>
    <x v="0"/>
    <x v="0"/>
    <x v="0"/>
    <n v="8597121000174"/>
    <x v="486"/>
    <s v="CURITIBA"/>
    <s v="PR"/>
    <x v="4"/>
    <s v="RAFAEL ESTEVES (RJ/SPI/SUL)"/>
    <n v="70"/>
    <x v="0"/>
    <s v="FUNDO ESTADUAL DE SAUDE DO PARANA - FUNSAUDE - CURITIBA - PR - 08.597.121/0001-74"/>
    <n v="14000"/>
  </r>
  <r>
    <x v="0"/>
    <x v="1"/>
    <x v="0"/>
    <n v="9579964000291"/>
    <x v="651"/>
    <s v="CURITIBA"/>
    <s v="PR"/>
    <x v="4"/>
    <s v="RAFAEL ESTEVES (RJ/SPI/SUL)"/>
    <n v="70"/>
    <x v="0"/>
    <s v="HOSPITAL GERAL DE CURITIBA - CURITIBA - PR - 09.579.964/0002-91"/>
    <n v="1250"/>
  </r>
  <r>
    <x v="0"/>
    <x v="0"/>
    <x v="0"/>
    <n v="29435005005600"/>
    <x v="652"/>
    <s v="CURITIBA"/>
    <s v="PR"/>
    <x v="4"/>
    <s v="RAFAEL ESTEVES (RJ/SPI/SUL)"/>
    <n v="70"/>
    <x v="0"/>
    <s v="HOSPITAL VITORIA - CURITIBA - PR - 29.435.005/0056-00"/>
    <n v="180"/>
  </r>
  <r>
    <x v="0"/>
    <x v="1"/>
    <x v="0"/>
    <n v="29435005005600"/>
    <x v="652"/>
    <s v="CURITIBA"/>
    <s v="PR"/>
    <x v="4"/>
    <s v="RAFAEL ESTEVES (RJ/SPI/SUL)"/>
    <n v="70"/>
    <x v="0"/>
    <s v="HOSPITAL VITORIA - CURITIBA - PR - 29.435.005/0056-00"/>
    <n v="255"/>
  </r>
  <r>
    <x v="0"/>
    <x v="0"/>
    <x v="0"/>
    <n v="30117769000155"/>
    <x v="653"/>
    <s v="CURITIBA"/>
    <s v="PR"/>
    <x v="4"/>
    <s v="RAFAEL ESTEVES (RJ/SPI/SUL)"/>
    <n v="70"/>
    <x v="0"/>
    <s v="ONIX MATEUS LEME - CURITIBA - PR - 30.117.769/0001-55"/>
    <n v="265"/>
  </r>
  <r>
    <x v="0"/>
    <x v="0"/>
    <x v="0"/>
    <n v="76562198000169"/>
    <x v="654"/>
    <s v="CURITIBA"/>
    <s v="PR"/>
    <x v="4"/>
    <s v="RAFAEL ESTEVES (RJ/SPI/SUL)"/>
    <n v="70"/>
    <x v="0"/>
    <s v="HOSPITAL NOSSA SENHORA DAS GRACAS - CURITIBA - PR - 76.562.198/0001-69"/>
    <n v="27.5"/>
  </r>
  <r>
    <x v="0"/>
    <x v="0"/>
    <x v="0"/>
    <n v="76591569000130"/>
    <x v="511"/>
    <s v="CURITIBA"/>
    <s v="PR"/>
    <x v="4"/>
    <s v="RAFAEL ESTEVES (RJ/SPI/SUL)"/>
    <n v="70"/>
    <x v="0"/>
    <s v="HOSPITAL INFANTIL PEQUENO PRINCIPE - CURITIBA - PR - 76.591.569/0001-30"/>
    <n v="200"/>
  </r>
  <r>
    <x v="0"/>
    <x v="0"/>
    <x v="0"/>
    <n v="76659820002367"/>
    <x v="655"/>
    <s v="CURITIBA"/>
    <s v="PR"/>
    <x v="4"/>
    <s v="RAFAEL ESTEVES (RJ/SPI/SUL)"/>
    <n v="70"/>
    <x v="0"/>
    <s v="HOSPITAL MARCELINO CHAMPAGNAT - CURITIBA - PR - 76.659.820/0023-67"/>
    <n v="40"/>
  </r>
  <r>
    <x v="0"/>
    <x v="1"/>
    <x v="0"/>
    <n v="76498013000102"/>
    <x v="656"/>
    <s v="CURITIBA"/>
    <s v="PR"/>
    <x v="4"/>
    <s v="RAFAEL ESTEVES (RJ/SPI/SUL)"/>
    <n v="70"/>
    <x v="0"/>
    <s v="HOSPITAL NOSSA SENHORA DO PILAR LTDA - CURITIBA - PR - 76.498.013/0001-02"/>
    <n v="55"/>
  </r>
  <r>
    <x v="0"/>
    <x v="1"/>
    <x v="0"/>
    <n v="76555069000143"/>
    <x v="510"/>
    <s v="CURITIBA"/>
    <s v="PR"/>
    <x v="4"/>
    <s v="RAFAEL ESTEVES (RJ/SPI/SUL)"/>
    <n v="70"/>
    <x v="0"/>
    <s v="HOSPITAL SANTA CRUZ SOCIEDADE ANONIMA - CURITIBA - PR - 76.555.069/0001-43"/>
    <n v="170"/>
  </r>
  <r>
    <x v="0"/>
    <x v="1"/>
    <x v="0"/>
    <n v="76591569000130"/>
    <x v="511"/>
    <s v="CURITIBA"/>
    <s v="PR"/>
    <x v="4"/>
    <s v="RAFAEL ESTEVES (RJ/SPI/SUL)"/>
    <n v="70"/>
    <x v="0"/>
    <s v="HOSPITAL INFANTIL PEQUENO PRINCIPE - CURITIBA - PR - 76.591.569/0001-30"/>
    <n v="250"/>
  </r>
  <r>
    <x v="0"/>
    <x v="1"/>
    <x v="0"/>
    <n v="76659820002367"/>
    <x v="655"/>
    <s v="CURITIBA"/>
    <s v="PR"/>
    <x v="4"/>
    <s v="RAFAEL ESTEVES (RJ/SPI/SUL)"/>
    <n v="70"/>
    <x v="0"/>
    <s v="HOSPITAL MARCELINO CHAMPAGNAT - CURITIBA - PR - 76.659.820/0023-67"/>
    <n v="315"/>
  </r>
  <r>
    <x v="0"/>
    <x v="2"/>
    <x v="0"/>
    <n v="942063000167"/>
    <x v="646"/>
    <s v="CURITIBA"/>
    <s v="PR"/>
    <x v="4"/>
    <s v="RAFAEL ESTEVES (RJ/SPI/SUL)"/>
    <n v="70"/>
    <x v="0"/>
    <s v="HOSPITAL ECOVILLE - CURITIBA - PR - 00.942.063/0001-67"/>
    <n v="800"/>
  </r>
  <r>
    <x v="0"/>
    <x v="2"/>
    <x v="0"/>
    <n v="3850913000195"/>
    <x v="649"/>
    <s v="CURITIBA"/>
    <s v="PR"/>
    <x v="4"/>
    <s v="RAFAEL ESTEVES (RJ/SPI/SUL)"/>
    <n v="70"/>
    <x v="0"/>
    <s v="INSTITUTO DE HEMATOLOGIA E ONCOLOGIA CURITIBA - CURITIBA - PR - 03.850.913/0001-95"/>
    <n v="660"/>
  </r>
  <r>
    <x v="0"/>
    <x v="2"/>
    <x v="0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45"/>
  </r>
  <r>
    <x v="0"/>
    <x v="2"/>
    <x v="0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3500"/>
  </r>
  <r>
    <x v="0"/>
    <x v="2"/>
    <x v="0"/>
    <n v="8597121000174"/>
    <x v="486"/>
    <s v="CURITIBA"/>
    <s v="PR"/>
    <x v="4"/>
    <s v="RAFAEL ESTEVES (RJ/SPI/SUL)"/>
    <n v="70"/>
    <x v="0"/>
    <s v="FUNDO ESTADUAL DE SAUDE DO PARANA - FUNSAUDE - CURITIBA - PR - 08.597.121/0001-74"/>
    <n v="560"/>
  </r>
  <r>
    <x v="0"/>
    <x v="2"/>
    <x v="0"/>
    <n v="29435005005600"/>
    <x v="652"/>
    <s v="CURITIBA"/>
    <s v="PR"/>
    <x v="4"/>
    <s v="RAFAEL ESTEVES (RJ/SPI/SUL)"/>
    <n v="70"/>
    <x v="0"/>
    <s v="HOSPITAL VITORIA - CURITIBA - PR - 29.435.005/0056-00"/>
    <n v="185"/>
  </r>
  <r>
    <x v="0"/>
    <x v="2"/>
    <x v="0"/>
    <n v="30117769000155"/>
    <x v="653"/>
    <s v="CURITIBA"/>
    <s v="PR"/>
    <x v="4"/>
    <s v="RAFAEL ESTEVES (RJ/SPI/SUL)"/>
    <n v="70"/>
    <x v="0"/>
    <s v="ONIX MATEUS LEME - CURITIBA - PR - 30.117.769/0001-55"/>
    <n v="205"/>
  </r>
  <r>
    <x v="0"/>
    <x v="2"/>
    <x v="0"/>
    <n v="76555069000143"/>
    <x v="510"/>
    <s v="CURITIBA"/>
    <s v="PR"/>
    <x v="4"/>
    <s v="RAFAEL ESTEVES (RJ/SPI/SUL)"/>
    <n v="70"/>
    <x v="0"/>
    <s v="HOSPITAL SANTA CRUZ SOCIEDADE ANONIMA - CURITIBA - PR - 76.555.069/0001-43"/>
    <n v="280"/>
  </r>
  <r>
    <x v="0"/>
    <x v="2"/>
    <x v="0"/>
    <n v="76591569000130"/>
    <x v="511"/>
    <s v="CURITIBA"/>
    <s v="PR"/>
    <x v="4"/>
    <s v="RAFAEL ESTEVES (RJ/SPI/SUL)"/>
    <n v="70"/>
    <x v="0"/>
    <s v="HOSPITAL INFANTIL PEQUENO PRINCIPE - CURITIBA - PR - 76.591.569/0001-30"/>
    <n v="500"/>
  </r>
  <r>
    <x v="0"/>
    <x v="2"/>
    <x v="0"/>
    <n v="76659820002367"/>
    <x v="655"/>
    <s v="CURITIBA"/>
    <s v="PR"/>
    <x v="4"/>
    <s v="RAFAEL ESTEVES (RJ/SPI/SUL)"/>
    <n v="70"/>
    <x v="0"/>
    <s v="HOSPITAL MARCELINO CHAMPAGNAT - CURITIBA - PR - 76.659.820/0023-67"/>
    <n v="45"/>
  </r>
  <r>
    <x v="0"/>
    <x v="3"/>
    <x v="1"/>
    <n v="2862447000286"/>
    <x v="647"/>
    <s v="CURITIBA"/>
    <s v="PR"/>
    <x v="4"/>
    <s v="RAFAEL ESTEVES (RJ/SPI/SUL)"/>
    <n v="70"/>
    <x v="0"/>
    <s v="NOSSA SAUDE OPERADORA DE PLANOS PRIVADOS DE ASSISTENCIA A SAUDE LTDA. - CURITIBA - PR - 02.862.447/0002-86"/>
    <n v="40"/>
  </r>
  <r>
    <x v="0"/>
    <x v="3"/>
    <x v="1"/>
    <n v="3850913000195"/>
    <x v="649"/>
    <s v="CURITIBA"/>
    <s v="PR"/>
    <x v="4"/>
    <s v="RAFAEL ESTEVES (RJ/SPI/SUL)"/>
    <n v="70"/>
    <x v="0"/>
    <s v="INSTITUTO DE HEMATOLOGIA E ONCOLOGIA CURITIBA - CURITIBA - PR - 03.850.913/0001-95"/>
    <n v="645"/>
  </r>
  <r>
    <x v="0"/>
    <x v="3"/>
    <x v="1"/>
    <n v="4378502000101"/>
    <x v="657"/>
    <s v="CURITIBA"/>
    <s v="PR"/>
    <x v="4"/>
    <s v="RAFAEL ESTEVES (RJ/SPI/SUL)"/>
    <n v="70"/>
    <x v="0"/>
    <s v="FERTWAY REPRODUCAO HUMANA LTDA - EPP - CURITIBA - PR - 04.378.502/0001-01"/>
    <n v="15"/>
  </r>
  <r>
    <x v="0"/>
    <x v="3"/>
    <x v="1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145"/>
  </r>
  <r>
    <x v="0"/>
    <x v="3"/>
    <x v="1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4000"/>
  </r>
  <r>
    <x v="0"/>
    <x v="3"/>
    <x v="1"/>
    <n v="8597121000174"/>
    <x v="486"/>
    <s v="CURITIBA"/>
    <s v="PR"/>
    <x v="4"/>
    <s v="RAFAEL ESTEVES (RJ/SPI/SUL)"/>
    <n v="70"/>
    <x v="0"/>
    <s v="FUNDO ESTADUAL DE SAUDE DO PARANA - FUNSAUDE - CURITIBA - PR - 08.597.121/0001-74"/>
    <n v="75"/>
  </r>
  <r>
    <x v="0"/>
    <x v="3"/>
    <x v="1"/>
    <n v="9579964000291"/>
    <x v="651"/>
    <s v="CURITIBA"/>
    <s v="PR"/>
    <x v="4"/>
    <s v="RAFAEL ESTEVES (RJ/SPI/SUL)"/>
    <n v="70"/>
    <x v="0"/>
    <s v="HOSPITAL GERAL DE CURITIBA - CURITIBA - PR - 09.579.964/0002-91"/>
    <n v="1840"/>
  </r>
  <r>
    <x v="0"/>
    <x v="3"/>
    <x v="1"/>
    <n v="29435005005600"/>
    <x v="652"/>
    <s v="CURITIBA"/>
    <s v="PR"/>
    <x v="4"/>
    <s v="RAFAEL ESTEVES (RJ/SPI/SUL)"/>
    <n v="70"/>
    <x v="0"/>
    <s v="HOSPITAL VITORIA - CURITIBA - PR - 29.435.005/0056-00"/>
    <n v="310"/>
  </r>
  <r>
    <x v="0"/>
    <x v="3"/>
    <x v="1"/>
    <n v="30117769000155"/>
    <x v="653"/>
    <s v="CURITIBA"/>
    <s v="PR"/>
    <x v="4"/>
    <s v="RAFAEL ESTEVES (RJ/SPI/SUL)"/>
    <n v="70"/>
    <x v="0"/>
    <s v="ONIX MATEUS LEME - CURITIBA - PR - 30.117.769/0001-55"/>
    <n v="350"/>
  </r>
  <r>
    <x v="0"/>
    <x v="3"/>
    <x v="1"/>
    <n v="76498013000102"/>
    <x v="656"/>
    <s v="CURITIBA"/>
    <s v="PR"/>
    <x v="4"/>
    <s v="RAFAEL ESTEVES (RJ/SPI/SUL)"/>
    <n v="70"/>
    <x v="0"/>
    <s v="HOSPITAL NOSSA SENHORA DO PILAR LTDA - CURITIBA - PR - 76.498.013/0001-02"/>
    <n v="175"/>
  </r>
  <r>
    <x v="0"/>
    <x v="3"/>
    <x v="1"/>
    <n v="76555069000143"/>
    <x v="510"/>
    <s v="CURITIBA"/>
    <s v="PR"/>
    <x v="4"/>
    <s v="RAFAEL ESTEVES (RJ/SPI/SUL)"/>
    <n v="70"/>
    <x v="0"/>
    <s v="HOSPITAL SANTA CRUZ SOCIEDADE ANONIMA - CURITIBA - PR - 76.555.069/0001-43"/>
    <n v="55"/>
  </r>
  <r>
    <x v="0"/>
    <x v="3"/>
    <x v="1"/>
    <n v="76591569000130"/>
    <x v="511"/>
    <s v="CURITIBA"/>
    <s v="PR"/>
    <x v="4"/>
    <s v="RAFAEL ESTEVES (RJ/SPI/SUL)"/>
    <n v="70"/>
    <x v="0"/>
    <s v="HOSPITAL INFANTIL PEQUENO PRINCIPE - CURITIBA - PR - 76.591.569/0001-30"/>
    <n v="500"/>
  </r>
  <r>
    <x v="0"/>
    <x v="3"/>
    <x v="1"/>
    <n v="76659820002367"/>
    <x v="655"/>
    <s v="CURITIBA"/>
    <s v="PR"/>
    <x v="4"/>
    <s v="RAFAEL ESTEVES (RJ/SPI/SUL)"/>
    <n v="70"/>
    <x v="0"/>
    <s v="HOSPITAL MARCELINO CHAMPAGNAT - CURITIBA - PR - 76.659.820/0023-67"/>
    <n v="245"/>
  </r>
  <r>
    <x v="0"/>
    <x v="4"/>
    <x v="1"/>
    <n v="3850913000195"/>
    <x v="649"/>
    <s v="CURITIBA"/>
    <s v="PR"/>
    <x v="4"/>
    <s v="RAFAEL ESTEVES (RJ/SPI/SUL)"/>
    <n v="70"/>
    <x v="0"/>
    <s v="INSTITUTO DE HEMATOLOGIA E ONCOLOGIA CURITIBA - CURITIBA - PR - 03.850.913/0001-95"/>
    <n v="630"/>
  </r>
  <r>
    <x v="0"/>
    <x v="4"/>
    <x v="1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65"/>
  </r>
  <r>
    <x v="0"/>
    <x v="4"/>
    <x v="1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3000"/>
  </r>
  <r>
    <x v="0"/>
    <x v="4"/>
    <x v="1"/>
    <n v="29435005005600"/>
    <x v="652"/>
    <s v="CURITIBA"/>
    <s v="PR"/>
    <x v="4"/>
    <s v="RAFAEL ESTEVES (RJ/SPI/SUL)"/>
    <n v="70"/>
    <x v="0"/>
    <s v="HOSPITAL VITORIA - CURITIBA - PR - 29.435.005/0056-00"/>
    <n v="55"/>
  </r>
  <r>
    <x v="0"/>
    <x v="4"/>
    <x v="1"/>
    <n v="75055772002254"/>
    <x v="544"/>
    <s v="CURITIBA"/>
    <s v="PR"/>
    <x v="4"/>
    <s v="RAFAEL ESTEVES (RJ/SPI/SUL)"/>
    <n v="70"/>
    <x v="0"/>
    <s v="UNIMED CURITIBA - UNIDADE PADRE GERMANO MAYER - CURITIBA - PR - 75.055.772/0022-54"/>
    <n v="120"/>
  </r>
  <r>
    <x v="0"/>
    <x v="4"/>
    <x v="1"/>
    <n v="76498013000102"/>
    <x v="656"/>
    <s v="CURITIBA"/>
    <s v="PR"/>
    <x v="4"/>
    <s v="RAFAEL ESTEVES (RJ/SPI/SUL)"/>
    <n v="70"/>
    <x v="0"/>
    <s v="HOSPITAL NOSSA SENHORA DO PILAR LTDA - CURITIBA - PR - 76.498.013/0001-02"/>
    <n v="150"/>
  </r>
  <r>
    <x v="0"/>
    <x v="4"/>
    <x v="1"/>
    <n v="76555069000143"/>
    <x v="510"/>
    <s v="CURITIBA"/>
    <s v="PR"/>
    <x v="4"/>
    <s v="RAFAEL ESTEVES (RJ/SPI/SUL)"/>
    <n v="70"/>
    <x v="0"/>
    <s v="HOSPITAL SANTA CRUZ SOCIEDADE ANONIMA - CURITIBA - PR - 76.555.069/0001-43"/>
    <n v="95"/>
  </r>
  <r>
    <x v="0"/>
    <x v="4"/>
    <x v="1"/>
    <n v="76591569000130"/>
    <x v="511"/>
    <s v="CURITIBA"/>
    <s v="PR"/>
    <x v="4"/>
    <s v="RAFAEL ESTEVES (RJ/SPI/SUL)"/>
    <n v="70"/>
    <x v="0"/>
    <s v="HOSPITAL INFANTIL PEQUENO PRINCIPE - CURITIBA - PR - 76.591.569/0001-30"/>
    <n v="375"/>
  </r>
  <r>
    <x v="0"/>
    <x v="4"/>
    <x v="1"/>
    <n v="76659820002367"/>
    <x v="655"/>
    <s v="CURITIBA"/>
    <s v="PR"/>
    <x v="4"/>
    <s v="RAFAEL ESTEVES (RJ/SPI/SUL)"/>
    <n v="70"/>
    <x v="0"/>
    <s v="HOSPITAL MARCELINO CHAMPAGNAT - CURITIBA - PR - 76.659.820/0023-67"/>
    <n v="90"/>
  </r>
  <r>
    <x v="0"/>
    <x v="5"/>
    <x v="1"/>
    <n v="942063000167"/>
    <x v="646"/>
    <s v="CURITIBA"/>
    <s v="PR"/>
    <x v="4"/>
    <s v="RAFAEL ESTEVES (RJ/SPI/SUL)"/>
    <n v="70"/>
    <x v="0"/>
    <s v="HOSPITAL ECOVILLE - CURITIBA - PR - 00.942.063/0001-67"/>
    <n v="400"/>
  </r>
  <r>
    <x v="0"/>
    <x v="5"/>
    <x v="1"/>
    <n v="1269903000135"/>
    <x v="658"/>
    <s v="CURITIBA"/>
    <s v="PR"/>
    <x v="4"/>
    <s v="RAFAEL ESTEVES (RJ/SPI/SUL)"/>
    <n v="70"/>
    <x v="0"/>
    <s v="CLINIVET HOSPITAL VETERINARIO - CURITIBA - PR - PRIVADO - 01.269.903/0001-35"/>
    <n v="10"/>
  </r>
  <r>
    <x v="0"/>
    <x v="5"/>
    <x v="1"/>
    <n v="3850913000195"/>
    <x v="649"/>
    <s v="CURITIBA"/>
    <s v="PR"/>
    <x v="4"/>
    <s v="RAFAEL ESTEVES (RJ/SPI/SUL)"/>
    <n v="70"/>
    <x v="0"/>
    <s v="INSTITUTO DE HEMATOLOGIA E ONCOLOGIA CURITIBA - CURITIBA - PR - 03.850.913/0001-95"/>
    <n v="480"/>
  </r>
  <r>
    <x v="0"/>
    <x v="5"/>
    <x v="1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100"/>
  </r>
  <r>
    <x v="0"/>
    <x v="5"/>
    <x v="1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2000"/>
  </r>
  <r>
    <x v="0"/>
    <x v="5"/>
    <x v="1"/>
    <n v="9579964000291"/>
    <x v="651"/>
    <s v="CURITIBA"/>
    <s v="PR"/>
    <x v="4"/>
    <s v="RAFAEL ESTEVES (RJ/SPI/SUL)"/>
    <n v="70"/>
    <x v="0"/>
    <s v="HOSPITAL GERAL DE CURITIBA - CURITIBA - PR - 09.579.964/0002-91"/>
    <n v="285"/>
  </r>
  <r>
    <x v="0"/>
    <x v="5"/>
    <x v="1"/>
    <n v="30117769000155"/>
    <x v="653"/>
    <s v="CURITIBA"/>
    <s v="PR"/>
    <x v="4"/>
    <s v="RAFAEL ESTEVES (RJ/SPI/SUL)"/>
    <n v="70"/>
    <x v="0"/>
    <s v="ONIX MATEUS LEME - CURITIBA - PR - 30.117.769/0001-55"/>
    <n v="150"/>
  </r>
  <r>
    <x v="0"/>
    <x v="5"/>
    <x v="1"/>
    <n v="31824062000141"/>
    <x v="659"/>
    <s v="CURITIBA"/>
    <s v="PR"/>
    <x v="4"/>
    <s v="RAFAEL ESTEVES (RJ/SPI/SUL)"/>
    <n v="70"/>
    <x v="0"/>
    <s v="CLINICA VETERINARIA NEUROPET - CURITIBA - PR - PRIVADO - 31.824.062/0001-41"/>
    <n v="5"/>
  </r>
  <r>
    <x v="0"/>
    <x v="5"/>
    <x v="1"/>
    <n v="75055772002254"/>
    <x v="544"/>
    <s v="CURITIBA"/>
    <s v="PR"/>
    <x v="4"/>
    <s v="RAFAEL ESTEVES (RJ/SPI/SUL)"/>
    <n v="70"/>
    <x v="0"/>
    <s v="UNIMED CURITIBA - UNIDADE PADRE GERMANO MAYER - CURITIBA - PR - 75.055.772/0022-54"/>
    <n v="70"/>
  </r>
  <r>
    <x v="0"/>
    <x v="5"/>
    <x v="1"/>
    <n v="76555069000143"/>
    <x v="510"/>
    <s v="CURITIBA"/>
    <s v="PR"/>
    <x v="4"/>
    <s v="RAFAEL ESTEVES (RJ/SPI/SUL)"/>
    <n v="70"/>
    <x v="0"/>
    <s v="HOSPITAL SANTA CRUZ SOCIEDADE ANONIMA - CURITIBA - PR - 76.555.069/0001-43"/>
    <n v="110"/>
  </r>
  <r>
    <x v="0"/>
    <x v="5"/>
    <x v="1"/>
    <n v="76591569000130"/>
    <x v="511"/>
    <s v="CURITIBA"/>
    <s v="PR"/>
    <x v="4"/>
    <s v="RAFAEL ESTEVES (RJ/SPI/SUL)"/>
    <n v="70"/>
    <x v="0"/>
    <s v="HOSPITAL INFANTIL PEQUENO PRINCIPE - CURITIBA - PR - 76.591.569/0001-30"/>
    <n v="250"/>
  </r>
  <r>
    <x v="0"/>
    <x v="5"/>
    <x v="1"/>
    <n v="76659820002367"/>
    <x v="655"/>
    <s v="CURITIBA"/>
    <s v="PR"/>
    <x v="4"/>
    <s v="RAFAEL ESTEVES (RJ/SPI/SUL)"/>
    <n v="70"/>
    <x v="0"/>
    <s v="HOSPITAL MARCELINO CHAMPAGNAT - CURITIBA - PR - 76.659.820/0023-67"/>
    <n v="180"/>
  </r>
  <r>
    <x v="0"/>
    <x v="6"/>
    <x v="2"/>
    <n v="942063000167"/>
    <x v="646"/>
    <s v="CURITIBA"/>
    <s v="PR"/>
    <x v="4"/>
    <s v="RAFAEL ESTEVES (RJ/SPI/SUL)"/>
    <n v="70"/>
    <x v="0"/>
    <s v="HOSPITAL ECOVILLE - CURITIBA - PR - 00.942.063/0001-67"/>
    <n v="800"/>
  </r>
  <r>
    <x v="0"/>
    <x v="6"/>
    <x v="2"/>
    <n v="3850913000195"/>
    <x v="649"/>
    <s v="CURITIBA"/>
    <s v="PR"/>
    <x v="4"/>
    <s v="RAFAEL ESTEVES (RJ/SPI/SUL)"/>
    <n v="70"/>
    <x v="0"/>
    <s v="INSTITUTO DE HEMATOLOGIA E ONCOLOGIA CURITIBA - CURITIBA - PR - 03.850.913/0001-95"/>
    <n v="630"/>
  </r>
  <r>
    <x v="0"/>
    <x v="6"/>
    <x v="2"/>
    <n v="7404052000172"/>
    <x v="650"/>
    <s v="CURITIBA"/>
    <s v="PR"/>
    <x v="4"/>
    <s v="RAFAEL ESTEVES (RJ/SPI/SUL)"/>
    <n v="70"/>
    <x v="0"/>
    <s v="CRUZ VERMELHA BRASILEIRA - FILIAL DO ESTADO DO PARANA - CURITIBA - PR - 07.404.052/0001-72"/>
    <n v="245"/>
  </r>
  <r>
    <x v="0"/>
    <x v="6"/>
    <x v="2"/>
    <n v="7734165000136"/>
    <x v="484"/>
    <s v="CURITIBA"/>
    <s v="PR"/>
    <x v="4"/>
    <s v="RAFAEL ESTEVES (RJ/SPI/SUL)"/>
    <n v="70"/>
    <x v="0"/>
    <s v="CIONC - CENTRO INTEGRADO DE ONCOLOGIA DE CURITIBA S/S - CURITIBA - PR - 07.734.165/0001-36"/>
    <n v="2965"/>
  </r>
  <r>
    <x v="0"/>
    <x v="6"/>
    <x v="2"/>
    <n v="9579964000291"/>
    <x v="651"/>
    <s v="CURITIBA"/>
    <s v="PR"/>
    <x v="4"/>
    <s v="RAFAEL ESTEVES (RJ/SPI/SUL)"/>
    <n v="70"/>
    <x v="0"/>
    <s v="HOSPITAL GERAL DE CURITIBA - CURITIBA - PR - 09.579.964/0002-91"/>
    <n v="855"/>
  </r>
  <r>
    <x v="0"/>
    <x v="6"/>
    <x v="2"/>
    <n v="29435005005600"/>
    <x v="652"/>
    <s v="CURITIBA"/>
    <s v="PR"/>
    <x v="4"/>
    <s v="RAFAEL ESTEVES (RJ/SPI/SUL)"/>
    <n v="70"/>
    <x v="0"/>
    <s v="HOSPITAL VITORIA - CURITIBA - PR - 29.435.005/0056-00"/>
    <n v="160"/>
  </r>
  <r>
    <x v="0"/>
    <x v="6"/>
    <x v="2"/>
    <n v="75055772002254"/>
    <x v="544"/>
    <s v="CURITIBA"/>
    <s v="PR"/>
    <x v="4"/>
    <s v="RAFAEL ESTEVES (RJ/SPI/SUL)"/>
    <n v="70"/>
    <x v="0"/>
    <s v="UNIMED CURITIBA - UNIDADE PADRE GERMANO MAYER - CURITIBA - PR - 75.055.772/0022-54"/>
    <n v="120"/>
  </r>
  <r>
    <x v="0"/>
    <x v="6"/>
    <x v="2"/>
    <n v="76555069000143"/>
    <x v="510"/>
    <s v="CURITIBA"/>
    <s v="PR"/>
    <x v="4"/>
    <s v="RAFAEL ESTEVES (RJ/SPI/SUL)"/>
    <n v="70"/>
    <x v="0"/>
    <s v="HOSPITAL SANTA CRUZ SOCIEDADE ANONIMA - CURITIBA - PR - 76.555.069/0001-43"/>
    <n v="95"/>
  </r>
  <r>
    <x v="0"/>
    <x v="6"/>
    <x v="2"/>
    <n v="76591569000130"/>
    <x v="511"/>
    <s v="CURITIBA"/>
    <s v="PR"/>
    <x v="4"/>
    <s v="RAFAEL ESTEVES (RJ/SPI/SUL)"/>
    <n v="70"/>
    <x v="0"/>
    <s v="HOSPITAL INFANTIL PEQUENO PRINCIPE - CURITIBA - PR - 76.591.569/0001-30"/>
    <n v="750"/>
  </r>
  <r>
    <x v="0"/>
    <x v="6"/>
    <x v="2"/>
    <n v="76659820002367"/>
    <x v="655"/>
    <s v="CURITIBA"/>
    <s v="PR"/>
    <x v="4"/>
    <s v="RAFAEL ESTEVES (RJ/SPI/SUL)"/>
    <n v="70"/>
    <x v="0"/>
    <s v="HOSPITAL MARCELINO CHAMPAGNAT - CURITIBA - PR - 76.659.820/0023-67"/>
    <n v="90"/>
  </r>
  <r>
    <x v="0"/>
    <x v="0"/>
    <x v="0"/>
    <n v="11114987760"/>
    <x v="660"/>
    <s v="RIO DE JANEIRO"/>
    <s v="RJ"/>
    <x v="4"/>
    <s v="RAFAEL ESTEVES (RJ/SPI/SUL)"/>
    <n v="70"/>
    <x v="0"/>
    <s v="MARIA BEATRIZ DE SOUZA MOREIRA - RIO DE JANEIRO - RJ - 111.149.877-60"/>
    <n v="15"/>
  </r>
  <r>
    <x v="0"/>
    <x v="0"/>
    <x v="0"/>
    <n v="394544020291"/>
    <x v="661"/>
    <s v="RIO DE JANEIRO"/>
    <s v="RJ"/>
    <x v="4"/>
    <s v="RAFAEL ESTEVES (RJ/SPI/SUL)"/>
    <n v="64"/>
    <x v="2"/>
    <s v="HOSPITAL GERAL DE BONSUCESSO/RJ - RIO DE JANEIRO - RJ - 00.394.544/0202-91"/>
    <n v="60"/>
  </r>
  <r>
    <x v="0"/>
    <x v="0"/>
    <x v="0"/>
    <n v="394544020372"/>
    <x v="662"/>
    <s v="RIO DE JANEIRO"/>
    <s v="RJ"/>
    <x v="4"/>
    <s v="RAFAEL ESTEVES (RJ/SPI/SUL)"/>
    <n v="70"/>
    <x v="0"/>
    <s v="HOSPITAL FEDERAL CARDOSO FONTES - RIO DE JANEIRO - RJ - 00.394.544/0203-72"/>
    <n v="390"/>
  </r>
  <r>
    <x v="0"/>
    <x v="0"/>
    <x v="0"/>
    <n v="394544020453"/>
    <x v="663"/>
    <s v="RIO DE JANEIRO"/>
    <s v="RJ"/>
    <x v="4"/>
    <s v="RAFAEL ESTEVES (RJ/SPI/SUL)"/>
    <n v="70"/>
    <x v="0"/>
    <s v="HOSPITAL DA LAGOA/RJ - RIO DE JANEIRO - RJ - 00.394.544/0204-53"/>
    <n v="600"/>
  </r>
  <r>
    <x v="0"/>
    <x v="0"/>
    <x v="0"/>
    <n v="394544021000"/>
    <x v="664"/>
    <s v="RIO DE JANEIRO"/>
    <s v="RJ"/>
    <x v="4"/>
    <s v="RAFAEL ESTEVES (RJ/SPI/SUL)"/>
    <n v="70"/>
    <x v="0"/>
    <s v="HOSPITAL GERAL DE IPANEMA/RJ - RIO DE JANEIRO - RJ - 00.394.544/0210-00"/>
    <n v="150"/>
  </r>
  <r>
    <x v="0"/>
    <x v="0"/>
    <x v="0"/>
    <n v="394544021344"/>
    <x v="665"/>
    <s v="RIO DE JANEIRO"/>
    <s v="RJ"/>
    <x v="4"/>
    <s v="RAFAEL ESTEVES (RJ/SPI/SUL)"/>
    <n v="62"/>
    <x v="3"/>
    <s v="INSTITUTO NACIONAL DE CARDIOLOGIA - RIO DE JANEIRO - RJ - 00.394.544/0213-44"/>
    <n v="190"/>
  </r>
  <r>
    <x v="0"/>
    <x v="0"/>
    <x v="0"/>
    <n v="394544021344"/>
    <x v="665"/>
    <s v="RIO DE JANEIRO"/>
    <s v="RJ"/>
    <x v="4"/>
    <s v="RAFAEL ESTEVES (RJ/SPI/SUL)"/>
    <n v="64"/>
    <x v="2"/>
    <s v="INSTITUTO NACIONAL DE CARDIOLOGIA - RIO DE JANEIRO - RJ - 00.394.544/0213-44"/>
    <n v="70"/>
  </r>
  <r>
    <x v="0"/>
    <x v="1"/>
    <x v="0"/>
    <n v="394502014870"/>
    <x v="666"/>
    <s v="RIO DE JANEIRO"/>
    <s v="RJ"/>
    <x v="4"/>
    <s v="RAFAEL ESTEVES (RJ/SPI/SUL)"/>
    <n v="64"/>
    <x v="2"/>
    <s v="HOSPITAL NAVAL MARCILIO DIAS - RIO DE JANEIRO - RJ - 00.394.502/0148-70"/>
    <n v="10"/>
  </r>
  <r>
    <x v="0"/>
    <x v="1"/>
    <x v="0"/>
    <n v="394544017150"/>
    <x v="667"/>
    <s v="RIO DE JANEIRO"/>
    <s v="RJ"/>
    <x v="4"/>
    <s v="RAFAEL ESTEVES (RJ/SPI/SUL)"/>
    <n v="64"/>
    <x v="2"/>
    <s v="INSTITUTO NACIONAL DE CANCER - RIO DE JANEIRO - RJ - 00.394.544/0171-50"/>
    <n v="20"/>
  </r>
  <r>
    <x v="0"/>
    <x v="0"/>
    <x v="0"/>
    <n v="2284062000521"/>
    <x v="668"/>
    <s v="RIO DE JANEIRO"/>
    <s v="RJ"/>
    <x v="4"/>
    <s v="RAFAEL ESTEVES (RJ/SPI/SUL)"/>
    <n v="62"/>
    <x v="3"/>
    <s v="HOSPITAL BARRA DOR (REDE DOR) - RIO DE JANEIRO - RJ - 02.284.062/0005-21"/>
    <n v="1"/>
  </r>
  <r>
    <x v="0"/>
    <x v="0"/>
    <x v="0"/>
    <n v="2284062000521"/>
    <x v="668"/>
    <s v="RIO DE JANEIRO"/>
    <s v="RJ"/>
    <x v="4"/>
    <s v="RAFAEL ESTEVES (RJ/SPI/SUL)"/>
    <n v="64"/>
    <x v="2"/>
    <s v="HOSPITAL BARRA DOR (REDE DOR) - RIO DE JANEIRO - RJ - 02.284.062/0005-21"/>
    <n v="8"/>
  </r>
  <r>
    <x v="0"/>
    <x v="1"/>
    <x v="0"/>
    <n v="2284062000521"/>
    <x v="668"/>
    <s v="RIO DE JANEIRO"/>
    <s v="RJ"/>
    <x v="4"/>
    <s v="RAFAEL ESTEVES (RJ/SPI/SUL)"/>
    <n v="62"/>
    <x v="3"/>
    <s v="HOSPITAL BARRA DOR (REDE DOR) - RIO DE JANEIRO - RJ - 02.284.062/0005-21"/>
    <n v="3"/>
  </r>
  <r>
    <x v="0"/>
    <x v="1"/>
    <x v="0"/>
    <n v="2284062000521"/>
    <x v="668"/>
    <s v="RIO DE JANEIRO"/>
    <s v="RJ"/>
    <x v="4"/>
    <s v="RAFAEL ESTEVES (RJ/SPI/SUL)"/>
    <n v="64"/>
    <x v="2"/>
    <s v="HOSPITAL BARRA DOR (REDE DOR) - RIO DE JANEIRO - RJ - 02.284.062/0005-21"/>
    <n v="22"/>
  </r>
  <r>
    <x v="0"/>
    <x v="0"/>
    <x v="0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315"/>
  </r>
  <r>
    <x v="0"/>
    <x v="1"/>
    <x v="0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150"/>
  </r>
  <r>
    <x v="0"/>
    <x v="0"/>
    <x v="0"/>
    <n v="6047087000996"/>
    <x v="670"/>
    <s v="RIO DE JANEIRO"/>
    <s v="RJ"/>
    <x v="4"/>
    <s v="RAFAEL ESTEVES (RJ/SPI/SUL)"/>
    <n v="62"/>
    <x v="3"/>
    <s v="HOSPITAL COPA DOR (REDE DOR) - RIO DE JANEIRO - RJ - 06.047.087/0009-96"/>
    <n v="20"/>
  </r>
  <r>
    <x v="0"/>
    <x v="0"/>
    <x v="0"/>
    <n v="6047087000996"/>
    <x v="670"/>
    <s v="RIO DE JANEIRO"/>
    <s v="RJ"/>
    <x v="4"/>
    <s v="RAFAEL ESTEVES (RJ/SPI/SUL)"/>
    <n v="64"/>
    <x v="2"/>
    <s v="HOSPITAL COPA DOR (REDE DOR) - RIO DE JANEIRO - RJ - 06.047.087/0009-96"/>
    <n v="30"/>
  </r>
  <r>
    <x v="0"/>
    <x v="1"/>
    <x v="0"/>
    <n v="6047087000996"/>
    <x v="670"/>
    <s v="RIO DE JANEIRO"/>
    <s v="RJ"/>
    <x v="4"/>
    <s v="RAFAEL ESTEVES (RJ/SPI/SUL)"/>
    <n v="62"/>
    <x v="3"/>
    <s v="HOSPITAL COPA DOR (REDE DOR) - RIO DE JANEIRO - RJ - 06.047.087/0009-96"/>
    <n v="10"/>
  </r>
  <r>
    <x v="0"/>
    <x v="1"/>
    <x v="0"/>
    <n v="6047087000996"/>
    <x v="670"/>
    <s v="RIO DE JANEIRO"/>
    <s v="RJ"/>
    <x v="4"/>
    <s v="RAFAEL ESTEVES (RJ/SPI/SUL)"/>
    <n v="64"/>
    <x v="2"/>
    <s v="HOSPITAL COPA DOR (REDE DOR) - RIO DE JANEIRO - RJ - 06.047.087/0009-96"/>
    <n v="15"/>
  </r>
  <r>
    <x v="0"/>
    <x v="0"/>
    <x v="0"/>
    <n v="6047087001020"/>
    <x v="671"/>
    <s v="RIO DE JANEIRO"/>
    <s v="RJ"/>
    <x v="4"/>
    <s v="RAFAEL ESTEVES (RJ/SPI/SUL)"/>
    <n v="62"/>
    <x v="3"/>
    <s v="HOSPITAL QUINTA DOR (REDE DOR) - RIO DE JANEIRO - RJ - 06.047.087/0010-20"/>
    <n v="100"/>
  </r>
  <r>
    <x v="0"/>
    <x v="0"/>
    <x v="0"/>
    <n v="6047087001020"/>
    <x v="671"/>
    <s v="RIO DE JANEIRO"/>
    <s v="RJ"/>
    <x v="4"/>
    <s v="RAFAEL ESTEVES (RJ/SPI/SUL)"/>
    <n v="64"/>
    <x v="2"/>
    <s v="HOSPITAL QUINTA DOR (REDE DOR) - RIO DE JANEIRO - RJ - 06.047.087/0010-20"/>
    <n v="80"/>
  </r>
  <r>
    <x v="0"/>
    <x v="1"/>
    <x v="0"/>
    <n v="6047087001020"/>
    <x v="671"/>
    <s v="RIO DE JANEIRO"/>
    <s v="RJ"/>
    <x v="4"/>
    <s v="RAFAEL ESTEVES (RJ/SPI/SUL)"/>
    <n v="62"/>
    <x v="3"/>
    <s v="HOSPITAL QUINTA DOR (REDE DOR) - RIO DE JANEIRO - RJ - 06.047.087/0010-20"/>
    <n v="120"/>
  </r>
  <r>
    <x v="0"/>
    <x v="1"/>
    <x v="0"/>
    <n v="6047087001020"/>
    <x v="671"/>
    <s v="RIO DE JANEIRO"/>
    <s v="RJ"/>
    <x v="4"/>
    <s v="RAFAEL ESTEVES (RJ/SPI/SUL)"/>
    <n v="64"/>
    <x v="2"/>
    <s v="HOSPITAL QUINTA DOR (REDE DOR) - RIO DE JANEIRO - RJ - 06.047.087/0010-20"/>
    <n v="55"/>
  </r>
  <r>
    <x v="0"/>
    <x v="0"/>
    <x v="0"/>
    <n v="6047087002697"/>
    <x v="672"/>
    <s v="RIO DE JANEIRO"/>
    <s v="RJ"/>
    <x v="4"/>
    <s v="RAFAEL ESTEVES (RJ/SPI/SUL)"/>
    <n v="62"/>
    <x v="3"/>
    <s v="HOSPITAL COPA DOR STAR (REDE DOR) - RIO DE JANEIRO - RJ - 06.047.087/0026-97"/>
    <n v="14"/>
  </r>
  <r>
    <x v="0"/>
    <x v="0"/>
    <x v="0"/>
    <n v="6047087002697"/>
    <x v="672"/>
    <s v="RIO DE JANEIRO"/>
    <s v="RJ"/>
    <x v="4"/>
    <s v="RAFAEL ESTEVES (RJ/SPI/SUL)"/>
    <n v="64"/>
    <x v="2"/>
    <s v="HOSPITAL COPA DOR STAR (REDE DOR) - RIO DE JANEIRO - RJ - 06.047.087/0026-97"/>
    <n v="8"/>
  </r>
  <r>
    <x v="0"/>
    <x v="1"/>
    <x v="0"/>
    <n v="6047087002697"/>
    <x v="672"/>
    <s v="RIO DE JANEIRO"/>
    <s v="RJ"/>
    <x v="4"/>
    <s v="RAFAEL ESTEVES (RJ/SPI/SUL)"/>
    <n v="62"/>
    <x v="3"/>
    <s v="HOSPITAL COPA DOR STAR (REDE DOR) - RIO DE JANEIRO - RJ - 06.047.087/0026-97"/>
    <n v="9"/>
  </r>
  <r>
    <x v="0"/>
    <x v="1"/>
    <x v="0"/>
    <n v="6047087002697"/>
    <x v="672"/>
    <s v="RIO DE JANEIRO"/>
    <s v="RJ"/>
    <x v="4"/>
    <s v="RAFAEL ESTEVES (RJ/SPI/SUL)"/>
    <n v="70"/>
    <x v="0"/>
    <s v="HOSPITAL COPA DOR STAR (REDE DOR) - RIO DE JANEIRO - RJ - 06.047.087/0026-97"/>
    <n v="75"/>
  </r>
  <r>
    <x v="0"/>
    <x v="0"/>
    <x v="0"/>
    <n v="6047087003316"/>
    <x v="673"/>
    <s v="RIO DE JANEIRO"/>
    <s v="RJ"/>
    <x v="4"/>
    <s v="RAFAEL ESTEVES (RJ/SPI/SUL)"/>
    <n v="62"/>
    <x v="3"/>
    <s v="HOSPITAL OESTE DOR (REDE DOR) - RIO DE JANEIRO - RJ - 06.047.087/0033-16"/>
    <n v="1"/>
  </r>
  <r>
    <x v="0"/>
    <x v="0"/>
    <x v="0"/>
    <n v="6047087003316"/>
    <x v="673"/>
    <s v="RIO DE JANEIRO"/>
    <s v="RJ"/>
    <x v="4"/>
    <s v="RAFAEL ESTEVES (RJ/SPI/SUL)"/>
    <n v="64"/>
    <x v="2"/>
    <s v="HOSPITAL OESTE DOR (REDE DOR) - RIO DE JANEIRO - RJ - 06.047.087/0033-16"/>
    <n v="3"/>
  </r>
  <r>
    <x v="0"/>
    <x v="0"/>
    <x v="0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1850"/>
  </r>
  <r>
    <x v="0"/>
    <x v="1"/>
    <x v="0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700"/>
  </r>
  <r>
    <x v="0"/>
    <x v="0"/>
    <x v="0"/>
    <n v="8100676002102"/>
    <x v="675"/>
    <s v="RIO DE JANEIRO"/>
    <s v="RJ"/>
    <x v="4"/>
    <s v="RAFAEL ESTEVES (RJ/SPI/SUL)"/>
    <n v="62"/>
    <x v="3"/>
    <s v="HOSPITAL SAMARITANO - RIO DE JANEIRO - RJ - 08.100.676/0021-02"/>
    <n v="19"/>
  </r>
  <r>
    <x v="0"/>
    <x v="0"/>
    <x v="0"/>
    <n v="8100676002102"/>
    <x v="675"/>
    <s v="RIO DE JANEIRO"/>
    <s v="RJ"/>
    <x v="4"/>
    <s v="RAFAEL ESTEVES (RJ/SPI/SUL)"/>
    <n v="64"/>
    <x v="2"/>
    <s v="HOSPITAL SAMARITANO - RIO DE JANEIRO - RJ - 08.100.676/0021-02"/>
    <n v="31"/>
  </r>
  <r>
    <x v="0"/>
    <x v="1"/>
    <x v="0"/>
    <n v="8100676002102"/>
    <x v="675"/>
    <s v="RIO DE JANEIRO"/>
    <s v="RJ"/>
    <x v="4"/>
    <s v="RAFAEL ESTEVES (RJ/SPI/SUL)"/>
    <n v="64"/>
    <x v="2"/>
    <s v="HOSPITAL SAMARITANO - RIO DE JANEIRO - RJ - 08.100.676/0021-02"/>
    <n v="30"/>
  </r>
  <r>
    <x v="0"/>
    <x v="1"/>
    <x v="0"/>
    <n v="8100676002102"/>
    <x v="675"/>
    <s v="RIO DE JANEIRO"/>
    <s v="RJ"/>
    <x v="4"/>
    <s v="RAFAEL ESTEVES (RJ/SPI/SUL)"/>
    <n v="70"/>
    <x v="0"/>
    <s v="HOSPITAL SAMARITANO - RIO DE JANEIRO - RJ - 08.100.676/0021-02"/>
    <n v="400"/>
  </r>
  <r>
    <x v="0"/>
    <x v="0"/>
    <x v="0"/>
    <n v="8850962000222"/>
    <x v="676"/>
    <s v="RIO DE JANEIRO"/>
    <s v="RJ"/>
    <x v="4"/>
    <s v="RAFAEL ESTEVES (RJ/SPI/SUL)"/>
    <n v="62"/>
    <x v="3"/>
    <s v="INSTITUTO DOR DE GESTAO DE SAUDE PUBLICA (REDE DOR) - RIO DE JANEIRO - RJ - 08.850.962/0002-22"/>
    <n v="1"/>
  </r>
  <r>
    <x v="0"/>
    <x v="0"/>
    <x v="0"/>
    <n v="8850962000222"/>
    <x v="676"/>
    <s v="RIO DE JANEIRO"/>
    <s v="RJ"/>
    <x v="4"/>
    <s v="RAFAEL ESTEVES (RJ/SPI/SUL)"/>
    <n v="64"/>
    <x v="2"/>
    <s v="INSTITUTO DOR DE GESTAO DE SAUDE PUBLICA (REDE DOR) - RIO DE JANEIRO - RJ - 08.850.962/0002-22"/>
    <n v="1"/>
  </r>
  <r>
    <x v="0"/>
    <x v="1"/>
    <x v="0"/>
    <n v="8850962000222"/>
    <x v="676"/>
    <s v="RIO DE JANEIRO"/>
    <s v="RJ"/>
    <x v="4"/>
    <s v="RAFAEL ESTEVES (RJ/SPI/SUL)"/>
    <n v="62"/>
    <x v="3"/>
    <s v="INSTITUTO DOR DE GESTAO DE SAUDE PUBLICA (REDE DOR) - RIO DE JANEIRO - RJ - 08.850.962/0002-22"/>
    <n v="16"/>
  </r>
  <r>
    <x v="0"/>
    <x v="1"/>
    <x v="0"/>
    <n v="8850962000222"/>
    <x v="676"/>
    <s v="RIO DE JANEIRO"/>
    <s v="RJ"/>
    <x v="4"/>
    <s v="RAFAEL ESTEVES (RJ/SPI/SUL)"/>
    <n v="64"/>
    <x v="2"/>
    <s v="INSTITUTO DOR DE GESTAO DE SAUDE PUBLICA (REDE DOR) - RIO DE JANEIRO - RJ - 08.850.962/0002-22"/>
    <n v="16"/>
  </r>
  <r>
    <x v="0"/>
    <x v="0"/>
    <x v="0"/>
    <n v="9219138000584"/>
    <x v="677"/>
    <s v="RIO DE JANEIRO"/>
    <s v="RJ"/>
    <x v="4"/>
    <s v="RAFAEL ESTEVES (RJ/SPI/SUL)"/>
    <n v="62"/>
    <x v="3"/>
    <s v="UNIMED-RIO EMPREENDIMENTOS MEDICOS E HOSPITALARES LTDA - RIO DE JANEIRO - RJ - 09.219.138/0005-84"/>
    <n v="4"/>
  </r>
  <r>
    <x v="0"/>
    <x v="0"/>
    <x v="0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420"/>
  </r>
  <r>
    <x v="0"/>
    <x v="0"/>
    <x v="0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84"/>
  </r>
  <r>
    <x v="0"/>
    <x v="1"/>
    <x v="0"/>
    <n v="9219138000584"/>
    <x v="677"/>
    <s v="RIO DE JANEIRO"/>
    <s v="RJ"/>
    <x v="4"/>
    <s v="RAFAEL ESTEVES (RJ/SPI/SUL)"/>
    <n v="64"/>
    <x v="2"/>
    <s v="UNIMED-RIO EMPREENDIMENTOS MEDICOS E HOSPITALARES LTDA - RIO DE JANEIRO - RJ - 09.219.138/0005-84"/>
    <n v="4"/>
  </r>
  <r>
    <x v="0"/>
    <x v="1"/>
    <x v="0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670"/>
  </r>
  <r>
    <x v="0"/>
    <x v="1"/>
    <x v="0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88"/>
  </r>
  <r>
    <x v="0"/>
    <x v="0"/>
    <x v="0"/>
    <n v="9578217000158"/>
    <x v="678"/>
    <s v="RIO DE JANEIRO"/>
    <s v="RJ"/>
    <x v="4"/>
    <s v="RAFAEL ESTEVES (RJ/SPI/SUL)"/>
    <n v="62"/>
    <x v="3"/>
    <s v="HOSPITAL NORTE DOR DE CASCADURA S.A (REDE DOR) - RIO DE JANEIRO - RJ - 09.578.217/0001-58"/>
    <n v="4"/>
  </r>
  <r>
    <x v="0"/>
    <x v="0"/>
    <x v="0"/>
    <n v="9578217000158"/>
    <x v="678"/>
    <s v="RIO DE JANEIRO"/>
    <s v="RJ"/>
    <x v="4"/>
    <s v="RAFAEL ESTEVES (RJ/SPI/SUL)"/>
    <n v="64"/>
    <x v="2"/>
    <s v="HOSPITAL NORTE DOR DE CASCADURA S.A (REDE DOR) - RIO DE JANEIRO - RJ - 09.578.217/0001-58"/>
    <n v="3"/>
  </r>
  <r>
    <x v="0"/>
    <x v="1"/>
    <x v="0"/>
    <n v="9578217000158"/>
    <x v="678"/>
    <s v="RIO DE JANEIRO"/>
    <s v="RJ"/>
    <x v="4"/>
    <s v="RAFAEL ESTEVES (RJ/SPI/SUL)"/>
    <n v="62"/>
    <x v="3"/>
    <s v="HOSPITAL NORTE DOR DE CASCADURA S.A (REDE DOR) - RIO DE JANEIRO - RJ - 09.578.217/0001-58"/>
    <n v="3"/>
  </r>
  <r>
    <x v="0"/>
    <x v="1"/>
    <x v="0"/>
    <n v="9578217000158"/>
    <x v="678"/>
    <s v="RIO DE JANEIRO"/>
    <s v="RJ"/>
    <x v="4"/>
    <s v="RAFAEL ESTEVES (RJ/SPI/SUL)"/>
    <n v="64"/>
    <x v="2"/>
    <s v="HOSPITAL NORTE DOR DE CASCADURA S.A (REDE DOR) - RIO DE JANEIRO - RJ - 09.578.217/0001-58"/>
    <n v="4"/>
  </r>
  <r>
    <x v="0"/>
    <x v="0"/>
    <x v="0"/>
    <n v="9609235000230"/>
    <x v="679"/>
    <s v="RIO DE JANEIRO"/>
    <s v="RJ"/>
    <x v="4"/>
    <s v="RAFAEL ESTEVES (RJ/SPI/SUL)"/>
    <n v="70"/>
    <x v="0"/>
    <s v="HOSPITAL CENTRALDO EXERCITO - RIO DE JANEIRO - RJ - 09.609.235/0002-30"/>
    <n v="450"/>
  </r>
  <r>
    <x v="0"/>
    <x v="0"/>
    <x v="0"/>
    <n v="11279865000155"/>
    <x v="680"/>
    <s v="RIO DE JANEIRO"/>
    <s v="RJ"/>
    <x v="4"/>
    <s v="RAFAEL ESTEVES (RJ/SPI/SUL)"/>
    <n v="64"/>
    <x v="2"/>
    <s v="HOSPITAL CASA DE PORTUGAL - RIO DE JANEIRO - RJ - 11.279.865/0001-55"/>
    <n v="8"/>
  </r>
  <r>
    <x v="0"/>
    <x v="0"/>
    <x v="0"/>
    <n v="18010750000100"/>
    <x v="681"/>
    <s v="RIO DE JANEIRO"/>
    <s v="RJ"/>
    <x v="4"/>
    <s v="RAFAEL ESTEVES (RJ/SPI/SUL)"/>
    <n v="70"/>
    <x v="0"/>
    <s v="HOSPITAL SAO VICENTE DE PAULO - RIO DE JANEIRO - RJ - 18.010.750/0001-00"/>
    <n v="150"/>
  </r>
  <r>
    <x v="0"/>
    <x v="1"/>
    <x v="0"/>
    <n v="18010750000100"/>
    <x v="681"/>
    <s v="RIO DE JANEIRO"/>
    <s v="RJ"/>
    <x v="4"/>
    <s v="RAFAEL ESTEVES (RJ/SPI/SUL)"/>
    <n v="70"/>
    <x v="0"/>
    <s v="HOSPITAL SAO VICENTE DE PAULO - RIO DE JANEIRO - RJ - 18.010.750/0001-00"/>
    <n v="265"/>
  </r>
  <r>
    <x v="0"/>
    <x v="0"/>
    <x v="0"/>
    <n v="21109731000140"/>
    <x v="682"/>
    <s v="RIO DE JANEIRO"/>
    <s v="RJ"/>
    <x v="4"/>
    <s v="RAFAEL ESTEVES (RJ/SPI/SUL)"/>
    <n v="73"/>
    <x v="1"/>
    <s v="BRASIF S/A ADMINISTRACAO E PARTICIPACOES - RIO DE JANEIRO - RJ - 21.109.731/0001-40"/>
    <n v="112"/>
  </r>
  <r>
    <x v="0"/>
    <x v="0"/>
    <x v="0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6"/>
  </r>
  <r>
    <x v="0"/>
    <x v="1"/>
    <x v="0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6"/>
  </r>
  <r>
    <x v="0"/>
    <x v="0"/>
    <x v="0"/>
    <n v="24217779000160"/>
    <x v="684"/>
    <s v="RIO DE JANEIRO"/>
    <s v="RJ"/>
    <x v="4"/>
    <s v="RAFAEL ESTEVES (RJ/SPI/SUL)"/>
    <n v="64"/>
    <x v="2"/>
    <s v="HOSPITAL CASA ARRENDATARIA SERVICOS MEDICOS HOSPITALARES E INVESTIMENTOS LTDA - RIO DE JANEIRO - RJ - 24.217.779/0001-60"/>
    <n v="6"/>
  </r>
  <r>
    <x v="0"/>
    <x v="1"/>
    <x v="0"/>
    <n v="24217779000160"/>
    <x v="684"/>
    <s v="RIO DE JANEIRO"/>
    <s v="RJ"/>
    <x v="4"/>
    <s v="RAFAEL ESTEVES (RJ/SPI/SUL)"/>
    <n v="64"/>
    <x v="2"/>
    <s v="HOSPITAL CASA ARRENDATARIA SERVICOS MEDICOS HOSPITALARES E INVESTIMENTOS LTDA - RIO DE JANEIRO - RJ - 24.217.779/0001-60"/>
    <n v="4"/>
  </r>
  <r>
    <x v="0"/>
    <x v="0"/>
    <x v="0"/>
    <n v="27901222000131"/>
    <x v="685"/>
    <s v="RIO DE JANEIRO"/>
    <s v="RJ"/>
    <x v="4"/>
    <s v="RAFAEL ESTEVES (RJ/SPI/SUL)"/>
    <n v="62"/>
    <x v="3"/>
    <s v="HOSPITAL DR. BADIM (REDE DOR) - RIO DE JANEIRO - RJ - 27.901.222/0001-31"/>
    <n v="5"/>
  </r>
  <r>
    <x v="0"/>
    <x v="0"/>
    <x v="0"/>
    <n v="28000107000159"/>
    <x v="686"/>
    <s v="RIO DE JANEIRO"/>
    <s v="RJ"/>
    <x v="4"/>
    <s v="RAFAEL ESTEVES (RJ/SPI/SUL)"/>
    <n v="70"/>
    <x v="0"/>
    <s v="ONCOLOGIA REDE DOR S.A. - RIO DE JANEIRO - RJ - 28.000.107/0001-59"/>
    <n v="120"/>
  </r>
  <r>
    <x v="0"/>
    <x v="0"/>
    <x v="0"/>
    <n v="28000107000159"/>
    <x v="686"/>
    <s v="RIO DE JANEIRO"/>
    <s v="RJ"/>
    <x v="4"/>
    <s v="RAFAEL ESTEVES (RJ/SPI/SUL)"/>
    <n v="73"/>
    <x v="1"/>
    <s v="ONCOLOGIA REDE DOR S.A. - RIO DE JANEIRO - RJ - 28.000.107/0001-59"/>
    <n v="150"/>
  </r>
  <r>
    <x v="0"/>
    <x v="1"/>
    <x v="0"/>
    <n v="28000107000159"/>
    <x v="686"/>
    <s v="RIO DE JANEIRO"/>
    <s v="RJ"/>
    <x v="4"/>
    <s v="RAFAEL ESTEVES (RJ/SPI/SUL)"/>
    <n v="70"/>
    <x v="0"/>
    <s v="ONCOLOGIA REDE DOR S.A. - RIO DE JANEIRO - RJ - 28.000.107/0001-59"/>
    <n v="90"/>
  </r>
  <r>
    <x v="0"/>
    <x v="1"/>
    <x v="0"/>
    <n v="28000107000159"/>
    <x v="686"/>
    <s v="RIO DE JANEIRO"/>
    <s v="RJ"/>
    <x v="4"/>
    <s v="RAFAEL ESTEVES (RJ/SPI/SUL)"/>
    <n v="73"/>
    <x v="1"/>
    <s v="ONCOLOGIA REDE DOR S.A. - RIO DE JANEIRO - RJ - 28.000.107/0001-59"/>
    <n v="140"/>
  </r>
  <r>
    <x v="0"/>
    <x v="0"/>
    <x v="0"/>
    <n v="28602407000108"/>
    <x v="687"/>
    <s v="RIO DE JANEIRO"/>
    <s v="RJ"/>
    <x v="4"/>
    <s v="RAFAEL ESTEVES (RJ/SPI/SUL)"/>
    <n v="64"/>
    <x v="2"/>
    <s v="URGIL - RIO DE JANEIRO - RJ - 28.602.407/0001-08"/>
    <n v="1"/>
  </r>
  <r>
    <x v="0"/>
    <x v="1"/>
    <x v="0"/>
    <n v="28602407000108"/>
    <x v="687"/>
    <s v="RIO DE JANEIRO"/>
    <s v="RJ"/>
    <x v="4"/>
    <s v="RAFAEL ESTEVES (RJ/SPI/SUL)"/>
    <n v="73"/>
    <x v="1"/>
    <s v="URGIL - RIO DE JANEIRO - RJ - 28.602.407/0001-08"/>
    <n v="4"/>
  </r>
  <r>
    <x v="0"/>
    <x v="0"/>
    <x v="0"/>
    <n v="29259736000403"/>
    <x v="688"/>
    <s v="RIO DE JANEIRO"/>
    <s v="RJ"/>
    <x v="4"/>
    <s v="RAFAEL ESTEVES (RJ/SPI/SUL)"/>
    <n v="64"/>
    <x v="2"/>
    <s v="HOSPITAL RIOS DOR (REDE DOR) - RIO DE JANEIRO - RJ - 29.259.736/0004-03"/>
    <n v="5"/>
  </r>
  <r>
    <x v="0"/>
    <x v="0"/>
    <x v="0"/>
    <n v="29259736000403"/>
    <x v="688"/>
    <s v="RIO DE JANEIRO"/>
    <s v="RJ"/>
    <x v="4"/>
    <s v="RAFAEL ESTEVES (RJ/SPI/SUL)"/>
    <n v="73"/>
    <x v="1"/>
    <s v="HOSPITAL RIOS DOR (REDE DOR) - RIO DE JANEIRO - RJ - 29.259.736/0004-03"/>
    <n v="40"/>
  </r>
  <r>
    <x v="0"/>
    <x v="1"/>
    <x v="0"/>
    <n v="29259736000403"/>
    <x v="688"/>
    <s v="RIO DE JANEIRO"/>
    <s v="RJ"/>
    <x v="4"/>
    <s v="RAFAEL ESTEVES (RJ/SPI/SUL)"/>
    <n v="62"/>
    <x v="3"/>
    <s v="HOSPITAL RIOS DOR (REDE DOR) - RIO DE JANEIRO - RJ - 29.259.736/0004-03"/>
    <n v="56"/>
  </r>
  <r>
    <x v="0"/>
    <x v="1"/>
    <x v="0"/>
    <n v="29259736000403"/>
    <x v="688"/>
    <s v="RIO DE JANEIRO"/>
    <s v="RJ"/>
    <x v="4"/>
    <s v="RAFAEL ESTEVES (RJ/SPI/SUL)"/>
    <n v="64"/>
    <x v="2"/>
    <s v="HOSPITAL RIOS DOR (REDE DOR) - RIO DE JANEIRO - RJ - 29.259.736/0004-03"/>
    <n v="2"/>
  </r>
  <r>
    <x v="0"/>
    <x v="1"/>
    <x v="0"/>
    <n v="29259736000403"/>
    <x v="688"/>
    <s v="RIO DE JANEIRO"/>
    <s v="RJ"/>
    <x v="4"/>
    <s v="RAFAEL ESTEVES (RJ/SPI/SUL)"/>
    <n v="73"/>
    <x v="1"/>
    <s v="HOSPITAL RIOS DOR (REDE DOR) - RIO DE JANEIRO - RJ - 29.259.736/0004-03"/>
    <n v="16"/>
  </r>
  <r>
    <x v="0"/>
    <x v="0"/>
    <x v="0"/>
    <n v="29435005005198"/>
    <x v="689"/>
    <s v="RIO DE JANEIRO"/>
    <s v="RJ"/>
    <x v="4"/>
    <s v="RAFAEL ESTEVES (RJ/SPI/SUL)"/>
    <n v="62"/>
    <x v="3"/>
    <s v="HOSPITAL PRO-CARDIACO - RIO DE JANEIRO - RJ - 29.435.005/0051-98"/>
    <n v="17"/>
  </r>
  <r>
    <x v="0"/>
    <x v="0"/>
    <x v="0"/>
    <n v="29435005005198"/>
    <x v="689"/>
    <s v="RIO DE JANEIRO"/>
    <s v="RJ"/>
    <x v="4"/>
    <s v="RAFAEL ESTEVES (RJ/SPI/SUL)"/>
    <n v="64"/>
    <x v="2"/>
    <s v="HOSPITAL PRO-CARDIACO - RIO DE JANEIRO - RJ - 29.435.005/0051-98"/>
    <n v="16"/>
  </r>
  <r>
    <x v="0"/>
    <x v="1"/>
    <x v="0"/>
    <n v="29435005005198"/>
    <x v="689"/>
    <s v="RIO DE JANEIRO"/>
    <s v="RJ"/>
    <x v="4"/>
    <s v="RAFAEL ESTEVES (RJ/SPI/SUL)"/>
    <n v="70"/>
    <x v="0"/>
    <s v="HOSPITAL PRO-CARDIACO - RIO DE JANEIRO - RJ - 29.435.005/0051-98"/>
    <n v="200"/>
  </r>
  <r>
    <x v="0"/>
    <x v="0"/>
    <x v="0"/>
    <n v="29435005005783"/>
    <x v="690"/>
    <s v="RIO DE JANEIRO"/>
    <s v="RJ"/>
    <x v="4"/>
    <s v="RAFAEL ESTEVES (RJ/SPI/SUL)"/>
    <n v="70"/>
    <x v="0"/>
    <s v="HOSPITAL PASTEUR - RIO DE JANEIRO - RJ - 29.435.005/0057-83"/>
    <n v="225"/>
  </r>
  <r>
    <x v="0"/>
    <x v="1"/>
    <x v="0"/>
    <n v="29435005005783"/>
    <x v="690"/>
    <s v="RIO DE JANEIRO"/>
    <s v="RJ"/>
    <x v="4"/>
    <s v="RAFAEL ESTEVES (RJ/SPI/SUL)"/>
    <n v="70"/>
    <x v="0"/>
    <s v="HOSPITAL PASTEUR - RIO DE JANEIRO - RJ - 29.435.005/0057-83"/>
    <n v="385"/>
  </r>
  <r>
    <x v="0"/>
    <x v="0"/>
    <x v="0"/>
    <n v="29435005006160"/>
    <x v="691"/>
    <s v="RIO DE JANEIRO"/>
    <s v="RJ"/>
    <x v="4"/>
    <s v="RAFAEL ESTEVES (RJ/SPI/SUL)"/>
    <n v="62"/>
    <x v="3"/>
    <s v="HOSPITAL SAMARITANO - RIO DE JANEIRO - RJ - 29.435.005/0061-60"/>
    <n v="6"/>
  </r>
  <r>
    <x v="0"/>
    <x v="0"/>
    <x v="0"/>
    <n v="29435005006160"/>
    <x v="691"/>
    <s v="RIO DE JANEIRO"/>
    <s v="RJ"/>
    <x v="4"/>
    <s v="RAFAEL ESTEVES (RJ/SPI/SUL)"/>
    <n v="64"/>
    <x v="2"/>
    <s v="HOSPITAL SAMARITANO - RIO DE JANEIRO - RJ - 29.435.005/0061-60"/>
    <n v="5"/>
  </r>
  <r>
    <x v="0"/>
    <x v="0"/>
    <x v="0"/>
    <n v="29435005006160"/>
    <x v="691"/>
    <s v="RIO DE JANEIRO"/>
    <s v="RJ"/>
    <x v="4"/>
    <s v="RAFAEL ESTEVES (RJ/SPI/SUL)"/>
    <n v="70"/>
    <x v="0"/>
    <s v="HOSPITAL SAMARITANO - RIO DE JANEIRO - RJ - 29.435.005/0061-60"/>
    <n v="50"/>
  </r>
  <r>
    <x v="0"/>
    <x v="1"/>
    <x v="0"/>
    <n v="29435005006160"/>
    <x v="691"/>
    <s v="RIO DE JANEIRO"/>
    <s v="RJ"/>
    <x v="4"/>
    <s v="RAFAEL ESTEVES (RJ/SPI/SUL)"/>
    <n v="62"/>
    <x v="3"/>
    <s v="HOSPITAL SAMARITANO - RIO DE JANEIRO - RJ - 29.435.005/0061-60"/>
    <n v="4"/>
  </r>
  <r>
    <x v="0"/>
    <x v="1"/>
    <x v="0"/>
    <n v="29435005006160"/>
    <x v="691"/>
    <s v="RIO DE JANEIRO"/>
    <s v="RJ"/>
    <x v="4"/>
    <s v="RAFAEL ESTEVES (RJ/SPI/SUL)"/>
    <n v="64"/>
    <x v="2"/>
    <s v="HOSPITAL SAMARITANO - RIO DE JANEIRO - RJ - 29.435.005/0061-60"/>
    <n v="14"/>
  </r>
  <r>
    <x v="0"/>
    <x v="0"/>
    <x v="0"/>
    <n v="31635857000101"/>
    <x v="692"/>
    <s v="RIO DE JANEIRO"/>
    <s v="RJ"/>
    <x v="4"/>
    <s v="RAFAEL ESTEVES (RJ/SPI/SUL)"/>
    <n v="62"/>
    <x v="3"/>
    <s v="CLINICA SAO VICENTE (REDE DOR) - RIO DE JANEIRO - RJ - 31.635.857/0001-01"/>
    <n v="1"/>
  </r>
  <r>
    <x v="0"/>
    <x v="0"/>
    <x v="0"/>
    <n v="31635857000292"/>
    <x v="693"/>
    <s v="RIO DE JANEIRO"/>
    <s v="RJ"/>
    <x v="4"/>
    <s v="RAFAEL ESTEVES (RJ/SPI/SUL)"/>
    <n v="62"/>
    <x v="3"/>
    <s v="HOSPITAIS INTEGRADOS DA GAVEA S/A - RIO DE JANEIRO - RJ - 31.635.857/0002-92"/>
    <n v="7"/>
  </r>
  <r>
    <x v="0"/>
    <x v="0"/>
    <x v="0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12"/>
  </r>
  <r>
    <x v="0"/>
    <x v="0"/>
    <x v="0"/>
    <n v="32154700000127"/>
    <x v="694"/>
    <s v="RIO DE JANEIRO"/>
    <s v="RJ"/>
    <x v="4"/>
    <s v="RAFAEL ESTEVES (RJ/SPI/SUL)"/>
    <n v="62"/>
    <x v="3"/>
    <s v="HOSPITAL DE CLINICAS RIO MAR BARRA LTDA - RIO DE JANEIRO - RJ - 32.154.700/0001-27"/>
    <n v="5"/>
  </r>
  <r>
    <x v="0"/>
    <x v="0"/>
    <x v="0"/>
    <n v="32154700000127"/>
    <x v="694"/>
    <s v="RIO DE JANEIRO"/>
    <s v="RJ"/>
    <x v="4"/>
    <s v="RAFAEL ESTEVES (RJ/SPI/SUL)"/>
    <n v="64"/>
    <x v="2"/>
    <s v="HOSPITAL DE CLINICAS RIO MAR BARRA LTDA - RIO DE JANEIRO - RJ - 32.154.700/0001-27"/>
    <n v="8"/>
  </r>
  <r>
    <x v="0"/>
    <x v="0"/>
    <x v="0"/>
    <n v="33000167000101"/>
    <x v="695"/>
    <s v="RIO DE JANEIRO"/>
    <s v="RJ"/>
    <x v="4"/>
    <s v="RAFAEL ESTEVES (RJ/SPI/SUL)"/>
    <n v="70"/>
    <x v="0"/>
    <s v="PETROBRAS - RIO DE JANEIRO - RJ - 33.000.167/0001-01"/>
    <n v="140"/>
  </r>
  <r>
    <x v="0"/>
    <x v="0"/>
    <x v="0"/>
    <n v="33419482000259"/>
    <x v="696"/>
    <s v="RIO DE JANEIRO"/>
    <s v="RJ"/>
    <x v="4"/>
    <s v="RAFAEL ESTEVES (RJ/SPI/SUL)"/>
    <n v="62"/>
    <x v="3"/>
    <s v="LARANJEIRAS CLINICA PERINATAL - RIO DE JANEIRO - RJ - 33.419.482/0002-59"/>
    <n v="11"/>
  </r>
  <r>
    <x v="0"/>
    <x v="0"/>
    <x v="0"/>
    <n v="33419482000259"/>
    <x v="696"/>
    <s v="RIO DE JANEIRO"/>
    <s v="RJ"/>
    <x v="4"/>
    <s v="RAFAEL ESTEVES (RJ/SPI/SUL)"/>
    <n v="64"/>
    <x v="2"/>
    <s v="LARANJEIRAS CLINICA PERINATAL - RIO DE JANEIRO - RJ - 33.419.482/0002-59"/>
    <n v="9"/>
  </r>
  <r>
    <x v="0"/>
    <x v="0"/>
    <x v="0"/>
    <n v="33419482000259"/>
    <x v="696"/>
    <s v="RIO DE JANEIRO"/>
    <s v="RJ"/>
    <x v="4"/>
    <s v="RAFAEL ESTEVES (RJ/SPI/SUL)"/>
    <n v="70"/>
    <x v="0"/>
    <s v="LARANJEIRAS CLINICA PERINATAL - RIO DE JANEIRO - RJ - 33.419.482/0002-59"/>
    <n v="10"/>
  </r>
  <r>
    <x v="0"/>
    <x v="0"/>
    <x v="0"/>
    <n v="33663683002674"/>
    <x v="697"/>
    <s v="RIO DE JANEIRO"/>
    <s v="RJ"/>
    <x v="4"/>
    <s v="RAFAEL ESTEVES (RJ/SPI/SUL)"/>
    <n v="64"/>
    <x v="2"/>
    <s v="INSTITUTO DE PUERICULTURA E PEDIATRIA MARTAGAO GESTEIR - RIO DE JANEIRO - RJ - 33.663.683/0026-74"/>
    <n v="2"/>
  </r>
  <r>
    <x v="0"/>
    <x v="0"/>
    <x v="0"/>
    <n v="33663683005347"/>
    <x v="698"/>
    <s v="RIO DE JANEIRO"/>
    <s v="RJ"/>
    <x v="4"/>
    <s v="RAFAEL ESTEVES (RJ/SPI/SUL)"/>
    <n v="70"/>
    <x v="0"/>
    <s v="HOSPITAL UNIVERSITARIO - RIO DE JANEIRO - RJ - 33.663.683/0053-47"/>
    <n v="800"/>
  </r>
  <r>
    <x v="0"/>
    <x v="0"/>
    <x v="0"/>
    <n v="33781055000216"/>
    <x v="699"/>
    <s v="RIO DE JANEIRO"/>
    <s v="RJ"/>
    <x v="4"/>
    <s v="RAFAEL ESTEVES (RJ/SPI/SUL)"/>
    <n v="70"/>
    <x v="0"/>
    <s v="INSTITUTO FERNANDES FIGUEIRA - RIO DE JANEIRO - RJ - 33.781.055/0002-16"/>
    <n v="270"/>
  </r>
  <r>
    <x v="0"/>
    <x v="0"/>
    <x v="0"/>
    <n v="33927377000140"/>
    <x v="700"/>
    <s v="RIO DE JANEIRO"/>
    <s v="RJ"/>
    <x v="4"/>
    <s v="RAFAEL ESTEVES (RJ/SPI/SUL)"/>
    <n v="70"/>
    <x v="0"/>
    <s v="CENTRO DE ESTUDOS E PESQUISAS 28 - RIO DE JANEIRO - RJ - 33.927.377/0001-40"/>
    <n v="-5"/>
  </r>
  <r>
    <x v="0"/>
    <x v="0"/>
    <x v="0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200"/>
  </r>
  <r>
    <x v="0"/>
    <x v="0"/>
    <x v="0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100"/>
  </r>
  <r>
    <x v="0"/>
    <x v="0"/>
    <x v="0"/>
    <n v="53221255004995"/>
    <x v="702"/>
    <s v="RIO DE JANEIRO"/>
    <s v="RJ"/>
    <x v="4"/>
    <s v="RAFAEL ESTEVES (RJ/SPI/SUL)"/>
    <n v="62"/>
    <x v="3"/>
    <s v="HOSPITAL SAO FRANCISCO NA PROVIDENCIA DE DEUS - RIO DE JANEIRO - RJ - 53.221.255/0049-95"/>
    <n v="2"/>
  </r>
  <r>
    <x v="0"/>
    <x v="0"/>
    <x v="0"/>
    <n v="60884855001630"/>
    <x v="703"/>
    <s v="RIO DE JANEIRO"/>
    <s v="RJ"/>
    <x v="4"/>
    <s v="RAFAEL ESTEVES (RJ/SPI/SUL)"/>
    <n v="62"/>
    <x v="3"/>
    <s v="HOSPITAL SAO LUCAS - RIO DE JANEIRO - RJ - 60.884.855/0016-30"/>
    <n v="25"/>
  </r>
  <r>
    <x v="0"/>
    <x v="0"/>
    <x v="0"/>
    <n v="60884855001630"/>
    <x v="703"/>
    <s v="RIO DE JANEIRO"/>
    <s v="RJ"/>
    <x v="4"/>
    <s v="RAFAEL ESTEVES (RJ/SPI/SUL)"/>
    <n v="64"/>
    <x v="2"/>
    <s v="HOSPITAL SAO LUCAS - RIO DE JANEIRO - RJ - 60.884.855/0016-30"/>
    <n v="9"/>
  </r>
  <r>
    <x v="0"/>
    <x v="0"/>
    <x v="0"/>
    <n v="60884855001630"/>
    <x v="703"/>
    <s v="RIO DE JANEIRO"/>
    <s v="RJ"/>
    <x v="4"/>
    <s v="RAFAEL ESTEVES (RJ/SPI/SUL)"/>
    <n v="70"/>
    <x v="0"/>
    <s v="HOSPITAL SAO LUCAS - RIO DE JANEIRO - RJ - 60.884.855/0016-30"/>
    <n v="375"/>
  </r>
  <r>
    <x v="0"/>
    <x v="0"/>
    <x v="0"/>
    <n v="60922168000348"/>
    <x v="704"/>
    <s v="RIO DE JANEIRO"/>
    <s v="RJ"/>
    <x v="4"/>
    <s v="RAFAEL ESTEVES (RJ/SPI/SUL)"/>
    <n v="62"/>
    <x v="3"/>
    <s v="CASA DE SAUDE SAO JOSE - RIO DE JANEIRO - RJ - 60.922.168/0003-48"/>
    <n v="2"/>
  </r>
  <r>
    <x v="0"/>
    <x v="0"/>
    <x v="0"/>
    <n v="60922168000348"/>
    <x v="704"/>
    <s v="RIO DE JANEIRO"/>
    <s v="RJ"/>
    <x v="4"/>
    <s v="RAFAEL ESTEVES (RJ/SPI/SUL)"/>
    <n v="64"/>
    <x v="2"/>
    <s v="CASA DE SAUDE SAO JOSE - RIO DE JANEIRO - RJ - 60.922.168/0003-48"/>
    <n v="3"/>
  </r>
  <r>
    <x v="0"/>
    <x v="0"/>
    <x v="0"/>
    <n v="60922168000348"/>
    <x v="704"/>
    <s v="RIO DE JANEIRO"/>
    <s v="RJ"/>
    <x v="4"/>
    <s v="RAFAEL ESTEVES (RJ/SPI/SUL)"/>
    <n v="70"/>
    <x v="0"/>
    <s v="CASA DE SAUDE SAO JOSE - RIO DE JANEIRO - RJ - 60.922.168/0003-48"/>
    <n v="330"/>
  </r>
  <r>
    <x v="0"/>
    <x v="0"/>
    <x v="0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229"/>
  </r>
  <r>
    <x v="0"/>
    <x v="0"/>
    <x v="0"/>
    <n v="73696718000219"/>
    <x v="706"/>
    <s v="RIO DE JANEIRO"/>
    <s v="RJ"/>
    <x v="4"/>
    <s v="RAFAEL ESTEVES (RJ/SPI/SUL)"/>
    <n v="62"/>
    <x v="3"/>
    <s v="HOSPITAL ADVENTISTA SILVESTRE - RIO DE JANEIRO - RJ - 73.696.718/0002-19"/>
    <n v="9"/>
  </r>
  <r>
    <x v="0"/>
    <x v="0"/>
    <x v="0"/>
    <n v="73696718000219"/>
    <x v="706"/>
    <s v="RIO DE JANEIRO"/>
    <s v="RJ"/>
    <x v="4"/>
    <s v="RAFAEL ESTEVES (RJ/SPI/SUL)"/>
    <n v="64"/>
    <x v="2"/>
    <s v="HOSPITAL ADVENTISTA SILVESTRE - RIO DE JANEIRO - RJ - 73.696.718/0002-19"/>
    <n v="3"/>
  </r>
  <r>
    <x v="0"/>
    <x v="1"/>
    <x v="0"/>
    <n v="22400856000197"/>
    <x v="707"/>
    <s v="RIO DE JANEIRO"/>
    <s v="RJ"/>
    <x v="4"/>
    <s v="RAFAEL ESTEVES (RJ/SPI/SUL)"/>
    <n v="70"/>
    <x v="0"/>
    <s v="CLINICA CIRURGICA E ONCOLOGICA DA PENHA LTDA - RIO DE JANEIRO - RJ - 22.400.856/0001-97"/>
    <n v="50"/>
  </r>
  <r>
    <x v="0"/>
    <x v="1"/>
    <x v="0"/>
    <n v="29435005005279"/>
    <x v="708"/>
    <s v="RIO DE JANEIRO"/>
    <s v="RJ"/>
    <x v="4"/>
    <s v="RAFAEL ESTEVES (RJ/SPI/SUL)"/>
    <n v="64"/>
    <x v="2"/>
    <s v="CASA DE SAUDE SANTA LUCIA - RIO DE JANEIRO - RJ - 29.435.005/0052-79"/>
    <n v="5"/>
  </r>
  <r>
    <x v="0"/>
    <x v="1"/>
    <x v="0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36"/>
  </r>
  <r>
    <x v="0"/>
    <x v="1"/>
    <x v="0"/>
    <n v="33419482000259"/>
    <x v="696"/>
    <s v="RIO DE JANEIRO"/>
    <s v="RJ"/>
    <x v="4"/>
    <s v="RAFAEL ESTEVES (RJ/SPI/SUL)"/>
    <n v="62"/>
    <x v="3"/>
    <s v="LARANJEIRAS CLINICA PERINATAL - RIO DE JANEIRO - RJ - 33.419.482/0002-59"/>
    <n v="9"/>
  </r>
  <r>
    <x v="0"/>
    <x v="1"/>
    <x v="0"/>
    <n v="33419482000259"/>
    <x v="696"/>
    <s v="RIO DE JANEIRO"/>
    <s v="RJ"/>
    <x v="4"/>
    <s v="RAFAEL ESTEVES (RJ/SPI/SUL)"/>
    <n v="64"/>
    <x v="2"/>
    <s v="LARANJEIRAS CLINICA PERINATAL - RIO DE JANEIRO - RJ - 33.419.482/0002-59"/>
    <n v="2"/>
  </r>
  <r>
    <x v="0"/>
    <x v="1"/>
    <x v="0"/>
    <n v="33419482000259"/>
    <x v="696"/>
    <s v="RIO DE JANEIRO"/>
    <s v="RJ"/>
    <x v="4"/>
    <s v="RAFAEL ESTEVES (RJ/SPI/SUL)"/>
    <n v="70"/>
    <x v="0"/>
    <s v="LARANJEIRAS CLINICA PERINATAL - RIO DE JANEIRO - RJ - 33.419.482/0002-59"/>
    <n v="15"/>
  </r>
  <r>
    <x v="0"/>
    <x v="1"/>
    <x v="0"/>
    <n v="33663683005347"/>
    <x v="698"/>
    <s v="RIO DE JANEIRO"/>
    <s v="RJ"/>
    <x v="4"/>
    <s v="RAFAEL ESTEVES (RJ/SPI/SUL)"/>
    <n v="70"/>
    <x v="0"/>
    <s v="HOSPITAL UNIVERSITARIO - RIO DE JANEIRO - RJ - 33.663.683/0053-47"/>
    <n v="800"/>
  </r>
  <r>
    <x v="0"/>
    <x v="1"/>
    <x v="0"/>
    <n v="34058123000103"/>
    <x v="709"/>
    <s v="RIO DE JANEIRO"/>
    <s v="RJ"/>
    <x v="4"/>
    <s v="RAFAEL ESTEVES (RJ/SPI/SUL)"/>
    <n v="62"/>
    <x v="3"/>
    <s v="HOSPITAL DE CLINICAS DE JACAREPAGUA LTDA - RIO DE JANEIRO - RJ - 34.058.123/0001-03"/>
    <n v="6"/>
  </r>
  <r>
    <x v="0"/>
    <x v="1"/>
    <x v="0"/>
    <n v="34058123000103"/>
    <x v="709"/>
    <s v="RIO DE JANEIRO"/>
    <s v="RJ"/>
    <x v="4"/>
    <s v="RAFAEL ESTEVES (RJ/SPI/SUL)"/>
    <n v="64"/>
    <x v="2"/>
    <s v="HOSPITAL DE CLINICAS DE JACAREPAGUA LTDA - RIO DE JANEIRO - RJ - 34.058.123/0001-03"/>
    <n v="16"/>
  </r>
  <r>
    <x v="0"/>
    <x v="1"/>
    <x v="0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150"/>
  </r>
  <r>
    <x v="0"/>
    <x v="1"/>
    <x v="0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48"/>
  </r>
  <r>
    <x v="0"/>
    <x v="1"/>
    <x v="0"/>
    <n v="40320103000153"/>
    <x v="710"/>
    <s v="RIO DE JANEIRO"/>
    <s v="RJ"/>
    <x v="4"/>
    <s v="RAFAEL ESTEVES (RJ/SPI/SUL)"/>
    <n v="64"/>
    <x v="2"/>
    <s v="CLIMES CLINICA MEDICA ESPECIALIZADA LTDA - RIO DE JANEIRO - RJ - 40.320.103/0001-53"/>
    <n v="5"/>
  </r>
  <r>
    <x v="0"/>
    <x v="1"/>
    <x v="0"/>
    <n v="42297507000107"/>
    <x v="711"/>
    <s v="RIO DE JANEIRO"/>
    <s v="RJ"/>
    <x v="4"/>
    <s v="RAFAEL ESTEVES (RJ/SPI/SUL)"/>
    <n v="62"/>
    <x v="3"/>
    <s v="HOSPITAL BALBINO - RIO DE JANEIRO - RJ - 42.297.507/0001-07"/>
    <n v="4"/>
  </r>
  <r>
    <x v="0"/>
    <x v="1"/>
    <x v="0"/>
    <n v="42297507000107"/>
    <x v="711"/>
    <s v="RIO DE JANEIRO"/>
    <s v="RJ"/>
    <x v="4"/>
    <s v="RAFAEL ESTEVES (RJ/SPI/SUL)"/>
    <n v="64"/>
    <x v="2"/>
    <s v="HOSPITAL BALBINO - RIO DE JANEIRO - RJ - 42.297.507/0001-07"/>
    <n v="4"/>
  </r>
  <r>
    <x v="0"/>
    <x v="1"/>
    <x v="0"/>
    <n v="53221255004995"/>
    <x v="702"/>
    <s v="RIO DE JANEIRO"/>
    <s v="RJ"/>
    <x v="4"/>
    <s v="RAFAEL ESTEVES (RJ/SPI/SUL)"/>
    <n v="62"/>
    <x v="3"/>
    <s v="HOSPITAL SAO FRANCISCO NA PROVIDENCIA DE DEUS - RIO DE JANEIRO - RJ - 53.221.255/0049-95"/>
    <n v="1"/>
  </r>
  <r>
    <x v="0"/>
    <x v="1"/>
    <x v="0"/>
    <n v="60884855001630"/>
    <x v="703"/>
    <s v="RIO DE JANEIRO"/>
    <s v="RJ"/>
    <x v="4"/>
    <s v="RAFAEL ESTEVES (RJ/SPI/SUL)"/>
    <n v="62"/>
    <x v="3"/>
    <s v="HOSPITAL SAO LUCAS - RIO DE JANEIRO - RJ - 60.884.855/0016-30"/>
    <n v="10"/>
  </r>
  <r>
    <x v="0"/>
    <x v="1"/>
    <x v="0"/>
    <n v="60884855001630"/>
    <x v="703"/>
    <s v="RIO DE JANEIRO"/>
    <s v="RJ"/>
    <x v="4"/>
    <s v="RAFAEL ESTEVES (RJ/SPI/SUL)"/>
    <n v="64"/>
    <x v="2"/>
    <s v="HOSPITAL SAO LUCAS - RIO DE JANEIRO - RJ - 60.884.855/0016-30"/>
    <n v="25"/>
  </r>
  <r>
    <x v="0"/>
    <x v="1"/>
    <x v="0"/>
    <n v="60884855001630"/>
    <x v="703"/>
    <s v="RIO DE JANEIRO"/>
    <s v="RJ"/>
    <x v="4"/>
    <s v="RAFAEL ESTEVES (RJ/SPI/SUL)"/>
    <n v="70"/>
    <x v="0"/>
    <s v="HOSPITAL SAO LUCAS - RIO DE JANEIRO - RJ - 60.884.855/0016-30"/>
    <n v="160"/>
  </r>
  <r>
    <x v="0"/>
    <x v="1"/>
    <x v="0"/>
    <n v="60922168000348"/>
    <x v="704"/>
    <s v="RIO DE JANEIRO"/>
    <s v="RJ"/>
    <x v="4"/>
    <s v="RAFAEL ESTEVES (RJ/SPI/SUL)"/>
    <n v="62"/>
    <x v="3"/>
    <s v="CASA DE SAUDE SAO JOSE - RIO DE JANEIRO - RJ - 60.922.168/0003-48"/>
    <n v="9"/>
  </r>
  <r>
    <x v="0"/>
    <x v="1"/>
    <x v="0"/>
    <n v="60922168000348"/>
    <x v="704"/>
    <s v="RIO DE JANEIRO"/>
    <s v="RJ"/>
    <x v="4"/>
    <s v="RAFAEL ESTEVES (RJ/SPI/SUL)"/>
    <n v="64"/>
    <x v="2"/>
    <s v="CASA DE SAUDE SAO JOSE - RIO DE JANEIRO - RJ - 60.922.168/0003-48"/>
    <n v="4"/>
  </r>
  <r>
    <x v="0"/>
    <x v="1"/>
    <x v="0"/>
    <n v="60922168000348"/>
    <x v="704"/>
    <s v="RIO DE JANEIRO"/>
    <s v="RJ"/>
    <x v="4"/>
    <s v="RAFAEL ESTEVES (RJ/SPI/SUL)"/>
    <n v="70"/>
    <x v="0"/>
    <s v="CASA DE SAUDE SAO JOSE - RIO DE JANEIRO - RJ - 60.922.168/0003-48"/>
    <n v="210"/>
  </r>
  <r>
    <x v="0"/>
    <x v="1"/>
    <x v="0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175"/>
  </r>
  <r>
    <x v="0"/>
    <x v="1"/>
    <x v="0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135"/>
  </r>
  <r>
    <x v="0"/>
    <x v="2"/>
    <x v="0"/>
    <n v="320465020"/>
    <x v="712"/>
    <s v="RIO DE JANEIRO"/>
    <s v="RJ"/>
    <x v="4"/>
    <s v="RAFAEL ESTEVES (RJ/SPI/SUL)"/>
    <n v="66"/>
    <x v="4"/>
    <s v="MAIARA ALMEIDA DA SILVA - RIO DE JANEIRO - RJ - 003.204.650-20"/>
    <n v="3"/>
  </r>
  <r>
    <x v="0"/>
    <x v="2"/>
    <x v="0"/>
    <n v="5371944796"/>
    <x v="713"/>
    <s v="RIO DE JANEIRO"/>
    <s v="RJ"/>
    <x v="4"/>
    <s v="RAFAEL ESTEVES (RJ/SPI/SUL)"/>
    <n v="70"/>
    <x v="0"/>
    <s v="REJANE CELESTE DOS ANJOS BECKER - RIO DE JANEIRO - RJ - 053.719.447-96"/>
    <n v="20"/>
  </r>
  <r>
    <x v="0"/>
    <x v="2"/>
    <x v="0"/>
    <n v="394502014870"/>
    <x v="666"/>
    <s v="RIO DE JANEIRO"/>
    <s v="RJ"/>
    <x v="4"/>
    <s v="RAFAEL ESTEVES (RJ/SPI/SUL)"/>
    <n v="64"/>
    <x v="2"/>
    <s v="HOSPITAL NAVAL MARCILIO DIAS - RIO DE JANEIRO - RJ - 00.394.502/0148-70"/>
    <n v="5"/>
  </r>
  <r>
    <x v="0"/>
    <x v="2"/>
    <x v="0"/>
    <n v="394544017150"/>
    <x v="667"/>
    <s v="RIO DE JANEIRO"/>
    <s v="RJ"/>
    <x v="4"/>
    <s v="RAFAEL ESTEVES (RJ/SPI/SUL)"/>
    <n v="64"/>
    <x v="2"/>
    <s v="INSTITUTO NACIONAL DE CANCER - RIO DE JANEIRO - RJ - 00.394.544/0171-50"/>
    <n v="20"/>
  </r>
  <r>
    <x v="0"/>
    <x v="2"/>
    <x v="0"/>
    <n v="394544020453"/>
    <x v="663"/>
    <s v="RIO DE JANEIRO"/>
    <s v="RJ"/>
    <x v="4"/>
    <s v="RAFAEL ESTEVES (RJ/SPI/SUL)"/>
    <n v="70"/>
    <x v="0"/>
    <s v="HOSPITAL DA LAGOA/RJ - RIO DE JANEIRO - RJ - 00.394.544/0204-53"/>
    <n v="200"/>
  </r>
  <r>
    <x v="0"/>
    <x v="2"/>
    <x v="0"/>
    <n v="394544021344"/>
    <x v="665"/>
    <s v="RIO DE JANEIRO"/>
    <s v="RJ"/>
    <x v="4"/>
    <s v="RAFAEL ESTEVES (RJ/SPI/SUL)"/>
    <n v="62"/>
    <x v="3"/>
    <s v="INSTITUTO NACIONAL DE CARDIOLOGIA - RIO DE JANEIRO - RJ - 00.394.544/0213-44"/>
    <n v="250"/>
  </r>
  <r>
    <x v="0"/>
    <x v="2"/>
    <x v="0"/>
    <n v="394544021344"/>
    <x v="665"/>
    <s v="RIO DE JANEIRO"/>
    <s v="RJ"/>
    <x v="4"/>
    <s v="RAFAEL ESTEVES (RJ/SPI/SUL)"/>
    <n v="64"/>
    <x v="2"/>
    <s v="INSTITUTO NACIONAL DE CARDIOLOGIA - RIO DE JANEIRO - RJ - 00.394.544/0213-44"/>
    <n v="208"/>
  </r>
  <r>
    <x v="0"/>
    <x v="2"/>
    <x v="0"/>
    <n v="2284062000521"/>
    <x v="668"/>
    <s v="RIO DE JANEIRO"/>
    <s v="RJ"/>
    <x v="4"/>
    <s v="RAFAEL ESTEVES (RJ/SPI/SUL)"/>
    <n v="62"/>
    <x v="3"/>
    <s v="HOSPITAL BARRA DOR (REDE DOR) - RIO DE JANEIRO - RJ - 02.284.062/0005-21"/>
    <n v="5"/>
  </r>
  <r>
    <x v="0"/>
    <x v="2"/>
    <x v="0"/>
    <n v="2284062000521"/>
    <x v="668"/>
    <s v="RIO DE JANEIRO"/>
    <s v="RJ"/>
    <x v="4"/>
    <s v="RAFAEL ESTEVES (RJ/SPI/SUL)"/>
    <n v="64"/>
    <x v="2"/>
    <s v="HOSPITAL BARRA DOR (REDE DOR) - RIO DE JANEIRO - RJ - 02.284.062/0005-21"/>
    <n v="13"/>
  </r>
  <r>
    <x v="0"/>
    <x v="2"/>
    <x v="0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40"/>
  </r>
  <r>
    <x v="0"/>
    <x v="2"/>
    <x v="0"/>
    <n v="6047087000996"/>
    <x v="670"/>
    <s v="RIO DE JANEIRO"/>
    <s v="RJ"/>
    <x v="4"/>
    <s v="RAFAEL ESTEVES (RJ/SPI/SUL)"/>
    <n v="62"/>
    <x v="3"/>
    <s v="HOSPITAL COPA DOR (REDE DOR) - RIO DE JANEIRO - RJ - 06.047.087/0009-96"/>
    <n v="13"/>
  </r>
  <r>
    <x v="0"/>
    <x v="2"/>
    <x v="0"/>
    <n v="6047087000996"/>
    <x v="670"/>
    <s v="RIO DE JANEIRO"/>
    <s v="RJ"/>
    <x v="4"/>
    <s v="RAFAEL ESTEVES (RJ/SPI/SUL)"/>
    <n v="70"/>
    <x v="0"/>
    <s v="HOSPITAL COPA DOR (REDE DOR) - RIO DE JANEIRO - RJ - 06.047.087/0009-96"/>
    <n v="225"/>
  </r>
  <r>
    <x v="0"/>
    <x v="2"/>
    <x v="0"/>
    <n v="6047087001020"/>
    <x v="671"/>
    <s v="RIO DE JANEIRO"/>
    <s v="RJ"/>
    <x v="4"/>
    <s v="RAFAEL ESTEVES (RJ/SPI/SUL)"/>
    <n v="62"/>
    <x v="3"/>
    <s v="HOSPITAL QUINTA DOR (REDE DOR) - RIO DE JANEIRO - RJ - 06.047.087/0010-20"/>
    <n v="66"/>
  </r>
  <r>
    <x v="0"/>
    <x v="2"/>
    <x v="0"/>
    <n v="6047087001020"/>
    <x v="671"/>
    <s v="RIO DE JANEIRO"/>
    <s v="RJ"/>
    <x v="4"/>
    <s v="RAFAEL ESTEVES (RJ/SPI/SUL)"/>
    <n v="64"/>
    <x v="2"/>
    <s v="HOSPITAL QUINTA DOR (REDE DOR) - RIO DE JANEIRO - RJ - 06.047.087/0010-20"/>
    <n v="33"/>
  </r>
  <r>
    <x v="0"/>
    <x v="2"/>
    <x v="0"/>
    <n v="6047087002697"/>
    <x v="672"/>
    <s v="RIO DE JANEIRO"/>
    <s v="RJ"/>
    <x v="4"/>
    <s v="RAFAEL ESTEVES (RJ/SPI/SUL)"/>
    <n v="62"/>
    <x v="3"/>
    <s v="HOSPITAL COPA DOR STAR (REDE DOR) - RIO DE JANEIRO - RJ - 06.047.087/0026-97"/>
    <n v="10"/>
  </r>
  <r>
    <x v="0"/>
    <x v="2"/>
    <x v="0"/>
    <n v="6047087002697"/>
    <x v="672"/>
    <s v="RIO DE JANEIRO"/>
    <s v="RJ"/>
    <x v="4"/>
    <s v="RAFAEL ESTEVES (RJ/SPI/SUL)"/>
    <n v="64"/>
    <x v="2"/>
    <s v="HOSPITAL COPA DOR STAR (REDE DOR) - RIO DE JANEIRO - RJ - 06.047.087/0026-97"/>
    <n v="22"/>
  </r>
  <r>
    <x v="0"/>
    <x v="2"/>
    <x v="0"/>
    <n v="6047087003316"/>
    <x v="673"/>
    <s v="RIO DE JANEIRO"/>
    <s v="RJ"/>
    <x v="4"/>
    <s v="RAFAEL ESTEVES (RJ/SPI/SUL)"/>
    <n v="62"/>
    <x v="3"/>
    <s v="HOSPITAL OESTE DOR (REDE DOR) - RIO DE JANEIRO - RJ - 06.047.087/0033-16"/>
    <n v="1"/>
  </r>
  <r>
    <x v="0"/>
    <x v="2"/>
    <x v="0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1750"/>
  </r>
  <r>
    <x v="0"/>
    <x v="2"/>
    <x v="0"/>
    <n v="8100676002102"/>
    <x v="675"/>
    <s v="RIO DE JANEIRO"/>
    <s v="RJ"/>
    <x v="4"/>
    <s v="RAFAEL ESTEVES (RJ/SPI/SUL)"/>
    <n v="62"/>
    <x v="3"/>
    <s v="HOSPITAL SAMARITANO - RIO DE JANEIRO - RJ - 08.100.676/0021-02"/>
    <n v="16"/>
  </r>
  <r>
    <x v="0"/>
    <x v="2"/>
    <x v="0"/>
    <n v="8100676002102"/>
    <x v="675"/>
    <s v="RIO DE JANEIRO"/>
    <s v="RJ"/>
    <x v="4"/>
    <s v="RAFAEL ESTEVES (RJ/SPI/SUL)"/>
    <n v="64"/>
    <x v="2"/>
    <s v="HOSPITAL SAMARITANO - RIO DE JANEIRO - RJ - 08.100.676/0021-02"/>
    <n v="23"/>
  </r>
  <r>
    <x v="0"/>
    <x v="2"/>
    <x v="0"/>
    <n v="9219138000401"/>
    <x v="714"/>
    <s v="RIO DE JANEIRO"/>
    <s v="RJ"/>
    <x v="4"/>
    <s v="RAFAEL ESTEVES (RJ/SPI/SUL)"/>
    <n v="70"/>
    <x v="0"/>
    <s v="UNIMED-RIO EMPREENDIMENTOS MEDICOS E HOSPITALARES LTDA - RIO DE JANEIRO - RJ - 09.219.138/0004-01"/>
    <n v="285"/>
  </r>
  <r>
    <x v="0"/>
    <x v="2"/>
    <x v="0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1085"/>
  </r>
  <r>
    <x v="0"/>
    <x v="2"/>
    <x v="0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40"/>
  </r>
  <r>
    <x v="0"/>
    <x v="2"/>
    <x v="0"/>
    <n v="18010750000100"/>
    <x v="681"/>
    <s v="RIO DE JANEIRO"/>
    <s v="RJ"/>
    <x v="4"/>
    <s v="RAFAEL ESTEVES (RJ/SPI/SUL)"/>
    <n v="62"/>
    <x v="3"/>
    <s v="HOSPITAL SAO VICENTE DE PAULO - RIO DE JANEIRO - RJ - 18.010.750/0001-00"/>
    <n v="2"/>
  </r>
  <r>
    <x v="0"/>
    <x v="2"/>
    <x v="0"/>
    <n v="18010750000100"/>
    <x v="681"/>
    <s v="RIO DE JANEIRO"/>
    <s v="RJ"/>
    <x v="4"/>
    <s v="RAFAEL ESTEVES (RJ/SPI/SUL)"/>
    <n v="70"/>
    <x v="0"/>
    <s v="HOSPITAL SAO VICENTE DE PAULO - RIO DE JANEIRO - RJ - 18.010.750/0001-00"/>
    <n v="290"/>
  </r>
  <r>
    <x v="0"/>
    <x v="2"/>
    <x v="0"/>
    <n v="21109731000140"/>
    <x v="682"/>
    <s v="RIO DE JANEIRO"/>
    <s v="RJ"/>
    <x v="4"/>
    <s v="RAFAEL ESTEVES (RJ/SPI/SUL)"/>
    <n v="73"/>
    <x v="1"/>
    <s v="BRASIF S/A ADMINISTRACAO E PARTICIPACOES - RIO DE JANEIRO - RJ - 21.109.731/0001-40"/>
    <n v="112"/>
  </r>
  <r>
    <x v="0"/>
    <x v="2"/>
    <x v="0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6"/>
  </r>
  <r>
    <x v="0"/>
    <x v="2"/>
    <x v="0"/>
    <n v="24217779000160"/>
    <x v="684"/>
    <s v="RIO DE JANEIRO"/>
    <s v="RJ"/>
    <x v="4"/>
    <s v="RAFAEL ESTEVES (RJ/SPI/SUL)"/>
    <n v="62"/>
    <x v="3"/>
    <s v="HOSPITAL CASA ARRENDATARIA SERVICOS MEDICOS HOSPITALARES E INVESTIMENTOS LTDA - RIO DE JANEIRO - RJ - 24.217.779/0001-60"/>
    <n v="14"/>
  </r>
  <r>
    <x v="0"/>
    <x v="2"/>
    <x v="0"/>
    <n v="24217779000160"/>
    <x v="684"/>
    <s v="RIO DE JANEIRO"/>
    <s v="RJ"/>
    <x v="4"/>
    <s v="RAFAEL ESTEVES (RJ/SPI/SUL)"/>
    <n v="64"/>
    <x v="2"/>
    <s v="HOSPITAL CASA ARRENDATARIA SERVICOS MEDICOS HOSPITALARES E INVESTIMENTOS LTDA - RIO DE JANEIRO - RJ - 24.217.779/0001-60"/>
    <n v="29"/>
  </r>
  <r>
    <x v="0"/>
    <x v="2"/>
    <x v="0"/>
    <n v="27901222000131"/>
    <x v="685"/>
    <s v="RIO DE JANEIRO"/>
    <s v="RJ"/>
    <x v="4"/>
    <s v="RAFAEL ESTEVES (RJ/SPI/SUL)"/>
    <n v="62"/>
    <x v="3"/>
    <s v="HOSPITAL DR. BADIM (REDE DOR) - RIO DE JANEIRO - RJ - 27.901.222/0001-31"/>
    <n v="6"/>
  </r>
  <r>
    <x v="0"/>
    <x v="2"/>
    <x v="0"/>
    <n v="28000107000159"/>
    <x v="686"/>
    <s v="RIO DE JANEIRO"/>
    <s v="RJ"/>
    <x v="4"/>
    <s v="RAFAEL ESTEVES (RJ/SPI/SUL)"/>
    <n v="70"/>
    <x v="0"/>
    <s v="ONCOLOGIA REDE DOR S.A. - RIO DE JANEIRO - RJ - 28.000.107/0001-59"/>
    <n v="150"/>
  </r>
  <r>
    <x v="0"/>
    <x v="2"/>
    <x v="0"/>
    <n v="28000107000159"/>
    <x v="686"/>
    <s v="RIO DE JANEIRO"/>
    <s v="RJ"/>
    <x v="4"/>
    <s v="RAFAEL ESTEVES (RJ/SPI/SUL)"/>
    <n v="73"/>
    <x v="1"/>
    <s v="ONCOLOGIA REDE DOR S.A. - RIO DE JANEIRO - RJ - 28.000.107/0001-59"/>
    <n v="126"/>
  </r>
  <r>
    <x v="0"/>
    <x v="2"/>
    <x v="0"/>
    <n v="28602407000108"/>
    <x v="687"/>
    <s v="RIO DE JANEIRO"/>
    <s v="RJ"/>
    <x v="4"/>
    <s v="RAFAEL ESTEVES (RJ/SPI/SUL)"/>
    <n v="62"/>
    <x v="3"/>
    <s v="URGIL - RIO DE JANEIRO - RJ - 28.602.407/0001-08"/>
    <n v="1"/>
  </r>
  <r>
    <x v="0"/>
    <x v="2"/>
    <x v="0"/>
    <n v="28602407000108"/>
    <x v="687"/>
    <s v="RIO DE JANEIRO"/>
    <s v="RJ"/>
    <x v="4"/>
    <s v="RAFAEL ESTEVES (RJ/SPI/SUL)"/>
    <n v="73"/>
    <x v="1"/>
    <s v="URGIL - RIO DE JANEIRO - RJ - 28.602.407/0001-08"/>
    <n v="4"/>
  </r>
  <r>
    <x v="0"/>
    <x v="2"/>
    <x v="0"/>
    <n v="29259736000403"/>
    <x v="688"/>
    <s v="RIO DE JANEIRO"/>
    <s v="RJ"/>
    <x v="4"/>
    <s v="RAFAEL ESTEVES (RJ/SPI/SUL)"/>
    <n v="64"/>
    <x v="2"/>
    <s v="HOSPITAL RIOS DOR (REDE DOR) - RIO DE JANEIRO - RJ - 29.259.736/0004-03"/>
    <n v="3"/>
  </r>
  <r>
    <x v="0"/>
    <x v="2"/>
    <x v="0"/>
    <n v="29259736000403"/>
    <x v="688"/>
    <s v="RIO DE JANEIRO"/>
    <s v="RJ"/>
    <x v="4"/>
    <s v="RAFAEL ESTEVES (RJ/SPI/SUL)"/>
    <n v="73"/>
    <x v="1"/>
    <s v="HOSPITAL RIOS DOR (REDE DOR) - RIO DE JANEIRO - RJ - 29.259.736/0004-03"/>
    <n v="1"/>
  </r>
  <r>
    <x v="0"/>
    <x v="2"/>
    <x v="0"/>
    <n v="29435005005198"/>
    <x v="689"/>
    <s v="RIO DE JANEIRO"/>
    <s v="RJ"/>
    <x v="4"/>
    <s v="RAFAEL ESTEVES (RJ/SPI/SUL)"/>
    <n v="62"/>
    <x v="3"/>
    <s v="HOSPITAL PRO-CARDIACO - RIO DE JANEIRO - RJ - 29.435.005/0051-98"/>
    <n v="14"/>
  </r>
  <r>
    <x v="0"/>
    <x v="2"/>
    <x v="0"/>
    <n v="29435005005198"/>
    <x v="689"/>
    <s v="RIO DE JANEIRO"/>
    <s v="RJ"/>
    <x v="4"/>
    <s v="RAFAEL ESTEVES (RJ/SPI/SUL)"/>
    <n v="64"/>
    <x v="2"/>
    <s v="HOSPITAL PRO-CARDIACO - RIO DE JANEIRO - RJ - 29.435.005/0051-98"/>
    <n v="15"/>
  </r>
  <r>
    <x v="0"/>
    <x v="2"/>
    <x v="0"/>
    <n v="29435005005783"/>
    <x v="690"/>
    <s v="RIO DE JANEIRO"/>
    <s v="RJ"/>
    <x v="4"/>
    <s v="RAFAEL ESTEVES (RJ/SPI/SUL)"/>
    <n v="64"/>
    <x v="2"/>
    <s v="HOSPITAL PASTEUR - RIO DE JANEIRO - RJ - 29.435.005/0057-83"/>
    <n v="1"/>
  </r>
  <r>
    <x v="0"/>
    <x v="2"/>
    <x v="0"/>
    <n v="29435005005783"/>
    <x v="690"/>
    <s v="RIO DE JANEIRO"/>
    <s v="RJ"/>
    <x v="4"/>
    <s v="RAFAEL ESTEVES (RJ/SPI/SUL)"/>
    <n v="70"/>
    <x v="0"/>
    <s v="HOSPITAL PASTEUR - RIO DE JANEIRO - RJ - 29.435.005/0057-83"/>
    <n v="250"/>
  </r>
  <r>
    <x v="0"/>
    <x v="2"/>
    <x v="0"/>
    <n v="29435005006160"/>
    <x v="691"/>
    <s v="RIO DE JANEIRO"/>
    <s v="RJ"/>
    <x v="4"/>
    <s v="RAFAEL ESTEVES (RJ/SPI/SUL)"/>
    <n v="64"/>
    <x v="2"/>
    <s v="HOSPITAL SAMARITANO - RIO DE JANEIRO - RJ - 29.435.005/0061-60"/>
    <n v="10"/>
  </r>
  <r>
    <x v="0"/>
    <x v="2"/>
    <x v="0"/>
    <n v="29435005006160"/>
    <x v="691"/>
    <s v="RIO DE JANEIRO"/>
    <s v="RJ"/>
    <x v="4"/>
    <s v="RAFAEL ESTEVES (RJ/SPI/SUL)"/>
    <n v="70"/>
    <x v="0"/>
    <s v="HOSPITAL SAMARITANO - RIO DE JANEIRO - RJ - 29.435.005/0061-60"/>
    <n v="80"/>
  </r>
  <r>
    <x v="0"/>
    <x v="2"/>
    <x v="0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16"/>
  </r>
  <r>
    <x v="0"/>
    <x v="2"/>
    <x v="0"/>
    <n v="33000167000101"/>
    <x v="695"/>
    <s v="RIO DE JANEIRO"/>
    <s v="RJ"/>
    <x v="4"/>
    <s v="RAFAEL ESTEVES (RJ/SPI/SUL)"/>
    <n v="70"/>
    <x v="0"/>
    <s v="PETROBRAS - RIO DE JANEIRO - RJ - 33.000.167/0001-01"/>
    <n v="140"/>
  </r>
  <r>
    <x v="0"/>
    <x v="2"/>
    <x v="0"/>
    <n v="33419482000259"/>
    <x v="696"/>
    <s v="RIO DE JANEIRO"/>
    <s v="RJ"/>
    <x v="4"/>
    <s v="RAFAEL ESTEVES (RJ/SPI/SUL)"/>
    <n v="62"/>
    <x v="3"/>
    <s v="LARANJEIRAS CLINICA PERINATAL - RIO DE JANEIRO - RJ - 33.419.482/0002-59"/>
    <n v="7"/>
  </r>
  <r>
    <x v="0"/>
    <x v="2"/>
    <x v="0"/>
    <n v="33419482000259"/>
    <x v="696"/>
    <s v="RIO DE JANEIRO"/>
    <s v="RJ"/>
    <x v="4"/>
    <s v="RAFAEL ESTEVES (RJ/SPI/SUL)"/>
    <n v="64"/>
    <x v="2"/>
    <s v="LARANJEIRAS CLINICA PERINATAL - RIO DE JANEIRO - RJ - 33.419.482/0002-59"/>
    <n v="3"/>
  </r>
  <r>
    <x v="0"/>
    <x v="2"/>
    <x v="0"/>
    <n v="33419482000259"/>
    <x v="696"/>
    <s v="RIO DE JANEIRO"/>
    <s v="RJ"/>
    <x v="4"/>
    <s v="RAFAEL ESTEVES (RJ/SPI/SUL)"/>
    <n v="70"/>
    <x v="0"/>
    <s v="LARANJEIRAS CLINICA PERINATAL - RIO DE JANEIRO - RJ - 33.419.482/0002-59"/>
    <n v="20"/>
  </r>
  <r>
    <x v="0"/>
    <x v="2"/>
    <x v="0"/>
    <n v="33663683005347"/>
    <x v="698"/>
    <s v="RIO DE JANEIRO"/>
    <s v="RJ"/>
    <x v="4"/>
    <s v="RAFAEL ESTEVES (RJ/SPI/SUL)"/>
    <n v="62"/>
    <x v="3"/>
    <s v="HOSPITAL UNIVERSITARIO - RIO DE JANEIRO - RJ - 33.663.683/0053-47"/>
    <n v="24"/>
  </r>
  <r>
    <x v="0"/>
    <x v="2"/>
    <x v="0"/>
    <n v="33663683005347"/>
    <x v="698"/>
    <s v="RIO DE JANEIRO"/>
    <s v="RJ"/>
    <x v="4"/>
    <s v="RAFAEL ESTEVES (RJ/SPI/SUL)"/>
    <n v="64"/>
    <x v="2"/>
    <s v="HOSPITAL UNIVERSITARIO - RIO DE JANEIRO - RJ - 33.663.683/0053-47"/>
    <n v="24"/>
  </r>
  <r>
    <x v="0"/>
    <x v="2"/>
    <x v="0"/>
    <n v="33663683005347"/>
    <x v="698"/>
    <s v="RIO DE JANEIRO"/>
    <s v="RJ"/>
    <x v="4"/>
    <s v="RAFAEL ESTEVES (RJ/SPI/SUL)"/>
    <n v="70"/>
    <x v="0"/>
    <s v="HOSPITAL UNIVERSITARIO - RIO DE JANEIRO - RJ - 33.663.683/0053-47"/>
    <n v="2400"/>
  </r>
  <r>
    <x v="0"/>
    <x v="2"/>
    <x v="0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180"/>
  </r>
  <r>
    <x v="0"/>
    <x v="2"/>
    <x v="0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88"/>
  </r>
  <r>
    <x v="0"/>
    <x v="2"/>
    <x v="0"/>
    <n v="40226946000276"/>
    <x v="715"/>
    <s v="RIO DE JANEIRO"/>
    <s v="RJ"/>
    <x v="4"/>
    <s v="RAFAEL ESTEVES (RJ/SPI/SUL)"/>
    <n v="64"/>
    <x v="2"/>
    <s v="FUNDACAO ARY FRAUZINO PARA PESQUISA E CONTROL DO CANCER - RIO DE JANEIRO - RJ - 40.226.946/0002-76"/>
    <n v="2"/>
  </r>
  <r>
    <x v="0"/>
    <x v="2"/>
    <x v="0"/>
    <n v="60884855001630"/>
    <x v="703"/>
    <s v="RIO DE JANEIRO"/>
    <s v="RJ"/>
    <x v="4"/>
    <s v="RAFAEL ESTEVES (RJ/SPI/SUL)"/>
    <n v="62"/>
    <x v="3"/>
    <s v="HOSPITAL SAO LUCAS - RIO DE JANEIRO - RJ - 60.884.855/0016-30"/>
    <n v="5"/>
  </r>
  <r>
    <x v="0"/>
    <x v="2"/>
    <x v="0"/>
    <n v="60884855001630"/>
    <x v="703"/>
    <s v="RIO DE JANEIRO"/>
    <s v="RJ"/>
    <x v="4"/>
    <s v="RAFAEL ESTEVES (RJ/SPI/SUL)"/>
    <n v="64"/>
    <x v="2"/>
    <s v="HOSPITAL SAO LUCAS - RIO DE JANEIRO - RJ - 60.884.855/0016-30"/>
    <n v="7"/>
  </r>
  <r>
    <x v="0"/>
    <x v="2"/>
    <x v="0"/>
    <n v="60884855001630"/>
    <x v="703"/>
    <s v="RIO DE JANEIRO"/>
    <s v="RJ"/>
    <x v="4"/>
    <s v="RAFAEL ESTEVES (RJ/SPI/SUL)"/>
    <n v="70"/>
    <x v="0"/>
    <s v="HOSPITAL SAO LUCAS - RIO DE JANEIRO - RJ - 60.884.855/0016-30"/>
    <n v="385"/>
  </r>
  <r>
    <x v="0"/>
    <x v="2"/>
    <x v="0"/>
    <n v="60922168000348"/>
    <x v="704"/>
    <s v="RIO DE JANEIRO"/>
    <s v="RJ"/>
    <x v="4"/>
    <s v="RAFAEL ESTEVES (RJ/SPI/SUL)"/>
    <n v="62"/>
    <x v="3"/>
    <s v="CASA DE SAUDE SAO JOSE - RIO DE JANEIRO - RJ - 60.922.168/0003-48"/>
    <n v="6"/>
  </r>
  <r>
    <x v="0"/>
    <x v="2"/>
    <x v="0"/>
    <n v="60922168000348"/>
    <x v="704"/>
    <s v="RIO DE JANEIRO"/>
    <s v="RJ"/>
    <x v="4"/>
    <s v="RAFAEL ESTEVES (RJ/SPI/SUL)"/>
    <n v="64"/>
    <x v="2"/>
    <s v="CASA DE SAUDE SAO JOSE - RIO DE JANEIRO - RJ - 60.922.168/0003-48"/>
    <n v="3"/>
  </r>
  <r>
    <x v="0"/>
    <x v="2"/>
    <x v="0"/>
    <n v="60922168000348"/>
    <x v="704"/>
    <s v="RIO DE JANEIRO"/>
    <s v="RJ"/>
    <x v="4"/>
    <s v="RAFAEL ESTEVES (RJ/SPI/SUL)"/>
    <n v="70"/>
    <x v="0"/>
    <s v="CASA DE SAUDE SAO JOSE - RIO DE JANEIRO - RJ - 60.922.168/0003-48"/>
    <n v="130"/>
  </r>
  <r>
    <x v="0"/>
    <x v="2"/>
    <x v="0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445"/>
  </r>
  <r>
    <x v="0"/>
    <x v="2"/>
    <x v="0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214"/>
  </r>
  <r>
    <x v="0"/>
    <x v="2"/>
    <x v="0"/>
    <n v="73696718000219"/>
    <x v="706"/>
    <s v="RIO DE JANEIRO"/>
    <s v="RJ"/>
    <x v="4"/>
    <s v="RAFAEL ESTEVES (RJ/SPI/SUL)"/>
    <n v="62"/>
    <x v="3"/>
    <s v="HOSPITAL ADVENTISTA SILVESTRE - RIO DE JANEIRO - RJ - 73.696.718/0002-19"/>
    <n v="7"/>
  </r>
  <r>
    <x v="0"/>
    <x v="3"/>
    <x v="1"/>
    <n v="394502014870"/>
    <x v="666"/>
    <s v="RIO DE JANEIRO"/>
    <s v="RJ"/>
    <x v="4"/>
    <s v="RAFAEL ESTEVES (RJ/SPI/SUL)"/>
    <n v="64"/>
    <x v="2"/>
    <s v="HOSPITAL NAVAL MARCILIO DIAS - RIO DE JANEIRO - RJ - 00.394.502/0148-70"/>
    <n v="5"/>
  </r>
  <r>
    <x v="0"/>
    <x v="3"/>
    <x v="1"/>
    <n v="394544020372"/>
    <x v="662"/>
    <s v="RIO DE JANEIRO"/>
    <s v="RJ"/>
    <x v="4"/>
    <s v="RAFAEL ESTEVES (RJ/SPI/SUL)"/>
    <n v="70"/>
    <x v="0"/>
    <s v="HOSPITAL FEDERAL CARDOSO FONTES - RIO DE JANEIRO - RJ - 00.394.544/0203-72"/>
    <n v="885"/>
  </r>
  <r>
    <x v="0"/>
    <x v="3"/>
    <x v="1"/>
    <n v="394544020453"/>
    <x v="663"/>
    <s v="RIO DE JANEIRO"/>
    <s v="RJ"/>
    <x v="4"/>
    <s v="RAFAEL ESTEVES (RJ/SPI/SUL)"/>
    <n v="70"/>
    <x v="0"/>
    <s v="HOSPITAL DA LAGOA/RJ - RIO DE JANEIRO - RJ - 00.394.544/0204-53"/>
    <n v="350"/>
  </r>
  <r>
    <x v="0"/>
    <x v="3"/>
    <x v="1"/>
    <n v="394544021000"/>
    <x v="664"/>
    <s v="RIO DE JANEIRO"/>
    <s v="RJ"/>
    <x v="4"/>
    <s v="RAFAEL ESTEVES (RJ/SPI/SUL)"/>
    <n v="70"/>
    <x v="0"/>
    <s v="HOSPITAL GERAL DE IPANEMA/RJ - RIO DE JANEIRO - RJ - 00.394.544/0210-00"/>
    <n v="150"/>
  </r>
  <r>
    <x v="0"/>
    <x v="3"/>
    <x v="1"/>
    <n v="394544021344"/>
    <x v="665"/>
    <s v="RIO DE JANEIRO"/>
    <s v="RJ"/>
    <x v="4"/>
    <s v="RAFAEL ESTEVES (RJ/SPI/SUL)"/>
    <n v="64"/>
    <x v="2"/>
    <s v="INSTITUTO NACIONAL DE CARDIOLOGIA - RIO DE JANEIRO - RJ - 00.394.544/0213-44"/>
    <n v="13"/>
  </r>
  <r>
    <x v="0"/>
    <x v="3"/>
    <x v="1"/>
    <n v="2284062000521"/>
    <x v="668"/>
    <s v="RIO DE JANEIRO"/>
    <s v="RJ"/>
    <x v="4"/>
    <s v="RAFAEL ESTEVES (RJ/SPI/SUL)"/>
    <n v="64"/>
    <x v="2"/>
    <s v="HOSPITAL BARRA DOR (REDE DOR) - RIO DE JANEIRO - RJ - 02.284.062/0005-21"/>
    <n v="25"/>
  </r>
  <r>
    <x v="0"/>
    <x v="3"/>
    <x v="1"/>
    <n v="4779685002382"/>
    <x v="716"/>
    <s v="RIO DE JANEIRO"/>
    <s v="RJ"/>
    <x v="4"/>
    <s v="RAFAEL ESTEVES (RJ/SPI/SUL)"/>
    <n v="70"/>
    <x v="0"/>
    <s v="DROGARIA MODERNA - RIO DE JANEIRO - RJ - 04.779.685/0023-82"/>
    <n v="180"/>
  </r>
  <r>
    <x v="0"/>
    <x v="3"/>
    <x v="1"/>
    <n v="6047087000996"/>
    <x v="670"/>
    <s v="RIO DE JANEIRO"/>
    <s v="RJ"/>
    <x v="4"/>
    <s v="RAFAEL ESTEVES (RJ/SPI/SUL)"/>
    <n v="64"/>
    <x v="2"/>
    <s v="HOSPITAL COPA DOR (REDE DOR) - RIO DE JANEIRO - RJ - 06.047.087/0009-96"/>
    <n v="20"/>
  </r>
  <r>
    <x v="0"/>
    <x v="3"/>
    <x v="1"/>
    <n v="6047087001020"/>
    <x v="671"/>
    <s v="RIO DE JANEIRO"/>
    <s v="RJ"/>
    <x v="4"/>
    <s v="RAFAEL ESTEVES (RJ/SPI/SUL)"/>
    <n v="62"/>
    <x v="3"/>
    <s v="HOSPITAL QUINTA DOR (REDE DOR) - RIO DE JANEIRO - RJ - 06.047.087/0010-20"/>
    <n v="35"/>
  </r>
  <r>
    <x v="0"/>
    <x v="3"/>
    <x v="1"/>
    <n v="6047087001020"/>
    <x v="671"/>
    <s v="RIO DE JANEIRO"/>
    <s v="RJ"/>
    <x v="4"/>
    <s v="RAFAEL ESTEVES (RJ/SPI/SUL)"/>
    <n v="64"/>
    <x v="2"/>
    <s v="HOSPITAL QUINTA DOR (REDE DOR) - RIO DE JANEIRO - RJ - 06.047.087/0010-20"/>
    <n v="86"/>
  </r>
  <r>
    <x v="0"/>
    <x v="3"/>
    <x v="1"/>
    <n v="6047087003316"/>
    <x v="673"/>
    <s v="RIO DE JANEIRO"/>
    <s v="RJ"/>
    <x v="4"/>
    <s v="RAFAEL ESTEVES (RJ/SPI/SUL)"/>
    <n v="62"/>
    <x v="3"/>
    <s v="HOSPITAL OESTE DOR (REDE DOR) - RIO DE JANEIRO - RJ - 06.047.087/0033-16"/>
    <n v="2"/>
  </r>
  <r>
    <x v="0"/>
    <x v="3"/>
    <x v="1"/>
    <n v="6047087003316"/>
    <x v="673"/>
    <s v="RIO DE JANEIRO"/>
    <s v="RJ"/>
    <x v="4"/>
    <s v="RAFAEL ESTEVES (RJ/SPI/SUL)"/>
    <n v="64"/>
    <x v="2"/>
    <s v="HOSPITAL OESTE DOR (REDE DOR) - RIO DE JANEIRO - RJ - 06.047.087/0033-16"/>
    <n v="5"/>
  </r>
  <r>
    <x v="0"/>
    <x v="3"/>
    <x v="1"/>
    <n v="8850962000222"/>
    <x v="676"/>
    <s v="RIO DE JANEIRO"/>
    <s v="RJ"/>
    <x v="4"/>
    <s v="RAFAEL ESTEVES (RJ/SPI/SUL)"/>
    <n v="64"/>
    <x v="2"/>
    <s v="INSTITUTO DOR DE GESTAO DE SAUDE PUBLICA (REDE DOR) - RIO DE JANEIRO - RJ - 08.850.962/0002-22"/>
    <n v="3"/>
  </r>
  <r>
    <x v="0"/>
    <x v="3"/>
    <x v="1"/>
    <n v="9219138000401"/>
    <x v="714"/>
    <s v="RIO DE JANEIRO"/>
    <s v="RJ"/>
    <x v="4"/>
    <s v="RAFAEL ESTEVES (RJ/SPI/SUL)"/>
    <n v="70"/>
    <x v="0"/>
    <s v="UNIMED-RIO EMPREENDIMENTOS MEDICOS E HOSPITALARES LTDA - RIO DE JANEIRO - RJ - 09.219.138/0004-01"/>
    <n v="265"/>
  </r>
  <r>
    <x v="0"/>
    <x v="3"/>
    <x v="1"/>
    <n v="9219138000584"/>
    <x v="677"/>
    <s v="RIO DE JANEIRO"/>
    <s v="RJ"/>
    <x v="4"/>
    <s v="RAFAEL ESTEVES (RJ/SPI/SUL)"/>
    <n v="62"/>
    <x v="3"/>
    <s v="UNIMED-RIO EMPREENDIMENTOS MEDICOS E HOSPITALARES LTDA - RIO DE JANEIRO - RJ - 09.219.138/0005-84"/>
    <n v="17"/>
  </r>
  <r>
    <x v="0"/>
    <x v="3"/>
    <x v="1"/>
    <n v="9219138000584"/>
    <x v="677"/>
    <s v="RIO DE JANEIRO"/>
    <s v="RJ"/>
    <x v="4"/>
    <s v="RAFAEL ESTEVES (RJ/SPI/SUL)"/>
    <n v="64"/>
    <x v="2"/>
    <s v="UNIMED-RIO EMPREENDIMENTOS MEDICOS E HOSPITALARES LTDA - RIO DE JANEIRO - RJ - 09.219.138/0005-84"/>
    <n v="18"/>
  </r>
  <r>
    <x v="0"/>
    <x v="3"/>
    <x v="1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735"/>
  </r>
  <r>
    <x v="0"/>
    <x v="3"/>
    <x v="1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48"/>
  </r>
  <r>
    <x v="0"/>
    <x v="3"/>
    <x v="1"/>
    <n v="9578217000158"/>
    <x v="678"/>
    <s v="RIO DE JANEIRO"/>
    <s v="RJ"/>
    <x v="4"/>
    <s v="RAFAEL ESTEVES (RJ/SPI/SUL)"/>
    <n v="62"/>
    <x v="3"/>
    <s v="HOSPITAL NORTE DOR DE CASCADURA S.A (REDE DOR) - RIO DE JANEIRO - RJ - 09.578.217/0001-58"/>
    <n v="2"/>
  </r>
  <r>
    <x v="0"/>
    <x v="3"/>
    <x v="1"/>
    <n v="9578217000158"/>
    <x v="678"/>
    <s v="RIO DE JANEIRO"/>
    <s v="RJ"/>
    <x v="4"/>
    <s v="RAFAEL ESTEVES (RJ/SPI/SUL)"/>
    <n v="64"/>
    <x v="2"/>
    <s v="HOSPITAL NORTE DOR DE CASCADURA S.A (REDE DOR) - RIO DE JANEIRO - RJ - 09.578.217/0001-58"/>
    <n v="2"/>
  </r>
  <r>
    <x v="0"/>
    <x v="3"/>
    <x v="1"/>
    <n v="18010750000100"/>
    <x v="681"/>
    <s v="RIO DE JANEIRO"/>
    <s v="RJ"/>
    <x v="4"/>
    <s v="RAFAEL ESTEVES (RJ/SPI/SUL)"/>
    <n v="70"/>
    <x v="0"/>
    <s v="HOSPITAL SAO VICENTE DE PAULO - RIO DE JANEIRO - RJ - 18.010.750/0001-00"/>
    <n v="170"/>
  </r>
  <r>
    <x v="0"/>
    <x v="3"/>
    <x v="1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6"/>
  </r>
  <r>
    <x v="0"/>
    <x v="3"/>
    <x v="1"/>
    <n v="22233557000105"/>
    <x v="717"/>
    <s v="RIO DE JANEIRO"/>
    <s v="RJ"/>
    <x v="4"/>
    <s v="RAFAEL ESTEVES (RJ/SPI/SUL)"/>
    <n v="64"/>
    <x v="2"/>
    <s v="HOSPITAL ILHA DO GOVERNADOR LTDA - RIO DE JANEIRO - RJ - 22.233.557/0001-05"/>
    <n v="2"/>
  </r>
  <r>
    <x v="0"/>
    <x v="3"/>
    <x v="1"/>
    <n v="28000107000159"/>
    <x v="686"/>
    <s v="RIO DE JANEIRO"/>
    <s v="RJ"/>
    <x v="4"/>
    <s v="RAFAEL ESTEVES (RJ/SPI/SUL)"/>
    <n v="70"/>
    <x v="0"/>
    <s v="ONCOLOGIA REDE DOR S.A. - RIO DE JANEIRO - RJ - 28.000.107/0001-59"/>
    <n v="60"/>
  </r>
  <r>
    <x v="0"/>
    <x v="3"/>
    <x v="1"/>
    <n v="28000107000159"/>
    <x v="686"/>
    <s v="RIO DE JANEIRO"/>
    <s v="RJ"/>
    <x v="4"/>
    <s v="RAFAEL ESTEVES (RJ/SPI/SUL)"/>
    <n v="73"/>
    <x v="1"/>
    <s v="ONCOLOGIA REDE DOR S.A. - RIO DE JANEIRO - RJ - 28.000.107/0001-59"/>
    <n v="152"/>
  </r>
  <r>
    <x v="0"/>
    <x v="3"/>
    <x v="1"/>
    <n v="29259736000403"/>
    <x v="688"/>
    <s v="RIO DE JANEIRO"/>
    <s v="RJ"/>
    <x v="4"/>
    <s v="RAFAEL ESTEVES (RJ/SPI/SUL)"/>
    <n v="64"/>
    <x v="2"/>
    <s v="HOSPITAL RIOS DOR (REDE DOR) - RIO DE JANEIRO - RJ - 29.259.736/0004-03"/>
    <n v="7"/>
  </r>
  <r>
    <x v="0"/>
    <x v="3"/>
    <x v="1"/>
    <n v="29259736000403"/>
    <x v="688"/>
    <s v="RIO DE JANEIRO"/>
    <s v="RJ"/>
    <x v="4"/>
    <s v="RAFAEL ESTEVES (RJ/SPI/SUL)"/>
    <n v="73"/>
    <x v="1"/>
    <s v="HOSPITAL RIOS DOR (REDE DOR) - RIO DE JANEIRO - RJ - 29.259.736/0004-03"/>
    <n v="16"/>
  </r>
  <r>
    <x v="0"/>
    <x v="3"/>
    <x v="1"/>
    <n v="29435005005198"/>
    <x v="689"/>
    <s v="RIO DE JANEIRO"/>
    <s v="RJ"/>
    <x v="4"/>
    <s v="RAFAEL ESTEVES (RJ/SPI/SUL)"/>
    <n v="62"/>
    <x v="3"/>
    <s v="HOSPITAL PRO-CARDIACO - RIO DE JANEIRO - RJ - 29.435.005/0051-98"/>
    <n v="61"/>
  </r>
  <r>
    <x v="0"/>
    <x v="3"/>
    <x v="1"/>
    <n v="29435005005198"/>
    <x v="689"/>
    <s v="RIO DE JANEIRO"/>
    <s v="RJ"/>
    <x v="4"/>
    <s v="RAFAEL ESTEVES (RJ/SPI/SUL)"/>
    <n v="64"/>
    <x v="2"/>
    <s v="HOSPITAL PRO-CARDIACO - RIO DE JANEIRO - RJ - 29.435.005/0051-98"/>
    <n v="26"/>
  </r>
  <r>
    <x v="0"/>
    <x v="3"/>
    <x v="1"/>
    <n v="29435005005783"/>
    <x v="690"/>
    <s v="RIO DE JANEIRO"/>
    <s v="RJ"/>
    <x v="4"/>
    <s v="RAFAEL ESTEVES (RJ/SPI/SUL)"/>
    <n v="70"/>
    <x v="0"/>
    <s v="HOSPITAL PASTEUR - RIO DE JANEIRO - RJ - 29.435.005/0057-83"/>
    <n v="305"/>
  </r>
  <r>
    <x v="0"/>
    <x v="3"/>
    <x v="1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32"/>
  </r>
  <r>
    <x v="0"/>
    <x v="3"/>
    <x v="1"/>
    <n v="31925548000176"/>
    <x v="718"/>
    <s v="RIO DE JANEIRO"/>
    <s v="RJ"/>
    <x v="4"/>
    <s v="RAFAEL ESTEVES (RJ/SPI/SUL)"/>
    <n v="70"/>
    <x v="0"/>
    <s v="ASSIM SAUDE - RIO DE JANEIRO - RJ - 31.925.548/0001-76"/>
    <n v="90"/>
  </r>
  <r>
    <x v="0"/>
    <x v="3"/>
    <x v="1"/>
    <n v="33000167000101"/>
    <x v="695"/>
    <s v="RIO DE JANEIRO"/>
    <s v="RJ"/>
    <x v="4"/>
    <s v="RAFAEL ESTEVES (RJ/SPI/SUL)"/>
    <n v="70"/>
    <x v="0"/>
    <s v="PETROBRAS - RIO DE JANEIRO - RJ - 33.000.167/0001-01"/>
    <n v="20"/>
  </r>
  <r>
    <x v="0"/>
    <x v="3"/>
    <x v="1"/>
    <n v="33419482000259"/>
    <x v="696"/>
    <s v="RIO DE JANEIRO"/>
    <s v="RJ"/>
    <x v="4"/>
    <s v="RAFAEL ESTEVES (RJ/SPI/SUL)"/>
    <n v="62"/>
    <x v="3"/>
    <s v="LARANJEIRAS CLINICA PERINATAL - RIO DE JANEIRO - RJ - 33.419.482/0002-59"/>
    <n v="4"/>
  </r>
  <r>
    <x v="0"/>
    <x v="3"/>
    <x v="1"/>
    <n v="33419482000259"/>
    <x v="696"/>
    <s v="RIO DE JANEIRO"/>
    <s v="RJ"/>
    <x v="4"/>
    <s v="RAFAEL ESTEVES (RJ/SPI/SUL)"/>
    <n v="64"/>
    <x v="2"/>
    <s v="LARANJEIRAS CLINICA PERINATAL - RIO DE JANEIRO - RJ - 33.419.482/0002-59"/>
    <n v="3"/>
  </r>
  <r>
    <x v="0"/>
    <x v="3"/>
    <x v="1"/>
    <n v="33419482000259"/>
    <x v="696"/>
    <s v="RIO DE JANEIRO"/>
    <s v="RJ"/>
    <x v="4"/>
    <s v="RAFAEL ESTEVES (RJ/SPI/SUL)"/>
    <n v="70"/>
    <x v="0"/>
    <s v="LARANJEIRAS CLINICA PERINATAL - RIO DE JANEIRO - RJ - 33.419.482/0002-59"/>
    <n v="50"/>
  </r>
  <r>
    <x v="0"/>
    <x v="3"/>
    <x v="1"/>
    <n v="33540014000157"/>
    <x v="719"/>
    <s v="RIO DE JANEIRO"/>
    <s v="RJ"/>
    <x v="4"/>
    <s v="RAFAEL ESTEVES (RJ/SPI/SUL)"/>
    <n v="66"/>
    <x v="4"/>
    <s v="UERJ - RIO DE JANEIRO - RJ - 33.540.014/0001-57"/>
    <n v="3"/>
  </r>
  <r>
    <x v="0"/>
    <x v="3"/>
    <x v="1"/>
    <n v="33663683005347"/>
    <x v="698"/>
    <s v="RIO DE JANEIRO"/>
    <s v="RJ"/>
    <x v="4"/>
    <s v="RAFAEL ESTEVES (RJ/SPI/SUL)"/>
    <n v="62"/>
    <x v="3"/>
    <s v="HOSPITAL UNIVERSITARIO - RIO DE JANEIRO - RJ - 33.663.683/0053-47"/>
    <n v="41"/>
  </r>
  <r>
    <x v="0"/>
    <x v="3"/>
    <x v="1"/>
    <n v="33663683005347"/>
    <x v="698"/>
    <s v="RIO DE JANEIRO"/>
    <s v="RJ"/>
    <x v="4"/>
    <s v="RAFAEL ESTEVES (RJ/SPI/SUL)"/>
    <n v="64"/>
    <x v="2"/>
    <s v="HOSPITAL UNIVERSITARIO - RIO DE JANEIRO - RJ - 33.663.683/0053-47"/>
    <n v="41"/>
  </r>
  <r>
    <x v="0"/>
    <x v="3"/>
    <x v="1"/>
    <n v="33663683005347"/>
    <x v="698"/>
    <s v="RIO DE JANEIRO"/>
    <s v="RJ"/>
    <x v="4"/>
    <s v="RAFAEL ESTEVES (RJ/SPI/SUL)"/>
    <n v="70"/>
    <x v="0"/>
    <s v="HOSPITAL UNIVERSITARIO - RIO DE JANEIRO - RJ - 33.663.683/0053-47"/>
    <n v="1600"/>
  </r>
  <r>
    <x v="0"/>
    <x v="3"/>
    <x v="1"/>
    <n v="33722224000166"/>
    <x v="720"/>
    <s v="RIO DE JANEIRO"/>
    <s v="RJ"/>
    <x v="4"/>
    <s v="RAFAEL ESTEVES (RJ/SPI/SUL)"/>
    <n v="64"/>
    <x v="2"/>
    <s v="HOSPITAL ISRAELITA ALBERT SABIN (REDE DOR) - RIO DE JANEIRO - RJ - 33.722.224/0001-66"/>
    <n v="5"/>
  </r>
  <r>
    <x v="0"/>
    <x v="3"/>
    <x v="1"/>
    <n v="33781055000216"/>
    <x v="699"/>
    <s v="RIO DE JANEIRO"/>
    <s v="RJ"/>
    <x v="4"/>
    <s v="RAFAEL ESTEVES (RJ/SPI/SUL)"/>
    <n v="70"/>
    <x v="0"/>
    <s v="INSTITUTO FERNANDES FIGUEIRA - RIO DE JANEIRO - RJ - 33.781.055/0002-16"/>
    <n v="100"/>
  </r>
  <r>
    <x v="0"/>
    <x v="3"/>
    <x v="1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150"/>
  </r>
  <r>
    <x v="0"/>
    <x v="3"/>
    <x v="1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128"/>
  </r>
  <r>
    <x v="0"/>
    <x v="3"/>
    <x v="1"/>
    <n v="40320103000153"/>
    <x v="710"/>
    <s v="RIO DE JANEIRO"/>
    <s v="RJ"/>
    <x v="4"/>
    <s v="RAFAEL ESTEVES (RJ/SPI/SUL)"/>
    <n v="64"/>
    <x v="2"/>
    <s v="CLIMES CLINICA MEDICA ESPECIALIZADA LTDA - RIO DE JANEIRO - RJ - 40.320.103/0001-53"/>
    <n v="10"/>
  </r>
  <r>
    <x v="0"/>
    <x v="3"/>
    <x v="1"/>
    <n v="42297507000107"/>
    <x v="711"/>
    <s v="RIO DE JANEIRO"/>
    <s v="RJ"/>
    <x v="4"/>
    <s v="RAFAEL ESTEVES (RJ/SPI/SUL)"/>
    <n v="62"/>
    <x v="3"/>
    <s v="HOSPITAL BALBINO - RIO DE JANEIRO - RJ - 42.297.507/0001-07"/>
    <n v="3"/>
  </r>
  <r>
    <x v="0"/>
    <x v="3"/>
    <x v="1"/>
    <n v="42297507000107"/>
    <x v="711"/>
    <s v="RIO DE JANEIRO"/>
    <s v="RJ"/>
    <x v="4"/>
    <s v="RAFAEL ESTEVES (RJ/SPI/SUL)"/>
    <n v="64"/>
    <x v="2"/>
    <s v="HOSPITAL BALBINO - RIO DE JANEIRO - RJ - 42.297.507/0001-07"/>
    <n v="6"/>
  </r>
  <r>
    <x v="0"/>
    <x v="3"/>
    <x v="1"/>
    <n v="60884855001630"/>
    <x v="703"/>
    <s v="RIO DE JANEIRO"/>
    <s v="RJ"/>
    <x v="4"/>
    <s v="RAFAEL ESTEVES (RJ/SPI/SUL)"/>
    <n v="62"/>
    <x v="3"/>
    <s v="HOSPITAL SAO LUCAS - RIO DE JANEIRO - RJ - 60.884.855/0016-30"/>
    <n v="61"/>
  </r>
  <r>
    <x v="0"/>
    <x v="3"/>
    <x v="1"/>
    <n v="60884855001630"/>
    <x v="703"/>
    <s v="RIO DE JANEIRO"/>
    <s v="RJ"/>
    <x v="4"/>
    <s v="RAFAEL ESTEVES (RJ/SPI/SUL)"/>
    <n v="64"/>
    <x v="2"/>
    <s v="HOSPITAL SAO LUCAS - RIO DE JANEIRO - RJ - 60.884.855/0016-30"/>
    <n v="38"/>
  </r>
  <r>
    <x v="0"/>
    <x v="3"/>
    <x v="1"/>
    <n v="60922168000348"/>
    <x v="704"/>
    <s v="RIO DE JANEIRO"/>
    <s v="RJ"/>
    <x v="4"/>
    <s v="RAFAEL ESTEVES (RJ/SPI/SUL)"/>
    <n v="62"/>
    <x v="3"/>
    <s v="CASA DE SAUDE SAO JOSE - RIO DE JANEIRO - RJ - 60.922.168/0003-48"/>
    <n v="6"/>
  </r>
  <r>
    <x v="0"/>
    <x v="3"/>
    <x v="1"/>
    <n v="60922168000348"/>
    <x v="704"/>
    <s v="RIO DE JANEIRO"/>
    <s v="RJ"/>
    <x v="4"/>
    <s v="RAFAEL ESTEVES (RJ/SPI/SUL)"/>
    <n v="64"/>
    <x v="2"/>
    <s v="CASA DE SAUDE SAO JOSE - RIO DE JANEIRO - RJ - 60.922.168/0003-48"/>
    <n v="6"/>
  </r>
  <r>
    <x v="0"/>
    <x v="3"/>
    <x v="1"/>
    <n v="60922168000348"/>
    <x v="704"/>
    <s v="RIO DE JANEIRO"/>
    <s v="RJ"/>
    <x v="4"/>
    <s v="RAFAEL ESTEVES (RJ/SPI/SUL)"/>
    <n v="70"/>
    <x v="0"/>
    <s v="CASA DE SAUDE SAO JOSE - RIO DE JANEIRO - RJ - 60.922.168/0003-48"/>
    <n v="750"/>
  </r>
  <r>
    <x v="0"/>
    <x v="3"/>
    <x v="1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705"/>
  </r>
  <r>
    <x v="0"/>
    <x v="3"/>
    <x v="1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133"/>
  </r>
  <r>
    <x v="0"/>
    <x v="4"/>
    <x v="1"/>
    <n v="92929000198"/>
    <x v="721"/>
    <s v="RIO DE JANEIRO"/>
    <s v="RJ"/>
    <x v="4"/>
    <s v="RAFAEL ESTEVES (RJ/SPI/SUL)"/>
    <n v="73"/>
    <x v="1"/>
    <s v="PRONEP LAR INTERNACAO DOMICILIAR LTDA - RIO DE JANEIRO - RJ - 00.092.929/0001-98"/>
    <n v="60"/>
  </r>
  <r>
    <x v="0"/>
    <x v="4"/>
    <x v="1"/>
    <n v="394502014870"/>
    <x v="666"/>
    <s v="RIO DE JANEIRO"/>
    <s v="RJ"/>
    <x v="4"/>
    <s v="RAFAEL ESTEVES (RJ/SPI/SUL)"/>
    <n v="64"/>
    <x v="2"/>
    <s v="HOSPITAL NAVAL MARCILIO DIAS - RIO DE JANEIRO - RJ - 00.394.502/0148-70"/>
    <n v="10"/>
  </r>
  <r>
    <x v="0"/>
    <x v="4"/>
    <x v="1"/>
    <n v="394502014870"/>
    <x v="666"/>
    <s v="RIO DE JANEIRO"/>
    <s v="RJ"/>
    <x v="4"/>
    <s v="RAFAEL ESTEVES (RJ/SPI/SUL)"/>
    <n v="70"/>
    <x v="0"/>
    <s v="HOSPITAL NAVAL MARCILIO DIAS - RIO DE JANEIRO - RJ - 00.394.502/0148-70"/>
    <n v="1000"/>
  </r>
  <r>
    <x v="0"/>
    <x v="4"/>
    <x v="1"/>
    <n v="2284062000521"/>
    <x v="668"/>
    <s v="RIO DE JANEIRO"/>
    <s v="RJ"/>
    <x v="4"/>
    <s v="RAFAEL ESTEVES (RJ/SPI/SUL)"/>
    <n v="64"/>
    <x v="2"/>
    <s v="HOSPITAL BARRA DOR (REDE DOR) - RIO DE JANEIRO - RJ - 02.284.062/0005-21"/>
    <n v="5"/>
  </r>
  <r>
    <x v="0"/>
    <x v="4"/>
    <x v="1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80"/>
  </r>
  <r>
    <x v="0"/>
    <x v="4"/>
    <x v="1"/>
    <n v="6047087000996"/>
    <x v="670"/>
    <s v="RIO DE JANEIRO"/>
    <s v="RJ"/>
    <x v="4"/>
    <s v="RAFAEL ESTEVES (RJ/SPI/SUL)"/>
    <n v="70"/>
    <x v="0"/>
    <s v="HOSPITAL COPA DOR (REDE DOR) - RIO DE JANEIRO - RJ - 06.047.087/0009-96"/>
    <n v="120"/>
  </r>
  <r>
    <x v="0"/>
    <x v="4"/>
    <x v="1"/>
    <n v="6047087000996"/>
    <x v="670"/>
    <s v="RIO DE JANEIRO"/>
    <s v="RJ"/>
    <x v="4"/>
    <s v="RAFAEL ESTEVES (RJ/SPI/SUL)"/>
    <n v="73"/>
    <x v="1"/>
    <s v="HOSPITAL COPA DOR (REDE DOR) - RIO DE JANEIRO - RJ - 06.047.087/0009-96"/>
    <n v="24"/>
  </r>
  <r>
    <x v="0"/>
    <x v="4"/>
    <x v="1"/>
    <n v="6047087001020"/>
    <x v="671"/>
    <s v="RIO DE JANEIRO"/>
    <s v="RJ"/>
    <x v="4"/>
    <s v="RAFAEL ESTEVES (RJ/SPI/SUL)"/>
    <n v="62"/>
    <x v="3"/>
    <s v="HOSPITAL QUINTA DOR (REDE DOR) - RIO DE JANEIRO - RJ - 06.047.087/0010-20"/>
    <n v="65"/>
  </r>
  <r>
    <x v="0"/>
    <x v="4"/>
    <x v="1"/>
    <n v="6047087001020"/>
    <x v="671"/>
    <s v="RIO DE JANEIRO"/>
    <s v="RJ"/>
    <x v="4"/>
    <s v="RAFAEL ESTEVES (RJ/SPI/SUL)"/>
    <n v="64"/>
    <x v="2"/>
    <s v="HOSPITAL QUINTA DOR (REDE DOR) - RIO DE JANEIRO - RJ - 06.047.087/0010-20"/>
    <n v="41"/>
  </r>
  <r>
    <x v="0"/>
    <x v="4"/>
    <x v="1"/>
    <n v="6047087002697"/>
    <x v="672"/>
    <s v="RIO DE JANEIRO"/>
    <s v="RJ"/>
    <x v="4"/>
    <s v="RAFAEL ESTEVES (RJ/SPI/SUL)"/>
    <n v="62"/>
    <x v="3"/>
    <s v="HOSPITAL COPA DOR STAR (REDE DOR) - RIO DE JANEIRO - RJ - 06.047.087/0026-97"/>
    <n v="4"/>
  </r>
  <r>
    <x v="0"/>
    <x v="4"/>
    <x v="1"/>
    <n v="6047087003316"/>
    <x v="673"/>
    <s v="RIO DE JANEIRO"/>
    <s v="RJ"/>
    <x v="4"/>
    <s v="RAFAEL ESTEVES (RJ/SPI/SUL)"/>
    <n v="62"/>
    <x v="3"/>
    <s v="HOSPITAL OESTE DOR (REDE DOR) - RIO DE JANEIRO - RJ - 06.047.087/0033-16"/>
    <n v="2"/>
  </r>
  <r>
    <x v="0"/>
    <x v="4"/>
    <x v="1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400"/>
  </r>
  <r>
    <x v="0"/>
    <x v="4"/>
    <x v="1"/>
    <n v="8100676002102"/>
    <x v="675"/>
    <s v="RIO DE JANEIRO"/>
    <s v="RJ"/>
    <x v="4"/>
    <s v="RAFAEL ESTEVES (RJ/SPI/SUL)"/>
    <n v="62"/>
    <x v="3"/>
    <s v="HOSPITAL SAMARITANO - RIO DE JANEIRO - RJ - 08.100.676/0021-02"/>
    <n v="10"/>
  </r>
  <r>
    <x v="0"/>
    <x v="4"/>
    <x v="1"/>
    <n v="8100676002102"/>
    <x v="675"/>
    <s v="RIO DE JANEIRO"/>
    <s v="RJ"/>
    <x v="4"/>
    <s v="RAFAEL ESTEVES (RJ/SPI/SUL)"/>
    <n v="64"/>
    <x v="2"/>
    <s v="HOSPITAL SAMARITANO - RIO DE JANEIRO - RJ - 08.100.676/0021-02"/>
    <n v="20"/>
  </r>
  <r>
    <x v="0"/>
    <x v="4"/>
    <x v="1"/>
    <n v="8850962000222"/>
    <x v="676"/>
    <s v="RIO DE JANEIRO"/>
    <s v="RJ"/>
    <x v="4"/>
    <s v="RAFAEL ESTEVES (RJ/SPI/SUL)"/>
    <n v="62"/>
    <x v="3"/>
    <s v="INSTITUTO DOR DE GESTAO DE SAUDE PUBLICA (REDE DOR) - RIO DE JANEIRO - RJ - 08.850.962/0002-22"/>
    <n v="7"/>
  </r>
  <r>
    <x v="0"/>
    <x v="4"/>
    <x v="1"/>
    <n v="8850962000222"/>
    <x v="676"/>
    <s v="RIO DE JANEIRO"/>
    <s v="RJ"/>
    <x v="4"/>
    <s v="RAFAEL ESTEVES (RJ/SPI/SUL)"/>
    <n v="64"/>
    <x v="2"/>
    <s v="INSTITUTO DOR DE GESTAO DE SAUDE PUBLICA (REDE DOR) - RIO DE JANEIRO - RJ - 08.850.962/0002-22"/>
    <n v="4"/>
  </r>
  <r>
    <x v="0"/>
    <x v="4"/>
    <x v="1"/>
    <n v="9219138000401"/>
    <x v="714"/>
    <s v="RIO DE JANEIRO"/>
    <s v="RJ"/>
    <x v="4"/>
    <s v="RAFAEL ESTEVES (RJ/SPI/SUL)"/>
    <n v="70"/>
    <x v="0"/>
    <s v="UNIMED-RIO EMPREENDIMENTOS MEDICOS E HOSPITALARES LTDA - RIO DE JANEIRO - RJ - 09.219.138/0004-01"/>
    <n v="1105"/>
  </r>
  <r>
    <x v="0"/>
    <x v="4"/>
    <x v="1"/>
    <n v="9219138000584"/>
    <x v="677"/>
    <s v="RIO DE JANEIRO"/>
    <s v="RJ"/>
    <x v="4"/>
    <s v="RAFAEL ESTEVES (RJ/SPI/SUL)"/>
    <n v="62"/>
    <x v="3"/>
    <s v="UNIMED-RIO EMPREENDIMENTOS MEDICOS E HOSPITALARES LTDA - RIO DE JANEIRO - RJ - 09.219.138/0005-84"/>
    <n v="4"/>
  </r>
  <r>
    <x v="0"/>
    <x v="4"/>
    <x v="1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430"/>
  </r>
  <r>
    <x v="0"/>
    <x v="4"/>
    <x v="1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04"/>
  </r>
  <r>
    <x v="0"/>
    <x v="4"/>
    <x v="1"/>
    <n v="9578217000158"/>
    <x v="678"/>
    <s v="RIO DE JANEIRO"/>
    <s v="RJ"/>
    <x v="4"/>
    <s v="RAFAEL ESTEVES (RJ/SPI/SUL)"/>
    <n v="62"/>
    <x v="3"/>
    <s v="HOSPITAL NORTE DOR DE CASCADURA S.A (REDE DOR) - RIO DE JANEIRO - RJ - 09.578.217/0001-58"/>
    <n v="3"/>
  </r>
  <r>
    <x v="0"/>
    <x v="4"/>
    <x v="1"/>
    <n v="9578217000158"/>
    <x v="678"/>
    <s v="RIO DE JANEIRO"/>
    <s v="RJ"/>
    <x v="4"/>
    <s v="RAFAEL ESTEVES (RJ/SPI/SUL)"/>
    <n v="64"/>
    <x v="2"/>
    <s v="HOSPITAL NORTE DOR DE CASCADURA S.A (REDE DOR) - RIO DE JANEIRO - RJ - 09.578.217/0001-58"/>
    <n v="4"/>
  </r>
  <r>
    <x v="0"/>
    <x v="4"/>
    <x v="1"/>
    <n v="10834118000179"/>
    <x v="722"/>
    <s v="RIO DE JANEIRO"/>
    <s v="RJ"/>
    <x v="4"/>
    <s v="RAFAEL ESTEVES (RJ/SPI/SUL)"/>
    <n v="64"/>
    <x v="2"/>
    <s v="FUNDACAO SAUDE DO ESTADO DO RIO DE JANEIRO - RIO DE JANEIRO - RJ - 10.834.118/0001-79"/>
    <n v="20"/>
  </r>
  <r>
    <x v="0"/>
    <x v="4"/>
    <x v="1"/>
    <n v="10922058000146"/>
    <x v="723"/>
    <s v="RIO DE JANEIRO"/>
    <s v="RJ"/>
    <x v="4"/>
    <s v="RAFAEL ESTEVES (RJ/SPI/SUL)"/>
    <n v="70"/>
    <x v="0"/>
    <s v="CID - CENTRO DE INFUSAO - RIO DE JANEIRO - RJ - PRIVADO - 10.922.058/0001-46"/>
    <n v="150"/>
  </r>
  <r>
    <x v="0"/>
    <x v="4"/>
    <x v="1"/>
    <n v="18010750000100"/>
    <x v="681"/>
    <s v="RIO DE JANEIRO"/>
    <s v="RJ"/>
    <x v="4"/>
    <s v="RAFAEL ESTEVES (RJ/SPI/SUL)"/>
    <n v="62"/>
    <x v="3"/>
    <s v="HOSPITAL SAO VICENTE DE PAULO - RIO DE JANEIRO - RJ - 18.010.750/0001-00"/>
    <n v="2"/>
  </r>
  <r>
    <x v="0"/>
    <x v="4"/>
    <x v="1"/>
    <n v="18010750000100"/>
    <x v="681"/>
    <s v="RIO DE JANEIRO"/>
    <s v="RJ"/>
    <x v="4"/>
    <s v="RAFAEL ESTEVES (RJ/SPI/SUL)"/>
    <n v="70"/>
    <x v="0"/>
    <s v="HOSPITAL SAO VICENTE DE PAULO - RIO DE JANEIRO - RJ - 18.010.750/0001-00"/>
    <n v="655"/>
  </r>
  <r>
    <x v="0"/>
    <x v="4"/>
    <x v="1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6"/>
  </r>
  <r>
    <x v="0"/>
    <x v="4"/>
    <x v="1"/>
    <n v="24217779000160"/>
    <x v="684"/>
    <s v="RIO DE JANEIRO"/>
    <s v="RJ"/>
    <x v="4"/>
    <s v="RAFAEL ESTEVES (RJ/SPI/SUL)"/>
    <n v="62"/>
    <x v="3"/>
    <s v="HOSPITAL CASA ARRENDATARIA SERVICOS MEDICOS HOSPITALARES E INVESTIMENTOS LTDA - RIO DE JANEIRO - RJ - 24.217.779/0001-60"/>
    <n v="3"/>
  </r>
  <r>
    <x v="0"/>
    <x v="4"/>
    <x v="1"/>
    <n v="24217779000160"/>
    <x v="684"/>
    <s v="RIO DE JANEIRO"/>
    <s v="RJ"/>
    <x v="4"/>
    <s v="RAFAEL ESTEVES (RJ/SPI/SUL)"/>
    <n v="64"/>
    <x v="2"/>
    <s v="HOSPITAL CASA ARRENDATARIA SERVICOS MEDICOS HOSPITALARES E INVESTIMENTOS LTDA - RIO DE JANEIRO - RJ - 24.217.779/0001-60"/>
    <n v="4"/>
  </r>
  <r>
    <x v="0"/>
    <x v="4"/>
    <x v="1"/>
    <n v="27901222000131"/>
    <x v="685"/>
    <s v="RIO DE JANEIRO"/>
    <s v="RJ"/>
    <x v="4"/>
    <s v="RAFAEL ESTEVES (RJ/SPI/SUL)"/>
    <n v="64"/>
    <x v="2"/>
    <s v="HOSPITAL DR. BADIM (REDE DOR) - RIO DE JANEIRO - RJ - 27.901.222/0001-31"/>
    <n v="1"/>
  </r>
  <r>
    <x v="0"/>
    <x v="4"/>
    <x v="1"/>
    <n v="28000107000159"/>
    <x v="686"/>
    <s v="RIO DE JANEIRO"/>
    <s v="RJ"/>
    <x v="4"/>
    <s v="RAFAEL ESTEVES (RJ/SPI/SUL)"/>
    <n v="70"/>
    <x v="0"/>
    <s v="ONCOLOGIA REDE DOR S.A. - RIO DE JANEIRO - RJ - 28.000.107/0001-59"/>
    <n v="90"/>
  </r>
  <r>
    <x v="0"/>
    <x v="4"/>
    <x v="1"/>
    <n v="28000107000159"/>
    <x v="686"/>
    <s v="RIO DE JANEIRO"/>
    <s v="RJ"/>
    <x v="4"/>
    <s v="RAFAEL ESTEVES (RJ/SPI/SUL)"/>
    <n v="73"/>
    <x v="1"/>
    <s v="ONCOLOGIA REDE DOR S.A. - RIO DE JANEIRO - RJ - 28.000.107/0001-59"/>
    <n v="40"/>
  </r>
  <r>
    <x v="0"/>
    <x v="4"/>
    <x v="1"/>
    <n v="28602407000108"/>
    <x v="687"/>
    <s v="RIO DE JANEIRO"/>
    <s v="RJ"/>
    <x v="4"/>
    <s v="RAFAEL ESTEVES (RJ/SPI/SUL)"/>
    <n v="64"/>
    <x v="2"/>
    <s v="URGIL - RIO DE JANEIRO - RJ - 28.602.407/0001-08"/>
    <n v="4"/>
  </r>
  <r>
    <x v="0"/>
    <x v="4"/>
    <x v="1"/>
    <n v="28602407000108"/>
    <x v="687"/>
    <s v="RIO DE JANEIRO"/>
    <s v="RJ"/>
    <x v="4"/>
    <s v="RAFAEL ESTEVES (RJ/SPI/SUL)"/>
    <n v="73"/>
    <x v="1"/>
    <s v="URGIL - RIO DE JANEIRO - RJ - 28.602.407/0001-08"/>
    <n v="4"/>
  </r>
  <r>
    <x v="0"/>
    <x v="4"/>
    <x v="1"/>
    <n v="29259736000403"/>
    <x v="688"/>
    <s v="RIO DE JANEIRO"/>
    <s v="RJ"/>
    <x v="4"/>
    <s v="RAFAEL ESTEVES (RJ/SPI/SUL)"/>
    <n v="64"/>
    <x v="2"/>
    <s v="HOSPITAL RIOS DOR (REDE DOR) - RIO DE JANEIRO - RJ - 29.259.736/0004-03"/>
    <n v="2"/>
  </r>
  <r>
    <x v="0"/>
    <x v="4"/>
    <x v="1"/>
    <n v="29259736000403"/>
    <x v="688"/>
    <s v="RIO DE JANEIRO"/>
    <s v="RJ"/>
    <x v="4"/>
    <s v="RAFAEL ESTEVES (RJ/SPI/SUL)"/>
    <n v="73"/>
    <x v="1"/>
    <s v="HOSPITAL RIOS DOR (REDE DOR) - RIO DE JANEIRO - RJ - 29.259.736/0004-03"/>
    <n v="29"/>
  </r>
  <r>
    <x v="0"/>
    <x v="4"/>
    <x v="1"/>
    <n v="29435005005198"/>
    <x v="689"/>
    <s v="RIO DE JANEIRO"/>
    <s v="RJ"/>
    <x v="4"/>
    <s v="RAFAEL ESTEVES (RJ/SPI/SUL)"/>
    <n v="62"/>
    <x v="3"/>
    <s v="HOSPITAL PRO-CARDIACO - RIO DE JANEIRO - RJ - 29.435.005/0051-98"/>
    <n v="12"/>
  </r>
  <r>
    <x v="0"/>
    <x v="4"/>
    <x v="1"/>
    <n v="29435005005198"/>
    <x v="689"/>
    <s v="RIO DE JANEIRO"/>
    <s v="RJ"/>
    <x v="4"/>
    <s v="RAFAEL ESTEVES (RJ/SPI/SUL)"/>
    <n v="64"/>
    <x v="2"/>
    <s v="HOSPITAL PRO-CARDIACO - RIO DE JANEIRO - RJ - 29.435.005/0051-98"/>
    <n v="10"/>
  </r>
  <r>
    <x v="0"/>
    <x v="4"/>
    <x v="1"/>
    <n v="29435005005198"/>
    <x v="689"/>
    <s v="RIO DE JANEIRO"/>
    <s v="RJ"/>
    <x v="4"/>
    <s v="RAFAEL ESTEVES (RJ/SPI/SUL)"/>
    <n v="70"/>
    <x v="0"/>
    <s v="HOSPITAL PRO-CARDIACO - RIO DE JANEIRO - RJ - 29.435.005/0051-98"/>
    <n v="200"/>
  </r>
  <r>
    <x v="0"/>
    <x v="4"/>
    <x v="1"/>
    <n v="29435005005783"/>
    <x v="690"/>
    <s v="RIO DE JANEIRO"/>
    <s v="RJ"/>
    <x v="4"/>
    <s v="RAFAEL ESTEVES (RJ/SPI/SUL)"/>
    <n v="70"/>
    <x v="0"/>
    <s v="HOSPITAL PASTEUR - RIO DE JANEIRO - RJ - 29.435.005/0057-83"/>
    <n v="25"/>
  </r>
  <r>
    <x v="0"/>
    <x v="4"/>
    <x v="1"/>
    <n v="29435005006160"/>
    <x v="691"/>
    <s v="RIO DE JANEIRO"/>
    <s v="RJ"/>
    <x v="4"/>
    <s v="RAFAEL ESTEVES (RJ/SPI/SUL)"/>
    <n v="62"/>
    <x v="3"/>
    <s v="HOSPITAL SAMARITANO - RIO DE JANEIRO - RJ - 29.435.005/0061-60"/>
    <n v="2"/>
  </r>
  <r>
    <x v="0"/>
    <x v="4"/>
    <x v="1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16"/>
  </r>
  <r>
    <x v="0"/>
    <x v="4"/>
    <x v="1"/>
    <n v="33419482000259"/>
    <x v="696"/>
    <s v="RIO DE JANEIRO"/>
    <s v="RJ"/>
    <x v="4"/>
    <s v="RAFAEL ESTEVES (RJ/SPI/SUL)"/>
    <n v="62"/>
    <x v="3"/>
    <s v="LARANJEIRAS CLINICA PERINATAL - RIO DE JANEIRO - RJ - 33.419.482/0002-59"/>
    <n v="5"/>
  </r>
  <r>
    <x v="0"/>
    <x v="4"/>
    <x v="1"/>
    <n v="33419482000259"/>
    <x v="696"/>
    <s v="RIO DE JANEIRO"/>
    <s v="RJ"/>
    <x v="4"/>
    <s v="RAFAEL ESTEVES (RJ/SPI/SUL)"/>
    <n v="64"/>
    <x v="2"/>
    <s v="LARANJEIRAS CLINICA PERINATAL - RIO DE JANEIRO - RJ - 33.419.482/0002-59"/>
    <n v="6"/>
  </r>
  <r>
    <x v="0"/>
    <x v="4"/>
    <x v="1"/>
    <n v="33575127000600"/>
    <x v="724"/>
    <s v="RIO DE JANEIRO"/>
    <s v="RJ"/>
    <x v="4"/>
    <s v="RAFAEL ESTEVES (RJ/SPI/SUL)"/>
    <n v="70"/>
    <x v="0"/>
    <s v="CASA DE SAUDE SANTA THEREZINHA S A - RIO DE JANEIRO - RJ - 33.575.127/0006-00"/>
    <n v="175"/>
  </r>
  <r>
    <x v="0"/>
    <x v="4"/>
    <x v="1"/>
    <n v="33705849000543"/>
    <x v="725"/>
    <s v="RIO DE JANEIRO"/>
    <s v="RJ"/>
    <x v="4"/>
    <s v="RAFAEL ESTEVES (RJ/SPI/SUL)"/>
    <n v="62"/>
    <x v="3"/>
    <s v="HOSPITAL MEMORIAL FUAD CHIDID LTDA - RIO DE JANEIRO - RJ - 33.705.849/0005-43"/>
    <n v="4"/>
  </r>
  <r>
    <x v="0"/>
    <x v="4"/>
    <x v="1"/>
    <n v="33705849000543"/>
    <x v="725"/>
    <s v="RIO DE JANEIRO"/>
    <s v="RJ"/>
    <x v="4"/>
    <s v="RAFAEL ESTEVES (RJ/SPI/SUL)"/>
    <n v="64"/>
    <x v="2"/>
    <s v="HOSPITAL MEMORIAL FUAD CHIDID LTDA - RIO DE JANEIRO - RJ - 33.705.849/0005-43"/>
    <n v="4"/>
  </r>
  <r>
    <x v="0"/>
    <x v="4"/>
    <x v="1"/>
    <n v="33781055000216"/>
    <x v="699"/>
    <s v="RIO DE JANEIRO"/>
    <s v="RJ"/>
    <x v="4"/>
    <s v="RAFAEL ESTEVES (RJ/SPI/SUL)"/>
    <n v="70"/>
    <x v="0"/>
    <s v="INSTITUTO FERNANDES FIGUEIRA - RIO DE JANEIRO - RJ - 33.781.055/0002-16"/>
    <n v="350"/>
  </r>
  <r>
    <x v="0"/>
    <x v="4"/>
    <x v="1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200"/>
  </r>
  <r>
    <x v="0"/>
    <x v="4"/>
    <x v="1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120"/>
  </r>
  <r>
    <x v="0"/>
    <x v="4"/>
    <x v="1"/>
    <n v="42498733000148"/>
    <x v="726"/>
    <s v="RIO DE JANEIRO"/>
    <s v="RJ"/>
    <x v="4"/>
    <s v="RAFAEL ESTEVES (RJ/SPI/SUL)"/>
    <n v="70"/>
    <x v="0"/>
    <s v="RIO DE JANEIRO GABINETE DO PREFEITO - RIO DE JANEIRO - RJ - 42.498.733/0001-48"/>
    <n v="200"/>
  </r>
  <r>
    <x v="0"/>
    <x v="4"/>
    <x v="1"/>
    <n v="53221255004995"/>
    <x v="702"/>
    <s v="RIO DE JANEIRO"/>
    <s v="RJ"/>
    <x v="4"/>
    <s v="RAFAEL ESTEVES (RJ/SPI/SUL)"/>
    <n v="62"/>
    <x v="3"/>
    <s v="HOSPITAL SAO FRANCISCO NA PROVIDENCIA DE DEUS - RIO DE JANEIRO - RJ - 53.221.255/0049-95"/>
    <n v="1"/>
  </r>
  <r>
    <x v="0"/>
    <x v="4"/>
    <x v="1"/>
    <n v="60884855001630"/>
    <x v="703"/>
    <s v="RIO DE JANEIRO"/>
    <s v="RJ"/>
    <x v="4"/>
    <s v="RAFAEL ESTEVES (RJ/SPI/SUL)"/>
    <n v="62"/>
    <x v="3"/>
    <s v="HOSPITAL SAO LUCAS - RIO DE JANEIRO - RJ - 60.884.855/0016-30"/>
    <n v="27"/>
  </r>
  <r>
    <x v="0"/>
    <x v="4"/>
    <x v="1"/>
    <n v="60884855001630"/>
    <x v="703"/>
    <s v="RIO DE JANEIRO"/>
    <s v="RJ"/>
    <x v="4"/>
    <s v="RAFAEL ESTEVES (RJ/SPI/SUL)"/>
    <n v="64"/>
    <x v="2"/>
    <s v="HOSPITAL SAO LUCAS - RIO DE JANEIRO - RJ - 60.884.855/0016-30"/>
    <n v="20"/>
  </r>
  <r>
    <x v="0"/>
    <x v="4"/>
    <x v="1"/>
    <n v="60884855001630"/>
    <x v="703"/>
    <s v="RIO DE JANEIRO"/>
    <s v="RJ"/>
    <x v="4"/>
    <s v="RAFAEL ESTEVES (RJ/SPI/SUL)"/>
    <n v="70"/>
    <x v="0"/>
    <s v="HOSPITAL SAO LUCAS - RIO DE JANEIRO - RJ - 60.884.855/0016-30"/>
    <n v="255"/>
  </r>
  <r>
    <x v="0"/>
    <x v="4"/>
    <x v="1"/>
    <n v="60922168000348"/>
    <x v="704"/>
    <s v="RIO DE JANEIRO"/>
    <s v="RJ"/>
    <x v="4"/>
    <s v="RAFAEL ESTEVES (RJ/SPI/SUL)"/>
    <n v="64"/>
    <x v="2"/>
    <s v="CASA DE SAUDE SAO JOSE - RIO DE JANEIRO - RJ - 60.922.168/0003-48"/>
    <n v="12"/>
  </r>
  <r>
    <x v="0"/>
    <x v="4"/>
    <x v="1"/>
    <n v="60922168000348"/>
    <x v="704"/>
    <s v="RIO DE JANEIRO"/>
    <s v="RJ"/>
    <x v="4"/>
    <s v="RAFAEL ESTEVES (RJ/SPI/SUL)"/>
    <n v="70"/>
    <x v="0"/>
    <s v="CASA DE SAUDE SAO JOSE - RIO DE JANEIRO - RJ - 60.922.168/0003-48"/>
    <n v="380"/>
  </r>
  <r>
    <x v="0"/>
    <x v="4"/>
    <x v="1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280"/>
  </r>
  <r>
    <x v="0"/>
    <x v="4"/>
    <x v="1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55"/>
  </r>
  <r>
    <x v="0"/>
    <x v="4"/>
    <x v="1"/>
    <n v="73696718000219"/>
    <x v="706"/>
    <s v="RIO DE JANEIRO"/>
    <s v="RJ"/>
    <x v="4"/>
    <s v="RAFAEL ESTEVES (RJ/SPI/SUL)"/>
    <n v="62"/>
    <x v="3"/>
    <s v="HOSPITAL ADVENTISTA SILVESTRE - RIO DE JANEIRO - RJ - 73.696.718/0002-19"/>
    <n v="8"/>
  </r>
  <r>
    <x v="0"/>
    <x v="4"/>
    <x v="1"/>
    <n v="73696718000219"/>
    <x v="706"/>
    <s v="RIO DE JANEIRO"/>
    <s v="RJ"/>
    <x v="4"/>
    <s v="RAFAEL ESTEVES (RJ/SPI/SUL)"/>
    <n v="64"/>
    <x v="2"/>
    <s v="HOSPITAL ADVENTISTA SILVESTRE - RIO DE JANEIRO - RJ - 73.696.718/0002-19"/>
    <n v="5"/>
  </r>
  <r>
    <x v="0"/>
    <x v="5"/>
    <x v="1"/>
    <n v="92929000198"/>
    <x v="721"/>
    <s v="RIO DE JANEIRO"/>
    <s v="RJ"/>
    <x v="4"/>
    <s v="RAFAEL ESTEVES (RJ/SPI/SUL)"/>
    <n v="73"/>
    <x v="1"/>
    <s v="PRONEP LAR INTERNACAO DOMICILIAR LTDA - RIO DE JANEIRO - RJ - 00.092.929/0001-98"/>
    <n v="132"/>
  </r>
  <r>
    <x v="0"/>
    <x v="5"/>
    <x v="1"/>
    <n v="394429017429"/>
    <x v="727"/>
    <s v="RIO DE JANEIRO"/>
    <s v="RJ"/>
    <x v="4"/>
    <s v="RAFAEL ESTEVES (RJ/SPI/SUL)"/>
    <n v="64"/>
    <x v="2"/>
    <s v="CENTRO DE AQUISICOES ESPECIFICAS - CAE - RIO DE JANEIRO - RJ - 00.394.429/0174-29"/>
    <n v="22"/>
  </r>
  <r>
    <x v="0"/>
    <x v="5"/>
    <x v="1"/>
    <n v="394544020291"/>
    <x v="661"/>
    <s v="RIO DE JANEIRO"/>
    <s v="RJ"/>
    <x v="4"/>
    <s v="RAFAEL ESTEVES (RJ/SPI/SUL)"/>
    <n v="70"/>
    <x v="0"/>
    <s v="HOSPITAL GERAL DE BONSUCESSO/RJ - RIO DE JANEIRO - RJ - 00.394.544/0202-91"/>
    <n v="585"/>
  </r>
  <r>
    <x v="0"/>
    <x v="5"/>
    <x v="1"/>
    <n v="394544020453"/>
    <x v="663"/>
    <s v="RIO DE JANEIRO"/>
    <s v="RJ"/>
    <x v="4"/>
    <s v="RAFAEL ESTEVES (RJ/SPI/SUL)"/>
    <n v="70"/>
    <x v="0"/>
    <s v="HOSPITAL DA LAGOA/RJ - RIO DE JANEIRO - RJ - 00.394.544/0204-53"/>
    <n v="900"/>
  </r>
  <r>
    <x v="0"/>
    <x v="5"/>
    <x v="1"/>
    <n v="394544021344"/>
    <x v="665"/>
    <s v="RIO DE JANEIRO"/>
    <s v="RJ"/>
    <x v="4"/>
    <s v="RAFAEL ESTEVES (RJ/SPI/SUL)"/>
    <n v="64"/>
    <x v="2"/>
    <s v="INSTITUTO NACIONAL DE CARDIOLOGIA - RIO DE JANEIRO - RJ - 00.394.544/0213-44"/>
    <n v="160"/>
  </r>
  <r>
    <x v="0"/>
    <x v="5"/>
    <x v="1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285"/>
  </r>
  <r>
    <x v="0"/>
    <x v="5"/>
    <x v="1"/>
    <n v="2880648000125"/>
    <x v="728"/>
    <s v="RIO DE JANEIRO"/>
    <s v="RJ"/>
    <x v="4"/>
    <s v="RAFAEL ESTEVES (RJ/SPI/SUL)"/>
    <n v="73"/>
    <x v="1"/>
    <s v="INTENSIVE CARE SERVICOS MEDICOS HOSPITALARES LTDA - RIO DE JANEIRO - RJ - PRIVADO - 02.880.648/0001-25"/>
    <n v="24"/>
  </r>
  <r>
    <x v="0"/>
    <x v="5"/>
    <x v="1"/>
    <n v="6047087000996"/>
    <x v="670"/>
    <s v="RIO DE JANEIRO"/>
    <s v="RJ"/>
    <x v="4"/>
    <s v="RAFAEL ESTEVES (RJ/SPI/SUL)"/>
    <n v="62"/>
    <x v="3"/>
    <s v="HOSPITAL COPA DOR (REDE DOR) - RIO DE JANEIRO - RJ - 06.047.087/0009-96"/>
    <n v="15"/>
  </r>
  <r>
    <x v="0"/>
    <x v="5"/>
    <x v="1"/>
    <n v="6047087000996"/>
    <x v="670"/>
    <s v="RIO DE JANEIRO"/>
    <s v="RJ"/>
    <x v="4"/>
    <s v="RAFAEL ESTEVES (RJ/SPI/SUL)"/>
    <n v="73"/>
    <x v="1"/>
    <s v="HOSPITAL COPA DOR (REDE DOR) - RIO DE JANEIRO - RJ - 06.047.087/0009-96"/>
    <n v="48"/>
  </r>
  <r>
    <x v="0"/>
    <x v="5"/>
    <x v="1"/>
    <n v="6047087001020"/>
    <x v="671"/>
    <s v="RIO DE JANEIRO"/>
    <s v="RJ"/>
    <x v="4"/>
    <s v="RAFAEL ESTEVES (RJ/SPI/SUL)"/>
    <n v="62"/>
    <x v="3"/>
    <s v="HOSPITAL QUINTA DOR (REDE DOR) - RIO DE JANEIRO - RJ - 06.047.087/0010-20"/>
    <n v="72"/>
  </r>
  <r>
    <x v="0"/>
    <x v="5"/>
    <x v="1"/>
    <n v="6047087001020"/>
    <x v="671"/>
    <s v="RIO DE JANEIRO"/>
    <s v="RJ"/>
    <x v="4"/>
    <s v="RAFAEL ESTEVES (RJ/SPI/SUL)"/>
    <n v="64"/>
    <x v="2"/>
    <s v="HOSPITAL QUINTA DOR (REDE DOR) - RIO DE JANEIRO - RJ - 06.047.087/0010-20"/>
    <n v="74"/>
  </r>
  <r>
    <x v="0"/>
    <x v="5"/>
    <x v="1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1275"/>
  </r>
  <r>
    <x v="0"/>
    <x v="5"/>
    <x v="1"/>
    <n v="9219138000401"/>
    <x v="714"/>
    <s v="RIO DE JANEIRO"/>
    <s v="RJ"/>
    <x v="4"/>
    <s v="RAFAEL ESTEVES (RJ/SPI/SUL)"/>
    <n v="70"/>
    <x v="0"/>
    <s v="UNIMED-RIO EMPREENDIMENTOS MEDICOS E HOSPITALARES LTDA - RIO DE JANEIRO - RJ - 09.219.138/0004-01"/>
    <n v="425"/>
  </r>
  <r>
    <x v="0"/>
    <x v="5"/>
    <x v="1"/>
    <n v="9219138000401"/>
    <x v="714"/>
    <s v="RIO DE JANEIRO"/>
    <s v="RJ"/>
    <x v="4"/>
    <s v="RAFAEL ESTEVES (RJ/SPI/SUL)"/>
    <n v="73"/>
    <x v="1"/>
    <s v="UNIMED-RIO EMPREENDIMENTOS MEDICOS E HOSPITALARES LTDA - RIO DE JANEIRO - RJ - 09.219.138/0004-01"/>
    <n v="120"/>
  </r>
  <r>
    <x v="0"/>
    <x v="5"/>
    <x v="1"/>
    <n v="9219138000584"/>
    <x v="677"/>
    <s v="RIO DE JANEIRO"/>
    <s v="RJ"/>
    <x v="4"/>
    <s v="RAFAEL ESTEVES (RJ/SPI/SUL)"/>
    <n v="64"/>
    <x v="2"/>
    <s v="UNIMED-RIO EMPREENDIMENTOS MEDICOS E HOSPITALARES LTDA - RIO DE JANEIRO - RJ - 09.219.138/0005-84"/>
    <n v="10"/>
  </r>
  <r>
    <x v="0"/>
    <x v="5"/>
    <x v="1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530"/>
  </r>
  <r>
    <x v="0"/>
    <x v="5"/>
    <x v="1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24"/>
  </r>
  <r>
    <x v="0"/>
    <x v="5"/>
    <x v="1"/>
    <n v="9578217000158"/>
    <x v="678"/>
    <s v="RIO DE JANEIRO"/>
    <s v="RJ"/>
    <x v="4"/>
    <s v="RAFAEL ESTEVES (RJ/SPI/SUL)"/>
    <n v="64"/>
    <x v="2"/>
    <s v="HOSPITAL NORTE DOR DE CASCADURA S.A (REDE DOR) - RIO DE JANEIRO - RJ - 09.578.217/0001-58"/>
    <n v="19"/>
  </r>
  <r>
    <x v="0"/>
    <x v="5"/>
    <x v="1"/>
    <n v="9609235000230"/>
    <x v="679"/>
    <s v="RIO DE JANEIRO"/>
    <s v="RJ"/>
    <x v="4"/>
    <s v="RAFAEL ESTEVES (RJ/SPI/SUL)"/>
    <n v="70"/>
    <x v="0"/>
    <s v="HOSPITAL CENTRALDO EXERCITO - RIO DE JANEIRO - RJ - 09.609.235/0002-30"/>
    <n v="750"/>
  </r>
  <r>
    <x v="0"/>
    <x v="5"/>
    <x v="1"/>
    <n v="10922058000146"/>
    <x v="723"/>
    <s v="RIO DE JANEIRO"/>
    <s v="RJ"/>
    <x v="4"/>
    <s v="RAFAEL ESTEVES (RJ/SPI/SUL)"/>
    <n v="70"/>
    <x v="0"/>
    <s v="CID - CENTRO DE INFUSAO - RIO DE JANEIRO - RJ - PRIVADO - 10.922.058/0001-46"/>
    <n v="75"/>
  </r>
  <r>
    <x v="0"/>
    <x v="5"/>
    <x v="1"/>
    <n v="18010750000100"/>
    <x v="681"/>
    <s v="RIO DE JANEIRO"/>
    <s v="RJ"/>
    <x v="4"/>
    <s v="RAFAEL ESTEVES (RJ/SPI/SUL)"/>
    <n v="70"/>
    <x v="0"/>
    <s v="HOSPITAL SAO VICENTE DE PAULO - RIO DE JANEIRO - RJ - 18.010.750/0001-00"/>
    <n v="375"/>
  </r>
  <r>
    <x v="0"/>
    <x v="5"/>
    <x v="1"/>
    <n v="21109731000140"/>
    <x v="682"/>
    <s v="RIO DE JANEIRO"/>
    <s v="RJ"/>
    <x v="4"/>
    <s v="RAFAEL ESTEVES (RJ/SPI/SUL)"/>
    <n v="73"/>
    <x v="1"/>
    <s v="BRASIF S/A ADMINISTRACAO E PARTICIPACOES - RIO DE JANEIRO - RJ - 21.109.731/0001-40"/>
    <n v="184"/>
  </r>
  <r>
    <x v="0"/>
    <x v="5"/>
    <x v="1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20"/>
  </r>
  <r>
    <x v="0"/>
    <x v="5"/>
    <x v="1"/>
    <n v="24217779000160"/>
    <x v="684"/>
    <s v="RIO DE JANEIRO"/>
    <s v="RJ"/>
    <x v="4"/>
    <s v="RAFAEL ESTEVES (RJ/SPI/SUL)"/>
    <n v="62"/>
    <x v="3"/>
    <s v="HOSPITAL CASA ARRENDATARIA SERVICOS MEDICOS HOSPITALARES E INVESTIMENTOS LTDA - RIO DE JANEIRO - RJ - 24.217.779/0001-60"/>
    <n v="24"/>
  </r>
  <r>
    <x v="0"/>
    <x v="5"/>
    <x v="1"/>
    <n v="27901222000131"/>
    <x v="685"/>
    <s v="RIO DE JANEIRO"/>
    <s v="RJ"/>
    <x v="4"/>
    <s v="RAFAEL ESTEVES (RJ/SPI/SUL)"/>
    <n v="64"/>
    <x v="2"/>
    <s v="HOSPITAL DR. BADIM (REDE DOR) - RIO DE JANEIRO - RJ - 27.901.222/0001-31"/>
    <n v="3"/>
  </r>
  <r>
    <x v="0"/>
    <x v="5"/>
    <x v="1"/>
    <n v="28000107000159"/>
    <x v="686"/>
    <s v="RIO DE JANEIRO"/>
    <s v="RJ"/>
    <x v="4"/>
    <s v="RAFAEL ESTEVES (RJ/SPI/SUL)"/>
    <n v="70"/>
    <x v="0"/>
    <s v="ONCOLOGIA REDE DOR S.A. - RIO DE JANEIRO - RJ - 28.000.107/0001-59"/>
    <n v="120"/>
  </r>
  <r>
    <x v="0"/>
    <x v="5"/>
    <x v="1"/>
    <n v="28000107000159"/>
    <x v="686"/>
    <s v="RIO DE JANEIRO"/>
    <s v="RJ"/>
    <x v="4"/>
    <s v="RAFAEL ESTEVES (RJ/SPI/SUL)"/>
    <n v="73"/>
    <x v="1"/>
    <s v="ONCOLOGIA REDE DOR S.A. - RIO DE JANEIRO - RJ - 28.000.107/0001-59"/>
    <n v="94"/>
  </r>
  <r>
    <x v="0"/>
    <x v="5"/>
    <x v="1"/>
    <n v="28602407000108"/>
    <x v="687"/>
    <s v="RIO DE JANEIRO"/>
    <s v="RJ"/>
    <x v="4"/>
    <s v="RAFAEL ESTEVES (RJ/SPI/SUL)"/>
    <n v="73"/>
    <x v="1"/>
    <s v="URGIL - RIO DE JANEIRO - RJ - 28.602.407/0001-08"/>
    <n v="2"/>
  </r>
  <r>
    <x v="0"/>
    <x v="5"/>
    <x v="1"/>
    <n v="29259736000403"/>
    <x v="688"/>
    <s v="RIO DE JANEIRO"/>
    <s v="RJ"/>
    <x v="4"/>
    <s v="RAFAEL ESTEVES (RJ/SPI/SUL)"/>
    <n v="73"/>
    <x v="1"/>
    <s v="HOSPITAL RIOS DOR (REDE DOR) - RIO DE JANEIRO - RJ - 29.259.736/0004-03"/>
    <n v="24"/>
  </r>
  <r>
    <x v="0"/>
    <x v="5"/>
    <x v="1"/>
    <n v="29435005005783"/>
    <x v="690"/>
    <s v="RIO DE JANEIRO"/>
    <s v="RJ"/>
    <x v="4"/>
    <s v="RAFAEL ESTEVES (RJ/SPI/SUL)"/>
    <n v="70"/>
    <x v="0"/>
    <s v="HOSPITAL PASTEUR - RIO DE JANEIRO - RJ - 29.435.005/0057-83"/>
    <n v="875"/>
  </r>
  <r>
    <x v="0"/>
    <x v="5"/>
    <x v="1"/>
    <n v="29435005006160"/>
    <x v="691"/>
    <s v="RIO DE JANEIRO"/>
    <s v="RJ"/>
    <x v="4"/>
    <s v="RAFAEL ESTEVES (RJ/SPI/SUL)"/>
    <n v="62"/>
    <x v="3"/>
    <s v="HOSPITAL SAMARITANO - RIO DE JANEIRO - RJ - 29.435.005/0061-60"/>
    <n v="8"/>
  </r>
  <r>
    <x v="0"/>
    <x v="5"/>
    <x v="1"/>
    <n v="29435005006160"/>
    <x v="691"/>
    <s v="RIO DE JANEIRO"/>
    <s v="RJ"/>
    <x v="4"/>
    <s v="RAFAEL ESTEVES (RJ/SPI/SUL)"/>
    <n v="64"/>
    <x v="2"/>
    <s v="HOSPITAL SAMARITANO - RIO DE JANEIRO - RJ - 29.435.005/0061-60"/>
    <n v="4"/>
  </r>
  <r>
    <x v="0"/>
    <x v="5"/>
    <x v="1"/>
    <n v="31635857000101"/>
    <x v="692"/>
    <s v="RIO DE JANEIRO"/>
    <s v="RJ"/>
    <x v="4"/>
    <s v="RAFAEL ESTEVES (RJ/SPI/SUL)"/>
    <n v="64"/>
    <x v="2"/>
    <s v="CLINICA SAO VICENTE (REDE DOR) - RIO DE JANEIRO - RJ - 31.635.857/0001-01"/>
    <n v="3"/>
  </r>
  <r>
    <x v="0"/>
    <x v="5"/>
    <x v="1"/>
    <n v="31635857000292"/>
    <x v="693"/>
    <s v="RIO DE JANEIRO"/>
    <s v="RJ"/>
    <x v="4"/>
    <s v="RAFAEL ESTEVES (RJ/SPI/SUL)"/>
    <n v="62"/>
    <x v="3"/>
    <s v="HOSPITAIS INTEGRADOS DA GAVEA S/A - RIO DE JANEIRO - RJ - 31.635.857/0002-92"/>
    <n v="8"/>
  </r>
  <r>
    <x v="0"/>
    <x v="5"/>
    <x v="1"/>
    <n v="31635857000292"/>
    <x v="693"/>
    <s v="RIO DE JANEIRO"/>
    <s v="RJ"/>
    <x v="4"/>
    <s v="RAFAEL ESTEVES (RJ/SPI/SUL)"/>
    <n v="64"/>
    <x v="2"/>
    <s v="HOSPITAIS INTEGRADOS DA GAVEA S/A - RIO DE JANEIRO - RJ - 31.635.857/0002-92"/>
    <n v="2"/>
  </r>
  <r>
    <x v="0"/>
    <x v="5"/>
    <x v="1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32"/>
  </r>
  <r>
    <x v="0"/>
    <x v="5"/>
    <x v="1"/>
    <n v="31925548000176"/>
    <x v="718"/>
    <s v="RIO DE JANEIRO"/>
    <s v="RJ"/>
    <x v="4"/>
    <s v="RAFAEL ESTEVES (RJ/SPI/SUL)"/>
    <n v="70"/>
    <x v="0"/>
    <s v="ASSIM SAUDE - RIO DE JANEIRO - RJ - 31.925.548/0001-76"/>
    <n v="30"/>
  </r>
  <r>
    <x v="0"/>
    <x v="5"/>
    <x v="1"/>
    <n v="33419482000259"/>
    <x v="696"/>
    <s v="RIO DE JANEIRO"/>
    <s v="RJ"/>
    <x v="4"/>
    <s v="RAFAEL ESTEVES (RJ/SPI/SUL)"/>
    <n v="62"/>
    <x v="3"/>
    <s v="LARANJEIRAS CLINICA PERINATAL - RIO DE JANEIRO - RJ - 33.419.482/0002-59"/>
    <n v="8"/>
  </r>
  <r>
    <x v="0"/>
    <x v="5"/>
    <x v="1"/>
    <n v="33419482000259"/>
    <x v="696"/>
    <s v="RIO DE JANEIRO"/>
    <s v="RJ"/>
    <x v="4"/>
    <s v="RAFAEL ESTEVES (RJ/SPI/SUL)"/>
    <n v="64"/>
    <x v="2"/>
    <s v="LARANJEIRAS CLINICA PERINATAL - RIO DE JANEIRO - RJ - 33.419.482/0002-59"/>
    <n v="4"/>
  </r>
  <r>
    <x v="0"/>
    <x v="5"/>
    <x v="1"/>
    <n v="33476482000100"/>
    <x v="729"/>
    <s v="RIO DE JANEIRO"/>
    <s v="RJ"/>
    <x v="4"/>
    <s v="RAFAEL ESTEVES (RJ/SPI/SUL)"/>
    <n v="66"/>
    <x v="4"/>
    <s v="FARMACIA TORRES LIMITADA - RIO DE JANEIRO - RJ - PRIVADO - 33.476.482/0001-00"/>
    <n v="15"/>
  </r>
  <r>
    <x v="0"/>
    <x v="5"/>
    <x v="1"/>
    <n v="33540014000157"/>
    <x v="719"/>
    <s v="RIO DE JANEIRO"/>
    <s v="RJ"/>
    <x v="4"/>
    <s v="RAFAEL ESTEVES (RJ/SPI/SUL)"/>
    <n v="70"/>
    <x v="0"/>
    <s v="UERJ - RIO DE JANEIRO - RJ - 33.540.014/0001-57"/>
    <n v="120"/>
  </r>
  <r>
    <x v="0"/>
    <x v="5"/>
    <x v="1"/>
    <n v="33663683002674"/>
    <x v="697"/>
    <s v="RIO DE JANEIRO"/>
    <s v="RJ"/>
    <x v="4"/>
    <s v="RAFAEL ESTEVES (RJ/SPI/SUL)"/>
    <n v="70"/>
    <x v="0"/>
    <s v="INSTITUTO DE PUERICULTURA E PEDIATRIA MARTAGAO GESTEIR - RIO DE JANEIRO - RJ - 33.663.683/0026-74"/>
    <n v="600"/>
  </r>
  <r>
    <x v="0"/>
    <x v="5"/>
    <x v="1"/>
    <n v="33804212000180"/>
    <x v="730"/>
    <s v="RIO DE JANEIRO"/>
    <s v="RJ"/>
    <x v="4"/>
    <s v="RAFAEL ESTEVES (RJ/SPI/SUL)"/>
    <n v="70"/>
    <x v="0"/>
    <s v="CLINICA SAO CARLOS SA - RIO DE JANEIRO - RJ - 33.804.212/0001-80"/>
    <n v="60"/>
  </r>
  <r>
    <x v="0"/>
    <x v="5"/>
    <x v="1"/>
    <n v="34058123000103"/>
    <x v="709"/>
    <s v="RIO DE JANEIRO"/>
    <s v="RJ"/>
    <x v="4"/>
    <s v="RAFAEL ESTEVES (RJ/SPI/SUL)"/>
    <n v="70"/>
    <x v="0"/>
    <s v="HOSPITAL DE CLINICAS DE JACAREPAGUA LTDA - RIO DE JANEIRO - RJ - 34.058.123/0001-03"/>
    <n v="155"/>
  </r>
  <r>
    <x v="0"/>
    <x v="5"/>
    <x v="1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250"/>
  </r>
  <r>
    <x v="0"/>
    <x v="5"/>
    <x v="1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24"/>
  </r>
  <r>
    <x v="0"/>
    <x v="5"/>
    <x v="1"/>
    <n v="42297507000107"/>
    <x v="711"/>
    <s v="RIO DE JANEIRO"/>
    <s v="RJ"/>
    <x v="4"/>
    <s v="RAFAEL ESTEVES (RJ/SPI/SUL)"/>
    <n v="62"/>
    <x v="3"/>
    <s v="HOSPITAL BALBINO - RIO DE JANEIRO - RJ - 42.297.507/0001-07"/>
    <n v="6"/>
  </r>
  <r>
    <x v="0"/>
    <x v="5"/>
    <x v="1"/>
    <n v="42297507000107"/>
    <x v="711"/>
    <s v="RIO DE JANEIRO"/>
    <s v="RJ"/>
    <x v="4"/>
    <s v="RAFAEL ESTEVES (RJ/SPI/SUL)"/>
    <n v="64"/>
    <x v="2"/>
    <s v="HOSPITAL BALBINO - RIO DE JANEIRO - RJ - 42.297.507/0001-07"/>
    <n v="6"/>
  </r>
  <r>
    <x v="0"/>
    <x v="5"/>
    <x v="1"/>
    <n v="42498733000148"/>
    <x v="726"/>
    <s v="RIO DE JANEIRO"/>
    <s v="RJ"/>
    <x v="4"/>
    <s v="RAFAEL ESTEVES (RJ/SPI/SUL)"/>
    <n v="70"/>
    <x v="0"/>
    <s v="RIO DE JANEIRO GABINETE DO PREFEITO - RIO DE JANEIRO - RJ - 42.498.733/0001-48"/>
    <n v="730"/>
  </r>
  <r>
    <x v="0"/>
    <x v="5"/>
    <x v="1"/>
    <n v="60884855001630"/>
    <x v="703"/>
    <s v="RIO DE JANEIRO"/>
    <s v="RJ"/>
    <x v="4"/>
    <s v="RAFAEL ESTEVES (RJ/SPI/SUL)"/>
    <n v="62"/>
    <x v="3"/>
    <s v="HOSPITAL SAO LUCAS - RIO DE JANEIRO - RJ - 60.884.855/0016-30"/>
    <n v="21"/>
  </r>
  <r>
    <x v="0"/>
    <x v="5"/>
    <x v="1"/>
    <n v="60884855001630"/>
    <x v="703"/>
    <s v="RIO DE JANEIRO"/>
    <s v="RJ"/>
    <x v="4"/>
    <s v="RAFAEL ESTEVES (RJ/SPI/SUL)"/>
    <n v="64"/>
    <x v="2"/>
    <s v="HOSPITAL SAO LUCAS - RIO DE JANEIRO - RJ - 60.884.855/0016-30"/>
    <n v="54"/>
  </r>
  <r>
    <x v="0"/>
    <x v="5"/>
    <x v="1"/>
    <n v="60884855001630"/>
    <x v="703"/>
    <s v="RIO DE JANEIRO"/>
    <s v="RJ"/>
    <x v="4"/>
    <s v="RAFAEL ESTEVES (RJ/SPI/SUL)"/>
    <n v="70"/>
    <x v="0"/>
    <s v="HOSPITAL SAO LUCAS - RIO DE JANEIRO - RJ - 60.884.855/0016-30"/>
    <n v="55"/>
  </r>
  <r>
    <x v="0"/>
    <x v="5"/>
    <x v="1"/>
    <n v="60922168000348"/>
    <x v="704"/>
    <s v="RIO DE JANEIRO"/>
    <s v="RJ"/>
    <x v="4"/>
    <s v="RAFAEL ESTEVES (RJ/SPI/SUL)"/>
    <n v="62"/>
    <x v="3"/>
    <s v="CASA DE SAUDE SAO JOSE - RIO DE JANEIRO - RJ - 60.922.168/0003-48"/>
    <n v="14"/>
  </r>
  <r>
    <x v="0"/>
    <x v="5"/>
    <x v="1"/>
    <n v="60922168000348"/>
    <x v="704"/>
    <s v="RIO DE JANEIRO"/>
    <s v="RJ"/>
    <x v="4"/>
    <s v="RAFAEL ESTEVES (RJ/SPI/SUL)"/>
    <n v="64"/>
    <x v="2"/>
    <s v="CASA DE SAUDE SAO JOSE - RIO DE JANEIRO - RJ - 60.922.168/0003-48"/>
    <n v="8"/>
  </r>
  <r>
    <x v="0"/>
    <x v="5"/>
    <x v="1"/>
    <n v="60922168000348"/>
    <x v="704"/>
    <s v="RIO DE JANEIRO"/>
    <s v="RJ"/>
    <x v="4"/>
    <s v="RAFAEL ESTEVES (RJ/SPI/SUL)"/>
    <n v="70"/>
    <x v="0"/>
    <s v="CASA DE SAUDE SAO JOSE - RIO DE JANEIRO - RJ - 60.922.168/0003-48"/>
    <n v="410"/>
  </r>
  <r>
    <x v="0"/>
    <x v="5"/>
    <x v="1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505"/>
  </r>
  <r>
    <x v="0"/>
    <x v="5"/>
    <x v="1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139"/>
  </r>
  <r>
    <x v="0"/>
    <x v="5"/>
    <x v="1"/>
    <n v="73696718000219"/>
    <x v="706"/>
    <s v="RIO DE JANEIRO"/>
    <s v="RJ"/>
    <x v="4"/>
    <s v="RAFAEL ESTEVES (RJ/SPI/SUL)"/>
    <n v="62"/>
    <x v="3"/>
    <s v="HOSPITAL ADVENTISTA SILVESTRE - RIO DE JANEIRO - RJ - 73.696.718/0002-19"/>
    <n v="18"/>
  </r>
  <r>
    <x v="0"/>
    <x v="5"/>
    <x v="1"/>
    <n v="73696718000219"/>
    <x v="706"/>
    <s v="RIO DE JANEIRO"/>
    <s v="RJ"/>
    <x v="4"/>
    <s v="RAFAEL ESTEVES (RJ/SPI/SUL)"/>
    <n v="64"/>
    <x v="2"/>
    <s v="HOSPITAL ADVENTISTA SILVESTRE - RIO DE JANEIRO - RJ - 73.696.718/0002-19"/>
    <n v="9"/>
  </r>
  <r>
    <x v="0"/>
    <x v="6"/>
    <x v="2"/>
    <n v="92929000198"/>
    <x v="721"/>
    <s v="RIO DE JANEIRO"/>
    <s v="RJ"/>
    <x v="4"/>
    <s v="RAFAEL ESTEVES (RJ/SPI/SUL)"/>
    <n v="73"/>
    <x v="1"/>
    <s v="PRONEP LAR INTERNACAO DOMICILIAR LTDA - RIO DE JANEIRO - RJ - 00.092.929/0001-98"/>
    <n v="60"/>
  </r>
  <r>
    <x v="0"/>
    <x v="6"/>
    <x v="2"/>
    <n v="394544020291"/>
    <x v="661"/>
    <s v="RIO DE JANEIRO"/>
    <s v="RJ"/>
    <x v="4"/>
    <s v="RAFAEL ESTEVES (RJ/SPI/SUL)"/>
    <n v="64"/>
    <x v="2"/>
    <s v="HOSPITAL GERAL DE BONSUCESSO/RJ - RIO DE JANEIRO - RJ - 00.394.544/0202-91"/>
    <n v="60"/>
  </r>
  <r>
    <x v="0"/>
    <x v="6"/>
    <x v="2"/>
    <n v="394544020453"/>
    <x v="663"/>
    <s v="RIO DE JANEIRO"/>
    <s v="RJ"/>
    <x v="4"/>
    <s v="RAFAEL ESTEVES (RJ/SPI/SUL)"/>
    <n v="70"/>
    <x v="0"/>
    <s v="HOSPITAL DA LAGOA/RJ - RIO DE JANEIRO - RJ - 00.394.544/0204-53"/>
    <n v="215"/>
  </r>
  <r>
    <x v="0"/>
    <x v="6"/>
    <x v="2"/>
    <n v="394544021344"/>
    <x v="665"/>
    <s v="RIO DE JANEIRO"/>
    <s v="RJ"/>
    <x v="4"/>
    <s v="RAFAEL ESTEVES (RJ/SPI/SUL)"/>
    <n v="64"/>
    <x v="2"/>
    <s v="INSTITUTO NACIONAL DE CARDIOLOGIA - RIO DE JANEIRO - RJ - 00.394.544/0213-44"/>
    <n v="10"/>
  </r>
  <r>
    <x v="0"/>
    <x v="6"/>
    <x v="2"/>
    <n v="2284062000521"/>
    <x v="668"/>
    <s v="RIO DE JANEIRO"/>
    <s v="RJ"/>
    <x v="4"/>
    <s v="RAFAEL ESTEVES (RJ/SPI/SUL)"/>
    <n v="62"/>
    <x v="3"/>
    <s v="HOSPITAL BARRA DOR (REDE DOR) - RIO DE JANEIRO - RJ - 02.284.062/0005-21"/>
    <n v="23"/>
  </r>
  <r>
    <x v="0"/>
    <x v="6"/>
    <x v="2"/>
    <n v="2284062000521"/>
    <x v="668"/>
    <s v="RIO DE JANEIRO"/>
    <s v="RJ"/>
    <x v="4"/>
    <s v="RAFAEL ESTEVES (RJ/SPI/SUL)"/>
    <n v="64"/>
    <x v="2"/>
    <s v="HOSPITAL BARRA DOR (REDE DOR) - RIO DE JANEIRO - RJ - 02.284.062/0005-21"/>
    <n v="10"/>
  </r>
  <r>
    <x v="0"/>
    <x v="6"/>
    <x v="2"/>
    <n v="2864097000106"/>
    <x v="669"/>
    <s v="RIO DE JANEIRO"/>
    <s v="RJ"/>
    <x v="4"/>
    <s v="RAFAEL ESTEVES (RJ/SPI/SUL)"/>
    <n v="70"/>
    <x v="0"/>
    <s v="CENTRON - CENTRO DE TRATAMENTO ONCOLOGICO LTDA - RIO DE JANEIRO - RJ - 02.864.097/0001-06"/>
    <n v="165"/>
  </r>
  <r>
    <x v="0"/>
    <x v="6"/>
    <x v="2"/>
    <n v="2880648000125"/>
    <x v="728"/>
    <s v="RIO DE JANEIRO"/>
    <s v="RJ"/>
    <x v="4"/>
    <s v="RAFAEL ESTEVES (RJ/SPI/SUL)"/>
    <n v="73"/>
    <x v="1"/>
    <s v="INTENSIVE CARE SERVICOS MEDICOS HOSPITALARES LTDA - RIO DE JANEIRO - RJ - PRIVADO - 02.880.648/0001-25"/>
    <n v="12"/>
  </r>
  <r>
    <x v="0"/>
    <x v="6"/>
    <x v="2"/>
    <n v="6047087001020"/>
    <x v="671"/>
    <s v="RIO DE JANEIRO"/>
    <s v="RJ"/>
    <x v="4"/>
    <s v="RAFAEL ESTEVES (RJ/SPI/SUL)"/>
    <n v="62"/>
    <x v="3"/>
    <s v="HOSPITAL QUINTA DOR (REDE DOR) - RIO DE JANEIRO - RJ - 06.047.087/0010-20"/>
    <n v="70"/>
  </r>
  <r>
    <x v="0"/>
    <x v="6"/>
    <x v="2"/>
    <n v="6047087001020"/>
    <x v="671"/>
    <s v="RIO DE JANEIRO"/>
    <s v="RJ"/>
    <x v="4"/>
    <s v="RAFAEL ESTEVES (RJ/SPI/SUL)"/>
    <n v="64"/>
    <x v="2"/>
    <s v="HOSPITAL QUINTA DOR (REDE DOR) - RIO DE JANEIRO - RJ - 06.047.087/0010-20"/>
    <n v="115"/>
  </r>
  <r>
    <x v="0"/>
    <x v="6"/>
    <x v="2"/>
    <n v="6047087002697"/>
    <x v="672"/>
    <s v="RIO DE JANEIRO"/>
    <s v="RJ"/>
    <x v="4"/>
    <s v="RAFAEL ESTEVES (RJ/SPI/SUL)"/>
    <n v="62"/>
    <x v="3"/>
    <s v="HOSPITAL COPA DOR STAR (REDE DOR) - RIO DE JANEIRO - RJ - 06.047.087/0026-97"/>
    <n v="5"/>
  </r>
  <r>
    <x v="0"/>
    <x v="6"/>
    <x v="2"/>
    <n v="6047087002697"/>
    <x v="672"/>
    <s v="RIO DE JANEIRO"/>
    <s v="RJ"/>
    <x v="4"/>
    <s v="RAFAEL ESTEVES (RJ/SPI/SUL)"/>
    <n v="70"/>
    <x v="0"/>
    <s v="HOSPITAL COPA DOR STAR (REDE DOR) - RIO DE JANEIRO - RJ - 06.047.087/0026-97"/>
    <n v="50"/>
  </r>
  <r>
    <x v="0"/>
    <x v="6"/>
    <x v="2"/>
    <n v="7794623004896"/>
    <x v="674"/>
    <s v="RIO DE JANEIRO"/>
    <s v="RJ"/>
    <x v="4"/>
    <s v="RAFAEL ESTEVES (RJ/SPI/SUL)"/>
    <n v="70"/>
    <x v="0"/>
    <s v="CEMED CARE - EMPRESA DE ATENDIMENTO CLINICO GERAL LTDA - RIO DE JANEIRO - RJ - 07.794.623/0048-96"/>
    <n v="400"/>
  </r>
  <r>
    <x v="0"/>
    <x v="6"/>
    <x v="2"/>
    <n v="8100676002102"/>
    <x v="675"/>
    <s v="RIO DE JANEIRO"/>
    <s v="RJ"/>
    <x v="4"/>
    <s v="RAFAEL ESTEVES (RJ/SPI/SUL)"/>
    <n v="64"/>
    <x v="2"/>
    <s v="HOSPITAL SAMARITANO - RIO DE JANEIRO - RJ - 08.100.676/0021-02"/>
    <n v="16"/>
  </r>
  <r>
    <x v="0"/>
    <x v="6"/>
    <x v="2"/>
    <n v="8850962000222"/>
    <x v="676"/>
    <s v="RIO DE JANEIRO"/>
    <s v="RJ"/>
    <x v="4"/>
    <s v="RAFAEL ESTEVES (RJ/SPI/SUL)"/>
    <n v="62"/>
    <x v="3"/>
    <s v="INSTITUTO DOR DE GESTAO DE SAUDE PUBLICA (REDE DOR) - RIO DE JANEIRO - RJ - 08.850.962/0002-22"/>
    <n v="6"/>
  </r>
  <r>
    <x v="0"/>
    <x v="6"/>
    <x v="2"/>
    <n v="8850962000222"/>
    <x v="676"/>
    <s v="RIO DE JANEIRO"/>
    <s v="RJ"/>
    <x v="4"/>
    <s v="RAFAEL ESTEVES (RJ/SPI/SUL)"/>
    <n v="64"/>
    <x v="2"/>
    <s v="INSTITUTO DOR DE GESTAO DE SAUDE PUBLICA (REDE DOR) - RIO DE JANEIRO - RJ - 08.850.962/0002-22"/>
    <n v="10"/>
  </r>
  <r>
    <x v="0"/>
    <x v="6"/>
    <x v="2"/>
    <n v="9219138000401"/>
    <x v="714"/>
    <s v="RIO DE JANEIRO"/>
    <s v="RJ"/>
    <x v="4"/>
    <s v="RAFAEL ESTEVES (RJ/SPI/SUL)"/>
    <n v="70"/>
    <x v="0"/>
    <s v="UNIMED-RIO EMPREENDIMENTOS MEDICOS E HOSPITALARES LTDA - RIO DE JANEIRO - RJ - 09.219.138/0004-01"/>
    <n v="750"/>
  </r>
  <r>
    <x v="0"/>
    <x v="6"/>
    <x v="2"/>
    <n v="9219138000401"/>
    <x v="714"/>
    <s v="RIO DE JANEIRO"/>
    <s v="RJ"/>
    <x v="4"/>
    <s v="RAFAEL ESTEVES (RJ/SPI/SUL)"/>
    <n v="73"/>
    <x v="1"/>
    <s v="UNIMED-RIO EMPREENDIMENTOS MEDICOS E HOSPITALARES LTDA - RIO DE JANEIRO - RJ - 09.219.138/0004-01"/>
    <n v="80"/>
  </r>
  <r>
    <x v="0"/>
    <x v="6"/>
    <x v="2"/>
    <n v="9219138000584"/>
    <x v="677"/>
    <s v="RIO DE JANEIRO"/>
    <s v="RJ"/>
    <x v="4"/>
    <s v="RAFAEL ESTEVES (RJ/SPI/SUL)"/>
    <n v="62"/>
    <x v="3"/>
    <s v="UNIMED-RIO EMPREENDIMENTOS MEDICOS E HOSPITALARES LTDA - RIO DE JANEIRO - RJ - 09.219.138/0005-84"/>
    <n v="6"/>
  </r>
  <r>
    <x v="0"/>
    <x v="6"/>
    <x v="2"/>
    <n v="9219138000584"/>
    <x v="677"/>
    <s v="RIO DE JANEIRO"/>
    <s v="RJ"/>
    <x v="4"/>
    <s v="RAFAEL ESTEVES (RJ/SPI/SUL)"/>
    <n v="70"/>
    <x v="0"/>
    <s v="UNIMED-RIO EMPREENDIMENTOS MEDICOS E HOSPITALARES LTDA - RIO DE JANEIRO - RJ - 09.219.138/0005-84"/>
    <n v="710"/>
  </r>
  <r>
    <x v="0"/>
    <x v="6"/>
    <x v="2"/>
    <n v="9219138000584"/>
    <x v="677"/>
    <s v="RIO DE JANEIRO"/>
    <s v="RJ"/>
    <x v="4"/>
    <s v="RAFAEL ESTEVES (RJ/SPI/SUL)"/>
    <n v="73"/>
    <x v="1"/>
    <s v="UNIMED-RIO EMPREENDIMENTOS MEDICOS E HOSPITALARES LTDA - RIO DE JANEIRO - RJ - 09.219.138/0005-84"/>
    <n v="124"/>
  </r>
  <r>
    <x v="0"/>
    <x v="6"/>
    <x v="2"/>
    <n v="9578217000158"/>
    <x v="678"/>
    <s v="RIO DE JANEIRO"/>
    <s v="RJ"/>
    <x v="4"/>
    <s v="RAFAEL ESTEVES (RJ/SPI/SUL)"/>
    <n v="62"/>
    <x v="3"/>
    <s v="HOSPITAL NORTE DOR DE CASCADURA S.A (REDE DOR) - RIO DE JANEIRO - RJ - 09.578.217/0001-58"/>
    <n v="1"/>
  </r>
  <r>
    <x v="0"/>
    <x v="6"/>
    <x v="2"/>
    <n v="18010750000100"/>
    <x v="681"/>
    <s v="RIO DE JANEIRO"/>
    <s v="RJ"/>
    <x v="4"/>
    <s v="RAFAEL ESTEVES (RJ/SPI/SUL)"/>
    <n v="70"/>
    <x v="0"/>
    <s v="HOSPITAL SAO VICENTE DE PAULO - RIO DE JANEIRO - RJ - 18.010.750/0001-00"/>
    <n v="60"/>
  </r>
  <r>
    <x v="0"/>
    <x v="6"/>
    <x v="2"/>
    <n v="21265360000195"/>
    <x v="683"/>
    <s v="RIO DE JANEIRO"/>
    <s v="RJ"/>
    <x v="4"/>
    <s v="RAFAEL ESTEVES (RJ/SPI/SUL)"/>
    <n v="73"/>
    <x v="1"/>
    <s v="HOMEBABY HOMECARE DA CRIANCA ATENDIMENTO MEDICO DOMICILIAR LIMITADA - RIO DE JANEIRO - RJ - 21.265.360/0001-95"/>
    <n v="12"/>
  </r>
  <r>
    <x v="0"/>
    <x v="6"/>
    <x v="2"/>
    <n v="24217779000160"/>
    <x v="684"/>
    <s v="RIO DE JANEIRO"/>
    <s v="RJ"/>
    <x v="4"/>
    <s v="RAFAEL ESTEVES (RJ/SPI/SUL)"/>
    <n v="62"/>
    <x v="3"/>
    <s v="HOSPITAL CASA ARRENDATARIA SERVICOS MEDICOS HOSPITALARES E INVESTIMENTOS LTDA - RIO DE JANEIRO - RJ - 24.217.779/0001-60"/>
    <n v="11"/>
  </r>
  <r>
    <x v="0"/>
    <x v="6"/>
    <x v="2"/>
    <n v="27901222000131"/>
    <x v="685"/>
    <s v="RIO DE JANEIRO"/>
    <s v="RJ"/>
    <x v="4"/>
    <s v="RAFAEL ESTEVES (RJ/SPI/SUL)"/>
    <n v="64"/>
    <x v="2"/>
    <s v="HOSPITAL DR. BADIM (REDE DOR) - RIO DE JANEIRO - RJ - 27.901.222/0001-31"/>
    <n v="10"/>
  </r>
  <r>
    <x v="0"/>
    <x v="6"/>
    <x v="2"/>
    <n v="28000107000159"/>
    <x v="686"/>
    <s v="RIO DE JANEIRO"/>
    <s v="RJ"/>
    <x v="4"/>
    <s v="RAFAEL ESTEVES (RJ/SPI/SUL)"/>
    <n v="70"/>
    <x v="0"/>
    <s v="ONCOLOGIA REDE DOR S.A. - RIO DE JANEIRO - RJ - 28.000.107/0001-59"/>
    <n v="90"/>
  </r>
  <r>
    <x v="0"/>
    <x v="6"/>
    <x v="2"/>
    <n v="28000107000159"/>
    <x v="686"/>
    <s v="RIO DE JANEIRO"/>
    <s v="RJ"/>
    <x v="4"/>
    <s v="RAFAEL ESTEVES (RJ/SPI/SUL)"/>
    <n v="73"/>
    <x v="1"/>
    <s v="ONCOLOGIA REDE DOR S.A. - RIO DE JANEIRO - RJ - 28.000.107/0001-59"/>
    <n v="64"/>
  </r>
  <r>
    <x v="0"/>
    <x v="6"/>
    <x v="2"/>
    <n v="28602407000108"/>
    <x v="687"/>
    <s v="RIO DE JANEIRO"/>
    <s v="RJ"/>
    <x v="4"/>
    <s v="RAFAEL ESTEVES (RJ/SPI/SUL)"/>
    <n v="73"/>
    <x v="1"/>
    <s v="URGIL - RIO DE JANEIRO - RJ - 28.602.407/0001-08"/>
    <n v="2"/>
  </r>
  <r>
    <x v="0"/>
    <x v="6"/>
    <x v="2"/>
    <n v="29259736000403"/>
    <x v="688"/>
    <s v="RIO DE JANEIRO"/>
    <s v="RJ"/>
    <x v="4"/>
    <s v="RAFAEL ESTEVES (RJ/SPI/SUL)"/>
    <n v="73"/>
    <x v="1"/>
    <s v="HOSPITAL RIOS DOR (REDE DOR) - RIO DE JANEIRO - RJ - 29.259.736/0004-03"/>
    <n v="52"/>
  </r>
  <r>
    <x v="0"/>
    <x v="6"/>
    <x v="2"/>
    <n v="29435005005198"/>
    <x v="689"/>
    <s v="RIO DE JANEIRO"/>
    <s v="RJ"/>
    <x v="4"/>
    <s v="RAFAEL ESTEVES (RJ/SPI/SUL)"/>
    <n v="62"/>
    <x v="3"/>
    <s v="HOSPITAL PRO-CARDIACO - RIO DE JANEIRO - RJ - 29.435.005/0051-98"/>
    <n v="12"/>
  </r>
  <r>
    <x v="0"/>
    <x v="6"/>
    <x v="2"/>
    <n v="29435005005198"/>
    <x v="689"/>
    <s v="RIO DE JANEIRO"/>
    <s v="RJ"/>
    <x v="4"/>
    <s v="RAFAEL ESTEVES (RJ/SPI/SUL)"/>
    <n v="64"/>
    <x v="2"/>
    <s v="HOSPITAL PRO-CARDIACO - RIO DE JANEIRO - RJ - 29.435.005/0051-98"/>
    <n v="4"/>
  </r>
  <r>
    <x v="0"/>
    <x v="6"/>
    <x v="2"/>
    <n v="29435005005279"/>
    <x v="708"/>
    <s v="RIO DE JANEIRO"/>
    <s v="RJ"/>
    <x v="4"/>
    <s v="RAFAEL ESTEVES (RJ/SPI/SUL)"/>
    <n v="70"/>
    <x v="0"/>
    <s v="CASA DE SAUDE SANTA LUCIA - RIO DE JANEIRO - RJ - 29.435.005/0052-79"/>
    <n v="5"/>
  </r>
  <r>
    <x v="0"/>
    <x v="6"/>
    <x v="2"/>
    <n v="29435005005783"/>
    <x v="690"/>
    <s v="RIO DE JANEIRO"/>
    <s v="RJ"/>
    <x v="4"/>
    <s v="RAFAEL ESTEVES (RJ/SPI/SUL)"/>
    <n v="70"/>
    <x v="0"/>
    <s v="HOSPITAL PASTEUR - RIO DE JANEIRO - RJ - 29.435.005/0057-83"/>
    <n v="25"/>
  </r>
  <r>
    <x v="0"/>
    <x v="6"/>
    <x v="2"/>
    <n v="29435005006160"/>
    <x v="691"/>
    <s v="RIO DE JANEIRO"/>
    <s v="RJ"/>
    <x v="4"/>
    <s v="RAFAEL ESTEVES (RJ/SPI/SUL)"/>
    <n v="62"/>
    <x v="3"/>
    <s v="HOSPITAL SAMARITANO - RIO DE JANEIRO - RJ - 29.435.005/0061-60"/>
    <n v="11"/>
  </r>
  <r>
    <x v="0"/>
    <x v="6"/>
    <x v="2"/>
    <n v="29435005006160"/>
    <x v="691"/>
    <s v="RIO DE JANEIRO"/>
    <s v="RJ"/>
    <x v="4"/>
    <s v="RAFAEL ESTEVES (RJ/SPI/SUL)"/>
    <n v="64"/>
    <x v="2"/>
    <s v="HOSPITAL SAMARITANO - RIO DE JANEIRO - RJ - 29.435.005/0061-60"/>
    <n v="28"/>
  </r>
  <r>
    <x v="0"/>
    <x v="6"/>
    <x v="2"/>
    <n v="31635857000292"/>
    <x v="693"/>
    <s v="RIO DE JANEIRO"/>
    <s v="RJ"/>
    <x v="4"/>
    <s v="RAFAEL ESTEVES (RJ/SPI/SUL)"/>
    <n v="62"/>
    <x v="3"/>
    <s v="HOSPITAIS INTEGRADOS DA GAVEA S/A - RIO DE JANEIRO - RJ - 31.635.857/0002-92"/>
    <n v="1"/>
  </r>
  <r>
    <x v="0"/>
    <x v="6"/>
    <x v="2"/>
    <n v="31635857000292"/>
    <x v="693"/>
    <s v="RIO DE JANEIRO"/>
    <s v="RJ"/>
    <x v="4"/>
    <s v="RAFAEL ESTEVES (RJ/SPI/SUL)"/>
    <n v="73"/>
    <x v="1"/>
    <s v="HOSPITAIS INTEGRADOS DA GAVEA S/A - RIO DE JANEIRO - RJ - 31.635.857/0002-92"/>
    <n v="32"/>
  </r>
  <r>
    <x v="0"/>
    <x v="6"/>
    <x v="2"/>
    <n v="31925548000176"/>
    <x v="718"/>
    <s v="RIO DE JANEIRO"/>
    <s v="RJ"/>
    <x v="4"/>
    <s v="RAFAEL ESTEVES (RJ/SPI/SUL)"/>
    <n v="70"/>
    <x v="0"/>
    <s v="ASSIM SAUDE - RIO DE JANEIRO - RJ - 31.925.548/0001-76"/>
    <n v="30"/>
  </r>
  <r>
    <x v="0"/>
    <x v="6"/>
    <x v="2"/>
    <n v="33000167000101"/>
    <x v="695"/>
    <s v="RIO DE JANEIRO"/>
    <s v="RJ"/>
    <x v="4"/>
    <s v="RAFAEL ESTEVES (RJ/SPI/SUL)"/>
    <n v="70"/>
    <x v="0"/>
    <s v="PETROBRAS - RIO DE JANEIRO - RJ - 33.000.167/0001-01"/>
    <n v="145"/>
  </r>
  <r>
    <x v="0"/>
    <x v="6"/>
    <x v="2"/>
    <n v="33419482000259"/>
    <x v="696"/>
    <s v="RIO DE JANEIRO"/>
    <s v="RJ"/>
    <x v="4"/>
    <s v="RAFAEL ESTEVES (RJ/SPI/SUL)"/>
    <n v="62"/>
    <x v="3"/>
    <s v="LARANJEIRAS CLINICA PERINATAL - RIO DE JANEIRO - RJ - 33.419.482/0002-59"/>
    <n v="6"/>
  </r>
  <r>
    <x v="0"/>
    <x v="6"/>
    <x v="2"/>
    <n v="33419482000259"/>
    <x v="696"/>
    <s v="RIO DE JANEIRO"/>
    <s v="RJ"/>
    <x v="4"/>
    <s v="RAFAEL ESTEVES (RJ/SPI/SUL)"/>
    <n v="64"/>
    <x v="2"/>
    <s v="LARANJEIRAS CLINICA PERINATAL - RIO DE JANEIRO - RJ - 33.419.482/0002-59"/>
    <n v="4"/>
  </r>
  <r>
    <x v="0"/>
    <x v="6"/>
    <x v="2"/>
    <n v="33663683005347"/>
    <x v="698"/>
    <s v="RIO DE JANEIRO"/>
    <s v="RJ"/>
    <x v="4"/>
    <s v="RAFAEL ESTEVES (RJ/SPI/SUL)"/>
    <n v="62"/>
    <x v="3"/>
    <s v="HOSPITAL UNIVERSITARIO - RIO DE JANEIRO - RJ - 33.663.683/0053-47"/>
    <n v="126"/>
  </r>
  <r>
    <x v="0"/>
    <x v="6"/>
    <x v="2"/>
    <n v="33663683005347"/>
    <x v="698"/>
    <s v="RIO DE JANEIRO"/>
    <s v="RJ"/>
    <x v="4"/>
    <s v="RAFAEL ESTEVES (RJ/SPI/SUL)"/>
    <n v="64"/>
    <x v="2"/>
    <s v="HOSPITAL UNIVERSITARIO - RIO DE JANEIRO - RJ - 33.663.683/0053-47"/>
    <n v="108"/>
  </r>
  <r>
    <x v="0"/>
    <x v="6"/>
    <x v="2"/>
    <n v="39086160000130"/>
    <x v="701"/>
    <s v="RIO DE JANEIRO"/>
    <s v="RJ"/>
    <x v="4"/>
    <s v="RAFAEL ESTEVES (RJ/SPI/SUL)"/>
    <n v="70"/>
    <x v="0"/>
    <s v="COI CLINICAS ONCOLOGICAS INTEGRADAS SA - RIO DE JANEIRO - RJ - 39.086.160/0001-30"/>
    <n v="450"/>
  </r>
  <r>
    <x v="0"/>
    <x v="6"/>
    <x v="2"/>
    <n v="39086160000130"/>
    <x v="701"/>
    <s v="RIO DE JANEIRO"/>
    <s v="RJ"/>
    <x v="4"/>
    <s v="RAFAEL ESTEVES (RJ/SPI/SUL)"/>
    <n v="73"/>
    <x v="1"/>
    <s v="COI CLINICAS ONCOLOGICAS INTEGRADAS SA - RIO DE JANEIRO - RJ - 39.086.160/0001-30"/>
    <n v="120"/>
  </r>
  <r>
    <x v="0"/>
    <x v="6"/>
    <x v="2"/>
    <n v="60884855001630"/>
    <x v="703"/>
    <s v="RIO DE JANEIRO"/>
    <s v="RJ"/>
    <x v="4"/>
    <s v="RAFAEL ESTEVES (RJ/SPI/SUL)"/>
    <n v="62"/>
    <x v="3"/>
    <s v="HOSPITAL SAO LUCAS - RIO DE JANEIRO - RJ - 60.884.855/0016-30"/>
    <n v="15"/>
  </r>
  <r>
    <x v="0"/>
    <x v="6"/>
    <x v="2"/>
    <n v="60884855001630"/>
    <x v="703"/>
    <s v="RIO DE JANEIRO"/>
    <s v="RJ"/>
    <x v="4"/>
    <s v="RAFAEL ESTEVES (RJ/SPI/SUL)"/>
    <n v="70"/>
    <x v="0"/>
    <s v="HOSPITAL SAO LUCAS - RIO DE JANEIRO - RJ - 60.884.855/0016-30"/>
    <n v="135"/>
  </r>
  <r>
    <x v="0"/>
    <x v="6"/>
    <x v="2"/>
    <n v="60922168000348"/>
    <x v="704"/>
    <s v="RIO DE JANEIRO"/>
    <s v="RJ"/>
    <x v="4"/>
    <s v="RAFAEL ESTEVES (RJ/SPI/SUL)"/>
    <n v="62"/>
    <x v="3"/>
    <s v="CASA DE SAUDE SAO JOSE - RIO DE JANEIRO - RJ - 60.922.168/0003-48"/>
    <n v="10"/>
  </r>
  <r>
    <x v="0"/>
    <x v="6"/>
    <x v="2"/>
    <n v="60922168000348"/>
    <x v="704"/>
    <s v="RIO DE JANEIRO"/>
    <s v="RJ"/>
    <x v="4"/>
    <s v="RAFAEL ESTEVES (RJ/SPI/SUL)"/>
    <n v="64"/>
    <x v="2"/>
    <s v="CASA DE SAUDE SAO JOSE - RIO DE JANEIRO - RJ - 60.922.168/0003-48"/>
    <n v="4"/>
  </r>
  <r>
    <x v="0"/>
    <x v="6"/>
    <x v="2"/>
    <n v="60922168000348"/>
    <x v="704"/>
    <s v="RIO DE JANEIRO"/>
    <s v="RJ"/>
    <x v="4"/>
    <s v="RAFAEL ESTEVES (RJ/SPI/SUL)"/>
    <n v="70"/>
    <x v="0"/>
    <s v="CASA DE SAUDE SAO JOSE - RIO DE JANEIRO - RJ - 60.922.168/0003-48"/>
    <n v="935"/>
  </r>
  <r>
    <x v="0"/>
    <x v="6"/>
    <x v="2"/>
    <n v="72101124000506"/>
    <x v="705"/>
    <s v="RIO DE JANEIRO"/>
    <s v="RJ"/>
    <x v="4"/>
    <s v="RAFAEL ESTEVES (RJ/SPI/SUL)"/>
    <n v="70"/>
    <x v="0"/>
    <s v="ONCOCLINICA - CENTRO DE TRATAMENTO ONCOLOGICO S.A. - RIO DE JANEIRO - RJ - 72.101.124/0005-06"/>
    <n v="390"/>
  </r>
  <r>
    <x v="0"/>
    <x v="6"/>
    <x v="2"/>
    <n v="72101124000506"/>
    <x v="705"/>
    <s v="RIO DE JANEIRO"/>
    <s v="RJ"/>
    <x v="4"/>
    <s v="RAFAEL ESTEVES (RJ/SPI/SUL)"/>
    <n v="73"/>
    <x v="1"/>
    <s v="ONCOCLINICA - CENTRO DE TRATAMENTO ONCOLOGICO S.A. - RIO DE JANEIRO - RJ - 72.101.124/0005-06"/>
    <n v="7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8">
  <r>
    <x v="0"/>
    <x v="0"/>
    <x v="0"/>
    <n v="88317000121"/>
    <x v="0"/>
    <x v="0"/>
    <n v="39454.839999999997"/>
  </r>
  <r>
    <x v="0"/>
    <x v="0"/>
    <x v="0"/>
    <n v="88317000121"/>
    <x v="0"/>
    <x v="1"/>
    <n v="28869.599999999999"/>
  </r>
  <r>
    <x v="0"/>
    <x v="0"/>
    <x v="0"/>
    <n v="394544020100"/>
    <x v="1"/>
    <x v="2"/>
    <n v="137824"/>
  </r>
  <r>
    <x v="0"/>
    <x v="0"/>
    <x v="0"/>
    <n v="394544020291"/>
    <x v="2"/>
    <x v="2"/>
    <n v="207680"/>
  </r>
  <r>
    <x v="0"/>
    <x v="0"/>
    <x v="0"/>
    <n v="394544020291"/>
    <x v="2"/>
    <x v="0"/>
    <n v="50880"/>
  </r>
  <r>
    <x v="0"/>
    <x v="0"/>
    <x v="0"/>
    <n v="394544020372"/>
    <x v="3"/>
    <x v="2"/>
    <n v="48000"/>
  </r>
  <r>
    <x v="0"/>
    <x v="0"/>
    <x v="0"/>
    <n v="394544020372"/>
    <x v="3"/>
    <x v="0"/>
    <n v="67056.600000000006"/>
  </r>
  <r>
    <x v="0"/>
    <x v="0"/>
    <x v="0"/>
    <n v="394544020453"/>
    <x v="4"/>
    <x v="0"/>
    <n v="103164"/>
  </r>
  <r>
    <x v="0"/>
    <x v="0"/>
    <x v="0"/>
    <n v="394544021000"/>
    <x v="5"/>
    <x v="2"/>
    <n v="14160"/>
  </r>
  <r>
    <x v="0"/>
    <x v="0"/>
    <x v="0"/>
    <n v="394544021000"/>
    <x v="5"/>
    <x v="0"/>
    <n v="25791"/>
  </r>
  <r>
    <x v="0"/>
    <x v="0"/>
    <x v="0"/>
    <n v="394544021182"/>
    <x v="6"/>
    <x v="2"/>
    <n v="276000"/>
  </r>
  <r>
    <x v="0"/>
    <x v="0"/>
    <x v="0"/>
    <n v="394544021344"/>
    <x v="7"/>
    <x v="2"/>
    <n v="29866.720000000001"/>
  </r>
  <r>
    <x v="0"/>
    <x v="0"/>
    <x v="0"/>
    <n v="394544021344"/>
    <x v="7"/>
    <x v="0"/>
    <n v="312906.8"/>
  </r>
  <r>
    <x v="0"/>
    <x v="0"/>
    <x v="0"/>
    <n v="1479465000130"/>
    <x v="8"/>
    <x v="0"/>
    <n v="540058.63"/>
  </r>
  <r>
    <x v="0"/>
    <x v="0"/>
    <x v="0"/>
    <n v="2873606000167"/>
    <x v="9"/>
    <x v="0"/>
    <n v="319755.27"/>
  </r>
  <r>
    <x v="0"/>
    <x v="0"/>
    <x v="0"/>
    <n v="4027894000164"/>
    <x v="10"/>
    <x v="0"/>
    <n v="45061.37"/>
  </r>
  <r>
    <x v="0"/>
    <x v="0"/>
    <x v="0"/>
    <n v="4027894000326"/>
    <x v="10"/>
    <x v="0"/>
    <n v="967412.94"/>
  </r>
  <r>
    <x v="0"/>
    <x v="0"/>
    <x v="0"/>
    <n v="4307650001298"/>
    <x v="11"/>
    <x v="0"/>
    <n v="756409.09"/>
  </r>
  <r>
    <x v="0"/>
    <x v="0"/>
    <x v="0"/>
    <n v="4307650001298"/>
    <x v="11"/>
    <x v="1"/>
    <n v="121974.04"/>
  </r>
  <r>
    <x v="0"/>
    <x v="0"/>
    <x v="0"/>
    <n v="4355394000151"/>
    <x v="12"/>
    <x v="2"/>
    <n v="123002.75"/>
  </r>
  <r>
    <x v="0"/>
    <x v="0"/>
    <x v="0"/>
    <n v="4355394000151"/>
    <x v="12"/>
    <x v="0"/>
    <n v="564689.51"/>
  </r>
  <r>
    <x v="0"/>
    <x v="0"/>
    <x v="0"/>
    <n v="4355394000151"/>
    <x v="12"/>
    <x v="1"/>
    <n v="674987.07"/>
  </r>
  <r>
    <x v="0"/>
    <x v="0"/>
    <x v="0"/>
    <n v="5268490000125"/>
    <x v="13"/>
    <x v="2"/>
    <n v="399721.79"/>
  </r>
  <r>
    <x v="0"/>
    <x v="0"/>
    <x v="0"/>
    <n v="5268490000125"/>
    <x v="13"/>
    <x v="0"/>
    <n v="336846.3"/>
  </r>
  <r>
    <x v="0"/>
    <x v="0"/>
    <x v="0"/>
    <n v="5816630000152"/>
    <x v="14"/>
    <x v="0"/>
    <n v="29420.400000000001"/>
  </r>
  <r>
    <x v="0"/>
    <x v="0"/>
    <x v="0"/>
    <n v="6081203000136"/>
    <x v="11"/>
    <x v="0"/>
    <n v="304505.59999999998"/>
  </r>
  <r>
    <x v="0"/>
    <x v="0"/>
    <x v="0"/>
    <n v="6081203000136"/>
    <x v="11"/>
    <x v="1"/>
    <n v="12991.32"/>
  </r>
  <r>
    <x v="0"/>
    <x v="0"/>
    <x v="0"/>
    <n v="6234797000178"/>
    <x v="15"/>
    <x v="0"/>
    <n v="218524.46"/>
  </r>
  <r>
    <x v="0"/>
    <x v="0"/>
    <x v="0"/>
    <n v="6234797000178"/>
    <x v="15"/>
    <x v="1"/>
    <n v="74814.5"/>
  </r>
  <r>
    <x v="0"/>
    <x v="0"/>
    <x v="0"/>
    <n v="7224991001530"/>
    <x v="16"/>
    <x v="0"/>
    <n v="4320.2299999999996"/>
  </r>
  <r>
    <x v="0"/>
    <x v="0"/>
    <x v="0"/>
    <n v="7224991001530"/>
    <x v="16"/>
    <x v="1"/>
    <n v="31686.14"/>
  </r>
  <r>
    <x v="0"/>
    <x v="0"/>
    <x v="0"/>
    <n v="7272636000212"/>
    <x v="17"/>
    <x v="0"/>
    <n v="39500.71"/>
  </r>
  <r>
    <x v="0"/>
    <x v="0"/>
    <x v="0"/>
    <n v="7484373000124"/>
    <x v="18"/>
    <x v="2"/>
    <n v="163569.01"/>
  </r>
  <r>
    <x v="0"/>
    <x v="0"/>
    <x v="0"/>
    <n v="7484373000124"/>
    <x v="18"/>
    <x v="1"/>
    <n v="88650.07"/>
  </r>
  <r>
    <x v="0"/>
    <x v="0"/>
    <x v="0"/>
    <n v="7734165000136"/>
    <x v="19"/>
    <x v="0"/>
    <n v="614961.56000000006"/>
  </r>
  <r>
    <x v="0"/>
    <x v="0"/>
    <x v="0"/>
    <n v="7812105000194"/>
    <x v="20"/>
    <x v="0"/>
    <n v="317153.93"/>
  </r>
  <r>
    <x v="0"/>
    <x v="0"/>
    <x v="0"/>
    <n v="8563277000134"/>
    <x v="21"/>
    <x v="1"/>
    <n v="14962.91"/>
  </r>
  <r>
    <x v="0"/>
    <x v="0"/>
    <x v="0"/>
    <n v="8597121000174"/>
    <x v="22"/>
    <x v="0"/>
    <n v="4544471.97"/>
  </r>
  <r>
    <x v="0"/>
    <x v="0"/>
    <x v="0"/>
    <n v="8618022000121"/>
    <x v="23"/>
    <x v="2"/>
    <n v="560914.75"/>
  </r>
  <r>
    <x v="0"/>
    <x v="0"/>
    <x v="0"/>
    <n v="8618022000121"/>
    <x v="23"/>
    <x v="0"/>
    <n v="872367.9"/>
  </r>
  <r>
    <x v="0"/>
    <x v="0"/>
    <x v="0"/>
    <n v="8618022000121"/>
    <x v="23"/>
    <x v="1"/>
    <n v="556267.81999999995"/>
  </r>
  <r>
    <x v="0"/>
    <x v="0"/>
    <x v="0"/>
    <n v="8719794000150"/>
    <x v="20"/>
    <x v="1"/>
    <n v="39607.699999999997"/>
  </r>
  <r>
    <x v="0"/>
    <x v="0"/>
    <x v="0"/>
    <n v="9053134000226"/>
    <x v="24"/>
    <x v="2"/>
    <n v="537513.76"/>
  </r>
  <r>
    <x v="0"/>
    <x v="0"/>
    <x v="0"/>
    <n v="9053134000226"/>
    <x v="24"/>
    <x v="0"/>
    <n v="263076.8"/>
  </r>
  <r>
    <x v="0"/>
    <x v="0"/>
    <x v="0"/>
    <n v="9053134000226"/>
    <x v="24"/>
    <x v="1"/>
    <n v="230023.84"/>
  </r>
  <r>
    <x v="0"/>
    <x v="0"/>
    <x v="0"/>
    <n v="9613374000157"/>
    <x v="25"/>
    <x v="0"/>
    <n v="476253.24"/>
  </r>
  <r>
    <x v="0"/>
    <x v="0"/>
    <x v="0"/>
    <n v="9660958000345"/>
    <x v="26"/>
    <x v="2"/>
    <n v="91148.18"/>
  </r>
  <r>
    <x v="0"/>
    <x v="0"/>
    <x v="0"/>
    <n v="9660958000345"/>
    <x v="26"/>
    <x v="0"/>
    <n v="301776.48"/>
  </r>
  <r>
    <x v="0"/>
    <x v="0"/>
    <x v="0"/>
    <n v="9660958000345"/>
    <x v="26"/>
    <x v="1"/>
    <n v="167683.16"/>
  </r>
  <r>
    <x v="0"/>
    <x v="0"/>
    <x v="0"/>
    <n v="10572048000209"/>
    <x v="27"/>
    <x v="0"/>
    <n v="247749"/>
  </r>
  <r>
    <x v="0"/>
    <x v="0"/>
    <x v="0"/>
    <n v="11051186000124"/>
    <x v="20"/>
    <x v="1"/>
    <n v="19803.84"/>
  </r>
  <r>
    <x v="0"/>
    <x v="0"/>
    <x v="0"/>
    <n v="11059197000312"/>
    <x v="28"/>
    <x v="0"/>
    <n v="56677.88"/>
  </r>
  <r>
    <x v="0"/>
    <x v="0"/>
    <x v="0"/>
    <n v="12047164000315"/>
    <x v="29"/>
    <x v="1"/>
    <n v="123928.01"/>
  </r>
  <r>
    <x v="0"/>
    <x v="0"/>
    <x v="0"/>
    <n v="12420164000319"/>
    <x v="30"/>
    <x v="2"/>
    <n v="1038426.58"/>
  </r>
  <r>
    <x v="0"/>
    <x v="0"/>
    <x v="0"/>
    <n v="12420164000319"/>
    <x v="30"/>
    <x v="0"/>
    <n v="1859924.23"/>
  </r>
  <r>
    <x v="0"/>
    <x v="0"/>
    <x v="0"/>
    <n v="12420164000319"/>
    <x v="30"/>
    <x v="1"/>
    <n v="134831.31"/>
  </r>
  <r>
    <x v="0"/>
    <x v="0"/>
    <x v="0"/>
    <n v="12420164000904"/>
    <x v="30"/>
    <x v="2"/>
    <n v="527702.6"/>
  </r>
  <r>
    <x v="0"/>
    <x v="0"/>
    <x v="0"/>
    <n v="12420164000904"/>
    <x v="30"/>
    <x v="0"/>
    <n v="1130814.2"/>
  </r>
  <r>
    <x v="0"/>
    <x v="0"/>
    <x v="0"/>
    <n v="12420164000904"/>
    <x v="30"/>
    <x v="1"/>
    <n v="59878.98"/>
  </r>
  <r>
    <x v="0"/>
    <x v="0"/>
    <x v="0"/>
    <n v="12420164001048"/>
    <x v="30"/>
    <x v="2"/>
    <n v="3259.3"/>
  </r>
  <r>
    <x v="0"/>
    <x v="0"/>
    <x v="0"/>
    <n v="12420164001048"/>
    <x v="30"/>
    <x v="0"/>
    <n v="71458.59"/>
  </r>
  <r>
    <x v="0"/>
    <x v="0"/>
    <x v="0"/>
    <n v="12420164001048"/>
    <x v="30"/>
    <x v="1"/>
    <n v="2308.33"/>
  </r>
  <r>
    <x v="0"/>
    <x v="0"/>
    <x v="0"/>
    <n v="12474705000120"/>
    <x v="31"/>
    <x v="0"/>
    <n v="26640"/>
  </r>
  <r>
    <x v="0"/>
    <x v="0"/>
    <x v="0"/>
    <n v="14261377000109"/>
    <x v="32"/>
    <x v="2"/>
    <n v="82001.83"/>
  </r>
  <r>
    <x v="0"/>
    <x v="0"/>
    <x v="0"/>
    <n v="14261377000109"/>
    <x v="32"/>
    <x v="0"/>
    <n v="266731.53000000003"/>
  </r>
  <r>
    <x v="0"/>
    <x v="0"/>
    <x v="0"/>
    <n v="14261377000109"/>
    <x v="32"/>
    <x v="1"/>
    <n v="53514.39"/>
  </r>
  <r>
    <x v="0"/>
    <x v="0"/>
    <x v="0"/>
    <n v="15126437000739"/>
    <x v="33"/>
    <x v="0"/>
    <n v="86920"/>
  </r>
  <r>
    <x v="0"/>
    <x v="0"/>
    <x v="0"/>
    <n v="15126437001972"/>
    <x v="34"/>
    <x v="0"/>
    <n v="12054"/>
  </r>
  <r>
    <x v="0"/>
    <x v="0"/>
    <x v="0"/>
    <n v="15126437002278"/>
    <x v="35"/>
    <x v="2"/>
    <n v="19106"/>
  </r>
  <r>
    <x v="0"/>
    <x v="0"/>
    <x v="0"/>
    <n v="15145035000196"/>
    <x v="36"/>
    <x v="2"/>
    <n v="28290.63"/>
  </r>
  <r>
    <x v="0"/>
    <x v="0"/>
    <x v="0"/>
    <n v="15145035000196"/>
    <x v="36"/>
    <x v="1"/>
    <n v="127919.27"/>
  </r>
  <r>
    <x v="0"/>
    <x v="0"/>
    <x v="0"/>
    <n v="15180714000368"/>
    <x v="37"/>
    <x v="0"/>
    <n v="11143.31"/>
  </r>
  <r>
    <x v="0"/>
    <x v="0"/>
    <x v="0"/>
    <n v="17700763000300"/>
    <x v="38"/>
    <x v="2"/>
    <n v="224334.2"/>
  </r>
  <r>
    <x v="0"/>
    <x v="0"/>
    <x v="0"/>
    <n v="17700763000300"/>
    <x v="38"/>
    <x v="0"/>
    <n v="1004478.49"/>
  </r>
  <r>
    <x v="0"/>
    <x v="0"/>
    <x v="0"/>
    <n v="17700763000300"/>
    <x v="38"/>
    <x v="1"/>
    <n v="140827.29999999999"/>
  </r>
  <r>
    <x v="0"/>
    <x v="0"/>
    <x v="0"/>
    <n v="18269125000187"/>
    <x v="39"/>
    <x v="2"/>
    <n v="754416.85"/>
  </r>
  <r>
    <x v="0"/>
    <x v="0"/>
    <x v="0"/>
    <n v="18269125000187"/>
    <x v="39"/>
    <x v="0"/>
    <n v="796153.23"/>
  </r>
  <r>
    <x v="0"/>
    <x v="0"/>
    <x v="0"/>
    <n v="18269125000187"/>
    <x v="39"/>
    <x v="1"/>
    <n v="216521.99"/>
  </r>
  <r>
    <x v="0"/>
    <x v="0"/>
    <x v="0"/>
    <n v="21895020000148"/>
    <x v="20"/>
    <x v="1"/>
    <n v="26405.13"/>
  </r>
  <r>
    <x v="0"/>
    <x v="0"/>
    <x v="0"/>
    <n v="25211499000107"/>
    <x v="28"/>
    <x v="0"/>
    <n v="29101"/>
  </r>
  <r>
    <x v="0"/>
    <x v="0"/>
    <x v="0"/>
    <n v="25211499000107"/>
    <x v="28"/>
    <x v="1"/>
    <n v="20331.939999999999"/>
  </r>
  <r>
    <x v="0"/>
    <x v="0"/>
    <x v="0"/>
    <n v="25437484000242"/>
    <x v="40"/>
    <x v="2"/>
    <n v="20960.84"/>
  </r>
  <r>
    <x v="0"/>
    <x v="0"/>
    <x v="0"/>
    <n v="25648387000207"/>
    <x v="41"/>
    <x v="2"/>
    <n v="47970"/>
  </r>
  <r>
    <x v="0"/>
    <x v="0"/>
    <x v="0"/>
    <n v="25648387000207"/>
    <x v="41"/>
    <x v="0"/>
    <n v="65513.81"/>
  </r>
  <r>
    <x v="0"/>
    <x v="0"/>
    <x v="0"/>
    <n v="25648387000207"/>
    <x v="41"/>
    <x v="1"/>
    <n v="2886.4"/>
  </r>
  <r>
    <x v="0"/>
    <x v="0"/>
    <x v="0"/>
    <n v="27080605001591"/>
    <x v="42"/>
    <x v="0"/>
    <n v="182234"/>
  </r>
  <r>
    <x v="0"/>
    <x v="0"/>
    <x v="0"/>
    <n v="27191294000132"/>
    <x v="43"/>
    <x v="0"/>
    <n v="8778.51"/>
  </r>
  <r>
    <x v="0"/>
    <x v="0"/>
    <x v="0"/>
    <n v="33663683002674"/>
    <x v="44"/>
    <x v="0"/>
    <n v="1811.92"/>
  </r>
  <r>
    <x v="0"/>
    <x v="0"/>
    <x v="0"/>
    <n v="33663683005347"/>
    <x v="45"/>
    <x v="0"/>
    <n v="137552"/>
  </r>
  <r>
    <x v="0"/>
    <x v="0"/>
    <x v="0"/>
    <n v="33781055000216"/>
    <x v="46"/>
    <x v="2"/>
    <n v="7283.83"/>
  </r>
  <r>
    <x v="0"/>
    <x v="0"/>
    <x v="0"/>
    <n v="33781055000216"/>
    <x v="46"/>
    <x v="0"/>
    <n v="46980"/>
  </r>
  <r>
    <x v="0"/>
    <x v="0"/>
    <x v="0"/>
    <n v="33781055000216"/>
    <x v="46"/>
    <x v="1"/>
    <n v="5596.8"/>
  </r>
  <r>
    <x v="0"/>
    <x v="0"/>
    <x v="0"/>
    <n v="34973438000178"/>
    <x v="47"/>
    <x v="1"/>
    <n v="5237.0200000000004"/>
  </r>
  <r>
    <x v="0"/>
    <x v="0"/>
    <x v="0"/>
    <n v="37396017000624"/>
    <x v="28"/>
    <x v="0"/>
    <n v="232470.35"/>
  </r>
  <r>
    <x v="0"/>
    <x v="0"/>
    <x v="0"/>
    <n v="37396017000624"/>
    <x v="28"/>
    <x v="1"/>
    <n v="22356.68"/>
  </r>
  <r>
    <x v="0"/>
    <x v="0"/>
    <x v="0"/>
    <n v="45780103000150"/>
    <x v="48"/>
    <x v="0"/>
    <n v="143395.35999999999"/>
  </r>
  <r>
    <x v="0"/>
    <x v="0"/>
    <x v="0"/>
    <n v="46068425000133"/>
    <x v="49"/>
    <x v="2"/>
    <n v="24796.799999999999"/>
  </r>
  <r>
    <x v="0"/>
    <x v="0"/>
    <x v="0"/>
    <n v="46374500001670"/>
    <x v="50"/>
    <x v="1"/>
    <n v="6074.28"/>
  </r>
  <r>
    <x v="0"/>
    <x v="0"/>
    <x v="0"/>
    <n v="46374500003533"/>
    <x v="51"/>
    <x v="0"/>
    <n v="204938"/>
  </r>
  <r>
    <x v="0"/>
    <x v="0"/>
    <x v="0"/>
    <n v="46374500011129"/>
    <x v="52"/>
    <x v="1"/>
    <n v="13498.4"/>
  </r>
  <r>
    <x v="0"/>
    <x v="0"/>
    <x v="0"/>
    <n v="46374500011200"/>
    <x v="53"/>
    <x v="1"/>
    <n v="6749.2"/>
  </r>
  <r>
    <x v="0"/>
    <x v="0"/>
    <x v="0"/>
    <n v="46374500011390"/>
    <x v="54"/>
    <x v="1"/>
    <n v="7592.85"/>
  </r>
  <r>
    <x v="0"/>
    <x v="0"/>
    <x v="0"/>
    <n v="46374500011714"/>
    <x v="55"/>
    <x v="1"/>
    <n v="16198.08"/>
  </r>
  <r>
    <x v="0"/>
    <x v="0"/>
    <x v="0"/>
    <n v="46374500012605"/>
    <x v="56"/>
    <x v="1"/>
    <n v="8099.04"/>
  </r>
  <r>
    <x v="0"/>
    <x v="0"/>
    <x v="0"/>
    <n v="46854998000192"/>
    <x v="57"/>
    <x v="2"/>
    <n v="54434.879999999997"/>
  </r>
  <r>
    <x v="0"/>
    <x v="0"/>
    <x v="0"/>
    <n v="48468284000171"/>
    <x v="58"/>
    <x v="0"/>
    <n v="20493.8"/>
  </r>
  <r>
    <x v="0"/>
    <x v="0"/>
    <x v="0"/>
    <n v="51885242000140"/>
    <x v="59"/>
    <x v="0"/>
    <n v="38330.74"/>
  </r>
  <r>
    <x v="0"/>
    <x v="0"/>
    <x v="0"/>
    <n v="56577059000606"/>
    <x v="60"/>
    <x v="2"/>
    <n v="87699"/>
  </r>
  <r>
    <x v="0"/>
    <x v="0"/>
    <x v="0"/>
    <n v="57722118000302"/>
    <x v="61"/>
    <x v="0"/>
    <n v="338147.7"/>
  </r>
  <r>
    <x v="0"/>
    <x v="0"/>
    <x v="0"/>
    <n v="60003761000129"/>
    <x v="62"/>
    <x v="2"/>
    <n v="38950"/>
  </r>
  <r>
    <x v="0"/>
    <x v="0"/>
    <x v="0"/>
    <n v="60003761000129"/>
    <x v="62"/>
    <x v="0"/>
    <n v="7970.4"/>
  </r>
  <r>
    <x v="0"/>
    <x v="0"/>
    <x v="0"/>
    <n v="60448040000122"/>
    <x v="63"/>
    <x v="2"/>
    <n v="305976"/>
  </r>
  <r>
    <x v="0"/>
    <x v="0"/>
    <x v="0"/>
    <n v="60448040000122"/>
    <x v="63"/>
    <x v="0"/>
    <n v="129403.4"/>
  </r>
  <r>
    <x v="0"/>
    <x v="0"/>
    <x v="0"/>
    <n v="60448040000122"/>
    <x v="63"/>
    <x v="1"/>
    <n v="3543.33"/>
  </r>
  <r>
    <x v="0"/>
    <x v="0"/>
    <x v="0"/>
    <n v="60747318000162"/>
    <x v="64"/>
    <x v="1"/>
    <n v="8436.5"/>
  </r>
  <r>
    <x v="0"/>
    <x v="0"/>
    <x v="0"/>
    <n v="61590410000124"/>
    <x v="65"/>
    <x v="0"/>
    <n v="241884.88"/>
  </r>
  <r>
    <x v="0"/>
    <x v="0"/>
    <x v="0"/>
    <n v="61590410000124"/>
    <x v="65"/>
    <x v="1"/>
    <n v="688.82"/>
  </r>
  <r>
    <x v="0"/>
    <x v="0"/>
    <x v="0"/>
    <n v="61590410001287"/>
    <x v="66"/>
    <x v="0"/>
    <n v="112750"/>
  </r>
  <r>
    <x v="0"/>
    <x v="0"/>
    <x v="0"/>
    <n v="61599908000158"/>
    <x v="67"/>
    <x v="0"/>
    <n v="79089"/>
  </r>
  <r>
    <x v="0"/>
    <x v="0"/>
    <x v="0"/>
    <n v="61599908000158"/>
    <x v="67"/>
    <x v="1"/>
    <n v="5405.55"/>
  </r>
  <r>
    <x v="0"/>
    <x v="0"/>
    <x v="0"/>
    <n v="79250676000193"/>
    <x v="24"/>
    <x v="2"/>
    <n v="47151.05"/>
  </r>
  <r>
    <x v="0"/>
    <x v="0"/>
    <x v="0"/>
    <n v="79250676000193"/>
    <x v="24"/>
    <x v="0"/>
    <n v="49199.74"/>
  </r>
  <r>
    <x v="0"/>
    <x v="0"/>
    <x v="0"/>
    <n v="79250676000193"/>
    <x v="24"/>
    <x v="1"/>
    <n v="9671.31"/>
  </r>
  <r>
    <x v="0"/>
    <x v="0"/>
    <x v="0"/>
    <n v="81887838000736"/>
    <x v="68"/>
    <x v="0"/>
    <n v="199921.93"/>
  </r>
  <r>
    <x v="0"/>
    <x v="0"/>
    <x v="0"/>
    <n v="81887838000736"/>
    <x v="68"/>
    <x v="1"/>
    <n v="23915.119999999999"/>
  </r>
  <r>
    <x v="0"/>
    <x v="0"/>
    <x v="0"/>
    <n v="82873068000140"/>
    <x v="69"/>
    <x v="0"/>
    <n v="2981.85"/>
  </r>
  <r>
    <x v="0"/>
    <x v="0"/>
    <x v="0"/>
    <n v="82873068000140"/>
    <x v="69"/>
    <x v="1"/>
    <n v="65572.710000000006"/>
  </r>
  <r>
    <x v="0"/>
    <x v="0"/>
    <x v="0"/>
    <n v="82873068000573"/>
    <x v="69"/>
    <x v="0"/>
    <n v="2762.98"/>
  </r>
  <r>
    <x v="0"/>
    <x v="0"/>
    <x v="0"/>
    <n v="82873068000573"/>
    <x v="69"/>
    <x v="1"/>
    <n v="22444.36"/>
  </r>
  <r>
    <x v="0"/>
    <x v="0"/>
    <x v="0"/>
    <n v="82873068000654"/>
    <x v="69"/>
    <x v="1"/>
    <n v="102099.81"/>
  </r>
  <r>
    <x v="0"/>
    <x v="0"/>
    <x v="0"/>
    <n v="87020517000120"/>
    <x v="70"/>
    <x v="0"/>
    <n v="9610.4"/>
  </r>
  <r>
    <x v="0"/>
    <x v="0"/>
    <x v="0"/>
    <n v="92787118000391"/>
    <x v="71"/>
    <x v="0"/>
    <n v="8885.52"/>
  </r>
  <r>
    <x v="0"/>
    <x v="0"/>
    <x v="0"/>
    <n v="94516671000153"/>
    <x v="72"/>
    <x v="2"/>
    <n v="83641.87"/>
  </r>
  <r>
    <x v="0"/>
    <x v="0"/>
    <x v="0"/>
    <n v="94516671000153"/>
    <x v="72"/>
    <x v="0"/>
    <n v="130288.35"/>
  </r>
  <r>
    <x v="0"/>
    <x v="0"/>
    <x v="0"/>
    <n v="94516671000153"/>
    <x v="72"/>
    <x v="1"/>
    <n v="56330.93"/>
  </r>
  <r>
    <x v="0"/>
    <x v="0"/>
    <x v="0"/>
    <n v="94516671000234"/>
    <x v="72"/>
    <x v="2"/>
    <n v="73801.649999999994"/>
  </r>
  <r>
    <x v="0"/>
    <x v="0"/>
    <x v="0"/>
    <n v="94516671000234"/>
    <x v="72"/>
    <x v="0"/>
    <n v="191784.51"/>
  </r>
  <r>
    <x v="0"/>
    <x v="0"/>
    <x v="0"/>
    <n v="94516671000234"/>
    <x v="72"/>
    <x v="1"/>
    <n v="56330.93"/>
  </r>
  <r>
    <x v="0"/>
    <x v="1"/>
    <x v="0"/>
    <n v="394544000851"/>
    <x v="73"/>
    <x v="0"/>
    <n v="137247.73000000001"/>
  </r>
  <r>
    <x v="0"/>
    <x v="1"/>
    <x v="0"/>
    <n v="394544017150"/>
    <x v="74"/>
    <x v="0"/>
    <n v="17600"/>
  </r>
  <r>
    <x v="0"/>
    <x v="1"/>
    <x v="0"/>
    <n v="735260000105"/>
    <x v="75"/>
    <x v="1"/>
    <n v="5985.15"/>
  </r>
  <r>
    <x v="0"/>
    <x v="1"/>
    <x v="0"/>
    <n v="1479465000130"/>
    <x v="8"/>
    <x v="0"/>
    <n v="540058.64"/>
  </r>
  <r>
    <x v="0"/>
    <x v="1"/>
    <x v="0"/>
    <n v="2873606000167"/>
    <x v="9"/>
    <x v="0"/>
    <n v="23453.46"/>
  </r>
  <r>
    <x v="0"/>
    <x v="1"/>
    <x v="0"/>
    <n v="2873606000167"/>
    <x v="9"/>
    <x v="1"/>
    <n v="50956.61"/>
  </r>
  <r>
    <x v="0"/>
    <x v="1"/>
    <x v="0"/>
    <n v="3866223000124"/>
    <x v="76"/>
    <x v="0"/>
    <n v="229191.12"/>
  </r>
  <r>
    <x v="0"/>
    <x v="1"/>
    <x v="0"/>
    <n v="4027894000326"/>
    <x v="10"/>
    <x v="2"/>
    <n v="208715.05"/>
  </r>
  <r>
    <x v="0"/>
    <x v="1"/>
    <x v="0"/>
    <n v="4027894000326"/>
    <x v="10"/>
    <x v="0"/>
    <n v="762983.1"/>
  </r>
  <r>
    <x v="0"/>
    <x v="1"/>
    <x v="0"/>
    <n v="4027894000326"/>
    <x v="10"/>
    <x v="1"/>
    <n v="172161.46"/>
  </r>
  <r>
    <x v="0"/>
    <x v="1"/>
    <x v="0"/>
    <n v="4307650001298"/>
    <x v="11"/>
    <x v="0"/>
    <n v="639187.74"/>
  </r>
  <r>
    <x v="0"/>
    <x v="1"/>
    <x v="0"/>
    <n v="4307650001298"/>
    <x v="11"/>
    <x v="1"/>
    <n v="103508.06"/>
  </r>
  <r>
    <x v="0"/>
    <x v="1"/>
    <x v="0"/>
    <n v="4355394000151"/>
    <x v="12"/>
    <x v="2"/>
    <n v="145126.54999999999"/>
  </r>
  <r>
    <x v="0"/>
    <x v="1"/>
    <x v="0"/>
    <n v="4355394000151"/>
    <x v="12"/>
    <x v="0"/>
    <n v="781027.64"/>
  </r>
  <r>
    <x v="0"/>
    <x v="1"/>
    <x v="0"/>
    <n v="4355394000151"/>
    <x v="12"/>
    <x v="1"/>
    <n v="72174"/>
  </r>
  <r>
    <x v="0"/>
    <x v="1"/>
    <x v="0"/>
    <n v="5268490000125"/>
    <x v="13"/>
    <x v="2"/>
    <n v="31570.7"/>
  </r>
  <r>
    <x v="0"/>
    <x v="1"/>
    <x v="0"/>
    <n v="5268490000125"/>
    <x v="13"/>
    <x v="0"/>
    <n v="158778.78"/>
  </r>
  <r>
    <x v="0"/>
    <x v="1"/>
    <x v="0"/>
    <n v="5816630000152"/>
    <x v="14"/>
    <x v="0"/>
    <n v="600583"/>
  </r>
  <r>
    <x v="0"/>
    <x v="1"/>
    <x v="0"/>
    <n v="6081203000136"/>
    <x v="11"/>
    <x v="0"/>
    <n v="654865.91"/>
  </r>
  <r>
    <x v="0"/>
    <x v="1"/>
    <x v="0"/>
    <n v="6081203000136"/>
    <x v="11"/>
    <x v="1"/>
    <n v="44360.62"/>
  </r>
  <r>
    <x v="0"/>
    <x v="1"/>
    <x v="0"/>
    <n v="6234797000178"/>
    <x v="15"/>
    <x v="2"/>
    <n v="18860.419999999998"/>
  </r>
  <r>
    <x v="0"/>
    <x v="1"/>
    <x v="0"/>
    <n v="6234797000178"/>
    <x v="15"/>
    <x v="0"/>
    <n v="259722.96"/>
  </r>
  <r>
    <x v="0"/>
    <x v="1"/>
    <x v="0"/>
    <n v="6234797000178"/>
    <x v="15"/>
    <x v="1"/>
    <n v="119703.2"/>
  </r>
  <r>
    <x v="0"/>
    <x v="1"/>
    <x v="0"/>
    <n v="7224991001530"/>
    <x v="16"/>
    <x v="0"/>
    <n v="44331.4"/>
  </r>
  <r>
    <x v="0"/>
    <x v="1"/>
    <x v="0"/>
    <n v="7224991001530"/>
    <x v="16"/>
    <x v="1"/>
    <n v="57492.74"/>
  </r>
  <r>
    <x v="0"/>
    <x v="1"/>
    <x v="0"/>
    <n v="7484373000124"/>
    <x v="18"/>
    <x v="2"/>
    <n v="9922.2199999999993"/>
  </r>
  <r>
    <x v="0"/>
    <x v="1"/>
    <x v="0"/>
    <n v="7484373000124"/>
    <x v="18"/>
    <x v="1"/>
    <n v="85781.77"/>
  </r>
  <r>
    <x v="0"/>
    <x v="1"/>
    <x v="0"/>
    <n v="7734165000136"/>
    <x v="19"/>
    <x v="0"/>
    <n v="409974.38"/>
  </r>
  <r>
    <x v="0"/>
    <x v="1"/>
    <x v="0"/>
    <n v="7812105000194"/>
    <x v="20"/>
    <x v="0"/>
    <n v="416532.63"/>
  </r>
  <r>
    <x v="0"/>
    <x v="1"/>
    <x v="0"/>
    <n v="8597121000174"/>
    <x v="22"/>
    <x v="0"/>
    <n v="-1912472"/>
  </r>
  <r>
    <x v="0"/>
    <x v="1"/>
    <x v="0"/>
    <n v="8618022000121"/>
    <x v="23"/>
    <x v="2"/>
    <n v="237796.02"/>
  </r>
  <r>
    <x v="0"/>
    <x v="1"/>
    <x v="0"/>
    <n v="8618022000121"/>
    <x v="23"/>
    <x v="0"/>
    <n v="1975285.99"/>
  </r>
  <r>
    <x v="0"/>
    <x v="1"/>
    <x v="0"/>
    <n v="8719794000150"/>
    <x v="20"/>
    <x v="0"/>
    <n v="51775.45"/>
  </r>
  <r>
    <x v="0"/>
    <x v="1"/>
    <x v="0"/>
    <n v="9053134000226"/>
    <x v="24"/>
    <x v="0"/>
    <n v="5858.07"/>
  </r>
  <r>
    <x v="0"/>
    <x v="1"/>
    <x v="0"/>
    <n v="9579964000291"/>
    <x v="77"/>
    <x v="0"/>
    <n v="245540"/>
  </r>
  <r>
    <x v="0"/>
    <x v="1"/>
    <x v="0"/>
    <n v="9660958000345"/>
    <x v="26"/>
    <x v="2"/>
    <n v="134995.89000000001"/>
  </r>
  <r>
    <x v="0"/>
    <x v="1"/>
    <x v="0"/>
    <n v="9660958000345"/>
    <x v="26"/>
    <x v="0"/>
    <n v="204103.33"/>
  </r>
  <r>
    <x v="0"/>
    <x v="1"/>
    <x v="0"/>
    <n v="9660958000345"/>
    <x v="26"/>
    <x v="1"/>
    <n v="125709.55"/>
  </r>
  <r>
    <x v="0"/>
    <x v="1"/>
    <x v="0"/>
    <n v="10942995000163"/>
    <x v="78"/>
    <x v="0"/>
    <n v="7383.28"/>
  </r>
  <r>
    <x v="0"/>
    <x v="1"/>
    <x v="0"/>
    <n v="11022597001597"/>
    <x v="79"/>
    <x v="0"/>
    <n v="21422.5"/>
  </r>
  <r>
    <x v="0"/>
    <x v="1"/>
    <x v="0"/>
    <n v="11206099000107"/>
    <x v="80"/>
    <x v="2"/>
    <n v="196804.4"/>
  </r>
  <r>
    <x v="0"/>
    <x v="1"/>
    <x v="0"/>
    <n v="11206099000107"/>
    <x v="80"/>
    <x v="0"/>
    <n v="245998.74"/>
  </r>
  <r>
    <x v="0"/>
    <x v="1"/>
    <x v="0"/>
    <n v="11206099000107"/>
    <x v="80"/>
    <x v="1"/>
    <n v="177442.42"/>
  </r>
  <r>
    <x v="0"/>
    <x v="1"/>
    <x v="0"/>
    <n v="11273170000166"/>
    <x v="81"/>
    <x v="0"/>
    <n v="98216"/>
  </r>
  <r>
    <x v="0"/>
    <x v="1"/>
    <x v="0"/>
    <n v="12420164000319"/>
    <x v="30"/>
    <x v="2"/>
    <n v="615674.61"/>
  </r>
  <r>
    <x v="0"/>
    <x v="1"/>
    <x v="0"/>
    <n v="12420164000319"/>
    <x v="30"/>
    <x v="0"/>
    <n v="1753095.09"/>
  </r>
  <r>
    <x v="0"/>
    <x v="1"/>
    <x v="0"/>
    <n v="12420164000319"/>
    <x v="30"/>
    <x v="1"/>
    <n v="18396.18"/>
  </r>
  <r>
    <x v="0"/>
    <x v="1"/>
    <x v="0"/>
    <n v="12420164000904"/>
    <x v="30"/>
    <x v="2"/>
    <n v="215796.59"/>
  </r>
  <r>
    <x v="0"/>
    <x v="1"/>
    <x v="0"/>
    <n v="12420164000904"/>
    <x v="30"/>
    <x v="0"/>
    <n v="887425.81"/>
  </r>
  <r>
    <x v="0"/>
    <x v="1"/>
    <x v="0"/>
    <n v="12420164000904"/>
    <x v="30"/>
    <x v="1"/>
    <n v="12434.57"/>
  </r>
  <r>
    <x v="0"/>
    <x v="1"/>
    <x v="0"/>
    <n v="12420164001048"/>
    <x v="30"/>
    <x v="2"/>
    <n v="57396.08"/>
  </r>
  <r>
    <x v="0"/>
    <x v="1"/>
    <x v="0"/>
    <n v="12420164001048"/>
    <x v="30"/>
    <x v="0"/>
    <n v="489250.48"/>
  </r>
  <r>
    <x v="0"/>
    <x v="1"/>
    <x v="0"/>
    <n v="12420164001048"/>
    <x v="30"/>
    <x v="1"/>
    <n v="897.69"/>
  </r>
  <r>
    <x v="0"/>
    <x v="1"/>
    <x v="0"/>
    <n v="12474705000120"/>
    <x v="31"/>
    <x v="0"/>
    <n v="26640"/>
  </r>
  <r>
    <x v="0"/>
    <x v="1"/>
    <x v="0"/>
    <n v="12474705000120"/>
    <x v="31"/>
    <x v="1"/>
    <n v="18560.3"/>
  </r>
  <r>
    <x v="0"/>
    <x v="1"/>
    <x v="0"/>
    <n v="12891935000194"/>
    <x v="82"/>
    <x v="0"/>
    <n v="5913.87"/>
  </r>
  <r>
    <x v="0"/>
    <x v="1"/>
    <x v="0"/>
    <n v="14261377000109"/>
    <x v="32"/>
    <x v="2"/>
    <n v="82001.83"/>
  </r>
  <r>
    <x v="0"/>
    <x v="1"/>
    <x v="0"/>
    <n v="14261377000109"/>
    <x v="32"/>
    <x v="0"/>
    <n v="45686.03"/>
  </r>
  <r>
    <x v="0"/>
    <x v="1"/>
    <x v="0"/>
    <n v="14261377000109"/>
    <x v="32"/>
    <x v="1"/>
    <n v="28746.37"/>
  </r>
  <r>
    <x v="0"/>
    <x v="1"/>
    <x v="0"/>
    <n v="15126437000305"/>
    <x v="83"/>
    <x v="0"/>
    <n v="108037.6"/>
  </r>
  <r>
    <x v="0"/>
    <x v="1"/>
    <x v="0"/>
    <n v="15126437001468"/>
    <x v="84"/>
    <x v="0"/>
    <n v="18572.18"/>
  </r>
  <r>
    <x v="0"/>
    <x v="1"/>
    <x v="0"/>
    <n v="15126437002278"/>
    <x v="35"/>
    <x v="2"/>
    <n v="23882.5"/>
  </r>
  <r>
    <x v="0"/>
    <x v="1"/>
    <x v="0"/>
    <n v="15145035000196"/>
    <x v="36"/>
    <x v="2"/>
    <n v="20500.45"/>
  </r>
  <r>
    <x v="0"/>
    <x v="1"/>
    <x v="0"/>
    <n v="15145035000196"/>
    <x v="36"/>
    <x v="0"/>
    <n v="3727.33"/>
  </r>
  <r>
    <x v="0"/>
    <x v="1"/>
    <x v="0"/>
    <n v="15145035000196"/>
    <x v="36"/>
    <x v="1"/>
    <n v="29925.82"/>
  </r>
  <r>
    <x v="0"/>
    <x v="1"/>
    <x v="0"/>
    <n v="17700763000300"/>
    <x v="38"/>
    <x v="2"/>
    <n v="322294.09999999998"/>
  </r>
  <r>
    <x v="0"/>
    <x v="1"/>
    <x v="0"/>
    <n v="17700763000300"/>
    <x v="38"/>
    <x v="0"/>
    <n v="881297.81"/>
  </r>
  <r>
    <x v="0"/>
    <x v="1"/>
    <x v="0"/>
    <n v="17700763000300"/>
    <x v="38"/>
    <x v="1"/>
    <n v="72173.990000000005"/>
  </r>
  <r>
    <x v="0"/>
    <x v="1"/>
    <x v="0"/>
    <n v="18269125000187"/>
    <x v="39"/>
    <x v="0"/>
    <n v="106263.46"/>
  </r>
  <r>
    <x v="0"/>
    <x v="1"/>
    <x v="0"/>
    <n v="21895020000148"/>
    <x v="20"/>
    <x v="0"/>
    <n v="10000.459999999999"/>
  </r>
  <r>
    <x v="0"/>
    <x v="1"/>
    <x v="0"/>
    <n v="24082016000159"/>
    <x v="85"/>
    <x v="0"/>
    <n v="368000"/>
  </r>
  <r>
    <x v="0"/>
    <x v="1"/>
    <x v="0"/>
    <n v="25211499000107"/>
    <x v="28"/>
    <x v="2"/>
    <n v="2838.53"/>
  </r>
  <r>
    <x v="0"/>
    <x v="1"/>
    <x v="0"/>
    <n v="25211499000107"/>
    <x v="28"/>
    <x v="0"/>
    <n v="7978.76"/>
  </r>
  <r>
    <x v="0"/>
    <x v="1"/>
    <x v="0"/>
    <n v="25211499000107"/>
    <x v="28"/>
    <x v="1"/>
    <n v="15491.01"/>
  </r>
  <r>
    <x v="0"/>
    <x v="1"/>
    <x v="0"/>
    <n v="27080605000358"/>
    <x v="86"/>
    <x v="0"/>
    <n v="54670.2"/>
  </r>
  <r>
    <x v="0"/>
    <x v="1"/>
    <x v="0"/>
    <n v="33663683005347"/>
    <x v="45"/>
    <x v="0"/>
    <n v="137552"/>
  </r>
  <r>
    <x v="0"/>
    <x v="1"/>
    <x v="0"/>
    <n v="34023077000280"/>
    <x v="87"/>
    <x v="2"/>
    <n v="963.37"/>
  </r>
  <r>
    <x v="0"/>
    <x v="1"/>
    <x v="0"/>
    <n v="34973438000178"/>
    <x v="47"/>
    <x v="2"/>
    <n v="3198.07"/>
  </r>
  <r>
    <x v="0"/>
    <x v="1"/>
    <x v="0"/>
    <n v="34973438000178"/>
    <x v="47"/>
    <x v="1"/>
    <n v="2244.4299999999998"/>
  </r>
  <r>
    <x v="0"/>
    <x v="1"/>
    <x v="0"/>
    <n v="37396017000624"/>
    <x v="28"/>
    <x v="2"/>
    <n v="378469.96"/>
  </r>
  <r>
    <x v="0"/>
    <x v="1"/>
    <x v="0"/>
    <n v="37396017000624"/>
    <x v="28"/>
    <x v="0"/>
    <n v="168614.95"/>
  </r>
  <r>
    <x v="0"/>
    <x v="1"/>
    <x v="0"/>
    <n v="37396017000624"/>
    <x v="28"/>
    <x v="1"/>
    <n v="24996.86"/>
  </r>
  <r>
    <x v="0"/>
    <x v="1"/>
    <x v="0"/>
    <n v="46068425000133"/>
    <x v="49"/>
    <x v="2"/>
    <n v="55792.800000000003"/>
  </r>
  <r>
    <x v="0"/>
    <x v="1"/>
    <x v="0"/>
    <n v="46374500001247"/>
    <x v="88"/>
    <x v="1"/>
    <n v="3458.96"/>
  </r>
  <r>
    <x v="0"/>
    <x v="1"/>
    <x v="0"/>
    <n v="46374500003886"/>
    <x v="89"/>
    <x v="0"/>
    <n v="24410.36"/>
  </r>
  <r>
    <x v="0"/>
    <x v="1"/>
    <x v="0"/>
    <n v="46374500009060"/>
    <x v="90"/>
    <x v="0"/>
    <n v="61481.4"/>
  </r>
  <r>
    <x v="0"/>
    <x v="1"/>
    <x v="0"/>
    <n v="46374500026231"/>
    <x v="91"/>
    <x v="0"/>
    <n v="3651300"/>
  </r>
  <r>
    <x v="0"/>
    <x v="1"/>
    <x v="0"/>
    <n v="46374500026231"/>
    <x v="91"/>
    <x v="1"/>
    <n v="1053212.6599999999"/>
  </r>
  <r>
    <x v="0"/>
    <x v="1"/>
    <x v="0"/>
    <n v="50311620000209"/>
    <x v="92"/>
    <x v="2"/>
    <n v="78721.759999999995"/>
  </r>
  <r>
    <x v="0"/>
    <x v="1"/>
    <x v="0"/>
    <n v="50311620000209"/>
    <x v="92"/>
    <x v="0"/>
    <n v="196798.99"/>
  </r>
  <r>
    <x v="0"/>
    <x v="1"/>
    <x v="0"/>
    <n v="50311620000209"/>
    <x v="92"/>
    <x v="1"/>
    <n v="73934.33"/>
  </r>
  <r>
    <x v="0"/>
    <x v="1"/>
    <x v="0"/>
    <n v="57722118000302"/>
    <x v="61"/>
    <x v="1"/>
    <n v="8436.5"/>
  </r>
  <r>
    <x v="0"/>
    <x v="1"/>
    <x v="0"/>
    <n v="60003761000129"/>
    <x v="62"/>
    <x v="2"/>
    <n v="75440"/>
  </r>
  <r>
    <x v="0"/>
    <x v="1"/>
    <x v="0"/>
    <n v="60003761000129"/>
    <x v="62"/>
    <x v="0"/>
    <n v="15338.68"/>
  </r>
  <r>
    <x v="0"/>
    <x v="1"/>
    <x v="0"/>
    <n v="60448040000122"/>
    <x v="63"/>
    <x v="2"/>
    <n v="361680"/>
  </r>
  <r>
    <x v="0"/>
    <x v="1"/>
    <x v="0"/>
    <n v="60448040000122"/>
    <x v="63"/>
    <x v="0"/>
    <n v="170832.63"/>
  </r>
  <r>
    <x v="0"/>
    <x v="1"/>
    <x v="0"/>
    <n v="60765823000130"/>
    <x v="93"/>
    <x v="0"/>
    <n v="77818"/>
  </r>
  <r>
    <x v="0"/>
    <x v="1"/>
    <x v="0"/>
    <n v="61590410000124"/>
    <x v="65"/>
    <x v="0"/>
    <n v="589888.77"/>
  </r>
  <r>
    <x v="0"/>
    <x v="1"/>
    <x v="0"/>
    <n v="61590410001287"/>
    <x v="66"/>
    <x v="0"/>
    <n v="461250"/>
  </r>
  <r>
    <x v="0"/>
    <x v="1"/>
    <x v="0"/>
    <n v="61599908000158"/>
    <x v="67"/>
    <x v="0"/>
    <n v="111192"/>
  </r>
  <r>
    <x v="0"/>
    <x v="1"/>
    <x v="0"/>
    <n v="61599908000158"/>
    <x v="67"/>
    <x v="1"/>
    <n v="5405.44"/>
  </r>
  <r>
    <x v="0"/>
    <x v="1"/>
    <x v="0"/>
    <n v="61699567000192"/>
    <x v="94"/>
    <x v="0"/>
    <n v="0"/>
  </r>
  <r>
    <x v="0"/>
    <x v="1"/>
    <x v="0"/>
    <n v="74031865000151"/>
    <x v="95"/>
    <x v="0"/>
    <n v="808651.2"/>
  </r>
  <r>
    <x v="0"/>
    <x v="1"/>
    <x v="0"/>
    <n v="81887838000736"/>
    <x v="68"/>
    <x v="2"/>
    <n v="246005.48"/>
  </r>
  <r>
    <x v="0"/>
    <x v="1"/>
    <x v="0"/>
    <n v="81887838000736"/>
    <x v="68"/>
    <x v="0"/>
    <n v="1531926.94"/>
  </r>
  <r>
    <x v="0"/>
    <x v="1"/>
    <x v="0"/>
    <n v="81887838000736"/>
    <x v="68"/>
    <x v="1"/>
    <n v="139638.23000000001"/>
  </r>
  <r>
    <x v="0"/>
    <x v="1"/>
    <x v="0"/>
    <n v="82873068000140"/>
    <x v="69"/>
    <x v="0"/>
    <n v="597693"/>
  </r>
  <r>
    <x v="0"/>
    <x v="1"/>
    <x v="0"/>
    <n v="82873068000140"/>
    <x v="69"/>
    <x v="1"/>
    <n v="64956.6"/>
  </r>
  <r>
    <x v="0"/>
    <x v="1"/>
    <x v="0"/>
    <n v="82873068000573"/>
    <x v="69"/>
    <x v="2"/>
    <n v="9675.11"/>
  </r>
  <r>
    <x v="0"/>
    <x v="1"/>
    <x v="0"/>
    <n v="82873068000573"/>
    <x v="69"/>
    <x v="0"/>
    <n v="7296.05"/>
  </r>
  <r>
    <x v="0"/>
    <x v="1"/>
    <x v="0"/>
    <n v="82873068000573"/>
    <x v="69"/>
    <x v="1"/>
    <n v="36087"/>
  </r>
  <r>
    <x v="0"/>
    <x v="1"/>
    <x v="0"/>
    <n v="82873068000654"/>
    <x v="69"/>
    <x v="2"/>
    <n v="135451.43"/>
  </r>
  <r>
    <x v="0"/>
    <x v="1"/>
    <x v="0"/>
    <n v="82873068000654"/>
    <x v="69"/>
    <x v="0"/>
    <n v="400894.04"/>
  </r>
  <r>
    <x v="0"/>
    <x v="1"/>
    <x v="0"/>
    <n v="82873068000654"/>
    <x v="69"/>
    <x v="1"/>
    <n v="72173.990000000005"/>
  </r>
  <r>
    <x v="0"/>
    <x v="1"/>
    <x v="0"/>
    <n v="87020517000120"/>
    <x v="70"/>
    <x v="0"/>
    <n v="7688.32"/>
  </r>
  <r>
    <x v="0"/>
    <x v="2"/>
    <x v="0"/>
    <n v="394544000851"/>
    <x v="73"/>
    <x v="0"/>
    <n v="1085548.56"/>
  </r>
  <r>
    <x v="0"/>
    <x v="2"/>
    <x v="0"/>
    <n v="394544011110"/>
    <x v="96"/>
    <x v="0"/>
    <n v="-190972.08"/>
  </r>
  <r>
    <x v="0"/>
    <x v="2"/>
    <x v="0"/>
    <n v="394544017150"/>
    <x v="74"/>
    <x v="0"/>
    <n v="17600"/>
  </r>
  <r>
    <x v="0"/>
    <x v="2"/>
    <x v="0"/>
    <n v="394544019870"/>
    <x v="97"/>
    <x v="0"/>
    <n v="0"/>
  </r>
  <r>
    <x v="0"/>
    <x v="2"/>
    <x v="0"/>
    <n v="394544020453"/>
    <x v="4"/>
    <x v="0"/>
    <n v="34388"/>
  </r>
  <r>
    <x v="0"/>
    <x v="2"/>
    <x v="0"/>
    <n v="394544021344"/>
    <x v="7"/>
    <x v="2"/>
    <n v="103584"/>
  </r>
  <r>
    <x v="0"/>
    <x v="2"/>
    <x v="0"/>
    <n v="394544021344"/>
    <x v="7"/>
    <x v="0"/>
    <n v="509583.66"/>
  </r>
  <r>
    <x v="0"/>
    <x v="2"/>
    <x v="0"/>
    <n v="1479465000130"/>
    <x v="8"/>
    <x v="2"/>
    <n v="-11100"/>
  </r>
  <r>
    <x v="0"/>
    <x v="2"/>
    <x v="0"/>
    <n v="1479465000130"/>
    <x v="8"/>
    <x v="0"/>
    <n v="299819.53999999998"/>
  </r>
  <r>
    <x v="0"/>
    <x v="2"/>
    <x v="0"/>
    <n v="1479465000130"/>
    <x v="8"/>
    <x v="1"/>
    <n v="-3155.43"/>
  </r>
  <r>
    <x v="0"/>
    <x v="2"/>
    <x v="0"/>
    <n v="2873606000167"/>
    <x v="9"/>
    <x v="0"/>
    <n v="944706.37"/>
  </r>
  <r>
    <x v="0"/>
    <x v="2"/>
    <x v="0"/>
    <n v="2873606000167"/>
    <x v="9"/>
    <x v="1"/>
    <n v="36087.22"/>
  </r>
  <r>
    <x v="0"/>
    <x v="2"/>
    <x v="0"/>
    <n v="4027894000326"/>
    <x v="10"/>
    <x v="2"/>
    <n v="208028.16"/>
  </r>
  <r>
    <x v="0"/>
    <x v="2"/>
    <x v="0"/>
    <n v="4027894000326"/>
    <x v="10"/>
    <x v="0"/>
    <n v="585219.52"/>
  </r>
  <r>
    <x v="0"/>
    <x v="2"/>
    <x v="0"/>
    <n v="4027894000326"/>
    <x v="10"/>
    <x v="1"/>
    <n v="111834.43"/>
  </r>
  <r>
    <x v="0"/>
    <x v="2"/>
    <x v="0"/>
    <n v="4307650001298"/>
    <x v="11"/>
    <x v="0"/>
    <n v="528480.93999999994"/>
  </r>
  <r>
    <x v="0"/>
    <x v="2"/>
    <x v="0"/>
    <n v="4307650001298"/>
    <x v="11"/>
    <x v="1"/>
    <n v="149961.37"/>
  </r>
  <r>
    <x v="0"/>
    <x v="2"/>
    <x v="0"/>
    <n v="4355394000151"/>
    <x v="12"/>
    <x v="2"/>
    <n v="145131.16"/>
  </r>
  <r>
    <x v="0"/>
    <x v="2"/>
    <x v="0"/>
    <n v="4355394000151"/>
    <x v="12"/>
    <x v="0"/>
    <n v="688807.27"/>
  </r>
  <r>
    <x v="0"/>
    <x v="2"/>
    <x v="0"/>
    <n v="4355394000151"/>
    <x v="12"/>
    <x v="1"/>
    <n v="803595.4"/>
  </r>
  <r>
    <x v="0"/>
    <x v="2"/>
    <x v="0"/>
    <n v="4949905000163"/>
    <x v="98"/>
    <x v="2"/>
    <n v="58125.2"/>
  </r>
  <r>
    <x v="0"/>
    <x v="2"/>
    <x v="0"/>
    <n v="4949905000163"/>
    <x v="98"/>
    <x v="0"/>
    <n v="1118.28"/>
  </r>
  <r>
    <x v="0"/>
    <x v="2"/>
    <x v="0"/>
    <n v="4949905000163"/>
    <x v="98"/>
    <x v="1"/>
    <n v="29926.75"/>
  </r>
  <r>
    <x v="0"/>
    <x v="2"/>
    <x v="0"/>
    <n v="5055128000257"/>
    <x v="99"/>
    <x v="0"/>
    <n v="14732.1"/>
  </r>
  <r>
    <x v="0"/>
    <x v="2"/>
    <x v="0"/>
    <n v="5268490000125"/>
    <x v="13"/>
    <x v="2"/>
    <n v="63141.82"/>
  </r>
  <r>
    <x v="0"/>
    <x v="2"/>
    <x v="0"/>
    <n v="5268490000125"/>
    <x v="13"/>
    <x v="0"/>
    <n v="396013.5"/>
  </r>
  <r>
    <x v="0"/>
    <x v="2"/>
    <x v="0"/>
    <n v="5816630000152"/>
    <x v="14"/>
    <x v="0"/>
    <n v="132273.4"/>
  </r>
  <r>
    <x v="0"/>
    <x v="2"/>
    <x v="0"/>
    <n v="6081203000136"/>
    <x v="11"/>
    <x v="0"/>
    <n v="392289.04"/>
  </r>
  <r>
    <x v="0"/>
    <x v="2"/>
    <x v="0"/>
    <n v="6081203000136"/>
    <x v="11"/>
    <x v="1"/>
    <n v="82809.070000000007"/>
  </r>
  <r>
    <x v="0"/>
    <x v="2"/>
    <x v="0"/>
    <n v="6234797000178"/>
    <x v="15"/>
    <x v="0"/>
    <n v="71416.55"/>
  </r>
  <r>
    <x v="0"/>
    <x v="2"/>
    <x v="0"/>
    <n v="6234797000178"/>
    <x v="15"/>
    <x v="1"/>
    <n v="19452.38"/>
  </r>
  <r>
    <x v="0"/>
    <x v="2"/>
    <x v="0"/>
    <n v="7224991001530"/>
    <x v="16"/>
    <x v="2"/>
    <n v="77593.63"/>
  </r>
  <r>
    <x v="0"/>
    <x v="2"/>
    <x v="0"/>
    <n v="7224991001530"/>
    <x v="16"/>
    <x v="0"/>
    <n v="9290.81"/>
  </r>
  <r>
    <x v="0"/>
    <x v="2"/>
    <x v="0"/>
    <n v="7224991001530"/>
    <x v="16"/>
    <x v="1"/>
    <n v="16087.76"/>
  </r>
  <r>
    <x v="0"/>
    <x v="2"/>
    <x v="0"/>
    <n v="7272636000212"/>
    <x v="17"/>
    <x v="0"/>
    <n v="142664.71"/>
  </r>
  <r>
    <x v="0"/>
    <x v="2"/>
    <x v="0"/>
    <n v="7484373000124"/>
    <x v="18"/>
    <x v="2"/>
    <n v="90407.6"/>
  </r>
  <r>
    <x v="0"/>
    <x v="2"/>
    <x v="0"/>
    <n v="7484373000124"/>
    <x v="18"/>
    <x v="1"/>
    <n v="10967.62"/>
  </r>
  <r>
    <x v="0"/>
    <x v="2"/>
    <x v="0"/>
    <n v="7734165000136"/>
    <x v="19"/>
    <x v="0"/>
    <n v="374982.24"/>
  </r>
  <r>
    <x v="0"/>
    <x v="2"/>
    <x v="0"/>
    <n v="7812105000194"/>
    <x v="20"/>
    <x v="0"/>
    <n v="23769.94"/>
  </r>
  <r>
    <x v="0"/>
    <x v="2"/>
    <x v="0"/>
    <n v="8597121000174"/>
    <x v="22"/>
    <x v="0"/>
    <n v="114765.28"/>
  </r>
  <r>
    <x v="0"/>
    <x v="2"/>
    <x v="0"/>
    <n v="8618022000121"/>
    <x v="23"/>
    <x v="2"/>
    <n v="282800.11"/>
  </r>
  <r>
    <x v="0"/>
    <x v="2"/>
    <x v="0"/>
    <n v="8618022000121"/>
    <x v="23"/>
    <x v="0"/>
    <n v="1010515.38"/>
  </r>
  <r>
    <x v="0"/>
    <x v="2"/>
    <x v="0"/>
    <n v="8618022000121"/>
    <x v="23"/>
    <x v="1"/>
    <n v="176793.08"/>
  </r>
  <r>
    <x v="0"/>
    <x v="2"/>
    <x v="0"/>
    <n v="8719794000150"/>
    <x v="20"/>
    <x v="0"/>
    <n v="167119.59"/>
  </r>
  <r>
    <x v="0"/>
    <x v="2"/>
    <x v="0"/>
    <n v="9007162000126"/>
    <x v="100"/>
    <x v="2"/>
    <n v="51251.47"/>
  </r>
  <r>
    <x v="0"/>
    <x v="2"/>
    <x v="0"/>
    <n v="9007162000126"/>
    <x v="100"/>
    <x v="1"/>
    <n v="132029.76999999999"/>
  </r>
  <r>
    <x v="0"/>
    <x v="2"/>
    <x v="0"/>
    <n v="9053134000226"/>
    <x v="24"/>
    <x v="0"/>
    <n v="11716.17"/>
  </r>
  <r>
    <x v="0"/>
    <x v="2"/>
    <x v="0"/>
    <n v="9613374000157"/>
    <x v="25"/>
    <x v="0"/>
    <n v="158751.44"/>
  </r>
  <r>
    <x v="0"/>
    <x v="2"/>
    <x v="0"/>
    <n v="9660958000345"/>
    <x v="26"/>
    <x v="2"/>
    <n v="331147.63"/>
  </r>
  <r>
    <x v="0"/>
    <x v="2"/>
    <x v="0"/>
    <n v="9660958000345"/>
    <x v="26"/>
    <x v="0"/>
    <n v="115094.17"/>
  </r>
  <r>
    <x v="0"/>
    <x v="2"/>
    <x v="0"/>
    <n v="9660958000345"/>
    <x v="26"/>
    <x v="1"/>
    <n v="45077.52"/>
  </r>
  <r>
    <x v="0"/>
    <x v="2"/>
    <x v="0"/>
    <n v="10586940000168"/>
    <x v="101"/>
    <x v="2"/>
    <n v="50700.38"/>
  </r>
  <r>
    <x v="0"/>
    <x v="2"/>
    <x v="0"/>
    <n v="10586940000168"/>
    <x v="101"/>
    <x v="0"/>
    <n v="313509.48"/>
  </r>
  <r>
    <x v="0"/>
    <x v="2"/>
    <x v="0"/>
    <n v="10586940000168"/>
    <x v="101"/>
    <x v="1"/>
    <n v="15521.78"/>
  </r>
  <r>
    <x v="0"/>
    <x v="2"/>
    <x v="0"/>
    <n v="10942995000163"/>
    <x v="78"/>
    <x v="0"/>
    <n v="36016"/>
  </r>
  <r>
    <x v="0"/>
    <x v="2"/>
    <x v="0"/>
    <n v="11022597001597"/>
    <x v="79"/>
    <x v="0"/>
    <n v="93125"/>
  </r>
  <r>
    <x v="0"/>
    <x v="2"/>
    <x v="0"/>
    <n v="11206099000107"/>
    <x v="80"/>
    <x v="2"/>
    <n v="196810.64"/>
  </r>
  <r>
    <x v="0"/>
    <x v="2"/>
    <x v="0"/>
    <n v="12420164000319"/>
    <x v="30"/>
    <x v="2"/>
    <n v="278374.63"/>
  </r>
  <r>
    <x v="0"/>
    <x v="2"/>
    <x v="0"/>
    <n v="12420164000319"/>
    <x v="30"/>
    <x v="0"/>
    <n v="1609821.48"/>
  </r>
  <r>
    <x v="0"/>
    <x v="2"/>
    <x v="0"/>
    <n v="12420164000319"/>
    <x v="30"/>
    <x v="1"/>
    <n v="19153.150000000001"/>
  </r>
  <r>
    <x v="0"/>
    <x v="2"/>
    <x v="0"/>
    <n v="12420164000904"/>
    <x v="30"/>
    <x v="2"/>
    <n v="160219.51"/>
  </r>
  <r>
    <x v="0"/>
    <x v="2"/>
    <x v="0"/>
    <n v="12420164000904"/>
    <x v="30"/>
    <x v="0"/>
    <n v="789980.97"/>
  </r>
  <r>
    <x v="0"/>
    <x v="2"/>
    <x v="0"/>
    <n v="12420164000904"/>
    <x v="30"/>
    <x v="1"/>
    <n v="8977.76"/>
  </r>
  <r>
    <x v="0"/>
    <x v="2"/>
    <x v="0"/>
    <n v="12420164001048"/>
    <x v="30"/>
    <x v="2"/>
    <n v="6133.12"/>
  </r>
  <r>
    <x v="0"/>
    <x v="2"/>
    <x v="0"/>
    <n v="12420164001048"/>
    <x v="30"/>
    <x v="0"/>
    <n v="152993.22"/>
  </r>
  <r>
    <x v="0"/>
    <x v="2"/>
    <x v="0"/>
    <n v="12420164001048"/>
    <x v="30"/>
    <x v="1"/>
    <n v="17625.36"/>
  </r>
  <r>
    <x v="0"/>
    <x v="2"/>
    <x v="0"/>
    <n v="12474705000120"/>
    <x v="31"/>
    <x v="0"/>
    <n v="82270"/>
  </r>
  <r>
    <x v="0"/>
    <x v="2"/>
    <x v="0"/>
    <n v="12891935000194"/>
    <x v="82"/>
    <x v="0"/>
    <n v="19808.28"/>
  </r>
  <r>
    <x v="0"/>
    <x v="2"/>
    <x v="0"/>
    <n v="14261377000109"/>
    <x v="32"/>
    <x v="0"/>
    <n v="31842.7"/>
  </r>
  <r>
    <x v="0"/>
    <x v="2"/>
    <x v="0"/>
    <n v="15126437000496"/>
    <x v="102"/>
    <x v="0"/>
    <n v="102469"/>
  </r>
  <r>
    <x v="0"/>
    <x v="2"/>
    <x v="0"/>
    <n v="15126437000739"/>
    <x v="33"/>
    <x v="0"/>
    <n v="37925"/>
  </r>
  <r>
    <x v="0"/>
    <x v="2"/>
    <x v="0"/>
    <n v="15126437002278"/>
    <x v="35"/>
    <x v="2"/>
    <n v="5825"/>
  </r>
  <r>
    <x v="0"/>
    <x v="2"/>
    <x v="0"/>
    <n v="15145035000196"/>
    <x v="36"/>
    <x v="0"/>
    <n v="30855.33"/>
  </r>
  <r>
    <x v="0"/>
    <x v="2"/>
    <x v="0"/>
    <n v="15180714000520"/>
    <x v="103"/>
    <x v="0"/>
    <n v="26333.81"/>
  </r>
  <r>
    <x v="0"/>
    <x v="2"/>
    <x v="0"/>
    <n v="17700763000300"/>
    <x v="38"/>
    <x v="2"/>
    <n v="156051.06"/>
  </r>
  <r>
    <x v="0"/>
    <x v="2"/>
    <x v="0"/>
    <n v="17700763000300"/>
    <x v="38"/>
    <x v="0"/>
    <n v="694304.52"/>
  </r>
  <r>
    <x v="0"/>
    <x v="2"/>
    <x v="0"/>
    <n v="17700763000300"/>
    <x v="38"/>
    <x v="1"/>
    <n v="38804.449999999997"/>
  </r>
  <r>
    <x v="0"/>
    <x v="2"/>
    <x v="0"/>
    <n v="18269125000187"/>
    <x v="39"/>
    <x v="0"/>
    <n v="197051.81"/>
  </r>
  <r>
    <x v="0"/>
    <x v="2"/>
    <x v="0"/>
    <n v="25053117000164"/>
    <x v="104"/>
    <x v="1"/>
    <n v="109560.53"/>
  </r>
  <r>
    <x v="0"/>
    <x v="2"/>
    <x v="0"/>
    <n v="25211499000107"/>
    <x v="28"/>
    <x v="0"/>
    <n v="53576.800000000003"/>
  </r>
  <r>
    <x v="0"/>
    <x v="2"/>
    <x v="0"/>
    <n v="25211499000107"/>
    <x v="28"/>
    <x v="1"/>
    <n v="67481.88"/>
  </r>
  <r>
    <x v="0"/>
    <x v="2"/>
    <x v="0"/>
    <n v="25648387000207"/>
    <x v="41"/>
    <x v="0"/>
    <n v="128528.4"/>
  </r>
  <r>
    <x v="0"/>
    <x v="2"/>
    <x v="0"/>
    <n v="27080605000358"/>
    <x v="86"/>
    <x v="0"/>
    <n v="36446.800000000003"/>
  </r>
  <r>
    <x v="0"/>
    <x v="2"/>
    <x v="0"/>
    <n v="27191294000132"/>
    <x v="43"/>
    <x v="0"/>
    <n v="4998.49"/>
  </r>
  <r>
    <x v="0"/>
    <x v="2"/>
    <x v="0"/>
    <n v="28523215000378"/>
    <x v="105"/>
    <x v="0"/>
    <n v="58929.599999999999"/>
  </r>
  <r>
    <x v="0"/>
    <x v="2"/>
    <x v="0"/>
    <n v="28523215000378"/>
    <x v="105"/>
    <x v="1"/>
    <n v="3040"/>
  </r>
  <r>
    <x v="0"/>
    <x v="2"/>
    <x v="0"/>
    <n v="33663683005347"/>
    <x v="45"/>
    <x v="0"/>
    <n v="463837.8"/>
  </r>
  <r>
    <x v="0"/>
    <x v="2"/>
    <x v="0"/>
    <n v="34023077000280"/>
    <x v="87"/>
    <x v="2"/>
    <n v="14450.4"/>
  </r>
  <r>
    <x v="0"/>
    <x v="2"/>
    <x v="0"/>
    <n v="37396017000624"/>
    <x v="28"/>
    <x v="2"/>
    <n v="161101.98000000001"/>
  </r>
  <r>
    <x v="0"/>
    <x v="2"/>
    <x v="0"/>
    <n v="37396017000624"/>
    <x v="28"/>
    <x v="0"/>
    <n v="169932.67"/>
  </r>
  <r>
    <x v="0"/>
    <x v="2"/>
    <x v="0"/>
    <n v="37396017000624"/>
    <x v="28"/>
    <x v="1"/>
    <n v="19012.29"/>
  </r>
  <r>
    <x v="0"/>
    <x v="2"/>
    <x v="0"/>
    <n v="42498733000148"/>
    <x v="106"/>
    <x v="2"/>
    <n v="55500"/>
  </r>
  <r>
    <x v="0"/>
    <x v="2"/>
    <x v="0"/>
    <n v="45780103000150"/>
    <x v="48"/>
    <x v="0"/>
    <n v="120805.68"/>
  </r>
  <r>
    <x v="0"/>
    <x v="2"/>
    <x v="0"/>
    <n v="46068425000133"/>
    <x v="49"/>
    <x v="2"/>
    <n v="30996"/>
  </r>
  <r>
    <x v="0"/>
    <x v="2"/>
    <x v="0"/>
    <n v="46374500001670"/>
    <x v="50"/>
    <x v="1"/>
    <n v="5399.36"/>
  </r>
  <r>
    <x v="0"/>
    <x v="2"/>
    <x v="0"/>
    <n v="46374500003533"/>
    <x v="51"/>
    <x v="0"/>
    <n v="204938"/>
  </r>
  <r>
    <x v="0"/>
    <x v="2"/>
    <x v="0"/>
    <n v="46374500005234"/>
    <x v="107"/>
    <x v="1"/>
    <n v="8436.5"/>
  </r>
  <r>
    <x v="0"/>
    <x v="2"/>
    <x v="0"/>
    <n v="46374500008845"/>
    <x v="108"/>
    <x v="0"/>
    <n v="40987.599999999999"/>
  </r>
  <r>
    <x v="0"/>
    <x v="2"/>
    <x v="0"/>
    <n v="46374500008845"/>
    <x v="108"/>
    <x v="1"/>
    <n v="8099.04"/>
  </r>
  <r>
    <x v="0"/>
    <x v="2"/>
    <x v="0"/>
    <n v="46374500009221"/>
    <x v="109"/>
    <x v="0"/>
    <n v="184444.2"/>
  </r>
  <r>
    <x v="0"/>
    <x v="2"/>
    <x v="0"/>
    <n v="46374500010823"/>
    <x v="110"/>
    <x v="0"/>
    <n v="30740.7"/>
  </r>
  <r>
    <x v="0"/>
    <x v="2"/>
    <x v="0"/>
    <n v="46374500011129"/>
    <x v="52"/>
    <x v="1"/>
    <n v="13498.4"/>
  </r>
  <r>
    <x v="0"/>
    <x v="2"/>
    <x v="0"/>
    <n v="46374500011200"/>
    <x v="53"/>
    <x v="1"/>
    <n v="6749.2"/>
  </r>
  <r>
    <x v="0"/>
    <x v="2"/>
    <x v="0"/>
    <n v="46374500012362"/>
    <x v="111"/>
    <x v="1"/>
    <n v="2530.9499999999998"/>
  </r>
  <r>
    <x v="0"/>
    <x v="2"/>
    <x v="0"/>
    <n v="46374500013091"/>
    <x v="112"/>
    <x v="1"/>
    <n v="8436.5"/>
  </r>
  <r>
    <x v="0"/>
    <x v="2"/>
    <x v="0"/>
    <n v="46374500026231"/>
    <x v="91"/>
    <x v="0"/>
    <n v="102052.28"/>
  </r>
  <r>
    <x v="0"/>
    <x v="2"/>
    <x v="0"/>
    <n v="46643466000106"/>
    <x v="113"/>
    <x v="0"/>
    <n v="137502.39999999999"/>
  </r>
  <r>
    <x v="0"/>
    <x v="2"/>
    <x v="0"/>
    <n v="48468284000171"/>
    <x v="58"/>
    <x v="0"/>
    <n v="40987.599999999999"/>
  </r>
  <r>
    <x v="0"/>
    <x v="2"/>
    <x v="0"/>
    <n v="50311620000209"/>
    <x v="92"/>
    <x v="2"/>
    <n v="78722.27"/>
  </r>
  <r>
    <x v="0"/>
    <x v="2"/>
    <x v="0"/>
    <n v="50311620000209"/>
    <x v="92"/>
    <x v="0"/>
    <n v="196802.26"/>
  </r>
  <r>
    <x v="0"/>
    <x v="2"/>
    <x v="0"/>
    <n v="50311620000209"/>
    <x v="92"/>
    <x v="1"/>
    <n v="73936.67"/>
  </r>
  <r>
    <x v="0"/>
    <x v="2"/>
    <x v="0"/>
    <n v="51885242000140"/>
    <x v="59"/>
    <x v="0"/>
    <n v="25000.16"/>
  </r>
  <r>
    <x v="0"/>
    <x v="2"/>
    <x v="0"/>
    <n v="56577059000100"/>
    <x v="114"/>
    <x v="0"/>
    <n v="27666.63"/>
  </r>
  <r>
    <x v="0"/>
    <x v="2"/>
    <x v="0"/>
    <n v="57722118000302"/>
    <x v="61"/>
    <x v="0"/>
    <n v="0"/>
  </r>
  <r>
    <x v="0"/>
    <x v="2"/>
    <x v="0"/>
    <n v="60003761000129"/>
    <x v="62"/>
    <x v="2"/>
    <n v="95940"/>
  </r>
  <r>
    <x v="0"/>
    <x v="2"/>
    <x v="0"/>
    <n v="60003761000129"/>
    <x v="62"/>
    <x v="0"/>
    <n v="16626.87"/>
  </r>
  <r>
    <x v="0"/>
    <x v="2"/>
    <x v="0"/>
    <n v="60448040000122"/>
    <x v="63"/>
    <x v="2"/>
    <n v="344872"/>
  </r>
  <r>
    <x v="0"/>
    <x v="2"/>
    <x v="0"/>
    <n v="60448040000122"/>
    <x v="63"/>
    <x v="0"/>
    <n v="163611.49"/>
  </r>
  <r>
    <x v="0"/>
    <x v="2"/>
    <x v="0"/>
    <n v="60448040000122"/>
    <x v="63"/>
    <x v="1"/>
    <n v="2362.2199999999998"/>
  </r>
  <r>
    <x v="0"/>
    <x v="2"/>
    <x v="0"/>
    <n v="60765823000130"/>
    <x v="93"/>
    <x v="0"/>
    <n v="15785.9"/>
  </r>
  <r>
    <x v="0"/>
    <x v="2"/>
    <x v="0"/>
    <n v="60765823000130"/>
    <x v="93"/>
    <x v="1"/>
    <n v="8896.94"/>
  </r>
  <r>
    <x v="0"/>
    <x v="2"/>
    <x v="0"/>
    <n v="61590410000124"/>
    <x v="65"/>
    <x v="0"/>
    <n v="67451.73"/>
  </r>
  <r>
    <x v="0"/>
    <x v="2"/>
    <x v="0"/>
    <n v="61590410000124"/>
    <x v="65"/>
    <x v="1"/>
    <n v="413.3"/>
  </r>
  <r>
    <x v="0"/>
    <x v="2"/>
    <x v="0"/>
    <n v="61590410001287"/>
    <x v="66"/>
    <x v="0"/>
    <n v="42500"/>
  </r>
  <r>
    <x v="0"/>
    <x v="2"/>
    <x v="0"/>
    <n v="61599908000158"/>
    <x v="67"/>
    <x v="0"/>
    <n v="118367"/>
  </r>
  <r>
    <x v="0"/>
    <x v="2"/>
    <x v="0"/>
    <n v="61599908000158"/>
    <x v="67"/>
    <x v="1"/>
    <n v="6756.8"/>
  </r>
  <r>
    <x v="0"/>
    <x v="2"/>
    <x v="0"/>
    <n v="74031865000151"/>
    <x v="95"/>
    <x v="2"/>
    <n v="280840"/>
  </r>
  <r>
    <x v="0"/>
    <x v="2"/>
    <x v="0"/>
    <n v="81887838000736"/>
    <x v="68"/>
    <x v="2"/>
    <n v="167298.73000000001"/>
  </r>
  <r>
    <x v="0"/>
    <x v="2"/>
    <x v="0"/>
    <n v="81887838000736"/>
    <x v="68"/>
    <x v="0"/>
    <n v="1156499.53"/>
  </r>
  <r>
    <x v="0"/>
    <x v="2"/>
    <x v="0"/>
    <n v="81887838000736"/>
    <x v="68"/>
    <x v="1"/>
    <n v="100059.39"/>
  </r>
  <r>
    <x v="0"/>
    <x v="2"/>
    <x v="0"/>
    <n v="82873068000140"/>
    <x v="69"/>
    <x v="0"/>
    <n v="3648.06"/>
  </r>
  <r>
    <x v="0"/>
    <x v="2"/>
    <x v="0"/>
    <n v="82873068000140"/>
    <x v="69"/>
    <x v="1"/>
    <n v="72174.44"/>
  </r>
  <r>
    <x v="0"/>
    <x v="2"/>
    <x v="0"/>
    <n v="82873068000573"/>
    <x v="69"/>
    <x v="0"/>
    <n v="107355.38"/>
  </r>
  <r>
    <x v="0"/>
    <x v="2"/>
    <x v="0"/>
    <n v="82873068000573"/>
    <x v="69"/>
    <x v="1"/>
    <n v="14434.89"/>
  </r>
  <r>
    <x v="0"/>
    <x v="2"/>
    <x v="0"/>
    <n v="82873068000654"/>
    <x v="69"/>
    <x v="0"/>
    <n v="113653.43"/>
  </r>
  <r>
    <x v="0"/>
    <x v="2"/>
    <x v="0"/>
    <n v="82873068000654"/>
    <x v="69"/>
    <x v="1"/>
    <n v="77608.899999999994"/>
  </r>
  <r>
    <x v="0"/>
    <x v="2"/>
    <x v="0"/>
    <n v="87020517000120"/>
    <x v="70"/>
    <x v="2"/>
    <n v="14000"/>
  </r>
  <r>
    <x v="0"/>
    <x v="2"/>
    <x v="0"/>
    <n v="87020517000120"/>
    <x v="70"/>
    <x v="0"/>
    <n v="12704"/>
  </r>
  <r>
    <x v="0"/>
    <x v="3"/>
    <x v="1"/>
    <n v="394544000851"/>
    <x v="73"/>
    <x v="0"/>
    <n v="548069.92000000004"/>
  </r>
  <r>
    <x v="0"/>
    <x v="3"/>
    <x v="1"/>
    <n v="394544011110"/>
    <x v="96"/>
    <x v="0"/>
    <n v="-55708.72"/>
  </r>
  <r>
    <x v="0"/>
    <x v="3"/>
    <x v="1"/>
    <n v="394544020372"/>
    <x v="3"/>
    <x v="2"/>
    <n v="94400"/>
  </r>
  <r>
    <x v="0"/>
    <x v="3"/>
    <x v="1"/>
    <n v="394544020372"/>
    <x v="3"/>
    <x v="0"/>
    <n v="152025.82999999999"/>
  </r>
  <r>
    <x v="0"/>
    <x v="3"/>
    <x v="1"/>
    <n v="394544020453"/>
    <x v="4"/>
    <x v="2"/>
    <n v="73372"/>
  </r>
  <r>
    <x v="0"/>
    <x v="3"/>
    <x v="1"/>
    <n v="394544020453"/>
    <x v="4"/>
    <x v="0"/>
    <n v="60179"/>
  </r>
  <r>
    <x v="0"/>
    <x v="3"/>
    <x v="1"/>
    <n v="394544021000"/>
    <x v="5"/>
    <x v="2"/>
    <n v="28320"/>
  </r>
  <r>
    <x v="0"/>
    <x v="3"/>
    <x v="1"/>
    <n v="394544021000"/>
    <x v="5"/>
    <x v="0"/>
    <n v="25791"/>
  </r>
  <r>
    <x v="0"/>
    <x v="3"/>
    <x v="1"/>
    <n v="394544021344"/>
    <x v="7"/>
    <x v="0"/>
    <n v="11777.48"/>
  </r>
  <r>
    <x v="0"/>
    <x v="3"/>
    <x v="1"/>
    <n v="1479465000130"/>
    <x v="8"/>
    <x v="0"/>
    <n v="270032.68"/>
  </r>
  <r>
    <x v="0"/>
    <x v="3"/>
    <x v="1"/>
    <n v="2873606000167"/>
    <x v="9"/>
    <x v="0"/>
    <n v="228690.63"/>
  </r>
  <r>
    <x v="0"/>
    <x v="3"/>
    <x v="1"/>
    <n v="2873606000167"/>
    <x v="9"/>
    <x v="1"/>
    <n v="7170.79"/>
  </r>
  <r>
    <x v="0"/>
    <x v="3"/>
    <x v="1"/>
    <n v="3568867000136"/>
    <x v="115"/>
    <x v="0"/>
    <n v="88123.34"/>
  </r>
  <r>
    <x v="0"/>
    <x v="3"/>
    <x v="1"/>
    <n v="3866223000124"/>
    <x v="76"/>
    <x v="0"/>
    <n v="-16900.29"/>
  </r>
  <r>
    <x v="0"/>
    <x v="3"/>
    <x v="1"/>
    <n v="4027894000164"/>
    <x v="10"/>
    <x v="0"/>
    <n v="11731.59"/>
  </r>
  <r>
    <x v="0"/>
    <x v="3"/>
    <x v="1"/>
    <n v="4027894000326"/>
    <x v="10"/>
    <x v="2"/>
    <n v="244893.92"/>
  </r>
  <r>
    <x v="0"/>
    <x v="3"/>
    <x v="1"/>
    <n v="4027894000326"/>
    <x v="10"/>
    <x v="0"/>
    <n v="688929.32"/>
  </r>
  <r>
    <x v="0"/>
    <x v="3"/>
    <x v="1"/>
    <n v="4027894000326"/>
    <x v="10"/>
    <x v="1"/>
    <n v="50523.39"/>
  </r>
  <r>
    <x v="0"/>
    <x v="3"/>
    <x v="1"/>
    <n v="4307650001298"/>
    <x v="11"/>
    <x v="0"/>
    <n v="628597.72"/>
  </r>
  <r>
    <x v="0"/>
    <x v="3"/>
    <x v="1"/>
    <n v="4307650001298"/>
    <x v="11"/>
    <x v="1"/>
    <n v="121256.15"/>
  </r>
  <r>
    <x v="0"/>
    <x v="3"/>
    <x v="1"/>
    <n v="4355394000151"/>
    <x v="12"/>
    <x v="2"/>
    <n v="145131.16"/>
  </r>
  <r>
    <x v="0"/>
    <x v="3"/>
    <x v="1"/>
    <n v="4355394000151"/>
    <x v="12"/>
    <x v="0"/>
    <n v="732435.31"/>
  </r>
  <r>
    <x v="0"/>
    <x v="3"/>
    <x v="1"/>
    <n v="4355394000151"/>
    <x v="12"/>
    <x v="1"/>
    <n v="72174.429999999993"/>
  </r>
  <r>
    <x v="0"/>
    <x v="3"/>
    <x v="1"/>
    <n v="4708424000166"/>
    <x v="116"/>
    <x v="1"/>
    <n v="-14.43"/>
  </r>
  <r>
    <x v="0"/>
    <x v="3"/>
    <x v="1"/>
    <n v="5268490000125"/>
    <x v="13"/>
    <x v="2"/>
    <n v="79952.31"/>
  </r>
  <r>
    <x v="0"/>
    <x v="3"/>
    <x v="1"/>
    <n v="5268490000125"/>
    <x v="13"/>
    <x v="0"/>
    <n v="277329.67"/>
  </r>
  <r>
    <x v="0"/>
    <x v="3"/>
    <x v="1"/>
    <n v="5816630000152"/>
    <x v="14"/>
    <x v="0"/>
    <n v="104952.88"/>
  </r>
  <r>
    <x v="0"/>
    <x v="3"/>
    <x v="1"/>
    <n v="6081203000136"/>
    <x v="11"/>
    <x v="0"/>
    <n v="364084.11"/>
  </r>
  <r>
    <x v="0"/>
    <x v="3"/>
    <x v="1"/>
    <n v="6081203000136"/>
    <x v="11"/>
    <x v="1"/>
    <n v="66543"/>
  </r>
  <r>
    <x v="0"/>
    <x v="3"/>
    <x v="1"/>
    <n v="6234797000178"/>
    <x v="15"/>
    <x v="2"/>
    <n v="14178.22"/>
  </r>
  <r>
    <x v="0"/>
    <x v="3"/>
    <x v="1"/>
    <n v="6234797000178"/>
    <x v="15"/>
    <x v="0"/>
    <n v="331588.69"/>
  </r>
  <r>
    <x v="0"/>
    <x v="3"/>
    <x v="1"/>
    <n v="6234797000178"/>
    <x v="15"/>
    <x v="1"/>
    <n v="103995.44"/>
  </r>
  <r>
    <x v="0"/>
    <x v="3"/>
    <x v="1"/>
    <n v="7224991001530"/>
    <x v="16"/>
    <x v="0"/>
    <n v="8640.4500000000007"/>
  </r>
  <r>
    <x v="0"/>
    <x v="3"/>
    <x v="1"/>
    <n v="7224991001530"/>
    <x v="16"/>
    <x v="1"/>
    <n v="43305.77"/>
  </r>
  <r>
    <x v="0"/>
    <x v="3"/>
    <x v="1"/>
    <n v="7272636000212"/>
    <x v="17"/>
    <x v="0"/>
    <n v="463613.26"/>
  </r>
  <r>
    <x v="0"/>
    <x v="3"/>
    <x v="1"/>
    <n v="7484373000124"/>
    <x v="18"/>
    <x v="1"/>
    <n v="10474.36"/>
  </r>
  <r>
    <x v="0"/>
    <x v="3"/>
    <x v="1"/>
    <n v="7734165000136"/>
    <x v="19"/>
    <x v="0"/>
    <n v="409980.56"/>
  </r>
  <r>
    <x v="0"/>
    <x v="3"/>
    <x v="1"/>
    <n v="7812105000194"/>
    <x v="20"/>
    <x v="1"/>
    <n v="125227.6"/>
  </r>
  <r>
    <x v="0"/>
    <x v="3"/>
    <x v="1"/>
    <n v="8563277000134"/>
    <x v="21"/>
    <x v="0"/>
    <n v="5330.07"/>
  </r>
  <r>
    <x v="0"/>
    <x v="3"/>
    <x v="1"/>
    <n v="8563277000134"/>
    <x v="21"/>
    <x v="1"/>
    <n v="14963.37"/>
  </r>
  <r>
    <x v="0"/>
    <x v="3"/>
    <x v="1"/>
    <n v="8597121000174"/>
    <x v="22"/>
    <x v="0"/>
    <n v="14732.4"/>
  </r>
  <r>
    <x v="0"/>
    <x v="3"/>
    <x v="1"/>
    <n v="8618022000121"/>
    <x v="23"/>
    <x v="2"/>
    <n v="332916.59000000003"/>
  </r>
  <r>
    <x v="0"/>
    <x v="3"/>
    <x v="1"/>
    <n v="8618022000121"/>
    <x v="23"/>
    <x v="0"/>
    <n v="1255239.6499999999"/>
  </r>
  <r>
    <x v="0"/>
    <x v="3"/>
    <x v="1"/>
    <n v="8618022000121"/>
    <x v="23"/>
    <x v="1"/>
    <n v="353663.75"/>
  </r>
  <r>
    <x v="0"/>
    <x v="3"/>
    <x v="1"/>
    <n v="8719794000150"/>
    <x v="20"/>
    <x v="0"/>
    <n v="80396.289999999994"/>
  </r>
  <r>
    <x v="0"/>
    <x v="3"/>
    <x v="1"/>
    <n v="9007162000126"/>
    <x v="100"/>
    <x v="1"/>
    <n v="132029.76999999999"/>
  </r>
  <r>
    <x v="0"/>
    <x v="3"/>
    <x v="1"/>
    <n v="9053134000226"/>
    <x v="24"/>
    <x v="0"/>
    <n v="45878.61"/>
  </r>
  <r>
    <x v="0"/>
    <x v="3"/>
    <x v="1"/>
    <n v="9579964000291"/>
    <x v="77"/>
    <x v="0"/>
    <n v="377085.92"/>
  </r>
  <r>
    <x v="0"/>
    <x v="3"/>
    <x v="1"/>
    <n v="9613374000157"/>
    <x v="25"/>
    <x v="0"/>
    <n v="326574.40000000002"/>
  </r>
  <r>
    <x v="0"/>
    <x v="3"/>
    <x v="1"/>
    <n v="9660958000345"/>
    <x v="26"/>
    <x v="0"/>
    <n v="44290.87"/>
  </r>
  <r>
    <x v="0"/>
    <x v="3"/>
    <x v="1"/>
    <n v="9660958000345"/>
    <x v="26"/>
    <x v="1"/>
    <n v="186222.72"/>
  </r>
  <r>
    <x v="0"/>
    <x v="3"/>
    <x v="1"/>
    <n v="10942995000163"/>
    <x v="78"/>
    <x v="0"/>
    <n v="22149.84"/>
  </r>
  <r>
    <x v="0"/>
    <x v="3"/>
    <x v="1"/>
    <n v="11022597001325"/>
    <x v="117"/>
    <x v="0"/>
    <n v="153703.5"/>
  </r>
  <r>
    <x v="0"/>
    <x v="3"/>
    <x v="1"/>
    <n v="11022597001597"/>
    <x v="79"/>
    <x v="0"/>
    <n v="21422.5"/>
  </r>
  <r>
    <x v="0"/>
    <x v="3"/>
    <x v="1"/>
    <n v="11206099000107"/>
    <x v="80"/>
    <x v="2"/>
    <n v="196810.65"/>
  </r>
  <r>
    <x v="0"/>
    <x v="3"/>
    <x v="1"/>
    <n v="11206099000107"/>
    <x v="80"/>
    <x v="0"/>
    <n v="492005.18"/>
  </r>
  <r>
    <x v="0"/>
    <x v="3"/>
    <x v="1"/>
    <n v="11206099000107"/>
    <x v="80"/>
    <x v="1"/>
    <n v="177443.48"/>
  </r>
  <r>
    <x v="0"/>
    <x v="3"/>
    <x v="1"/>
    <n v="12420164000319"/>
    <x v="30"/>
    <x v="2"/>
    <n v="516384.23"/>
  </r>
  <r>
    <x v="0"/>
    <x v="3"/>
    <x v="1"/>
    <n v="12420164000319"/>
    <x v="30"/>
    <x v="0"/>
    <n v="2303354.58"/>
  </r>
  <r>
    <x v="0"/>
    <x v="3"/>
    <x v="1"/>
    <n v="12420164000319"/>
    <x v="30"/>
    <x v="1"/>
    <n v="99641.05"/>
  </r>
  <r>
    <x v="0"/>
    <x v="3"/>
    <x v="1"/>
    <n v="12420164000904"/>
    <x v="30"/>
    <x v="2"/>
    <n v="334310.26"/>
  </r>
  <r>
    <x v="0"/>
    <x v="3"/>
    <x v="1"/>
    <n v="12420164000904"/>
    <x v="30"/>
    <x v="0"/>
    <n v="1333374.8799999999"/>
  </r>
  <r>
    <x v="0"/>
    <x v="3"/>
    <x v="1"/>
    <n v="12420164000904"/>
    <x v="30"/>
    <x v="1"/>
    <n v="53314.28"/>
  </r>
  <r>
    <x v="0"/>
    <x v="3"/>
    <x v="1"/>
    <n v="12420164001048"/>
    <x v="30"/>
    <x v="2"/>
    <n v="52042.559999999998"/>
  </r>
  <r>
    <x v="0"/>
    <x v="3"/>
    <x v="1"/>
    <n v="12420164001048"/>
    <x v="30"/>
    <x v="0"/>
    <n v="138651.03"/>
  </r>
  <r>
    <x v="0"/>
    <x v="3"/>
    <x v="1"/>
    <n v="12420164001048"/>
    <x v="30"/>
    <x v="1"/>
    <n v="17256.650000000001"/>
  </r>
  <r>
    <x v="0"/>
    <x v="3"/>
    <x v="1"/>
    <n v="14261377000109"/>
    <x v="32"/>
    <x v="0"/>
    <n v="17389.89"/>
  </r>
  <r>
    <x v="0"/>
    <x v="3"/>
    <x v="1"/>
    <n v="14361780000100"/>
    <x v="118"/>
    <x v="0"/>
    <n v="5298.82"/>
  </r>
  <r>
    <x v="0"/>
    <x v="3"/>
    <x v="1"/>
    <n v="15126437000739"/>
    <x v="33"/>
    <x v="0"/>
    <n v="124082.8"/>
  </r>
  <r>
    <x v="0"/>
    <x v="3"/>
    <x v="1"/>
    <n v="15126437001972"/>
    <x v="34"/>
    <x v="0"/>
    <n v="8036"/>
  </r>
  <r>
    <x v="0"/>
    <x v="3"/>
    <x v="1"/>
    <n v="15145035000196"/>
    <x v="36"/>
    <x v="0"/>
    <n v="33976.94"/>
  </r>
  <r>
    <x v="0"/>
    <x v="3"/>
    <x v="1"/>
    <n v="15145035000196"/>
    <x v="36"/>
    <x v="1"/>
    <n v="68841.38"/>
  </r>
  <r>
    <x v="0"/>
    <x v="3"/>
    <x v="1"/>
    <n v="17217332003906"/>
    <x v="119"/>
    <x v="0"/>
    <n v="44917.4"/>
  </r>
  <r>
    <x v="0"/>
    <x v="3"/>
    <x v="1"/>
    <n v="17700763000300"/>
    <x v="38"/>
    <x v="0"/>
    <n v="244758.29"/>
  </r>
  <r>
    <x v="0"/>
    <x v="3"/>
    <x v="1"/>
    <n v="19843929001000"/>
    <x v="120"/>
    <x v="2"/>
    <n v="5313.6"/>
  </r>
  <r>
    <x v="0"/>
    <x v="3"/>
    <x v="1"/>
    <n v="19843929001506"/>
    <x v="121"/>
    <x v="0"/>
    <n v="146704.45000000001"/>
  </r>
  <r>
    <x v="0"/>
    <x v="3"/>
    <x v="1"/>
    <n v="19843929001697"/>
    <x v="122"/>
    <x v="2"/>
    <n v="4428"/>
  </r>
  <r>
    <x v="0"/>
    <x v="3"/>
    <x v="1"/>
    <n v="19843929001697"/>
    <x v="122"/>
    <x v="0"/>
    <n v="69650"/>
  </r>
  <r>
    <x v="0"/>
    <x v="3"/>
    <x v="1"/>
    <n v="20001049000176"/>
    <x v="123"/>
    <x v="0"/>
    <n v="30136.01"/>
  </r>
  <r>
    <x v="0"/>
    <x v="3"/>
    <x v="1"/>
    <n v="21895020000148"/>
    <x v="20"/>
    <x v="0"/>
    <n v="81374.69"/>
  </r>
  <r>
    <x v="0"/>
    <x v="3"/>
    <x v="1"/>
    <n v="22675359000100"/>
    <x v="124"/>
    <x v="0"/>
    <n v="49750"/>
  </r>
  <r>
    <x v="0"/>
    <x v="3"/>
    <x v="1"/>
    <n v="24082016000159"/>
    <x v="85"/>
    <x v="0"/>
    <n v="46000"/>
  </r>
  <r>
    <x v="0"/>
    <x v="3"/>
    <x v="1"/>
    <n v="25211499000107"/>
    <x v="28"/>
    <x v="1"/>
    <n v="24997.64"/>
  </r>
  <r>
    <x v="0"/>
    <x v="3"/>
    <x v="1"/>
    <n v="25211499000379"/>
    <x v="125"/>
    <x v="2"/>
    <n v="0"/>
  </r>
  <r>
    <x v="0"/>
    <x v="3"/>
    <x v="1"/>
    <n v="29349061000140"/>
    <x v="126"/>
    <x v="0"/>
    <n v="30748.44"/>
  </r>
  <r>
    <x v="0"/>
    <x v="3"/>
    <x v="1"/>
    <n v="32319972000130"/>
    <x v="127"/>
    <x v="0"/>
    <n v="0"/>
  </r>
  <r>
    <x v="0"/>
    <x v="3"/>
    <x v="1"/>
    <n v="33663683005347"/>
    <x v="45"/>
    <x v="0"/>
    <n v="362539.62"/>
  </r>
  <r>
    <x v="0"/>
    <x v="3"/>
    <x v="1"/>
    <n v="33781055000216"/>
    <x v="46"/>
    <x v="0"/>
    <n v="19643.2"/>
  </r>
  <r>
    <x v="0"/>
    <x v="3"/>
    <x v="1"/>
    <n v="33781055000216"/>
    <x v="46"/>
    <x v="1"/>
    <n v="1520"/>
  </r>
  <r>
    <x v="0"/>
    <x v="3"/>
    <x v="1"/>
    <n v="34023077000280"/>
    <x v="87"/>
    <x v="2"/>
    <n v="19267.2"/>
  </r>
  <r>
    <x v="0"/>
    <x v="3"/>
    <x v="1"/>
    <n v="37396017000624"/>
    <x v="28"/>
    <x v="0"/>
    <n v="143373.62"/>
  </r>
  <r>
    <x v="0"/>
    <x v="3"/>
    <x v="1"/>
    <n v="37396017000624"/>
    <x v="28"/>
    <x v="1"/>
    <n v="37496.46"/>
  </r>
  <r>
    <x v="0"/>
    <x v="3"/>
    <x v="1"/>
    <n v="45780103000150"/>
    <x v="48"/>
    <x v="0"/>
    <n v="60746.76"/>
  </r>
  <r>
    <x v="0"/>
    <x v="3"/>
    <x v="1"/>
    <n v="46068425000133"/>
    <x v="49"/>
    <x v="2"/>
    <n v="253281.6"/>
  </r>
  <r>
    <x v="0"/>
    <x v="3"/>
    <x v="1"/>
    <n v="46374500003533"/>
    <x v="51"/>
    <x v="0"/>
    <n v="204938"/>
  </r>
  <r>
    <x v="0"/>
    <x v="3"/>
    <x v="1"/>
    <n v="46374500011048"/>
    <x v="128"/>
    <x v="1"/>
    <n v="8436.5"/>
  </r>
  <r>
    <x v="0"/>
    <x v="3"/>
    <x v="1"/>
    <n v="46374500012605"/>
    <x v="56"/>
    <x v="1"/>
    <n v="10123.799999999999"/>
  </r>
  <r>
    <x v="0"/>
    <x v="3"/>
    <x v="1"/>
    <n v="46643466000106"/>
    <x v="113"/>
    <x v="0"/>
    <n v="284826.40000000002"/>
  </r>
  <r>
    <x v="0"/>
    <x v="3"/>
    <x v="1"/>
    <n v="46854998000192"/>
    <x v="57"/>
    <x v="1"/>
    <n v="10619"/>
  </r>
  <r>
    <x v="0"/>
    <x v="3"/>
    <x v="1"/>
    <n v="48468284000171"/>
    <x v="58"/>
    <x v="0"/>
    <n v="20493.8"/>
  </r>
  <r>
    <x v="0"/>
    <x v="3"/>
    <x v="1"/>
    <n v="50311620000209"/>
    <x v="92"/>
    <x v="2"/>
    <n v="77178.69"/>
  </r>
  <r>
    <x v="0"/>
    <x v="3"/>
    <x v="1"/>
    <n v="50311620000209"/>
    <x v="92"/>
    <x v="0"/>
    <n v="196802.26"/>
  </r>
  <r>
    <x v="0"/>
    <x v="3"/>
    <x v="1"/>
    <n v="50311620000209"/>
    <x v="92"/>
    <x v="1"/>
    <n v="71736.17"/>
  </r>
  <r>
    <x v="0"/>
    <x v="3"/>
    <x v="1"/>
    <n v="57722118000302"/>
    <x v="61"/>
    <x v="0"/>
    <n v="9777.48"/>
  </r>
  <r>
    <x v="0"/>
    <x v="3"/>
    <x v="1"/>
    <n v="60003761000129"/>
    <x v="62"/>
    <x v="2"/>
    <n v="77900"/>
  </r>
  <r>
    <x v="0"/>
    <x v="3"/>
    <x v="1"/>
    <n v="60003761000129"/>
    <x v="62"/>
    <x v="0"/>
    <n v="45291.11"/>
  </r>
  <r>
    <x v="0"/>
    <x v="3"/>
    <x v="1"/>
    <n v="60448040000122"/>
    <x v="63"/>
    <x v="0"/>
    <n v="153497.70000000001"/>
  </r>
  <r>
    <x v="0"/>
    <x v="3"/>
    <x v="1"/>
    <n v="60747318000162"/>
    <x v="64"/>
    <x v="1"/>
    <n v="5061.8999999999996"/>
  </r>
  <r>
    <x v="0"/>
    <x v="3"/>
    <x v="1"/>
    <n v="60765823000130"/>
    <x v="93"/>
    <x v="0"/>
    <n v="76260"/>
  </r>
  <r>
    <x v="0"/>
    <x v="3"/>
    <x v="1"/>
    <n v="60765823000130"/>
    <x v="93"/>
    <x v="1"/>
    <n v="8528"/>
  </r>
  <r>
    <x v="0"/>
    <x v="3"/>
    <x v="1"/>
    <n v="61590410000124"/>
    <x v="65"/>
    <x v="0"/>
    <n v="120998.86"/>
  </r>
  <r>
    <x v="0"/>
    <x v="3"/>
    <x v="1"/>
    <n v="61590410000124"/>
    <x v="65"/>
    <x v="1"/>
    <n v="413.3"/>
  </r>
  <r>
    <x v="0"/>
    <x v="3"/>
    <x v="1"/>
    <n v="61599908000158"/>
    <x v="67"/>
    <x v="0"/>
    <n v="100810.8"/>
  </r>
  <r>
    <x v="0"/>
    <x v="3"/>
    <x v="1"/>
    <n v="81887838000736"/>
    <x v="68"/>
    <x v="2"/>
    <n v="320312.34999999998"/>
  </r>
  <r>
    <x v="0"/>
    <x v="3"/>
    <x v="1"/>
    <n v="81887838000736"/>
    <x v="68"/>
    <x v="0"/>
    <n v="1870539.17"/>
  </r>
  <r>
    <x v="0"/>
    <x v="3"/>
    <x v="1"/>
    <n v="81887838000736"/>
    <x v="68"/>
    <x v="1"/>
    <n v="186981.05"/>
  </r>
  <r>
    <x v="0"/>
    <x v="3"/>
    <x v="1"/>
    <n v="82873068000140"/>
    <x v="69"/>
    <x v="0"/>
    <n v="104237.94"/>
  </r>
  <r>
    <x v="0"/>
    <x v="3"/>
    <x v="1"/>
    <n v="82873068000140"/>
    <x v="69"/>
    <x v="1"/>
    <n v="57739.55"/>
  </r>
  <r>
    <x v="0"/>
    <x v="3"/>
    <x v="1"/>
    <n v="82873068000573"/>
    <x v="69"/>
    <x v="0"/>
    <n v="107156.38"/>
  </r>
  <r>
    <x v="0"/>
    <x v="3"/>
    <x v="1"/>
    <n v="82873068000573"/>
    <x v="69"/>
    <x v="1"/>
    <n v="43304.66"/>
  </r>
  <r>
    <x v="0"/>
    <x v="3"/>
    <x v="1"/>
    <n v="82873068000654"/>
    <x v="69"/>
    <x v="2"/>
    <n v="75442.16"/>
  </r>
  <r>
    <x v="0"/>
    <x v="3"/>
    <x v="1"/>
    <n v="82873068000654"/>
    <x v="69"/>
    <x v="1"/>
    <n v="43305.77"/>
  </r>
  <r>
    <x v="0"/>
    <x v="3"/>
    <x v="1"/>
    <n v="82873068000735"/>
    <x v="69"/>
    <x v="0"/>
    <n v="397252.22"/>
  </r>
  <r>
    <x v="0"/>
    <x v="3"/>
    <x v="1"/>
    <n v="82873068000735"/>
    <x v="69"/>
    <x v="1"/>
    <n v="43304.66"/>
  </r>
  <r>
    <x v="0"/>
    <x v="3"/>
    <x v="1"/>
    <n v="87020517000120"/>
    <x v="70"/>
    <x v="0"/>
    <n v="12854.32"/>
  </r>
  <r>
    <x v="0"/>
    <x v="4"/>
    <x v="1"/>
    <n v="394502014870"/>
    <x v="129"/>
    <x v="0"/>
    <n v="204938"/>
  </r>
  <r>
    <x v="0"/>
    <x v="4"/>
    <x v="1"/>
    <n v="394544000851"/>
    <x v="73"/>
    <x v="0"/>
    <n v="5904"/>
  </r>
  <r>
    <x v="0"/>
    <x v="4"/>
    <x v="1"/>
    <n v="394544011110"/>
    <x v="96"/>
    <x v="0"/>
    <n v="-1062.72"/>
  </r>
  <r>
    <x v="0"/>
    <x v="4"/>
    <x v="1"/>
    <n v="394544020100"/>
    <x v="1"/>
    <x v="2"/>
    <n v="119984.8"/>
  </r>
  <r>
    <x v="0"/>
    <x v="4"/>
    <x v="1"/>
    <n v="394544020291"/>
    <x v="2"/>
    <x v="2"/>
    <n v="75520"/>
  </r>
  <r>
    <x v="0"/>
    <x v="4"/>
    <x v="1"/>
    <n v="394544021344"/>
    <x v="7"/>
    <x v="2"/>
    <n v="22874.799999999999"/>
  </r>
  <r>
    <x v="0"/>
    <x v="4"/>
    <x v="1"/>
    <n v="1479465000130"/>
    <x v="8"/>
    <x v="0"/>
    <n v="449652.85"/>
  </r>
  <r>
    <x v="0"/>
    <x v="4"/>
    <x v="1"/>
    <n v="2873606000167"/>
    <x v="9"/>
    <x v="2"/>
    <n v="227562.3"/>
  </r>
  <r>
    <x v="0"/>
    <x v="4"/>
    <x v="1"/>
    <n v="2873606000167"/>
    <x v="9"/>
    <x v="0"/>
    <n v="910473.04"/>
  </r>
  <r>
    <x v="0"/>
    <x v="4"/>
    <x v="1"/>
    <n v="2873606000167"/>
    <x v="9"/>
    <x v="1"/>
    <n v="163426.5"/>
  </r>
  <r>
    <x v="0"/>
    <x v="4"/>
    <x v="1"/>
    <n v="4027894000326"/>
    <x v="10"/>
    <x v="2"/>
    <n v="244893.92"/>
  </r>
  <r>
    <x v="0"/>
    <x v="4"/>
    <x v="1"/>
    <n v="4027894000326"/>
    <x v="10"/>
    <x v="0"/>
    <n v="1180934.97"/>
  </r>
  <r>
    <x v="0"/>
    <x v="4"/>
    <x v="1"/>
    <n v="4027894000326"/>
    <x v="10"/>
    <x v="1"/>
    <n v="173223.06"/>
  </r>
  <r>
    <x v="0"/>
    <x v="4"/>
    <x v="1"/>
    <n v="4307650001298"/>
    <x v="11"/>
    <x v="0"/>
    <n v="962164.09"/>
  </r>
  <r>
    <x v="0"/>
    <x v="4"/>
    <x v="1"/>
    <n v="4307650001298"/>
    <x v="11"/>
    <x v="1"/>
    <n v="156745.75"/>
  </r>
  <r>
    <x v="0"/>
    <x v="4"/>
    <x v="1"/>
    <n v="4355394000151"/>
    <x v="12"/>
    <x v="2"/>
    <n v="129156.98"/>
  </r>
  <r>
    <x v="0"/>
    <x v="4"/>
    <x v="1"/>
    <n v="4355394000151"/>
    <x v="12"/>
    <x v="0"/>
    <n v="637867.68999999994"/>
  </r>
  <r>
    <x v="0"/>
    <x v="4"/>
    <x v="1"/>
    <n v="4355394000151"/>
    <x v="12"/>
    <x v="1"/>
    <n v="63372.67"/>
  </r>
  <r>
    <x v="0"/>
    <x v="4"/>
    <x v="1"/>
    <n v="4929345000185"/>
    <x v="130"/>
    <x v="0"/>
    <n v="138294.5"/>
  </r>
  <r>
    <x v="0"/>
    <x v="4"/>
    <x v="1"/>
    <n v="4995603000121"/>
    <x v="131"/>
    <x v="0"/>
    <n v="195714"/>
  </r>
  <r>
    <x v="0"/>
    <x v="4"/>
    <x v="1"/>
    <n v="5268490000125"/>
    <x v="13"/>
    <x v="2"/>
    <n v="144324.16"/>
  </r>
  <r>
    <x v="0"/>
    <x v="4"/>
    <x v="1"/>
    <n v="5268490000125"/>
    <x v="13"/>
    <x v="0"/>
    <n v="168609.68"/>
  </r>
  <r>
    <x v="0"/>
    <x v="4"/>
    <x v="1"/>
    <n v="5816630000152"/>
    <x v="14"/>
    <x v="0"/>
    <n v="703909.96"/>
  </r>
  <r>
    <x v="0"/>
    <x v="4"/>
    <x v="1"/>
    <n v="6073848000127"/>
    <x v="24"/>
    <x v="1"/>
    <n v="44888.98"/>
  </r>
  <r>
    <x v="0"/>
    <x v="4"/>
    <x v="1"/>
    <n v="6081203000136"/>
    <x v="11"/>
    <x v="0"/>
    <n v="403444.6"/>
  </r>
  <r>
    <x v="0"/>
    <x v="4"/>
    <x v="1"/>
    <n v="6081203000136"/>
    <x v="11"/>
    <x v="1"/>
    <n v="69796.22"/>
  </r>
  <r>
    <x v="0"/>
    <x v="4"/>
    <x v="1"/>
    <n v="6234797000178"/>
    <x v="15"/>
    <x v="0"/>
    <n v="164783.32"/>
  </r>
  <r>
    <x v="0"/>
    <x v="4"/>
    <x v="1"/>
    <n v="6553564000138"/>
    <x v="132"/>
    <x v="0"/>
    <n v="43036.56"/>
  </r>
  <r>
    <x v="0"/>
    <x v="4"/>
    <x v="1"/>
    <n v="7224991001530"/>
    <x v="16"/>
    <x v="1"/>
    <n v="41166.89"/>
  </r>
  <r>
    <x v="0"/>
    <x v="4"/>
    <x v="1"/>
    <n v="7484373000124"/>
    <x v="18"/>
    <x v="2"/>
    <n v="206645.94"/>
  </r>
  <r>
    <x v="0"/>
    <x v="4"/>
    <x v="1"/>
    <n v="7484373000124"/>
    <x v="18"/>
    <x v="1"/>
    <n v="23240.76"/>
  </r>
  <r>
    <x v="0"/>
    <x v="4"/>
    <x v="1"/>
    <n v="7734165000136"/>
    <x v="19"/>
    <x v="0"/>
    <n v="204989.96"/>
  </r>
  <r>
    <x v="0"/>
    <x v="4"/>
    <x v="1"/>
    <n v="7812105000194"/>
    <x v="20"/>
    <x v="2"/>
    <n v="444844.25"/>
  </r>
  <r>
    <x v="0"/>
    <x v="4"/>
    <x v="1"/>
    <n v="7812105000194"/>
    <x v="20"/>
    <x v="0"/>
    <n v="586218.04"/>
  </r>
  <r>
    <x v="0"/>
    <x v="4"/>
    <x v="1"/>
    <n v="7812105000194"/>
    <x v="20"/>
    <x v="1"/>
    <n v="70202.16"/>
  </r>
  <r>
    <x v="0"/>
    <x v="4"/>
    <x v="1"/>
    <n v="8719794000150"/>
    <x v="20"/>
    <x v="2"/>
    <n v="225089.05"/>
  </r>
  <r>
    <x v="0"/>
    <x v="4"/>
    <x v="1"/>
    <n v="8719794000150"/>
    <x v="20"/>
    <x v="0"/>
    <n v="85427.1"/>
  </r>
  <r>
    <x v="0"/>
    <x v="4"/>
    <x v="1"/>
    <n v="8719794000150"/>
    <x v="20"/>
    <x v="1"/>
    <n v="149633.74"/>
  </r>
  <r>
    <x v="0"/>
    <x v="4"/>
    <x v="1"/>
    <n v="9053134000226"/>
    <x v="24"/>
    <x v="0"/>
    <n v="83810.39"/>
  </r>
  <r>
    <x v="0"/>
    <x v="4"/>
    <x v="1"/>
    <n v="9660958000345"/>
    <x v="26"/>
    <x v="2"/>
    <n v="42436.23"/>
  </r>
  <r>
    <x v="0"/>
    <x v="4"/>
    <x v="1"/>
    <n v="9660958000345"/>
    <x v="26"/>
    <x v="0"/>
    <n v="165495.29"/>
  </r>
  <r>
    <x v="0"/>
    <x v="4"/>
    <x v="1"/>
    <n v="9660958000345"/>
    <x v="26"/>
    <x v="1"/>
    <n v="260556.37"/>
  </r>
  <r>
    <x v="0"/>
    <x v="4"/>
    <x v="1"/>
    <n v="10586940000168"/>
    <x v="101"/>
    <x v="0"/>
    <n v="46337.01"/>
  </r>
  <r>
    <x v="0"/>
    <x v="4"/>
    <x v="1"/>
    <n v="10942995000163"/>
    <x v="78"/>
    <x v="0"/>
    <n v="36916.400000000001"/>
  </r>
  <r>
    <x v="0"/>
    <x v="4"/>
    <x v="1"/>
    <n v="11022597001597"/>
    <x v="79"/>
    <x v="0"/>
    <n v="109880"/>
  </r>
  <r>
    <x v="0"/>
    <x v="4"/>
    <x v="1"/>
    <n v="11051186000124"/>
    <x v="20"/>
    <x v="0"/>
    <n v="18167.11"/>
  </r>
  <r>
    <x v="0"/>
    <x v="4"/>
    <x v="1"/>
    <n v="11051186000124"/>
    <x v="20"/>
    <x v="1"/>
    <n v="7481.68"/>
  </r>
  <r>
    <x v="0"/>
    <x v="4"/>
    <x v="1"/>
    <n v="11206099000107"/>
    <x v="80"/>
    <x v="2"/>
    <n v="196810.64"/>
  </r>
  <r>
    <x v="0"/>
    <x v="4"/>
    <x v="1"/>
    <n v="11206099000107"/>
    <x v="80"/>
    <x v="0"/>
    <n v="246002.59"/>
  </r>
  <r>
    <x v="0"/>
    <x v="4"/>
    <x v="1"/>
    <n v="11206099000107"/>
    <x v="80"/>
    <x v="1"/>
    <n v="177443.49"/>
  </r>
  <r>
    <x v="0"/>
    <x v="4"/>
    <x v="1"/>
    <n v="12420164000319"/>
    <x v="30"/>
    <x v="2"/>
    <n v="4626.42"/>
  </r>
  <r>
    <x v="0"/>
    <x v="4"/>
    <x v="1"/>
    <n v="12420164000319"/>
    <x v="30"/>
    <x v="0"/>
    <n v="1137566.8"/>
  </r>
  <r>
    <x v="0"/>
    <x v="4"/>
    <x v="1"/>
    <n v="12420164000319"/>
    <x v="30"/>
    <x v="1"/>
    <n v="135216.45000000001"/>
  </r>
  <r>
    <x v="0"/>
    <x v="4"/>
    <x v="1"/>
    <n v="12420164000904"/>
    <x v="30"/>
    <x v="2"/>
    <n v="31492.99"/>
  </r>
  <r>
    <x v="0"/>
    <x v="4"/>
    <x v="1"/>
    <n v="12420164000904"/>
    <x v="30"/>
    <x v="0"/>
    <n v="275968.65000000002"/>
  </r>
  <r>
    <x v="0"/>
    <x v="4"/>
    <x v="1"/>
    <n v="12420164000904"/>
    <x v="30"/>
    <x v="1"/>
    <n v="10500.77"/>
  </r>
  <r>
    <x v="0"/>
    <x v="4"/>
    <x v="1"/>
    <n v="12420164001048"/>
    <x v="30"/>
    <x v="0"/>
    <n v="85801.26"/>
  </r>
  <r>
    <x v="0"/>
    <x v="4"/>
    <x v="1"/>
    <n v="12420164001048"/>
    <x v="30"/>
    <x v="1"/>
    <n v="1025.96"/>
  </r>
  <r>
    <x v="0"/>
    <x v="4"/>
    <x v="1"/>
    <n v="12882932000194"/>
    <x v="133"/>
    <x v="0"/>
    <n v="5591.38"/>
  </r>
  <r>
    <x v="0"/>
    <x v="4"/>
    <x v="1"/>
    <n v="14261377000109"/>
    <x v="32"/>
    <x v="0"/>
    <n v="45881.59"/>
  </r>
  <r>
    <x v="0"/>
    <x v="4"/>
    <x v="1"/>
    <n v="15126437000577"/>
    <x v="134"/>
    <x v="2"/>
    <n v="20960.84"/>
  </r>
  <r>
    <x v="0"/>
    <x v="4"/>
    <x v="1"/>
    <n v="15126437000577"/>
    <x v="134"/>
    <x v="0"/>
    <n v="102469"/>
  </r>
  <r>
    <x v="0"/>
    <x v="4"/>
    <x v="1"/>
    <n v="15126437000739"/>
    <x v="33"/>
    <x v="0"/>
    <n v="379250"/>
  </r>
  <r>
    <x v="0"/>
    <x v="4"/>
    <x v="1"/>
    <n v="15126437001468"/>
    <x v="84"/>
    <x v="0"/>
    <n v="46430.44"/>
  </r>
  <r>
    <x v="0"/>
    <x v="4"/>
    <x v="1"/>
    <n v="15126437002863"/>
    <x v="135"/>
    <x v="0"/>
    <n v="10824"/>
  </r>
  <r>
    <x v="0"/>
    <x v="4"/>
    <x v="1"/>
    <n v="15126437003240"/>
    <x v="136"/>
    <x v="0"/>
    <n v="14732.1"/>
  </r>
  <r>
    <x v="0"/>
    <x v="4"/>
    <x v="1"/>
    <n v="15126437003673"/>
    <x v="137"/>
    <x v="0"/>
    <n v="24042.799999999999"/>
  </r>
  <r>
    <x v="0"/>
    <x v="4"/>
    <x v="1"/>
    <n v="15145035000196"/>
    <x v="36"/>
    <x v="0"/>
    <n v="33700.51"/>
  </r>
  <r>
    <x v="0"/>
    <x v="4"/>
    <x v="1"/>
    <n v="15145035000196"/>
    <x v="36"/>
    <x v="1"/>
    <n v="45894.26"/>
  </r>
  <r>
    <x v="0"/>
    <x v="4"/>
    <x v="1"/>
    <n v="15180714000287"/>
    <x v="138"/>
    <x v="0"/>
    <n v="78572.800000000003"/>
  </r>
  <r>
    <x v="0"/>
    <x v="4"/>
    <x v="1"/>
    <n v="17700763000300"/>
    <x v="38"/>
    <x v="2"/>
    <n v="145127.48000000001"/>
  </r>
  <r>
    <x v="0"/>
    <x v="4"/>
    <x v="1"/>
    <n v="17700763000300"/>
    <x v="38"/>
    <x v="0"/>
    <n v="709169.28"/>
  </r>
  <r>
    <x v="0"/>
    <x v="4"/>
    <x v="1"/>
    <n v="17700763000300"/>
    <x v="38"/>
    <x v="1"/>
    <n v="36088.14"/>
  </r>
  <r>
    <x v="0"/>
    <x v="4"/>
    <x v="1"/>
    <n v="19843929001000"/>
    <x v="120"/>
    <x v="2"/>
    <n v="7084.8"/>
  </r>
  <r>
    <x v="0"/>
    <x v="4"/>
    <x v="1"/>
    <n v="19843929001000"/>
    <x v="120"/>
    <x v="0"/>
    <n v="39800"/>
  </r>
  <r>
    <x v="0"/>
    <x v="4"/>
    <x v="1"/>
    <n v="19843929001182"/>
    <x v="139"/>
    <x v="0"/>
    <n v="80595"/>
  </r>
  <r>
    <x v="0"/>
    <x v="4"/>
    <x v="1"/>
    <n v="19843929001344"/>
    <x v="140"/>
    <x v="0"/>
    <n v="24875"/>
  </r>
  <r>
    <x v="0"/>
    <x v="4"/>
    <x v="1"/>
    <n v="19843929001697"/>
    <x v="122"/>
    <x v="2"/>
    <n v="7084.8"/>
  </r>
  <r>
    <x v="0"/>
    <x v="4"/>
    <x v="1"/>
    <n v="19843929001697"/>
    <x v="122"/>
    <x v="0"/>
    <n v="24875"/>
  </r>
  <r>
    <x v="0"/>
    <x v="4"/>
    <x v="1"/>
    <n v="19843929002820"/>
    <x v="141"/>
    <x v="0"/>
    <n v="232830"/>
  </r>
  <r>
    <x v="0"/>
    <x v="4"/>
    <x v="1"/>
    <n v="20001049000176"/>
    <x v="123"/>
    <x v="2"/>
    <n v="2132.06"/>
  </r>
  <r>
    <x v="0"/>
    <x v="4"/>
    <x v="1"/>
    <n v="20001049000176"/>
    <x v="123"/>
    <x v="0"/>
    <n v="77624.23"/>
  </r>
  <r>
    <x v="0"/>
    <x v="4"/>
    <x v="1"/>
    <n v="20001049000176"/>
    <x v="123"/>
    <x v="1"/>
    <n v="6284.61"/>
  </r>
  <r>
    <x v="0"/>
    <x v="4"/>
    <x v="1"/>
    <n v="21895020000148"/>
    <x v="20"/>
    <x v="2"/>
    <n v="354623.1"/>
  </r>
  <r>
    <x v="0"/>
    <x v="4"/>
    <x v="1"/>
    <n v="21895020000148"/>
    <x v="20"/>
    <x v="0"/>
    <n v="53351.08"/>
  </r>
  <r>
    <x v="0"/>
    <x v="4"/>
    <x v="1"/>
    <n v="21895020000148"/>
    <x v="20"/>
    <x v="1"/>
    <n v="175071.48"/>
  </r>
  <r>
    <x v="0"/>
    <x v="4"/>
    <x v="1"/>
    <n v="24082016000159"/>
    <x v="85"/>
    <x v="0"/>
    <n v="26612.1"/>
  </r>
  <r>
    <x v="0"/>
    <x v="4"/>
    <x v="1"/>
    <n v="25211499000107"/>
    <x v="28"/>
    <x v="0"/>
    <n v="20944.669999999998"/>
  </r>
  <r>
    <x v="0"/>
    <x v="4"/>
    <x v="1"/>
    <n v="25211499000107"/>
    <x v="28"/>
    <x v="1"/>
    <n v="25701.8"/>
  </r>
  <r>
    <x v="0"/>
    <x v="4"/>
    <x v="1"/>
    <n v="25648387000207"/>
    <x v="41"/>
    <x v="0"/>
    <n v="118641.60000000001"/>
  </r>
  <r>
    <x v="0"/>
    <x v="4"/>
    <x v="1"/>
    <n v="27191294000132"/>
    <x v="43"/>
    <x v="1"/>
    <n v="25349.07"/>
  </r>
  <r>
    <x v="0"/>
    <x v="4"/>
    <x v="1"/>
    <n v="28102490000156"/>
    <x v="142"/>
    <x v="0"/>
    <n v="7058.27"/>
  </r>
  <r>
    <x v="0"/>
    <x v="4"/>
    <x v="1"/>
    <n v="31378288000166"/>
    <x v="143"/>
    <x v="2"/>
    <n v="332915.33"/>
  </r>
  <r>
    <x v="0"/>
    <x v="4"/>
    <x v="1"/>
    <n v="31378288000166"/>
    <x v="143"/>
    <x v="0"/>
    <n v="1116842.8400000001"/>
  </r>
  <r>
    <x v="0"/>
    <x v="4"/>
    <x v="1"/>
    <n v="31378288000166"/>
    <x v="143"/>
    <x v="1"/>
    <n v="360877.07"/>
  </r>
  <r>
    <x v="0"/>
    <x v="4"/>
    <x v="1"/>
    <n v="32319972000130"/>
    <x v="127"/>
    <x v="0"/>
    <n v="0"/>
  </r>
  <r>
    <x v="0"/>
    <x v="4"/>
    <x v="1"/>
    <n v="33781055000216"/>
    <x v="46"/>
    <x v="2"/>
    <n v="4800"/>
  </r>
  <r>
    <x v="0"/>
    <x v="4"/>
    <x v="1"/>
    <n v="33781055000216"/>
    <x v="46"/>
    <x v="0"/>
    <n v="68751.199999999997"/>
  </r>
  <r>
    <x v="0"/>
    <x v="4"/>
    <x v="1"/>
    <n v="33781055000216"/>
    <x v="46"/>
    <x v="1"/>
    <n v="7600"/>
  </r>
  <r>
    <x v="0"/>
    <x v="4"/>
    <x v="1"/>
    <n v="37396017000624"/>
    <x v="28"/>
    <x v="2"/>
    <n v="75842.899999999994"/>
  </r>
  <r>
    <x v="0"/>
    <x v="4"/>
    <x v="1"/>
    <n v="37396017000624"/>
    <x v="28"/>
    <x v="0"/>
    <n v="592417.06999999995"/>
  </r>
  <r>
    <x v="0"/>
    <x v="4"/>
    <x v="1"/>
    <n v="37396017000624"/>
    <x v="28"/>
    <x v="1"/>
    <n v="99092.04"/>
  </r>
  <r>
    <x v="0"/>
    <x v="4"/>
    <x v="1"/>
    <n v="42498733000148"/>
    <x v="106"/>
    <x v="0"/>
    <n v="40987.199999999997"/>
  </r>
  <r>
    <x v="0"/>
    <x v="4"/>
    <x v="1"/>
    <n v="46374500000941"/>
    <x v="144"/>
    <x v="0"/>
    <n v="21600"/>
  </r>
  <r>
    <x v="0"/>
    <x v="4"/>
    <x v="1"/>
    <n v="46374500003533"/>
    <x v="51"/>
    <x v="0"/>
    <n v="204938"/>
  </r>
  <r>
    <x v="0"/>
    <x v="4"/>
    <x v="1"/>
    <n v="46374500005234"/>
    <x v="107"/>
    <x v="1"/>
    <n v="13498.4"/>
  </r>
  <r>
    <x v="0"/>
    <x v="4"/>
    <x v="1"/>
    <n v="46374500010904"/>
    <x v="145"/>
    <x v="1"/>
    <n v="30371.4"/>
  </r>
  <r>
    <x v="0"/>
    <x v="4"/>
    <x v="1"/>
    <n v="46374500011714"/>
    <x v="55"/>
    <x v="1"/>
    <n v="16198.08"/>
  </r>
  <r>
    <x v="0"/>
    <x v="4"/>
    <x v="1"/>
    <n v="46374500013091"/>
    <x v="112"/>
    <x v="1"/>
    <n v="17716.650000000001"/>
  </r>
  <r>
    <x v="0"/>
    <x v="4"/>
    <x v="1"/>
    <n v="49607336000106"/>
    <x v="146"/>
    <x v="2"/>
    <n v="77326"/>
  </r>
  <r>
    <x v="0"/>
    <x v="4"/>
    <x v="1"/>
    <n v="50311620000209"/>
    <x v="92"/>
    <x v="2"/>
    <n v="78722.27"/>
  </r>
  <r>
    <x v="0"/>
    <x v="4"/>
    <x v="1"/>
    <n v="50311620000209"/>
    <x v="92"/>
    <x v="0"/>
    <n v="196802.26"/>
  </r>
  <r>
    <x v="0"/>
    <x v="4"/>
    <x v="1"/>
    <n v="50311620000209"/>
    <x v="92"/>
    <x v="1"/>
    <n v="73936.67"/>
  </r>
  <r>
    <x v="0"/>
    <x v="4"/>
    <x v="1"/>
    <n v="51885242000140"/>
    <x v="59"/>
    <x v="0"/>
    <n v="37500.239999999998"/>
  </r>
  <r>
    <x v="0"/>
    <x v="4"/>
    <x v="1"/>
    <n v="56577059000606"/>
    <x v="60"/>
    <x v="2"/>
    <n v="-87699"/>
  </r>
  <r>
    <x v="0"/>
    <x v="4"/>
    <x v="1"/>
    <n v="57722118000302"/>
    <x v="61"/>
    <x v="1"/>
    <n v="6749.2"/>
  </r>
  <r>
    <x v="0"/>
    <x v="4"/>
    <x v="1"/>
    <n v="60003761000129"/>
    <x v="62"/>
    <x v="2"/>
    <n v="60680"/>
  </r>
  <r>
    <x v="0"/>
    <x v="4"/>
    <x v="1"/>
    <n v="60003761000129"/>
    <x v="62"/>
    <x v="0"/>
    <n v="42790.41"/>
  </r>
  <r>
    <x v="0"/>
    <x v="4"/>
    <x v="1"/>
    <n v="60448040000122"/>
    <x v="63"/>
    <x v="2"/>
    <n v="409464"/>
  </r>
  <r>
    <x v="0"/>
    <x v="4"/>
    <x v="1"/>
    <n v="60448040000122"/>
    <x v="63"/>
    <x v="0"/>
    <n v="100520.9"/>
  </r>
  <r>
    <x v="0"/>
    <x v="4"/>
    <x v="1"/>
    <n v="60747318000162"/>
    <x v="64"/>
    <x v="1"/>
    <n v="5568.09"/>
  </r>
  <r>
    <x v="0"/>
    <x v="4"/>
    <x v="1"/>
    <n v="60765823000130"/>
    <x v="93"/>
    <x v="0"/>
    <n v="330378"/>
  </r>
  <r>
    <x v="0"/>
    <x v="4"/>
    <x v="1"/>
    <n v="60765823000130"/>
    <x v="93"/>
    <x v="1"/>
    <n v="16400"/>
  </r>
  <r>
    <x v="0"/>
    <x v="4"/>
    <x v="1"/>
    <n v="61590410000124"/>
    <x v="65"/>
    <x v="0"/>
    <n v="22197.89"/>
  </r>
  <r>
    <x v="0"/>
    <x v="4"/>
    <x v="1"/>
    <n v="61590410000124"/>
    <x v="65"/>
    <x v="1"/>
    <n v="413.3"/>
  </r>
  <r>
    <x v="0"/>
    <x v="4"/>
    <x v="1"/>
    <n v="61599908000158"/>
    <x v="67"/>
    <x v="0"/>
    <n v="360490.35"/>
  </r>
  <r>
    <x v="0"/>
    <x v="4"/>
    <x v="1"/>
    <n v="74031865000151"/>
    <x v="95"/>
    <x v="0"/>
    <n v="554098.28"/>
  </r>
  <r>
    <x v="0"/>
    <x v="4"/>
    <x v="1"/>
    <n v="80673411000187"/>
    <x v="147"/>
    <x v="0"/>
    <n v="13067.26"/>
  </r>
  <r>
    <x v="0"/>
    <x v="4"/>
    <x v="1"/>
    <n v="81887838000736"/>
    <x v="68"/>
    <x v="2"/>
    <n v="258321.35"/>
  </r>
  <r>
    <x v="0"/>
    <x v="4"/>
    <x v="1"/>
    <n v="81887838000736"/>
    <x v="68"/>
    <x v="0"/>
    <n v="2604238.02"/>
  </r>
  <r>
    <x v="0"/>
    <x v="4"/>
    <x v="1"/>
    <n v="81887838000736"/>
    <x v="68"/>
    <x v="1"/>
    <n v="196042.54"/>
  </r>
  <r>
    <x v="0"/>
    <x v="4"/>
    <x v="1"/>
    <n v="82873068000140"/>
    <x v="69"/>
    <x v="1"/>
    <n v="43304.66"/>
  </r>
  <r>
    <x v="0"/>
    <x v="4"/>
    <x v="1"/>
    <n v="82873068000573"/>
    <x v="69"/>
    <x v="0"/>
    <n v="2918.45"/>
  </r>
  <r>
    <x v="0"/>
    <x v="4"/>
    <x v="1"/>
    <n v="87020517000120"/>
    <x v="70"/>
    <x v="2"/>
    <n v="64042"/>
  </r>
  <r>
    <x v="0"/>
    <x v="5"/>
    <x v="1"/>
    <n v="88317000121"/>
    <x v="0"/>
    <x v="1"/>
    <n v="14962.18"/>
  </r>
  <r>
    <x v="0"/>
    <x v="5"/>
    <x v="1"/>
    <n v="394544020291"/>
    <x v="2"/>
    <x v="0"/>
    <n v="114909.75"/>
  </r>
  <r>
    <x v="0"/>
    <x v="5"/>
    <x v="1"/>
    <n v="394544021344"/>
    <x v="7"/>
    <x v="2"/>
    <n v="44887.44"/>
  </r>
  <r>
    <x v="0"/>
    <x v="5"/>
    <x v="1"/>
    <n v="394544021344"/>
    <x v="7"/>
    <x v="0"/>
    <n v="144952.95999999999"/>
  </r>
  <r>
    <x v="0"/>
    <x v="5"/>
    <x v="1"/>
    <n v="2873606000167"/>
    <x v="9"/>
    <x v="0"/>
    <n v="72725.66"/>
  </r>
  <r>
    <x v="0"/>
    <x v="5"/>
    <x v="1"/>
    <n v="4027894000164"/>
    <x v="10"/>
    <x v="0"/>
    <n v="23872.18"/>
  </r>
  <r>
    <x v="0"/>
    <x v="5"/>
    <x v="1"/>
    <n v="4307650001298"/>
    <x v="11"/>
    <x v="0"/>
    <n v="422930.36"/>
  </r>
  <r>
    <x v="0"/>
    <x v="5"/>
    <x v="1"/>
    <n v="4307650001298"/>
    <x v="11"/>
    <x v="1"/>
    <n v="73934.649999999994"/>
  </r>
  <r>
    <x v="0"/>
    <x v="5"/>
    <x v="1"/>
    <n v="4995603000121"/>
    <x v="131"/>
    <x v="1"/>
    <n v="51581.36"/>
  </r>
  <r>
    <x v="0"/>
    <x v="5"/>
    <x v="1"/>
    <n v="5268490000125"/>
    <x v="13"/>
    <x v="2"/>
    <n v="141048.04"/>
  </r>
  <r>
    <x v="0"/>
    <x v="5"/>
    <x v="1"/>
    <n v="5816630000152"/>
    <x v="14"/>
    <x v="0"/>
    <n v="30568.95"/>
  </r>
  <r>
    <x v="0"/>
    <x v="5"/>
    <x v="1"/>
    <n v="6081203000136"/>
    <x v="11"/>
    <x v="0"/>
    <n v="511274.57"/>
  </r>
  <r>
    <x v="0"/>
    <x v="5"/>
    <x v="1"/>
    <n v="6081203000136"/>
    <x v="11"/>
    <x v="1"/>
    <n v="66541.2"/>
  </r>
  <r>
    <x v="0"/>
    <x v="5"/>
    <x v="1"/>
    <n v="7734165000136"/>
    <x v="19"/>
    <x v="0"/>
    <n v="153742.92000000001"/>
  </r>
  <r>
    <x v="0"/>
    <x v="5"/>
    <x v="1"/>
    <n v="9660958000345"/>
    <x v="26"/>
    <x v="0"/>
    <n v="22950.25"/>
  </r>
  <r>
    <x v="0"/>
    <x v="5"/>
    <x v="1"/>
    <n v="15126437001972"/>
    <x v="34"/>
    <x v="0"/>
    <n v="20090"/>
  </r>
  <r>
    <x v="0"/>
    <x v="5"/>
    <x v="1"/>
    <n v="15145035000196"/>
    <x v="36"/>
    <x v="0"/>
    <n v="40105.089999999997"/>
  </r>
  <r>
    <x v="0"/>
    <x v="5"/>
    <x v="1"/>
    <n v="15145035000196"/>
    <x v="36"/>
    <x v="1"/>
    <n v="38723.18"/>
  </r>
  <r>
    <x v="0"/>
    <x v="5"/>
    <x v="1"/>
    <n v="16695025000197"/>
    <x v="148"/>
    <x v="0"/>
    <n v="49750.5"/>
  </r>
  <r>
    <x v="0"/>
    <x v="5"/>
    <x v="1"/>
    <n v="19843929001000"/>
    <x v="120"/>
    <x v="2"/>
    <n v="9564.48"/>
  </r>
  <r>
    <x v="0"/>
    <x v="5"/>
    <x v="1"/>
    <n v="19843929001000"/>
    <x v="120"/>
    <x v="0"/>
    <n v="995"/>
  </r>
  <r>
    <x v="0"/>
    <x v="5"/>
    <x v="1"/>
    <n v="19843929001506"/>
    <x v="121"/>
    <x v="2"/>
    <n v="797.04"/>
  </r>
  <r>
    <x v="0"/>
    <x v="5"/>
    <x v="1"/>
    <n v="19843929001506"/>
    <x v="121"/>
    <x v="0"/>
    <n v="41790.400000000001"/>
  </r>
  <r>
    <x v="0"/>
    <x v="5"/>
    <x v="1"/>
    <n v="19843929001697"/>
    <x v="122"/>
    <x v="2"/>
    <n v="5313.6"/>
  </r>
  <r>
    <x v="0"/>
    <x v="5"/>
    <x v="1"/>
    <n v="31378288000166"/>
    <x v="143"/>
    <x v="2"/>
    <n v="332921.7"/>
  </r>
  <r>
    <x v="0"/>
    <x v="5"/>
    <x v="1"/>
    <n v="31378288000166"/>
    <x v="143"/>
    <x v="0"/>
    <n v="1177081.74"/>
  </r>
  <r>
    <x v="0"/>
    <x v="5"/>
    <x v="1"/>
    <n v="42498733000148"/>
    <x v="106"/>
    <x v="0"/>
    <n v="1024.7"/>
  </r>
  <r>
    <x v="0"/>
    <x v="5"/>
    <x v="1"/>
    <n v="44531788000138"/>
    <x v="149"/>
    <x v="0"/>
    <n v="8167.09"/>
  </r>
  <r>
    <x v="0"/>
    <x v="5"/>
    <x v="1"/>
    <n v="46374500009221"/>
    <x v="109"/>
    <x v="0"/>
    <n v="172147.45"/>
  </r>
  <r>
    <x v="0"/>
    <x v="5"/>
    <x v="1"/>
    <n v="46374500011390"/>
    <x v="54"/>
    <x v="1"/>
    <n v="7592.51"/>
  </r>
  <r>
    <x v="0"/>
    <x v="5"/>
    <x v="1"/>
    <n v="50311620000209"/>
    <x v="92"/>
    <x v="0"/>
    <n v="590409.26"/>
  </r>
  <r>
    <x v="0"/>
    <x v="5"/>
    <x v="1"/>
    <n v="50311620000209"/>
    <x v="92"/>
    <x v="1"/>
    <n v="73926.460000000006"/>
  </r>
  <r>
    <x v="0"/>
    <x v="5"/>
    <x v="1"/>
    <n v="60003761000129"/>
    <x v="62"/>
    <x v="2"/>
    <n v="21320"/>
  </r>
  <r>
    <x v="0"/>
    <x v="5"/>
    <x v="1"/>
    <n v="60003761000129"/>
    <x v="62"/>
    <x v="0"/>
    <n v="33582.28"/>
  </r>
  <r>
    <x v="0"/>
    <x v="5"/>
    <x v="1"/>
    <n v="60448040000122"/>
    <x v="63"/>
    <x v="0"/>
    <n v="20543.54"/>
  </r>
  <r>
    <x v="0"/>
    <x v="5"/>
    <x v="1"/>
    <n v="60765823000130"/>
    <x v="93"/>
    <x v="0"/>
    <n v="76260"/>
  </r>
  <r>
    <x v="0"/>
    <x v="5"/>
    <x v="1"/>
    <n v="61590410000124"/>
    <x v="65"/>
    <x v="0"/>
    <n v="288387.33"/>
  </r>
  <r>
    <x v="0"/>
    <x v="5"/>
    <x v="1"/>
    <n v="82873068000140"/>
    <x v="69"/>
    <x v="0"/>
    <n v="101318.81"/>
  </r>
  <r>
    <x v="0"/>
    <x v="5"/>
    <x v="1"/>
    <n v="82873068000140"/>
    <x v="69"/>
    <x v="1"/>
    <n v="28868.42"/>
  </r>
  <r>
    <x v="0"/>
    <x v="5"/>
    <x v="1"/>
    <n v="82873068000573"/>
    <x v="69"/>
    <x v="2"/>
    <n v="9430.0400000000009"/>
  </r>
  <r>
    <x v="0"/>
    <x v="5"/>
    <x v="1"/>
    <n v="82873068000573"/>
    <x v="69"/>
    <x v="0"/>
    <n v="11673.84"/>
  </r>
  <r>
    <x v="0"/>
    <x v="5"/>
    <x v="1"/>
    <n v="82873068000573"/>
    <x v="69"/>
    <x v="1"/>
    <n v="43302.64"/>
  </r>
  <r>
    <x v="0"/>
    <x v="5"/>
    <x v="1"/>
    <n v="82873068000654"/>
    <x v="69"/>
    <x v="2"/>
    <n v="75443.09"/>
  </r>
  <r>
    <x v="0"/>
    <x v="5"/>
    <x v="1"/>
    <n v="82873068000654"/>
    <x v="69"/>
    <x v="0"/>
    <n v="101319.67"/>
  </r>
  <r>
    <x v="0"/>
    <x v="5"/>
    <x v="1"/>
    <n v="82873068000654"/>
    <x v="69"/>
    <x v="1"/>
    <n v="28871.73"/>
  </r>
  <r>
    <x v="0"/>
    <x v="5"/>
    <x v="1"/>
    <n v="82873068000735"/>
    <x v="69"/>
    <x v="2"/>
    <n v="28290.12"/>
  </r>
  <r>
    <x v="0"/>
    <x v="5"/>
    <x v="1"/>
    <n v="82873068000735"/>
    <x v="69"/>
    <x v="0"/>
    <n v="2918.46"/>
  </r>
  <r>
    <x v="0"/>
    <x v="5"/>
    <x v="1"/>
    <n v="87020517000120"/>
    <x v="70"/>
    <x v="2"/>
    <n v="418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11">
  <r>
    <n v="2019"/>
    <n v="7"/>
    <x v="0"/>
    <x v="0"/>
    <x v="0"/>
    <s v="2019/2020"/>
    <b v="1"/>
    <b v="0"/>
    <b v="0"/>
    <x v="0"/>
    <n v="11114987760"/>
    <x v="0"/>
    <x v="0"/>
    <x v="0"/>
    <n v="70"/>
    <x v="0"/>
    <x v="0"/>
    <n v="15"/>
    <n v="3"/>
  </r>
  <r>
    <n v="2019"/>
    <n v="7"/>
    <x v="0"/>
    <x v="0"/>
    <x v="0"/>
    <s v="2019/2020"/>
    <b v="1"/>
    <b v="0"/>
    <b v="0"/>
    <x v="1"/>
    <n v="12371009253"/>
    <x v="1"/>
    <x v="1"/>
    <x v="1"/>
    <n v="73"/>
    <x v="1"/>
    <x v="1"/>
    <n v="16"/>
    <n v="4"/>
  </r>
  <r>
    <n v="2019"/>
    <n v="7"/>
    <x v="0"/>
    <x v="0"/>
    <x v="0"/>
    <s v="2019/2020"/>
    <b v="1"/>
    <b v="0"/>
    <b v="0"/>
    <x v="1"/>
    <n v="12371009253"/>
    <x v="1"/>
    <x v="1"/>
    <x v="1"/>
    <n v="73"/>
    <x v="1"/>
    <x v="2"/>
    <n v="8"/>
    <n v="4"/>
  </r>
  <r>
    <n v="2019"/>
    <n v="7"/>
    <x v="0"/>
    <x v="0"/>
    <x v="0"/>
    <s v="2019/2020"/>
    <b v="1"/>
    <b v="0"/>
    <b v="0"/>
    <x v="1"/>
    <n v="17376968601"/>
    <x v="2"/>
    <x v="2"/>
    <x v="2"/>
    <n v="66"/>
    <x v="2"/>
    <x v="3"/>
    <n v="24"/>
    <n v="24"/>
  </r>
  <r>
    <n v="2019"/>
    <n v="7"/>
    <x v="0"/>
    <x v="0"/>
    <x v="0"/>
    <s v="2019/2020"/>
    <b v="1"/>
    <b v="0"/>
    <b v="0"/>
    <x v="0"/>
    <n v="23941593838"/>
    <x v="3"/>
    <x v="3"/>
    <x v="3"/>
    <n v="73"/>
    <x v="1"/>
    <x v="4"/>
    <n v="48"/>
    <n v="12"/>
  </r>
  <r>
    <n v="2019"/>
    <n v="7"/>
    <x v="0"/>
    <x v="0"/>
    <x v="0"/>
    <s v="2019/2020"/>
    <b v="1"/>
    <b v="0"/>
    <b v="0"/>
    <x v="0"/>
    <n v="23941593838"/>
    <x v="3"/>
    <x v="3"/>
    <x v="3"/>
    <n v="73"/>
    <x v="1"/>
    <x v="2"/>
    <n v="12"/>
    <n v="12"/>
  </r>
  <r>
    <n v="2019"/>
    <n v="7"/>
    <x v="0"/>
    <x v="0"/>
    <x v="0"/>
    <s v="2019/2020"/>
    <b v="1"/>
    <b v="0"/>
    <b v="0"/>
    <x v="2"/>
    <n v="49791000144"/>
    <x v="4"/>
    <x v="4"/>
    <x v="4"/>
    <n v="62"/>
    <x v="3"/>
    <x v="5"/>
    <n v="4"/>
    <n v="4"/>
  </r>
  <r>
    <n v="2019"/>
    <n v="7"/>
    <x v="0"/>
    <x v="0"/>
    <x v="0"/>
    <s v="2019/2020"/>
    <b v="1"/>
    <b v="0"/>
    <b v="0"/>
    <x v="2"/>
    <n v="49791000144"/>
    <x v="4"/>
    <x v="4"/>
    <x v="4"/>
    <n v="64"/>
    <x v="4"/>
    <x v="6"/>
    <n v="13"/>
    <n v="13"/>
  </r>
  <r>
    <n v="2019"/>
    <n v="7"/>
    <x v="0"/>
    <x v="0"/>
    <x v="0"/>
    <s v="2019/2020"/>
    <b v="1"/>
    <b v="0"/>
    <b v="0"/>
    <x v="1"/>
    <n v="83925694404"/>
    <x v="5"/>
    <x v="5"/>
    <x v="5"/>
    <n v="66"/>
    <x v="2"/>
    <x v="3"/>
    <n v="24"/>
    <n v="24"/>
  </r>
  <r>
    <n v="2019"/>
    <n v="7"/>
    <x v="0"/>
    <x v="0"/>
    <x v="0"/>
    <s v="2019/2020"/>
    <b v="1"/>
    <b v="0"/>
    <b v="0"/>
    <x v="1"/>
    <n v="91777186234"/>
    <x v="6"/>
    <x v="1"/>
    <x v="1"/>
    <n v="73"/>
    <x v="1"/>
    <x v="4"/>
    <n v="36"/>
    <n v="9"/>
  </r>
  <r>
    <n v="2019"/>
    <n v="7"/>
    <x v="0"/>
    <x v="0"/>
    <x v="0"/>
    <s v="2019/2020"/>
    <b v="1"/>
    <b v="0"/>
    <b v="0"/>
    <x v="3"/>
    <n v="132229000180"/>
    <x v="7"/>
    <x v="6"/>
    <x v="2"/>
    <n v="70"/>
    <x v="0"/>
    <x v="0"/>
    <n v="20"/>
    <n v="4"/>
  </r>
  <r>
    <n v="2019"/>
    <n v="7"/>
    <x v="0"/>
    <x v="0"/>
    <x v="0"/>
    <s v="2019/2020"/>
    <b v="1"/>
    <b v="0"/>
    <b v="0"/>
    <x v="3"/>
    <n v="132229000180"/>
    <x v="7"/>
    <x v="6"/>
    <x v="2"/>
    <n v="70"/>
    <x v="0"/>
    <x v="0"/>
    <n v="50"/>
    <n v="5"/>
  </r>
  <r>
    <n v="2019"/>
    <n v="7"/>
    <x v="0"/>
    <x v="0"/>
    <x v="0"/>
    <s v="2019/2020"/>
    <b v="1"/>
    <b v="0"/>
    <b v="0"/>
    <x v="3"/>
    <n v="132229000180"/>
    <x v="7"/>
    <x v="6"/>
    <x v="2"/>
    <n v="70"/>
    <x v="0"/>
    <x v="0"/>
    <n v="50"/>
    <n v="10"/>
  </r>
  <r>
    <n v="2019"/>
    <n v="7"/>
    <x v="0"/>
    <x v="0"/>
    <x v="0"/>
    <s v="2019/2020"/>
    <b v="1"/>
    <b v="0"/>
    <b v="0"/>
    <x v="4"/>
    <n v="304148000110"/>
    <x v="8"/>
    <x v="7"/>
    <x v="6"/>
    <n v="73"/>
    <x v="1"/>
    <x v="4"/>
    <n v="48"/>
    <n v="12"/>
  </r>
  <r>
    <n v="2019"/>
    <n v="7"/>
    <x v="0"/>
    <x v="0"/>
    <x v="0"/>
    <s v="2019/2020"/>
    <b v="1"/>
    <b v="0"/>
    <b v="0"/>
    <x v="5"/>
    <n v="394544020291"/>
    <x v="9"/>
    <x v="0"/>
    <x v="0"/>
    <n v="64"/>
    <x v="4"/>
    <x v="6"/>
    <n v="60"/>
    <n v="60"/>
  </r>
  <r>
    <n v="2019"/>
    <n v="7"/>
    <x v="0"/>
    <x v="0"/>
    <x v="0"/>
    <s v="2019/2020"/>
    <b v="1"/>
    <b v="0"/>
    <b v="0"/>
    <x v="5"/>
    <n v="394544020372"/>
    <x v="10"/>
    <x v="0"/>
    <x v="0"/>
    <n v="70"/>
    <x v="0"/>
    <x v="0"/>
    <n v="390"/>
    <n v="78"/>
  </r>
  <r>
    <n v="2019"/>
    <n v="7"/>
    <x v="0"/>
    <x v="0"/>
    <x v="0"/>
    <s v="2019/2020"/>
    <b v="1"/>
    <b v="0"/>
    <b v="0"/>
    <x v="5"/>
    <n v="394544020453"/>
    <x v="11"/>
    <x v="0"/>
    <x v="0"/>
    <n v="70"/>
    <x v="0"/>
    <x v="0"/>
    <n v="600"/>
    <n v="120"/>
  </r>
  <r>
    <n v="2019"/>
    <n v="7"/>
    <x v="0"/>
    <x v="0"/>
    <x v="0"/>
    <s v="2019/2020"/>
    <b v="1"/>
    <b v="0"/>
    <b v="0"/>
    <x v="5"/>
    <n v="394544021000"/>
    <x v="12"/>
    <x v="0"/>
    <x v="0"/>
    <n v="70"/>
    <x v="0"/>
    <x v="0"/>
    <n v="150"/>
    <n v="30"/>
  </r>
  <r>
    <n v="2019"/>
    <n v="7"/>
    <x v="0"/>
    <x v="0"/>
    <x v="0"/>
    <s v="2019/2020"/>
    <b v="1"/>
    <b v="0"/>
    <b v="0"/>
    <x v="5"/>
    <n v="394544021344"/>
    <x v="13"/>
    <x v="0"/>
    <x v="0"/>
    <n v="62"/>
    <x v="3"/>
    <x v="5"/>
    <n v="30"/>
    <n v="30"/>
  </r>
  <r>
    <n v="2019"/>
    <n v="7"/>
    <x v="0"/>
    <x v="0"/>
    <x v="0"/>
    <s v="2019/2020"/>
    <b v="1"/>
    <b v="0"/>
    <b v="0"/>
    <x v="5"/>
    <n v="394544021344"/>
    <x v="13"/>
    <x v="0"/>
    <x v="0"/>
    <n v="62"/>
    <x v="3"/>
    <x v="5"/>
    <n v="60"/>
    <n v="60"/>
  </r>
  <r>
    <n v="2019"/>
    <n v="7"/>
    <x v="0"/>
    <x v="0"/>
    <x v="0"/>
    <s v="2019/2020"/>
    <b v="1"/>
    <b v="0"/>
    <b v="0"/>
    <x v="5"/>
    <n v="394544021344"/>
    <x v="13"/>
    <x v="0"/>
    <x v="0"/>
    <n v="62"/>
    <x v="3"/>
    <x v="5"/>
    <n v="100"/>
    <n v="100"/>
  </r>
  <r>
    <n v="2019"/>
    <n v="7"/>
    <x v="0"/>
    <x v="0"/>
    <x v="0"/>
    <s v="2019/2020"/>
    <b v="1"/>
    <b v="0"/>
    <b v="0"/>
    <x v="5"/>
    <n v="394544021344"/>
    <x v="13"/>
    <x v="0"/>
    <x v="0"/>
    <n v="64"/>
    <x v="4"/>
    <x v="6"/>
    <n v="70"/>
    <n v="70"/>
  </r>
  <r>
    <n v="2019"/>
    <n v="7"/>
    <x v="0"/>
    <x v="0"/>
    <x v="0"/>
    <s v="2019/2020"/>
    <b v="1"/>
    <b v="0"/>
    <b v="0"/>
    <x v="6"/>
    <n v="410960000120"/>
    <x v="14"/>
    <x v="6"/>
    <x v="2"/>
    <n v="70"/>
    <x v="0"/>
    <x v="7"/>
    <n v="150"/>
    <n v="15"/>
  </r>
  <r>
    <n v="2019"/>
    <n v="7"/>
    <x v="0"/>
    <x v="0"/>
    <x v="0"/>
    <s v="2019/2020"/>
    <b v="1"/>
    <b v="0"/>
    <b v="0"/>
    <x v="6"/>
    <n v="410960000120"/>
    <x v="14"/>
    <x v="6"/>
    <x v="2"/>
    <n v="70"/>
    <x v="0"/>
    <x v="0"/>
    <n v="75"/>
    <n v="15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8"/>
    <n v="2.5"/>
    <n v="1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5"/>
    <n v="1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10"/>
    <n v="2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7"/>
    <n v="50"/>
    <n v="5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25"/>
    <n v="5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30"/>
    <n v="6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40"/>
    <n v="8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45"/>
    <n v="9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7"/>
    <n v="100"/>
    <n v="10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7"/>
    <n v="110"/>
    <n v="11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115"/>
    <n v="23"/>
  </r>
  <r>
    <n v="2019"/>
    <n v="7"/>
    <x v="0"/>
    <x v="0"/>
    <x v="0"/>
    <s v="2019/2020"/>
    <b v="1"/>
    <b v="0"/>
    <b v="0"/>
    <x v="7"/>
    <n v="410960000120"/>
    <x v="14"/>
    <x v="6"/>
    <x v="2"/>
    <n v="70"/>
    <x v="0"/>
    <x v="0"/>
    <n v="125"/>
    <n v="25"/>
  </r>
  <r>
    <n v="2019"/>
    <n v="7"/>
    <x v="0"/>
    <x v="0"/>
    <x v="0"/>
    <s v="2019/2020"/>
    <b v="1"/>
    <b v="0"/>
    <b v="0"/>
    <x v="7"/>
    <n v="410960000120"/>
    <x v="14"/>
    <x v="6"/>
    <x v="2"/>
    <n v="73"/>
    <x v="1"/>
    <x v="4"/>
    <n v="16"/>
    <n v="1"/>
  </r>
  <r>
    <n v="2019"/>
    <n v="7"/>
    <x v="0"/>
    <x v="0"/>
    <x v="0"/>
    <s v="2019/2020"/>
    <b v="1"/>
    <b v="0"/>
    <b v="0"/>
    <x v="7"/>
    <n v="410960000120"/>
    <x v="14"/>
    <x v="6"/>
    <x v="2"/>
    <n v="73"/>
    <x v="1"/>
    <x v="2"/>
    <n v="4"/>
    <n v="2"/>
  </r>
  <r>
    <n v="2019"/>
    <n v="7"/>
    <x v="0"/>
    <x v="0"/>
    <x v="0"/>
    <s v="2019/2020"/>
    <b v="1"/>
    <b v="0"/>
    <b v="0"/>
    <x v="7"/>
    <n v="410960000120"/>
    <x v="14"/>
    <x v="6"/>
    <x v="2"/>
    <n v="73"/>
    <x v="1"/>
    <x v="4"/>
    <n v="16"/>
    <n v="4"/>
  </r>
  <r>
    <n v="2019"/>
    <n v="7"/>
    <x v="0"/>
    <x v="0"/>
    <x v="0"/>
    <s v="2019/2020"/>
    <b v="1"/>
    <b v="0"/>
    <b v="0"/>
    <x v="8"/>
    <n v="418954000119"/>
    <x v="15"/>
    <x v="8"/>
    <x v="7"/>
    <n v="64"/>
    <x v="4"/>
    <x v="6"/>
    <n v="10"/>
    <n v="10"/>
  </r>
  <r>
    <n v="2019"/>
    <n v="7"/>
    <x v="0"/>
    <x v="0"/>
    <x v="0"/>
    <s v="2019/2020"/>
    <b v="1"/>
    <b v="0"/>
    <b v="0"/>
    <x v="9"/>
    <n v="437007000175"/>
    <x v="16"/>
    <x v="9"/>
    <x v="0"/>
    <n v="70"/>
    <x v="0"/>
    <x v="0"/>
    <n v="25"/>
    <n v="5"/>
  </r>
  <r>
    <n v="2019"/>
    <n v="7"/>
    <x v="0"/>
    <x v="0"/>
    <x v="0"/>
    <s v="2019/2020"/>
    <b v="1"/>
    <b v="0"/>
    <b v="0"/>
    <x v="10"/>
    <n v="437007000175"/>
    <x v="16"/>
    <x v="9"/>
    <x v="0"/>
    <n v="70"/>
    <x v="0"/>
    <x v="0"/>
    <n v="20"/>
    <n v="4"/>
  </r>
  <r>
    <n v="2019"/>
    <n v="7"/>
    <x v="0"/>
    <x v="0"/>
    <x v="0"/>
    <s v="2019/2020"/>
    <b v="1"/>
    <b v="0"/>
    <b v="0"/>
    <x v="10"/>
    <n v="437007000175"/>
    <x v="16"/>
    <x v="9"/>
    <x v="0"/>
    <n v="70"/>
    <x v="0"/>
    <x v="0"/>
    <n v="250"/>
    <n v="50"/>
  </r>
  <r>
    <n v="2019"/>
    <n v="7"/>
    <x v="0"/>
    <x v="0"/>
    <x v="0"/>
    <s v="2019/2020"/>
    <b v="1"/>
    <b v="0"/>
    <b v="0"/>
    <x v="7"/>
    <n v="437007000175"/>
    <x v="16"/>
    <x v="9"/>
    <x v="0"/>
    <n v="70"/>
    <x v="0"/>
    <x v="8"/>
    <n v="5"/>
    <n v="2"/>
  </r>
  <r>
    <n v="2019"/>
    <n v="7"/>
    <x v="0"/>
    <x v="0"/>
    <x v="0"/>
    <s v="2019/2020"/>
    <b v="1"/>
    <b v="0"/>
    <b v="0"/>
    <x v="0"/>
    <n v="437007000175"/>
    <x v="16"/>
    <x v="9"/>
    <x v="0"/>
    <n v="70"/>
    <x v="0"/>
    <x v="0"/>
    <n v="120"/>
    <n v="24"/>
  </r>
  <r>
    <n v="2019"/>
    <n v="7"/>
    <x v="0"/>
    <x v="0"/>
    <x v="0"/>
    <s v="2019/2020"/>
    <b v="1"/>
    <b v="0"/>
    <b v="0"/>
    <x v="11"/>
    <n v="437007000175"/>
    <x v="16"/>
    <x v="9"/>
    <x v="0"/>
    <n v="73"/>
    <x v="1"/>
    <x v="2"/>
    <n v="-30"/>
    <n v="-15"/>
  </r>
  <r>
    <n v="2019"/>
    <n v="7"/>
    <x v="0"/>
    <x v="0"/>
    <x v="0"/>
    <s v="2019/2020"/>
    <b v="1"/>
    <b v="0"/>
    <b v="0"/>
    <x v="10"/>
    <n v="437007000175"/>
    <x v="16"/>
    <x v="9"/>
    <x v="0"/>
    <n v="73"/>
    <x v="1"/>
    <x v="4"/>
    <n v="16"/>
    <n v="2"/>
  </r>
  <r>
    <n v="2019"/>
    <n v="7"/>
    <x v="0"/>
    <x v="0"/>
    <x v="0"/>
    <s v="2019/2020"/>
    <b v="1"/>
    <b v="0"/>
    <b v="0"/>
    <x v="10"/>
    <n v="437007000175"/>
    <x v="16"/>
    <x v="9"/>
    <x v="0"/>
    <n v="73"/>
    <x v="1"/>
    <x v="4"/>
    <n v="40"/>
    <n v="10"/>
  </r>
  <r>
    <n v="2019"/>
    <n v="7"/>
    <x v="0"/>
    <x v="0"/>
    <x v="0"/>
    <s v="2019/2020"/>
    <b v="1"/>
    <b v="0"/>
    <b v="0"/>
    <x v="10"/>
    <n v="437007000175"/>
    <x v="16"/>
    <x v="9"/>
    <x v="0"/>
    <n v="73"/>
    <x v="1"/>
    <x v="4"/>
    <n v="84"/>
    <n v="21"/>
  </r>
  <r>
    <n v="2019"/>
    <n v="7"/>
    <x v="0"/>
    <x v="0"/>
    <x v="0"/>
    <s v="2019/2020"/>
    <b v="1"/>
    <b v="0"/>
    <b v="0"/>
    <x v="10"/>
    <n v="437007000175"/>
    <x v="16"/>
    <x v="9"/>
    <x v="0"/>
    <n v="73"/>
    <x v="1"/>
    <x v="4"/>
    <n v="88"/>
    <n v="22"/>
  </r>
  <r>
    <n v="2019"/>
    <n v="7"/>
    <x v="0"/>
    <x v="0"/>
    <x v="0"/>
    <s v="2019/2020"/>
    <b v="1"/>
    <b v="0"/>
    <b v="0"/>
    <x v="0"/>
    <n v="437007000175"/>
    <x v="16"/>
    <x v="9"/>
    <x v="0"/>
    <n v="73"/>
    <x v="1"/>
    <x v="4"/>
    <n v="8"/>
    <n v="2"/>
  </r>
  <r>
    <n v="2019"/>
    <n v="7"/>
    <x v="0"/>
    <x v="0"/>
    <x v="0"/>
    <s v="2019/2020"/>
    <b v="1"/>
    <b v="0"/>
    <b v="0"/>
    <x v="0"/>
    <n v="437007000175"/>
    <x v="16"/>
    <x v="9"/>
    <x v="0"/>
    <n v="73"/>
    <x v="1"/>
    <x v="4"/>
    <n v="152"/>
    <n v="38"/>
  </r>
  <r>
    <n v="2019"/>
    <n v="7"/>
    <x v="0"/>
    <x v="0"/>
    <x v="0"/>
    <s v="2019/2020"/>
    <b v="1"/>
    <b v="0"/>
    <b v="0"/>
    <x v="4"/>
    <n v="461479001992"/>
    <x v="17"/>
    <x v="3"/>
    <x v="3"/>
    <n v="64"/>
    <x v="4"/>
    <x v="6"/>
    <n v="6"/>
    <n v="6"/>
  </r>
  <r>
    <n v="2019"/>
    <n v="7"/>
    <x v="0"/>
    <x v="0"/>
    <x v="0"/>
    <s v="2019/2020"/>
    <b v="1"/>
    <b v="0"/>
    <b v="0"/>
    <x v="7"/>
    <n v="461479004584"/>
    <x v="18"/>
    <x v="3"/>
    <x v="3"/>
    <n v="70"/>
    <x v="0"/>
    <x v="8"/>
    <n v="5"/>
    <n v="2"/>
  </r>
  <r>
    <n v="2019"/>
    <n v="7"/>
    <x v="0"/>
    <x v="0"/>
    <x v="0"/>
    <s v="2019/2020"/>
    <b v="1"/>
    <b v="0"/>
    <b v="0"/>
    <x v="7"/>
    <n v="461479004584"/>
    <x v="18"/>
    <x v="3"/>
    <x v="3"/>
    <n v="70"/>
    <x v="0"/>
    <x v="8"/>
    <n v="220"/>
    <n v="88"/>
  </r>
  <r>
    <n v="2019"/>
    <n v="7"/>
    <x v="0"/>
    <x v="0"/>
    <x v="0"/>
    <s v="2019/2020"/>
    <b v="1"/>
    <b v="0"/>
    <b v="0"/>
    <x v="12"/>
    <n v="511816000180"/>
    <x v="19"/>
    <x v="4"/>
    <x v="4"/>
    <n v="64"/>
    <x v="4"/>
    <x v="6"/>
    <n v="8"/>
    <n v="8"/>
  </r>
  <r>
    <n v="2019"/>
    <n v="7"/>
    <x v="0"/>
    <x v="0"/>
    <x v="0"/>
    <s v="2019/2020"/>
    <b v="1"/>
    <b v="0"/>
    <b v="0"/>
    <x v="8"/>
    <n v="520237000101"/>
    <x v="20"/>
    <x v="4"/>
    <x v="4"/>
    <n v="70"/>
    <x v="0"/>
    <x v="0"/>
    <n v="35"/>
    <n v="7"/>
  </r>
  <r>
    <n v="2019"/>
    <n v="7"/>
    <x v="0"/>
    <x v="0"/>
    <x v="0"/>
    <s v="2019/2020"/>
    <b v="1"/>
    <b v="0"/>
    <b v="0"/>
    <x v="8"/>
    <n v="520237000101"/>
    <x v="20"/>
    <x v="4"/>
    <x v="4"/>
    <n v="73"/>
    <x v="1"/>
    <x v="4"/>
    <n v="16"/>
    <n v="4"/>
  </r>
  <r>
    <n v="2019"/>
    <n v="7"/>
    <x v="0"/>
    <x v="0"/>
    <x v="0"/>
    <s v="2019/2020"/>
    <b v="1"/>
    <b v="0"/>
    <b v="0"/>
    <x v="8"/>
    <n v="520237000101"/>
    <x v="20"/>
    <x v="4"/>
    <x v="4"/>
    <n v="73"/>
    <x v="1"/>
    <x v="2"/>
    <n v="4"/>
    <n v="4"/>
  </r>
  <r>
    <n v="2019"/>
    <n v="7"/>
    <x v="0"/>
    <x v="0"/>
    <x v="0"/>
    <s v="2019/2020"/>
    <b v="1"/>
    <b v="0"/>
    <b v="0"/>
    <x v="8"/>
    <n v="520237000101"/>
    <x v="20"/>
    <x v="4"/>
    <x v="4"/>
    <n v="73"/>
    <x v="1"/>
    <x v="4"/>
    <n v="24"/>
    <n v="6"/>
  </r>
  <r>
    <n v="2019"/>
    <n v="7"/>
    <x v="0"/>
    <x v="0"/>
    <x v="0"/>
    <s v="2019/2020"/>
    <b v="1"/>
    <b v="0"/>
    <b v="0"/>
    <x v="8"/>
    <n v="520237000101"/>
    <x v="20"/>
    <x v="4"/>
    <x v="4"/>
    <n v="73"/>
    <x v="1"/>
    <x v="1"/>
    <n v="18"/>
    <n v="9"/>
  </r>
  <r>
    <n v="2019"/>
    <n v="7"/>
    <x v="0"/>
    <x v="0"/>
    <x v="0"/>
    <s v="2019/2020"/>
    <b v="1"/>
    <b v="0"/>
    <b v="0"/>
    <x v="8"/>
    <n v="520237000101"/>
    <x v="20"/>
    <x v="4"/>
    <x v="4"/>
    <n v="73"/>
    <x v="1"/>
    <x v="4"/>
    <n v="40"/>
    <n v="10"/>
  </r>
  <r>
    <n v="2019"/>
    <n v="7"/>
    <x v="0"/>
    <x v="0"/>
    <x v="0"/>
    <s v="2019/2020"/>
    <b v="1"/>
    <b v="0"/>
    <b v="0"/>
    <x v="10"/>
    <n v="521197000104"/>
    <x v="21"/>
    <x v="9"/>
    <x v="0"/>
    <n v="70"/>
    <x v="0"/>
    <x v="8"/>
    <n v="12.5"/>
    <n v="5"/>
  </r>
  <r>
    <n v="2019"/>
    <n v="7"/>
    <x v="0"/>
    <x v="0"/>
    <x v="0"/>
    <s v="2019/2020"/>
    <b v="1"/>
    <b v="0"/>
    <b v="0"/>
    <x v="10"/>
    <n v="521197000104"/>
    <x v="21"/>
    <x v="9"/>
    <x v="0"/>
    <n v="70"/>
    <x v="0"/>
    <x v="0"/>
    <n v="225"/>
    <n v="45"/>
  </r>
  <r>
    <n v="2019"/>
    <n v="7"/>
    <x v="0"/>
    <x v="0"/>
    <x v="0"/>
    <s v="2019/2020"/>
    <b v="1"/>
    <b v="0"/>
    <b v="0"/>
    <x v="11"/>
    <n v="610980000144"/>
    <x v="22"/>
    <x v="4"/>
    <x v="4"/>
    <n v="64"/>
    <x v="4"/>
    <x v="6"/>
    <n v="3"/>
    <n v="3"/>
  </r>
  <r>
    <n v="2019"/>
    <n v="7"/>
    <x v="0"/>
    <x v="0"/>
    <x v="0"/>
    <s v="2019/2020"/>
    <b v="1"/>
    <b v="0"/>
    <b v="0"/>
    <x v="11"/>
    <n v="610980000144"/>
    <x v="22"/>
    <x v="4"/>
    <x v="4"/>
    <n v="64"/>
    <x v="4"/>
    <x v="6"/>
    <n v="8"/>
    <n v="4"/>
  </r>
  <r>
    <n v="2019"/>
    <n v="7"/>
    <x v="0"/>
    <x v="0"/>
    <x v="0"/>
    <s v="2019/2020"/>
    <b v="1"/>
    <b v="0"/>
    <b v="0"/>
    <x v="11"/>
    <n v="610980000144"/>
    <x v="22"/>
    <x v="4"/>
    <x v="4"/>
    <n v="64"/>
    <x v="4"/>
    <x v="6"/>
    <n v="5"/>
    <n v="5"/>
  </r>
  <r>
    <n v="2019"/>
    <n v="7"/>
    <x v="0"/>
    <x v="0"/>
    <x v="0"/>
    <s v="2019/2020"/>
    <b v="1"/>
    <b v="0"/>
    <b v="0"/>
    <x v="11"/>
    <n v="610980000144"/>
    <x v="22"/>
    <x v="4"/>
    <x v="4"/>
    <n v="64"/>
    <x v="4"/>
    <x v="6"/>
    <n v="8"/>
    <n v="8"/>
  </r>
  <r>
    <n v="2019"/>
    <n v="7"/>
    <x v="0"/>
    <x v="0"/>
    <x v="0"/>
    <s v="2019/2020"/>
    <b v="1"/>
    <b v="0"/>
    <b v="0"/>
    <x v="4"/>
    <n v="820737000150"/>
    <x v="23"/>
    <x v="10"/>
    <x v="8"/>
    <n v="64"/>
    <x v="4"/>
    <x v="6"/>
    <n v="30"/>
    <n v="30"/>
  </r>
  <r>
    <n v="2019"/>
    <n v="7"/>
    <x v="0"/>
    <x v="0"/>
    <x v="0"/>
    <s v="2019/2020"/>
    <b v="1"/>
    <b v="0"/>
    <b v="0"/>
    <x v="13"/>
    <n v="840048000450"/>
    <x v="24"/>
    <x v="11"/>
    <x v="3"/>
    <n v="70"/>
    <x v="0"/>
    <x v="0"/>
    <n v="5"/>
    <n v="1"/>
  </r>
  <r>
    <n v="2019"/>
    <n v="7"/>
    <x v="0"/>
    <x v="0"/>
    <x v="0"/>
    <s v="2019/2020"/>
    <b v="1"/>
    <b v="0"/>
    <b v="0"/>
    <x v="13"/>
    <n v="840048000450"/>
    <x v="24"/>
    <x v="11"/>
    <x v="3"/>
    <n v="70"/>
    <x v="0"/>
    <x v="0"/>
    <n v="10"/>
    <n v="2"/>
  </r>
  <r>
    <n v="2019"/>
    <n v="7"/>
    <x v="0"/>
    <x v="0"/>
    <x v="0"/>
    <s v="2019/2020"/>
    <b v="1"/>
    <b v="0"/>
    <b v="0"/>
    <x v="13"/>
    <n v="840048000450"/>
    <x v="24"/>
    <x v="11"/>
    <x v="3"/>
    <n v="70"/>
    <x v="0"/>
    <x v="7"/>
    <n v="70"/>
    <n v="7"/>
  </r>
  <r>
    <n v="2019"/>
    <n v="7"/>
    <x v="0"/>
    <x v="0"/>
    <x v="0"/>
    <s v="2019/2020"/>
    <b v="1"/>
    <b v="0"/>
    <b v="0"/>
    <x v="11"/>
    <n v="860841000179"/>
    <x v="25"/>
    <x v="12"/>
    <x v="9"/>
    <n v="64"/>
    <x v="4"/>
    <x v="6"/>
    <n v="2"/>
    <n v="2"/>
  </r>
  <r>
    <n v="2019"/>
    <n v="7"/>
    <x v="0"/>
    <x v="0"/>
    <x v="0"/>
    <s v="2019/2020"/>
    <b v="1"/>
    <b v="0"/>
    <b v="0"/>
    <x v="14"/>
    <n v="942063000167"/>
    <x v="26"/>
    <x v="13"/>
    <x v="6"/>
    <n v="70"/>
    <x v="0"/>
    <x v="0"/>
    <n v="1075"/>
    <n v="215"/>
  </r>
  <r>
    <n v="2019"/>
    <n v="7"/>
    <x v="0"/>
    <x v="0"/>
    <x v="0"/>
    <s v="2019/2020"/>
    <b v="1"/>
    <b v="0"/>
    <b v="0"/>
    <x v="15"/>
    <n v="942063000167"/>
    <x v="26"/>
    <x v="13"/>
    <x v="6"/>
    <n v="70"/>
    <x v="0"/>
    <x v="7"/>
    <n v="40"/>
    <n v="4"/>
  </r>
  <r>
    <n v="2019"/>
    <n v="7"/>
    <x v="0"/>
    <x v="0"/>
    <x v="0"/>
    <s v="2019/2020"/>
    <b v="1"/>
    <b v="0"/>
    <b v="0"/>
    <x v="8"/>
    <n v="1011865000116"/>
    <x v="27"/>
    <x v="8"/>
    <x v="7"/>
    <n v="70"/>
    <x v="0"/>
    <x v="0"/>
    <n v="100"/>
    <n v="20"/>
  </r>
  <r>
    <n v="2019"/>
    <n v="7"/>
    <x v="0"/>
    <x v="0"/>
    <x v="0"/>
    <s v="2019/2020"/>
    <b v="1"/>
    <b v="0"/>
    <b v="0"/>
    <x v="8"/>
    <n v="1011865000116"/>
    <x v="27"/>
    <x v="8"/>
    <x v="7"/>
    <n v="70"/>
    <x v="0"/>
    <x v="0"/>
    <n v="250"/>
    <n v="50"/>
  </r>
  <r>
    <n v="2019"/>
    <n v="7"/>
    <x v="0"/>
    <x v="0"/>
    <x v="0"/>
    <s v="2019/2020"/>
    <b v="1"/>
    <b v="0"/>
    <b v="0"/>
    <x v="4"/>
    <n v="1125832000105"/>
    <x v="28"/>
    <x v="14"/>
    <x v="10"/>
    <n v="70"/>
    <x v="0"/>
    <x v="0"/>
    <n v="20"/>
    <n v="4"/>
  </r>
  <r>
    <n v="2019"/>
    <n v="7"/>
    <x v="0"/>
    <x v="0"/>
    <x v="0"/>
    <s v="2019/2020"/>
    <b v="1"/>
    <b v="0"/>
    <b v="0"/>
    <x v="4"/>
    <n v="1125832000105"/>
    <x v="28"/>
    <x v="14"/>
    <x v="10"/>
    <n v="70"/>
    <x v="0"/>
    <x v="0"/>
    <n v="40"/>
    <n v="8"/>
  </r>
  <r>
    <n v="2019"/>
    <n v="7"/>
    <x v="0"/>
    <x v="0"/>
    <x v="0"/>
    <s v="2019/2020"/>
    <b v="1"/>
    <b v="0"/>
    <b v="0"/>
    <x v="4"/>
    <n v="1125832000105"/>
    <x v="28"/>
    <x v="14"/>
    <x v="10"/>
    <n v="70"/>
    <x v="0"/>
    <x v="0"/>
    <n v="60"/>
    <n v="12"/>
  </r>
  <r>
    <n v="2019"/>
    <n v="7"/>
    <x v="0"/>
    <x v="0"/>
    <x v="0"/>
    <s v="2019/2020"/>
    <b v="1"/>
    <b v="0"/>
    <b v="0"/>
    <x v="16"/>
    <n v="1140803000104"/>
    <x v="29"/>
    <x v="15"/>
    <x v="11"/>
    <n v="73"/>
    <x v="1"/>
    <x v="4"/>
    <n v="32"/>
    <n v="8"/>
  </r>
  <r>
    <n v="2019"/>
    <n v="7"/>
    <x v="0"/>
    <x v="0"/>
    <x v="0"/>
    <s v="2019/2020"/>
    <b v="1"/>
    <b v="0"/>
    <b v="0"/>
    <x v="8"/>
    <n v="1326206000179"/>
    <x v="30"/>
    <x v="16"/>
    <x v="7"/>
    <n v="73"/>
    <x v="1"/>
    <x v="4"/>
    <n v="8"/>
    <n v="2"/>
  </r>
  <r>
    <n v="2019"/>
    <n v="7"/>
    <x v="0"/>
    <x v="0"/>
    <x v="0"/>
    <s v="2019/2020"/>
    <b v="1"/>
    <b v="0"/>
    <b v="0"/>
    <x v="8"/>
    <n v="1326206000179"/>
    <x v="30"/>
    <x v="16"/>
    <x v="7"/>
    <n v="73"/>
    <x v="1"/>
    <x v="2"/>
    <n v="2"/>
    <n v="2"/>
  </r>
  <r>
    <n v="2019"/>
    <n v="7"/>
    <x v="0"/>
    <x v="0"/>
    <x v="0"/>
    <s v="2019/2020"/>
    <b v="1"/>
    <b v="0"/>
    <b v="0"/>
    <x v="8"/>
    <n v="1383835000130"/>
    <x v="31"/>
    <x v="17"/>
    <x v="12"/>
    <n v="70"/>
    <x v="0"/>
    <x v="0"/>
    <n v="30"/>
    <n v="6"/>
  </r>
  <r>
    <n v="2019"/>
    <n v="7"/>
    <x v="0"/>
    <x v="0"/>
    <x v="0"/>
    <s v="2019/2020"/>
    <b v="1"/>
    <b v="0"/>
    <b v="0"/>
    <x v="4"/>
    <n v="1396804000114"/>
    <x v="32"/>
    <x v="18"/>
    <x v="13"/>
    <n v="70"/>
    <x v="0"/>
    <x v="0"/>
    <n v="40"/>
    <n v="8"/>
  </r>
  <r>
    <n v="2019"/>
    <n v="7"/>
    <x v="0"/>
    <x v="0"/>
    <x v="0"/>
    <s v="2019/2020"/>
    <b v="1"/>
    <b v="0"/>
    <b v="0"/>
    <x v="4"/>
    <n v="1454407000151"/>
    <x v="33"/>
    <x v="19"/>
    <x v="14"/>
    <n v="70"/>
    <x v="0"/>
    <x v="0"/>
    <n v="75"/>
    <n v="15"/>
  </r>
  <r>
    <n v="2019"/>
    <n v="7"/>
    <x v="0"/>
    <x v="0"/>
    <x v="0"/>
    <s v="2019/2020"/>
    <b v="1"/>
    <b v="0"/>
    <b v="0"/>
    <x v="4"/>
    <n v="1454407000151"/>
    <x v="33"/>
    <x v="19"/>
    <x v="14"/>
    <n v="70"/>
    <x v="0"/>
    <x v="0"/>
    <n v="225"/>
    <n v="45"/>
  </r>
  <r>
    <n v="2019"/>
    <n v="7"/>
    <x v="0"/>
    <x v="0"/>
    <x v="0"/>
    <s v="2019/2020"/>
    <b v="1"/>
    <b v="0"/>
    <b v="0"/>
    <x v="8"/>
    <n v="1454407000151"/>
    <x v="33"/>
    <x v="19"/>
    <x v="14"/>
    <n v="70"/>
    <x v="0"/>
    <x v="0"/>
    <n v="55"/>
    <n v="11"/>
  </r>
  <r>
    <n v="2019"/>
    <n v="7"/>
    <x v="0"/>
    <x v="0"/>
    <x v="0"/>
    <s v="2019/2020"/>
    <b v="1"/>
    <b v="0"/>
    <b v="0"/>
    <x v="0"/>
    <n v="1454407000151"/>
    <x v="33"/>
    <x v="19"/>
    <x v="14"/>
    <n v="70"/>
    <x v="0"/>
    <x v="0"/>
    <n v="125"/>
    <n v="25"/>
  </r>
  <r>
    <n v="2019"/>
    <n v="7"/>
    <x v="0"/>
    <x v="0"/>
    <x v="0"/>
    <s v="2019/2020"/>
    <b v="1"/>
    <b v="0"/>
    <b v="0"/>
    <x v="11"/>
    <n v="1507901000137"/>
    <x v="34"/>
    <x v="10"/>
    <x v="8"/>
    <n v="62"/>
    <x v="3"/>
    <x v="5"/>
    <n v="3"/>
    <n v="3"/>
  </r>
  <r>
    <n v="2019"/>
    <n v="7"/>
    <x v="0"/>
    <x v="0"/>
    <x v="0"/>
    <s v="2019/2020"/>
    <b v="1"/>
    <b v="0"/>
    <b v="0"/>
    <x v="9"/>
    <n v="1507901000137"/>
    <x v="34"/>
    <x v="10"/>
    <x v="8"/>
    <n v="64"/>
    <x v="4"/>
    <x v="6"/>
    <n v="10"/>
    <n v="5"/>
  </r>
  <r>
    <n v="2019"/>
    <n v="7"/>
    <x v="0"/>
    <x v="0"/>
    <x v="0"/>
    <s v="2019/2020"/>
    <b v="1"/>
    <b v="0"/>
    <b v="0"/>
    <x v="16"/>
    <n v="1517626000132"/>
    <x v="35"/>
    <x v="20"/>
    <x v="10"/>
    <n v="73"/>
    <x v="1"/>
    <x v="4"/>
    <n v="12"/>
    <n v="3"/>
  </r>
  <r>
    <n v="2019"/>
    <n v="7"/>
    <x v="0"/>
    <x v="0"/>
    <x v="0"/>
    <s v="2019/2020"/>
    <b v="1"/>
    <b v="0"/>
    <b v="0"/>
    <x v="11"/>
    <n v="1554266000300"/>
    <x v="36"/>
    <x v="21"/>
    <x v="10"/>
    <n v="70"/>
    <x v="0"/>
    <x v="0"/>
    <n v="35"/>
    <n v="7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40"/>
    <n v="8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90"/>
    <n v="18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100"/>
    <n v="20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220"/>
    <n v="44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325"/>
    <n v="65"/>
  </r>
  <r>
    <n v="2019"/>
    <n v="7"/>
    <x v="0"/>
    <x v="0"/>
    <x v="0"/>
    <s v="2019/2020"/>
    <b v="1"/>
    <b v="0"/>
    <b v="0"/>
    <x v="4"/>
    <n v="1613433006892"/>
    <x v="37"/>
    <x v="22"/>
    <x v="3"/>
    <n v="70"/>
    <x v="0"/>
    <x v="0"/>
    <n v="425"/>
    <n v="85"/>
  </r>
  <r>
    <n v="2019"/>
    <n v="7"/>
    <x v="0"/>
    <x v="0"/>
    <x v="0"/>
    <s v="2019/2020"/>
    <b v="1"/>
    <b v="0"/>
    <b v="0"/>
    <x v="7"/>
    <n v="1682668000129"/>
    <x v="38"/>
    <x v="4"/>
    <x v="4"/>
    <n v="70"/>
    <x v="0"/>
    <x v="0"/>
    <n v="25"/>
    <n v="5"/>
  </r>
  <r>
    <n v="2019"/>
    <n v="7"/>
    <x v="0"/>
    <x v="0"/>
    <x v="0"/>
    <s v="2019/2020"/>
    <b v="1"/>
    <b v="0"/>
    <b v="0"/>
    <x v="7"/>
    <n v="1682668000129"/>
    <x v="38"/>
    <x v="4"/>
    <x v="4"/>
    <n v="70"/>
    <x v="0"/>
    <x v="8"/>
    <n v="25"/>
    <n v="10"/>
  </r>
  <r>
    <n v="2019"/>
    <n v="7"/>
    <x v="0"/>
    <x v="0"/>
    <x v="0"/>
    <s v="2019/2020"/>
    <b v="1"/>
    <b v="0"/>
    <b v="0"/>
    <x v="4"/>
    <n v="1757351000104"/>
    <x v="39"/>
    <x v="23"/>
    <x v="12"/>
    <n v="64"/>
    <x v="4"/>
    <x v="6"/>
    <n v="6"/>
    <n v="6"/>
  </r>
  <r>
    <n v="2019"/>
    <n v="7"/>
    <x v="0"/>
    <x v="0"/>
    <x v="0"/>
    <s v="2019/2020"/>
    <b v="1"/>
    <b v="0"/>
    <b v="0"/>
    <x v="2"/>
    <n v="2284062000440"/>
    <x v="40"/>
    <x v="24"/>
    <x v="15"/>
    <n v="64"/>
    <x v="4"/>
    <x v="6"/>
    <n v="2"/>
    <n v="2"/>
  </r>
  <r>
    <n v="2019"/>
    <n v="7"/>
    <x v="0"/>
    <x v="0"/>
    <x v="0"/>
    <s v="2019/2020"/>
    <b v="1"/>
    <b v="0"/>
    <b v="0"/>
    <x v="2"/>
    <n v="2284062000440"/>
    <x v="40"/>
    <x v="24"/>
    <x v="15"/>
    <n v="64"/>
    <x v="4"/>
    <x v="6"/>
    <n v="6"/>
    <n v="6"/>
  </r>
  <r>
    <n v="2019"/>
    <n v="7"/>
    <x v="0"/>
    <x v="0"/>
    <x v="0"/>
    <s v="2019/2020"/>
    <b v="1"/>
    <b v="0"/>
    <b v="0"/>
    <x v="2"/>
    <n v="2284062000440"/>
    <x v="40"/>
    <x v="24"/>
    <x v="15"/>
    <n v="64"/>
    <x v="4"/>
    <x v="6"/>
    <n v="13"/>
    <n v="13"/>
  </r>
  <r>
    <n v="2019"/>
    <n v="7"/>
    <x v="0"/>
    <x v="0"/>
    <x v="0"/>
    <s v="2019/2020"/>
    <b v="1"/>
    <b v="0"/>
    <b v="0"/>
    <x v="2"/>
    <n v="2284062000521"/>
    <x v="41"/>
    <x v="0"/>
    <x v="0"/>
    <n v="62"/>
    <x v="3"/>
    <x v="5"/>
    <n v="1"/>
    <n v="1"/>
  </r>
  <r>
    <n v="2019"/>
    <n v="7"/>
    <x v="0"/>
    <x v="0"/>
    <x v="0"/>
    <s v="2019/2020"/>
    <b v="1"/>
    <b v="0"/>
    <b v="0"/>
    <x v="2"/>
    <n v="2284062000521"/>
    <x v="41"/>
    <x v="0"/>
    <x v="0"/>
    <n v="64"/>
    <x v="4"/>
    <x v="6"/>
    <n v="2"/>
    <n v="2"/>
  </r>
  <r>
    <n v="2019"/>
    <n v="7"/>
    <x v="0"/>
    <x v="0"/>
    <x v="0"/>
    <s v="2019/2020"/>
    <b v="1"/>
    <b v="0"/>
    <b v="0"/>
    <x v="2"/>
    <n v="2284062000521"/>
    <x v="41"/>
    <x v="0"/>
    <x v="0"/>
    <n v="64"/>
    <x v="4"/>
    <x v="6"/>
    <n v="6"/>
    <n v="6"/>
  </r>
  <r>
    <n v="2019"/>
    <n v="7"/>
    <x v="0"/>
    <x v="0"/>
    <x v="0"/>
    <s v="2019/2020"/>
    <b v="1"/>
    <b v="0"/>
    <b v="0"/>
    <x v="1"/>
    <n v="2284062001170"/>
    <x v="42"/>
    <x v="25"/>
    <x v="16"/>
    <n v="62"/>
    <x v="3"/>
    <x v="5"/>
    <n v="1"/>
    <n v="1"/>
  </r>
  <r>
    <n v="2019"/>
    <n v="7"/>
    <x v="0"/>
    <x v="0"/>
    <x v="0"/>
    <s v="2019/2020"/>
    <b v="1"/>
    <b v="0"/>
    <b v="0"/>
    <x v="1"/>
    <n v="2284062001170"/>
    <x v="42"/>
    <x v="25"/>
    <x v="16"/>
    <n v="62"/>
    <x v="3"/>
    <x v="5"/>
    <n v="4"/>
    <n v="4"/>
  </r>
  <r>
    <n v="2019"/>
    <n v="7"/>
    <x v="0"/>
    <x v="0"/>
    <x v="0"/>
    <s v="2019/2020"/>
    <b v="1"/>
    <b v="0"/>
    <b v="0"/>
    <x v="7"/>
    <n v="2383508000494"/>
    <x v="43"/>
    <x v="3"/>
    <x v="3"/>
    <n v="73"/>
    <x v="1"/>
    <x v="1"/>
    <n v="2"/>
    <n v="1"/>
  </r>
  <r>
    <n v="2019"/>
    <n v="7"/>
    <x v="0"/>
    <x v="0"/>
    <x v="0"/>
    <s v="2019/2020"/>
    <b v="1"/>
    <b v="0"/>
    <b v="0"/>
    <x v="7"/>
    <n v="2383508000494"/>
    <x v="43"/>
    <x v="3"/>
    <x v="3"/>
    <n v="73"/>
    <x v="1"/>
    <x v="2"/>
    <n v="1"/>
    <n v="1"/>
  </r>
  <r>
    <n v="2019"/>
    <n v="7"/>
    <x v="0"/>
    <x v="0"/>
    <x v="0"/>
    <s v="2019/2020"/>
    <b v="1"/>
    <b v="0"/>
    <b v="0"/>
    <x v="7"/>
    <n v="2383508000494"/>
    <x v="43"/>
    <x v="3"/>
    <x v="3"/>
    <n v="73"/>
    <x v="1"/>
    <x v="1"/>
    <n v="4"/>
    <n v="2"/>
  </r>
  <r>
    <n v="2019"/>
    <n v="7"/>
    <x v="0"/>
    <x v="0"/>
    <x v="0"/>
    <s v="2019/2020"/>
    <b v="1"/>
    <b v="0"/>
    <b v="0"/>
    <x v="7"/>
    <n v="2383508000494"/>
    <x v="43"/>
    <x v="3"/>
    <x v="3"/>
    <n v="73"/>
    <x v="1"/>
    <x v="4"/>
    <n v="24"/>
    <n v="3"/>
  </r>
  <r>
    <n v="2019"/>
    <n v="7"/>
    <x v="0"/>
    <x v="0"/>
    <x v="0"/>
    <s v="2019/2020"/>
    <b v="1"/>
    <b v="0"/>
    <b v="0"/>
    <x v="8"/>
    <n v="2476067000122"/>
    <x v="44"/>
    <x v="8"/>
    <x v="7"/>
    <n v="70"/>
    <x v="0"/>
    <x v="0"/>
    <n v="15"/>
    <n v="3"/>
  </r>
  <r>
    <n v="2019"/>
    <n v="7"/>
    <x v="0"/>
    <x v="0"/>
    <x v="0"/>
    <s v="2019/2020"/>
    <b v="1"/>
    <b v="0"/>
    <b v="0"/>
    <x v="8"/>
    <n v="2476067000203"/>
    <x v="45"/>
    <x v="8"/>
    <x v="7"/>
    <n v="73"/>
    <x v="1"/>
    <x v="4"/>
    <n v="16"/>
    <n v="2"/>
  </r>
  <r>
    <n v="2019"/>
    <n v="7"/>
    <x v="0"/>
    <x v="0"/>
    <x v="0"/>
    <s v="2019/2020"/>
    <b v="1"/>
    <b v="0"/>
    <b v="0"/>
    <x v="2"/>
    <n v="2476067000203"/>
    <x v="45"/>
    <x v="8"/>
    <x v="7"/>
    <n v="73"/>
    <x v="1"/>
    <x v="2"/>
    <n v="4"/>
    <n v="4"/>
  </r>
  <r>
    <n v="2019"/>
    <n v="7"/>
    <x v="0"/>
    <x v="0"/>
    <x v="0"/>
    <s v="2019/2020"/>
    <b v="1"/>
    <b v="0"/>
    <b v="0"/>
    <x v="9"/>
    <n v="2476067000394"/>
    <x v="46"/>
    <x v="8"/>
    <x v="7"/>
    <n v="70"/>
    <x v="0"/>
    <x v="0"/>
    <n v="30"/>
    <n v="6"/>
  </r>
  <r>
    <n v="2019"/>
    <n v="7"/>
    <x v="0"/>
    <x v="0"/>
    <x v="0"/>
    <s v="2019/2020"/>
    <b v="1"/>
    <b v="0"/>
    <b v="0"/>
    <x v="11"/>
    <n v="2476067000394"/>
    <x v="46"/>
    <x v="8"/>
    <x v="7"/>
    <n v="70"/>
    <x v="0"/>
    <x v="8"/>
    <n v="2.5"/>
    <n v="1"/>
  </r>
  <r>
    <n v="2019"/>
    <n v="7"/>
    <x v="0"/>
    <x v="0"/>
    <x v="0"/>
    <s v="2019/2020"/>
    <b v="1"/>
    <b v="0"/>
    <b v="0"/>
    <x v="8"/>
    <n v="2476067000394"/>
    <x v="46"/>
    <x v="8"/>
    <x v="7"/>
    <n v="70"/>
    <x v="0"/>
    <x v="0"/>
    <n v="40"/>
    <n v="8"/>
  </r>
  <r>
    <n v="2019"/>
    <n v="7"/>
    <x v="0"/>
    <x v="0"/>
    <x v="0"/>
    <s v="2019/2020"/>
    <b v="1"/>
    <b v="0"/>
    <b v="0"/>
    <x v="8"/>
    <n v="2476067000394"/>
    <x v="46"/>
    <x v="8"/>
    <x v="7"/>
    <n v="70"/>
    <x v="0"/>
    <x v="0"/>
    <n v="45"/>
    <n v="9"/>
  </r>
  <r>
    <n v="2019"/>
    <n v="7"/>
    <x v="0"/>
    <x v="0"/>
    <x v="0"/>
    <s v="2019/2020"/>
    <b v="1"/>
    <b v="0"/>
    <b v="0"/>
    <x v="2"/>
    <n v="2560878000107"/>
    <x v="47"/>
    <x v="4"/>
    <x v="4"/>
    <n v="62"/>
    <x v="3"/>
    <x v="5"/>
    <n v="1"/>
    <n v="1"/>
  </r>
  <r>
    <n v="2019"/>
    <n v="7"/>
    <x v="0"/>
    <x v="0"/>
    <x v="0"/>
    <s v="2019/2020"/>
    <b v="1"/>
    <b v="0"/>
    <b v="0"/>
    <x v="11"/>
    <n v="2560878000107"/>
    <x v="47"/>
    <x v="4"/>
    <x v="4"/>
    <n v="64"/>
    <x v="4"/>
    <x v="6"/>
    <n v="3"/>
    <n v="3"/>
  </r>
  <r>
    <n v="2019"/>
    <n v="7"/>
    <x v="0"/>
    <x v="0"/>
    <x v="0"/>
    <s v="2019/2020"/>
    <b v="1"/>
    <b v="0"/>
    <b v="0"/>
    <x v="11"/>
    <n v="2560878000107"/>
    <x v="47"/>
    <x v="4"/>
    <x v="4"/>
    <n v="64"/>
    <x v="4"/>
    <x v="6"/>
    <n v="4"/>
    <n v="4"/>
  </r>
  <r>
    <n v="2019"/>
    <n v="7"/>
    <x v="0"/>
    <x v="0"/>
    <x v="0"/>
    <s v="2019/2020"/>
    <b v="1"/>
    <b v="0"/>
    <b v="0"/>
    <x v="9"/>
    <n v="2560878000107"/>
    <x v="47"/>
    <x v="4"/>
    <x v="4"/>
    <n v="70"/>
    <x v="0"/>
    <x v="0"/>
    <n v="40"/>
    <n v="8"/>
  </r>
  <r>
    <n v="2019"/>
    <n v="7"/>
    <x v="0"/>
    <x v="0"/>
    <x v="0"/>
    <s v="2019/2020"/>
    <b v="1"/>
    <b v="0"/>
    <b v="0"/>
    <x v="12"/>
    <n v="2560878000107"/>
    <x v="47"/>
    <x v="4"/>
    <x v="4"/>
    <n v="70"/>
    <x v="0"/>
    <x v="0"/>
    <n v="5"/>
    <n v="1"/>
  </r>
  <r>
    <n v="2019"/>
    <n v="7"/>
    <x v="0"/>
    <x v="0"/>
    <x v="0"/>
    <s v="2019/2020"/>
    <b v="1"/>
    <b v="0"/>
    <b v="0"/>
    <x v="12"/>
    <n v="2560878000107"/>
    <x v="47"/>
    <x v="4"/>
    <x v="4"/>
    <n v="70"/>
    <x v="0"/>
    <x v="0"/>
    <n v="25"/>
    <n v="5"/>
  </r>
  <r>
    <n v="2019"/>
    <n v="7"/>
    <x v="0"/>
    <x v="0"/>
    <x v="0"/>
    <s v="2019/2020"/>
    <b v="1"/>
    <b v="0"/>
    <b v="0"/>
    <x v="8"/>
    <n v="2560878000107"/>
    <x v="47"/>
    <x v="4"/>
    <x v="4"/>
    <n v="70"/>
    <x v="0"/>
    <x v="0"/>
    <n v="10"/>
    <n v="2"/>
  </r>
  <r>
    <n v="2019"/>
    <n v="7"/>
    <x v="0"/>
    <x v="0"/>
    <x v="0"/>
    <s v="2019/2020"/>
    <b v="1"/>
    <b v="0"/>
    <b v="0"/>
    <x v="8"/>
    <n v="2560878000107"/>
    <x v="47"/>
    <x v="4"/>
    <x v="4"/>
    <n v="70"/>
    <x v="0"/>
    <x v="0"/>
    <n v="25"/>
    <n v="5"/>
  </r>
  <r>
    <n v="2019"/>
    <n v="7"/>
    <x v="0"/>
    <x v="0"/>
    <x v="0"/>
    <s v="2019/2020"/>
    <b v="1"/>
    <b v="0"/>
    <b v="0"/>
    <x v="8"/>
    <n v="2560878000107"/>
    <x v="47"/>
    <x v="4"/>
    <x v="4"/>
    <n v="70"/>
    <x v="0"/>
    <x v="0"/>
    <n v="60"/>
    <n v="12"/>
  </r>
  <r>
    <n v="2019"/>
    <n v="7"/>
    <x v="0"/>
    <x v="0"/>
    <x v="0"/>
    <s v="2019/2020"/>
    <b v="1"/>
    <b v="0"/>
    <b v="0"/>
    <x v="8"/>
    <n v="2560878000107"/>
    <x v="47"/>
    <x v="4"/>
    <x v="4"/>
    <n v="70"/>
    <x v="0"/>
    <x v="0"/>
    <n v="80"/>
    <n v="16"/>
  </r>
  <r>
    <n v="2019"/>
    <n v="7"/>
    <x v="0"/>
    <x v="0"/>
    <x v="0"/>
    <s v="2019/2020"/>
    <b v="1"/>
    <b v="0"/>
    <b v="0"/>
    <x v="0"/>
    <n v="2560878000107"/>
    <x v="47"/>
    <x v="4"/>
    <x v="4"/>
    <n v="70"/>
    <x v="0"/>
    <x v="0"/>
    <n v="30"/>
    <n v="6"/>
  </r>
  <r>
    <n v="2019"/>
    <n v="7"/>
    <x v="0"/>
    <x v="0"/>
    <x v="0"/>
    <s v="2019/2020"/>
    <b v="1"/>
    <b v="0"/>
    <b v="0"/>
    <x v="6"/>
    <n v="2623693000102"/>
    <x v="48"/>
    <x v="6"/>
    <x v="2"/>
    <n v="70"/>
    <x v="0"/>
    <x v="7"/>
    <n v="20"/>
    <n v="2"/>
  </r>
  <r>
    <n v="2019"/>
    <n v="7"/>
    <x v="0"/>
    <x v="0"/>
    <x v="0"/>
    <s v="2019/2020"/>
    <b v="1"/>
    <b v="0"/>
    <b v="0"/>
    <x v="6"/>
    <n v="2643405000173"/>
    <x v="49"/>
    <x v="26"/>
    <x v="3"/>
    <n v="73"/>
    <x v="1"/>
    <x v="1"/>
    <n v="6"/>
    <n v="3"/>
  </r>
  <r>
    <n v="2019"/>
    <n v="7"/>
    <x v="0"/>
    <x v="0"/>
    <x v="0"/>
    <s v="2019/2020"/>
    <b v="1"/>
    <b v="0"/>
    <b v="0"/>
    <x v="4"/>
    <n v="2837922000183"/>
    <x v="50"/>
    <x v="3"/>
    <x v="3"/>
    <n v="73"/>
    <x v="1"/>
    <x v="2"/>
    <n v="4"/>
    <n v="2"/>
  </r>
  <r>
    <n v="2019"/>
    <n v="7"/>
    <x v="0"/>
    <x v="0"/>
    <x v="0"/>
    <s v="2019/2020"/>
    <b v="1"/>
    <b v="0"/>
    <b v="0"/>
    <x v="4"/>
    <n v="2837922000183"/>
    <x v="50"/>
    <x v="3"/>
    <x v="3"/>
    <n v="73"/>
    <x v="1"/>
    <x v="4"/>
    <n v="48"/>
    <n v="12"/>
  </r>
  <r>
    <n v="2019"/>
    <n v="7"/>
    <x v="0"/>
    <x v="0"/>
    <x v="0"/>
    <s v="2019/2020"/>
    <b v="1"/>
    <b v="0"/>
    <b v="0"/>
    <x v="17"/>
    <n v="2837922000183"/>
    <x v="50"/>
    <x v="3"/>
    <x v="3"/>
    <n v="73"/>
    <x v="1"/>
    <x v="4"/>
    <n v="48"/>
    <n v="12"/>
  </r>
  <r>
    <n v="2019"/>
    <n v="7"/>
    <x v="0"/>
    <x v="0"/>
    <x v="0"/>
    <s v="2019/2020"/>
    <b v="1"/>
    <b v="0"/>
    <b v="0"/>
    <x v="15"/>
    <n v="2862447000286"/>
    <x v="51"/>
    <x v="13"/>
    <x v="6"/>
    <n v="70"/>
    <x v="0"/>
    <x v="7"/>
    <n v="40"/>
    <n v="4"/>
  </r>
  <r>
    <n v="2019"/>
    <n v="7"/>
    <x v="0"/>
    <x v="0"/>
    <x v="0"/>
    <s v="2019/2020"/>
    <b v="1"/>
    <b v="0"/>
    <b v="0"/>
    <x v="10"/>
    <n v="2864097000106"/>
    <x v="52"/>
    <x v="0"/>
    <x v="0"/>
    <n v="70"/>
    <x v="0"/>
    <x v="0"/>
    <n v="40"/>
    <n v="8"/>
  </r>
  <r>
    <n v="2019"/>
    <n v="7"/>
    <x v="0"/>
    <x v="0"/>
    <x v="0"/>
    <s v="2019/2020"/>
    <b v="1"/>
    <b v="0"/>
    <b v="0"/>
    <x v="10"/>
    <n v="2864097000106"/>
    <x v="52"/>
    <x v="0"/>
    <x v="0"/>
    <n v="70"/>
    <x v="0"/>
    <x v="0"/>
    <n v="110"/>
    <n v="11"/>
  </r>
  <r>
    <n v="2019"/>
    <n v="7"/>
    <x v="0"/>
    <x v="0"/>
    <x v="0"/>
    <s v="2019/2020"/>
    <b v="1"/>
    <b v="0"/>
    <b v="0"/>
    <x v="10"/>
    <n v="2864097000106"/>
    <x v="52"/>
    <x v="0"/>
    <x v="0"/>
    <n v="70"/>
    <x v="0"/>
    <x v="0"/>
    <n v="65"/>
    <n v="13"/>
  </r>
  <r>
    <n v="2019"/>
    <n v="7"/>
    <x v="0"/>
    <x v="0"/>
    <x v="0"/>
    <s v="2019/2020"/>
    <b v="1"/>
    <b v="0"/>
    <b v="0"/>
    <x v="10"/>
    <n v="2864097000106"/>
    <x v="52"/>
    <x v="0"/>
    <x v="0"/>
    <n v="70"/>
    <x v="0"/>
    <x v="0"/>
    <n v="100"/>
    <n v="20"/>
  </r>
  <r>
    <n v="2019"/>
    <n v="7"/>
    <x v="0"/>
    <x v="0"/>
    <x v="0"/>
    <s v="2019/2020"/>
    <b v="1"/>
    <b v="0"/>
    <b v="0"/>
    <x v="11"/>
    <n v="3533726000773"/>
    <x v="53"/>
    <x v="23"/>
    <x v="12"/>
    <n v="70"/>
    <x v="0"/>
    <x v="0"/>
    <n v="30"/>
    <n v="6"/>
  </r>
  <r>
    <n v="2019"/>
    <n v="7"/>
    <x v="0"/>
    <x v="0"/>
    <x v="0"/>
    <s v="2019/2020"/>
    <b v="1"/>
    <b v="0"/>
    <b v="0"/>
    <x v="4"/>
    <n v="3533726001583"/>
    <x v="54"/>
    <x v="27"/>
    <x v="12"/>
    <n v="70"/>
    <x v="0"/>
    <x v="0"/>
    <n v="10"/>
    <n v="2"/>
  </r>
  <r>
    <n v="2019"/>
    <n v="7"/>
    <x v="0"/>
    <x v="0"/>
    <x v="0"/>
    <s v="2019/2020"/>
    <b v="1"/>
    <b v="0"/>
    <b v="0"/>
    <x v="4"/>
    <n v="3533726001583"/>
    <x v="54"/>
    <x v="27"/>
    <x v="12"/>
    <n v="70"/>
    <x v="0"/>
    <x v="0"/>
    <n v="120"/>
    <n v="24"/>
  </r>
  <r>
    <n v="2019"/>
    <n v="7"/>
    <x v="0"/>
    <x v="0"/>
    <x v="0"/>
    <s v="2019/2020"/>
    <b v="1"/>
    <b v="0"/>
    <b v="0"/>
    <x v="4"/>
    <n v="3533726001583"/>
    <x v="54"/>
    <x v="27"/>
    <x v="12"/>
    <n v="73"/>
    <x v="1"/>
    <x v="4"/>
    <n v="36"/>
    <n v="9"/>
  </r>
  <r>
    <n v="2019"/>
    <n v="7"/>
    <x v="0"/>
    <x v="0"/>
    <x v="0"/>
    <s v="2019/2020"/>
    <b v="1"/>
    <b v="0"/>
    <b v="0"/>
    <x v="14"/>
    <n v="3824198000116"/>
    <x v="55"/>
    <x v="13"/>
    <x v="6"/>
    <n v="70"/>
    <x v="0"/>
    <x v="0"/>
    <n v="250"/>
    <n v="50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5"/>
    <n v="1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7"/>
    <n v="20"/>
    <n v="2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15"/>
    <n v="3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20"/>
    <n v="4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30"/>
    <n v="6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7"/>
    <n v="70"/>
    <n v="7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40"/>
    <n v="8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45"/>
    <n v="9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7"/>
    <n v="210"/>
    <n v="21"/>
  </r>
  <r>
    <n v="2019"/>
    <n v="7"/>
    <x v="0"/>
    <x v="0"/>
    <x v="0"/>
    <s v="2019/2020"/>
    <b v="1"/>
    <b v="0"/>
    <b v="0"/>
    <x v="7"/>
    <n v="3850913000195"/>
    <x v="56"/>
    <x v="13"/>
    <x v="6"/>
    <n v="70"/>
    <x v="0"/>
    <x v="0"/>
    <n v="110"/>
    <n v="22"/>
  </r>
  <r>
    <n v="2019"/>
    <n v="7"/>
    <x v="0"/>
    <x v="0"/>
    <x v="0"/>
    <s v="2019/2020"/>
    <b v="1"/>
    <b v="0"/>
    <b v="0"/>
    <x v="15"/>
    <n v="3850913000195"/>
    <x v="56"/>
    <x v="13"/>
    <x v="6"/>
    <n v="70"/>
    <x v="0"/>
    <x v="7"/>
    <n v="100"/>
    <n v="10"/>
  </r>
  <r>
    <n v="2019"/>
    <n v="7"/>
    <x v="0"/>
    <x v="0"/>
    <x v="0"/>
    <s v="2019/2020"/>
    <b v="1"/>
    <b v="0"/>
    <b v="0"/>
    <x v="4"/>
    <n v="3858924000111"/>
    <x v="57"/>
    <x v="28"/>
    <x v="15"/>
    <n v="70"/>
    <x v="0"/>
    <x v="0"/>
    <n v="120"/>
    <n v="24"/>
  </r>
  <r>
    <n v="2019"/>
    <n v="7"/>
    <x v="0"/>
    <x v="0"/>
    <x v="0"/>
    <s v="2019/2020"/>
    <b v="1"/>
    <b v="0"/>
    <b v="0"/>
    <x v="17"/>
    <n v="3872790000193"/>
    <x v="58"/>
    <x v="3"/>
    <x v="3"/>
    <n v="73"/>
    <x v="1"/>
    <x v="4"/>
    <n v="8"/>
    <n v="2"/>
  </r>
  <r>
    <n v="2019"/>
    <n v="7"/>
    <x v="0"/>
    <x v="0"/>
    <x v="0"/>
    <s v="2019/2020"/>
    <b v="1"/>
    <b v="0"/>
    <b v="0"/>
    <x v="12"/>
    <n v="3925419000142"/>
    <x v="59"/>
    <x v="23"/>
    <x v="12"/>
    <n v="64"/>
    <x v="4"/>
    <x v="6"/>
    <n v="3"/>
    <n v="3"/>
  </r>
  <r>
    <n v="2019"/>
    <n v="7"/>
    <x v="0"/>
    <x v="0"/>
    <x v="0"/>
    <s v="2019/2020"/>
    <b v="1"/>
    <b v="0"/>
    <b v="0"/>
    <x v="12"/>
    <n v="3925419000142"/>
    <x v="59"/>
    <x v="23"/>
    <x v="12"/>
    <n v="64"/>
    <x v="4"/>
    <x v="6"/>
    <n v="10"/>
    <n v="10"/>
  </r>
  <r>
    <n v="2019"/>
    <n v="7"/>
    <x v="0"/>
    <x v="0"/>
    <x v="0"/>
    <s v="2019/2020"/>
    <b v="1"/>
    <b v="0"/>
    <b v="0"/>
    <x v="8"/>
    <n v="3989821000190"/>
    <x v="60"/>
    <x v="4"/>
    <x v="4"/>
    <n v="70"/>
    <x v="0"/>
    <x v="0"/>
    <n v="85"/>
    <n v="17"/>
  </r>
  <r>
    <n v="2019"/>
    <n v="7"/>
    <x v="0"/>
    <x v="0"/>
    <x v="0"/>
    <s v="2019/2020"/>
    <b v="1"/>
    <b v="0"/>
    <b v="0"/>
    <x v="8"/>
    <n v="3989821000190"/>
    <x v="60"/>
    <x v="4"/>
    <x v="4"/>
    <n v="70"/>
    <x v="0"/>
    <x v="0"/>
    <n v="160"/>
    <n v="32"/>
  </r>
  <r>
    <n v="2019"/>
    <n v="7"/>
    <x v="0"/>
    <x v="0"/>
    <x v="0"/>
    <s v="2019/2020"/>
    <b v="1"/>
    <b v="0"/>
    <b v="0"/>
    <x v="6"/>
    <n v="4036348000190"/>
    <x v="61"/>
    <x v="3"/>
    <x v="3"/>
    <n v="70"/>
    <x v="0"/>
    <x v="0"/>
    <n v="15"/>
    <n v="3"/>
  </r>
  <r>
    <n v="2019"/>
    <n v="7"/>
    <x v="0"/>
    <x v="0"/>
    <x v="0"/>
    <s v="2019/2020"/>
    <b v="1"/>
    <b v="0"/>
    <b v="0"/>
    <x v="6"/>
    <n v="4036348000190"/>
    <x v="61"/>
    <x v="3"/>
    <x v="3"/>
    <n v="70"/>
    <x v="0"/>
    <x v="7"/>
    <n v="50"/>
    <n v="5"/>
  </r>
  <r>
    <n v="2019"/>
    <n v="7"/>
    <x v="0"/>
    <x v="0"/>
    <x v="0"/>
    <s v="2019/2020"/>
    <b v="1"/>
    <b v="0"/>
    <b v="0"/>
    <x v="6"/>
    <n v="4036348000190"/>
    <x v="61"/>
    <x v="3"/>
    <x v="3"/>
    <n v="70"/>
    <x v="0"/>
    <x v="7"/>
    <n v="200"/>
    <n v="20"/>
  </r>
  <r>
    <n v="2019"/>
    <n v="7"/>
    <x v="0"/>
    <x v="0"/>
    <x v="0"/>
    <s v="2019/2020"/>
    <b v="1"/>
    <b v="0"/>
    <b v="0"/>
    <x v="6"/>
    <n v="4036348000190"/>
    <x v="61"/>
    <x v="3"/>
    <x v="3"/>
    <n v="70"/>
    <x v="0"/>
    <x v="7"/>
    <n v="250"/>
    <n v="25"/>
  </r>
  <r>
    <n v="2019"/>
    <n v="7"/>
    <x v="0"/>
    <x v="0"/>
    <x v="0"/>
    <s v="2019/2020"/>
    <b v="1"/>
    <b v="0"/>
    <b v="0"/>
    <x v="9"/>
    <n v="4201372001028"/>
    <x v="62"/>
    <x v="1"/>
    <x v="1"/>
    <n v="73"/>
    <x v="1"/>
    <x v="4"/>
    <n v="40"/>
    <n v="10"/>
  </r>
  <r>
    <n v="2019"/>
    <n v="7"/>
    <x v="0"/>
    <x v="0"/>
    <x v="0"/>
    <s v="2019/2020"/>
    <b v="1"/>
    <b v="0"/>
    <b v="0"/>
    <x v="6"/>
    <n v="4275687000129"/>
    <x v="63"/>
    <x v="29"/>
    <x v="3"/>
    <n v="73"/>
    <x v="1"/>
    <x v="2"/>
    <n v="4"/>
    <n v="4"/>
  </r>
  <r>
    <n v="2019"/>
    <n v="7"/>
    <x v="0"/>
    <x v="0"/>
    <x v="0"/>
    <s v="2019/2020"/>
    <b v="1"/>
    <b v="0"/>
    <b v="0"/>
    <x v="6"/>
    <n v="4275687000129"/>
    <x v="63"/>
    <x v="29"/>
    <x v="3"/>
    <n v="73"/>
    <x v="1"/>
    <x v="4"/>
    <n v="32"/>
    <n v="8"/>
  </r>
  <r>
    <n v="2019"/>
    <n v="7"/>
    <x v="0"/>
    <x v="0"/>
    <x v="0"/>
    <s v="2019/2020"/>
    <b v="1"/>
    <b v="0"/>
    <b v="0"/>
    <x v="9"/>
    <n v="4602792000125"/>
    <x v="64"/>
    <x v="30"/>
    <x v="17"/>
    <n v="64"/>
    <x v="4"/>
    <x v="6"/>
    <n v="2"/>
    <n v="2"/>
  </r>
  <r>
    <n v="2019"/>
    <n v="7"/>
    <x v="0"/>
    <x v="0"/>
    <x v="0"/>
    <s v="2019/2020"/>
    <b v="1"/>
    <b v="0"/>
    <b v="0"/>
    <x v="14"/>
    <n v="4670913000176"/>
    <x v="65"/>
    <x v="14"/>
    <x v="10"/>
    <n v="70"/>
    <x v="0"/>
    <x v="0"/>
    <n v="215"/>
    <n v="43"/>
  </r>
  <r>
    <n v="2019"/>
    <n v="7"/>
    <x v="0"/>
    <x v="0"/>
    <x v="0"/>
    <s v="2019/2020"/>
    <b v="1"/>
    <b v="0"/>
    <b v="0"/>
    <x v="9"/>
    <n v="4966545000370"/>
    <x v="66"/>
    <x v="1"/>
    <x v="1"/>
    <n v="70"/>
    <x v="0"/>
    <x v="0"/>
    <n v="10"/>
    <n v="2"/>
  </r>
  <r>
    <n v="2019"/>
    <n v="7"/>
    <x v="0"/>
    <x v="0"/>
    <x v="0"/>
    <s v="2019/2020"/>
    <b v="1"/>
    <b v="0"/>
    <b v="0"/>
    <x v="9"/>
    <n v="4966545000370"/>
    <x v="66"/>
    <x v="1"/>
    <x v="1"/>
    <n v="70"/>
    <x v="0"/>
    <x v="0"/>
    <n v="30"/>
    <n v="6"/>
  </r>
  <r>
    <n v="2019"/>
    <n v="7"/>
    <x v="0"/>
    <x v="0"/>
    <x v="0"/>
    <s v="2019/2020"/>
    <b v="1"/>
    <b v="0"/>
    <b v="0"/>
    <x v="4"/>
    <n v="4966545000370"/>
    <x v="66"/>
    <x v="1"/>
    <x v="1"/>
    <n v="70"/>
    <x v="0"/>
    <x v="0"/>
    <n v="40"/>
    <n v="8"/>
  </r>
  <r>
    <n v="2019"/>
    <n v="7"/>
    <x v="0"/>
    <x v="0"/>
    <x v="0"/>
    <s v="2019/2020"/>
    <b v="1"/>
    <b v="0"/>
    <b v="0"/>
    <x v="7"/>
    <n v="5469172000122"/>
    <x v="67"/>
    <x v="31"/>
    <x v="17"/>
    <n v="64"/>
    <x v="4"/>
    <x v="6"/>
    <n v="6"/>
    <n v="6"/>
  </r>
  <r>
    <n v="2019"/>
    <n v="7"/>
    <x v="0"/>
    <x v="0"/>
    <x v="0"/>
    <s v="2019/2020"/>
    <b v="1"/>
    <b v="0"/>
    <b v="0"/>
    <x v="11"/>
    <n v="5816630000152"/>
    <x v="68"/>
    <x v="31"/>
    <x v="17"/>
    <n v="64"/>
    <x v="4"/>
    <x v="6"/>
    <n v="18"/>
    <n v="18"/>
  </r>
  <r>
    <n v="2019"/>
    <n v="7"/>
    <x v="0"/>
    <x v="0"/>
    <x v="0"/>
    <s v="2019/2020"/>
    <b v="1"/>
    <b v="0"/>
    <b v="0"/>
    <x v="5"/>
    <n v="5816630000152"/>
    <x v="68"/>
    <x v="31"/>
    <x v="17"/>
    <n v="70"/>
    <x v="0"/>
    <x v="8"/>
    <n v="150"/>
    <n v="60"/>
  </r>
  <r>
    <n v="2019"/>
    <n v="7"/>
    <x v="0"/>
    <x v="0"/>
    <x v="0"/>
    <s v="2019/2020"/>
    <b v="1"/>
    <b v="0"/>
    <b v="0"/>
    <x v="12"/>
    <n v="5831510000124"/>
    <x v="69"/>
    <x v="3"/>
    <x v="3"/>
    <n v="70"/>
    <x v="0"/>
    <x v="0"/>
    <n v="55"/>
    <n v="11"/>
  </r>
  <r>
    <n v="2019"/>
    <n v="7"/>
    <x v="0"/>
    <x v="0"/>
    <x v="0"/>
    <s v="2019/2020"/>
    <b v="1"/>
    <b v="0"/>
    <b v="0"/>
    <x v="7"/>
    <n v="5831510000124"/>
    <x v="69"/>
    <x v="3"/>
    <x v="3"/>
    <n v="70"/>
    <x v="0"/>
    <x v="0"/>
    <n v="140"/>
    <n v="28"/>
  </r>
  <r>
    <n v="2019"/>
    <n v="7"/>
    <x v="0"/>
    <x v="0"/>
    <x v="0"/>
    <s v="2019/2020"/>
    <b v="1"/>
    <b v="0"/>
    <b v="0"/>
    <x v="11"/>
    <n v="5867015000175"/>
    <x v="70"/>
    <x v="32"/>
    <x v="18"/>
    <n v="73"/>
    <x v="1"/>
    <x v="2"/>
    <n v="8"/>
    <n v="4"/>
  </r>
  <r>
    <n v="2019"/>
    <n v="7"/>
    <x v="0"/>
    <x v="0"/>
    <x v="0"/>
    <s v="2019/2020"/>
    <b v="1"/>
    <b v="0"/>
    <b v="0"/>
    <x v="9"/>
    <n v="5868278000280"/>
    <x v="71"/>
    <x v="32"/>
    <x v="18"/>
    <n v="64"/>
    <x v="4"/>
    <x v="6"/>
    <n v="20"/>
    <n v="10"/>
  </r>
  <r>
    <n v="2019"/>
    <n v="7"/>
    <x v="0"/>
    <x v="0"/>
    <x v="0"/>
    <s v="2019/2020"/>
    <b v="1"/>
    <b v="0"/>
    <b v="0"/>
    <x v="9"/>
    <n v="5868278000280"/>
    <x v="71"/>
    <x v="32"/>
    <x v="18"/>
    <n v="70"/>
    <x v="0"/>
    <x v="0"/>
    <n v="80"/>
    <n v="16"/>
  </r>
  <r>
    <n v="2019"/>
    <n v="7"/>
    <x v="0"/>
    <x v="0"/>
    <x v="0"/>
    <s v="2019/2020"/>
    <b v="1"/>
    <b v="0"/>
    <b v="0"/>
    <x v="4"/>
    <n v="5868278000280"/>
    <x v="71"/>
    <x v="32"/>
    <x v="18"/>
    <n v="73"/>
    <x v="1"/>
    <x v="4"/>
    <n v="16"/>
    <n v="4"/>
  </r>
  <r>
    <n v="2019"/>
    <n v="7"/>
    <x v="0"/>
    <x v="0"/>
    <x v="0"/>
    <s v="2019/2020"/>
    <b v="1"/>
    <b v="0"/>
    <b v="0"/>
    <x v="9"/>
    <n v="5874946000109"/>
    <x v="72"/>
    <x v="32"/>
    <x v="18"/>
    <n v="62"/>
    <x v="3"/>
    <x v="5"/>
    <n v="6"/>
    <n v="6"/>
  </r>
  <r>
    <n v="2019"/>
    <n v="7"/>
    <x v="0"/>
    <x v="0"/>
    <x v="0"/>
    <s v="2019/2020"/>
    <b v="1"/>
    <b v="0"/>
    <b v="0"/>
    <x v="9"/>
    <n v="5874946000109"/>
    <x v="72"/>
    <x v="32"/>
    <x v="18"/>
    <n v="64"/>
    <x v="4"/>
    <x v="6"/>
    <n v="2"/>
    <n v="2"/>
  </r>
  <r>
    <n v="2019"/>
    <n v="7"/>
    <x v="0"/>
    <x v="0"/>
    <x v="0"/>
    <s v="2019/2020"/>
    <b v="1"/>
    <b v="0"/>
    <b v="0"/>
    <x v="4"/>
    <n v="6033403000113"/>
    <x v="73"/>
    <x v="33"/>
    <x v="3"/>
    <n v="70"/>
    <x v="0"/>
    <x v="0"/>
    <n v="20"/>
    <n v="2"/>
  </r>
  <r>
    <n v="2019"/>
    <n v="7"/>
    <x v="0"/>
    <x v="0"/>
    <x v="0"/>
    <s v="2019/2020"/>
    <b v="1"/>
    <b v="0"/>
    <b v="0"/>
    <x v="2"/>
    <n v="6047087000139"/>
    <x v="74"/>
    <x v="3"/>
    <x v="3"/>
    <n v="64"/>
    <x v="4"/>
    <x v="6"/>
    <n v="2"/>
    <n v="2"/>
  </r>
  <r>
    <n v="2019"/>
    <n v="7"/>
    <x v="0"/>
    <x v="0"/>
    <x v="0"/>
    <s v="2019/2020"/>
    <b v="1"/>
    <b v="0"/>
    <b v="0"/>
    <x v="2"/>
    <n v="6047087000210"/>
    <x v="75"/>
    <x v="3"/>
    <x v="3"/>
    <n v="62"/>
    <x v="3"/>
    <x v="5"/>
    <n v="10"/>
    <n v="10"/>
  </r>
  <r>
    <n v="2019"/>
    <n v="7"/>
    <x v="0"/>
    <x v="0"/>
    <x v="0"/>
    <s v="2019/2020"/>
    <b v="1"/>
    <b v="0"/>
    <b v="0"/>
    <x v="2"/>
    <n v="6047087000210"/>
    <x v="75"/>
    <x v="3"/>
    <x v="3"/>
    <n v="64"/>
    <x v="4"/>
    <x v="6"/>
    <n v="17"/>
    <n v="17"/>
  </r>
  <r>
    <n v="2019"/>
    <n v="7"/>
    <x v="0"/>
    <x v="0"/>
    <x v="0"/>
    <s v="2019/2020"/>
    <b v="1"/>
    <b v="0"/>
    <b v="0"/>
    <x v="2"/>
    <n v="6047087000210"/>
    <x v="75"/>
    <x v="3"/>
    <x v="3"/>
    <n v="64"/>
    <x v="4"/>
    <x v="6"/>
    <n v="26"/>
    <n v="26"/>
  </r>
  <r>
    <n v="2019"/>
    <n v="7"/>
    <x v="0"/>
    <x v="0"/>
    <x v="0"/>
    <s v="2019/2020"/>
    <b v="1"/>
    <b v="0"/>
    <b v="0"/>
    <x v="2"/>
    <n v="6047087000996"/>
    <x v="76"/>
    <x v="0"/>
    <x v="0"/>
    <n v="62"/>
    <x v="3"/>
    <x v="5"/>
    <n v="20"/>
    <n v="20"/>
  </r>
  <r>
    <n v="2019"/>
    <n v="7"/>
    <x v="0"/>
    <x v="0"/>
    <x v="0"/>
    <s v="2019/2020"/>
    <b v="1"/>
    <b v="0"/>
    <b v="0"/>
    <x v="2"/>
    <n v="6047087000996"/>
    <x v="76"/>
    <x v="0"/>
    <x v="0"/>
    <n v="64"/>
    <x v="4"/>
    <x v="6"/>
    <n v="10"/>
    <n v="10"/>
  </r>
  <r>
    <n v="2019"/>
    <n v="7"/>
    <x v="0"/>
    <x v="0"/>
    <x v="0"/>
    <s v="2019/2020"/>
    <b v="1"/>
    <b v="0"/>
    <b v="0"/>
    <x v="2"/>
    <n v="6047087000996"/>
    <x v="76"/>
    <x v="0"/>
    <x v="0"/>
    <n v="64"/>
    <x v="4"/>
    <x v="6"/>
    <n v="20"/>
    <n v="20"/>
  </r>
  <r>
    <n v="2019"/>
    <n v="7"/>
    <x v="0"/>
    <x v="0"/>
    <x v="0"/>
    <s v="2019/2020"/>
    <b v="1"/>
    <b v="0"/>
    <b v="0"/>
    <x v="2"/>
    <n v="6047087001020"/>
    <x v="77"/>
    <x v="0"/>
    <x v="0"/>
    <n v="62"/>
    <x v="3"/>
    <x v="5"/>
    <n v="20"/>
    <n v="10"/>
  </r>
  <r>
    <n v="2019"/>
    <n v="7"/>
    <x v="0"/>
    <x v="0"/>
    <x v="0"/>
    <s v="2019/2020"/>
    <b v="1"/>
    <b v="0"/>
    <b v="0"/>
    <x v="2"/>
    <n v="6047087001020"/>
    <x v="77"/>
    <x v="0"/>
    <x v="0"/>
    <n v="62"/>
    <x v="3"/>
    <x v="5"/>
    <n v="30"/>
    <n v="30"/>
  </r>
  <r>
    <n v="2019"/>
    <n v="7"/>
    <x v="0"/>
    <x v="0"/>
    <x v="0"/>
    <s v="2019/2020"/>
    <b v="1"/>
    <b v="0"/>
    <b v="0"/>
    <x v="2"/>
    <n v="6047087001020"/>
    <x v="77"/>
    <x v="0"/>
    <x v="0"/>
    <n v="62"/>
    <x v="3"/>
    <x v="5"/>
    <n v="50"/>
    <n v="50"/>
  </r>
  <r>
    <n v="2019"/>
    <n v="7"/>
    <x v="0"/>
    <x v="0"/>
    <x v="0"/>
    <s v="2019/2020"/>
    <b v="1"/>
    <b v="0"/>
    <b v="0"/>
    <x v="2"/>
    <n v="6047087001020"/>
    <x v="77"/>
    <x v="0"/>
    <x v="0"/>
    <n v="64"/>
    <x v="4"/>
    <x v="6"/>
    <n v="40"/>
    <n v="20"/>
  </r>
  <r>
    <n v="2019"/>
    <n v="7"/>
    <x v="0"/>
    <x v="0"/>
    <x v="0"/>
    <s v="2019/2020"/>
    <b v="1"/>
    <b v="0"/>
    <b v="0"/>
    <x v="2"/>
    <n v="6047087001020"/>
    <x v="77"/>
    <x v="0"/>
    <x v="0"/>
    <n v="64"/>
    <x v="4"/>
    <x v="6"/>
    <n v="40"/>
    <n v="40"/>
  </r>
  <r>
    <n v="2019"/>
    <n v="7"/>
    <x v="0"/>
    <x v="0"/>
    <x v="0"/>
    <s v="2019/2020"/>
    <b v="1"/>
    <b v="0"/>
    <b v="0"/>
    <x v="2"/>
    <n v="6047087001372"/>
    <x v="78"/>
    <x v="34"/>
    <x v="0"/>
    <n v="62"/>
    <x v="3"/>
    <x v="5"/>
    <n v="12"/>
    <n v="6"/>
  </r>
  <r>
    <n v="2019"/>
    <n v="7"/>
    <x v="0"/>
    <x v="0"/>
    <x v="0"/>
    <s v="2019/2020"/>
    <b v="1"/>
    <b v="0"/>
    <b v="0"/>
    <x v="2"/>
    <n v="6047087002697"/>
    <x v="79"/>
    <x v="0"/>
    <x v="0"/>
    <n v="62"/>
    <x v="3"/>
    <x v="5"/>
    <n v="1"/>
    <n v="1"/>
  </r>
  <r>
    <n v="2019"/>
    <n v="7"/>
    <x v="0"/>
    <x v="0"/>
    <x v="0"/>
    <s v="2019/2020"/>
    <b v="1"/>
    <b v="0"/>
    <b v="0"/>
    <x v="2"/>
    <n v="6047087002697"/>
    <x v="79"/>
    <x v="0"/>
    <x v="0"/>
    <n v="62"/>
    <x v="3"/>
    <x v="5"/>
    <n v="5"/>
    <n v="5"/>
  </r>
  <r>
    <n v="2019"/>
    <n v="7"/>
    <x v="0"/>
    <x v="0"/>
    <x v="0"/>
    <s v="2019/2020"/>
    <b v="1"/>
    <b v="0"/>
    <b v="0"/>
    <x v="2"/>
    <n v="6047087002697"/>
    <x v="79"/>
    <x v="0"/>
    <x v="0"/>
    <n v="62"/>
    <x v="3"/>
    <x v="5"/>
    <n v="8"/>
    <n v="8"/>
  </r>
  <r>
    <n v="2019"/>
    <n v="7"/>
    <x v="0"/>
    <x v="0"/>
    <x v="0"/>
    <s v="2019/2020"/>
    <b v="1"/>
    <b v="0"/>
    <b v="0"/>
    <x v="2"/>
    <n v="6047087002697"/>
    <x v="79"/>
    <x v="0"/>
    <x v="0"/>
    <n v="64"/>
    <x v="4"/>
    <x v="6"/>
    <n v="8"/>
    <n v="8"/>
  </r>
  <r>
    <n v="2019"/>
    <n v="7"/>
    <x v="0"/>
    <x v="0"/>
    <x v="0"/>
    <s v="2019/2020"/>
    <b v="1"/>
    <b v="0"/>
    <b v="0"/>
    <x v="10"/>
    <n v="6047087003073"/>
    <x v="80"/>
    <x v="35"/>
    <x v="3"/>
    <n v="66"/>
    <x v="2"/>
    <x v="3"/>
    <n v="2"/>
    <n v="2"/>
  </r>
  <r>
    <n v="2019"/>
    <n v="7"/>
    <x v="0"/>
    <x v="0"/>
    <x v="0"/>
    <s v="2019/2020"/>
    <b v="1"/>
    <b v="0"/>
    <b v="0"/>
    <x v="6"/>
    <n v="6047087003073"/>
    <x v="80"/>
    <x v="35"/>
    <x v="3"/>
    <n v="70"/>
    <x v="0"/>
    <x v="0"/>
    <n v="250"/>
    <n v="50"/>
  </r>
  <r>
    <n v="2019"/>
    <n v="7"/>
    <x v="0"/>
    <x v="0"/>
    <x v="0"/>
    <s v="2019/2020"/>
    <b v="1"/>
    <b v="0"/>
    <b v="0"/>
    <x v="17"/>
    <n v="6047087003073"/>
    <x v="80"/>
    <x v="35"/>
    <x v="3"/>
    <n v="73"/>
    <x v="1"/>
    <x v="4"/>
    <n v="24"/>
    <n v="6"/>
  </r>
  <r>
    <n v="2019"/>
    <n v="7"/>
    <x v="0"/>
    <x v="0"/>
    <x v="0"/>
    <s v="2019/2020"/>
    <b v="1"/>
    <b v="0"/>
    <b v="0"/>
    <x v="7"/>
    <n v="6047087003073"/>
    <x v="80"/>
    <x v="35"/>
    <x v="3"/>
    <n v="73"/>
    <x v="1"/>
    <x v="4"/>
    <n v="24"/>
    <n v="6"/>
  </r>
  <r>
    <n v="2019"/>
    <n v="7"/>
    <x v="0"/>
    <x v="0"/>
    <x v="0"/>
    <s v="2019/2020"/>
    <b v="1"/>
    <b v="0"/>
    <b v="0"/>
    <x v="2"/>
    <n v="6047087003316"/>
    <x v="81"/>
    <x v="0"/>
    <x v="0"/>
    <n v="62"/>
    <x v="3"/>
    <x v="5"/>
    <n v="1"/>
    <n v="1"/>
  </r>
  <r>
    <n v="2019"/>
    <n v="7"/>
    <x v="0"/>
    <x v="0"/>
    <x v="0"/>
    <s v="2019/2020"/>
    <b v="1"/>
    <b v="0"/>
    <b v="0"/>
    <x v="2"/>
    <n v="6047087003316"/>
    <x v="81"/>
    <x v="0"/>
    <x v="0"/>
    <n v="64"/>
    <x v="4"/>
    <x v="6"/>
    <n v="1"/>
    <n v="1"/>
  </r>
  <r>
    <n v="2019"/>
    <n v="7"/>
    <x v="0"/>
    <x v="0"/>
    <x v="0"/>
    <s v="2019/2020"/>
    <b v="1"/>
    <b v="0"/>
    <b v="0"/>
    <x v="2"/>
    <n v="6047087003316"/>
    <x v="81"/>
    <x v="0"/>
    <x v="0"/>
    <n v="64"/>
    <x v="4"/>
    <x v="6"/>
    <n v="2"/>
    <n v="2"/>
  </r>
  <r>
    <n v="2019"/>
    <n v="7"/>
    <x v="0"/>
    <x v="0"/>
    <x v="0"/>
    <s v="2019/2020"/>
    <b v="1"/>
    <b v="0"/>
    <b v="0"/>
    <x v="2"/>
    <n v="6047087003820"/>
    <x v="82"/>
    <x v="3"/>
    <x v="3"/>
    <n v="62"/>
    <x v="3"/>
    <x v="5"/>
    <n v="2"/>
    <n v="2"/>
  </r>
  <r>
    <n v="2019"/>
    <n v="7"/>
    <x v="0"/>
    <x v="0"/>
    <x v="0"/>
    <s v="2019/2020"/>
    <b v="1"/>
    <b v="0"/>
    <b v="0"/>
    <x v="2"/>
    <n v="6047087003820"/>
    <x v="82"/>
    <x v="3"/>
    <x v="3"/>
    <n v="62"/>
    <x v="3"/>
    <x v="5"/>
    <n v="4"/>
    <n v="4"/>
  </r>
  <r>
    <n v="2019"/>
    <n v="7"/>
    <x v="0"/>
    <x v="0"/>
    <x v="0"/>
    <s v="2019/2020"/>
    <b v="1"/>
    <b v="0"/>
    <b v="0"/>
    <x v="2"/>
    <n v="6047087003820"/>
    <x v="82"/>
    <x v="3"/>
    <x v="3"/>
    <n v="64"/>
    <x v="4"/>
    <x v="6"/>
    <n v="3"/>
    <n v="3"/>
  </r>
  <r>
    <n v="2019"/>
    <n v="7"/>
    <x v="0"/>
    <x v="0"/>
    <x v="0"/>
    <s v="2019/2020"/>
    <b v="1"/>
    <b v="0"/>
    <b v="0"/>
    <x v="2"/>
    <n v="6047087004126"/>
    <x v="83"/>
    <x v="4"/>
    <x v="4"/>
    <n v="64"/>
    <x v="4"/>
    <x v="6"/>
    <n v="3"/>
    <n v="3"/>
  </r>
  <r>
    <n v="2019"/>
    <n v="7"/>
    <x v="0"/>
    <x v="0"/>
    <x v="0"/>
    <s v="2019/2020"/>
    <b v="1"/>
    <b v="0"/>
    <b v="0"/>
    <x v="2"/>
    <n v="6047087004207"/>
    <x v="84"/>
    <x v="4"/>
    <x v="4"/>
    <n v="64"/>
    <x v="4"/>
    <x v="6"/>
    <n v="3"/>
    <n v="3"/>
  </r>
  <r>
    <n v="2019"/>
    <n v="7"/>
    <x v="0"/>
    <x v="0"/>
    <x v="0"/>
    <s v="2019/2020"/>
    <b v="1"/>
    <b v="0"/>
    <b v="0"/>
    <x v="2"/>
    <n v="6047087004207"/>
    <x v="84"/>
    <x v="4"/>
    <x v="4"/>
    <n v="64"/>
    <x v="4"/>
    <x v="6"/>
    <n v="7"/>
    <n v="7"/>
  </r>
  <r>
    <n v="2019"/>
    <n v="7"/>
    <x v="0"/>
    <x v="0"/>
    <x v="0"/>
    <s v="2019/2020"/>
    <b v="1"/>
    <b v="0"/>
    <b v="0"/>
    <x v="2"/>
    <n v="6047087004207"/>
    <x v="84"/>
    <x v="4"/>
    <x v="4"/>
    <n v="64"/>
    <x v="4"/>
    <x v="6"/>
    <n v="20"/>
    <n v="10"/>
  </r>
  <r>
    <n v="2019"/>
    <n v="7"/>
    <x v="0"/>
    <x v="0"/>
    <x v="0"/>
    <s v="2019/2020"/>
    <b v="1"/>
    <b v="0"/>
    <b v="0"/>
    <x v="2"/>
    <n v="6047087004207"/>
    <x v="84"/>
    <x v="4"/>
    <x v="4"/>
    <n v="64"/>
    <x v="4"/>
    <x v="6"/>
    <n v="15"/>
    <n v="15"/>
  </r>
  <r>
    <n v="2019"/>
    <n v="7"/>
    <x v="0"/>
    <x v="0"/>
    <x v="0"/>
    <s v="2019/2020"/>
    <b v="1"/>
    <b v="0"/>
    <b v="0"/>
    <x v="2"/>
    <n v="6047087007656"/>
    <x v="85"/>
    <x v="36"/>
    <x v="3"/>
    <n v="62"/>
    <x v="3"/>
    <x v="5"/>
    <n v="1"/>
    <n v="1"/>
  </r>
  <r>
    <n v="2019"/>
    <n v="7"/>
    <x v="0"/>
    <x v="0"/>
    <x v="0"/>
    <s v="2019/2020"/>
    <b v="1"/>
    <b v="0"/>
    <b v="0"/>
    <x v="2"/>
    <n v="6047087007656"/>
    <x v="85"/>
    <x v="36"/>
    <x v="3"/>
    <n v="62"/>
    <x v="3"/>
    <x v="5"/>
    <n v="2"/>
    <n v="2"/>
  </r>
  <r>
    <n v="2019"/>
    <n v="7"/>
    <x v="0"/>
    <x v="0"/>
    <x v="0"/>
    <s v="2019/2020"/>
    <b v="1"/>
    <b v="0"/>
    <b v="0"/>
    <x v="2"/>
    <n v="6047087007656"/>
    <x v="85"/>
    <x v="36"/>
    <x v="3"/>
    <n v="62"/>
    <x v="3"/>
    <x v="5"/>
    <n v="6"/>
    <n v="6"/>
  </r>
  <r>
    <n v="2019"/>
    <n v="7"/>
    <x v="0"/>
    <x v="0"/>
    <x v="0"/>
    <s v="2019/2020"/>
    <b v="1"/>
    <b v="0"/>
    <b v="0"/>
    <x v="9"/>
    <n v="6047087009276"/>
    <x v="86"/>
    <x v="24"/>
    <x v="15"/>
    <n v="70"/>
    <x v="0"/>
    <x v="0"/>
    <n v="15"/>
    <n v="3"/>
  </r>
  <r>
    <n v="2019"/>
    <n v="7"/>
    <x v="0"/>
    <x v="0"/>
    <x v="0"/>
    <s v="2019/2020"/>
    <b v="1"/>
    <b v="0"/>
    <b v="0"/>
    <x v="9"/>
    <n v="6047087009276"/>
    <x v="86"/>
    <x v="24"/>
    <x v="15"/>
    <n v="70"/>
    <x v="0"/>
    <x v="0"/>
    <n v="285"/>
    <n v="57"/>
  </r>
  <r>
    <n v="2019"/>
    <n v="7"/>
    <x v="0"/>
    <x v="0"/>
    <x v="0"/>
    <s v="2019/2020"/>
    <b v="1"/>
    <b v="0"/>
    <b v="0"/>
    <x v="4"/>
    <n v="6070425000153"/>
    <x v="87"/>
    <x v="37"/>
    <x v="19"/>
    <n v="73"/>
    <x v="1"/>
    <x v="1"/>
    <n v="8"/>
    <n v="4"/>
  </r>
  <r>
    <n v="2019"/>
    <n v="7"/>
    <x v="0"/>
    <x v="0"/>
    <x v="0"/>
    <s v="2019/2020"/>
    <b v="1"/>
    <b v="0"/>
    <b v="0"/>
    <x v="4"/>
    <n v="6070425000153"/>
    <x v="87"/>
    <x v="37"/>
    <x v="19"/>
    <n v="73"/>
    <x v="1"/>
    <x v="2"/>
    <n v="4"/>
    <n v="4"/>
  </r>
  <r>
    <n v="2019"/>
    <n v="7"/>
    <x v="0"/>
    <x v="0"/>
    <x v="0"/>
    <s v="2019/2020"/>
    <b v="1"/>
    <b v="0"/>
    <b v="0"/>
    <x v="8"/>
    <n v="6190522000180"/>
    <x v="88"/>
    <x v="38"/>
    <x v="7"/>
    <n v="66"/>
    <x v="2"/>
    <x v="3"/>
    <n v="24"/>
    <n v="24"/>
  </r>
  <r>
    <n v="2019"/>
    <n v="7"/>
    <x v="0"/>
    <x v="0"/>
    <x v="0"/>
    <s v="2019/2020"/>
    <b v="1"/>
    <b v="0"/>
    <b v="0"/>
    <x v="17"/>
    <n v="6209132000104"/>
    <x v="89"/>
    <x v="39"/>
    <x v="3"/>
    <n v="70"/>
    <x v="0"/>
    <x v="0"/>
    <n v="75"/>
    <n v="15"/>
  </r>
  <r>
    <n v="2019"/>
    <n v="7"/>
    <x v="0"/>
    <x v="0"/>
    <x v="0"/>
    <s v="2019/2020"/>
    <b v="1"/>
    <b v="0"/>
    <b v="0"/>
    <x v="11"/>
    <n v="6555031000276"/>
    <x v="90"/>
    <x v="40"/>
    <x v="20"/>
    <n v="73"/>
    <x v="1"/>
    <x v="4"/>
    <n v="12"/>
    <n v="3"/>
  </r>
  <r>
    <n v="2019"/>
    <n v="7"/>
    <x v="0"/>
    <x v="0"/>
    <x v="0"/>
    <s v="2019/2020"/>
    <b v="1"/>
    <b v="0"/>
    <b v="0"/>
    <x v="3"/>
    <n v="7039651000134"/>
    <x v="91"/>
    <x v="41"/>
    <x v="13"/>
    <n v="70"/>
    <x v="0"/>
    <x v="0"/>
    <n v="15"/>
    <n v="3"/>
  </r>
  <r>
    <n v="2019"/>
    <n v="7"/>
    <x v="0"/>
    <x v="0"/>
    <x v="0"/>
    <s v="2019/2020"/>
    <b v="1"/>
    <b v="0"/>
    <b v="0"/>
    <x v="4"/>
    <n v="7045325000130"/>
    <x v="92"/>
    <x v="3"/>
    <x v="3"/>
    <n v="73"/>
    <x v="1"/>
    <x v="4"/>
    <n v="36"/>
    <n v="9"/>
  </r>
  <r>
    <n v="2019"/>
    <n v="7"/>
    <x v="0"/>
    <x v="0"/>
    <x v="0"/>
    <s v="2019/2020"/>
    <b v="1"/>
    <b v="0"/>
    <b v="0"/>
    <x v="4"/>
    <n v="7045325000130"/>
    <x v="92"/>
    <x v="3"/>
    <x v="3"/>
    <n v="73"/>
    <x v="1"/>
    <x v="4"/>
    <n v="60"/>
    <n v="15"/>
  </r>
  <r>
    <n v="2019"/>
    <n v="7"/>
    <x v="0"/>
    <x v="0"/>
    <x v="0"/>
    <s v="2019/2020"/>
    <b v="1"/>
    <b v="0"/>
    <b v="0"/>
    <x v="15"/>
    <n v="7088017000191"/>
    <x v="93"/>
    <x v="42"/>
    <x v="6"/>
    <n v="70"/>
    <x v="0"/>
    <x v="0"/>
    <n v="120"/>
    <n v="24"/>
  </r>
  <r>
    <n v="2019"/>
    <n v="7"/>
    <x v="0"/>
    <x v="0"/>
    <x v="0"/>
    <s v="2019/2020"/>
    <b v="1"/>
    <b v="0"/>
    <b v="0"/>
    <x v="9"/>
    <n v="7272404000183"/>
    <x v="94"/>
    <x v="32"/>
    <x v="18"/>
    <n v="70"/>
    <x v="0"/>
    <x v="0"/>
    <n v="120"/>
    <n v="24"/>
  </r>
  <r>
    <n v="2019"/>
    <n v="7"/>
    <x v="0"/>
    <x v="0"/>
    <x v="0"/>
    <s v="2019/2020"/>
    <b v="1"/>
    <b v="0"/>
    <b v="0"/>
    <x v="5"/>
    <n v="7272636000212"/>
    <x v="95"/>
    <x v="32"/>
    <x v="18"/>
    <n v="62"/>
    <x v="3"/>
    <x v="5"/>
    <n v="30"/>
    <n v="30"/>
  </r>
  <r>
    <n v="2019"/>
    <n v="7"/>
    <x v="0"/>
    <x v="0"/>
    <x v="0"/>
    <s v="2019/2020"/>
    <b v="1"/>
    <b v="0"/>
    <b v="0"/>
    <x v="15"/>
    <n v="7404052000172"/>
    <x v="96"/>
    <x v="13"/>
    <x v="6"/>
    <n v="70"/>
    <x v="0"/>
    <x v="0"/>
    <n v="30"/>
    <n v="6"/>
  </r>
  <r>
    <n v="2019"/>
    <n v="7"/>
    <x v="0"/>
    <x v="0"/>
    <x v="0"/>
    <s v="2019/2020"/>
    <b v="1"/>
    <b v="0"/>
    <b v="0"/>
    <x v="13"/>
    <n v="7404052000172"/>
    <x v="96"/>
    <x v="13"/>
    <x v="6"/>
    <n v="70"/>
    <x v="0"/>
    <x v="0"/>
    <n v="75"/>
    <n v="15"/>
  </r>
  <r>
    <n v="2019"/>
    <n v="7"/>
    <x v="0"/>
    <x v="0"/>
    <x v="0"/>
    <s v="2019/2020"/>
    <b v="1"/>
    <b v="0"/>
    <b v="0"/>
    <x v="5"/>
    <n v="7734165000136"/>
    <x v="97"/>
    <x v="13"/>
    <x v="6"/>
    <n v="70"/>
    <x v="0"/>
    <x v="7"/>
    <n v="3000"/>
    <n v="75"/>
  </r>
  <r>
    <n v="2019"/>
    <n v="7"/>
    <x v="0"/>
    <x v="0"/>
    <x v="0"/>
    <s v="2019/2020"/>
    <b v="1"/>
    <b v="0"/>
    <b v="0"/>
    <x v="15"/>
    <n v="7734165000136"/>
    <x v="97"/>
    <x v="13"/>
    <x v="6"/>
    <n v="70"/>
    <x v="0"/>
    <x v="7"/>
    <n v="140"/>
    <n v="14"/>
  </r>
  <r>
    <n v="2019"/>
    <n v="7"/>
    <x v="0"/>
    <x v="0"/>
    <x v="0"/>
    <s v="2019/2020"/>
    <b v="1"/>
    <b v="0"/>
    <b v="0"/>
    <x v="15"/>
    <n v="7734165000136"/>
    <x v="97"/>
    <x v="13"/>
    <x v="6"/>
    <n v="70"/>
    <x v="0"/>
    <x v="7"/>
    <n v="1360"/>
    <n v="136"/>
  </r>
  <r>
    <n v="2019"/>
    <n v="7"/>
    <x v="0"/>
    <x v="0"/>
    <x v="0"/>
    <s v="2019/2020"/>
    <b v="1"/>
    <b v="0"/>
    <b v="0"/>
    <x v="4"/>
    <n v="7794623001528"/>
    <x v="98"/>
    <x v="43"/>
    <x v="0"/>
    <n v="73"/>
    <x v="1"/>
    <x v="1"/>
    <n v="4"/>
    <n v="1"/>
  </r>
  <r>
    <n v="2019"/>
    <n v="7"/>
    <x v="0"/>
    <x v="0"/>
    <x v="0"/>
    <s v="2019/2020"/>
    <b v="1"/>
    <b v="0"/>
    <b v="0"/>
    <x v="4"/>
    <n v="7794623001528"/>
    <x v="98"/>
    <x v="43"/>
    <x v="0"/>
    <n v="73"/>
    <x v="1"/>
    <x v="4"/>
    <n v="24"/>
    <n v="3"/>
  </r>
  <r>
    <n v="2019"/>
    <n v="7"/>
    <x v="0"/>
    <x v="0"/>
    <x v="0"/>
    <s v="2019/2020"/>
    <b v="1"/>
    <b v="0"/>
    <b v="0"/>
    <x v="4"/>
    <n v="7794623002257"/>
    <x v="99"/>
    <x v="44"/>
    <x v="6"/>
    <n v="70"/>
    <x v="0"/>
    <x v="0"/>
    <n v="65"/>
    <n v="13"/>
  </r>
  <r>
    <n v="2019"/>
    <n v="7"/>
    <x v="0"/>
    <x v="0"/>
    <x v="0"/>
    <s v="2019/2020"/>
    <b v="1"/>
    <b v="0"/>
    <b v="0"/>
    <x v="4"/>
    <n v="7794623002257"/>
    <x v="99"/>
    <x v="44"/>
    <x v="6"/>
    <n v="70"/>
    <x v="0"/>
    <x v="0"/>
    <n v="70"/>
    <n v="14"/>
  </r>
  <r>
    <n v="2019"/>
    <n v="7"/>
    <x v="0"/>
    <x v="0"/>
    <x v="0"/>
    <s v="2019/2020"/>
    <b v="1"/>
    <b v="0"/>
    <b v="0"/>
    <x v="4"/>
    <n v="7794623002257"/>
    <x v="99"/>
    <x v="44"/>
    <x v="6"/>
    <n v="70"/>
    <x v="0"/>
    <x v="0"/>
    <n v="120"/>
    <n v="24"/>
  </r>
  <r>
    <n v="2019"/>
    <n v="7"/>
    <x v="0"/>
    <x v="0"/>
    <x v="0"/>
    <s v="2019/2020"/>
    <b v="1"/>
    <b v="0"/>
    <b v="0"/>
    <x v="4"/>
    <n v="7794623002257"/>
    <x v="99"/>
    <x v="44"/>
    <x v="6"/>
    <n v="70"/>
    <x v="0"/>
    <x v="0"/>
    <n v="260"/>
    <n v="52"/>
  </r>
  <r>
    <n v="2019"/>
    <n v="7"/>
    <x v="0"/>
    <x v="0"/>
    <x v="0"/>
    <s v="2019/2020"/>
    <b v="1"/>
    <b v="0"/>
    <b v="0"/>
    <x v="4"/>
    <n v="7794623004896"/>
    <x v="100"/>
    <x v="0"/>
    <x v="0"/>
    <n v="70"/>
    <x v="0"/>
    <x v="0"/>
    <n v="500"/>
    <n v="50"/>
  </r>
  <r>
    <n v="2019"/>
    <n v="7"/>
    <x v="0"/>
    <x v="0"/>
    <x v="0"/>
    <s v="2019/2020"/>
    <b v="1"/>
    <b v="0"/>
    <b v="0"/>
    <x v="4"/>
    <n v="7794623004896"/>
    <x v="100"/>
    <x v="0"/>
    <x v="0"/>
    <n v="70"/>
    <x v="0"/>
    <x v="0"/>
    <n v="650"/>
    <n v="65"/>
  </r>
  <r>
    <n v="2019"/>
    <n v="7"/>
    <x v="0"/>
    <x v="0"/>
    <x v="0"/>
    <s v="2019/2020"/>
    <b v="1"/>
    <b v="0"/>
    <b v="0"/>
    <x v="4"/>
    <n v="7794623004896"/>
    <x v="100"/>
    <x v="0"/>
    <x v="0"/>
    <n v="70"/>
    <x v="0"/>
    <x v="0"/>
    <n v="700"/>
    <n v="70"/>
  </r>
  <r>
    <n v="2019"/>
    <n v="7"/>
    <x v="0"/>
    <x v="0"/>
    <x v="0"/>
    <s v="2019/2020"/>
    <b v="1"/>
    <b v="0"/>
    <b v="0"/>
    <x v="4"/>
    <n v="7794623005191"/>
    <x v="101"/>
    <x v="4"/>
    <x v="4"/>
    <n v="70"/>
    <x v="0"/>
    <x v="0"/>
    <n v="25"/>
    <n v="5"/>
  </r>
  <r>
    <n v="2019"/>
    <n v="7"/>
    <x v="0"/>
    <x v="0"/>
    <x v="0"/>
    <s v="2019/2020"/>
    <b v="1"/>
    <b v="0"/>
    <b v="0"/>
    <x v="11"/>
    <n v="7835044000180"/>
    <x v="102"/>
    <x v="32"/>
    <x v="18"/>
    <n v="62"/>
    <x v="3"/>
    <x v="5"/>
    <n v="10"/>
    <n v="10"/>
  </r>
  <r>
    <n v="2019"/>
    <n v="7"/>
    <x v="0"/>
    <x v="0"/>
    <x v="0"/>
    <s v="2019/2020"/>
    <b v="1"/>
    <b v="0"/>
    <b v="0"/>
    <x v="4"/>
    <n v="8100676000592"/>
    <x v="103"/>
    <x v="3"/>
    <x v="3"/>
    <n v="70"/>
    <x v="0"/>
    <x v="0"/>
    <n v="50"/>
    <n v="10"/>
  </r>
  <r>
    <n v="2019"/>
    <n v="7"/>
    <x v="0"/>
    <x v="0"/>
    <x v="0"/>
    <s v="2019/2020"/>
    <b v="1"/>
    <b v="0"/>
    <b v="0"/>
    <x v="4"/>
    <n v="8100676000592"/>
    <x v="103"/>
    <x v="3"/>
    <x v="3"/>
    <n v="70"/>
    <x v="0"/>
    <x v="0"/>
    <n v="80"/>
    <n v="16"/>
  </r>
  <r>
    <n v="2019"/>
    <n v="7"/>
    <x v="0"/>
    <x v="0"/>
    <x v="0"/>
    <s v="2019/2020"/>
    <b v="1"/>
    <b v="0"/>
    <b v="0"/>
    <x v="4"/>
    <n v="8100676000835"/>
    <x v="104"/>
    <x v="3"/>
    <x v="3"/>
    <n v="70"/>
    <x v="0"/>
    <x v="0"/>
    <n v="25"/>
    <n v="5"/>
  </r>
  <r>
    <n v="2019"/>
    <n v="7"/>
    <x v="0"/>
    <x v="0"/>
    <x v="0"/>
    <s v="2019/2020"/>
    <b v="1"/>
    <b v="0"/>
    <b v="0"/>
    <x v="4"/>
    <n v="8100676002102"/>
    <x v="105"/>
    <x v="0"/>
    <x v="0"/>
    <n v="62"/>
    <x v="3"/>
    <x v="5"/>
    <n v="4"/>
    <n v="4"/>
  </r>
  <r>
    <n v="2019"/>
    <n v="7"/>
    <x v="0"/>
    <x v="0"/>
    <x v="0"/>
    <s v="2019/2020"/>
    <b v="1"/>
    <b v="0"/>
    <b v="0"/>
    <x v="4"/>
    <n v="8100676002102"/>
    <x v="105"/>
    <x v="0"/>
    <x v="0"/>
    <n v="62"/>
    <x v="3"/>
    <x v="5"/>
    <n v="5"/>
    <n v="5"/>
  </r>
  <r>
    <n v="2019"/>
    <n v="7"/>
    <x v="0"/>
    <x v="0"/>
    <x v="0"/>
    <s v="2019/2020"/>
    <b v="1"/>
    <b v="0"/>
    <b v="0"/>
    <x v="4"/>
    <n v="8100676002102"/>
    <x v="105"/>
    <x v="0"/>
    <x v="0"/>
    <n v="62"/>
    <x v="3"/>
    <x v="5"/>
    <n v="10"/>
    <n v="10"/>
  </r>
  <r>
    <n v="2019"/>
    <n v="7"/>
    <x v="0"/>
    <x v="0"/>
    <x v="0"/>
    <s v="2019/2020"/>
    <b v="1"/>
    <b v="0"/>
    <b v="0"/>
    <x v="4"/>
    <n v="8100676002102"/>
    <x v="105"/>
    <x v="0"/>
    <x v="0"/>
    <n v="64"/>
    <x v="4"/>
    <x v="6"/>
    <n v="2"/>
    <n v="2"/>
  </r>
  <r>
    <n v="2019"/>
    <n v="7"/>
    <x v="0"/>
    <x v="0"/>
    <x v="0"/>
    <s v="2019/2020"/>
    <b v="1"/>
    <b v="0"/>
    <b v="0"/>
    <x v="4"/>
    <n v="8100676002102"/>
    <x v="105"/>
    <x v="0"/>
    <x v="0"/>
    <n v="64"/>
    <x v="4"/>
    <x v="6"/>
    <n v="4"/>
    <n v="4"/>
  </r>
  <r>
    <n v="2019"/>
    <n v="7"/>
    <x v="0"/>
    <x v="0"/>
    <x v="0"/>
    <s v="2019/2020"/>
    <b v="1"/>
    <b v="0"/>
    <b v="0"/>
    <x v="4"/>
    <n v="8100676002102"/>
    <x v="105"/>
    <x v="0"/>
    <x v="0"/>
    <n v="64"/>
    <x v="4"/>
    <x v="6"/>
    <n v="12"/>
    <n v="12"/>
  </r>
  <r>
    <n v="2019"/>
    <n v="7"/>
    <x v="0"/>
    <x v="0"/>
    <x v="0"/>
    <s v="2019/2020"/>
    <b v="1"/>
    <b v="0"/>
    <b v="0"/>
    <x v="4"/>
    <n v="8100676002102"/>
    <x v="105"/>
    <x v="0"/>
    <x v="0"/>
    <n v="64"/>
    <x v="4"/>
    <x v="6"/>
    <n v="13"/>
    <n v="13"/>
  </r>
  <r>
    <n v="2019"/>
    <n v="7"/>
    <x v="0"/>
    <x v="0"/>
    <x v="0"/>
    <s v="2019/2020"/>
    <b v="1"/>
    <b v="0"/>
    <b v="0"/>
    <x v="4"/>
    <n v="8100676002455"/>
    <x v="106"/>
    <x v="3"/>
    <x v="3"/>
    <n v="64"/>
    <x v="4"/>
    <x v="6"/>
    <n v="3"/>
    <n v="3"/>
  </r>
  <r>
    <n v="2019"/>
    <n v="7"/>
    <x v="0"/>
    <x v="0"/>
    <x v="0"/>
    <s v="2019/2020"/>
    <b v="1"/>
    <b v="0"/>
    <b v="0"/>
    <x v="4"/>
    <n v="8100676002455"/>
    <x v="106"/>
    <x v="3"/>
    <x v="3"/>
    <n v="70"/>
    <x v="0"/>
    <x v="0"/>
    <n v="60"/>
    <n v="12"/>
  </r>
  <r>
    <n v="2019"/>
    <n v="7"/>
    <x v="0"/>
    <x v="0"/>
    <x v="0"/>
    <s v="2019/2020"/>
    <b v="1"/>
    <b v="0"/>
    <b v="0"/>
    <x v="4"/>
    <n v="8100676002455"/>
    <x v="106"/>
    <x v="3"/>
    <x v="3"/>
    <n v="70"/>
    <x v="0"/>
    <x v="0"/>
    <n v="100"/>
    <n v="20"/>
  </r>
  <r>
    <n v="2019"/>
    <n v="7"/>
    <x v="0"/>
    <x v="0"/>
    <x v="0"/>
    <s v="2019/2020"/>
    <b v="1"/>
    <b v="0"/>
    <b v="0"/>
    <x v="4"/>
    <n v="8100676002455"/>
    <x v="106"/>
    <x v="3"/>
    <x v="3"/>
    <n v="70"/>
    <x v="0"/>
    <x v="0"/>
    <n v="180"/>
    <n v="36"/>
  </r>
  <r>
    <n v="2019"/>
    <n v="7"/>
    <x v="0"/>
    <x v="0"/>
    <x v="0"/>
    <s v="2019/2020"/>
    <b v="1"/>
    <b v="0"/>
    <b v="0"/>
    <x v="2"/>
    <n v="8319329000121"/>
    <x v="107"/>
    <x v="10"/>
    <x v="8"/>
    <n v="64"/>
    <x v="4"/>
    <x v="6"/>
    <n v="4"/>
    <n v="4"/>
  </r>
  <r>
    <n v="2019"/>
    <n v="7"/>
    <x v="0"/>
    <x v="0"/>
    <x v="0"/>
    <s v="2019/2020"/>
    <b v="1"/>
    <b v="0"/>
    <b v="0"/>
    <x v="12"/>
    <n v="8337586000196"/>
    <x v="108"/>
    <x v="10"/>
    <x v="8"/>
    <n v="64"/>
    <x v="4"/>
    <x v="6"/>
    <n v="1"/>
    <n v="1"/>
  </r>
  <r>
    <n v="2019"/>
    <n v="7"/>
    <x v="0"/>
    <x v="0"/>
    <x v="0"/>
    <s v="2019/2020"/>
    <b v="1"/>
    <b v="0"/>
    <b v="0"/>
    <x v="9"/>
    <n v="8380701000610"/>
    <x v="109"/>
    <x v="10"/>
    <x v="8"/>
    <n v="70"/>
    <x v="0"/>
    <x v="0"/>
    <n v="100"/>
    <n v="20"/>
  </r>
  <r>
    <n v="2019"/>
    <n v="7"/>
    <x v="0"/>
    <x v="0"/>
    <x v="0"/>
    <s v="2019/2020"/>
    <b v="1"/>
    <b v="0"/>
    <b v="0"/>
    <x v="9"/>
    <n v="8380701000610"/>
    <x v="109"/>
    <x v="10"/>
    <x v="8"/>
    <n v="70"/>
    <x v="0"/>
    <x v="0"/>
    <n v="150"/>
    <n v="30"/>
  </r>
  <r>
    <n v="2019"/>
    <n v="7"/>
    <x v="0"/>
    <x v="0"/>
    <x v="0"/>
    <s v="2019/2020"/>
    <b v="1"/>
    <b v="0"/>
    <b v="0"/>
    <x v="6"/>
    <n v="8438844000392"/>
    <x v="110"/>
    <x v="3"/>
    <x v="3"/>
    <n v="73"/>
    <x v="1"/>
    <x v="2"/>
    <n v="2"/>
    <n v="2"/>
  </r>
  <r>
    <n v="2019"/>
    <n v="7"/>
    <x v="0"/>
    <x v="0"/>
    <x v="0"/>
    <s v="2019/2020"/>
    <b v="1"/>
    <b v="0"/>
    <b v="0"/>
    <x v="5"/>
    <n v="8597121000174"/>
    <x v="111"/>
    <x v="13"/>
    <x v="6"/>
    <n v="70"/>
    <x v="0"/>
    <x v="0"/>
    <n v="1500"/>
    <n v="300"/>
  </r>
  <r>
    <n v="2019"/>
    <n v="7"/>
    <x v="0"/>
    <x v="0"/>
    <x v="0"/>
    <s v="2019/2020"/>
    <b v="1"/>
    <b v="0"/>
    <b v="0"/>
    <x v="5"/>
    <n v="8597121000174"/>
    <x v="111"/>
    <x v="13"/>
    <x v="6"/>
    <n v="70"/>
    <x v="0"/>
    <x v="0"/>
    <n v="12500"/>
    <n v="2500"/>
  </r>
  <r>
    <n v="2019"/>
    <n v="7"/>
    <x v="0"/>
    <x v="0"/>
    <x v="0"/>
    <s v="2019/2020"/>
    <b v="1"/>
    <b v="0"/>
    <b v="0"/>
    <x v="9"/>
    <n v="8680639000681"/>
    <x v="112"/>
    <x v="5"/>
    <x v="5"/>
    <n v="70"/>
    <x v="0"/>
    <x v="0"/>
    <n v="80"/>
    <n v="16"/>
  </r>
  <r>
    <n v="2019"/>
    <n v="7"/>
    <x v="0"/>
    <x v="0"/>
    <x v="0"/>
    <s v="2019/2020"/>
    <b v="1"/>
    <b v="0"/>
    <b v="0"/>
    <x v="9"/>
    <n v="8680639000681"/>
    <x v="112"/>
    <x v="5"/>
    <x v="5"/>
    <n v="73"/>
    <x v="1"/>
    <x v="4"/>
    <n v="12"/>
    <n v="3"/>
  </r>
  <r>
    <n v="2019"/>
    <n v="7"/>
    <x v="0"/>
    <x v="0"/>
    <x v="0"/>
    <s v="2019/2020"/>
    <b v="1"/>
    <b v="0"/>
    <b v="0"/>
    <x v="9"/>
    <n v="8680639000681"/>
    <x v="112"/>
    <x v="5"/>
    <x v="5"/>
    <n v="73"/>
    <x v="1"/>
    <x v="4"/>
    <n v="24"/>
    <n v="6"/>
  </r>
  <r>
    <n v="2019"/>
    <n v="7"/>
    <x v="0"/>
    <x v="0"/>
    <x v="0"/>
    <s v="2019/2020"/>
    <b v="1"/>
    <b v="0"/>
    <b v="0"/>
    <x v="2"/>
    <n v="8850962000222"/>
    <x v="113"/>
    <x v="0"/>
    <x v="0"/>
    <n v="62"/>
    <x v="3"/>
    <x v="5"/>
    <n v="1"/>
    <n v="1"/>
  </r>
  <r>
    <n v="2019"/>
    <n v="7"/>
    <x v="0"/>
    <x v="0"/>
    <x v="0"/>
    <s v="2019/2020"/>
    <b v="1"/>
    <b v="0"/>
    <b v="0"/>
    <x v="2"/>
    <n v="8850962000222"/>
    <x v="113"/>
    <x v="0"/>
    <x v="0"/>
    <n v="64"/>
    <x v="4"/>
    <x v="6"/>
    <n v="1"/>
    <n v="1"/>
  </r>
  <r>
    <n v="2019"/>
    <n v="7"/>
    <x v="0"/>
    <x v="0"/>
    <x v="0"/>
    <s v="2019/2020"/>
    <b v="1"/>
    <b v="0"/>
    <b v="0"/>
    <x v="7"/>
    <n v="8871521000126"/>
    <x v="114"/>
    <x v="3"/>
    <x v="3"/>
    <n v="70"/>
    <x v="0"/>
    <x v="0"/>
    <n v="60"/>
    <n v="12"/>
  </r>
  <r>
    <n v="2019"/>
    <n v="7"/>
    <x v="0"/>
    <x v="0"/>
    <x v="0"/>
    <s v="2019/2020"/>
    <b v="1"/>
    <b v="0"/>
    <b v="0"/>
    <x v="17"/>
    <n v="9087150000230"/>
    <x v="115"/>
    <x v="45"/>
    <x v="11"/>
    <n v="73"/>
    <x v="1"/>
    <x v="1"/>
    <n v="8"/>
    <n v="4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7"/>
    <n v="10"/>
    <n v="1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7"/>
    <n v="20"/>
    <n v="2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8"/>
    <n v="5"/>
    <n v="2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0"/>
    <n v="30"/>
    <n v="6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0"/>
    <n v="40"/>
    <n v="8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8"/>
    <n v="55"/>
    <n v="22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0"/>
    <n v="120"/>
    <n v="24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8"/>
    <n v="70"/>
    <n v="28"/>
  </r>
  <r>
    <n v="2019"/>
    <n v="7"/>
    <x v="0"/>
    <x v="0"/>
    <x v="0"/>
    <s v="2019/2020"/>
    <b v="1"/>
    <b v="0"/>
    <b v="0"/>
    <x v="7"/>
    <n v="9104513000974"/>
    <x v="116"/>
    <x v="4"/>
    <x v="4"/>
    <n v="70"/>
    <x v="0"/>
    <x v="0"/>
    <n v="155"/>
    <n v="31"/>
  </r>
  <r>
    <n v="2019"/>
    <n v="7"/>
    <x v="0"/>
    <x v="0"/>
    <x v="0"/>
    <s v="2019/2020"/>
    <b v="1"/>
    <b v="0"/>
    <b v="0"/>
    <x v="0"/>
    <n v="9219138000584"/>
    <x v="117"/>
    <x v="0"/>
    <x v="0"/>
    <n v="62"/>
    <x v="3"/>
    <x v="5"/>
    <n v="4"/>
    <n v="4"/>
  </r>
  <r>
    <n v="2019"/>
    <n v="7"/>
    <x v="0"/>
    <x v="0"/>
    <x v="0"/>
    <s v="2019/2020"/>
    <b v="1"/>
    <b v="0"/>
    <b v="0"/>
    <x v="3"/>
    <n v="9219138000584"/>
    <x v="117"/>
    <x v="0"/>
    <x v="0"/>
    <n v="70"/>
    <x v="0"/>
    <x v="0"/>
    <n v="30"/>
    <n v="6"/>
  </r>
  <r>
    <n v="2019"/>
    <n v="7"/>
    <x v="0"/>
    <x v="0"/>
    <x v="0"/>
    <s v="2019/2020"/>
    <b v="1"/>
    <b v="0"/>
    <b v="0"/>
    <x v="10"/>
    <n v="9219138000584"/>
    <x v="117"/>
    <x v="0"/>
    <x v="0"/>
    <n v="70"/>
    <x v="0"/>
    <x v="0"/>
    <n v="35"/>
    <n v="7"/>
  </r>
  <r>
    <n v="2019"/>
    <n v="7"/>
    <x v="0"/>
    <x v="0"/>
    <x v="0"/>
    <s v="2019/2020"/>
    <b v="1"/>
    <b v="0"/>
    <b v="0"/>
    <x v="10"/>
    <n v="9219138000584"/>
    <x v="117"/>
    <x v="0"/>
    <x v="0"/>
    <n v="70"/>
    <x v="0"/>
    <x v="0"/>
    <n v="90"/>
    <n v="18"/>
  </r>
  <r>
    <n v="2019"/>
    <n v="7"/>
    <x v="0"/>
    <x v="0"/>
    <x v="0"/>
    <s v="2019/2020"/>
    <b v="1"/>
    <b v="0"/>
    <b v="0"/>
    <x v="10"/>
    <n v="9219138000584"/>
    <x v="117"/>
    <x v="0"/>
    <x v="0"/>
    <n v="70"/>
    <x v="0"/>
    <x v="0"/>
    <n v="265"/>
    <n v="53"/>
  </r>
  <r>
    <n v="2019"/>
    <n v="7"/>
    <x v="0"/>
    <x v="0"/>
    <x v="0"/>
    <s v="2019/2020"/>
    <b v="1"/>
    <b v="0"/>
    <b v="0"/>
    <x v="17"/>
    <n v="9219138000584"/>
    <x v="117"/>
    <x v="0"/>
    <x v="0"/>
    <n v="73"/>
    <x v="1"/>
    <x v="4"/>
    <n v="28"/>
    <n v="7"/>
  </r>
  <r>
    <n v="2019"/>
    <n v="7"/>
    <x v="0"/>
    <x v="0"/>
    <x v="0"/>
    <s v="2019/2020"/>
    <b v="1"/>
    <b v="0"/>
    <b v="0"/>
    <x v="10"/>
    <n v="9219138000584"/>
    <x v="117"/>
    <x v="0"/>
    <x v="0"/>
    <n v="73"/>
    <x v="1"/>
    <x v="4"/>
    <n v="4"/>
    <n v="1"/>
  </r>
  <r>
    <n v="2019"/>
    <n v="7"/>
    <x v="0"/>
    <x v="0"/>
    <x v="0"/>
    <s v="2019/2020"/>
    <b v="1"/>
    <b v="0"/>
    <b v="0"/>
    <x v="10"/>
    <n v="9219138000584"/>
    <x v="117"/>
    <x v="0"/>
    <x v="0"/>
    <n v="73"/>
    <x v="1"/>
    <x v="4"/>
    <n v="20"/>
    <n v="5"/>
  </r>
  <r>
    <n v="2019"/>
    <n v="7"/>
    <x v="0"/>
    <x v="0"/>
    <x v="0"/>
    <s v="2019/2020"/>
    <b v="1"/>
    <b v="0"/>
    <b v="0"/>
    <x v="10"/>
    <n v="9219138000584"/>
    <x v="117"/>
    <x v="0"/>
    <x v="0"/>
    <n v="73"/>
    <x v="1"/>
    <x v="4"/>
    <n v="32"/>
    <n v="8"/>
  </r>
  <r>
    <n v="2019"/>
    <n v="7"/>
    <x v="0"/>
    <x v="0"/>
    <x v="0"/>
    <s v="2019/2020"/>
    <b v="1"/>
    <b v="0"/>
    <b v="0"/>
    <x v="16"/>
    <n v="9572216000287"/>
    <x v="118"/>
    <x v="46"/>
    <x v="11"/>
    <n v="70"/>
    <x v="0"/>
    <x v="0"/>
    <n v="90"/>
    <n v="18"/>
  </r>
  <r>
    <n v="2019"/>
    <n v="7"/>
    <x v="0"/>
    <x v="0"/>
    <x v="0"/>
    <s v="2019/2020"/>
    <b v="1"/>
    <b v="0"/>
    <b v="0"/>
    <x v="2"/>
    <n v="9578217000158"/>
    <x v="119"/>
    <x v="0"/>
    <x v="0"/>
    <n v="62"/>
    <x v="3"/>
    <x v="5"/>
    <n v="4"/>
    <n v="4"/>
  </r>
  <r>
    <n v="2019"/>
    <n v="7"/>
    <x v="0"/>
    <x v="0"/>
    <x v="0"/>
    <s v="2019/2020"/>
    <b v="1"/>
    <b v="0"/>
    <b v="0"/>
    <x v="2"/>
    <n v="9578217000158"/>
    <x v="119"/>
    <x v="0"/>
    <x v="0"/>
    <n v="64"/>
    <x v="4"/>
    <x v="6"/>
    <n v="3"/>
    <n v="3"/>
  </r>
  <r>
    <n v="2019"/>
    <n v="7"/>
    <x v="0"/>
    <x v="0"/>
    <x v="0"/>
    <s v="2019/2020"/>
    <b v="1"/>
    <b v="0"/>
    <b v="0"/>
    <x v="16"/>
    <n v="9605231000284"/>
    <x v="120"/>
    <x v="47"/>
    <x v="11"/>
    <n v="70"/>
    <x v="0"/>
    <x v="0"/>
    <n v="100"/>
    <n v="20"/>
  </r>
  <r>
    <n v="2019"/>
    <n v="7"/>
    <x v="0"/>
    <x v="0"/>
    <x v="0"/>
    <s v="2019/2020"/>
    <b v="1"/>
    <b v="0"/>
    <b v="0"/>
    <x v="0"/>
    <n v="9609235000230"/>
    <x v="121"/>
    <x v="0"/>
    <x v="0"/>
    <n v="70"/>
    <x v="0"/>
    <x v="0"/>
    <n v="450"/>
    <n v="90"/>
  </r>
  <r>
    <n v="2019"/>
    <n v="7"/>
    <x v="0"/>
    <x v="0"/>
    <x v="0"/>
    <s v="2019/2020"/>
    <b v="1"/>
    <b v="0"/>
    <b v="0"/>
    <x v="10"/>
    <n v="10211939000230"/>
    <x v="122"/>
    <x v="3"/>
    <x v="3"/>
    <n v="73"/>
    <x v="1"/>
    <x v="1"/>
    <n v="8"/>
    <n v="4"/>
  </r>
  <r>
    <n v="2019"/>
    <n v="7"/>
    <x v="0"/>
    <x v="0"/>
    <x v="0"/>
    <s v="2019/2020"/>
    <b v="1"/>
    <b v="0"/>
    <b v="0"/>
    <x v="6"/>
    <n v="10323381000101"/>
    <x v="123"/>
    <x v="3"/>
    <x v="3"/>
    <n v="73"/>
    <x v="1"/>
    <x v="2"/>
    <n v="3"/>
    <n v="3"/>
  </r>
  <r>
    <n v="2019"/>
    <n v="7"/>
    <x v="0"/>
    <x v="0"/>
    <x v="0"/>
    <s v="2019/2020"/>
    <b v="1"/>
    <b v="0"/>
    <b v="0"/>
    <x v="17"/>
    <n v="10447300000177"/>
    <x v="124"/>
    <x v="48"/>
    <x v="3"/>
    <n v="73"/>
    <x v="1"/>
    <x v="1"/>
    <n v="4"/>
    <n v="2"/>
  </r>
  <r>
    <n v="2019"/>
    <n v="7"/>
    <x v="0"/>
    <x v="0"/>
    <x v="0"/>
    <s v="2019/2020"/>
    <b v="1"/>
    <b v="0"/>
    <b v="0"/>
    <x v="17"/>
    <n v="10468341000140"/>
    <x v="125"/>
    <x v="3"/>
    <x v="3"/>
    <n v="70"/>
    <x v="0"/>
    <x v="0"/>
    <n v="225"/>
    <n v="45"/>
  </r>
  <r>
    <n v="2019"/>
    <n v="7"/>
    <x v="0"/>
    <x v="0"/>
    <x v="0"/>
    <s v="2019/2020"/>
    <b v="1"/>
    <b v="0"/>
    <b v="0"/>
    <x v="17"/>
    <n v="10468341000140"/>
    <x v="125"/>
    <x v="3"/>
    <x v="3"/>
    <n v="70"/>
    <x v="0"/>
    <x v="0"/>
    <n v="335"/>
    <n v="67"/>
  </r>
  <r>
    <n v="2019"/>
    <n v="7"/>
    <x v="0"/>
    <x v="0"/>
    <x v="0"/>
    <s v="2019/2020"/>
    <b v="1"/>
    <b v="0"/>
    <b v="0"/>
    <x v="6"/>
    <n v="10468341000140"/>
    <x v="125"/>
    <x v="3"/>
    <x v="3"/>
    <n v="70"/>
    <x v="0"/>
    <x v="0"/>
    <n v="70"/>
    <n v="14"/>
  </r>
  <r>
    <n v="2019"/>
    <n v="7"/>
    <x v="0"/>
    <x v="0"/>
    <x v="0"/>
    <s v="2019/2020"/>
    <b v="1"/>
    <b v="0"/>
    <b v="0"/>
    <x v="6"/>
    <n v="10468341000140"/>
    <x v="125"/>
    <x v="3"/>
    <x v="3"/>
    <n v="70"/>
    <x v="0"/>
    <x v="0"/>
    <n v="150"/>
    <n v="30"/>
  </r>
  <r>
    <n v="2019"/>
    <n v="7"/>
    <x v="0"/>
    <x v="0"/>
    <x v="0"/>
    <s v="2019/2020"/>
    <b v="1"/>
    <b v="0"/>
    <b v="0"/>
    <x v="6"/>
    <n v="10468341000140"/>
    <x v="125"/>
    <x v="3"/>
    <x v="3"/>
    <n v="70"/>
    <x v="0"/>
    <x v="0"/>
    <n v="250"/>
    <n v="50"/>
  </r>
  <r>
    <n v="2019"/>
    <n v="7"/>
    <x v="0"/>
    <x v="0"/>
    <x v="0"/>
    <s v="2019/2020"/>
    <b v="1"/>
    <b v="0"/>
    <b v="0"/>
    <x v="6"/>
    <n v="10468341000140"/>
    <x v="125"/>
    <x v="3"/>
    <x v="3"/>
    <n v="70"/>
    <x v="0"/>
    <x v="0"/>
    <n v="285"/>
    <n v="57"/>
  </r>
  <r>
    <n v="2019"/>
    <n v="7"/>
    <x v="0"/>
    <x v="0"/>
    <x v="0"/>
    <s v="2019/2020"/>
    <b v="1"/>
    <b v="0"/>
    <b v="0"/>
    <x v="6"/>
    <n v="10468341000140"/>
    <x v="125"/>
    <x v="3"/>
    <x v="3"/>
    <n v="70"/>
    <x v="0"/>
    <x v="0"/>
    <n v="750"/>
    <n v="150"/>
  </r>
  <r>
    <n v="2019"/>
    <n v="7"/>
    <x v="0"/>
    <x v="0"/>
    <x v="0"/>
    <s v="2019/2020"/>
    <b v="1"/>
    <b v="0"/>
    <b v="0"/>
    <x v="6"/>
    <n v="10468341000140"/>
    <x v="125"/>
    <x v="3"/>
    <x v="3"/>
    <n v="73"/>
    <x v="1"/>
    <x v="4"/>
    <n v="36"/>
    <n v="3"/>
  </r>
  <r>
    <n v="2019"/>
    <n v="7"/>
    <x v="0"/>
    <x v="0"/>
    <x v="0"/>
    <s v="2019/2020"/>
    <b v="1"/>
    <b v="0"/>
    <b v="0"/>
    <x v="6"/>
    <n v="10468341000220"/>
    <x v="126"/>
    <x v="3"/>
    <x v="3"/>
    <n v="70"/>
    <x v="0"/>
    <x v="0"/>
    <n v="135"/>
    <n v="27"/>
  </r>
  <r>
    <n v="2019"/>
    <n v="7"/>
    <x v="0"/>
    <x v="0"/>
    <x v="0"/>
    <s v="2019/2020"/>
    <b v="1"/>
    <b v="0"/>
    <b v="0"/>
    <x v="6"/>
    <n v="10468341000220"/>
    <x v="126"/>
    <x v="3"/>
    <x v="3"/>
    <n v="70"/>
    <x v="0"/>
    <x v="0"/>
    <n v="500"/>
    <n v="50"/>
  </r>
  <r>
    <n v="2019"/>
    <n v="7"/>
    <x v="0"/>
    <x v="0"/>
    <x v="0"/>
    <s v="2019/2020"/>
    <b v="1"/>
    <b v="0"/>
    <b v="0"/>
    <x v="6"/>
    <n v="10468341000220"/>
    <x v="126"/>
    <x v="3"/>
    <x v="3"/>
    <n v="73"/>
    <x v="1"/>
    <x v="4"/>
    <n v="12"/>
    <n v="3"/>
  </r>
  <r>
    <n v="2019"/>
    <n v="7"/>
    <x v="0"/>
    <x v="0"/>
    <x v="0"/>
    <s v="2019/2020"/>
    <b v="1"/>
    <b v="0"/>
    <b v="0"/>
    <x v="4"/>
    <n v="10475230000160"/>
    <x v="127"/>
    <x v="3"/>
    <x v="3"/>
    <n v="70"/>
    <x v="0"/>
    <x v="0"/>
    <n v="45"/>
    <n v="9"/>
  </r>
  <r>
    <n v="2019"/>
    <n v="7"/>
    <x v="0"/>
    <x v="0"/>
    <x v="0"/>
    <s v="2019/2020"/>
    <b v="1"/>
    <b v="0"/>
    <b v="0"/>
    <x v="5"/>
    <n v="10572048000209"/>
    <x v="128"/>
    <x v="24"/>
    <x v="15"/>
    <n v="70"/>
    <x v="0"/>
    <x v="0"/>
    <n v="535"/>
    <n v="107"/>
  </r>
  <r>
    <n v="2019"/>
    <n v="7"/>
    <x v="0"/>
    <x v="0"/>
    <x v="0"/>
    <s v="2019/2020"/>
    <b v="1"/>
    <b v="0"/>
    <b v="0"/>
    <x v="5"/>
    <n v="10572048000209"/>
    <x v="128"/>
    <x v="24"/>
    <x v="15"/>
    <n v="70"/>
    <x v="0"/>
    <x v="0"/>
    <n v="1000"/>
    <n v="200"/>
  </r>
  <r>
    <n v="2019"/>
    <n v="7"/>
    <x v="0"/>
    <x v="0"/>
    <x v="0"/>
    <s v="2019/2020"/>
    <b v="1"/>
    <b v="0"/>
    <b v="0"/>
    <x v="4"/>
    <n v="10839561000132"/>
    <x v="129"/>
    <x v="24"/>
    <x v="15"/>
    <n v="73"/>
    <x v="1"/>
    <x v="4"/>
    <n v="8"/>
    <n v="2"/>
  </r>
  <r>
    <n v="2019"/>
    <n v="7"/>
    <x v="0"/>
    <x v="0"/>
    <x v="0"/>
    <s v="2019/2020"/>
    <b v="1"/>
    <b v="0"/>
    <b v="0"/>
    <x v="4"/>
    <n v="10839561000132"/>
    <x v="129"/>
    <x v="24"/>
    <x v="15"/>
    <n v="73"/>
    <x v="1"/>
    <x v="4"/>
    <n v="12"/>
    <n v="3"/>
  </r>
  <r>
    <n v="2019"/>
    <n v="7"/>
    <x v="0"/>
    <x v="0"/>
    <x v="0"/>
    <s v="2019/2020"/>
    <b v="1"/>
    <b v="0"/>
    <b v="0"/>
    <x v="4"/>
    <n v="10839561000132"/>
    <x v="129"/>
    <x v="24"/>
    <x v="15"/>
    <n v="73"/>
    <x v="1"/>
    <x v="4"/>
    <n v="16"/>
    <n v="4"/>
  </r>
  <r>
    <n v="2019"/>
    <n v="7"/>
    <x v="0"/>
    <x v="0"/>
    <x v="0"/>
    <s v="2019/2020"/>
    <b v="1"/>
    <b v="0"/>
    <b v="0"/>
    <x v="4"/>
    <n v="10839561000132"/>
    <x v="129"/>
    <x v="24"/>
    <x v="15"/>
    <n v="73"/>
    <x v="1"/>
    <x v="4"/>
    <n v="24"/>
    <n v="6"/>
  </r>
  <r>
    <n v="2019"/>
    <n v="7"/>
    <x v="0"/>
    <x v="0"/>
    <x v="0"/>
    <s v="2019/2020"/>
    <b v="1"/>
    <b v="0"/>
    <b v="0"/>
    <x v="9"/>
    <n v="10892164000124"/>
    <x v="130"/>
    <x v="24"/>
    <x v="15"/>
    <n v="62"/>
    <x v="3"/>
    <x v="5"/>
    <n v="3"/>
    <n v="3"/>
  </r>
  <r>
    <n v="2019"/>
    <n v="7"/>
    <x v="0"/>
    <x v="0"/>
    <x v="0"/>
    <s v="2019/2020"/>
    <b v="1"/>
    <b v="0"/>
    <b v="0"/>
    <x v="11"/>
    <n v="10892164000124"/>
    <x v="130"/>
    <x v="24"/>
    <x v="15"/>
    <n v="62"/>
    <x v="3"/>
    <x v="5"/>
    <n v="10"/>
    <n v="10"/>
  </r>
  <r>
    <n v="2019"/>
    <n v="7"/>
    <x v="0"/>
    <x v="0"/>
    <x v="0"/>
    <s v="2019/2020"/>
    <b v="1"/>
    <b v="0"/>
    <b v="0"/>
    <x v="2"/>
    <n v="10892164000124"/>
    <x v="130"/>
    <x v="24"/>
    <x v="15"/>
    <n v="62"/>
    <x v="3"/>
    <x v="5"/>
    <n v="4"/>
    <n v="4"/>
  </r>
  <r>
    <n v="2019"/>
    <n v="7"/>
    <x v="0"/>
    <x v="0"/>
    <x v="0"/>
    <s v="2019/2020"/>
    <b v="1"/>
    <b v="0"/>
    <b v="0"/>
    <x v="9"/>
    <n v="10892164000124"/>
    <x v="130"/>
    <x v="24"/>
    <x v="15"/>
    <n v="64"/>
    <x v="4"/>
    <x v="6"/>
    <n v="20"/>
    <n v="10"/>
  </r>
  <r>
    <n v="2019"/>
    <n v="7"/>
    <x v="0"/>
    <x v="0"/>
    <x v="0"/>
    <s v="2019/2020"/>
    <b v="1"/>
    <b v="0"/>
    <b v="0"/>
    <x v="11"/>
    <n v="10892164000124"/>
    <x v="130"/>
    <x v="24"/>
    <x v="15"/>
    <n v="64"/>
    <x v="4"/>
    <x v="6"/>
    <n v="20"/>
    <n v="20"/>
  </r>
  <r>
    <n v="2019"/>
    <n v="7"/>
    <x v="0"/>
    <x v="0"/>
    <x v="0"/>
    <s v="2019/2020"/>
    <b v="1"/>
    <b v="0"/>
    <b v="0"/>
    <x v="2"/>
    <n v="10892164000124"/>
    <x v="130"/>
    <x v="24"/>
    <x v="15"/>
    <n v="64"/>
    <x v="4"/>
    <x v="6"/>
    <n v="5"/>
    <n v="5"/>
  </r>
  <r>
    <n v="2019"/>
    <n v="7"/>
    <x v="0"/>
    <x v="0"/>
    <x v="0"/>
    <s v="2019/2020"/>
    <b v="1"/>
    <b v="0"/>
    <b v="0"/>
    <x v="9"/>
    <n v="10988301000129"/>
    <x v="131"/>
    <x v="24"/>
    <x v="15"/>
    <n v="64"/>
    <x v="4"/>
    <x v="6"/>
    <n v="10"/>
    <n v="10"/>
  </r>
  <r>
    <n v="2019"/>
    <n v="7"/>
    <x v="0"/>
    <x v="0"/>
    <x v="0"/>
    <s v="2019/2020"/>
    <b v="1"/>
    <b v="0"/>
    <b v="0"/>
    <x v="1"/>
    <n v="11006293000130"/>
    <x v="132"/>
    <x v="25"/>
    <x v="16"/>
    <n v="70"/>
    <x v="0"/>
    <x v="0"/>
    <n v="500"/>
    <n v="50"/>
  </r>
  <r>
    <n v="2019"/>
    <n v="7"/>
    <x v="0"/>
    <x v="0"/>
    <x v="0"/>
    <s v="2019/2020"/>
    <b v="1"/>
    <b v="0"/>
    <b v="0"/>
    <x v="8"/>
    <n v="11006293000130"/>
    <x v="132"/>
    <x v="25"/>
    <x v="16"/>
    <n v="73"/>
    <x v="1"/>
    <x v="1"/>
    <n v="40"/>
    <n v="20"/>
  </r>
  <r>
    <n v="2019"/>
    <n v="7"/>
    <x v="0"/>
    <x v="0"/>
    <x v="0"/>
    <s v="2019/2020"/>
    <b v="1"/>
    <b v="0"/>
    <b v="0"/>
    <x v="10"/>
    <n v="11279865000155"/>
    <x v="133"/>
    <x v="0"/>
    <x v="0"/>
    <n v="64"/>
    <x v="4"/>
    <x v="6"/>
    <n v="8"/>
    <n v="8"/>
  </r>
  <r>
    <n v="2019"/>
    <n v="7"/>
    <x v="0"/>
    <x v="0"/>
    <x v="0"/>
    <s v="2019/2020"/>
    <b v="1"/>
    <b v="0"/>
    <b v="0"/>
    <x v="2"/>
    <n v="11452240000143"/>
    <x v="134"/>
    <x v="24"/>
    <x v="15"/>
    <n v="62"/>
    <x v="3"/>
    <x v="5"/>
    <n v="2"/>
    <n v="2"/>
  </r>
  <r>
    <n v="2019"/>
    <n v="7"/>
    <x v="0"/>
    <x v="0"/>
    <x v="0"/>
    <s v="2019/2020"/>
    <b v="1"/>
    <b v="0"/>
    <b v="0"/>
    <x v="2"/>
    <n v="11452240000143"/>
    <x v="134"/>
    <x v="24"/>
    <x v="15"/>
    <n v="62"/>
    <x v="3"/>
    <x v="5"/>
    <n v="4"/>
    <n v="4"/>
  </r>
  <r>
    <n v="2019"/>
    <n v="7"/>
    <x v="0"/>
    <x v="0"/>
    <x v="0"/>
    <s v="2019/2020"/>
    <b v="1"/>
    <b v="0"/>
    <b v="0"/>
    <x v="4"/>
    <n v="11859927000106"/>
    <x v="135"/>
    <x v="4"/>
    <x v="4"/>
    <n v="73"/>
    <x v="1"/>
    <x v="2"/>
    <n v="1"/>
    <n v="1"/>
  </r>
  <r>
    <n v="2019"/>
    <n v="7"/>
    <x v="0"/>
    <x v="0"/>
    <x v="0"/>
    <s v="2019/2020"/>
    <b v="1"/>
    <b v="0"/>
    <b v="0"/>
    <x v="4"/>
    <n v="11859927000106"/>
    <x v="135"/>
    <x v="4"/>
    <x v="4"/>
    <n v="73"/>
    <x v="1"/>
    <x v="1"/>
    <n v="16"/>
    <n v="8"/>
  </r>
  <r>
    <n v="2019"/>
    <n v="7"/>
    <x v="0"/>
    <x v="0"/>
    <x v="0"/>
    <s v="2019/2020"/>
    <b v="1"/>
    <b v="0"/>
    <b v="0"/>
    <x v="11"/>
    <n v="11859927000106"/>
    <x v="135"/>
    <x v="4"/>
    <x v="4"/>
    <n v="73"/>
    <x v="1"/>
    <x v="2"/>
    <n v="1"/>
    <n v="1"/>
  </r>
  <r>
    <n v="2019"/>
    <n v="7"/>
    <x v="0"/>
    <x v="0"/>
    <x v="0"/>
    <s v="2019/2020"/>
    <b v="1"/>
    <b v="0"/>
    <b v="0"/>
    <x v="11"/>
    <n v="11859927000106"/>
    <x v="135"/>
    <x v="4"/>
    <x v="4"/>
    <n v="73"/>
    <x v="1"/>
    <x v="1"/>
    <n v="4"/>
    <n v="2"/>
  </r>
  <r>
    <n v="2019"/>
    <n v="7"/>
    <x v="0"/>
    <x v="0"/>
    <x v="0"/>
    <s v="2019/2020"/>
    <b v="1"/>
    <b v="0"/>
    <b v="0"/>
    <x v="11"/>
    <n v="11859927000106"/>
    <x v="135"/>
    <x v="4"/>
    <x v="4"/>
    <n v="73"/>
    <x v="1"/>
    <x v="2"/>
    <n v="3"/>
    <n v="3"/>
  </r>
  <r>
    <n v="2019"/>
    <n v="7"/>
    <x v="0"/>
    <x v="0"/>
    <x v="0"/>
    <s v="2019/2020"/>
    <b v="1"/>
    <b v="0"/>
    <b v="0"/>
    <x v="11"/>
    <n v="11859927000106"/>
    <x v="135"/>
    <x v="4"/>
    <x v="4"/>
    <n v="73"/>
    <x v="1"/>
    <x v="1"/>
    <n v="14"/>
    <n v="7"/>
  </r>
  <r>
    <n v="2019"/>
    <n v="7"/>
    <x v="0"/>
    <x v="0"/>
    <x v="0"/>
    <s v="2019/2020"/>
    <b v="1"/>
    <b v="0"/>
    <b v="0"/>
    <x v="2"/>
    <n v="11859927000106"/>
    <x v="135"/>
    <x v="4"/>
    <x v="4"/>
    <n v="73"/>
    <x v="1"/>
    <x v="2"/>
    <n v="1"/>
    <n v="1"/>
  </r>
  <r>
    <n v="2019"/>
    <n v="7"/>
    <x v="0"/>
    <x v="0"/>
    <x v="0"/>
    <s v="2019/2020"/>
    <b v="1"/>
    <b v="0"/>
    <b v="0"/>
    <x v="2"/>
    <n v="11859927000106"/>
    <x v="135"/>
    <x v="4"/>
    <x v="4"/>
    <n v="73"/>
    <x v="1"/>
    <x v="1"/>
    <n v="4"/>
    <n v="2"/>
  </r>
  <r>
    <n v="2019"/>
    <n v="7"/>
    <x v="0"/>
    <x v="0"/>
    <x v="0"/>
    <s v="2019/2020"/>
    <b v="1"/>
    <b v="0"/>
    <b v="0"/>
    <x v="9"/>
    <n v="12361267000517"/>
    <x v="136"/>
    <x v="49"/>
    <x v="21"/>
    <n v="70"/>
    <x v="0"/>
    <x v="0"/>
    <n v="20"/>
    <n v="4"/>
  </r>
  <r>
    <n v="2019"/>
    <n v="7"/>
    <x v="0"/>
    <x v="0"/>
    <x v="0"/>
    <s v="2019/2020"/>
    <b v="1"/>
    <b v="0"/>
    <b v="0"/>
    <x v="9"/>
    <n v="12361267009140"/>
    <x v="137"/>
    <x v="50"/>
    <x v="8"/>
    <n v="70"/>
    <x v="0"/>
    <x v="0"/>
    <n v="10"/>
    <n v="1"/>
  </r>
  <r>
    <n v="2019"/>
    <n v="7"/>
    <x v="0"/>
    <x v="0"/>
    <x v="0"/>
    <s v="2019/2020"/>
    <b v="1"/>
    <b v="0"/>
    <b v="0"/>
    <x v="9"/>
    <n v="12361267010318"/>
    <x v="138"/>
    <x v="31"/>
    <x v="17"/>
    <n v="64"/>
    <x v="4"/>
    <x v="6"/>
    <n v="4"/>
    <n v="2"/>
  </r>
  <r>
    <n v="2019"/>
    <n v="7"/>
    <x v="0"/>
    <x v="0"/>
    <x v="0"/>
    <s v="2019/2020"/>
    <b v="1"/>
    <b v="0"/>
    <b v="0"/>
    <x v="9"/>
    <n v="12361267010318"/>
    <x v="138"/>
    <x v="31"/>
    <x v="17"/>
    <n v="64"/>
    <x v="4"/>
    <x v="6"/>
    <n v="3"/>
    <n v="3"/>
  </r>
  <r>
    <n v="2019"/>
    <n v="7"/>
    <x v="0"/>
    <x v="0"/>
    <x v="0"/>
    <s v="2019/2020"/>
    <b v="1"/>
    <b v="0"/>
    <b v="0"/>
    <x v="9"/>
    <n v="12361267010318"/>
    <x v="138"/>
    <x v="31"/>
    <x v="17"/>
    <n v="70"/>
    <x v="0"/>
    <x v="0"/>
    <n v="60"/>
    <n v="6"/>
  </r>
  <r>
    <n v="2019"/>
    <n v="7"/>
    <x v="0"/>
    <x v="0"/>
    <x v="0"/>
    <s v="2019/2020"/>
    <b v="1"/>
    <b v="0"/>
    <b v="0"/>
    <x v="9"/>
    <n v="12361267010318"/>
    <x v="138"/>
    <x v="31"/>
    <x v="17"/>
    <n v="70"/>
    <x v="0"/>
    <x v="0"/>
    <n v="40"/>
    <n v="8"/>
  </r>
  <r>
    <n v="2019"/>
    <n v="7"/>
    <x v="0"/>
    <x v="0"/>
    <x v="0"/>
    <s v="2019/2020"/>
    <b v="1"/>
    <b v="0"/>
    <b v="0"/>
    <x v="9"/>
    <n v="12361267010318"/>
    <x v="138"/>
    <x v="31"/>
    <x v="17"/>
    <n v="70"/>
    <x v="0"/>
    <x v="0"/>
    <n v="65"/>
    <n v="13"/>
  </r>
  <r>
    <n v="2019"/>
    <n v="7"/>
    <x v="0"/>
    <x v="0"/>
    <x v="0"/>
    <s v="2019/2020"/>
    <b v="1"/>
    <b v="0"/>
    <b v="0"/>
    <x v="9"/>
    <n v="12361267010318"/>
    <x v="138"/>
    <x v="31"/>
    <x v="17"/>
    <n v="70"/>
    <x v="0"/>
    <x v="0"/>
    <n v="125"/>
    <n v="25"/>
  </r>
  <r>
    <n v="2019"/>
    <n v="7"/>
    <x v="0"/>
    <x v="0"/>
    <x v="0"/>
    <s v="2019/2020"/>
    <b v="1"/>
    <b v="0"/>
    <b v="0"/>
    <x v="9"/>
    <n v="12361267011632"/>
    <x v="139"/>
    <x v="51"/>
    <x v="22"/>
    <n v="70"/>
    <x v="0"/>
    <x v="0"/>
    <n v="125"/>
    <n v="25"/>
  </r>
  <r>
    <n v="2019"/>
    <n v="7"/>
    <x v="0"/>
    <x v="0"/>
    <x v="0"/>
    <s v="2019/2020"/>
    <b v="1"/>
    <b v="0"/>
    <b v="0"/>
    <x v="9"/>
    <n v="12361267011802"/>
    <x v="140"/>
    <x v="32"/>
    <x v="18"/>
    <n v="62"/>
    <x v="3"/>
    <x v="5"/>
    <n v="2"/>
    <n v="2"/>
  </r>
  <r>
    <n v="2019"/>
    <n v="7"/>
    <x v="0"/>
    <x v="0"/>
    <x v="0"/>
    <s v="2019/2020"/>
    <b v="1"/>
    <b v="0"/>
    <b v="0"/>
    <x v="9"/>
    <n v="12361267011802"/>
    <x v="140"/>
    <x v="32"/>
    <x v="18"/>
    <n v="62"/>
    <x v="3"/>
    <x v="5"/>
    <n v="4"/>
    <n v="4"/>
  </r>
  <r>
    <n v="2019"/>
    <n v="7"/>
    <x v="0"/>
    <x v="0"/>
    <x v="0"/>
    <s v="2019/2020"/>
    <b v="1"/>
    <b v="0"/>
    <b v="0"/>
    <x v="9"/>
    <n v="12361267011802"/>
    <x v="140"/>
    <x v="32"/>
    <x v="18"/>
    <n v="64"/>
    <x v="4"/>
    <x v="6"/>
    <n v="4"/>
    <n v="2"/>
  </r>
  <r>
    <n v="2019"/>
    <n v="7"/>
    <x v="0"/>
    <x v="0"/>
    <x v="0"/>
    <s v="2019/2020"/>
    <b v="1"/>
    <b v="0"/>
    <b v="0"/>
    <x v="4"/>
    <n v="12442737000496"/>
    <x v="141"/>
    <x v="19"/>
    <x v="14"/>
    <n v="70"/>
    <x v="0"/>
    <x v="0"/>
    <n v="400"/>
    <n v="80"/>
  </r>
  <r>
    <n v="2019"/>
    <n v="7"/>
    <x v="0"/>
    <x v="0"/>
    <x v="0"/>
    <s v="2019/2020"/>
    <b v="1"/>
    <b v="0"/>
    <b v="0"/>
    <x v="9"/>
    <n v="12568570000161"/>
    <x v="142"/>
    <x v="32"/>
    <x v="18"/>
    <n v="70"/>
    <x v="0"/>
    <x v="0"/>
    <n v="5"/>
    <n v="1"/>
  </r>
  <r>
    <n v="2019"/>
    <n v="7"/>
    <x v="0"/>
    <x v="0"/>
    <x v="0"/>
    <s v="2019/2020"/>
    <b v="1"/>
    <b v="0"/>
    <b v="0"/>
    <x v="9"/>
    <n v="12568570000161"/>
    <x v="142"/>
    <x v="32"/>
    <x v="18"/>
    <n v="70"/>
    <x v="0"/>
    <x v="0"/>
    <n v="125"/>
    <n v="25"/>
  </r>
  <r>
    <n v="2019"/>
    <n v="7"/>
    <x v="0"/>
    <x v="0"/>
    <x v="0"/>
    <s v="2019/2020"/>
    <b v="1"/>
    <b v="0"/>
    <b v="0"/>
    <x v="12"/>
    <n v="13016092000140"/>
    <x v="143"/>
    <x v="31"/>
    <x v="17"/>
    <n v="64"/>
    <x v="4"/>
    <x v="6"/>
    <n v="4"/>
    <n v="4"/>
  </r>
  <r>
    <n v="2019"/>
    <n v="7"/>
    <x v="0"/>
    <x v="0"/>
    <x v="0"/>
    <s v="2019/2020"/>
    <b v="1"/>
    <b v="0"/>
    <b v="0"/>
    <x v="12"/>
    <n v="13016092000140"/>
    <x v="143"/>
    <x v="31"/>
    <x v="17"/>
    <n v="64"/>
    <x v="4"/>
    <x v="6"/>
    <n v="6"/>
    <n v="6"/>
  </r>
  <r>
    <n v="2019"/>
    <n v="7"/>
    <x v="0"/>
    <x v="0"/>
    <x v="0"/>
    <s v="2019/2020"/>
    <b v="1"/>
    <b v="0"/>
    <b v="0"/>
    <x v="18"/>
    <n v="13016332000106"/>
    <x v="144"/>
    <x v="49"/>
    <x v="21"/>
    <n v="62"/>
    <x v="3"/>
    <x v="5"/>
    <n v="1"/>
    <n v="1"/>
  </r>
  <r>
    <n v="2019"/>
    <n v="7"/>
    <x v="0"/>
    <x v="0"/>
    <x v="0"/>
    <s v="2019/2020"/>
    <b v="1"/>
    <b v="0"/>
    <b v="0"/>
    <x v="18"/>
    <n v="13016332000106"/>
    <x v="144"/>
    <x v="49"/>
    <x v="21"/>
    <n v="62"/>
    <x v="3"/>
    <x v="5"/>
    <n v="2"/>
    <n v="2"/>
  </r>
  <r>
    <n v="2019"/>
    <n v="7"/>
    <x v="0"/>
    <x v="0"/>
    <x v="0"/>
    <s v="2019/2020"/>
    <b v="1"/>
    <b v="0"/>
    <b v="0"/>
    <x v="18"/>
    <n v="13016332000106"/>
    <x v="144"/>
    <x v="49"/>
    <x v="21"/>
    <n v="70"/>
    <x v="0"/>
    <x v="0"/>
    <n v="15"/>
    <n v="3"/>
  </r>
  <r>
    <n v="2019"/>
    <n v="7"/>
    <x v="0"/>
    <x v="0"/>
    <x v="0"/>
    <s v="2019/2020"/>
    <b v="1"/>
    <b v="0"/>
    <b v="0"/>
    <x v="18"/>
    <n v="13131370000100"/>
    <x v="145"/>
    <x v="49"/>
    <x v="21"/>
    <n v="70"/>
    <x v="0"/>
    <x v="0"/>
    <n v="150"/>
    <n v="30"/>
  </r>
  <r>
    <n v="2019"/>
    <n v="7"/>
    <x v="0"/>
    <x v="0"/>
    <x v="0"/>
    <s v="2019/2020"/>
    <b v="1"/>
    <b v="0"/>
    <b v="0"/>
    <x v="18"/>
    <n v="13131370000100"/>
    <x v="145"/>
    <x v="49"/>
    <x v="21"/>
    <n v="70"/>
    <x v="0"/>
    <x v="0"/>
    <n v="400"/>
    <n v="40"/>
  </r>
  <r>
    <n v="2019"/>
    <n v="7"/>
    <x v="0"/>
    <x v="0"/>
    <x v="0"/>
    <s v="2019/2020"/>
    <b v="1"/>
    <b v="0"/>
    <b v="0"/>
    <x v="18"/>
    <n v="13131370000100"/>
    <x v="145"/>
    <x v="49"/>
    <x v="21"/>
    <n v="73"/>
    <x v="1"/>
    <x v="1"/>
    <n v="8"/>
    <n v="4"/>
  </r>
  <r>
    <n v="2019"/>
    <n v="7"/>
    <x v="0"/>
    <x v="0"/>
    <x v="0"/>
    <s v="2019/2020"/>
    <b v="1"/>
    <b v="0"/>
    <b v="0"/>
    <x v="18"/>
    <n v="13131370000100"/>
    <x v="145"/>
    <x v="49"/>
    <x v="21"/>
    <n v="73"/>
    <x v="1"/>
    <x v="4"/>
    <n v="16"/>
    <n v="4"/>
  </r>
  <r>
    <n v="2019"/>
    <n v="7"/>
    <x v="0"/>
    <x v="0"/>
    <x v="0"/>
    <s v="2019/2020"/>
    <b v="1"/>
    <b v="0"/>
    <b v="0"/>
    <x v="18"/>
    <n v="13131370000100"/>
    <x v="145"/>
    <x v="49"/>
    <x v="21"/>
    <n v="73"/>
    <x v="1"/>
    <x v="2"/>
    <n v="4"/>
    <n v="4"/>
  </r>
  <r>
    <n v="2019"/>
    <n v="7"/>
    <x v="0"/>
    <x v="0"/>
    <x v="0"/>
    <s v="2019/2020"/>
    <b v="1"/>
    <b v="0"/>
    <b v="0"/>
    <x v="18"/>
    <n v="13131370000100"/>
    <x v="145"/>
    <x v="49"/>
    <x v="21"/>
    <n v="73"/>
    <x v="1"/>
    <x v="4"/>
    <n v="24"/>
    <n v="6"/>
  </r>
  <r>
    <n v="2019"/>
    <n v="7"/>
    <x v="0"/>
    <x v="0"/>
    <x v="0"/>
    <s v="2019/2020"/>
    <b v="1"/>
    <b v="0"/>
    <b v="0"/>
    <x v="18"/>
    <n v="13131370000100"/>
    <x v="145"/>
    <x v="49"/>
    <x v="21"/>
    <n v="73"/>
    <x v="1"/>
    <x v="2"/>
    <n v="8"/>
    <n v="8"/>
  </r>
  <r>
    <n v="2019"/>
    <n v="7"/>
    <x v="0"/>
    <x v="0"/>
    <x v="0"/>
    <s v="2019/2020"/>
    <b v="1"/>
    <b v="0"/>
    <b v="0"/>
    <x v="12"/>
    <n v="13284872000170"/>
    <x v="146"/>
    <x v="52"/>
    <x v="17"/>
    <n v="70"/>
    <x v="0"/>
    <x v="0"/>
    <n v="5"/>
    <n v="1"/>
  </r>
  <r>
    <n v="2019"/>
    <n v="7"/>
    <x v="0"/>
    <x v="0"/>
    <x v="0"/>
    <s v="2019/2020"/>
    <b v="1"/>
    <b v="0"/>
    <b v="0"/>
    <x v="2"/>
    <n v="13356779000124"/>
    <x v="147"/>
    <x v="49"/>
    <x v="21"/>
    <n v="62"/>
    <x v="3"/>
    <x v="5"/>
    <n v="4"/>
    <n v="2"/>
  </r>
  <r>
    <n v="2019"/>
    <n v="7"/>
    <x v="0"/>
    <x v="0"/>
    <x v="0"/>
    <s v="2019/2020"/>
    <b v="1"/>
    <b v="0"/>
    <b v="0"/>
    <x v="17"/>
    <n v="13718999000150"/>
    <x v="148"/>
    <x v="3"/>
    <x v="3"/>
    <n v="73"/>
    <x v="1"/>
    <x v="4"/>
    <n v="4"/>
    <n v="1"/>
  </r>
  <r>
    <n v="2019"/>
    <n v="7"/>
    <x v="0"/>
    <x v="0"/>
    <x v="0"/>
    <s v="2019/2020"/>
    <b v="1"/>
    <b v="0"/>
    <b v="0"/>
    <x v="17"/>
    <n v="13718999001041"/>
    <x v="149"/>
    <x v="33"/>
    <x v="3"/>
    <n v="73"/>
    <x v="1"/>
    <x v="4"/>
    <n v="4"/>
    <n v="1"/>
  </r>
  <r>
    <n v="2019"/>
    <n v="7"/>
    <x v="0"/>
    <x v="0"/>
    <x v="0"/>
    <s v="2019/2020"/>
    <b v="1"/>
    <b v="0"/>
    <b v="0"/>
    <x v="2"/>
    <n v="13952064000134"/>
    <x v="150"/>
    <x v="31"/>
    <x v="17"/>
    <n v="62"/>
    <x v="3"/>
    <x v="5"/>
    <n v="3"/>
    <n v="3"/>
  </r>
  <r>
    <n v="2019"/>
    <n v="7"/>
    <x v="0"/>
    <x v="0"/>
    <x v="0"/>
    <s v="2019/2020"/>
    <b v="1"/>
    <b v="0"/>
    <b v="0"/>
    <x v="12"/>
    <n v="14074546000100"/>
    <x v="151"/>
    <x v="53"/>
    <x v="17"/>
    <n v="64"/>
    <x v="4"/>
    <x v="6"/>
    <n v="1"/>
    <n v="1"/>
  </r>
  <r>
    <n v="2019"/>
    <n v="7"/>
    <x v="0"/>
    <x v="0"/>
    <x v="0"/>
    <s v="2019/2020"/>
    <b v="1"/>
    <b v="0"/>
    <b v="0"/>
    <x v="3"/>
    <n v="14408631000159"/>
    <x v="152"/>
    <x v="54"/>
    <x v="2"/>
    <n v="73"/>
    <x v="1"/>
    <x v="1"/>
    <n v="8"/>
    <n v="2"/>
  </r>
  <r>
    <n v="2019"/>
    <n v="7"/>
    <x v="0"/>
    <x v="0"/>
    <x v="0"/>
    <s v="2019/2020"/>
    <b v="1"/>
    <b v="0"/>
    <b v="0"/>
    <x v="17"/>
    <n v="15016827000160"/>
    <x v="153"/>
    <x v="23"/>
    <x v="12"/>
    <n v="62"/>
    <x v="3"/>
    <x v="5"/>
    <n v="4"/>
    <n v="4"/>
  </r>
  <r>
    <n v="2019"/>
    <n v="7"/>
    <x v="0"/>
    <x v="0"/>
    <x v="0"/>
    <s v="2019/2020"/>
    <b v="1"/>
    <b v="0"/>
    <b v="0"/>
    <x v="12"/>
    <n v="15016827000160"/>
    <x v="153"/>
    <x v="23"/>
    <x v="12"/>
    <n v="64"/>
    <x v="4"/>
    <x v="6"/>
    <n v="2"/>
    <n v="2"/>
  </r>
  <r>
    <n v="2019"/>
    <n v="7"/>
    <x v="0"/>
    <x v="0"/>
    <x v="0"/>
    <s v="2019/2020"/>
    <b v="1"/>
    <b v="0"/>
    <b v="0"/>
    <x v="12"/>
    <n v="15016827000160"/>
    <x v="153"/>
    <x v="23"/>
    <x v="12"/>
    <n v="64"/>
    <x v="4"/>
    <x v="6"/>
    <n v="8"/>
    <n v="8"/>
  </r>
  <r>
    <n v="2019"/>
    <n v="7"/>
    <x v="0"/>
    <x v="0"/>
    <x v="0"/>
    <s v="2019/2020"/>
    <b v="1"/>
    <b v="0"/>
    <b v="0"/>
    <x v="19"/>
    <n v="15126437000224"/>
    <x v="154"/>
    <x v="40"/>
    <x v="20"/>
    <n v="64"/>
    <x v="4"/>
    <x v="6"/>
    <n v="5"/>
    <n v="5"/>
  </r>
  <r>
    <n v="2019"/>
    <n v="7"/>
    <x v="0"/>
    <x v="0"/>
    <x v="0"/>
    <s v="2019/2020"/>
    <b v="1"/>
    <b v="0"/>
    <b v="0"/>
    <x v="1"/>
    <n v="15126437000496"/>
    <x v="155"/>
    <x v="25"/>
    <x v="16"/>
    <n v="62"/>
    <x v="3"/>
    <x v="5"/>
    <n v="1"/>
    <n v="1"/>
  </r>
  <r>
    <n v="2019"/>
    <n v="7"/>
    <x v="0"/>
    <x v="0"/>
    <x v="0"/>
    <s v="2019/2020"/>
    <b v="1"/>
    <b v="0"/>
    <b v="0"/>
    <x v="5"/>
    <n v="15126437000739"/>
    <x v="156"/>
    <x v="10"/>
    <x v="8"/>
    <n v="64"/>
    <x v="4"/>
    <x v="6"/>
    <n v="100"/>
    <n v="100"/>
  </r>
  <r>
    <n v="2019"/>
    <n v="7"/>
    <x v="0"/>
    <x v="0"/>
    <x v="0"/>
    <s v="2019/2020"/>
    <b v="1"/>
    <b v="0"/>
    <b v="0"/>
    <x v="5"/>
    <n v="15126437001972"/>
    <x v="157"/>
    <x v="47"/>
    <x v="11"/>
    <n v="64"/>
    <x v="4"/>
    <x v="6"/>
    <n v="15"/>
    <n v="15"/>
  </r>
  <r>
    <n v="2019"/>
    <n v="7"/>
    <x v="0"/>
    <x v="0"/>
    <x v="0"/>
    <s v="2019/2020"/>
    <b v="1"/>
    <b v="0"/>
    <b v="0"/>
    <x v="2"/>
    <n v="15153745000249"/>
    <x v="158"/>
    <x v="31"/>
    <x v="17"/>
    <n v="62"/>
    <x v="3"/>
    <x v="5"/>
    <n v="2"/>
    <n v="2"/>
  </r>
  <r>
    <n v="2019"/>
    <n v="7"/>
    <x v="0"/>
    <x v="0"/>
    <x v="0"/>
    <s v="2019/2020"/>
    <b v="1"/>
    <b v="0"/>
    <b v="0"/>
    <x v="9"/>
    <n v="15153745002705"/>
    <x v="159"/>
    <x v="31"/>
    <x v="17"/>
    <n v="64"/>
    <x v="4"/>
    <x v="6"/>
    <n v="5"/>
    <n v="5"/>
  </r>
  <r>
    <n v="2019"/>
    <n v="7"/>
    <x v="0"/>
    <x v="0"/>
    <x v="0"/>
    <s v="2019/2020"/>
    <b v="1"/>
    <b v="0"/>
    <b v="0"/>
    <x v="7"/>
    <n v="15153745002705"/>
    <x v="159"/>
    <x v="31"/>
    <x v="17"/>
    <n v="64"/>
    <x v="4"/>
    <x v="6"/>
    <n v="4"/>
    <n v="4"/>
  </r>
  <r>
    <n v="2019"/>
    <n v="7"/>
    <x v="0"/>
    <x v="0"/>
    <x v="0"/>
    <s v="2019/2020"/>
    <b v="1"/>
    <b v="0"/>
    <b v="0"/>
    <x v="2"/>
    <n v="15153745002705"/>
    <x v="159"/>
    <x v="31"/>
    <x v="17"/>
    <n v="64"/>
    <x v="4"/>
    <x v="6"/>
    <n v="2"/>
    <n v="2"/>
  </r>
  <r>
    <n v="2019"/>
    <n v="7"/>
    <x v="0"/>
    <x v="0"/>
    <x v="0"/>
    <s v="2019/2020"/>
    <b v="1"/>
    <b v="0"/>
    <b v="0"/>
    <x v="9"/>
    <n v="15166416000151"/>
    <x v="160"/>
    <x v="31"/>
    <x v="17"/>
    <n v="62"/>
    <x v="3"/>
    <x v="5"/>
    <n v="1"/>
    <n v="1"/>
  </r>
  <r>
    <n v="2019"/>
    <n v="7"/>
    <x v="0"/>
    <x v="0"/>
    <x v="0"/>
    <s v="2019/2020"/>
    <b v="1"/>
    <b v="0"/>
    <b v="0"/>
    <x v="9"/>
    <n v="15166416000151"/>
    <x v="160"/>
    <x v="31"/>
    <x v="17"/>
    <n v="62"/>
    <x v="3"/>
    <x v="5"/>
    <n v="10"/>
    <n v="2"/>
  </r>
  <r>
    <n v="2019"/>
    <n v="7"/>
    <x v="0"/>
    <x v="0"/>
    <x v="0"/>
    <s v="2019/2020"/>
    <b v="1"/>
    <b v="0"/>
    <b v="0"/>
    <x v="9"/>
    <n v="15166416000151"/>
    <x v="160"/>
    <x v="31"/>
    <x v="17"/>
    <n v="64"/>
    <x v="4"/>
    <x v="6"/>
    <n v="2"/>
    <n v="1"/>
  </r>
  <r>
    <n v="2019"/>
    <n v="7"/>
    <x v="0"/>
    <x v="0"/>
    <x v="0"/>
    <s v="2019/2020"/>
    <b v="1"/>
    <b v="0"/>
    <b v="0"/>
    <x v="9"/>
    <n v="15166416000151"/>
    <x v="160"/>
    <x v="31"/>
    <x v="17"/>
    <n v="64"/>
    <x v="4"/>
    <x v="6"/>
    <n v="2"/>
    <n v="2"/>
  </r>
  <r>
    <n v="2019"/>
    <n v="7"/>
    <x v="0"/>
    <x v="0"/>
    <x v="0"/>
    <s v="2019/2020"/>
    <b v="1"/>
    <b v="0"/>
    <b v="0"/>
    <x v="9"/>
    <n v="15166416000151"/>
    <x v="160"/>
    <x v="31"/>
    <x v="17"/>
    <n v="64"/>
    <x v="4"/>
    <x v="6"/>
    <n v="9"/>
    <n v="3"/>
  </r>
  <r>
    <n v="2019"/>
    <n v="7"/>
    <x v="0"/>
    <x v="0"/>
    <x v="0"/>
    <s v="2019/2020"/>
    <b v="1"/>
    <b v="0"/>
    <b v="0"/>
    <x v="9"/>
    <n v="15166416000151"/>
    <x v="160"/>
    <x v="31"/>
    <x v="17"/>
    <n v="64"/>
    <x v="4"/>
    <x v="6"/>
    <n v="4"/>
    <n v="4"/>
  </r>
  <r>
    <n v="2019"/>
    <n v="7"/>
    <x v="0"/>
    <x v="0"/>
    <x v="0"/>
    <s v="2019/2020"/>
    <b v="1"/>
    <b v="0"/>
    <b v="0"/>
    <x v="11"/>
    <n v="15170723000106"/>
    <x v="161"/>
    <x v="31"/>
    <x v="17"/>
    <n v="62"/>
    <x v="3"/>
    <x v="5"/>
    <n v="1"/>
    <n v="1"/>
  </r>
  <r>
    <n v="2019"/>
    <n v="7"/>
    <x v="0"/>
    <x v="0"/>
    <x v="0"/>
    <s v="2019/2020"/>
    <b v="1"/>
    <b v="0"/>
    <b v="0"/>
    <x v="11"/>
    <n v="15170723000106"/>
    <x v="161"/>
    <x v="31"/>
    <x v="17"/>
    <n v="64"/>
    <x v="4"/>
    <x v="6"/>
    <n v="10"/>
    <n v="10"/>
  </r>
  <r>
    <n v="2019"/>
    <n v="7"/>
    <x v="0"/>
    <x v="0"/>
    <x v="0"/>
    <s v="2019/2020"/>
    <b v="1"/>
    <b v="0"/>
    <b v="0"/>
    <x v="12"/>
    <n v="15170723000106"/>
    <x v="161"/>
    <x v="31"/>
    <x v="17"/>
    <n v="64"/>
    <x v="4"/>
    <x v="6"/>
    <n v="1"/>
    <n v="1"/>
  </r>
  <r>
    <n v="2019"/>
    <n v="7"/>
    <x v="0"/>
    <x v="0"/>
    <x v="0"/>
    <s v="2019/2020"/>
    <b v="1"/>
    <b v="0"/>
    <b v="0"/>
    <x v="9"/>
    <n v="15170723000106"/>
    <x v="161"/>
    <x v="31"/>
    <x v="17"/>
    <n v="70"/>
    <x v="0"/>
    <x v="0"/>
    <n v="300"/>
    <n v="60"/>
  </r>
  <r>
    <n v="2019"/>
    <n v="7"/>
    <x v="0"/>
    <x v="0"/>
    <x v="0"/>
    <s v="2019/2020"/>
    <b v="1"/>
    <b v="0"/>
    <b v="0"/>
    <x v="12"/>
    <n v="15170723000530"/>
    <x v="162"/>
    <x v="53"/>
    <x v="17"/>
    <n v="64"/>
    <x v="4"/>
    <x v="6"/>
    <n v="1"/>
    <n v="1"/>
  </r>
  <r>
    <n v="2019"/>
    <n v="7"/>
    <x v="0"/>
    <x v="0"/>
    <x v="0"/>
    <s v="2019/2020"/>
    <b v="1"/>
    <b v="0"/>
    <b v="0"/>
    <x v="5"/>
    <n v="15180714000368"/>
    <x v="163"/>
    <x v="31"/>
    <x v="17"/>
    <n v="64"/>
    <x v="4"/>
    <x v="6"/>
    <n v="12"/>
    <n v="12"/>
  </r>
  <r>
    <n v="2019"/>
    <n v="7"/>
    <x v="0"/>
    <x v="0"/>
    <x v="0"/>
    <s v="2019/2020"/>
    <b v="1"/>
    <b v="0"/>
    <b v="0"/>
    <x v="11"/>
    <n v="15180714000520"/>
    <x v="164"/>
    <x v="31"/>
    <x v="17"/>
    <n v="62"/>
    <x v="3"/>
    <x v="5"/>
    <n v="5"/>
    <n v="5"/>
  </r>
  <r>
    <n v="2019"/>
    <n v="7"/>
    <x v="0"/>
    <x v="0"/>
    <x v="0"/>
    <s v="2019/2020"/>
    <b v="1"/>
    <b v="0"/>
    <b v="0"/>
    <x v="12"/>
    <n v="15194004000125"/>
    <x v="165"/>
    <x v="31"/>
    <x v="17"/>
    <n v="64"/>
    <x v="4"/>
    <x v="6"/>
    <n v="2"/>
    <n v="2"/>
  </r>
  <r>
    <n v="2019"/>
    <n v="7"/>
    <x v="0"/>
    <x v="0"/>
    <x v="0"/>
    <s v="2019/2020"/>
    <b v="1"/>
    <b v="0"/>
    <b v="0"/>
    <x v="9"/>
    <n v="15242761000127"/>
    <x v="166"/>
    <x v="31"/>
    <x v="17"/>
    <n v="70"/>
    <x v="0"/>
    <x v="0"/>
    <n v="100"/>
    <n v="20"/>
  </r>
  <r>
    <n v="2019"/>
    <n v="7"/>
    <x v="0"/>
    <x v="0"/>
    <x v="0"/>
    <s v="2019/2020"/>
    <b v="1"/>
    <b v="0"/>
    <b v="0"/>
    <x v="9"/>
    <n v="15242761000127"/>
    <x v="166"/>
    <x v="31"/>
    <x v="17"/>
    <n v="73"/>
    <x v="1"/>
    <x v="4"/>
    <n v="16"/>
    <n v="4"/>
  </r>
  <r>
    <n v="2019"/>
    <n v="7"/>
    <x v="0"/>
    <x v="0"/>
    <x v="0"/>
    <s v="2019/2020"/>
    <b v="1"/>
    <b v="0"/>
    <b v="0"/>
    <x v="9"/>
    <n v="15242761000127"/>
    <x v="166"/>
    <x v="31"/>
    <x v="17"/>
    <n v="73"/>
    <x v="1"/>
    <x v="2"/>
    <n v="6"/>
    <n v="6"/>
  </r>
  <r>
    <n v="2019"/>
    <n v="7"/>
    <x v="0"/>
    <x v="0"/>
    <x v="0"/>
    <s v="2019/2020"/>
    <b v="1"/>
    <b v="0"/>
    <b v="0"/>
    <x v="9"/>
    <n v="15242761000127"/>
    <x v="166"/>
    <x v="31"/>
    <x v="17"/>
    <n v="73"/>
    <x v="1"/>
    <x v="2"/>
    <n v="8"/>
    <n v="8"/>
  </r>
  <r>
    <n v="2019"/>
    <n v="7"/>
    <x v="0"/>
    <x v="0"/>
    <x v="0"/>
    <s v="2019/2020"/>
    <b v="1"/>
    <b v="0"/>
    <b v="0"/>
    <x v="9"/>
    <n v="15242761000127"/>
    <x v="166"/>
    <x v="31"/>
    <x v="17"/>
    <n v="73"/>
    <x v="1"/>
    <x v="4"/>
    <n v="36"/>
    <n v="9"/>
  </r>
  <r>
    <n v="2019"/>
    <n v="7"/>
    <x v="0"/>
    <x v="0"/>
    <x v="0"/>
    <s v="2019/2020"/>
    <b v="1"/>
    <b v="0"/>
    <b v="0"/>
    <x v="9"/>
    <n v="15242761000127"/>
    <x v="166"/>
    <x v="31"/>
    <x v="17"/>
    <n v="73"/>
    <x v="1"/>
    <x v="4"/>
    <n v="48"/>
    <n v="12"/>
  </r>
  <r>
    <n v="2019"/>
    <n v="7"/>
    <x v="0"/>
    <x v="0"/>
    <x v="0"/>
    <s v="2019/2020"/>
    <b v="1"/>
    <b v="0"/>
    <b v="0"/>
    <x v="18"/>
    <n v="15592785000106"/>
    <x v="167"/>
    <x v="49"/>
    <x v="21"/>
    <n v="70"/>
    <x v="0"/>
    <x v="0"/>
    <n v="100"/>
    <n v="20"/>
  </r>
  <r>
    <n v="2019"/>
    <n v="7"/>
    <x v="0"/>
    <x v="0"/>
    <x v="0"/>
    <s v="2019/2020"/>
    <b v="1"/>
    <b v="0"/>
    <b v="0"/>
    <x v="17"/>
    <n v="16676520000159"/>
    <x v="168"/>
    <x v="6"/>
    <x v="2"/>
    <n v="66"/>
    <x v="2"/>
    <x v="3"/>
    <n v="2"/>
    <n v="2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1"/>
    <n v="2"/>
    <n v="1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4"/>
    <n v="16"/>
    <n v="1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2"/>
    <n v="1"/>
    <n v="1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1"/>
    <n v="12"/>
    <n v="2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2"/>
    <n v="4"/>
    <n v="2"/>
  </r>
  <r>
    <n v="2019"/>
    <n v="7"/>
    <x v="0"/>
    <x v="0"/>
    <x v="0"/>
    <s v="2019/2020"/>
    <b v="1"/>
    <b v="0"/>
    <b v="0"/>
    <x v="8"/>
    <n v="16739984000167"/>
    <x v="169"/>
    <x v="4"/>
    <x v="4"/>
    <n v="73"/>
    <x v="1"/>
    <x v="1"/>
    <n v="6"/>
    <n v="3"/>
  </r>
  <r>
    <n v="2019"/>
    <n v="7"/>
    <x v="0"/>
    <x v="0"/>
    <x v="0"/>
    <s v="2019/2020"/>
    <b v="1"/>
    <b v="0"/>
    <b v="0"/>
    <x v="16"/>
    <n v="17034086000176"/>
    <x v="170"/>
    <x v="55"/>
    <x v="10"/>
    <n v="64"/>
    <x v="4"/>
    <x v="6"/>
    <n v="5"/>
    <n v="5"/>
  </r>
  <r>
    <n v="2019"/>
    <n v="7"/>
    <x v="0"/>
    <x v="0"/>
    <x v="0"/>
    <s v="2019/2020"/>
    <b v="1"/>
    <b v="0"/>
    <b v="0"/>
    <x v="4"/>
    <n v="17087591000189"/>
    <x v="171"/>
    <x v="56"/>
    <x v="2"/>
    <n v="62"/>
    <x v="3"/>
    <x v="5"/>
    <n v="5"/>
    <n v="5"/>
  </r>
  <r>
    <n v="2019"/>
    <n v="7"/>
    <x v="0"/>
    <x v="0"/>
    <x v="0"/>
    <s v="2019/2020"/>
    <b v="1"/>
    <b v="0"/>
    <b v="0"/>
    <x v="10"/>
    <n v="17087591000189"/>
    <x v="171"/>
    <x v="56"/>
    <x v="2"/>
    <n v="62"/>
    <x v="3"/>
    <x v="5"/>
    <n v="2"/>
    <n v="2"/>
  </r>
  <r>
    <n v="2019"/>
    <n v="7"/>
    <x v="0"/>
    <x v="0"/>
    <x v="0"/>
    <s v="2019/2020"/>
    <b v="1"/>
    <b v="0"/>
    <b v="0"/>
    <x v="11"/>
    <n v="17214149000176"/>
    <x v="172"/>
    <x v="6"/>
    <x v="2"/>
    <n v="62"/>
    <x v="3"/>
    <x v="5"/>
    <n v="10"/>
    <n v="10"/>
  </r>
  <r>
    <n v="2019"/>
    <n v="7"/>
    <x v="0"/>
    <x v="0"/>
    <x v="0"/>
    <s v="2019/2020"/>
    <b v="1"/>
    <b v="0"/>
    <b v="0"/>
    <x v="3"/>
    <n v="17689407000928"/>
    <x v="173"/>
    <x v="57"/>
    <x v="2"/>
    <n v="73"/>
    <x v="1"/>
    <x v="2"/>
    <n v="4"/>
    <n v="4"/>
  </r>
  <r>
    <n v="2019"/>
    <n v="7"/>
    <x v="0"/>
    <x v="0"/>
    <x v="0"/>
    <s v="2019/2020"/>
    <b v="1"/>
    <b v="0"/>
    <b v="0"/>
    <x v="10"/>
    <n v="18010750000100"/>
    <x v="174"/>
    <x v="0"/>
    <x v="0"/>
    <n v="70"/>
    <x v="0"/>
    <x v="7"/>
    <n v="150"/>
    <n v="15"/>
  </r>
  <r>
    <n v="2019"/>
    <n v="7"/>
    <x v="0"/>
    <x v="0"/>
    <x v="0"/>
    <s v="2019/2020"/>
    <b v="1"/>
    <b v="0"/>
    <b v="0"/>
    <x v="6"/>
    <n v="18180008000142"/>
    <x v="175"/>
    <x v="3"/>
    <x v="3"/>
    <n v="64"/>
    <x v="4"/>
    <x v="6"/>
    <n v="2"/>
    <n v="2"/>
  </r>
  <r>
    <n v="2019"/>
    <n v="7"/>
    <x v="0"/>
    <x v="0"/>
    <x v="0"/>
    <s v="2019/2020"/>
    <b v="1"/>
    <b v="0"/>
    <b v="0"/>
    <x v="17"/>
    <n v="18321477000134"/>
    <x v="176"/>
    <x v="35"/>
    <x v="3"/>
    <n v="73"/>
    <x v="1"/>
    <x v="4"/>
    <n v="48"/>
    <n v="12"/>
  </r>
  <r>
    <n v="2019"/>
    <n v="7"/>
    <x v="0"/>
    <x v="0"/>
    <x v="0"/>
    <s v="2019/2020"/>
    <b v="1"/>
    <b v="0"/>
    <b v="0"/>
    <x v="17"/>
    <n v="18484378000173"/>
    <x v="177"/>
    <x v="56"/>
    <x v="2"/>
    <n v="62"/>
    <x v="3"/>
    <x v="5"/>
    <n v="1"/>
    <n v="1"/>
  </r>
  <r>
    <n v="2019"/>
    <n v="7"/>
    <x v="0"/>
    <x v="0"/>
    <x v="0"/>
    <s v="2019/2020"/>
    <b v="1"/>
    <b v="0"/>
    <b v="0"/>
    <x v="11"/>
    <n v="18484378000173"/>
    <x v="177"/>
    <x v="56"/>
    <x v="2"/>
    <n v="62"/>
    <x v="3"/>
    <x v="5"/>
    <n v="2"/>
    <n v="1"/>
  </r>
  <r>
    <n v="2019"/>
    <n v="7"/>
    <x v="0"/>
    <x v="0"/>
    <x v="0"/>
    <s v="2019/2020"/>
    <b v="1"/>
    <b v="0"/>
    <b v="0"/>
    <x v="17"/>
    <n v="19803199000114"/>
    <x v="178"/>
    <x v="3"/>
    <x v="3"/>
    <n v="62"/>
    <x v="3"/>
    <x v="5"/>
    <n v="1"/>
    <n v="1"/>
  </r>
  <r>
    <n v="2019"/>
    <n v="7"/>
    <x v="0"/>
    <x v="0"/>
    <x v="0"/>
    <s v="2019/2020"/>
    <b v="1"/>
    <b v="0"/>
    <b v="0"/>
    <x v="6"/>
    <n v="19803199000114"/>
    <x v="178"/>
    <x v="3"/>
    <x v="3"/>
    <n v="70"/>
    <x v="0"/>
    <x v="0"/>
    <n v="50"/>
    <n v="10"/>
  </r>
  <r>
    <n v="2019"/>
    <n v="7"/>
    <x v="0"/>
    <x v="0"/>
    <x v="0"/>
    <s v="2019/2020"/>
    <b v="1"/>
    <b v="0"/>
    <b v="0"/>
    <x v="4"/>
    <n v="19878404000100"/>
    <x v="179"/>
    <x v="58"/>
    <x v="2"/>
    <n v="73"/>
    <x v="1"/>
    <x v="4"/>
    <n v="120"/>
    <n v="30"/>
  </r>
  <r>
    <n v="2019"/>
    <n v="7"/>
    <x v="0"/>
    <x v="0"/>
    <x v="0"/>
    <s v="2019/2020"/>
    <b v="1"/>
    <b v="0"/>
    <b v="0"/>
    <x v="4"/>
    <n v="20150900000122"/>
    <x v="180"/>
    <x v="56"/>
    <x v="2"/>
    <n v="73"/>
    <x v="1"/>
    <x v="1"/>
    <n v="2"/>
    <n v="1"/>
  </r>
  <r>
    <n v="2019"/>
    <n v="7"/>
    <x v="0"/>
    <x v="0"/>
    <x v="0"/>
    <s v="2019/2020"/>
    <b v="1"/>
    <b v="0"/>
    <b v="0"/>
    <x v="4"/>
    <n v="20150900000122"/>
    <x v="180"/>
    <x v="56"/>
    <x v="2"/>
    <n v="73"/>
    <x v="1"/>
    <x v="4"/>
    <n v="4"/>
    <n v="1"/>
  </r>
  <r>
    <n v="2019"/>
    <n v="7"/>
    <x v="0"/>
    <x v="0"/>
    <x v="0"/>
    <s v="2019/2020"/>
    <b v="1"/>
    <b v="0"/>
    <b v="0"/>
    <x v="4"/>
    <n v="20207543000191"/>
    <x v="181"/>
    <x v="56"/>
    <x v="2"/>
    <n v="70"/>
    <x v="0"/>
    <x v="0"/>
    <n v="150"/>
    <n v="30"/>
  </r>
  <r>
    <n v="2019"/>
    <n v="7"/>
    <x v="0"/>
    <x v="0"/>
    <x v="0"/>
    <s v="2019/2020"/>
    <b v="1"/>
    <b v="0"/>
    <b v="0"/>
    <x v="4"/>
    <n v="20207543000191"/>
    <x v="181"/>
    <x v="56"/>
    <x v="2"/>
    <n v="70"/>
    <x v="0"/>
    <x v="0"/>
    <n v="160"/>
    <n v="32"/>
  </r>
  <r>
    <n v="2019"/>
    <n v="7"/>
    <x v="0"/>
    <x v="0"/>
    <x v="0"/>
    <s v="2019/2020"/>
    <b v="1"/>
    <b v="0"/>
    <b v="0"/>
    <x v="17"/>
    <n v="20812223000241"/>
    <x v="182"/>
    <x v="3"/>
    <x v="3"/>
    <n v="73"/>
    <x v="1"/>
    <x v="1"/>
    <n v="2"/>
    <n v="1"/>
  </r>
  <r>
    <n v="2019"/>
    <n v="7"/>
    <x v="0"/>
    <x v="0"/>
    <x v="0"/>
    <s v="2019/2020"/>
    <b v="1"/>
    <b v="0"/>
    <b v="0"/>
    <x v="17"/>
    <n v="20812223000241"/>
    <x v="182"/>
    <x v="3"/>
    <x v="3"/>
    <n v="73"/>
    <x v="1"/>
    <x v="4"/>
    <n v="8"/>
    <n v="2"/>
  </r>
  <r>
    <n v="2019"/>
    <n v="7"/>
    <x v="0"/>
    <x v="0"/>
    <x v="0"/>
    <s v="2019/2020"/>
    <b v="1"/>
    <b v="0"/>
    <b v="0"/>
    <x v="4"/>
    <n v="21040696000311"/>
    <x v="183"/>
    <x v="59"/>
    <x v="2"/>
    <n v="62"/>
    <x v="3"/>
    <x v="5"/>
    <n v="2"/>
    <n v="2"/>
  </r>
  <r>
    <n v="2019"/>
    <n v="7"/>
    <x v="0"/>
    <x v="0"/>
    <x v="0"/>
    <s v="2019/2020"/>
    <b v="1"/>
    <b v="0"/>
    <b v="0"/>
    <x v="0"/>
    <n v="21109731000140"/>
    <x v="184"/>
    <x v="0"/>
    <x v="0"/>
    <n v="73"/>
    <x v="1"/>
    <x v="4"/>
    <n v="112"/>
    <n v="28"/>
  </r>
  <r>
    <n v="2019"/>
    <n v="7"/>
    <x v="0"/>
    <x v="0"/>
    <x v="0"/>
    <s v="2019/2020"/>
    <b v="1"/>
    <b v="0"/>
    <b v="0"/>
    <x v="4"/>
    <n v="21265360000195"/>
    <x v="185"/>
    <x v="0"/>
    <x v="0"/>
    <n v="73"/>
    <x v="1"/>
    <x v="4"/>
    <n v="16"/>
    <n v="4"/>
  </r>
  <r>
    <n v="2019"/>
    <n v="7"/>
    <x v="0"/>
    <x v="0"/>
    <x v="0"/>
    <s v="2019/2020"/>
    <b v="1"/>
    <b v="0"/>
    <b v="0"/>
    <x v="17"/>
    <n v="21371777000132"/>
    <x v="186"/>
    <x v="3"/>
    <x v="3"/>
    <n v="62"/>
    <x v="3"/>
    <x v="5"/>
    <n v="1"/>
    <n v="1"/>
  </r>
  <r>
    <n v="2019"/>
    <n v="7"/>
    <x v="0"/>
    <x v="0"/>
    <x v="0"/>
    <s v="2019/2020"/>
    <b v="1"/>
    <b v="0"/>
    <b v="0"/>
    <x v="17"/>
    <n v="21371777000132"/>
    <x v="186"/>
    <x v="3"/>
    <x v="3"/>
    <n v="62"/>
    <x v="3"/>
    <x v="5"/>
    <n v="2"/>
    <n v="2"/>
  </r>
  <r>
    <n v="2019"/>
    <n v="7"/>
    <x v="0"/>
    <x v="0"/>
    <x v="0"/>
    <s v="2019/2020"/>
    <b v="1"/>
    <b v="0"/>
    <b v="0"/>
    <x v="17"/>
    <n v="21371777000132"/>
    <x v="186"/>
    <x v="3"/>
    <x v="3"/>
    <n v="62"/>
    <x v="3"/>
    <x v="5"/>
    <n v="5"/>
    <n v="5"/>
  </r>
  <r>
    <n v="2019"/>
    <n v="7"/>
    <x v="0"/>
    <x v="0"/>
    <x v="0"/>
    <s v="2019/2020"/>
    <b v="1"/>
    <b v="0"/>
    <b v="0"/>
    <x v="6"/>
    <n v="21371777000132"/>
    <x v="186"/>
    <x v="3"/>
    <x v="3"/>
    <n v="70"/>
    <x v="0"/>
    <x v="0"/>
    <n v="75"/>
    <n v="15"/>
  </r>
  <r>
    <n v="2019"/>
    <n v="7"/>
    <x v="0"/>
    <x v="0"/>
    <x v="0"/>
    <s v="2019/2020"/>
    <b v="1"/>
    <b v="0"/>
    <b v="0"/>
    <x v="6"/>
    <n v="21371777000132"/>
    <x v="186"/>
    <x v="3"/>
    <x v="3"/>
    <n v="70"/>
    <x v="0"/>
    <x v="0"/>
    <n v="100"/>
    <n v="20"/>
  </r>
  <r>
    <n v="2019"/>
    <n v="7"/>
    <x v="0"/>
    <x v="0"/>
    <x v="0"/>
    <s v="2019/2020"/>
    <b v="1"/>
    <b v="0"/>
    <b v="0"/>
    <x v="14"/>
    <n v="21998635000108"/>
    <x v="187"/>
    <x v="60"/>
    <x v="6"/>
    <n v="70"/>
    <x v="0"/>
    <x v="0"/>
    <n v="20"/>
    <n v="4"/>
  </r>
  <r>
    <n v="2019"/>
    <n v="7"/>
    <x v="0"/>
    <x v="0"/>
    <x v="0"/>
    <s v="2019/2020"/>
    <b v="1"/>
    <b v="0"/>
    <b v="0"/>
    <x v="4"/>
    <n v="23278898000160"/>
    <x v="188"/>
    <x v="61"/>
    <x v="2"/>
    <n v="70"/>
    <x v="0"/>
    <x v="0"/>
    <n v="120"/>
    <n v="24"/>
  </r>
  <r>
    <n v="2019"/>
    <n v="7"/>
    <x v="0"/>
    <x v="0"/>
    <x v="0"/>
    <s v="2019/2020"/>
    <b v="1"/>
    <b v="0"/>
    <b v="0"/>
    <x v="17"/>
    <n v="23338387000196"/>
    <x v="189"/>
    <x v="62"/>
    <x v="2"/>
    <n v="73"/>
    <x v="1"/>
    <x v="2"/>
    <n v="5"/>
    <n v="5"/>
  </r>
  <r>
    <n v="2019"/>
    <n v="7"/>
    <x v="0"/>
    <x v="0"/>
    <x v="0"/>
    <s v="2019/2020"/>
    <b v="1"/>
    <b v="0"/>
    <b v="0"/>
    <x v="6"/>
    <n v="23338387000196"/>
    <x v="189"/>
    <x v="62"/>
    <x v="2"/>
    <n v="73"/>
    <x v="1"/>
    <x v="2"/>
    <n v="5"/>
    <n v="5"/>
  </r>
  <r>
    <n v="2019"/>
    <n v="7"/>
    <x v="0"/>
    <x v="0"/>
    <x v="0"/>
    <s v="2019/2020"/>
    <b v="1"/>
    <b v="0"/>
    <b v="0"/>
    <x v="10"/>
    <n v="24217779000160"/>
    <x v="190"/>
    <x v="0"/>
    <x v="0"/>
    <n v="64"/>
    <x v="4"/>
    <x v="6"/>
    <n v="6"/>
    <n v="6"/>
  </r>
  <r>
    <n v="2019"/>
    <n v="7"/>
    <x v="0"/>
    <x v="0"/>
    <x v="0"/>
    <s v="2019/2020"/>
    <b v="1"/>
    <b v="0"/>
    <b v="0"/>
    <x v="9"/>
    <n v="24232886008303"/>
    <x v="191"/>
    <x v="63"/>
    <x v="1"/>
    <n v="62"/>
    <x v="3"/>
    <x v="5"/>
    <n v="3"/>
    <n v="3"/>
  </r>
  <r>
    <n v="2019"/>
    <n v="7"/>
    <x v="0"/>
    <x v="0"/>
    <x v="0"/>
    <s v="2019/2020"/>
    <b v="1"/>
    <b v="0"/>
    <b v="0"/>
    <x v="9"/>
    <n v="24232886008303"/>
    <x v="191"/>
    <x v="63"/>
    <x v="1"/>
    <n v="64"/>
    <x v="4"/>
    <x v="6"/>
    <n v="3"/>
    <n v="3"/>
  </r>
  <r>
    <n v="2019"/>
    <n v="7"/>
    <x v="0"/>
    <x v="0"/>
    <x v="0"/>
    <s v="2019/2020"/>
    <b v="1"/>
    <b v="0"/>
    <b v="0"/>
    <x v="0"/>
    <n v="24464109000229"/>
    <x v="192"/>
    <x v="19"/>
    <x v="14"/>
    <n v="66"/>
    <x v="2"/>
    <x v="3"/>
    <n v="50"/>
    <n v="50"/>
  </r>
  <r>
    <n v="2019"/>
    <n v="7"/>
    <x v="0"/>
    <x v="0"/>
    <x v="0"/>
    <s v="2019/2020"/>
    <b v="1"/>
    <b v="0"/>
    <b v="0"/>
    <x v="8"/>
    <n v="24676884000752"/>
    <x v="193"/>
    <x v="64"/>
    <x v="12"/>
    <n v="70"/>
    <x v="0"/>
    <x v="0"/>
    <n v="25"/>
    <n v="5"/>
  </r>
  <r>
    <n v="2019"/>
    <n v="7"/>
    <x v="0"/>
    <x v="0"/>
    <x v="0"/>
    <s v="2019/2020"/>
    <b v="1"/>
    <b v="0"/>
    <b v="0"/>
    <x v="6"/>
    <n v="25026561000190"/>
    <x v="194"/>
    <x v="65"/>
    <x v="3"/>
    <n v="70"/>
    <x v="0"/>
    <x v="0"/>
    <n v="25"/>
    <n v="5"/>
  </r>
  <r>
    <n v="2019"/>
    <n v="7"/>
    <x v="0"/>
    <x v="0"/>
    <x v="0"/>
    <s v="2019/2020"/>
    <b v="1"/>
    <b v="0"/>
    <b v="0"/>
    <x v="5"/>
    <n v="25648387000207"/>
    <x v="195"/>
    <x v="56"/>
    <x v="2"/>
    <n v="70"/>
    <x v="0"/>
    <x v="0"/>
    <n v="400"/>
    <n v="80"/>
  </r>
  <r>
    <n v="2019"/>
    <n v="7"/>
    <x v="0"/>
    <x v="0"/>
    <x v="0"/>
    <s v="2019/2020"/>
    <b v="1"/>
    <b v="0"/>
    <b v="0"/>
    <x v="16"/>
    <n v="26947257000149"/>
    <x v="196"/>
    <x v="45"/>
    <x v="11"/>
    <n v="62"/>
    <x v="3"/>
    <x v="5"/>
    <n v="6"/>
    <n v="6"/>
  </r>
  <r>
    <n v="2019"/>
    <n v="7"/>
    <x v="0"/>
    <x v="0"/>
    <x v="0"/>
    <s v="2019/2020"/>
    <b v="1"/>
    <b v="0"/>
    <b v="0"/>
    <x v="5"/>
    <n v="27080605001591"/>
    <x v="197"/>
    <x v="18"/>
    <x v="13"/>
    <n v="70"/>
    <x v="0"/>
    <x v="0"/>
    <n v="1000"/>
    <n v="200"/>
  </r>
  <r>
    <n v="2019"/>
    <n v="7"/>
    <x v="0"/>
    <x v="0"/>
    <x v="0"/>
    <s v="2019/2020"/>
    <b v="1"/>
    <b v="0"/>
    <b v="0"/>
    <x v="2"/>
    <n v="27372066000169"/>
    <x v="198"/>
    <x v="31"/>
    <x v="17"/>
    <n v="64"/>
    <x v="4"/>
    <x v="6"/>
    <n v="7"/>
    <n v="7"/>
  </r>
  <r>
    <n v="2019"/>
    <n v="7"/>
    <x v="0"/>
    <x v="0"/>
    <x v="0"/>
    <s v="2019/2020"/>
    <b v="1"/>
    <b v="0"/>
    <b v="0"/>
    <x v="2"/>
    <n v="27372066000169"/>
    <x v="198"/>
    <x v="31"/>
    <x v="17"/>
    <n v="64"/>
    <x v="4"/>
    <x v="6"/>
    <n v="10"/>
    <n v="10"/>
  </r>
  <r>
    <n v="2019"/>
    <n v="7"/>
    <x v="0"/>
    <x v="0"/>
    <x v="0"/>
    <s v="2019/2020"/>
    <b v="1"/>
    <b v="0"/>
    <b v="0"/>
    <x v="2"/>
    <n v="27901222000131"/>
    <x v="199"/>
    <x v="0"/>
    <x v="0"/>
    <n v="62"/>
    <x v="3"/>
    <x v="5"/>
    <n v="5"/>
    <n v="5"/>
  </r>
  <r>
    <n v="2019"/>
    <n v="7"/>
    <x v="0"/>
    <x v="0"/>
    <x v="0"/>
    <s v="2019/2020"/>
    <b v="1"/>
    <b v="0"/>
    <b v="0"/>
    <x v="8"/>
    <n v="28000107000159"/>
    <x v="200"/>
    <x v="0"/>
    <x v="0"/>
    <n v="70"/>
    <x v="0"/>
    <x v="0"/>
    <n v="120"/>
    <n v="6"/>
  </r>
  <r>
    <n v="2019"/>
    <n v="7"/>
    <x v="0"/>
    <x v="0"/>
    <x v="0"/>
    <s v="2019/2020"/>
    <b v="1"/>
    <b v="0"/>
    <b v="0"/>
    <x v="8"/>
    <n v="28000107000159"/>
    <x v="200"/>
    <x v="0"/>
    <x v="0"/>
    <n v="73"/>
    <x v="1"/>
    <x v="1"/>
    <n v="2"/>
    <n v="1"/>
  </r>
  <r>
    <n v="2019"/>
    <n v="7"/>
    <x v="0"/>
    <x v="0"/>
    <x v="0"/>
    <s v="2019/2020"/>
    <b v="1"/>
    <b v="0"/>
    <b v="0"/>
    <x v="8"/>
    <n v="28000107000159"/>
    <x v="200"/>
    <x v="0"/>
    <x v="0"/>
    <n v="73"/>
    <x v="1"/>
    <x v="4"/>
    <n v="4"/>
    <n v="1"/>
  </r>
  <r>
    <n v="2019"/>
    <n v="7"/>
    <x v="0"/>
    <x v="0"/>
    <x v="0"/>
    <s v="2019/2020"/>
    <b v="1"/>
    <b v="0"/>
    <b v="0"/>
    <x v="8"/>
    <n v="28000107000159"/>
    <x v="200"/>
    <x v="0"/>
    <x v="0"/>
    <n v="73"/>
    <x v="1"/>
    <x v="1"/>
    <n v="10"/>
    <n v="5"/>
  </r>
  <r>
    <n v="2019"/>
    <n v="7"/>
    <x v="0"/>
    <x v="0"/>
    <x v="0"/>
    <s v="2019/2020"/>
    <b v="1"/>
    <b v="0"/>
    <b v="0"/>
    <x v="8"/>
    <n v="28000107000159"/>
    <x v="200"/>
    <x v="0"/>
    <x v="0"/>
    <n v="73"/>
    <x v="1"/>
    <x v="4"/>
    <n v="32"/>
    <n v="8"/>
  </r>
  <r>
    <n v="2019"/>
    <n v="7"/>
    <x v="0"/>
    <x v="0"/>
    <x v="0"/>
    <s v="2019/2020"/>
    <b v="1"/>
    <b v="0"/>
    <b v="0"/>
    <x v="8"/>
    <n v="28000107000159"/>
    <x v="200"/>
    <x v="0"/>
    <x v="0"/>
    <n v="73"/>
    <x v="1"/>
    <x v="4"/>
    <n v="36"/>
    <n v="9"/>
  </r>
  <r>
    <n v="2019"/>
    <n v="7"/>
    <x v="0"/>
    <x v="0"/>
    <x v="0"/>
    <s v="2019/2020"/>
    <b v="1"/>
    <b v="0"/>
    <b v="0"/>
    <x v="7"/>
    <n v="28000107000159"/>
    <x v="200"/>
    <x v="0"/>
    <x v="0"/>
    <n v="73"/>
    <x v="1"/>
    <x v="1"/>
    <n v="2"/>
    <n v="1"/>
  </r>
  <r>
    <n v="2019"/>
    <n v="7"/>
    <x v="0"/>
    <x v="0"/>
    <x v="0"/>
    <s v="2019/2020"/>
    <b v="1"/>
    <b v="0"/>
    <b v="0"/>
    <x v="7"/>
    <n v="28000107000159"/>
    <x v="200"/>
    <x v="0"/>
    <x v="0"/>
    <n v="73"/>
    <x v="1"/>
    <x v="4"/>
    <n v="16"/>
    <n v="4"/>
  </r>
  <r>
    <n v="2019"/>
    <n v="7"/>
    <x v="0"/>
    <x v="0"/>
    <x v="0"/>
    <s v="2019/2020"/>
    <b v="1"/>
    <b v="0"/>
    <b v="0"/>
    <x v="7"/>
    <n v="28000107000159"/>
    <x v="200"/>
    <x v="0"/>
    <x v="0"/>
    <n v="73"/>
    <x v="1"/>
    <x v="4"/>
    <n v="20"/>
    <n v="5"/>
  </r>
  <r>
    <n v="2019"/>
    <n v="7"/>
    <x v="0"/>
    <x v="0"/>
    <x v="0"/>
    <s v="2019/2020"/>
    <b v="1"/>
    <b v="0"/>
    <b v="0"/>
    <x v="7"/>
    <n v="28000107000159"/>
    <x v="200"/>
    <x v="0"/>
    <x v="0"/>
    <n v="73"/>
    <x v="1"/>
    <x v="4"/>
    <n v="28"/>
    <n v="7"/>
  </r>
  <r>
    <n v="2019"/>
    <n v="7"/>
    <x v="0"/>
    <x v="0"/>
    <x v="0"/>
    <s v="2019/2020"/>
    <b v="1"/>
    <b v="0"/>
    <b v="0"/>
    <x v="3"/>
    <n v="28137925000106"/>
    <x v="201"/>
    <x v="66"/>
    <x v="13"/>
    <n v="70"/>
    <x v="0"/>
    <x v="0"/>
    <n v="100"/>
    <n v="20"/>
  </r>
  <r>
    <n v="2019"/>
    <n v="7"/>
    <x v="0"/>
    <x v="0"/>
    <x v="0"/>
    <s v="2019/2020"/>
    <b v="1"/>
    <b v="0"/>
    <b v="0"/>
    <x v="2"/>
    <n v="28290788000137"/>
    <x v="202"/>
    <x v="3"/>
    <x v="3"/>
    <n v="62"/>
    <x v="3"/>
    <x v="5"/>
    <n v="34"/>
    <n v="34"/>
  </r>
  <r>
    <n v="2019"/>
    <n v="7"/>
    <x v="0"/>
    <x v="0"/>
    <x v="0"/>
    <s v="2019/2020"/>
    <b v="1"/>
    <b v="0"/>
    <b v="0"/>
    <x v="8"/>
    <n v="28290788000307"/>
    <x v="203"/>
    <x v="3"/>
    <x v="3"/>
    <n v="73"/>
    <x v="1"/>
    <x v="4"/>
    <n v="24"/>
    <n v="6"/>
  </r>
  <r>
    <n v="2019"/>
    <n v="7"/>
    <x v="0"/>
    <x v="0"/>
    <x v="0"/>
    <s v="2019/2020"/>
    <b v="1"/>
    <b v="0"/>
    <b v="0"/>
    <x v="8"/>
    <n v="28481233000172"/>
    <x v="204"/>
    <x v="4"/>
    <x v="4"/>
    <n v="64"/>
    <x v="4"/>
    <x v="6"/>
    <n v="50"/>
    <n v="50"/>
  </r>
  <r>
    <n v="2019"/>
    <n v="7"/>
    <x v="0"/>
    <x v="0"/>
    <x v="0"/>
    <s v="2019/2020"/>
    <b v="1"/>
    <b v="0"/>
    <b v="0"/>
    <x v="8"/>
    <n v="28481233000172"/>
    <x v="204"/>
    <x v="4"/>
    <x v="4"/>
    <n v="64"/>
    <x v="4"/>
    <x v="6"/>
    <n v="80"/>
    <n v="80"/>
  </r>
  <r>
    <n v="2019"/>
    <n v="7"/>
    <x v="0"/>
    <x v="0"/>
    <x v="0"/>
    <s v="2019/2020"/>
    <b v="1"/>
    <b v="0"/>
    <b v="0"/>
    <x v="11"/>
    <n v="28602407000108"/>
    <x v="205"/>
    <x v="0"/>
    <x v="0"/>
    <n v="64"/>
    <x v="4"/>
    <x v="6"/>
    <n v="1"/>
    <n v="1"/>
  </r>
  <r>
    <n v="2019"/>
    <n v="7"/>
    <x v="0"/>
    <x v="0"/>
    <x v="0"/>
    <s v="2019/2020"/>
    <b v="1"/>
    <b v="0"/>
    <b v="0"/>
    <x v="10"/>
    <n v="28806545000532"/>
    <x v="206"/>
    <x v="67"/>
    <x v="0"/>
    <n v="73"/>
    <x v="1"/>
    <x v="4"/>
    <n v="8"/>
    <n v="2"/>
  </r>
  <r>
    <n v="2019"/>
    <n v="7"/>
    <x v="0"/>
    <x v="0"/>
    <x v="0"/>
    <s v="2019/2020"/>
    <b v="1"/>
    <b v="0"/>
    <b v="0"/>
    <x v="10"/>
    <n v="28806545000532"/>
    <x v="206"/>
    <x v="67"/>
    <x v="0"/>
    <n v="73"/>
    <x v="1"/>
    <x v="4"/>
    <n v="16"/>
    <n v="4"/>
  </r>
  <r>
    <n v="2019"/>
    <n v="7"/>
    <x v="0"/>
    <x v="0"/>
    <x v="0"/>
    <s v="2019/2020"/>
    <b v="1"/>
    <b v="0"/>
    <b v="0"/>
    <x v="10"/>
    <n v="28806545000532"/>
    <x v="206"/>
    <x v="67"/>
    <x v="0"/>
    <n v="73"/>
    <x v="1"/>
    <x v="4"/>
    <n v="48"/>
    <n v="6"/>
  </r>
  <r>
    <n v="2019"/>
    <n v="7"/>
    <x v="0"/>
    <x v="0"/>
    <x v="0"/>
    <s v="2019/2020"/>
    <b v="1"/>
    <b v="0"/>
    <b v="0"/>
    <x v="10"/>
    <n v="28806545000532"/>
    <x v="206"/>
    <x v="67"/>
    <x v="0"/>
    <n v="73"/>
    <x v="1"/>
    <x v="4"/>
    <n v="48"/>
    <n v="12"/>
  </r>
  <r>
    <n v="2019"/>
    <n v="7"/>
    <x v="0"/>
    <x v="0"/>
    <x v="0"/>
    <s v="2019/2020"/>
    <b v="1"/>
    <b v="0"/>
    <b v="0"/>
    <x v="0"/>
    <n v="28806545000532"/>
    <x v="206"/>
    <x v="67"/>
    <x v="0"/>
    <n v="73"/>
    <x v="1"/>
    <x v="4"/>
    <n v="8"/>
    <n v="2"/>
  </r>
  <r>
    <n v="2019"/>
    <n v="7"/>
    <x v="0"/>
    <x v="0"/>
    <x v="0"/>
    <s v="2019/2020"/>
    <b v="1"/>
    <b v="0"/>
    <b v="0"/>
    <x v="2"/>
    <n v="29072642000188"/>
    <x v="207"/>
    <x v="68"/>
    <x v="0"/>
    <n v="64"/>
    <x v="4"/>
    <x v="6"/>
    <n v="2"/>
    <n v="2"/>
  </r>
  <r>
    <n v="2019"/>
    <n v="7"/>
    <x v="0"/>
    <x v="0"/>
    <x v="0"/>
    <s v="2019/2020"/>
    <b v="1"/>
    <b v="0"/>
    <b v="0"/>
    <x v="10"/>
    <n v="29135795000208"/>
    <x v="208"/>
    <x v="69"/>
    <x v="0"/>
    <n v="70"/>
    <x v="0"/>
    <x v="0"/>
    <n v="100"/>
    <n v="20"/>
  </r>
  <r>
    <n v="2019"/>
    <n v="7"/>
    <x v="0"/>
    <x v="0"/>
    <x v="0"/>
    <s v="2019/2020"/>
    <b v="1"/>
    <b v="0"/>
    <b v="0"/>
    <x v="2"/>
    <n v="29259736000403"/>
    <x v="209"/>
    <x v="0"/>
    <x v="0"/>
    <n v="64"/>
    <x v="4"/>
    <x v="6"/>
    <n v="1"/>
    <n v="1"/>
  </r>
  <r>
    <n v="2019"/>
    <n v="7"/>
    <x v="0"/>
    <x v="0"/>
    <x v="0"/>
    <s v="2019/2020"/>
    <b v="1"/>
    <b v="0"/>
    <b v="0"/>
    <x v="2"/>
    <n v="29259736000403"/>
    <x v="209"/>
    <x v="0"/>
    <x v="0"/>
    <n v="64"/>
    <x v="4"/>
    <x v="6"/>
    <n v="4"/>
    <n v="4"/>
  </r>
  <r>
    <n v="2019"/>
    <n v="7"/>
    <x v="0"/>
    <x v="0"/>
    <x v="0"/>
    <s v="2019/2020"/>
    <b v="1"/>
    <b v="0"/>
    <b v="0"/>
    <x v="10"/>
    <n v="29259736000403"/>
    <x v="209"/>
    <x v="0"/>
    <x v="0"/>
    <n v="73"/>
    <x v="1"/>
    <x v="4"/>
    <n v="32"/>
    <n v="8"/>
  </r>
  <r>
    <n v="2019"/>
    <n v="7"/>
    <x v="0"/>
    <x v="0"/>
    <x v="0"/>
    <s v="2019/2020"/>
    <b v="1"/>
    <b v="0"/>
    <b v="0"/>
    <x v="0"/>
    <n v="29259736000403"/>
    <x v="209"/>
    <x v="0"/>
    <x v="0"/>
    <n v="73"/>
    <x v="1"/>
    <x v="4"/>
    <n v="8"/>
    <n v="2"/>
  </r>
  <r>
    <n v="2019"/>
    <n v="7"/>
    <x v="0"/>
    <x v="0"/>
    <x v="0"/>
    <s v="2019/2020"/>
    <b v="1"/>
    <b v="0"/>
    <b v="0"/>
    <x v="4"/>
    <n v="29435005002687"/>
    <x v="210"/>
    <x v="3"/>
    <x v="3"/>
    <n v="70"/>
    <x v="0"/>
    <x v="0"/>
    <n v="500"/>
    <n v="100"/>
  </r>
  <r>
    <n v="2019"/>
    <n v="7"/>
    <x v="0"/>
    <x v="0"/>
    <x v="0"/>
    <s v="2019/2020"/>
    <b v="1"/>
    <b v="0"/>
    <b v="0"/>
    <x v="4"/>
    <n v="29435005004540"/>
    <x v="211"/>
    <x v="3"/>
    <x v="3"/>
    <n v="70"/>
    <x v="0"/>
    <x v="0"/>
    <n v="200"/>
    <n v="20"/>
  </r>
  <r>
    <n v="2019"/>
    <n v="7"/>
    <x v="0"/>
    <x v="0"/>
    <x v="0"/>
    <s v="2019/2020"/>
    <b v="1"/>
    <b v="0"/>
    <b v="0"/>
    <x v="4"/>
    <n v="29435005004540"/>
    <x v="211"/>
    <x v="3"/>
    <x v="3"/>
    <n v="70"/>
    <x v="0"/>
    <x v="0"/>
    <n v="300"/>
    <n v="30"/>
  </r>
  <r>
    <n v="2019"/>
    <n v="7"/>
    <x v="0"/>
    <x v="0"/>
    <x v="0"/>
    <s v="2019/2020"/>
    <b v="1"/>
    <b v="0"/>
    <b v="0"/>
    <x v="4"/>
    <n v="29435005004620"/>
    <x v="212"/>
    <x v="4"/>
    <x v="4"/>
    <n v="62"/>
    <x v="3"/>
    <x v="5"/>
    <n v="5"/>
    <n v="5"/>
  </r>
  <r>
    <n v="2019"/>
    <n v="7"/>
    <x v="0"/>
    <x v="0"/>
    <x v="0"/>
    <s v="2019/2020"/>
    <b v="1"/>
    <b v="0"/>
    <b v="0"/>
    <x v="4"/>
    <n v="29435005004620"/>
    <x v="212"/>
    <x v="4"/>
    <x v="4"/>
    <n v="64"/>
    <x v="4"/>
    <x v="6"/>
    <n v="10"/>
    <n v="5"/>
  </r>
  <r>
    <n v="2019"/>
    <n v="7"/>
    <x v="0"/>
    <x v="0"/>
    <x v="0"/>
    <s v="2019/2020"/>
    <b v="1"/>
    <b v="0"/>
    <b v="0"/>
    <x v="4"/>
    <n v="29435005005198"/>
    <x v="213"/>
    <x v="0"/>
    <x v="0"/>
    <n v="62"/>
    <x v="3"/>
    <x v="5"/>
    <n v="2"/>
    <n v="2"/>
  </r>
  <r>
    <n v="2019"/>
    <n v="7"/>
    <x v="0"/>
    <x v="0"/>
    <x v="0"/>
    <s v="2019/2020"/>
    <b v="1"/>
    <b v="0"/>
    <b v="0"/>
    <x v="4"/>
    <n v="29435005005198"/>
    <x v="213"/>
    <x v="0"/>
    <x v="0"/>
    <n v="62"/>
    <x v="3"/>
    <x v="5"/>
    <n v="3"/>
    <n v="3"/>
  </r>
  <r>
    <n v="2019"/>
    <n v="7"/>
    <x v="0"/>
    <x v="0"/>
    <x v="0"/>
    <s v="2019/2020"/>
    <b v="1"/>
    <b v="0"/>
    <b v="0"/>
    <x v="4"/>
    <n v="29435005005198"/>
    <x v="213"/>
    <x v="0"/>
    <x v="0"/>
    <n v="62"/>
    <x v="3"/>
    <x v="5"/>
    <n v="12"/>
    <n v="6"/>
  </r>
  <r>
    <n v="2019"/>
    <n v="7"/>
    <x v="0"/>
    <x v="0"/>
    <x v="0"/>
    <s v="2019/2020"/>
    <b v="1"/>
    <b v="0"/>
    <b v="0"/>
    <x v="4"/>
    <n v="29435005005198"/>
    <x v="213"/>
    <x v="0"/>
    <x v="0"/>
    <n v="64"/>
    <x v="4"/>
    <x v="6"/>
    <n v="4"/>
    <n v="4"/>
  </r>
  <r>
    <n v="2019"/>
    <n v="7"/>
    <x v="0"/>
    <x v="0"/>
    <x v="0"/>
    <s v="2019/2020"/>
    <b v="1"/>
    <b v="0"/>
    <b v="0"/>
    <x v="4"/>
    <n v="29435005005198"/>
    <x v="213"/>
    <x v="0"/>
    <x v="0"/>
    <n v="64"/>
    <x v="4"/>
    <x v="6"/>
    <n v="5"/>
    <n v="5"/>
  </r>
  <r>
    <n v="2019"/>
    <n v="7"/>
    <x v="0"/>
    <x v="0"/>
    <x v="0"/>
    <s v="2019/2020"/>
    <b v="1"/>
    <b v="0"/>
    <b v="0"/>
    <x v="4"/>
    <n v="29435005005198"/>
    <x v="213"/>
    <x v="0"/>
    <x v="0"/>
    <n v="64"/>
    <x v="4"/>
    <x v="6"/>
    <n v="7"/>
    <n v="7"/>
  </r>
  <r>
    <n v="2019"/>
    <n v="7"/>
    <x v="0"/>
    <x v="0"/>
    <x v="0"/>
    <s v="2019/2020"/>
    <b v="1"/>
    <b v="0"/>
    <b v="0"/>
    <x v="4"/>
    <n v="29435005005600"/>
    <x v="214"/>
    <x v="13"/>
    <x v="6"/>
    <n v="70"/>
    <x v="0"/>
    <x v="0"/>
    <n v="180"/>
    <n v="12"/>
  </r>
  <r>
    <n v="2019"/>
    <n v="7"/>
    <x v="0"/>
    <x v="0"/>
    <x v="0"/>
    <s v="2019/2020"/>
    <b v="1"/>
    <b v="0"/>
    <b v="0"/>
    <x v="4"/>
    <n v="29435005005783"/>
    <x v="215"/>
    <x v="0"/>
    <x v="0"/>
    <n v="70"/>
    <x v="0"/>
    <x v="0"/>
    <n v="25"/>
    <n v="5"/>
  </r>
  <r>
    <n v="2019"/>
    <n v="7"/>
    <x v="0"/>
    <x v="0"/>
    <x v="0"/>
    <s v="2019/2020"/>
    <b v="1"/>
    <b v="0"/>
    <b v="0"/>
    <x v="4"/>
    <n v="29435005005783"/>
    <x v="215"/>
    <x v="0"/>
    <x v="0"/>
    <n v="70"/>
    <x v="0"/>
    <x v="0"/>
    <n v="200"/>
    <n v="40"/>
  </r>
  <r>
    <n v="2019"/>
    <n v="7"/>
    <x v="0"/>
    <x v="0"/>
    <x v="0"/>
    <s v="2019/2020"/>
    <b v="1"/>
    <b v="0"/>
    <b v="0"/>
    <x v="4"/>
    <n v="29435005006160"/>
    <x v="216"/>
    <x v="0"/>
    <x v="0"/>
    <n v="62"/>
    <x v="3"/>
    <x v="5"/>
    <n v="2"/>
    <n v="2"/>
  </r>
  <r>
    <n v="2019"/>
    <n v="7"/>
    <x v="0"/>
    <x v="0"/>
    <x v="0"/>
    <s v="2019/2020"/>
    <b v="1"/>
    <b v="0"/>
    <b v="0"/>
    <x v="4"/>
    <n v="29435005006160"/>
    <x v="216"/>
    <x v="0"/>
    <x v="0"/>
    <n v="62"/>
    <x v="3"/>
    <x v="5"/>
    <n v="4"/>
    <n v="4"/>
  </r>
  <r>
    <n v="2019"/>
    <n v="7"/>
    <x v="0"/>
    <x v="0"/>
    <x v="0"/>
    <s v="2019/2020"/>
    <b v="1"/>
    <b v="0"/>
    <b v="0"/>
    <x v="4"/>
    <n v="29435005006160"/>
    <x v="216"/>
    <x v="0"/>
    <x v="0"/>
    <n v="64"/>
    <x v="4"/>
    <x v="6"/>
    <n v="5"/>
    <n v="5"/>
  </r>
  <r>
    <n v="2019"/>
    <n v="7"/>
    <x v="0"/>
    <x v="0"/>
    <x v="0"/>
    <s v="2019/2020"/>
    <b v="1"/>
    <b v="0"/>
    <b v="0"/>
    <x v="4"/>
    <n v="29435005006160"/>
    <x v="216"/>
    <x v="0"/>
    <x v="0"/>
    <n v="70"/>
    <x v="0"/>
    <x v="0"/>
    <n v="50"/>
    <n v="10"/>
  </r>
  <r>
    <n v="2019"/>
    <n v="7"/>
    <x v="0"/>
    <x v="0"/>
    <x v="0"/>
    <s v="2019/2020"/>
    <b v="1"/>
    <b v="0"/>
    <b v="0"/>
    <x v="4"/>
    <n v="29435005007484"/>
    <x v="217"/>
    <x v="32"/>
    <x v="18"/>
    <n v="62"/>
    <x v="3"/>
    <x v="5"/>
    <n v="3"/>
    <n v="3"/>
  </r>
  <r>
    <n v="2019"/>
    <n v="7"/>
    <x v="0"/>
    <x v="0"/>
    <x v="0"/>
    <s v="2019/2020"/>
    <b v="1"/>
    <b v="0"/>
    <b v="0"/>
    <x v="4"/>
    <n v="29435005007484"/>
    <x v="217"/>
    <x v="32"/>
    <x v="18"/>
    <n v="62"/>
    <x v="3"/>
    <x v="5"/>
    <n v="4"/>
    <n v="4"/>
  </r>
  <r>
    <n v="2019"/>
    <n v="7"/>
    <x v="0"/>
    <x v="0"/>
    <x v="0"/>
    <s v="2019/2020"/>
    <b v="1"/>
    <b v="0"/>
    <b v="0"/>
    <x v="4"/>
    <n v="29435005007484"/>
    <x v="217"/>
    <x v="32"/>
    <x v="18"/>
    <n v="64"/>
    <x v="4"/>
    <x v="6"/>
    <n v="4"/>
    <n v="2"/>
  </r>
  <r>
    <n v="2019"/>
    <n v="7"/>
    <x v="0"/>
    <x v="0"/>
    <x v="0"/>
    <s v="2019/2020"/>
    <b v="1"/>
    <b v="0"/>
    <b v="0"/>
    <x v="4"/>
    <n v="29435005007484"/>
    <x v="217"/>
    <x v="32"/>
    <x v="18"/>
    <n v="64"/>
    <x v="4"/>
    <x v="6"/>
    <n v="6"/>
    <n v="6"/>
  </r>
  <r>
    <n v="2019"/>
    <n v="7"/>
    <x v="0"/>
    <x v="0"/>
    <x v="0"/>
    <s v="2019/2020"/>
    <b v="1"/>
    <b v="0"/>
    <b v="0"/>
    <x v="4"/>
    <n v="29435005007484"/>
    <x v="217"/>
    <x v="32"/>
    <x v="18"/>
    <n v="64"/>
    <x v="4"/>
    <x v="6"/>
    <n v="26"/>
    <n v="26"/>
  </r>
  <r>
    <n v="2019"/>
    <n v="7"/>
    <x v="0"/>
    <x v="0"/>
    <x v="0"/>
    <s v="2019/2020"/>
    <b v="1"/>
    <b v="0"/>
    <b v="0"/>
    <x v="4"/>
    <n v="29435005007484"/>
    <x v="217"/>
    <x v="32"/>
    <x v="18"/>
    <n v="70"/>
    <x v="0"/>
    <x v="0"/>
    <n v="15"/>
    <n v="3"/>
  </r>
  <r>
    <n v="2019"/>
    <n v="7"/>
    <x v="0"/>
    <x v="0"/>
    <x v="0"/>
    <s v="2019/2020"/>
    <b v="1"/>
    <b v="0"/>
    <b v="0"/>
    <x v="4"/>
    <n v="29435005008022"/>
    <x v="218"/>
    <x v="70"/>
    <x v="3"/>
    <n v="70"/>
    <x v="0"/>
    <x v="0"/>
    <n v="60"/>
    <n v="12"/>
  </r>
  <r>
    <n v="2019"/>
    <n v="7"/>
    <x v="0"/>
    <x v="0"/>
    <x v="0"/>
    <s v="2019/2020"/>
    <b v="1"/>
    <b v="0"/>
    <b v="0"/>
    <x v="4"/>
    <n v="29435005008294"/>
    <x v="219"/>
    <x v="71"/>
    <x v="3"/>
    <n v="70"/>
    <x v="0"/>
    <x v="0"/>
    <n v="120"/>
    <n v="12"/>
  </r>
  <r>
    <n v="2019"/>
    <n v="7"/>
    <x v="0"/>
    <x v="0"/>
    <x v="0"/>
    <s v="2019/2020"/>
    <b v="1"/>
    <b v="0"/>
    <b v="0"/>
    <x v="4"/>
    <n v="29435005008294"/>
    <x v="219"/>
    <x v="71"/>
    <x v="3"/>
    <n v="70"/>
    <x v="0"/>
    <x v="0"/>
    <n v="125"/>
    <n v="25"/>
  </r>
  <r>
    <n v="2019"/>
    <n v="7"/>
    <x v="0"/>
    <x v="0"/>
    <x v="0"/>
    <s v="2019/2020"/>
    <b v="1"/>
    <b v="0"/>
    <b v="0"/>
    <x v="4"/>
    <n v="29435005008456"/>
    <x v="220"/>
    <x v="48"/>
    <x v="3"/>
    <n v="70"/>
    <x v="0"/>
    <x v="0"/>
    <n v="125"/>
    <n v="25"/>
  </r>
  <r>
    <n v="2019"/>
    <n v="7"/>
    <x v="0"/>
    <x v="0"/>
    <x v="0"/>
    <s v="2019/2020"/>
    <b v="1"/>
    <b v="0"/>
    <b v="0"/>
    <x v="4"/>
    <n v="29435005009851"/>
    <x v="221"/>
    <x v="10"/>
    <x v="8"/>
    <n v="64"/>
    <x v="4"/>
    <x v="6"/>
    <n v="15"/>
    <n v="15"/>
  </r>
  <r>
    <n v="2019"/>
    <n v="7"/>
    <x v="0"/>
    <x v="0"/>
    <x v="0"/>
    <s v="2019/2020"/>
    <b v="1"/>
    <b v="0"/>
    <b v="0"/>
    <x v="4"/>
    <n v="29435005009851"/>
    <x v="221"/>
    <x v="10"/>
    <x v="8"/>
    <n v="70"/>
    <x v="0"/>
    <x v="0"/>
    <n v="50"/>
    <n v="10"/>
  </r>
  <r>
    <n v="2019"/>
    <n v="7"/>
    <x v="0"/>
    <x v="0"/>
    <x v="0"/>
    <s v="2019/2020"/>
    <b v="1"/>
    <b v="0"/>
    <b v="0"/>
    <x v="4"/>
    <n v="29435005009851"/>
    <x v="221"/>
    <x v="10"/>
    <x v="8"/>
    <n v="70"/>
    <x v="0"/>
    <x v="0"/>
    <n v="125"/>
    <n v="25"/>
  </r>
  <r>
    <n v="2019"/>
    <n v="7"/>
    <x v="0"/>
    <x v="0"/>
    <x v="0"/>
    <s v="2019/2020"/>
    <b v="1"/>
    <b v="0"/>
    <b v="0"/>
    <x v="4"/>
    <n v="29435005009932"/>
    <x v="222"/>
    <x v="3"/>
    <x v="3"/>
    <n v="62"/>
    <x v="3"/>
    <x v="5"/>
    <n v="6"/>
    <n v="3"/>
  </r>
  <r>
    <n v="2019"/>
    <n v="7"/>
    <x v="0"/>
    <x v="0"/>
    <x v="0"/>
    <s v="2019/2020"/>
    <b v="1"/>
    <b v="0"/>
    <b v="0"/>
    <x v="4"/>
    <n v="29435005009932"/>
    <x v="222"/>
    <x v="3"/>
    <x v="3"/>
    <n v="64"/>
    <x v="4"/>
    <x v="6"/>
    <n v="4"/>
    <n v="4"/>
  </r>
  <r>
    <n v="2019"/>
    <n v="7"/>
    <x v="0"/>
    <x v="0"/>
    <x v="0"/>
    <s v="2019/2020"/>
    <b v="1"/>
    <b v="0"/>
    <b v="0"/>
    <x v="4"/>
    <n v="29435005009932"/>
    <x v="222"/>
    <x v="3"/>
    <x v="3"/>
    <n v="70"/>
    <x v="0"/>
    <x v="0"/>
    <n v="110"/>
    <n v="22"/>
  </r>
  <r>
    <n v="2019"/>
    <n v="7"/>
    <x v="0"/>
    <x v="0"/>
    <x v="0"/>
    <s v="2019/2020"/>
    <b v="1"/>
    <b v="0"/>
    <b v="0"/>
    <x v="4"/>
    <n v="29435005009932"/>
    <x v="222"/>
    <x v="3"/>
    <x v="3"/>
    <n v="70"/>
    <x v="0"/>
    <x v="0"/>
    <n v="240"/>
    <n v="48"/>
  </r>
  <r>
    <n v="2019"/>
    <n v="7"/>
    <x v="0"/>
    <x v="0"/>
    <x v="0"/>
    <s v="2019/2020"/>
    <b v="1"/>
    <b v="0"/>
    <b v="0"/>
    <x v="15"/>
    <n v="30117769000155"/>
    <x v="223"/>
    <x v="13"/>
    <x v="6"/>
    <n v="70"/>
    <x v="0"/>
    <x v="0"/>
    <n v="15"/>
    <n v="3"/>
  </r>
  <r>
    <n v="2019"/>
    <n v="7"/>
    <x v="0"/>
    <x v="0"/>
    <x v="0"/>
    <s v="2019/2020"/>
    <b v="1"/>
    <b v="0"/>
    <b v="0"/>
    <x v="15"/>
    <n v="30117769000155"/>
    <x v="223"/>
    <x v="13"/>
    <x v="6"/>
    <n v="70"/>
    <x v="0"/>
    <x v="0"/>
    <n v="200"/>
    <n v="40"/>
  </r>
  <r>
    <n v="2019"/>
    <n v="7"/>
    <x v="0"/>
    <x v="0"/>
    <x v="0"/>
    <s v="2019/2020"/>
    <b v="1"/>
    <b v="0"/>
    <b v="0"/>
    <x v="13"/>
    <n v="30117769000155"/>
    <x v="223"/>
    <x v="13"/>
    <x v="6"/>
    <n v="70"/>
    <x v="0"/>
    <x v="0"/>
    <n v="50"/>
    <n v="10"/>
  </r>
  <r>
    <n v="2019"/>
    <n v="7"/>
    <x v="0"/>
    <x v="0"/>
    <x v="0"/>
    <s v="2019/2020"/>
    <b v="1"/>
    <b v="0"/>
    <b v="0"/>
    <x v="2"/>
    <n v="31635857000101"/>
    <x v="224"/>
    <x v="0"/>
    <x v="0"/>
    <n v="62"/>
    <x v="3"/>
    <x v="5"/>
    <n v="1"/>
    <n v="1"/>
  </r>
  <r>
    <n v="2019"/>
    <n v="7"/>
    <x v="0"/>
    <x v="0"/>
    <x v="0"/>
    <s v="2019/2020"/>
    <b v="1"/>
    <b v="0"/>
    <b v="0"/>
    <x v="2"/>
    <n v="31635857000292"/>
    <x v="225"/>
    <x v="0"/>
    <x v="0"/>
    <n v="62"/>
    <x v="3"/>
    <x v="5"/>
    <n v="3"/>
    <n v="3"/>
  </r>
  <r>
    <n v="2019"/>
    <n v="7"/>
    <x v="0"/>
    <x v="0"/>
    <x v="0"/>
    <s v="2019/2020"/>
    <b v="1"/>
    <b v="0"/>
    <b v="0"/>
    <x v="2"/>
    <n v="31635857000292"/>
    <x v="225"/>
    <x v="0"/>
    <x v="0"/>
    <n v="62"/>
    <x v="3"/>
    <x v="5"/>
    <n v="4"/>
    <n v="4"/>
  </r>
  <r>
    <n v="2019"/>
    <n v="7"/>
    <x v="0"/>
    <x v="0"/>
    <x v="0"/>
    <s v="2019/2020"/>
    <b v="1"/>
    <b v="0"/>
    <b v="0"/>
    <x v="10"/>
    <n v="31635857000292"/>
    <x v="225"/>
    <x v="0"/>
    <x v="0"/>
    <n v="73"/>
    <x v="1"/>
    <x v="4"/>
    <n v="12"/>
    <n v="3"/>
  </r>
  <r>
    <n v="2019"/>
    <n v="7"/>
    <x v="0"/>
    <x v="0"/>
    <x v="0"/>
    <s v="2019/2020"/>
    <b v="1"/>
    <b v="0"/>
    <b v="0"/>
    <x v="2"/>
    <n v="32154700000127"/>
    <x v="226"/>
    <x v="0"/>
    <x v="0"/>
    <n v="62"/>
    <x v="3"/>
    <x v="5"/>
    <n v="5"/>
    <n v="5"/>
  </r>
  <r>
    <n v="2019"/>
    <n v="7"/>
    <x v="0"/>
    <x v="0"/>
    <x v="0"/>
    <s v="2019/2020"/>
    <b v="1"/>
    <b v="0"/>
    <b v="0"/>
    <x v="12"/>
    <n v="32154700000127"/>
    <x v="226"/>
    <x v="0"/>
    <x v="0"/>
    <n v="64"/>
    <x v="4"/>
    <x v="6"/>
    <n v="8"/>
    <n v="8"/>
  </r>
  <r>
    <n v="2019"/>
    <n v="7"/>
    <x v="0"/>
    <x v="0"/>
    <x v="0"/>
    <s v="2019/2020"/>
    <b v="1"/>
    <b v="0"/>
    <b v="0"/>
    <x v="11"/>
    <n v="33000167000101"/>
    <x v="227"/>
    <x v="0"/>
    <x v="0"/>
    <n v="70"/>
    <x v="0"/>
    <x v="0"/>
    <n v="20"/>
    <n v="4"/>
  </r>
  <r>
    <n v="2019"/>
    <n v="7"/>
    <x v="0"/>
    <x v="0"/>
    <x v="0"/>
    <s v="2019/2020"/>
    <b v="1"/>
    <b v="0"/>
    <b v="0"/>
    <x v="11"/>
    <n v="33000167000101"/>
    <x v="227"/>
    <x v="0"/>
    <x v="0"/>
    <n v="70"/>
    <x v="0"/>
    <x v="0"/>
    <n v="120"/>
    <n v="24"/>
  </r>
  <r>
    <n v="2019"/>
    <n v="7"/>
    <x v="0"/>
    <x v="0"/>
    <x v="0"/>
    <s v="2019/2020"/>
    <b v="1"/>
    <b v="0"/>
    <b v="0"/>
    <x v="10"/>
    <n v="33419482000259"/>
    <x v="228"/>
    <x v="0"/>
    <x v="0"/>
    <n v="62"/>
    <x v="3"/>
    <x v="5"/>
    <n v="6"/>
    <n v="3"/>
  </r>
  <r>
    <n v="2019"/>
    <n v="7"/>
    <x v="0"/>
    <x v="0"/>
    <x v="0"/>
    <s v="2019/2020"/>
    <b v="1"/>
    <b v="0"/>
    <b v="0"/>
    <x v="10"/>
    <n v="33419482000259"/>
    <x v="228"/>
    <x v="0"/>
    <x v="0"/>
    <n v="62"/>
    <x v="3"/>
    <x v="5"/>
    <n v="5"/>
    <n v="5"/>
  </r>
  <r>
    <n v="2019"/>
    <n v="7"/>
    <x v="0"/>
    <x v="0"/>
    <x v="0"/>
    <s v="2019/2020"/>
    <b v="1"/>
    <b v="0"/>
    <b v="0"/>
    <x v="10"/>
    <n v="33419482000259"/>
    <x v="228"/>
    <x v="0"/>
    <x v="0"/>
    <n v="64"/>
    <x v="4"/>
    <x v="6"/>
    <n v="5"/>
    <n v="5"/>
  </r>
  <r>
    <n v="2019"/>
    <n v="7"/>
    <x v="0"/>
    <x v="0"/>
    <x v="0"/>
    <s v="2019/2020"/>
    <b v="1"/>
    <b v="0"/>
    <b v="0"/>
    <x v="7"/>
    <n v="33419482000259"/>
    <x v="228"/>
    <x v="0"/>
    <x v="0"/>
    <n v="64"/>
    <x v="4"/>
    <x v="6"/>
    <n v="2"/>
    <n v="1"/>
  </r>
  <r>
    <n v="2019"/>
    <n v="7"/>
    <x v="0"/>
    <x v="0"/>
    <x v="0"/>
    <s v="2019/2020"/>
    <b v="1"/>
    <b v="0"/>
    <b v="0"/>
    <x v="7"/>
    <n v="33419482000259"/>
    <x v="228"/>
    <x v="0"/>
    <x v="0"/>
    <n v="64"/>
    <x v="4"/>
    <x v="6"/>
    <n v="2"/>
    <n v="2"/>
  </r>
  <r>
    <n v="2019"/>
    <n v="7"/>
    <x v="0"/>
    <x v="0"/>
    <x v="0"/>
    <s v="2019/2020"/>
    <b v="1"/>
    <b v="0"/>
    <b v="0"/>
    <x v="17"/>
    <n v="33419482000259"/>
    <x v="228"/>
    <x v="0"/>
    <x v="0"/>
    <n v="70"/>
    <x v="0"/>
    <x v="0"/>
    <n v="10"/>
    <n v="2"/>
  </r>
  <r>
    <n v="2019"/>
    <n v="7"/>
    <x v="0"/>
    <x v="0"/>
    <x v="0"/>
    <s v="2019/2020"/>
    <b v="1"/>
    <b v="0"/>
    <b v="0"/>
    <x v="5"/>
    <n v="33663683002674"/>
    <x v="229"/>
    <x v="0"/>
    <x v="0"/>
    <n v="64"/>
    <x v="4"/>
    <x v="6"/>
    <n v="2"/>
    <n v="2"/>
  </r>
  <r>
    <n v="2019"/>
    <n v="7"/>
    <x v="0"/>
    <x v="0"/>
    <x v="0"/>
    <s v="2019/2020"/>
    <b v="1"/>
    <b v="0"/>
    <b v="0"/>
    <x v="5"/>
    <n v="33663683005347"/>
    <x v="230"/>
    <x v="0"/>
    <x v="0"/>
    <n v="70"/>
    <x v="0"/>
    <x v="0"/>
    <n v="800"/>
    <n v="160"/>
  </r>
  <r>
    <n v="2019"/>
    <n v="7"/>
    <x v="0"/>
    <x v="0"/>
    <x v="0"/>
    <s v="2019/2020"/>
    <b v="1"/>
    <b v="0"/>
    <b v="0"/>
    <x v="5"/>
    <n v="33781055000216"/>
    <x v="231"/>
    <x v="0"/>
    <x v="0"/>
    <n v="70"/>
    <x v="0"/>
    <x v="8"/>
    <n v="20"/>
    <n v="8"/>
  </r>
  <r>
    <n v="2019"/>
    <n v="7"/>
    <x v="0"/>
    <x v="0"/>
    <x v="0"/>
    <s v="2019/2020"/>
    <b v="1"/>
    <b v="0"/>
    <b v="0"/>
    <x v="5"/>
    <n v="33781055000216"/>
    <x v="231"/>
    <x v="0"/>
    <x v="0"/>
    <n v="70"/>
    <x v="0"/>
    <x v="0"/>
    <n v="250"/>
    <n v="50"/>
  </r>
  <r>
    <n v="2019"/>
    <n v="7"/>
    <x v="0"/>
    <x v="0"/>
    <x v="0"/>
    <s v="2019/2020"/>
    <b v="1"/>
    <b v="0"/>
    <b v="0"/>
    <x v="3"/>
    <n v="33927377000140"/>
    <x v="232"/>
    <x v="0"/>
    <x v="0"/>
    <n v="70"/>
    <x v="0"/>
    <x v="0"/>
    <n v="-5"/>
    <n v="-1"/>
  </r>
  <r>
    <n v="2019"/>
    <n v="7"/>
    <x v="0"/>
    <x v="0"/>
    <x v="0"/>
    <s v="2019/2020"/>
    <b v="1"/>
    <b v="0"/>
    <b v="0"/>
    <x v="12"/>
    <n v="35830868000446"/>
    <x v="233"/>
    <x v="72"/>
    <x v="0"/>
    <n v="64"/>
    <x v="4"/>
    <x v="6"/>
    <n v="3"/>
    <n v="3"/>
  </r>
  <r>
    <n v="2019"/>
    <n v="7"/>
    <x v="0"/>
    <x v="0"/>
    <x v="0"/>
    <s v="2019/2020"/>
    <b v="1"/>
    <b v="0"/>
    <b v="0"/>
    <x v="17"/>
    <n v="37108388000159"/>
    <x v="234"/>
    <x v="4"/>
    <x v="4"/>
    <n v="62"/>
    <x v="3"/>
    <x v="5"/>
    <n v="5"/>
    <n v="5"/>
  </r>
  <r>
    <n v="2019"/>
    <n v="7"/>
    <x v="0"/>
    <x v="0"/>
    <x v="0"/>
    <s v="2019/2020"/>
    <b v="1"/>
    <b v="0"/>
    <b v="0"/>
    <x v="17"/>
    <n v="37108388000159"/>
    <x v="234"/>
    <x v="4"/>
    <x v="4"/>
    <n v="62"/>
    <x v="3"/>
    <x v="5"/>
    <n v="6"/>
    <n v="6"/>
  </r>
  <r>
    <n v="2019"/>
    <n v="7"/>
    <x v="0"/>
    <x v="0"/>
    <x v="0"/>
    <s v="2019/2020"/>
    <b v="1"/>
    <b v="0"/>
    <b v="0"/>
    <x v="11"/>
    <n v="37108388000159"/>
    <x v="234"/>
    <x v="4"/>
    <x v="4"/>
    <n v="62"/>
    <x v="3"/>
    <x v="5"/>
    <n v="4"/>
    <n v="4"/>
  </r>
  <r>
    <n v="2019"/>
    <n v="7"/>
    <x v="0"/>
    <x v="0"/>
    <x v="0"/>
    <s v="2019/2020"/>
    <b v="1"/>
    <b v="0"/>
    <b v="0"/>
    <x v="8"/>
    <n v="37108388000159"/>
    <x v="234"/>
    <x v="4"/>
    <x v="4"/>
    <n v="64"/>
    <x v="4"/>
    <x v="6"/>
    <n v="5"/>
    <n v="5"/>
  </r>
  <r>
    <n v="2019"/>
    <n v="7"/>
    <x v="0"/>
    <x v="0"/>
    <x v="0"/>
    <s v="2019/2020"/>
    <b v="1"/>
    <b v="0"/>
    <b v="0"/>
    <x v="8"/>
    <n v="37108388000159"/>
    <x v="234"/>
    <x v="4"/>
    <x v="4"/>
    <n v="64"/>
    <x v="4"/>
    <x v="6"/>
    <n v="15"/>
    <n v="15"/>
  </r>
  <r>
    <n v="2019"/>
    <n v="7"/>
    <x v="0"/>
    <x v="0"/>
    <x v="0"/>
    <s v="2019/2020"/>
    <b v="1"/>
    <b v="0"/>
    <b v="0"/>
    <x v="8"/>
    <n v="37108388000159"/>
    <x v="234"/>
    <x v="4"/>
    <x v="4"/>
    <n v="64"/>
    <x v="4"/>
    <x v="6"/>
    <n v="17"/>
    <n v="17"/>
  </r>
  <r>
    <n v="2019"/>
    <n v="7"/>
    <x v="0"/>
    <x v="0"/>
    <x v="0"/>
    <s v="2019/2020"/>
    <b v="1"/>
    <b v="0"/>
    <b v="0"/>
    <x v="12"/>
    <n v="38000485000196"/>
    <x v="235"/>
    <x v="4"/>
    <x v="4"/>
    <n v="64"/>
    <x v="4"/>
    <x v="6"/>
    <n v="3"/>
    <n v="3"/>
  </r>
  <r>
    <n v="2019"/>
    <n v="7"/>
    <x v="0"/>
    <x v="0"/>
    <x v="0"/>
    <s v="2019/2020"/>
    <b v="1"/>
    <b v="0"/>
    <b v="0"/>
    <x v="4"/>
    <n v="39086160000130"/>
    <x v="236"/>
    <x v="0"/>
    <x v="0"/>
    <n v="70"/>
    <x v="0"/>
    <x v="0"/>
    <n v="50"/>
    <n v="10"/>
  </r>
  <r>
    <n v="2019"/>
    <n v="7"/>
    <x v="0"/>
    <x v="0"/>
    <x v="0"/>
    <s v="2019/2020"/>
    <b v="1"/>
    <b v="0"/>
    <b v="0"/>
    <x v="4"/>
    <n v="39086160000130"/>
    <x v="236"/>
    <x v="0"/>
    <x v="0"/>
    <n v="70"/>
    <x v="0"/>
    <x v="0"/>
    <n v="150"/>
    <n v="30"/>
  </r>
  <r>
    <n v="2019"/>
    <n v="7"/>
    <x v="0"/>
    <x v="0"/>
    <x v="0"/>
    <s v="2019/2020"/>
    <b v="1"/>
    <b v="0"/>
    <b v="0"/>
    <x v="4"/>
    <n v="39086160000130"/>
    <x v="236"/>
    <x v="0"/>
    <x v="0"/>
    <n v="73"/>
    <x v="1"/>
    <x v="4"/>
    <n v="16"/>
    <n v="4"/>
  </r>
  <r>
    <n v="2019"/>
    <n v="7"/>
    <x v="0"/>
    <x v="0"/>
    <x v="0"/>
    <s v="2019/2020"/>
    <b v="1"/>
    <b v="0"/>
    <b v="0"/>
    <x v="4"/>
    <n v="39086160000130"/>
    <x v="236"/>
    <x v="0"/>
    <x v="0"/>
    <n v="73"/>
    <x v="1"/>
    <x v="4"/>
    <n v="20"/>
    <n v="5"/>
  </r>
  <r>
    <n v="2019"/>
    <n v="7"/>
    <x v="0"/>
    <x v="0"/>
    <x v="0"/>
    <s v="2019/2020"/>
    <b v="1"/>
    <b v="0"/>
    <b v="0"/>
    <x v="4"/>
    <n v="39086160000130"/>
    <x v="236"/>
    <x v="0"/>
    <x v="0"/>
    <n v="73"/>
    <x v="1"/>
    <x v="4"/>
    <n v="64"/>
    <n v="16"/>
  </r>
  <r>
    <n v="2019"/>
    <n v="7"/>
    <x v="0"/>
    <x v="0"/>
    <x v="0"/>
    <s v="2019/2020"/>
    <b v="1"/>
    <b v="0"/>
    <b v="0"/>
    <x v="3"/>
    <n v="39387477000107"/>
    <x v="237"/>
    <x v="66"/>
    <x v="13"/>
    <n v="70"/>
    <x v="0"/>
    <x v="0"/>
    <n v="20"/>
    <n v="4"/>
  </r>
  <r>
    <n v="2019"/>
    <n v="7"/>
    <x v="0"/>
    <x v="0"/>
    <x v="0"/>
    <s v="2019/2020"/>
    <b v="1"/>
    <b v="0"/>
    <b v="0"/>
    <x v="3"/>
    <n v="39387477000107"/>
    <x v="237"/>
    <x v="66"/>
    <x v="13"/>
    <n v="70"/>
    <x v="0"/>
    <x v="0"/>
    <n v="35"/>
    <n v="7"/>
  </r>
  <r>
    <n v="2019"/>
    <n v="7"/>
    <x v="0"/>
    <x v="0"/>
    <x v="0"/>
    <s v="2019/2020"/>
    <b v="1"/>
    <b v="0"/>
    <b v="0"/>
    <x v="3"/>
    <n v="39387477000107"/>
    <x v="237"/>
    <x v="66"/>
    <x v="13"/>
    <n v="70"/>
    <x v="0"/>
    <x v="0"/>
    <n v="125"/>
    <n v="25"/>
  </r>
  <r>
    <n v="2019"/>
    <n v="7"/>
    <x v="0"/>
    <x v="0"/>
    <x v="0"/>
    <s v="2019/2020"/>
    <b v="1"/>
    <b v="0"/>
    <b v="0"/>
    <x v="4"/>
    <n v="41781949000234"/>
    <x v="238"/>
    <x v="73"/>
    <x v="2"/>
    <n v="70"/>
    <x v="0"/>
    <x v="0"/>
    <n v="20"/>
    <n v="4"/>
  </r>
  <r>
    <n v="2019"/>
    <n v="7"/>
    <x v="0"/>
    <x v="0"/>
    <x v="0"/>
    <s v="2019/2020"/>
    <b v="1"/>
    <b v="0"/>
    <b v="0"/>
    <x v="4"/>
    <n v="41781949000234"/>
    <x v="238"/>
    <x v="73"/>
    <x v="2"/>
    <n v="70"/>
    <x v="0"/>
    <x v="0"/>
    <n v="40"/>
    <n v="8"/>
  </r>
  <r>
    <n v="2019"/>
    <n v="7"/>
    <x v="0"/>
    <x v="0"/>
    <x v="0"/>
    <s v="2019/2020"/>
    <b v="1"/>
    <b v="0"/>
    <b v="0"/>
    <x v="4"/>
    <n v="41781949000234"/>
    <x v="238"/>
    <x v="73"/>
    <x v="2"/>
    <n v="70"/>
    <x v="0"/>
    <x v="0"/>
    <n v="90"/>
    <n v="18"/>
  </r>
  <r>
    <n v="2019"/>
    <n v="7"/>
    <x v="0"/>
    <x v="0"/>
    <x v="0"/>
    <s v="2019/2020"/>
    <b v="1"/>
    <b v="0"/>
    <b v="0"/>
    <x v="4"/>
    <n v="43293604002120"/>
    <x v="239"/>
    <x v="74"/>
    <x v="3"/>
    <n v="70"/>
    <x v="0"/>
    <x v="0"/>
    <n v="5"/>
    <n v="1"/>
  </r>
  <r>
    <n v="2019"/>
    <n v="7"/>
    <x v="0"/>
    <x v="0"/>
    <x v="0"/>
    <s v="2019/2020"/>
    <b v="1"/>
    <b v="0"/>
    <b v="0"/>
    <x v="4"/>
    <n v="43293604002120"/>
    <x v="239"/>
    <x v="74"/>
    <x v="3"/>
    <n v="70"/>
    <x v="0"/>
    <x v="0"/>
    <n v="30"/>
    <n v="6"/>
  </r>
  <r>
    <n v="2019"/>
    <n v="7"/>
    <x v="0"/>
    <x v="0"/>
    <x v="0"/>
    <s v="2019/2020"/>
    <b v="1"/>
    <b v="0"/>
    <b v="0"/>
    <x v="4"/>
    <n v="43293604002120"/>
    <x v="239"/>
    <x v="74"/>
    <x v="3"/>
    <n v="70"/>
    <x v="0"/>
    <x v="0"/>
    <n v="85"/>
    <n v="17"/>
  </r>
  <r>
    <n v="2019"/>
    <n v="7"/>
    <x v="0"/>
    <x v="0"/>
    <x v="0"/>
    <s v="2019/2020"/>
    <b v="1"/>
    <b v="0"/>
    <b v="0"/>
    <x v="4"/>
    <n v="43643139000409"/>
    <x v="240"/>
    <x v="3"/>
    <x v="3"/>
    <n v="70"/>
    <x v="0"/>
    <x v="0"/>
    <n v="120"/>
    <n v="24"/>
  </r>
  <r>
    <n v="2019"/>
    <n v="7"/>
    <x v="0"/>
    <x v="0"/>
    <x v="0"/>
    <s v="2019/2020"/>
    <b v="1"/>
    <b v="0"/>
    <b v="0"/>
    <x v="11"/>
    <n v="43643139000409"/>
    <x v="240"/>
    <x v="3"/>
    <x v="3"/>
    <n v="70"/>
    <x v="0"/>
    <x v="0"/>
    <n v="40"/>
    <n v="8"/>
  </r>
  <r>
    <n v="2019"/>
    <n v="7"/>
    <x v="0"/>
    <x v="0"/>
    <x v="0"/>
    <s v="2019/2020"/>
    <b v="1"/>
    <b v="0"/>
    <b v="0"/>
    <x v="17"/>
    <n v="44456036000311"/>
    <x v="241"/>
    <x v="75"/>
    <x v="3"/>
    <n v="62"/>
    <x v="3"/>
    <x v="5"/>
    <n v="2"/>
    <n v="2"/>
  </r>
  <r>
    <n v="2019"/>
    <n v="7"/>
    <x v="0"/>
    <x v="0"/>
    <x v="0"/>
    <s v="2019/2020"/>
    <b v="1"/>
    <b v="0"/>
    <b v="0"/>
    <x v="6"/>
    <n v="44456036000311"/>
    <x v="241"/>
    <x v="75"/>
    <x v="3"/>
    <n v="62"/>
    <x v="3"/>
    <x v="5"/>
    <n v="2"/>
    <n v="2"/>
  </r>
  <r>
    <n v="2019"/>
    <n v="7"/>
    <x v="0"/>
    <x v="0"/>
    <x v="0"/>
    <s v="2019/2020"/>
    <b v="1"/>
    <b v="0"/>
    <b v="0"/>
    <x v="2"/>
    <n v="44456036000311"/>
    <x v="241"/>
    <x v="75"/>
    <x v="3"/>
    <n v="62"/>
    <x v="3"/>
    <x v="5"/>
    <n v="4"/>
    <n v="4"/>
  </r>
  <r>
    <n v="2019"/>
    <n v="7"/>
    <x v="0"/>
    <x v="0"/>
    <x v="0"/>
    <s v="2019/2020"/>
    <b v="1"/>
    <b v="0"/>
    <b v="0"/>
    <x v="6"/>
    <n v="44456036000311"/>
    <x v="241"/>
    <x v="75"/>
    <x v="3"/>
    <n v="64"/>
    <x v="4"/>
    <x v="6"/>
    <n v="2"/>
    <n v="1"/>
  </r>
  <r>
    <n v="2019"/>
    <n v="7"/>
    <x v="0"/>
    <x v="0"/>
    <x v="0"/>
    <s v="2019/2020"/>
    <b v="1"/>
    <b v="0"/>
    <b v="0"/>
    <x v="17"/>
    <n v="44531788000138"/>
    <x v="242"/>
    <x v="76"/>
    <x v="3"/>
    <n v="73"/>
    <x v="1"/>
    <x v="1"/>
    <n v="24"/>
    <n v="12"/>
  </r>
  <r>
    <n v="2019"/>
    <n v="7"/>
    <x v="0"/>
    <x v="0"/>
    <x v="0"/>
    <s v="2019/2020"/>
    <b v="1"/>
    <b v="0"/>
    <b v="0"/>
    <x v="17"/>
    <n v="44531788000138"/>
    <x v="242"/>
    <x v="76"/>
    <x v="3"/>
    <n v="73"/>
    <x v="1"/>
    <x v="4"/>
    <n v="96"/>
    <n v="24"/>
  </r>
  <r>
    <n v="2019"/>
    <n v="7"/>
    <x v="0"/>
    <x v="0"/>
    <x v="0"/>
    <s v="2019/2020"/>
    <b v="1"/>
    <b v="0"/>
    <b v="0"/>
    <x v="6"/>
    <n v="44649812005520"/>
    <x v="243"/>
    <x v="3"/>
    <x v="3"/>
    <n v="70"/>
    <x v="0"/>
    <x v="7"/>
    <n v="10"/>
    <n v="1"/>
  </r>
  <r>
    <n v="2019"/>
    <n v="7"/>
    <x v="0"/>
    <x v="0"/>
    <x v="0"/>
    <s v="2019/2020"/>
    <b v="1"/>
    <b v="0"/>
    <b v="0"/>
    <x v="6"/>
    <n v="44649812019238"/>
    <x v="244"/>
    <x v="48"/>
    <x v="3"/>
    <n v="73"/>
    <x v="1"/>
    <x v="4"/>
    <n v="8"/>
    <n v="2"/>
  </r>
  <r>
    <n v="2019"/>
    <n v="7"/>
    <x v="0"/>
    <x v="0"/>
    <x v="0"/>
    <s v="2019/2020"/>
    <b v="1"/>
    <b v="0"/>
    <b v="0"/>
    <x v="4"/>
    <n v="44663631000590"/>
    <x v="245"/>
    <x v="77"/>
    <x v="3"/>
    <n v="70"/>
    <x v="0"/>
    <x v="0"/>
    <n v="30"/>
    <n v="6"/>
  </r>
  <r>
    <n v="2019"/>
    <n v="7"/>
    <x v="0"/>
    <x v="0"/>
    <x v="0"/>
    <s v="2019/2020"/>
    <b v="1"/>
    <b v="0"/>
    <b v="0"/>
    <x v="4"/>
    <n v="44663631000590"/>
    <x v="245"/>
    <x v="77"/>
    <x v="3"/>
    <n v="70"/>
    <x v="0"/>
    <x v="0"/>
    <n v="60"/>
    <n v="12"/>
  </r>
  <r>
    <n v="2019"/>
    <n v="7"/>
    <x v="0"/>
    <x v="0"/>
    <x v="0"/>
    <s v="2019/2020"/>
    <b v="1"/>
    <b v="0"/>
    <b v="0"/>
    <x v="14"/>
    <n v="44663631000590"/>
    <x v="245"/>
    <x v="77"/>
    <x v="3"/>
    <n v="70"/>
    <x v="0"/>
    <x v="0"/>
    <n v="135"/>
    <n v="27"/>
  </r>
  <r>
    <n v="2019"/>
    <n v="7"/>
    <x v="0"/>
    <x v="0"/>
    <x v="0"/>
    <s v="2019/2020"/>
    <b v="1"/>
    <b v="0"/>
    <b v="0"/>
    <x v="6"/>
    <n v="44663631000590"/>
    <x v="245"/>
    <x v="77"/>
    <x v="3"/>
    <n v="73"/>
    <x v="1"/>
    <x v="4"/>
    <n v="32"/>
    <n v="4"/>
  </r>
  <r>
    <n v="2019"/>
    <n v="7"/>
    <x v="0"/>
    <x v="0"/>
    <x v="0"/>
    <s v="2019/2020"/>
    <b v="1"/>
    <b v="0"/>
    <b v="0"/>
    <x v="2"/>
    <n v="44803922000293"/>
    <x v="246"/>
    <x v="78"/>
    <x v="3"/>
    <n v="73"/>
    <x v="1"/>
    <x v="2"/>
    <n v="6"/>
    <n v="6"/>
  </r>
  <r>
    <n v="2019"/>
    <n v="7"/>
    <x v="0"/>
    <x v="0"/>
    <x v="0"/>
    <s v="2019/2020"/>
    <b v="1"/>
    <b v="0"/>
    <b v="0"/>
    <x v="4"/>
    <n v="45118429001279"/>
    <x v="247"/>
    <x v="79"/>
    <x v="3"/>
    <n v="70"/>
    <x v="0"/>
    <x v="0"/>
    <n v="50"/>
    <n v="10"/>
  </r>
  <r>
    <n v="2019"/>
    <n v="7"/>
    <x v="0"/>
    <x v="0"/>
    <x v="0"/>
    <s v="2019/2020"/>
    <b v="1"/>
    <b v="0"/>
    <b v="0"/>
    <x v="6"/>
    <n v="45118429001279"/>
    <x v="247"/>
    <x v="79"/>
    <x v="3"/>
    <n v="70"/>
    <x v="0"/>
    <x v="0"/>
    <n v="50"/>
    <n v="10"/>
  </r>
  <r>
    <n v="2019"/>
    <n v="7"/>
    <x v="0"/>
    <x v="0"/>
    <x v="0"/>
    <s v="2019/2020"/>
    <b v="1"/>
    <b v="0"/>
    <b v="0"/>
    <x v="17"/>
    <n v="45118429001279"/>
    <x v="247"/>
    <x v="79"/>
    <x v="3"/>
    <n v="73"/>
    <x v="1"/>
    <x v="1"/>
    <n v="4"/>
    <n v="2"/>
  </r>
  <r>
    <n v="2019"/>
    <n v="7"/>
    <x v="0"/>
    <x v="0"/>
    <x v="0"/>
    <s v="2019/2020"/>
    <b v="1"/>
    <b v="0"/>
    <b v="0"/>
    <x v="17"/>
    <n v="45118429001279"/>
    <x v="247"/>
    <x v="79"/>
    <x v="3"/>
    <n v="73"/>
    <x v="1"/>
    <x v="2"/>
    <n v="2"/>
    <n v="2"/>
  </r>
  <r>
    <n v="2019"/>
    <n v="7"/>
    <x v="0"/>
    <x v="0"/>
    <x v="0"/>
    <s v="2019/2020"/>
    <b v="1"/>
    <b v="0"/>
    <b v="0"/>
    <x v="2"/>
    <n v="45118429001279"/>
    <x v="247"/>
    <x v="79"/>
    <x v="3"/>
    <n v="73"/>
    <x v="1"/>
    <x v="1"/>
    <n v="4"/>
    <n v="2"/>
  </r>
  <r>
    <n v="2019"/>
    <n v="7"/>
    <x v="0"/>
    <x v="0"/>
    <x v="0"/>
    <s v="2019/2020"/>
    <b v="1"/>
    <b v="0"/>
    <b v="0"/>
    <x v="2"/>
    <n v="45118429001279"/>
    <x v="247"/>
    <x v="79"/>
    <x v="3"/>
    <n v="73"/>
    <x v="1"/>
    <x v="2"/>
    <n v="2"/>
    <n v="2"/>
  </r>
  <r>
    <n v="2019"/>
    <n v="7"/>
    <x v="0"/>
    <x v="0"/>
    <x v="0"/>
    <s v="2019/2020"/>
    <b v="1"/>
    <b v="0"/>
    <b v="0"/>
    <x v="6"/>
    <n v="45184066000117"/>
    <x v="248"/>
    <x v="35"/>
    <x v="3"/>
    <n v="73"/>
    <x v="1"/>
    <x v="4"/>
    <n v="8"/>
    <n v="2"/>
  </r>
  <r>
    <n v="2019"/>
    <n v="7"/>
    <x v="0"/>
    <x v="0"/>
    <x v="0"/>
    <s v="2019/2020"/>
    <b v="1"/>
    <b v="0"/>
    <b v="0"/>
    <x v="6"/>
    <n v="45184066000117"/>
    <x v="248"/>
    <x v="35"/>
    <x v="3"/>
    <n v="73"/>
    <x v="1"/>
    <x v="2"/>
    <n v="2"/>
    <n v="2"/>
  </r>
  <r>
    <n v="2019"/>
    <n v="7"/>
    <x v="0"/>
    <x v="0"/>
    <x v="0"/>
    <s v="2019/2020"/>
    <b v="1"/>
    <b v="0"/>
    <b v="0"/>
    <x v="6"/>
    <n v="45184066000117"/>
    <x v="248"/>
    <x v="35"/>
    <x v="3"/>
    <n v="73"/>
    <x v="1"/>
    <x v="2"/>
    <n v="4"/>
    <n v="4"/>
  </r>
  <r>
    <n v="2019"/>
    <n v="7"/>
    <x v="0"/>
    <x v="0"/>
    <x v="0"/>
    <s v="2019/2020"/>
    <b v="1"/>
    <b v="0"/>
    <b v="0"/>
    <x v="4"/>
    <n v="45232246000550"/>
    <x v="249"/>
    <x v="22"/>
    <x v="3"/>
    <n v="70"/>
    <x v="0"/>
    <x v="0"/>
    <n v="15"/>
    <n v="3"/>
  </r>
  <r>
    <n v="2019"/>
    <n v="7"/>
    <x v="0"/>
    <x v="0"/>
    <x v="0"/>
    <s v="2019/2020"/>
    <b v="1"/>
    <b v="0"/>
    <b v="0"/>
    <x v="6"/>
    <n v="45232246000550"/>
    <x v="249"/>
    <x v="22"/>
    <x v="3"/>
    <n v="70"/>
    <x v="0"/>
    <x v="0"/>
    <n v="100"/>
    <n v="20"/>
  </r>
  <r>
    <n v="2019"/>
    <n v="7"/>
    <x v="0"/>
    <x v="0"/>
    <x v="0"/>
    <s v="2019/2020"/>
    <b v="1"/>
    <b v="0"/>
    <b v="0"/>
    <x v="6"/>
    <n v="45232246000550"/>
    <x v="249"/>
    <x v="22"/>
    <x v="3"/>
    <n v="70"/>
    <x v="0"/>
    <x v="0"/>
    <n v="120"/>
    <n v="24"/>
  </r>
  <r>
    <n v="2019"/>
    <n v="7"/>
    <x v="0"/>
    <x v="0"/>
    <x v="0"/>
    <s v="2019/2020"/>
    <b v="1"/>
    <b v="0"/>
    <b v="0"/>
    <x v="6"/>
    <n v="45232246000550"/>
    <x v="249"/>
    <x v="22"/>
    <x v="3"/>
    <n v="73"/>
    <x v="1"/>
    <x v="2"/>
    <n v="3"/>
    <n v="3"/>
  </r>
  <r>
    <n v="2019"/>
    <n v="7"/>
    <x v="0"/>
    <x v="0"/>
    <x v="0"/>
    <s v="2019/2020"/>
    <b v="1"/>
    <b v="0"/>
    <b v="0"/>
    <x v="6"/>
    <n v="45232246000550"/>
    <x v="249"/>
    <x v="22"/>
    <x v="3"/>
    <n v="73"/>
    <x v="1"/>
    <x v="2"/>
    <n v="8"/>
    <n v="4"/>
  </r>
  <r>
    <n v="2019"/>
    <n v="7"/>
    <x v="0"/>
    <x v="0"/>
    <x v="0"/>
    <s v="2019/2020"/>
    <b v="1"/>
    <b v="0"/>
    <b v="0"/>
    <x v="6"/>
    <n v="45232246000550"/>
    <x v="249"/>
    <x v="22"/>
    <x v="3"/>
    <n v="73"/>
    <x v="1"/>
    <x v="1"/>
    <n v="24"/>
    <n v="6"/>
  </r>
  <r>
    <n v="2019"/>
    <n v="7"/>
    <x v="0"/>
    <x v="0"/>
    <x v="0"/>
    <s v="2019/2020"/>
    <b v="1"/>
    <b v="0"/>
    <b v="0"/>
    <x v="17"/>
    <n v="45359213000576"/>
    <x v="250"/>
    <x v="80"/>
    <x v="3"/>
    <n v="73"/>
    <x v="1"/>
    <x v="1"/>
    <n v="8"/>
    <n v="4"/>
  </r>
  <r>
    <n v="2019"/>
    <n v="7"/>
    <x v="0"/>
    <x v="0"/>
    <x v="0"/>
    <s v="2019/2020"/>
    <b v="1"/>
    <b v="0"/>
    <b v="0"/>
    <x v="17"/>
    <n v="45359213000576"/>
    <x v="250"/>
    <x v="80"/>
    <x v="3"/>
    <n v="73"/>
    <x v="1"/>
    <x v="4"/>
    <n v="32"/>
    <n v="4"/>
  </r>
  <r>
    <n v="2019"/>
    <n v="7"/>
    <x v="0"/>
    <x v="0"/>
    <x v="0"/>
    <s v="2019/2020"/>
    <b v="1"/>
    <b v="0"/>
    <b v="0"/>
    <x v="17"/>
    <n v="45399961000230"/>
    <x v="251"/>
    <x v="81"/>
    <x v="3"/>
    <n v="70"/>
    <x v="0"/>
    <x v="0"/>
    <n v="75"/>
    <n v="15"/>
  </r>
  <r>
    <n v="2019"/>
    <n v="7"/>
    <x v="0"/>
    <x v="0"/>
    <x v="0"/>
    <s v="2019/2020"/>
    <b v="1"/>
    <b v="0"/>
    <b v="0"/>
    <x v="17"/>
    <n v="45399961000230"/>
    <x v="251"/>
    <x v="81"/>
    <x v="3"/>
    <n v="70"/>
    <x v="0"/>
    <x v="0"/>
    <n v="200"/>
    <n v="40"/>
  </r>
  <r>
    <n v="2019"/>
    <n v="7"/>
    <x v="0"/>
    <x v="0"/>
    <x v="0"/>
    <s v="2019/2020"/>
    <b v="1"/>
    <b v="0"/>
    <b v="0"/>
    <x v="6"/>
    <n v="45399961000230"/>
    <x v="251"/>
    <x v="81"/>
    <x v="3"/>
    <n v="70"/>
    <x v="0"/>
    <x v="0"/>
    <n v="450"/>
    <n v="30"/>
  </r>
  <r>
    <n v="2019"/>
    <n v="7"/>
    <x v="0"/>
    <x v="0"/>
    <x v="0"/>
    <s v="2019/2020"/>
    <b v="1"/>
    <b v="0"/>
    <b v="0"/>
    <x v="5"/>
    <n v="45780103000150"/>
    <x v="252"/>
    <x v="82"/>
    <x v="3"/>
    <n v="70"/>
    <x v="0"/>
    <x v="0"/>
    <n v="730"/>
    <n v="146"/>
  </r>
  <r>
    <n v="2019"/>
    <n v="7"/>
    <x v="0"/>
    <x v="0"/>
    <x v="0"/>
    <s v="2019/2020"/>
    <b v="1"/>
    <b v="0"/>
    <b v="0"/>
    <x v="14"/>
    <n v="46009718000140"/>
    <x v="253"/>
    <x v="48"/>
    <x v="3"/>
    <n v="70"/>
    <x v="0"/>
    <x v="0"/>
    <n v="160"/>
    <n v="32"/>
  </r>
  <r>
    <n v="2019"/>
    <n v="7"/>
    <x v="0"/>
    <x v="0"/>
    <x v="0"/>
    <s v="2019/2020"/>
    <b v="1"/>
    <b v="0"/>
    <b v="0"/>
    <x v="20"/>
    <n v="46009718000140"/>
    <x v="253"/>
    <x v="48"/>
    <x v="3"/>
    <n v="70"/>
    <x v="0"/>
    <x v="0"/>
    <n v="300"/>
    <n v="60"/>
  </r>
  <r>
    <n v="2019"/>
    <n v="7"/>
    <x v="0"/>
    <x v="0"/>
    <x v="0"/>
    <s v="2019/2020"/>
    <b v="1"/>
    <b v="0"/>
    <b v="0"/>
    <x v="20"/>
    <n v="46009718000140"/>
    <x v="253"/>
    <x v="48"/>
    <x v="3"/>
    <n v="70"/>
    <x v="0"/>
    <x v="0"/>
    <n v="400"/>
    <n v="80"/>
  </r>
  <r>
    <n v="2019"/>
    <n v="7"/>
    <x v="0"/>
    <x v="0"/>
    <x v="0"/>
    <s v="2019/2020"/>
    <b v="1"/>
    <b v="0"/>
    <b v="0"/>
    <x v="17"/>
    <n v="46009718000140"/>
    <x v="253"/>
    <x v="48"/>
    <x v="3"/>
    <n v="73"/>
    <x v="1"/>
    <x v="1"/>
    <n v="12"/>
    <n v="6"/>
  </r>
  <r>
    <n v="2019"/>
    <n v="7"/>
    <x v="0"/>
    <x v="0"/>
    <x v="0"/>
    <s v="2019/2020"/>
    <b v="1"/>
    <b v="0"/>
    <b v="0"/>
    <x v="2"/>
    <n v="46009718000140"/>
    <x v="253"/>
    <x v="48"/>
    <x v="3"/>
    <n v="73"/>
    <x v="1"/>
    <x v="1"/>
    <n v="22"/>
    <n v="11"/>
  </r>
  <r>
    <n v="2019"/>
    <n v="7"/>
    <x v="0"/>
    <x v="0"/>
    <x v="0"/>
    <s v="2019/2020"/>
    <b v="1"/>
    <b v="0"/>
    <b v="0"/>
    <x v="4"/>
    <n v="46020301000269"/>
    <x v="254"/>
    <x v="48"/>
    <x v="3"/>
    <n v="73"/>
    <x v="1"/>
    <x v="2"/>
    <n v="2"/>
    <n v="1"/>
  </r>
  <r>
    <n v="2019"/>
    <n v="7"/>
    <x v="0"/>
    <x v="0"/>
    <x v="0"/>
    <s v="2019/2020"/>
    <b v="1"/>
    <b v="0"/>
    <b v="0"/>
    <x v="4"/>
    <n v="46020301000269"/>
    <x v="254"/>
    <x v="48"/>
    <x v="3"/>
    <n v="73"/>
    <x v="1"/>
    <x v="2"/>
    <n v="4"/>
    <n v="2"/>
  </r>
  <r>
    <n v="2019"/>
    <n v="7"/>
    <x v="0"/>
    <x v="0"/>
    <x v="0"/>
    <s v="2019/2020"/>
    <b v="1"/>
    <b v="0"/>
    <b v="0"/>
    <x v="4"/>
    <n v="46020301000269"/>
    <x v="254"/>
    <x v="48"/>
    <x v="3"/>
    <n v="73"/>
    <x v="1"/>
    <x v="4"/>
    <n v="24"/>
    <n v="3"/>
  </r>
  <r>
    <n v="2019"/>
    <n v="7"/>
    <x v="0"/>
    <x v="0"/>
    <x v="0"/>
    <s v="2019/2020"/>
    <b v="1"/>
    <b v="0"/>
    <b v="0"/>
    <x v="20"/>
    <n v="46020301000269"/>
    <x v="254"/>
    <x v="48"/>
    <x v="3"/>
    <n v="73"/>
    <x v="1"/>
    <x v="4"/>
    <n v="4"/>
    <n v="1"/>
  </r>
  <r>
    <n v="2019"/>
    <n v="7"/>
    <x v="0"/>
    <x v="0"/>
    <x v="0"/>
    <s v="2019/2020"/>
    <b v="1"/>
    <b v="0"/>
    <b v="0"/>
    <x v="20"/>
    <n v="46020301000269"/>
    <x v="254"/>
    <x v="48"/>
    <x v="3"/>
    <n v="73"/>
    <x v="1"/>
    <x v="4"/>
    <n v="16"/>
    <n v="4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5"/>
    <n v="1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50"/>
    <n v="10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150"/>
    <n v="15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90"/>
    <n v="18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100"/>
    <n v="20"/>
  </r>
  <r>
    <n v="2019"/>
    <n v="7"/>
    <x v="0"/>
    <x v="0"/>
    <x v="0"/>
    <s v="2019/2020"/>
    <b v="1"/>
    <b v="0"/>
    <b v="0"/>
    <x v="20"/>
    <n v="46124624000111"/>
    <x v="255"/>
    <x v="48"/>
    <x v="3"/>
    <n v="70"/>
    <x v="0"/>
    <x v="0"/>
    <n v="150"/>
    <n v="30"/>
  </r>
  <r>
    <n v="2019"/>
    <n v="7"/>
    <x v="0"/>
    <x v="0"/>
    <x v="0"/>
    <s v="2019/2020"/>
    <b v="1"/>
    <b v="0"/>
    <b v="0"/>
    <x v="20"/>
    <n v="46124624000111"/>
    <x v="255"/>
    <x v="48"/>
    <x v="3"/>
    <n v="73"/>
    <x v="1"/>
    <x v="4"/>
    <n v="48"/>
    <n v="6"/>
  </r>
  <r>
    <n v="2019"/>
    <n v="7"/>
    <x v="0"/>
    <x v="0"/>
    <x v="0"/>
    <s v="2019/2020"/>
    <b v="1"/>
    <b v="0"/>
    <b v="0"/>
    <x v="20"/>
    <n v="46124624000111"/>
    <x v="255"/>
    <x v="48"/>
    <x v="3"/>
    <n v="73"/>
    <x v="1"/>
    <x v="4"/>
    <n v="160"/>
    <n v="40"/>
  </r>
  <r>
    <n v="2019"/>
    <n v="7"/>
    <x v="0"/>
    <x v="0"/>
    <x v="0"/>
    <s v="2019/2020"/>
    <b v="1"/>
    <b v="0"/>
    <b v="0"/>
    <x v="20"/>
    <n v="46124624002599"/>
    <x v="256"/>
    <x v="83"/>
    <x v="3"/>
    <n v="70"/>
    <x v="0"/>
    <x v="0"/>
    <n v="400"/>
    <n v="80"/>
  </r>
  <r>
    <n v="2019"/>
    <n v="7"/>
    <x v="0"/>
    <x v="0"/>
    <x v="0"/>
    <s v="2019/2020"/>
    <b v="1"/>
    <b v="0"/>
    <b v="0"/>
    <x v="20"/>
    <n v="46124624002599"/>
    <x v="256"/>
    <x v="83"/>
    <x v="3"/>
    <n v="73"/>
    <x v="1"/>
    <x v="4"/>
    <n v="120"/>
    <n v="30"/>
  </r>
  <r>
    <n v="2019"/>
    <n v="7"/>
    <x v="0"/>
    <x v="0"/>
    <x v="0"/>
    <s v="2019/2020"/>
    <b v="1"/>
    <b v="0"/>
    <b v="0"/>
    <x v="5"/>
    <n v="46374500003533"/>
    <x v="257"/>
    <x v="22"/>
    <x v="3"/>
    <n v="70"/>
    <x v="0"/>
    <x v="0"/>
    <n v="1000"/>
    <n v="200"/>
  </r>
  <r>
    <n v="2019"/>
    <n v="7"/>
    <x v="0"/>
    <x v="0"/>
    <x v="0"/>
    <s v="2019/2020"/>
    <b v="1"/>
    <b v="0"/>
    <b v="0"/>
    <x v="14"/>
    <n v="47074851000819"/>
    <x v="258"/>
    <x v="79"/>
    <x v="3"/>
    <n v="70"/>
    <x v="0"/>
    <x v="0"/>
    <n v="40"/>
    <n v="8"/>
  </r>
  <r>
    <n v="2019"/>
    <n v="7"/>
    <x v="0"/>
    <x v="0"/>
    <x v="0"/>
    <s v="2019/2020"/>
    <b v="1"/>
    <b v="0"/>
    <b v="0"/>
    <x v="17"/>
    <n v="47074851000819"/>
    <x v="258"/>
    <x v="79"/>
    <x v="3"/>
    <n v="73"/>
    <x v="1"/>
    <x v="2"/>
    <n v="6"/>
    <n v="6"/>
  </r>
  <r>
    <n v="2019"/>
    <n v="7"/>
    <x v="0"/>
    <x v="0"/>
    <x v="0"/>
    <s v="2019/2020"/>
    <b v="1"/>
    <b v="0"/>
    <b v="0"/>
    <x v="6"/>
    <n v="47074851000819"/>
    <x v="258"/>
    <x v="79"/>
    <x v="3"/>
    <n v="73"/>
    <x v="1"/>
    <x v="2"/>
    <n v="6"/>
    <n v="6"/>
  </r>
  <r>
    <n v="2019"/>
    <n v="7"/>
    <x v="0"/>
    <x v="0"/>
    <x v="0"/>
    <s v="2019/2020"/>
    <b v="1"/>
    <b v="0"/>
    <b v="0"/>
    <x v="5"/>
    <n v="48468284000171"/>
    <x v="259"/>
    <x v="84"/>
    <x v="3"/>
    <n v="70"/>
    <x v="0"/>
    <x v="0"/>
    <n v="100"/>
    <n v="20"/>
  </r>
  <r>
    <n v="2019"/>
    <n v="7"/>
    <x v="0"/>
    <x v="0"/>
    <x v="0"/>
    <s v="2019/2020"/>
    <b v="1"/>
    <b v="0"/>
    <b v="0"/>
    <x v="6"/>
    <n v="50486026000160"/>
    <x v="260"/>
    <x v="85"/>
    <x v="3"/>
    <n v="70"/>
    <x v="0"/>
    <x v="0"/>
    <n v="100"/>
    <n v="20"/>
  </r>
  <r>
    <n v="2019"/>
    <n v="7"/>
    <x v="0"/>
    <x v="0"/>
    <x v="0"/>
    <s v="2019/2020"/>
    <b v="1"/>
    <b v="0"/>
    <b v="0"/>
    <x v="4"/>
    <n v="51722957010226"/>
    <x v="261"/>
    <x v="3"/>
    <x v="3"/>
    <n v="70"/>
    <x v="0"/>
    <x v="0"/>
    <n v="55"/>
    <n v="11"/>
  </r>
  <r>
    <n v="2019"/>
    <n v="7"/>
    <x v="0"/>
    <x v="0"/>
    <x v="0"/>
    <s v="2019/2020"/>
    <b v="1"/>
    <b v="0"/>
    <b v="0"/>
    <x v="4"/>
    <n v="51722957010226"/>
    <x v="261"/>
    <x v="3"/>
    <x v="3"/>
    <n v="70"/>
    <x v="0"/>
    <x v="0"/>
    <n v="65"/>
    <n v="13"/>
  </r>
  <r>
    <n v="2019"/>
    <n v="7"/>
    <x v="0"/>
    <x v="0"/>
    <x v="0"/>
    <s v="2019/2020"/>
    <b v="1"/>
    <b v="0"/>
    <b v="0"/>
    <x v="4"/>
    <n v="51722957010226"/>
    <x v="261"/>
    <x v="3"/>
    <x v="3"/>
    <n v="70"/>
    <x v="0"/>
    <x v="0"/>
    <n v="165"/>
    <n v="33"/>
  </r>
  <r>
    <n v="2019"/>
    <n v="7"/>
    <x v="0"/>
    <x v="0"/>
    <x v="0"/>
    <s v="2019/2020"/>
    <b v="1"/>
    <b v="0"/>
    <b v="0"/>
    <x v="4"/>
    <n v="51722957010226"/>
    <x v="261"/>
    <x v="3"/>
    <x v="3"/>
    <n v="70"/>
    <x v="0"/>
    <x v="0"/>
    <n v="250"/>
    <n v="50"/>
  </r>
  <r>
    <n v="2019"/>
    <n v="7"/>
    <x v="0"/>
    <x v="0"/>
    <x v="0"/>
    <s v="2019/2020"/>
    <b v="1"/>
    <b v="0"/>
    <b v="0"/>
    <x v="4"/>
    <n v="51722957010226"/>
    <x v="261"/>
    <x v="3"/>
    <x v="3"/>
    <n v="73"/>
    <x v="1"/>
    <x v="1"/>
    <n v="2"/>
    <n v="1"/>
  </r>
  <r>
    <n v="2019"/>
    <n v="7"/>
    <x v="0"/>
    <x v="0"/>
    <x v="0"/>
    <s v="2019/2020"/>
    <b v="1"/>
    <b v="0"/>
    <b v="0"/>
    <x v="4"/>
    <n v="51722957010226"/>
    <x v="261"/>
    <x v="3"/>
    <x v="3"/>
    <n v="73"/>
    <x v="1"/>
    <x v="2"/>
    <n v="3"/>
    <n v="1"/>
  </r>
  <r>
    <n v="2019"/>
    <n v="7"/>
    <x v="0"/>
    <x v="0"/>
    <x v="0"/>
    <s v="2019/2020"/>
    <b v="1"/>
    <b v="0"/>
    <b v="0"/>
    <x v="2"/>
    <n v="51722957010226"/>
    <x v="261"/>
    <x v="3"/>
    <x v="3"/>
    <n v="73"/>
    <x v="1"/>
    <x v="1"/>
    <n v="2"/>
    <n v="1"/>
  </r>
  <r>
    <n v="2019"/>
    <n v="7"/>
    <x v="0"/>
    <x v="0"/>
    <x v="0"/>
    <s v="2019/2020"/>
    <b v="1"/>
    <b v="0"/>
    <b v="0"/>
    <x v="4"/>
    <n v="51722957012512"/>
    <x v="262"/>
    <x v="3"/>
    <x v="3"/>
    <n v="70"/>
    <x v="0"/>
    <x v="0"/>
    <n v="65"/>
    <n v="13"/>
  </r>
  <r>
    <n v="2019"/>
    <n v="7"/>
    <x v="0"/>
    <x v="0"/>
    <x v="0"/>
    <s v="2019/2020"/>
    <b v="1"/>
    <b v="0"/>
    <b v="0"/>
    <x v="20"/>
    <n v="51877926000109"/>
    <x v="263"/>
    <x v="48"/>
    <x v="3"/>
    <n v="70"/>
    <x v="0"/>
    <x v="0"/>
    <n v="25"/>
    <n v="5"/>
  </r>
  <r>
    <n v="2019"/>
    <n v="7"/>
    <x v="0"/>
    <x v="0"/>
    <x v="0"/>
    <s v="2019/2020"/>
    <b v="1"/>
    <b v="0"/>
    <b v="0"/>
    <x v="20"/>
    <n v="51877926000109"/>
    <x v="263"/>
    <x v="48"/>
    <x v="3"/>
    <n v="70"/>
    <x v="0"/>
    <x v="0"/>
    <n v="140"/>
    <n v="28"/>
  </r>
  <r>
    <n v="2019"/>
    <n v="7"/>
    <x v="0"/>
    <x v="0"/>
    <x v="0"/>
    <s v="2019/2020"/>
    <b v="1"/>
    <b v="0"/>
    <b v="0"/>
    <x v="5"/>
    <n v="51885242000140"/>
    <x v="264"/>
    <x v="48"/>
    <x v="3"/>
    <n v="73"/>
    <x v="1"/>
    <x v="1"/>
    <n v="240"/>
    <n v="120"/>
  </r>
  <r>
    <n v="2019"/>
    <n v="7"/>
    <x v="0"/>
    <x v="0"/>
    <x v="0"/>
    <s v="2019/2020"/>
    <b v="1"/>
    <b v="0"/>
    <b v="0"/>
    <x v="17"/>
    <n v="53221255004995"/>
    <x v="265"/>
    <x v="0"/>
    <x v="0"/>
    <n v="62"/>
    <x v="3"/>
    <x v="5"/>
    <n v="2"/>
    <n v="2"/>
  </r>
  <r>
    <n v="2019"/>
    <n v="7"/>
    <x v="0"/>
    <x v="0"/>
    <x v="0"/>
    <s v="2019/2020"/>
    <b v="1"/>
    <b v="0"/>
    <b v="0"/>
    <x v="4"/>
    <n v="54012406000385"/>
    <x v="266"/>
    <x v="86"/>
    <x v="3"/>
    <n v="70"/>
    <x v="0"/>
    <x v="0"/>
    <n v="70"/>
    <n v="14"/>
  </r>
  <r>
    <n v="2019"/>
    <n v="7"/>
    <x v="0"/>
    <x v="0"/>
    <x v="0"/>
    <s v="2019/2020"/>
    <b v="1"/>
    <b v="0"/>
    <b v="0"/>
    <x v="17"/>
    <n v="55980148000121"/>
    <x v="267"/>
    <x v="22"/>
    <x v="3"/>
    <n v="73"/>
    <x v="1"/>
    <x v="2"/>
    <n v="1"/>
    <n v="1"/>
  </r>
  <r>
    <n v="2019"/>
    <n v="7"/>
    <x v="0"/>
    <x v="0"/>
    <x v="0"/>
    <s v="2019/2020"/>
    <b v="1"/>
    <b v="0"/>
    <b v="0"/>
    <x v="17"/>
    <n v="56577059000606"/>
    <x v="268"/>
    <x v="3"/>
    <x v="3"/>
    <n v="64"/>
    <x v="4"/>
    <x v="6"/>
    <n v="30"/>
    <n v="30"/>
  </r>
  <r>
    <n v="2019"/>
    <n v="7"/>
    <x v="0"/>
    <x v="0"/>
    <x v="0"/>
    <s v="2019/2020"/>
    <b v="1"/>
    <b v="0"/>
    <b v="0"/>
    <x v="4"/>
    <n v="57394710000160"/>
    <x v="269"/>
    <x v="3"/>
    <x v="3"/>
    <n v="70"/>
    <x v="0"/>
    <x v="0"/>
    <n v="25"/>
    <n v="5"/>
  </r>
  <r>
    <n v="2019"/>
    <n v="7"/>
    <x v="0"/>
    <x v="0"/>
    <x v="0"/>
    <s v="2019/2020"/>
    <b v="1"/>
    <b v="0"/>
    <b v="0"/>
    <x v="5"/>
    <n v="57722118000302"/>
    <x v="270"/>
    <x v="22"/>
    <x v="3"/>
    <n v="70"/>
    <x v="0"/>
    <x v="0"/>
    <n v="650"/>
    <n v="130"/>
  </r>
  <r>
    <n v="2019"/>
    <n v="7"/>
    <x v="0"/>
    <x v="0"/>
    <x v="0"/>
    <s v="2019/2020"/>
    <b v="1"/>
    <b v="0"/>
    <b v="0"/>
    <x v="5"/>
    <n v="57722118000302"/>
    <x v="270"/>
    <x v="22"/>
    <x v="3"/>
    <n v="70"/>
    <x v="0"/>
    <x v="0"/>
    <n v="1000"/>
    <n v="200"/>
  </r>
  <r>
    <n v="2019"/>
    <n v="7"/>
    <x v="0"/>
    <x v="0"/>
    <x v="0"/>
    <s v="2019/2020"/>
    <b v="1"/>
    <b v="0"/>
    <b v="0"/>
    <x v="17"/>
    <n v="58229691001070"/>
    <x v="271"/>
    <x v="70"/>
    <x v="3"/>
    <n v="73"/>
    <x v="1"/>
    <x v="4"/>
    <n v="16"/>
    <n v="4"/>
  </r>
  <r>
    <n v="2019"/>
    <n v="7"/>
    <x v="0"/>
    <x v="0"/>
    <x v="0"/>
    <s v="2019/2020"/>
    <b v="1"/>
    <b v="0"/>
    <b v="0"/>
    <x v="17"/>
    <n v="58229691001070"/>
    <x v="271"/>
    <x v="70"/>
    <x v="3"/>
    <n v="73"/>
    <x v="1"/>
    <x v="4"/>
    <n v="32"/>
    <n v="8"/>
  </r>
  <r>
    <n v="2019"/>
    <n v="7"/>
    <x v="0"/>
    <x v="0"/>
    <x v="0"/>
    <s v="2019/2020"/>
    <b v="1"/>
    <b v="0"/>
    <b v="0"/>
    <x v="7"/>
    <n v="59481028000130"/>
    <x v="272"/>
    <x v="3"/>
    <x v="3"/>
    <n v="70"/>
    <x v="0"/>
    <x v="0"/>
    <n v="10"/>
    <n v="2"/>
  </r>
  <r>
    <n v="2019"/>
    <n v="7"/>
    <x v="0"/>
    <x v="0"/>
    <x v="0"/>
    <s v="2019/2020"/>
    <b v="1"/>
    <b v="0"/>
    <b v="0"/>
    <x v="6"/>
    <n v="59970947000178"/>
    <x v="273"/>
    <x v="26"/>
    <x v="3"/>
    <n v="62"/>
    <x v="3"/>
    <x v="5"/>
    <n v="1"/>
    <n v="1"/>
  </r>
  <r>
    <n v="2019"/>
    <n v="7"/>
    <x v="0"/>
    <x v="0"/>
    <x v="0"/>
    <s v="2019/2020"/>
    <b v="1"/>
    <b v="0"/>
    <b v="0"/>
    <x v="6"/>
    <n v="59972307000105"/>
    <x v="274"/>
    <x v="26"/>
    <x v="3"/>
    <n v="64"/>
    <x v="4"/>
    <x v="6"/>
    <n v="2"/>
    <n v="2"/>
  </r>
  <r>
    <n v="2019"/>
    <n v="7"/>
    <x v="0"/>
    <x v="0"/>
    <x v="0"/>
    <s v="2019/2020"/>
    <b v="1"/>
    <b v="0"/>
    <b v="0"/>
    <x v="5"/>
    <n v="60003761000129"/>
    <x v="275"/>
    <x v="26"/>
    <x v="3"/>
    <n v="64"/>
    <x v="4"/>
    <x v="6"/>
    <n v="10"/>
    <n v="10"/>
  </r>
  <r>
    <n v="2019"/>
    <n v="7"/>
    <x v="0"/>
    <x v="0"/>
    <x v="0"/>
    <s v="2019/2020"/>
    <b v="1"/>
    <b v="0"/>
    <b v="0"/>
    <x v="6"/>
    <n v="60214517000962"/>
    <x v="276"/>
    <x v="35"/>
    <x v="3"/>
    <n v="70"/>
    <x v="0"/>
    <x v="0"/>
    <n v="90"/>
    <n v="18"/>
  </r>
  <r>
    <n v="2019"/>
    <n v="7"/>
    <x v="0"/>
    <x v="0"/>
    <x v="0"/>
    <s v="2019/2020"/>
    <b v="1"/>
    <b v="0"/>
    <b v="0"/>
    <x v="6"/>
    <n v="60214517001691"/>
    <x v="277"/>
    <x v="35"/>
    <x v="3"/>
    <n v="70"/>
    <x v="0"/>
    <x v="0"/>
    <n v="150"/>
    <n v="30"/>
  </r>
  <r>
    <n v="2019"/>
    <n v="7"/>
    <x v="0"/>
    <x v="0"/>
    <x v="0"/>
    <s v="2019/2020"/>
    <b v="1"/>
    <b v="0"/>
    <b v="0"/>
    <x v="5"/>
    <n v="60448040000122"/>
    <x v="278"/>
    <x v="3"/>
    <x v="3"/>
    <n v="62"/>
    <x v="3"/>
    <x v="5"/>
    <n v="55"/>
    <n v="55"/>
  </r>
  <r>
    <n v="2019"/>
    <n v="7"/>
    <x v="0"/>
    <x v="0"/>
    <x v="0"/>
    <s v="2019/2020"/>
    <b v="1"/>
    <b v="0"/>
    <b v="0"/>
    <x v="5"/>
    <n v="60448040000122"/>
    <x v="278"/>
    <x v="3"/>
    <x v="3"/>
    <n v="64"/>
    <x v="4"/>
    <x v="6"/>
    <n v="60"/>
    <n v="60"/>
  </r>
  <r>
    <n v="2019"/>
    <n v="7"/>
    <x v="0"/>
    <x v="0"/>
    <x v="0"/>
    <s v="2019/2020"/>
    <b v="1"/>
    <b v="0"/>
    <b v="0"/>
    <x v="17"/>
    <n v="60453024000390"/>
    <x v="279"/>
    <x v="3"/>
    <x v="3"/>
    <n v="62"/>
    <x v="3"/>
    <x v="5"/>
    <n v="10"/>
    <n v="10"/>
  </r>
  <r>
    <n v="2019"/>
    <n v="7"/>
    <x v="0"/>
    <x v="0"/>
    <x v="0"/>
    <s v="2019/2020"/>
    <b v="1"/>
    <b v="0"/>
    <b v="0"/>
    <x v="17"/>
    <n v="60453024000390"/>
    <x v="279"/>
    <x v="3"/>
    <x v="3"/>
    <n v="64"/>
    <x v="4"/>
    <x v="6"/>
    <n v="5"/>
    <n v="5"/>
  </r>
  <r>
    <n v="2019"/>
    <n v="7"/>
    <x v="0"/>
    <x v="0"/>
    <x v="0"/>
    <s v="2019/2020"/>
    <b v="1"/>
    <b v="0"/>
    <b v="0"/>
    <x v="14"/>
    <n v="60552098000111"/>
    <x v="280"/>
    <x v="3"/>
    <x v="3"/>
    <n v="70"/>
    <x v="0"/>
    <x v="0"/>
    <n v="150"/>
    <n v="30"/>
  </r>
  <r>
    <n v="2019"/>
    <n v="7"/>
    <x v="0"/>
    <x v="0"/>
    <x v="0"/>
    <s v="2019/2020"/>
    <b v="1"/>
    <b v="0"/>
    <b v="0"/>
    <x v="6"/>
    <n v="60552098000111"/>
    <x v="280"/>
    <x v="3"/>
    <x v="3"/>
    <n v="70"/>
    <x v="0"/>
    <x v="0"/>
    <n v="75"/>
    <n v="15"/>
  </r>
  <r>
    <n v="2019"/>
    <n v="7"/>
    <x v="0"/>
    <x v="0"/>
    <x v="0"/>
    <s v="2019/2020"/>
    <b v="1"/>
    <b v="0"/>
    <b v="0"/>
    <x v="6"/>
    <n v="60678604000113"/>
    <x v="281"/>
    <x v="3"/>
    <x v="3"/>
    <n v="62"/>
    <x v="3"/>
    <x v="5"/>
    <n v="7"/>
    <n v="7"/>
  </r>
  <r>
    <n v="2019"/>
    <n v="7"/>
    <x v="0"/>
    <x v="0"/>
    <x v="0"/>
    <s v="2019/2020"/>
    <b v="1"/>
    <b v="0"/>
    <b v="0"/>
    <x v="6"/>
    <n v="60678604000113"/>
    <x v="281"/>
    <x v="3"/>
    <x v="3"/>
    <n v="62"/>
    <x v="3"/>
    <x v="5"/>
    <n v="20"/>
    <n v="10"/>
  </r>
  <r>
    <n v="2019"/>
    <n v="7"/>
    <x v="0"/>
    <x v="0"/>
    <x v="0"/>
    <s v="2019/2020"/>
    <b v="1"/>
    <b v="0"/>
    <b v="0"/>
    <x v="6"/>
    <n v="60678604000113"/>
    <x v="281"/>
    <x v="3"/>
    <x v="3"/>
    <n v="62"/>
    <x v="3"/>
    <x v="5"/>
    <n v="15"/>
    <n v="15"/>
  </r>
  <r>
    <n v="2019"/>
    <n v="7"/>
    <x v="0"/>
    <x v="0"/>
    <x v="0"/>
    <s v="2019/2020"/>
    <b v="1"/>
    <b v="0"/>
    <b v="0"/>
    <x v="6"/>
    <n v="60678604000113"/>
    <x v="281"/>
    <x v="3"/>
    <x v="3"/>
    <n v="64"/>
    <x v="4"/>
    <x v="6"/>
    <n v="2"/>
    <n v="2"/>
  </r>
  <r>
    <n v="2019"/>
    <n v="7"/>
    <x v="0"/>
    <x v="0"/>
    <x v="0"/>
    <s v="2019/2020"/>
    <b v="1"/>
    <b v="0"/>
    <b v="0"/>
    <x v="17"/>
    <n v="60726502000126"/>
    <x v="282"/>
    <x v="3"/>
    <x v="3"/>
    <n v="62"/>
    <x v="3"/>
    <x v="5"/>
    <n v="6"/>
    <n v="6"/>
  </r>
  <r>
    <n v="2019"/>
    <n v="7"/>
    <x v="0"/>
    <x v="0"/>
    <x v="0"/>
    <s v="2019/2020"/>
    <b v="1"/>
    <b v="0"/>
    <b v="0"/>
    <x v="17"/>
    <n v="60726502000126"/>
    <x v="282"/>
    <x v="3"/>
    <x v="3"/>
    <n v="64"/>
    <x v="4"/>
    <x v="6"/>
    <n v="3"/>
    <n v="3"/>
  </r>
  <r>
    <n v="2019"/>
    <n v="7"/>
    <x v="0"/>
    <x v="0"/>
    <x v="0"/>
    <s v="2019/2020"/>
    <b v="1"/>
    <b v="0"/>
    <b v="0"/>
    <x v="6"/>
    <n v="60726502000126"/>
    <x v="282"/>
    <x v="3"/>
    <x v="3"/>
    <n v="70"/>
    <x v="0"/>
    <x v="0"/>
    <n v="30"/>
    <n v="6"/>
  </r>
  <r>
    <n v="2019"/>
    <n v="7"/>
    <x v="0"/>
    <x v="0"/>
    <x v="0"/>
    <s v="2019/2020"/>
    <b v="1"/>
    <b v="0"/>
    <b v="0"/>
    <x v="6"/>
    <n v="60726502000126"/>
    <x v="282"/>
    <x v="3"/>
    <x v="3"/>
    <n v="70"/>
    <x v="0"/>
    <x v="0"/>
    <n v="40"/>
    <n v="8"/>
  </r>
  <r>
    <n v="2019"/>
    <n v="7"/>
    <x v="0"/>
    <x v="0"/>
    <x v="0"/>
    <s v="2019/2020"/>
    <b v="1"/>
    <b v="0"/>
    <b v="0"/>
    <x v="6"/>
    <n v="60726502000126"/>
    <x v="282"/>
    <x v="3"/>
    <x v="3"/>
    <n v="70"/>
    <x v="0"/>
    <x v="0"/>
    <n v="120"/>
    <n v="24"/>
  </r>
  <r>
    <n v="2019"/>
    <n v="7"/>
    <x v="0"/>
    <x v="0"/>
    <x v="0"/>
    <s v="2019/2020"/>
    <b v="1"/>
    <b v="0"/>
    <b v="0"/>
    <x v="6"/>
    <n v="60726502000126"/>
    <x v="282"/>
    <x v="3"/>
    <x v="3"/>
    <n v="70"/>
    <x v="0"/>
    <x v="0"/>
    <n v="200"/>
    <n v="40"/>
  </r>
  <r>
    <n v="2019"/>
    <n v="7"/>
    <x v="0"/>
    <x v="0"/>
    <x v="0"/>
    <s v="2019/2020"/>
    <b v="1"/>
    <b v="0"/>
    <b v="0"/>
    <x v="17"/>
    <n v="60726502000711"/>
    <x v="283"/>
    <x v="3"/>
    <x v="3"/>
    <n v="62"/>
    <x v="3"/>
    <x v="5"/>
    <n v="2"/>
    <n v="2"/>
  </r>
  <r>
    <n v="2019"/>
    <n v="7"/>
    <x v="0"/>
    <x v="0"/>
    <x v="0"/>
    <s v="2019/2020"/>
    <b v="1"/>
    <b v="0"/>
    <b v="0"/>
    <x v="17"/>
    <n v="60726502000711"/>
    <x v="283"/>
    <x v="3"/>
    <x v="3"/>
    <n v="62"/>
    <x v="3"/>
    <x v="5"/>
    <n v="3"/>
    <n v="3"/>
  </r>
  <r>
    <n v="2019"/>
    <n v="7"/>
    <x v="0"/>
    <x v="0"/>
    <x v="0"/>
    <s v="2019/2020"/>
    <b v="1"/>
    <b v="0"/>
    <b v="0"/>
    <x v="4"/>
    <n v="60777901000116"/>
    <x v="284"/>
    <x v="3"/>
    <x v="3"/>
    <n v="70"/>
    <x v="0"/>
    <x v="0"/>
    <n v="750"/>
    <n v="50"/>
  </r>
  <r>
    <n v="2019"/>
    <n v="7"/>
    <x v="0"/>
    <x v="0"/>
    <x v="0"/>
    <s v="2019/2020"/>
    <b v="1"/>
    <b v="0"/>
    <b v="0"/>
    <x v="4"/>
    <n v="60777901000116"/>
    <x v="284"/>
    <x v="3"/>
    <x v="3"/>
    <n v="70"/>
    <x v="0"/>
    <x v="0"/>
    <n v="900"/>
    <n v="60"/>
  </r>
  <r>
    <n v="2019"/>
    <n v="7"/>
    <x v="0"/>
    <x v="0"/>
    <x v="0"/>
    <s v="2019/2020"/>
    <b v="1"/>
    <b v="0"/>
    <b v="0"/>
    <x v="4"/>
    <n v="60884855000316"/>
    <x v="285"/>
    <x v="3"/>
    <x v="3"/>
    <n v="62"/>
    <x v="3"/>
    <x v="5"/>
    <n v="3"/>
    <n v="3"/>
  </r>
  <r>
    <n v="2019"/>
    <n v="7"/>
    <x v="0"/>
    <x v="0"/>
    <x v="0"/>
    <s v="2019/2020"/>
    <b v="1"/>
    <b v="0"/>
    <b v="0"/>
    <x v="4"/>
    <n v="60884855000316"/>
    <x v="285"/>
    <x v="3"/>
    <x v="3"/>
    <n v="62"/>
    <x v="3"/>
    <x v="5"/>
    <n v="10"/>
    <n v="10"/>
  </r>
  <r>
    <n v="2019"/>
    <n v="7"/>
    <x v="0"/>
    <x v="0"/>
    <x v="0"/>
    <s v="2019/2020"/>
    <b v="1"/>
    <b v="0"/>
    <b v="0"/>
    <x v="4"/>
    <n v="60884855000316"/>
    <x v="285"/>
    <x v="3"/>
    <x v="3"/>
    <n v="62"/>
    <x v="3"/>
    <x v="5"/>
    <n v="12"/>
    <n v="12"/>
  </r>
  <r>
    <n v="2019"/>
    <n v="7"/>
    <x v="0"/>
    <x v="0"/>
    <x v="0"/>
    <s v="2019/2020"/>
    <b v="1"/>
    <b v="0"/>
    <b v="0"/>
    <x v="4"/>
    <n v="60884855000316"/>
    <x v="285"/>
    <x v="3"/>
    <x v="3"/>
    <n v="62"/>
    <x v="3"/>
    <x v="5"/>
    <n v="13"/>
    <n v="13"/>
  </r>
  <r>
    <n v="2019"/>
    <n v="7"/>
    <x v="0"/>
    <x v="0"/>
    <x v="0"/>
    <s v="2019/2020"/>
    <b v="1"/>
    <b v="0"/>
    <b v="0"/>
    <x v="4"/>
    <n v="60884855000316"/>
    <x v="285"/>
    <x v="3"/>
    <x v="3"/>
    <n v="64"/>
    <x v="4"/>
    <x v="6"/>
    <n v="3"/>
    <n v="3"/>
  </r>
  <r>
    <n v="2019"/>
    <n v="7"/>
    <x v="0"/>
    <x v="0"/>
    <x v="0"/>
    <s v="2019/2020"/>
    <b v="1"/>
    <b v="0"/>
    <b v="0"/>
    <x v="4"/>
    <n v="60884855000316"/>
    <x v="285"/>
    <x v="3"/>
    <x v="3"/>
    <n v="64"/>
    <x v="4"/>
    <x v="6"/>
    <n v="5"/>
    <n v="5"/>
  </r>
  <r>
    <n v="2019"/>
    <n v="7"/>
    <x v="0"/>
    <x v="0"/>
    <x v="0"/>
    <s v="2019/2020"/>
    <b v="1"/>
    <b v="0"/>
    <b v="0"/>
    <x v="4"/>
    <n v="60884855000316"/>
    <x v="285"/>
    <x v="3"/>
    <x v="3"/>
    <n v="70"/>
    <x v="0"/>
    <x v="0"/>
    <n v="130"/>
    <n v="26"/>
  </r>
  <r>
    <n v="2019"/>
    <n v="7"/>
    <x v="0"/>
    <x v="0"/>
    <x v="0"/>
    <s v="2019/2020"/>
    <b v="1"/>
    <b v="0"/>
    <b v="0"/>
    <x v="4"/>
    <n v="60884855000316"/>
    <x v="285"/>
    <x v="3"/>
    <x v="3"/>
    <n v="70"/>
    <x v="0"/>
    <x v="0"/>
    <n v="235"/>
    <n v="47"/>
  </r>
  <r>
    <n v="2019"/>
    <n v="7"/>
    <x v="0"/>
    <x v="0"/>
    <x v="0"/>
    <s v="2019/2020"/>
    <b v="1"/>
    <b v="0"/>
    <b v="0"/>
    <x v="4"/>
    <n v="60884855000316"/>
    <x v="285"/>
    <x v="3"/>
    <x v="3"/>
    <n v="70"/>
    <x v="0"/>
    <x v="0"/>
    <n v="395"/>
    <n v="79"/>
  </r>
  <r>
    <n v="2019"/>
    <n v="7"/>
    <x v="0"/>
    <x v="0"/>
    <x v="0"/>
    <s v="2019/2020"/>
    <b v="1"/>
    <b v="0"/>
    <b v="0"/>
    <x v="4"/>
    <n v="60884855000316"/>
    <x v="285"/>
    <x v="3"/>
    <x v="3"/>
    <n v="70"/>
    <x v="0"/>
    <x v="0"/>
    <n v="435"/>
    <n v="87"/>
  </r>
  <r>
    <n v="2019"/>
    <n v="7"/>
    <x v="0"/>
    <x v="0"/>
    <x v="0"/>
    <s v="2019/2020"/>
    <b v="1"/>
    <b v="0"/>
    <b v="0"/>
    <x v="4"/>
    <n v="60884855000316"/>
    <x v="285"/>
    <x v="3"/>
    <x v="3"/>
    <n v="70"/>
    <x v="0"/>
    <x v="0"/>
    <n v="735"/>
    <n v="147"/>
  </r>
  <r>
    <n v="2019"/>
    <n v="7"/>
    <x v="0"/>
    <x v="0"/>
    <x v="0"/>
    <s v="2019/2020"/>
    <b v="1"/>
    <b v="0"/>
    <b v="0"/>
    <x v="4"/>
    <n v="60884855001207"/>
    <x v="286"/>
    <x v="9"/>
    <x v="0"/>
    <n v="62"/>
    <x v="3"/>
    <x v="5"/>
    <n v="2"/>
    <n v="1"/>
  </r>
  <r>
    <n v="2019"/>
    <n v="7"/>
    <x v="0"/>
    <x v="0"/>
    <x v="0"/>
    <s v="2019/2020"/>
    <b v="1"/>
    <b v="0"/>
    <b v="0"/>
    <x v="4"/>
    <n v="60884855001207"/>
    <x v="286"/>
    <x v="9"/>
    <x v="0"/>
    <n v="62"/>
    <x v="3"/>
    <x v="5"/>
    <n v="3"/>
    <n v="3"/>
  </r>
  <r>
    <n v="2019"/>
    <n v="7"/>
    <x v="0"/>
    <x v="0"/>
    <x v="0"/>
    <s v="2019/2020"/>
    <b v="1"/>
    <b v="0"/>
    <b v="0"/>
    <x v="4"/>
    <n v="60884855001207"/>
    <x v="286"/>
    <x v="9"/>
    <x v="0"/>
    <n v="62"/>
    <x v="3"/>
    <x v="5"/>
    <n v="5"/>
    <n v="5"/>
  </r>
  <r>
    <n v="2019"/>
    <n v="7"/>
    <x v="0"/>
    <x v="0"/>
    <x v="0"/>
    <s v="2019/2020"/>
    <b v="1"/>
    <b v="0"/>
    <b v="0"/>
    <x v="4"/>
    <n v="60884855001207"/>
    <x v="286"/>
    <x v="9"/>
    <x v="0"/>
    <n v="62"/>
    <x v="3"/>
    <x v="5"/>
    <n v="14"/>
    <n v="14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2"/>
    <n v="2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6"/>
    <n v="6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8"/>
    <n v="8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9"/>
    <n v="9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16"/>
    <n v="16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18"/>
    <n v="18"/>
  </r>
  <r>
    <n v="2019"/>
    <n v="7"/>
    <x v="0"/>
    <x v="0"/>
    <x v="0"/>
    <s v="2019/2020"/>
    <b v="1"/>
    <b v="0"/>
    <b v="0"/>
    <x v="4"/>
    <n v="60884855001207"/>
    <x v="286"/>
    <x v="9"/>
    <x v="0"/>
    <n v="64"/>
    <x v="4"/>
    <x v="6"/>
    <n v="24"/>
    <n v="24"/>
  </r>
  <r>
    <n v="2019"/>
    <n v="7"/>
    <x v="0"/>
    <x v="0"/>
    <x v="0"/>
    <s v="2019/2020"/>
    <b v="1"/>
    <b v="0"/>
    <b v="0"/>
    <x v="4"/>
    <n v="60884855001207"/>
    <x v="286"/>
    <x v="9"/>
    <x v="0"/>
    <n v="70"/>
    <x v="0"/>
    <x v="0"/>
    <n v="65"/>
    <n v="13"/>
  </r>
  <r>
    <n v="2019"/>
    <n v="7"/>
    <x v="0"/>
    <x v="0"/>
    <x v="0"/>
    <s v="2019/2020"/>
    <b v="1"/>
    <b v="0"/>
    <b v="0"/>
    <x v="4"/>
    <n v="60884855001207"/>
    <x v="286"/>
    <x v="9"/>
    <x v="0"/>
    <n v="70"/>
    <x v="0"/>
    <x v="0"/>
    <n v="90"/>
    <n v="18"/>
  </r>
  <r>
    <n v="2019"/>
    <n v="7"/>
    <x v="0"/>
    <x v="0"/>
    <x v="0"/>
    <s v="2019/2020"/>
    <b v="1"/>
    <b v="0"/>
    <b v="0"/>
    <x v="4"/>
    <n v="60884855001207"/>
    <x v="286"/>
    <x v="9"/>
    <x v="0"/>
    <n v="70"/>
    <x v="0"/>
    <x v="0"/>
    <n v="125"/>
    <n v="25"/>
  </r>
  <r>
    <n v="2019"/>
    <n v="7"/>
    <x v="0"/>
    <x v="0"/>
    <x v="0"/>
    <s v="2019/2020"/>
    <b v="1"/>
    <b v="0"/>
    <b v="0"/>
    <x v="4"/>
    <n v="60884855001207"/>
    <x v="286"/>
    <x v="9"/>
    <x v="0"/>
    <n v="70"/>
    <x v="0"/>
    <x v="0"/>
    <n v="160"/>
    <n v="32"/>
  </r>
  <r>
    <n v="2019"/>
    <n v="7"/>
    <x v="0"/>
    <x v="0"/>
    <x v="0"/>
    <s v="2019/2020"/>
    <b v="1"/>
    <b v="0"/>
    <b v="0"/>
    <x v="3"/>
    <n v="60884855001207"/>
    <x v="286"/>
    <x v="9"/>
    <x v="0"/>
    <n v="73"/>
    <x v="1"/>
    <x v="1"/>
    <n v="2"/>
    <n v="1"/>
  </r>
  <r>
    <n v="2019"/>
    <n v="7"/>
    <x v="0"/>
    <x v="0"/>
    <x v="0"/>
    <s v="2019/2020"/>
    <b v="1"/>
    <b v="0"/>
    <b v="0"/>
    <x v="3"/>
    <n v="60884855001207"/>
    <x v="286"/>
    <x v="9"/>
    <x v="0"/>
    <n v="73"/>
    <x v="1"/>
    <x v="2"/>
    <n v="1"/>
    <n v="1"/>
  </r>
  <r>
    <n v="2019"/>
    <n v="7"/>
    <x v="0"/>
    <x v="0"/>
    <x v="0"/>
    <s v="2019/2020"/>
    <b v="1"/>
    <b v="0"/>
    <b v="0"/>
    <x v="4"/>
    <n v="60884855001207"/>
    <x v="286"/>
    <x v="9"/>
    <x v="0"/>
    <n v="73"/>
    <x v="1"/>
    <x v="2"/>
    <n v="1"/>
    <n v="1"/>
  </r>
  <r>
    <n v="2019"/>
    <n v="7"/>
    <x v="0"/>
    <x v="0"/>
    <x v="0"/>
    <s v="2019/2020"/>
    <b v="1"/>
    <b v="0"/>
    <b v="0"/>
    <x v="17"/>
    <n v="60884855001207"/>
    <x v="286"/>
    <x v="9"/>
    <x v="0"/>
    <n v="73"/>
    <x v="1"/>
    <x v="1"/>
    <n v="2"/>
    <n v="1"/>
  </r>
  <r>
    <n v="2019"/>
    <n v="7"/>
    <x v="0"/>
    <x v="0"/>
    <x v="0"/>
    <s v="2019/2020"/>
    <b v="1"/>
    <b v="0"/>
    <b v="0"/>
    <x v="17"/>
    <n v="60884855001207"/>
    <x v="286"/>
    <x v="9"/>
    <x v="0"/>
    <n v="73"/>
    <x v="1"/>
    <x v="1"/>
    <n v="4"/>
    <n v="2"/>
  </r>
  <r>
    <n v="2019"/>
    <n v="7"/>
    <x v="0"/>
    <x v="0"/>
    <x v="0"/>
    <s v="2019/2020"/>
    <b v="1"/>
    <b v="0"/>
    <b v="0"/>
    <x v="17"/>
    <n v="60884855001207"/>
    <x v="286"/>
    <x v="9"/>
    <x v="0"/>
    <n v="73"/>
    <x v="1"/>
    <x v="2"/>
    <n v="2"/>
    <n v="2"/>
  </r>
  <r>
    <n v="2019"/>
    <n v="7"/>
    <x v="0"/>
    <x v="0"/>
    <x v="0"/>
    <s v="2019/2020"/>
    <b v="1"/>
    <b v="0"/>
    <b v="0"/>
    <x v="17"/>
    <n v="60884855001207"/>
    <x v="286"/>
    <x v="9"/>
    <x v="0"/>
    <n v="73"/>
    <x v="1"/>
    <x v="1"/>
    <n v="6"/>
    <n v="3"/>
  </r>
  <r>
    <n v="2019"/>
    <n v="7"/>
    <x v="0"/>
    <x v="0"/>
    <x v="0"/>
    <s v="2019/2020"/>
    <b v="1"/>
    <b v="0"/>
    <b v="0"/>
    <x v="4"/>
    <n v="60884855001630"/>
    <x v="287"/>
    <x v="0"/>
    <x v="0"/>
    <n v="62"/>
    <x v="3"/>
    <x v="5"/>
    <n v="3"/>
    <n v="3"/>
  </r>
  <r>
    <n v="2019"/>
    <n v="7"/>
    <x v="0"/>
    <x v="0"/>
    <x v="0"/>
    <s v="2019/2020"/>
    <b v="1"/>
    <b v="0"/>
    <b v="0"/>
    <x v="4"/>
    <n v="60884855001630"/>
    <x v="287"/>
    <x v="0"/>
    <x v="0"/>
    <n v="62"/>
    <x v="3"/>
    <x v="5"/>
    <n v="10"/>
    <n v="10"/>
  </r>
  <r>
    <n v="2019"/>
    <n v="7"/>
    <x v="0"/>
    <x v="0"/>
    <x v="0"/>
    <s v="2019/2020"/>
    <b v="1"/>
    <b v="0"/>
    <b v="0"/>
    <x v="4"/>
    <n v="60884855001630"/>
    <x v="287"/>
    <x v="0"/>
    <x v="0"/>
    <n v="62"/>
    <x v="3"/>
    <x v="5"/>
    <n v="12"/>
    <n v="12"/>
  </r>
  <r>
    <n v="2019"/>
    <n v="7"/>
    <x v="0"/>
    <x v="0"/>
    <x v="0"/>
    <s v="2019/2020"/>
    <b v="1"/>
    <b v="0"/>
    <b v="0"/>
    <x v="4"/>
    <n v="60884855001630"/>
    <x v="287"/>
    <x v="0"/>
    <x v="0"/>
    <n v="64"/>
    <x v="4"/>
    <x v="6"/>
    <n v="3"/>
    <n v="3"/>
  </r>
  <r>
    <n v="2019"/>
    <n v="7"/>
    <x v="0"/>
    <x v="0"/>
    <x v="0"/>
    <s v="2019/2020"/>
    <b v="1"/>
    <b v="0"/>
    <b v="0"/>
    <x v="4"/>
    <n v="60884855001630"/>
    <x v="287"/>
    <x v="0"/>
    <x v="0"/>
    <n v="64"/>
    <x v="4"/>
    <x v="6"/>
    <n v="6"/>
    <n v="6"/>
  </r>
  <r>
    <n v="2019"/>
    <n v="7"/>
    <x v="0"/>
    <x v="0"/>
    <x v="0"/>
    <s v="2019/2020"/>
    <b v="1"/>
    <b v="0"/>
    <b v="0"/>
    <x v="4"/>
    <n v="60884855001630"/>
    <x v="287"/>
    <x v="0"/>
    <x v="0"/>
    <n v="70"/>
    <x v="0"/>
    <x v="0"/>
    <n v="70"/>
    <n v="7"/>
  </r>
  <r>
    <n v="2019"/>
    <n v="7"/>
    <x v="0"/>
    <x v="0"/>
    <x v="0"/>
    <s v="2019/2020"/>
    <b v="1"/>
    <b v="0"/>
    <b v="0"/>
    <x v="4"/>
    <n v="60884855001630"/>
    <x v="287"/>
    <x v="0"/>
    <x v="0"/>
    <n v="70"/>
    <x v="0"/>
    <x v="0"/>
    <n v="95"/>
    <n v="19"/>
  </r>
  <r>
    <n v="2019"/>
    <n v="7"/>
    <x v="0"/>
    <x v="0"/>
    <x v="0"/>
    <s v="2019/2020"/>
    <b v="1"/>
    <b v="0"/>
    <b v="0"/>
    <x v="4"/>
    <n v="60884855001630"/>
    <x v="287"/>
    <x v="0"/>
    <x v="0"/>
    <n v="70"/>
    <x v="0"/>
    <x v="0"/>
    <n v="210"/>
    <n v="21"/>
  </r>
  <r>
    <n v="2019"/>
    <n v="7"/>
    <x v="0"/>
    <x v="0"/>
    <x v="0"/>
    <s v="2019/2020"/>
    <b v="1"/>
    <b v="0"/>
    <b v="0"/>
    <x v="4"/>
    <n v="60884855002289"/>
    <x v="288"/>
    <x v="4"/>
    <x v="4"/>
    <n v="62"/>
    <x v="3"/>
    <x v="5"/>
    <n v="5"/>
    <n v="5"/>
  </r>
  <r>
    <n v="2019"/>
    <n v="7"/>
    <x v="0"/>
    <x v="0"/>
    <x v="0"/>
    <s v="2019/2020"/>
    <b v="1"/>
    <b v="0"/>
    <b v="0"/>
    <x v="4"/>
    <n v="60884855002289"/>
    <x v="288"/>
    <x v="4"/>
    <x v="4"/>
    <n v="62"/>
    <x v="3"/>
    <x v="5"/>
    <n v="6"/>
    <n v="6"/>
  </r>
  <r>
    <n v="2019"/>
    <n v="7"/>
    <x v="0"/>
    <x v="0"/>
    <x v="0"/>
    <s v="2019/2020"/>
    <b v="1"/>
    <b v="0"/>
    <b v="0"/>
    <x v="4"/>
    <n v="60884855002289"/>
    <x v="288"/>
    <x v="4"/>
    <x v="4"/>
    <n v="64"/>
    <x v="4"/>
    <x v="6"/>
    <n v="10"/>
    <n v="10"/>
  </r>
  <r>
    <n v="2019"/>
    <n v="7"/>
    <x v="0"/>
    <x v="0"/>
    <x v="0"/>
    <s v="2019/2020"/>
    <b v="1"/>
    <b v="0"/>
    <b v="0"/>
    <x v="4"/>
    <n v="60884855002289"/>
    <x v="288"/>
    <x v="4"/>
    <x v="4"/>
    <n v="64"/>
    <x v="4"/>
    <x v="6"/>
    <n v="60"/>
    <n v="15"/>
  </r>
  <r>
    <n v="2019"/>
    <n v="7"/>
    <x v="0"/>
    <x v="0"/>
    <x v="0"/>
    <s v="2019/2020"/>
    <b v="1"/>
    <b v="0"/>
    <b v="0"/>
    <x v="4"/>
    <n v="60884855002289"/>
    <x v="288"/>
    <x v="4"/>
    <x v="4"/>
    <n v="64"/>
    <x v="4"/>
    <x v="6"/>
    <n v="20"/>
    <n v="20"/>
  </r>
  <r>
    <n v="2019"/>
    <n v="7"/>
    <x v="0"/>
    <x v="0"/>
    <x v="0"/>
    <s v="2019/2020"/>
    <b v="1"/>
    <b v="0"/>
    <b v="0"/>
    <x v="4"/>
    <n v="60884855002289"/>
    <x v="288"/>
    <x v="4"/>
    <x v="4"/>
    <n v="70"/>
    <x v="0"/>
    <x v="0"/>
    <n v="70"/>
    <n v="14"/>
  </r>
  <r>
    <n v="2019"/>
    <n v="7"/>
    <x v="0"/>
    <x v="0"/>
    <x v="0"/>
    <s v="2019/2020"/>
    <b v="1"/>
    <b v="0"/>
    <b v="0"/>
    <x v="4"/>
    <n v="60884855002289"/>
    <x v="288"/>
    <x v="4"/>
    <x v="4"/>
    <n v="70"/>
    <x v="0"/>
    <x v="0"/>
    <n v="300"/>
    <n v="60"/>
  </r>
  <r>
    <n v="2019"/>
    <n v="7"/>
    <x v="0"/>
    <x v="0"/>
    <x v="0"/>
    <s v="2019/2020"/>
    <b v="1"/>
    <b v="0"/>
    <b v="0"/>
    <x v="10"/>
    <n v="60922168000348"/>
    <x v="289"/>
    <x v="0"/>
    <x v="0"/>
    <n v="62"/>
    <x v="3"/>
    <x v="5"/>
    <n v="2"/>
    <n v="2"/>
  </r>
  <r>
    <n v="2019"/>
    <n v="7"/>
    <x v="0"/>
    <x v="0"/>
    <x v="0"/>
    <s v="2019/2020"/>
    <b v="1"/>
    <b v="0"/>
    <b v="0"/>
    <x v="10"/>
    <n v="60922168000348"/>
    <x v="289"/>
    <x v="0"/>
    <x v="0"/>
    <n v="64"/>
    <x v="4"/>
    <x v="6"/>
    <n v="3"/>
    <n v="3"/>
  </r>
  <r>
    <n v="2019"/>
    <n v="7"/>
    <x v="0"/>
    <x v="0"/>
    <x v="0"/>
    <s v="2019/2020"/>
    <b v="1"/>
    <b v="0"/>
    <b v="0"/>
    <x v="10"/>
    <n v="60922168000348"/>
    <x v="289"/>
    <x v="0"/>
    <x v="0"/>
    <n v="70"/>
    <x v="0"/>
    <x v="0"/>
    <n v="120"/>
    <n v="24"/>
  </r>
  <r>
    <n v="2019"/>
    <n v="7"/>
    <x v="0"/>
    <x v="0"/>
    <x v="0"/>
    <s v="2019/2020"/>
    <b v="1"/>
    <b v="0"/>
    <b v="0"/>
    <x v="14"/>
    <n v="60922168000348"/>
    <x v="289"/>
    <x v="0"/>
    <x v="0"/>
    <n v="70"/>
    <x v="0"/>
    <x v="0"/>
    <n v="210"/>
    <n v="42"/>
  </r>
  <r>
    <n v="2019"/>
    <n v="7"/>
    <x v="0"/>
    <x v="0"/>
    <x v="0"/>
    <s v="2019/2020"/>
    <b v="1"/>
    <b v="0"/>
    <b v="0"/>
    <x v="14"/>
    <n v="60922168000771"/>
    <x v="290"/>
    <x v="3"/>
    <x v="3"/>
    <n v="70"/>
    <x v="0"/>
    <x v="0"/>
    <n v="65"/>
    <n v="13"/>
  </r>
  <r>
    <n v="2019"/>
    <n v="7"/>
    <x v="0"/>
    <x v="0"/>
    <x v="0"/>
    <s v="2019/2020"/>
    <b v="1"/>
    <b v="0"/>
    <b v="0"/>
    <x v="14"/>
    <n v="60922168000771"/>
    <x v="290"/>
    <x v="3"/>
    <x v="3"/>
    <n v="70"/>
    <x v="0"/>
    <x v="0"/>
    <n v="285"/>
    <n v="57"/>
  </r>
  <r>
    <n v="2019"/>
    <n v="7"/>
    <x v="0"/>
    <x v="0"/>
    <x v="0"/>
    <s v="2019/2020"/>
    <b v="1"/>
    <b v="0"/>
    <b v="0"/>
    <x v="3"/>
    <n v="60922168000771"/>
    <x v="290"/>
    <x v="3"/>
    <x v="3"/>
    <n v="73"/>
    <x v="1"/>
    <x v="1"/>
    <n v="2"/>
    <n v="1"/>
  </r>
  <r>
    <n v="2019"/>
    <n v="7"/>
    <x v="0"/>
    <x v="0"/>
    <x v="0"/>
    <s v="2019/2020"/>
    <b v="1"/>
    <b v="0"/>
    <b v="0"/>
    <x v="4"/>
    <n v="60922168000771"/>
    <x v="290"/>
    <x v="3"/>
    <x v="3"/>
    <n v="73"/>
    <x v="1"/>
    <x v="1"/>
    <n v="2"/>
    <n v="1"/>
  </r>
  <r>
    <n v="2019"/>
    <n v="7"/>
    <x v="0"/>
    <x v="0"/>
    <x v="0"/>
    <s v="2019/2020"/>
    <b v="1"/>
    <b v="0"/>
    <b v="0"/>
    <x v="17"/>
    <n v="60922168000771"/>
    <x v="290"/>
    <x v="3"/>
    <x v="3"/>
    <n v="73"/>
    <x v="1"/>
    <x v="1"/>
    <n v="2"/>
    <n v="1"/>
  </r>
  <r>
    <n v="2019"/>
    <n v="7"/>
    <x v="0"/>
    <x v="0"/>
    <x v="0"/>
    <s v="2019/2020"/>
    <b v="1"/>
    <b v="0"/>
    <b v="0"/>
    <x v="17"/>
    <n v="60922168000771"/>
    <x v="290"/>
    <x v="3"/>
    <x v="3"/>
    <n v="73"/>
    <x v="1"/>
    <x v="2"/>
    <n v="2"/>
    <n v="1"/>
  </r>
  <r>
    <n v="2019"/>
    <n v="7"/>
    <x v="0"/>
    <x v="0"/>
    <x v="0"/>
    <s v="2019/2020"/>
    <b v="1"/>
    <b v="0"/>
    <b v="0"/>
    <x v="17"/>
    <n v="60922168000771"/>
    <x v="290"/>
    <x v="3"/>
    <x v="3"/>
    <n v="73"/>
    <x v="1"/>
    <x v="1"/>
    <n v="4"/>
    <n v="2"/>
  </r>
  <r>
    <n v="2019"/>
    <n v="7"/>
    <x v="0"/>
    <x v="0"/>
    <x v="0"/>
    <s v="2019/2020"/>
    <b v="1"/>
    <b v="0"/>
    <b v="0"/>
    <x v="6"/>
    <n v="60922168000771"/>
    <x v="290"/>
    <x v="3"/>
    <x v="3"/>
    <n v="73"/>
    <x v="1"/>
    <x v="1"/>
    <n v="4"/>
    <n v="2"/>
  </r>
  <r>
    <n v="2019"/>
    <n v="7"/>
    <x v="0"/>
    <x v="0"/>
    <x v="0"/>
    <s v="2019/2020"/>
    <b v="1"/>
    <b v="0"/>
    <b v="0"/>
    <x v="3"/>
    <n v="60922168004335"/>
    <x v="291"/>
    <x v="3"/>
    <x v="3"/>
    <n v="70"/>
    <x v="0"/>
    <x v="0"/>
    <n v="5"/>
    <n v="1"/>
  </r>
  <r>
    <n v="2019"/>
    <n v="7"/>
    <x v="0"/>
    <x v="0"/>
    <x v="0"/>
    <s v="2019/2020"/>
    <b v="1"/>
    <b v="0"/>
    <b v="0"/>
    <x v="15"/>
    <n v="60922168005226"/>
    <x v="292"/>
    <x v="87"/>
    <x v="10"/>
    <n v="64"/>
    <x v="4"/>
    <x v="6"/>
    <n v="1"/>
    <n v="1"/>
  </r>
  <r>
    <n v="2019"/>
    <n v="7"/>
    <x v="0"/>
    <x v="0"/>
    <x v="0"/>
    <s v="2019/2020"/>
    <b v="1"/>
    <b v="0"/>
    <b v="0"/>
    <x v="4"/>
    <n v="60961422000155"/>
    <x v="293"/>
    <x v="3"/>
    <x v="3"/>
    <n v="62"/>
    <x v="3"/>
    <x v="5"/>
    <n v="5"/>
    <n v="1"/>
  </r>
  <r>
    <n v="2019"/>
    <n v="7"/>
    <x v="0"/>
    <x v="0"/>
    <x v="0"/>
    <s v="2019/2020"/>
    <b v="1"/>
    <b v="0"/>
    <b v="0"/>
    <x v="4"/>
    <n v="60961422000155"/>
    <x v="293"/>
    <x v="3"/>
    <x v="3"/>
    <n v="62"/>
    <x v="3"/>
    <x v="5"/>
    <n v="8"/>
    <n v="2"/>
  </r>
  <r>
    <n v="2019"/>
    <n v="7"/>
    <x v="0"/>
    <x v="0"/>
    <x v="0"/>
    <s v="2019/2020"/>
    <b v="1"/>
    <b v="0"/>
    <b v="0"/>
    <x v="17"/>
    <n v="60961422000155"/>
    <x v="293"/>
    <x v="3"/>
    <x v="3"/>
    <n v="64"/>
    <x v="4"/>
    <x v="6"/>
    <n v="2"/>
    <n v="1"/>
  </r>
  <r>
    <n v="2019"/>
    <n v="7"/>
    <x v="0"/>
    <x v="0"/>
    <x v="0"/>
    <s v="2019/2020"/>
    <b v="1"/>
    <b v="0"/>
    <b v="0"/>
    <x v="17"/>
    <n v="60961422000155"/>
    <x v="293"/>
    <x v="3"/>
    <x v="3"/>
    <n v="64"/>
    <x v="4"/>
    <x v="6"/>
    <n v="8"/>
    <n v="2"/>
  </r>
  <r>
    <n v="2019"/>
    <n v="7"/>
    <x v="0"/>
    <x v="0"/>
    <x v="0"/>
    <s v="2019/2020"/>
    <b v="1"/>
    <b v="0"/>
    <b v="0"/>
    <x v="17"/>
    <n v="60961422000155"/>
    <x v="293"/>
    <x v="3"/>
    <x v="3"/>
    <n v="70"/>
    <x v="0"/>
    <x v="0"/>
    <n v="20"/>
    <n v="4"/>
  </r>
  <r>
    <n v="2019"/>
    <n v="7"/>
    <x v="0"/>
    <x v="0"/>
    <x v="0"/>
    <s v="2019/2020"/>
    <b v="1"/>
    <b v="0"/>
    <b v="0"/>
    <x v="17"/>
    <n v="60961968000106"/>
    <x v="294"/>
    <x v="3"/>
    <x v="3"/>
    <n v="70"/>
    <x v="0"/>
    <x v="0"/>
    <n v="135"/>
    <n v="27"/>
  </r>
  <r>
    <n v="2019"/>
    <n v="7"/>
    <x v="0"/>
    <x v="0"/>
    <x v="0"/>
    <s v="2019/2020"/>
    <b v="1"/>
    <b v="0"/>
    <b v="0"/>
    <x v="17"/>
    <n v="60961968000106"/>
    <x v="294"/>
    <x v="3"/>
    <x v="3"/>
    <n v="70"/>
    <x v="0"/>
    <x v="0"/>
    <n v="965"/>
    <n v="193"/>
  </r>
  <r>
    <n v="2019"/>
    <n v="7"/>
    <x v="0"/>
    <x v="0"/>
    <x v="0"/>
    <s v="2019/2020"/>
    <b v="1"/>
    <b v="0"/>
    <b v="0"/>
    <x v="14"/>
    <n v="60961968000106"/>
    <x v="294"/>
    <x v="3"/>
    <x v="3"/>
    <n v="70"/>
    <x v="0"/>
    <x v="0"/>
    <n v="175"/>
    <n v="35"/>
  </r>
  <r>
    <n v="2019"/>
    <n v="7"/>
    <x v="0"/>
    <x v="0"/>
    <x v="0"/>
    <s v="2019/2020"/>
    <b v="1"/>
    <b v="0"/>
    <b v="0"/>
    <x v="6"/>
    <n v="60961968000106"/>
    <x v="294"/>
    <x v="3"/>
    <x v="3"/>
    <n v="70"/>
    <x v="0"/>
    <x v="0"/>
    <n v="550"/>
    <n v="110"/>
  </r>
  <r>
    <n v="2019"/>
    <n v="7"/>
    <x v="0"/>
    <x v="0"/>
    <x v="0"/>
    <s v="2019/2020"/>
    <b v="1"/>
    <b v="0"/>
    <b v="0"/>
    <x v="13"/>
    <n v="60975174000363"/>
    <x v="295"/>
    <x v="3"/>
    <x v="3"/>
    <n v="70"/>
    <x v="0"/>
    <x v="0"/>
    <n v="150"/>
    <n v="30"/>
  </r>
  <r>
    <n v="2019"/>
    <n v="7"/>
    <x v="0"/>
    <x v="0"/>
    <x v="0"/>
    <s v="2019/2020"/>
    <b v="1"/>
    <b v="0"/>
    <b v="0"/>
    <x v="11"/>
    <n v="60975737001204"/>
    <x v="296"/>
    <x v="3"/>
    <x v="3"/>
    <n v="64"/>
    <x v="4"/>
    <x v="6"/>
    <n v="6"/>
    <n v="6"/>
  </r>
  <r>
    <n v="2019"/>
    <n v="7"/>
    <x v="0"/>
    <x v="0"/>
    <x v="0"/>
    <s v="2019/2020"/>
    <b v="1"/>
    <b v="0"/>
    <b v="0"/>
    <x v="11"/>
    <n v="60975737003509"/>
    <x v="297"/>
    <x v="32"/>
    <x v="18"/>
    <n v="62"/>
    <x v="3"/>
    <x v="5"/>
    <n v="12"/>
    <n v="12"/>
  </r>
  <r>
    <n v="2019"/>
    <n v="7"/>
    <x v="0"/>
    <x v="0"/>
    <x v="0"/>
    <s v="2019/2020"/>
    <b v="1"/>
    <b v="0"/>
    <b v="0"/>
    <x v="11"/>
    <n v="60975737003509"/>
    <x v="297"/>
    <x v="32"/>
    <x v="18"/>
    <n v="64"/>
    <x v="4"/>
    <x v="6"/>
    <n v="4"/>
    <n v="2"/>
  </r>
  <r>
    <n v="2019"/>
    <n v="7"/>
    <x v="0"/>
    <x v="0"/>
    <x v="0"/>
    <s v="2019/2020"/>
    <b v="1"/>
    <b v="0"/>
    <b v="0"/>
    <x v="6"/>
    <n v="61213674000240"/>
    <x v="298"/>
    <x v="3"/>
    <x v="3"/>
    <n v="62"/>
    <x v="3"/>
    <x v="5"/>
    <n v="1"/>
    <n v="1"/>
  </r>
  <r>
    <n v="2019"/>
    <n v="7"/>
    <x v="0"/>
    <x v="0"/>
    <x v="0"/>
    <s v="2019/2020"/>
    <b v="1"/>
    <b v="0"/>
    <b v="0"/>
    <x v="6"/>
    <n v="61213674000240"/>
    <x v="298"/>
    <x v="3"/>
    <x v="3"/>
    <n v="64"/>
    <x v="4"/>
    <x v="6"/>
    <n v="1"/>
    <n v="1"/>
  </r>
  <r>
    <n v="2019"/>
    <n v="7"/>
    <x v="0"/>
    <x v="0"/>
    <x v="0"/>
    <s v="2019/2020"/>
    <b v="1"/>
    <b v="0"/>
    <b v="0"/>
    <x v="6"/>
    <n v="61213674000240"/>
    <x v="298"/>
    <x v="3"/>
    <x v="3"/>
    <n v="64"/>
    <x v="4"/>
    <x v="6"/>
    <n v="2"/>
    <n v="2"/>
  </r>
  <r>
    <n v="2019"/>
    <n v="7"/>
    <x v="0"/>
    <x v="0"/>
    <x v="0"/>
    <s v="2019/2020"/>
    <b v="1"/>
    <b v="0"/>
    <b v="0"/>
    <x v="17"/>
    <n v="61213674000240"/>
    <x v="298"/>
    <x v="3"/>
    <x v="3"/>
    <n v="70"/>
    <x v="0"/>
    <x v="0"/>
    <n v="5"/>
    <n v="1"/>
  </r>
  <r>
    <n v="2019"/>
    <n v="7"/>
    <x v="0"/>
    <x v="0"/>
    <x v="0"/>
    <s v="2019/2020"/>
    <b v="1"/>
    <b v="0"/>
    <b v="0"/>
    <x v="17"/>
    <n v="61213674000240"/>
    <x v="298"/>
    <x v="3"/>
    <x v="3"/>
    <n v="73"/>
    <x v="1"/>
    <x v="4"/>
    <n v="4"/>
    <n v="1"/>
  </r>
  <r>
    <n v="2019"/>
    <n v="7"/>
    <x v="0"/>
    <x v="0"/>
    <x v="0"/>
    <s v="2019/2020"/>
    <b v="1"/>
    <b v="0"/>
    <b v="0"/>
    <x v="17"/>
    <n v="61213674000240"/>
    <x v="298"/>
    <x v="3"/>
    <x v="3"/>
    <n v="73"/>
    <x v="1"/>
    <x v="2"/>
    <n v="2"/>
    <n v="2"/>
  </r>
  <r>
    <n v="2019"/>
    <n v="7"/>
    <x v="0"/>
    <x v="0"/>
    <x v="0"/>
    <s v="2019/2020"/>
    <b v="1"/>
    <b v="0"/>
    <b v="0"/>
    <x v="6"/>
    <n v="61213674000240"/>
    <x v="298"/>
    <x v="3"/>
    <x v="3"/>
    <n v="73"/>
    <x v="1"/>
    <x v="4"/>
    <n v="8"/>
    <n v="2"/>
  </r>
  <r>
    <n v="2019"/>
    <n v="7"/>
    <x v="0"/>
    <x v="0"/>
    <x v="0"/>
    <s v="2019/2020"/>
    <b v="1"/>
    <b v="0"/>
    <b v="0"/>
    <x v="6"/>
    <n v="61213674000240"/>
    <x v="298"/>
    <x v="3"/>
    <x v="3"/>
    <n v="73"/>
    <x v="1"/>
    <x v="2"/>
    <n v="2"/>
    <n v="2"/>
  </r>
  <r>
    <n v="2019"/>
    <n v="7"/>
    <x v="0"/>
    <x v="0"/>
    <x v="0"/>
    <s v="2019/2020"/>
    <b v="1"/>
    <b v="0"/>
    <b v="0"/>
    <x v="6"/>
    <n v="61213674000240"/>
    <x v="298"/>
    <x v="3"/>
    <x v="3"/>
    <n v="73"/>
    <x v="1"/>
    <x v="1"/>
    <n v="8"/>
    <n v="4"/>
  </r>
  <r>
    <n v="2019"/>
    <n v="7"/>
    <x v="0"/>
    <x v="0"/>
    <x v="0"/>
    <s v="2019/2020"/>
    <b v="1"/>
    <b v="0"/>
    <b v="0"/>
    <x v="6"/>
    <n v="61213674000240"/>
    <x v="298"/>
    <x v="3"/>
    <x v="3"/>
    <n v="73"/>
    <x v="1"/>
    <x v="4"/>
    <n v="20"/>
    <n v="5"/>
  </r>
  <r>
    <n v="2019"/>
    <n v="7"/>
    <x v="0"/>
    <x v="0"/>
    <x v="0"/>
    <s v="2019/2020"/>
    <b v="1"/>
    <b v="0"/>
    <b v="0"/>
    <x v="6"/>
    <n v="61213674000240"/>
    <x v="298"/>
    <x v="3"/>
    <x v="3"/>
    <n v="73"/>
    <x v="1"/>
    <x v="2"/>
    <n v="5"/>
    <n v="5"/>
  </r>
  <r>
    <n v="2019"/>
    <n v="7"/>
    <x v="0"/>
    <x v="0"/>
    <x v="0"/>
    <s v="2019/2020"/>
    <b v="1"/>
    <b v="0"/>
    <b v="0"/>
    <x v="5"/>
    <n v="61590410000124"/>
    <x v="299"/>
    <x v="3"/>
    <x v="3"/>
    <n v="70"/>
    <x v="0"/>
    <x v="0"/>
    <n v="1180"/>
    <n v="236"/>
  </r>
  <r>
    <n v="2019"/>
    <n v="7"/>
    <x v="0"/>
    <x v="0"/>
    <x v="0"/>
    <s v="2019/2020"/>
    <b v="1"/>
    <b v="0"/>
    <b v="0"/>
    <x v="6"/>
    <n v="61590410000124"/>
    <x v="299"/>
    <x v="3"/>
    <x v="3"/>
    <n v="70"/>
    <x v="0"/>
    <x v="0"/>
    <n v="1180"/>
    <n v="236"/>
  </r>
  <r>
    <n v="2019"/>
    <n v="7"/>
    <x v="0"/>
    <x v="0"/>
    <x v="0"/>
    <s v="2019/2020"/>
    <b v="1"/>
    <b v="0"/>
    <b v="0"/>
    <x v="8"/>
    <n v="61590410000558"/>
    <x v="300"/>
    <x v="4"/>
    <x v="4"/>
    <n v="73"/>
    <x v="1"/>
    <x v="4"/>
    <n v="16"/>
    <n v="2"/>
  </r>
  <r>
    <n v="2019"/>
    <n v="7"/>
    <x v="0"/>
    <x v="0"/>
    <x v="0"/>
    <s v="2019/2020"/>
    <b v="1"/>
    <b v="0"/>
    <b v="0"/>
    <x v="5"/>
    <n v="61590410001287"/>
    <x v="301"/>
    <x v="4"/>
    <x v="4"/>
    <n v="70"/>
    <x v="0"/>
    <x v="0"/>
    <n v="100"/>
    <n v="20"/>
  </r>
  <r>
    <n v="2019"/>
    <n v="7"/>
    <x v="0"/>
    <x v="0"/>
    <x v="0"/>
    <s v="2019/2020"/>
    <b v="1"/>
    <b v="0"/>
    <b v="0"/>
    <x v="5"/>
    <n v="61590410001287"/>
    <x v="301"/>
    <x v="4"/>
    <x v="4"/>
    <n v="70"/>
    <x v="0"/>
    <x v="0"/>
    <n v="175"/>
    <n v="35"/>
  </r>
  <r>
    <n v="2019"/>
    <n v="7"/>
    <x v="0"/>
    <x v="0"/>
    <x v="0"/>
    <s v="2019/2020"/>
    <b v="1"/>
    <b v="0"/>
    <b v="0"/>
    <x v="5"/>
    <n v="61590410001287"/>
    <x v="301"/>
    <x v="4"/>
    <x v="4"/>
    <n v="70"/>
    <x v="0"/>
    <x v="0"/>
    <n v="275"/>
    <n v="55"/>
  </r>
  <r>
    <n v="2019"/>
    <n v="7"/>
    <x v="0"/>
    <x v="0"/>
    <x v="0"/>
    <s v="2019/2020"/>
    <b v="1"/>
    <b v="0"/>
    <b v="0"/>
    <x v="4"/>
    <n v="61590410001287"/>
    <x v="301"/>
    <x v="4"/>
    <x v="4"/>
    <n v="70"/>
    <x v="0"/>
    <x v="0"/>
    <n v="60"/>
    <n v="12"/>
  </r>
  <r>
    <n v="2019"/>
    <n v="7"/>
    <x v="0"/>
    <x v="0"/>
    <x v="0"/>
    <s v="2019/2020"/>
    <b v="1"/>
    <b v="0"/>
    <b v="0"/>
    <x v="5"/>
    <n v="61599908000158"/>
    <x v="302"/>
    <x v="3"/>
    <x v="3"/>
    <n v="62"/>
    <x v="3"/>
    <x v="5"/>
    <n v="30"/>
    <n v="15"/>
  </r>
  <r>
    <n v="2019"/>
    <n v="7"/>
    <x v="0"/>
    <x v="0"/>
    <x v="0"/>
    <s v="2019/2020"/>
    <b v="1"/>
    <b v="0"/>
    <b v="0"/>
    <x v="5"/>
    <n v="61599908000158"/>
    <x v="302"/>
    <x v="3"/>
    <x v="3"/>
    <n v="64"/>
    <x v="4"/>
    <x v="6"/>
    <n v="-30"/>
    <n v="-30"/>
  </r>
  <r>
    <n v="2019"/>
    <n v="7"/>
    <x v="0"/>
    <x v="0"/>
    <x v="0"/>
    <s v="2019/2020"/>
    <b v="1"/>
    <b v="0"/>
    <b v="0"/>
    <x v="5"/>
    <n v="61599908000158"/>
    <x v="302"/>
    <x v="3"/>
    <x v="3"/>
    <n v="64"/>
    <x v="4"/>
    <x v="6"/>
    <n v="30"/>
    <n v="30"/>
  </r>
  <r>
    <n v="2019"/>
    <n v="7"/>
    <x v="0"/>
    <x v="0"/>
    <x v="0"/>
    <s v="2019/2020"/>
    <b v="1"/>
    <b v="0"/>
    <b v="0"/>
    <x v="5"/>
    <n v="61599908000158"/>
    <x v="302"/>
    <x v="3"/>
    <x v="3"/>
    <n v="64"/>
    <x v="4"/>
    <x v="6"/>
    <n v="50"/>
    <n v="50"/>
  </r>
  <r>
    <n v="2019"/>
    <n v="7"/>
    <x v="0"/>
    <x v="0"/>
    <x v="0"/>
    <s v="2019/2020"/>
    <b v="1"/>
    <b v="0"/>
    <b v="0"/>
    <x v="6"/>
    <n v="61599908000158"/>
    <x v="302"/>
    <x v="3"/>
    <x v="3"/>
    <n v="64"/>
    <x v="4"/>
    <x v="6"/>
    <n v="80"/>
    <n v="80"/>
  </r>
  <r>
    <n v="2019"/>
    <n v="7"/>
    <x v="0"/>
    <x v="0"/>
    <x v="0"/>
    <s v="2019/2020"/>
    <b v="1"/>
    <b v="0"/>
    <b v="0"/>
    <x v="4"/>
    <n v="61849980001087"/>
    <x v="303"/>
    <x v="3"/>
    <x v="3"/>
    <n v="70"/>
    <x v="0"/>
    <x v="0"/>
    <n v="40"/>
    <n v="8"/>
  </r>
  <r>
    <n v="2019"/>
    <n v="7"/>
    <x v="0"/>
    <x v="0"/>
    <x v="0"/>
    <s v="2019/2020"/>
    <b v="1"/>
    <b v="0"/>
    <b v="0"/>
    <x v="6"/>
    <n v="62106505000192"/>
    <x v="304"/>
    <x v="3"/>
    <x v="3"/>
    <n v="62"/>
    <x v="3"/>
    <x v="5"/>
    <n v="2"/>
    <n v="2"/>
  </r>
  <r>
    <n v="2019"/>
    <n v="7"/>
    <x v="0"/>
    <x v="0"/>
    <x v="0"/>
    <s v="2019/2020"/>
    <b v="1"/>
    <b v="0"/>
    <b v="0"/>
    <x v="6"/>
    <n v="62779145000190"/>
    <x v="305"/>
    <x v="3"/>
    <x v="3"/>
    <n v="64"/>
    <x v="4"/>
    <x v="6"/>
    <n v="2"/>
    <n v="2"/>
  </r>
  <r>
    <n v="2019"/>
    <n v="7"/>
    <x v="0"/>
    <x v="0"/>
    <x v="0"/>
    <s v="2019/2020"/>
    <b v="1"/>
    <b v="0"/>
    <b v="0"/>
    <x v="11"/>
    <n v="63326243000487"/>
    <x v="306"/>
    <x v="40"/>
    <x v="20"/>
    <n v="70"/>
    <x v="0"/>
    <x v="8"/>
    <n v="2.5"/>
    <n v="1"/>
  </r>
  <r>
    <n v="2019"/>
    <n v="7"/>
    <x v="0"/>
    <x v="0"/>
    <x v="0"/>
    <s v="2019/2020"/>
    <b v="1"/>
    <b v="0"/>
    <b v="0"/>
    <x v="10"/>
    <n v="68709211000212"/>
    <x v="307"/>
    <x v="68"/>
    <x v="0"/>
    <n v="70"/>
    <x v="0"/>
    <x v="0"/>
    <n v="40"/>
    <n v="8"/>
  </r>
  <r>
    <n v="2019"/>
    <n v="7"/>
    <x v="0"/>
    <x v="0"/>
    <x v="0"/>
    <s v="2019/2020"/>
    <b v="1"/>
    <b v="0"/>
    <b v="0"/>
    <x v="10"/>
    <n v="68709211000212"/>
    <x v="307"/>
    <x v="68"/>
    <x v="0"/>
    <n v="70"/>
    <x v="0"/>
    <x v="7"/>
    <n v="260"/>
    <n v="26"/>
  </r>
  <r>
    <n v="2019"/>
    <n v="7"/>
    <x v="0"/>
    <x v="0"/>
    <x v="0"/>
    <s v="2019/2020"/>
    <b v="1"/>
    <b v="0"/>
    <b v="0"/>
    <x v="17"/>
    <n v="72101124000506"/>
    <x v="308"/>
    <x v="0"/>
    <x v="0"/>
    <n v="73"/>
    <x v="1"/>
    <x v="2"/>
    <n v="1"/>
    <n v="1"/>
  </r>
  <r>
    <n v="2019"/>
    <n v="7"/>
    <x v="0"/>
    <x v="0"/>
    <x v="0"/>
    <s v="2019/2020"/>
    <b v="1"/>
    <b v="0"/>
    <b v="0"/>
    <x v="17"/>
    <n v="72101124000506"/>
    <x v="308"/>
    <x v="0"/>
    <x v="0"/>
    <n v="73"/>
    <x v="1"/>
    <x v="4"/>
    <n v="140"/>
    <n v="35"/>
  </r>
  <r>
    <n v="2019"/>
    <n v="7"/>
    <x v="0"/>
    <x v="0"/>
    <x v="0"/>
    <s v="2019/2020"/>
    <b v="1"/>
    <b v="0"/>
    <b v="0"/>
    <x v="10"/>
    <n v="72101124000506"/>
    <x v="308"/>
    <x v="0"/>
    <x v="0"/>
    <n v="73"/>
    <x v="1"/>
    <x v="1"/>
    <n v="2"/>
    <n v="1"/>
  </r>
  <r>
    <n v="2019"/>
    <n v="7"/>
    <x v="0"/>
    <x v="0"/>
    <x v="0"/>
    <s v="2019/2020"/>
    <b v="1"/>
    <b v="0"/>
    <b v="0"/>
    <x v="10"/>
    <n v="72101124000506"/>
    <x v="308"/>
    <x v="0"/>
    <x v="0"/>
    <n v="73"/>
    <x v="1"/>
    <x v="1"/>
    <n v="6"/>
    <n v="3"/>
  </r>
  <r>
    <n v="2019"/>
    <n v="7"/>
    <x v="0"/>
    <x v="0"/>
    <x v="0"/>
    <s v="2019/2020"/>
    <b v="1"/>
    <b v="0"/>
    <b v="0"/>
    <x v="7"/>
    <n v="72101124000506"/>
    <x v="308"/>
    <x v="0"/>
    <x v="0"/>
    <n v="73"/>
    <x v="1"/>
    <x v="1"/>
    <n v="4"/>
    <n v="1"/>
  </r>
  <r>
    <n v="2019"/>
    <n v="7"/>
    <x v="0"/>
    <x v="0"/>
    <x v="0"/>
    <s v="2019/2020"/>
    <b v="1"/>
    <b v="0"/>
    <b v="0"/>
    <x v="7"/>
    <n v="72101124000506"/>
    <x v="308"/>
    <x v="0"/>
    <x v="0"/>
    <n v="73"/>
    <x v="1"/>
    <x v="4"/>
    <n v="28"/>
    <n v="7"/>
  </r>
  <r>
    <n v="2019"/>
    <n v="7"/>
    <x v="0"/>
    <x v="0"/>
    <x v="0"/>
    <s v="2019/2020"/>
    <b v="1"/>
    <b v="0"/>
    <b v="0"/>
    <x v="7"/>
    <n v="72101124000506"/>
    <x v="308"/>
    <x v="0"/>
    <x v="0"/>
    <n v="73"/>
    <x v="1"/>
    <x v="4"/>
    <n v="48"/>
    <n v="12"/>
  </r>
  <r>
    <n v="2019"/>
    <n v="7"/>
    <x v="0"/>
    <x v="0"/>
    <x v="0"/>
    <s v="2019/2020"/>
    <b v="1"/>
    <b v="0"/>
    <b v="0"/>
    <x v="0"/>
    <n v="73696718000219"/>
    <x v="309"/>
    <x v="0"/>
    <x v="0"/>
    <n v="62"/>
    <x v="3"/>
    <x v="5"/>
    <n v="1"/>
    <n v="1"/>
  </r>
  <r>
    <n v="2019"/>
    <n v="7"/>
    <x v="0"/>
    <x v="0"/>
    <x v="0"/>
    <s v="2019/2020"/>
    <b v="1"/>
    <b v="0"/>
    <b v="0"/>
    <x v="0"/>
    <n v="73696718000219"/>
    <x v="309"/>
    <x v="0"/>
    <x v="0"/>
    <n v="62"/>
    <x v="3"/>
    <x v="5"/>
    <n v="2"/>
    <n v="2"/>
  </r>
  <r>
    <n v="2019"/>
    <n v="7"/>
    <x v="0"/>
    <x v="0"/>
    <x v="0"/>
    <s v="2019/2020"/>
    <b v="1"/>
    <b v="0"/>
    <b v="0"/>
    <x v="0"/>
    <n v="73696718000219"/>
    <x v="309"/>
    <x v="0"/>
    <x v="0"/>
    <n v="62"/>
    <x v="3"/>
    <x v="5"/>
    <n v="6"/>
    <n v="3"/>
  </r>
  <r>
    <n v="2019"/>
    <n v="7"/>
    <x v="0"/>
    <x v="0"/>
    <x v="0"/>
    <s v="2019/2020"/>
    <b v="1"/>
    <b v="0"/>
    <b v="0"/>
    <x v="12"/>
    <n v="73696718000219"/>
    <x v="309"/>
    <x v="0"/>
    <x v="0"/>
    <n v="64"/>
    <x v="4"/>
    <x v="6"/>
    <n v="3"/>
    <n v="3"/>
  </r>
  <r>
    <n v="2019"/>
    <n v="7"/>
    <x v="0"/>
    <x v="0"/>
    <x v="0"/>
    <s v="2019/2020"/>
    <b v="1"/>
    <b v="0"/>
    <b v="0"/>
    <x v="15"/>
    <n v="73863342000109"/>
    <x v="310"/>
    <x v="88"/>
    <x v="6"/>
    <n v="70"/>
    <x v="0"/>
    <x v="7"/>
    <n v="10"/>
    <n v="1"/>
  </r>
  <r>
    <n v="2019"/>
    <n v="7"/>
    <x v="0"/>
    <x v="0"/>
    <x v="0"/>
    <s v="2019/2020"/>
    <b v="1"/>
    <b v="0"/>
    <b v="0"/>
    <x v="11"/>
    <n v="74031865000151"/>
    <x v="311"/>
    <x v="32"/>
    <x v="18"/>
    <n v="62"/>
    <x v="3"/>
    <x v="5"/>
    <n v="120"/>
    <n v="120"/>
  </r>
  <r>
    <n v="2019"/>
    <n v="7"/>
    <x v="0"/>
    <x v="0"/>
    <x v="0"/>
    <s v="2019/2020"/>
    <b v="1"/>
    <b v="0"/>
    <b v="0"/>
    <x v="11"/>
    <n v="74031865000151"/>
    <x v="311"/>
    <x v="32"/>
    <x v="18"/>
    <n v="62"/>
    <x v="3"/>
    <x v="5"/>
    <n v="300"/>
    <n v="300"/>
  </r>
  <r>
    <n v="2019"/>
    <n v="7"/>
    <x v="0"/>
    <x v="0"/>
    <x v="0"/>
    <s v="2019/2020"/>
    <b v="1"/>
    <b v="0"/>
    <b v="0"/>
    <x v="9"/>
    <n v="74031865000151"/>
    <x v="311"/>
    <x v="32"/>
    <x v="18"/>
    <n v="64"/>
    <x v="4"/>
    <x v="6"/>
    <n v="100"/>
    <n v="100"/>
  </r>
  <r>
    <n v="2019"/>
    <n v="7"/>
    <x v="0"/>
    <x v="0"/>
    <x v="0"/>
    <s v="2019/2020"/>
    <b v="1"/>
    <b v="0"/>
    <b v="0"/>
    <x v="15"/>
    <n v="75222224001895"/>
    <x v="312"/>
    <x v="88"/>
    <x v="6"/>
    <n v="70"/>
    <x v="0"/>
    <x v="0"/>
    <n v="600"/>
    <n v="30"/>
  </r>
  <r>
    <n v="2019"/>
    <n v="7"/>
    <x v="0"/>
    <x v="0"/>
    <x v="0"/>
    <s v="2019/2020"/>
    <b v="1"/>
    <b v="0"/>
    <b v="0"/>
    <x v="15"/>
    <n v="76555069000143"/>
    <x v="313"/>
    <x v="13"/>
    <x v="6"/>
    <n v="62"/>
    <x v="3"/>
    <x v="5"/>
    <n v="2"/>
    <n v="2"/>
  </r>
  <r>
    <n v="2019"/>
    <n v="7"/>
    <x v="0"/>
    <x v="0"/>
    <x v="0"/>
    <s v="2019/2020"/>
    <b v="1"/>
    <b v="0"/>
    <b v="0"/>
    <x v="11"/>
    <n v="76562198000169"/>
    <x v="314"/>
    <x v="13"/>
    <x v="6"/>
    <n v="70"/>
    <x v="0"/>
    <x v="8"/>
    <n v="2.5"/>
    <n v="1"/>
  </r>
  <r>
    <n v="2019"/>
    <n v="7"/>
    <x v="0"/>
    <x v="0"/>
    <x v="0"/>
    <s v="2019/2020"/>
    <b v="1"/>
    <b v="0"/>
    <b v="0"/>
    <x v="15"/>
    <n v="76562198000169"/>
    <x v="314"/>
    <x v="13"/>
    <x v="6"/>
    <n v="70"/>
    <x v="0"/>
    <x v="0"/>
    <n v="25"/>
    <n v="5"/>
  </r>
  <r>
    <n v="2019"/>
    <n v="7"/>
    <x v="0"/>
    <x v="0"/>
    <x v="0"/>
    <s v="2019/2020"/>
    <b v="1"/>
    <b v="0"/>
    <b v="0"/>
    <x v="4"/>
    <n v="76591569000130"/>
    <x v="315"/>
    <x v="13"/>
    <x v="6"/>
    <n v="70"/>
    <x v="0"/>
    <x v="0"/>
    <n v="200"/>
    <n v="40"/>
  </r>
  <r>
    <n v="2019"/>
    <n v="7"/>
    <x v="0"/>
    <x v="0"/>
    <x v="0"/>
    <s v="2019/2020"/>
    <b v="1"/>
    <b v="0"/>
    <b v="0"/>
    <x v="16"/>
    <n v="76591569000130"/>
    <x v="315"/>
    <x v="13"/>
    <x v="6"/>
    <n v="73"/>
    <x v="1"/>
    <x v="4"/>
    <n v="24"/>
    <n v="6"/>
  </r>
  <r>
    <n v="2019"/>
    <n v="7"/>
    <x v="0"/>
    <x v="0"/>
    <x v="0"/>
    <s v="2019/2020"/>
    <b v="1"/>
    <b v="0"/>
    <b v="0"/>
    <x v="15"/>
    <n v="76659820002367"/>
    <x v="316"/>
    <x v="13"/>
    <x v="6"/>
    <n v="70"/>
    <x v="0"/>
    <x v="0"/>
    <n v="40"/>
    <n v="8"/>
  </r>
  <r>
    <n v="2019"/>
    <n v="7"/>
    <x v="0"/>
    <x v="0"/>
    <x v="0"/>
    <s v="2019/2020"/>
    <b v="1"/>
    <b v="0"/>
    <b v="0"/>
    <x v="14"/>
    <n v="77265361000194"/>
    <x v="317"/>
    <x v="89"/>
    <x v="6"/>
    <n v="70"/>
    <x v="0"/>
    <x v="0"/>
    <n v="100"/>
    <n v="20"/>
  </r>
  <r>
    <n v="2019"/>
    <n v="7"/>
    <x v="0"/>
    <x v="0"/>
    <x v="0"/>
    <s v="2019/2020"/>
    <b v="1"/>
    <b v="0"/>
    <b v="0"/>
    <x v="11"/>
    <n v="77858611001414"/>
    <x v="318"/>
    <x v="55"/>
    <x v="10"/>
    <n v="70"/>
    <x v="0"/>
    <x v="0"/>
    <n v="200"/>
    <n v="40"/>
  </r>
  <r>
    <n v="2019"/>
    <n v="7"/>
    <x v="0"/>
    <x v="0"/>
    <x v="0"/>
    <s v="2019/2020"/>
    <b v="1"/>
    <b v="0"/>
    <b v="0"/>
    <x v="14"/>
    <n v="80490618000116"/>
    <x v="319"/>
    <x v="90"/>
    <x v="10"/>
    <n v="70"/>
    <x v="0"/>
    <x v="0"/>
    <n v="80"/>
    <n v="16"/>
  </r>
  <r>
    <n v="2019"/>
    <n v="7"/>
    <x v="0"/>
    <x v="0"/>
    <x v="0"/>
    <s v="2019/2020"/>
    <b v="1"/>
    <b v="0"/>
    <b v="0"/>
    <x v="16"/>
    <n v="80673411000187"/>
    <x v="320"/>
    <x v="14"/>
    <x v="10"/>
    <n v="66"/>
    <x v="2"/>
    <x v="3"/>
    <n v="74"/>
    <n v="74"/>
  </r>
  <r>
    <n v="2019"/>
    <n v="7"/>
    <x v="0"/>
    <x v="0"/>
    <x v="0"/>
    <s v="2019/2020"/>
    <b v="1"/>
    <b v="0"/>
    <b v="0"/>
    <x v="16"/>
    <n v="80673411000187"/>
    <x v="320"/>
    <x v="14"/>
    <x v="10"/>
    <n v="70"/>
    <x v="0"/>
    <x v="7"/>
    <n v="240"/>
    <n v="24"/>
  </r>
  <r>
    <n v="2019"/>
    <n v="7"/>
    <x v="0"/>
    <x v="0"/>
    <x v="0"/>
    <s v="2019/2020"/>
    <b v="1"/>
    <b v="0"/>
    <b v="0"/>
    <x v="14"/>
    <n v="82624776000651"/>
    <x v="321"/>
    <x v="87"/>
    <x v="10"/>
    <n v="70"/>
    <x v="0"/>
    <x v="0"/>
    <n v="300"/>
    <n v="60"/>
  </r>
  <r>
    <n v="2019"/>
    <n v="7"/>
    <x v="0"/>
    <x v="0"/>
    <x v="0"/>
    <s v="2019/2020"/>
    <b v="1"/>
    <b v="0"/>
    <b v="0"/>
    <x v="13"/>
    <n v="82624776000651"/>
    <x v="321"/>
    <x v="87"/>
    <x v="10"/>
    <n v="70"/>
    <x v="0"/>
    <x v="0"/>
    <n v="60"/>
    <n v="12"/>
  </r>
  <r>
    <n v="2019"/>
    <n v="7"/>
    <x v="0"/>
    <x v="0"/>
    <x v="0"/>
    <s v="2019/2020"/>
    <b v="1"/>
    <b v="0"/>
    <b v="0"/>
    <x v="13"/>
    <n v="82624776000651"/>
    <x v="321"/>
    <x v="87"/>
    <x v="10"/>
    <n v="70"/>
    <x v="0"/>
    <x v="0"/>
    <n v="90"/>
    <n v="18"/>
  </r>
  <r>
    <n v="2019"/>
    <n v="7"/>
    <x v="0"/>
    <x v="0"/>
    <x v="0"/>
    <s v="2019/2020"/>
    <b v="1"/>
    <b v="0"/>
    <b v="0"/>
    <x v="4"/>
    <n v="83367342000252"/>
    <x v="322"/>
    <x v="1"/>
    <x v="1"/>
    <n v="70"/>
    <x v="0"/>
    <x v="0"/>
    <n v="25"/>
    <n v="5"/>
  </r>
  <r>
    <n v="2019"/>
    <n v="7"/>
    <x v="0"/>
    <x v="0"/>
    <x v="0"/>
    <s v="2019/2020"/>
    <b v="1"/>
    <b v="0"/>
    <b v="0"/>
    <x v="14"/>
    <n v="83884999000106"/>
    <x v="323"/>
    <x v="14"/>
    <x v="10"/>
    <n v="70"/>
    <x v="0"/>
    <x v="0"/>
    <n v="25"/>
    <n v="5"/>
  </r>
  <r>
    <n v="2019"/>
    <n v="7"/>
    <x v="0"/>
    <x v="0"/>
    <x v="0"/>
    <s v="2019/2020"/>
    <b v="1"/>
    <b v="0"/>
    <b v="0"/>
    <x v="13"/>
    <n v="83884999000106"/>
    <x v="323"/>
    <x v="14"/>
    <x v="10"/>
    <n v="70"/>
    <x v="0"/>
    <x v="0"/>
    <n v="25"/>
    <n v="5"/>
  </r>
  <r>
    <n v="2019"/>
    <n v="7"/>
    <x v="0"/>
    <x v="0"/>
    <x v="0"/>
    <s v="2019/2020"/>
    <b v="1"/>
    <b v="0"/>
    <b v="0"/>
    <x v="13"/>
    <n v="83884999000106"/>
    <x v="323"/>
    <x v="14"/>
    <x v="10"/>
    <n v="70"/>
    <x v="0"/>
    <x v="0"/>
    <n v="80"/>
    <n v="8"/>
  </r>
  <r>
    <n v="2019"/>
    <n v="7"/>
    <x v="0"/>
    <x v="0"/>
    <x v="0"/>
    <s v="2019/2020"/>
    <b v="1"/>
    <b v="0"/>
    <b v="0"/>
    <x v="13"/>
    <n v="83884999000106"/>
    <x v="323"/>
    <x v="14"/>
    <x v="10"/>
    <n v="70"/>
    <x v="0"/>
    <x v="0"/>
    <n v="45"/>
    <n v="9"/>
  </r>
  <r>
    <n v="2019"/>
    <n v="7"/>
    <x v="0"/>
    <x v="0"/>
    <x v="0"/>
    <s v="2019/2020"/>
    <b v="1"/>
    <b v="0"/>
    <b v="0"/>
    <x v="13"/>
    <n v="83884999000106"/>
    <x v="323"/>
    <x v="14"/>
    <x v="10"/>
    <n v="70"/>
    <x v="0"/>
    <x v="0"/>
    <n v="125"/>
    <n v="25"/>
  </r>
  <r>
    <n v="2019"/>
    <n v="7"/>
    <x v="0"/>
    <x v="0"/>
    <x v="0"/>
    <s v="2019/2020"/>
    <b v="1"/>
    <b v="0"/>
    <b v="0"/>
    <x v="16"/>
    <n v="83899526000425"/>
    <x v="324"/>
    <x v="14"/>
    <x v="10"/>
    <n v="62"/>
    <x v="3"/>
    <x v="5"/>
    <n v="17"/>
    <n v="17"/>
  </r>
  <r>
    <n v="2019"/>
    <n v="7"/>
    <x v="0"/>
    <x v="0"/>
    <x v="0"/>
    <s v="2019/2020"/>
    <b v="1"/>
    <b v="0"/>
    <b v="0"/>
    <x v="17"/>
    <n v="85377174000392"/>
    <x v="325"/>
    <x v="20"/>
    <x v="10"/>
    <n v="73"/>
    <x v="1"/>
    <x v="2"/>
    <n v="3"/>
    <n v="3"/>
  </r>
  <r>
    <n v="2019"/>
    <n v="7"/>
    <x v="0"/>
    <x v="0"/>
    <x v="0"/>
    <s v="2019/2020"/>
    <b v="1"/>
    <b v="0"/>
    <b v="0"/>
    <x v="11"/>
    <n v="85377174000392"/>
    <x v="325"/>
    <x v="20"/>
    <x v="10"/>
    <n v="73"/>
    <x v="1"/>
    <x v="2"/>
    <n v="3"/>
    <n v="3"/>
  </r>
  <r>
    <n v="2019"/>
    <n v="7"/>
    <x v="0"/>
    <x v="0"/>
    <x v="0"/>
    <s v="2019/2020"/>
    <b v="1"/>
    <b v="0"/>
    <b v="0"/>
    <x v="21"/>
    <n v="85377174000392"/>
    <x v="325"/>
    <x v="20"/>
    <x v="10"/>
    <n v="73"/>
    <x v="1"/>
    <x v="2"/>
    <n v="9"/>
    <n v="9"/>
  </r>
  <r>
    <n v="2019"/>
    <n v="7"/>
    <x v="0"/>
    <x v="0"/>
    <x v="0"/>
    <s v="2019/2020"/>
    <b v="1"/>
    <b v="0"/>
    <b v="0"/>
    <x v="16"/>
    <n v="87020517000120"/>
    <x v="326"/>
    <x v="45"/>
    <x v="11"/>
    <n v="62"/>
    <x v="3"/>
    <x v="5"/>
    <n v="25"/>
    <n v="25"/>
  </r>
  <r>
    <n v="2019"/>
    <n v="7"/>
    <x v="0"/>
    <x v="0"/>
    <x v="0"/>
    <s v="2019/2020"/>
    <b v="1"/>
    <b v="0"/>
    <b v="0"/>
    <x v="5"/>
    <n v="87020517000120"/>
    <x v="326"/>
    <x v="45"/>
    <x v="11"/>
    <n v="64"/>
    <x v="4"/>
    <x v="6"/>
    <n v="10"/>
    <n v="10"/>
  </r>
  <r>
    <n v="2019"/>
    <n v="7"/>
    <x v="0"/>
    <x v="0"/>
    <x v="0"/>
    <s v="2019/2020"/>
    <b v="1"/>
    <b v="0"/>
    <b v="0"/>
    <x v="16"/>
    <n v="87317764001084"/>
    <x v="327"/>
    <x v="45"/>
    <x v="11"/>
    <n v="70"/>
    <x v="0"/>
    <x v="0"/>
    <n v="30"/>
    <n v="6"/>
  </r>
  <r>
    <n v="2019"/>
    <n v="7"/>
    <x v="0"/>
    <x v="0"/>
    <x v="0"/>
    <s v="2019/2020"/>
    <b v="1"/>
    <b v="0"/>
    <b v="0"/>
    <x v="16"/>
    <n v="87317764001084"/>
    <x v="327"/>
    <x v="45"/>
    <x v="11"/>
    <n v="70"/>
    <x v="0"/>
    <x v="7"/>
    <n v="300"/>
    <n v="30"/>
  </r>
  <r>
    <n v="2019"/>
    <n v="7"/>
    <x v="0"/>
    <x v="0"/>
    <x v="0"/>
    <s v="2019/2020"/>
    <b v="1"/>
    <b v="0"/>
    <b v="0"/>
    <x v="16"/>
    <n v="87547444000120"/>
    <x v="328"/>
    <x v="91"/>
    <x v="11"/>
    <n v="64"/>
    <x v="4"/>
    <x v="6"/>
    <n v="2"/>
    <n v="2"/>
  </r>
  <r>
    <n v="2019"/>
    <n v="7"/>
    <x v="0"/>
    <x v="0"/>
    <x v="0"/>
    <s v="2019/2020"/>
    <b v="1"/>
    <b v="0"/>
    <b v="0"/>
    <x v="16"/>
    <n v="87607149000626"/>
    <x v="329"/>
    <x v="92"/>
    <x v="11"/>
    <n v="70"/>
    <x v="0"/>
    <x v="7"/>
    <n v="180"/>
    <n v="18"/>
  </r>
  <r>
    <n v="2019"/>
    <n v="7"/>
    <x v="0"/>
    <x v="0"/>
    <x v="0"/>
    <s v="2019/2020"/>
    <b v="1"/>
    <b v="0"/>
    <b v="0"/>
    <x v="13"/>
    <n v="87607149000626"/>
    <x v="329"/>
    <x v="92"/>
    <x v="11"/>
    <n v="70"/>
    <x v="0"/>
    <x v="7"/>
    <n v="60"/>
    <n v="6"/>
  </r>
  <r>
    <n v="2019"/>
    <n v="7"/>
    <x v="0"/>
    <x v="0"/>
    <x v="0"/>
    <s v="2019/2020"/>
    <b v="1"/>
    <b v="0"/>
    <b v="0"/>
    <x v="16"/>
    <n v="87827689002405"/>
    <x v="330"/>
    <x v="15"/>
    <x v="11"/>
    <n v="70"/>
    <x v="0"/>
    <x v="7"/>
    <n v="90"/>
    <n v="9"/>
  </r>
  <r>
    <n v="2019"/>
    <n v="7"/>
    <x v="0"/>
    <x v="0"/>
    <x v="0"/>
    <s v="2019/2020"/>
    <b v="1"/>
    <b v="0"/>
    <b v="0"/>
    <x v="16"/>
    <n v="87827689002405"/>
    <x v="330"/>
    <x v="15"/>
    <x v="11"/>
    <n v="73"/>
    <x v="1"/>
    <x v="4"/>
    <n v="8"/>
    <n v="2"/>
  </r>
  <r>
    <n v="2019"/>
    <n v="7"/>
    <x v="0"/>
    <x v="0"/>
    <x v="0"/>
    <s v="2019/2020"/>
    <b v="1"/>
    <b v="0"/>
    <b v="0"/>
    <x v="16"/>
    <n v="87827689002405"/>
    <x v="330"/>
    <x v="15"/>
    <x v="11"/>
    <n v="73"/>
    <x v="1"/>
    <x v="2"/>
    <n v="2"/>
    <n v="2"/>
  </r>
  <r>
    <n v="2019"/>
    <n v="7"/>
    <x v="0"/>
    <x v="0"/>
    <x v="0"/>
    <s v="2019/2020"/>
    <b v="1"/>
    <b v="0"/>
    <b v="0"/>
    <x v="16"/>
    <n v="87827689002405"/>
    <x v="330"/>
    <x v="15"/>
    <x v="11"/>
    <n v="73"/>
    <x v="1"/>
    <x v="1"/>
    <n v="28"/>
    <n v="14"/>
  </r>
  <r>
    <n v="2019"/>
    <n v="7"/>
    <x v="0"/>
    <x v="0"/>
    <x v="0"/>
    <s v="2019/2020"/>
    <b v="1"/>
    <b v="0"/>
    <b v="0"/>
    <x v="22"/>
    <n v="87958625000149"/>
    <x v="331"/>
    <x v="45"/>
    <x v="11"/>
    <n v="66"/>
    <x v="2"/>
    <x v="3"/>
    <n v="12"/>
    <n v="12"/>
  </r>
  <r>
    <n v="2019"/>
    <n v="7"/>
    <x v="0"/>
    <x v="0"/>
    <x v="0"/>
    <s v="2019/2020"/>
    <b v="1"/>
    <b v="0"/>
    <b v="0"/>
    <x v="16"/>
    <n v="88625686002443"/>
    <x v="332"/>
    <x v="45"/>
    <x v="11"/>
    <n v="62"/>
    <x v="3"/>
    <x v="5"/>
    <n v="5"/>
    <n v="5"/>
  </r>
  <r>
    <n v="2019"/>
    <n v="7"/>
    <x v="0"/>
    <x v="0"/>
    <x v="0"/>
    <s v="2019/2020"/>
    <b v="1"/>
    <b v="0"/>
    <b v="0"/>
    <x v="7"/>
    <n v="88625686002443"/>
    <x v="332"/>
    <x v="45"/>
    <x v="11"/>
    <n v="64"/>
    <x v="4"/>
    <x v="6"/>
    <n v="3"/>
    <n v="3"/>
  </r>
  <r>
    <n v="2019"/>
    <n v="7"/>
    <x v="0"/>
    <x v="0"/>
    <x v="0"/>
    <s v="2019/2020"/>
    <b v="1"/>
    <b v="0"/>
    <b v="0"/>
    <x v="7"/>
    <n v="88625686002443"/>
    <x v="332"/>
    <x v="45"/>
    <x v="11"/>
    <n v="64"/>
    <x v="4"/>
    <x v="6"/>
    <n v="5"/>
    <n v="5"/>
  </r>
  <r>
    <n v="2019"/>
    <n v="7"/>
    <x v="0"/>
    <x v="0"/>
    <x v="0"/>
    <s v="2019/2020"/>
    <b v="1"/>
    <b v="0"/>
    <b v="0"/>
    <x v="7"/>
    <n v="88625686002443"/>
    <x v="332"/>
    <x v="45"/>
    <x v="11"/>
    <n v="64"/>
    <x v="4"/>
    <x v="6"/>
    <n v="6"/>
    <n v="6"/>
  </r>
  <r>
    <n v="2019"/>
    <n v="7"/>
    <x v="0"/>
    <x v="0"/>
    <x v="0"/>
    <s v="2019/2020"/>
    <b v="1"/>
    <b v="0"/>
    <b v="0"/>
    <x v="7"/>
    <n v="88625686002443"/>
    <x v="332"/>
    <x v="45"/>
    <x v="11"/>
    <n v="64"/>
    <x v="4"/>
    <x v="6"/>
    <n v="10"/>
    <n v="10"/>
  </r>
  <r>
    <n v="2019"/>
    <n v="7"/>
    <x v="0"/>
    <x v="0"/>
    <x v="0"/>
    <s v="2019/2020"/>
    <b v="1"/>
    <b v="0"/>
    <b v="0"/>
    <x v="16"/>
    <n v="88630413000796"/>
    <x v="333"/>
    <x v="45"/>
    <x v="11"/>
    <n v="62"/>
    <x v="3"/>
    <x v="5"/>
    <n v="14"/>
    <n v="14"/>
  </r>
  <r>
    <n v="2019"/>
    <n v="7"/>
    <x v="0"/>
    <x v="0"/>
    <x v="0"/>
    <s v="2019/2020"/>
    <b v="1"/>
    <b v="0"/>
    <b v="0"/>
    <x v="16"/>
    <n v="88630413000796"/>
    <x v="333"/>
    <x v="45"/>
    <x v="11"/>
    <n v="64"/>
    <x v="4"/>
    <x v="6"/>
    <n v="6"/>
    <n v="6"/>
  </r>
  <r>
    <n v="2019"/>
    <n v="7"/>
    <x v="0"/>
    <x v="0"/>
    <x v="0"/>
    <s v="2019/2020"/>
    <b v="1"/>
    <b v="0"/>
    <b v="0"/>
    <x v="4"/>
    <n v="92021062000360"/>
    <x v="334"/>
    <x v="92"/>
    <x v="11"/>
    <n v="73"/>
    <x v="1"/>
    <x v="1"/>
    <n v="48"/>
    <n v="24"/>
  </r>
  <r>
    <n v="2019"/>
    <n v="7"/>
    <x v="0"/>
    <x v="0"/>
    <x v="0"/>
    <s v="2019/2020"/>
    <b v="1"/>
    <b v="0"/>
    <b v="0"/>
    <x v="4"/>
    <n v="92021062000360"/>
    <x v="334"/>
    <x v="92"/>
    <x v="11"/>
    <n v="73"/>
    <x v="1"/>
    <x v="4"/>
    <n v="96"/>
    <n v="24"/>
  </r>
  <r>
    <n v="2019"/>
    <n v="7"/>
    <x v="0"/>
    <x v="0"/>
    <x v="0"/>
    <s v="2019/2020"/>
    <b v="1"/>
    <b v="0"/>
    <b v="0"/>
    <x v="16"/>
    <n v="92685833000151"/>
    <x v="335"/>
    <x v="45"/>
    <x v="11"/>
    <n v="62"/>
    <x v="3"/>
    <x v="5"/>
    <n v="10"/>
    <n v="10"/>
  </r>
  <r>
    <n v="2019"/>
    <n v="7"/>
    <x v="0"/>
    <x v="0"/>
    <x v="0"/>
    <s v="2019/2020"/>
    <b v="1"/>
    <b v="0"/>
    <b v="0"/>
    <x v="11"/>
    <n v="92685833000151"/>
    <x v="335"/>
    <x v="45"/>
    <x v="11"/>
    <n v="62"/>
    <x v="3"/>
    <x v="5"/>
    <n v="1"/>
    <n v="1"/>
  </r>
  <r>
    <n v="2019"/>
    <n v="7"/>
    <x v="0"/>
    <x v="0"/>
    <x v="0"/>
    <s v="2019/2020"/>
    <b v="1"/>
    <b v="0"/>
    <b v="0"/>
    <x v="11"/>
    <n v="92685833000151"/>
    <x v="335"/>
    <x v="45"/>
    <x v="11"/>
    <n v="62"/>
    <x v="3"/>
    <x v="5"/>
    <n v="10"/>
    <n v="10"/>
  </r>
  <r>
    <n v="2019"/>
    <n v="7"/>
    <x v="0"/>
    <x v="0"/>
    <x v="0"/>
    <s v="2019/2020"/>
    <b v="1"/>
    <b v="0"/>
    <b v="0"/>
    <x v="11"/>
    <n v="92685833000151"/>
    <x v="335"/>
    <x v="45"/>
    <x v="11"/>
    <n v="62"/>
    <x v="3"/>
    <x v="5"/>
    <n v="19"/>
    <n v="19"/>
  </r>
  <r>
    <n v="2019"/>
    <n v="7"/>
    <x v="0"/>
    <x v="0"/>
    <x v="0"/>
    <s v="2019/2020"/>
    <b v="1"/>
    <b v="0"/>
    <b v="0"/>
    <x v="11"/>
    <n v="92685833000151"/>
    <x v="335"/>
    <x v="45"/>
    <x v="11"/>
    <n v="64"/>
    <x v="4"/>
    <x v="6"/>
    <n v="6"/>
    <n v="6"/>
  </r>
  <r>
    <n v="2019"/>
    <n v="7"/>
    <x v="0"/>
    <x v="0"/>
    <x v="0"/>
    <s v="2019/2020"/>
    <b v="1"/>
    <b v="0"/>
    <b v="0"/>
    <x v="11"/>
    <n v="92685833000151"/>
    <x v="335"/>
    <x v="45"/>
    <x v="11"/>
    <n v="64"/>
    <x v="4"/>
    <x v="6"/>
    <n v="10"/>
    <n v="10"/>
  </r>
  <r>
    <n v="2019"/>
    <n v="7"/>
    <x v="0"/>
    <x v="0"/>
    <x v="0"/>
    <s v="2019/2020"/>
    <b v="1"/>
    <b v="0"/>
    <b v="0"/>
    <x v="16"/>
    <n v="92685833000151"/>
    <x v="335"/>
    <x v="45"/>
    <x v="11"/>
    <n v="73"/>
    <x v="1"/>
    <x v="2"/>
    <n v="4"/>
    <n v="4"/>
  </r>
  <r>
    <n v="2019"/>
    <n v="7"/>
    <x v="0"/>
    <x v="0"/>
    <x v="0"/>
    <s v="2019/2020"/>
    <b v="1"/>
    <b v="0"/>
    <b v="0"/>
    <x v="16"/>
    <n v="92741016000254"/>
    <x v="336"/>
    <x v="45"/>
    <x v="11"/>
    <n v="64"/>
    <x v="4"/>
    <x v="6"/>
    <n v="5"/>
    <n v="5"/>
  </r>
  <r>
    <n v="2019"/>
    <n v="7"/>
    <x v="0"/>
    <x v="0"/>
    <x v="0"/>
    <s v="2019/2020"/>
    <b v="1"/>
    <b v="0"/>
    <b v="0"/>
    <x v="5"/>
    <n v="92787118000391"/>
    <x v="337"/>
    <x v="45"/>
    <x v="11"/>
    <n v="64"/>
    <x v="4"/>
    <x v="6"/>
    <n v="12"/>
    <n v="12"/>
  </r>
  <r>
    <n v="2019"/>
    <n v="7"/>
    <x v="0"/>
    <x v="0"/>
    <x v="0"/>
    <s v="2019/2020"/>
    <b v="1"/>
    <b v="0"/>
    <b v="0"/>
    <x v="16"/>
    <n v="92815000000168"/>
    <x v="338"/>
    <x v="45"/>
    <x v="11"/>
    <n v="62"/>
    <x v="3"/>
    <x v="5"/>
    <n v="62"/>
    <n v="62"/>
  </r>
  <r>
    <n v="2019"/>
    <n v="7"/>
    <x v="0"/>
    <x v="0"/>
    <x v="0"/>
    <s v="2019/2020"/>
    <b v="1"/>
    <b v="0"/>
    <b v="0"/>
    <x v="16"/>
    <n v="92815000000168"/>
    <x v="338"/>
    <x v="45"/>
    <x v="11"/>
    <n v="64"/>
    <x v="4"/>
    <x v="6"/>
    <n v="8"/>
    <n v="8"/>
  </r>
  <r>
    <n v="2019"/>
    <n v="7"/>
    <x v="0"/>
    <x v="0"/>
    <x v="0"/>
    <s v="2019/2020"/>
    <b v="1"/>
    <b v="0"/>
    <b v="0"/>
    <x v="16"/>
    <n v="92815000000168"/>
    <x v="338"/>
    <x v="45"/>
    <x v="11"/>
    <n v="73"/>
    <x v="1"/>
    <x v="1"/>
    <n v="38"/>
    <n v="19"/>
  </r>
  <r>
    <n v="2019"/>
    <n v="7"/>
    <x v="0"/>
    <x v="0"/>
    <x v="0"/>
    <s v="2019/2020"/>
    <b v="1"/>
    <b v="0"/>
    <b v="0"/>
    <x v="16"/>
    <n v="92898550000198"/>
    <x v="339"/>
    <x v="45"/>
    <x v="11"/>
    <n v="64"/>
    <x v="4"/>
    <x v="6"/>
    <n v="8"/>
    <n v="8"/>
  </r>
  <r>
    <n v="2019"/>
    <n v="7"/>
    <x v="0"/>
    <x v="0"/>
    <x v="0"/>
    <s v="2019/2020"/>
    <b v="1"/>
    <b v="0"/>
    <b v="0"/>
    <x v="22"/>
    <n v="92898550000198"/>
    <x v="339"/>
    <x v="45"/>
    <x v="11"/>
    <n v="64"/>
    <x v="4"/>
    <x v="6"/>
    <n v="6"/>
    <n v="6"/>
  </r>
  <r>
    <n v="2019"/>
    <n v="7"/>
    <x v="0"/>
    <x v="0"/>
    <x v="0"/>
    <s v="2019/2020"/>
    <b v="1"/>
    <b v="0"/>
    <b v="0"/>
    <x v="3"/>
    <n v="92898550000600"/>
    <x v="340"/>
    <x v="4"/>
    <x v="4"/>
    <n v="64"/>
    <x v="4"/>
    <x v="6"/>
    <n v="4"/>
    <n v="4"/>
  </r>
  <r>
    <n v="2019"/>
    <n v="7"/>
    <x v="0"/>
    <x v="0"/>
    <x v="0"/>
    <s v="2019/2020"/>
    <b v="1"/>
    <b v="0"/>
    <b v="0"/>
    <x v="14"/>
    <n v="94831294000147"/>
    <x v="341"/>
    <x v="45"/>
    <x v="11"/>
    <n v="70"/>
    <x v="0"/>
    <x v="0"/>
    <n v="30"/>
    <n v="6"/>
  </r>
  <r>
    <n v="2019"/>
    <n v="7"/>
    <x v="0"/>
    <x v="0"/>
    <x v="0"/>
    <s v="2019/2020"/>
    <b v="1"/>
    <b v="0"/>
    <b v="0"/>
    <x v="11"/>
    <n v="95610887000146"/>
    <x v="342"/>
    <x v="47"/>
    <x v="11"/>
    <n v="62"/>
    <x v="3"/>
    <x v="5"/>
    <n v="4"/>
    <n v="4"/>
  </r>
  <r>
    <n v="2019"/>
    <n v="7"/>
    <x v="0"/>
    <x v="0"/>
    <x v="0"/>
    <s v="2019/2020"/>
    <b v="1"/>
    <b v="0"/>
    <b v="0"/>
    <x v="4"/>
    <n v="95610887000146"/>
    <x v="342"/>
    <x v="47"/>
    <x v="11"/>
    <n v="70"/>
    <x v="0"/>
    <x v="0"/>
    <n v="300"/>
    <n v="30"/>
  </r>
  <r>
    <n v="2019"/>
    <n v="8"/>
    <x v="0"/>
    <x v="1"/>
    <x v="0"/>
    <s v="2019/2020"/>
    <b v="1"/>
    <b v="0"/>
    <b v="0"/>
    <x v="1"/>
    <n v="700386513"/>
    <x v="343"/>
    <x v="93"/>
    <x v="21"/>
    <n v="66"/>
    <x v="2"/>
    <x v="3"/>
    <n v="4"/>
    <n v="4"/>
  </r>
  <r>
    <n v="2019"/>
    <n v="8"/>
    <x v="0"/>
    <x v="1"/>
    <x v="0"/>
    <s v="2019/2020"/>
    <b v="1"/>
    <b v="0"/>
    <b v="0"/>
    <x v="8"/>
    <n v="25841000153"/>
    <x v="344"/>
    <x v="4"/>
    <x v="4"/>
    <n v="70"/>
    <x v="0"/>
    <x v="7"/>
    <n v="120"/>
    <n v="12"/>
  </r>
  <r>
    <n v="2019"/>
    <n v="8"/>
    <x v="0"/>
    <x v="1"/>
    <x v="0"/>
    <s v="2019/2020"/>
    <b v="1"/>
    <b v="0"/>
    <b v="0"/>
    <x v="2"/>
    <n v="49791000144"/>
    <x v="4"/>
    <x v="4"/>
    <x v="4"/>
    <n v="62"/>
    <x v="3"/>
    <x v="5"/>
    <n v="4"/>
    <n v="2"/>
  </r>
  <r>
    <n v="2019"/>
    <n v="8"/>
    <x v="0"/>
    <x v="1"/>
    <x v="0"/>
    <s v="2019/2020"/>
    <b v="1"/>
    <b v="0"/>
    <b v="0"/>
    <x v="2"/>
    <n v="49791000144"/>
    <x v="4"/>
    <x v="4"/>
    <x v="4"/>
    <n v="64"/>
    <x v="4"/>
    <x v="6"/>
    <n v="1"/>
    <n v="1"/>
  </r>
  <r>
    <n v="2019"/>
    <n v="8"/>
    <x v="0"/>
    <x v="1"/>
    <x v="0"/>
    <s v="2019/2020"/>
    <b v="1"/>
    <b v="0"/>
    <b v="0"/>
    <x v="2"/>
    <n v="49791000144"/>
    <x v="4"/>
    <x v="4"/>
    <x v="4"/>
    <n v="64"/>
    <x v="4"/>
    <x v="6"/>
    <n v="2"/>
    <n v="2"/>
  </r>
  <r>
    <n v="2019"/>
    <n v="8"/>
    <x v="0"/>
    <x v="1"/>
    <x v="0"/>
    <s v="2019/2020"/>
    <b v="1"/>
    <b v="0"/>
    <b v="0"/>
    <x v="2"/>
    <n v="49791000144"/>
    <x v="4"/>
    <x v="4"/>
    <x v="4"/>
    <n v="64"/>
    <x v="4"/>
    <x v="6"/>
    <n v="6"/>
    <n v="6"/>
  </r>
  <r>
    <n v="2019"/>
    <n v="8"/>
    <x v="0"/>
    <x v="1"/>
    <x v="0"/>
    <s v="2019/2020"/>
    <b v="1"/>
    <b v="0"/>
    <b v="0"/>
    <x v="8"/>
    <n v="53629000108"/>
    <x v="345"/>
    <x v="8"/>
    <x v="7"/>
    <n v="70"/>
    <x v="0"/>
    <x v="0"/>
    <n v="-20"/>
    <n v="-4"/>
  </r>
  <r>
    <n v="2019"/>
    <n v="8"/>
    <x v="0"/>
    <x v="1"/>
    <x v="0"/>
    <s v="2019/2020"/>
    <b v="1"/>
    <b v="0"/>
    <b v="0"/>
    <x v="8"/>
    <n v="53629000108"/>
    <x v="345"/>
    <x v="8"/>
    <x v="7"/>
    <n v="70"/>
    <x v="0"/>
    <x v="0"/>
    <n v="20"/>
    <n v="4"/>
  </r>
  <r>
    <n v="2019"/>
    <n v="8"/>
    <x v="0"/>
    <x v="1"/>
    <x v="0"/>
    <s v="2019/2020"/>
    <b v="1"/>
    <b v="0"/>
    <b v="0"/>
    <x v="1"/>
    <n v="70306453673"/>
    <x v="346"/>
    <x v="94"/>
    <x v="2"/>
    <n v="66"/>
    <x v="2"/>
    <x v="3"/>
    <n v="6"/>
    <n v="6"/>
  </r>
  <r>
    <n v="2019"/>
    <n v="8"/>
    <x v="0"/>
    <x v="1"/>
    <x v="0"/>
    <s v="2019/2020"/>
    <b v="1"/>
    <b v="0"/>
    <b v="0"/>
    <x v="1"/>
    <n v="70306453673"/>
    <x v="346"/>
    <x v="94"/>
    <x v="2"/>
    <n v="66"/>
    <x v="2"/>
    <x v="3"/>
    <n v="14"/>
    <n v="14"/>
  </r>
  <r>
    <n v="2019"/>
    <n v="8"/>
    <x v="0"/>
    <x v="1"/>
    <x v="0"/>
    <s v="2019/2020"/>
    <b v="1"/>
    <b v="0"/>
    <b v="0"/>
    <x v="0"/>
    <n v="82854246004"/>
    <x v="347"/>
    <x v="45"/>
    <x v="11"/>
    <n v="73"/>
    <x v="1"/>
    <x v="4"/>
    <n v="64"/>
    <n v="16"/>
  </r>
  <r>
    <n v="2019"/>
    <n v="8"/>
    <x v="0"/>
    <x v="1"/>
    <x v="0"/>
    <s v="2019/2020"/>
    <b v="1"/>
    <b v="0"/>
    <b v="0"/>
    <x v="3"/>
    <n v="132229000180"/>
    <x v="7"/>
    <x v="6"/>
    <x v="2"/>
    <n v="70"/>
    <x v="0"/>
    <x v="0"/>
    <n v="110"/>
    <n v="22"/>
  </r>
  <r>
    <n v="2019"/>
    <n v="8"/>
    <x v="0"/>
    <x v="1"/>
    <x v="0"/>
    <s v="2019/2020"/>
    <b v="1"/>
    <b v="0"/>
    <b v="0"/>
    <x v="11"/>
    <n v="132229000180"/>
    <x v="7"/>
    <x v="6"/>
    <x v="2"/>
    <n v="70"/>
    <x v="0"/>
    <x v="0"/>
    <n v="70"/>
    <n v="14"/>
  </r>
  <r>
    <n v="2019"/>
    <n v="8"/>
    <x v="0"/>
    <x v="1"/>
    <x v="0"/>
    <s v="2019/2020"/>
    <b v="1"/>
    <b v="0"/>
    <b v="0"/>
    <x v="0"/>
    <n v="394502014870"/>
    <x v="348"/>
    <x v="0"/>
    <x v="0"/>
    <n v="64"/>
    <x v="4"/>
    <x v="6"/>
    <n v="10"/>
    <n v="10"/>
  </r>
  <r>
    <n v="2019"/>
    <n v="8"/>
    <x v="0"/>
    <x v="1"/>
    <x v="0"/>
    <s v="2019/2020"/>
    <b v="1"/>
    <b v="0"/>
    <b v="0"/>
    <x v="5"/>
    <n v="394544000851"/>
    <x v="349"/>
    <x v="4"/>
    <x v="4"/>
    <n v="66"/>
    <x v="2"/>
    <x v="3"/>
    <n v="12"/>
    <n v="6"/>
  </r>
  <r>
    <n v="2019"/>
    <n v="8"/>
    <x v="0"/>
    <x v="1"/>
    <x v="0"/>
    <s v="2019/2020"/>
    <b v="1"/>
    <b v="0"/>
    <b v="0"/>
    <x v="5"/>
    <n v="394544000851"/>
    <x v="349"/>
    <x v="4"/>
    <x v="4"/>
    <n v="70"/>
    <x v="0"/>
    <x v="0"/>
    <n v="630"/>
    <n v="126"/>
  </r>
  <r>
    <n v="2019"/>
    <n v="8"/>
    <x v="0"/>
    <x v="1"/>
    <x v="0"/>
    <s v="2019/2020"/>
    <b v="1"/>
    <b v="0"/>
    <b v="0"/>
    <x v="5"/>
    <n v="394544017150"/>
    <x v="350"/>
    <x v="0"/>
    <x v="0"/>
    <n v="64"/>
    <x v="4"/>
    <x v="6"/>
    <n v="20"/>
    <n v="20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8"/>
    <n v="5"/>
    <n v="1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5"/>
    <n v="1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20"/>
    <n v="4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55"/>
    <n v="11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100"/>
    <n v="20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120"/>
    <n v="24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130"/>
    <n v="26"/>
  </r>
  <r>
    <n v="2019"/>
    <n v="8"/>
    <x v="0"/>
    <x v="1"/>
    <x v="0"/>
    <s v="2019/2020"/>
    <b v="1"/>
    <b v="0"/>
    <b v="0"/>
    <x v="7"/>
    <n v="410960000120"/>
    <x v="14"/>
    <x v="6"/>
    <x v="2"/>
    <n v="70"/>
    <x v="0"/>
    <x v="0"/>
    <n v="250"/>
    <n v="50"/>
  </r>
  <r>
    <n v="2019"/>
    <n v="8"/>
    <x v="0"/>
    <x v="1"/>
    <x v="0"/>
    <s v="2019/2020"/>
    <b v="1"/>
    <b v="0"/>
    <b v="0"/>
    <x v="7"/>
    <n v="410960000120"/>
    <x v="14"/>
    <x v="6"/>
    <x v="2"/>
    <n v="73"/>
    <x v="1"/>
    <x v="4"/>
    <n v="4"/>
    <n v="1"/>
  </r>
  <r>
    <n v="2019"/>
    <n v="8"/>
    <x v="0"/>
    <x v="1"/>
    <x v="0"/>
    <s v="2019/2020"/>
    <b v="1"/>
    <b v="0"/>
    <b v="0"/>
    <x v="7"/>
    <n v="410960000120"/>
    <x v="14"/>
    <x v="6"/>
    <x v="2"/>
    <n v="73"/>
    <x v="1"/>
    <x v="4"/>
    <n v="8"/>
    <n v="2"/>
  </r>
  <r>
    <n v="2019"/>
    <n v="8"/>
    <x v="0"/>
    <x v="1"/>
    <x v="0"/>
    <s v="2019/2020"/>
    <b v="1"/>
    <b v="0"/>
    <b v="0"/>
    <x v="7"/>
    <n v="410960000120"/>
    <x v="14"/>
    <x v="6"/>
    <x v="2"/>
    <n v="73"/>
    <x v="1"/>
    <x v="2"/>
    <n v="4"/>
    <n v="2"/>
  </r>
  <r>
    <n v="2019"/>
    <n v="8"/>
    <x v="0"/>
    <x v="1"/>
    <x v="0"/>
    <s v="2019/2020"/>
    <b v="1"/>
    <b v="0"/>
    <b v="0"/>
    <x v="7"/>
    <n v="410960000120"/>
    <x v="14"/>
    <x v="6"/>
    <x v="2"/>
    <n v="73"/>
    <x v="1"/>
    <x v="4"/>
    <n v="48"/>
    <n v="4"/>
  </r>
  <r>
    <n v="2019"/>
    <n v="8"/>
    <x v="0"/>
    <x v="1"/>
    <x v="0"/>
    <s v="2019/2020"/>
    <b v="1"/>
    <b v="0"/>
    <b v="0"/>
    <x v="8"/>
    <n v="418954000119"/>
    <x v="15"/>
    <x v="8"/>
    <x v="7"/>
    <n v="64"/>
    <x v="4"/>
    <x v="6"/>
    <n v="10"/>
    <n v="10"/>
  </r>
  <r>
    <n v="2019"/>
    <n v="8"/>
    <x v="0"/>
    <x v="1"/>
    <x v="0"/>
    <s v="2019/2020"/>
    <b v="1"/>
    <b v="0"/>
    <b v="0"/>
    <x v="10"/>
    <n v="437007000175"/>
    <x v="16"/>
    <x v="9"/>
    <x v="0"/>
    <n v="70"/>
    <x v="0"/>
    <x v="0"/>
    <n v="70"/>
    <n v="7"/>
  </r>
  <r>
    <n v="2019"/>
    <n v="8"/>
    <x v="0"/>
    <x v="1"/>
    <x v="0"/>
    <s v="2019/2020"/>
    <b v="1"/>
    <b v="0"/>
    <b v="0"/>
    <x v="10"/>
    <n v="437007000175"/>
    <x v="16"/>
    <x v="9"/>
    <x v="0"/>
    <n v="70"/>
    <x v="0"/>
    <x v="0"/>
    <n v="40"/>
    <n v="8"/>
  </r>
  <r>
    <n v="2019"/>
    <n v="8"/>
    <x v="0"/>
    <x v="1"/>
    <x v="0"/>
    <s v="2019/2020"/>
    <b v="1"/>
    <b v="0"/>
    <b v="0"/>
    <x v="10"/>
    <n v="437007000175"/>
    <x v="16"/>
    <x v="9"/>
    <x v="0"/>
    <n v="70"/>
    <x v="0"/>
    <x v="0"/>
    <n v="120"/>
    <n v="24"/>
  </r>
  <r>
    <n v="2019"/>
    <n v="8"/>
    <x v="0"/>
    <x v="1"/>
    <x v="0"/>
    <s v="2019/2020"/>
    <b v="1"/>
    <b v="0"/>
    <b v="0"/>
    <x v="10"/>
    <n v="437007000175"/>
    <x v="16"/>
    <x v="9"/>
    <x v="0"/>
    <n v="70"/>
    <x v="0"/>
    <x v="0"/>
    <n v="135"/>
    <n v="27"/>
  </r>
  <r>
    <n v="2019"/>
    <n v="8"/>
    <x v="0"/>
    <x v="1"/>
    <x v="0"/>
    <s v="2019/2020"/>
    <b v="1"/>
    <b v="0"/>
    <b v="0"/>
    <x v="10"/>
    <n v="437007000175"/>
    <x v="16"/>
    <x v="9"/>
    <x v="0"/>
    <n v="70"/>
    <x v="0"/>
    <x v="0"/>
    <n v="140"/>
    <n v="28"/>
  </r>
  <r>
    <n v="2019"/>
    <n v="8"/>
    <x v="0"/>
    <x v="1"/>
    <x v="0"/>
    <s v="2019/2020"/>
    <b v="1"/>
    <b v="0"/>
    <b v="0"/>
    <x v="10"/>
    <n v="437007000175"/>
    <x v="16"/>
    <x v="9"/>
    <x v="0"/>
    <n v="73"/>
    <x v="1"/>
    <x v="4"/>
    <n v="40"/>
    <n v="10"/>
  </r>
  <r>
    <n v="2019"/>
    <n v="8"/>
    <x v="0"/>
    <x v="1"/>
    <x v="0"/>
    <s v="2019/2020"/>
    <b v="1"/>
    <b v="0"/>
    <b v="0"/>
    <x v="10"/>
    <n v="437007000175"/>
    <x v="16"/>
    <x v="9"/>
    <x v="0"/>
    <n v="73"/>
    <x v="1"/>
    <x v="1"/>
    <n v="52"/>
    <n v="26"/>
  </r>
  <r>
    <n v="2019"/>
    <n v="8"/>
    <x v="0"/>
    <x v="1"/>
    <x v="0"/>
    <s v="2019/2020"/>
    <b v="1"/>
    <b v="0"/>
    <b v="0"/>
    <x v="2"/>
    <n v="437007000175"/>
    <x v="16"/>
    <x v="9"/>
    <x v="0"/>
    <n v="73"/>
    <x v="1"/>
    <x v="1"/>
    <n v="32"/>
    <n v="16"/>
  </r>
  <r>
    <n v="2019"/>
    <n v="8"/>
    <x v="0"/>
    <x v="1"/>
    <x v="0"/>
    <s v="2019/2020"/>
    <b v="1"/>
    <b v="0"/>
    <b v="0"/>
    <x v="0"/>
    <n v="437007000175"/>
    <x v="16"/>
    <x v="9"/>
    <x v="0"/>
    <n v="73"/>
    <x v="1"/>
    <x v="4"/>
    <n v="16"/>
    <n v="4"/>
  </r>
  <r>
    <n v="2019"/>
    <n v="8"/>
    <x v="0"/>
    <x v="1"/>
    <x v="0"/>
    <s v="2019/2020"/>
    <b v="1"/>
    <b v="0"/>
    <b v="0"/>
    <x v="0"/>
    <n v="437007000175"/>
    <x v="16"/>
    <x v="9"/>
    <x v="0"/>
    <n v="73"/>
    <x v="1"/>
    <x v="4"/>
    <n v="24"/>
    <n v="6"/>
  </r>
  <r>
    <n v="2019"/>
    <n v="8"/>
    <x v="0"/>
    <x v="1"/>
    <x v="0"/>
    <s v="2019/2020"/>
    <b v="1"/>
    <b v="0"/>
    <b v="0"/>
    <x v="0"/>
    <n v="437007000175"/>
    <x v="16"/>
    <x v="9"/>
    <x v="0"/>
    <n v="73"/>
    <x v="1"/>
    <x v="4"/>
    <n v="64"/>
    <n v="16"/>
  </r>
  <r>
    <n v="2019"/>
    <n v="8"/>
    <x v="0"/>
    <x v="1"/>
    <x v="0"/>
    <s v="2019/2020"/>
    <b v="1"/>
    <b v="0"/>
    <b v="0"/>
    <x v="2"/>
    <n v="511816000180"/>
    <x v="19"/>
    <x v="4"/>
    <x v="4"/>
    <n v="62"/>
    <x v="3"/>
    <x v="5"/>
    <n v="4"/>
    <n v="4"/>
  </r>
  <r>
    <n v="2019"/>
    <n v="8"/>
    <x v="0"/>
    <x v="1"/>
    <x v="0"/>
    <s v="2019/2020"/>
    <b v="1"/>
    <b v="0"/>
    <b v="0"/>
    <x v="8"/>
    <n v="520237000101"/>
    <x v="20"/>
    <x v="4"/>
    <x v="4"/>
    <n v="70"/>
    <x v="0"/>
    <x v="0"/>
    <n v="300"/>
    <n v="30"/>
  </r>
  <r>
    <n v="2019"/>
    <n v="8"/>
    <x v="0"/>
    <x v="1"/>
    <x v="0"/>
    <s v="2019/2020"/>
    <b v="1"/>
    <b v="0"/>
    <b v="0"/>
    <x v="8"/>
    <n v="520237000101"/>
    <x v="20"/>
    <x v="4"/>
    <x v="4"/>
    <n v="70"/>
    <x v="0"/>
    <x v="0"/>
    <n v="500"/>
    <n v="100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2"/>
    <n v="2"/>
    <n v="2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1"/>
    <n v="8"/>
    <n v="4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2"/>
    <n v="5"/>
    <n v="5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1"/>
    <n v="20"/>
    <n v="10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4"/>
    <n v="80"/>
    <n v="10"/>
  </r>
  <r>
    <n v="2019"/>
    <n v="8"/>
    <x v="0"/>
    <x v="1"/>
    <x v="0"/>
    <s v="2019/2020"/>
    <b v="1"/>
    <b v="0"/>
    <b v="0"/>
    <x v="8"/>
    <n v="520237000101"/>
    <x v="20"/>
    <x v="4"/>
    <x v="4"/>
    <n v="73"/>
    <x v="1"/>
    <x v="4"/>
    <n v="144"/>
    <n v="12"/>
  </r>
  <r>
    <n v="2019"/>
    <n v="8"/>
    <x v="0"/>
    <x v="1"/>
    <x v="0"/>
    <s v="2019/2020"/>
    <b v="1"/>
    <b v="0"/>
    <b v="0"/>
    <x v="10"/>
    <n v="521197000104"/>
    <x v="21"/>
    <x v="9"/>
    <x v="0"/>
    <n v="70"/>
    <x v="0"/>
    <x v="0"/>
    <n v="100"/>
    <n v="20"/>
  </r>
  <r>
    <n v="2019"/>
    <n v="8"/>
    <x v="0"/>
    <x v="1"/>
    <x v="0"/>
    <s v="2019/2020"/>
    <b v="1"/>
    <b v="0"/>
    <b v="0"/>
    <x v="10"/>
    <n v="521197000104"/>
    <x v="21"/>
    <x v="9"/>
    <x v="0"/>
    <n v="70"/>
    <x v="0"/>
    <x v="0"/>
    <n v="125"/>
    <n v="25"/>
  </r>
  <r>
    <n v="2019"/>
    <n v="8"/>
    <x v="0"/>
    <x v="1"/>
    <x v="0"/>
    <s v="2019/2020"/>
    <b v="1"/>
    <b v="0"/>
    <b v="0"/>
    <x v="7"/>
    <n v="521197000104"/>
    <x v="21"/>
    <x v="9"/>
    <x v="0"/>
    <n v="70"/>
    <x v="0"/>
    <x v="8"/>
    <n v="12.5"/>
    <n v="5"/>
  </r>
  <r>
    <n v="2019"/>
    <n v="8"/>
    <x v="0"/>
    <x v="1"/>
    <x v="0"/>
    <s v="2019/2020"/>
    <b v="1"/>
    <b v="0"/>
    <b v="0"/>
    <x v="2"/>
    <n v="521197000104"/>
    <x v="21"/>
    <x v="9"/>
    <x v="0"/>
    <n v="70"/>
    <x v="0"/>
    <x v="0"/>
    <n v="150"/>
    <n v="30"/>
  </r>
  <r>
    <n v="2019"/>
    <n v="8"/>
    <x v="0"/>
    <x v="1"/>
    <x v="0"/>
    <s v="2019/2020"/>
    <b v="1"/>
    <b v="0"/>
    <b v="0"/>
    <x v="2"/>
    <n v="521197000104"/>
    <x v="21"/>
    <x v="9"/>
    <x v="0"/>
    <n v="70"/>
    <x v="0"/>
    <x v="0"/>
    <n v="250"/>
    <n v="50"/>
  </r>
  <r>
    <n v="2019"/>
    <n v="8"/>
    <x v="0"/>
    <x v="1"/>
    <x v="0"/>
    <s v="2019/2020"/>
    <b v="1"/>
    <b v="0"/>
    <b v="0"/>
    <x v="8"/>
    <n v="610980000144"/>
    <x v="22"/>
    <x v="4"/>
    <x v="4"/>
    <n v="64"/>
    <x v="4"/>
    <x v="6"/>
    <n v="5"/>
    <n v="5"/>
  </r>
  <r>
    <n v="2019"/>
    <n v="8"/>
    <x v="0"/>
    <x v="1"/>
    <x v="0"/>
    <s v="2019/2020"/>
    <b v="1"/>
    <b v="0"/>
    <b v="0"/>
    <x v="8"/>
    <n v="610980000144"/>
    <x v="22"/>
    <x v="4"/>
    <x v="4"/>
    <n v="70"/>
    <x v="0"/>
    <x v="0"/>
    <n v="50"/>
    <n v="10"/>
  </r>
  <r>
    <n v="2019"/>
    <n v="8"/>
    <x v="0"/>
    <x v="1"/>
    <x v="0"/>
    <s v="2019/2020"/>
    <b v="1"/>
    <b v="0"/>
    <b v="0"/>
    <x v="8"/>
    <n v="610980000144"/>
    <x v="22"/>
    <x v="4"/>
    <x v="4"/>
    <n v="70"/>
    <x v="0"/>
    <x v="0"/>
    <n v="100"/>
    <n v="20"/>
  </r>
  <r>
    <n v="2019"/>
    <n v="8"/>
    <x v="0"/>
    <x v="1"/>
    <x v="0"/>
    <s v="2019/2020"/>
    <b v="1"/>
    <b v="0"/>
    <b v="0"/>
    <x v="9"/>
    <n v="820737000150"/>
    <x v="23"/>
    <x v="10"/>
    <x v="8"/>
    <n v="64"/>
    <x v="4"/>
    <x v="6"/>
    <n v="20"/>
    <n v="20"/>
  </r>
  <r>
    <n v="2019"/>
    <n v="8"/>
    <x v="0"/>
    <x v="1"/>
    <x v="0"/>
    <s v="2019/2020"/>
    <b v="1"/>
    <b v="0"/>
    <b v="0"/>
    <x v="4"/>
    <n v="820737000150"/>
    <x v="23"/>
    <x v="10"/>
    <x v="8"/>
    <n v="64"/>
    <x v="4"/>
    <x v="6"/>
    <n v="40"/>
    <n v="20"/>
  </r>
  <r>
    <n v="2019"/>
    <n v="8"/>
    <x v="0"/>
    <x v="1"/>
    <x v="0"/>
    <s v="2019/2020"/>
    <b v="1"/>
    <b v="0"/>
    <b v="0"/>
    <x v="4"/>
    <n v="820737000150"/>
    <x v="23"/>
    <x v="10"/>
    <x v="8"/>
    <n v="64"/>
    <x v="4"/>
    <x v="6"/>
    <n v="35"/>
    <n v="35"/>
  </r>
  <r>
    <n v="2019"/>
    <n v="8"/>
    <x v="0"/>
    <x v="1"/>
    <x v="0"/>
    <s v="2019/2020"/>
    <b v="1"/>
    <b v="0"/>
    <b v="0"/>
    <x v="11"/>
    <n v="820737000150"/>
    <x v="23"/>
    <x v="10"/>
    <x v="8"/>
    <n v="64"/>
    <x v="4"/>
    <x v="6"/>
    <n v="20"/>
    <n v="20"/>
  </r>
  <r>
    <n v="2019"/>
    <n v="8"/>
    <x v="0"/>
    <x v="1"/>
    <x v="0"/>
    <s v="2019/2020"/>
    <b v="1"/>
    <b v="0"/>
    <b v="0"/>
    <x v="7"/>
    <n v="820737000150"/>
    <x v="23"/>
    <x v="10"/>
    <x v="8"/>
    <n v="64"/>
    <x v="4"/>
    <x v="6"/>
    <n v="28"/>
    <n v="28"/>
  </r>
  <r>
    <n v="2019"/>
    <n v="8"/>
    <x v="0"/>
    <x v="1"/>
    <x v="0"/>
    <s v="2019/2020"/>
    <b v="1"/>
    <b v="0"/>
    <b v="0"/>
    <x v="7"/>
    <n v="820737000150"/>
    <x v="23"/>
    <x v="10"/>
    <x v="8"/>
    <n v="64"/>
    <x v="4"/>
    <x v="6"/>
    <n v="30"/>
    <n v="30"/>
  </r>
  <r>
    <n v="2019"/>
    <n v="8"/>
    <x v="0"/>
    <x v="1"/>
    <x v="0"/>
    <s v="2019/2020"/>
    <b v="1"/>
    <b v="0"/>
    <b v="0"/>
    <x v="13"/>
    <n v="840048000450"/>
    <x v="24"/>
    <x v="11"/>
    <x v="3"/>
    <n v="70"/>
    <x v="0"/>
    <x v="0"/>
    <n v="5"/>
    <n v="1"/>
  </r>
  <r>
    <n v="2019"/>
    <n v="8"/>
    <x v="0"/>
    <x v="1"/>
    <x v="0"/>
    <s v="2019/2020"/>
    <b v="1"/>
    <b v="0"/>
    <b v="0"/>
    <x v="11"/>
    <n v="860841000179"/>
    <x v="25"/>
    <x v="12"/>
    <x v="9"/>
    <n v="64"/>
    <x v="4"/>
    <x v="6"/>
    <n v="-2"/>
    <n v="-2"/>
  </r>
  <r>
    <n v="2019"/>
    <n v="8"/>
    <x v="0"/>
    <x v="1"/>
    <x v="0"/>
    <s v="2019/2020"/>
    <b v="1"/>
    <b v="0"/>
    <b v="0"/>
    <x v="14"/>
    <n v="942063000167"/>
    <x v="26"/>
    <x v="13"/>
    <x v="6"/>
    <n v="70"/>
    <x v="0"/>
    <x v="0"/>
    <n v="1505"/>
    <n v="301"/>
  </r>
  <r>
    <n v="2019"/>
    <n v="8"/>
    <x v="0"/>
    <x v="1"/>
    <x v="0"/>
    <s v="2019/2020"/>
    <b v="1"/>
    <b v="0"/>
    <b v="0"/>
    <x v="13"/>
    <n v="942063000167"/>
    <x v="26"/>
    <x v="13"/>
    <x v="6"/>
    <n v="70"/>
    <x v="0"/>
    <x v="0"/>
    <n v="250"/>
    <n v="50"/>
  </r>
  <r>
    <n v="2019"/>
    <n v="8"/>
    <x v="0"/>
    <x v="1"/>
    <x v="0"/>
    <s v="2019/2020"/>
    <b v="1"/>
    <b v="0"/>
    <b v="0"/>
    <x v="8"/>
    <n v="1011865000116"/>
    <x v="27"/>
    <x v="8"/>
    <x v="7"/>
    <n v="70"/>
    <x v="0"/>
    <x v="0"/>
    <n v="50"/>
    <n v="10"/>
  </r>
  <r>
    <n v="2019"/>
    <n v="8"/>
    <x v="0"/>
    <x v="1"/>
    <x v="0"/>
    <s v="2019/2020"/>
    <b v="1"/>
    <b v="0"/>
    <b v="0"/>
    <x v="8"/>
    <n v="1011865000116"/>
    <x v="27"/>
    <x v="8"/>
    <x v="7"/>
    <n v="70"/>
    <x v="0"/>
    <x v="0"/>
    <n v="300"/>
    <n v="60"/>
  </r>
  <r>
    <n v="2019"/>
    <n v="8"/>
    <x v="0"/>
    <x v="1"/>
    <x v="0"/>
    <s v="2019/2020"/>
    <b v="1"/>
    <b v="0"/>
    <b v="0"/>
    <x v="4"/>
    <n v="1125832000105"/>
    <x v="28"/>
    <x v="14"/>
    <x v="10"/>
    <n v="70"/>
    <x v="0"/>
    <x v="0"/>
    <n v="60"/>
    <n v="12"/>
  </r>
  <r>
    <n v="2019"/>
    <n v="8"/>
    <x v="0"/>
    <x v="1"/>
    <x v="0"/>
    <s v="2019/2020"/>
    <b v="1"/>
    <b v="0"/>
    <b v="0"/>
    <x v="17"/>
    <n v="1326206000179"/>
    <x v="30"/>
    <x v="16"/>
    <x v="7"/>
    <n v="70"/>
    <x v="0"/>
    <x v="0"/>
    <n v="50"/>
    <n v="10"/>
  </r>
  <r>
    <n v="2019"/>
    <n v="8"/>
    <x v="0"/>
    <x v="1"/>
    <x v="0"/>
    <s v="2019/2020"/>
    <b v="1"/>
    <b v="0"/>
    <b v="0"/>
    <x v="8"/>
    <n v="1326206000179"/>
    <x v="30"/>
    <x v="16"/>
    <x v="7"/>
    <n v="73"/>
    <x v="1"/>
    <x v="4"/>
    <n v="16"/>
    <n v="2"/>
  </r>
  <r>
    <n v="2019"/>
    <n v="8"/>
    <x v="0"/>
    <x v="1"/>
    <x v="0"/>
    <s v="2019/2020"/>
    <b v="1"/>
    <b v="0"/>
    <b v="0"/>
    <x v="8"/>
    <n v="1326206000179"/>
    <x v="30"/>
    <x v="16"/>
    <x v="7"/>
    <n v="73"/>
    <x v="1"/>
    <x v="2"/>
    <n v="2"/>
    <n v="2"/>
  </r>
  <r>
    <n v="2019"/>
    <n v="8"/>
    <x v="0"/>
    <x v="1"/>
    <x v="0"/>
    <s v="2019/2020"/>
    <b v="1"/>
    <b v="0"/>
    <b v="0"/>
    <x v="3"/>
    <n v="1396804000114"/>
    <x v="32"/>
    <x v="18"/>
    <x v="13"/>
    <n v="70"/>
    <x v="0"/>
    <x v="0"/>
    <n v="25"/>
    <n v="5"/>
  </r>
  <r>
    <n v="2019"/>
    <n v="8"/>
    <x v="0"/>
    <x v="1"/>
    <x v="0"/>
    <s v="2019/2020"/>
    <b v="1"/>
    <b v="0"/>
    <b v="0"/>
    <x v="9"/>
    <n v="1454407000151"/>
    <x v="33"/>
    <x v="19"/>
    <x v="14"/>
    <n v="70"/>
    <x v="0"/>
    <x v="0"/>
    <n v="275"/>
    <n v="55"/>
  </r>
  <r>
    <n v="2019"/>
    <n v="8"/>
    <x v="0"/>
    <x v="1"/>
    <x v="0"/>
    <s v="2019/2020"/>
    <b v="1"/>
    <b v="0"/>
    <b v="0"/>
    <x v="8"/>
    <n v="1454407000151"/>
    <x v="33"/>
    <x v="19"/>
    <x v="14"/>
    <n v="70"/>
    <x v="0"/>
    <x v="0"/>
    <n v="225"/>
    <n v="45"/>
  </r>
  <r>
    <n v="2019"/>
    <n v="8"/>
    <x v="0"/>
    <x v="1"/>
    <x v="0"/>
    <s v="2019/2020"/>
    <b v="1"/>
    <b v="0"/>
    <b v="0"/>
    <x v="16"/>
    <n v="1517626000132"/>
    <x v="35"/>
    <x v="20"/>
    <x v="10"/>
    <n v="70"/>
    <x v="0"/>
    <x v="7"/>
    <n v="190"/>
    <n v="19"/>
  </r>
  <r>
    <n v="2019"/>
    <n v="8"/>
    <x v="0"/>
    <x v="1"/>
    <x v="0"/>
    <s v="2019/2020"/>
    <b v="1"/>
    <b v="0"/>
    <b v="0"/>
    <x v="4"/>
    <n v="1554266000300"/>
    <x v="36"/>
    <x v="21"/>
    <x v="10"/>
    <n v="70"/>
    <x v="0"/>
    <x v="0"/>
    <n v="35"/>
    <n v="7"/>
  </r>
  <r>
    <n v="2019"/>
    <n v="8"/>
    <x v="0"/>
    <x v="1"/>
    <x v="0"/>
    <s v="2019/2020"/>
    <b v="1"/>
    <b v="0"/>
    <b v="0"/>
    <x v="14"/>
    <n v="1554266000300"/>
    <x v="36"/>
    <x v="21"/>
    <x v="10"/>
    <n v="70"/>
    <x v="0"/>
    <x v="0"/>
    <n v="105"/>
    <n v="21"/>
  </r>
  <r>
    <n v="2019"/>
    <n v="8"/>
    <x v="0"/>
    <x v="1"/>
    <x v="0"/>
    <s v="2019/2020"/>
    <b v="1"/>
    <b v="0"/>
    <b v="0"/>
    <x v="8"/>
    <n v="1602408000104"/>
    <x v="351"/>
    <x v="4"/>
    <x v="4"/>
    <n v="70"/>
    <x v="0"/>
    <x v="0"/>
    <n v="250"/>
    <n v="50"/>
  </r>
  <r>
    <n v="2019"/>
    <n v="8"/>
    <x v="0"/>
    <x v="1"/>
    <x v="0"/>
    <s v="2019/2020"/>
    <b v="1"/>
    <b v="0"/>
    <b v="0"/>
    <x v="4"/>
    <n v="1613433006892"/>
    <x v="37"/>
    <x v="22"/>
    <x v="3"/>
    <n v="70"/>
    <x v="0"/>
    <x v="0"/>
    <n v="200"/>
    <n v="40"/>
  </r>
  <r>
    <n v="2019"/>
    <n v="8"/>
    <x v="0"/>
    <x v="1"/>
    <x v="0"/>
    <s v="2019/2020"/>
    <b v="1"/>
    <b v="0"/>
    <b v="0"/>
    <x v="4"/>
    <n v="1613433006892"/>
    <x v="37"/>
    <x v="22"/>
    <x v="3"/>
    <n v="70"/>
    <x v="0"/>
    <x v="0"/>
    <n v="250"/>
    <n v="50"/>
  </r>
  <r>
    <n v="2019"/>
    <n v="8"/>
    <x v="0"/>
    <x v="1"/>
    <x v="0"/>
    <s v="2019/2020"/>
    <b v="1"/>
    <b v="0"/>
    <b v="0"/>
    <x v="7"/>
    <n v="1682668000129"/>
    <x v="38"/>
    <x v="4"/>
    <x v="4"/>
    <n v="70"/>
    <x v="0"/>
    <x v="0"/>
    <n v="25"/>
    <n v="5"/>
  </r>
  <r>
    <n v="2019"/>
    <n v="8"/>
    <x v="0"/>
    <x v="1"/>
    <x v="0"/>
    <s v="2019/2020"/>
    <b v="1"/>
    <b v="0"/>
    <b v="0"/>
    <x v="8"/>
    <n v="1757351000104"/>
    <x v="39"/>
    <x v="23"/>
    <x v="12"/>
    <n v="64"/>
    <x v="4"/>
    <x v="6"/>
    <n v="4"/>
    <n v="4"/>
  </r>
  <r>
    <n v="2019"/>
    <n v="8"/>
    <x v="0"/>
    <x v="1"/>
    <x v="0"/>
    <s v="2019/2020"/>
    <b v="1"/>
    <b v="0"/>
    <b v="0"/>
    <x v="8"/>
    <n v="1757351000104"/>
    <x v="39"/>
    <x v="23"/>
    <x v="12"/>
    <n v="64"/>
    <x v="4"/>
    <x v="6"/>
    <n v="6"/>
    <n v="6"/>
  </r>
  <r>
    <n v="2019"/>
    <n v="8"/>
    <x v="0"/>
    <x v="1"/>
    <x v="0"/>
    <s v="2019/2020"/>
    <b v="1"/>
    <b v="0"/>
    <b v="0"/>
    <x v="11"/>
    <n v="1880344000103"/>
    <x v="352"/>
    <x v="87"/>
    <x v="10"/>
    <n v="70"/>
    <x v="0"/>
    <x v="0"/>
    <n v="70"/>
    <n v="7"/>
  </r>
  <r>
    <n v="2019"/>
    <n v="8"/>
    <x v="0"/>
    <x v="1"/>
    <x v="0"/>
    <s v="2019/2020"/>
    <b v="1"/>
    <b v="0"/>
    <b v="0"/>
    <x v="9"/>
    <n v="2109397000180"/>
    <x v="353"/>
    <x v="10"/>
    <x v="8"/>
    <n v="64"/>
    <x v="4"/>
    <x v="6"/>
    <n v="30"/>
    <n v="30"/>
  </r>
  <r>
    <n v="2019"/>
    <n v="8"/>
    <x v="0"/>
    <x v="1"/>
    <x v="0"/>
    <s v="2019/2020"/>
    <b v="1"/>
    <b v="0"/>
    <b v="0"/>
    <x v="2"/>
    <n v="2284062000106"/>
    <x v="354"/>
    <x v="24"/>
    <x v="15"/>
    <n v="62"/>
    <x v="3"/>
    <x v="5"/>
    <n v="4"/>
    <n v="2"/>
  </r>
  <r>
    <n v="2019"/>
    <n v="8"/>
    <x v="0"/>
    <x v="1"/>
    <x v="0"/>
    <s v="2019/2020"/>
    <b v="1"/>
    <b v="0"/>
    <b v="0"/>
    <x v="2"/>
    <n v="2284062000106"/>
    <x v="354"/>
    <x v="24"/>
    <x v="15"/>
    <n v="64"/>
    <x v="4"/>
    <x v="6"/>
    <n v="6"/>
    <n v="6"/>
  </r>
  <r>
    <n v="2019"/>
    <n v="8"/>
    <x v="0"/>
    <x v="1"/>
    <x v="0"/>
    <s v="2019/2020"/>
    <b v="1"/>
    <b v="0"/>
    <b v="0"/>
    <x v="2"/>
    <n v="2284062000440"/>
    <x v="40"/>
    <x v="24"/>
    <x v="15"/>
    <n v="64"/>
    <x v="4"/>
    <x v="6"/>
    <n v="8"/>
    <n v="8"/>
  </r>
  <r>
    <n v="2019"/>
    <n v="8"/>
    <x v="0"/>
    <x v="1"/>
    <x v="0"/>
    <s v="2019/2020"/>
    <b v="1"/>
    <b v="0"/>
    <b v="0"/>
    <x v="2"/>
    <n v="2284062000440"/>
    <x v="40"/>
    <x v="24"/>
    <x v="15"/>
    <n v="64"/>
    <x v="4"/>
    <x v="6"/>
    <n v="12"/>
    <n v="12"/>
  </r>
  <r>
    <n v="2019"/>
    <n v="8"/>
    <x v="0"/>
    <x v="1"/>
    <x v="0"/>
    <s v="2019/2020"/>
    <b v="1"/>
    <b v="0"/>
    <b v="0"/>
    <x v="2"/>
    <n v="2284062000440"/>
    <x v="40"/>
    <x v="24"/>
    <x v="15"/>
    <n v="64"/>
    <x v="4"/>
    <x v="6"/>
    <n v="15"/>
    <n v="15"/>
  </r>
  <r>
    <n v="2019"/>
    <n v="8"/>
    <x v="0"/>
    <x v="1"/>
    <x v="0"/>
    <s v="2019/2020"/>
    <b v="1"/>
    <b v="0"/>
    <b v="0"/>
    <x v="2"/>
    <n v="2284062000440"/>
    <x v="40"/>
    <x v="24"/>
    <x v="15"/>
    <n v="64"/>
    <x v="4"/>
    <x v="6"/>
    <n v="20"/>
    <n v="20"/>
  </r>
  <r>
    <n v="2019"/>
    <n v="8"/>
    <x v="0"/>
    <x v="1"/>
    <x v="0"/>
    <s v="2019/2020"/>
    <b v="1"/>
    <b v="0"/>
    <b v="0"/>
    <x v="10"/>
    <n v="2284062000521"/>
    <x v="41"/>
    <x v="0"/>
    <x v="0"/>
    <n v="62"/>
    <x v="3"/>
    <x v="5"/>
    <n v="3"/>
    <n v="3"/>
  </r>
  <r>
    <n v="2019"/>
    <n v="8"/>
    <x v="0"/>
    <x v="1"/>
    <x v="0"/>
    <s v="2019/2020"/>
    <b v="1"/>
    <b v="0"/>
    <b v="0"/>
    <x v="2"/>
    <n v="2284062000521"/>
    <x v="41"/>
    <x v="0"/>
    <x v="0"/>
    <n v="64"/>
    <x v="4"/>
    <x v="6"/>
    <n v="4"/>
    <n v="4"/>
  </r>
  <r>
    <n v="2019"/>
    <n v="8"/>
    <x v="0"/>
    <x v="1"/>
    <x v="0"/>
    <s v="2019/2020"/>
    <b v="1"/>
    <b v="0"/>
    <b v="0"/>
    <x v="2"/>
    <n v="2284062000521"/>
    <x v="41"/>
    <x v="0"/>
    <x v="0"/>
    <n v="64"/>
    <x v="4"/>
    <x v="6"/>
    <n v="5"/>
    <n v="5"/>
  </r>
  <r>
    <n v="2019"/>
    <n v="8"/>
    <x v="0"/>
    <x v="1"/>
    <x v="0"/>
    <s v="2019/2020"/>
    <b v="1"/>
    <b v="0"/>
    <b v="0"/>
    <x v="2"/>
    <n v="2284062000521"/>
    <x v="41"/>
    <x v="0"/>
    <x v="0"/>
    <n v="64"/>
    <x v="4"/>
    <x v="6"/>
    <n v="13"/>
    <n v="13"/>
  </r>
  <r>
    <n v="2019"/>
    <n v="8"/>
    <x v="0"/>
    <x v="1"/>
    <x v="0"/>
    <s v="2019/2020"/>
    <b v="1"/>
    <b v="0"/>
    <b v="0"/>
    <x v="2"/>
    <n v="2284062001170"/>
    <x v="42"/>
    <x v="25"/>
    <x v="16"/>
    <n v="64"/>
    <x v="4"/>
    <x v="6"/>
    <n v="4"/>
    <n v="4"/>
  </r>
  <r>
    <n v="2019"/>
    <n v="8"/>
    <x v="0"/>
    <x v="1"/>
    <x v="0"/>
    <s v="2019/2020"/>
    <b v="1"/>
    <b v="0"/>
    <b v="0"/>
    <x v="8"/>
    <n v="2284062001170"/>
    <x v="42"/>
    <x v="25"/>
    <x v="16"/>
    <n v="70"/>
    <x v="0"/>
    <x v="0"/>
    <n v="150"/>
    <n v="30"/>
  </r>
  <r>
    <n v="2019"/>
    <n v="8"/>
    <x v="0"/>
    <x v="1"/>
    <x v="0"/>
    <s v="2019/2020"/>
    <b v="1"/>
    <b v="0"/>
    <b v="0"/>
    <x v="2"/>
    <n v="2383508000494"/>
    <x v="43"/>
    <x v="3"/>
    <x v="3"/>
    <n v="70"/>
    <x v="0"/>
    <x v="0"/>
    <n v="120"/>
    <n v="24"/>
  </r>
  <r>
    <n v="2019"/>
    <n v="8"/>
    <x v="0"/>
    <x v="1"/>
    <x v="0"/>
    <s v="2019/2020"/>
    <b v="1"/>
    <b v="0"/>
    <b v="0"/>
    <x v="2"/>
    <n v="2383508000494"/>
    <x v="43"/>
    <x v="3"/>
    <x v="3"/>
    <n v="70"/>
    <x v="0"/>
    <x v="0"/>
    <n v="160"/>
    <n v="32"/>
  </r>
  <r>
    <n v="2019"/>
    <n v="8"/>
    <x v="0"/>
    <x v="1"/>
    <x v="0"/>
    <s v="2019/2020"/>
    <b v="1"/>
    <b v="0"/>
    <b v="0"/>
    <x v="7"/>
    <n v="2383508000494"/>
    <x v="43"/>
    <x v="3"/>
    <x v="3"/>
    <n v="73"/>
    <x v="1"/>
    <x v="2"/>
    <n v="1"/>
    <n v="1"/>
  </r>
  <r>
    <n v="2019"/>
    <n v="8"/>
    <x v="0"/>
    <x v="1"/>
    <x v="0"/>
    <s v="2019/2020"/>
    <b v="1"/>
    <b v="0"/>
    <b v="0"/>
    <x v="7"/>
    <n v="2383508000494"/>
    <x v="43"/>
    <x v="3"/>
    <x v="3"/>
    <n v="73"/>
    <x v="1"/>
    <x v="1"/>
    <n v="4"/>
    <n v="2"/>
  </r>
  <r>
    <n v="2019"/>
    <n v="8"/>
    <x v="0"/>
    <x v="1"/>
    <x v="0"/>
    <s v="2019/2020"/>
    <b v="1"/>
    <b v="0"/>
    <b v="0"/>
    <x v="7"/>
    <n v="2383508000494"/>
    <x v="43"/>
    <x v="3"/>
    <x v="3"/>
    <n v="73"/>
    <x v="1"/>
    <x v="4"/>
    <n v="8"/>
    <n v="2"/>
  </r>
  <r>
    <n v="2019"/>
    <n v="8"/>
    <x v="0"/>
    <x v="1"/>
    <x v="0"/>
    <s v="2019/2020"/>
    <b v="1"/>
    <b v="0"/>
    <b v="0"/>
    <x v="7"/>
    <n v="2383508000494"/>
    <x v="43"/>
    <x v="3"/>
    <x v="3"/>
    <n v="73"/>
    <x v="1"/>
    <x v="2"/>
    <n v="2"/>
    <n v="2"/>
  </r>
  <r>
    <n v="2019"/>
    <n v="8"/>
    <x v="0"/>
    <x v="1"/>
    <x v="0"/>
    <s v="2019/2020"/>
    <b v="1"/>
    <b v="0"/>
    <b v="0"/>
    <x v="7"/>
    <n v="2383508000494"/>
    <x v="43"/>
    <x v="3"/>
    <x v="3"/>
    <n v="73"/>
    <x v="1"/>
    <x v="4"/>
    <n v="24"/>
    <n v="6"/>
  </r>
  <r>
    <n v="2019"/>
    <n v="8"/>
    <x v="0"/>
    <x v="1"/>
    <x v="0"/>
    <s v="2019/2020"/>
    <b v="1"/>
    <b v="0"/>
    <b v="0"/>
    <x v="8"/>
    <n v="2476067000203"/>
    <x v="45"/>
    <x v="8"/>
    <x v="7"/>
    <n v="73"/>
    <x v="1"/>
    <x v="4"/>
    <n v="32"/>
    <n v="4"/>
  </r>
  <r>
    <n v="2019"/>
    <n v="8"/>
    <x v="0"/>
    <x v="1"/>
    <x v="0"/>
    <s v="2019/2020"/>
    <b v="1"/>
    <b v="0"/>
    <b v="0"/>
    <x v="6"/>
    <n v="2476067000203"/>
    <x v="45"/>
    <x v="8"/>
    <x v="7"/>
    <n v="73"/>
    <x v="1"/>
    <x v="2"/>
    <n v="8"/>
    <n v="4"/>
  </r>
  <r>
    <n v="2019"/>
    <n v="8"/>
    <x v="0"/>
    <x v="1"/>
    <x v="0"/>
    <s v="2019/2020"/>
    <b v="1"/>
    <b v="0"/>
    <b v="0"/>
    <x v="9"/>
    <n v="2476067000394"/>
    <x v="46"/>
    <x v="8"/>
    <x v="7"/>
    <n v="70"/>
    <x v="0"/>
    <x v="0"/>
    <n v="30"/>
    <n v="6"/>
  </r>
  <r>
    <n v="2019"/>
    <n v="8"/>
    <x v="0"/>
    <x v="1"/>
    <x v="0"/>
    <s v="2019/2020"/>
    <b v="1"/>
    <b v="0"/>
    <b v="0"/>
    <x v="9"/>
    <n v="2476067000394"/>
    <x v="46"/>
    <x v="8"/>
    <x v="7"/>
    <n v="70"/>
    <x v="0"/>
    <x v="0"/>
    <n v="45"/>
    <n v="9"/>
  </r>
  <r>
    <n v="2019"/>
    <n v="8"/>
    <x v="0"/>
    <x v="1"/>
    <x v="0"/>
    <s v="2019/2020"/>
    <b v="1"/>
    <b v="0"/>
    <b v="0"/>
    <x v="8"/>
    <n v="2560878000107"/>
    <x v="47"/>
    <x v="4"/>
    <x v="4"/>
    <n v="70"/>
    <x v="0"/>
    <x v="0"/>
    <n v="10"/>
    <n v="1"/>
  </r>
  <r>
    <n v="2019"/>
    <n v="8"/>
    <x v="0"/>
    <x v="1"/>
    <x v="0"/>
    <s v="2019/2020"/>
    <b v="1"/>
    <b v="0"/>
    <b v="0"/>
    <x v="8"/>
    <n v="2560878000107"/>
    <x v="47"/>
    <x v="4"/>
    <x v="4"/>
    <n v="70"/>
    <x v="0"/>
    <x v="0"/>
    <n v="20"/>
    <n v="2"/>
  </r>
  <r>
    <n v="2019"/>
    <n v="8"/>
    <x v="0"/>
    <x v="1"/>
    <x v="0"/>
    <s v="2019/2020"/>
    <b v="1"/>
    <b v="0"/>
    <b v="0"/>
    <x v="8"/>
    <n v="2560878000107"/>
    <x v="47"/>
    <x v="4"/>
    <x v="4"/>
    <n v="73"/>
    <x v="1"/>
    <x v="2"/>
    <n v="1"/>
    <n v="1"/>
  </r>
  <r>
    <n v="2019"/>
    <n v="8"/>
    <x v="0"/>
    <x v="1"/>
    <x v="0"/>
    <s v="2019/2020"/>
    <b v="1"/>
    <b v="0"/>
    <b v="0"/>
    <x v="17"/>
    <n v="2643405000173"/>
    <x v="49"/>
    <x v="26"/>
    <x v="3"/>
    <n v="73"/>
    <x v="1"/>
    <x v="1"/>
    <n v="12"/>
    <n v="6"/>
  </r>
  <r>
    <n v="2019"/>
    <n v="8"/>
    <x v="0"/>
    <x v="1"/>
    <x v="0"/>
    <s v="2019/2020"/>
    <b v="1"/>
    <b v="0"/>
    <b v="0"/>
    <x v="4"/>
    <n v="2837922000183"/>
    <x v="50"/>
    <x v="3"/>
    <x v="3"/>
    <n v="73"/>
    <x v="1"/>
    <x v="2"/>
    <n v="2"/>
    <n v="2"/>
  </r>
  <r>
    <n v="2019"/>
    <n v="8"/>
    <x v="0"/>
    <x v="1"/>
    <x v="0"/>
    <s v="2019/2020"/>
    <b v="1"/>
    <b v="0"/>
    <b v="0"/>
    <x v="17"/>
    <n v="2837922000183"/>
    <x v="50"/>
    <x v="3"/>
    <x v="3"/>
    <n v="73"/>
    <x v="1"/>
    <x v="2"/>
    <n v="2"/>
    <n v="2"/>
  </r>
  <r>
    <n v="2019"/>
    <n v="8"/>
    <x v="0"/>
    <x v="1"/>
    <x v="0"/>
    <s v="2019/2020"/>
    <b v="1"/>
    <b v="0"/>
    <b v="0"/>
    <x v="17"/>
    <n v="2837922000183"/>
    <x v="50"/>
    <x v="3"/>
    <x v="3"/>
    <n v="73"/>
    <x v="1"/>
    <x v="4"/>
    <n v="48"/>
    <n v="12"/>
  </r>
  <r>
    <n v="2019"/>
    <n v="8"/>
    <x v="0"/>
    <x v="1"/>
    <x v="0"/>
    <s v="2019/2020"/>
    <b v="1"/>
    <b v="0"/>
    <b v="0"/>
    <x v="6"/>
    <n v="2837922000183"/>
    <x v="50"/>
    <x v="3"/>
    <x v="3"/>
    <n v="73"/>
    <x v="1"/>
    <x v="4"/>
    <n v="48"/>
    <n v="12"/>
  </r>
  <r>
    <n v="2019"/>
    <n v="8"/>
    <x v="0"/>
    <x v="1"/>
    <x v="0"/>
    <s v="2019/2020"/>
    <b v="1"/>
    <b v="0"/>
    <b v="0"/>
    <x v="10"/>
    <n v="2864097000106"/>
    <x v="52"/>
    <x v="0"/>
    <x v="0"/>
    <n v="70"/>
    <x v="0"/>
    <x v="0"/>
    <n v="150"/>
    <n v="15"/>
  </r>
  <r>
    <n v="2019"/>
    <n v="8"/>
    <x v="0"/>
    <x v="1"/>
    <x v="0"/>
    <s v="2019/2020"/>
    <b v="1"/>
    <b v="0"/>
    <b v="0"/>
    <x v="18"/>
    <n v="3091003000176"/>
    <x v="355"/>
    <x v="49"/>
    <x v="21"/>
    <n v="70"/>
    <x v="0"/>
    <x v="0"/>
    <n v="175"/>
    <n v="35"/>
  </r>
  <r>
    <n v="2019"/>
    <n v="8"/>
    <x v="0"/>
    <x v="1"/>
    <x v="0"/>
    <s v="2019/2020"/>
    <b v="1"/>
    <b v="0"/>
    <b v="0"/>
    <x v="23"/>
    <n v="3210872000172"/>
    <x v="356"/>
    <x v="95"/>
    <x v="16"/>
    <n v="70"/>
    <x v="0"/>
    <x v="0"/>
    <n v="5"/>
    <n v="1"/>
  </r>
  <r>
    <n v="2019"/>
    <n v="8"/>
    <x v="0"/>
    <x v="1"/>
    <x v="0"/>
    <s v="2019/2020"/>
    <b v="1"/>
    <b v="0"/>
    <b v="0"/>
    <x v="11"/>
    <n v="3376102000102"/>
    <x v="357"/>
    <x v="31"/>
    <x v="17"/>
    <n v="62"/>
    <x v="3"/>
    <x v="5"/>
    <n v="3"/>
    <n v="3"/>
  </r>
  <r>
    <n v="2019"/>
    <n v="8"/>
    <x v="0"/>
    <x v="1"/>
    <x v="0"/>
    <s v="2019/2020"/>
    <b v="1"/>
    <b v="0"/>
    <b v="0"/>
    <x v="4"/>
    <n v="3533726000773"/>
    <x v="53"/>
    <x v="23"/>
    <x v="12"/>
    <n v="70"/>
    <x v="0"/>
    <x v="0"/>
    <n v="90"/>
    <n v="18"/>
  </r>
  <r>
    <n v="2019"/>
    <n v="8"/>
    <x v="0"/>
    <x v="1"/>
    <x v="0"/>
    <s v="2019/2020"/>
    <b v="1"/>
    <b v="0"/>
    <b v="0"/>
    <x v="8"/>
    <n v="3533726001583"/>
    <x v="54"/>
    <x v="27"/>
    <x v="12"/>
    <n v="70"/>
    <x v="0"/>
    <x v="0"/>
    <n v="30"/>
    <n v="6"/>
  </r>
  <r>
    <n v="2019"/>
    <n v="8"/>
    <x v="0"/>
    <x v="1"/>
    <x v="0"/>
    <s v="2019/2020"/>
    <b v="1"/>
    <b v="0"/>
    <b v="0"/>
    <x v="14"/>
    <n v="3824198000116"/>
    <x v="55"/>
    <x v="13"/>
    <x v="6"/>
    <n v="70"/>
    <x v="0"/>
    <x v="0"/>
    <n v="250"/>
    <n v="50"/>
  </r>
  <r>
    <n v="2019"/>
    <n v="8"/>
    <x v="0"/>
    <x v="1"/>
    <x v="0"/>
    <s v="2019/2020"/>
    <b v="1"/>
    <b v="0"/>
    <b v="0"/>
    <x v="7"/>
    <n v="3850913000195"/>
    <x v="56"/>
    <x v="13"/>
    <x v="6"/>
    <n v="70"/>
    <x v="0"/>
    <x v="0"/>
    <n v="10"/>
    <n v="2"/>
  </r>
  <r>
    <n v="2019"/>
    <n v="8"/>
    <x v="0"/>
    <x v="1"/>
    <x v="0"/>
    <s v="2019/2020"/>
    <b v="1"/>
    <b v="0"/>
    <b v="0"/>
    <x v="7"/>
    <n v="3850913000195"/>
    <x v="56"/>
    <x v="13"/>
    <x v="6"/>
    <n v="70"/>
    <x v="0"/>
    <x v="0"/>
    <n v="40"/>
    <n v="8"/>
  </r>
  <r>
    <n v="2019"/>
    <n v="8"/>
    <x v="0"/>
    <x v="1"/>
    <x v="0"/>
    <s v="2019/2020"/>
    <b v="1"/>
    <b v="0"/>
    <b v="0"/>
    <x v="7"/>
    <n v="3850913000195"/>
    <x v="56"/>
    <x v="13"/>
    <x v="6"/>
    <n v="70"/>
    <x v="0"/>
    <x v="0"/>
    <n v="200"/>
    <n v="20"/>
  </r>
  <r>
    <n v="2019"/>
    <n v="8"/>
    <x v="0"/>
    <x v="1"/>
    <x v="0"/>
    <s v="2019/2020"/>
    <b v="1"/>
    <b v="0"/>
    <b v="0"/>
    <x v="7"/>
    <n v="3850913000195"/>
    <x v="56"/>
    <x v="13"/>
    <x v="6"/>
    <n v="70"/>
    <x v="0"/>
    <x v="0"/>
    <n v="120"/>
    <n v="24"/>
  </r>
  <r>
    <n v="2019"/>
    <n v="8"/>
    <x v="0"/>
    <x v="1"/>
    <x v="0"/>
    <s v="2019/2020"/>
    <b v="1"/>
    <b v="0"/>
    <b v="0"/>
    <x v="7"/>
    <n v="3850913000195"/>
    <x v="56"/>
    <x v="13"/>
    <x v="6"/>
    <n v="70"/>
    <x v="0"/>
    <x v="0"/>
    <n v="150"/>
    <n v="30"/>
  </r>
  <r>
    <n v="2019"/>
    <n v="8"/>
    <x v="0"/>
    <x v="1"/>
    <x v="0"/>
    <s v="2019/2020"/>
    <b v="1"/>
    <b v="0"/>
    <b v="0"/>
    <x v="5"/>
    <n v="3866223000124"/>
    <x v="358"/>
    <x v="19"/>
    <x v="14"/>
    <n v="70"/>
    <x v="0"/>
    <x v="0"/>
    <n v="1075"/>
    <n v="215"/>
  </r>
  <r>
    <n v="2019"/>
    <n v="8"/>
    <x v="0"/>
    <x v="1"/>
    <x v="0"/>
    <s v="2019/2020"/>
    <b v="1"/>
    <b v="0"/>
    <b v="0"/>
    <x v="9"/>
    <n v="3866223000124"/>
    <x v="358"/>
    <x v="19"/>
    <x v="14"/>
    <n v="70"/>
    <x v="0"/>
    <x v="0"/>
    <n v="665"/>
    <n v="133"/>
  </r>
  <r>
    <n v="2019"/>
    <n v="8"/>
    <x v="0"/>
    <x v="1"/>
    <x v="0"/>
    <s v="2019/2020"/>
    <b v="1"/>
    <b v="0"/>
    <b v="0"/>
    <x v="17"/>
    <n v="3872790000193"/>
    <x v="58"/>
    <x v="3"/>
    <x v="3"/>
    <n v="73"/>
    <x v="1"/>
    <x v="4"/>
    <n v="8"/>
    <n v="2"/>
  </r>
  <r>
    <n v="2019"/>
    <n v="8"/>
    <x v="0"/>
    <x v="1"/>
    <x v="0"/>
    <s v="2019/2020"/>
    <b v="1"/>
    <b v="0"/>
    <b v="0"/>
    <x v="12"/>
    <n v="3925419000142"/>
    <x v="59"/>
    <x v="23"/>
    <x v="12"/>
    <n v="64"/>
    <x v="4"/>
    <x v="6"/>
    <n v="8"/>
    <n v="4"/>
  </r>
  <r>
    <n v="2019"/>
    <n v="8"/>
    <x v="0"/>
    <x v="1"/>
    <x v="0"/>
    <s v="2019/2020"/>
    <b v="1"/>
    <b v="0"/>
    <b v="0"/>
    <x v="8"/>
    <n v="3989821000190"/>
    <x v="60"/>
    <x v="4"/>
    <x v="4"/>
    <n v="70"/>
    <x v="0"/>
    <x v="0"/>
    <n v="45"/>
    <n v="9"/>
  </r>
  <r>
    <n v="2019"/>
    <n v="8"/>
    <x v="0"/>
    <x v="1"/>
    <x v="0"/>
    <s v="2019/2020"/>
    <b v="1"/>
    <b v="0"/>
    <b v="0"/>
    <x v="8"/>
    <n v="3989821000190"/>
    <x v="60"/>
    <x v="4"/>
    <x v="4"/>
    <n v="70"/>
    <x v="0"/>
    <x v="0"/>
    <n v="70"/>
    <n v="14"/>
  </r>
  <r>
    <n v="2019"/>
    <n v="8"/>
    <x v="0"/>
    <x v="1"/>
    <x v="0"/>
    <s v="2019/2020"/>
    <b v="1"/>
    <b v="0"/>
    <b v="0"/>
    <x v="8"/>
    <n v="3989821000190"/>
    <x v="60"/>
    <x v="4"/>
    <x v="4"/>
    <n v="70"/>
    <x v="0"/>
    <x v="0"/>
    <n v="145"/>
    <n v="29"/>
  </r>
  <r>
    <n v="2019"/>
    <n v="8"/>
    <x v="0"/>
    <x v="1"/>
    <x v="0"/>
    <s v="2019/2020"/>
    <b v="1"/>
    <b v="0"/>
    <b v="0"/>
    <x v="2"/>
    <n v="3989821000190"/>
    <x v="60"/>
    <x v="4"/>
    <x v="4"/>
    <n v="70"/>
    <x v="0"/>
    <x v="0"/>
    <n v="100"/>
    <n v="10"/>
  </r>
  <r>
    <n v="2019"/>
    <n v="8"/>
    <x v="0"/>
    <x v="1"/>
    <x v="0"/>
    <s v="2019/2020"/>
    <b v="1"/>
    <b v="0"/>
    <b v="0"/>
    <x v="6"/>
    <n v="4036348000190"/>
    <x v="61"/>
    <x v="3"/>
    <x v="3"/>
    <n v="70"/>
    <x v="0"/>
    <x v="7"/>
    <n v="60"/>
    <n v="6"/>
  </r>
  <r>
    <n v="2019"/>
    <n v="8"/>
    <x v="0"/>
    <x v="1"/>
    <x v="0"/>
    <s v="2019/2020"/>
    <b v="1"/>
    <b v="0"/>
    <b v="0"/>
    <x v="6"/>
    <n v="4036348000190"/>
    <x v="61"/>
    <x v="3"/>
    <x v="3"/>
    <n v="70"/>
    <x v="0"/>
    <x v="0"/>
    <n v="30"/>
    <n v="6"/>
  </r>
  <r>
    <n v="2019"/>
    <n v="8"/>
    <x v="0"/>
    <x v="1"/>
    <x v="0"/>
    <s v="2019/2020"/>
    <b v="1"/>
    <b v="0"/>
    <b v="0"/>
    <x v="6"/>
    <n v="4036348000190"/>
    <x v="61"/>
    <x v="3"/>
    <x v="3"/>
    <n v="70"/>
    <x v="0"/>
    <x v="7"/>
    <n v="100"/>
    <n v="10"/>
  </r>
  <r>
    <n v="2019"/>
    <n v="8"/>
    <x v="0"/>
    <x v="1"/>
    <x v="0"/>
    <s v="2019/2020"/>
    <b v="1"/>
    <b v="0"/>
    <b v="0"/>
    <x v="7"/>
    <n v="4036348000190"/>
    <x v="61"/>
    <x v="3"/>
    <x v="3"/>
    <n v="70"/>
    <x v="0"/>
    <x v="7"/>
    <n v="130"/>
    <n v="13"/>
  </r>
  <r>
    <n v="2019"/>
    <n v="8"/>
    <x v="0"/>
    <x v="1"/>
    <x v="0"/>
    <s v="2019/2020"/>
    <b v="1"/>
    <b v="0"/>
    <b v="0"/>
    <x v="9"/>
    <n v="4201372001028"/>
    <x v="62"/>
    <x v="1"/>
    <x v="1"/>
    <n v="73"/>
    <x v="1"/>
    <x v="1"/>
    <n v="4"/>
    <n v="2"/>
  </r>
  <r>
    <n v="2019"/>
    <n v="8"/>
    <x v="0"/>
    <x v="1"/>
    <x v="0"/>
    <s v="2019/2020"/>
    <b v="1"/>
    <b v="0"/>
    <b v="0"/>
    <x v="9"/>
    <n v="4201372001028"/>
    <x v="62"/>
    <x v="1"/>
    <x v="1"/>
    <n v="73"/>
    <x v="1"/>
    <x v="1"/>
    <n v="8"/>
    <n v="4"/>
  </r>
  <r>
    <n v="2019"/>
    <n v="8"/>
    <x v="0"/>
    <x v="1"/>
    <x v="0"/>
    <s v="2019/2020"/>
    <b v="1"/>
    <b v="0"/>
    <b v="0"/>
    <x v="9"/>
    <n v="4201372001028"/>
    <x v="62"/>
    <x v="1"/>
    <x v="1"/>
    <n v="73"/>
    <x v="1"/>
    <x v="4"/>
    <n v="40"/>
    <n v="5"/>
  </r>
  <r>
    <n v="2019"/>
    <n v="8"/>
    <x v="0"/>
    <x v="1"/>
    <x v="0"/>
    <s v="2019/2020"/>
    <b v="1"/>
    <b v="0"/>
    <b v="0"/>
    <x v="6"/>
    <n v="4275687000129"/>
    <x v="63"/>
    <x v="29"/>
    <x v="3"/>
    <n v="73"/>
    <x v="1"/>
    <x v="4"/>
    <n v="12"/>
    <n v="3"/>
  </r>
  <r>
    <n v="2019"/>
    <n v="8"/>
    <x v="0"/>
    <x v="1"/>
    <x v="0"/>
    <s v="2019/2020"/>
    <b v="1"/>
    <b v="0"/>
    <b v="0"/>
    <x v="6"/>
    <n v="4275687000129"/>
    <x v="63"/>
    <x v="29"/>
    <x v="3"/>
    <n v="73"/>
    <x v="1"/>
    <x v="2"/>
    <n v="3"/>
    <n v="3"/>
  </r>
  <r>
    <n v="2019"/>
    <n v="8"/>
    <x v="0"/>
    <x v="1"/>
    <x v="0"/>
    <s v="2019/2020"/>
    <b v="1"/>
    <b v="0"/>
    <b v="0"/>
    <x v="9"/>
    <n v="4602792000125"/>
    <x v="64"/>
    <x v="30"/>
    <x v="17"/>
    <n v="64"/>
    <x v="4"/>
    <x v="6"/>
    <n v="3"/>
    <n v="3"/>
  </r>
  <r>
    <n v="2019"/>
    <n v="8"/>
    <x v="0"/>
    <x v="1"/>
    <x v="0"/>
    <s v="2019/2020"/>
    <b v="1"/>
    <b v="0"/>
    <b v="0"/>
    <x v="14"/>
    <n v="4670913000176"/>
    <x v="65"/>
    <x v="14"/>
    <x v="10"/>
    <n v="70"/>
    <x v="0"/>
    <x v="0"/>
    <n v="245"/>
    <n v="49"/>
  </r>
  <r>
    <n v="2019"/>
    <n v="8"/>
    <x v="0"/>
    <x v="1"/>
    <x v="0"/>
    <s v="2019/2020"/>
    <b v="1"/>
    <b v="0"/>
    <b v="0"/>
    <x v="4"/>
    <n v="4762301000103"/>
    <x v="359"/>
    <x v="88"/>
    <x v="6"/>
    <n v="70"/>
    <x v="0"/>
    <x v="0"/>
    <n v="80"/>
    <n v="16"/>
  </r>
  <r>
    <n v="2019"/>
    <n v="8"/>
    <x v="0"/>
    <x v="1"/>
    <x v="0"/>
    <s v="2019/2020"/>
    <b v="1"/>
    <b v="0"/>
    <b v="0"/>
    <x v="15"/>
    <n v="4762301000103"/>
    <x v="359"/>
    <x v="88"/>
    <x v="6"/>
    <n v="70"/>
    <x v="0"/>
    <x v="0"/>
    <n v="100"/>
    <n v="20"/>
  </r>
  <r>
    <n v="2019"/>
    <n v="8"/>
    <x v="0"/>
    <x v="1"/>
    <x v="0"/>
    <s v="2019/2020"/>
    <b v="1"/>
    <b v="0"/>
    <b v="0"/>
    <x v="10"/>
    <n v="4786490000154"/>
    <x v="360"/>
    <x v="18"/>
    <x v="13"/>
    <n v="73"/>
    <x v="1"/>
    <x v="1"/>
    <n v="2"/>
    <n v="1"/>
  </r>
  <r>
    <n v="2019"/>
    <n v="8"/>
    <x v="0"/>
    <x v="1"/>
    <x v="0"/>
    <s v="2019/2020"/>
    <b v="1"/>
    <b v="0"/>
    <b v="0"/>
    <x v="10"/>
    <n v="4786490000154"/>
    <x v="360"/>
    <x v="18"/>
    <x v="13"/>
    <n v="73"/>
    <x v="1"/>
    <x v="4"/>
    <n v="12"/>
    <n v="3"/>
  </r>
  <r>
    <n v="2019"/>
    <n v="8"/>
    <x v="0"/>
    <x v="1"/>
    <x v="0"/>
    <s v="2019/2020"/>
    <b v="1"/>
    <b v="0"/>
    <b v="0"/>
    <x v="9"/>
    <n v="5054929000117"/>
    <x v="361"/>
    <x v="1"/>
    <x v="1"/>
    <n v="73"/>
    <x v="1"/>
    <x v="4"/>
    <n v="48"/>
    <n v="12"/>
  </r>
  <r>
    <n v="2019"/>
    <n v="8"/>
    <x v="0"/>
    <x v="1"/>
    <x v="0"/>
    <s v="2019/2020"/>
    <b v="1"/>
    <b v="0"/>
    <b v="0"/>
    <x v="11"/>
    <n v="5469172000122"/>
    <x v="67"/>
    <x v="31"/>
    <x v="17"/>
    <n v="62"/>
    <x v="3"/>
    <x v="5"/>
    <n v="3"/>
    <n v="3"/>
  </r>
  <r>
    <n v="2019"/>
    <n v="8"/>
    <x v="0"/>
    <x v="1"/>
    <x v="0"/>
    <s v="2019/2020"/>
    <b v="1"/>
    <b v="0"/>
    <b v="0"/>
    <x v="11"/>
    <n v="5469172000122"/>
    <x v="67"/>
    <x v="31"/>
    <x v="17"/>
    <n v="62"/>
    <x v="3"/>
    <x v="5"/>
    <n v="4"/>
    <n v="4"/>
  </r>
  <r>
    <n v="2019"/>
    <n v="8"/>
    <x v="0"/>
    <x v="1"/>
    <x v="0"/>
    <s v="2019/2020"/>
    <b v="1"/>
    <b v="0"/>
    <b v="0"/>
    <x v="12"/>
    <n v="5469172000122"/>
    <x v="67"/>
    <x v="31"/>
    <x v="17"/>
    <n v="64"/>
    <x v="4"/>
    <x v="6"/>
    <n v="2"/>
    <n v="2"/>
  </r>
  <r>
    <n v="2019"/>
    <n v="8"/>
    <x v="0"/>
    <x v="1"/>
    <x v="0"/>
    <s v="2019/2020"/>
    <b v="1"/>
    <b v="0"/>
    <b v="0"/>
    <x v="12"/>
    <n v="5469172000122"/>
    <x v="67"/>
    <x v="31"/>
    <x v="17"/>
    <n v="64"/>
    <x v="4"/>
    <x v="6"/>
    <n v="9"/>
    <n v="9"/>
  </r>
  <r>
    <n v="2019"/>
    <n v="8"/>
    <x v="0"/>
    <x v="1"/>
    <x v="0"/>
    <s v="2019/2020"/>
    <b v="1"/>
    <b v="0"/>
    <b v="0"/>
    <x v="9"/>
    <n v="5652543000107"/>
    <x v="362"/>
    <x v="96"/>
    <x v="17"/>
    <n v="64"/>
    <x v="4"/>
    <x v="6"/>
    <n v="2"/>
    <n v="2"/>
  </r>
  <r>
    <n v="2019"/>
    <n v="8"/>
    <x v="0"/>
    <x v="1"/>
    <x v="0"/>
    <s v="2019/2020"/>
    <b v="1"/>
    <b v="0"/>
    <b v="0"/>
    <x v="11"/>
    <n v="5816630000152"/>
    <x v="68"/>
    <x v="31"/>
    <x v="17"/>
    <n v="62"/>
    <x v="3"/>
    <x v="5"/>
    <n v="5"/>
    <n v="5"/>
  </r>
  <r>
    <n v="2019"/>
    <n v="8"/>
    <x v="0"/>
    <x v="1"/>
    <x v="0"/>
    <s v="2019/2020"/>
    <b v="1"/>
    <b v="0"/>
    <b v="0"/>
    <x v="24"/>
    <n v="5816630000152"/>
    <x v="68"/>
    <x v="31"/>
    <x v="17"/>
    <n v="64"/>
    <x v="4"/>
    <x v="6"/>
    <n v="5"/>
    <n v="5"/>
  </r>
  <r>
    <n v="2019"/>
    <n v="8"/>
    <x v="0"/>
    <x v="1"/>
    <x v="0"/>
    <s v="2019/2020"/>
    <b v="1"/>
    <b v="0"/>
    <b v="0"/>
    <x v="24"/>
    <n v="5816630000152"/>
    <x v="68"/>
    <x v="31"/>
    <x v="17"/>
    <n v="64"/>
    <x v="4"/>
    <x v="6"/>
    <n v="10"/>
    <n v="10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8"/>
    <n v="75"/>
    <n v="30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0"/>
    <n v="150"/>
    <n v="30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8"/>
    <n v="120"/>
    <n v="48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8"/>
    <n v="150"/>
    <n v="60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0"/>
    <n v="600"/>
    <n v="120"/>
  </r>
  <r>
    <n v="2019"/>
    <n v="8"/>
    <x v="0"/>
    <x v="1"/>
    <x v="0"/>
    <s v="2019/2020"/>
    <b v="1"/>
    <b v="0"/>
    <b v="0"/>
    <x v="5"/>
    <n v="5816630000152"/>
    <x v="68"/>
    <x v="31"/>
    <x v="17"/>
    <n v="70"/>
    <x v="0"/>
    <x v="0"/>
    <n v="1865"/>
    <n v="373"/>
  </r>
  <r>
    <n v="2019"/>
    <n v="8"/>
    <x v="0"/>
    <x v="1"/>
    <x v="0"/>
    <s v="2019/2020"/>
    <b v="1"/>
    <b v="0"/>
    <b v="0"/>
    <x v="17"/>
    <n v="5831510000124"/>
    <x v="69"/>
    <x v="3"/>
    <x v="3"/>
    <n v="70"/>
    <x v="0"/>
    <x v="0"/>
    <n v="140"/>
    <n v="28"/>
  </r>
  <r>
    <n v="2019"/>
    <n v="8"/>
    <x v="0"/>
    <x v="1"/>
    <x v="0"/>
    <s v="2019/2020"/>
    <b v="1"/>
    <b v="0"/>
    <b v="0"/>
    <x v="17"/>
    <n v="5867015000175"/>
    <x v="70"/>
    <x v="32"/>
    <x v="18"/>
    <n v="73"/>
    <x v="1"/>
    <x v="2"/>
    <n v="8"/>
    <n v="8"/>
  </r>
  <r>
    <n v="2019"/>
    <n v="8"/>
    <x v="0"/>
    <x v="1"/>
    <x v="0"/>
    <s v="2019/2020"/>
    <b v="1"/>
    <b v="0"/>
    <b v="0"/>
    <x v="11"/>
    <n v="5867015000175"/>
    <x v="70"/>
    <x v="32"/>
    <x v="18"/>
    <n v="73"/>
    <x v="1"/>
    <x v="2"/>
    <n v="4"/>
    <n v="4"/>
  </r>
  <r>
    <n v="2019"/>
    <n v="8"/>
    <x v="0"/>
    <x v="1"/>
    <x v="0"/>
    <s v="2019/2020"/>
    <b v="1"/>
    <b v="0"/>
    <b v="0"/>
    <x v="9"/>
    <n v="5868278000280"/>
    <x v="71"/>
    <x v="32"/>
    <x v="18"/>
    <n v="62"/>
    <x v="3"/>
    <x v="5"/>
    <n v="10"/>
    <n v="10"/>
  </r>
  <r>
    <n v="2019"/>
    <n v="8"/>
    <x v="0"/>
    <x v="1"/>
    <x v="0"/>
    <s v="2019/2020"/>
    <b v="1"/>
    <b v="0"/>
    <b v="0"/>
    <x v="9"/>
    <n v="5868278000280"/>
    <x v="71"/>
    <x v="32"/>
    <x v="18"/>
    <n v="70"/>
    <x v="0"/>
    <x v="0"/>
    <n v="60"/>
    <n v="6"/>
  </r>
  <r>
    <n v="2019"/>
    <n v="8"/>
    <x v="0"/>
    <x v="1"/>
    <x v="0"/>
    <s v="2019/2020"/>
    <b v="1"/>
    <b v="0"/>
    <b v="0"/>
    <x v="9"/>
    <n v="5868278000280"/>
    <x v="71"/>
    <x v="32"/>
    <x v="18"/>
    <n v="70"/>
    <x v="0"/>
    <x v="0"/>
    <n v="70"/>
    <n v="7"/>
  </r>
  <r>
    <n v="2019"/>
    <n v="8"/>
    <x v="0"/>
    <x v="1"/>
    <x v="0"/>
    <s v="2019/2020"/>
    <b v="1"/>
    <b v="0"/>
    <b v="0"/>
    <x v="9"/>
    <n v="5868278000280"/>
    <x v="71"/>
    <x v="32"/>
    <x v="18"/>
    <n v="70"/>
    <x v="0"/>
    <x v="0"/>
    <n v="90"/>
    <n v="9"/>
  </r>
  <r>
    <n v="2019"/>
    <n v="8"/>
    <x v="0"/>
    <x v="1"/>
    <x v="0"/>
    <s v="2019/2020"/>
    <b v="1"/>
    <b v="0"/>
    <b v="0"/>
    <x v="1"/>
    <n v="5868278000280"/>
    <x v="71"/>
    <x v="32"/>
    <x v="18"/>
    <n v="73"/>
    <x v="1"/>
    <x v="4"/>
    <n v="4"/>
    <n v="1"/>
  </r>
  <r>
    <n v="2019"/>
    <n v="8"/>
    <x v="0"/>
    <x v="1"/>
    <x v="0"/>
    <s v="2019/2020"/>
    <b v="1"/>
    <b v="0"/>
    <b v="0"/>
    <x v="1"/>
    <n v="5868278000280"/>
    <x v="71"/>
    <x v="32"/>
    <x v="18"/>
    <n v="73"/>
    <x v="1"/>
    <x v="4"/>
    <n v="12"/>
    <n v="3"/>
  </r>
  <r>
    <n v="2019"/>
    <n v="8"/>
    <x v="0"/>
    <x v="1"/>
    <x v="0"/>
    <s v="2019/2020"/>
    <b v="1"/>
    <b v="0"/>
    <b v="0"/>
    <x v="4"/>
    <n v="5868278000280"/>
    <x v="71"/>
    <x v="32"/>
    <x v="18"/>
    <n v="73"/>
    <x v="1"/>
    <x v="4"/>
    <n v="12"/>
    <n v="3"/>
  </r>
  <r>
    <n v="2019"/>
    <n v="8"/>
    <x v="0"/>
    <x v="1"/>
    <x v="0"/>
    <s v="2019/2020"/>
    <b v="1"/>
    <b v="0"/>
    <b v="0"/>
    <x v="4"/>
    <n v="5868278000280"/>
    <x v="71"/>
    <x v="32"/>
    <x v="18"/>
    <n v="73"/>
    <x v="1"/>
    <x v="4"/>
    <n v="16"/>
    <n v="4"/>
  </r>
  <r>
    <n v="2019"/>
    <n v="8"/>
    <x v="0"/>
    <x v="1"/>
    <x v="0"/>
    <s v="2019/2020"/>
    <b v="1"/>
    <b v="0"/>
    <b v="0"/>
    <x v="11"/>
    <n v="5868278000280"/>
    <x v="71"/>
    <x v="32"/>
    <x v="18"/>
    <n v="73"/>
    <x v="1"/>
    <x v="1"/>
    <n v="2"/>
    <n v="1"/>
  </r>
  <r>
    <n v="2019"/>
    <n v="8"/>
    <x v="0"/>
    <x v="1"/>
    <x v="0"/>
    <s v="2019/2020"/>
    <b v="1"/>
    <b v="0"/>
    <b v="0"/>
    <x v="9"/>
    <n v="5874946000281"/>
    <x v="363"/>
    <x v="32"/>
    <x v="18"/>
    <n v="62"/>
    <x v="3"/>
    <x v="5"/>
    <n v="2"/>
    <n v="2"/>
  </r>
  <r>
    <n v="2019"/>
    <n v="8"/>
    <x v="0"/>
    <x v="1"/>
    <x v="0"/>
    <s v="2019/2020"/>
    <b v="1"/>
    <b v="0"/>
    <b v="0"/>
    <x v="9"/>
    <n v="5874946000281"/>
    <x v="363"/>
    <x v="32"/>
    <x v="18"/>
    <n v="62"/>
    <x v="3"/>
    <x v="5"/>
    <n v="3"/>
    <n v="3"/>
  </r>
  <r>
    <n v="2019"/>
    <n v="8"/>
    <x v="0"/>
    <x v="1"/>
    <x v="0"/>
    <s v="2019/2020"/>
    <b v="1"/>
    <b v="0"/>
    <b v="0"/>
    <x v="9"/>
    <n v="5874946000281"/>
    <x v="363"/>
    <x v="32"/>
    <x v="18"/>
    <n v="64"/>
    <x v="4"/>
    <x v="6"/>
    <n v="5"/>
    <n v="5"/>
  </r>
  <r>
    <n v="2019"/>
    <n v="8"/>
    <x v="0"/>
    <x v="1"/>
    <x v="0"/>
    <s v="2019/2020"/>
    <b v="1"/>
    <b v="0"/>
    <b v="0"/>
    <x v="9"/>
    <n v="5874946000281"/>
    <x v="363"/>
    <x v="32"/>
    <x v="18"/>
    <n v="64"/>
    <x v="4"/>
    <x v="6"/>
    <n v="6"/>
    <n v="6"/>
  </r>
  <r>
    <n v="2019"/>
    <n v="8"/>
    <x v="0"/>
    <x v="1"/>
    <x v="0"/>
    <s v="2019/2020"/>
    <b v="1"/>
    <b v="0"/>
    <b v="0"/>
    <x v="4"/>
    <n v="6033403000113"/>
    <x v="73"/>
    <x v="33"/>
    <x v="3"/>
    <n v="64"/>
    <x v="4"/>
    <x v="6"/>
    <n v="2"/>
    <n v="2"/>
  </r>
  <r>
    <n v="2019"/>
    <n v="8"/>
    <x v="0"/>
    <x v="1"/>
    <x v="0"/>
    <s v="2019/2020"/>
    <b v="1"/>
    <b v="0"/>
    <b v="0"/>
    <x v="17"/>
    <n v="6047087000210"/>
    <x v="75"/>
    <x v="3"/>
    <x v="3"/>
    <n v="62"/>
    <x v="3"/>
    <x v="5"/>
    <n v="9"/>
    <n v="9"/>
  </r>
  <r>
    <n v="2019"/>
    <n v="8"/>
    <x v="0"/>
    <x v="1"/>
    <x v="0"/>
    <s v="2019/2020"/>
    <b v="1"/>
    <b v="0"/>
    <b v="0"/>
    <x v="10"/>
    <n v="6047087000210"/>
    <x v="75"/>
    <x v="3"/>
    <x v="3"/>
    <n v="62"/>
    <x v="3"/>
    <x v="5"/>
    <n v="10"/>
    <n v="10"/>
  </r>
  <r>
    <n v="2019"/>
    <n v="8"/>
    <x v="0"/>
    <x v="1"/>
    <x v="0"/>
    <s v="2019/2020"/>
    <b v="1"/>
    <b v="0"/>
    <b v="0"/>
    <x v="2"/>
    <n v="6047087000210"/>
    <x v="75"/>
    <x v="3"/>
    <x v="3"/>
    <n v="62"/>
    <x v="3"/>
    <x v="5"/>
    <n v="4"/>
    <n v="4"/>
  </r>
  <r>
    <n v="2019"/>
    <n v="8"/>
    <x v="0"/>
    <x v="1"/>
    <x v="0"/>
    <s v="2019/2020"/>
    <b v="1"/>
    <b v="0"/>
    <b v="0"/>
    <x v="2"/>
    <n v="6047087000210"/>
    <x v="75"/>
    <x v="3"/>
    <x v="3"/>
    <n v="62"/>
    <x v="3"/>
    <x v="5"/>
    <n v="10"/>
    <n v="5"/>
  </r>
  <r>
    <n v="2019"/>
    <n v="8"/>
    <x v="0"/>
    <x v="1"/>
    <x v="0"/>
    <s v="2019/2020"/>
    <b v="1"/>
    <b v="0"/>
    <b v="0"/>
    <x v="2"/>
    <n v="6047087000210"/>
    <x v="75"/>
    <x v="3"/>
    <x v="3"/>
    <n v="64"/>
    <x v="4"/>
    <x v="6"/>
    <n v="7"/>
    <n v="7"/>
  </r>
  <r>
    <n v="2019"/>
    <n v="8"/>
    <x v="0"/>
    <x v="1"/>
    <x v="0"/>
    <s v="2019/2020"/>
    <b v="1"/>
    <b v="0"/>
    <b v="0"/>
    <x v="2"/>
    <n v="6047087000210"/>
    <x v="75"/>
    <x v="3"/>
    <x v="3"/>
    <n v="64"/>
    <x v="4"/>
    <x v="6"/>
    <n v="15"/>
    <n v="15"/>
  </r>
  <r>
    <n v="2019"/>
    <n v="8"/>
    <x v="0"/>
    <x v="1"/>
    <x v="0"/>
    <s v="2019/2020"/>
    <b v="1"/>
    <b v="0"/>
    <b v="0"/>
    <x v="2"/>
    <n v="6047087000210"/>
    <x v="75"/>
    <x v="3"/>
    <x v="3"/>
    <n v="64"/>
    <x v="4"/>
    <x v="6"/>
    <n v="19"/>
    <n v="19"/>
  </r>
  <r>
    <n v="2019"/>
    <n v="8"/>
    <x v="0"/>
    <x v="1"/>
    <x v="0"/>
    <s v="2019/2020"/>
    <b v="1"/>
    <b v="0"/>
    <b v="0"/>
    <x v="2"/>
    <n v="6047087000996"/>
    <x v="76"/>
    <x v="0"/>
    <x v="0"/>
    <n v="62"/>
    <x v="3"/>
    <x v="5"/>
    <n v="10"/>
    <n v="10"/>
  </r>
  <r>
    <n v="2019"/>
    <n v="8"/>
    <x v="0"/>
    <x v="1"/>
    <x v="0"/>
    <s v="2019/2020"/>
    <b v="1"/>
    <b v="0"/>
    <b v="0"/>
    <x v="2"/>
    <n v="6047087000996"/>
    <x v="76"/>
    <x v="0"/>
    <x v="0"/>
    <n v="64"/>
    <x v="4"/>
    <x v="6"/>
    <n v="15"/>
    <n v="15"/>
  </r>
  <r>
    <n v="2019"/>
    <n v="8"/>
    <x v="0"/>
    <x v="1"/>
    <x v="0"/>
    <s v="2019/2020"/>
    <b v="1"/>
    <b v="0"/>
    <b v="0"/>
    <x v="17"/>
    <n v="6047087001020"/>
    <x v="77"/>
    <x v="0"/>
    <x v="0"/>
    <n v="62"/>
    <x v="3"/>
    <x v="5"/>
    <n v="20"/>
    <n v="20"/>
  </r>
  <r>
    <n v="2019"/>
    <n v="8"/>
    <x v="0"/>
    <x v="1"/>
    <x v="0"/>
    <s v="2019/2020"/>
    <b v="1"/>
    <b v="0"/>
    <b v="0"/>
    <x v="17"/>
    <n v="6047087001020"/>
    <x v="77"/>
    <x v="0"/>
    <x v="0"/>
    <n v="62"/>
    <x v="3"/>
    <x v="5"/>
    <n v="35"/>
    <n v="35"/>
  </r>
  <r>
    <n v="2019"/>
    <n v="8"/>
    <x v="0"/>
    <x v="1"/>
    <x v="0"/>
    <s v="2019/2020"/>
    <b v="1"/>
    <b v="0"/>
    <b v="0"/>
    <x v="2"/>
    <n v="6047087001020"/>
    <x v="77"/>
    <x v="0"/>
    <x v="0"/>
    <n v="62"/>
    <x v="3"/>
    <x v="5"/>
    <n v="10"/>
    <n v="10"/>
  </r>
  <r>
    <n v="2019"/>
    <n v="8"/>
    <x v="0"/>
    <x v="1"/>
    <x v="0"/>
    <s v="2019/2020"/>
    <b v="1"/>
    <b v="0"/>
    <b v="0"/>
    <x v="2"/>
    <n v="6047087001020"/>
    <x v="77"/>
    <x v="0"/>
    <x v="0"/>
    <n v="62"/>
    <x v="3"/>
    <x v="5"/>
    <n v="30"/>
    <n v="15"/>
  </r>
  <r>
    <n v="2019"/>
    <n v="8"/>
    <x v="0"/>
    <x v="1"/>
    <x v="0"/>
    <s v="2019/2020"/>
    <b v="1"/>
    <b v="0"/>
    <b v="0"/>
    <x v="2"/>
    <n v="6047087001020"/>
    <x v="77"/>
    <x v="0"/>
    <x v="0"/>
    <n v="62"/>
    <x v="3"/>
    <x v="5"/>
    <n v="25"/>
    <n v="25"/>
  </r>
  <r>
    <n v="2019"/>
    <n v="8"/>
    <x v="0"/>
    <x v="1"/>
    <x v="0"/>
    <s v="2019/2020"/>
    <b v="1"/>
    <b v="0"/>
    <b v="0"/>
    <x v="2"/>
    <n v="6047087001020"/>
    <x v="77"/>
    <x v="0"/>
    <x v="0"/>
    <n v="64"/>
    <x v="4"/>
    <x v="6"/>
    <n v="10"/>
    <n v="10"/>
  </r>
  <r>
    <n v="2019"/>
    <n v="8"/>
    <x v="0"/>
    <x v="1"/>
    <x v="0"/>
    <s v="2019/2020"/>
    <b v="1"/>
    <b v="0"/>
    <b v="0"/>
    <x v="2"/>
    <n v="6047087001020"/>
    <x v="77"/>
    <x v="0"/>
    <x v="0"/>
    <n v="64"/>
    <x v="4"/>
    <x v="6"/>
    <n v="15"/>
    <n v="15"/>
  </r>
  <r>
    <n v="2019"/>
    <n v="8"/>
    <x v="0"/>
    <x v="1"/>
    <x v="0"/>
    <s v="2019/2020"/>
    <b v="1"/>
    <b v="0"/>
    <b v="0"/>
    <x v="2"/>
    <n v="6047087001020"/>
    <x v="77"/>
    <x v="0"/>
    <x v="0"/>
    <n v="64"/>
    <x v="4"/>
    <x v="6"/>
    <n v="30"/>
    <n v="30"/>
  </r>
  <r>
    <n v="2019"/>
    <n v="8"/>
    <x v="0"/>
    <x v="1"/>
    <x v="0"/>
    <s v="2019/2020"/>
    <b v="1"/>
    <b v="0"/>
    <b v="0"/>
    <x v="2"/>
    <n v="6047087001372"/>
    <x v="78"/>
    <x v="34"/>
    <x v="0"/>
    <n v="62"/>
    <x v="3"/>
    <x v="5"/>
    <n v="4"/>
    <n v="4"/>
  </r>
  <r>
    <n v="2019"/>
    <n v="8"/>
    <x v="0"/>
    <x v="1"/>
    <x v="0"/>
    <s v="2019/2020"/>
    <b v="1"/>
    <b v="0"/>
    <b v="0"/>
    <x v="2"/>
    <n v="6047087001372"/>
    <x v="78"/>
    <x v="34"/>
    <x v="0"/>
    <n v="64"/>
    <x v="4"/>
    <x v="6"/>
    <n v="3"/>
    <n v="3"/>
  </r>
  <r>
    <n v="2019"/>
    <n v="8"/>
    <x v="0"/>
    <x v="1"/>
    <x v="0"/>
    <s v="2019/2020"/>
    <b v="1"/>
    <b v="0"/>
    <b v="0"/>
    <x v="2"/>
    <n v="6047087002697"/>
    <x v="79"/>
    <x v="0"/>
    <x v="0"/>
    <n v="62"/>
    <x v="3"/>
    <x v="5"/>
    <n v="9"/>
    <n v="9"/>
  </r>
  <r>
    <n v="2019"/>
    <n v="8"/>
    <x v="0"/>
    <x v="1"/>
    <x v="0"/>
    <s v="2019/2020"/>
    <b v="1"/>
    <b v="0"/>
    <b v="0"/>
    <x v="7"/>
    <n v="6047087002697"/>
    <x v="79"/>
    <x v="0"/>
    <x v="0"/>
    <n v="70"/>
    <x v="0"/>
    <x v="0"/>
    <n v="75"/>
    <n v="15"/>
  </r>
  <r>
    <n v="2019"/>
    <n v="8"/>
    <x v="0"/>
    <x v="1"/>
    <x v="0"/>
    <s v="2019/2020"/>
    <b v="1"/>
    <b v="0"/>
    <b v="0"/>
    <x v="10"/>
    <n v="6047087003073"/>
    <x v="80"/>
    <x v="35"/>
    <x v="3"/>
    <n v="66"/>
    <x v="2"/>
    <x v="3"/>
    <n v="1"/>
    <n v="1"/>
  </r>
  <r>
    <n v="2019"/>
    <n v="8"/>
    <x v="0"/>
    <x v="1"/>
    <x v="0"/>
    <s v="2019/2020"/>
    <b v="1"/>
    <b v="0"/>
    <b v="0"/>
    <x v="7"/>
    <n v="6047087003073"/>
    <x v="80"/>
    <x v="35"/>
    <x v="3"/>
    <n v="73"/>
    <x v="1"/>
    <x v="4"/>
    <n v="48"/>
    <n v="6"/>
  </r>
  <r>
    <n v="2019"/>
    <n v="8"/>
    <x v="0"/>
    <x v="1"/>
    <x v="0"/>
    <s v="2019/2020"/>
    <b v="1"/>
    <b v="0"/>
    <b v="0"/>
    <x v="10"/>
    <n v="6047087003820"/>
    <x v="82"/>
    <x v="3"/>
    <x v="3"/>
    <n v="62"/>
    <x v="3"/>
    <x v="5"/>
    <n v="4"/>
    <n v="4"/>
  </r>
  <r>
    <n v="2019"/>
    <n v="8"/>
    <x v="0"/>
    <x v="1"/>
    <x v="0"/>
    <s v="2019/2020"/>
    <b v="1"/>
    <b v="0"/>
    <b v="0"/>
    <x v="10"/>
    <n v="6047087003820"/>
    <x v="82"/>
    <x v="3"/>
    <x v="3"/>
    <n v="62"/>
    <x v="3"/>
    <x v="5"/>
    <n v="7"/>
    <n v="7"/>
  </r>
  <r>
    <n v="2019"/>
    <n v="8"/>
    <x v="0"/>
    <x v="1"/>
    <x v="0"/>
    <s v="2019/2020"/>
    <b v="1"/>
    <b v="0"/>
    <b v="0"/>
    <x v="2"/>
    <n v="6047087003820"/>
    <x v="82"/>
    <x v="3"/>
    <x v="3"/>
    <n v="64"/>
    <x v="4"/>
    <x v="6"/>
    <n v="2"/>
    <n v="2"/>
  </r>
  <r>
    <n v="2019"/>
    <n v="8"/>
    <x v="0"/>
    <x v="1"/>
    <x v="0"/>
    <s v="2019/2020"/>
    <b v="1"/>
    <b v="0"/>
    <b v="0"/>
    <x v="2"/>
    <n v="6047087004126"/>
    <x v="83"/>
    <x v="4"/>
    <x v="4"/>
    <n v="64"/>
    <x v="4"/>
    <x v="6"/>
    <n v="1"/>
    <n v="1"/>
  </r>
  <r>
    <n v="2019"/>
    <n v="8"/>
    <x v="0"/>
    <x v="1"/>
    <x v="0"/>
    <s v="2019/2020"/>
    <b v="1"/>
    <b v="0"/>
    <b v="0"/>
    <x v="2"/>
    <n v="6047087004126"/>
    <x v="83"/>
    <x v="4"/>
    <x v="4"/>
    <n v="64"/>
    <x v="4"/>
    <x v="6"/>
    <n v="6"/>
    <n v="6"/>
  </r>
  <r>
    <n v="2019"/>
    <n v="8"/>
    <x v="0"/>
    <x v="1"/>
    <x v="0"/>
    <s v="2019/2020"/>
    <b v="1"/>
    <b v="0"/>
    <b v="0"/>
    <x v="8"/>
    <n v="6047087004126"/>
    <x v="83"/>
    <x v="4"/>
    <x v="4"/>
    <n v="70"/>
    <x v="0"/>
    <x v="0"/>
    <n v="400"/>
    <n v="80"/>
  </r>
  <r>
    <n v="2019"/>
    <n v="8"/>
    <x v="0"/>
    <x v="1"/>
    <x v="0"/>
    <s v="2019/2020"/>
    <b v="1"/>
    <b v="0"/>
    <b v="0"/>
    <x v="2"/>
    <n v="6047087004207"/>
    <x v="84"/>
    <x v="4"/>
    <x v="4"/>
    <n v="64"/>
    <x v="4"/>
    <x v="6"/>
    <n v="8"/>
    <n v="8"/>
  </r>
  <r>
    <n v="2019"/>
    <n v="8"/>
    <x v="0"/>
    <x v="1"/>
    <x v="0"/>
    <s v="2019/2020"/>
    <b v="1"/>
    <b v="0"/>
    <b v="0"/>
    <x v="10"/>
    <n v="6047087007907"/>
    <x v="364"/>
    <x v="33"/>
    <x v="3"/>
    <n v="62"/>
    <x v="3"/>
    <x v="5"/>
    <n v="12"/>
    <n v="6"/>
  </r>
  <r>
    <n v="2019"/>
    <n v="8"/>
    <x v="0"/>
    <x v="1"/>
    <x v="0"/>
    <s v="2019/2020"/>
    <b v="1"/>
    <b v="0"/>
    <b v="0"/>
    <x v="2"/>
    <n v="6047087009276"/>
    <x v="86"/>
    <x v="24"/>
    <x v="15"/>
    <n v="62"/>
    <x v="3"/>
    <x v="5"/>
    <n v="2"/>
    <n v="2"/>
  </r>
  <r>
    <n v="2019"/>
    <n v="8"/>
    <x v="0"/>
    <x v="1"/>
    <x v="0"/>
    <s v="2019/2020"/>
    <b v="1"/>
    <b v="0"/>
    <b v="0"/>
    <x v="1"/>
    <n v="6555031000276"/>
    <x v="90"/>
    <x v="40"/>
    <x v="20"/>
    <n v="73"/>
    <x v="1"/>
    <x v="4"/>
    <n v="20"/>
    <n v="5"/>
  </r>
  <r>
    <n v="2019"/>
    <n v="8"/>
    <x v="0"/>
    <x v="1"/>
    <x v="0"/>
    <s v="2019/2020"/>
    <b v="1"/>
    <b v="0"/>
    <b v="0"/>
    <x v="6"/>
    <n v="7045325000130"/>
    <x v="92"/>
    <x v="3"/>
    <x v="3"/>
    <n v="70"/>
    <x v="0"/>
    <x v="0"/>
    <n v="200"/>
    <n v="40"/>
  </r>
  <r>
    <n v="2019"/>
    <n v="8"/>
    <x v="0"/>
    <x v="1"/>
    <x v="0"/>
    <s v="2019/2020"/>
    <b v="1"/>
    <b v="0"/>
    <b v="0"/>
    <x v="4"/>
    <n v="7045325000130"/>
    <x v="92"/>
    <x v="3"/>
    <x v="3"/>
    <n v="73"/>
    <x v="1"/>
    <x v="4"/>
    <n v="80"/>
    <n v="10"/>
  </r>
  <r>
    <n v="2019"/>
    <n v="8"/>
    <x v="0"/>
    <x v="1"/>
    <x v="0"/>
    <s v="2019/2020"/>
    <b v="1"/>
    <b v="0"/>
    <b v="0"/>
    <x v="9"/>
    <n v="7245269000187"/>
    <x v="365"/>
    <x v="32"/>
    <x v="18"/>
    <n v="64"/>
    <x v="4"/>
    <x v="6"/>
    <n v="2"/>
    <n v="2"/>
  </r>
  <r>
    <n v="2019"/>
    <n v="8"/>
    <x v="0"/>
    <x v="1"/>
    <x v="0"/>
    <s v="2019/2020"/>
    <b v="1"/>
    <b v="0"/>
    <b v="0"/>
    <x v="9"/>
    <n v="7245269000187"/>
    <x v="365"/>
    <x v="32"/>
    <x v="18"/>
    <n v="64"/>
    <x v="4"/>
    <x v="6"/>
    <n v="3"/>
    <n v="3"/>
  </r>
  <r>
    <n v="2019"/>
    <n v="8"/>
    <x v="0"/>
    <x v="1"/>
    <x v="0"/>
    <s v="2019/2020"/>
    <b v="1"/>
    <b v="0"/>
    <b v="0"/>
    <x v="11"/>
    <n v="7245269000187"/>
    <x v="365"/>
    <x v="32"/>
    <x v="18"/>
    <n v="64"/>
    <x v="4"/>
    <x v="6"/>
    <n v="2"/>
    <n v="2"/>
  </r>
  <r>
    <n v="2019"/>
    <n v="8"/>
    <x v="0"/>
    <x v="1"/>
    <x v="0"/>
    <s v="2019/2020"/>
    <b v="1"/>
    <b v="0"/>
    <b v="0"/>
    <x v="13"/>
    <n v="7404052000172"/>
    <x v="96"/>
    <x v="13"/>
    <x v="6"/>
    <n v="70"/>
    <x v="0"/>
    <x v="0"/>
    <n v="45"/>
    <n v="9"/>
  </r>
  <r>
    <n v="2019"/>
    <n v="8"/>
    <x v="0"/>
    <x v="1"/>
    <x v="0"/>
    <s v="2019/2020"/>
    <b v="1"/>
    <b v="0"/>
    <b v="0"/>
    <x v="5"/>
    <n v="7734165000136"/>
    <x v="97"/>
    <x v="13"/>
    <x v="6"/>
    <n v="70"/>
    <x v="0"/>
    <x v="7"/>
    <n v="2000"/>
    <n v="100"/>
  </r>
  <r>
    <n v="2019"/>
    <n v="8"/>
    <x v="0"/>
    <x v="1"/>
    <x v="0"/>
    <s v="2019/2020"/>
    <b v="1"/>
    <b v="0"/>
    <b v="0"/>
    <x v="11"/>
    <n v="7734165000136"/>
    <x v="97"/>
    <x v="13"/>
    <x v="6"/>
    <n v="70"/>
    <x v="0"/>
    <x v="0"/>
    <n v="250"/>
    <n v="50"/>
  </r>
  <r>
    <n v="2019"/>
    <n v="8"/>
    <x v="0"/>
    <x v="1"/>
    <x v="0"/>
    <s v="2019/2020"/>
    <b v="1"/>
    <b v="0"/>
    <b v="0"/>
    <x v="15"/>
    <n v="7734165000136"/>
    <x v="97"/>
    <x v="13"/>
    <x v="6"/>
    <n v="70"/>
    <x v="0"/>
    <x v="7"/>
    <n v="1600"/>
    <n v="80"/>
  </r>
  <r>
    <n v="2019"/>
    <n v="8"/>
    <x v="0"/>
    <x v="1"/>
    <x v="0"/>
    <s v="2019/2020"/>
    <b v="1"/>
    <b v="0"/>
    <b v="0"/>
    <x v="15"/>
    <n v="7734165000136"/>
    <x v="97"/>
    <x v="13"/>
    <x v="6"/>
    <n v="70"/>
    <x v="0"/>
    <x v="0"/>
    <n v="500"/>
    <n v="100"/>
  </r>
  <r>
    <n v="2019"/>
    <n v="8"/>
    <x v="0"/>
    <x v="1"/>
    <x v="0"/>
    <s v="2019/2020"/>
    <b v="1"/>
    <b v="0"/>
    <b v="0"/>
    <x v="10"/>
    <n v="7734165000136"/>
    <x v="97"/>
    <x v="13"/>
    <x v="6"/>
    <n v="73"/>
    <x v="1"/>
    <x v="1"/>
    <n v="120"/>
    <n v="20"/>
  </r>
  <r>
    <n v="2019"/>
    <n v="8"/>
    <x v="0"/>
    <x v="1"/>
    <x v="0"/>
    <s v="2019/2020"/>
    <b v="1"/>
    <b v="0"/>
    <b v="0"/>
    <x v="12"/>
    <n v="7750144000104"/>
    <x v="366"/>
    <x v="25"/>
    <x v="16"/>
    <n v="70"/>
    <x v="0"/>
    <x v="0"/>
    <n v="20"/>
    <n v="4"/>
  </r>
  <r>
    <n v="2019"/>
    <n v="8"/>
    <x v="0"/>
    <x v="1"/>
    <x v="0"/>
    <s v="2019/2020"/>
    <b v="1"/>
    <b v="0"/>
    <b v="0"/>
    <x v="9"/>
    <n v="7775847000278"/>
    <x v="367"/>
    <x v="97"/>
    <x v="9"/>
    <n v="70"/>
    <x v="0"/>
    <x v="0"/>
    <n v="335"/>
    <n v="67"/>
  </r>
  <r>
    <n v="2019"/>
    <n v="8"/>
    <x v="0"/>
    <x v="1"/>
    <x v="0"/>
    <s v="2019/2020"/>
    <b v="1"/>
    <b v="0"/>
    <b v="0"/>
    <x v="4"/>
    <n v="7794623001528"/>
    <x v="98"/>
    <x v="43"/>
    <x v="0"/>
    <n v="73"/>
    <x v="1"/>
    <x v="1"/>
    <n v="4"/>
    <n v="1"/>
  </r>
  <r>
    <n v="2019"/>
    <n v="8"/>
    <x v="0"/>
    <x v="1"/>
    <x v="0"/>
    <s v="2019/2020"/>
    <b v="1"/>
    <b v="0"/>
    <b v="0"/>
    <x v="4"/>
    <n v="7794623001528"/>
    <x v="98"/>
    <x v="43"/>
    <x v="0"/>
    <n v="73"/>
    <x v="1"/>
    <x v="4"/>
    <n v="24"/>
    <n v="3"/>
  </r>
  <r>
    <n v="2019"/>
    <n v="8"/>
    <x v="0"/>
    <x v="1"/>
    <x v="0"/>
    <s v="2019/2020"/>
    <b v="1"/>
    <b v="0"/>
    <b v="0"/>
    <x v="4"/>
    <n v="7794623002257"/>
    <x v="99"/>
    <x v="44"/>
    <x v="6"/>
    <n v="70"/>
    <x v="0"/>
    <x v="0"/>
    <n v="70"/>
    <n v="14"/>
  </r>
  <r>
    <n v="2019"/>
    <n v="8"/>
    <x v="0"/>
    <x v="1"/>
    <x v="0"/>
    <s v="2019/2020"/>
    <b v="1"/>
    <b v="0"/>
    <b v="0"/>
    <x v="4"/>
    <n v="7794623002257"/>
    <x v="99"/>
    <x v="44"/>
    <x v="6"/>
    <n v="70"/>
    <x v="0"/>
    <x v="0"/>
    <n v="85"/>
    <n v="17"/>
  </r>
  <r>
    <n v="2019"/>
    <n v="8"/>
    <x v="0"/>
    <x v="1"/>
    <x v="0"/>
    <s v="2019/2020"/>
    <b v="1"/>
    <b v="0"/>
    <b v="0"/>
    <x v="4"/>
    <n v="7794623002257"/>
    <x v="99"/>
    <x v="44"/>
    <x v="6"/>
    <n v="70"/>
    <x v="0"/>
    <x v="0"/>
    <n v="260"/>
    <n v="52"/>
  </r>
  <r>
    <n v="2019"/>
    <n v="8"/>
    <x v="0"/>
    <x v="1"/>
    <x v="0"/>
    <s v="2019/2020"/>
    <b v="1"/>
    <b v="0"/>
    <b v="0"/>
    <x v="4"/>
    <n v="7794623004896"/>
    <x v="100"/>
    <x v="0"/>
    <x v="0"/>
    <n v="70"/>
    <x v="0"/>
    <x v="0"/>
    <n v="250"/>
    <n v="50"/>
  </r>
  <r>
    <n v="2019"/>
    <n v="8"/>
    <x v="0"/>
    <x v="1"/>
    <x v="0"/>
    <s v="2019/2020"/>
    <b v="1"/>
    <b v="0"/>
    <b v="0"/>
    <x v="4"/>
    <n v="7794623004896"/>
    <x v="100"/>
    <x v="0"/>
    <x v="0"/>
    <n v="70"/>
    <x v="0"/>
    <x v="0"/>
    <n v="450"/>
    <n v="90"/>
  </r>
  <r>
    <n v="2019"/>
    <n v="8"/>
    <x v="0"/>
    <x v="1"/>
    <x v="0"/>
    <s v="2019/2020"/>
    <b v="1"/>
    <b v="0"/>
    <b v="0"/>
    <x v="4"/>
    <n v="8100676000592"/>
    <x v="103"/>
    <x v="3"/>
    <x v="3"/>
    <n v="70"/>
    <x v="0"/>
    <x v="0"/>
    <n v="50"/>
    <n v="10"/>
  </r>
  <r>
    <n v="2019"/>
    <n v="8"/>
    <x v="0"/>
    <x v="1"/>
    <x v="0"/>
    <s v="2019/2020"/>
    <b v="1"/>
    <b v="0"/>
    <b v="0"/>
    <x v="4"/>
    <n v="8100676000592"/>
    <x v="103"/>
    <x v="3"/>
    <x v="3"/>
    <n v="70"/>
    <x v="0"/>
    <x v="0"/>
    <n v="70"/>
    <n v="14"/>
  </r>
  <r>
    <n v="2019"/>
    <n v="8"/>
    <x v="0"/>
    <x v="1"/>
    <x v="0"/>
    <s v="2019/2020"/>
    <b v="1"/>
    <b v="0"/>
    <b v="0"/>
    <x v="4"/>
    <n v="8100676000592"/>
    <x v="103"/>
    <x v="3"/>
    <x v="3"/>
    <n v="70"/>
    <x v="0"/>
    <x v="0"/>
    <n v="100"/>
    <n v="20"/>
  </r>
  <r>
    <n v="2019"/>
    <n v="8"/>
    <x v="0"/>
    <x v="1"/>
    <x v="0"/>
    <s v="2019/2020"/>
    <b v="1"/>
    <b v="0"/>
    <b v="0"/>
    <x v="4"/>
    <n v="8100676002102"/>
    <x v="105"/>
    <x v="0"/>
    <x v="0"/>
    <n v="64"/>
    <x v="4"/>
    <x v="6"/>
    <n v="9"/>
    <n v="3"/>
  </r>
  <r>
    <n v="2019"/>
    <n v="8"/>
    <x v="0"/>
    <x v="1"/>
    <x v="0"/>
    <s v="2019/2020"/>
    <b v="1"/>
    <b v="0"/>
    <b v="0"/>
    <x v="4"/>
    <n v="8100676002102"/>
    <x v="105"/>
    <x v="0"/>
    <x v="0"/>
    <n v="64"/>
    <x v="4"/>
    <x v="6"/>
    <n v="12"/>
    <n v="6"/>
  </r>
  <r>
    <n v="2019"/>
    <n v="8"/>
    <x v="0"/>
    <x v="1"/>
    <x v="0"/>
    <s v="2019/2020"/>
    <b v="1"/>
    <b v="0"/>
    <b v="0"/>
    <x v="4"/>
    <n v="8100676002102"/>
    <x v="105"/>
    <x v="0"/>
    <x v="0"/>
    <n v="64"/>
    <x v="4"/>
    <x v="6"/>
    <n v="9"/>
    <n v="9"/>
  </r>
  <r>
    <n v="2019"/>
    <n v="8"/>
    <x v="0"/>
    <x v="1"/>
    <x v="0"/>
    <s v="2019/2020"/>
    <b v="1"/>
    <b v="0"/>
    <b v="0"/>
    <x v="4"/>
    <n v="8100676002102"/>
    <x v="105"/>
    <x v="0"/>
    <x v="0"/>
    <n v="70"/>
    <x v="0"/>
    <x v="0"/>
    <n v="400"/>
    <n v="80"/>
  </r>
  <r>
    <n v="2019"/>
    <n v="8"/>
    <x v="0"/>
    <x v="1"/>
    <x v="0"/>
    <s v="2019/2020"/>
    <b v="1"/>
    <b v="0"/>
    <b v="0"/>
    <x v="4"/>
    <n v="8100676002455"/>
    <x v="106"/>
    <x v="3"/>
    <x v="3"/>
    <n v="64"/>
    <x v="4"/>
    <x v="6"/>
    <n v="8"/>
    <n v="8"/>
  </r>
  <r>
    <n v="2019"/>
    <n v="8"/>
    <x v="0"/>
    <x v="1"/>
    <x v="0"/>
    <s v="2019/2020"/>
    <b v="1"/>
    <b v="0"/>
    <b v="0"/>
    <x v="2"/>
    <n v="8100676002455"/>
    <x v="106"/>
    <x v="3"/>
    <x v="3"/>
    <n v="64"/>
    <x v="4"/>
    <x v="6"/>
    <n v="4"/>
    <n v="4"/>
  </r>
  <r>
    <n v="2019"/>
    <n v="8"/>
    <x v="0"/>
    <x v="1"/>
    <x v="0"/>
    <s v="2019/2020"/>
    <b v="1"/>
    <b v="0"/>
    <b v="0"/>
    <x v="4"/>
    <n v="8100676002455"/>
    <x v="106"/>
    <x v="3"/>
    <x v="3"/>
    <n v="70"/>
    <x v="0"/>
    <x v="0"/>
    <n v="125"/>
    <n v="25"/>
  </r>
  <r>
    <n v="2019"/>
    <n v="8"/>
    <x v="0"/>
    <x v="1"/>
    <x v="0"/>
    <s v="2019/2020"/>
    <b v="1"/>
    <b v="0"/>
    <b v="0"/>
    <x v="4"/>
    <n v="8100676002455"/>
    <x v="106"/>
    <x v="3"/>
    <x v="3"/>
    <n v="70"/>
    <x v="0"/>
    <x v="0"/>
    <n v="180"/>
    <n v="36"/>
  </r>
  <r>
    <n v="2019"/>
    <n v="8"/>
    <x v="0"/>
    <x v="1"/>
    <x v="0"/>
    <s v="2019/2020"/>
    <b v="1"/>
    <b v="0"/>
    <b v="0"/>
    <x v="4"/>
    <n v="8100676002455"/>
    <x v="106"/>
    <x v="3"/>
    <x v="3"/>
    <n v="70"/>
    <x v="0"/>
    <x v="0"/>
    <n v="220"/>
    <n v="44"/>
  </r>
  <r>
    <n v="2019"/>
    <n v="8"/>
    <x v="0"/>
    <x v="1"/>
    <x v="0"/>
    <s v="2019/2020"/>
    <b v="1"/>
    <b v="0"/>
    <b v="0"/>
    <x v="9"/>
    <n v="8319329000121"/>
    <x v="107"/>
    <x v="10"/>
    <x v="8"/>
    <n v="64"/>
    <x v="4"/>
    <x v="6"/>
    <n v="20"/>
    <n v="20"/>
  </r>
  <r>
    <n v="2019"/>
    <n v="8"/>
    <x v="0"/>
    <x v="1"/>
    <x v="0"/>
    <s v="2019/2020"/>
    <b v="1"/>
    <b v="0"/>
    <b v="0"/>
    <x v="7"/>
    <n v="8319329000121"/>
    <x v="107"/>
    <x v="10"/>
    <x v="8"/>
    <n v="64"/>
    <x v="4"/>
    <x v="6"/>
    <n v="6"/>
    <n v="6"/>
  </r>
  <r>
    <n v="2019"/>
    <n v="8"/>
    <x v="0"/>
    <x v="1"/>
    <x v="0"/>
    <s v="2019/2020"/>
    <b v="1"/>
    <b v="0"/>
    <b v="0"/>
    <x v="9"/>
    <n v="8380701001772"/>
    <x v="368"/>
    <x v="10"/>
    <x v="8"/>
    <n v="64"/>
    <x v="4"/>
    <x v="6"/>
    <n v="50"/>
    <n v="50"/>
  </r>
  <r>
    <n v="2019"/>
    <n v="8"/>
    <x v="0"/>
    <x v="1"/>
    <x v="0"/>
    <s v="2019/2020"/>
    <b v="1"/>
    <b v="0"/>
    <b v="0"/>
    <x v="10"/>
    <n v="8562523000133"/>
    <x v="369"/>
    <x v="34"/>
    <x v="0"/>
    <n v="62"/>
    <x v="3"/>
    <x v="5"/>
    <n v="2"/>
    <n v="2"/>
  </r>
  <r>
    <n v="2019"/>
    <n v="8"/>
    <x v="0"/>
    <x v="1"/>
    <x v="0"/>
    <s v="2019/2020"/>
    <b v="1"/>
    <b v="0"/>
    <b v="0"/>
    <x v="10"/>
    <n v="8562523000133"/>
    <x v="369"/>
    <x v="34"/>
    <x v="0"/>
    <n v="64"/>
    <x v="4"/>
    <x v="6"/>
    <n v="5"/>
    <n v="5"/>
  </r>
  <r>
    <n v="2019"/>
    <n v="8"/>
    <x v="0"/>
    <x v="1"/>
    <x v="0"/>
    <s v="2019/2020"/>
    <b v="1"/>
    <b v="0"/>
    <b v="0"/>
    <x v="15"/>
    <n v="8597121000174"/>
    <x v="111"/>
    <x v="13"/>
    <x v="6"/>
    <n v="66"/>
    <x v="2"/>
    <x v="3"/>
    <n v="11"/>
    <n v="11"/>
  </r>
  <r>
    <n v="2019"/>
    <n v="8"/>
    <x v="0"/>
    <x v="1"/>
    <x v="0"/>
    <s v="2019/2020"/>
    <b v="1"/>
    <b v="0"/>
    <b v="0"/>
    <x v="15"/>
    <n v="8597121000174"/>
    <x v="111"/>
    <x v="13"/>
    <x v="6"/>
    <n v="66"/>
    <x v="2"/>
    <x v="3"/>
    <n v="69"/>
    <n v="69"/>
  </r>
  <r>
    <n v="2019"/>
    <n v="8"/>
    <x v="0"/>
    <x v="1"/>
    <x v="0"/>
    <s v="2019/2020"/>
    <b v="1"/>
    <b v="0"/>
    <b v="0"/>
    <x v="2"/>
    <n v="8677327000104"/>
    <x v="370"/>
    <x v="3"/>
    <x v="3"/>
    <n v="64"/>
    <x v="4"/>
    <x v="6"/>
    <n v="2"/>
    <n v="2"/>
  </r>
  <r>
    <n v="2019"/>
    <n v="8"/>
    <x v="0"/>
    <x v="1"/>
    <x v="0"/>
    <s v="2019/2020"/>
    <b v="1"/>
    <b v="0"/>
    <b v="0"/>
    <x v="9"/>
    <n v="8680639000681"/>
    <x v="112"/>
    <x v="5"/>
    <x v="5"/>
    <n v="70"/>
    <x v="0"/>
    <x v="0"/>
    <n v="75"/>
    <n v="15"/>
  </r>
  <r>
    <n v="2019"/>
    <n v="8"/>
    <x v="0"/>
    <x v="1"/>
    <x v="0"/>
    <s v="2019/2020"/>
    <b v="1"/>
    <b v="0"/>
    <b v="0"/>
    <x v="12"/>
    <n v="8680639000681"/>
    <x v="112"/>
    <x v="5"/>
    <x v="5"/>
    <n v="70"/>
    <x v="0"/>
    <x v="0"/>
    <n v="80"/>
    <n v="16"/>
  </r>
  <r>
    <n v="2019"/>
    <n v="8"/>
    <x v="0"/>
    <x v="1"/>
    <x v="0"/>
    <s v="2019/2020"/>
    <b v="1"/>
    <b v="0"/>
    <b v="0"/>
    <x v="2"/>
    <n v="8680639000681"/>
    <x v="112"/>
    <x v="5"/>
    <x v="5"/>
    <n v="73"/>
    <x v="1"/>
    <x v="4"/>
    <n v="68"/>
    <n v="17"/>
  </r>
  <r>
    <n v="2019"/>
    <n v="8"/>
    <x v="0"/>
    <x v="1"/>
    <x v="0"/>
    <s v="2019/2020"/>
    <b v="1"/>
    <b v="0"/>
    <b v="0"/>
    <x v="10"/>
    <n v="8850962000222"/>
    <x v="113"/>
    <x v="0"/>
    <x v="0"/>
    <n v="62"/>
    <x v="3"/>
    <x v="5"/>
    <n v="6"/>
    <n v="6"/>
  </r>
  <r>
    <n v="2019"/>
    <n v="8"/>
    <x v="0"/>
    <x v="1"/>
    <x v="0"/>
    <s v="2019/2020"/>
    <b v="1"/>
    <b v="0"/>
    <b v="0"/>
    <x v="10"/>
    <n v="8850962000222"/>
    <x v="113"/>
    <x v="0"/>
    <x v="0"/>
    <n v="62"/>
    <x v="3"/>
    <x v="5"/>
    <n v="10"/>
    <n v="10"/>
  </r>
  <r>
    <n v="2019"/>
    <n v="8"/>
    <x v="0"/>
    <x v="1"/>
    <x v="0"/>
    <s v="2019/2020"/>
    <b v="1"/>
    <b v="0"/>
    <b v="0"/>
    <x v="2"/>
    <n v="8850962000222"/>
    <x v="113"/>
    <x v="0"/>
    <x v="0"/>
    <n v="64"/>
    <x v="4"/>
    <x v="6"/>
    <n v="6"/>
    <n v="6"/>
  </r>
  <r>
    <n v="2019"/>
    <n v="8"/>
    <x v="0"/>
    <x v="1"/>
    <x v="0"/>
    <s v="2019/2020"/>
    <b v="1"/>
    <b v="0"/>
    <b v="0"/>
    <x v="2"/>
    <n v="8850962000222"/>
    <x v="113"/>
    <x v="0"/>
    <x v="0"/>
    <n v="64"/>
    <x v="4"/>
    <x v="6"/>
    <n v="10"/>
    <n v="10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8"/>
    <n v="7.5"/>
    <n v="3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0"/>
    <n v="40"/>
    <n v="8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0"/>
    <n v="55"/>
    <n v="11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0"/>
    <n v="65"/>
    <n v="13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0"/>
    <n v="70"/>
    <n v="14"/>
  </r>
  <r>
    <n v="2019"/>
    <n v="8"/>
    <x v="0"/>
    <x v="1"/>
    <x v="0"/>
    <s v="2019/2020"/>
    <b v="1"/>
    <b v="0"/>
    <b v="0"/>
    <x v="7"/>
    <n v="8871521000126"/>
    <x v="114"/>
    <x v="3"/>
    <x v="3"/>
    <n v="70"/>
    <x v="0"/>
    <x v="0"/>
    <n v="160"/>
    <n v="32"/>
  </r>
  <r>
    <n v="2019"/>
    <n v="8"/>
    <x v="0"/>
    <x v="1"/>
    <x v="0"/>
    <s v="2019/2020"/>
    <b v="1"/>
    <b v="0"/>
    <b v="0"/>
    <x v="9"/>
    <n v="9039744000275"/>
    <x v="371"/>
    <x v="98"/>
    <x v="15"/>
    <n v="64"/>
    <x v="4"/>
    <x v="6"/>
    <n v="1"/>
    <n v="1"/>
  </r>
  <r>
    <n v="2019"/>
    <n v="8"/>
    <x v="0"/>
    <x v="1"/>
    <x v="0"/>
    <s v="2019/2020"/>
    <b v="1"/>
    <b v="0"/>
    <b v="0"/>
    <x v="17"/>
    <n v="9087150000230"/>
    <x v="115"/>
    <x v="45"/>
    <x v="11"/>
    <n v="73"/>
    <x v="1"/>
    <x v="1"/>
    <n v="10"/>
    <n v="5"/>
  </r>
  <r>
    <n v="2019"/>
    <n v="8"/>
    <x v="0"/>
    <x v="1"/>
    <x v="0"/>
    <s v="2019/2020"/>
    <b v="1"/>
    <b v="0"/>
    <b v="0"/>
    <x v="7"/>
    <n v="9104513000974"/>
    <x v="116"/>
    <x v="4"/>
    <x v="4"/>
    <n v="70"/>
    <x v="0"/>
    <x v="0"/>
    <n v="5"/>
    <n v="1"/>
  </r>
  <r>
    <n v="2019"/>
    <n v="8"/>
    <x v="0"/>
    <x v="1"/>
    <x v="0"/>
    <s v="2019/2020"/>
    <b v="1"/>
    <b v="0"/>
    <b v="0"/>
    <x v="7"/>
    <n v="9104513000974"/>
    <x v="116"/>
    <x v="4"/>
    <x v="4"/>
    <n v="70"/>
    <x v="0"/>
    <x v="0"/>
    <n v="165"/>
    <n v="33"/>
  </r>
  <r>
    <n v="2019"/>
    <n v="8"/>
    <x v="0"/>
    <x v="1"/>
    <x v="0"/>
    <s v="2019/2020"/>
    <b v="1"/>
    <b v="0"/>
    <b v="0"/>
    <x v="12"/>
    <n v="9219138000584"/>
    <x v="117"/>
    <x v="0"/>
    <x v="0"/>
    <n v="64"/>
    <x v="4"/>
    <x v="6"/>
    <n v="1"/>
    <n v="1"/>
  </r>
  <r>
    <n v="2019"/>
    <n v="8"/>
    <x v="0"/>
    <x v="1"/>
    <x v="0"/>
    <s v="2019/2020"/>
    <b v="1"/>
    <b v="0"/>
    <b v="0"/>
    <x v="12"/>
    <n v="9219138000584"/>
    <x v="117"/>
    <x v="0"/>
    <x v="0"/>
    <n v="64"/>
    <x v="4"/>
    <x v="6"/>
    <n v="3"/>
    <n v="3"/>
  </r>
  <r>
    <n v="2019"/>
    <n v="8"/>
    <x v="0"/>
    <x v="1"/>
    <x v="0"/>
    <s v="2019/2020"/>
    <b v="1"/>
    <b v="0"/>
    <b v="0"/>
    <x v="4"/>
    <n v="9219138000584"/>
    <x v="117"/>
    <x v="0"/>
    <x v="0"/>
    <n v="70"/>
    <x v="0"/>
    <x v="0"/>
    <n v="35"/>
    <n v="7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10"/>
    <n v="2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35"/>
    <n v="7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60"/>
    <n v="12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130"/>
    <n v="26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170"/>
    <n v="34"/>
  </r>
  <r>
    <n v="2019"/>
    <n v="8"/>
    <x v="0"/>
    <x v="1"/>
    <x v="0"/>
    <s v="2019/2020"/>
    <b v="1"/>
    <b v="0"/>
    <b v="0"/>
    <x v="10"/>
    <n v="9219138000584"/>
    <x v="117"/>
    <x v="0"/>
    <x v="0"/>
    <n v="70"/>
    <x v="0"/>
    <x v="0"/>
    <n v="230"/>
    <n v="46"/>
  </r>
  <r>
    <n v="2019"/>
    <n v="8"/>
    <x v="0"/>
    <x v="1"/>
    <x v="0"/>
    <s v="2019/2020"/>
    <b v="1"/>
    <b v="0"/>
    <b v="0"/>
    <x v="10"/>
    <n v="9219138000584"/>
    <x v="117"/>
    <x v="0"/>
    <x v="0"/>
    <n v="73"/>
    <x v="1"/>
    <x v="4"/>
    <n v="8"/>
    <n v="2"/>
  </r>
  <r>
    <n v="2019"/>
    <n v="8"/>
    <x v="0"/>
    <x v="1"/>
    <x v="0"/>
    <s v="2019/2020"/>
    <b v="1"/>
    <b v="0"/>
    <b v="0"/>
    <x v="10"/>
    <n v="9219138000584"/>
    <x v="117"/>
    <x v="0"/>
    <x v="0"/>
    <n v="73"/>
    <x v="1"/>
    <x v="4"/>
    <n v="24"/>
    <n v="3"/>
  </r>
  <r>
    <n v="2019"/>
    <n v="8"/>
    <x v="0"/>
    <x v="1"/>
    <x v="0"/>
    <s v="2019/2020"/>
    <b v="1"/>
    <b v="0"/>
    <b v="0"/>
    <x v="10"/>
    <n v="9219138000584"/>
    <x v="117"/>
    <x v="0"/>
    <x v="0"/>
    <n v="73"/>
    <x v="1"/>
    <x v="4"/>
    <n v="16"/>
    <n v="4"/>
  </r>
  <r>
    <n v="2019"/>
    <n v="8"/>
    <x v="0"/>
    <x v="1"/>
    <x v="0"/>
    <s v="2019/2020"/>
    <b v="1"/>
    <b v="0"/>
    <b v="0"/>
    <x v="2"/>
    <n v="9219138000584"/>
    <x v="117"/>
    <x v="0"/>
    <x v="0"/>
    <n v="73"/>
    <x v="1"/>
    <x v="4"/>
    <n v="120"/>
    <n v="15"/>
  </r>
  <r>
    <n v="2019"/>
    <n v="8"/>
    <x v="0"/>
    <x v="1"/>
    <x v="0"/>
    <s v="2019/2020"/>
    <b v="1"/>
    <b v="0"/>
    <b v="0"/>
    <x v="0"/>
    <n v="9219138000584"/>
    <x v="117"/>
    <x v="0"/>
    <x v="0"/>
    <n v="73"/>
    <x v="1"/>
    <x v="4"/>
    <n v="20"/>
    <n v="5"/>
  </r>
  <r>
    <n v="2019"/>
    <n v="8"/>
    <x v="0"/>
    <x v="1"/>
    <x v="0"/>
    <s v="2019/2020"/>
    <b v="1"/>
    <b v="0"/>
    <b v="0"/>
    <x v="16"/>
    <n v="9549061000268"/>
    <x v="372"/>
    <x v="99"/>
    <x v="11"/>
    <n v="64"/>
    <x v="4"/>
    <x v="6"/>
    <n v="3"/>
    <n v="3"/>
  </r>
  <r>
    <n v="2019"/>
    <n v="8"/>
    <x v="0"/>
    <x v="1"/>
    <x v="0"/>
    <s v="2019/2020"/>
    <b v="1"/>
    <b v="0"/>
    <b v="0"/>
    <x v="10"/>
    <n v="9578217000158"/>
    <x v="119"/>
    <x v="0"/>
    <x v="0"/>
    <n v="62"/>
    <x v="3"/>
    <x v="5"/>
    <n v="3"/>
    <n v="3"/>
  </r>
  <r>
    <n v="2019"/>
    <n v="8"/>
    <x v="0"/>
    <x v="1"/>
    <x v="0"/>
    <s v="2019/2020"/>
    <b v="1"/>
    <b v="0"/>
    <b v="0"/>
    <x v="2"/>
    <n v="9578217000158"/>
    <x v="119"/>
    <x v="0"/>
    <x v="0"/>
    <n v="64"/>
    <x v="4"/>
    <x v="6"/>
    <n v="4"/>
    <n v="4"/>
  </r>
  <r>
    <n v="2019"/>
    <n v="8"/>
    <x v="0"/>
    <x v="1"/>
    <x v="0"/>
    <s v="2019/2020"/>
    <b v="1"/>
    <b v="0"/>
    <b v="0"/>
    <x v="5"/>
    <n v="9579964000291"/>
    <x v="373"/>
    <x v="13"/>
    <x v="6"/>
    <n v="70"/>
    <x v="0"/>
    <x v="0"/>
    <n v="1250"/>
    <n v="250"/>
  </r>
  <r>
    <n v="2019"/>
    <n v="8"/>
    <x v="0"/>
    <x v="1"/>
    <x v="0"/>
    <s v="2019/2020"/>
    <b v="1"/>
    <b v="0"/>
    <b v="0"/>
    <x v="10"/>
    <n v="10211939000230"/>
    <x v="122"/>
    <x v="3"/>
    <x v="3"/>
    <n v="73"/>
    <x v="1"/>
    <x v="1"/>
    <n v="8"/>
    <n v="4"/>
  </r>
  <r>
    <n v="2019"/>
    <n v="8"/>
    <x v="0"/>
    <x v="1"/>
    <x v="0"/>
    <s v="2019/2020"/>
    <b v="1"/>
    <b v="0"/>
    <b v="0"/>
    <x v="6"/>
    <n v="10323381000101"/>
    <x v="123"/>
    <x v="3"/>
    <x v="3"/>
    <n v="73"/>
    <x v="1"/>
    <x v="2"/>
    <n v="6"/>
    <n v="3"/>
  </r>
  <r>
    <n v="2019"/>
    <n v="8"/>
    <x v="0"/>
    <x v="1"/>
    <x v="0"/>
    <s v="2019/2020"/>
    <b v="1"/>
    <b v="0"/>
    <b v="0"/>
    <x v="11"/>
    <n v="10447300000177"/>
    <x v="124"/>
    <x v="48"/>
    <x v="3"/>
    <n v="73"/>
    <x v="1"/>
    <x v="1"/>
    <n v="4"/>
    <n v="2"/>
  </r>
  <r>
    <n v="2019"/>
    <n v="8"/>
    <x v="0"/>
    <x v="1"/>
    <x v="0"/>
    <s v="2019/2020"/>
    <b v="1"/>
    <b v="0"/>
    <b v="0"/>
    <x v="17"/>
    <n v="10468341000140"/>
    <x v="125"/>
    <x v="3"/>
    <x v="3"/>
    <n v="70"/>
    <x v="0"/>
    <x v="0"/>
    <n v="60"/>
    <n v="12"/>
  </r>
  <r>
    <n v="2019"/>
    <n v="8"/>
    <x v="0"/>
    <x v="1"/>
    <x v="0"/>
    <s v="2019/2020"/>
    <b v="1"/>
    <b v="0"/>
    <b v="0"/>
    <x v="17"/>
    <n v="10468341000140"/>
    <x v="125"/>
    <x v="3"/>
    <x v="3"/>
    <n v="70"/>
    <x v="0"/>
    <x v="0"/>
    <n v="105"/>
    <n v="21"/>
  </r>
  <r>
    <n v="2019"/>
    <n v="8"/>
    <x v="0"/>
    <x v="1"/>
    <x v="0"/>
    <s v="2019/2020"/>
    <b v="1"/>
    <b v="0"/>
    <b v="0"/>
    <x v="17"/>
    <n v="10468341000140"/>
    <x v="125"/>
    <x v="3"/>
    <x v="3"/>
    <n v="70"/>
    <x v="0"/>
    <x v="0"/>
    <n v="365"/>
    <n v="73"/>
  </r>
  <r>
    <n v="2019"/>
    <n v="8"/>
    <x v="0"/>
    <x v="1"/>
    <x v="0"/>
    <s v="2019/2020"/>
    <b v="1"/>
    <b v="0"/>
    <b v="0"/>
    <x v="6"/>
    <n v="10468341000140"/>
    <x v="125"/>
    <x v="3"/>
    <x v="3"/>
    <n v="70"/>
    <x v="0"/>
    <x v="0"/>
    <n v="275"/>
    <n v="55"/>
  </r>
  <r>
    <n v="2019"/>
    <n v="8"/>
    <x v="0"/>
    <x v="1"/>
    <x v="0"/>
    <s v="2019/2020"/>
    <b v="1"/>
    <b v="0"/>
    <b v="0"/>
    <x v="6"/>
    <n v="10468341000220"/>
    <x v="126"/>
    <x v="3"/>
    <x v="3"/>
    <n v="70"/>
    <x v="0"/>
    <x v="0"/>
    <n v="175"/>
    <n v="35"/>
  </r>
  <r>
    <n v="2019"/>
    <n v="8"/>
    <x v="0"/>
    <x v="1"/>
    <x v="0"/>
    <s v="2019/2020"/>
    <b v="1"/>
    <b v="0"/>
    <b v="0"/>
    <x v="6"/>
    <n v="10468341000220"/>
    <x v="126"/>
    <x v="3"/>
    <x v="3"/>
    <n v="70"/>
    <x v="0"/>
    <x v="0"/>
    <n v="375"/>
    <n v="75"/>
  </r>
  <r>
    <n v="2019"/>
    <n v="8"/>
    <x v="0"/>
    <x v="1"/>
    <x v="0"/>
    <s v="2019/2020"/>
    <b v="1"/>
    <b v="0"/>
    <b v="0"/>
    <x v="6"/>
    <n v="10468341000220"/>
    <x v="126"/>
    <x v="3"/>
    <x v="3"/>
    <n v="73"/>
    <x v="1"/>
    <x v="4"/>
    <n v="24"/>
    <n v="6"/>
  </r>
  <r>
    <n v="2019"/>
    <n v="8"/>
    <x v="0"/>
    <x v="1"/>
    <x v="0"/>
    <s v="2019/2020"/>
    <b v="1"/>
    <b v="0"/>
    <b v="0"/>
    <x v="17"/>
    <n v="10475230000160"/>
    <x v="127"/>
    <x v="3"/>
    <x v="3"/>
    <n v="70"/>
    <x v="0"/>
    <x v="0"/>
    <n v="20"/>
    <n v="4"/>
  </r>
  <r>
    <n v="2019"/>
    <n v="8"/>
    <x v="0"/>
    <x v="1"/>
    <x v="0"/>
    <s v="2019/2020"/>
    <b v="1"/>
    <b v="0"/>
    <b v="0"/>
    <x v="17"/>
    <n v="10475230000160"/>
    <x v="127"/>
    <x v="3"/>
    <x v="3"/>
    <n v="70"/>
    <x v="0"/>
    <x v="0"/>
    <n v="25"/>
    <n v="5"/>
  </r>
  <r>
    <n v="2019"/>
    <n v="8"/>
    <x v="0"/>
    <x v="1"/>
    <x v="0"/>
    <s v="2019/2020"/>
    <b v="1"/>
    <b v="0"/>
    <b v="0"/>
    <x v="12"/>
    <n v="10576443000189"/>
    <x v="374"/>
    <x v="26"/>
    <x v="3"/>
    <n v="70"/>
    <x v="0"/>
    <x v="0"/>
    <n v="140"/>
    <n v="28"/>
  </r>
  <r>
    <n v="2019"/>
    <n v="8"/>
    <x v="0"/>
    <x v="1"/>
    <x v="0"/>
    <s v="2019/2020"/>
    <b v="1"/>
    <b v="0"/>
    <b v="0"/>
    <x v="4"/>
    <n v="10839561000132"/>
    <x v="129"/>
    <x v="24"/>
    <x v="15"/>
    <n v="70"/>
    <x v="0"/>
    <x v="0"/>
    <n v="70"/>
    <n v="14"/>
  </r>
  <r>
    <n v="2019"/>
    <n v="8"/>
    <x v="0"/>
    <x v="1"/>
    <x v="0"/>
    <s v="2019/2020"/>
    <b v="1"/>
    <b v="0"/>
    <b v="0"/>
    <x v="4"/>
    <n v="10839561000132"/>
    <x v="129"/>
    <x v="24"/>
    <x v="15"/>
    <n v="70"/>
    <x v="0"/>
    <x v="0"/>
    <n v="150"/>
    <n v="30"/>
  </r>
  <r>
    <n v="2019"/>
    <n v="8"/>
    <x v="0"/>
    <x v="1"/>
    <x v="0"/>
    <s v="2019/2020"/>
    <b v="1"/>
    <b v="0"/>
    <b v="0"/>
    <x v="4"/>
    <n v="10839561000132"/>
    <x v="129"/>
    <x v="24"/>
    <x v="15"/>
    <n v="70"/>
    <x v="0"/>
    <x v="0"/>
    <n v="200"/>
    <n v="40"/>
  </r>
  <r>
    <n v="2019"/>
    <n v="8"/>
    <x v="0"/>
    <x v="1"/>
    <x v="0"/>
    <s v="2019/2020"/>
    <b v="1"/>
    <b v="0"/>
    <b v="0"/>
    <x v="4"/>
    <n v="10839561000132"/>
    <x v="129"/>
    <x v="24"/>
    <x v="15"/>
    <n v="73"/>
    <x v="1"/>
    <x v="4"/>
    <n v="32"/>
    <n v="4"/>
  </r>
  <r>
    <n v="2019"/>
    <n v="8"/>
    <x v="0"/>
    <x v="1"/>
    <x v="0"/>
    <s v="2019/2020"/>
    <b v="1"/>
    <b v="0"/>
    <b v="0"/>
    <x v="7"/>
    <n v="10868295000176"/>
    <x v="375"/>
    <x v="70"/>
    <x v="3"/>
    <n v="70"/>
    <x v="0"/>
    <x v="0"/>
    <n v="40"/>
    <n v="8"/>
  </r>
  <r>
    <n v="2019"/>
    <n v="8"/>
    <x v="0"/>
    <x v="1"/>
    <x v="0"/>
    <s v="2019/2020"/>
    <b v="1"/>
    <b v="0"/>
    <b v="0"/>
    <x v="8"/>
    <n v="10942995000163"/>
    <x v="376"/>
    <x v="4"/>
    <x v="4"/>
    <n v="70"/>
    <x v="0"/>
    <x v="0"/>
    <n v="300"/>
    <n v="60"/>
  </r>
  <r>
    <n v="2019"/>
    <n v="8"/>
    <x v="0"/>
    <x v="1"/>
    <x v="0"/>
    <s v="2019/2020"/>
    <b v="1"/>
    <b v="0"/>
    <b v="0"/>
    <x v="5"/>
    <n v="10942995000163"/>
    <x v="376"/>
    <x v="4"/>
    <x v="4"/>
    <n v="73"/>
    <x v="1"/>
    <x v="4"/>
    <n v="40"/>
    <n v="10"/>
  </r>
  <r>
    <n v="2019"/>
    <n v="8"/>
    <x v="0"/>
    <x v="1"/>
    <x v="0"/>
    <s v="2019/2020"/>
    <b v="1"/>
    <b v="0"/>
    <b v="0"/>
    <x v="1"/>
    <n v="11006293000130"/>
    <x v="132"/>
    <x v="25"/>
    <x v="16"/>
    <n v="70"/>
    <x v="0"/>
    <x v="0"/>
    <n v="500"/>
    <n v="50"/>
  </r>
  <r>
    <n v="2019"/>
    <n v="8"/>
    <x v="0"/>
    <x v="1"/>
    <x v="0"/>
    <s v="2019/2020"/>
    <b v="1"/>
    <b v="0"/>
    <b v="0"/>
    <x v="5"/>
    <n v="11022597001597"/>
    <x v="377"/>
    <x v="24"/>
    <x v="15"/>
    <n v="64"/>
    <x v="4"/>
    <x v="6"/>
    <n v="25"/>
    <n v="25"/>
  </r>
  <r>
    <n v="2019"/>
    <n v="8"/>
    <x v="0"/>
    <x v="1"/>
    <x v="0"/>
    <s v="2019/2020"/>
    <b v="1"/>
    <b v="0"/>
    <b v="0"/>
    <x v="16"/>
    <n v="11055682000156"/>
    <x v="378"/>
    <x v="100"/>
    <x v="11"/>
    <n v="70"/>
    <x v="0"/>
    <x v="0"/>
    <n v="225"/>
    <n v="45"/>
  </r>
  <r>
    <n v="2019"/>
    <n v="8"/>
    <x v="0"/>
    <x v="1"/>
    <x v="0"/>
    <s v="2019/2020"/>
    <b v="1"/>
    <b v="0"/>
    <b v="0"/>
    <x v="4"/>
    <n v="11214624000470"/>
    <x v="379"/>
    <x v="24"/>
    <x v="15"/>
    <n v="70"/>
    <x v="0"/>
    <x v="0"/>
    <n v="100"/>
    <n v="10"/>
  </r>
  <r>
    <n v="2019"/>
    <n v="8"/>
    <x v="0"/>
    <x v="1"/>
    <x v="0"/>
    <s v="2019/2020"/>
    <b v="1"/>
    <b v="0"/>
    <b v="0"/>
    <x v="5"/>
    <n v="11273170000166"/>
    <x v="380"/>
    <x v="40"/>
    <x v="20"/>
    <n v="70"/>
    <x v="0"/>
    <x v="0"/>
    <n v="500"/>
    <n v="100"/>
  </r>
  <r>
    <n v="2019"/>
    <n v="8"/>
    <x v="0"/>
    <x v="1"/>
    <x v="0"/>
    <s v="2019/2020"/>
    <b v="1"/>
    <b v="0"/>
    <b v="0"/>
    <x v="9"/>
    <n v="11452240000143"/>
    <x v="134"/>
    <x v="24"/>
    <x v="15"/>
    <n v="62"/>
    <x v="3"/>
    <x v="5"/>
    <n v="1"/>
    <n v="1"/>
  </r>
  <r>
    <n v="2019"/>
    <n v="8"/>
    <x v="0"/>
    <x v="1"/>
    <x v="0"/>
    <s v="2019/2020"/>
    <b v="1"/>
    <b v="0"/>
    <b v="0"/>
    <x v="3"/>
    <n v="11452240000143"/>
    <x v="134"/>
    <x v="24"/>
    <x v="15"/>
    <n v="70"/>
    <x v="0"/>
    <x v="0"/>
    <n v="85"/>
    <n v="17"/>
  </r>
  <r>
    <n v="2019"/>
    <n v="8"/>
    <x v="0"/>
    <x v="1"/>
    <x v="0"/>
    <s v="2019/2020"/>
    <b v="1"/>
    <b v="0"/>
    <b v="0"/>
    <x v="3"/>
    <n v="11452240000143"/>
    <x v="134"/>
    <x v="24"/>
    <x v="15"/>
    <n v="70"/>
    <x v="0"/>
    <x v="0"/>
    <n v="160"/>
    <n v="32"/>
  </r>
  <r>
    <n v="2019"/>
    <n v="8"/>
    <x v="0"/>
    <x v="1"/>
    <x v="0"/>
    <s v="2019/2020"/>
    <b v="1"/>
    <b v="0"/>
    <b v="0"/>
    <x v="4"/>
    <n v="11452240000143"/>
    <x v="134"/>
    <x v="24"/>
    <x v="15"/>
    <n v="70"/>
    <x v="0"/>
    <x v="0"/>
    <n v="300"/>
    <n v="60"/>
  </r>
  <r>
    <n v="2019"/>
    <n v="8"/>
    <x v="0"/>
    <x v="1"/>
    <x v="0"/>
    <s v="2019/2020"/>
    <b v="1"/>
    <b v="0"/>
    <b v="0"/>
    <x v="25"/>
    <n v="11452240000143"/>
    <x v="134"/>
    <x v="24"/>
    <x v="15"/>
    <n v="70"/>
    <x v="0"/>
    <x v="0"/>
    <n v="90"/>
    <n v="18"/>
  </r>
  <r>
    <n v="2019"/>
    <n v="8"/>
    <x v="0"/>
    <x v="1"/>
    <x v="0"/>
    <s v="2019/2020"/>
    <b v="1"/>
    <b v="0"/>
    <b v="0"/>
    <x v="9"/>
    <n v="11794674000121"/>
    <x v="381"/>
    <x v="32"/>
    <x v="18"/>
    <n v="64"/>
    <x v="4"/>
    <x v="6"/>
    <n v="25"/>
    <n v="25"/>
  </r>
  <r>
    <n v="2019"/>
    <n v="8"/>
    <x v="0"/>
    <x v="1"/>
    <x v="0"/>
    <s v="2019/2020"/>
    <b v="1"/>
    <b v="0"/>
    <b v="0"/>
    <x v="2"/>
    <n v="11794674000121"/>
    <x v="381"/>
    <x v="32"/>
    <x v="18"/>
    <n v="64"/>
    <x v="4"/>
    <x v="6"/>
    <n v="25"/>
    <n v="25"/>
  </r>
  <r>
    <n v="2019"/>
    <n v="8"/>
    <x v="0"/>
    <x v="1"/>
    <x v="0"/>
    <s v="2019/2020"/>
    <b v="1"/>
    <b v="0"/>
    <b v="0"/>
    <x v="4"/>
    <n v="11859927000106"/>
    <x v="135"/>
    <x v="4"/>
    <x v="4"/>
    <n v="70"/>
    <x v="0"/>
    <x v="0"/>
    <n v="30"/>
    <n v="6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2"/>
    <n v="1"/>
    <n v="1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1"/>
    <n v="4"/>
    <n v="2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1"/>
    <n v="8"/>
    <n v="4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2"/>
    <n v="4"/>
    <n v="4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2"/>
    <n v="15"/>
    <n v="5"/>
  </r>
  <r>
    <n v="2019"/>
    <n v="8"/>
    <x v="0"/>
    <x v="1"/>
    <x v="0"/>
    <s v="2019/2020"/>
    <b v="1"/>
    <b v="0"/>
    <b v="0"/>
    <x v="4"/>
    <n v="11859927000106"/>
    <x v="135"/>
    <x v="4"/>
    <x v="4"/>
    <n v="73"/>
    <x v="1"/>
    <x v="1"/>
    <n v="12"/>
    <n v="6"/>
  </r>
  <r>
    <n v="2019"/>
    <n v="8"/>
    <x v="0"/>
    <x v="1"/>
    <x v="0"/>
    <s v="2019/2020"/>
    <b v="1"/>
    <b v="0"/>
    <b v="0"/>
    <x v="8"/>
    <n v="11859927000106"/>
    <x v="135"/>
    <x v="4"/>
    <x v="4"/>
    <n v="73"/>
    <x v="1"/>
    <x v="2"/>
    <n v="5"/>
    <n v="5"/>
  </r>
  <r>
    <n v="2019"/>
    <n v="8"/>
    <x v="0"/>
    <x v="1"/>
    <x v="0"/>
    <s v="2019/2020"/>
    <b v="1"/>
    <b v="0"/>
    <b v="0"/>
    <x v="24"/>
    <n v="11943553000102"/>
    <x v="382"/>
    <x v="31"/>
    <x v="17"/>
    <n v="64"/>
    <x v="4"/>
    <x v="6"/>
    <n v="2"/>
    <n v="2"/>
  </r>
  <r>
    <n v="2019"/>
    <n v="8"/>
    <x v="0"/>
    <x v="1"/>
    <x v="0"/>
    <s v="2019/2020"/>
    <b v="1"/>
    <b v="0"/>
    <b v="0"/>
    <x v="9"/>
    <n v="12361267000274"/>
    <x v="383"/>
    <x v="1"/>
    <x v="1"/>
    <n v="70"/>
    <x v="0"/>
    <x v="0"/>
    <n v="150"/>
    <n v="30"/>
  </r>
  <r>
    <n v="2019"/>
    <n v="8"/>
    <x v="0"/>
    <x v="1"/>
    <x v="0"/>
    <s v="2019/2020"/>
    <b v="1"/>
    <b v="0"/>
    <b v="0"/>
    <x v="9"/>
    <n v="12361267000517"/>
    <x v="136"/>
    <x v="49"/>
    <x v="21"/>
    <n v="70"/>
    <x v="0"/>
    <x v="0"/>
    <n v="10"/>
    <n v="2"/>
  </r>
  <r>
    <n v="2019"/>
    <n v="8"/>
    <x v="0"/>
    <x v="1"/>
    <x v="0"/>
    <s v="2019/2020"/>
    <b v="1"/>
    <b v="0"/>
    <b v="0"/>
    <x v="18"/>
    <n v="12361267000517"/>
    <x v="136"/>
    <x v="49"/>
    <x v="21"/>
    <n v="70"/>
    <x v="0"/>
    <x v="0"/>
    <n v="75"/>
    <n v="15"/>
  </r>
  <r>
    <n v="2019"/>
    <n v="8"/>
    <x v="0"/>
    <x v="1"/>
    <x v="0"/>
    <s v="2019/2020"/>
    <b v="1"/>
    <b v="0"/>
    <b v="0"/>
    <x v="9"/>
    <n v="12361267004261"/>
    <x v="384"/>
    <x v="101"/>
    <x v="10"/>
    <n v="70"/>
    <x v="0"/>
    <x v="0"/>
    <n v="120"/>
    <n v="24"/>
  </r>
  <r>
    <n v="2019"/>
    <n v="8"/>
    <x v="0"/>
    <x v="1"/>
    <x v="0"/>
    <s v="2019/2020"/>
    <b v="1"/>
    <b v="0"/>
    <b v="0"/>
    <x v="9"/>
    <n v="12361267007287"/>
    <x v="385"/>
    <x v="24"/>
    <x v="15"/>
    <n v="70"/>
    <x v="0"/>
    <x v="0"/>
    <n v="150"/>
    <n v="30"/>
  </r>
  <r>
    <n v="2019"/>
    <n v="8"/>
    <x v="0"/>
    <x v="1"/>
    <x v="0"/>
    <s v="2019/2020"/>
    <b v="1"/>
    <b v="0"/>
    <b v="0"/>
    <x v="9"/>
    <n v="12361267009140"/>
    <x v="137"/>
    <x v="50"/>
    <x v="8"/>
    <n v="70"/>
    <x v="0"/>
    <x v="0"/>
    <n v="5"/>
    <n v="1"/>
  </r>
  <r>
    <n v="2019"/>
    <n v="8"/>
    <x v="0"/>
    <x v="1"/>
    <x v="0"/>
    <s v="2019/2020"/>
    <b v="1"/>
    <b v="0"/>
    <b v="0"/>
    <x v="9"/>
    <n v="12361267009654"/>
    <x v="386"/>
    <x v="10"/>
    <x v="8"/>
    <n v="70"/>
    <x v="0"/>
    <x v="0"/>
    <n v="25"/>
    <n v="5"/>
  </r>
  <r>
    <n v="2019"/>
    <n v="8"/>
    <x v="0"/>
    <x v="1"/>
    <x v="0"/>
    <s v="2019/2020"/>
    <b v="1"/>
    <b v="0"/>
    <b v="0"/>
    <x v="9"/>
    <n v="12361267009654"/>
    <x v="386"/>
    <x v="10"/>
    <x v="8"/>
    <n v="70"/>
    <x v="0"/>
    <x v="0"/>
    <n v="100"/>
    <n v="20"/>
  </r>
  <r>
    <n v="2019"/>
    <n v="8"/>
    <x v="0"/>
    <x v="1"/>
    <x v="0"/>
    <s v="2019/2020"/>
    <b v="1"/>
    <b v="0"/>
    <b v="0"/>
    <x v="9"/>
    <n v="12361267010318"/>
    <x v="138"/>
    <x v="31"/>
    <x v="17"/>
    <n v="62"/>
    <x v="3"/>
    <x v="5"/>
    <n v="2"/>
    <n v="2"/>
  </r>
  <r>
    <n v="2019"/>
    <n v="8"/>
    <x v="0"/>
    <x v="1"/>
    <x v="0"/>
    <s v="2019/2020"/>
    <b v="1"/>
    <b v="0"/>
    <b v="0"/>
    <x v="9"/>
    <n v="12361267010318"/>
    <x v="138"/>
    <x v="31"/>
    <x v="17"/>
    <n v="62"/>
    <x v="3"/>
    <x v="5"/>
    <n v="3"/>
    <n v="3"/>
  </r>
  <r>
    <n v="2019"/>
    <n v="8"/>
    <x v="0"/>
    <x v="1"/>
    <x v="0"/>
    <s v="2019/2020"/>
    <b v="1"/>
    <b v="0"/>
    <b v="0"/>
    <x v="9"/>
    <n v="12361267010318"/>
    <x v="138"/>
    <x v="31"/>
    <x v="17"/>
    <n v="64"/>
    <x v="4"/>
    <x v="6"/>
    <n v="1"/>
    <n v="1"/>
  </r>
  <r>
    <n v="2019"/>
    <n v="8"/>
    <x v="0"/>
    <x v="1"/>
    <x v="0"/>
    <s v="2019/2020"/>
    <b v="1"/>
    <b v="0"/>
    <b v="0"/>
    <x v="9"/>
    <n v="12361267010318"/>
    <x v="138"/>
    <x v="31"/>
    <x v="17"/>
    <n v="64"/>
    <x v="4"/>
    <x v="6"/>
    <n v="3"/>
    <n v="3"/>
  </r>
  <r>
    <n v="2019"/>
    <n v="8"/>
    <x v="0"/>
    <x v="1"/>
    <x v="0"/>
    <s v="2019/2020"/>
    <b v="1"/>
    <b v="0"/>
    <b v="0"/>
    <x v="9"/>
    <n v="12361267010318"/>
    <x v="138"/>
    <x v="31"/>
    <x v="17"/>
    <n v="64"/>
    <x v="4"/>
    <x v="6"/>
    <n v="7"/>
    <n v="7"/>
  </r>
  <r>
    <n v="2019"/>
    <n v="8"/>
    <x v="0"/>
    <x v="1"/>
    <x v="0"/>
    <s v="2019/2020"/>
    <b v="1"/>
    <b v="0"/>
    <b v="0"/>
    <x v="9"/>
    <n v="12361267010318"/>
    <x v="138"/>
    <x v="31"/>
    <x v="17"/>
    <n v="70"/>
    <x v="0"/>
    <x v="0"/>
    <n v="130"/>
    <n v="26"/>
  </r>
  <r>
    <n v="2019"/>
    <n v="8"/>
    <x v="0"/>
    <x v="1"/>
    <x v="0"/>
    <s v="2019/2020"/>
    <b v="1"/>
    <b v="0"/>
    <b v="0"/>
    <x v="9"/>
    <n v="12361267010318"/>
    <x v="138"/>
    <x v="31"/>
    <x v="17"/>
    <n v="70"/>
    <x v="0"/>
    <x v="0"/>
    <n v="145"/>
    <n v="29"/>
  </r>
  <r>
    <n v="2019"/>
    <n v="8"/>
    <x v="0"/>
    <x v="1"/>
    <x v="0"/>
    <s v="2019/2020"/>
    <b v="1"/>
    <b v="0"/>
    <b v="0"/>
    <x v="9"/>
    <n v="12361267010407"/>
    <x v="387"/>
    <x v="53"/>
    <x v="17"/>
    <n v="70"/>
    <x v="0"/>
    <x v="0"/>
    <n v="130"/>
    <n v="26"/>
  </r>
  <r>
    <n v="2019"/>
    <n v="8"/>
    <x v="0"/>
    <x v="1"/>
    <x v="0"/>
    <s v="2019/2020"/>
    <b v="1"/>
    <b v="0"/>
    <b v="0"/>
    <x v="4"/>
    <n v="12442737000496"/>
    <x v="141"/>
    <x v="19"/>
    <x v="14"/>
    <n v="62"/>
    <x v="3"/>
    <x v="5"/>
    <n v="2"/>
    <n v="2"/>
  </r>
  <r>
    <n v="2019"/>
    <n v="8"/>
    <x v="0"/>
    <x v="1"/>
    <x v="0"/>
    <s v="2019/2020"/>
    <b v="1"/>
    <b v="0"/>
    <b v="0"/>
    <x v="4"/>
    <n v="12442737000496"/>
    <x v="141"/>
    <x v="19"/>
    <x v="14"/>
    <n v="64"/>
    <x v="4"/>
    <x v="6"/>
    <n v="3"/>
    <n v="3"/>
  </r>
  <r>
    <n v="2019"/>
    <n v="8"/>
    <x v="0"/>
    <x v="1"/>
    <x v="0"/>
    <s v="2019/2020"/>
    <b v="1"/>
    <b v="0"/>
    <b v="0"/>
    <x v="4"/>
    <n v="12442737000496"/>
    <x v="141"/>
    <x v="19"/>
    <x v="14"/>
    <n v="70"/>
    <x v="0"/>
    <x v="0"/>
    <n v="400"/>
    <n v="80"/>
  </r>
  <r>
    <n v="2019"/>
    <n v="8"/>
    <x v="0"/>
    <x v="1"/>
    <x v="0"/>
    <s v="2019/2020"/>
    <b v="1"/>
    <b v="0"/>
    <b v="0"/>
    <x v="4"/>
    <n v="12508728000108"/>
    <x v="388"/>
    <x v="47"/>
    <x v="11"/>
    <n v="70"/>
    <x v="0"/>
    <x v="0"/>
    <n v="20"/>
    <n v="4"/>
  </r>
  <r>
    <n v="2019"/>
    <n v="8"/>
    <x v="0"/>
    <x v="1"/>
    <x v="0"/>
    <s v="2019/2020"/>
    <b v="1"/>
    <b v="0"/>
    <b v="0"/>
    <x v="12"/>
    <n v="12508728000108"/>
    <x v="388"/>
    <x v="47"/>
    <x v="11"/>
    <n v="70"/>
    <x v="0"/>
    <x v="0"/>
    <n v="20"/>
    <n v="4"/>
  </r>
  <r>
    <n v="2019"/>
    <n v="8"/>
    <x v="0"/>
    <x v="1"/>
    <x v="0"/>
    <s v="2019/2020"/>
    <b v="1"/>
    <b v="0"/>
    <b v="0"/>
    <x v="9"/>
    <n v="12568570000161"/>
    <x v="142"/>
    <x v="32"/>
    <x v="18"/>
    <n v="70"/>
    <x v="0"/>
    <x v="0"/>
    <n v="75"/>
    <n v="15"/>
  </r>
  <r>
    <n v="2019"/>
    <n v="8"/>
    <x v="0"/>
    <x v="1"/>
    <x v="0"/>
    <s v="2019/2020"/>
    <b v="1"/>
    <b v="0"/>
    <b v="0"/>
    <x v="9"/>
    <n v="12568570000161"/>
    <x v="142"/>
    <x v="32"/>
    <x v="18"/>
    <n v="70"/>
    <x v="0"/>
    <x v="0"/>
    <n v="150"/>
    <n v="30"/>
  </r>
  <r>
    <n v="2019"/>
    <n v="8"/>
    <x v="0"/>
    <x v="1"/>
    <x v="0"/>
    <s v="2019/2020"/>
    <b v="1"/>
    <b v="0"/>
    <b v="0"/>
    <x v="12"/>
    <n v="13016092000140"/>
    <x v="143"/>
    <x v="31"/>
    <x v="17"/>
    <n v="64"/>
    <x v="4"/>
    <x v="6"/>
    <n v="4"/>
    <n v="4"/>
  </r>
  <r>
    <n v="2019"/>
    <n v="8"/>
    <x v="0"/>
    <x v="1"/>
    <x v="0"/>
    <s v="2019/2020"/>
    <b v="1"/>
    <b v="0"/>
    <b v="0"/>
    <x v="12"/>
    <n v="13016092000140"/>
    <x v="143"/>
    <x v="31"/>
    <x v="17"/>
    <n v="64"/>
    <x v="4"/>
    <x v="6"/>
    <n v="6"/>
    <n v="6"/>
  </r>
  <r>
    <n v="2019"/>
    <n v="8"/>
    <x v="0"/>
    <x v="1"/>
    <x v="0"/>
    <s v="2019/2020"/>
    <b v="1"/>
    <b v="0"/>
    <b v="0"/>
    <x v="4"/>
    <n v="13016332000106"/>
    <x v="144"/>
    <x v="49"/>
    <x v="21"/>
    <n v="62"/>
    <x v="3"/>
    <x v="5"/>
    <n v="2"/>
    <n v="2"/>
  </r>
  <r>
    <n v="2019"/>
    <n v="8"/>
    <x v="0"/>
    <x v="1"/>
    <x v="0"/>
    <s v="2019/2020"/>
    <b v="1"/>
    <b v="0"/>
    <b v="0"/>
    <x v="11"/>
    <n v="13016332000106"/>
    <x v="144"/>
    <x v="49"/>
    <x v="21"/>
    <n v="62"/>
    <x v="3"/>
    <x v="5"/>
    <n v="1"/>
    <n v="1"/>
  </r>
  <r>
    <n v="2019"/>
    <n v="8"/>
    <x v="0"/>
    <x v="1"/>
    <x v="0"/>
    <s v="2019/2020"/>
    <b v="1"/>
    <b v="0"/>
    <b v="0"/>
    <x v="11"/>
    <n v="13016332000106"/>
    <x v="144"/>
    <x v="49"/>
    <x v="21"/>
    <n v="62"/>
    <x v="3"/>
    <x v="5"/>
    <n v="3"/>
    <n v="3"/>
  </r>
  <r>
    <n v="2019"/>
    <n v="8"/>
    <x v="0"/>
    <x v="1"/>
    <x v="0"/>
    <s v="2019/2020"/>
    <b v="1"/>
    <b v="0"/>
    <b v="0"/>
    <x v="18"/>
    <n v="13086053000119"/>
    <x v="389"/>
    <x v="49"/>
    <x v="21"/>
    <n v="70"/>
    <x v="0"/>
    <x v="0"/>
    <n v="5"/>
    <n v="1"/>
  </r>
  <r>
    <n v="2019"/>
    <n v="8"/>
    <x v="0"/>
    <x v="1"/>
    <x v="0"/>
    <s v="2019/2020"/>
    <b v="1"/>
    <b v="0"/>
    <b v="0"/>
    <x v="18"/>
    <n v="13131370000100"/>
    <x v="145"/>
    <x v="49"/>
    <x v="21"/>
    <n v="62"/>
    <x v="3"/>
    <x v="5"/>
    <n v="6"/>
    <n v="6"/>
  </r>
  <r>
    <n v="2019"/>
    <n v="8"/>
    <x v="0"/>
    <x v="1"/>
    <x v="0"/>
    <s v="2019/2020"/>
    <b v="1"/>
    <b v="0"/>
    <b v="0"/>
    <x v="18"/>
    <n v="13131370000100"/>
    <x v="145"/>
    <x v="49"/>
    <x v="21"/>
    <n v="70"/>
    <x v="0"/>
    <x v="0"/>
    <n v="100"/>
    <n v="20"/>
  </r>
  <r>
    <n v="2019"/>
    <n v="8"/>
    <x v="0"/>
    <x v="1"/>
    <x v="0"/>
    <s v="2019/2020"/>
    <b v="1"/>
    <b v="0"/>
    <b v="0"/>
    <x v="2"/>
    <n v="13131370000100"/>
    <x v="145"/>
    <x v="49"/>
    <x v="21"/>
    <n v="70"/>
    <x v="0"/>
    <x v="0"/>
    <n v="50"/>
    <n v="10"/>
  </r>
  <r>
    <n v="2019"/>
    <n v="8"/>
    <x v="0"/>
    <x v="1"/>
    <x v="0"/>
    <s v="2019/2020"/>
    <b v="1"/>
    <b v="0"/>
    <b v="0"/>
    <x v="2"/>
    <n v="13131370000100"/>
    <x v="145"/>
    <x v="49"/>
    <x v="21"/>
    <n v="70"/>
    <x v="0"/>
    <x v="0"/>
    <n v="250"/>
    <n v="50"/>
  </r>
  <r>
    <n v="2019"/>
    <n v="8"/>
    <x v="0"/>
    <x v="1"/>
    <x v="0"/>
    <s v="2019/2020"/>
    <b v="1"/>
    <b v="0"/>
    <b v="0"/>
    <x v="18"/>
    <n v="13131370000100"/>
    <x v="145"/>
    <x v="49"/>
    <x v="21"/>
    <n v="73"/>
    <x v="1"/>
    <x v="4"/>
    <n v="12"/>
    <n v="3"/>
  </r>
  <r>
    <n v="2019"/>
    <n v="8"/>
    <x v="0"/>
    <x v="1"/>
    <x v="0"/>
    <s v="2019/2020"/>
    <b v="1"/>
    <b v="0"/>
    <b v="0"/>
    <x v="18"/>
    <n v="13131370000100"/>
    <x v="145"/>
    <x v="49"/>
    <x v="21"/>
    <n v="73"/>
    <x v="1"/>
    <x v="1"/>
    <n v="8"/>
    <n v="4"/>
  </r>
  <r>
    <n v="2019"/>
    <n v="8"/>
    <x v="0"/>
    <x v="1"/>
    <x v="0"/>
    <s v="2019/2020"/>
    <b v="1"/>
    <b v="0"/>
    <b v="0"/>
    <x v="18"/>
    <n v="13131370000100"/>
    <x v="145"/>
    <x v="49"/>
    <x v="21"/>
    <n v="73"/>
    <x v="1"/>
    <x v="2"/>
    <n v="4"/>
    <n v="4"/>
  </r>
  <r>
    <n v="2019"/>
    <n v="8"/>
    <x v="0"/>
    <x v="1"/>
    <x v="0"/>
    <s v="2019/2020"/>
    <b v="1"/>
    <b v="0"/>
    <b v="0"/>
    <x v="18"/>
    <n v="13131370000100"/>
    <x v="145"/>
    <x v="49"/>
    <x v="21"/>
    <n v="73"/>
    <x v="1"/>
    <x v="1"/>
    <n v="20"/>
    <n v="10"/>
  </r>
  <r>
    <n v="2019"/>
    <n v="8"/>
    <x v="0"/>
    <x v="1"/>
    <x v="0"/>
    <s v="2019/2020"/>
    <b v="1"/>
    <b v="0"/>
    <b v="0"/>
    <x v="1"/>
    <n v="13262578000168"/>
    <x v="390"/>
    <x v="10"/>
    <x v="8"/>
    <n v="66"/>
    <x v="2"/>
    <x v="3"/>
    <n v="6"/>
    <n v="6"/>
  </r>
  <r>
    <n v="2019"/>
    <n v="8"/>
    <x v="0"/>
    <x v="1"/>
    <x v="0"/>
    <s v="2019/2020"/>
    <b v="1"/>
    <b v="0"/>
    <b v="0"/>
    <x v="12"/>
    <n v="13284872000170"/>
    <x v="146"/>
    <x v="52"/>
    <x v="17"/>
    <n v="70"/>
    <x v="0"/>
    <x v="0"/>
    <n v="30"/>
    <n v="6"/>
  </r>
  <r>
    <n v="2019"/>
    <n v="8"/>
    <x v="0"/>
    <x v="1"/>
    <x v="0"/>
    <s v="2019/2020"/>
    <b v="1"/>
    <b v="0"/>
    <b v="0"/>
    <x v="17"/>
    <n v="13718999000150"/>
    <x v="148"/>
    <x v="3"/>
    <x v="3"/>
    <n v="73"/>
    <x v="1"/>
    <x v="4"/>
    <n v="4"/>
    <n v="1"/>
  </r>
  <r>
    <n v="2019"/>
    <n v="8"/>
    <x v="0"/>
    <x v="1"/>
    <x v="0"/>
    <s v="2019/2020"/>
    <b v="1"/>
    <b v="0"/>
    <b v="0"/>
    <x v="17"/>
    <n v="13718999001041"/>
    <x v="149"/>
    <x v="33"/>
    <x v="3"/>
    <n v="73"/>
    <x v="1"/>
    <x v="4"/>
    <n v="4"/>
    <n v="1"/>
  </r>
  <r>
    <n v="2019"/>
    <n v="8"/>
    <x v="0"/>
    <x v="1"/>
    <x v="0"/>
    <s v="2019/2020"/>
    <b v="1"/>
    <b v="0"/>
    <b v="0"/>
    <x v="11"/>
    <n v="13952064000134"/>
    <x v="150"/>
    <x v="31"/>
    <x v="17"/>
    <n v="64"/>
    <x v="4"/>
    <x v="6"/>
    <n v="8"/>
    <n v="4"/>
  </r>
  <r>
    <n v="2019"/>
    <n v="8"/>
    <x v="0"/>
    <x v="1"/>
    <x v="0"/>
    <s v="2019/2020"/>
    <b v="1"/>
    <b v="0"/>
    <b v="0"/>
    <x v="7"/>
    <n v="14112023000100"/>
    <x v="391"/>
    <x v="102"/>
    <x v="1"/>
    <n v="70"/>
    <x v="0"/>
    <x v="7"/>
    <n v="10"/>
    <n v="1"/>
  </r>
  <r>
    <n v="2019"/>
    <n v="8"/>
    <x v="0"/>
    <x v="1"/>
    <x v="0"/>
    <s v="2019/2020"/>
    <b v="1"/>
    <b v="0"/>
    <b v="0"/>
    <x v="7"/>
    <n v="14112023000100"/>
    <x v="391"/>
    <x v="102"/>
    <x v="1"/>
    <n v="70"/>
    <x v="0"/>
    <x v="8"/>
    <n v="2.5"/>
    <n v="1"/>
  </r>
  <r>
    <n v="2019"/>
    <n v="8"/>
    <x v="0"/>
    <x v="1"/>
    <x v="0"/>
    <s v="2019/2020"/>
    <b v="1"/>
    <b v="0"/>
    <b v="0"/>
    <x v="7"/>
    <n v="14112023000100"/>
    <x v="391"/>
    <x v="102"/>
    <x v="1"/>
    <n v="70"/>
    <x v="0"/>
    <x v="0"/>
    <n v="5"/>
    <n v="1"/>
  </r>
  <r>
    <n v="2019"/>
    <n v="8"/>
    <x v="0"/>
    <x v="1"/>
    <x v="0"/>
    <s v="2019/2020"/>
    <b v="1"/>
    <b v="0"/>
    <b v="0"/>
    <x v="3"/>
    <n v="14408631000159"/>
    <x v="152"/>
    <x v="54"/>
    <x v="2"/>
    <n v="73"/>
    <x v="1"/>
    <x v="4"/>
    <n v="4"/>
    <n v="1"/>
  </r>
  <r>
    <n v="2019"/>
    <n v="8"/>
    <x v="0"/>
    <x v="1"/>
    <x v="0"/>
    <s v="2019/2020"/>
    <b v="1"/>
    <b v="0"/>
    <b v="0"/>
    <x v="3"/>
    <n v="14408631000159"/>
    <x v="152"/>
    <x v="54"/>
    <x v="2"/>
    <n v="73"/>
    <x v="1"/>
    <x v="1"/>
    <n v="4"/>
    <n v="2"/>
  </r>
  <r>
    <n v="2019"/>
    <n v="8"/>
    <x v="0"/>
    <x v="1"/>
    <x v="0"/>
    <s v="2019/2020"/>
    <b v="1"/>
    <b v="0"/>
    <b v="0"/>
    <x v="5"/>
    <n v="15126437000305"/>
    <x v="392"/>
    <x v="4"/>
    <x v="4"/>
    <n v="70"/>
    <x v="0"/>
    <x v="0"/>
    <n v="550"/>
    <n v="110"/>
  </r>
  <r>
    <n v="2019"/>
    <n v="8"/>
    <x v="0"/>
    <x v="1"/>
    <x v="0"/>
    <s v="2019/2020"/>
    <b v="1"/>
    <b v="0"/>
    <b v="0"/>
    <x v="1"/>
    <n v="15126437000496"/>
    <x v="155"/>
    <x v="25"/>
    <x v="16"/>
    <n v="62"/>
    <x v="3"/>
    <x v="5"/>
    <n v="3"/>
    <n v="1"/>
  </r>
  <r>
    <n v="2019"/>
    <n v="8"/>
    <x v="0"/>
    <x v="1"/>
    <x v="0"/>
    <s v="2019/2020"/>
    <b v="1"/>
    <b v="0"/>
    <b v="0"/>
    <x v="1"/>
    <n v="15126437000496"/>
    <x v="155"/>
    <x v="25"/>
    <x v="16"/>
    <n v="62"/>
    <x v="3"/>
    <x v="5"/>
    <n v="6"/>
    <n v="6"/>
  </r>
  <r>
    <n v="2019"/>
    <n v="8"/>
    <x v="0"/>
    <x v="1"/>
    <x v="0"/>
    <s v="2019/2020"/>
    <b v="1"/>
    <b v="0"/>
    <b v="0"/>
    <x v="1"/>
    <n v="15126437000496"/>
    <x v="155"/>
    <x v="25"/>
    <x v="16"/>
    <n v="64"/>
    <x v="4"/>
    <x v="6"/>
    <n v="4"/>
    <n v="2"/>
  </r>
  <r>
    <n v="2019"/>
    <n v="8"/>
    <x v="0"/>
    <x v="1"/>
    <x v="0"/>
    <s v="2019/2020"/>
    <b v="1"/>
    <b v="0"/>
    <b v="0"/>
    <x v="5"/>
    <n v="15126437001468"/>
    <x v="393"/>
    <x v="32"/>
    <x v="18"/>
    <n v="64"/>
    <x v="4"/>
    <x v="6"/>
    <n v="20"/>
    <n v="20"/>
  </r>
  <r>
    <n v="2019"/>
    <n v="8"/>
    <x v="0"/>
    <x v="1"/>
    <x v="0"/>
    <s v="2019/2020"/>
    <b v="1"/>
    <b v="0"/>
    <b v="0"/>
    <x v="16"/>
    <n v="15126437001972"/>
    <x v="157"/>
    <x v="47"/>
    <x v="11"/>
    <n v="62"/>
    <x v="3"/>
    <x v="5"/>
    <n v="15"/>
    <n v="15"/>
  </r>
  <r>
    <n v="2019"/>
    <n v="8"/>
    <x v="0"/>
    <x v="1"/>
    <x v="0"/>
    <s v="2019/2020"/>
    <b v="1"/>
    <b v="0"/>
    <b v="0"/>
    <x v="9"/>
    <n v="15140254000182"/>
    <x v="394"/>
    <x v="31"/>
    <x v="17"/>
    <n v="73"/>
    <x v="1"/>
    <x v="1"/>
    <n v="2"/>
    <n v="1"/>
  </r>
  <r>
    <n v="2019"/>
    <n v="8"/>
    <x v="0"/>
    <x v="1"/>
    <x v="0"/>
    <s v="2019/2020"/>
    <b v="1"/>
    <b v="0"/>
    <b v="0"/>
    <x v="9"/>
    <n v="15153745002705"/>
    <x v="159"/>
    <x v="31"/>
    <x v="17"/>
    <n v="64"/>
    <x v="4"/>
    <x v="6"/>
    <n v="10"/>
    <n v="10"/>
  </r>
  <r>
    <n v="2019"/>
    <n v="8"/>
    <x v="0"/>
    <x v="1"/>
    <x v="0"/>
    <s v="2019/2020"/>
    <b v="1"/>
    <b v="0"/>
    <b v="0"/>
    <x v="9"/>
    <n v="15166416000151"/>
    <x v="160"/>
    <x v="31"/>
    <x v="17"/>
    <n v="62"/>
    <x v="3"/>
    <x v="5"/>
    <n v="8"/>
    <n v="2"/>
  </r>
  <r>
    <n v="2019"/>
    <n v="8"/>
    <x v="0"/>
    <x v="1"/>
    <x v="0"/>
    <s v="2019/2020"/>
    <b v="1"/>
    <b v="0"/>
    <b v="0"/>
    <x v="9"/>
    <n v="15166416000151"/>
    <x v="160"/>
    <x v="31"/>
    <x v="17"/>
    <n v="64"/>
    <x v="4"/>
    <x v="6"/>
    <n v="5"/>
    <n v="1"/>
  </r>
  <r>
    <n v="2019"/>
    <n v="8"/>
    <x v="0"/>
    <x v="1"/>
    <x v="0"/>
    <s v="2019/2020"/>
    <b v="1"/>
    <b v="0"/>
    <b v="0"/>
    <x v="9"/>
    <n v="15166416000151"/>
    <x v="160"/>
    <x v="31"/>
    <x v="17"/>
    <n v="64"/>
    <x v="4"/>
    <x v="6"/>
    <n v="3"/>
    <n v="3"/>
  </r>
  <r>
    <n v="2019"/>
    <n v="8"/>
    <x v="0"/>
    <x v="1"/>
    <x v="0"/>
    <s v="2019/2020"/>
    <b v="1"/>
    <b v="0"/>
    <b v="0"/>
    <x v="9"/>
    <n v="15166416000151"/>
    <x v="160"/>
    <x v="31"/>
    <x v="17"/>
    <n v="64"/>
    <x v="4"/>
    <x v="6"/>
    <n v="4"/>
    <n v="4"/>
  </r>
  <r>
    <n v="2019"/>
    <n v="8"/>
    <x v="0"/>
    <x v="1"/>
    <x v="0"/>
    <s v="2019/2020"/>
    <b v="1"/>
    <b v="0"/>
    <b v="0"/>
    <x v="9"/>
    <n v="15166416000151"/>
    <x v="160"/>
    <x v="31"/>
    <x v="17"/>
    <n v="64"/>
    <x v="4"/>
    <x v="6"/>
    <n v="5"/>
    <n v="5"/>
  </r>
  <r>
    <n v="2019"/>
    <n v="8"/>
    <x v="0"/>
    <x v="1"/>
    <x v="0"/>
    <s v="2019/2020"/>
    <b v="1"/>
    <b v="0"/>
    <b v="0"/>
    <x v="9"/>
    <n v="15166416000151"/>
    <x v="160"/>
    <x v="31"/>
    <x v="17"/>
    <n v="64"/>
    <x v="4"/>
    <x v="6"/>
    <n v="12"/>
    <n v="6"/>
  </r>
  <r>
    <n v="2019"/>
    <n v="8"/>
    <x v="0"/>
    <x v="1"/>
    <x v="0"/>
    <s v="2019/2020"/>
    <b v="1"/>
    <b v="0"/>
    <b v="0"/>
    <x v="12"/>
    <n v="15194004000125"/>
    <x v="165"/>
    <x v="31"/>
    <x v="17"/>
    <n v="64"/>
    <x v="4"/>
    <x v="6"/>
    <n v="1"/>
    <n v="1"/>
  </r>
  <r>
    <n v="2019"/>
    <n v="8"/>
    <x v="0"/>
    <x v="1"/>
    <x v="0"/>
    <s v="2019/2020"/>
    <b v="1"/>
    <b v="0"/>
    <b v="0"/>
    <x v="12"/>
    <n v="15194004000125"/>
    <x v="165"/>
    <x v="31"/>
    <x v="17"/>
    <n v="64"/>
    <x v="4"/>
    <x v="6"/>
    <n v="4"/>
    <n v="4"/>
  </r>
  <r>
    <n v="2019"/>
    <n v="8"/>
    <x v="0"/>
    <x v="1"/>
    <x v="0"/>
    <s v="2019/2020"/>
    <b v="1"/>
    <b v="0"/>
    <b v="0"/>
    <x v="18"/>
    <n v="15592785000106"/>
    <x v="167"/>
    <x v="49"/>
    <x v="21"/>
    <n v="70"/>
    <x v="0"/>
    <x v="0"/>
    <n v="25"/>
    <n v="5"/>
  </r>
  <r>
    <n v="2019"/>
    <n v="8"/>
    <x v="0"/>
    <x v="1"/>
    <x v="0"/>
    <s v="2019/2020"/>
    <b v="1"/>
    <b v="0"/>
    <b v="0"/>
    <x v="9"/>
    <n v="16064313000577"/>
    <x v="395"/>
    <x v="49"/>
    <x v="21"/>
    <n v="73"/>
    <x v="1"/>
    <x v="1"/>
    <n v="8"/>
    <n v="4"/>
  </r>
  <r>
    <n v="2019"/>
    <n v="8"/>
    <x v="0"/>
    <x v="1"/>
    <x v="0"/>
    <s v="2019/2020"/>
    <b v="1"/>
    <b v="0"/>
    <b v="0"/>
    <x v="9"/>
    <n v="16064313000577"/>
    <x v="395"/>
    <x v="49"/>
    <x v="21"/>
    <n v="73"/>
    <x v="1"/>
    <x v="1"/>
    <n v="10"/>
    <n v="5"/>
  </r>
  <r>
    <n v="2019"/>
    <n v="8"/>
    <x v="0"/>
    <x v="1"/>
    <x v="0"/>
    <s v="2019/2020"/>
    <b v="1"/>
    <b v="0"/>
    <b v="0"/>
    <x v="9"/>
    <n v="16064313000577"/>
    <x v="395"/>
    <x v="49"/>
    <x v="21"/>
    <n v="73"/>
    <x v="1"/>
    <x v="2"/>
    <n v="5"/>
    <n v="5"/>
  </r>
  <r>
    <n v="2019"/>
    <n v="8"/>
    <x v="0"/>
    <x v="1"/>
    <x v="0"/>
    <s v="2019/2020"/>
    <b v="1"/>
    <b v="0"/>
    <b v="0"/>
    <x v="9"/>
    <n v="16475154000250"/>
    <x v="396"/>
    <x v="31"/>
    <x v="17"/>
    <n v="64"/>
    <x v="4"/>
    <x v="6"/>
    <n v="3"/>
    <n v="3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1"/>
    <n v="6"/>
    <n v="1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4"/>
    <n v="8"/>
    <n v="1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2"/>
    <n v="1"/>
    <n v="1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4"/>
    <n v="16"/>
    <n v="2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2"/>
    <n v="2"/>
    <n v="2"/>
  </r>
  <r>
    <n v="2019"/>
    <n v="8"/>
    <x v="0"/>
    <x v="1"/>
    <x v="0"/>
    <s v="2019/2020"/>
    <b v="1"/>
    <b v="0"/>
    <b v="0"/>
    <x v="8"/>
    <n v="16739984000167"/>
    <x v="169"/>
    <x v="4"/>
    <x v="4"/>
    <n v="73"/>
    <x v="1"/>
    <x v="2"/>
    <n v="3"/>
    <n v="3"/>
  </r>
  <r>
    <n v="2019"/>
    <n v="8"/>
    <x v="0"/>
    <x v="1"/>
    <x v="0"/>
    <s v="2019/2020"/>
    <b v="1"/>
    <b v="0"/>
    <b v="0"/>
    <x v="17"/>
    <n v="17214149000176"/>
    <x v="172"/>
    <x v="6"/>
    <x v="2"/>
    <n v="62"/>
    <x v="3"/>
    <x v="5"/>
    <n v="10"/>
    <n v="10"/>
  </r>
  <r>
    <n v="2019"/>
    <n v="8"/>
    <x v="0"/>
    <x v="1"/>
    <x v="0"/>
    <s v="2019/2020"/>
    <b v="1"/>
    <b v="0"/>
    <b v="0"/>
    <x v="11"/>
    <n v="17214149000176"/>
    <x v="172"/>
    <x v="6"/>
    <x v="2"/>
    <n v="62"/>
    <x v="3"/>
    <x v="5"/>
    <n v="8"/>
    <n v="8"/>
  </r>
  <r>
    <n v="2019"/>
    <n v="8"/>
    <x v="0"/>
    <x v="1"/>
    <x v="0"/>
    <s v="2019/2020"/>
    <b v="1"/>
    <b v="0"/>
    <b v="0"/>
    <x v="6"/>
    <n v="17689407000928"/>
    <x v="173"/>
    <x v="57"/>
    <x v="2"/>
    <n v="73"/>
    <x v="1"/>
    <x v="2"/>
    <n v="6"/>
    <n v="6"/>
  </r>
  <r>
    <n v="2019"/>
    <n v="8"/>
    <x v="0"/>
    <x v="1"/>
    <x v="0"/>
    <s v="2019/2020"/>
    <b v="1"/>
    <b v="0"/>
    <b v="0"/>
    <x v="12"/>
    <n v="17774738000613"/>
    <x v="397"/>
    <x v="103"/>
    <x v="2"/>
    <n v="70"/>
    <x v="0"/>
    <x v="0"/>
    <n v="5"/>
    <n v="1"/>
  </r>
  <r>
    <n v="2019"/>
    <n v="8"/>
    <x v="0"/>
    <x v="1"/>
    <x v="0"/>
    <s v="2019/2020"/>
    <b v="1"/>
    <b v="0"/>
    <b v="0"/>
    <x v="12"/>
    <n v="17774738000613"/>
    <x v="397"/>
    <x v="103"/>
    <x v="2"/>
    <n v="70"/>
    <x v="0"/>
    <x v="0"/>
    <n v="175"/>
    <n v="35"/>
  </r>
  <r>
    <n v="2019"/>
    <n v="8"/>
    <x v="0"/>
    <x v="1"/>
    <x v="0"/>
    <s v="2019/2020"/>
    <b v="1"/>
    <b v="0"/>
    <b v="0"/>
    <x v="12"/>
    <n v="18010750000100"/>
    <x v="174"/>
    <x v="0"/>
    <x v="0"/>
    <n v="70"/>
    <x v="0"/>
    <x v="0"/>
    <n v="125"/>
    <n v="25"/>
  </r>
  <r>
    <n v="2019"/>
    <n v="8"/>
    <x v="0"/>
    <x v="1"/>
    <x v="0"/>
    <s v="2019/2020"/>
    <b v="1"/>
    <b v="0"/>
    <b v="0"/>
    <x v="10"/>
    <n v="18010750000100"/>
    <x v="174"/>
    <x v="0"/>
    <x v="0"/>
    <n v="70"/>
    <x v="0"/>
    <x v="7"/>
    <n v="40"/>
    <n v="4"/>
  </r>
  <r>
    <n v="2019"/>
    <n v="8"/>
    <x v="0"/>
    <x v="1"/>
    <x v="0"/>
    <s v="2019/2020"/>
    <b v="1"/>
    <b v="0"/>
    <b v="0"/>
    <x v="10"/>
    <n v="18010750000100"/>
    <x v="174"/>
    <x v="0"/>
    <x v="0"/>
    <n v="70"/>
    <x v="0"/>
    <x v="7"/>
    <n v="100"/>
    <n v="5"/>
  </r>
  <r>
    <n v="2019"/>
    <n v="8"/>
    <x v="0"/>
    <x v="1"/>
    <x v="0"/>
    <s v="2019/2020"/>
    <b v="1"/>
    <b v="0"/>
    <b v="0"/>
    <x v="6"/>
    <n v="18290268000170"/>
    <x v="398"/>
    <x v="70"/>
    <x v="3"/>
    <n v="64"/>
    <x v="4"/>
    <x v="6"/>
    <n v="-2"/>
    <n v="-2"/>
  </r>
  <r>
    <n v="2019"/>
    <n v="8"/>
    <x v="0"/>
    <x v="1"/>
    <x v="0"/>
    <s v="2019/2020"/>
    <b v="1"/>
    <b v="0"/>
    <b v="0"/>
    <x v="6"/>
    <n v="18290268000170"/>
    <x v="398"/>
    <x v="70"/>
    <x v="3"/>
    <n v="64"/>
    <x v="4"/>
    <x v="6"/>
    <n v="2"/>
    <n v="2"/>
  </r>
  <r>
    <n v="2019"/>
    <n v="8"/>
    <x v="0"/>
    <x v="1"/>
    <x v="0"/>
    <s v="2019/2020"/>
    <b v="1"/>
    <b v="0"/>
    <b v="0"/>
    <x v="17"/>
    <n v="18321477000134"/>
    <x v="176"/>
    <x v="35"/>
    <x v="3"/>
    <n v="73"/>
    <x v="1"/>
    <x v="4"/>
    <n v="48"/>
    <n v="12"/>
  </r>
  <r>
    <n v="2019"/>
    <n v="8"/>
    <x v="0"/>
    <x v="1"/>
    <x v="0"/>
    <s v="2019/2020"/>
    <b v="1"/>
    <b v="0"/>
    <b v="0"/>
    <x v="11"/>
    <n v="18484378000173"/>
    <x v="177"/>
    <x v="56"/>
    <x v="2"/>
    <n v="62"/>
    <x v="3"/>
    <x v="5"/>
    <n v="2"/>
    <n v="2"/>
  </r>
  <r>
    <n v="2019"/>
    <n v="8"/>
    <x v="0"/>
    <x v="1"/>
    <x v="0"/>
    <s v="2019/2020"/>
    <b v="1"/>
    <b v="0"/>
    <b v="0"/>
    <x v="17"/>
    <n v="19056055000141"/>
    <x v="399"/>
    <x v="3"/>
    <x v="3"/>
    <n v="62"/>
    <x v="3"/>
    <x v="5"/>
    <n v="3"/>
    <n v="3"/>
  </r>
  <r>
    <n v="2019"/>
    <n v="8"/>
    <x v="0"/>
    <x v="1"/>
    <x v="0"/>
    <s v="2019/2020"/>
    <b v="1"/>
    <b v="0"/>
    <b v="0"/>
    <x v="6"/>
    <n v="19274091000181"/>
    <x v="400"/>
    <x v="104"/>
    <x v="2"/>
    <n v="70"/>
    <x v="0"/>
    <x v="0"/>
    <n v="140"/>
    <n v="28"/>
  </r>
  <r>
    <n v="2019"/>
    <n v="8"/>
    <x v="0"/>
    <x v="1"/>
    <x v="0"/>
    <s v="2019/2020"/>
    <b v="1"/>
    <b v="0"/>
    <b v="0"/>
    <x v="6"/>
    <n v="19803199000114"/>
    <x v="178"/>
    <x v="3"/>
    <x v="3"/>
    <n v="62"/>
    <x v="3"/>
    <x v="5"/>
    <n v="3"/>
    <n v="3"/>
  </r>
  <r>
    <n v="2019"/>
    <n v="8"/>
    <x v="0"/>
    <x v="1"/>
    <x v="0"/>
    <s v="2019/2020"/>
    <b v="1"/>
    <b v="0"/>
    <b v="0"/>
    <x v="6"/>
    <n v="19803199000114"/>
    <x v="178"/>
    <x v="3"/>
    <x v="3"/>
    <n v="64"/>
    <x v="4"/>
    <x v="6"/>
    <n v="2"/>
    <n v="2"/>
  </r>
  <r>
    <n v="2019"/>
    <n v="8"/>
    <x v="0"/>
    <x v="1"/>
    <x v="0"/>
    <s v="2019/2020"/>
    <b v="1"/>
    <b v="0"/>
    <b v="0"/>
    <x v="17"/>
    <n v="19803199000114"/>
    <x v="178"/>
    <x v="3"/>
    <x v="3"/>
    <n v="70"/>
    <x v="0"/>
    <x v="0"/>
    <n v="175"/>
    <n v="35"/>
  </r>
  <r>
    <n v="2019"/>
    <n v="8"/>
    <x v="0"/>
    <x v="1"/>
    <x v="0"/>
    <s v="2019/2020"/>
    <b v="1"/>
    <b v="0"/>
    <b v="0"/>
    <x v="17"/>
    <n v="19878404000100"/>
    <x v="179"/>
    <x v="58"/>
    <x v="2"/>
    <n v="73"/>
    <x v="1"/>
    <x v="4"/>
    <n v="80"/>
    <n v="20"/>
  </r>
  <r>
    <n v="2019"/>
    <n v="8"/>
    <x v="0"/>
    <x v="1"/>
    <x v="0"/>
    <s v="2019/2020"/>
    <b v="1"/>
    <b v="0"/>
    <b v="0"/>
    <x v="17"/>
    <n v="20812223000241"/>
    <x v="182"/>
    <x v="3"/>
    <x v="3"/>
    <n v="73"/>
    <x v="1"/>
    <x v="1"/>
    <n v="4"/>
    <n v="1"/>
  </r>
  <r>
    <n v="2019"/>
    <n v="8"/>
    <x v="0"/>
    <x v="1"/>
    <x v="0"/>
    <s v="2019/2020"/>
    <b v="1"/>
    <b v="0"/>
    <b v="0"/>
    <x v="17"/>
    <n v="20812223000241"/>
    <x v="182"/>
    <x v="3"/>
    <x v="3"/>
    <n v="73"/>
    <x v="1"/>
    <x v="4"/>
    <n v="16"/>
    <n v="2"/>
  </r>
  <r>
    <n v="2019"/>
    <n v="8"/>
    <x v="0"/>
    <x v="1"/>
    <x v="0"/>
    <s v="2019/2020"/>
    <b v="1"/>
    <b v="0"/>
    <b v="0"/>
    <x v="4"/>
    <n v="20909271000171"/>
    <x v="401"/>
    <x v="105"/>
    <x v="2"/>
    <n v="73"/>
    <x v="1"/>
    <x v="2"/>
    <n v="40"/>
    <n v="40"/>
  </r>
  <r>
    <n v="2019"/>
    <n v="8"/>
    <x v="0"/>
    <x v="1"/>
    <x v="0"/>
    <s v="2019/2020"/>
    <b v="1"/>
    <b v="0"/>
    <b v="0"/>
    <x v="11"/>
    <n v="20909271000171"/>
    <x v="401"/>
    <x v="105"/>
    <x v="2"/>
    <n v="73"/>
    <x v="1"/>
    <x v="2"/>
    <n v="11"/>
    <n v="11"/>
  </r>
  <r>
    <n v="2019"/>
    <n v="8"/>
    <x v="0"/>
    <x v="1"/>
    <x v="0"/>
    <s v="2019/2020"/>
    <b v="1"/>
    <b v="0"/>
    <b v="0"/>
    <x v="4"/>
    <n v="21040696000311"/>
    <x v="183"/>
    <x v="59"/>
    <x v="2"/>
    <n v="62"/>
    <x v="3"/>
    <x v="5"/>
    <n v="2"/>
    <n v="2"/>
  </r>
  <r>
    <n v="2019"/>
    <n v="8"/>
    <x v="0"/>
    <x v="1"/>
    <x v="0"/>
    <s v="2019/2020"/>
    <b v="1"/>
    <b v="0"/>
    <b v="0"/>
    <x v="4"/>
    <n v="21040696000311"/>
    <x v="183"/>
    <x v="59"/>
    <x v="2"/>
    <n v="62"/>
    <x v="3"/>
    <x v="5"/>
    <n v="3"/>
    <n v="3"/>
  </r>
  <r>
    <n v="2019"/>
    <n v="8"/>
    <x v="0"/>
    <x v="1"/>
    <x v="0"/>
    <s v="2019/2020"/>
    <b v="1"/>
    <b v="0"/>
    <b v="0"/>
    <x v="11"/>
    <n v="21040696000311"/>
    <x v="183"/>
    <x v="59"/>
    <x v="2"/>
    <n v="64"/>
    <x v="4"/>
    <x v="6"/>
    <n v="4"/>
    <n v="4"/>
  </r>
  <r>
    <n v="2019"/>
    <n v="8"/>
    <x v="0"/>
    <x v="1"/>
    <x v="0"/>
    <s v="2019/2020"/>
    <b v="1"/>
    <b v="0"/>
    <b v="0"/>
    <x v="8"/>
    <n v="21155621000114"/>
    <x v="402"/>
    <x v="106"/>
    <x v="7"/>
    <n v="70"/>
    <x v="0"/>
    <x v="0"/>
    <n v="40"/>
    <n v="8"/>
  </r>
  <r>
    <n v="2019"/>
    <n v="8"/>
    <x v="0"/>
    <x v="1"/>
    <x v="0"/>
    <s v="2019/2020"/>
    <b v="1"/>
    <b v="0"/>
    <b v="0"/>
    <x v="4"/>
    <n v="21265360000195"/>
    <x v="185"/>
    <x v="0"/>
    <x v="0"/>
    <n v="73"/>
    <x v="1"/>
    <x v="4"/>
    <n v="16"/>
    <n v="4"/>
  </r>
  <r>
    <n v="2019"/>
    <n v="8"/>
    <x v="0"/>
    <x v="1"/>
    <x v="0"/>
    <s v="2019/2020"/>
    <b v="1"/>
    <b v="0"/>
    <b v="0"/>
    <x v="17"/>
    <n v="21299615000130"/>
    <x v="403"/>
    <x v="107"/>
    <x v="2"/>
    <n v="66"/>
    <x v="2"/>
    <x v="3"/>
    <n v="6"/>
    <n v="6"/>
  </r>
  <r>
    <n v="2019"/>
    <n v="8"/>
    <x v="0"/>
    <x v="1"/>
    <x v="0"/>
    <s v="2019/2020"/>
    <b v="1"/>
    <b v="0"/>
    <b v="0"/>
    <x v="6"/>
    <n v="21371777000132"/>
    <x v="186"/>
    <x v="3"/>
    <x v="3"/>
    <n v="62"/>
    <x v="3"/>
    <x v="5"/>
    <n v="4"/>
    <n v="2"/>
  </r>
  <r>
    <n v="2019"/>
    <n v="8"/>
    <x v="0"/>
    <x v="1"/>
    <x v="0"/>
    <s v="2019/2020"/>
    <b v="1"/>
    <b v="0"/>
    <b v="0"/>
    <x v="6"/>
    <n v="21371777000132"/>
    <x v="186"/>
    <x v="3"/>
    <x v="3"/>
    <n v="62"/>
    <x v="3"/>
    <x v="5"/>
    <n v="12"/>
    <n v="6"/>
  </r>
  <r>
    <n v="2019"/>
    <n v="8"/>
    <x v="0"/>
    <x v="1"/>
    <x v="0"/>
    <s v="2019/2020"/>
    <b v="1"/>
    <b v="0"/>
    <b v="0"/>
    <x v="6"/>
    <n v="21371777000132"/>
    <x v="186"/>
    <x v="3"/>
    <x v="3"/>
    <n v="64"/>
    <x v="4"/>
    <x v="6"/>
    <n v="10"/>
    <n v="10"/>
  </r>
  <r>
    <n v="2019"/>
    <n v="8"/>
    <x v="0"/>
    <x v="1"/>
    <x v="0"/>
    <s v="2019/2020"/>
    <b v="1"/>
    <b v="0"/>
    <b v="0"/>
    <x v="6"/>
    <n v="21371777000132"/>
    <x v="186"/>
    <x v="3"/>
    <x v="3"/>
    <n v="64"/>
    <x v="4"/>
    <x v="6"/>
    <n v="28"/>
    <n v="14"/>
  </r>
  <r>
    <n v="2019"/>
    <n v="8"/>
    <x v="0"/>
    <x v="1"/>
    <x v="0"/>
    <s v="2019/2020"/>
    <b v="1"/>
    <b v="0"/>
    <b v="0"/>
    <x v="17"/>
    <n v="21371777000132"/>
    <x v="186"/>
    <x v="3"/>
    <x v="3"/>
    <n v="70"/>
    <x v="0"/>
    <x v="0"/>
    <n v="75"/>
    <n v="15"/>
  </r>
  <r>
    <n v="2019"/>
    <n v="8"/>
    <x v="0"/>
    <x v="1"/>
    <x v="0"/>
    <s v="2019/2020"/>
    <b v="1"/>
    <b v="0"/>
    <b v="0"/>
    <x v="17"/>
    <n v="21371777000132"/>
    <x v="186"/>
    <x v="3"/>
    <x v="3"/>
    <n v="70"/>
    <x v="0"/>
    <x v="0"/>
    <n v="250"/>
    <n v="50"/>
  </r>
  <r>
    <n v="2019"/>
    <n v="8"/>
    <x v="0"/>
    <x v="1"/>
    <x v="0"/>
    <s v="2019/2020"/>
    <b v="1"/>
    <b v="0"/>
    <b v="0"/>
    <x v="6"/>
    <n v="21371777000132"/>
    <x v="186"/>
    <x v="3"/>
    <x v="3"/>
    <n v="70"/>
    <x v="0"/>
    <x v="0"/>
    <n v="75"/>
    <n v="15"/>
  </r>
  <r>
    <n v="2019"/>
    <n v="8"/>
    <x v="0"/>
    <x v="1"/>
    <x v="0"/>
    <s v="2019/2020"/>
    <b v="1"/>
    <b v="0"/>
    <b v="0"/>
    <x v="6"/>
    <n v="21371777000132"/>
    <x v="186"/>
    <x v="3"/>
    <x v="3"/>
    <n v="70"/>
    <x v="0"/>
    <x v="0"/>
    <n v="200"/>
    <n v="20"/>
  </r>
  <r>
    <n v="2019"/>
    <n v="8"/>
    <x v="0"/>
    <x v="1"/>
    <x v="0"/>
    <s v="2019/2020"/>
    <b v="1"/>
    <b v="0"/>
    <b v="0"/>
    <x v="12"/>
    <n v="22400856000197"/>
    <x v="404"/>
    <x v="0"/>
    <x v="0"/>
    <n v="70"/>
    <x v="0"/>
    <x v="0"/>
    <n v="50"/>
    <n v="10"/>
  </r>
  <r>
    <n v="2019"/>
    <n v="8"/>
    <x v="0"/>
    <x v="1"/>
    <x v="0"/>
    <s v="2019/2020"/>
    <b v="1"/>
    <b v="0"/>
    <b v="0"/>
    <x v="4"/>
    <n v="23278898000160"/>
    <x v="188"/>
    <x v="61"/>
    <x v="2"/>
    <n v="70"/>
    <x v="0"/>
    <x v="0"/>
    <n v="120"/>
    <n v="24"/>
  </r>
  <r>
    <n v="2019"/>
    <n v="8"/>
    <x v="0"/>
    <x v="1"/>
    <x v="0"/>
    <s v="2019/2020"/>
    <b v="1"/>
    <b v="0"/>
    <b v="0"/>
    <x v="17"/>
    <n v="23406564000124"/>
    <x v="405"/>
    <x v="108"/>
    <x v="2"/>
    <n v="66"/>
    <x v="2"/>
    <x v="3"/>
    <n v="6"/>
    <n v="6"/>
  </r>
  <r>
    <n v="2019"/>
    <n v="8"/>
    <x v="0"/>
    <x v="1"/>
    <x v="0"/>
    <s v="2019/2020"/>
    <b v="1"/>
    <b v="0"/>
    <b v="0"/>
    <x v="5"/>
    <n v="24082016000159"/>
    <x v="406"/>
    <x v="109"/>
    <x v="3"/>
    <n v="70"/>
    <x v="0"/>
    <x v="0"/>
    <n v="2000"/>
    <n v="400"/>
  </r>
  <r>
    <n v="2019"/>
    <n v="8"/>
    <x v="0"/>
    <x v="1"/>
    <x v="0"/>
    <s v="2019/2020"/>
    <b v="1"/>
    <b v="0"/>
    <b v="0"/>
    <x v="3"/>
    <n v="24217779000160"/>
    <x v="190"/>
    <x v="0"/>
    <x v="0"/>
    <n v="64"/>
    <x v="4"/>
    <x v="6"/>
    <n v="1"/>
    <n v="1"/>
  </r>
  <r>
    <n v="2019"/>
    <n v="8"/>
    <x v="0"/>
    <x v="1"/>
    <x v="0"/>
    <s v="2019/2020"/>
    <b v="1"/>
    <b v="0"/>
    <b v="0"/>
    <x v="3"/>
    <n v="24217779000160"/>
    <x v="190"/>
    <x v="0"/>
    <x v="0"/>
    <n v="64"/>
    <x v="4"/>
    <x v="6"/>
    <n v="3"/>
    <n v="3"/>
  </r>
  <r>
    <n v="2019"/>
    <n v="8"/>
    <x v="0"/>
    <x v="1"/>
    <x v="0"/>
    <s v="2019/2020"/>
    <b v="1"/>
    <b v="0"/>
    <b v="0"/>
    <x v="9"/>
    <n v="24232886008303"/>
    <x v="191"/>
    <x v="63"/>
    <x v="1"/>
    <n v="64"/>
    <x v="4"/>
    <x v="6"/>
    <n v="2"/>
    <n v="2"/>
  </r>
  <r>
    <n v="2019"/>
    <n v="8"/>
    <x v="0"/>
    <x v="1"/>
    <x v="0"/>
    <s v="2019/2020"/>
    <b v="1"/>
    <b v="0"/>
    <b v="0"/>
    <x v="0"/>
    <n v="24464109000229"/>
    <x v="192"/>
    <x v="19"/>
    <x v="14"/>
    <n v="66"/>
    <x v="2"/>
    <x v="3"/>
    <n v="4"/>
    <n v="4"/>
  </r>
  <r>
    <n v="2019"/>
    <n v="8"/>
    <x v="0"/>
    <x v="1"/>
    <x v="0"/>
    <s v="2019/2020"/>
    <b v="1"/>
    <b v="0"/>
    <b v="0"/>
    <x v="6"/>
    <n v="25026561000190"/>
    <x v="194"/>
    <x v="65"/>
    <x v="3"/>
    <n v="70"/>
    <x v="0"/>
    <x v="0"/>
    <n v="20"/>
    <n v="4"/>
  </r>
  <r>
    <n v="2019"/>
    <n v="8"/>
    <x v="0"/>
    <x v="1"/>
    <x v="0"/>
    <s v="2019/2020"/>
    <b v="1"/>
    <b v="0"/>
    <b v="0"/>
    <x v="26"/>
    <n v="25415993000193"/>
    <x v="407"/>
    <x v="57"/>
    <x v="2"/>
    <n v="62"/>
    <x v="3"/>
    <x v="5"/>
    <n v="3"/>
    <n v="3"/>
  </r>
  <r>
    <n v="2019"/>
    <n v="8"/>
    <x v="0"/>
    <x v="1"/>
    <x v="0"/>
    <s v="2019/2020"/>
    <b v="1"/>
    <b v="0"/>
    <b v="0"/>
    <x v="11"/>
    <n v="25761040000187"/>
    <x v="408"/>
    <x v="56"/>
    <x v="2"/>
    <n v="62"/>
    <x v="3"/>
    <x v="5"/>
    <n v="2"/>
    <n v="2"/>
  </r>
  <r>
    <n v="2019"/>
    <n v="8"/>
    <x v="0"/>
    <x v="1"/>
    <x v="0"/>
    <s v="2019/2020"/>
    <b v="1"/>
    <b v="0"/>
    <b v="0"/>
    <x v="5"/>
    <n v="27080605000358"/>
    <x v="409"/>
    <x v="110"/>
    <x v="13"/>
    <n v="70"/>
    <x v="0"/>
    <x v="0"/>
    <n v="300"/>
    <n v="60"/>
  </r>
  <r>
    <n v="2019"/>
    <n v="8"/>
    <x v="0"/>
    <x v="1"/>
    <x v="0"/>
    <s v="2019/2020"/>
    <b v="1"/>
    <b v="0"/>
    <b v="0"/>
    <x v="2"/>
    <n v="27372066000169"/>
    <x v="198"/>
    <x v="31"/>
    <x v="17"/>
    <n v="64"/>
    <x v="4"/>
    <x v="6"/>
    <n v="4"/>
    <n v="4"/>
  </r>
  <r>
    <n v="2019"/>
    <n v="8"/>
    <x v="0"/>
    <x v="1"/>
    <x v="0"/>
    <s v="2019/2020"/>
    <b v="1"/>
    <b v="0"/>
    <b v="0"/>
    <x v="17"/>
    <n v="27578434001525"/>
    <x v="410"/>
    <x v="66"/>
    <x v="13"/>
    <n v="66"/>
    <x v="2"/>
    <x v="3"/>
    <n v="3"/>
    <n v="3"/>
  </r>
  <r>
    <n v="2019"/>
    <n v="8"/>
    <x v="0"/>
    <x v="1"/>
    <x v="0"/>
    <s v="2019/2020"/>
    <b v="1"/>
    <b v="0"/>
    <b v="0"/>
    <x v="11"/>
    <n v="27578434001525"/>
    <x v="410"/>
    <x v="66"/>
    <x v="13"/>
    <n v="66"/>
    <x v="2"/>
    <x v="3"/>
    <n v="1"/>
    <n v="1"/>
  </r>
  <r>
    <n v="2019"/>
    <n v="8"/>
    <x v="0"/>
    <x v="1"/>
    <x v="0"/>
    <s v="2019/2020"/>
    <b v="1"/>
    <b v="0"/>
    <b v="0"/>
    <x v="8"/>
    <n v="27578434001525"/>
    <x v="410"/>
    <x v="66"/>
    <x v="13"/>
    <n v="70"/>
    <x v="0"/>
    <x v="0"/>
    <n v="1500"/>
    <n v="300"/>
  </r>
  <r>
    <n v="2019"/>
    <n v="8"/>
    <x v="0"/>
    <x v="1"/>
    <x v="0"/>
    <s v="2019/2020"/>
    <b v="1"/>
    <b v="0"/>
    <b v="0"/>
    <x v="8"/>
    <n v="28000107000159"/>
    <x v="200"/>
    <x v="0"/>
    <x v="0"/>
    <n v="70"/>
    <x v="0"/>
    <x v="0"/>
    <n v="90"/>
    <n v="6"/>
  </r>
  <r>
    <n v="2019"/>
    <n v="8"/>
    <x v="0"/>
    <x v="1"/>
    <x v="0"/>
    <s v="2019/2020"/>
    <b v="1"/>
    <b v="0"/>
    <b v="0"/>
    <x v="8"/>
    <n v="28000107000159"/>
    <x v="200"/>
    <x v="0"/>
    <x v="0"/>
    <n v="73"/>
    <x v="1"/>
    <x v="4"/>
    <n v="28"/>
    <n v="7"/>
  </r>
  <r>
    <n v="2019"/>
    <n v="8"/>
    <x v="0"/>
    <x v="1"/>
    <x v="0"/>
    <s v="2019/2020"/>
    <b v="1"/>
    <b v="0"/>
    <b v="0"/>
    <x v="8"/>
    <n v="28000107000159"/>
    <x v="200"/>
    <x v="0"/>
    <x v="0"/>
    <n v="73"/>
    <x v="1"/>
    <x v="4"/>
    <n v="48"/>
    <n v="12"/>
  </r>
  <r>
    <n v="2019"/>
    <n v="8"/>
    <x v="0"/>
    <x v="1"/>
    <x v="0"/>
    <s v="2019/2020"/>
    <b v="1"/>
    <b v="0"/>
    <b v="0"/>
    <x v="7"/>
    <n v="28000107000159"/>
    <x v="200"/>
    <x v="0"/>
    <x v="0"/>
    <n v="73"/>
    <x v="1"/>
    <x v="1"/>
    <n v="8"/>
    <n v="1"/>
  </r>
  <r>
    <n v="2019"/>
    <n v="8"/>
    <x v="0"/>
    <x v="1"/>
    <x v="0"/>
    <s v="2019/2020"/>
    <b v="1"/>
    <b v="0"/>
    <b v="0"/>
    <x v="7"/>
    <n v="28000107000159"/>
    <x v="200"/>
    <x v="0"/>
    <x v="0"/>
    <n v="73"/>
    <x v="1"/>
    <x v="4"/>
    <n v="56"/>
    <n v="7"/>
  </r>
  <r>
    <n v="2019"/>
    <n v="8"/>
    <x v="0"/>
    <x v="1"/>
    <x v="0"/>
    <s v="2019/2020"/>
    <b v="1"/>
    <b v="0"/>
    <b v="0"/>
    <x v="10"/>
    <n v="28290788000137"/>
    <x v="202"/>
    <x v="3"/>
    <x v="3"/>
    <n v="62"/>
    <x v="3"/>
    <x v="5"/>
    <n v="5"/>
    <n v="5"/>
  </r>
  <r>
    <n v="2019"/>
    <n v="8"/>
    <x v="0"/>
    <x v="1"/>
    <x v="0"/>
    <s v="2019/2020"/>
    <b v="1"/>
    <b v="0"/>
    <b v="0"/>
    <x v="2"/>
    <n v="28290788000137"/>
    <x v="202"/>
    <x v="3"/>
    <x v="3"/>
    <n v="64"/>
    <x v="4"/>
    <x v="6"/>
    <n v="5"/>
    <n v="5"/>
  </r>
  <r>
    <n v="2019"/>
    <n v="8"/>
    <x v="0"/>
    <x v="1"/>
    <x v="0"/>
    <s v="2019/2020"/>
    <b v="1"/>
    <b v="0"/>
    <b v="0"/>
    <x v="8"/>
    <n v="28290788000307"/>
    <x v="203"/>
    <x v="3"/>
    <x v="3"/>
    <n v="73"/>
    <x v="1"/>
    <x v="4"/>
    <n v="20"/>
    <n v="5"/>
  </r>
  <r>
    <n v="2019"/>
    <n v="8"/>
    <x v="0"/>
    <x v="1"/>
    <x v="0"/>
    <s v="2019/2020"/>
    <b v="1"/>
    <b v="0"/>
    <b v="0"/>
    <x v="4"/>
    <n v="28602407000108"/>
    <x v="205"/>
    <x v="0"/>
    <x v="0"/>
    <n v="73"/>
    <x v="1"/>
    <x v="1"/>
    <n v="4"/>
    <n v="2"/>
  </r>
  <r>
    <n v="2019"/>
    <n v="8"/>
    <x v="0"/>
    <x v="1"/>
    <x v="0"/>
    <s v="2019/2020"/>
    <b v="1"/>
    <b v="0"/>
    <b v="0"/>
    <x v="10"/>
    <n v="28806545000532"/>
    <x v="206"/>
    <x v="67"/>
    <x v="0"/>
    <n v="73"/>
    <x v="1"/>
    <x v="4"/>
    <n v="24"/>
    <n v="6"/>
  </r>
  <r>
    <n v="2019"/>
    <n v="8"/>
    <x v="0"/>
    <x v="1"/>
    <x v="0"/>
    <s v="2019/2020"/>
    <b v="1"/>
    <b v="0"/>
    <b v="0"/>
    <x v="10"/>
    <n v="28806545000532"/>
    <x v="206"/>
    <x v="67"/>
    <x v="0"/>
    <n v="73"/>
    <x v="1"/>
    <x v="4"/>
    <n v="72"/>
    <n v="18"/>
  </r>
  <r>
    <n v="2019"/>
    <n v="8"/>
    <x v="0"/>
    <x v="1"/>
    <x v="0"/>
    <s v="2019/2020"/>
    <b v="1"/>
    <b v="0"/>
    <b v="0"/>
    <x v="10"/>
    <n v="29135795000208"/>
    <x v="208"/>
    <x v="69"/>
    <x v="0"/>
    <n v="70"/>
    <x v="0"/>
    <x v="0"/>
    <n v="200"/>
    <n v="40"/>
  </r>
  <r>
    <n v="2019"/>
    <n v="8"/>
    <x v="0"/>
    <x v="1"/>
    <x v="0"/>
    <s v="2019/2020"/>
    <b v="1"/>
    <b v="0"/>
    <b v="0"/>
    <x v="7"/>
    <n v="29135795000208"/>
    <x v="208"/>
    <x v="69"/>
    <x v="0"/>
    <n v="70"/>
    <x v="0"/>
    <x v="0"/>
    <n v="75"/>
    <n v="15"/>
  </r>
  <r>
    <n v="2019"/>
    <n v="8"/>
    <x v="0"/>
    <x v="1"/>
    <x v="0"/>
    <s v="2019/2020"/>
    <b v="1"/>
    <b v="0"/>
    <b v="0"/>
    <x v="17"/>
    <n v="29259736000403"/>
    <x v="209"/>
    <x v="0"/>
    <x v="0"/>
    <n v="62"/>
    <x v="3"/>
    <x v="5"/>
    <n v="45"/>
    <n v="45"/>
  </r>
  <r>
    <n v="2019"/>
    <n v="8"/>
    <x v="0"/>
    <x v="1"/>
    <x v="0"/>
    <s v="2019/2020"/>
    <b v="1"/>
    <b v="0"/>
    <b v="0"/>
    <x v="0"/>
    <n v="29259736000403"/>
    <x v="209"/>
    <x v="0"/>
    <x v="0"/>
    <n v="62"/>
    <x v="3"/>
    <x v="5"/>
    <n v="11"/>
    <n v="11"/>
  </r>
  <r>
    <n v="2019"/>
    <n v="8"/>
    <x v="0"/>
    <x v="1"/>
    <x v="0"/>
    <s v="2019/2020"/>
    <b v="1"/>
    <b v="0"/>
    <b v="0"/>
    <x v="2"/>
    <n v="29259736000403"/>
    <x v="209"/>
    <x v="0"/>
    <x v="0"/>
    <n v="64"/>
    <x v="4"/>
    <x v="6"/>
    <n v="2"/>
    <n v="2"/>
  </r>
  <r>
    <n v="2019"/>
    <n v="8"/>
    <x v="0"/>
    <x v="1"/>
    <x v="0"/>
    <s v="2019/2020"/>
    <b v="1"/>
    <b v="0"/>
    <b v="0"/>
    <x v="10"/>
    <n v="29259736000403"/>
    <x v="209"/>
    <x v="0"/>
    <x v="0"/>
    <n v="73"/>
    <x v="1"/>
    <x v="4"/>
    <n v="16"/>
    <n v="4"/>
  </r>
  <r>
    <n v="2019"/>
    <n v="8"/>
    <x v="0"/>
    <x v="1"/>
    <x v="0"/>
    <s v="2019/2020"/>
    <b v="1"/>
    <b v="0"/>
    <b v="0"/>
    <x v="4"/>
    <n v="29435005002687"/>
    <x v="210"/>
    <x v="3"/>
    <x v="3"/>
    <n v="70"/>
    <x v="0"/>
    <x v="0"/>
    <n v="150"/>
    <n v="30"/>
  </r>
  <r>
    <n v="2019"/>
    <n v="8"/>
    <x v="0"/>
    <x v="1"/>
    <x v="0"/>
    <s v="2019/2020"/>
    <b v="1"/>
    <b v="0"/>
    <b v="0"/>
    <x v="4"/>
    <n v="29435005002687"/>
    <x v="210"/>
    <x v="3"/>
    <x v="3"/>
    <n v="70"/>
    <x v="0"/>
    <x v="0"/>
    <n v="300"/>
    <n v="60"/>
  </r>
  <r>
    <n v="2019"/>
    <n v="8"/>
    <x v="0"/>
    <x v="1"/>
    <x v="0"/>
    <s v="2019/2020"/>
    <b v="1"/>
    <b v="0"/>
    <b v="0"/>
    <x v="4"/>
    <n v="29435005002687"/>
    <x v="210"/>
    <x v="3"/>
    <x v="3"/>
    <n v="70"/>
    <x v="0"/>
    <x v="0"/>
    <n v="400"/>
    <n v="80"/>
  </r>
  <r>
    <n v="2019"/>
    <n v="8"/>
    <x v="0"/>
    <x v="1"/>
    <x v="0"/>
    <s v="2019/2020"/>
    <b v="1"/>
    <b v="0"/>
    <b v="0"/>
    <x v="4"/>
    <n v="29435005002687"/>
    <x v="210"/>
    <x v="3"/>
    <x v="3"/>
    <n v="70"/>
    <x v="0"/>
    <x v="0"/>
    <n v="500"/>
    <n v="100"/>
  </r>
  <r>
    <n v="2019"/>
    <n v="8"/>
    <x v="0"/>
    <x v="1"/>
    <x v="0"/>
    <s v="2019/2020"/>
    <b v="1"/>
    <b v="0"/>
    <b v="0"/>
    <x v="4"/>
    <n v="29435005003497"/>
    <x v="411"/>
    <x v="34"/>
    <x v="0"/>
    <n v="70"/>
    <x v="0"/>
    <x v="0"/>
    <n v="150"/>
    <n v="30"/>
  </r>
  <r>
    <n v="2019"/>
    <n v="8"/>
    <x v="0"/>
    <x v="1"/>
    <x v="0"/>
    <s v="2019/2020"/>
    <b v="1"/>
    <b v="0"/>
    <b v="0"/>
    <x v="4"/>
    <n v="29435005004620"/>
    <x v="212"/>
    <x v="4"/>
    <x v="4"/>
    <n v="64"/>
    <x v="4"/>
    <x v="6"/>
    <n v="3"/>
    <n v="3"/>
  </r>
  <r>
    <n v="2019"/>
    <n v="8"/>
    <x v="0"/>
    <x v="1"/>
    <x v="0"/>
    <s v="2019/2020"/>
    <b v="1"/>
    <b v="0"/>
    <b v="0"/>
    <x v="4"/>
    <n v="29435005004620"/>
    <x v="212"/>
    <x v="4"/>
    <x v="4"/>
    <n v="64"/>
    <x v="4"/>
    <x v="6"/>
    <n v="5"/>
    <n v="5"/>
  </r>
  <r>
    <n v="2019"/>
    <n v="8"/>
    <x v="0"/>
    <x v="1"/>
    <x v="0"/>
    <s v="2019/2020"/>
    <b v="1"/>
    <b v="0"/>
    <b v="0"/>
    <x v="4"/>
    <n v="29435005004620"/>
    <x v="212"/>
    <x v="4"/>
    <x v="4"/>
    <n v="64"/>
    <x v="4"/>
    <x v="6"/>
    <n v="12"/>
    <n v="6"/>
  </r>
  <r>
    <n v="2019"/>
    <n v="8"/>
    <x v="0"/>
    <x v="1"/>
    <x v="0"/>
    <s v="2019/2020"/>
    <b v="1"/>
    <b v="0"/>
    <b v="0"/>
    <x v="4"/>
    <n v="29435005004620"/>
    <x v="212"/>
    <x v="4"/>
    <x v="4"/>
    <n v="64"/>
    <x v="4"/>
    <x v="6"/>
    <n v="10"/>
    <n v="10"/>
  </r>
  <r>
    <n v="2019"/>
    <n v="8"/>
    <x v="0"/>
    <x v="1"/>
    <x v="0"/>
    <s v="2019/2020"/>
    <b v="1"/>
    <b v="0"/>
    <b v="0"/>
    <x v="4"/>
    <n v="29435005005198"/>
    <x v="213"/>
    <x v="0"/>
    <x v="0"/>
    <n v="70"/>
    <x v="0"/>
    <x v="0"/>
    <n v="200"/>
    <n v="40"/>
  </r>
  <r>
    <n v="2019"/>
    <n v="8"/>
    <x v="0"/>
    <x v="1"/>
    <x v="0"/>
    <s v="2019/2020"/>
    <b v="1"/>
    <b v="0"/>
    <b v="0"/>
    <x v="4"/>
    <n v="29435005005279"/>
    <x v="412"/>
    <x v="0"/>
    <x v="0"/>
    <n v="64"/>
    <x v="4"/>
    <x v="6"/>
    <n v="5"/>
    <n v="5"/>
  </r>
  <r>
    <n v="2019"/>
    <n v="8"/>
    <x v="0"/>
    <x v="1"/>
    <x v="0"/>
    <s v="2019/2020"/>
    <b v="1"/>
    <b v="0"/>
    <b v="0"/>
    <x v="4"/>
    <n v="29435005005600"/>
    <x v="214"/>
    <x v="13"/>
    <x v="6"/>
    <n v="70"/>
    <x v="0"/>
    <x v="0"/>
    <n v="95"/>
    <n v="19"/>
  </r>
  <r>
    <n v="2019"/>
    <n v="8"/>
    <x v="0"/>
    <x v="1"/>
    <x v="0"/>
    <s v="2019/2020"/>
    <b v="1"/>
    <b v="0"/>
    <b v="0"/>
    <x v="4"/>
    <n v="29435005005600"/>
    <x v="214"/>
    <x v="13"/>
    <x v="6"/>
    <n v="70"/>
    <x v="0"/>
    <x v="0"/>
    <n v="160"/>
    <n v="32"/>
  </r>
  <r>
    <n v="2019"/>
    <n v="8"/>
    <x v="0"/>
    <x v="1"/>
    <x v="0"/>
    <s v="2019/2020"/>
    <b v="1"/>
    <b v="0"/>
    <b v="0"/>
    <x v="4"/>
    <n v="29435005005783"/>
    <x v="215"/>
    <x v="0"/>
    <x v="0"/>
    <n v="70"/>
    <x v="0"/>
    <x v="0"/>
    <n v="25"/>
    <n v="5"/>
  </r>
  <r>
    <n v="2019"/>
    <n v="8"/>
    <x v="0"/>
    <x v="1"/>
    <x v="0"/>
    <s v="2019/2020"/>
    <b v="1"/>
    <b v="0"/>
    <b v="0"/>
    <x v="4"/>
    <n v="29435005005783"/>
    <x v="215"/>
    <x v="0"/>
    <x v="0"/>
    <n v="70"/>
    <x v="0"/>
    <x v="0"/>
    <n v="150"/>
    <n v="30"/>
  </r>
  <r>
    <n v="2019"/>
    <n v="8"/>
    <x v="0"/>
    <x v="1"/>
    <x v="0"/>
    <s v="2019/2020"/>
    <b v="1"/>
    <b v="0"/>
    <b v="0"/>
    <x v="4"/>
    <n v="29435005005783"/>
    <x v="215"/>
    <x v="0"/>
    <x v="0"/>
    <n v="70"/>
    <x v="0"/>
    <x v="0"/>
    <n v="210"/>
    <n v="42"/>
  </r>
  <r>
    <n v="2019"/>
    <n v="8"/>
    <x v="0"/>
    <x v="1"/>
    <x v="0"/>
    <s v="2019/2020"/>
    <b v="1"/>
    <b v="0"/>
    <b v="0"/>
    <x v="4"/>
    <n v="29435005006160"/>
    <x v="216"/>
    <x v="0"/>
    <x v="0"/>
    <n v="62"/>
    <x v="3"/>
    <x v="5"/>
    <n v="4"/>
    <n v="4"/>
  </r>
  <r>
    <n v="2019"/>
    <n v="8"/>
    <x v="0"/>
    <x v="1"/>
    <x v="0"/>
    <s v="2019/2020"/>
    <b v="1"/>
    <b v="0"/>
    <b v="0"/>
    <x v="4"/>
    <n v="29435005006160"/>
    <x v="216"/>
    <x v="0"/>
    <x v="0"/>
    <n v="64"/>
    <x v="4"/>
    <x v="6"/>
    <n v="4"/>
    <n v="4"/>
  </r>
  <r>
    <n v="2019"/>
    <n v="8"/>
    <x v="0"/>
    <x v="1"/>
    <x v="0"/>
    <s v="2019/2020"/>
    <b v="1"/>
    <b v="0"/>
    <b v="0"/>
    <x v="4"/>
    <n v="29435005006160"/>
    <x v="216"/>
    <x v="0"/>
    <x v="0"/>
    <n v="64"/>
    <x v="4"/>
    <x v="6"/>
    <n v="10"/>
    <n v="10"/>
  </r>
  <r>
    <n v="2019"/>
    <n v="8"/>
    <x v="0"/>
    <x v="1"/>
    <x v="0"/>
    <s v="2019/2020"/>
    <b v="1"/>
    <b v="0"/>
    <b v="0"/>
    <x v="4"/>
    <n v="29435005007484"/>
    <x v="217"/>
    <x v="32"/>
    <x v="18"/>
    <n v="70"/>
    <x v="0"/>
    <x v="0"/>
    <n v="100"/>
    <n v="20"/>
  </r>
  <r>
    <n v="2019"/>
    <n v="8"/>
    <x v="0"/>
    <x v="1"/>
    <x v="0"/>
    <s v="2019/2020"/>
    <b v="1"/>
    <b v="0"/>
    <b v="0"/>
    <x v="4"/>
    <n v="29435005008294"/>
    <x v="219"/>
    <x v="71"/>
    <x v="3"/>
    <n v="70"/>
    <x v="0"/>
    <x v="0"/>
    <n v="50"/>
    <n v="10"/>
  </r>
  <r>
    <n v="2019"/>
    <n v="8"/>
    <x v="0"/>
    <x v="1"/>
    <x v="0"/>
    <s v="2019/2020"/>
    <b v="1"/>
    <b v="0"/>
    <b v="0"/>
    <x v="4"/>
    <n v="29435005008294"/>
    <x v="219"/>
    <x v="71"/>
    <x v="3"/>
    <n v="70"/>
    <x v="0"/>
    <x v="0"/>
    <n v="100"/>
    <n v="20"/>
  </r>
  <r>
    <n v="2019"/>
    <n v="8"/>
    <x v="0"/>
    <x v="1"/>
    <x v="0"/>
    <s v="2019/2020"/>
    <b v="1"/>
    <b v="0"/>
    <b v="0"/>
    <x v="4"/>
    <n v="29435005008456"/>
    <x v="220"/>
    <x v="48"/>
    <x v="3"/>
    <n v="70"/>
    <x v="0"/>
    <x v="0"/>
    <n v="35"/>
    <n v="7"/>
  </r>
  <r>
    <n v="2019"/>
    <n v="8"/>
    <x v="0"/>
    <x v="1"/>
    <x v="0"/>
    <s v="2019/2020"/>
    <b v="1"/>
    <b v="0"/>
    <b v="0"/>
    <x v="4"/>
    <n v="29435005009851"/>
    <x v="221"/>
    <x v="10"/>
    <x v="8"/>
    <n v="64"/>
    <x v="4"/>
    <x v="6"/>
    <n v="15"/>
    <n v="15"/>
  </r>
  <r>
    <n v="2019"/>
    <n v="8"/>
    <x v="0"/>
    <x v="1"/>
    <x v="0"/>
    <s v="2019/2020"/>
    <b v="1"/>
    <b v="0"/>
    <b v="0"/>
    <x v="4"/>
    <n v="29435005009851"/>
    <x v="221"/>
    <x v="10"/>
    <x v="8"/>
    <n v="70"/>
    <x v="0"/>
    <x v="0"/>
    <n v="50"/>
    <n v="5"/>
  </r>
  <r>
    <n v="2019"/>
    <n v="8"/>
    <x v="0"/>
    <x v="1"/>
    <x v="0"/>
    <s v="2019/2020"/>
    <b v="1"/>
    <b v="0"/>
    <b v="0"/>
    <x v="4"/>
    <n v="29435005009851"/>
    <x v="221"/>
    <x v="10"/>
    <x v="8"/>
    <n v="70"/>
    <x v="0"/>
    <x v="0"/>
    <n v="150"/>
    <n v="30"/>
  </r>
  <r>
    <n v="2019"/>
    <n v="8"/>
    <x v="0"/>
    <x v="1"/>
    <x v="0"/>
    <s v="2019/2020"/>
    <b v="1"/>
    <b v="0"/>
    <b v="0"/>
    <x v="4"/>
    <n v="29435005009932"/>
    <x v="222"/>
    <x v="3"/>
    <x v="3"/>
    <n v="62"/>
    <x v="3"/>
    <x v="5"/>
    <n v="2"/>
    <n v="2"/>
  </r>
  <r>
    <n v="2019"/>
    <n v="8"/>
    <x v="0"/>
    <x v="1"/>
    <x v="0"/>
    <s v="2019/2020"/>
    <b v="1"/>
    <b v="0"/>
    <b v="0"/>
    <x v="4"/>
    <n v="29435005009932"/>
    <x v="222"/>
    <x v="3"/>
    <x v="3"/>
    <n v="62"/>
    <x v="3"/>
    <x v="5"/>
    <n v="5"/>
    <n v="5"/>
  </r>
  <r>
    <n v="2019"/>
    <n v="8"/>
    <x v="0"/>
    <x v="1"/>
    <x v="0"/>
    <s v="2019/2020"/>
    <b v="1"/>
    <b v="0"/>
    <b v="0"/>
    <x v="4"/>
    <n v="29435005009932"/>
    <x v="222"/>
    <x v="3"/>
    <x v="3"/>
    <n v="62"/>
    <x v="3"/>
    <x v="5"/>
    <n v="6"/>
    <n v="6"/>
  </r>
  <r>
    <n v="2019"/>
    <n v="8"/>
    <x v="0"/>
    <x v="1"/>
    <x v="0"/>
    <s v="2019/2020"/>
    <b v="1"/>
    <b v="0"/>
    <b v="0"/>
    <x v="4"/>
    <n v="29435005009932"/>
    <x v="222"/>
    <x v="3"/>
    <x v="3"/>
    <n v="70"/>
    <x v="0"/>
    <x v="0"/>
    <n v="250"/>
    <n v="50"/>
  </r>
  <r>
    <n v="2019"/>
    <n v="8"/>
    <x v="0"/>
    <x v="1"/>
    <x v="0"/>
    <s v="2019/2020"/>
    <b v="1"/>
    <b v="0"/>
    <b v="0"/>
    <x v="4"/>
    <n v="29435005009932"/>
    <x v="222"/>
    <x v="3"/>
    <x v="3"/>
    <n v="70"/>
    <x v="0"/>
    <x v="0"/>
    <n v="450"/>
    <n v="90"/>
  </r>
  <r>
    <n v="2019"/>
    <n v="8"/>
    <x v="0"/>
    <x v="1"/>
    <x v="0"/>
    <s v="2019/2020"/>
    <b v="1"/>
    <b v="0"/>
    <b v="0"/>
    <x v="4"/>
    <n v="29435005009932"/>
    <x v="222"/>
    <x v="3"/>
    <x v="3"/>
    <n v="70"/>
    <x v="0"/>
    <x v="0"/>
    <n v="1000"/>
    <n v="100"/>
  </r>
  <r>
    <n v="2019"/>
    <n v="8"/>
    <x v="0"/>
    <x v="1"/>
    <x v="0"/>
    <s v="2019/2020"/>
    <b v="1"/>
    <b v="0"/>
    <b v="0"/>
    <x v="10"/>
    <n v="29640612000120"/>
    <x v="413"/>
    <x v="111"/>
    <x v="0"/>
    <n v="62"/>
    <x v="3"/>
    <x v="5"/>
    <n v="1"/>
    <n v="1"/>
  </r>
  <r>
    <n v="2019"/>
    <n v="8"/>
    <x v="0"/>
    <x v="1"/>
    <x v="0"/>
    <s v="2019/2020"/>
    <b v="1"/>
    <b v="0"/>
    <b v="0"/>
    <x v="0"/>
    <n v="29908956000178"/>
    <x v="414"/>
    <x v="112"/>
    <x v="11"/>
    <n v="66"/>
    <x v="2"/>
    <x v="3"/>
    <n v="4"/>
    <n v="4"/>
  </r>
  <r>
    <n v="2019"/>
    <n v="8"/>
    <x v="0"/>
    <x v="1"/>
    <x v="0"/>
    <s v="2019/2020"/>
    <b v="1"/>
    <b v="0"/>
    <b v="0"/>
    <x v="10"/>
    <n v="30079461000162"/>
    <x v="415"/>
    <x v="9"/>
    <x v="0"/>
    <n v="62"/>
    <x v="3"/>
    <x v="5"/>
    <n v="2"/>
    <n v="2"/>
  </r>
  <r>
    <n v="2019"/>
    <n v="8"/>
    <x v="0"/>
    <x v="1"/>
    <x v="0"/>
    <s v="2019/2020"/>
    <b v="1"/>
    <b v="0"/>
    <b v="0"/>
    <x v="12"/>
    <n v="30079461000162"/>
    <x v="415"/>
    <x v="9"/>
    <x v="0"/>
    <n v="64"/>
    <x v="4"/>
    <x v="6"/>
    <n v="6"/>
    <n v="6"/>
  </r>
  <r>
    <n v="2019"/>
    <n v="8"/>
    <x v="0"/>
    <x v="1"/>
    <x v="0"/>
    <s v="2019/2020"/>
    <b v="1"/>
    <b v="0"/>
    <b v="0"/>
    <x v="10"/>
    <n v="30079461000162"/>
    <x v="415"/>
    <x v="9"/>
    <x v="0"/>
    <n v="64"/>
    <x v="4"/>
    <x v="6"/>
    <n v="1"/>
    <n v="1"/>
  </r>
  <r>
    <n v="2019"/>
    <n v="8"/>
    <x v="0"/>
    <x v="1"/>
    <x v="0"/>
    <s v="2019/2020"/>
    <b v="1"/>
    <b v="0"/>
    <b v="0"/>
    <x v="10"/>
    <n v="30079461000162"/>
    <x v="415"/>
    <x v="9"/>
    <x v="0"/>
    <n v="64"/>
    <x v="4"/>
    <x v="6"/>
    <n v="9"/>
    <n v="9"/>
  </r>
  <r>
    <n v="2019"/>
    <n v="8"/>
    <x v="0"/>
    <x v="1"/>
    <x v="0"/>
    <s v="2019/2020"/>
    <b v="1"/>
    <b v="0"/>
    <b v="0"/>
    <x v="8"/>
    <n v="30135335000188"/>
    <x v="416"/>
    <x v="4"/>
    <x v="4"/>
    <n v="70"/>
    <x v="0"/>
    <x v="0"/>
    <n v="100"/>
    <n v="20"/>
  </r>
  <r>
    <n v="2019"/>
    <n v="8"/>
    <x v="0"/>
    <x v="1"/>
    <x v="0"/>
    <s v="2019/2020"/>
    <b v="1"/>
    <b v="0"/>
    <b v="0"/>
    <x v="8"/>
    <n v="30135335000188"/>
    <x v="416"/>
    <x v="4"/>
    <x v="4"/>
    <n v="70"/>
    <x v="0"/>
    <x v="0"/>
    <n v="175"/>
    <n v="35"/>
  </r>
  <r>
    <n v="2019"/>
    <n v="8"/>
    <x v="0"/>
    <x v="1"/>
    <x v="0"/>
    <s v="2019/2020"/>
    <b v="1"/>
    <b v="0"/>
    <b v="0"/>
    <x v="8"/>
    <n v="30135335000188"/>
    <x v="416"/>
    <x v="4"/>
    <x v="4"/>
    <n v="70"/>
    <x v="0"/>
    <x v="0"/>
    <n v="275"/>
    <n v="55"/>
  </r>
  <r>
    <n v="2019"/>
    <n v="8"/>
    <x v="0"/>
    <x v="1"/>
    <x v="0"/>
    <s v="2019/2020"/>
    <b v="1"/>
    <b v="0"/>
    <b v="0"/>
    <x v="3"/>
    <n v="30537740000122"/>
    <x v="417"/>
    <x v="69"/>
    <x v="0"/>
    <n v="70"/>
    <x v="0"/>
    <x v="0"/>
    <n v="95"/>
    <n v="19"/>
  </r>
  <r>
    <n v="2019"/>
    <n v="8"/>
    <x v="0"/>
    <x v="1"/>
    <x v="0"/>
    <s v="2019/2020"/>
    <b v="1"/>
    <b v="0"/>
    <b v="0"/>
    <x v="10"/>
    <n v="30537740000122"/>
    <x v="417"/>
    <x v="69"/>
    <x v="0"/>
    <n v="70"/>
    <x v="0"/>
    <x v="0"/>
    <n v="120"/>
    <n v="24"/>
  </r>
  <r>
    <n v="2019"/>
    <n v="8"/>
    <x v="0"/>
    <x v="1"/>
    <x v="0"/>
    <s v="2019/2020"/>
    <b v="1"/>
    <b v="0"/>
    <b v="0"/>
    <x v="10"/>
    <n v="31635857000292"/>
    <x v="225"/>
    <x v="0"/>
    <x v="0"/>
    <n v="73"/>
    <x v="1"/>
    <x v="4"/>
    <n v="16"/>
    <n v="4"/>
  </r>
  <r>
    <n v="2019"/>
    <n v="8"/>
    <x v="0"/>
    <x v="1"/>
    <x v="0"/>
    <s v="2019/2020"/>
    <b v="1"/>
    <b v="0"/>
    <b v="0"/>
    <x v="10"/>
    <n v="31635857000292"/>
    <x v="225"/>
    <x v="0"/>
    <x v="0"/>
    <n v="73"/>
    <x v="1"/>
    <x v="4"/>
    <n v="20"/>
    <n v="5"/>
  </r>
  <r>
    <n v="2019"/>
    <n v="8"/>
    <x v="0"/>
    <x v="1"/>
    <x v="0"/>
    <s v="2019/2020"/>
    <b v="1"/>
    <b v="0"/>
    <b v="0"/>
    <x v="2"/>
    <n v="33000167002155"/>
    <x v="418"/>
    <x v="113"/>
    <x v="7"/>
    <n v="70"/>
    <x v="0"/>
    <x v="0"/>
    <n v="120"/>
    <n v="24"/>
  </r>
  <r>
    <n v="2019"/>
    <n v="8"/>
    <x v="0"/>
    <x v="1"/>
    <x v="0"/>
    <s v="2019/2020"/>
    <b v="1"/>
    <b v="0"/>
    <b v="0"/>
    <x v="10"/>
    <n v="33419482000259"/>
    <x v="228"/>
    <x v="0"/>
    <x v="0"/>
    <n v="62"/>
    <x v="3"/>
    <x v="5"/>
    <n v="2"/>
    <n v="1"/>
  </r>
  <r>
    <n v="2019"/>
    <n v="8"/>
    <x v="0"/>
    <x v="1"/>
    <x v="0"/>
    <s v="2019/2020"/>
    <b v="1"/>
    <b v="0"/>
    <b v="0"/>
    <x v="10"/>
    <n v="33419482000259"/>
    <x v="228"/>
    <x v="0"/>
    <x v="0"/>
    <n v="62"/>
    <x v="3"/>
    <x v="5"/>
    <n v="4"/>
    <n v="2"/>
  </r>
  <r>
    <n v="2019"/>
    <n v="8"/>
    <x v="0"/>
    <x v="1"/>
    <x v="0"/>
    <s v="2019/2020"/>
    <b v="1"/>
    <b v="0"/>
    <b v="0"/>
    <x v="10"/>
    <n v="33419482000259"/>
    <x v="228"/>
    <x v="0"/>
    <x v="0"/>
    <n v="62"/>
    <x v="3"/>
    <x v="5"/>
    <n v="3"/>
    <n v="3"/>
  </r>
  <r>
    <n v="2019"/>
    <n v="8"/>
    <x v="0"/>
    <x v="1"/>
    <x v="0"/>
    <s v="2019/2020"/>
    <b v="1"/>
    <b v="0"/>
    <b v="0"/>
    <x v="10"/>
    <n v="33419482000259"/>
    <x v="228"/>
    <x v="0"/>
    <x v="0"/>
    <n v="64"/>
    <x v="4"/>
    <x v="6"/>
    <n v="2"/>
    <n v="1"/>
  </r>
  <r>
    <n v="2019"/>
    <n v="8"/>
    <x v="0"/>
    <x v="1"/>
    <x v="0"/>
    <s v="2019/2020"/>
    <b v="1"/>
    <b v="0"/>
    <b v="0"/>
    <x v="17"/>
    <n v="33419482000259"/>
    <x v="228"/>
    <x v="0"/>
    <x v="0"/>
    <n v="70"/>
    <x v="0"/>
    <x v="0"/>
    <n v="5"/>
    <n v="1"/>
  </r>
  <r>
    <n v="2019"/>
    <n v="8"/>
    <x v="0"/>
    <x v="1"/>
    <x v="0"/>
    <s v="2019/2020"/>
    <b v="1"/>
    <b v="0"/>
    <b v="0"/>
    <x v="17"/>
    <n v="33419482000259"/>
    <x v="228"/>
    <x v="0"/>
    <x v="0"/>
    <n v="70"/>
    <x v="0"/>
    <x v="0"/>
    <n v="10"/>
    <n v="2"/>
  </r>
  <r>
    <n v="2019"/>
    <n v="8"/>
    <x v="0"/>
    <x v="1"/>
    <x v="0"/>
    <s v="2019/2020"/>
    <b v="1"/>
    <b v="0"/>
    <b v="0"/>
    <x v="5"/>
    <n v="33663683005347"/>
    <x v="230"/>
    <x v="0"/>
    <x v="0"/>
    <n v="70"/>
    <x v="0"/>
    <x v="0"/>
    <n v="800"/>
    <n v="160"/>
  </r>
  <r>
    <n v="2019"/>
    <n v="8"/>
    <x v="0"/>
    <x v="1"/>
    <x v="0"/>
    <s v="2019/2020"/>
    <b v="1"/>
    <b v="0"/>
    <b v="0"/>
    <x v="4"/>
    <n v="34058123000103"/>
    <x v="419"/>
    <x v="0"/>
    <x v="0"/>
    <n v="62"/>
    <x v="3"/>
    <x v="5"/>
    <n v="6"/>
    <n v="6"/>
  </r>
  <r>
    <n v="2019"/>
    <n v="8"/>
    <x v="0"/>
    <x v="1"/>
    <x v="0"/>
    <s v="2019/2020"/>
    <b v="1"/>
    <b v="0"/>
    <b v="0"/>
    <x v="4"/>
    <n v="34058123000103"/>
    <x v="419"/>
    <x v="0"/>
    <x v="0"/>
    <n v="64"/>
    <x v="4"/>
    <x v="6"/>
    <n v="8"/>
    <n v="4"/>
  </r>
  <r>
    <n v="2019"/>
    <n v="8"/>
    <x v="0"/>
    <x v="1"/>
    <x v="0"/>
    <s v="2019/2020"/>
    <b v="1"/>
    <b v="0"/>
    <b v="0"/>
    <x v="4"/>
    <n v="34058123000103"/>
    <x v="419"/>
    <x v="0"/>
    <x v="0"/>
    <n v="64"/>
    <x v="4"/>
    <x v="6"/>
    <n v="8"/>
    <n v="8"/>
  </r>
  <r>
    <n v="2019"/>
    <n v="8"/>
    <x v="0"/>
    <x v="1"/>
    <x v="0"/>
    <s v="2019/2020"/>
    <b v="1"/>
    <b v="0"/>
    <b v="0"/>
    <x v="17"/>
    <n v="35917970000726"/>
    <x v="420"/>
    <x v="114"/>
    <x v="0"/>
    <n v="73"/>
    <x v="1"/>
    <x v="4"/>
    <n v="12"/>
    <n v="3"/>
  </r>
  <r>
    <n v="2019"/>
    <n v="8"/>
    <x v="0"/>
    <x v="1"/>
    <x v="0"/>
    <s v="2019/2020"/>
    <b v="1"/>
    <b v="0"/>
    <b v="0"/>
    <x v="17"/>
    <n v="35917970000726"/>
    <x v="420"/>
    <x v="114"/>
    <x v="0"/>
    <n v="73"/>
    <x v="1"/>
    <x v="2"/>
    <n v="3"/>
    <n v="3"/>
  </r>
  <r>
    <n v="2019"/>
    <n v="8"/>
    <x v="0"/>
    <x v="1"/>
    <x v="0"/>
    <s v="2019/2020"/>
    <b v="1"/>
    <b v="0"/>
    <b v="0"/>
    <x v="10"/>
    <n v="36238913000198"/>
    <x v="421"/>
    <x v="115"/>
    <x v="0"/>
    <n v="70"/>
    <x v="0"/>
    <x v="0"/>
    <n v="125"/>
    <n v="25"/>
  </r>
  <r>
    <n v="2019"/>
    <n v="8"/>
    <x v="0"/>
    <x v="1"/>
    <x v="0"/>
    <s v="2019/2020"/>
    <b v="1"/>
    <b v="0"/>
    <b v="0"/>
    <x v="8"/>
    <n v="37108388000159"/>
    <x v="234"/>
    <x v="4"/>
    <x v="4"/>
    <n v="64"/>
    <x v="4"/>
    <x v="6"/>
    <n v="30"/>
    <n v="10"/>
  </r>
  <r>
    <n v="2019"/>
    <n v="8"/>
    <x v="0"/>
    <x v="1"/>
    <x v="0"/>
    <s v="2019/2020"/>
    <b v="1"/>
    <b v="0"/>
    <b v="0"/>
    <x v="4"/>
    <n v="39086160000130"/>
    <x v="236"/>
    <x v="0"/>
    <x v="0"/>
    <n v="70"/>
    <x v="0"/>
    <x v="0"/>
    <n v="50"/>
    <n v="10"/>
  </r>
  <r>
    <n v="2019"/>
    <n v="8"/>
    <x v="0"/>
    <x v="1"/>
    <x v="0"/>
    <s v="2019/2020"/>
    <b v="1"/>
    <b v="0"/>
    <b v="0"/>
    <x v="4"/>
    <n v="39086160000130"/>
    <x v="236"/>
    <x v="0"/>
    <x v="0"/>
    <n v="70"/>
    <x v="0"/>
    <x v="0"/>
    <n v="100"/>
    <n v="20"/>
  </r>
  <r>
    <n v="2019"/>
    <n v="8"/>
    <x v="0"/>
    <x v="1"/>
    <x v="0"/>
    <s v="2019/2020"/>
    <b v="1"/>
    <b v="0"/>
    <b v="0"/>
    <x v="4"/>
    <n v="39086160000130"/>
    <x v="236"/>
    <x v="0"/>
    <x v="0"/>
    <n v="73"/>
    <x v="1"/>
    <x v="4"/>
    <n v="16"/>
    <n v="4"/>
  </r>
  <r>
    <n v="2019"/>
    <n v="8"/>
    <x v="0"/>
    <x v="1"/>
    <x v="0"/>
    <s v="2019/2020"/>
    <b v="1"/>
    <b v="0"/>
    <b v="0"/>
    <x v="4"/>
    <n v="39086160000130"/>
    <x v="236"/>
    <x v="0"/>
    <x v="0"/>
    <n v="73"/>
    <x v="1"/>
    <x v="4"/>
    <n v="32"/>
    <n v="8"/>
  </r>
  <r>
    <n v="2019"/>
    <n v="8"/>
    <x v="0"/>
    <x v="1"/>
    <x v="0"/>
    <s v="2019/2020"/>
    <b v="1"/>
    <b v="0"/>
    <b v="0"/>
    <x v="3"/>
    <n v="39387477000107"/>
    <x v="237"/>
    <x v="66"/>
    <x v="13"/>
    <n v="70"/>
    <x v="0"/>
    <x v="0"/>
    <n v="75"/>
    <n v="15"/>
  </r>
  <r>
    <n v="2019"/>
    <n v="8"/>
    <x v="0"/>
    <x v="1"/>
    <x v="0"/>
    <s v="2019/2020"/>
    <b v="1"/>
    <b v="0"/>
    <b v="0"/>
    <x v="0"/>
    <n v="40320103000153"/>
    <x v="422"/>
    <x v="0"/>
    <x v="0"/>
    <n v="64"/>
    <x v="4"/>
    <x v="6"/>
    <n v="5"/>
    <n v="5"/>
  </r>
  <r>
    <n v="2019"/>
    <n v="8"/>
    <x v="0"/>
    <x v="1"/>
    <x v="0"/>
    <s v="2019/2020"/>
    <b v="1"/>
    <b v="0"/>
    <b v="0"/>
    <x v="12"/>
    <n v="41580077000165"/>
    <x v="423"/>
    <x v="32"/>
    <x v="18"/>
    <n v="70"/>
    <x v="0"/>
    <x v="0"/>
    <n v="35"/>
    <n v="7"/>
  </r>
  <r>
    <n v="2019"/>
    <n v="8"/>
    <x v="0"/>
    <x v="1"/>
    <x v="0"/>
    <s v="2019/2020"/>
    <b v="1"/>
    <b v="0"/>
    <b v="0"/>
    <x v="8"/>
    <n v="41580077000165"/>
    <x v="423"/>
    <x v="32"/>
    <x v="18"/>
    <n v="70"/>
    <x v="0"/>
    <x v="0"/>
    <n v="40"/>
    <n v="8"/>
  </r>
  <r>
    <n v="2019"/>
    <n v="8"/>
    <x v="0"/>
    <x v="1"/>
    <x v="0"/>
    <s v="2019/2020"/>
    <b v="1"/>
    <b v="0"/>
    <b v="0"/>
    <x v="4"/>
    <n v="41781949000234"/>
    <x v="238"/>
    <x v="73"/>
    <x v="2"/>
    <n v="70"/>
    <x v="0"/>
    <x v="0"/>
    <n v="40"/>
    <n v="8"/>
  </r>
  <r>
    <n v="2019"/>
    <n v="8"/>
    <x v="0"/>
    <x v="1"/>
    <x v="0"/>
    <s v="2019/2020"/>
    <b v="1"/>
    <b v="0"/>
    <b v="0"/>
    <x v="4"/>
    <n v="42297507000107"/>
    <x v="424"/>
    <x v="0"/>
    <x v="0"/>
    <n v="62"/>
    <x v="3"/>
    <x v="5"/>
    <n v="4"/>
    <n v="4"/>
  </r>
  <r>
    <n v="2019"/>
    <n v="8"/>
    <x v="0"/>
    <x v="1"/>
    <x v="0"/>
    <s v="2019/2020"/>
    <b v="1"/>
    <b v="0"/>
    <b v="0"/>
    <x v="4"/>
    <n v="42297507000107"/>
    <x v="424"/>
    <x v="0"/>
    <x v="0"/>
    <n v="64"/>
    <x v="4"/>
    <x v="6"/>
    <n v="4"/>
    <n v="4"/>
  </r>
  <r>
    <n v="2019"/>
    <n v="8"/>
    <x v="0"/>
    <x v="1"/>
    <x v="0"/>
    <s v="2019/2020"/>
    <b v="1"/>
    <b v="0"/>
    <b v="0"/>
    <x v="4"/>
    <n v="43293604002120"/>
    <x v="239"/>
    <x v="74"/>
    <x v="3"/>
    <n v="70"/>
    <x v="0"/>
    <x v="0"/>
    <n v="30"/>
    <n v="6"/>
  </r>
  <r>
    <n v="2019"/>
    <n v="8"/>
    <x v="0"/>
    <x v="1"/>
    <x v="0"/>
    <s v="2019/2020"/>
    <b v="1"/>
    <b v="0"/>
    <b v="0"/>
    <x v="4"/>
    <n v="43293604002120"/>
    <x v="239"/>
    <x v="74"/>
    <x v="3"/>
    <n v="70"/>
    <x v="0"/>
    <x v="0"/>
    <n v="50"/>
    <n v="10"/>
  </r>
  <r>
    <n v="2019"/>
    <n v="8"/>
    <x v="0"/>
    <x v="1"/>
    <x v="0"/>
    <s v="2019/2020"/>
    <b v="1"/>
    <b v="0"/>
    <b v="0"/>
    <x v="17"/>
    <n v="43643139000409"/>
    <x v="240"/>
    <x v="3"/>
    <x v="3"/>
    <n v="70"/>
    <x v="0"/>
    <x v="0"/>
    <n v="40"/>
    <n v="8"/>
  </r>
  <r>
    <n v="2019"/>
    <n v="8"/>
    <x v="0"/>
    <x v="1"/>
    <x v="0"/>
    <s v="2019/2020"/>
    <b v="1"/>
    <b v="0"/>
    <b v="0"/>
    <x v="27"/>
    <n v="43643139000409"/>
    <x v="240"/>
    <x v="3"/>
    <x v="3"/>
    <n v="70"/>
    <x v="0"/>
    <x v="0"/>
    <n v="120"/>
    <n v="12"/>
  </r>
  <r>
    <n v="2019"/>
    <n v="8"/>
    <x v="0"/>
    <x v="1"/>
    <x v="0"/>
    <s v="2019/2020"/>
    <b v="1"/>
    <b v="0"/>
    <b v="0"/>
    <x v="17"/>
    <n v="44456036000311"/>
    <x v="241"/>
    <x v="75"/>
    <x v="3"/>
    <n v="62"/>
    <x v="3"/>
    <x v="5"/>
    <n v="3"/>
    <n v="3"/>
  </r>
  <r>
    <n v="2019"/>
    <n v="8"/>
    <x v="0"/>
    <x v="1"/>
    <x v="0"/>
    <s v="2019/2020"/>
    <b v="1"/>
    <b v="0"/>
    <b v="0"/>
    <x v="17"/>
    <n v="44456036000311"/>
    <x v="241"/>
    <x v="75"/>
    <x v="3"/>
    <n v="62"/>
    <x v="3"/>
    <x v="5"/>
    <n v="8"/>
    <n v="4"/>
  </r>
  <r>
    <n v="2019"/>
    <n v="8"/>
    <x v="0"/>
    <x v="1"/>
    <x v="0"/>
    <s v="2019/2020"/>
    <b v="1"/>
    <b v="0"/>
    <b v="0"/>
    <x v="6"/>
    <n v="44456036000311"/>
    <x v="241"/>
    <x v="75"/>
    <x v="3"/>
    <n v="62"/>
    <x v="3"/>
    <x v="5"/>
    <n v="3"/>
    <n v="3"/>
  </r>
  <r>
    <n v="2019"/>
    <n v="8"/>
    <x v="0"/>
    <x v="1"/>
    <x v="0"/>
    <s v="2019/2020"/>
    <b v="1"/>
    <b v="0"/>
    <b v="0"/>
    <x v="2"/>
    <n v="44456036000311"/>
    <x v="241"/>
    <x v="75"/>
    <x v="3"/>
    <n v="62"/>
    <x v="3"/>
    <x v="5"/>
    <n v="4"/>
    <n v="4"/>
  </r>
  <r>
    <n v="2019"/>
    <n v="8"/>
    <x v="0"/>
    <x v="1"/>
    <x v="0"/>
    <s v="2019/2020"/>
    <b v="1"/>
    <b v="0"/>
    <b v="0"/>
    <x v="2"/>
    <n v="44456036000311"/>
    <x v="241"/>
    <x v="75"/>
    <x v="3"/>
    <n v="62"/>
    <x v="3"/>
    <x v="5"/>
    <n v="10"/>
    <n v="5"/>
  </r>
  <r>
    <n v="2019"/>
    <n v="8"/>
    <x v="0"/>
    <x v="1"/>
    <x v="0"/>
    <s v="2019/2020"/>
    <b v="1"/>
    <b v="0"/>
    <b v="0"/>
    <x v="6"/>
    <n v="44456036000311"/>
    <x v="241"/>
    <x v="75"/>
    <x v="3"/>
    <n v="64"/>
    <x v="4"/>
    <x v="6"/>
    <n v="4"/>
    <n v="4"/>
  </r>
  <r>
    <n v="2019"/>
    <n v="8"/>
    <x v="0"/>
    <x v="1"/>
    <x v="0"/>
    <s v="2019/2020"/>
    <b v="1"/>
    <b v="0"/>
    <b v="0"/>
    <x v="6"/>
    <n v="44649812005520"/>
    <x v="243"/>
    <x v="3"/>
    <x v="3"/>
    <n v="70"/>
    <x v="0"/>
    <x v="0"/>
    <n v="150"/>
    <n v="30"/>
  </r>
  <r>
    <n v="2019"/>
    <n v="8"/>
    <x v="0"/>
    <x v="1"/>
    <x v="0"/>
    <s v="2019/2020"/>
    <b v="1"/>
    <b v="0"/>
    <b v="0"/>
    <x v="6"/>
    <n v="44649812005520"/>
    <x v="243"/>
    <x v="3"/>
    <x v="3"/>
    <n v="73"/>
    <x v="1"/>
    <x v="4"/>
    <n v="16"/>
    <n v="4"/>
  </r>
  <r>
    <n v="2019"/>
    <n v="8"/>
    <x v="0"/>
    <x v="1"/>
    <x v="0"/>
    <s v="2019/2020"/>
    <b v="1"/>
    <b v="0"/>
    <b v="0"/>
    <x v="6"/>
    <n v="44649812019238"/>
    <x v="244"/>
    <x v="48"/>
    <x v="3"/>
    <n v="73"/>
    <x v="1"/>
    <x v="4"/>
    <n v="8"/>
    <n v="2"/>
  </r>
  <r>
    <n v="2019"/>
    <n v="8"/>
    <x v="0"/>
    <x v="1"/>
    <x v="0"/>
    <s v="2019/2020"/>
    <b v="1"/>
    <b v="0"/>
    <b v="0"/>
    <x v="13"/>
    <n v="44663631000590"/>
    <x v="245"/>
    <x v="77"/>
    <x v="3"/>
    <n v="70"/>
    <x v="0"/>
    <x v="0"/>
    <n v="165"/>
    <n v="33"/>
  </r>
  <r>
    <n v="2019"/>
    <n v="8"/>
    <x v="0"/>
    <x v="1"/>
    <x v="0"/>
    <s v="2019/2020"/>
    <b v="1"/>
    <b v="0"/>
    <b v="0"/>
    <x v="6"/>
    <n v="44663631000590"/>
    <x v="245"/>
    <x v="77"/>
    <x v="3"/>
    <n v="73"/>
    <x v="1"/>
    <x v="4"/>
    <n v="32"/>
    <n v="4"/>
  </r>
  <r>
    <n v="2019"/>
    <n v="8"/>
    <x v="0"/>
    <x v="1"/>
    <x v="0"/>
    <s v="2019/2020"/>
    <b v="1"/>
    <b v="0"/>
    <b v="0"/>
    <x v="17"/>
    <n v="44803922000293"/>
    <x v="246"/>
    <x v="78"/>
    <x v="3"/>
    <n v="73"/>
    <x v="1"/>
    <x v="1"/>
    <n v="4"/>
    <n v="2"/>
  </r>
  <r>
    <n v="2019"/>
    <n v="8"/>
    <x v="0"/>
    <x v="1"/>
    <x v="0"/>
    <s v="2019/2020"/>
    <b v="1"/>
    <b v="0"/>
    <b v="0"/>
    <x v="2"/>
    <n v="44803922000293"/>
    <x v="246"/>
    <x v="78"/>
    <x v="3"/>
    <n v="73"/>
    <x v="1"/>
    <x v="1"/>
    <n v="6"/>
    <n v="3"/>
  </r>
  <r>
    <n v="2019"/>
    <n v="8"/>
    <x v="0"/>
    <x v="1"/>
    <x v="0"/>
    <s v="2019/2020"/>
    <b v="1"/>
    <b v="0"/>
    <b v="0"/>
    <x v="6"/>
    <n v="45184066000117"/>
    <x v="248"/>
    <x v="35"/>
    <x v="3"/>
    <n v="70"/>
    <x v="0"/>
    <x v="0"/>
    <n v="50"/>
    <n v="10"/>
  </r>
  <r>
    <n v="2019"/>
    <n v="8"/>
    <x v="0"/>
    <x v="1"/>
    <x v="0"/>
    <s v="2019/2020"/>
    <b v="1"/>
    <b v="0"/>
    <b v="0"/>
    <x v="6"/>
    <n v="45184066000117"/>
    <x v="248"/>
    <x v="35"/>
    <x v="3"/>
    <n v="73"/>
    <x v="1"/>
    <x v="4"/>
    <n v="8"/>
    <n v="2"/>
  </r>
  <r>
    <n v="2019"/>
    <n v="8"/>
    <x v="0"/>
    <x v="1"/>
    <x v="0"/>
    <s v="2019/2020"/>
    <b v="1"/>
    <b v="0"/>
    <b v="0"/>
    <x v="6"/>
    <n v="45184066000117"/>
    <x v="248"/>
    <x v="35"/>
    <x v="3"/>
    <n v="73"/>
    <x v="1"/>
    <x v="2"/>
    <n v="2"/>
    <n v="2"/>
  </r>
  <r>
    <n v="2019"/>
    <n v="8"/>
    <x v="0"/>
    <x v="1"/>
    <x v="0"/>
    <s v="2019/2020"/>
    <b v="1"/>
    <b v="0"/>
    <b v="0"/>
    <x v="6"/>
    <n v="45184066000117"/>
    <x v="248"/>
    <x v="35"/>
    <x v="3"/>
    <n v="73"/>
    <x v="1"/>
    <x v="2"/>
    <n v="5"/>
    <n v="5"/>
  </r>
  <r>
    <n v="2019"/>
    <n v="8"/>
    <x v="0"/>
    <x v="1"/>
    <x v="0"/>
    <s v="2019/2020"/>
    <b v="1"/>
    <b v="0"/>
    <b v="0"/>
    <x v="12"/>
    <n v="45232246000550"/>
    <x v="249"/>
    <x v="22"/>
    <x v="3"/>
    <n v="70"/>
    <x v="0"/>
    <x v="0"/>
    <n v="60"/>
    <n v="12"/>
  </r>
  <r>
    <n v="2019"/>
    <n v="8"/>
    <x v="0"/>
    <x v="1"/>
    <x v="0"/>
    <s v="2019/2020"/>
    <b v="1"/>
    <b v="0"/>
    <b v="0"/>
    <x v="6"/>
    <n v="45232246000550"/>
    <x v="249"/>
    <x v="22"/>
    <x v="3"/>
    <n v="73"/>
    <x v="1"/>
    <x v="2"/>
    <n v="3"/>
    <n v="3"/>
  </r>
  <r>
    <n v="2019"/>
    <n v="8"/>
    <x v="0"/>
    <x v="1"/>
    <x v="0"/>
    <s v="2019/2020"/>
    <b v="1"/>
    <b v="0"/>
    <b v="0"/>
    <x v="6"/>
    <n v="45232246000550"/>
    <x v="249"/>
    <x v="22"/>
    <x v="3"/>
    <n v="73"/>
    <x v="1"/>
    <x v="2"/>
    <n v="4"/>
    <n v="4"/>
  </r>
  <r>
    <n v="2019"/>
    <n v="8"/>
    <x v="0"/>
    <x v="1"/>
    <x v="0"/>
    <s v="2019/2020"/>
    <b v="1"/>
    <b v="0"/>
    <b v="0"/>
    <x v="6"/>
    <n v="45232246000550"/>
    <x v="249"/>
    <x v="22"/>
    <x v="3"/>
    <n v="73"/>
    <x v="1"/>
    <x v="1"/>
    <n v="12"/>
    <n v="6"/>
  </r>
  <r>
    <n v="2019"/>
    <n v="8"/>
    <x v="0"/>
    <x v="1"/>
    <x v="0"/>
    <s v="2019/2020"/>
    <b v="1"/>
    <b v="0"/>
    <b v="0"/>
    <x v="6"/>
    <n v="45232246000550"/>
    <x v="249"/>
    <x v="22"/>
    <x v="3"/>
    <n v="73"/>
    <x v="1"/>
    <x v="4"/>
    <n v="32"/>
    <n v="8"/>
  </r>
  <r>
    <n v="2019"/>
    <n v="8"/>
    <x v="0"/>
    <x v="1"/>
    <x v="0"/>
    <s v="2019/2020"/>
    <b v="1"/>
    <b v="0"/>
    <b v="0"/>
    <x v="17"/>
    <n v="45359213000576"/>
    <x v="250"/>
    <x v="80"/>
    <x v="3"/>
    <n v="73"/>
    <x v="1"/>
    <x v="1"/>
    <n v="8"/>
    <n v="4"/>
  </r>
  <r>
    <n v="2019"/>
    <n v="8"/>
    <x v="0"/>
    <x v="1"/>
    <x v="0"/>
    <s v="2019/2020"/>
    <b v="1"/>
    <b v="0"/>
    <b v="0"/>
    <x v="6"/>
    <n v="45359213000576"/>
    <x v="250"/>
    <x v="80"/>
    <x v="3"/>
    <n v="73"/>
    <x v="1"/>
    <x v="4"/>
    <n v="16"/>
    <n v="4"/>
  </r>
  <r>
    <n v="2019"/>
    <n v="8"/>
    <x v="0"/>
    <x v="1"/>
    <x v="0"/>
    <s v="2019/2020"/>
    <b v="1"/>
    <b v="0"/>
    <b v="0"/>
    <x v="2"/>
    <n v="45359213000576"/>
    <x v="250"/>
    <x v="80"/>
    <x v="3"/>
    <n v="73"/>
    <x v="1"/>
    <x v="4"/>
    <n v="16"/>
    <n v="4"/>
  </r>
  <r>
    <n v="2019"/>
    <n v="8"/>
    <x v="0"/>
    <x v="1"/>
    <x v="0"/>
    <s v="2019/2020"/>
    <b v="1"/>
    <b v="0"/>
    <b v="0"/>
    <x v="17"/>
    <n v="45399961000230"/>
    <x v="251"/>
    <x v="81"/>
    <x v="3"/>
    <n v="70"/>
    <x v="0"/>
    <x v="0"/>
    <n v="200"/>
    <n v="40"/>
  </r>
  <r>
    <n v="2019"/>
    <n v="8"/>
    <x v="0"/>
    <x v="1"/>
    <x v="0"/>
    <s v="2019/2020"/>
    <b v="1"/>
    <b v="0"/>
    <b v="0"/>
    <x v="6"/>
    <n v="45399961000230"/>
    <x v="251"/>
    <x v="81"/>
    <x v="3"/>
    <n v="70"/>
    <x v="0"/>
    <x v="0"/>
    <n v="100"/>
    <n v="20"/>
  </r>
  <r>
    <n v="2019"/>
    <n v="8"/>
    <x v="0"/>
    <x v="1"/>
    <x v="0"/>
    <s v="2019/2020"/>
    <b v="1"/>
    <b v="0"/>
    <b v="0"/>
    <x v="6"/>
    <n v="45399961000230"/>
    <x v="251"/>
    <x v="81"/>
    <x v="3"/>
    <n v="70"/>
    <x v="0"/>
    <x v="0"/>
    <n v="150"/>
    <n v="30"/>
  </r>
  <r>
    <n v="2019"/>
    <n v="8"/>
    <x v="0"/>
    <x v="1"/>
    <x v="0"/>
    <s v="2019/2020"/>
    <b v="1"/>
    <b v="0"/>
    <b v="0"/>
    <x v="17"/>
    <n v="46009718000140"/>
    <x v="253"/>
    <x v="48"/>
    <x v="3"/>
    <n v="66"/>
    <x v="2"/>
    <x v="3"/>
    <n v="3"/>
    <n v="3"/>
  </r>
  <r>
    <n v="2019"/>
    <n v="8"/>
    <x v="0"/>
    <x v="1"/>
    <x v="0"/>
    <s v="2019/2020"/>
    <b v="1"/>
    <b v="0"/>
    <b v="0"/>
    <x v="10"/>
    <n v="46009718000140"/>
    <x v="253"/>
    <x v="48"/>
    <x v="3"/>
    <n v="66"/>
    <x v="2"/>
    <x v="3"/>
    <n v="3"/>
    <n v="3"/>
  </r>
  <r>
    <n v="2019"/>
    <n v="8"/>
    <x v="0"/>
    <x v="1"/>
    <x v="0"/>
    <s v="2019/2020"/>
    <b v="1"/>
    <b v="0"/>
    <b v="0"/>
    <x v="11"/>
    <n v="46009718000140"/>
    <x v="253"/>
    <x v="48"/>
    <x v="3"/>
    <n v="70"/>
    <x v="0"/>
    <x v="0"/>
    <n v="150"/>
    <n v="30"/>
  </r>
  <r>
    <n v="2019"/>
    <n v="8"/>
    <x v="0"/>
    <x v="1"/>
    <x v="0"/>
    <s v="2019/2020"/>
    <b v="1"/>
    <b v="0"/>
    <b v="0"/>
    <x v="14"/>
    <n v="46009718000140"/>
    <x v="253"/>
    <x v="48"/>
    <x v="3"/>
    <n v="70"/>
    <x v="0"/>
    <x v="0"/>
    <n v="300"/>
    <n v="60"/>
  </r>
  <r>
    <n v="2019"/>
    <n v="8"/>
    <x v="0"/>
    <x v="1"/>
    <x v="0"/>
    <s v="2019/2020"/>
    <b v="1"/>
    <b v="0"/>
    <b v="0"/>
    <x v="6"/>
    <n v="46009718000140"/>
    <x v="253"/>
    <x v="48"/>
    <x v="3"/>
    <n v="70"/>
    <x v="0"/>
    <x v="0"/>
    <n v="300"/>
    <n v="30"/>
  </r>
  <r>
    <n v="2019"/>
    <n v="8"/>
    <x v="0"/>
    <x v="1"/>
    <x v="0"/>
    <s v="2019/2020"/>
    <b v="1"/>
    <b v="0"/>
    <b v="0"/>
    <x v="20"/>
    <n v="46009718000140"/>
    <x v="253"/>
    <x v="48"/>
    <x v="3"/>
    <n v="70"/>
    <x v="0"/>
    <x v="0"/>
    <n v="150"/>
    <n v="30"/>
  </r>
  <r>
    <n v="2019"/>
    <n v="8"/>
    <x v="0"/>
    <x v="1"/>
    <x v="0"/>
    <s v="2019/2020"/>
    <b v="1"/>
    <b v="0"/>
    <b v="0"/>
    <x v="20"/>
    <n v="46009718000140"/>
    <x v="253"/>
    <x v="48"/>
    <x v="3"/>
    <n v="70"/>
    <x v="0"/>
    <x v="0"/>
    <n v="250"/>
    <n v="50"/>
  </r>
  <r>
    <n v="2019"/>
    <n v="8"/>
    <x v="0"/>
    <x v="1"/>
    <x v="0"/>
    <s v="2019/2020"/>
    <b v="1"/>
    <b v="0"/>
    <b v="0"/>
    <x v="17"/>
    <n v="46009718000140"/>
    <x v="253"/>
    <x v="48"/>
    <x v="3"/>
    <n v="73"/>
    <x v="1"/>
    <x v="2"/>
    <n v="1"/>
    <n v="1"/>
  </r>
  <r>
    <n v="2019"/>
    <n v="8"/>
    <x v="0"/>
    <x v="1"/>
    <x v="0"/>
    <s v="2019/2020"/>
    <b v="1"/>
    <b v="0"/>
    <b v="0"/>
    <x v="17"/>
    <n v="46009718000140"/>
    <x v="253"/>
    <x v="48"/>
    <x v="3"/>
    <n v="73"/>
    <x v="1"/>
    <x v="1"/>
    <n v="10"/>
    <n v="5"/>
  </r>
  <r>
    <n v="2019"/>
    <n v="8"/>
    <x v="0"/>
    <x v="1"/>
    <x v="0"/>
    <s v="2019/2020"/>
    <b v="1"/>
    <b v="0"/>
    <b v="0"/>
    <x v="17"/>
    <n v="46009718000140"/>
    <x v="253"/>
    <x v="48"/>
    <x v="3"/>
    <n v="73"/>
    <x v="1"/>
    <x v="1"/>
    <n v="12"/>
    <n v="6"/>
  </r>
  <r>
    <n v="2019"/>
    <n v="8"/>
    <x v="0"/>
    <x v="1"/>
    <x v="0"/>
    <s v="2019/2020"/>
    <b v="1"/>
    <b v="0"/>
    <b v="0"/>
    <x v="6"/>
    <n v="46009718000140"/>
    <x v="253"/>
    <x v="48"/>
    <x v="3"/>
    <n v="73"/>
    <x v="1"/>
    <x v="4"/>
    <n v="20"/>
    <n v="5"/>
  </r>
  <r>
    <n v="2019"/>
    <n v="8"/>
    <x v="0"/>
    <x v="1"/>
    <x v="0"/>
    <s v="2019/2020"/>
    <b v="1"/>
    <b v="0"/>
    <b v="0"/>
    <x v="6"/>
    <n v="46009718000140"/>
    <x v="253"/>
    <x v="48"/>
    <x v="3"/>
    <n v="73"/>
    <x v="1"/>
    <x v="4"/>
    <n v="40"/>
    <n v="10"/>
  </r>
  <r>
    <n v="2019"/>
    <n v="8"/>
    <x v="0"/>
    <x v="1"/>
    <x v="0"/>
    <s v="2019/2020"/>
    <b v="1"/>
    <b v="0"/>
    <b v="0"/>
    <x v="4"/>
    <n v="46020301000269"/>
    <x v="254"/>
    <x v="48"/>
    <x v="3"/>
    <n v="73"/>
    <x v="1"/>
    <x v="2"/>
    <n v="3"/>
    <n v="3"/>
  </r>
  <r>
    <n v="2019"/>
    <n v="8"/>
    <x v="0"/>
    <x v="1"/>
    <x v="0"/>
    <s v="2019/2020"/>
    <b v="1"/>
    <b v="0"/>
    <b v="0"/>
    <x v="20"/>
    <n v="46020301000269"/>
    <x v="254"/>
    <x v="48"/>
    <x v="3"/>
    <n v="73"/>
    <x v="1"/>
    <x v="4"/>
    <n v="8"/>
    <n v="1"/>
  </r>
  <r>
    <n v="2019"/>
    <n v="8"/>
    <x v="0"/>
    <x v="1"/>
    <x v="0"/>
    <s v="2019/2020"/>
    <b v="1"/>
    <b v="0"/>
    <b v="0"/>
    <x v="20"/>
    <n v="46020301000269"/>
    <x v="254"/>
    <x v="48"/>
    <x v="3"/>
    <n v="73"/>
    <x v="1"/>
    <x v="4"/>
    <n v="8"/>
    <n v="2"/>
  </r>
  <r>
    <n v="2019"/>
    <n v="8"/>
    <x v="0"/>
    <x v="1"/>
    <x v="0"/>
    <s v="2019/2020"/>
    <b v="1"/>
    <b v="0"/>
    <b v="0"/>
    <x v="20"/>
    <n v="46020301000269"/>
    <x v="254"/>
    <x v="48"/>
    <x v="3"/>
    <n v="73"/>
    <x v="1"/>
    <x v="4"/>
    <n v="16"/>
    <n v="4"/>
  </r>
  <r>
    <n v="2019"/>
    <n v="8"/>
    <x v="0"/>
    <x v="1"/>
    <x v="0"/>
    <s v="2019/2020"/>
    <b v="1"/>
    <b v="0"/>
    <b v="0"/>
    <x v="17"/>
    <n v="46068425000133"/>
    <x v="425"/>
    <x v="48"/>
    <x v="3"/>
    <n v="66"/>
    <x v="2"/>
    <x v="3"/>
    <n v="2"/>
    <n v="2"/>
  </r>
  <r>
    <n v="2019"/>
    <n v="8"/>
    <x v="0"/>
    <x v="1"/>
    <x v="0"/>
    <s v="2019/2020"/>
    <b v="1"/>
    <b v="0"/>
    <b v="0"/>
    <x v="20"/>
    <n v="46124624000111"/>
    <x v="255"/>
    <x v="48"/>
    <x v="3"/>
    <n v="70"/>
    <x v="0"/>
    <x v="0"/>
    <n v="5"/>
    <n v="1"/>
  </r>
  <r>
    <n v="2019"/>
    <n v="8"/>
    <x v="0"/>
    <x v="1"/>
    <x v="0"/>
    <s v="2019/2020"/>
    <b v="1"/>
    <b v="0"/>
    <b v="0"/>
    <x v="20"/>
    <n v="46124624000111"/>
    <x v="255"/>
    <x v="48"/>
    <x v="3"/>
    <n v="70"/>
    <x v="0"/>
    <x v="0"/>
    <n v="35"/>
    <n v="7"/>
  </r>
  <r>
    <n v="2019"/>
    <n v="8"/>
    <x v="0"/>
    <x v="1"/>
    <x v="0"/>
    <s v="2019/2020"/>
    <b v="1"/>
    <b v="0"/>
    <b v="0"/>
    <x v="20"/>
    <n v="46124624000111"/>
    <x v="255"/>
    <x v="48"/>
    <x v="3"/>
    <n v="70"/>
    <x v="0"/>
    <x v="0"/>
    <n v="45"/>
    <n v="9"/>
  </r>
  <r>
    <n v="2019"/>
    <n v="8"/>
    <x v="0"/>
    <x v="1"/>
    <x v="0"/>
    <s v="2019/2020"/>
    <b v="1"/>
    <b v="0"/>
    <b v="0"/>
    <x v="20"/>
    <n v="46124624000111"/>
    <x v="255"/>
    <x v="48"/>
    <x v="3"/>
    <n v="70"/>
    <x v="0"/>
    <x v="0"/>
    <n v="150"/>
    <n v="15"/>
  </r>
  <r>
    <n v="2019"/>
    <n v="8"/>
    <x v="0"/>
    <x v="1"/>
    <x v="0"/>
    <s v="2019/2020"/>
    <b v="1"/>
    <b v="0"/>
    <b v="0"/>
    <x v="20"/>
    <n v="46124624000111"/>
    <x v="255"/>
    <x v="48"/>
    <x v="3"/>
    <n v="70"/>
    <x v="0"/>
    <x v="0"/>
    <n v="105"/>
    <n v="21"/>
  </r>
  <r>
    <n v="2019"/>
    <n v="8"/>
    <x v="0"/>
    <x v="1"/>
    <x v="0"/>
    <s v="2019/2020"/>
    <b v="1"/>
    <b v="0"/>
    <b v="0"/>
    <x v="20"/>
    <n v="46124624000111"/>
    <x v="255"/>
    <x v="48"/>
    <x v="3"/>
    <n v="73"/>
    <x v="1"/>
    <x v="4"/>
    <n v="48"/>
    <n v="6"/>
  </r>
  <r>
    <n v="2019"/>
    <n v="8"/>
    <x v="0"/>
    <x v="1"/>
    <x v="0"/>
    <s v="2019/2020"/>
    <b v="1"/>
    <b v="0"/>
    <b v="0"/>
    <x v="20"/>
    <n v="46124624002599"/>
    <x v="256"/>
    <x v="83"/>
    <x v="3"/>
    <n v="70"/>
    <x v="0"/>
    <x v="0"/>
    <n v="300"/>
    <n v="60"/>
  </r>
  <r>
    <n v="2019"/>
    <n v="8"/>
    <x v="0"/>
    <x v="1"/>
    <x v="0"/>
    <s v="2019/2020"/>
    <b v="1"/>
    <b v="0"/>
    <b v="0"/>
    <x v="20"/>
    <n v="46124624002599"/>
    <x v="256"/>
    <x v="83"/>
    <x v="3"/>
    <n v="70"/>
    <x v="0"/>
    <x v="0"/>
    <n v="400"/>
    <n v="80"/>
  </r>
  <r>
    <n v="2019"/>
    <n v="8"/>
    <x v="0"/>
    <x v="1"/>
    <x v="0"/>
    <s v="2019/2020"/>
    <b v="1"/>
    <b v="0"/>
    <b v="0"/>
    <x v="20"/>
    <n v="46124624002599"/>
    <x v="256"/>
    <x v="83"/>
    <x v="3"/>
    <n v="73"/>
    <x v="1"/>
    <x v="4"/>
    <n v="80"/>
    <n v="20"/>
  </r>
  <r>
    <n v="2019"/>
    <n v="8"/>
    <x v="0"/>
    <x v="1"/>
    <x v="0"/>
    <s v="2019/2020"/>
    <b v="1"/>
    <b v="0"/>
    <b v="0"/>
    <x v="20"/>
    <n v="46124624002599"/>
    <x v="256"/>
    <x v="83"/>
    <x v="3"/>
    <n v="73"/>
    <x v="1"/>
    <x v="4"/>
    <n v="160"/>
    <n v="40"/>
  </r>
  <r>
    <n v="2019"/>
    <n v="8"/>
    <x v="0"/>
    <x v="1"/>
    <x v="0"/>
    <s v="2019/2020"/>
    <b v="1"/>
    <b v="0"/>
    <b v="0"/>
    <x v="5"/>
    <n v="46374500003886"/>
    <x v="426"/>
    <x v="116"/>
    <x v="3"/>
    <n v="66"/>
    <x v="2"/>
    <x v="3"/>
    <n v="18"/>
    <n v="18"/>
  </r>
  <r>
    <n v="2019"/>
    <n v="8"/>
    <x v="0"/>
    <x v="1"/>
    <x v="0"/>
    <s v="2019/2020"/>
    <b v="1"/>
    <b v="0"/>
    <b v="0"/>
    <x v="5"/>
    <n v="46374500009060"/>
    <x v="427"/>
    <x v="78"/>
    <x v="3"/>
    <n v="70"/>
    <x v="0"/>
    <x v="0"/>
    <n v="300"/>
    <n v="60"/>
  </r>
  <r>
    <n v="2019"/>
    <n v="8"/>
    <x v="0"/>
    <x v="1"/>
    <x v="0"/>
    <s v="2019/2020"/>
    <b v="1"/>
    <b v="0"/>
    <b v="0"/>
    <x v="5"/>
    <n v="46374500026231"/>
    <x v="428"/>
    <x v="3"/>
    <x v="3"/>
    <n v="70"/>
    <x v="0"/>
    <x v="0"/>
    <n v="20285"/>
    <n v="4057"/>
  </r>
  <r>
    <n v="2019"/>
    <n v="8"/>
    <x v="0"/>
    <x v="1"/>
    <x v="0"/>
    <s v="2019/2020"/>
    <b v="1"/>
    <b v="0"/>
    <b v="0"/>
    <x v="17"/>
    <n v="47074851000819"/>
    <x v="258"/>
    <x v="79"/>
    <x v="3"/>
    <n v="73"/>
    <x v="1"/>
    <x v="2"/>
    <n v="6"/>
    <n v="6"/>
  </r>
  <r>
    <n v="2019"/>
    <n v="8"/>
    <x v="0"/>
    <x v="1"/>
    <x v="0"/>
    <s v="2019/2020"/>
    <b v="1"/>
    <b v="0"/>
    <b v="0"/>
    <x v="6"/>
    <n v="48310098000100"/>
    <x v="429"/>
    <x v="26"/>
    <x v="3"/>
    <n v="64"/>
    <x v="4"/>
    <x v="6"/>
    <n v="1"/>
    <n v="1"/>
  </r>
  <r>
    <n v="2019"/>
    <n v="8"/>
    <x v="0"/>
    <x v="1"/>
    <x v="0"/>
    <s v="2019/2020"/>
    <b v="1"/>
    <b v="0"/>
    <b v="0"/>
    <x v="6"/>
    <n v="50486026000160"/>
    <x v="260"/>
    <x v="85"/>
    <x v="3"/>
    <n v="70"/>
    <x v="0"/>
    <x v="0"/>
    <n v="100"/>
    <n v="20"/>
  </r>
  <r>
    <n v="2019"/>
    <n v="8"/>
    <x v="0"/>
    <x v="1"/>
    <x v="0"/>
    <s v="2019/2020"/>
    <b v="1"/>
    <b v="0"/>
    <b v="0"/>
    <x v="4"/>
    <n v="51722957000506"/>
    <x v="430"/>
    <x v="3"/>
    <x v="3"/>
    <n v="70"/>
    <x v="0"/>
    <x v="0"/>
    <n v="150"/>
    <n v="10"/>
  </r>
  <r>
    <n v="2019"/>
    <n v="8"/>
    <x v="0"/>
    <x v="1"/>
    <x v="0"/>
    <s v="2019/2020"/>
    <b v="1"/>
    <b v="0"/>
    <b v="0"/>
    <x v="4"/>
    <n v="51722957000506"/>
    <x v="430"/>
    <x v="3"/>
    <x v="3"/>
    <n v="70"/>
    <x v="0"/>
    <x v="0"/>
    <n v="100"/>
    <n v="20"/>
  </r>
  <r>
    <n v="2019"/>
    <n v="8"/>
    <x v="0"/>
    <x v="1"/>
    <x v="0"/>
    <s v="2019/2020"/>
    <b v="1"/>
    <b v="0"/>
    <b v="0"/>
    <x v="4"/>
    <n v="51722957000506"/>
    <x v="430"/>
    <x v="3"/>
    <x v="3"/>
    <n v="70"/>
    <x v="0"/>
    <x v="0"/>
    <n v="150"/>
    <n v="30"/>
  </r>
  <r>
    <n v="2019"/>
    <n v="8"/>
    <x v="0"/>
    <x v="1"/>
    <x v="0"/>
    <s v="2019/2020"/>
    <b v="1"/>
    <b v="0"/>
    <b v="0"/>
    <x v="4"/>
    <n v="51722957010226"/>
    <x v="261"/>
    <x v="3"/>
    <x v="3"/>
    <n v="70"/>
    <x v="0"/>
    <x v="0"/>
    <n v="240"/>
    <n v="24"/>
  </r>
  <r>
    <n v="2019"/>
    <n v="8"/>
    <x v="0"/>
    <x v="1"/>
    <x v="0"/>
    <s v="2019/2020"/>
    <b v="1"/>
    <b v="0"/>
    <b v="0"/>
    <x v="4"/>
    <n v="51722957010226"/>
    <x v="261"/>
    <x v="3"/>
    <x v="3"/>
    <n v="70"/>
    <x v="0"/>
    <x v="0"/>
    <n v="225"/>
    <n v="45"/>
  </r>
  <r>
    <n v="2019"/>
    <n v="8"/>
    <x v="0"/>
    <x v="1"/>
    <x v="0"/>
    <s v="2019/2020"/>
    <b v="1"/>
    <b v="0"/>
    <b v="0"/>
    <x v="4"/>
    <n v="51722957010226"/>
    <x v="261"/>
    <x v="3"/>
    <x v="3"/>
    <n v="70"/>
    <x v="0"/>
    <x v="0"/>
    <n v="235"/>
    <n v="47"/>
  </r>
  <r>
    <n v="2019"/>
    <n v="8"/>
    <x v="0"/>
    <x v="1"/>
    <x v="0"/>
    <s v="2019/2020"/>
    <b v="1"/>
    <b v="0"/>
    <b v="0"/>
    <x v="4"/>
    <n v="51722957010226"/>
    <x v="261"/>
    <x v="3"/>
    <x v="3"/>
    <n v="70"/>
    <x v="0"/>
    <x v="0"/>
    <n v="250"/>
    <n v="50"/>
  </r>
  <r>
    <n v="2019"/>
    <n v="8"/>
    <x v="0"/>
    <x v="1"/>
    <x v="0"/>
    <s v="2019/2020"/>
    <b v="1"/>
    <b v="0"/>
    <b v="0"/>
    <x v="4"/>
    <n v="51722957010226"/>
    <x v="261"/>
    <x v="3"/>
    <x v="3"/>
    <n v="73"/>
    <x v="1"/>
    <x v="1"/>
    <n v="2"/>
    <n v="1"/>
  </r>
  <r>
    <n v="2019"/>
    <n v="8"/>
    <x v="0"/>
    <x v="1"/>
    <x v="0"/>
    <s v="2019/2020"/>
    <b v="1"/>
    <b v="0"/>
    <b v="0"/>
    <x v="4"/>
    <n v="51722957010226"/>
    <x v="261"/>
    <x v="3"/>
    <x v="3"/>
    <n v="73"/>
    <x v="1"/>
    <x v="4"/>
    <n v="16"/>
    <n v="4"/>
  </r>
  <r>
    <n v="2019"/>
    <n v="8"/>
    <x v="0"/>
    <x v="1"/>
    <x v="0"/>
    <s v="2019/2020"/>
    <b v="1"/>
    <b v="0"/>
    <b v="0"/>
    <x v="4"/>
    <n v="51722957010226"/>
    <x v="261"/>
    <x v="3"/>
    <x v="3"/>
    <n v="73"/>
    <x v="1"/>
    <x v="4"/>
    <n v="24"/>
    <n v="6"/>
  </r>
  <r>
    <n v="2019"/>
    <n v="8"/>
    <x v="0"/>
    <x v="1"/>
    <x v="0"/>
    <s v="2019/2020"/>
    <b v="1"/>
    <b v="0"/>
    <b v="0"/>
    <x v="4"/>
    <n v="51722957012512"/>
    <x v="262"/>
    <x v="3"/>
    <x v="3"/>
    <n v="70"/>
    <x v="0"/>
    <x v="0"/>
    <n v="125"/>
    <n v="25"/>
  </r>
  <r>
    <n v="2019"/>
    <n v="8"/>
    <x v="0"/>
    <x v="1"/>
    <x v="0"/>
    <s v="2019/2020"/>
    <b v="1"/>
    <b v="0"/>
    <b v="0"/>
    <x v="4"/>
    <n v="51722957012512"/>
    <x v="262"/>
    <x v="3"/>
    <x v="3"/>
    <n v="70"/>
    <x v="0"/>
    <x v="0"/>
    <n v="140"/>
    <n v="28"/>
  </r>
  <r>
    <n v="2019"/>
    <n v="8"/>
    <x v="0"/>
    <x v="1"/>
    <x v="0"/>
    <s v="2019/2020"/>
    <b v="1"/>
    <b v="0"/>
    <b v="0"/>
    <x v="17"/>
    <n v="53221255004995"/>
    <x v="265"/>
    <x v="0"/>
    <x v="0"/>
    <n v="62"/>
    <x v="3"/>
    <x v="5"/>
    <n v="1"/>
    <n v="1"/>
  </r>
  <r>
    <n v="2019"/>
    <n v="8"/>
    <x v="0"/>
    <x v="1"/>
    <x v="0"/>
    <s v="2019/2020"/>
    <b v="1"/>
    <b v="0"/>
    <b v="0"/>
    <x v="4"/>
    <n v="54012406000385"/>
    <x v="266"/>
    <x v="86"/>
    <x v="3"/>
    <n v="70"/>
    <x v="0"/>
    <x v="0"/>
    <n v="70"/>
    <n v="14"/>
  </r>
  <r>
    <n v="2019"/>
    <n v="8"/>
    <x v="0"/>
    <x v="1"/>
    <x v="0"/>
    <s v="2019/2020"/>
    <b v="1"/>
    <b v="0"/>
    <b v="0"/>
    <x v="6"/>
    <n v="57722118000140"/>
    <x v="431"/>
    <x v="22"/>
    <x v="3"/>
    <n v="70"/>
    <x v="0"/>
    <x v="0"/>
    <n v="150"/>
    <n v="30"/>
  </r>
  <r>
    <n v="2019"/>
    <n v="8"/>
    <x v="0"/>
    <x v="1"/>
    <x v="0"/>
    <s v="2019/2020"/>
    <b v="1"/>
    <b v="0"/>
    <b v="0"/>
    <x v="2"/>
    <n v="58229691001070"/>
    <x v="271"/>
    <x v="70"/>
    <x v="3"/>
    <n v="73"/>
    <x v="1"/>
    <x v="4"/>
    <n v="32"/>
    <n v="8"/>
  </r>
  <r>
    <n v="2019"/>
    <n v="8"/>
    <x v="0"/>
    <x v="1"/>
    <x v="0"/>
    <s v="2019/2020"/>
    <b v="1"/>
    <b v="0"/>
    <b v="0"/>
    <x v="12"/>
    <n v="59481028000130"/>
    <x v="272"/>
    <x v="3"/>
    <x v="3"/>
    <n v="70"/>
    <x v="0"/>
    <x v="0"/>
    <n v="30"/>
    <n v="3"/>
  </r>
  <r>
    <n v="2019"/>
    <n v="8"/>
    <x v="0"/>
    <x v="1"/>
    <x v="0"/>
    <s v="2019/2020"/>
    <b v="1"/>
    <b v="0"/>
    <b v="0"/>
    <x v="17"/>
    <n v="59970947000178"/>
    <x v="273"/>
    <x v="26"/>
    <x v="3"/>
    <n v="62"/>
    <x v="3"/>
    <x v="5"/>
    <n v="4"/>
    <n v="2"/>
  </r>
  <r>
    <n v="2019"/>
    <n v="8"/>
    <x v="0"/>
    <x v="1"/>
    <x v="0"/>
    <s v="2019/2020"/>
    <b v="1"/>
    <b v="0"/>
    <b v="0"/>
    <x v="5"/>
    <n v="60003761000129"/>
    <x v="275"/>
    <x v="26"/>
    <x v="3"/>
    <n v="62"/>
    <x v="3"/>
    <x v="5"/>
    <n v="5"/>
    <n v="5"/>
  </r>
  <r>
    <n v="2019"/>
    <n v="8"/>
    <x v="0"/>
    <x v="1"/>
    <x v="0"/>
    <s v="2019/2020"/>
    <b v="1"/>
    <b v="0"/>
    <b v="0"/>
    <x v="5"/>
    <n v="60003761000129"/>
    <x v="275"/>
    <x v="26"/>
    <x v="3"/>
    <n v="64"/>
    <x v="4"/>
    <x v="6"/>
    <n v="12"/>
    <n v="12"/>
  </r>
  <r>
    <n v="2019"/>
    <n v="8"/>
    <x v="0"/>
    <x v="1"/>
    <x v="0"/>
    <s v="2019/2020"/>
    <b v="1"/>
    <b v="0"/>
    <b v="0"/>
    <x v="6"/>
    <n v="60214517000962"/>
    <x v="276"/>
    <x v="35"/>
    <x v="3"/>
    <n v="70"/>
    <x v="0"/>
    <x v="0"/>
    <n v="60"/>
    <n v="12"/>
  </r>
  <r>
    <n v="2019"/>
    <n v="8"/>
    <x v="0"/>
    <x v="1"/>
    <x v="0"/>
    <s v="2019/2020"/>
    <b v="1"/>
    <b v="0"/>
    <b v="0"/>
    <x v="28"/>
    <n v="60214517001691"/>
    <x v="277"/>
    <x v="35"/>
    <x v="3"/>
    <n v="70"/>
    <x v="0"/>
    <x v="0"/>
    <n v="240"/>
    <n v="48"/>
  </r>
  <r>
    <n v="2019"/>
    <n v="8"/>
    <x v="0"/>
    <x v="1"/>
    <x v="0"/>
    <s v="2019/2020"/>
    <b v="1"/>
    <b v="0"/>
    <b v="0"/>
    <x v="6"/>
    <n v="60214517001691"/>
    <x v="277"/>
    <x v="35"/>
    <x v="3"/>
    <n v="70"/>
    <x v="0"/>
    <x v="0"/>
    <n v="110"/>
    <n v="22"/>
  </r>
  <r>
    <n v="2019"/>
    <n v="8"/>
    <x v="0"/>
    <x v="1"/>
    <x v="0"/>
    <s v="2019/2020"/>
    <b v="1"/>
    <b v="0"/>
    <b v="0"/>
    <x v="6"/>
    <n v="60214517001691"/>
    <x v="277"/>
    <x v="35"/>
    <x v="3"/>
    <n v="70"/>
    <x v="0"/>
    <x v="0"/>
    <n v="125"/>
    <n v="25"/>
  </r>
  <r>
    <n v="2019"/>
    <n v="8"/>
    <x v="0"/>
    <x v="1"/>
    <x v="0"/>
    <s v="2019/2020"/>
    <b v="1"/>
    <b v="0"/>
    <b v="0"/>
    <x v="6"/>
    <n v="60214517001691"/>
    <x v="277"/>
    <x v="35"/>
    <x v="3"/>
    <n v="70"/>
    <x v="0"/>
    <x v="0"/>
    <n v="185"/>
    <n v="37"/>
  </r>
  <r>
    <n v="2019"/>
    <n v="8"/>
    <x v="0"/>
    <x v="1"/>
    <x v="0"/>
    <s v="2019/2020"/>
    <b v="1"/>
    <b v="0"/>
    <b v="0"/>
    <x v="5"/>
    <n v="60448040000122"/>
    <x v="278"/>
    <x v="3"/>
    <x v="3"/>
    <n v="62"/>
    <x v="3"/>
    <x v="5"/>
    <n v="87"/>
    <n v="87"/>
  </r>
  <r>
    <n v="2019"/>
    <n v="8"/>
    <x v="0"/>
    <x v="1"/>
    <x v="0"/>
    <s v="2019/2020"/>
    <b v="1"/>
    <b v="0"/>
    <b v="0"/>
    <x v="5"/>
    <n v="60448040000122"/>
    <x v="278"/>
    <x v="3"/>
    <x v="3"/>
    <n v="64"/>
    <x v="4"/>
    <x v="6"/>
    <n v="57"/>
    <n v="57"/>
  </r>
  <r>
    <n v="2019"/>
    <n v="8"/>
    <x v="0"/>
    <x v="1"/>
    <x v="0"/>
    <s v="2019/2020"/>
    <b v="1"/>
    <b v="0"/>
    <b v="0"/>
    <x v="17"/>
    <n v="60453024000390"/>
    <x v="279"/>
    <x v="3"/>
    <x v="3"/>
    <n v="62"/>
    <x v="3"/>
    <x v="5"/>
    <n v="10"/>
    <n v="10"/>
  </r>
  <r>
    <n v="2019"/>
    <n v="8"/>
    <x v="0"/>
    <x v="1"/>
    <x v="0"/>
    <s v="2019/2020"/>
    <b v="1"/>
    <b v="0"/>
    <b v="0"/>
    <x v="17"/>
    <n v="60453024000390"/>
    <x v="279"/>
    <x v="3"/>
    <x v="3"/>
    <n v="62"/>
    <x v="3"/>
    <x v="5"/>
    <n v="12"/>
    <n v="12"/>
  </r>
  <r>
    <n v="2019"/>
    <n v="8"/>
    <x v="0"/>
    <x v="1"/>
    <x v="0"/>
    <s v="2019/2020"/>
    <b v="1"/>
    <b v="0"/>
    <b v="0"/>
    <x v="17"/>
    <n v="60453024000390"/>
    <x v="279"/>
    <x v="3"/>
    <x v="3"/>
    <n v="62"/>
    <x v="3"/>
    <x v="5"/>
    <n v="15"/>
    <n v="15"/>
  </r>
  <r>
    <n v="2019"/>
    <n v="8"/>
    <x v="0"/>
    <x v="1"/>
    <x v="0"/>
    <s v="2019/2020"/>
    <b v="1"/>
    <b v="0"/>
    <b v="0"/>
    <x v="17"/>
    <n v="60453024000390"/>
    <x v="279"/>
    <x v="3"/>
    <x v="3"/>
    <n v="64"/>
    <x v="4"/>
    <x v="6"/>
    <n v="3"/>
    <n v="3"/>
  </r>
  <r>
    <n v="2019"/>
    <n v="8"/>
    <x v="0"/>
    <x v="1"/>
    <x v="0"/>
    <s v="2019/2020"/>
    <b v="1"/>
    <b v="0"/>
    <b v="0"/>
    <x v="17"/>
    <n v="60453024000390"/>
    <x v="279"/>
    <x v="3"/>
    <x v="3"/>
    <n v="64"/>
    <x v="4"/>
    <x v="6"/>
    <n v="7"/>
    <n v="7"/>
  </r>
  <r>
    <n v="2019"/>
    <n v="8"/>
    <x v="0"/>
    <x v="1"/>
    <x v="0"/>
    <s v="2019/2020"/>
    <b v="1"/>
    <b v="0"/>
    <b v="0"/>
    <x v="28"/>
    <n v="60552098000111"/>
    <x v="280"/>
    <x v="3"/>
    <x v="3"/>
    <n v="70"/>
    <x v="0"/>
    <x v="0"/>
    <n v="10"/>
    <n v="2"/>
  </r>
  <r>
    <n v="2019"/>
    <n v="8"/>
    <x v="0"/>
    <x v="1"/>
    <x v="0"/>
    <s v="2019/2020"/>
    <b v="1"/>
    <b v="0"/>
    <b v="0"/>
    <x v="28"/>
    <n v="60552098000111"/>
    <x v="280"/>
    <x v="3"/>
    <x v="3"/>
    <n v="70"/>
    <x v="0"/>
    <x v="0"/>
    <n v="195"/>
    <n v="39"/>
  </r>
  <r>
    <n v="2019"/>
    <n v="8"/>
    <x v="0"/>
    <x v="1"/>
    <x v="0"/>
    <s v="2019/2020"/>
    <b v="1"/>
    <b v="0"/>
    <b v="0"/>
    <x v="8"/>
    <n v="60552098000111"/>
    <x v="280"/>
    <x v="3"/>
    <x v="3"/>
    <n v="70"/>
    <x v="0"/>
    <x v="0"/>
    <n v="150"/>
    <n v="30"/>
  </r>
  <r>
    <n v="2019"/>
    <n v="8"/>
    <x v="0"/>
    <x v="1"/>
    <x v="0"/>
    <s v="2019/2020"/>
    <b v="1"/>
    <b v="0"/>
    <b v="0"/>
    <x v="6"/>
    <n v="60552098000111"/>
    <x v="280"/>
    <x v="3"/>
    <x v="3"/>
    <n v="70"/>
    <x v="0"/>
    <x v="0"/>
    <n v="50"/>
    <n v="10"/>
  </r>
  <r>
    <n v="2019"/>
    <n v="8"/>
    <x v="0"/>
    <x v="1"/>
    <x v="0"/>
    <s v="2019/2020"/>
    <b v="1"/>
    <b v="0"/>
    <b v="0"/>
    <x v="13"/>
    <n v="60552098000111"/>
    <x v="280"/>
    <x v="3"/>
    <x v="3"/>
    <n v="70"/>
    <x v="0"/>
    <x v="0"/>
    <n v="-165"/>
    <n v="-33"/>
  </r>
  <r>
    <n v="2019"/>
    <n v="8"/>
    <x v="0"/>
    <x v="1"/>
    <x v="0"/>
    <s v="2019/2020"/>
    <b v="1"/>
    <b v="0"/>
    <b v="0"/>
    <x v="13"/>
    <n v="60552098000111"/>
    <x v="280"/>
    <x v="3"/>
    <x v="3"/>
    <n v="70"/>
    <x v="0"/>
    <x v="0"/>
    <n v="165"/>
    <n v="33"/>
  </r>
  <r>
    <n v="2019"/>
    <n v="8"/>
    <x v="0"/>
    <x v="1"/>
    <x v="0"/>
    <s v="2019/2020"/>
    <b v="1"/>
    <b v="0"/>
    <b v="0"/>
    <x v="6"/>
    <n v="60678604000113"/>
    <x v="281"/>
    <x v="3"/>
    <x v="3"/>
    <n v="62"/>
    <x v="3"/>
    <x v="5"/>
    <n v="3"/>
    <n v="3"/>
  </r>
  <r>
    <n v="2019"/>
    <n v="8"/>
    <x v="0"/>
    <x v="1"/>
    <x v="0"/>
    <s v="2019/2020"/>
    <b v="1"/>
    <b v="0"/>
    <b v="0"/>
    <x v="6"/>
    <n v="60678604000113"/>
    <x v="281"/>
    <x v="3"/>
    <x v="3"/>
    <n v="62"/>
    <x v="3"/>
    <x v="5"/>
    <n v="20"/>
    <n v="10"/>
  </r>
  <r>
    <n v="2019"/>
    <n v="8"/>
    <x v="0"/>
    <x v="1"/>
    <x v="0"/>
    <s v="2019/2020"/>
    <b v="1"/>
    <b v="0"/>
    <b v="0"/>
    <x v="17"/>
    <n v="60726502000126"/>
    <x v="282"/>
    <x v="3"/>
    <x v="3"/>
    <n v="62"/>
    <x v="3"/>
    <x v="5"/>
    <n v="2"/>
    <n v="2"/>
  </r>
  <r>
    <n v="2019"/>
    <n v="8"/>
    <x v="0"/>
    <x v="1"/>
    <x v="0"/>
    <s v="2019/2020"/>
    <b v="1"/>
    <b v="0"/>
    <b v="0"/>
    <x v="17"/>
    <n v="60726502000126"/>
    <x v="282"/>
    <x v="3"/>
    <x v="3"/>
    <n v="64"/>
    <x v="4"/>
    <x v="6"/>
    <n v="2"/>
    <n v="2"/>
  </r>
  <r>
    <n v="2019"/>
    <n v="8"/>
    <x v="0"/>
    <x v="1"/>
    <x v="0"/>
    <s v="2019/2020"/>
    <b v="1"/>
    <b v="0"/>
    <b v="0"/>
    <x v="17"/>
    <n v="60726502000126"/>
    <x v="282"/>
    <x v="3"/>
    <x v="3"/>
    <n v="64"/>
    <x v="4"/>
    <x v="6"/>
    <n v="4"/>
    <n v="4"/>
  </r>
  <r>
    <n v="2019"/>
    <n v="8"/>
    <x v="0"/>
    <x v="1"/>
    <x v="0"/>
    <s v="2019/2020"/>
    <b v="1"/>
    <b v="0"/>
    <b v="0"/>
    <x v="6"/>
    <n v="60726502000126"/>
    <x v="282"/>
    <x v="3"/>
    <x v="3"/>
    <n v="70"/>
    <x v="0"/>
    <x v="0"/>
    <n v="60"/>
    <n v="12"/>
  </r>
  <r>
    <n v="2019"/>
    <n v="8"/>
    <x v="0"/>
    <x v="1"/>
    <x v="0"/>
    <s v="2019/2020"/>
    <b v="1"/>
    <b v="0"/>
    <b v="0"/>
    <x v="6"/>
    <n v="60726502000126"/>
    <x v="282"/>
    <x v="3"/>
    <x v="3"/>
    <n v="70"/>
    <x v="0"/>
    <x v="0"/>
    <n v="180"/>
    <n v="18"/>
  </r>
  <r>
    <n v="2019"/>
    <n v="8"/>
    <x v="0"/>
    <x v="1"/>
    <x v="0"/>
    <s v="2019/2020"/>
    <b v="1"/>
    <b v="0"/>
    <b v="0"/>
    <x v="6"/>
    <n v="60726502000126"/>
    <x v="282"/>
    <x v="3"/>
    <x v="3"/>
    <n v="70"/>
    <x v="0"/>
    <x v="0"/>
    <n v="160"/>
    <n v="32"/>
  </r>
  <r>
    <n v="2019"/>
    <n v="8"/>
    <x v="0"/>
    <x v="1"/>
    <x v="0"/>
    <s v="2019/2020"/>
    <b v="1"/>
    <b v="0"/>
    <b v="0"/>
    <x v="6"/>
    <n v="60726502000126"/>
    <x v="282"/>
    <x v="3"/>
    <x v="3"/>
    <n v="70"/>
    <x v="0"/>
    <x v="0"/>
    <n v="180"/>
    <n v="36"/>
  </r>
  <r>
    <n v="2019"/>
    <n v="8"/>
    <x v="0"/>
    <x v="1"/>
    <x v="0"/>
    <s v="2019/2020"/>
    <b v="1"/>
    <b v="0"/>
    <b v="0"/>
    <x v="6"/>
    <n v="60726502000126"/>
    <x v="282"/>
    <x v="3"/>
    <x v="3"/>
    <n v="70"/>
    <x v="0"/>
    <x v="0"/>
    <n v="250"/>
    <n v="50"/>
  </r>
  <r>
    <n v="2019"/>
    <n v="8"/>
    <x v="0"/>
    <x v="1"/>
    <x v="0"/>
    <s v="2019/2020"/>
    <b v="1"/>
    <b v="0"/>
    <b v="0"/>
    <x v="17"/>
    <n v="60726502000126"/>
    <x v="282"/>
    <x v="3"/>
    <x v="3"/>
    <n v="73"/>
    <x v="1"/>
    <x v="4"/>
    <n v="16"/>
    <n v="4"/>
  </r>
  <r>
    <n v="2019"/>
    <n v="8"/>
    <x v="0"/>
    <x v="1"/>
    <x v="0"/>
    <s v="2019/2020"/>
    <b v="1"/>
    <b v="0"/>
    <b v="0"/>
    <x v="5"/>
    <n v="60765823000130"/>
    <x v="432"/>
    <x v="3"/>
    <x v="3"/>
    <n v="62"/>
    <x v="3"/>
    <x v="5"/>
    <n v="65"/>
    <n v="13"/>
  </r>
  <r>
    <n v="2019"/>
    <n v="8"/>
    <x v="0"/>
    <x v="1"/>
    <x v="0"/>
    <s v="2019/2020"/>
    <b v="1"/>
    <b v="0"/>
    <b v="0"/>
    <x v="4"/>
    <n v="60777901000116"/>
    <x v="284"/>
    <x v="3"/>
    <x v="3"/>
    <n v="64"/>
    <x v="4"/>
    <x v="6"/>
    <n v="100"/>
    <n v="100"/>
  </r>
  <r>
    <n v="2019"/>
    <n v="8"/>
    <x v="0"/>
    <x v="1"/>
    <x v="0"/>
    <s v="2019/2020"/>
    <b v="1"/>
    <b v="0"/>
    <b v="0"/>
    <x v="4"/>
    <n v="60777901000116"/>
    <x v="284"/>
    <x v="3"/>
    <x v="3"/>
    <n v="70"/>
    <x v="0"/>
    <x v="0"/>
    <n v="500"/>
    <n v="50"/>
  </r>
  <r>
    <n v="2019"/>
    <n v="8"/>
    <x v="0"/>
    <x v="1"/>
    <x v="0"/>
    <s v="2019/2020"/>
    <b v="1"/>
    <b v="0"/>
    <b v="0"/>
    <x v="4"/>
    <n v="60777901000116"/>
    <x v="284"/>
    <x v="3"/>
    <x v="3"/>
    <n v="70"/>
    <x v="0"/>
    <x v="0"/>
    <n v="500"/>
    <n v="100"/>
  </r>
  <r>
    <n v="2019"/>
    <n v="8"/>
    <x v="0"/>
    <x v="1"/>
    <x v="0"/>
    <s v="2019/2020"/>
    <b v="1"/>
    <b v="0"/>
    <b v="0"/>
    <x v="4"/>
    <n v="60884855000316"/>
    <x v="285"/>
    <x v="3"/>
    <x v="3"/>
    <n v="62"/>
    <x v="3"/>
    <x v="5"/>
    <n v="3"/>
    <n v="3"/>
  </r>
  <r>
    <n v="2019"/>
    <n v="8"/>
    <x v="0"/>
    <x v="1"/>
    <x v="0"/>
    <s v="2019/2020"/>
    <b v="1"/>
    <b v="0"/>
    <b v="0"/>
    <x v="4"/>
    <n v="60884855000316"/>
    <x v="285"/>
    <x v="3"/>
    <x v="3"/>
    <n v="64"/>
    <x v="4"/>
    <x v="6"/>
    <n v="6"/>
    <n v="3"/>
  </r>
  <r>
    <n v="2019"/>
    <n v="8"/>
    <x v="0"/>
    <x v="1"/>
    <x v="0"/>
    <s v="2019/2020"/>
    <b v="1"/>
    <b v="0"/>
    <b v="0"/>
    <x v="4"/>
    <n v="60884855000316"/>
    <x v="285"/>
    <x v="3"/>
    <x v="3"/>
    <n v="64"/>
    <x v="4"/>
    <x v="6"/>
    <n v="4"/>
    <n v="4"/>
  </r>
  <r>
    <n v="2019"/>
    <n v="8"/>
    <x v="0"/>
    <x v="1"/>
    <x v="0"/>
    <s v="2019/2020"/>
    <b v="1"/>
    <b v="0"/>
    <b v="0"/>
    <x v="4"/>
    <n v="60884855000316"/>
    <x v="285"/>
    <x v="3"/>
    <x v="3"/>
    <n v="70"/>
    <x v="0"/>
    <x v="0"/>
    <n v="140"/>
    <n v="28"/>
  </r>
  <r>
    <n v="2019"/>
    <n v="8"/>
    <x v="0"/>
    <x v="1"/>
    <x v="0"/>
    <s v="2019/2020"/>
    <b v="1"/>
    <b v="0"/>
    <b v="0"/>
    <x v="4"/>
    <n v="60884855000316"/>
    <x v="285"/>
    <x v="3"/>
    <x v="3"/>
    <n v="70"/>
    <x v="0"/>
    <x v="0"/>
    <n v="145"/>
    <n v="29"/>
  </r>
  <r>
    <n v="2019"/>
    <n v="8"/>
    <x v="0"/>
    <x v="1"/>
    <x v="0"/>
    <s v="2019/2020"/>
    <b v="1"/>
    <b v="0"/>
    <b v="0"/>
    <x v="4"/>
    <n v="60884855000316"/>
    <x v="285"/>
    <x v="3"/>
    <x v="3"/>
    <n v="70"/>
    <x v="0"/>
    <x v="0"/>
    <n v="155"/>
    <n v="31"/>
  </r>
  <r>
    <n v="2019"/>
    <n v="8"/>
    <x v="0"/>
    <x v="1"/>
    <x v="0"/>
    <s v="2019/2020"/>
    <b v="1"/>
    <b v="0"/>
    <b v="0"/>
    <x v="4"/>
    <n v="60884855000316"/>
    <x v="285"/>
    <x v="3"/>
    <x v="3"/>
    <n v="70"/>
    <x v="0"/>
    <x v="0"/>
    <n v="175"/>
    <n v="35"/>
  </r>
  <r>
    <n v="2019"/>
    <n v="8"/>
    <x v="0"/>
    <x v="1"/>
    <x v="0"/>
    <s v="2019/2020"/>
    <b v="1"/>
    <b v="0"/>
    <b v="0"/>
    <x v="4"/>
    <n v="60884855000316"/>
    <x v="285"/>
    <x v="3"/>
    <x v="3"/>
    <n v="70"/>
    <x v="0"/>
    <x v="0"/>
    <n v="260"/>
    <n v="52"/>
  </r>
  <r>
    <n v="2019"/>
    <n v="8"/>
    <x v="0"/>
    <x v="1"/>
    <x v="0"/>
    <s v="2019/2020"/>
    <b v="1"/>
    <b v="0"/>
    <b v="0"/>
    <x v="17"/>
    <n v="60884855000316"/>
    <x v="285"/>
    <x v="3"/>
    <x v="3"/>
    <n v="73"/>
    <x v="1"/>
    <x v="1"/>
    <n v="4"/>
    <n v="2"/>
  </r>
  <r>
    <n v="2019"/>
    <n v="8"/>
    <x v="0"/>
    <x v="1"/>
    <x v="0"/>
    <s v="2019/2020"/>
    <b v="1"/>
    <b v="0"/>
    <b v="0"/>
    <x v="17"/>
    <n v="60884855000316"/>
    <x v="285"/>
    <x v="3"/>
    <x v="3"/>
    <n v="73"/>
    <x v="1"/>
    <x v="1"/>
    <n v="16"/>
    <n v="4"/>
  </r>
  <r>
    <n v="2019"/>
    <n v="8"/>
    <x v="0"/>
    <x v="1"/>
    <x v="0"/>
    <s v="2019/2020"/>
    <b v="1"/>
    <b v="0"/>
    <b v="0"/>
    <x v="6"/>
    <n v="60884855000316"/>
    <x v="285"/>
    <x v="3"/>
    <x v="3"/>
    <n v="73"/>
    <x v="1"/>
    <x v="1"/>
    <n v="4"/>
    <n v="2"/>
  </r>
  <r>
    <n v="2019"/>
    <n v="8"/>
    <x v="0"/>
    <x v="1"/>
    <x v="0"/>
    <s v="2019/2020"/>
    <b v="1"/>
    <b v="0"/>
    <b v="0"/>
    <x v="4"/>
    <n v="60884855001207"/>
    <x v="286"/>
    <x v="9"/>
    <x v="0"/>
    <n v="62"/>
    <x v="3"/>
    <x v="5"/>
    <n v="2"/>
    <n v="2"/>
  </r>
  <r>
    <n v="2019"/>
    <n v="8"/>
    <x v="0"/>
    <x v="1"/>
    <x v="0"/>
    <s v="2019/2020"/>
    <b v="1"/>
    <b v="0"/>
    <b v="0"/>
    <x v="4"/>
    <n v="60884855001207"/>
    <x v="286"/>
    <x v="9"/>
    <x v="0"/>
    <n v="62"/>
    <x v="3"/>
    <x v="5"/>
    <n v="4"/>
    <n v="4"/>
  </r>
  <r>
    <n v="2019"/>
    <n v="8"/>
    <x v="0"/>
    <x v="1"/>
    <x v="0"/>
    <s v="2019/2020"/>
    <b v="1"/>
    <b v="0"/>
    <b v="0"/>
    <x v="4"/>
    <n v="60884855001207"/>
    <x v="286"/>
    <x v="9"/>
    <x v="0"/>
    <n v="64"/>
    <x v="4"/>
    <x v="6"/>
    <n v="17"/>
    <n v="17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30"/>
    <n v="6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50"/>
    <n v="10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150"/>
    <n v="30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200"/>
    <n v="40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260"/>
    <n v="52"/>
  </r>
  <r>
    <n v="2019"/>
    <n v="8"/>
    <x v="0"/>
    <x v="1"/>
    <x v="0"/>
    <s v="2019/2020"/>
    <b v="1"/>
    <b v="0"/>
    <b v="0"/>
    <x v="4"/>
    <n v="60884855001207"/>
    <x v="286"/>
    <x v="9"/>
    <x v="0"/>
    <n v="70"/>
    <x v="0"/>
    <x v="0"/>
    <n v="295"/>
    <n v="59"/>
  </r>
  <r>
    <n v="2019"/>
    <n v="8"/>
    <x v="0"/>
    <x v="1"/>
    <x v="0"/>
    <s v="2019/2020"/>
    <b v="1"/>
    <b v="0"/>
    <b v="0"/>
    <x v="17"/>
    <n v="60884855001207"/>
    <x v="286"/>
    <x v="9"/>
    <x v="0"/>
    <n v="73"/>
    <x v="1"/>
    <x v="1"/>
    <n v="4"/>
    <n v="1"/>
  </r>
  <r>
    <n v="2019"/>
    <n v="8"/>
    <x v="0"/>
    <x v="1"/>
    <x v="0"/>
    <s v="2019/2020"/>
    <b v="1"/>
    <b v="0"/>
    <b v="0"/>
    <x v="17"/>
    <n v="60884855001207"/>
    <x v="286"/>
    <x v="9"/>
    <x v="0"/>
    <n v="73"/>
    <x v="1"/>
    <x v="2"/>
    <n v="2"/>
    <n v="1"/>
  </r>
  <r>
    <n v="2019"/>
    <n v="8"/>
    <x v="0"/>
    <x v="1"/>
    <x v="0"/>
    <s v="2019/2020"/>
    <b v="1"/>
    <b v="0"/>
    <b v="0"/>
    <x v="17"/>
    <n v="60884855001207"/>
    <x v="286"/>
    <x v="9"/>
    <x v="0"/>
    <n v="73"/>
    <x v="1"/>
    <x v="1"/>
    <n v="12"/>
    <n v="3"/>
  </r>
  <r>
    <n v="2019"/>
    <n v="8"/>
    <x v="0"/>
    <x v="1"/>
    <x v="0"/>
    <s v="2019/2020"/>
    <b v="1"/>
    <b v="0"/>
    <b v="0"/>
    <x v="4"/>
    <n v="60884855001630"/>
    <x v="287"/>
    <x v="0"/>
    <x v="0"/>
    <n v="62"/>
    <x v="3"/>
    <x v="5"/>
    <n v="10"/>
    <n v="10"/>
  </r>
  <r>
    <n v="2019"/>
    <n v="8"/>
    <x v="0"/>
    <x v="1"/>
    <x v="0"/>
    <s v="2019/2020"/>
    <b v="1"/>
    <b v="0"/>
    <b v="0"/>
    <x v="4"/>
    <n v="60884855001630"/>
    <x v="287"/>
    <x v="0"/>
    <x v="0"/>
    <n v="64"/>
    <x v="4"/>
    <x v="6"/>
    <n v="5"/>
    <n v="5"/>
  </r>
  <r>
    <n v="2019"/>
    <n v="8"/>
    <x v="0"/>
    <x v="1"/>
    <x v="0"/>
    <s v="2019/2020"/>
    <b v="1"/>
    <b v="0"/>
    <b v="0"/>
    <x v="4"/>
    <n v="60884855001630"/>
    <x v="287"/>
    <x v="0"/>
    <x v="0"/>
    <n v="64"/>
    <x v="4"/>
    <x v="6"/>
    <n v="20"/>
    <n v="10"/>
  </r>
  <r>
    <n v="2019"/>
    <n v="8"/>
    <x v="0"/>
    <x v="1"/>
    <x v="0"/>
    <s v="2019/2020"/>
    <b v="1"/>
    <b v="0"/>
    <b v="0"/>
    <x v="4"/>
    <n v="60884855001630"/>
    <x v="287"/>
    <x v="0"/>
    <x v="0"/>
    <n v="70"/>
    <x v="0"/>
    <x v="0"/>
    <n v="55"/>
    <n v="11"/>
  </r>
  <r>
    <n v="2019"/>
    <n v="8"/>
    <x v="0"/>
    <x v="1"/>
    <x v="0"/>
    <s v="2019/2020"/>
    <b v="1"/>
    <b v="0"/>
    <b v="0"/>
    <x v="4"/>
    <n v="60884855001630"/>
    <x v="287"/>
    <x v="0"/>
    <x v="0"/>
    <n v="70"/>
    <x v="0"/>
    <x v="0"/>
    <n v="105"/>
    <n v="21"/>
  </r>
  <r>
    <n v="2019"/>
    <n v="8"/>
    <x v="0"/>
    <x v="1"/>
    <x v="0"/>
    <s v="2019/2020"/>
    <b v="1"/>
    <b v="0"/>
    <b v="0"/>
    <x v="4"/>
    <n v="60884855002289"/>
    <x v="288"/>
    <x v="4"/>
    <x v="4"/>
    <n v="62"/>
    <x v="3"/>
    <x v="5"/>
    <n v="1"/>
    <n v="1"/>
  </r>
  <r>
    <n v="2019"/>
    <n v="8"/>
    <x v="0"/>
    <x v="1"/>
    <x v="0"/>
    <s v="2019/2020"/>
    <b v="1"/>
    <b v="0"/>
    <b v="0"/>
    <x v="4"/>
    <n v="60884855002289"/>
    <x v="288"/>
    <x v="4"/>
    <x v="4"/>
    <n v="62"/>
    <x v="3"/>
    <x v="5"/>
    <n v="6"/>
    <n v="6"/>
  </r>
  <r>
    <n v="2019"/>
    <n v="8"/>
    <x v="0"/>
    <x v="1"/>
    <x v="0"/>
    <s v="2019/2020"/>
    <b v="1"/>
    <b v="0"/>
    <b v="0"/>
    <x v="4"/>
    <n v="60884855002289"/>
    <x v="288"/>
    <x v="4"/>
    <x v="4"/>
    <n v="64"/>
    <x v="4"/>
    <x v="6"/>
    <n v="24"/>
    <n v="24"/>
  </r>
  <r>
    <n v="2019"/>
    <n v="8"/>
    <x v="0"/>
    <x v="1"/>
    <x v="0"/>
    <s v="2019/2020"/>
    <b v="1"/>
    <b v="0"/>
    <b v="0"/>
    <x v="4"/>
    <n v="60884855002289"/>
    <x v="288"/>
    <x v="4"/>
    <x v="4"/>
    <n v="70"/>
    <x v="0"/>
    <x v="0"/>
    <n v="300"/>
    <n v="30"/>
  </r>
  <r>
    <n v="2019"/>
    <n v="8"/>
    <x v="0"/>
    <x v="1"/>
    <x v="0"/>
    <s v="2019/2020"/>
    <b v="1"/>
    <b v="0"/>
    <b v="0"/>
    <x v="10"/>
    <n v="60922168000348"/>
    <x v="289"/>
    <x v="0"/>
    <x v="0"/>
    <n v="62"/>
    <x v="3"/>
    <x v="5"/>
    <n v="1"/>
    <n v="1"/>
  </r>
  <r>
    <n v="2019"/>
    <n v="8"/>
    <x v="0"/>
    <x v="1"/>
    <x v="0"/>
    <s v="2019/2020"/>
    <b v="1"/>
    <b v="0"/>
    <b v="0"/>
    <x v="10"/>
    <n v="60922168000348"/>
    <x v="289"/>
    <x v="0"/>
    <x v="0"/>
    <n v="62"/>
    <x v="3"/>
    <x v="5"/>
    <n v="4"/>
    <n v="2"/>
  </r>
  <r>
    <n v="2019"/>
    <n v="8"/>
    <x v="0"/>
    <x v="1"/>
    <x v="0"/>
    <s v="2019/2020"/>
    <b v="1"/>
    <b v="0"/>
    <b v="0"/>
    <x v="10"/>
    <n v="60922168000348"/>
    <x v="289"/>
    <x v="0"/>
    <x v="0"/>
    <n v="62"/>
    <x v="3"/>
    <x v="5"/>
    <n v="4"/>
    <n v="4"/>
  </r>
  <r>
    <n v="2019"/>
    <n v="8"/>
    <x v="0"/>
    <x v="1"/>
    <x v="0"/>
    <s v="2019/2020"/>
    <b v="1"/>
    <b v="0"/>
    <b v="0"/>
    <x v="10"/>
    <n v="60922168000348"/>
    <x v="289"/>
    <x v="0"/>
    <x v="0"/>
    <n v="64"/>
    <x v="4"/>
    <x v="6"/>
    <n v="4"/>
    <n v="2"/>
  </r>
  <r>
    <n v="2019"/>
    <n v="8"/>
    <x v="0"/>
    <x v="1"/>
    <x v="0"/>
    <s v="2019/2020"/>
    <b v="1"/>
    <b v="0"/>
    <b v="0"/>
    <x v="10"/>
    <n v="60922168000348"/>
    <x v="289"/>
    <x v="0"/>
    <x v="0"/>
    <n v="70"/>
    <x v="0"/>
    <x v="0"/>
    <n v="90"/>
    <n v="6"/>
  </r>
  <r>
    <n v="2019"/>
    <n v="8"/>
    <x v="0"/>
    <x v="1"/>
    <x v="0"/>
    <s v="2019/2020"/>
    <b v="1"/>
    <b v="0"/>
    <b v="0"/>
    <x v="10"/>
    <n v="60922168000348"/>
    <x v="289"/>
    <x v="0"/>
    <x v="0"/>
    <n v="70"/>
    <x v="0"/>
    <x v="0"/>
    <n v="120"/>
    <n v="12"/>
  </r>
  <r>
    <n v="2019"/>
    <n v="8"/>
    <x v="0"/>
    <x v="1"/>
    <x v="0"/>
    <s v="2019/2020"/>
    <b v="1"/>
    <b v="0"/>
    <b v="0"/>
    <x v="6"/>
    <n v="60922168000771"/>
    <x v="290"/>
    <x v="3"/>
    <x v="3"/>
    <n v="62"/>
    <x v="3"/>
    <x v="5"/>
    <n v="5"/>
    <n v="5"/>
  </r>
  <r>
    <n v="2019"/>
    <n v="8"/>
    <x v="0"/>
    <x v="1"/>
    <x v="0"/>
    <s v="2019/2020"/>
    <b v="1"/>
    <b v="0"/>
    <b v="0"/>
    <x v="6"/>
    <n v="60922168000771"/>
    <x v="290"/>
    <x v="3"/>
    <x v="3"/>
    <n v="70"/>
    <x v="0"/>
    <x v="7"/>
    <n v="100"/>
    <n v="10"/>
  </r>
  <r>
    <n v="2019"/>
    <n v="8"/>
    <x v="0"/>
    <x v="1"/>
    <x v="0"/>
    <s v="2019/2020"/>
    <b v="1"/>
    <b v="0"/>
    <b v="0"/>
    <x v="7"/>
    <n v="60922168000771"/>
    <x v="290"/>
    <x v="3"/>
    <x v="3"/>
    <n v="70"/>
    <x v="0"/>
    <x v="0"/>
    <n v="5"/>
    <n v="1"/>
  </r>
  <r>
    <n v="2019"/>
    <n v="8"/>
    <x v="0"/>
    <x v="1"/>
    <x v="0"/>
    <s v="2019/2020"/>
    <b v="1"/>
    <b v="0"/>
    <b v="0"/>
    <x v="17"/>
    <n v="60922168000771"/>
    <x v="290"/>
    <x v="3"/>
    <x v="3"/>
    <n v="73"/>
    <x v="1"/>
    <x v="1"/>
    <n v="4"/>
    <n v="1"/>
  </r>
  <r>
    <n v="2019"/>
    <n v="8"/>
    <x v="0"/>
    <x v="1"/>
    <x v="0"/>
    <s v="2019/2020"/>
    <b v="1"/>
    <b v="0"/>
    <b v="0"/>
    <x v="3"/>
    <n v="60922168004335"/>
    <x v="291"/>
    <x v="3"/>
    <x v="3"/>
    <n v="70"/>
    <x v="0"/>
    <x v="0"/>
    <n v="10"/>
    <n v="2"/>
  </r>
  <r>
    <n v="2019"/>
    <n v="8"/>
    <x v="0"/>
    <x v="1"/>
    <x v="0"/>
    <s v="2019/2020"/>
    <b v="1"/>
    <b v="0"/>
    <b v="0"/>
    <x v="28"/>
    <n v="60922168004335"/>
    <x v="291"/>
    <x v="3"/>
    <x v="3"/>
    <n v="70"/>
    <x v="0"/>
    <x v="0"/>
    <n v="50"/>
    <n v="10"/>
  </r>
  <r>
    <n v="2019"/>
    <n v="8"/>
    <x v="0"/>
    <x v="1"/>
    <x v="0"/>
    <s v="2019/2020"/>
    <b v="1"/>
    <b v="0"/>
    <b v="0"/>
    <x v="15"/>
    <n v="60922168005226"/>
    <x v="292"/>
    <x v="87"/>
    <x v="10"/>
    <n v="62"/>
    <x v="3"/>
    <x v="5"/>
    <n v="1"/>
    <n v="1"/>
  </r>
  <r>
    <n v="2019"/>
    <n v="8"/>
    <x v="0"/>
    <x v="1"/>
    <x v="0"/>
    <s v="2019/2020"/>
    <b v="1"/>
    <b v="0"/>
    <b v="0"/>
    <x v="15"/>
    <n v="60922168005226"/>
    <x v="292"/>
    <x v="87"/>
    <x v="10"/>
    <n v="62"/>
    <x v="3"/>
    <x v="5"/>
    <n v="6"/>
    <n v="3"/>
  </r>
  <r>
    <n v="2019"/>
    <n v="8"/>
    <x v="0"/>
    <x v="1"/>
    <x v="0"/>
    <s v="2019/2020"/>
    <b v="1"/>
    <b v="0"/>
    <b v="0"/>
    <x v="17"/>
    <n v="60922168005226"/>
    <x v="292"/>
    <x v="87"/>
    <x v="10"/>
    <n v="64"/>
    <x v="4"/>
    <x v="6"/>
    <n v="2"/>
    <n v="2"/>
  </r>
  <r>
    <n v="2019"/>
    <n v="8"/>
    <x v="0"/>
    <x v="1"/>
    <x v="0"/>
    <s v="2019/2020"/>
    <b v="1"/>
    <b v="0"/>
    <b v="0"/>
    <x v="4"/>
    <n v="60961422000155"/>
    <x v="293"/>
    <x v="3"/>
    <x v="3"/>
    <n v="62"/>
    <x v="3"/>
    <x v="5"/>
    <n v="1"/>
    <n v="1"/>
  </r>
  <r>
    <n v="2019"/>
    <n v="8"/>
    <x v="0"/>
    <x v="1"/>
    <x v="0"/>
    <s v="2019/2020"/>
    <b v="1"/>
    <b v="0"/>
    <b v="0"/>
    <x v="4"/>
    <n v="60961422000155"/>
    <x v="293"/>
    <x v="3"/>
    <x v="3"/>
    <n v="62"/>
    <x v="3"/>
    <x v="5"/>
    <n v="2"/>
    <n v="2"/>
  </r>
  <r>
    <n v="2019"/>
    <n v="8"/>
    <x v="0"/>
    <x v="1"/>
    <x v="0"/>
    <s v="2019/2020"/>
    <b v="1"/>
    <b v="0"/>
    <b v="0"/>
    <x v="17"/>
    <n v="60961422000155"/>
    <x v="293"/>
    <x v="3"/>
    <x v="3"/>
    <n v="64"/>
    <x v="4"/>
    <x v="6"/>
    <n v="3"/>
    <n v="1"/>
  </r>
  <r>
    <n v="2019"/>
    <n v="8"/>
    <x v="0"/>
    <x v="1"/>
    <x v="0"/>
    <s v="2019/2020"/>
    <b v="1"/>
    <b v="0"/>
    <b v="0"/>
    <x v="4"/>
    <n v="60961422000155"/>
    <x v="293"/>
    <x v="3"/>
    <x v="3"/>
    <n v="70"/>
    <x v="0"/>
    <x v="0"/>
    <n v="20"/>
    <n v="4"/>
  </r>
  <r>
    <n v="2019"/>
    <n v="8"/>
    <x v="0"/>
    <x v="1"/>
    <x v="0"/>
    <s v="2019/2020"/>
    <b v="1"/>
    <b v="0"/>
    <b v="0"/>
    <x v="6"/>
    <n v="60961968000106"/>
    <x v="294"/>
    <x v="3"/>
    <x v="3"/>
    <n v="62"/>
    <x v="3"/>
    <x v="5"/>
    <n v="10"/>
    <n v="10"/>
  </r>
  <r>
    <n v="2019"/>
    <n v="8"/>
    <x v="0"/>
    <x v="1"/>
    <x v="0"/>
    <s v="2019/2020"/>
    <b v="1"/>
    <b v="0"/>
    <b v="0"/>
    <x v="6"/>
    <n v="60961968000106"/>
    <x v="294"/>
    <x v="3"/>
    <x v="3"/>
    <n v="64"/>
    <x v="4"/>
    <x v="6"/>
    <n v="10"/>
    <n v="10"/>
  </r>
  <r>
    <n v="2019"/>
    <n v="8"/>
    <x v="0"/>
    <x v="1"/>
    <x v="0"/>
    <s v="2019/2020"/>
    <b v="1"/>
    <b v="0"/>
    <b v="0"/>
    <x v="6"/>
    <n v="60961968000106"/>
    <x v="294"/>
    <x v="3"/>
    <x v="3"/>
    <n v="70"/>
    <x v="0"/>
    <x v="0"/>
    <n v="1500"/>
    <n v="300"/>
  </r>
  <r>
    <n v="2019"/>
    <n v="8"/>
    <x v="0"/>
    <x v="1"/>
    <x v="0"/>
    <s v="2019/2020"/>
    <b v="1"/>
    <b v="0"/>
    <b v="0"/>
    <x v="6"/>
    <n v="60961968000459"/>
    <x v="433"/>
    <x v="3"/>
    <x v="3"/>
    <n v="62"/>
    <x v="3"/>
    <x v="5"/>
    <n v="5"/>
    <n v="5"/>
  </r>
  <r>
    <n v="2019"/>
    <n v="8"/>
    <x v="0"/>
    <x v="1"/>
    <x v="0"/>
    <s v="2019/2020"/>
    <b v="1"/>
    <b v="0"/>
    <b v="0"/>
    <x v="6"/>
    <n v="60961968000459"/>
    <x v="433"/>
    <x v="3"/>
    <x v="3"/>
    <n v="64"/>
    <x v="4"/>
    <x v="6"/>
    <n v="2"/>
    <n v="2"/>
  </r>
  <r>
    <n v="2019"/>
    <n v="8"/>
    <x v="0"/>
    <x v="1"/>
    <x v="0"/>
    <s v="2019/2020"/>
    <b v="1"/>
    <b v="0"/>
    <b v="0"/>
    <x v="6"/>
    <n v="60975737000232"/>
    <x v="434"/>
    <x v="3"/>
    <x v="3"/>
    <n v="62"/>
    <x v="3"/>
    <x v="5"/>
    <n v="4"/>
    <n v="4"/>
  </r>
  <r>
    <n v="2019"/>
    <n v="8"/>
    <x v="0"/>
    <x v="1"/>
    <x v="0"/>
    <s v="2019/2020"/>
    <b v="1"/>
    <b v="0"/>
    <b v="0"/>
    <x v="6"/>
    <n v="60975737000232"/>
    <x v="434"/>
    <x v="3"/>
    <x v="3"/>
    <n v="64"/>
    <x v="4"/>
    <x v="6"/>
    <n v="2"/>
    <n v="2"/>
  </r>
  <r>
    <n v="2019"/>
    <n v="8"/>
    <x v="0"/>
    <x v="1"/>
    <x v="0"/>
    <s v="2019/2020"/>
    <b v="1"/>
    <b v="0"/>
    <b v="0"/>
    <x v="6"/>
    <n v="60975737000232"/>
    <x v="434"/>
    <x v="3"/>
    <x v="3"/>
    <n v="64"/>
    <x v="4"/>
    <x v="6"/>
    <n v="4"/>
    <n v="4"/>
  </r>
  <r>
    <n v="2019"/>
    <n v="8"/>
    <x v="0"/>
    <x v="1"/>
    <x v="0"/>
    <s v="2019/2020"/>
    <b v="1"/>
    <b v="0"/>
    <b v="0"/>
    <x v="6"/>
    <n v="60975737001204"/>
    <x v="296"/>
    <x v="3"/>
    <x v="3"/>
    <n v="64"/>
    <x v="4"/>
    <x v="6"/>
    <n v="4"/>
    <n v="4"/>
  </r>
  <r>
    <n v="2019"/>
    <n v="8"/>
    <x v="0"/>
    <x v="1"/>
    <x v="0"/>
    <s v="2019/2020"/>
    <b v="1"/>
    <b v="0"/>
    <b v="0"/>
    <x v="11"/>
    <n v="60975737003509"/>
    <x v="297"/>
    <x v="32"/>
    <x v="18"/>
    <n v="62"/>
    <x v="3"/>
    <x v="5"/>
    <n v="2"/>
    <n v="2"/>
  </r>
  <r>
    <n v="2019"/>
    <n v="8"/>
    <x v="0"/>
    <x v="1"/>
    <x v="0"/>
    <s v="2019/2020"/>
    <b v="1"/>
    <b v="0"/>
    <b v="0"/>
    <x v="10"/>
    <n v="60975737003509"/>
    <x v="297"/>
    <x v="32"/>
    <x v="18"/>
    <n v="62"/>
    <x v="3"/>
    <x v="5"/>
    <n v="2"/>
    <n v="2"/>
  </r>
  <r>
    <n v="2019"/>
    <n v="8"/>
    <x v="0"/>
    <x v="1"/>
    <x v="0"/>
    <s v="2019/2020"/>
    <b v="1"/>
    <b v="0"/>
    <b v="0"/>
    <x v="9"/>
    <n v="60975737003509"/>
    <x v="297"/>
    <x v="32"/>
    <x v="18"/>
    <n v="64"/>
    <x v="4"/>
    <x v="6"/>
    <n v="3"/>
    <n v="3"/>
  </r>
  <r>
    <n v="2019"/>
    <n v="8"/>
    <x v="0"/>
    <x v="1"/>
    <x v="0"/>
    <s v="2019/2020"/>
    <b v="1"/>
    <b v="0"/>
    <b v="0"/>
    <x v="11"/>
    <n v="60975737003509"/>
    <x v="297"/>
    <x v="32"/>
    <x v="18"/>
    <n v="64"/>
    <x v="4"/>
    <x v="6"/>
    <n v="3"/>
    <n v="3"/>
  </r>
  <r>
    <n v="2019"/>
    <n v="8"/>
    <x v="0"/>
    <x v="1"/>
    <x v="0"/>
    <s v="2019/2020"/>
    <b v="1"/>
    <b v="0"/>
    <b v="0"/>
    <x v="6"/>
    <n v="60975737005110"/>
    <x v="435"/>
    <x v="3"/>
    <x v="3"/>
    <n v="64"/>
    <x v="4"/>
    <x v="6"/>
    <n v="1"/>
    <n v="1"/>
  </r>
  <r>
    <n v="2019"/>
    <n v="8"/>
    <x v="0"/>
    <x v="1"/>
    <x v="0"/>
    <s v="2019/2020"/>
    <b v="1"/>
    <b v="0"/>
    <b v="0"/>
    <x v="17"/>
    <n v="61213674000240"/>
    <x v="298"/>
    <x v="3"/>
    <x v="3"/>
    <n v="62"/>
    <x v="3"/>
    <x v="5"/>
    <n v="1"/>
    <n v="1"/>
  </r>
  <r>
    <n v="2019"/>
    <n v="8"/>
    <x v="0"/>
    <x v="1"/>
    <x v="0"/>
    <s v="2019/2020"/>
    <b v="1"/>
    <b v="0"/>
    <b v="0"/>
    <x v="17"/>
    <n v="61213674000240"/>
    <x v="298"/>
    <x v="3"/>
    <x v="3"/>
    <n v="62"/>
    <x v="3"/>
    <x v="5"/>
    <n v="2"/>
    <n v="2"/>
  </r>
  <r>
    <n v="2019"/>
    <n v="8"/>
    <x v="0"/>
    <x v="1"/>
    <x v="0"/>
    <s v="2019/2020"/>
    <b v="1"/>
    <b v="0"/>
    <b v="0"/>
    <x v="6"/>
    <n v="61213674000240"/>
    <x v="298"/>
    <x v="3"/>
    <x v="3"/>
    <n v="62"/>
    <x v="3"/>
    <x v="5"/>
    <n v="1"/>
    <n v="1"/>
  </r>
  <r>
    <n v="2019"/>
    <n v="8"/>
    <x v="0"/>
    <x v="1"/>
    <x v="0"/>
    <s v="2019/2020"/>
    <b v="1"/>
    <b v="0"/>
    <b v="0"/>
    <x v="6"/>
    <n v="61213674000240"/>
    <x v="298"/>
    <x v="3"/>
    <x v="3"/>
    <n v="64"/>
    <x v="4"/>
    <x v="6"/>
    <n v="1"/>
    <n v="1"/>
  </r>
  <r>
    <n v="2019"/>
    <n v="8"/>
    <x v="0"/>
    <x v="1"/>
    <x v="0"/>
    <s v="2019/2020"/>
    <b v="1"/>
    <b v="0"/>
    <b v="0"/>
    <x v="6"/>
    <n v="61213674000240"/>
    <x v="298"/>
    <x v="3"/>
    <x v="3"/>
    <n v="64"/>
    <x v="4"/>
    <x v="6"/>
    <n v="4"/>
    <n v="2"/>
  </r>
  <r>
    <n v="2019"/>
    <n v="8"/>
    <x v="0"/>
    <x v="1"/>
    <x v="0"/>
    <s v="2019/2020"/>
    <b v="1"/>
    <b v="0"/>
    <b v="0"/>
    <x v="17"/>
    <n v="61213674000240"/>
    <x v="298"/>
    <x v="3"/>
    <x v="3"/>
    <n v="73"/>
    <x v="1"/>
    <x v="2"/>
    <n v="3"/>
    <n v="3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1"/>
    <n v="6"/>
    <n v="3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4"/>
    <n v="24"/>
    <n v="3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1"/>
    <n v="8"/>
    <n v="4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1"/>
    <n v="10"/>
    <n v="5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4"/>
    <n v="20"/>
    <n v="5"/>
  </r>
  <r>
    <n v="2019"/>
    <n v="8"/>
    <x v="0"/>
    <x v="1"/>
    <x v="0"/>
    <s v="2019/2020"/>
    <b v="1"/>
    <b v="0"/>
    <b v="0"/>
    <x v="6"/>
    <n v="61213674000240"/>
    <x v="298"/>
    <x v="3"/>
    <x v="3"/>
    <n v="73"/>
    <x v="1"/>
    <x v="2"/>
    <n v="6"/>
    <n v="6"/>
  </r>
  <r>
    <n v="2019"/>
    <n v="8"/>
    <x v="0"/>
    <x v="1"/>
    <x v="0"/>
    <s v="2019/2020"/>
    <b v="1"/>
    <b v="0"/>
    <b v="0"/>
    <x v="5"/>
    <n v="61590410000124"/>
    <x v="299"/>
    <x v="3"/>
    <x v="3"/>
    <n v="62"/>
    <x v="3"/>
    <x v="5"/>
    <n v="8"/>
    <n v="4"/>
  </r>
  <r>
    <n v="2019"/>
    <n v="8"/>
    <x v="0"/>
    <x v="1"/>
    <x v="0"/>
    <s v="2019/2020"/>
    <b v="1"/>
    <b v="0"/>
    <b v="0"/>
    <x v="5"/>
    <n v="61590410000124"/>
    <x v="299"/>
    <x v="3"/>
    <x v="3"/>
    <n v="62"/>
    <x v="3"/>
    <x v="5"/>
    <n v="12"/>
    <n v="6"/>
  </r>
  <r>
    <n v="2019"/>
    <n v="8"/>
    <x v="0"/>
    <x v="1"/>
    <x v="0"/>
    <s v="2019/2020"/>
    <b v="1"/>
    <b v="0"/>
    <b v="0"/>
    <x v="5"/>
    <n v="61590410000124"/>
    <x v="299"/>
    <x v="3"/>
    <x v="3"/>
    <n v="62"/>
    <x v="3"/>
    <x v="5"/>
    <n v="14"/>
    <n v="14"/>
  </r>
  <r>
    <n v="2019"/>
    <n v="8"/>
    <x v="0"/>
    <x v="1"/>
    <x v="0"/>
    <s v="2019/2020"/>
    <b v="1"/>
    <b v="0"/>
    <b v="0"/>
    <x v="6"/>
    <n v="61590410000124"/>
    <x v="299"/>
    <x v="3"/>
    <x v="3"/>
    <n v="62"/>
    <x v="3"/>
    <x v="5"/>
    <n v="10"/>
    <n v="10"/>
  </r>
  <r>
    <n v="2019"/>
    <n v="8"/>
    <x v="0"/>
    <x v="1"/>
    <x v="0"/>
    <s v="2019/2020"/>
    <b v="1"/>
    <b v="0"/>
    <b v="0"/>
    <x v="6"/>
    <n v="61590410000124"/>
    <x v="299"/>
    <x v="3"/>
    <x v="3"/>
    <n v="62"/>
    <x v="3"/>
    <x v="5"/>
    <n v="11"/>
    <n v="11"/>
  </r>
  <r>
    <n v="2019"/>
    <n v="8"/>
    <x v="0"/>
    <x v="1"/>
    <x v="0"/>
    <s v="2019/2020"/>
    <b v="1"/>
    <b v="0"/>
    <b v="0"/>
    <x v="6"/>
    <n v="61590410000124"/>
    <x v="299"/>
    <x v="3"/>
    <x v="3"/>
    <n v="62"/>
    <x v="3"/>
    <x v="5"/>
    <n v="26"/>
    <n v="26"/>
  </r>
  <r>
    <n v="2019"/>
    <n v="8"/>
    <x v="0"/>
    <x v="1"/>
    <x v="0"/>
    <s v="2019/2020"/>
    <b v="1"/>
    <b v="0"/>
    <b v="0"/>
    <x v="5"/>
    <n v="61590410000124"/>
    <x v="299"/>
    <x v="3"/>
    <x v="3"/>
    <n v="70"/>
    <x v="0"/>
    <x v="0"/>
    <n v="300"/>
    <n v="60"/>
  </r>
  <r>
    <n v="2019"/>
    <n v="8"/>
    <x v="0"/>
    <x v="1"/>
    <x v="0"/>
    <s v="2019/2020"/>
    <b v="1"/>
    <b v="0"/>
    <b v="0"/>
    <x v="5"/>
    <n v="61590410000124"/>
    <x v="299"/>
    <x v="3"/>
    <x v="3"/>
    <n v="70"/>
    <x v="0"/>
    <x v="0"/>
    <n v="620"/>
    <n v="124"/>
  </r>
  <r>
    <n v="2019"/>
    <n v="8"/>
    <x v="0"/>
    <x v="1"/>
    <x v="0"/>
    <s v="2019/2020"/>
    <b v="1"/>
    <b v="0"/>
    <b v="0"/>
    <x v="5"/>
    <n v="61590410000124"/>
    <x v="299"/>
    <x v="3"/>
    <x v="3"/>
    <n v="70"/>
    <x v="0"/>
    <x v="0"/>
    <n v="1750"/>
    <n v="350"/>
  </r>
  <r>
    <n v="2019"/>
    <n v="8"/>
    <x v="0"/>
    <x v="1"/>
    <x v="0"/>
    <s v="2019/2020"/>
    <b v="1"/>
    <b v="0"/>
    <b v="0"/>
    <x v="8"/>
    <n v="61590410000558"/>
    <x v="300"/>
    <x v="4"/>
    <x v="4"/>
    <n v="73"/>
    <x v="1"/>
    <x v="4"/>
    <n v="16"/>
    <n v="4"/>
  </r>
  <r>
    <n v="2019"/>
    <n v="8"/>
    <x v="0"/>
    <x v="1"/>
    <x v="0"/>
    <s v="2019/2020"/>
    <b v="1"/>
    <b v="0"/>
    <b v="0"/>
    <x v="5"/>
    <n v="61590410001287"/>
    <x v="301"/>
    <x v="4"/>
    <x v="4"/>
    <n v="70"/>
    <x v="0"/>
    <x v="0"/>
    <n v="540"/>
    <n v="36"/>
  </r>
  <r>
    <n v="2019"/>
    <n v="8"/>
    <x v="0"/>
    <x v="1"/>
    <x v="0"/>
    <s v="2019/2020"/>
    <b v="1"/>
    <b v="0"/>
    <b v="0"/>
    <x v="5"/>
    <n v="61590410001287"/>
    <x v="301"/>
    <x v="4"/>
    <x v="4"/>
    <n v="70"/>
    <x v="0"/>
    <x v="0"/>
    <n v="360"/>
    <n v="72"/>
  </r>
  <r>
    <n v="2019"/>
    <n v="8"/>
    <x v="0"/>
    <x v="1"/>
    <x v="0"/>
    <s v="2019/2020"/>
    <b v="1"/>
    <b v="0"/>
    <b v="0"/>
    <x v="5"/>
    <n v="61590410001287"/>
    <x v="301"/>
    <x v="4"/>
    <x v="4"/>
    <n v="70"/>
    <x v="0"/>
    <x v="0"/>
    <n v="400"/>
    <n v="80"/>
  </r>
  <r>
    <n v="2019"/>
    <n v="8"/>
    <x v="0"/>
    <x v="1"/>
    <x v="0"/>
    <s v="2019/2020"/>
    <b v="1"/>
    <b v="0"/>
    <b v="0"/>
    <x v="5"/>
    <n v="61590410001287"/>
    <x v="301"/>
    <x v="4"/>
    <x v="4"/>
    <n v="70"/>
    <x v="0"/>
    <x v="0"/>
    <n v="950"/>
    <n v="190"/>
  </r>
  <r>
    <n v="2019"/>
    <n v="8"/>
    <x v="0"/>
    <x v="1"/>
    <x v="0"/>
    <s v="2019/2020"/>
    <b v="1"/>
    <b v="0"/>
    <b v="0"/>
    <x v="5"/>
    <n v="61599908000158"/>
    <x v="302"/>
    <x v="3"/>
    <x v="3"/>
    <n v="62"/>
    <x v="3"/>
    <x v="5"/>
    <n v="15"/>
    <n v="15"/>
  </r>
  <r>
    <n v="2019"/>
    <n v="8"/>
    <x v="0"/>
    <x v="1"/>
    <x v="0"/>
    <s v="2019/2020"/>
    <b v="1"/>
    <b v="0"/>
    <b v="0"/>
    <x v="5"/>
    <n v="61599908000158"/>
    <x v="302"/>
    <x v="3"/>
    <x v="3"/>
    <n v="62"/>
    <x v="3"/>
    <x v="5"/>
    <n v="60"/>
    <n v="20"/>
  </r>
  <r>
    <n v="2019"/>
    <n v="8"/>
    <x v="0"/>
    <x v="1"/>
    <x v="0"/>
    <s v="2019/2020"/>
    <b v="1"/>
    <b v="0"/>
    <b v="0"/>
    <x v="5"/>
    <n v="61599908000158"/>
    <x v="302"/>
    <x v="3"/>
    <x v="3"/>
    <n v="64"/>
    <x v="4"/>
    <x v="6"/>
    <n v="20"/>
    <n v="20"/>
  </r>
  <r>
    <n v="2019"/>
    <n v="8"/>
    <x v="0"/>
    <x v="1"/>
    <x v="0"/>
    <s v="2019/2020"/>
    <b v="1"/>
    <b v="0"/>
    <b v="0"/>
    <x v="6"/>
    <n v="62779145000190"/>
    <x v="305"/>
    <x v="3"/>
    <x v="3"/>
    <n v="64"/>
    <x v="4"/>
    <x v="6"/>
    <n v="2"/>
    <n v="2"/>
  </r>
  <r>
    <n v="2019"/>
    <n v="8"/>
    <x v="0"/>
    <x v="1"/>
    <x v="0"/>
    <s v="2019/2020"/>
    <b v="1"/>
    <b v="0"/>
    <b v="0"/>
    <x v="4"/>
    <n v="63025530008270"/>
    <x v="436"/>
    <x v="75"/>
    <x v="3"/>
    <n v="70"/>
    <x v="0"/>
    <x v="0"/>
    <n v="5"/>
    <n v="1"/>
  </r>
  <r>
    <n v="2019"/>
    <n v="8"/>
    <x v="0"/>
    <x v="1"/>
    <x v="0"/>
    <s v="2019/2020"/>
    <b v="1"/>
    <b v="0"/>
    <b v="0"/>
    <x v="6"/>
    <n v="67185694000150"/>
    <x v="437"/>
    <x v="3"/>
    <x v="3"/>
    <n v="64"/>
    <x v="4"/>
    <x v="6"/>
    <n v="2"/>
    <n v="2"/>
  </r>
  <r>
    <n v="2019"/>
    <n v="8"/>
    <x v="0"/>
    <x v="1"/>
    <x v="0"/>
    <s v="2019/2020"/>
    <b v="1"/>
    <b v="0"/>
    <b v="0"/>
    <x v="4"/>
    <n v="68204486000113"/>
    <x v="438"/>
    <x v="117"/>
    <x v="3"/>
    <n v="70"/>
    <x v="0"/>
    <x v="0"/>
    <n v="150"/>
    <n v="30"/>
  </r>
  <r>
    <n v="2019"/>
    <n v="8"/>
    <x v="0"/>
    <x v="1"/>
    <x v="0"/>
    <s v="2019/2020"/>
    <b v="1"/>
    <b v="0"/>
    <b v="0"/>
    <x v="11"/>
    <n v="68709211000212"/>
    <x v="307"/>
    <x v="68"/>
    <x v="0"/>
    <n v="64"/>
    <x v="4"/>
    <x v="6"/>
    <n v="1"/>
    <n v="1"/>
  </r>
  <r>
    <n v="2019"/>
    <n v="8"/>
    <x v="0"/>
    <x v="1"/>
    <x v="0"/>
    <s v="2019/2020"/>
    <b v="1"/>
    <b v="0"/>
    <b v="0"/>
    <x v="10"/>
    <n v="68709211000212"/>
    <x v="307"/>
    <x v="68"/>
    <x v="0"/>
    <n v="70"/>
    <x v="0"/>
    <x v="0"/>
    <n v="10"/>
    <n v="2"/>
  </r>
  <r>
    <n v="2019"/>
    <n v="8"/>
    <x v="0"/>
    <x v="1"/>
    <x v="0"/>
    <s v="2019/2020"/>
    <b v="1"/>
    <b v="0"/>
    <b v="0"/>
    <x v="10"/>
    <n v="68709211000212"/>
    <x v="307"/>
    <x v="68"/>
    <x v="0"/>
    <n v="70"/>
    <x v="0"/>
    <x v="7"/>
    <n v="190"/>
    <n v="19"/>
  </r>
  <r>
    <n v="2019"/>
    <n v="8"/>
    <x v="0"/>
    <x v="1"/>
    <x v="0"/>
    <s v="2019/2020"/>
    <b v="1"/>
    <b v="0"/>
    <b v="0"/>
    <x v="7"/>
    <n v="72101124000506"/>
    <x v="308"/>
    <x v="0"/>
    <x v="0"/>
    <n v="70"/>
    <x v="0"/>
    <x v="0"/>
    <n v="25"/>
    <n v="5"/>
  </r>
  <r>
    <n v="2019"/>
    <n v="8"/>
    <x v="0"/>
    <x v="1"/>
    <x v="0"/>
    <s v="2019/2020"/>
    <b v="1"/>
    <b v="0"/>
    <b v="0"/>
    <x v="7"/>
    <n v="72101124000506"/>
    <x v="308"/>
    <x v="0"/>
    <x v="0"/>
    <n v="70"/>
    <x v="0"/>
    <x v="0"/>
    <n v="40"/>
    <n v="8"/>
  </r>
  <r>
    <n v="2019"/>
    <n v="8"/>
    <x v="0"/>
    <x v="1"/>
    <x v="0"/>
    <s v="2019/2020"/>
    <b v="1"/>
    <b v="0"/>
    <b v="0"/>
    <x v="7"/>
    <n v="72101124000506"/>
    <x v="308"/>
    <x v="0"/>
    <x v="0"/>
    <n v="70"/>
    <x v="0"/>
    <x v="0"/>
    <n v="50"/>
    <n v="10"/>
  </r>
  <r>
    <n v="2019"/>
    <n v="8"/>
    <x v="0"/>
    <x v="1"/>
    <x v="0"/>
    <s v="2019/2020"/>
    <b v="1"/>
    <b v="0"/>
    <b v="0"/>
    <x v="7"/>
    <n v="72101124000506"/>
    <x v="308"/>
    <x v="0"/>
    <x v="0"/>
    <n v="70"/>
    <x v="0"/>
    <x v="0"/>
    <n v="60"/>
    <n v="12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1"/>
    <n v="2"/>
    <n v="1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2"/>
    <n v="1"/>
    <n v="1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1"/>
    <n v="4"/>
    <n v="2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4"/>
    <n v="8"/>
    <n v="2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2"/>
    <n v="4"/>
    <n v="2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4"/>
    <n v="24"/>
    <n v="3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4"/>
    <n v="20"/>
    <n v="5"/>
  </r>
  <r>
    <n v="2019"/>
    <n v="8"/>
    <x v="0"/>
    <x v="1"/>
    <x v="0"/>
    <s v="2019/2020"/>
    <b v="1"/>
    <b v="0"/>
    <b v="0"/>
    <x v="7"/>
    <n v="72101124000506"/>
    <x v="308"/>
    <x v="0"/>
    <x v="0"/>
    <n v="73"/>
    <x v="1"/>
    <x v="4"/>
    <n v="72"/>
    <n v="18"/>
  </r>
  <r>
    <n v="2019"/>
    <n v="8"/>
    <x v="0"/>
    <x v="1"/>
    <x v="0"/>
    <s v="2019/2020"/>
    <b v="1"/>
    <b v="0"/>
    <b v="0"/>
    <x v="15"/>
    <n v="73863342000109"/>
    <x v="310"/>
    <x v="88"/>
    <x v="6"/>
    <n v="70"/>
    <x v="0"/>
    <x v="7"/>
    <n v="20"/>
    <n v="2"/>
  </r>
  <r>
    <n v="2019"/>
    <n v="8"/>
    <x v="0"/>
    <x v="1"/>
    <x v="0"/>
    <s v="2019/2020"/>
    <b v="1"/>
    <b v="0"/>
    <b v="0"/>
    <x v="5"/>
    <n v="74031865000151"/>
    <x v="311"/>
    <x v="32"/>
    <x v="18"/>
    <n v="64"/>
    <x v="4"/>
    <x v="6"/>
    <n v="200"/>
    <n v="200"/>
  </r>
  <r>
    <n v="2019"/>
    <n v="8"/>
    <x v="0"/>
    <x v="1"/>
    <x v="0"/>
    <s v="2019/2020"/>
    <b v="1"/>
    <b v="0"/>
    <b v="0"/>
    <x v="5"/>
    <n v="74031865000151"/>
    <x v="311"/>
    <x v="32"/>
    <x v="18"/>
    <n v="64"/>
    <x v="4"/>
    <x v="6"/>
    <n v="600"/>
    <n v="300"/>
  </r>
  <r>
    <n v="2019"/>
    <n v="8"/>
    <x v="0"/>
    <x v="1"/>
    <x v="0"/>
    <s v="2019/2020"/>
    <b v="1"/>
    <b v="0"/>
    <b v="0"/>
    <x v="17"/>
    <n v="75222224001895"/>
    <x v="312"/>
    <x v="88"/>
    <x v="6"/>
    <n v="70"/>
    <x v="0"/>
    <x v="0"/>
    <n v="150"/>
    <n v="30"/>
  </r>
  <r>
    <n v="2019"/>
    <n v="8"/>
    <x v="0"/>
    <x v="1"/>
    <x v="0"/>
    <s v="2019/2020"/>
    <b v="1"/>
    <b v="0"/>
    <b v="0"/>
    <x v="17"/>
    <n v="75222224001895"/>
    <x v="312"/>
    <x v="88"/>
    <x v="6"/>
    <n v="70"/>
    <x v="0"/>
    <x v="0"/>
    <n v="350"/>
    <n v="70"/>
  </r>
  <r>
    <n v="2019"/>
    <n v="8"/>
    <x v="0"/>
    <x v="1"/>
    <x v="0"/>
    <s v="2019/2020"/>
    <b v="1"/>
    <b v="0"/>
    <b v="0"/>
    <x v="17"/>
    <n v="75222224001895"/>
    <x v="312"/>
    <x v="88"/>
    <x v="6"/>
    <n v="70"/>
    <x v="0"/>
    <x v="0"/>
    <n v="500"/>
    <n v="100"/>
  </r>
  <r>
    <n v="2019"/>
    <n v="8"/>
    <x v="0"/>
    <x v="1"/>
    <x v="0"/>
    <s v="2019/2020"/>
    <b v="1"/>
    <b v="0"/>
    <b v="0"/>
    <x v="15"/>
    <n v="75222224001895"/>
    <x v="312"/>
    <x v="88"/>
    <x v="6"/>
    <n v="70"/>
    <x v="0"/>
    <x v="0"/>
    <n v="200"/>
    <n v="40"/>
  </r>
  <r>
    <n v="2019"/>
    <n v="8"/>
    <x v="0"/>
    <x v="1"/>
    <x v="0"/>
    <s v="2019/2020"/>
    <b v="1"/>
    <b v="0"/>
    <b v="0"/>
    <x v="15"/>
    <n v="76498013000102"/>
    <x v="439"/>
    <x v="13"/>
    <x v="6"/>
    <n v="70"/>
    <x v="0"/>
    <x v="0"/>
    <n v="55"/>
    <n v="11"/>
  </r>
  <r>
    <n v="2019"/>
    <n v="8"/>
    <x v="0"/>
    <x v="1"/>
    <x v="0"/>
    <s v="2019/2020"/>
    <b v="1"/>
    <b v="0"/>
    <b v="0"/>
    <x v="11"/>
    <n v="76555069000143"/>
    <x v="313"/>
    <x v="13"/>
    <x v="6"/>
    <n v="70"/>
    <x v="0"/>
    <x v="0"/>
    <n v="80"/>
    <n v="16"/>
  </r>
  <r>
    <n v="2019"/>
    <n v="8"/>
    <x v="0"/>
    <x v="1"/>
    <x v="0"/>
    <s v="2019/2020"/>
    <b v="1"/>
    <b v="0"/>
    <b v="0"/>
    <x v="11"/>
    <n v="76555069000143"/>
    <x v="313"/>
    <x v="13"/>
    <x v="6"/>
    <n v="70"/>
    <x v="0"/>
    <x v="0"/>
    <n v="90"/>
    <n v="18"/>
  </r>
  <r>
    <n v="2019"/>
    <n v="8"/>
    <x v="0"/>
    <x v="1"/>
    <x v="0"/>
    <s v="2019/2020"/>
    <b v="1"/>
    <b v="0"/>
    <b v="0"/>
    <x v="14"/>
    <n v="76591569000130"/>
    <x v="315"/>
    <x v="13"/>
    <x v="6"/>
    <n v="70"/>
    <x v="0"/>
    <x v="0"/>
    <n v="200"/>
    <n v="40"/>
  </r>
  <r>
    <n v="2019"/>
    <n v="8"/>
    <x v="0"/>
    <x v="1"/>
    <x v="0"/>
    <s v="2019/2020"/>
    <b v="1"/>
    <b v="0"/>
    <b v="0"/>
    <x v="2"/>
    <n v="76591569000130"/>
    <x v="315"/>
    <x v="13"/>
    <x v="6"/>
    <n v="70"/>
    <x v="0"/>
    <x v="0"/>
    <n v="50"/>
    <n v="10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10"/>
    <n v="2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50"/>
    <n v="5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30"/>
    <n v="6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80"/>
    <n v="8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70"/>
    <n v="14"/>
  </r>
  <r>
    <n v="2019"/>
    <n v="8"/>
    <x v="0"/>
    <x v="1"/>
    <x v="0"/>
    <s v="2019/2020"/>
    <b v="1"/>
    <b v="0"/>
    <b v="0"/>
    <x v="15"/>
    <n v="76659820002367"/>
    <x v="316"/>
    <x v="13"/>
    <x v="6"/>
    <n v="70"/>
    <x v="0"/>
    <x v="0"/>
    <n v="75"/>
    <n v="15"/>
  </r>
  <r>
    <n v="2019"/>
    <n v="8"/>
    <x v="0"/>
    <x v="1"/>
    <x v="0"/>
    <s v="2019/2020"/>
    <b v="1"/>
    <b v="0"/>
    <b v="0"/>
    <x v="16"/>
    <n v="77858611001414"/>
    <x v="318"/>
    <x v="55"/>
    <x v="10"/>
    <n v="64"/>
    <x v="4"/>
    <x v="6"/>
    <n v="5"/>
    <n v="5"/>
  </r>
  <r>
    <n v="2019"/>
    <n v="8"/>
    <x v="0"/>
    <x v="1"/>
    <x v="0"/>
    <s v="2019/2020"/>
    <b v="1"/>
    <b v="0"/>
    <b v="0"/>
    <x v="7"/>
    <n v="78633088000176"/>
    <x v="440"/>
    <x v="88"/>
    <x v="6"/>
    <n v="70"/>
    <x v="0"/>
    <x v="0"/>
    <n v="10"/>
    <n v="2"/>
  </r>
  <r>
    <n v="2019"/>
    <n v="8"/>
    <x v="0"/>
    <x v="1"/>
    <x v="0"/>
    <s v="2019/2020"/>
    <b v="1"/>
    <b v="0"/>
    <b v="0"/>
    <x v="14"/>
    <n v="79115762000193"/>
    <x v="441"/>
    <x v="89"/>
    <x v="6"/>
    <n v="70"/>
    <x v="0"/>
    <x v="0"/>
    <n v="225"/>
    <n v="45"/>
  </r>
  <r>
    <n v="2019"/>
    <n v="8"/>
    <x v="0"/>
    <x v="1"/>
    <x v="0"/>
    <s v="2019/2020"/>
    <b v="1"/>
    <b v="0"/>
    <b v="0"/>
    <x v="14"/>
    <n v="80490618000116"/>
    <x v="319"/>
    <x v="90"/>
    <x v="10"/>
    <n v="70"/>
    <x v="0"/>
    <x v="0"/>
    <n v="60"/>
    <n v="12"/>
  </r>
  <r>
    <n v="2019"/>
    <n v="8"/>
    <x v="0"/>
    <x v="1"/>
    <x v="0"/>
    <s v="2019/2020"/>
    <b v="1"/>
    <b v="0"/>
    <b v="0"/>
    <x v="16"/>
    <n v="80673411000187"/>
    <x v="320"/>
    <x v="14"/>
    <x v="10"/>
    <n v="73"/>
    <x v="1"/>
    <x v="4"/>
    <n v="48"/>
    <n v="12"/>
  </r>
  <r>
    <n v="2019"/>
    <n v="8"/>
    <x v="0"/>
    <x v="1"/>
    <x v="0"/>
    <s v="2019/2020"/>
    <b v="1"/>
    <b v="0"/>
    <b v="0"/>
    <x v="16"/>
    <n v="83899526000425"/>
    <x v="324"/>
    <x v="14"/>
    <x v="10"/>
    <n v="62"/>
    <x v="3"/>
    <x v="5"/>
    <n v="3"/>
    <n v="3"/>
  </r>
  <r>
    <n v="2019"/>
    <n v="8"/>
    <x v="0"/>
    <x v="1"/>
    <x v="0"/>
    <s v="2019/2020"/>
    <b v="1"/>
    <b v="0"/>
    <b v="0"/>
    <x v="21"/>
    <n v="85377174000392"/>
    <x v="325"/>
    <x v="20"/>
    <x v="10"/>
    <n v="73"/>
    <x v="1"/>
    <x v="2"/>
    <n v="12"/>
    <n v="12"/>
  </r>
  <r>
    <n v="2019"/>
    <n v="8"/>
    <x v="0"/>
    <x v="1"/>
    <x v="0"/>
    <s v="2019/2020"/>
    <b v="1"/>
    <b v="0"/>
    <b v="0"/>
    <x v="16"/>
    <n v="87020517000120"/>
    <x v="326"/>
    <x v="45"/>
    <x v="11"/>
    <n v="62"/>
    <x v="3"/>
    <x v="5"/>
    <n v="30"/>
    <n v="30"/>
  </r>
  <r>
    <n v="2019"/>
    <n v="8"/>
    <x v="0"/>
    <x v="1"/>
    <x v="0"/>
    <s v="2019/2020"/>
    <b v="1"/>
    <b v="0"/>
    <b v="0"/>
    <x v="5"/>
    <n v="87020517000120"/>
    <x v="326"/>
    <x v="45"/>
    <x v="11"/>
    <n v="64"/>
    <x v="4"/>
    <x v="6"/>
    <n v="8"/>
    <n v="8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50"/>
    <n v="10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150"/>
    <n v="30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250"/>
    <n v="50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255"/>
    <n v="51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365"/>
    <n v="73"/>
  </r>
  <r>
    <n v="2019"/>
    <n v="8"/>
    <x v="0"/>
    <x v="1"/>
    <x v="0"/>
    <s v="2019/2020"/>
    <b v="1"/>
    <b v="0"/>
    <b v="0"/>
    <x v="4"/>
    <n v="87096616003101"/>
    <x v="442"/>
    <x v="45"/>
    <x v="11"/>
    <n v="70"/>
    <x v="0"/>
    <x v="0"/>
    <n v="430"/>
    <n v="86"/>
  </r>
  <r>
    <n v="2019"/>
    <n v="8"/>
    <x v="0"/>
    <x v="1"/>
    <x v="0"/>
    <s v="2019/2020"/>
    <b v="1"/>
    <b v="0"/>
    <b v="0"/>
    <x v="16"/>
    <n v="87317764001084"/>
    <x v="327"/>
    <x v="45"/>
    <x v="11"/>
    <n v="62"/>
    <x v="3"/>
    <x v="5"/>
    <n v="4"/>
    <n v="4"/>
  </r>
  <r>
    <n v="2019"/>
    <n v="8"/>
    <x v="0"/>
    <x v="1"/>
    <x v="0"/>
    <s v="2019/2020"/>
    <b v="1"/>
    <b v="0"/>
    <b v="0"/>
    <x v="16"/>
    <n v="87317764001084"/>
    <x v="327"/>
    <x v="45"/>
    <x v="11"/>
    <n v="70"/>
    <x v="0"/>
    <x v="7"/>
    <n v="240"/>
    <n v="24"/>
  </r>
  <r>
    <n v="2019"/>
    <n v="8"/>
    <x v="0"/>
    <x v="1"/>
    <x v="0"/>
    <s v="2019/2020"/>
    <b v="1"/>
    <b v="0"/>
    <b v="0"/>
    <x v="16"/>
    <n v="87547444000120"/>
    <x v="328"/>
    <x v="91"/>
    <x v="11"/>
    <n v="64"/>
    <x v="4"/>
    <x v="6"/>
    <n v="5"/>
    <n v="5"/>
  </r>
  <r>
    <n v="2019"/>
    <n v="8"/>
    <x v="0"/>
    <x v="1"/>
    <x v="0"/>
    <s v="2019/2020"/>
    <b v="1"/>
    <b v="0"/>
    <b v="0"/>
    <x v="16"/>
    <n v="87607149000626"/>
    <x v="329"/>
    <x v="92"/>
    <x v="11"/>
    <n v="70"/>
    <x v="0"/>
    <x v="0"/>
    <n v="15"/>
    <n v="3"/>
  </r>
  <r>
    <n v="2019"/>
    <n v="8"/>
    <x v="0"/>
    <x v="1"/>
    <x v="0"/>
    <s v="2019/2020"/>
    <b v="1"/>
    <b v="0"/>
    <b v="0"/>
    <x v="16"/>
    <n v="87607149000626"/>
    <x v="329"/>
    <x v="92"/>
    <x v="11"/>
    <n v="70"/>
    <x v="0"/>
    <x v="7"/>
    <n v="220"/>
    <n v="22"/>
  </r>
  <r>
    <n v="2019"/>
    <n v="8"/>
    <x v="0"/>
    <x v="1"/>
    <x v="0"/>
    <s v="2019/2020"/>
    <b v="1"/>
    <b v="0"/>
    <b v="0"/>
    <x v="16"/>
    <n v="87638334000505"/>
    <x v="443"/>
    <x v="118"/>
    <x v="11"/>
    <n v="70"/>
    <x v="0"/>
    <x v="7"/>
    <n v="10"/>
    <n v="1"/>
  </r>
  <r>
    <n v="2019"/>
    <n v="8"/>
    <x v="0"/>
    <x v="1"/>
    <x v="0"/>
    <s v="2019/2020"/>
    <b v="1"/>
    <b v="0"/>
    <b v="0"/>
    <x v="4"/>
    <n v="87827689002405"/>
    <x v="330"/>
    <x v="15"/>
    <x v="11"/>
    <n v="70"/>
    <x v="0"/>
    <x v="0"/>
    <n v="90"/>
    <n v="18"/>
  </r>
  <r>
    <n v="2019"/>
    <n v="8"/>
    <x v="0"/>
    <x v="1"/>
    <x v="0"/>
    <s v="2019/2020"/>
    <b v="1"/>
    <b v="0"/>
    <b v="0"/>
    <x v="16"/>
    <n v="87827689002405"/>
    <x v="330"/>
    <x v="15"/>
    <x v="11"/>
    <n v="73"/>
    <x v="1"/>
    <x v="2"/>
    <n v="2"/>
    <n v="2"/>
  </r>
  <r>
    <n v="2019"/>
    <n v="8"/>
    <x v="0"/>
    <x v="1"/>
    <x v="0"/>
    <s v="2019/2020"/>
    <b v="1"/>
    <b v="0"/>
    <b v="0"/>
    <x v="16"/>
    <n v="87827689002405"/>
    <x v="330"/>
    <x v="15"/>
    <x v="11"/>
    <n v="73"/>
    <x v="1"/>
    <x v="1"/>
    <n v="16"/>
    <n v="8"/>
  </r>
  <r>
    <n v="2019"/>
    <n v="8"/>
    <x v="0"/>
    <x v="1"/>
    <x v="0"/>
    <s v="2019/2020"/>
    <b v="1"/>
    <b v="0"/>
    <b v="0"/>
    <x v="16"/>
    <n v="87827689002405"/>
    <x v="330"/>
    <x v="15"/>
    <x v="11"/>
    <n v="73"/>
    <x v="1"/>
    <x v="4"/>
    <n v="256"/>
    <n v="64"/>
  </r>
  <r>
    <n v="2019"/>
    <n v="8"/>
    <x v="0"/>
    <x v="1"/>
    <x v="0"/>
    <s v="2019/2020"/>
    <b v="1"/>
    <b v="0"/>
    <b v="0"/>
    <x v="7"/>
    <n v="88625686002443"/>
    <x v="332"/>
    <x v="45"/>
    <x v="11"/>
    <n v="64"/>
    <x v="4"/>
    <x v="6"/>
    <n v="10"/>
    <n v="5"/>
  </r>
  <r>
    <n v="2019"/>
    <n v="8"/>
    <x v="0"/>
    <x v="1"/>
    <x v="0"/>
    <s v="2019/2020"/>
    <b v="1"/>
    <b v="0"/>
    <b v="0"/>
    <x v="14"/>
    <n v="88625686002443"/>
    <x v="332"/>
    <x v="45"/>
    <x v="11"/>
    <n v="70"/>
    <x v="0"/>
    <x v="0"/>
    <n v="240"/>
    <n v="48"/>
  </r>
  <r>
    <n v="2019"/>
    <n v="8"/>
    <x v="0"/>
    <x v="1"/>
    <x v="0"/>
    <s v="2019/2020"/>
    <b v="1"/>
    <b v="0"/>
    <b v="0"/>
    <x v="16"/>
    <n v="88630413000796"/>
    <x v="333"/>
    <x v="45"/>
    <x v="11"/>
    <n v="62"/>
    <x v="3"/>
    <x v="5"/>
    <n v="3"/>
    <n v="3"/>
  </r>
  <r>
    <n v="2019"/>
    <n v="8"/>
    <x v="0"/>
    <x v="1"/>
    <x v="0"/>
    <s v="2019/2020"/>
    <b v="1"/>
    <b v="0"/>
    <b v="0"/>
    <x v="16"/>
    <n v="88645403001372"/>
    <x v="444"/>
    <x v="15"/>
    <x v="11"/>
    <n v="73"/>
    <x v="1"/>
    <x v="4"/>
    <n v="16"/>
    <n v="4"/>
  </r>
  <r>
    <n v="2019"/>
    <n v="8"/>
    <x v="0"/>
    <x v="1"/>
    <x v="0"/>
    <s v="2019/2020"/>
    <b v="1"/>
    <b v="0"/>
    <b v="0"/>
    <x v="4"/>
    <n v="88645403001372"/>
    <x v="444"/>
    <x v="15"/>
    <x v="11"/>
    <n v="73"/>
    <x v="1"/>
    <x v="4"/>
    <n v="16"/>
    <n v="4"/>
  </r>
  <r>
    <n v="2019"/>
    <n v="8"/>
    <x v="0"/>
    <x v="1"/>
    <x v="0"/>
    <s v="2019/2020"/>
    <b v="1"/>
    <b v="0"/>
    <b v="0"/>
    <x v="16"/>
    <n v="88830609000139"/>
    <x v="445"/>
    <x v="15"/>
    <x v="11"/>
    <n v="70"/>
    <x v="0"/>
    <x v="0"/>
    <n v="140"/>
    <n v="28"/>
  </r>
  <r>
    <n v="2019"/>
    <n v="8"/>
    <x v="0"/>
    <x v="1"/>
    <x v="0"/>
    <s v="2019/2020"/>
    <b v="1"/>
    <b v="0"/>
    <b v="0"/>
    <x v="16"/>
    <n v="92404789000164"/>
    <x v="446"/>
    <x v="119"/>
    <x v="11"/>
    <n v="73"/>
    <x v="1"/>
    <x v="4"/>
    <n v="8"/>
    <n v="2"/>
  </r>
  <r>
    <n v="2019"/>
    <n v="8"/>
    <x v="0"/>
    <x v="1"/>
    <x v="0"/>
    <s v="2019/2020"/>
    <b v="1"/>
    <b v="0"/>
    <b v="0"/>
    <x v="12"/>
    <n v="92685833000151"/>
    <x v="335"/>
    <x v="45"/>
    <x v="11"/>
    <n v="64"/>
    <x v="4"/>
    <x v="6"/>
    <n v="4"/>
    <n v="4"/>
  </r>
  <r>
    <n v="2019"/>
    <n v="8"/>
    <x v="0"/>
    <x v="1"/>
    <x v="0"/>
    <s v="2019/2020"/>
    <b v="1"/>
    <b v="0"/>
    <b v="0"/>
    <x v="12"/>
    <n v="92685833000151"/>
    <x v="335"/>
    <x v="45"/>
    <x v="11"/>
    <n v="64"/>
    <x v="4"/>
    <x v="6"/>
    <n v="10"/>
    <n v="10"/>
  </r>
  <r>
    <n v="2019"/>
    <n v="8"/>
    <x v="0"/>
    <x v="1"/>
    <x v="0"/>
    <s v="2019/2020"/>
    <b v="1"/>
    <b v="0"/>
    <b v="0"/>
    <x v="16"/>
    <n v="92685833000151"/>
    <x v="335"/>
    <x v="45"/>
    <x v="11"/>
    <n v="73"/>
    <x v="1"/>
    <x v="2"/>
    <n v="4"/>
    <n v="4"/>
  </r>
  <r>
    <n v="2019"/>
    <n v="8"/>
    <x v="0"/>
    <x v="1"/>
    <x v="0"/>
    <s v="2019/2020"/>
    <b v="1"/>
    <b v="0"/>
    <b v="0"/>
    <x v="4"/>
    <n v="92685833000151"/>
    <x v="335"/>
    <x v="45"/>
    <x v="11"/>
    <n v="73"/>
    <x v="1"/>
    <x v="2"/>
    <n v="4"/>
    <n v="4"/>
  </r>
  <r>
    <n v="2019"/>
    <n v="8"/>
    <x v="0"/>
    <x v="1"/>
    <x v="0"/>
    <s v="2019/2020"/>
    <b v="1"/>
    <b v="0"/>
    <b v="0"/>
    <x v="16"/>
    <n v="92741016000254"/>
    <x v="336"/>
    <x v="45"/>
    <x v="11"/>
    <n v="62"/>
    <x v="3"/>
    <x v="5"/>
    <n v="3"/>
    <n v="3"/>
  </r>
  <r>
    <n v="2019"/>
    <n v="8"/>
    <x v="0"/>
    <x v="1"/>
    <x v="0"/>
    <s v="2019/2020"/>
    <b v="1"/>
    <b v="0"/>
    <b v="0"/>
    <x v="16"/>
    <n v="92741016000254"/>
    <x v="336"/>
    <x v="45"/>
    <x v="11"/>
    <n v="64"/>
    <x v="4"/>
    <x v="6"/>
    <n v="11"/>
    <n v="11"/>
  </r>
  <r>
    <n v="2019"/>
    <n v="8"/>
    <x v="0"/>
    <x v="1"/>
    <x v="0"/>
    <s v="2019/2020"/>
    <b v="1"/>
    <b v="0"/>
    <b v="0"/>
    <x v="16"/>
    <n v="92815000000168"/>
    <x v="338"/>
    <x v="45"/>
    <x v="11"/>
    <n v="62"/>
    <x v="3"/>
    <x v="5"/>
    <n v="56"/>
    <n v="56"/>
  </r>
  <r>
    <n v="2019"/>
    <n v="8"/>
    <x v="0"/>
    <x v="1"/>
    <x v="0"/>
    <s v="2019/2020"/>
    <b v="1"/>
    <b v="0"/>
    <b v="0"/>
    <x v="16"/>
    <n v="92815000000168"/>
    <x v="338"/>
    <x v="45"/>
    <x v="11"/>
    <n v="64"/>
    <x v="4"/>
    <x v="6"/>
    <n v="23"/>
    <n v="23"/>
  </r>
  <r>
    <n v="2019"/>
    <n v="8"/>
    <x v="0"/>
    <x v="1"/>
    <x v="0"/>
    <s v="2019/2020"/>
    <b v="1"/>
    <b v="0"/>
    <b v="0"/>
    <x v="16"/>
    <n v="92815000000168"/>
    <x v="338"/>
    <x v="45"/>
    <x v="11"/>
    <n v="70"/>
    <x v="0"/>
    <x v="7"/>
    <n v="90"/>
    <n v="9"/>
  </r>
  <r>
    <n v="2019"/>
    <n v="8"/>
    <x v="0"/>
    <x v="1"/>
    <x v="0"/>
    <s v="2019/2020"/>
    <b v="1"/>
    <b v="0"/>
    <b v="0"/>
    <x v="16"/>
    <n v="92815000000168"/>
    <x v="338"/>
    <x v="45"/>
    <x v="11"/>
    <n v="73"/>
    <x v="1"/>
    <x v="2"/>
    <n v="2"/>
    <n v="2"/>
  </r>
  <r>
    <n v="2019"/>
    <n v="8"/>
    <x v="0"/>
    <x v="1"/>
    <x v="0"/>
    <s v="2019/2020"/>
    <b v="1"/>
    <b v="0"/>
    <b v="0"/>
    <x v="16"/>
    <n v="92815000000168"/>
    <x v="338"/>
    <x v="45"/>
    <x v="11"/>
    <n v="73"/>
    <x v="1"/>
    <x v="1"/>
    <n v="52"/>
    <n v="26"/>
  </r>
  <r>
    <n v="2019"/>
    <n v="8"/>
    <x v="0"/>
    <x v="1"/>
    <x v="0"/>
    <s v="2019/2020"/>
    <b v="1"/>
    <b v="0"/>
    <b v="0"/>
    <x v="16"/>
    <n v="92898550000198"/>
    <x v="339"/>
    <x v="45"/>
    <x v="11"/>
    <n v="62"/>
    <x v="3"/>
    <x v="5"/>
    <n v="2"/>
    <n v="2"/>
  </r>
  <r>
    <n v="2019"/>
    <n v="8"/>
    <x v="0"/>
    <x v="1"/>
    <x v="0"/>
    <s v="2019/2020"/>
    <b v="1"/>
    <b v="0"/>
    <b v="0"/>
    <x v="16"/>
    <n v="92963560000160"/>
    <x v="447"/>
    <x v="45"/>
    <x v="11"/>
    <n v="64"/>
    <x v="4"/>
    <x v="6"/>
    <n v="20"/>
    <n v="20"/>
  </r>
  <r>
    <n v="2019"/>
    <n v="8"/>
    <x v="0"/>
    <x v="1"/>
    <x v="0"/>
    <s v="2019/2020"/>
    <b v="1"/>
    <b v="0"/>
    <b v="0"/>
    <x v="16"/>
    <n v="92963560000160"/>
    <x v="447"/>
    <x v="45"/>
    <x v="11"/>
    <n v="70"/>
    <x v="0"/>
    <x v="0"/>
    <n v="100"/>
    <n v="20"/>
  </r>
  <r>
    <n v="2019"/>
    <n v="8"/>
    <x v="0"/>
    <x v="1"/>
    <x v="0"/>
    <s v="2019/2020"/>
    <b v="1"/>
    <b v="0"/>
    <b v="0"/>
    <x v="14"/>
    <n v="94831294000147"/>
    <x v="341"/>
    <x v="45"/>
    <x v="11"/>
    <n v="70"/>
    <x v="0"/>
    <x v="0"/>
    <n v="30"/>
    <n v="6"/>
  </r>
  <r>
    <n v="2019"/>
    <n v="8"/>
    <x v="0"/>
    <x v="1"/>
    <x v="0"/>
    <s v="2019/2020"/>
    <b v="1"/>
    <b v="0"/>
    <b v="0"/>
    <x v="16"/>
    <n v="95610887000146"/>
    <x v="342"/>
    <x v="47"/>
    <x v="11"/>
    <n v="62"/>
    <x v="3"/>
    <x v="5"/>
    <n v="3"/>
    <n v="3"/>
  </r>
  <r>
    <n v="2019"/>
    <n v="8"/>
    <x v="0"/>
    <x v="1"/>
    <x v="0"/>
    <s v="2019/2020"/>
    <b v="1"/>
    <b v="0"/>
    <b v="0"/>
    <x v="11"/>
    <n v="95610887000146"/>
    <x v="342"/>
    <x v="47"/>
    <x v="11"/>
    <n v="62"/>
    <x v="3"/>
    <x v="5"/>
    <n v="1"/>
    <n v="1"/>
  </r>
  <r>
    <n v="2019"/>
    <n v="8"/>
    <x v="0"/>
    <x v="1"/>
    <x v="0"/>
    <s v="2019/2020"/>
    <b v="1"/>
    <b v="0"/>
    <b v="0"/>
    <x v="11"/>
    <n v="95610887000146"/>
    <x v="342"/>
    <x v="47"/>
    <x v="11"/>
    <n v="62"/>
    <x v="3"/>
    <x v="5"/>
    <n v="5"/>
    <n v="5"/>
  </r>
  <r>
    <n v="2019"/>
    <n v="8"/>
    <x v="0"/>
    <x v="1"/>
    <x v="0"/>
    <s v="2019/2020"/>
    <b v="1"/>
    <b v="0"/>
    <b v="0"/>
    <x v="11"/>
    <n v="95610887000146"/>
    <x v="342"/>
    <x v="47"/>
    <x v="11"/>
    <n v="64"/>
    <x v="4"/>
    <x v="6"/>
    <n v="9"/>
    <n v="9"/>
  </r>
  <r>
    <n v="2019"/>
    <n v="8"/>
    <x v="0"/>
    <x v="1"/>
    <x v="0"/>
    <s v="2019/2020"/>
    <b v="1"/>
    <b v="0"/>
    <b v="0"/>
    <x v="14"/>
    <n v="95610887000146"/>
    <x v="342"/>
    <x v="47"/>
    <x v="11"/>
    <n v="70"/>
    <x v="0"/>
    <x v="0"/>
    <n v="100"/>
    <n v="20"/>
  </r>
  <r>
    <n v="2019"/>
    <n v="9"/>
    <x v="0"/>
    <x v="2"/>
    <x v="0"/>
    <s v="2019/2020"/>
    <b v="1"/>
    <b v="1"/>
    <b v="0"/>
    <x v="0"/>
    <n v="320465020"/>
    <x v="448"/>
    <x v="0"/>
    <x v="0"/>
    <n v="66"/>
    <x v="2"/>
    <x v="3"/>
    <n v="3"/>
    <n v="3"/>
  </r>
  <r>
    <n v="2019"/>
    <n v="9"/>
    <x v="0"/>
    <x v="2"/>
    <x v="0"/>
    <s v="2019/2020"/>
    <b v="1"/>
    <b v="1"/>
    <b v="0"/>
    <x v="0"/>
    <n v="5371944796"/>
    <x v="449"/>
    <x v="0"/>
    <x v="0"/>
    <n v="70"/>
    <x v="0"/>
    <x v="0"/>
    <n v="20"/>
    <n v="4"/>
  </r>
  <r>
    <n v="2019"/>
    <n v="9"/>
    <x v="0"/>
    <x v="2"/>
    <x v="0"/>
    <s v="2019/2020"/>
    <b v="1"/>
    <b v="1"/>
    <b v="0"/>
    <x v="0"/>
    <n v="9324322559"/>
    <x v="450"/>
    <x v="31"/>
    <x v="17"/>
    <n v="73"/>
    <x v="1"/>
    <x v="2"/>
    <n v="5"/>
    <n v="5"/>
  </r>
  <r>
    <n v="2019"/>
    <n v="9"/>
    <x v="0"/>
    <x v="2"/>
    <x v="0"/>
    <s v="2019/2020"/>
    <b v="1"/>
    <b v="1"/>
    <b v="0"/>
    <x v="1"/>
    <n v="12371009253"/>
    <x v="1"/>
    <x v="1"/>
    <x v="1"/>
    <n v="73"/>
    <x v="1"/>
    <x v="1"/>
    <n v="8"/>
    <n v="2"/>
  </r>
  <r>
    <n v="2019"/>
    <n v="9"/>
    <x v="0"/>
    <x v="2"/>
    <x v="0"/>
    <s v="2019/2020"/>
    <b v="1"/>
    <b v="1"/>
    <b v="0"/>
    <x v="1"/>
    <n v="12371009253"/>
    <x v="1"/>
    <x v="1"/>
    <x v="1"/>
    <n v="73"/>
    <x v="1"/>
    <x v="2"/>
    <n v="4"/>
    <n v="4"/>
  </r>
  <r>
    <n v="2019"/>
    <n v="9"/>
    <x v="0"/>
    <x v="2"/>
    <x v="0"/>
    <s v="2019/2020"/>
    <b v="1"/>
    <b v="1"/>
    <b v="0"/>
    <x v="2"/>
    <n v="25841000153"/>
    <x v="344"/>
    <x v="4"/>
    <x v="4"/>
    <n v="62"/>
    <x v="3"/>
    <x v="5"/>
    <n v="4"/>
    <n v="4"/>
  </r>
  <r>
    <n v="2019"/>
    <n v="9"/>
    <x v="0"/>
    <x v="2"/>
    <x v="0"/>
    <s v="2019/2020"/>
    <b v="1"/>
    <b v="1"/>
    <b v="0"/>
    <x v="0"/>
    <n v="44482299472"/>
    <x v="451"/>
    <x v="19"/>
    <x v="14"/>
    <n v="66"/>
    <x v="2"/>
    <x v="3"/>
    <n v="90"/>
    <n v="90"/>
  </r>
  <r>
    <n v="2019"/>
    <n v="9"/>
    <x v="0"/>
    <x v="2"/>
    <x v="0"/>
    <s v="2019/2020"/>
    <b v="1"/>
    <b v="1"/>
    <b v="0"/>
    <x v="0"/>
    <n v="48063983904"/>
    <x v="452"/>
    <x v="14"/>
    <x v="10"/>
    <n v="66"/>
    <x v="2"/>
    <x v="3"/>
    <n v="59"/>
    <n v="59"/>
  </r>
  <r>
    <n v="2019"/>
    <n v="9"/>
    <x v="0"/>
    <x v="2"/>
    <x v="0"/>
    <s v="2019/2020"/>
    <b v="1"/>
    <b v="1"/>
    <b v="0"/>
    <x v="2"/>
    <n v="49791000144"/>
    <x v="4"/>
    <x v="4"/>
    <x v="4"/>
    <n v="64"/>
    <x v="4"/>
    <x v="6"/>
    <n v="1"/>
    <n v="1"/>
  </r>
  <r>
    <n v="2019"/>
    <n v="9"/>
    <x v="0"/>
    <x v="2"/>
    <x v="0"/>
    <s v="2019/2020"/>
    <b v="1"/>
    <b v="1"/>
    <b v="0"/>
    <x v="1"/>
    <n v="83925694404"/>
    <x v="5"/>
    <x v="5"/>
    <x v="5"/>
    <n v="66"/>
    <x v="2"/>
    <x v="3"/>
    <n v="2"/>
    <n v="2"/>
  </r>
  <r>
    <n v="2019"/>
    <n v="9"/>
    <x v="0"/>
    <x v="2"/>
    <x v="0"/>
    <s v="2019/2020"/>
    <b v="1"/>
    <b v="1"/>
    <b v="0"/>
    <x v="1"/>
    <n v="83925694404"/>
    <x v="5"/>
    <x v="5"/>
    <x v="5"/>
    <n v="66"/>
    <x v="2"/>
    <x v="3"/>
    <n v="24"/>
    <n v="24"/>
  </r>
  <r>
    <n v="2019"/>
    <n v="9"/>
    <x v="0"/>
    <x v="2"/>
    <x v="0"/>
    <s v="2019/2020"/>
    <b v="1"/>
    <b v="1"/>
    <b v="0"/>
    <x v="0"/>
    <n v="85465526149"/>
    <x v="453"/>
    <x v="4"/>
    <x v="4"/>
    <n v="66"/>
    <x v="2"/>
    <x v="3"/>
    <n v="3"/>
    <n v="3"/>
  </r>
  <r>
    <n v="2019"/>
    <n v="9"/>
    <x v="0"/>
    <x v="2"/>
    <x v="0"/>
    <s v="2019/2020"/>
    <b v="1"/>
    <b v="1"/>
    <b v="0"/>
    <x v="1"/>
    <n v="93326645287"/>
    <x v="454"/>
    <x v="1"/>
    <x v="1"/>
    <n v="73"/>
    <x v="1"/>
    <x v="4"/>
    <n v="16"/>
    <n v="4"/>
  </r>
  <r>
    <n v="2019"/>
    <n v="9"/>
    <x v="0"/>
    <x v="2"/>
    <x v="0"/>
    <s v="2019/2020"/>
    <b v="1"/>
    <b v="1"/>
    <b v="0"/>
    <x v="0"/>
    <n v="394502014870"/>
    <x v="348"/>
    <x v="0"/>
    <x v="0"/>
    <n v="64"/>
    <x v="4"/>
    <x v="6"/>
    <n v="5"/>
    <n v="5"/>
  </r>
  <r>
    <n v="2019"/>
    <n v="9"/>
    <x v="0"/>
    <x v="2"/>
    <x v="0"/>
    <s v="2019/2020"/>
    <b v="1"/>
    <b v="1"/>
    <b v="0"/>
    <x v="5"/>
    <n v="394544000851"/>
    <x v="349"/>
    <x v="4"/>
    <x v="4"/>
    <n v="62"/>
    <x v="3"/>
    <x v="5"/>
    <n v="1050"/>
    <n v="1050"/>
  </r>
  <r>
    <n v="2019"/>
    <n v="9"/>
    <x v="0"/>
    <x v="2"/>
    <x v="0"/>
    <s v="2019/2020"/>
    <b v="1"/>
    <b v="1"/>
    <b v="0"/>
    <x v="5"/>
    <n v="394544000851"/>
    <x v="349"/>
    <x v="4"/>
    <x v="4"/>
    <n v="70"/>
    <x v="0"/>
    <x v="0"/>
    <n v="120"/>
    <n v="24"/>
  </r>
  <r>
    <n v="2019"/>
    <n v="9"/>
    <x v="0"/>
    <x v="2"/>
    <x v="0"/>
    <s v="2019/2020"/>
    <b v="1"/>
    <b v="1"/>
    <b v="0"/>
    <x v="5"/>
    <n v="394544017150"/>
    <x v="350"/>
    <x v="0"/>
    <x v="0"/>
    <n v="64"/>
    <x v="4"/>
    <x v="6"/>
    <n v="20"/>
    <n v="20"/>
  </r>
  <r>
    <n v="2019"/>
    <n v="9"/>
    <x v="0"/>
    <x v="2"/>
    <x v="0"/>
    <s v="2019/2020"/>
    <b v="1"/>
    <b v="1"/>
    <b v="0"/>
    <x v="5"/>
    <n v="394544020453"/>
    <x v="11"/>
    <x v="0"/>
    <x v="0"/>
    <n v="70"/>
    <x v="0"/>
    <x v="0"/>
    <n v="200"/>
    <n v="40"/>
  </r>
  <r>
    <n v="2019"/>
    <n v="9"/>
    <x v="0"/>
    <x v="2"/>
    <x v="0"/>
    <s v="2019/2020"/>
    <b v="1"/>
    <b v="1"/>
    <b v="0"/>
    <x v="5"/>
    <n v="394544021344"/>
    <x v="13"/>
    <x v="0"/>
    <x v="0"/>
    <n v="62"/>
    <x v="3"/>
    <x v="5"/>
    <n v="8"/>
    <n v="8"/>
  </r>
  <r>
    <n v="2019"/>
    <n v="9"/>
    <x v="0"/>
    <x v="2"/>
    <x v="0"/>
    <s v="2019/2020"/>
    <b v="1"/>
    <b v="1"/>
    <b v="0"/>
    <x v="5"/>
    <n v="394544021344"/>
    <x v="13"/>
    <x v="0"/>
    <x v="0"/>
    <n v="62"/>
    <x v="3"/>
    <x v="5"/>
    <n v="242"/>
    <n v="242"/>
  </r>
  <r>
    <n v="2019"/>
    <n v="9"/>
    <x v="0"/>
    <x v="2"/>
    <x v="0"/>
    <s v="2019/2020"/>
    <b v="1"/>
    <b v="1"/>
    <b v="0"/>
    <x v="5"/>
    <n v="394544021344"/>
    <x v="13"/>
    <x v="0"/>
    <x v="0"/>
    <n v="64"/>
    <x v="4"/>
    <x v="6"/>
    <n v="4"/>
    <n v="4"/>
  </r>
  <r>
    <n v="2019"/>
    <n v="9"/>
    <x v="0"/>
    <x v="2"/>
    <x v="0"/>
    <s v="2019/2020"/>
    <b v="1"/>
    <b v="1"/>
    <b v="0"/>
    <x v="5"/>
    <n v="394544021344"/>
    <x v="13"/>
    <x v="0"/>
    <x v="0"/>
    <n v="64"/>
    <x v="4"/>
    <x v="6"/>
    <n v="5"/>
    <n v="5"/>
  </r>
  <r>
    <n v="2019"/>
    <n v="9"/>
    <x v="0"/>
    <x v="2"/>
    <x v="0"/>
    <s v="2019/2020"/>
    <b v="1"/>
    <b v="1"/>
    <b v="0"/>
    <x v="5"/>
    <n v="394544021344"/>
    <x v="13"/>
    <x v="0"/>
    <x v="0"/>
    <n v="64"/>
    <x v="4"/>
    <x v="6"/>
    <n v="68"/>
    <n v="68"/>
  </r>
  <r>
    <n v="2019"/>
    <n v="9"/>
    <x v="0"/>
    <x v="2"/>
    <x v="0"/>
    <s v="2019/2020"/>
    <b v="1"/>
    <b v="1"/>
    <b v="0"/>
    <x v="5"/>
    <n v="394544021344"/>
    <x v="13"/>
    <x v="0"/>
    <x v="0"/>
    <n v="64"/>
    <x v="4"/>
    <x v="6"/>
    <n v="131"/>
    <n v="131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8"/>
    <n v="2.5"/>
    <n v="1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25"/>
    <n v="5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55"/>
    <n v="11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60"/>
    <n v="12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145"/>
    <n v="29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185"/>
    <n v="37"/>
  </r>
  <r>
    <n v="2019"/>
    <n v="9"/>
    <x v="0"/>
    <x v="2"/>
    <x v="0"/>
    <s v="2019/2020"/>
    <b v="1"/>
    <b v="1"/>
    <b v="0"/>
    <x v="7"/>
    <n v="410960000120"/>
    <x v="14"/>
    <x v="6"/>
    <x v="2"/>
    <n v="70"/>
    <x v="0"/>
    <x v="0"/>
    <n v="190"/>
    <n v="38"/>
  </r>
  <r>
    <n v="2019"/>
    <n v="9"/>
    <x v="0"/>
    <x v="2"/>
    <x v="0"/>
    <s v="2019/2020"/>
    <b v="1"/>
    <b v="1"/>
    <b v="0"/>
    <x v="7"/>
    <n v="410960000120"/>
    <x v="14"/>
    <x v="6"/>
    <x v="2"/>
    <n v="73"/>
    <x v="1"/>
    <x v="4"/>
    <n v="8"/>
    <n v="2"/>
  </r>
  <r>
    <n v="2019"/>
    <n v="9"/>
    <x v="0"/>
    <x v="2"/>
    <x v="0"/>
    <s v="2019/2020"/>
    <b v="1"/>
    <b v="1"/>
    <b v="0"/>
    <x v="7"/>
    <n v="410960000120"/>
    <x v="14"/>
    <x v="6"/>
    <x v="2"/>
    <n v="73"/>
    <x v="1"/>
    <x v="2"/>
    <n v="6"/>
    <n v="2"/>
  </r>
  <r>
    <n v="2019"/>
    <n v="9"/>
    <x v="0"/>
    <x v="2"/>
    <x v="0"/>
    <s v="2019/2020"/>
    <b v="1"/>
    <b v="1"/>
    <b v="0"/>
    <x v="7"/>
    <n v="410960000120"/>
    <x v="14"/>
    <x v="6"/>
    <x v="2"/>
    <n v="73"/>
    <x v="1"/>
    <x v="4"/>
    <n v="32"/>
    <n v="4"/>
  </r>
  <r>
    <n v="2019"/>
    <n v="9"/>
    <x v="0"/>
    <x v="2"/>
    <x v="0"/>
    <s v="2019/2020"/>
    <b v="1"/>
    <b v="1"/>
    <b v="0"/>
    <x v="8"/>
    <n v="418954000119"/>
    <x v="15"/>
    <x v="8"/>
    <x v="7"/>
    <n v="64"/>
    <x v="4"/>
    <x v="6"/>
    <n v="18"/>
    <n v="18"/>
  </r>
  <r>
    <n v="2019"/>
    <n v="9"/>
    <x v="0"/>
    <x v="2"/>
    <x v="0"/>
    <s v="2019/2020"/>
    <b v="1"/>
    <b v="1"/>
    <b v="0"/>
    <x v="2"/>
    <n v="418954000704"/>
    <x v="455"/>
    <x v="120"/>
    <x v="7"/>
    <n v="64"/>
    <x v="4"/>
    <x v="6"/>
    <n v="20"/>
    <n v="20"/>
  </r>
  <r>
    <n v="2019"/>
    <n v="9"/>
    <x v="0"/>
    <x v="2"/>
    <x v="0"/>
    <s v="2019/2020"/>
    <b v="1"/>
    <b v="1"/>
    <b v="0"/>
    <x v="12"/>
    <n v="437007000175"/>
    <x v="16"/>
    <x v="9"/>
    <x v="0"/>
    <n v="70"/>
    <x v="0"/>
    <x v="0"/>
    <n v="25"/>
    <n v="5"/>
  </r>
  <r>
    <n v="2019"/>
    <n v="9"/>
    <x v="0"/>
    <x v="2"/>
    <x v="0"/>
    <s v="2019/2020"/>
    <b v="1"/>
    <b v="1"/>
    <b v="0"/>
    <x v="12"/>
    <n v="437007000175"/>
    <x v="16"/>
    <x v="9"/>
    <x v="0"/>
    <n v="70"/>
    <x v="0"/>
    <x v="0"/>
    <n v="145"/>
    <n v="29"/>
  </r>
  <r>
    <n v="2019"/>
    <n v="9"/>
    <x v="0"/>
    <x v="2"/>
    <x v="0"/>
    <s v="2019/2020"/>
    <b v="1"/>
    <b v="1"/>
    <b v="0"/>
    <x v="12"/>
    <n v="437007000175"/>
    <x v="16"/>
    <x v="9"/>
    <x v="0"/>
    <n v="70"/>
    <x v="0"/>
    <x v="0"/>
    <n v="155"/>
    <n v="31"/>
  </r>
  <r>
    <n v="2019"/>
    <n v="9"/>
    <x v="0"/>
    <x v="2"/>
    <x v="0"/>
    <s v="2019/2020"/>
    <b v="1"/>
    <b v="1"/>
    <b v="0"/>
    <x v="7"/>
    <n v="437007000175"/>
    <x v="16"/>
    <x v="9"/>
    <x v="0"/>
    <n v="70"/>
    <x v="0"/>
    <x v="0"/>
    <n v="175"/>
    <n v="35"/>
  </r>
  <r>
    <n v="2019"/>
    <n v="9"/>
    <x v="0"/>
    <x v="2"/>
    <x v="0"/>
    <s v="2019/2020"/>
    <b v="1"/>
    <b v="1"/>
    <b v="0"/>
    <x v="10"/>
    <n v="437007000175"/>
    <x v="16"/>
    <x v="9"/>
    <x v="0"/>
    <n v="73"/>
    <x v="1"/>
    <x v="1"/>
    <n v="2"/>
    <n v="1"/>
  </r>
  <r>
    <n v="2019"/>
    <n v="9"/>
    <x v="0"/>
    <x v="2"/>
    <x v="0"/>
    <s v="2019/2020"/>
    <b v="1"/>
    <b v="1"/>
    <b v="0"/>
    <x v="10"/>
    <n v="437007000175"/>
    <x v="16"/>
    <x v="9"/>
    <x v="0"/>
    <n v="73"/>
    <x v="1"/>
    <x v="4"/>
    <n v="16"/>
    <n v="4"/>
  </r>
  <r>
    <n v="2019"/>
    <n v="9"/>
    <x v="0"/>
    <x v="2"/>
    <x v="0"/>
    <s v="2019/2020"/>
    <b v="1"/>
    <b v="1"/>
    <b v="0"/>
    <x v="10"/>
    <n v="437007000175"/>
    <x v="16"/>
    <x v="9"/>
    <x v="0"/>
    <n v="73"/>
    <x v="1"/>
    <x v="4"/>
    <n v="28"/>
    <n v="7"/>
  </r>
  <r>
    <n v="2019"/>
    <n v="9"/>
    <x v="0"/>
    <x v="2"/>
    <x v="0"/>
    <s v="2019/2020"/>
    <b v="1"/>
    <b v="1"/>
    <b v="0"/>
    <x v="2"/>
    <n v="437007000175"/>
    <x v="16"/>
    <x v="9"/>
    <x v="0"/>
    <n v="73"/>
    <x v="1"/>
    <x v="1"/>
    <n v="4"/>
    <n v="1"/>
  </r>
  <r>
    <n v="2019"/>
    <n v="9"/>
    <x v="0"/>
    <x v="2"/>
    <x v="0"/>
    <s v="2019/2020"/>
    <b v="1"/>
    <b v="1"/>
    <b v="0"/>
    <x v="2"/>
    <n v="437007000175"/>
    <x v="16"/>
    <x v="9"/>
    <x v="0"/>
    <n v="73"/>
    <x v="1"/>
    <x v="1"/>
    <n v="4"/>
    <n v="2"/>
  </r>
  <r>
    <n v="2019"/>
    <n v="9"/>
    <x v="0"/>
    <x v="2"/>
    <x v="0"/>
    <s v="2019/2020"/>
    <b v="1"/>
    <b v="1"/>
    <b v="0"/>
    <x v="2"/>
    <n v="437007000175"/>
    <x v="16"/>
    <x v="9"/>
    <x v="0"/>
    <n v="73"/>
    <x v="1"/>
    <x v="4"/>
    <n v="44"/>
    <n v="11"/>
  </r>
  <r>
    <n v="2019"/>
    <n v="9"/>
    <x v="0"/>
    <x v="2"/>
    <x v="0"/>
    <s v="2019/2020"/>
    <b v="1"/>
    <b v="1"/>
    <b v="0"/>
    <x v="2"/>
    <n v="437007000175"/>
    <x v="16"/>
    <x v="9"/>
    <x v="0"/>
    <n v="73"/>
    <x v="1"/>
    <x v="4"/>
    <n v="76"/>
    <n v="19"/>
  </r>
  <r>
    <n v="2019"/>
    <n v="9"/>
    <x v="0"/>
    <x v="2"/>
    <x v="0"/>
    <s v="2019/2020"/>
    <b v="1"/>
    <b v="1"/>
    <b v="0"/>
    <x v="2"/>
    <n v="437007000175"/>
    <x v="16"/>
    <x v="9"/>
    <x v="0"/>
    <n v="73"/>
    <x v="1"/>
    <x v="4"/>
    <n v="124"/>
    <n v="31"/>
  </r>
  <r>
    <n v="2019"/>
    <n v="9"/>
    <x v="0"/>
    <x v="2"/>
    <x v="0"/>
    <s v="2019/2020"/>
    <b v="1"/>
    <b v="1"/>
    <b v="0"/>
    <x v="8"/>
    <n v="520237000101"/>
    <x v="20"/>
    <x v="4"/>
    <x v="4"/>
    <n v="70"/>
    <x v="0"/>
    <x v="0"/>
    <n v="150"/>
    <n v="30"/>
  </r>
  <r>
    <n v="2019"/>
    <n v="9"/>
    <x v="0"/>
    <x v="2"/>
    <x v="0"/>
    <s v="2019/2020"/>
    <b v="1"/>
    <b v="1"/>
    <b v="0"/>
    <x v="8"/>
    <n v="520237000101"/>
    <x v="20"/>
    <x v="4"/>
    <x v="4"/>
    <n v="73"/>
    <x v="1"/>
    <x v="1"/>
    <n v="10"/>
    <n v="5"/>
  </r>
  <r>
    <n v="2019"/>
    <n v="9"/>
    <x v="0"/>
    <x v="2"/>
    <x v="0"/>
    <s v="2019/2020"/>
    <b v="1"/>
    <b v="1"/>
    <b v="0"/>
    <x v="8"/>
    <n v="520237000101"/>
    <x v="20"/>
    <x v="4"/>
    <x v="4"/>
    <n v="73"/>
    <x v="1"/>
    <x v="2"/>
    <n v="5"/>
    <n v="5"/>
  </r>
  <r>
    <n v="2019"/>
    <n v="9"/>
    <x v="0"/>
    <x v="2"/>
    <x v="0"/>
    <s v="2019/2020"/>
    <b v="1"/>
    <b v="1"/>
    <b v="0"/>
    <x v="8"/>
    <n v="520237000101"/>
    <x v="20"/>
    <x v="4"/>
    <x v="4"/>
    <n v="73"/>
    <x v="1"/>
    <x v="4"/>
    <n v="40"/>
    <n v="10"/>
  </r>
  <r>
    <n v="2019"/>
    <n v="9"/>
    <x v="0"/>
    <x v="2"/>
    <x v="0"/>
    <s v="2019/2020"/>
    <b v="1"/>
    <b v="1"/>
    <b v="0"/>
    <x v="8"/>
    <n v="520237000101"/>
    <x v="20"/>
    <x v="4"/>
    <x v="4"/>
    <n v="73"/>
    <x v="1"/>
    <x v="4"/>
    <n v="60"/>
    <n v="15"/>
  </r>
  <r>
    <n v="2019"/>
    <n v="9"/>
    <x v="0"/>
    <x v="2"/>
    <x v="0"/>
    <s v="2019/2020"/>
    <b v="1"/>
    <b v="1"/>
    <b v="0"/>
    <x v="2"/>
    <n v="520237000101"/>
    <x v="20"/>
    <x v="4"/>
    <x v="4"/>
    <n v="73"/>
    <x v="1"/>
    <x v="4"/>
    <n v="40"/>
    <n v="10"/>
  </r>
  <r>
    <n v="2019"/>
    <n v="9"/>
    <x v="0"/>
    <x v="2"/>
    <x v="0"/>
    <s v="2019/2020"/>
    <b v="1"/>
    <b v="1"/>
    <b v="0"/>
    <x v="10"/>
    <n v="521197000104"/>
    <x v="21"/>
    <x v="9"/>
    <x v="0"/>
    <n v="70"/>
    <x v="0"/>
    <x v="0"/>
    <n v="100"/>
    <n v="10"/>
  </r>
  <r>
    <n v="2019"/>
    <n v="9"/>
    <x v="0"/>
    <x v="2"/>
    <x v="0"/>
    <s v="2019/2020"/>
    <b v="1"/>
    <b v="1"/>
    <b v="0"/>
    <x v="10"/>
    <n v="521197000104"/>
    <x v="21"/>
    <x v="9"/>
    <x v="0"/>
    <n v="70"/>
    <x v="0"/>
    <x v="0"/>
    <n v="60"/>
    <n v="12"/>
  </r>
  <r>
    <n v="2019"/>
    <n v="9"/>
    <x v="0"/>
    <x v="2"/>
    <x v="0"/>
    <s v="2019/2020"/>
    <b v="1"/>
    <b v="1"/>
    <b v="0"/>
    <x v="7"/>
    <n v="521197000104"/>
    <x v="21"/>
    <x v="9"/>
    <x v="0"/>
    <n v="70"/>
    <x v="0"/>
    <x v="8"/>
    <n v="12.5"/>
    <n v="5"/>
  </r>
  <r>
    <n v="2019"/>
    <n v="9"/>
    <x v="0"/>
    <x v="2"/>
    <x v="0"/>
    <s v="2019/2020"/>
    <b v="1"/>
    <b v="1"/>
    <b v="0"/>
    <x v="2"/>
    <n v="521197000104"/>
    <x v="21"/>
    <x v="9"/>
    <x v="0"/>
    <n v="70"/>
    <x v="0"/>
    <x v="0"/>
    <n v="125"/>
    <n v="25"/>
  </r>
  <r>
    <n v="2019"/>
    <n v="9"/>
    <x v="0"/>
    <x v="2"/>
    <x v="0"/>
    <s v="2019/2020"/>
    <b v="1"/>
    <b v="1"/>
    <b v="0"/>
    <x v="8"/>
    <n v="610980000144"/>
    <x v="22"/>
    <x v="4"/>
    <x v="4"/>
    <n v="64"/>
    <x v="4"/>
    <x v="6"/>
    <n v="2"/>
    <n v="1"/>
  </r>
  <r>
    <n v="2019"/>
    <n v="9"/>
    <x v="0"/>
    <x v="2"/>
    <x v="0"/>
    <s v="2019/2020"/>
    <b v="1"/>
    <b v="1"/>
    <b v="0"/>
    <x v="8"/>
    <n v="610980000144"/>
    <x v="22"/>
    <x v="4"/>
    <x v="4"/>
    <n v="64"/>
    <x v="4"/>
    <x v="6"/>
    <n v="2"/>
    <n v="2"/>
  </r>
  <r>
    <n v="2019"/>
    <n v="9"/>
    <x v="0"/>
    <x v="2"/>
    <x v="0"/>
    <s v="2019/2020"/>
    <b v="1"/>
    <b v="1"/>
    <b v="0"/>
    <x v="8"/>
    <n v="610980000144"/>
    <x v="22"/>
    <x v="4"/>
    <x v="4"/>
    <n v="64"/>
    <x v="4"/>
    <x v="6"/>
    <n v="8"/>
    <n v="8"/>
  </r>
  <r>
    <n v="2019"/>
    <n v="9"/>
    <x v="0"/>
    <x v="2"/>
    <x v="0"/>
    <s v="2019/2020"/>
    <b v="1"/>
    <b v="1"/>
    <b v="0"/>
    <x v="8"/>
    <n v="610980000144"/>
    <x v="22"/>
    <x v="4"/>
    <x v="4"/>
    <n v="70"/>
    <x v="0"/>
    <x v="0"/>
    <n v="50"/>
    <n v="10"/>
  </r>
  <r>
    <n v="2019"/>
    <n v="9"/>
    <x v="0"/>
    <x v="2"/>
    <x v="0"/>
    <s v="2019/2020"/>
    <b v="1"/>
    <b v="1"/>
    <b v="0"/>
    <x v="8"/>
    <n v="610980000144"/>
    <x v="22"/>
    <x v="4"/>
    <x v="4"/>
    <n v="70"/>
    <x v="0"/>
    <x v="0"/>
    <n v="100"/>
    <n v="20"/>
  </r>
  <r>
    <n v="2019"/>
    <n v="9"/>
    <x v="0"/>
    <x v="2"/>
    <x v="0"/>
    <s v="2019/2020"/>
    <b v="1"/>
    <b v="1"/>
    <b v="0"/>
    <x v="8"/>
    <n v="610980000144"/>
    <x v="22"/>
    <x v="4"/>
    <x v="4"/>
    <n v="70"/>
    <x v="0"/>
    <x v="0"/>
    <n v="250"/>
    <n v="50"/>
  </r>
  <r>
    <n v="2019"/>
    <n v="9"/>
    <x v="0"/>
    <x v="2"/>
    <x v="0"/>
    <s v="2019/2020"/>
    <b v="1"/>
    <b v="1"/>
    <b v="0"/>
    <x v="11"/>
    <n v="820737000150"/>
    <x v="23"/>
    <x v="10"/>
    <x v="8"/>
    <n v="64"/>
    <x v="4"/>
    <x v="6"/>
    <n v="6"/>
    <n v="6"/>
  </r>
  <r>
    <n v="2019"/>
    <n v="9"/>
    <x v="0"/>
    <x v="2"/>
    <x v="0"/>
    <s v="2019/2020"/>
    <b v="1"/>
    <b v="1"/>
    <b v="0"/>
    <x v="11"/>
    <n v="820737000150"/>
    <x v="23"/>
    <x v="10"/>
    <x v="8"/>
    <n v="64"/>
    <x v="4"/>
    <x v="6"/>
    <n v="15"/>
    <n v="15"/>
  </r>
  <r>
    <n v="2019"/>
    <n v="9"/>
    <x v="0"/>
    <x v="2"/>
    <x v="0"/>
    <s v="2019/2020"/>
    <b v="1"/>
    <b v="1"/>
    <b v="0"/>
    <x v="13"/>
    <n v="840048000450"/>
    <x v="24"/>
    <x v="11"/>
    <x v="3"/>
    <n v="70"/>
    <x v="0"/>
    <x v="7"/>
    <n v="20"/>
    <n v="2"/>
  </r>
  <r>
    <n v="2019"/>
    <n v="9"/>
    <x v="0"/>
    <x v="2"/>
    <x v="0"/>
    <s v="2019/2020"/>
    <b v="1"/>
    <b v="1"/>
    <b v="0"/>
    <x v="13"/>
    <n v="840048000450"/>
    <x v="24"/>
    <x v="11"/>
    <x v="3"/>
    <n v="70"/>
    <x v="0"/>
    <x v="7"/>
    <n v="70"/>
    <n v="7"/>
  </r>
  <r>
    <n v="2019"/>
    <n v="9"/>
    <x v="0"/>
    <x v="2"/>
    <x v="0"/>
    <s v="2019/2020"/>
    <b v="1"/>
    <b v="1"/>
    <b v="0"/>
    <x v="13"/>
    <n v="840048000450"/>
    <x v="24"/>
    <x v="11"/>
    <x v="3"/>
    <n v="70"/>
    <x v="0"/>
    <x v="7"/>
    <n v="150"/>
    <n v="15"/>
  </r>
  <r>
    <n v="2019"/>
    <n v="9"/>
    <x v="0"/>
    <x v="2"/>
    <x v="0"/>
    <s v="2019/2020"/>
    <b v="1"/>
    <b v="1"/>
    <b v="0"/>
    <x v="14"/>
    <n v="942063000167"/>
    <x v="26"/>
    <x v="13"/>
    <x v="6"/>
    <n v="70"/>
    <x v="0"/>
    <x v="0"/>
    <n v="800"/>
    <n v="160"/>
  </r>
  <r>
    <n v="2019"/>
    <n v="9"/>
    <x v="0"/>
    <x v="2"/>
    <x v="0"/>
    <s v="2019/2020"/>
    <b v="1"/>
    <b v="1"/>
    <b v="0"/>
    <x v="8"/>
    <n v="1011865000116"/>
    <x v="27"/>
    <x v="8"/>
    <x v="7"/>
    <n v="70"/>
    <x v="0"/>
    <x v="0"/>
    <n v="100"/>
    <n v="20"/>
  </r>
  <r>
    <n v="2019"/>
    <n v="9"/>
    <x v="0"/>
    <x v="2"/>
    <x v="0"/>
    <s v="2019/2020"/>
    <b v="1"/>
    <b v="1"/>
    <b v="0"/>
    <x v="8"/>
    <n v="1011865000116"/>
    <x v="27"/>
    <x v="8"/>
    <x v="7"/>
    <n v="70"/>
    <x v="0"/>
    <x v="0"/>
    <n v="150"/>
    <n v="30"/>
  </r>
  <r>
    <n v="2019"/>
    <n v="9"/>
    <x v="0"/>
    <x v="2"/>
    <x v="0"/>
    <s v="2019/2020"/>
    <b v="1"/>
    <b v="1"/>
    <b v="0"/>
    <x v="4"/>
    <n v="1125832000105"/>
    <x v="28"/>
    <x v="14"/>
    <x v="10"/>
    <n v="70"/>
    <x v="0"/>
    <x v="0"/>
    <n v="60"/>
    <n v="12"/>
  </r>
  <r>
    <n v="2019"/>
    <n v="9"/>
    <x v="0"/>
    <x v="2"/>
    <x v="0"/>
    <s v="2019/2020"/>
    <b v="1"/>
    <b v="1"/>
    <b v="0"/>
    <x v="11"/>
    <n v="1277573000120"/>
    <x v="456"/>
    <x v="8"/>
    <x v="7"/>
    <n v="64"/>
    <x v="4"/>
    <x v="6"/>
    <n v="6"/>
    <n v="6"/>
  </r>
  <r>
    <n v="2019"/>
    <n v="9"/>
    <x v="0"/>
    <x v="2"/>
    <x v="0"/>
    <s v="2019/2020"/>
    <b v="1"/>
    <b v="1"/>
    <b v="0"/>
    <x v="8"/>
    <n v="1277573000120"/>
    <x v="456"/>
    <x v="8"/>
    <x v="7"/>
    <n v="64"/>
    <x v="4"/>
    <x v="6"/>
    <n v="3"/>
    <n v="3"/>
  </r>
  <r>
    <n v="2019"/>
    <n v="9"/>
    <x v="0"/>
    <x v="2"/>
    <x v="0"/>
    <s v="2019/2020"/>
    <b v="1"/>
    <b v="1"/>
    <b v="0"/>
    <x v="8"/>
    <n v="1326206000179"/>
    <x v="30"/>
    <x v="16"/>
    <x v="7"/>
    <n v="73"/>
    <x v="1"/>
    <x v="1"/>
    <n v="4"/>
    <n v="2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1"/>
    <n v="8"/>
    <n v="2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4"/>
    <n v="8"/>
    <n v="2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2"/>
    <n v="2"/>
    <n v="2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2"/>
    <n v="3"/>
    <n v="3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4"/>
    <n v="16"/>
    <n v="4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2"/>
    <n v="4"/>
    <n v="4"/>
  </r>
  <r>
    <n v="2019"/>
    <n v="9"/>
    <x v="0"/>
    <x v="2"/>
    <x v="0"/>
    <s v="2019/2020"/>
    <b v="1"/>
    <b v="1"/>
    <b v="0"/>
    <x v="6"/>
    <n v="1326206000179"/>
    <x v="30"/>
    <x v="16"/>
    <x v="7"/>
    <n v="73"/>
    <x v="1"/>
    <x v="4"/>
    <n v="32"/>
    <n v="8"/>
  </r>
  <r>
    <n v="2019"/>
    <n v="9"/>
    <x v="0"/>
    <x v="2"/>
    <x v="0"/>
    <s v="2019/2020"/>
    <b v="1"/>
    <b v="1"/>
    <b v="0"/>
    <x v="8"/>
    <n v="1454407000151"/>
    <x v="33"/>
    <x v="19"/>
    <x v="14"/>
    <n v="70"/>
    <x v="0"/>
    <x v="0"/>
    <n v="35"/>
    <n v="7"/>
  </r>
  <r>
    <n v="2019"/>
    <n v="9"/>
    <x v="0"/>
    <x v="2"/>
    <x v="0"/>
    <s v="2019/2020"/>
    <b v="1"/>
    <b v="1"/>
    <b v="0"/>
    <x v="8"/>
    <n v="1454407000151"/>
    <x v="33"/>
    <x v="19"/>
    <x v="14"/>
    <n v="70"/>
    <x v="0"/>
    <x v="0"/>
    <n v="75"/>
    <n v="15"/>
  </r>
  <r>
    <n v="2019"/>
    <n v="9"/>
    <x v="0"/>
    <x v="2"/>
    <x v="0"/>
    <s v="2019/2020"/>
    <b v="1"/>
    <b v="1"/>
    <b v="0"/>
    <x v="4"/>
    <n v="1507901000137"/>
    <x v="34"/>
    <x v="10"/>
    <x v="8"/>
    <n v="62"/>
    <x v="3"/>
    <x v="5"/>
    <n v="7"/>
    <n v="7"/>
  </r>
  <r>
    <n v="2019"/>
    <n v="9"/>
    <x v="0"/>
    <x v="2"/>
    <x v="0"/>
    <s v="2019/2020"/>
    <b v="1"/>
    <b v="1"/>
    <b v="0"/>
    <x v="9"/>
    <n v="1507901000137"/>
    <x v="34"/>
    <x v="10"/>
    <x v="8"/>
    <n v="64"/>
    <x v="4"/>
    <x v="6"/>
    <n v="10"/>
    <n v="10"/>
  </r>
  <r>
    <n v="2019"/>
    <n v="9"/>
    <x v="0"/>
    <x v="2"/>
    <x v="0"/>
    <s v="2019/2020"/>
    <b v="1"/>
    <b v="1"/>
    <b v="0"/>
    <x v="16"/>
    <n v="1517626000132"/>
    <x v="35"/>
    <x v="20"/>
    <x v="10"/>
    <n v="73"/>
    <x v="1"/>
    <x v="4"/>
    <n v="12"/>
    <n v="3"/>
  </r>
  <r>
    <n v="2019"/>
    <n v="9"/>
    <x v="0"/>
    <x v="2"/>
    <x v="0"/>
    <s v="2019/2020"/>
    <b v="1"/>
    <b v="1"/>
    <b v="0"/>
    <x v="7"/>
    <n v="1554266000149"/>
    <x v="457"/>
    <x v="21"/>
    <x v="10"/>
    <n v="70"/>
    <x v="0"/>
    <x v="0"/>
    <n v="35"/>
    <n v="7"/>
  </r>
  <r>
    <n v="2019"/>
    <n v="9"/>
    <x v="0"/>
    <x v="2"/>
    <x v="0"/>
    <s v="2019/2020"/>
    <b v="1"/>
    <b v="1"/>
    <b v="0"/>
    <x v="13"/>
    <n v="1554266000149"/>
    <x v="457"/>
    <x v="21"/>
    <x v="10"/>
    <n v="70"/>
    <x v="0"/>
    <x v="0"/>
    <n v="35"/>
    <n v="7"/>
  </r>
  <r>
    <n v="2019"/>
    <n v="9"/>
    <x v="0"/>
    <x v="2"/>
    <x v="0"/>
    <s v="2019/2020"/>
    <b v="1"/>
    <b v="1"/>
    <b v="0"/>
    <x v="8"/>
    <n v="1570589000126"/>
    <x v="458"/>
    <x v="8"/>
    <x v="7"/>
    <n v="70"/>
    <x v="0"/>
    <x v="0"/>
    <n v="190"/>
    <n v="38"/>
  </r>
  <r>
    <n v="2019"/>
    <n v="9"/>
    <x v="0"/>
    <x v="2"/>
    <x v="0"/>
    <s v="2019/2020"/>
    <b v="1"/>
    <b v="1"/>
    <b v="0"/>
    <x v="4"/>
    <n v="1613433006892"/>
    <x v="37"/>
    <x v="22"/>
    <x v="3"/>
    <n v="70"/>
    <x v="0"/>
    <x v="0"/>
    <n v="200"/>
    <n v="40"/>
  </r>
  <r>
    <n v="2019"/>
    <n v="9"/>
    <x v="0"/>
    <x v="2"/>
    <x v="0"/>
    <s v="2019/2020"/>
    <b v="1"/>
    <b v="1"/>
    <b v="0"/>
    <x v="4"/>
    <n v="1613433006892"/>
    <x v="37"/>
    <x v="22"/>
    <x v="3"/>
    <n v="70"/>
    <x v="0"/>
    <x v="0"/>
    <n v="260"/>
    <n v="52"/>
  </r>
  <r>
    <n v="2019"/>
    <n v="9"/>
    <x v="0"/>
    <x v="2"/>
    <x v="0"/>
    <s v="2019/2020"/>
    <b v="1"/>
    <b v="1"/>
    <b v="0"/>
    <x v="4"/>
    <n v="1613433006892"/>
    <x v="37"/>
    <x v="22"/>
    <x v="3"/>
    <n v="70"/>
    <x v="0"/>
    <x v="0"/>
    <n v="360"/>
    <n v="72"/>
  </r>
  <r>
    <n v="2019"/>
    <n v="9"/>
    <x v="0"/>
    <x v="2"/>
    <x v="0"/>
    <s v="2019/2020"/>
    <b v="1"/>
    <b v="1"/>
    <b v="0"/>
    <x v="4"/>
    <n v="1613433006892"/>
    <x v="37"/>
    <x v="22"/>
    <x v="3"/>
    <n v="70"/>
    <x v="0"/>
    <x v="0"/>
    <n v="400"/>
    <n v="80"/>
  </r>
  <r>
    <n v="2019"/>
    <n v="9"/>
    <x v="0"/>
    <x v="2"/>
    <x v="0"/>
    <s v="2019/2020"/>
    <b v="1"/>
    <b v="1"/>
    <b v="0"/>
    <x v="4"/>
    <n v="1613433008089"/>
    <x v="459"/>
    <x v="121"/>
    <x v="3"/>
    <n v="70"/>
    <x v="0"/>
    <x v="0"/>
    <n v="80"/>
    <n v="16"/>
  </r>
  <r>
    <n v="2019"/>
    <n v="9"/>
    <x v="0"/>
    <x v="2"/>
    <x v="0"/>
    <s v="2019/2020"/>
    <b v="1"/>
    <b v="1"/>
    <b v="0"/>
    <x v="8"/>
    <n v="1656123000148"/>
    <x v="460"/>
    <x v="8"/>
    <x v="7"/>
    <n v="70"/>
    <x v="0"/>
    <x v="0"/>
    <n v="25"/>
    <n v="5"/>
  </r>
  <r>
    <n v="2019"/>
    <n v="9"/>
    <x v="0"/>
    <x v="2"/>
    <x v="0"/>
    <s v="2019/2020"/>
    <b v="1"/>
    <b v="1"/>
    <b v="0"/>
    <x v="8"/>
    <n v="1656123000148"/>
    <x v="460"/>
    <x v="8"/>
    <x v="7"/>
    <n v="70"/>
    <x v="0"/>
    <x v="0"/>
    <n v="65"/>
    <n v="13"/>
  </r>
  <r>
    <n v="2019"/>
    <n v="9"/>
    <x v="0"/>
    <x v="2"/>
    <x v="0"/>
    <s v="2019/2020"/>
    <b v="1"/>
    <b v="1"/>
    <b v="0"/>
    <x v="3"/>
    <n v="1722424000122"/>
    <x v="461"/>
    <x v="19"/>
    <x v="14"/>
    <n v="70"/>
    <x v="0"/>
    <x v="0"/>
    <n v="175"/>
    <n v="35"/>
  </r>
  <r>
    <n v="2019"/>
    <n v="9"/>
    <x v="0"/>
    <x v="2"/>
    <x v="0"/>
    <s v="2019/2020"/>
    <b v="1"/>
    <b v="1"/>
    <b v="0"/>
    <x v="4"/>
    <n v="1722424000122"/>
    <x v="461"/>
    <x v="19"/>
    <x v="14"/>
    <n v="70"/>
    <x v="0"/>
    <x v="0"/>
    <n v="90"/>
    <n v="18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5"/>
    <n v="1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10"/>
    <n v="2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15"/>
    <n v="3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30"/>
    <n v="6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50"/>
    <n v="10"/>
  </r>
  <r>
    <n v="2019"/>
    <n v="9"/>
    <x v="0"/>
    <x v="2"/>
    <x v="0"/>
    <s v="2019/2020"/>
    <b v="1"/>
    <b v="1"/>
    <b v="0"/>
    <x v="11"/>
    <n v="1880344000103"/>
    <x v="352"/>
    <x v="87"/>
    <x v="10"/>
    <n v="70"/>
    <x v="0"/>
    <x v="0"/>
    <n v="85"/>
    <n v="17"/>
  </r>
  <r>
    <n v="2019"/>
    <n v="9"/>
    <x v="0"/>
    <x v="2"/>
    <x v="0"/>
    <s v="2019/2020"/>
    <b v="1"/>
    <b v="1"/>
    <b v="0"/>
    <x v="7"/>
    <n v="2109397000180"/>
    <x v="353"/>
    <x v="10"/>
    <x v="8"/>
    <n v="64"/>
    <x v="4"/>
    <x v="6"/>
    <n v="24"/>
    <n v="24"/>
  </r>
  <r>
    <n v="2019"/>
    <n v="9"/>
    <x v="0"/>
    <x v="2"/>
    <x v="0"/>
    <s v="2019/2020"/>
    <b v="1"/>
    <b v="1"/>
    <b v="0"/>
    <x v="2"/>
    <n v="2284062000440"/>
    <x v="40"/>
    <x v="24"/>
    <x v="15"/>
    <n v="64"/>
    <x v="4"/>
    <x v="6"/>
    <n v="10"/>
    <n v="5"/>
  </r>
  <r>
    <n v="2019"/>
    <n v="9"/>
    <x v="0"/>
    <x v="2"/>
    <x v="0"/>
    <s v="2019/2020"/>
    <b v="1"/>
    <b v="1"/>
    <b v="0"/>
    <x v="2"/>
    <n v="2284062000440"/>
    <x v="40"/>
    <x v="24"/>
    <x v="15"/>
    <n v="64"/>
    <x v="4"/>
    <x v="6"/>
    <n v="10"/>
    <n v="10"/>
  </r>
  <r>
    <n v="2019"/>
    <n v="9"/>
    <x v="0"/>
    <x v="2"/>
    <x v="0"/>
    <s v="2019/2020"/>
    <b v="1"/>
    <b v="1"/>
    <b v="0"/>
    <x v="2"/>
    <n v="2284062000521"/>
    <x v="41"/>
    <x v="0"/>
    <x v="0"/>
    <n v="62"/>
    <x v="3"/>
    <x v="5"/>
    <n v="5"/>
    <n v="5"/>
  </r>
  <r>
    <n v="2019"/>
    <n v="9"/>
    <x v="0"/>
    <x v="2"/>
    <x v="0"/>
    <s v="2019/2020"/>
    <b v="1"/>
    <b v="1"/>
    <b v="0"/>
    <x v="2"/>
    <n v="2284062000521"/>
    <x v="41"/>
    <x v="0"/>
    <x v="0"/>
    <n v="64"/>
    <x v="4"/>
    <x v="6"/>
    <n v="3"/>
    <n v="3"/>
  </r>
  <r>
    <n v="2019"/>
    <n v="9"/>
    <x v="0"/>
    <x v="2"/>
    <x v="0"/>
    <s v="2019/2020"/>
    <b v="1"/>
    <b v="1"/>
    <b v="0"/>
    <x v="2"/>
    <n v="2284062000521"/>
    <x v="41"/>
    <x v="0"/>
    <x v="0"/>
    <n v="64"/>
    <x v="4"/>
    <x v="6"/>
    <n v="10"/>
    <n v="5"/>
  </r>
  <r>
    <n v="2019"/>
    <n v="9"/>
    <x v="0"/>
    <x v="2"/>
    <x v="0"/>
    <s v="2019/2020"/>
    <b v="1"/>
    <b v="1"/>
    <b v="0"/>
    <x v="2"/>
    <n v="2383508000494"/>
    <x v="43"/>
    <x v="3"/>
    <x v="3"/>
    <n v="70"/>
    <x v="0"/>
    <x v="0"/>
    <n v="120"/>
    <n v="24"/>
  </r>
  <r>
    <n v="2019"/>
    <n v="9"/>
    <x v="0"/>
    <x v="2"/>
    <x v="0"/>
    <s v="2019/2020"/>
    <b v="1"/>
    <b v="1"/>
    <b v="0"/>
    <x v="2"/>
    <n v="2383508000494"/>
    <x v="43"/>
    <x v="3"/>
    <x v="3"/>
    <n v="70"/>
    <x v="0"/>
    <x v="0"/>
    <n v="160"/>
    <n v="32"/>
  </r>
  <r>
    <n v="2019"/>
    <n v="9"/>
    <x v="0"/>
    <x v="2"/>
    <x v="0"/>
    <s v="2019/2020"/>
    <b v="1"/>
    <b v="1"/>
    <b v="0"/>
    <x v="7"/>
    <n v="2383508000494"/>
    <x v="43"/>
    <x v="3"/>
    <x v="3"/>
    <n v="73"/>
    <x v="1"/>
    <x v="1"/>
    <n v="4"/>
    <n v="1"/>
  </r>
  <r>
    <n v="2019"/>
    <n v="9"/>
    <x v="0"/>
    <x v="2"/>
    <x v="0"/>
    <s v="2019/2020"/>
    <b v="1"/>
    <b v="1"/>
    <b v="0"/>
    <x v="7"/>
    <n v="2383508000494"/>
    <x v="43"/>
    <x v="3"/>
    <x v="3"/>
    <n v="73"/>
    <x v="1"/>
    <x v="4"/>
    <n v="8"/>
    <n v="1"/>
  </r>
  <r>
    <n v="2019"/>
    <n v="9"/>
    <x v="0"/>
    <x v="2"/>
    <x v="0"/>
    <s v="2019/2020"/>
    <b v="1"/>
    <b v="1"/>
    <b v="0"/>
    <x v="7"/>
    <n v="2383508000494"/>
    <x v="43"/>
    <x v="3"/>
    <x v="3"/>
    <n v="73"/>
    <x v="1"/>
    <x v="2"/>
    <n v="3"/>
    <n v="1"/>
  </r>
  <r>
    <n v="2019"/>
    <n v="9"/>
    <x v="0"/>
    <x v="2"/>
    <x v="0"/>
    <s v="2019/2020"/>
    <b v="1"/>
    <b v="1"/>
    <b v="0"/>
    <x v="8"/>
    <n v="2476067000122"/>
    <x v="44"/>
    <x v="8"/>
    <x v="7"/>
    <n v="70"/>
    <x v="0"/>
    <x v="0"/>
    <n v="-15"/>
    <n v="-3"/>
  </r>
  <r>
    <n v="2019"/>
    <n v="9"/>
    <x v="0"/>
    <x v="2"/>
    <x v="0"/>
    <s v="2019/2020"/>
    <b v="1"/>
    <b v="1"/>
    <b v="0"/>
    <x v="8"/>
    <n v="2476067000203"/>
    <x v="45"/>
    <x v="8"/>
    <x v="7"/>
    <n v="73"/>
    <x v="1"/>
    <x v="4"/>
    <n v="16"/>
    <n v="4"/>
  </r>
  <r>
    <n v="2019"/>
    <n v="9"/>
    <x v="0"/>
    <x v="2"/>
    <x v="0"/>
    <s v="2019/2020"/>
    <b v="1"/>
    <b v="1"/>
    <b v="0"/>
    <x v="6"/>
    <n v="2476067000203"/>
    <x v="45"/>
    <x v="8"/>
    <x v="7"/>
    <n v="73"/>
    <x v="1"/>
    <x v="2"/>
    <n v="4"/>
    <n v="4"/>
  </r>
  <r>
    <n v="2019"/>
    <n v="9"/>
    <x v="0"/>
    <x v="2"/>
    <x v="0"/>
    <s v="2019/2020"/>
    <b v="1"/>
    <b v="1"/>
    <b v="0"/>
    <x v="8"/>
    <n v="2476067000394"/>
    <x v="46"/>
    <x v="8"/>
    <x v="7"/>
    <n v="70"/>
    <x v="0"/>
    <x v="0"/>
    <n v="40"/>
    <n v="8"/>
  </r>
  <r>
    <n v="2019"/>
    <n v="9"/>
    <x v="0"/>
    <x v="2"/>
    <x v="0"/>
    <s v="2019/2020"/>
    <b v="1"/>
    <b v="1"/>
    <b v="0"/>
    <x v="6"/>
    <n v="2476067000394"/>
    <x v="46"/>
    <x v="8"/>
    <x v="7"/>
    <n v="70"/>
    <x v="0"/>
    <x v="0"/>
    <n v="30"/>
    <n v="6"/>
  </r>
  <r>
    <n v="2019"/>
    <n v="9"/>
    <x v="0"/>
    <x v="2"/>
    <x v="0"/>
    <s v="2019/2020"/>
    <b v="1"/>
    <b v="1"/>
    <b v="0"/>
    <x v="11"/>
    <n v="2560878000107"/>
    <x v="47"/>
    <x v="4"/>
    <x v="4"/>
    <n v="64"/>
    <x v="4"/>
    <x v="6"/>
    <n v="1"/>
    <n v="1"/>
  </r>
  <r>
    <n v="2019"/>
    <n v="9"/>
    <x v="0"/>
    <x v="2"/>
    <x v="0"/>
    <s v="2019/2020"/>
    <b v="1"/>
    <b v="1"/>
    <b v="0"/>
    <x v="11"/>
    <n v="2560878000107"/>
    <x v="47"/>
    <x v="4"/>
    <x v="4"/>
    <n v="64"/>
    <x v="4"/>
    <x v="6"/>
    <n v="3"/>
    <n v="3"/>
  </r>
  <r>
    <n v="2019"/>
    <n v="9"/>
    <x v="0"/>
    <x v="2"/>
    <x v="0"/>
    <s v="2019/2020"/>
    <b v="1"/>
    <b v="1"/>
    <b v="0"/>
    <x v="8"/>
    <n v="2560878000107"/>
    <x v="47"/>
    <x v="4"/>
    <x v="4"/>
    <n v="70"/>
    <x v="0"/>
    <x v="0"/>
    <n v="5"/>
    <n v="1"/>
  </r>
  <r>
    <n v="2019"/>
    <n v="9"/>
    <x v="0"/>
    <x v="2"/>
    <x v="0"/>
    <s v="2019/2020"/>
    <b v="1"/>
    <b v="1"/>
    <b v="0"/>
    <x v="8"/>
    <n v="2560878000107"/>
    <x v="47"/>
    <x v="4"/>
    <x v="4"/>
    <n v="70"/>
    <x v="0"/>
    <x v="0"/>
    <n v="40"/>
    <n v="8"/>
  </r>
  <r>
    <n v="2019"/>
    <n v="9"/>
    <x v="0"/>
    <x v="2"/>
    <x v="0"/>
    <s v="2019/2020"/>
    <b v="1"/>
    <b v="1"/>
    <b v="0"/>
    <x v="8"/>
    <n v="2560878000107"/>
    <x v="47"/>
    <x v="4"/>
    <x v="4"/>
    <n v="70"/>
    <x v="0"/>
    <x v="0"/>
    <n v="90"/>
    <n v="18"/>
  </r>
  <r>
    <n v="2019"/>
    <n v="9"/>
    <x v="0"/>
    <x v="2"/>
    <x v="0"/>
    <s v="2019/2020"/>
    <b v="1"/>
    <b v="1"/>
    <b v="0"/>
    <x v="7"/>
    <n v="2623693000102"/>
    <x v="48"/>
    <x v="6"/>
    <x v="2"/>
    <n v="70"/>
    <x v="0"/>
    <x v="7"/>
    <n v="20"/>
    <n v="2"/>
  </r>
  <r>
    <n v="2019"/>
    <n v="9"/>
    <x v="0"/>
    <x v="2"/>
    <x v="0"/>
    <s v="2019/2020"/>
    <b v="1"/>
    <b v="1"/>
    <b v="0"/>
    <x v="6"/>
    <n v="2643405000173"/>
    <x v="49"/>
    <x v="26"/>
    <x v="3"/>
    <n v="73"/>
    <x v="1"/>
    <x v="1"/>
    <n v="6"/>
    <n v="3"/>
  </r>
  <r>
    <n v="2019"/>
    <n v="9"/>
    <x v="0"/>
    <x v="2"/>
    <x v="0"/>
    <s v="2019/2020"/>
    <b v="1"/>
    <b v="1"/>
    <b v="0"/>
    <x v="6"/>
    <n v="2643405000173"/>
    <x v="49"/>
    <x v="26"/>
    <x v="3"/>
    <n v="73"/>
    <x v="1"/>
    <x v="1"/>
    <n v="30"/>
    <n v="15"/>
  </r>
  <r>
    <n v="2019"/>
    <n v="9"/>
    <x v="0"/>
    <x v="2"/>
    <x v="0"/>
    <s v="2019/2020"/>
    <b v="1"/>
    <b v="1"/>
    <b v="0"/>
    <x v="17"/>
    <n v="2837922000183"/>
    <x v="50"/>
    <x v="3"/>
    <x v="3"/>
    <n v="73"/>
    <x v="1"/>
    <x v="2"/>
    <n v="4"/>
    <n v="2"/>
  </r>
  <r>
    <n v="2019"/>
    <n v="9"/>
    <x v="0"/>
    <x v="2"/>
    <x v="0"/>
    <s v="2019/2020"/>
    <b v="1"/>
    <b v="1"/>
    <b v="0"/>
    <x v="17"/>
    <n v="2837922000183"/>
    <x v="50"/>
    <x v="3"/>
    <x v="3"/>
    <n v="73"/>
    <x v="1"/>
    <x v="4"/>
    <n v="96"/>
    <n v="12"/>
  </r>
  <r>
    <n v="2019"/>
    <n v="9"/>
    <x v="0"/>
    <x v="2"/>
    <x v="0"/>
    <s v="2019/2020"/>
    <b v="1"/>
    <b v="1"/>
    <b v="0"/>
    <x v="6"/>
    <n v="2837922000183"/>
    <x v="50"/>
    <x v="3"/>
    <x v="3"/>
    <n v="73"/>
    <x v="1"/>
    <x v="2"/>
    <n v="2"/>
    <n v="2"/>
  </r>
  <r>
    <n v="2019"/>
    <n v="9"/>
    <x v="0"/>
    <x v="2"/>
    <x v="0"/>
    <s v="2019/2020"/>
    <b v="1"/>
    <b v="1"/>
    <b v="0"/>
    <x v="6"/>
    <n v="2837922000183"/>
    <x v="50"/>
    <x v="3"/>
    <x v="3"/>
    <n v="73"/>
    <x v="1"/>
    <x v="4"/>
    <n v="48"/>
    <n v="12"/>
  </r>
  <r>
    <n v="2019"/>
    <n v="9"/>
    <x v="0"/>
    <x v="2"/>
    <x v="0"/>
    <s v="2019/2020"/>
    <b v="1"/>
    <b v="1"/>
    <b v="0"/>
    <x v="10"/>
    <n v="2864097000106"/>
    <x v="52"/>
    <x v="0"/>
    <x v="0"/>
    <n v="70"/>
    <x v="0"/>
    <x v="0"/>
    <n v="40"/>
    <n v="8"/>
  </r>
  <r>
    <n v="2019"/>
    <n v="9"/>
    <x v="0"/>
    <x v="2"/>
    <x v="0"/>
    <s v="2019/2020"/>
    <b v="1"/>
    <b v="1"/>
    <b v="0"/>
    <x v="18"/>
    <n v="3091003000176"/>
    <x v="355"/>
    <x v="49"/>
    <x v="21"/>
    <n v="70"/>
    <x v="0"/>
    <x v="0"/>
    <n v="175"/>
    <n v="35"/>
  </r>
  <r>
    <n v="2019"/>
    <n v="9"/>
    <x v="0"/>
    <x v="2"/>
    <x v="0"/>
    <s v="2019/2020"/>
    <b v="1"/>
    <b v="1"/>
    <b v="0"/>
    <x v="18"/>
    <n v="3222051000156"/>
    <x v="462"/>
    <x v="49"/>
    <x v="21"/>
    <n v="62"/>
    <x v="3"/>
    <x v="5"/>
    <n v="2"/>
    <n v="2"/>
  </r>
  <r>
    <n v="2019"/>
    <n v="9"/>
    <x v="0"/>
    <x v="2"/>
    <x v="0"/>
    <s v="2019/2020"/>
    <b v="1"/>
    <b v="1"/>
    <b v="0"/>
    <x v="18"/>
    <n v="3222051000156"/>
    <x v="462"/>
    <x v="49"/>
    <x v="21"/>
    <n v="64"/>
    <x v="4"/>
    <x v="6"/>
    <n v="2"/>
    <n v="1"/>
  </r>
  <r>
    <n v="2019"/>
    <n v="9"/>
    <x v="0"/>
    <x v="2"/>
    <x v="0"/>
    <s v="2019/2020"/>
    <b v="1"/>
    <b v="1"/>
    <b v="0"/>
    <x v="8"/>
    <n v="3533726001583"/>
    <x v="54"/>
    <x v="27"/>
    <x v="12"/>
    <n v="70"/>
    <x v="0"/>
    <x v="0"/>
    <n v="55"/>
    <n v="11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5"/>
    <n v="1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7"/>
    <n v="50"/>
    <n v="5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80"/>
    <n v="8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7"/>
    <n v="90"/>
    <n v="9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100"/>
    <n v="10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55"/>
    <n v="11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60"/>
    <n v="12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0"/>
    <n v="70"/>
    <n v="14"/>
  </r>
  <r>
    <n v="2019"/>
    <n v="9"/>
    <x v="0"/>
    <x v="2"/>
    <x v="0"/>
    <s v="2019/2020"/>
    <b v="1"/>
    <b v="1"/>
    <b v="0"/>
    <x v="7"/>
    <n v="3850913000195"/>
    <x v="56"/>
    <x v="13"/>
    <x v="6"/>
    <n v="70"/>
    <x v="0"/>
    <x v="7"/>
    <n v="150"/>
    <n v="15"/>
  </r>
  <r>
    <n v="2019"/>
    <n v="9"/>
    <x v="0"/>
    <x v="2"/>
    <x v="0"/>
    <s v="2019/2020"/>
    <b v="1"/>
    <b v="1"/>
    <b v="0"/>
    <x v="17"/>
    <n v="3872790000193"/>
    <x v="58"/>
    <x v="3"/>
    <x v="3"/>
    <n v="73"/>
    <x v="1"/>
    <x v="4"/>
    <n v="16"/>
    <n v="2"/>
  </r>
  <r>
    <n v="2019"/>
    <n v="9"/>
    <x v="0"/>
    <x v="2"/>
    <x v="0"/>
    <s v="2019/2020"/>
    <b v="1"/>
    <b v="1"/>
    <b v="0"/>
    <x v="9"/>
    <n v="3904395000145"/>
    <x v="463"/>
    <x v="122"/>
    <x v="15"/>
    <n v="66"/>
    <x v="2"/>
    <x v="3"/>
    <n v="24"/>
    <n v="24"/>
  </r>
  <r>
    <n v="2019"/>
    <n v="9"/>
    <x v="0"/>
    <x v="2"/>
    <x v="0"/>
    <s v="2019/2020"/>
    <b v="1"/>
    <b v="1"/>
    <b v="0"/>
    <x v="12"/>
    <n v="3925419000142"/>
    <x v="59"/>
    <x v="23"/>
    <x v="12"/>
    <n v="64"/>
    <x v="4"/>
    <x v="6"/>
    <n v="1"/>
    <n v="1"/>
  </r>
  <r>
    <n v="2019"/>
    <n v="9"/>
    <x v="0"/>
    <x v="2"/>
    <x v="0"/>
    <s v="2019/2020"/>
    <b v="1"/>
    <b v="1"/>
    <b v="0"/>
    <x v="12"/>
    <n v="3925419000142"/>
    <x v="59"/>
    <x v="23"/>
    <x v="12"/>
    <n v="64"/>
    <x v="4"/>
    <x v="6"/>
    <n v="3"/>
    <n v="3"/>
  </r>
  <r>
    <n v="2019"/>
    <n v="9"/>
    <x v="0"/>
    <x v="2"/>
    <x v="0"/>
    <s v="2019/2020"/>
    <b v="1"/>
    <b v="1"/>
    <b v="0"/>
    <x v="2"/>
    <n v="3989821000190"/>
    <x v="60"/>
    <x v="4"/>
    <x v="4"/>
    <n v="70"/>
    <x v="0"/>
    <x v="0"/>
    <n v="45"/>
    <n v="9"/>
  </r>
  <r>
    <n v="2019"/>
    <n v="9"/>
    <x v="0"/>
    <x v="2"/>
    <x v="0"/>
    <s v="2019/2020"/>
    <b v="1"/>
    <b v="1"/>
    <b v="0"/>
    <x v="7"/>
    <n v="4036348000190"/>
    <x v="61"/>
    <x v="3"/>
    <x v="3"/>
    <n v="70"/>
    <x v="0"/>
    <x v="0"/>
    <n v="20"/>
    <n v="2"/>
  </r>
  <r>
    <n v="2019"/>
    <n v="9"/>
    <x v="0"/>
    <x v="2"/>
    <x v="0"/>
    <s v="2019/2020"/>
    <b v="1"/>
    <b v="1"/>
    <b v="0"/>
    <x v="7"/>
    <n v="4036348000190"/>
    <x v="61"/>
    <x v="3"/>
    <x v="3"/>
    <n v="70"/>
    <x v="0"/>
    <x v="7"/>
    <n v="60"/>
    <n v="3"/>
  </r>
  <r>
    <n v="2019"/>
    <n v="9"/>
    <x v="0"/>
    <x v="2"/>
    <x v="0"/>
    <s v="2019/2020"/>
    <b v="1"/>
    <b v="1"/>
    <b v="0"/>
    <x v="7"/>
    <n v="4036348000190"/>
    <x v="61"/>
    <x v="3"/>
    <x v="3"/>
    <n v="70"/>
    <x v="0"/>
    <x v="7"/>
    <n v="100"/>
    <n v="5"/>
  </r>
  <r>
    <n v="2019"/>
    <n v="9"/>
    <x v="0"/>
    <x v="2"/>
    <x v="0"/>
    <s v="2019/2020"/>
    <b v="1"/>
    <b v="1"/>
    <b v="0"/>
    <x v="7"/>
    <n v="4036348000190"/>
    <x v="61"/>
    <x v="3"/>
    <x v="3"/>
    <n v="70"/>
    <x v="0"/>
    <x v="0"/>
    <n v="25"/>
    <n v="5"/>
  </r>
  <r>
    <n v="2019"/>
    <n v="9"/>
    <x v="0"/>
    <x v="2"/>
    <x v="0"/>
    <s v="2019/2020"/>
    <b v="1"/>
    <b v="1"/>
    <b v="0"/>
    <x v="7"/>
    <n v="4036348000190"/>
    <x v="61"/>
    <x v="3"/>
    <x v="3"/>
    <n v="70"/>
    <x v="0"/>
    <x v="7"/>
    <n v="160"/>
    <n v="16"/>
  </r>
  <r>
    <n v="2019"/>
    <n v="9"/>
    <x v="0"/>
    <x v="2"/>
    <x v="0"/>
    <s v="2019/2020"/>
    <b v="1"/>
    <b v="1"/>
    <b v="0"/>
    <x v="11"/>
    <n v="4159778000107"/>
    <x v="464"/>
    <x v="51"/>
    <x v="22"/>
    <n v="64"/>
    <x v="4"/>
    <x v="6"/>
    <n v="3"/>
    <n v="3"/>
  </r>
  <r>
    <n v="2019"/>
    <n v="9"/>
    <x v="0"/>
    <x v="2"/>
    <x v="0"/>
    <s v="2019/2020"/>
    <b v="1"/>
    <b v="1"/>
    <b v="0"/>
    <x v="9"/>
    <n v="4201372001028"/>
    <x v="62"/>
    <x v="1"/>
    <x v="1"/>
    <n v="73"/>
    <x v="1"/>
    <x v="4"/>
    <n v="16"/>
    <n v="4"/>
  </r>
  <r>
    <n v="2019"/>
    <n v="9"/>
    <x v="0"/>
    <x v="2"/>
    <x v="0"/>
    <s v="2019/2020"/>
    <b v="1"/>
    <b v="1"/>
    <b v="0"/>
    <x v="9"/>
    <n v="4201372001028"/>
    <x v="62"/>
    <x v="1"/>
    <x v="1"/>
    <n v="73"/>
    <x v="1"/>
    <x v="1"/>
    <n v="10"/>
    <n v="5"/>
  </r>
  <r>
    <n v="2019"/>
    <n v="9"/>
    <x v="0"/>
    <x v="2"/>
    <x v="0"/>
    <s v="2019/2020"/>
    <b v="1"/>
    <b v="1"/>
    <b v="0"/>
    <x v="2"/>
    <n v="4201372001028"/>
    <x v="62"/>
    <x v="1"/>
    <x v="1"/>
    <n v="73"/>
    <x v="1"/>
    <x v="1"/>
    <n v="6"/>
    <n v="3"/>
  </r>
  <r>
    <n v="2019"/>
    <n v="9"/>
    <x v="0"/>
    <x v="2"/>
    <x v="0"/>
    <s v="2019/2020"/>
    <b v="1"/>
    <b v="1"/>
    <b v="0"/>
    <x v="3"/>
    <n v="4275687000129"/>
    <x v="63"/>
    <x v="29"/>
    <x v="3"/>
    <n v="73"/>
    <x v="1"/>
    <x v="4"/>
    <n v="12"/>
    <n v="3"/>
  </r>
  <r>
    <n v="2019"/>
    <n v="9"/>
    <x v="0"/>
    <x v="2"/>
    <x v="0"/>
    <s v="2019/2020"/>
    <b v="1"/>
    <b v="1"/>
    <b v="0"/>
    <x v="3"/>
    <n v="4275687000129"/>
    <x v="63"/>
    <x v="29"/>
    <x v="3"/>
    <n v="73"/>
    <x v="1"/>
    <x v="4"/>
    <n v="16"/>
    <n v="4"/>
  </r>
  <r>
    <n v="2019"/>
    <n v="9"/>
    <x v="0"/>
    <x v="2"/>
    <x v="0"/>
    <s v="2019/2020"/>
    <b v="1"/>
    <b v="1"/>
    <b v="0"/>
    <x v="3"/>
    <n v="4275687000129"/>
    <x v="63"/>
    <x v="29"/>
    <x v="3"/>
    <n v="73"/>
    <x v="1"/>
    <x v="2"/>
    <n v="4"/>
    <n v="4"/>
  </r>
  <r>
    <n v="2019"/>
    <n v="9"/>
    <x v="0"/>
    <x v="2"/>
    <x v="0"/>
    <s v="2019/2020"/>
    <b v="1"/>
    <b v="1"/>
    <b v="0"/>
    <x v="3"/>
    <n v="4275687000129"/>
    <x v="63"/>
    <x v="29"/>
    <x v="3"/>
    <n v="73"/>
    <x v="1"/>
    <x v="4"/>
    <n v="20"/>
    <n v="5"/>
  </r>
  <r>
    <n v="2019"/>
    <n v="9"/>
    <x v="0"/>
    <x v="2"/>
    <x v="0"/>
    <s v="2019/2020"/>
    <b v="1"/>
    <b v="1"/>
    <b v="0"/>
    <x v="14"/>
    <n v="4670913000176"/>
    <x v="65"/>
    <x v="14"/>
    <x v="10"/>
    <n v="70"/>
    <x v="0"/>
    <x v="0"/>
    <n v="375"/>
    <n v="75"/>
  </r>
  <r>
    <n v="2019"/>
    <n v="9"/>
    <x v="0"/>
    <x v="2"/>
    <x v="0"/>
    <s v="2019/2020"/>
    <b v="1"/>
    <b v="1"/>
    <b v="0"/>
    <x v="4"/>
    <n v="4762301000103"/>
    <x v="359"/>
    <x v="88"/>
    <x v="6"/>
    <n v="70"/>
    <x v="0"/>
    <x v="0"/>
    <n v="30"/>
    <n v="6"/>
  </r>
  <r>
    <n v="2019"/>
    <n v="9"/>
    <x v="0"/>
    <x v="2"/>
    <x v="0"/>
    <s v="2019/2020"/>
    <b v="1"/>
    <b v="1"/>
    <b v="0"/>
    <x v="15"/>
    <n v="4762301000103"/>
    <x v="359"/>
    <x v="88"/>
    <x v="6"/>
    <n v="70"/>
    <x v="0"/>
    <x v="0"/>
    <n v="100"/>
    <n v="10"/>
  </r>
  <r>
    <n v="2019"/>
    <n v="9"/>
    <x v="0"/>
    <x v="2"/>
    <x v="0"/>
    <s v="2019/2020"/>
    <b v="1"/>
    <b v="1"/>
    <b v="0"/>
    <x v="15"/>
    <n v="4762301000103"/>
    <x v="359"/>
    <x v="88"/>
    <x v="6"/>
    <n v="70"/>
    <x v="0"/>
    <x v="0"/>
    <n v="100"/>
    <n v="20"/>
  </r>
  <r>
    <n v="2019"/>
    <n v="9"/>
    <x v="0"/>
    <x v="2"/>
    <x v="0"/>
    <s v="2019/2020"/>
    <b v="1"/>
    <b v="1"/>
    <b v="0"/>
    <x v="15"/>
    <n v="4762301000103"/>
    <x v="359"/>
    <x v="88"/>
    <x v="6"/>
    <n v="70"/>
    <x v="0"/>
    <x v="0"/>
    <n v="175"/>
    <n v="35"/>
  </r>
  <r>
    <n v="2019"/>
    <n v="9"/>
    <x v="0"/>
    <x v="2"/>
    <x v="0"/>
    <s v="2019/2020"/>
    <b v="1"/>
    <b v="1"/>
    <b v="0"/>
    <x v="10"/>
    <n v="4966545000370"/>
    <x v="66"/>
    <x v="1"/>
    <x v="1"/>
    <n v="70"/>
    <x v="0"/>
    <x v="0"/>
    <n v="40"/>
    <n v="8"/>
  </r>
  <r>
    <n v="2019"/>
    <n v="9"/>
    <x v="0"/>
    <x v="2"/>
    <x v="0"/>
    <s v="2019/2020"/>
    <b v="1"/>
    <b v="1"/>
    <b v="0"/>
    <x v="5"/>
    <n v="5055128000257"/>
    <x v="465"/>
    <x v="123"/>
    <x v="5"/>
    <n v="70"/>
    <x v="0"/>
    <x v="8"/>
    <n v="75"/>
    <n v="30"/>
  </r>
  <r>
    <n v="2019"/>
    <n v="9"/>
    <x v="0"/>
    <x v="2"/>
    <x v="0"/>
    <s v="2019/2020"/>
    <b v="1"/>
    <b v="1"/>
    <b v="0"/>
    <x v="2"/>
    <n v="5469172000122"/>
    <x v="67"/>
    <x v="31"/>
    <x v="17"/>
    <n v="62"/>
    <x v="3"/>
    <x v="5"/>
    <n v="4"/>
    <n v="4"/>
  </r>
  <r>
    <n v="2019"/>
    <n v="9"/>
    <x v="0"/>
    <x v="2"/>
    <x v="0"/>
    <s v="2019/2020"/>
    <b v="1"/>
    <b v="1"/>
    <b v="0"/>
    <x v="11"/>
    <n v="5612725000154"/>
    <x v="466"/>
    <x v="19"/>
    <x v="14"/>
    <n v="70"/>
    <x v="0"/>
    <x v="0"/>
    <n v="30"/>
    <n v="6"/>
  </r>
  <r>
    <n v="2019"/>
    <n v="9"/>
    <x v="0"/>
    <x v="2"/>
    <x v="0"/>
    <s v="2019/2020"/>
    <b v="1"/>
    <b v="1"/>
    <b v="0"/>
    <x v="9"/>
    <n v="5652543000107"/>
    <x v="362"/>
    <x v="96"/>
    <x v="17"/>
    <n v="64"/>
    <x v="4"/>
    <x v="6"/>
    <n v="11"/>
    <n v="11"/>
  </r>
  <r>
    <n v="2019"/>
    <n v="9"/>
    <x v="0"/>
    <x v="2"/>
    <x v="0"/>
    <s v="2019/2020"/>
    <b v="1"/>
    <b v="1"/>
    <b v="0"/>
    <x v="11"/>
    <n v="5652543000107"/>
    <x v="362"/>
    <x v="96"/>
    <x v="17"/>
    <n v="64"/>
    <x v="4"/>
    <x v="6"/>
    <n v="8"/>
    <n v="8"/>
  </r>
  <r>
    <n v="2019"/>
    <n v="9"/>
    <x v="0"/>
    <x v="2"/>
    <x v="0"/>
    <s v="2019/2020"/>
    <b v="1"/>
    <b v="1"/>
    <b v="0"/>
    <x v="11"/>
    <n v="5652543000107"/>
    <x v="362"/>
    <x v="96"/>
    <x v="17"/>
    <n v="64"/>
    <x v="4"/>
    <x v="6"/>
    <n v="11"/>
    <n v="11"/>
  </r>
  <r>
    <n v="2019"/>
    <n v="9"/>
    <x v="0"/>
    <x v="2"/>
    <x v="0"/>
    <s v="2019/2020"/>
    <b v="1"/>
    <b v="1"/>
    <b v="0"/>
    <x v="24"/>
    <n v="5816630000152"/>
    <x v="68"/>
    <x v="31"/>
    <x v="17"/>
    <n v="64"/>
    <x v="4"/>
    <x v="6"/>
    <n v="15"/>
    <n v="15"/>
  </r>
  <r>
    <n v="2019"/>
    <n v="9"/>
    <x v="0"/>
    <x v="2"/>
    <x v="0"/>
    <s v="2019/2020"/>
    <b v="1"/>
    <b v="1"/>
    <b v="0"/>
    <x v="5"/>
    <n v="5816630000152"/>
    <x v="68"/>
    <x v="31"/>
    <x v="17"/>
    <n v="70"/>
    <x v="0"/>
    <x v="8"/>
    <n v="-25"/>
    <n v="-10"/>
  </r>
  <r>
    <n v="2019"/>
    <n v="9"/>
    <x v="0"/>
    <x v="2"/>
    <x v="0"/>
    <s v="2019/2020"/>
    <b v="1"/>
    <b v="1"/>
    <b v="0"/>
    <x v="5"/>
    <n v="5816630000152"/>
    <x v="68"/>
    <x v="31"/>
    <x v="17"/>
    <n v="70"/>
    <x v="0"/>
    <x v="8"/>
    <n v="50"/>
    <n v="10"/>
  </r>
  <r>
    <n v="2019"/>
    <n v="9"/>
    <x v="0"/>
    <x v="2"/>
    <x v="0"/>
    <s v="2019/2020"/>
    <b v="1"/>
    <b v="1"/>
    <b v="0"/>
    <x v="5"/>
    <n v="5816630000152"/>
    <x v="68"/>
    <x v="31"/>
    <x v="17"/>
    <n v="70"/>
    <x v="0"/>
    <x v="0"/>
    <n v="450"/>
    <n v="30"/>
  </r>
  <r>
    <n v="2019"/>
    <n v="9"/>
    <x v="0"/>
    <x v="2"/>
    <x v="0"/>
    <s v="2019/2020"/>
    <b v="1"/>
    <b v="1"/>
    <b v="0"/>
    <x v="5"/>
    <n v="5816630000152"/>
    <x v="68"/>
    <x v="31"/>
    <x v="17"/>
    <n v="70"/>
    <x v="0"/>
    <x v="0"/>
    <n v="175"/>
    <n v="35"/>
  </r>
  <r>
    <n v="2019"/>
    <n v="9"/>
    <x v="0"/>
    <x v="2"/>
    <x v="0"/>
    <s v="2019/2020"/>
    <b v="1"/>
    <b v="1"/>
    <b v="0"/>
    <x v="17"/>
    <n v="5831510000124"/>
    <x v="69"/>
    <x v="3"/>
    <x v="3"/>
    <n v="70"/>
    <x v="0"/>
    <x v="0"/>
    <n v="140"/>
    <n v="28"/>
  </r>
  <r>
    <n v="2019"/>
    <n v="9"/>
    <x v="0"/>
    <x v="2"/>
    <x v="0"/>
    <s v="2019/2020"/>
    <b v="1"/>
    <b v="1"/>
    <b v="0"/>
    <x v="4"/>
    <n v="5867015000175"/>
    <x v="70"/>
    <x v="32"/>
    <x v="18"/>
    <n v="73"/>
    <x v="1"/>
    <x v="2"/>
    <n v="8"/>
    <n v="8"/>
  </r>
  <r>
    <n v="2019"/>
    <n v="9"/>
    <x v="0"/>
    <x v="2"/>
    <x v="0"/>
    <s v="2019/2020"/>
    <b v="1"/>
    <b v="1"/>
    <b v="0"/>
    <x v="9"/>
    <n v="5868278000280"/>
    <x v="71"/>
    <x v="32"/>
    <x v="18"/>
    <n v="62"/>
    <x v="3"/>
    <x v="5"/>
    <n v="1"/>
    <n v="1"/>
  </r>
  <r>
    <n v="2019"/>
    <n v="9"/>
    <x v="0"/>
    <x v="2"/>
    <x v="0"/>
    <s v="2019/2020"/>
    <b v="1"/>
    <b v="1"/>
    <b v="0"/>
    <x v="9"/>
    <n v="5868278000280"/>
    <x v="71"/>
    <x v="32"/>
    <x v="18"/>
    <n v="62"/>
    <x v="3"/>
    <x v="5"/>
    <n v="7"/>
    <n v="7"/>
  </r>
  <r>
    <n v="2019"/>
    <n v="9"/>
    <x v="0"/>
    <x v="2"/>
    <x v="0"/>
    <s v="2019/2020"/>
    <b v="1"/>
    <b v="1"/>
    <b v="0"/>
    <x v="9"/>
    <n v="5868278000280"/>
    <x v="71"/>
    <x v="32"/>
    <x v="18"/>
    <n v="64"/>
    <x v="4"/>
    <x v="6"/>
    <n v="13"/>
    <n v="13"/>
  </r>
  <r>
    <n v="2019"/>
    <n v="9"/>
    <x v="0"/>
    <x v="2"/>
    <x v="0"/>
    <s v="2019/2020"/>
    <b v="1"/>
    <b v="1"/>
    <b v="0"/>
    <x v="1"/>
    <n v="5868278000280"/>
    <x v="71"/>
    <x v="32"/>
    <x v="18"/>
    <n v="73"/>
    <x v="1"/>
    <x v="4"/>
    <n v="8"/>
    <n v="2"/>
  </r>
  <r>
    <n v="2019"/>
    <n v="9"/>
    <x v="0"/>
    <x v="2"/>
    <x v="0"/>
    <s v="2019/2020"/>
    <b v="1"/>
    <b v="1"/>
    <b v="0"/>
    <x v="1"/>
    <n v="5868278000280"/>
    <x v="71"/>
    <x v="32"/>
    <x v="18"/>
    <n v="73"/>
    <x v="1"/>
    <x v="1"/>
    <n v="6"/>
    <n v="3"/>
  </r>
  <r>
    <n v="2019"/>
    <n v="9"/>
    <x v="0"/>
    <x v="2"/>
    <x v="0"/>
    <s v="2019/2020"/>
    <b v="1"/>
    <b v="1"/>
    <b v="0"/>
    <x v="1"/>
    <n v="5868278000280"/>
    <x v="71"/>
    <x v="32"/>
    <x v="18"/>
    <n v="73"/>
    <x v="1"/>
    <x v="4"/>
    <n v="12"/>
    <n v="3"/>
  </r>
  <r>
    <n v="2019"/>
    <n v="9"/>
    <x v="0"/>
    <x v="2"/>
    <x v="0"/>
    <s v="2019/2020"/>
    <b v="1"/>
    <b v="1"/>
    <b v="0"/>
    <x v="4"/>
    <n v="5874946000281"/>
    <x v="363"/>
    <x v="32"/>
    <x v="18"/>
    <n v="62"/>
    <x v="3"/>
    <x v="5"/>
    <n v="5"/>
    <n v="5"/>
  </r>
  <r>
    <n v="2019"/>
    <n v="9"/>
    <x v="0"/>
    <x v="2"/>
    <x v="0"/>
    <s v="2019/2020"/>
    <b v="1"/>
    <b v="1"/>
    <b v="0"/>
    <x v="9"/>
    <n v="5874946000281"/>
    <x v="363"/>
    <x v="32"/>
    <x v="18"/>
    <n v="64"/>
    <x v="4"/>
    <x v="6"/>
    <n v="7"/>
    <n v="7"/>
  </r>
  <r>
    <n v="2019"/>
    <n v="9"/>
    <x v="0"/>
    <x v="2"/>
    <x v="0"/>
    <s v="2019/2020"/>
    <b v="1"/>
    <b v="1"/>
    <b v="0"/>
    <x v="8"/>
    <n v="5919720000179"/>
    <x v="467"/>
    <x v="8"/>
    <x v="7"/>
    <n v="70"/>
    <x v="0"/>
    <x v="0"/>
    <n v="25"/>
    <n v="5"/>
  </r>
  <r>
    <n v="2019"/>
    <n v="9"/>
    <x v="0"/>
    <x v="2"/>
    <x v="0"/>
    <s v="2019/2020"/>
    <b v="1"/>
    <b v="1"/>
    <b v="0"/>
    <x v="4"/>
    <n v="6033403000113"/>
    <x v="73"/>
    <x v="33"/>
    <x v="3"/>
    <n v="64"/>
    <x v="4"/>
    <x v="6"/>
    <n v="2"/>
    <n v="2"/>
  </r>
  <r>
    <n v="2019"/>
    <n v="9"/>
    <x v="0"/>
    <x v="2"/>
    <x v="0"/>
    <s v="2019/2020"/>
    <b v="1"/>
    <b v="1"/>
    <b v="0"/>
    <x v="4"/>
    <n v="6033403000113"/>
    <x v="73"/>
    <x v="33"/>
    <x v="3"/>
    <n v="64"/>
    <x v="4"/>
    <x v="6"/>
    <n v="3"/>
    <n v="3"/>
  </r>
  <r>
    <n v="2019"/>
    <n v="9"/>
    <x v="0"/>
    <x v="2"/>
    <x v="0"/>
    <s v="2019/2020"/>
    <b v="1"/>
    <b v="1"/>
    <b v="0"/>
    <x v="4"/>
    <n v="6033403000113"/>
    <x v="73"/>
    <x v="33"/>
    <x v="3"/>
    <n v="64"/>
    <x v="4"/>
    <x v="6"/>
    <n v="4"/>
    <n v="4"/>
  </r>
  <r>
    <n v="2019"/>
    <n v="9"/>
    <x v="0"/>
    <x v="2"/>
    <x v="0"/>
    <s v="2019/2020"/>
    <b v="1"/>
    <b v="1"/>
    <b v="0"/>
    <x v="4"/>
    <n v="6033403000113"/>
    <x v="73"/>
    <x v="33"/>
    <x v="3"/>
    <n v="64"/>
    <x v="4"/>
    <x v="6"/>
    <n v="5"/>
    <n v="5"/>
  </r>
  <r>
    <n v="2019"/>
    <n v="9"/>
    <x v="0"/>
    <x v="2"/>
    <x v="0"/>
    <s v="2019/2020"/>
    <b v="1"/>
    <b v="1"/>
    <b v="0"/>
    <x v="2"/>
    <n v="6047087000139"/>
    <x v="74"/>
    <x v="3"/>
    <x v="3"/>
    <n v="62"/>
    <x v="3"/>
    <x v="5"/>
    <n v="4"/>
    <n v="4"/>
  </r>
  <r>
    <n v="2019"/>
    <n v="9"/>
    <x v="0"/>
    <x v="2"/>
    <x v="0"/>
    <s v="2019/2020"/>
    <b v="1"/>
    <b v="1"/>
    <b v="0"/>
    <x v="2"/>
    <n v="6047087000210"/>
    <x v="75"/>
    <x v="3"/>
    <x v="3"/>
    <n v="62"/>
    <x v="3"/>
    <x v="5"/>
    <n v="8"/>
    <n v="8"/>
  </r>
  <r>
    <n v="2019"/>
    <n v="9"/>
    <x v="0"/>
    <x v="2"/>
    <x v="0"/>
    <s v="2019/2020"/>
    <b v="1"/>
    <b v="1"/>
    <b v="0"/>
    <x v="2"/>
    <n v="6047087000210"/>
    <x v="75"/>
    <x v="3"/>
    <x v="3"/>
    <n v="62"/>
    <x v="3"/>
    <x v="5"/>
    <n v="12"/>
    <n v="12"/>
  </r>
  <r>
    <n v="2019"/>
    <n v="9"/>
    <x v="0"/>
    <x v="2"/>
    <x v="0"/>
    <s v="2019/2020"/>
    <b v="1"/>
    <b v="1"/>
    <b v="0"/>
    <x v="2"/>
    <n v="6047087000210"/>
    <x v="75"/>
    <x v="3"/>
    <x v="3"/>
    <n v="64"/>
    <x v="4"/>
    <x v="6"/>
    <n v="16"/>
    <n v="16"/>
  </r>
  <r>
    <n v="2019"/>
    <n v="9"/>
    <x v="0"/>
    <x v="2"/>
    <x v="0"/>
    <s v="2019/2020"/>
    <b v="1"/>
    <b v="1"/>
    <b v="0"/>
    <x v="2"/>
    <n v="6047087000210"/>
    <x v="75"/>
    <x v="3"/>
    <x v="3"/>
    <n v="64"/>
    <x v="4"/>
    <x v="6"/>
    <n v="20"/>
    <n v="20"/>
  </r>
  <r>
    <n v="2019"/>
    <n v="9"/>
    <x v="0"/>
    <x v="2"/>
    <x v="0"/>
    <s v="2019/2020"/>
    <b v="1"/>
    <b v="1"/>
    <b v="0"/>
    <x v="2"/>
    <n v="6047087000724"/>
    <x v="468"/>
    <x v="33"/>
    <x v="3"/>
    <n v="62"/>
    <x v="3"/>
    <x v="5"/>
    <n v="10"/>
    <n v="10"/>
  </r>
  <r>
    <n v="2019"/>
    <n v="9"/>
    <x v="0"/>
    <x v="2"/>
    <x v="0"/>
    <s v="2019/2020"/>
    <b v="1"/>
    <b v="1"/>
    <b v="0"/>
    <x v="2"/>
    <n v="6047087000724"/>
    <x v="468"/>
    <x v="33"/>
    <x v="3"/>
    <n v="64"/>
    <x v="4"/>
    <x v="6"/>
    <n v="12"/>
    <n v="12"/>
  </r>
  <r>
    <n v="2019"/>
    <n v="9"/>
    <x v="0"/>
    <x v="2"/>
    <x v="0"/>
    <s v="2019/2020"/>
    <b v="1"/>
    <b v="1"/>
    <b v="0"/>
    <x v="2"/>
    <n v="6047087000996"/>
    <x v="76"/>
    <x v="0"/>
    <x v="0"/>
    <n v="62"/>
    <x v="3"/>
    <x v="5"/>
    <n v="3"/>
    <n v="3"/>
  </r>
  <r>
    <n v="2019"/>
    <n v="9"/>
    <x v="0"/>
    <x v="2"/>
    <x v="0"/>
    <s v="2019/2020"/>
    <b v="1"/>
    <b v="1"/>
    <b v="0"/>
    <x v="2"/>
    <n v="6047087000996"/>
    <x v="76"/>
    <x v="0"/>
    <x v="0"/>
    <n v="62"/>
    <x v="3"/>
    <x v="5"/>
    <n v="10"/>
    <n v="5"/>
  </r>
  <r>
    <n v="2019"/>
    <n v="9"/>
    <x v="0"/>
    <x v="2"/>
    <x v="0"/>
    <s v="2019/2020"/>
    <b v="1"/>
    <b v="1"/>
    <b v="0"/>
    <x v="2"/>
    <n v="6047087000996"/>
    <x v="76"/>
    <x v="0"/>
    <x v="0"/>
    <n v="70"/>
    <x v="0"/>
    <x v="0"/>
    <n v="225"/>
    <n v="45"/>
  </r>
  <r>
    <n v="2019"/>
    <n v="9"/>
    <x v="0"/>
    <x v="2"/>
    <x v="0"/>
    <s v="2019/2020"/>
    <b v="1"/>
    <b v="1"/>
    <b v="0"/>
    <x v="2"/>
    <n v="6047087001020"/>
    <x v="77"/>
    <x v="0"/>
    <x v="0"/>
    <n v="62"/>
    <x v="3"/>
    <x v="5"/>
    <n v="5"/>
    <n v="5"/>
  </r>
  <r>
    <n v="2019"/>
    <n v="9"/>
    <x v="0"/>
    <x v="2"/>
    <x v="0"/>
    <s v="2019/2020"/>
    <b v="1"/>
    <b v="1"/>
    <b v="0"/>
    <x v="2"/>
    <n v="6047087001020"/>
    <x v="77"/>
    <x v="0"/>
    <x v="0"/>
    <n v="62"/>
    <x v="3"/>
    <x v="5"/>
    <n v="9"/>
    <n v="9"/>
  </r>
  <r>
    <n v="2019"/>
    <n v="9"/>
    <x v="0"/>
    <x v="2"/>
    <x v="0"/>
    <s v="2019/2020"/>
    <b v="1"/>
    <b v="1"/>
    <b v="0"/>
    <x v="2"/>
    <n v="6047087001020"/>
    <x v="77"/>
    <x v="0"/>
    <x v="0"/>
    <n v="62"/>
    <x v="3"/>
    <x v="5"/>
    <n v="12"/>
    <n v="12"/>
  </r>
  <r>
    <n v="2019"/>
    <n v="9"/>
    <x v="0"/>
    <x v="2"/>
    <x v="0"/>
    <s v="2019/2020"/>
    <b v="1"/>
    <b v="1"/>
    <b v="0"/>
    <x v="2"/>
    <n v="6047087001020"/>
    <x v="77"/>
    <x v="0"/>
    <x v="0"/>
    <n v="62"/>
    <x v="3"/>
    <x v="5"/>
    <n v="40"/>
    <n v="40"/>
  </r>
  <r>
    <n v="2019"/>
    <n v="9"/>
    <x v="0"/>
    <x v="2"/>
    <x v="0"/>
    <s v="2019/2020"/>
    <b v="1"/>
    <b v="1"/>
    <b v="0"/>
    <x v="2"/>
    <n v="6047087001020"/>
    <x v="77"/>
    <x v="0"/>
    <x v="0"/>
    <n v="64"/>
    <x v="4"/>
    <x v="6"/>
    <n v="3"/>
    <n v="3"/>
  </r>
  <r>
    <n v="2019"/>
    <n v="9"/>
    <x v="0"/>
    <x v="2"/>
    <x v="0"/>
    <s v="2019/2020"/>
    <b v="1"/>
    <b v="1"/>
    <b v="0"/>
    <x v="2"/>
    <n v="6047087001020"/>
    <x v="77"/>
    <x v="0"/>
    <x v="0"/>
    <n v="64"/>
    <x v="4"/>
    <x v="6"/>
    <n v="10"/>
    <n v="10"/>
  </r>
  <r>
    <n v="2019"/>
    <n v="9"/>
    <x v="0"/>
    <x v="2"/>
    <x v="0"/>
    <s v="2019/2020"/>
    <b v="1"/>
    <b v="1"/>
    <b v="0"/>
    <x v="2"/>
    <n v="6047087001020"/>
    <x v="77"/>
    <x v="0"/>
    <x v="0"/>
    <n v="64"/>
    <x v="4"/>
    <x v="6"/>
    <n v="20"/>
    <n v="20"/>
  </r>
  <r>
    <n v="2019"/>
    <n v="9"/>
    <x v="0"/>
    <x v="2"/>
    <x v="0"/>
    <s v="2019/2020"/>
    <b v="1"/>
    <b v="1"/>
    <b v="0"/>
    <x v="2"/>
    <n v="6047087001291"/>
    <x v="469"/>
    <x v="124"/>
    <x v="15"/>
    <n v="64"/>
    <x v="4"/>
    <x v="6"/>
    <n v="3"/>
    <n v="3"/>
  </r>
  <r>
    <n v="2019"/>
    <n v="9"/>
    <x v="0"/>
    <x v="2"/>
    <x v="0"/>
    <s v="2019/2020"/>
    <b v="1"/>
    <b v="1"/>
    <b v="0"/>
    <x v="2"/>
    <n v="6047087001291"/>
    <x v="469"/>
    <x v="124"/>
    <x v="15"/>
    <n v="64"/>
    <x v="4"/>
    <x v="6"/>
    <n v="5"/>
    <n v="5"/>
  </r>
  <r>
    <n v="2019"/>
    <n v="9"/>
    <x v="0"/>
    <x v="2"/>
    <x v="0"/>
    <s v="2019/2020"/>
    <b v="1"/>
    <b v="1"/>
    <b v="0"/>
    <x v="2"/>
    <n v="6047087001372"/>
    <x v="78"/>
    <x v="34"/>
    <x v="0"/>
    <n v="64"/>
    <x v="4"/>
    <x v="6"/>
    <n v="2"/>
    <n v="1"/>
  </r>
  <r>
    <n v="2019"/>
    <n v="9"/>
    <x v="0"/>
    <x v="2"/>
    <x v="0"/>
    <s v="2019/2020"/>
    <b v="1"/>
    <b v="1"/>
    <b v="0"/>
    <x v="2"/>
    <n v="6047087002697"/>
    <x v="79"/>
    <x v="0"/>
    <x v="0"/>
    <n v="62"/>
    <x v="3"/>
    <x v="5"/>
    <n v="10"/>
    <n v="5"/>
  </r>
  <r>
    <n v="2019"/>
    <n v="9"/>
    <x v="0"/>
    <x v="2"/>
    <x v="0"/>
    <s v="2019/2020"/>
    <b v="1"/>
    <b v="1"/>
    <b v="0"/>
    <x v="2"/>
    <n v="6047087002697"/>
    <x v="79"/>
    <x v="0"/>
    <x v="0"/>
    <n v="64"/>
    <x v="4"/>
    <x v="6"/>
    <n v="2"/>
    <n v="2"/>
  </r>
  <r>
    <n v="2019"/>
    <n v="9"/>
    <x v="0"/>
    <x v="2"/>
    <x v="0"/>
    <s v="2019/2020"/>
    <b v="1"/>
    <b v="1"/>
    <b v="0"/>
    <x v="2"/>
    <n v="6047087002697"/>
    <x v="79"/>
    <x v="0"/>
    <x v="0"/>
    <n v="64"/>
    <x v="4"/>
    <x v="6"/>
    <n v="20"/>
    <n v="10"/>
  </r>
  <r>
    <n v="2019"/>
    <n v="9"/>
    <x v="0"/>
    <x v="2"/>
    <x v="0"/>
    <s v="2019/2020"/>
    <b v="1"/>
    <b v="1"/>
    <b v="0"/>
    <x v="17"/>
    <n v="6047087003073"/>
    <x v="80"/>
    <x v="35"/>
    <x v="3"/>
    <n v="66"/>
    <x v="2"/>
    <x v="3"/>
    <n v="3"/>
    <n v="3"/>
  </r>
  <r>
    <n v="2019"/>
    <n v="9"/>
    <x v="0"/>
    <x v="2"/>
    <x v="0"/>
    <s v="2019/2020"/>
    <b v="1"/>
    <b v="1"/>
    <b v="0"/>
    <x v="7"/>
    <n v="6047087003073"/>
    <x v="80"/>
    <x v="35"/>
    <x v="3"/>
    <n v="73"/>
    <x v="1"/>
    <x v="4"/>
    <n v="48"/>
    <n v="6"/>
  </r>
  <r>
    <n v="2019"/>
    <n v="9"/>
    <x v="0"/>
    <x v="2"/>
    <x v="0"/>
    <s v="2019/2020"/>
    <b v="1"/>
    <b v="1"/>
    <b v="0"/>
    <x v="2"/>
    <n v="6047087003316"/>
    <x v="81"/>
    <x v="0"/>
    <x v="0"/>
    <n v="62"/>
    <x v="3"/>
    <x v="5"/>
    <n v="1"/>
    <n v="1"/>
  </r>
  <r>
    <n v="2019"/>
    <n v="9"/>
    <x v="0"/>
    <x v="2"/>
    <x v="0"/>
    <s v="2019/2020"/>
    <b v="1"/>
    <b v="1"/>
    <b v="0"/>
    <x v="2"/>
    <n v="6047087003820"/>
    <x v="82"/>
    <x v="3"/>
    <x v="3"/>
    <n v="62"/>
    <x v="3"/>
    <x v="5"/>
    <n v="3"/>
    <n v="3"/>
  </r>
  <r>
    <n v="2019"/>
    <n v="9"/>
    <x v="0"/>
    <x v="2"/>
    <x v="0"/>
    <s v="2019/2020"/>
    <b v="1"/>
    <b v="1"/>
    <b v="0"/>
    <x v="2"/>
    <n v="6047087004126"/>
    <x v="83"/>
    <x v="4"/>
    <x v="4"/>
    <n v="64"/>
    <x v="4"/>
    <x v="6"/>
    <n v="3"/>
    <n v="3"/>
  </r>
  <r>
    <n v="2019"/>
    <n v="9"/>
    <x v="0"/>
    <x v="2"/>
    <x v="0"/>
    <s v="2019/2020"/>
    <b v="1"/>
    <b v="1"/>
    <b v="0"/>
    <x v="2"/>
    <n v="6047087004207"/>
    <x v="84"/>
    <x v="4"/>
    <x v="4"/>
    <n v="62"/>
    <x v="3"/>
    <x v="5"/>
    <n v="4"/>
    <n v="2"/>
  </r>
  <r>
    <n v="2019"/>
    <n v="9"/>
    <x v="0"/>
    <x v="2"/>
    <x v="0"/>
    <s v="2019/2020"/>
    <b v="1"/>
    <b v="1"/>
    <b v="0"/>
    <x v="2"/>
    <n v="6047087004207"/>
    <x v="84"/>
    <x v="4"/>
    <x v="4"/>
    <n v="62"/>
    <x v="3"/>
    <x v="5"/>
    <n v="3"/>
    <n v="3"/>
  </r>
  <r>
    <n v="2019"/>
    <n v="9"/>
    <x v="0"/>
    <x v="2"/>
    <x v="0"/>
    <s v="2019/2020"/>
    <b v="1"/>
    <b v="1"/>
    <b v="0"/>
    <x v="2"/>
    <n v="6047087004207"/>
    <x v="84"/>
    <x v="4"/>
    <x v="4"/>
    <n v="62"/>
    <x v="3"/>
    <x v="5"/>
    <n v="5"/>
    <n v="5"/>
  </r>
  <r>
    <n v="2019"/>
    <n v="9"/>
    <x v="0"/>
    <x v="2"/>
    <x v="0"/>
    <s v="2019/2020"/>
    <b v="1"/>
    <b v="1"/>
    <b v="0"/>
    <x v="2"/>
    <n v="6047087004207"/>
    <x v="84"/>
    <x v="4"/>
    <x v="4"/>
    <n v="62"/>
    <x v="3"/>
    <x v="5"/>
    <n v="6"/>
    <n v="6"/>
  </r>
  <r>
    <n v="2019"/>
    <n v="9"/>
    <x v="0"/>
    <x v="2"/>
    <x v="0"/>
    <s v="2019/2020"/>
    <b v="1"/>
    <b v="1"/>
    <b v="0"/>
    <x v="2"/>
    <n v="6047087004207"/>
    <x v="84"/>
    <x v="4"/>
    <x v="4"/>
    <n v="64"/>
    <x v="4"/>
    <x v="6"/>
    <n v="2"/>
    <n v="2"/>
  </r>
  <r>
    <n v="2019"/>
    <n v="9"/>
    <x v="0"/>
    <x v="2"/>
    <x v="0"/>
    <s v="2019/2020"/>
    <b v="1"/>
    <b v="1"/>
    <b v="0"/>
    <x v="2"/>
    <n v="6047087004207"/>
    <x v="84"/>
    <x v="4"/>
    <x v="4"/>
    <n v="64"/>
    <x v="4"/>
    <x v="6"/>
    <n v="4"/>
    <n v="4"/>
  </r>
  <r>
    <n v="2019"/>
    <n v="9"/>
    <x v="0"/>
    <x v="2"/>
    <x v="0"/>
    <s v="2019/2020"/>
    <b v="1"/>
    <b v="1"/>
    <b v="0"/>
    <x v="2"/>
    <n v="6047087004207"/>
    <x v="84"/>
    <x v="4"/>
    <x v="4"/>
    <n v="64"/>
    <x v="4"/>
    <x v="6"/>
    <n v="5"/>
    <n v="5"/>
  </r>
  <r>
    <n v="2019"/>
    <n v="9"/>
    <x v="0"/>
    <x v="2"/>
    <x v="0"/>
    <s v="2019/2020"/>
    <b v="1"/>
    <b v="1"/>
    <b v="0"/>
    <x v="2"/>
    <n v="6047087004207"/>
    <x v="84"/>
    <x v="4"/>
    <x v="4"/>
    <n v="64"/>
    <x v="4"/>
    <x v="6"/>
    <n v="8"/>
    <n v="8"/>
  </r>
  <r>
    <n v="2019"/>
    <n v="9"/>
    <x v="0"/>
    <x v="2"/>
    <x v="0"/>
    <s v="2019/2020"/>
    <b v="1"/>
    <b v="1"/>
    <b v="0"/>
    <x v="2"/>
    <n v="6047087004207"/>
    <x v="84"/>
    <x v="4"/>
    <x v="4"/>
    <n v="64"/>
    <x v="4"/>
    <x v="6"/>
    <n v="9"/>
    <n v="9"/>
  </r>
  <r>
    <n v="2019"/>
    <n v="9"/>
    <x v="0"/>
    <x v="2"/>
    <x v="0"/>
    <s v="2019/2020"/>
    <b v="1"/>
    <b v="1"/>
    <b v="0"/>
    <x v="2"/>
    <n v="6047087007656"/>
    <x v="85"/>
    <x v="36"/>
    <x v="3"/>
    <n v="62"/>
    <x v="3"/>
    <x v="5"/>
    <n v="1"/>
    <n v="1"/>
  </r>
  <r>
    <n v="2019"/>
    <n v="9"/>
    <x v="0"/>
    <x v="2"/>
    <x v="0"/>
    <s v="2019/2020"/>
    <b v="1"/>
    <b v="1"/>
    <b v="0"/>
    <x v="2"/>
    <n v="6047087007656"/>
    <x v="85"/>
    <x v="36"/>
    <x v="3"/>
    <n v="62"/>
    <x v="3"/>
    <x v="5"/>
    <n v="2"/>
    <n v="2"/>
  </r>
  <r>
    <n v="2019"/>
    <n v="9"/>
    <x v="0"/>
    <x v="2"/>
    <x v="0"/>
    <s v="2019/2020"/>
    <b v="1"/>
    <b v="1"/>
    <b v="0"/>
    <x v="2"/>
    <n v="6047087009276"/>
    <x v="86"/>
    <x v="24"/>
    <x v="15"/>
    <n v="64"/>
    <x v="4"/>
    <x v="6"/>
    <n v="10"/>
    <n v="10"/>
  </r>
  <r>
    <n v="2019"/>
    <n v="9"/>
    <x v="0"/>
    <x v="2"/>
    <x v="0"/>
    <s v="2019/2020"/>
    <b v="1"/>
    <b v="1"/>
    <b v="0"/>
    <x v="2"/>
    <n v="6047087009276"/>
    <x v="86"/>
    <x v="24"/>
    <x v="15"/>
    <n v="64"/>
    <x v="4"/>
    <x v="6"/>
    <n v="20"/>
    <n v="20"/>
  </r>
  <r>
    <n v="2019"/>
    <n v="9"/>
    <x v="0"/>
    <x v="2"/>
    <x v="0"/>
    <s v="2019/2020"/>
    <b v="1"/>
    <b v="1"/>
    <b v="0"/>
    <x v="4"/>
    <n v="6070425000153"/>
    <x v="87"/>
    <x v="37"/>
    <x v="19"/>
    <n v="73"/>
    <x v="1"/>
    <x v="1"/>
    <n v="12"/>
    <n v="6"/>
  </r>
  <r>
    <n v="2019"/>
    <n v="9"/>
    <x v="0"/>
    <x v="2"/>
    <x v="0"/>
    <s v="2019/2020"/>
    <b v="1"/>
    <b v="1"/>
    <b v="0"/>
    <x v="14"/>
    <n v="7039651000134"/>
    <x v="91"/>
    <x v="41"/>
    <x v="13"/>
    <n v="70"/>
    <x v="0"/>
    <x v="0"/>
    <n v="25"/>
    <n v="5"/>
  </r>
  <r>
    <n v="2019"/>
    <n v="9"/>
    <x v="0"/>
    <x v="2"/>
    <x v="0"/>
    <s v="2019/2020"/>
    <b v="1"/>
    <b v="1"/>
    <b v="0"/>
    <x v="4"/>
    <n v="7045325000130"/>
    <x v="92"/>
    <x v="3"/>
    <x v="3"/>
    <n v="73"/>
    <x v="1"/>
    <x v="4"/>
    <n v="56"/>
    <n v="14"/>
  </r>
  <r>
    <n v="2019"/>
    <n v="9"/>
    <x v="0"/>
    <x v="2"/>
    <x v="0"/>
    <s v="2019/2020"/>
    <b v="1"/>
    <b v="1"/>
    <b v="0"/>
    <x v="9"/>
    <n v="7245269000187"/>
    <x v="365"/>
    <x v="32"/>
    <x v="18"/>
    <n v="64"/>
    <x v="4"/>
    <x v="6"/>
    <n v="4"/>
    <n v="2"/>
  </r>
  <r>
    <n v="2019"/>
    <n v="9"/>
    <x v="0"/>
    <x v="2"/>
    <x v="0"/>
    <s v="2019/2020"/>
    <b v="1"/>
    <b v="1"/>
    <b v="0"/>
    <x v="9"/>
    <n v="7245269000187"/>
    <x v="365"/>
    <x v="32"/>
    <x v="18"/>
    <n v="64"/>
    <x v="4"/>
    <x v="6"/>
    <n v="3"/>
    <n v="3"/>
  </r>
  <r>
    <n v="2019"/>
    <n v="9"/>
    <x v="0"/>
    <x v="2"/>
    <x v="0"/>
    <s v="2019/2020"/>
    <b v="1"/>
    <b v="1"/>
    <b v="0"/>
    <x v="5"/>
    <n v="7272636000212"/>
    <x v="95"/>
    <x v="32"/>
    <x v="18"/>
    <n v="62"/>
    <x v="3"/>
    <x v="5"/>
    <n v="30"/>
    <n v="30"/>
  </r>
  <r>
    <n v="2019"/>
    <n v="9"/>
    <x v="0"/>
    <x v="2"/>
    <x v="0"/>
    <s v="2019/2020"/>
    <b v="1"/>
    <b v="1"/>
    <b v="0"/>
    <x v="5"/>
    <n v="7272636000212"/>
    <x v="95"/>
    <x v="32"/>
    <x v="18"/>
    <n v="70"/>
    <x v="0"/>
    <x v="0"/>
    <n v="600"/>
    <n v="120"/>
  </r>
  <r>
    <n v="2019"/>
    <n v="9"/>
    <x v="0"/>
    <x v="2"/>
    <x v="0"/>
    <s v="2019/2020"/>
    <b v="1"/>
    <b v="1"/>
    <b v="0"/>
    <x v="13"/>
    <n v="7404052000172"/>
    <x v="96"/>
    <x v="13"/>
    <x v="6"/>
    <n v="70"/>
    <x v="0"/>
    <x v="0"/>
    <n v="45"/>
    <n v="9"/>
  </r>
  <r>
    <n v="2019"/>
    <n v="9"/>
    <x v="0"/>
    <x v="2"/>
    <x v="0"/>
    <s v="2019/2020"/>
    <b v="1"/>
    <b v="1"/>
    <b v="0"/>
    <x v="5"/>
    <n v="7734165000136"/>
    <x v="97"/>
    <x v="13"/>
    <x v="6"/>
    <n v="70"/>
    <x v="0"/>
    <x v="7"/>
    <n v="-750"/>
    <n v="-75"/>
  </r>
  <r>
    <n v="2019"/>
    <n v="9"/>
    <x v="0"/>
    <x v="2"/>
    <x v="0"/>
    <s v="2019/2020"/>
    <b v="1"/>
    <b v="1"/>
    <b v="0"/>
    <x v="5"/>
    <n v="7734165000136"/>
    <x v="97"/>
    <x v="13"/>
    <x v="6"/>
    <n v="70"/>
    <x v="0"/>
    <x v="7"/>
    <n v="2250"/>
    <n v="75"/>
  </r>
  <r>
    <n v="2019"/>
    <n v="9"/>
    <x v="0"/>
    <x v="2"/>
    <x v="0"/>
    <s v="2019/2020"/>
    <b v="1"/>
    <b v="1"/>
    <b v="0"/>
    <x v="15"/>
    <n v="7734165000136"/>
    <x v="97"/>
    <x v="13"/>
    <x v="6"/>
    <n v="70"/>
    <x v="0"/>
    <x v="7"/>
    <n v="1000"/>
    <n v="50"/>
  </r>
  <r>
    <n v="2019"/>
    <n v="9"/>
    <x v="0"/>
    <x v="2"/>
    <x v="0"/>
    <s v="2019/2020"/>
    <b v="1"/>
    <b v="1"/>
    <b v="0"/>
    <x v="15"/>
    <n v="7734165000136"/>
    <x v="97"/>
    <x v="13"/>
    <x v="6"/>
    <n v="70"/>
    <x v="0"/>
    <x v="0"/>
    <n v="1000"/>
    <n v="100"/>
  </r>
  <r>
    <n v="2019"/>
    <n v="9"/>
    <x v="0"/>
    <x v="2"/>
    <x v="0"/>
    <s v="2019/2020"/>
    <b v="1"/>
    <b v="1"/>
    <b v="0"/>
    <x v="10"/>
    <n v="7734165000136"/>
    <x v="97"/>
    <x v="13"/>
    <x v="6"/>
    <n v="73"/>
    <x v="1"/>
    <x v="4"/>
    <n v="40"/>
    <n v="10"/>
  </r>
  <r>
    <n v="2019"/>
    <n v="9"/>
    <x v="0"/>
    <x v="2"/>
    <x v="0"/>
    <s v="2019/2020"/>
    <b v="1"/>
    <b v="1"/>
    <b v="0"/>
    <x v="2"/>
    <n v="7734165000136"/>
    <x v="97"/>
    <x v="13"/>
    <x v="6"/>
    <n v="73"/>
    <x v="1"/>
    <x v="4"/>
    <n v="40"/>
    <n v="10"/>
  </r>
  <r>
    <n v="2019"/>
    <n v="9"/>
    <x v="0"/>
    <x v="2"/>
    <x v="0"/>
    <s v="2019/2020"/>
    <b v="1"/>
    <b v="1"/>
    <b v="0"/>
    <x v="21"/>
    <n v="7734165000136"/>
    <x v="97"/>
    <x v="13"/>
    <x v="6"/>
    <n v="73"/>
    <x v="1"/>
    <x v="4"/>
    <n v="16"/>
    <n v="4"/>
  </r>
  <r>
    <n v="2019"/>
    <n v="9"/>
    <x v="0"/>
    <x v="2"/>
    <x v="0"/>
    <s v="2019/2020"/>
    <b v="1"/>
    <b v="1"/>
    <b v="0"/>
    <x v="4"/>
    <n v="7794623001528"/>
    <x v="98"/>
    <x v="43"/>
    <x v="0"/>
    <n v="73"/>
    <x v="1"/>
    <x v="1"/>
    <n v="4"/>
    <n v="2"/>
  </r>
  <r>
    <n v="2019"/>
    <n v="9"/>
    <x v="0"/>
    <x v="2"/>
    <x v="0"/>
    <s v="2019/2020"/>
    <b v="1"/>
    <b v="1"/>
    <b v="0"/>
    <x v="4"/>
    <n v="7794623001528"/>
    <x v="98"/>
    <x v="43"/>
    <x v="0"/>
    <n v="73"/>
    <x v="1"/>
    <x v="4"/>
    <n v="24"/>
    <n v="6"/>
  </r>
  <r>
    <n v="2019"/>
    <n v="9"/>
    <x v="0"/>
    <x v="2"/>
    <x v="0"/>
    <s v="2019/2020"/>
    <b v="1"/>
    <b v="1"/>
    <b v="0"/>
    <x v="4"/>
    <n v="7794623002257"/>
    <x v="99"/>
    <x v="44"/>
    <x v="6"/>
    <n v="70"/>
    <x v="0"/>
    <x v="0"/>
    <n v="65"/>
    <n v="13"/>
  </r>
  <r>
    <n v="2019"/>
    <n v="9"/>
    <x v="0"/>
    <x v="2"/>
    <x v="0"/>
    <s v="2019/2020"/>
    <b v="1"/>
    <b v="1"/>
    <b v="0"/>
    <x v="4"/>
    <n v="7794623002257"/>
    <x v="99"/>
    <x v="44"/>
    <x v="6"/>
    <n v="70"/>
    <x v="0"/>
    <x v="0"/>
    <n v="135"/>
    <n v="27"/>
  </r>
  <r>
    <n v="2019"/>
    <n v="9"/>
    <x v="0"/>
    <x v="2"/>
    <x v="0"/>
    <s v="2019/2020"/>
    <b v="1"/>
    <b v="1"/>
    <b v="0"/>
    <x v="4"/>
    <n v="7794623002257"/>
    <x v="99"/>
    <x v="44"/>
    <x v="6"/>
    <n v="70"/>
    <x v="0"/>
    <x v="0"/>
    <n v="170"/>
    <n v="34"/>
  </r>
  <r>
    <n v="2019"/>
    <n v="9"/>
    <x v="0"/>
    <x v="2"/>
    <x v="0"/>
    <s v="2019/2020"/>
    <b v="1"/>
    <b v="1"/>
    <b v="0"/>
    <x v="4"/>
    <n v="7794623002257"/>
    <x v="99"/>
    <x v="44"/>
    <x v="6"/>
    <n v="70"/>
    <x v="0"/>
    <x v="0"/>
    <n v="260"/>
    <n v="52"/>
  </r>
  <r>
    <n v="2019"/>
    <n v="9"/>
    <x v="0"/>
    <x v="2"/>
    <x v="0"/>
    <s v="2019/2020"/>
    <b v="1"/>
    <b v="1"/>
    <b v="0"/>
    <x v="4"/>
    <n v="7794623004896"/>
    <x v="100"/>
    <x v="0"/>
    <x v="0"/>
    <n v="70"/>
    <x v="0"/>
    <x v="0"/>
    <n v="750"/>
    <n v="150"/>
  </r>
  <r>
    <n v="2019"/>
    <n v="9"/>
    <x v="0"/>
    <x v="2"/>
    <x v="0"/>
    <s v="2019/2020"/>
    <b v="1"/>
    <b v="1"/>
    <b v="0"/>
    <x v="4"/>
    <n v="7794623004896"/>
    <x v="100"/>
    <x v="0"/>
    <x v="0"/>
    <n v="70"/>
    <x v="0"/>
    <x v="0"/>
    <n v="1000"/>
    <n v="200"/>
  </r>
  <r>
    <n v="2019"/>
    <n v="9"/>
    <x v="0"/>
    <x v="2"/>
    <x v="0"/>
    <s v="2019/2020"/>
    <b v="1"/>
    <b v="1"/>
    <b v="0"/>
    <x v="4"/>
    <n v="8100676000592"/>
    <x v="103"/>
    <x v="3"/>
    <x v="3"/>
    <n v="70"/>
    <x v="0"/>
    <x v="0"/>
    <n v="50"/>
    <n v="10"/>
  </r>
  <r>
    <n v="2019"/>
    <n v="9"/>
    <x v="0"/>
    <x v="2"/>
    <x v="0"/>
    <s v="2019/2020"/>
    <b v="1"/>
    <b v="1"/>
    <b v="0"/>
    <x v="4"/>
    <n v="8100676000592"/>
    <x v="103"/>
    <x v="3"/>
    <x v="3"/>
    <n v="70"/>
    <x v="0"/>
    <x v="0"/>
    <n v="100"/>
    <n v="20"/>
  </r>
  <r>
    <n v="2019"/>
    <n v="9"/>
    <x v="0"/>
    <x v="2"/>
    <x v="0"/>
    <s v="2019/2020"/>
    <b v="1"/>
    <b v="1"/>
    <b v="0"/>
    <x v="4"/>
    <n v="8100676000592"/>
    <x v="103"/>
    <x v="3"/>
    <x v="3"/>
    <n v="70"/>
    <x v="0"/>
    <x v="0"/>
    <n v="140"/>
    <n v="28"/>
  </r>
  <r>
    <n v="2019"/>
    <n v="9"/>
    <x v="0"/>
    <x v="2"/>
    <x v="0"/>
    <s v="2019/2020"/>
    <b v="1"/>
    <b v="1"/>
    <b v="0"/>
    <x v="4"/>
    <n v="8100676000592"/>
    <x v="103"/>
    <x v="3"/>
    <x v="3"/>
    <n v="70"/>
    <x v="0"/>
    <x v="0"/>
    <n v="200"/>
    <n v="40"/>
  </r>
  <r>
    <n v="2019"/>
    <n v="9"/>
    <x v="0"/>
    <x v="2"/>
    <x v="0"/>
    <s v="2019/2020"/>
    <b v="1"/>
    <b v="1"/>
    <b v="0"/>
    <x v="4"/>
    <n v="8100676000835"/>
    <x v="104"/>
    <x v="3"/>
    <x v="3"/>
    <n v="70"/>
    <x v="0"/>
    <x v="0"/>
    <n v="90"/>
    <n v="18"/>
  </r>
  <r>
    <n v="2019"/>
    <n v="9"/>
    <x v="0"/>
    <x v="2"/>
    <x v="0"/>
    <s v="2019/2020"/>
    <b v="1"/>
    <b v="1"/>
    <b v="0"/>
    <x v="4"/>
    <n v="8100676000835"/>
    <x v="104"/>
    <x v="3"/>
    <x v="3"/>
    <n v="70"/>
    <x v="0"/>
    <x v="0"/>
    <n v="150"/>
    <n v="30"/>
  </r>
  <r>
    <n v="2019"/>
    <n v="9"/>
    <x v="0"/>
    <x v="2"/>
    <x v="0"/>
    <s v="2019/2020"/>
    <b v="1"/>
    <b v="1"/>
    <b v="0"/>
    <x v="4"/>
    <n v="8100676002102"/>
    <x v="105"/>
    <x v="0"/>
    <x v="0"/>
    <n v="62"/>
    <x v="3"/>
    <x v="5"/>
    <n v="6"/>
    <n v="6"/>
  </r>
  <r>
    <n v="2019"/>
    <n v="9"/>
    <x v="0"/>
    <x v="2"/>
    <x v="0"/>
    <s v="2019/2020"/>
    <b v="1"/>
    <b v="1"/>
    <b v="0"/>
    <x v="4"/>
    <n v="8100676002102"/>
    <x v="105"/>
    <x v="0"/>
    <x v="0"/>
    <n v="62"/>
    <x v="3"/>
    <x v="5"/>
    <n v="10"/>
    <n v="10"/>
  </r>
  <r>
    <n v="2019"/>
    <n v="9"/>
    <x v="0"/>
    <x v="2"/>
    <x v="0"/>
    <s v="2019/2020"/>
    <b v="1"/>
    <b v="1"/>
    <b v="0"/>
    <x v="4"/>
    <n v="8100676002102"/>
    <x v="105"/>
    <x v="0"/>
    <x v="0"/>
    <n v="64"/>
    <x v="4"/>
    <x v="6"/>
    <n v="3"/>
    <n v="3"/>
  </r>
  <r>
    <n v="2019"/>
    <n v="9"/>
    <x v="0"/>
    <x v="2"/>
    <x v="0"/>
    <s v="2019/2020"/>
    <b v="1"/>
    <b v="1"/>
    <b v="0"/>
    <x v="4"/>
    <n v="8100676002102"/>
    <x v="105"/>
    <x v="0"/>
    <x v="0"/>
    <n v="64"/>
    <x v="4"/>
    <x v="6"/>
    <n v="20"/>
    <n v="10"/>
  </r>
  <r>
    <n v="2019"/>
    <n v="9"/>
    <x v="0"/>
    <x v="2"/>
    <x v="0"/>
    <s v="2019/2020"/>
    <b v="1"/>
    <b v="1"/>
    <b v="0"/>
    <x v="4"/>
    <n v="8100676002455"/>
    <x v="106"/>
    <x v="3"/>
    <x v="3"/>
    <n v="64"/>
    <x v="4"/>
    <x v="6"/>
    <n v="6"/>
    <n v="6"/>
  </r>
  <r>
    <n v="2019"/>
    <n v="9"/>
    <x v="0"/>
    <x v="2"/>
    <x v="0"/>
    <s v="2019/2020"/>
    <b v="1"/>
    <b v="1"/>
    <b v="0"/>
    <x v="4"/>
    <n v="8100676002455"/>
    <x v="106"/>
    <x v="3"/>
    <x v="3"/>
    <n v="64"/>
    <x v="4"/>
    <x v="6"/>
    <n v="8"/>
    <n v="8"/>
  </r>
  <r>
    <n v="2019"/>
    <n v="9"/>
    <x v="0"/>
    <x v="2"/>
    <x v="0"/>
    <s v="2019/2020"/>
    <b v="1"/>
    <b v="1"/>
    <b v="0"/>
    <x v="4"/>
    <n v="8100676002455"/>
    <x v="106"/>
    <x v="3"/>
    <x v="3"/>
    <n v="64"/>
    <x v="4"/>
    <x v="6"/>
    <n v="10"/>
    <n v="10"/>
  </r>
  <r>
    <n v="2019"/>
    <n v="9"/>
    <x v="0"/>
    <x v="2"/>
    <x v="0"/>
    <s v="2019/2020"/>
    <b v="1"/>
    <b v="1"/>
    <b v="0"/>
    <x v="4"/>
    <n v="8100676002455"/>
    <x v="106"/>
    <x v="3"/>
    <x v="3"/>
    <n v="70"/>
    <x v="0"/>
    <x v="0"/>
    <n v="225"/>
    <n v="45"/>
  </r>
  <r>
    <n v="2019"/>
    <n v="9"/>
    <x v="0"/>
    <x v="2"/>
    <x v="0"/>
    <s v="2019/2020"/>
    <b v="1"/>
    <b v="1"/>
    <b v="0"/>
    <x v="4"/>
    <n v="8100676002455"/>
    <x v="106"/>
    <x v="3"/>
    <x v="3"/>
    <n v="70"/>
    <x v="0"/>
    <x v="0"/>
    <n v="250"/>
    <n v="50"/>
  </r>
  <r>
    <n v="2019"/>
    <n v="9"/>
    <x v="0"/>
    <x v="2"/>
    <x v="0"/>
    <s v="2019/2020"/>
    <b v="1"/>
    <b v="1"/>
    <b v="0"/>
    <x v="4"/>
    <n v="8100676002455"/>
    <x v="106"/>
    <x v="3"/>
    <x v="3"/>
    <n v="70"/>
    <x v="0"/>
    <x v="0"/>
    <n v="350"/>
    <n v="70"/>
  </r>
  <r>
    <n v="2019"/>
    <n v="9"/>
    <x v="0"/>
    <x v="2"/>
    <x v="0"/>
    <s v="2019/2020"/>
    <b v="1"/>
    <b v="1"/>
    <b v="0"/>
    <x v="11"/>
    <n v="8319329000121"/>
    <x v="107"/>
    <x v="10"/>
    <x v="8"/>
    <n v="64"/>
    <x v="4"/>
    <x v="6"/>
    <n v="20"/>
    <n v="20"/>
  </r>
  <r>
    <n v="2019"/>
    <n v="9"/>
    <x v="0"/>
    <x v="2"/>
    <x v="0"/>
    <s v="2019/2020"/>
    <b v="1"/>
    <b v="1"/>
    <b v="0"/>
    <x v="11"/>
    <n v="8319329000121"/>
    <x v="107"/>
    <x v="10"/>
    <x v="8"/>
    <n v="64"/>
    <x v="4"/>
    <x v="6"/>
    <n v="21"/>
    <n v="21"/>
  </r>
  <r>
    <n v="2019"/>
    <n v="9"/>
    <x v="0"/>
    <x v="2"/>
    <x v="0"/>
    <s v="2019/2020"/>
    <b v="1"/>
    <b v="1"/>
    <b v="0"/>
    <x v="28"/>
    <n v="8319329000121"/>
    <x v="107"/>
    <x v="10"/>
    <x v="8"/>
    <n v="64"/>
    <x v="4"/>
    <x v="6"/>
    <n v="6"/>
    <n v="6"/>
  </r>
  <r>
    <n v="2019"/>
    <n v="9"/>
    <x v="0"/>
    <x v="2"/>
    <x v="0"/>
    <s v="2019/2020"/>
    <b v="1"/>
    <b v="1"/>
    <b v="0"/>
    <x v="9"/>
    <n v="8337586000196"/>
    <x v="108"/>
    <x v="10"/>
    <x v="8"/>
    <n v="64"/>
    <x v="4"/>
    <x v="6"/>
    <n v="1"/>
    <n v="1"/>
  </r>
  <r>
    <n v="2019"/>
    <n v="9"/>
    <x v="0"/>
    <x v="2"/>
    <x v="0"/>
    <s v="2019/2020"/>
    <b v="1"/>
    <b v="1"/>
    <b v="0"/>
    <x v="11"/>
    <n v="8337586000196"/>
    <x v="108"/>
    <x v="10"/>
    <x v="8"/>
    <n v="64"/>
    <x v="4"/>
    <x v="6"/>
    <n v="1"/>
    <n v="1"/>
  </r>
  <r>
    <n v="2019"/>
    <n v="9"/>
    <x v="0"/>
    <x v="2"/>
    <x v="0"/>
    <s v="2019/2020"/>
    <b v="1"/>
    <b v="1"/>
    <b v="0"/>
    <x v="5"/>
    <n v="8597121000174"/>
    <x v="111"/>
    <x v="13"/>
    <x v="6"/>
    <n v="70"/>
    <x v="0"/>
    <x v="0"/>
    <n v="560"/>
    <n v="112"/>
  </r>
  <r>
    <n v="2019"/>
    <n v="9"/>
    <x v="0"/>
    <x v="2"/>
    <x v="0"/>
    <s v="2019/2020"/>
    <b v="1"/>
    <b v="1"/>
    <b v="0"/>
    <x v="4"/>
    <n v="8680639000681"/>
    <x v="112"/>
    <x v="5"/>
    <x v="5"/>
    <n v="70"/>
    <x v="0"/>
    <x v="0"/>
    <n v="15"/>
    <n v="3"/>
  </r>
  <r>
    <n v="2019"/>
    <n v="9"/>
    <x v="0"/>
    <x v="2"/>
    <x v="0"/>
    <s v="2019/2020"/>
    <b v="1"/>
    <b v="1"/>
    <b v="0"/>
    <x v="4"/>
    <n v="8680639000681"/>
    <x v="112"/>
    <x v="5"/>
    <x v="5"/>
    <n v="70"/>
    <x v="0"/>
    <x v="0"/>
    <n v="125"/>
    <n v="25"/>
  </r>
  <r>
    <n v="2019"/>
    <n v="9"/>
    <x v="0"/>
    <x v="2"/>
    <x v="0"/>
    <s v="2019/2020"/>
    <b v="1"/>
    <b v="1"/>
    <b v="0"/>
    <x v="2"/>
    <n v="8680639000681"/>
    <x v="112"/>
    <x v="5"/>
    <x v="5"/>
    <n v="73"/>
    <x v="1"/>
    <x v="4"/>
    <n v="80"/>
    <n v="20"/>
  </r>
  <r>
    <n v="2019"/>
    <n v="9"/>
    <x v="0"/>
    <x v="2"/>
    <x v="0"/>
    <s v="2019/2020"/>
    <b v="1"/>
    <b v="1"/>
    <b v="0"/>
    <x v="7"/>
    <n v="8871521000126"/>
    <x v="114"/>
    <x v="3"/>
    <x v="3"/>
    <n v="70"/>
    <x v="0"/>
    <x v="0"/>
    <n v="20"/>
    <n v="4"/>
  </r>
  <r>
    <n v="2019"/>
    <n v="9"/>
    <x v="0"/>
    <x v="2"/>
    <x v="0"/>
    <s v="2019/2020"/>
    <b v="1"/>
    <b v="1"/>
    <b v="0"/>
    <x v="7"/>
    <n v="8871521000126"/>
    <x v="114"/>
    <x v="3"/>
    <x v="3"/>
    <n v="70"/>
    <x v="0"/>
    <x v="0"/>
    <n v="25"/>
    <n v="5"/>
  </r>
  <r>
    <n v="2019"/>
    <n v="9"/>
    <x v="0"/>
    <x v="2"/>
    <x v="0"/>
    <s v="2019/2020"/>
    <b v="1"/>
    <b v="1"/>
    <b v="0"/>
    <x v="4"/>
    <n v="9039744000275"/>
    <x v="371"/>
    <x v="98"/>
    <x v="15"/>
    <n v="64"/>
    <x v="4"/>
    <x v="6"/>
    <n v="7"/>
    <n v="7"/>
  </r>
  <r>
    <n v="2019"/>
    <n v="9"/>
    <x v="0"/>
    <x v="2"/>
    <x v="0"/>
    <s v="2019/2020"/>
    <b v="1"/>
    <b v="1"/>
    <b v="0"/>
    <x v="17"/>
    <n v="9087150000230"/>
    <x v="115"/>
    <x v="45"/>
    <x v="11"/>
    <n v="73"/>
    <x v="1"/>
    <x v="1"/>
    <n v="8"/>
    <n v="4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10"/>
    <n v="2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45"/>
    <n v="9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60"/>
    <n v="12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90"/>
    <n v="18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135"/>
    <n v="27"/>
  </r>
  <r>
    <n v="2019"/>
    <n v="9"/>
    <x v="0"/>
    <x v="2"/>
    <x v="0"/>
    <s v="2019/2020"/>
    <b v="1"/>
    <b v="1"/>
    <b v="0"/>
    <x v="7"/>
    <n v="9104513000974"/>
    <x v="116"/>
    <x v="4"/>
    <x v="4"/>
    <n v="70"/>
    <x v="0"/>
    <x v="0"/>
    <n v="175"/>
    <n v="35"/>
  </r>
  <r>
    <n v="2019"/>
    <n v="9"/>
    <x v="0"/>
    <x v="2"/>
    <x v="0"/>
    <s v="2019/2020"/>
    <b v="1"/>
    <b v="1"/>
    <b v="0"/>
    <x v="1"/>
    <n v="9192098000109"/>
    <x v="470"/>
    <x v="125"/>
    <x v="16"/>
    <n v="70"/>
    <x v="0"/>
    <x v="0"/>
    <n v="30"/>
    <n v="6"/>
  </r>
  <r>
    <n v="2019"/>
    <n v="9"/>
    <x v="0"/>
    <x v="2"/>
    <x v="0"/>
    <s v="2019/2020"/>
    <b v="1"/>
    <b v="1"/>
    <b v="0"/>
    <x v="1"/>
    <n v="9192098000109"/>
    <x v="470"/>
    <x v="125"/>
    <x v="16"/>
    <n v="70"/>
    <x v="0"/>
    <x v="0"/>
    <n v="70"/>
    <n v="14"/>
  </r>
  <r>
    <n v="2019"/>
    <n v="9"/>
    <x v="0"/>
    <x v="2"/>
    <x v="0"/>
    <s v="2019/2020"/>
    <b v="1"/>
    <b v="1"/>
    <b v="0"/>
    <x v="4"/>
    <n v="9219138000401"/>
    <x v="471"/>
    <x v="0"/>
    <x v="0"/>
    <n v="70"/>
    <x v="0"/>
    <x v="0"/>
    <n v="135"/>
    <n v="27"/>
  </r>
  <r>
    <n v="2019"/>
    <n v="9"/>
    <x v="0"/>
    <x v="2"/>
    <x v="0"/>
    <s v="2019/2020"/>
    <b v="1"/>
    <b v="1"/>
    <b v="0"/>
    <x v="10"/>
    <n v="9219138000401"/>
    <x v="471"/>
    <x v="0"/>
    <x v="0"/>
    <n v="70"/>
    <x v="0"/>
    <x v="0"/>
    <n v="150"/>
    <n v="30"/>
  </r>
  <r>
    <n v="2019"/>
    <n v="9"/>
    <x v="0"/>
    <x v="2"/>
    <x v="0"/>
    <s v="2019/2020"/>
    <b v="1"/>
    <b v="1"/>
    <b v="0"/>
    <x v="17"/>
    <n v="9219138000584"/>
    <x v="117"/>
    <x v="0"/>
    <x v="0"/>
    <n v="70"/>
    <x v="0"/>
    <x v="0"/>
    <n v="225"/>
    <n v="45"/>
  </r>
  <r>
    <n v="2019"/>
    <n v="9"/>
    <x v="0"/>
    <x v="2"/>
    <x v="0"/>
    <s v="2019/2020"/>
    <b v="1"/>
    <b v="1"/>
    <b v="0"/>
    <x v="10"/>
    <n v="9219138000584"/>
    <x v="117"/>
    <x v="0"/>
    <x v="0"/>
    <n v="70"/>
    <x v="0"/>
    <x v="0"/>
    <n v="20"/>
    <n v="4"/>
  </r>
  <r>
    <n v="2019"/>
    <n v="9"/>
    <x v="0"/>
    <x v="2"/>
    <x v="0"/>
    <s v="2019/2020"/>
    <b v="1"/>
    <b v="1"/>
    <b v="0"/>
    <x v="10"/>
    <n v="9219138000584"/>
    <x v="117"/>
    <x v="0"/>
    <x v="0"/>
    <n v="70"/>
    <x v="0"/>
    <x v="0"/>
    <n v="60"/>
    <n v="6"/>
  </r>
  <r>
    <n v="2019"/>
    <n v="9"/>
    <x v="0"/>
    <x v="2"/>
    <x v="0"/>
    <s v="2019/2020"/>
    <b v="1"/>
    <b v="1"/>
    <b v="0"/>
    <x v="10"/>
    <n v="9219138000584"/>
    <x v="117"/>
    <x v="0"/>
    <x v="0"/>
    <n v="70"/>
    <x v="0"/>
    <x v="0"/>
    <n v="265"/>
    <n v="53"/>
  </r>
  <r>
    <n v="2019"/>
    <n v="9"/>
    <x v="0"/>
    <x v="2"/>
    <x v="0"/>
    <s v="2019/2020"/>
    <b v="1"/>
    <b v="1"/>
    <b v="0"/>
    <x v="14"/>
    <n v="9219138000584"/>
    <x v="117"/>
    <x v="0"/>
    <x v="0"/>
    <n v="70"/>
    <x v="0"/>
    <x v="0"/>
    <n v="380"/>
    <n v="76"/>
  </r>
  <r>
    <n v="2019"/>
    <n v="9"/>
    <x v="0"/>
    <x v="2"/>
    <x v="0"/>
    <s v="2019/2020"/>
    <b v="1"/>
    <b v="1"/>
    <b v="0"/>
    <x v="7"/>
    <n v="9219138000584"/>
    <x v="117"/>
    <x v="0"/>
    <x v="0"/>
    <n v="70"/>
    <x v="0"/>
    <x v="0"/>
    <n v="135"/>
    <n v="27"/>
  </r>
  <r>
    <n v="2019"/>
    <n v="9"/>
    <x v="0"/>
    <x v="2"/>
    <x v="0"/>
    <s v="2019/2020"/>
    <b v="1"/>
    <b v="1"/>
    <b v="0"/>
    <x v="10"/>
    <n v="9219138000584"/>
    <x v="117"/>
    <x v="0"/>
    <x v="0"/>
    <n v="73"/>
    <x v="1"/>
    <x v="4"/>
    <n v="24"/>
    <n v="6"/>
  </r>
  <r>
    <n v="2019"/>
    <n v="9"/>
    <x v="0"/>
    <x v="2"/>
    <x v="0"/>
    <s v="2019/2020"/>
    <b v="1"/>
    <b v="1"/>
    <b v="0"/>
    <x v="2"/>
    <n v="9219138000584"/>
    <x v="117"/>
    <x v="0"/>
    <x v="0"/>
    <n v="73"/>
    <x v="1"/>
    <x v="4"/>
    <n v="28"/>
    <n v="7"/>
  </r>
  <r>
    <n v="2019"/>
    <n v="9"/>
    <x v="0"/>
    <x v="2"/>
    <x v="0"/>
    <s v="2019/2020"/>
    <b v="1"/>
    <b v="1"/>
    <b v="0"/>
    <x v="2"/>
    <n v="9219138000584"/>
    <x v="117"/>
    <x v="0"/>
    <x v="0"/>
    <n v="73"/>
    <x v="1"/>
    <x v="4"/>
    <n v="88"/>
    <n v="11"/>
  </r>
  <r>
    <n v="2019"/>
    <n v="9"/>
    <x v="0"/>
    <x v="2"/>
    <x v="0"/>
    <s v="2019/2020"/>
    <b v="1"/>
    <b v="1"/>
    <b v="0"/>
    <x v="17"/>
    <n v="9528436000122"/>
    <x v="472"/>
    <x v="109"/>
    <x v="3"/>
    <n v="70"/>
    <x v="0"/>
    <x v="0"/>
    <n v="150"/>
    <n v="30"/>
  </r>
  <r>
    <n v="2019"/>
    <n v="9"/>
    <x v="0"/>
    <x v="2"/>
    <x v="0"/>
    <s v="2019/2020"/>
    <b v="1"/>
    <b v="1"/>
    <b v="0"/>
    <x v="6"/>
    <n v="10323381000101"/>
    <x v="123"/>
    <x v="3"/>
    <x v="3"/>
    <n v="73"/>
    <x v="1"/>
    <x v="2"/>
    <n v="6"/>
    <n v="3"/>
  </r>
  <r>
    <n v="2019"/>
    <n v="9"/>
    <x v="0"/>
    <x v="2"/>
    <x v="0"/>
    <s v="2019/2020"/>
    <b v="1"/>
    <b v="1"/>
    <b v="0"/>
    <x v="17"/>
    <n v="10447300000177"/>
    <x v="124"/>
    <x v="48"/>
    <x v="3"/>
    <n v="73"/>
    <x v="1"/>
    <x v="1"/>
    <n v="4"/>
    <n v="2"/>
  </r>
  <r>
    <n v="2019"/>
    <n v="9"/>
    <x v="0"/>
    <x v="2"/>
    <x v="0"/>
    <s v="2019/2020"/>
    <b v="1"/>
    <b v="1"/>
    <b v="0"/>
    <x v="6"/>
    <n v="10468341000140"/>
    <x v="125"/>
    <x v="3"/>
    <x v="3"/>
    <n v="70"/>
    <x v="0"/>
    <x v="0"/>
    <n v="85"/>
    <n v="17"/>
  </r>
  <r>
    <n v="2019"/>
    <n v="9"/>
    <x v="0"/>
    <x v="2"/>
    <x v="0"/>
    <s v="2019/2020"/>
    <b v="1"/>
    <b v="1"/>
    <b v="0"/>
    <x v="6"/>
    <n v="10468341000140"/>
    <x v="125"/>
    <x v="3"/>
    <x v="3"/>
    <n v="70"/>
    <x v="0"/>
    <x v="0"/>
    <n v="220"/>
    <n v="44"/>
  </r>
  <r>
    <n v="2019"/>
    <n v="9"/>
    <x v="0"/>
    <x v="2"/>
    <x v="0"/>
    <s v="2019/2020"/>
    <b v="1"/>
    <b v="1"/>
    <b v="0"/>
    <x v="6"/>
    <n v="10468341000220"/>
    <x v="126"/>
    <x v="3"/>
    <x v="3"/>
    <n v="70"/>
    <x v="0"/>
    <x v="0"/>
    <n v="115"/>
    <n v="23"/>
  </r>
  <r>
    <n v="2019"/>
    <n v="9"/>
    <x v="0"/>
    <x v="2"/>
    <x v="0"/>
    <s v="2019/2020"/>
    <b v="1"/>
    <b v="1"/>
    <b v="0"/>
    <x v="6"/>
    <n v="10468341000220"/>
    <x v="126"/>
    <x v="3"/>
    <x v="3"/>
    <n v="70"/>
    <x v="0"/>
    <x v="0"/>
    <n v="690"/>
    <n v="138"/>
  </r>
  <r>
    <n v="2019"/>
    <n v="9"/>
    <x v="0"/>
    <x v="2"/>
    <x v="0"/>
    <s v="2019/2020"/>
    <b v="1"/>
    <b v="1"/>
    <b v="0"/>
    <x v="6"/>
    <n v="10468341000220"/>
    <x v="126"/>
    <x v="3"/>
    <x v="3"/>
    <n v="73"/>
    <x v="1"/>
    <x v="4"/>
    <n v="12"/>
    <n v="3"/>
  </r>
  <r>
    <n v="2019"/>
    <n v="9"/>
    <x v="0"/>
    <x v="2"/>
    <x v="0"/>
    <s v="2019/2020"/>
    <b v="1"/>
    <b v="1"/>
    <b v="0"/>
    <x v="6"/>
    <n v="10468341000220"/>
    <x v="126"/>
    <x v="3"/>
    <x v="3"/>
    <n v="73"/>
    <x v="1"/>
    <x v="4"/>
    <n v="24"/>
    <n v="6"/>
  </r>
  <r>
    <n v="2019"/>
    <n v="9"/>
    <x v="0"/>
    <x v="2"/>
    <x v="0"/>
    <s v="2019/2020"/>
    <b v="1"/>
    <b v="1"/>
    <b v="0"/>
    <x v="11"/>
    <n v="10475230000160"/>
    <x v="127"/>
    <x v="3"/>
    <x v="3"/>
    <n v="70"/>
    <x v="0"/>
    <x v="0"/>
    <n v="25"/>
    <n v="5"/>
  </r>
  <r>
    <n v="2019"/>
    <n v="9"/>
    <x v="0"/>
    <x v="2"/>
    <x v="0"/>
    <s v="2019/2020"/>
    <b v="1"/>
    <b v="1"/>
    <b v="0"/>
    <x v="10"/>
    <n v="10558548000105"/>
    <x v="473"/>
    <x v="126"/>
    <x v="0"/>
    <n v="66"/>
    <x v="2"/>
    <x v="3"/>
    <n v="3"/>
    <n v="3"/>
  </r>
  <r>
    <n v="2019"/>
    <n v="9"/>
    <x v="0"/>
    <x v="2"/>
    <x v="0"/>
    <s v="2019/2020"/>
    <b v="1"/>
    <b v="1"/>
    <b v="0"/>
    <x v="12"/>
    <n v="10562003000172"/>
    <x v="474"/>
    <x v="114"/>
    <x v="0"/>
    <n v="70"/>
    <x v="0"/>
    <x v="0"/>
    <n v="175"/>
    <n v="35"/>
  </r>
  <r>
    <n v="2019"/>
    <n v="9"/>
    <x v="0"/>
    <x v="2"/>
    <x v="0"/>
    <s v="2019/2020"/>
    <b v="1"/>
    <b v="1"/>
    <b v="0"/>
    <x v="12"/>
    <n v="10576443000189"/>
    <x v="374"/>
    <x v="26"/>
    <x v="3"/>
    <n v="70"/>
    <x v="0"/>
    <x v="0"/>
    <n v="160"/>
    <n v="32"/>
  </r>
  <r>
    <n v="2019"/>
    <n v="9"/>
    <x v="0"/>
    <x v="2"/>
    <x v="0"/>
    <s v="2019/2020"/>
    <b v="1"/>
    <b v="1"/>
    <b v="0"/>
    <x v="5"/>
    <n v="10586940000168"/>
    <x v="475"/>
    <x v="66"/>
    <x v="13"/>
    <n v="62"/>
    <x v="3"/>
    <x v="5"/>
    <n v="10"/>
    <n v="10"/>
  </r>
  <r>
    <n v="2019"/>
    <n v="9"/>
    <x v="0"/>
    <x v="2"/>
    <x v="0"/>
    <s v="2019/2020"/>
    <b v="1"/>
    <b v="1"/>
    <b v="0"/>
    <x v="5"/>
    <n v="10586940000168"/>
    <x v="475"/>
    <x v="66"/>
    <x v="13"/>
    <n v="64"/>
    <x v="4"/>
    <x v="6"/>
    <n v="2"/>
    <n v="2"/>
  </r>
  <r>
    <n v="2019"/>
    <n v="9"/>
    <x v="0"/>
    <x v="2"/>
    <x v="0"/>
    <s v="2019/2020"/>
    <b v="1"/>
    <b v="1"/>
    <b v="0"/>
    <x v="5"/>
    <n v="10586940000168"/>
    <x v="475"/>
    <x v="66"/>
    <x v="13"/>
    <n v="64"/>
    <x v="4"/>
    <x v="6"/>
    <n v="10"/>
    <n v="10"/>
  </r>
  <r>
    <n v="2019"/>
    <n v="9"/>
    <x v="0"/>
    <x v="2"/>
    <x v="0"/>
    <s v="2019/2020"/>
    <b v="1"/>
    <b v="1"/>
    <b v="0"/>
    <x v="5"/>
    <n v="10586940000168"/>
    <x v="475"/>
    <x v="66"/>
    <x v="13"/>
    <n v="64"/>
    <x v="4"/>
    <x v="6"/>
    <n v="13"/>
    <n v="13"/>
  </r>
  <r>
    <n v="2019"/>
    <n v="9"/>
    <x v="0"/>
    <x v="2"/>
    <x v="0"/>
    <s v="2019/2020"/>
    <b v="1"/>
    <b v="1"/>
    <b v="0"/>
    <x v="5"/>
    <n v="10586940000168"/>
    <x v="475"/>
    <x v="66"/>
    <x v="13"/>
    <n v="70"/>
    <x v="0"/>
    <x v="0"/>
    <n v="150"/>
    <n v="30"/>
  </r>
  <r>
    <n v="2019"/>
    <n v="9"/>
    <x v="0"/>
    <x v="2"/>
    <x v="0"/>
    <s v="2019/2020"/>
    <b v="1"/>
    <b v="1"/>
    <b v="0"/>
    <x v="5"/>
    <n v="10586940000168"/>
    <x v="475"/>
    <x v="66"/>
    <x v="13"/>
    <n v="70"/>
    <x v="0"/>
    <x v="0"/>
    <n v="1000"/>
    <n v="200"/>
  </r>
  <r>
    <n v="2019"/>
    <n v="9"/>
    <x v="0"/>
    <x v="2"/>
    <x v="0"/>
    <s v="2019/2020"/>
    <b v="1"/>
    <b v="1"/>
    <b v="0"/>
    <x v="5"/>
    <n v="10586940000168"/>
    <x v="475"/>
    <x v="66"/>
    <x v="13"/>
    <n v="73"/>
    <x v="1"/>
    <x v="2"/>
    <n v="4"/>
    <n v="4"/>
  </r>
  <r>
    <n v="2019"/>
    <n v="9"/>
    <x v="0"/>
    <x v="2"/>
    <x v="0"/>
    <s v="2019/2020"/>
    <b v="1"/>
    <b v="1"/>
    <b v="0"/>
    <x v="5"/>
    <n v="10586940000168"/>
    <x v="475"/>
    <x v="66"/>
    <x v="13"/>
    <n v="73"/>
    <x v="1"/>
    <x v="4"/>
    <n v="24"/>
    <n v="6"/>
  </r>
  <r>
    <n v="2019"/>
    <n v="9"/>
    <x v="0"/>
    <x v="2"/>
    <x v="0"/>
    <s v="2019/2020"/>
    <b v="1"/>
    <b v="1"/>
    <b v="0"/>
    <x v="5"/>
    <n v="10586940000168"/>
    <x v="475"/>
    <x v="66"/>
    <x v="13"/>
    <n v="73"/>
    <x v="1"/>
    <x v="1"/>
    <n v="20"/>
    <n v="10"/>
  </r>
  <r>
    <n v="2019"/>
    <n v="9"/>
    <x v="0"/>
    <x v="2"/>
    <x v="0"/>
    <s v="2019/2020"/>
    <b v="1"/>
    <b v="1"/>
    <b v="0"/>
    <x v="5"/>
    <n v="10586940000168"/>
    <x v="475"/>
    <x v="66"/>
    <x v="13"/>
    <n v="73"/>
    <x v="1"/>
    <x v="4"/>
    <n v="40"/>
    <n v="10"/>
  </r>
  <r>
    <n v="2019"/>
    <n v="9"/>
    <x v="0"/>
    <x v="2"/>
    <x v="0"/>
    <s v="2019/2020"/>
    <b v="1"/>
    <b v="1"/>
    <b v="0"/>
    <x v="5"/>
    <n v="10586940000168"/>
    <x v="475"/>
    <x v="66"/>
    <x v="13"/>
    <n v="73"/>
    <x v="1"/>
    <x v="2"/>
    <n v="10"/>
    <n v="10"/>
  </r>
  <r>
    <n v="2019"/>
    <n v="9"/>
    <x v="0"/>
    <x v="2"/>
    <x v="0"/>
    <s v="2019/2020"/>
    <b v="1"/>
    <b v="1"/>
    <b v="0"/>
    <x v="4"/>
    <n v="10839561000132"/>
    <x v="129"/>
    <x v="24"/>
    <x v="15"/>
    <n v="62"/>
    <x v="3"/>
    <x v="5"/>
    <n v="6"/>
    <n v="6"/>
  </r>
  <r>
    <n v="2019"/>
    <n v="9"/>
    <x v="0"/>
    <x v="2"/>
    <x v="0"/>
    <s v="2019/2020"/>
    <b v="1"/>
    <b v="1"/>
    <b v="0"/>
    <x v="4"/>
    <n v="10839561000132"/>
    <x v="129"/>
    <x v="24"/>
    <x v="15"/>
    <n v="73"/>
    <x v="1"/>
    <x v="4"/>
    <n v="12"/>
    <n v="3"/>
  </r>
  <r>
    <n v="2019"/>
    <n v="9"/>
    <x v="0"/>
    <x v="2"/>
    <x v="0"/>
    <s v="2019/2020"/>
    <b v="1"/>
    <b v="1"/>
    <b v="0"/>
    <x v="4"/>
    <n v="10839561000132"/>
    <x v="129"/>
    <x v="24"/>
    <x v="15"/>
    <n v="73"/>
    <x v="1"/>
    <x v="4"/>
    <n v="16"/>
    <n v="4"/>
  </r>
  <r>
    <n v="2019"/>
    <n v="9"/>
    <x v="0"/>
    <x v="2"/>
    <x v="0"/>
    <s v="2019/2020"/>
    <b v="1"/>
    <b v="1"/>
    <b v="0"/>
    <x v="7"/>
    <n v="10868295000176"/>
    <x v="375"/>
    <x v="70"/>
    <x v="3"/>
    <n v="70"/>
    <x v="0"/>
    <x v="0"/>
    <n v="120"/>
    <n v="8"/>
  </r>
  <r>
    <n v="2019"/>
    <n v="9"/>
    <x v="0"/>
    <x v="2"/>
    <x v="0"/>
    <s v="2019/2020"/>
    <b v="1"/>
    <b v="1"/>
    <b v="0"/>
    <x v="11"/>
    <n v="10892164000124"/>
    <x v="130"/>
    <x v="24"/>
    <x v="15"/>
    <n v="64"/>
    <x v="4"/>
    <x v="6"/>
    <n v="10"/>
    <n v="10"/>
  </r>
  <r>
    <n v="2019"/>
    <n v="9"/>
    <x v="0"/>
    <x v="2"/>
    <x v="0"/>
    <s v="2019/2020"/>
    <b v="1"/>
    <b v="1"/>
    <b v="0"/>
    <x v="7"/>
    <n v="10892164000124"/>
    <x v="130"/>
    <x v="24"/>
    <x v="15"/>
    <n v="73"/>
    <x v="1"/>
    <x v="4"/>
    <n v="40"/>
    <n v="10"/>
  </r>
  <r>
    <n v="2019"/>
    <n v="9"/>
    <x v="0"/>
    <x v="2"/>
    <x v="0"/>
    <s v="2019/2020"/>
    <b v="1"/>
    <b v="1"/>
    <b v="0"/>
    <x v="8"/>
    <n v="10942995000163"/>
    <x v="376"/>
    <x v="4"/>
    <x v="4"/>
    <n v="70"/>
    <x v="0"/>
    <x v="0"/>
    <n v="150"/>
    <n v="30"/>
  </r>
  <r>
    <n v="2019"/>
    <n v="9"/>
    <x v="0"/>
    <x v="2"/>
    <x v="0"/>
    <s v="2019/2020"/>
    <b v="1"/>
    <b v="1"/>
    <b v="0"/>
    <x v="8"/>
    <n v="10942995000163"/>
    <x v="376"/>
    <x v="4"/>
    <x v="4"/>
    <n v="70"/>
    <x v="0"/>
    <x v="0"/>
    <n v="350"/>
    <n v="70"/>
  </r>
  <r>
    <n v="2019"/>
    <n v="9"/>
    <x v="0"/>
    <x v="2"/>
    <x v="0"/>
    <s v="2019/2020"/>
    <b v="1"/>
    <b v="1"/>
    <b v="0"/>
    <x v="5"/>
    <n v="10942995000163"/>
    <x v="376"/>
    <x v="4"/>
    <x v="4"/>
    <n v="73"/>
    <x v="1"/>
    <x v="4"/>
    <n v="160"/>
    <n v="20"/>
  </r>
  <r>
    <n v="2019"/>
    <n v="9"/>
    <x v="0"/>
    <x v="2"/>
    <x v="0"/>
    <s v="2019/2020"/>
    <b v="1"/>
    <b v="1"/>
    <b v="0"/>
    <x v="1"/>
    <n v="11006293000130"/>
    <x v="132"/>
    <x v="25"/>
    <x v="16"/>
    <n v="70"/>
    <x v="0"/>
    <x v="0"/>
    <n v="200"/>
    <n v="40"/>
  </r>
  <r>
    <n v="2019"/>
    <n v="9"/>
    <x v="0"/>
    <x v="2"/>
    <x v="0"/>
    <s v="2019/2020"/>
    <b v="1"/>
    <b v="1"/>
    <b v="0"/>
    <x v="1"/>
    <n v="11006293000130"/>
    <x v="132"/>
    <x v="25"/>
    <x v="16"/>
    <n v="70"/>
    <x v="0"/>
    <x v="0"/>
    <n v="250"/>
    <n v="50"/>
  </r>
  <r>
    <n v="2019"/>
    <n v="9"/>
    <x v="0"/>
    <x v="2"/>
    <x v="0"/>
    <s v="2019/2020"/>
    <b v="1"/>
    <b v="1"/>
    <b v="0"/>
    <x v="5"/>
    <n v="11022597001597"/>
    <x v="377"/>
    <x v="24"/>
    <x v="15"/>
    <n v="64"/>
    <x v="4"/>
    <x v="6"/>
    <n v="25"/>
    <n v="25"/>
  </r>
  <r>
    <n v="2019"/>
    <n v="9"/>
    <x v="0"/>
    <x v="2"/>
    <x v="0"/>
    <s v="2019/2020"/>
    <b v="1"/>
    <b v="1"/>
    <b v="0"/>
    <x v="4"/>
    <n v="11214624000470"/>
    <x v="379"/>
    <x v="24"/>
    <x v="15"/>
    <n v="70"/>
    <x v="0"/>
    <x v="0"/>
    <n v="50"/>
    <n v="10"/>
  </r>
  <r>
    <n v="2019"/>
    <n v="9"/>
    <x v="0"/>
    <x v="2"/>
    <x v="0"/>
    <s v="2019/2020"/>
    <b v="1"/>
    <b v="1"/>
    <b v="0"/>
    <x v="2"/>
    <n v="11214624001957"/>
    <x v="476"/>
    <x v="24"/>
    <x v="15"/>
    <n v="64"/>
    <x v="4"/>
    <x v="6"/>
    <n v="6"/>
    <n v="6"/>
  </r>
  <r>
    <n v="2019"/>
    <n v="9"/>
    <x v="0"/>
    <x v="2"/>
    <x v="0"/>
    <s v="2019/2020"/>
    <b v="1"/>
    <b v="1"/>
    <b v="0"/>
    <x v="2"/>
    <n v="11452240000143"/>
    <x v="134"/>
    <x v="24"/>
    <x v="15"/>
    <n v="62"/>
    <x v="3"/>
    <x v="5"/>
    <n v="1"/>
    <n v="1"/>
  </r>
  <r>
    <n v="2019"/>
    <n v="9"/>
    <x v="0"/>
    <x v="2"/>
    <x v="0"/>
    <s v="2019/2020"/>
    <b v="1"/>
    <b v="1"/>
    <b v="0"/>
    <x v="2"/>
    <n v="11452240000143"/>
    <x v="134"/>
    <x v="24"/>
    <x v="15"/>
    <n v="62"/>
    <x v="3"/>
    <x v="5"/>
    <n v="3"/>
    <n v="3"/>
  </r>
  <r>
    <n v="2019"/>
    <n v="9"/>
    <x v="0"/>
    <x v="2"/>
    <x v="0"/>
    <s v="2019/2020"/>
    <b v="1"/>
    <b v="1"/>
    <b v="0"/>
    <x v="2"/>
    <n v="11794674000121"/>
    <x v="381"/>
    <x v="32"/>
    <x v="18"/>
    <n v="62"/>
    <x v="3"/>
    <x v="5"/>
    <n v="4"/>
    <n v="4"/>
  </r>
  <r>
    <n v="2019"/>
    <n v="9"/>
    <x v="0"/>
    <x v="2"/>
    <x v="0"/>
    <s v="2019/2020"/>
    <b v="1"/>
    <b v="1"/>
    <b v="0"/>
    <x v="8"/>
    <n v="11794674000121"/>
    <x v="381"/>
    <x v="32"/>
    <x v="18"/>
    <n v="70"/>
    <x v="0"/>
    <x v="0"/>
    <n v="55"/>
    <n v="11"/>
  </r>
  <r>
    <n v="2019"/>
    <n v="9"/>
    <x v="0"/>
    <x v="2"/>
    <x v="0"/>
    <s v="2019/2020"/>
    <b v="1"/>
    <b v="1"/>
    <b v="0"/>
    <x v="8"/>
    <n v="11794674000121"/>
    <x v="381"/>
    <x v="32"/>
    <x v="18"/>
    <n v="70"/>
    <x v="0"/>
    <x v="0"/>
    <n v="125"/>
    <n v="25"/>
  </r>
  <r>
    <n v="2019"/>
    <n v="9"/>
    <x v="0"/>
    <x v="2"/>
    <x v="0"/>
    <s v="2019/2020"/>
    <b v="1"/>
    <b v="1"/>
    <b v="0"/>
    <x v="8"/>
    <n v="11859927000106"/>
    <x v="135"/>
    <x v="4"/>
    <x v="4"/>
    <n v="73"/>
    <x v="1"/>
    <x v="2"/>
    <n v="15"/>
    <n v="5"/>
  </r>
  <r>
    <n v="2019"/>
    <n v="9"/>
    <x v="0"/>
    <x v="2"/>
    <x v="0"/>
    <s v="2019/2020"/>
    <b v="1"/>
    <b v="1"/>
    <b v="0"/>
    <x v="8"/>
    <n v="11859927000106"/>
    <x v="135"/>
    <x v="4"/>
    <x v="4"/>
    <n v="73"/>
    <x v="1"/>
    <x v="1"/>
    <n v="24"/>
    <n v="6"/>
  </r>
  <r>
    <n v="2019"/>
    <n v="9"/>
    <x v="0"/>
    <x v="2"/>
    <x v="0"/>
    <s v="2019/2020"/>
    <b v="1"/>
    <b v="1"/>
    <b v="0"/>
    <x v="8"/>
    <n v="11859927000106"/>
    <x v="135"/>
    <x v="4"/>
    <x v="4"/>
    <n v="73"/>
    <x v="1"/>
    <x v="2"/>
    <n v="6"/>
    <n v="6"/>
  </r>
  <r>
    <n v="2019"/>
    <n v="9"/>
    <x v="0"/>
    <x v="2"/>
    <x v="0"/>
    <s v="2019/2020"/>
    <b v="1"/>
    <b v="1"/>
    <b v="0"/>
    <x v="9"/>
    <n v="12361267000274"/>
    <x v="383"/>
    <x v="1"/>
    <x v="1"/>
    <n v="64"/>
    <x v="4"/>
    <x v="6"/>
    <n v="4"/>
    <n v="4"/>
  </r>
  <r>
    <n v="2019"/>
    <n v="9"/>
    <x v="0"/>
    <x v="2"/>
    <x v="0"/>
    <s v="2019/2020"/>
    <b v="1"/>
    <b v="1"/>
    <b v="0"/>
    <x v="9"/>
    <n v="12361267000517"/>
    <x v="136"/>
    <x v="49"/>
    <x v="21"/>
    <n v="64"/>
    <x v="4"/>
    <x v="6"/>
    <n v="2"/>
    <n v="2"/>
  </r>
  <r>
    <n v="2019"/>
    <n v="9"/>
    <x v="0"/>
    <x v="2"/>
    <x v="0"/>
    <s v="2019/2020"/>
    <b v="1"/>
    <b v="1"/>
    <b v="0"/>
    <x v="9"/>
    <n v="12361267000789"/>
    <x v="477"/>
    <x v="25"/>
    <x v="16"/>
    <n v="64"/>
    <x v="4"/>
    <x v="6"/>
    <n v="2"/>
    <n v="2"/>
  </r>
  <r>
    <n v="2019"/>
    <n v="9"/>
    <x v="0"/>
    <x v="2"/>
    <x v="0"/>
    <s v="2019/2020"/>
    <b v="1"/>
    <b v="1"/>
    <b v="0"/>
    <x v="9"/>
    <n v="12361267000860"/>
    <x v="478"/>
    <x v="19"/>
    <x v="14"/>
    <n v="64"/>
    <x v="4"/>
    <x v="6"/>
    <n v="2"/>
    <n v="2"/>
  </r>
  <r>
    <n v="2019"/>
    <n v="9"/>
    <x v="0"/>
    <x v="2"/>
    <x v="0"/>
    <s v="2019/2020"/>
    <b v="1"/>
    <b v="1"/>
    <b v="0"/>
    <x v="9"/>
    <n v="12361267004008"/>
    <x v="479"/>
    <x v="40"/>
    <x v="20"/>
    <n v="64"/>
    <x v="4"/>
    <x v="6"/>
    <n v="2"/>
    <n v="2"/>
  </r>
  <r>
    <n v="2019"/>
    <n v="9"/>
    <x v="0"/>
    <x v="2"/>
    <x v="0"/>
    <s v="2019/2020"/>
    <b v="1"/>
    <b v="1"/>
    <b v="0"/>
    <x v="4"/>
    <n v="12361267007287"/>
    <x v="385"/>
    <x v="24"/>
    <x v="15"/>
    <n v="62"/>
    <x v="3"/>
    <x v="5"/>
    <n v="16"/>
    <n v="8"/>
  </r>
  <r>
    <n v="2019"/>
    <n v="9"/>
    <x v="0"/>
    <x v="2"/>
    <x v="0"/>
    <s v="2019/2020"/>
    <b v="1"/>
    <b v="1"/>
    <b v="0"/>
    <x v="9"/>
    <n v="12361267007287"/>
    <x v="385"/>
    <x v="24"/>
    <x v="15"/>
    <n v="64"/>
    <x v="4"/>
    <x v="6"/>
    <n v="8"/>
    <n v="8"/>
  </r>
  <r>
    <n v="2019"/>
    <n v="9"/>
    <x v="0"/>
    <x v="2"/>
    <x v="0"/>
    <s v="2019/2020"/>
    <b v="1"/>
    <b v="1"/>
    <b v="0"/>
    <x v="9"/>
    <n v="12361267008410"/>
    <x v="480"/>
    <x v="127"/>
    <x v="18"/>
    <n v="64"/>
    <x v="4"/>
    <x v="6"/>
    <n v="2"/>
    <n v="2"/>
  </r>
  <r>
    <n v="2019"/>
    <n v="9"/>
    <x v="0"/>
    <x v="2"/>
    <x v="0"/>
    <s v="2019/2020"/>
    <b v="1"/>
    <b v="1"/>
    <b v="0"/>
    <x v="4"/>
    <n v="12361267008844"/>
    <x v="481"/>
    <x v="128"/>
    <x v="5"/>
    <n v="62"/>
    <x v="3"/>
    <x v="5"/>
    <n v="2"/>
    <n v="2"/>
  </r>
  <r>
    <n v="2019"/>
    <n v="9"/>
    <x v="0"/>
    <x v="2"/>
    <x v="0"/>
    <s v="2019/2020"/>
    <b v="1"/>
    <b v="1"/>
    <b v="0"/>
    <x v="9"/>
    <n v="12361267008844"/>
    <x v="481"/>
    <x v="128"/>
    <x v="5"/>
    <n v="64"/>
    <x v="4"/>
    <x v="6"/>
    <n v="2"/>
    <n v="2"/>
  </r>
  <r>
    <n v="2019"/>
    <n v="9"/>
    <x v="0"/>
    <x v="2"/>
    <x v="0"/>
    <s v="2019/2020"/>
    <b v="1"/>
    <b v="1"/>
    <b v="0"/>
    <x v="9"/>
    <n v="12361267009140"/>
    <x v="137"/>
    <x v="50"/>
    <x v="8"/>
    <n v="70"/>
    <x v="0"/>
    <x v="0"/>
    <n v="5"/>
    <n v="1"/>
  </r>
  <r>
    <n v="2019"/>
    <n v="9"/>
    <x v="0"/>
    <x v="2"/>
    <x v="0"/>
    <s v="2019/2020"/>
    <b v="1"/>
    <b v="1"/>
    <b v="0"/>
    <x v="4"/>
    <n v="12361267009654"/>
    <x v="386"/>
    <x v="10"/>
    <x v="8"/>
    <n v="62"/>
    <x v="3"/>
    <x v="5"/>
    <n v="2"/>
    <n v="2"/>
  </r>
  <r>
    <n v="2019"/>
    <n v="9"/>
    <x v="0"/>
    <x v="2"/>
    <x v="0"/>
    <s v="2019/2020"/>
    <b v="1"/>
    <b v="1"/>
    <b v="0"/>
    <x v="9"/>
    <n v="12361267009654"/>
    <x v="386"/>
    <x v="10"/>
    <x v="8"/>
    <n v="64"/>
    <x v="4"/>
    <x v="6"/>
    <n v="2"/>
    <n v="2"/>
  </r>
  <r>
    <n v="2019"/>
    <n v="9"/>
    <x v="0"/>
    <x v="2"/>
    <x v="0"/>
    <s v="2019/2020"/>
    <b v="1"/>
    <b v="1"/>
    <b v="0"/>
    <x v="4"/>
    <n v="12361267010318"/>
    <x v="138"/>
    <x v="31"/>
    <x v="17"/>
    <n v="62"/>
    <x v="3"/>
    <x v="5"/>
    <n v="2"/>
    <n v="2"/>
  </r>
  <r>
    <n v="2019"/>
    <n v="9"/>
    <x v="0"/>
    <x v="2"/>
    <x v="0"/>
    <s v="2019/2020"/>
    <b v="1"/>
    <b v="1"/>
    <b v="0"/>
    <x v="24"/>
    <n v="12361267010318"/>
    <x v="138"/>
    <x v="31"/>
    <x v="17"/>
    <n v="62"/>
    <x v="3"/>
    <x v="5"/>
    <n v="1"/>
    <n v="1"/>
  </r>
  <r>
    <n v="2019"/>
    <n v="9"/>
    <x v="0"/>
    <x v="2"/>
    <x v="0"/>
    <s v="2019/2020"/>
    <b v="1"/>
    <b v="1"/>
    <b v="0"/>
    <x v="24"/>
    <n v="12361267010318"/>
    <x v="138"/>
    <x v="31"/>
    <x v="17"/>
    <n v="62"/>
    <x v="3"/>
    <x v="5"/>
    <n v="2"/>
    <n v="2"/>
  </r>
  <r>
    <n v="2019"/>
    <n v="9"/>
    <x v="0"/>
    <x v="2"/>
    <x v="0"/>
    <s v="2019/2020"/>
    <b v="1"/>
    <b v="1"/>
    <b v="0"/>
    <x v="9"/>
    <n v="12361267010318"/>
    <x v="138"/>
    <x v="31"/>
    <x v="17"/>
    <n v="64"/>
    <x v="4"/>
    <x v="6"/>
    <n v="2"/>
    <n v="2"/>
  </r>
  <r>
    <n v="2019"/>
    <n v="9"/>
    <x v="0"/>
    <x v="2"/>
    <x v="0"/>
    <s v="2019/2020"/>
    <b v="1"/>
    <b v="1"/>
    <b v="0"/>
    <x v="9"/>
    <n v="12361267010407"/>
    <x v="387"/>
    <x v="53"/>
    <x v="17"/>
    <n v="64"/>
    <x v="4"/>
    <x v="6"/>
    <n v="2"/>
    <n v="2"/>
  </r>
  <r>
    <n v="2019"/>
    <n v="9"/>
    <x v="0"/>
    <x v="2"/>
    <x v="0"/>
    <s v="2019/2020"/>
    <b v="1"/>
    <b v="1"/>
    <b v="0"/>
    <x v="4"/>
    <n v="12361267011632"/>
    <x v="139"/>
    <x v="51"/>
    <x v="22"/>
    <n v="62"/>
    <x v="3"/>
    <x v="5"/>
    <n v="4"/>
    <n v="4"/>
  </r>
  <r>
    <n v="2019"/>
    <n v="9"/>
    <x v="0"/>
    <x v="2"/>
    <x v="0"/>
    <s v="2019/2020"/>
    <b v="1"/>
    <b v="1"/>
    <b v="0"/>
    <x v="9"/>
    <n v="12361267011632"/>
    <x v="139"/>
    <x v="51"/>
    <x v="22"/>
    <n v="64"/>
    <x v="4"/>
    <x v="6"/>
    <n v="2"/>
    <n v="2"/>
  </r>
  <r>
    <n v="2019"/>
    <n v="9"/>
    <x v="0"/>
    <x v="2"/>
    <x v="0"/>
    <s v="2019/2020"/>
    <b v="1"/>
    <b v="1"/>
    <b v="0"/>
    <x v="4"/>
    <n v="12361267011802"/>
    <x v="140"/>
    <x v="32"/>
    <x v="18"/>
    <n v="62"/>
    <x v="3"/>
    <x v="5"/>
    <n v="2"/>
    <n v="2"/>
  </r>
  <r>
    <n v="2019"/>
    <n v="9"/>
    <x v="0"/>
    <x v="2"/>
    <x v="0"/>
    <s v="2019/2020"/>
    <b v="1"/>
    <b v="1"/>
    <b v="0"/>
    <x v="9"/>
    <n v="12361267011802"/>
    <x v="140"/>
    <x v="32"/>
    <x v="18"/>
    <n v="64"/>
    <x v="4"/>
    <x v="6"/>
    <n v="4"/>
    <n v="4"/>
  </r>
  <r>
    <n v="2019"/>
    <n v="9"/>
    <x v="0"/>
    <x v="2"/>
    <x v="0"/>
    <s v="2019/2020"/>
    <b v="1"/>
    <b v="1"/>
    <b v="0"/>
    <x v="11"/>
    <n v="12361267014739"/>
    <x v="482"/>
    <x v="31"/>
    <x v="17"/>
    <n v="64"/>
    <x v="4"/>
    <x v="6"/>
    <n v="3"/>
    <n v="3"/>
  </r>
  <r>
    <n v="2019"/>
    <n v="9"/>
    <x v="0"/>
    <x v="2"/>
    <x v="0"/>
    <s v="2019/2020"/>
    <b v="1"/>
    <b v="1"/>
    <b v="0"/>
    <x v="4"/>
    <n v="12442737000496"/>
    <x v="141"/>
    <x v="19"/>
    <x v="14"/>
    <n v="62"/>
    <x v="3"/>
    <x v="5"/>
    <n v="2"/>
    <n v="2"/>
  </r>
  <r>
    <n v="2019"/>
    <n v="9"/>
    <x v="0"/>
    <x v="2"/>
    <x v="0"/>
    <s v="2019/2020"/>
    <b v="1"/>
    <b v="1"/>
    <b v="0"/>
    <x v="5"/>
    <n v="12474705000120"/>
    <x v="483"/>
    <x v="129"/>
    <x v="3"/>
    <n v="70"/>
    <x v="0"/>
    <x v="8"/>
    <n v="125"/>
    <n v="50"/>
  </r>
  <r>
    <n v="2019"/>
    <n v="9"/>
    <x v="0"/>
    <x v="2"/>
    <x v="0"/>
    <s v="2019/2020"/>
    <b v="1"/>
    <b v="1"/>
    <b v="0"/>
    <x v="4"/>
    <n v="12508728000108"/>
    <x v="388"/>
    <x v="47"/>
    <x v="11"/>
    <n v="70"/>
    <x v="0"/>
    <x v="0"/>
    <n v="20"/>
    <n v="4"/>
  </r>
  <r>
    <n v="2019"/>
    <n v="9"/>
    <x v="0"/>
    <x v="2"/>
    <x v="0"/>
    <s v="2019/2020"/>
    <b v="1"/>
    <b v="1"/>
    <b v="0"/>
    <x v="9"/>
    <n v="12568570000161"/>
    <x v="142"/>
    <x v="32"/>
    <x v="18"/>
    <n v="70"/>
    <x v="0"/>
    <x v="0"/>
    <n v="-5"/>
    <n v="-1"/>
  </r>
  <r>
    <n v="2019"/>
    <n v="9"/>
    <x v="0"/>
    <x v="2"/>
    <x v="0"/>
    <s v="2019/2020"/>
    <b v="1"/>
    <b v="1"/>
    <b v="0"/>
    <x v="18"/>
    <n v="13131370000100"/>
    <x v="145"/>
    <x v="49"/>
    <x v="21"/>
    <n v="70"/>
    <x v="0"/>
    <x v="0"/>
    <n v="50"/>
    <n v="10"/>
  </r>
  <r>
    <n v="2019"/>
    <n v="9"/>
    <x v="0"/>
    <x v="2"/>
    <x v="0"/>
    <s v="2019/2020"/>
    <b v="1"/>
    <b v="1"/>
    <b v="0"/>
    <x v="2"/>
    <n v="13131370000100"/>
    <x v="145"/>
    <x v="49"/>
    <x v="21"/>
    <n v="70"/>
    <x v="0"/>
    <x v="0"/>
    <n v="100"/>
    <n v="20"/>
  </r>
  <r>
    <n v="2019"/>
    <n v="9"/>
    <x v="0"/>
    <x v="2"/>
    <x v="0"/>
    <s v="2019/2020"/>
    <b v="1"/>
    <b v="1"/>
    <b v="0"/>
    <x v="2"/>
    <n v="13131370000100"/>
    <x v="145"/>
    <x v="49"/>
    <x v="21"/>
    <n v="70"/>
    <x v="0"/>
    <x v="0"/>
    <n v="150"/>
    <n v="30"/>
  </r>
  <r>
    <n v="2019"/>
    <n v="9"/>
    <x v="0"/>
    <x v="2"/>
    <x v="0"/>
    <s v="2019/2020"/>
    <b v="1"/>
    <b v="1"/>
    <b v="0"/>
    <x v="18"/>
    <n v="13131370000100"/>
    <x v="145"/>
    <x v="49"/>
    <x v="21"/>
    <n v="73"/>
    <x v="1"/>
    <x v="2"/>
    <n v="4"/>
    <n v="4"/>
  </r>
  <r>
    <n v="2019"/>
    <n v="9"/>
    <x v="0"/>
    <x v="2"/>
    <x v="0"/>
    <s v="2019/2020"/>
    <b v="1"/>
    <b v="1"/>
    <b v="0"/>
    <x v="18"/>
    <n v="13131370000100"/>
    <x v="145"/>
    <x v="49"/>
    <x v="21"/>
    <n v="73"/>
    <x v="1"/>
    <x v="4"/>
    <n v="24"/>
    <n v="6"/>
  </r>
  <r>
    <n v="2019"/>
    <n v="9"/>
    <x v="0"/>
    <x v="2"/>
    <x v="0"/>
    <s v="2019/2020"/>
    <b v="1"/>
    <b v="1"/>
    <b v="0"/>
    <x v="7"/>
    <n v="13131370000100"/>
    <x v="145"/>
    <x v="49"/>
    <x v="21"/>
    <n v="73"/>
    <x v="1"/>
    <x v="2"/>
    <n v="10"/>
    <n v="10"/>
  </r>
  <r>
    <n v="2019"/>
    <n v="9"/>
    <x v="0"/>
    <x v="2"/>
    <x v="0"/>
    <s v="2019/2020"/>
    <b v="1"/>
    <b v="1"/>
    <b v="0"/>
    <x v="17"/>
    <n v="13718999001041"/>
    <x v="149"/>
    <x v="33"/>
    <x v="3"/>
    <n v="73"/>
    <x v="1"/>
    <x v="4"/>
    <n v="8"/>
    <n v="1"/>
  </r>
  <r>
    <n v="2019"/>
    <n v="9"/>
    <x v="0"/>
    <x v="2"/>
    <x v="0"/>
    <s v="2019/2020"/>
    <b v="1"/>
    <b v="1"/>
    <b v="0"/>
    <x v="2"/>
    <n v="13952064000134"/>
    <x v="150"/>
    <x v="31"/>
    <x v="17"/>
    <n v="62"/>
    <x v="3"/>
    <x v="5"/>
    <n v="2"/>
    <n v="2"/>
  </r>
  <r>
    <n v="2019"/>
    <n v="9"/>
    <x v="0"/>
    <x v="2"/>
    <x v="0"/>
    <s v="2019/2020"/>
    <b v="1"/>
    <b v="1"/>
    <b v="0"/>
    <x v="2"/>
    <n v="13952064000134"/>
    <x v="150"/>
    <x v="31"/>
    <x v="17"/>
    <n v="62"/>
    <x v="3"/>
    <x v="5"/>
    <n v="6"/>
    <n v="6"/>
  </r>
  <r>
    <n v="2019"/>
    <n v="9"/>
    <x v="0"/>
    <x v="2"/>
    <x v="0"/>
    <s v="2019/2020"/>
    <b v="1"/>
    <b v="1"/>
    <b v="0"/>
    <x v="12"/>
    <n v="13952064000134"/>
    <x v="150"/>
    <x v="31"/>
    <x v="17"/>
    <n v="64"/>
    <x v="4"/>
    <x v="6"/>
    <n v="6"/>
    <n v="6"/>
  </r>
  <r>
    <n v="2019"/>
    <n v="9"/>
    <x v="0"/>
    <x v="2"/>
    <x v="0"/>
    <s v="2019/2020"/>
    <b v="1"/>
    <b v="1"/>
    <b v="0"/>
    <x v="3"/>
    <n v="14408631000159"/>
    <x v="152"/>
    <x v="54"/>
    <x v="2"/>
    <n v="73"/>
    <x v="1"/>
    <x v="4"/>
    <n v="8"/>
    <n v="1"/>
  </r>
  <r>
    <n v="2019"/>
    <n v="9"/>
    <x v="0"/>
    <x v="2"/>
    <x v="0"/>
    <s v="2019/2020"/>
    <b v="1"/>
    <b v="1"/>
    <b v="0"/>
    <x v="5"/>
    <n v="15126437000496"/>
    <x v="155"/>
    <x v="25"/>
    <x v="16"/>
    <n v="70"/>
    <x v="0"/>
    <x v="0"/>
    <n v="500"/>
    <n v="100"/>
  </r>
  <r>
    <n v="2019"/>
    <n v="9"/>
    <x v="0"/>
    <x v="2"/>
    <x v="0"/>
    <s v="2019/2020"/>
    <b v="1"/>
    <b v="1"/>
    <b v="0"/>
    <x v="5"/>
    <n v="15126437000739"/>
    <x v="156"/>
    <x v="10"/>
    <x v="8"/>
    <n v="64"/>
    <x v="4"/>
    <x v="6"/>
    <n v="1"/>
    <n v="1"/>
  </r>
  <r>
    <n v="2019"/>
    <n v="9"/>
    <x v="0"/>
    <x v="2"/>
    <x v="0"/>
    <s v="2019/2020"/>
    <b v="1"/>
    <b v="1"/>
    <b v="0"/>
    <x v="5"/>
    <n v="15126437000739"/>
    <x v="156"/>
    <x v="10"/>
    <x v="8"/>
    <n v="64"/>
    <x v="4"/>
    <x v="6"/>
    <n v="49"/>
    <n v="49"/>
  </r>
  <r>
    <n v="2019"/>
    <n v="9"/>
    <x v="0"/>
    <x v="2"/>
    <x v="0"/>
    <s v="2019/2020"/>
    <b v="1"/>
    <b v="1"/>
    <b v="0"/>
    <x v="9"/>
    <n v="15126437001204"/>
    <x v="484"/>
    <x v="23"/>
    <x v="12"/>
    <n v="70"/>
    <x v="0"/>
    <x v="0"/>
    <n v="750"/>
    <n v="150"/>
  </r>
  <r>
    <n v="2019"/>
    <n v="9"/>
    <x v="0"/>
    <x v="2"/>
    <x v="0"/>
    <s v="2019/2020"/>
    <b v="1"/>
    <b v="1"/>
    <b v="0"/>
    <x v="2"/>
    <n v="15153745000249"/>
    <x v="158"/>
    <x v="31"/>
    <x v="17"/>
    <n v="62"/>
    <x v="3"/>
    <x v="5"/>
    <n v="3"/>
    <n v="3"/>
  </r>
  <r>
    <n v="2019"/>
    <n v="9"/>
    <x v="0"/>
    <x v="2"/>
    <x v="0"/>
    <s v="2019/2020"/>
    <b v="1"/>
    <b v="1"/>
    <b v="0"/>
    <x v="2"/>
    <n v="15153745000249"/>
    <x v="158"/>
    <x v="31"/>
    <x v="17"/>
    <n v="62"/>
    <x v="3"/>
    <x v="5"/>
    <n v="5"/>
    <n v="5"/>
  </r>
  <r>
    <n v="2019"/>
    <n v="9"/>
    <x v="0"/>
    <x v="2"/>
    <x v="0"/>
    <s v="2019/2020"/>
    <b v="1"/>
    <b v="1"/>
    <b v="0"/>
    <x v="11"/>
    <n v="15153745000249"/>
    <x v="158"/>
    <x v="31"/>
    <x v="17"/>
    <n v="64"/>
    <x v="4"/>
    <x v="6"/>
    <n v="4"/>
    <n v="4"/>
  </r>
  <r>
    <n v="2019"/>
    <n v="9"/>
    <x v="0"/>
    <x v="2"/>
    <x v="0"/>
    <s v="2019/2020"/>
    <b v="1"/>
    <b v="1"/>
    <b v="0"/>
    <x v="11"/>
    <n v="15153745000249"/>
    <x v="158"/>
    <x v="31"/>
    <x v="17"/>
    <n v="64"/>
    <x v="4"/>
    <x v="6"/>
    <n v="5"/>
    <n v="5"/>
  </r>
  <r>
    <n v="2019"/>
    <n v="9"/>
    <x v="0"/>
    <x v="2"/>
    <x v="0"/>
    <s v="2019/2020"/>
    <b v="1"/>
    <b v="1"/>
    <b v="0"/>
    <x v="12"/>
    <n v="15153745000249"/>
    <x v="158"/>
    <x v="31"/>
    <x v="17"/>
    <n v="64"/>
    <x v="4"/>
    <x v="6"/>
    <n v="4"/>
    <n v="4"/>
  </r>
  <r>
    <n v="2019"/>
    <n v="9"/>
    <x v="0"/>
    <x v="2"/>
    <x v="0"/>
    <s v="2019/2020"/>
    <b v="1"/>
    <b v="1"/>
    <b v="0"/>
    <x v="9"/>
    <n v="15166416000151"/>
    <x v="160"/>
    <x v="31"/>
    <x v="17"/>
    <n v="62"/>
    <x v="3"/>
    <x v="5"/>
    <n v="4"/>
    <n v="1"/>
  </r>
  <r>
    <n v="2019"/>
    <n v="9"/>
    <x v="0"/>
    <x v="2"/>
    <x v="0"/>
    <s v="2019/2020"/>
    <b v="1"/>
    <b v="1"/>
    <b v="0"/>
    <x v="9"/>
    <n v="15166416000151"/>
    <x v="160"/>
    <x v="31"/>
    <x v="17"/>
    <n v="62"/>
    <x v="3"/>
    <x v="5"/>
    <n v="2"/>
    <n v="2"/>
  </r>
  <r>
    <n v="2019"/>
    <n v="9"/>
    <x v="0"/>
    <x v="2"/>
    <x v="0"/>
    <s v="2019/2020"/>
    <b v="1"/>
    <b v="1"/>
    <b v="0"/>
    <x v="9"/>
    <n v="15166416000151"/>
    <x v="160"/>
    <x v="31"/>
    <x v="17"/>
    <n v="62"/>
    <x v="3"/>
    <x v="5"/>
    <n v="4"/>
    <n v="4"/>
  </r>
  <r>
    <n v="2019"/>
    <n v="9"/>
    <x v="0"/>
    <x v="2"/>
    <x v="0"/>
    <s v="2019/2020"/>
    <b v="1"/>
    <b v="1"/>
    <b v="0"/>
    <x v="9"/>
    <n v="15166416000151"/>
    <x v="160"/>
    <x v="31"/>
    <x v="17"/>
    <n v="64"/>
    <x v="4"/>
    <x v="6"/>
    <n v="2"/>
    <n v="1"/>
  </r>
  <r>
    <n v="2019"/>
    <n v="9"/>
    <x v="0"/>
    <x v="2"/>
    <x v="0"/>
    <s v="2019/2020"/>
    <b v="1"/>
    <b v="1"/>
    <b v="0"/>
    <x v="9"/>
    <n v="15166416000151"/>
    <x v="160"/>
    <x v="31"/>
    <x v="17"/>
    <n v="64"/>
    <x v="4"/>
    <x v="6"/>
    <n v="8"/>
    <n v="4"/>
  </r>
  <r>
    <n v="2019"/>
    <n v="9"/>
    <x v="0"/>
    <x v="2"/>
    <x v="0"/>
    <s v="2019/2020"/>
    <b v="1"/>
    <b v="1"/>
    <b v="0"/>
    <x v="5"/>
    <n v="15180714000520"/>
    <x v="164"/>
    <x v="31"/>
    <x v="17"/>
    <n v="62"/>
    <x v="3"/>
    <x v="5"/>
    <n v="20"/>
    <n v="20"/>
  </r>
  <r>
    <n v="2019"/>
    <n v="9"/>
    <x v="0"/>
    <x v="2"/>
    <x v="0"/>
    <s v="2019/2020"/>
    <b v="1"/>
    <b v="1"/>
    <b v="0"/>
    <x v="12"/>
    <n v="15194004000125"/>
    <x v="165"/>
    <x v="31"/>
    <x v="17"/>
    <n v="64"/>
    <x v="4"/>
    <x v="6"/>
    <n v="4"/>
    <n v="4"/>
  </r>
  <r>
    <n v="2019"/>
    <n v="9"/>
    <x v="0"/>
    <x v="2"/>
    <x v="0"/>
    <s v="2019/2020"/>
    <b v="1"/>
    <b v="1"/>
    <b v="0"/>
    <x v="12"/>
    <n v="15194004000125"/>
    <x v="165"/>
    <x v="31"/>
    <x v="17"/>
    <n v="64"/>
    <x v="4"/>
    <x v="6"/>
    <n v="5"/>
    <n v="5"/>
  </r>
  <r>
    <n v="2019"/>
    <n v="9"/>
    <x v="0"/>
    <x v="2"/>
    <x v="0"/>
    <s v="2019/2020"/>
    <b v="1"/>
    <b v="1"/>
    <b v="0"/>
    <x v="12"/>
    <n v="15194004000125"/>
    <x v="165"/>
    <x v="31"/>
    <x v="17"/>
    <n v="64"/>
    <x v="4"/>
    <x v="6"/>
    <n v="6"/>
    <n v="6"/>
  </r>
  <r>
    <n v="2019"/>
    <n v="9"/>
    <x v="0"/>
    <x v="2"/>
    <x v="0"/>
    <s v="2019/2020"/>
    <b v="1"/>
    <b v="1"/>
    <b v="0"/>
    <x v="12"/>
    <n v="15194004000125"/>
    <x v="165"/>
    <x v="31"/>
    <x v="17"/>
    <n v="64"/>
    <x v="4"/>
    <x v="6"/>
    <n v="9"/>
    <n v="9"/>
  </r>
  <r>
    <n v="2019"/>
    <n v="9"/>
    <x v="0"/>
    <x v="2"/>
    <x v="0"/>
    <s v="2019/2020"/>
    <b v="1"/>
    <b v="1"/>
    <b v="0"/>
    <x v="12"/>
    <n v="15242761000127"/>
    <x v="166"/>
    <x v="31"/>
    <x v="17"/>
    <n v="70"/>
    <x v="0"/>
    <x v="0"/>
    <n v="100"/>
    <n v="20"/>
  </r>
  <r>
    <n v="2019"/>
    <n v="9"/>
    <x v="0"/>
    <x v="2"/>
    <x v="0"/>
    <s v="2019/2020"/>
    <b v="1"/>
    <b v="1"/>
    <b v="0"/>
    <x v="18"/>
    <n v="15242761000127"/>
    <x v="166"/>
    <x v="31"/>
    <x v="17"/>
    <n v="73"/>
    <x v="1"/>
    <x v="2"/>
    <n v="16"/>
    <n v="8"/>
  </r>
  <r>
    <n v="2019"/>
    <n v="9"/>
    <x v="0"/>
    <x v="2"/>
    <x v="0"/>
    <s v="2019/2020"/>
    <b v="1"/>
    <b v="1"/>
    <b v="0"/>
    <x v="18"/>
    <n v="15242761000127"/>
    <x v="166"/>
    <x v="31"/>
    <x v="17"/>
    <n v="73"/>
    <x v="1"/>
    <x v="4"/>
    <n v="40"/>
    <n v="10"/>
  </r>
  <r>
    <n v="2019"/>
    <n v="9"/>
    <x v="0"/>
    <x v="2"/>
    <x v="0"/>
    <s v="2019/2020"/>
    <b v="1"/>
    <b v="1"/>
    <b v="0"/>
    <x v="18"/>
    <n v="15242761000127"/>
    <x v="166"/>
    <x v="31"/>
    <x v="17"/>
    <n v="73"/>
    <x v="1"/>
    <x v="4"/>
    <n v="56"/>
    <n v="14"/>
  </r>
  <r>
    <n v="2019"/>
    <n v="9"/>
    <x v="0"/>
    <x v="2"/>
    <x v="0"/>
    <s v="2019/2020"/>
    <b v="1"/>
    <b v="1"/>
    <b v="0"/>
    <x v="18"/>
    <n v="15592785000106"/>
    <x v="167"/>
    <x v="49"/>
    <x v="21"/>
    <n v="70"/>
    <x v="0"/>
    <x v="0"/>
    <n v="30"/>
    <n v="3"/>
  </r>
  <r>
    <n v="2019"/>
    <n v="9"/>
    <x v="0"/>
    <x v="2"/>
    <x v="0"/>
    <s v="2019/2020"/>
    <b v="1"/>
    <b v="1"/>
    <b v="0"/>
    <x v="26"/>
    <n v="16676520000582"/>
    <x v="485"/>
    <x v="6"/>
    <x v="2"/>
    <n v="62"/>
    <x v="3"/>
    <x v="5"/>
    <n v="2"/>
    <n v="2"/>
  </r>
  <r>
    <n v="2019"/>
    <n v="9"/>
    <x v="0"/>
    <x v="2"/>
    <x v="0"/>
    <s v="2019/2020"/>
    <b v="1"/>
    <b v="1"/>
    <b v="0"/>
    <x v="8"/>
    <n v="16739984000167"/>
    <x v="169"/>
    <x v="4"/>
    <x v="4"/>
    <n v="73"/>
    <x v="1"/>
    <x v="1"/>
    <n v="8"/>
    <n v="1"/>
  </r>
  <r>
    <n v="2019"/>
    <n v="9"/>
    <x v="0"/>
    <x v="2"/>
    <x v="0"/>
    <s v="2019/2020"/>
    <b v="1"/>
    <b v="1"/>
    <b v="0"/>
    <x v="8"/>
    <n v="16739984000167"/>
    <x v="169"/>
    <x v="4"/>
    <x v="4"/>
    <n v="73"/>
    <x v="1"/>
    <x v="4"/>
    <n v="8"/>
    <n v="1"/>
  </r>
  <r>
    <n v="2019"/>
    <n v="9"/>
    <x v="0"/>
    <x v="2"/>
    <x v="0"/>
    <s v="2019/2020"/>
    <b v="1"/>
    <b v="1"/>
    <b v="0"/>
    <x v="8"/>
    <n v="16739984000167"/>
    <x v="169"/>
    <x v="4"/>
    <x v="4"/>
    <n v="73"/>
    <x v="1"/>
    <x v="4"/>
    <n v="16"/>
    <n v="2"/>
  </r>
  <r>
    <n v="2019"/>
    <n v="9"/>
    <x v="0"/>
    <x v="2"/>
    <x v="0"/>
    <s v="2019/2020"/>
    <b v="1"/>
    <b v="1"/>
    <b v="0"/>
    <x v="8"/>
    <n v="16739984000167"/>
    <x v="169"/>
    <x v="4"/>
    <x v="4"/>
    <n v="73"/>
    <x v="1"/>
    <x v="2"/>
    <n v="4"/>
    <n v="2"/>
  </r>
  <r>
    <n v="2019"/>
    <n v="9"/>
    <x v="0"/>
    <x v="2"/>
    <x v="0"/>
    <s v="2019/2020"/>
    <b v="1"/>
    <b v="1"/>
    <b v="0"/>
    <x v="6"/>
    <n v="17087591000189"/>
    <x v="171"/>
    <x v="56"/>
    <x v="2"/>
    <n v="62"/>
    <x v="3"/>
    <x v="5"/>
    <n v="2"/>
    <n v="2"/>
  </r>
  <r>
    <n v="2019"/>
    <n v="9"/>
    <x v="0"/>
    <x v="2"/>
    <x v="0"/>
    <s v="2019/2020"/>
    <b v="1"/>
    <b v="1"/>
    <b v="0"/>
    <x v="17"/>
    <n v="17214149000176"/>
    <x v="172"/>
    <x v="6"/>
    <x v="2"/>
    <n v="62"/>
    <x v="3"/>
    <x v="5"/>
    <n v="8"/>
    <n v="8"/>
  </r>
  <r>
    <n v="2019"/>
    <n v="9"/>
    <x v="0"/>
    <x v="2"/>
    <x v="0"/>
    <s v="2019/2020"/>
    <b v="1"/>
    <b v="1"/>
    <b v="0"/>
    <x v="6"/>
    <n v="17689407000928"/>
    <x v="173"/>
    <x v="57"/>
    <x v="2"/>
    <n v="73"/>
    <x v="1"/>
    <x v="2"/>
    <n v="6"/>
    <n v="6"/>
  </r>
  <r>
    <n v="2019"/>
    <n v="9"/>
    <x v="0"/>
    <x v="2"/>
    <x v="0"/>
    <s v="2019/2020"/>
    <b v="1"/>
    <b v="1"/>
    <b v="0"/>
    <x v="10"/>
    <n v="18010750000100"/>
    <x v="174"/>
    <x v="0"/>
    <x v="0"/>
    <n v="62"/>
    <x v="3"/>
    <x v="5"/>
    <n v="2"/>
    <n v="2"/>
  </r>
  <r>
    <n v="2019"/>
    <n v="9"/>
    <x v="0"/>
    <x v="2"/>
    <x v="0"/>
    <s v="2019/2020"/>
    <b v="1"/>
    <b v="1"/>
    <b v="0"/>
    <x v="10"/>
    <n v="18010750000100"/>
    <x v="174"/>
    <x v="0"/>
    <x v="0"/>
    <n v="70"/>
    <x v="0"/>
    <x v="7"/>
    <n v="50"/>
    <n v="5"/>
  </r>
  <r>
    <n v="2019"/>
    <n v="9"/>
    <x v="0"/>
    <x v="2"/>
    <x v="0"/>
    <s v="2019/2020"/>
    <b v="1"/>
    <b v="1"/>
    <b v="0"/>
    <x v="10"/>
    <n v="18010750000100"/>
    <x v="174"/>
    <x v="0"/>
    <x v="0"/>
    <n v="70"/>
    <x v="0"/>
    <x v="7"/>
    <n v="80"/>
    <n v="8"/>
  </r>
  <r>
    <n v="2019"/>
    <n v="9"/>
    <x v="0"/>
    <x v="2"/>
    <x v="0"/>
    <s v="2019/2020"/>
    <b v="1"/>
    <b v="1"/>
    <b v="0"/>
    <x v="10"/>
    <n v="18010750000100"/>
    <x v="174"/>
    <x v="0"/>
    <x v="0"/>
    <n v="70"/>
    <x v="0"/>
    <x v="0"/>
    <n v="160"/>
    <n v="32"/>
  </r>
  <r>
    <n v="2019"/>
    <n v="9"/>
    <x v="0"/>
    <x v="2"/>
    <x v="0"/>
    <s v="2019/2020"/>
    <b v="1"/>
    <b v="1"/>
    <b v="0"/>
    <x v="4"/>
    <n v="18321477000134"/>
    <x v="176"/>
    <x v="35"/>
    <x v="3"/>
    <n v="73"/>
    <x v="1"/>
    <x v="4"/>
    <n v="48"/>
    <n v="12"/>
  </r>
  <r>
    <n v="2019"/>
    <n v="9"/>
    <x v="0"/>
    <x v="2"/>
    <x v="0"/>
    <s v="2019/2020"/>
    <b v="1"/>
    <b v="1"/>
    <b v="0"/>
    <x v="10"/>
    <n v="18836965000184"/>
    <x v="486"/>
    <x v="130"/>
    <x v="2"/>
    <n v="73"/>
    <x v="1"/>
    <x v="4"/>
    <n v="20"/>
    <n v="5"/>
  </r>
  <r>
    <n v="2019"/>
    <n v="9"/>
    <x v="0"/>
    <x v="2"/>
    <x v="0"/>
    <s v="2019/2020"/>
    <b v="1"/>
    <b v="1"/>
    <b v="0"/>
    <x v="6"/>
    <n v="19803199000114"/>
    <x v="178"/>
    <x v="3"/>
    <x v="3"/>
    <n v="64"/>
    <x v="4"/>
    <x v="6"/>
    <n v="4"/>
    <n v="2"/>
  </r>
  <r>
    <n v="2019"/>
    <n v="9"/>
    <x v="0"/>
    <x v="2"/>
    <x v="0"/>
    <s v="2019/2020"/>
    <b v="1"/>
    <b v="1"/>
    <b v="0"/>
    <x v="17"/>
    <n v="19803199000114"/>
    <x v="178"/>
    <x v="3"/>
    <x v="3"/>
    <n v="70"/>
    <x v="0"/>
    <x v="0"/>
    <n v="125"/>
    <n v="25"/>
  </r>
  <r>
    <n v="2019"/>
    <n v="9"/>
    <x v="0"/>
    <x v="2"/>
    <x v="0"/>
    <s v="2019/2020"/>
    <b v="1"/>
    <b v="1"/>
    <b v="0"/>
    <x v="3"/>
    <n v="19878404000100"/>
    <x v="179"/>
    <x v="58"/>
    <x v="2"/>
    <n v="73"/>
    <x v="1"/>
    <x v="4"/>
    <n v="52"/>
    <n v="13"/>
  </r>
  <r>
    <n v="2019"/>
    <n v="9"/>
    <x v="0"/>
    <x v="2"/>
    <x v="0"/>
    <s v="2019/2020"/>
    <b v="1"/>
    <b v="1"/>
    <b v="0"/>
    <x v="4"/>
    <n v="20150900000122"/>
    <x v="180"/>
    <x v="56"/>
    <x v="2"/>
    <n v="73"/>
    <x v="1"/>
    <x v="1"/>
    <n v="2"/>
    <n v="1"/>
  </r>
  <r>
    <n v="2019"/>
    <n v="9"/>
    <x v="0"/>
    <x v="2"/>
    <x v="0"/>
    <s v="2019/2020"/>
    <b v="1"/>
    <b v="1"/>
    <b v="0"/>
    <x v="4"/>
    <n v="20150900000122"/>
    <x v="180"/>
    <x v="56"/>
    <x v="2"/>
    <n v="73"/>
    <x v="1"/>
    <x v="4"/>
    <n v="4"/>
    <n v="1"/>
  </r>
  <r>
    <n v="2019"/>
    <n v="9"/>
    <x v="0"/>
    <x v="2"/>
    <x v="0"/>
    <s v="2019/2020"/>
    <b v="1"/>
    <b v="1"/>
    <b v="0"/>
    <x v="4"/>
    <n v="20150900000122"/>
    <x v="180"/>
    <x v="56"/>
    <x v="2"/>
    <n v="73"/>
    <x v="1"/>
    <x v="1"/>
    <n v="4"/>
    <n v="2"/>
  </r>
  <r>
    <n v="2019"/>
    <n v="9"/>
    <x v="0"/>
    <x v="2"/>
    <x v="0"/>
    <s v="2019/2020"/>
    <b v="1"/>
    <b v="1"/>
    <b v="0"/>
    <x v="4"/>
    <n v="20150900000122"/>
    <x v="180"/>
    <x v="56"/>
    <x v="2"/>
    <n v="73"/>
    <x v="1"/>
    <x v="4"/>
    <n v="8"/>
    <n v="2"/>
  </r>
  <r>
    <n v="2019"/>
    <n v="9"/>
    <x v="0"/>
    <x v="2"/>
    <x v="0"/>
    <s v="2019/2020"/>
    <b v="1"/>
    <b v="1"/>
    <b v="0"/>
    <x v="17"/>
    <n v="20812223000241"/>
    <x v="182"/>
    <x v="3"/>
    <x v="3"/>
    <n v="73"/>
    <x v="1"/>
    <x v="1"/>
    <n v="2"/>
    <n v="1"/>
  </r>
  <r>
    <n v="2019"/>
    <n v="9"/>
    <x v="0"/>
    <x v="2"/>
    <x v="0"/>
    <s v="2019/2020"/>
    <b v="1"/>
    <b v="1"/>
    <b v="0"/>
    <x v="17"/>
    <n v="20812223000241"/>
    <x v="182"/>
    <x v="3"/>
    <x v="3"/>
    <n v="73"/>
    <x v="1"/>
    <x v="4"/>
    <n v="8"/>
    <n v="2"/>
  </r>
  <r>
    <n v="2019"/>
    <n v="9"/>
    <x v="0"/>
    <x v="2"/>
    <x v="0"/>
    <s v="2019/2020"/>
    <b v="1"/>
    <b v="1"/>
    <b v="0"/>
    <x v="4"/>
    <n v="20909271000171"/>
    <x v="401"/>
    <x v="105"/>
    <x v="2"/>
    <n v="73"/>
    <x v="1"/>
    <x v="1"/>
    <n v="70"/>
    <n v="35"/>
  </r>
  <r>
    <n v="2019"/>
    <n v="9"/>
    <x v="0"/>
    <x v="2"/>
    <x v="0"/>
    <s v="2019/2020"/>
    <b v="1"/>
    <b v="1"/>
    <b v="0"/>
    <x v="0"/>
    <n v="21109731000140"/>
    <x v="184"/>
    <x v="0"/>
    <x v="0"/>
    <n v="73"/>
    <x v="1"/>
    <x v="4"/>
    <n v="112"/>
    <n v="28"/>
  </r>
  <r>
    <n v="2019"/>
    <n v="9"/>
    <x v="0"/>
    <x v="2"/>
    <x v="0"/>
    <s v="2019/2020"/>
    <b v="1"/>
    <b v="1"/>
    <b v="0"/>
    <x v="3"/>
    <n v="21265360000195"/>
    <x v="185"/>
    <x v="0"/>
    <x v="0"/>
    <n v="73"/>
    <x v="1"/>
    <x v="4"/>
    <n v="16"/>
    <n v="4"/>
  </r>
  <r>
    <n v="2019"/>
    <n v="9"/>
    <x v="0"/>
    <x v="2"/>
    <x v="0"/>
    <s v="2019/2020"/>
    <b v="1"/>
    <b v="1"/>
    <b v="0"/>
    <x v="6"/>
    <n v="21371777000132"/>
    <x v="186"/>
    <x v="3"/>
    <x v="3"/>
    <n v="62"/>
    <x v="3"/>
    <x v="5"/>
    <n v="2"/>
    <n v="2"/>
  </r>
  <r>
    <n v="2019"/>
    <n v="9"/>
    <x v="0"/>
    <x v="2"/>
    <x v="0"/>
    <s v="2019/2020"/>
    <b v="1"/>
    <b v="1"/>
    <b v="0"/>
    <x v="6"/>
    <n v="21371777000132"/>
    <x v="186"/>
    <x v="3"/>
    <x v="3"/>
    <n v="62"/>
    <x v="3"/>
    <x v="5"/>
    <n v="3"/>
    <n v="3"/>
  </r>
  <r>
    <n v="2019"/>
    <n v="9"/>
    <x v="0"/>
    <x v="2"/>
    <x v="0"/>
    <s v="2019/2020"/>
    <b v="1"/>
    <b v="1"/>
    <b v="0"/>
    <x v="6"/>
    <n v="21371777000132"/>
    <x v="186"/>
    <x v="3"/>
    <x v="3"/>
    <n v="62"/>
    <x v="3"/>
    <x v="5"/>
    <n v="6"/>
    <n v="6"/>
  </r>
  <r>
    <n v="2019"/>
    <n v="9"/>
    <x v="0"/>
    <x v="2"/>
    <x v="0"/>
    <s v="2019/2020"/>
    <b v="1"/>
    <b v="1"/>
    <b v="0"/>
    <x v="10"/>
    <n v="24217779000160"/>
    <x v="190"/>
    <x v="0"/>
    <x v="0"/>
    <n v="62"/>
    <x v="3"/>
    <x v="5"/>
    <n v="4"/>
    <n v="4"/>
  </r>
  <r>
    <n v="2019"/>
    <n v="9"/>
    <x v="0"/>
    <x v="2"/>
    <x v="0"/>
    <s v="2019/2020"/>
    <b v="1"/>
    <b v="1"/>
    <b v="0"/>
    <x v="10"/>
    <n v="24217779000160"/>
    <x v="190"/>
    <x v="0"/>
    <x v="0"/>
    <n v="62"/>
    <x v="3"/>
    <x v="5"/>
    <n v="10"/>
    <n v="10"/>
  </r>
  <r>
    <n v="2019"/>
    <n v="9"/>
    <x v="0"/>
    <x v="2"/>
    <x v="0"/>
    <s v="2019/2020"/>
    <b v="1"/>
    <b v="1"/>
    <b v="0"/>
    <x v="10"/>
    <n v="24217779000160"/>
    <x v="190"/>
    <x v="0"/>
    <x v="0"/>
    <n v="64"/>
    <x v="4"/>
    <x v="6"/>
    <n v="14"/>
    <n v="14"/>
  </r>
  <r>
    <n v="2019"/>
    <n v="9"/>
    <x v="0"/>
    <x v="2"/>
    <x v="0"/>
    <s v="2019/2020"/>
    <b v="1"/>
    <b v="1"/>
    <b v="0"/>
    <x v="10"/>
    <n v="24217779000160"/>
    <x v="190"/>
    <x v="0"/>
    <x v="0"/>
    <n v="64"/>
    <x v="4"/>
    <x v="6"/>
    <n v="15"/>
    <n v="15"/>
  </r>
  <r>
    <n v="2019"/>
    <n v="9"/>
    <x v="0"/>
    <x v="2"/>
    <x v="0"/>
    <s v="2019/2020"/>
    <b v="1"/>
    <b v="1"/>
    <b v="0"/>
    <x v="6"/>
    <n v="25026561000190"/>
    <x v="194"/>
    <x v="65"/>
    <x v="3"/>
    <n v="70"/>
    <x v="0"/>
    <x v="0"/>
    <n v="20"/>
    <n v="4"/>
  </r>
  <r>
    <n v="2019"/>
    <n v="9"/>
    <x v="0"/>
    <x v="2"/>
    <x v="0"/>
    <s v="2019/2020"/>
    <b v="1"/>
    <b v="1"/>
    <b v="0"/>
    <x v="10"/>
    <n v="25308058000128"/>
    <x v="487"/>
    <x v="131"/>
    <x v="0"/>
    <n v="64"/>
    <x v="4"/>
    <x v="6"/>
    <n v="2"/>
    <n v="2"/>
  </r>
  <r>
    <n v="2019"/>
    <n v="9"/>
    <x v="0"/>
    <x v="2"/>
    <x v="0"/>
    <s v="2019/2020"/>
    <b v="1"/>
    <b v="1"/>
    <b v="0"/>
    <x v="5"/>
    <n v="25648387000207"/>
    <x v="195"/>
    <x v="56"/>
    <x v="2"/>
    <n v="70"/>
    <x v="0"/>
    <x v="0"/>
    <n v="650"/>
    <n v="130"/>
  </r>
  <r>
    <n v="2019"/>
    <n v="9"/>
    <x v="0"/>
    <x v="2"/>
    <x v="0"/>
    <s v="2019/2020"/>
    <b v="1"/>
    <b v="1"/>
    <b v="0"/>
    <x v="4"/>
    <n v="25761040000187"/>
    <x v="408"/>
    <x v="56"/>
    <x v="2"/>
    <n v="62"/>
    <x v="3"/>
    <x v="5"/>
    <n v="2"/>
    <n v="2"/>
  </r>
  <r>
    <n v="2019"/>
    <n v="9"/>
    <x v="0"/>
    <x v="2"/>
    <x v="0"/>
    <s v="2019/2020"/>
    <b v="1"/>
    <b v="1"/>
    <b v="0"/>
    <x v="4"/>
    <n v="25761040000187"/>
    <x v="408"/>
    <x v="56"/>
    <x v="2"/>
    <n v="62"/>
    <x v="3"/>
    <x v="5"/>
    <n v="4"/>
    <n v="4"/>
  </r>
  <r>
    <n v="2019"/>
    <n v="9"/>
    <x v="0"/>
    <x v="2"/>
    <x v="0"/>
    <s v="2019/2020"/>
    <b v="1"/>
    <b v="1"/>
    <b v="0"/>
    <x v="2"/>
    <n v="25910449000460"/>
    <x v="488"/>
    <x v="132"/>
    <x v="2"/>
    <n v="70"/>
    <x v="0"/>
    <x v="0"/>
    <n v="30"/>
    <n v="6"/>
  </r>
  <r>
    <n v="2019"/>
    <n v="9"/>
    <x v="0"/>
    <x v="2"/>
    <x v="0"/>
    <s v="2019/2020"/>
    <b v="1"/>
    <b v="1"/>
    <b v="0"/>
    <x v="5"/>
    <n v="27080605000358"/>
    <x v="409"/>
    <x v="110"/>
    <x v="13"/>
    <n v="70"/>
    <x v="0"/>
    <x v="0"/>
    <n v="200"/>
    <n v="40"/>
  </r>
  <r>
    <n v="2019"/>
    <n v="9"/>
    <x v="0"/>
    <x v="2"/>
    <x v="0"/>
    <s v="2019/2020"/>
    <b v="1"/>
    <b v="1"/>
    <b v="0"/>
    <x v="2"/>
    <n v="27372066000169"/>
    <x v="198"/>
    <x v="31"/>
    <x v="17"/>
    <n v="62"/>
    <x v="3"/>
    <x v="5"/>
    <n v="5"/>
    <n v="5"/>
  </r>
  <r>
    <n v="2019"/>
    <n v="9"/>
    <x v="0"/>
    <x v="2"/>
    <x v="0"/>
    <s v="2019/2020"/>
    <b v="1"/>
    <b v="1"/>
    <b v="0"/>
    <x v="2"/>
    <n v="27372066000169"/>
    <x v="198"/>
    <x v="31"/>
    <x v="17"/>
    <n v="64"/>
    <x v="4"/>
    <x v="6"/>
    <n v="8"/>
    <n v="4"/>
  </r>
  <r>
    <n v="2019"/>
    <n v="9"/>
    <x v="0"/>
    <x v="2"/>
    <x v="0"/>
    <s v="2019/2020"/>
    <b v="1"/>
    <b v="1"/>
    <b v="0"/>
    <x v="8"/>
    <n v="27578434001525"/>
    <x v="410"/>
    <x v="66"/>
    <x v="13"/>
    <n v="70"/>
    <x v="0"/>
    <x v="0"/>
    <n v="1000"/>
    <n v="200"/>
  </r>
  <r>
    <n v="2019"/>
    <n v="9"/>
    <x v="0"/>
    <x v="2"/>
    <x v="0"/>
    <s v="2019/2020"/>
    <b v="1"/>
    <b v="1"/>
    <b v="0"/>
    <x v="2"/>
    <n v="27901222000131"/>
    <x v="199"/>
    <x v="0"/>
    <x v="0"/>
    <n v="62"/>
    <x v="3"/>
    <x v="5"/>
    <n v="6"/>
    <n v="6"/>
  </r>
  <r>
    <n v="2019"/>
    <n v="9"/>
    <x v="0"/>
    <x v="2"/>
    <x v="0"/>
    <s v="2019/2020"/>
    <b v="1"/>
    <b v="1"/>
    <b v="0"/>
    <x v="8"/>
    <n v="28000107000159"/>
    <x v="200"/>
    <x v="0"/>
    <x v="0"/>
    <n v="70"/>
    <x v="0"/>
    <x v="0"/>
    <n v="30"/>
    <n v="6"/>
  </r>
  <r>
    <n v="2019"/>
    <n v="9"/>
    <x v="0"/>
    <x v="2"/>
    <x v="0"/>
    <s v="2019/2020"/>
    <b v="1"/>
    <b v="1"/>
    <b v="0"/>
    <x v="8"/>
    <n v="28000107000159"/>
    <x v="200"/>
    <x v="0"/>
    <x v="0"/>
    <n v="70"/>
    <x v="0"/>
    <x v="0"/>
    <n v="60"/>
    <n v="12"/>
  </r>
  <r>
    <n v="2019"/>
    <n v="9"/>
    <x v="0"/>
    <x v="2"/>
    <x v="0"/>
    <s v="2019/2020"/>
    <b v="1"/>
    <b v="1"/>
    <b v="0"/>
    <x v="2"/>
    <n v="28000107000159"/>
    <x v="200"/>
    <x v="0"/>
    <x v="0"/>
    <n v="70"/>
    <x v="0"/>
    <x v="0"/>
    <n v="60"/>
    <n v="12"/>
  </r>
  <r>
    <n v="2019"/>
    <n v="9"/>
    <x v="0"/>
    <x v="2"/>
    <x v="0"/>
    <s v="2019/2020"/>
    <b v="1"/>
    <b v="1"/>
    <b v="0"/>
    <x v="7"/>
    <n v="28000107000159"/>
    <x v="200"/>
    <x v="0"/>
    <x v="0"/>
    <n v="73"/>
    <x v="1"/>
    <x v="1"/>
    <n v="6"/>
    <n v="1"/>
  </r>
  <r>
    <n v="2019"/>
    <n v="9"/>
    <x v="0"/>
    <x v="2"/>
    <x v="0"/>
    <s v="2019/2020"/>
    <b v="1"/>
    <b v="1"/>
    <b v="0"/>
    <x v="7"/>
    <n v="28000107000159"/>
    <x v="200"/>
    <x v="0"/>
    <x v="0"/>
    <n v="73"/>
    <x v="1"/>
    <x v="1"/>
    <n v="4"/>
    <n v="2"/>
  </r>
  <r>
    <n v="2019"/>
    <n v="9"/>
    <x v="0"/>
    <x v="2"/>
    <x v="0"/>
    <s v="2019/2020"/>
    <b v="1"/>
    <b v="1"/>
    <b v="0"/>
    <x v="7"/>
    <n v="28000107000159"/>
    <x v="200"/>
    <x v="0"/>
    <x v="0"/>
    <n v="73"/>
    <x v="1"/>
    <x v="4"/>
    <n v="16"/>
    <n v="4"/>
  </r>
  <r>
    <n v="2019"/>
    <n v="9"/>
    <x v="0"/>
    <x v="2"/>
    <x v="0"/>
    <s v="2019/2020"/>
    <b v="1"/>
    <b v="1"/>
    <b v="0"/>
    <x v="7"/>
    <n v="28000107000159"/>
    <x v="200"/>
    <x v="0"/>
    <x v="0"/>
    <n v="73"/>
    <x v="1"/>
    <x v="4"/>
    <n v="56"/>
    <n v="7"/>
  </r>
  <r>
    <n v="2019"/>
    <n v="9"/>
    <x v="0"/>
    <x v="2"/>
    <x v="0"/>
    <s v="2019/2020"/>
    <b v="1"/>
    <b v="1"/>
    <b v="0"/>
    <x v="7"/>
    <n v="28000107000159"/>
    <x v="200"/>
    <x v="0"/>
    <x v="0"/>
    <n v="73"/>
    <x v="1"/>
    <x v="4"/>
    <n v="44"/>
    <n v="11"/>
  </r>
  <r>
    <n v="2019"/>
    <n v="9"/>
    <x v="0"/>
    <x v="2"/>
    <x v="0"/>
    <s v="2019/2020"/>
    <b v="1"/>
    <b v="1"/>
    <b v="0"/>
    <x v="5"/>
    <n v="28523215000378"/>
    <x v="489"/>
    <x v="9"/>
    <x v="0"/>
    <n v="70"/>
    <x v="0"/>
    <x v="0"/>
    <n v="300"/>
    <n v="60"/>
  </r>
  <r>
    <n v="2019"/>
    <n v="9"/>
    <x v="0"/>
    <x v="2"/>
    <x v="0"/>
    <s v="2019/2020"/>
    <b v="1"/>
    <b v="1"/>
    <b v="0"/>
    <x v="10"/>
    <n v="28602407000108"/>
    <x v="205"/>
    <x v="0"/>
    <x v="0"/>
    <n v="62"/>
    <x v="3"/>
    <x v="5"/>
    <n v="1"/>
    <n v="1"/>
  </r>
  <r>
    <n v="2019"/>
    <n v="9"/>
    <x v="0"/>
    <x v="2"/>
    <x v="0"/>
    <s v="2019/2020"/>
    <b v="1"/>
    <b v="1"/>
    <b v="0"/>
    <x v="4"/>
    <n v="28602407000108"/>
    <x v="205"/>
    <x v="0"/>
    <x v="0"/>
    <n v="73"/>
    <x v="1"/>
    <x v="1"/>
    <n v="4"/>
    <n v="2"/>
  </r>
  <r>
    <n v="2019"/>
    <n v="9"/>
    <x v="0"/>
    <x v="2"/>
    <x v="0"/>
    <s v="2019/2020"/>
    <b v="1"/>
    <b v="1"/>
    <b v="0"/>
    <x v="10"/>
    <n v="28806545000532"/>
    <x v="206"/>
    <x v="67"/>
    <x v="0"/>
    <n v="73"/>
    <x v="1"/>
    <x v="4"/>
    <n v="24"/>
    <n v="6"/>
  </r>
  <r>
    <n v="2019"/>
    <n v="9"/>
    <x v="0"/>
    <x v="2"/>
    <x v="0"/>
    <s v="2019/2020"/>
    <b v="1"/>
    <b v="1"/>
    <b v="0"/>
    <x v="2"/>
    <n v="28806545000532"/>
    <x v="206"/>
    <x v="67"/>
    <x v="0"/>
    <n v="73"/>
    <x v="1"/>
    <x v="4"/>
    <n v="48"/>
    <n v="6"/>
  </r>
  <r>
    <n v="2019"/>
    <n v="9"/>
    <x v="0"/>
    <x v="2"/>
    <x v="0"/>
    <s v="2019/2020"/>
    <b v="1"/>
    <b v="1"/>
    <b v="0"/>
    <x v="0"/>
    <n v="28806545000532"/>
    <x v="206"/>
    <x v="67"/>
    <x v="0"/>
    <n v="73"/>
    <x v="1"/>
    <x v="4"/>
    <n v="24"/>
    <n v="6"/>
  </r>
  <r>
    <n v="2019"/>
    <n v="9"/>
    <x v="0"/>
    <x v="2"/>
    <x v="0"/>
    <s v="2019/2020"/>
    <b v="1"/>
    <b v="1"/>
    <b v="0"/>
    <x v="2"/>
    <n v="29072642000188"/>
    <x v="207"/>
    <x v="68"/>
    <x v="0"/>
    <n v="64"/>
    <x v="4"/>
    <x v="6"/>
    <n v="10"/>
    <n v="10"/>
  </r>
  <r>
    <n v="2019"/>
    <n v="9"/>
    <x v="0"/>
    <x v="2"/>
    <x v="0"/>
    <s v="2019/2020"/>
    <b v="1"/>
    <b v="1"/>
    <b v="0"/>
    <x v="2"/>
    <n v="29259736000403"/>
    <x v="209"/>
    <x v="0"/>
    <x v="0"/>
    <n v="64"/>
    <x v="4"/>
    <x v="6"/>
    <n v="1"/>
    <n v="1"/>
  </r>
  <r>
    <n v="2019"/>
    <n v="9"/>
    <x v="0"/>
    <x v="2"/>
    <x v="0"/>
    <s v="2019/2020"/>
    <b v="1"/>
    <b v="1"/>
    <b v="0"/>
    <x v="2"/>
    <n v="29259736000403"/>
    <x v="209"/>
    <x v="0"/>
    <x v="0"/>
    <n v="64"/>
    <x v="4"/>
    <x v="6"/>
    <n v="2"/>
    <n v="2"/>
  </r>
  <r>
    <n v="2019"/>
    <n v="9"/>
    <x v="0"/>
    <x v="2"/>
    <x v="0"/>
    <s v="2019/2020"/>
    <b v="1"/>
    <b v="1"/>
    <b v="0"/>
    <x v="17"/>
    <n v="29259736000403"/>
    <x v="209"/>
    <x v="0"/>
    <x v="0"/>
    <n v="73"/>
    <x v="1"/>
    <x v="2"/>
    <n v="1"/>
    <n v="1"/>
  </r>
  <r>
    <n v="2019"/>
    <n v="9"/>
    <x v="0"/>
    <x v="2"/>
    <x v="0"/>
    <s v="2019/2020"/>
    <b v="1"/>
    <b v="1"/>
    <b v="0"/>
    <x v="4"/>
    <n v="29435005002687"/>
    <x v="210"/>
    <x v="3"/>
    <x v="3"/>
    <n v="64"/>
    <x v="4"/>
    <x v="6"/>
    <n v="7"/>
    <n v="7"/>
  </r>
  <r>
    <n v="2019"/>
    <n v="9"/>
    <x v="0"/>
    <x v="2"/>
    <x v="0"/>
    <s v="2019/2020"/>
    <b v="1"/>
    <b v="1"/>
    <b v="0"/>
    <x v="4"/>
    <n v="29435005002687"/>
    <x v="210"/>
    <x v="3"/>
    <x v="3"/>
    <n v="70"/>
    <x v="0"/>
    <x v="0"/>
    <n v="150"/>
    <n v="30"/>
  </r>
  <r>
    <n v="2019"/>
    <n v="9"/>
    <x v="0"/>
    <x v="2"/>
    <x v="0"/>
    <s v="2019/2020"/>
    <b v="1"/>
    <b v="1"/>
    <b v="0"/>
    <x v="4"/>
    <n v="29435005002687"/>
    <x v="210"/>
    <x v="3"/>
    <x v="3"/>
    <n v="70"/>
    <x v="0"/>
    <x v="0"/>
    <n v="1000"/>
    <n v="100"/>
  </r>
  <r>
    <n v="2019"/>
    <n v="9"/>
    <x v="0"/>
    <x v="2"/>
    <x v="0"/>
    <s v="2019/2020"/>
    <b v="1"/>
    <b v="1"/>
    <b v="0"/>
    <x v="4"/>
    <n v="29435005004540"/>
    <x v="211"/>
    <x v="3"/>
    <x v="3"/>
    <n v="70"/>
    <x v="0"/>
    <x v="0"/>
    <n v="80"/>
    <n v="16"/>
  </r>
  <r>
    <n v="2019"/>
    <n v="9"/>
    <x v="0"/>
    <x v="2"/>
    <x v="0"/>
    <s v="2019/2020"/>
    <b v="1"/>
    <b v="1"/>
    <b v="0"/>
    <x v="4"/>
    <n v="29435005004540"/>
    <x v="211"/>
    <x v="3"/>
    <x v="3"/>
    <n v="70"/>
    <x v="0"/>
    <x v="0"/>
    <n v="100"/>
    <n v="20"/>
  </r>
  <r>
    <n v="2019"/>
    <n v="9"/>
    <x v="0"/>
    <x v="2"/>
    <x v="0"/>
    <s v="2019/2020"/>
    <b v="1"/>
    <b v="1"/>
    <b v="0"/>
    <x v="4"/>
    <n v="29435005004620"/>
    <x v="212"/>
    <x v="4"/>
    <x v="4"/>
    <n v="62"/>
    <x v="3"/>
    <x v="5"/>
    <n v="1"/>
    <n v="1"/>
  </r>
  <r>
    <n v="2019"/>
    <n v="9"/>
    <x v="0"/>
    <x v="2"/>
    <x v="0"/>
    <s v="2019/2020"/>
    <b v="1"/>
    <b v="1"/>
    <b v="0"/>
    <x v="4"/>
    <n v="29435005004620"/>
    <x v="212"/>
    <x v="4"/>
    <x v="4"/>
    <n v="64"/>
    <x v="4"/>
    <x v="6"/>
    <n v="15"/>
    <n v="15"/>
  </r>
  <r>
    <n v="2019"/>
    <n v="9"/>
    <x v="0"/>
    <x v="2"/>
    <x v="0"/>
    <s v="2019/2020"/>
    <b v="1"/>
    <b v="1"/>
    <b v="0"/>
    <x v="4"/>
    <n v="29435005004620"/>
    <x v="212"/>
    <x v="4"/>
    <x v="4"/>
    <n v="70"/>
    <x v="0"/>
    <x v="0"/>
    <n v="145"/>
    <n v="29"/>
  </r>
  <r>
    <n v="2019"/>
    <n v="9"/>
    <x v="0"/>
    <x v="2"/>
    <x v="0"/>
    <s v="2019/2020"/>
    <b v="1"/>
    <b v="1"/>
    <b v="0"/>
    <x v="4"/>
    <n v="29435005005198"/>
    <x v="213"/>
    <x v="0"/>
    <x v="0"/>
    <n v="62"/>
    <x v="3"/>
    <x v="5"/>
    <n v="6"/>
    <n v="3"/>
  </r>
  <r>
    <n v="2019"/>
    <n v="9"/>
    <x v="0"/>
    <x v="2"/>
    <x v="0"/>
    <s v="2019/2020"/>
    <b v="1"/>
    <b v="1"/>
    <b v="0"/>
    <x v="4"/>
    <n v="29435005005198"/>
    <x v="213"/>
    <x v="0"/>
    <x v="0"/>
    <n v="62"/>
    <x v="3"/>
    <x v="5"/>
    <n v="8"/>
    <n v="8"/>
  </r>
  <r>
    <n v="2019"/>
    <n v="9"/>
    <x v="0"/>
    <x v="2"/>
    <x v="0"/>
    <s v="2019/2020"/>
    <b v="1"/>
    <b v="1"/>
    <b v="0"/>
    <x v="4"/>
    <n v="29435005005198"/>
    <x v="213"/>
    <x v="0"/>
    <x v="0"/>
    <n v="64"/>
    <x v="4"/>
    <x v="6"/>
    <n v="6"/>
    <n v="3"/>
  </r>
  <r>
    <n v="2019"/>
    <n v="9"/>
    <x v="0"/>
    <x v="2"/>
    <x v="0"/>
    <s v="2019/2020"/>
    <b v="1"/>
    <b v="1"/>
    <b v="0"/>
    <x v="4"/>
    <n v="29435005005198"/>
    <x v="213"/>
    <x v="0"/>
    <x v="0"/>
    <n v="64"/>
    <x v="4"/>
    <x v="6"/>
    <n v="9"/>
    <n v="9"/>
  </r>
  <r>
    <n v="2019"/>
    <n v="9"/>
    <x v="0"/>
    <x v="2"/>
    <x v="0"/>
    <s v="2019/2020"/>
    <b v="1"/>
    <b v="1"/>
    <b v="0"/>
    <x v="4"/>
    <n v="29435005005600"/>
    <x v="214"/>
    <x v="13"/>
    <x v="6"/>
    <n v="70"/>
    <x v="0"/>
    <x v="0"/>
    <n v="25"/>
    <n v="5"/>
  </r>
  <r>
    <n v="2019"/>
    <n v="9"/>
    <x v="0"/>
    <x v="2"/>
    <x v="0"/>
    <s v="2019/2020"/>
    <b v="1"/>
    <b v="1"/>
    <b v="0"/>
    <x v="4"/>
    <n v="29435005005600"/>
    <x v="214"/>
    <x v="13"/>
    <x v="6"/>
    <n v="70"/>
    <x v="0"/>
    <x v="0"/>
    <n v="160"/>
    <n v="32"/>
  </r>
  <r>
    <n v="2019"/>
    <n v="9"/>
    <x v="0"/>
    <x v="2"/>
    <x v="0"/>
    <s v="2019/2020"/>
    <b v="1"/>
    <b v="1"/>
    <b v="0"/>
    <x v="4"/>
    <n v="29435005005783"/>
    <x v="215"/>
    <x v="0"/>
    <x v="0"/>
    <n v="64"/>
    <x v="4"/>
    <x v="6"/>
    <n v="1"/>
    <n v="1"/>
  </r>
  <r>
    <n v="2019"/>
    <n v="9"/>
    <x v="0"/>
    <x v="2"/>
    <x v="0"/>
    <s v="2019/2020"/>
    <b v="1"/>
    <b v="1"/>
    <b v="0"/>
    <x v="4"/>
    <n v="29435005005783"/>
    <x v="215"/>
    <x v="0"/>
    <x v="0"/>
    <n v="70"/>
    <x v="0"/>
    <x v="0"/>
    <n v="100"/>
    <n v="20"/>
  </r>
  <r>
    <n v="2019"/>
    <n v="9"/>
    <x v="0"/>
    <x v="2"/>
    <x v="0"/>
    <s v="2019/2020"/>
    <b v="1"/>
    <b v="1"/>
    <b v="0"/>
    <x v="4"/>
    <n v="29435005005783"/>
    <x v="215"/>
    <x v="0"/>
    <x v="0"/>
    <n v="70"/>
    <x v="0"/>
    <x v="0"/>
    <n v="150"/>
    <n v="30"/>
  </r>
  <r>
    <n v="2019"/>
    <n v="9"/>
    <x v="0"/>
    <x v="2"/>
    <x v="0"/>
    <s v="2019/2020"/>
    <b v="1"/>
    <b v="1"/>
    <b v="0"/>
    <x v="4"/>
    <n v="29435005006160"/>
    <x v="216"/>
    <x v="0"/>
    <x v="0"/>
    <n v="64"/>
    <x v="4"/>
    <x v="6"/>
    <n v="10"/>
    <n v="10"/>
  </r>
  <r>
    <n v="2019"/>
    <n v="9"/>
    <x v="0"/>
    <x v="2"/>
    <x v="0"/>
    <s v="2019/2020"/>
    <b v="1"/>
    <b v="1"/>
    <b v="0"/>
    <x v="4"/>
    <n v="29435005006160"/>
    <x v="216"/>
    <x v="0"/>
    <x v="0"/>
    <n v="70"/>
    <x v="0"/>
    <x v="0"/>
    <n v="80"/>
    <n v="16"/>
  </r>
  <r>
    <n v="2019"/>
    <n v="9"/>
    <x v="0"/>
    <x v="2"/>
    <x v="0"/>
    <s v="2019/2020"/>
    <b v="1"/>
    <b v="1"/>
    <b v="0"/>
    <x v="4"/>
    <n v="29435005007484"/>
    <x v="217"/>
    <x v="32"/>
    <x v="18"/>
    <n v="62"/>
    <x v="3"/>
    <x v="5"/>
    <n v="2"/>
    <n v="2"/>
  </r>
  <r>
    <n v="2019"/>
    <n v="9"/>
    <x v="0"/>
    <x v="2"/>
    <x v="0"/>
    <s v="2019/2020"/>
    <b v="1"/>
    <b v="1"/>
    <b v="0"/>
    <x v="4"/>
    <n v="29435005007484"/>
    <x v="217"/>
    <x v="32"/>
    <x v="18"/>
    <n v="62"/>
    <x v="3"/>
    <x v="5"/>
    <n v="3"/>
    <n v="3"/>
  </r>
  <r>
    <n v="2019"/>
    <n v="9"/>
    <x v="0"/>
    <x v="2"/>
    <x v="0"/>
    <s v="2019/2020"/>
    <b v="1"/>
    <b v="1"/>
    <b v="0"/>
    <x v="4"/>
    <n v="29435005007484"/>
    <x v="217"/>
    <x v="32"/>
    <x v="18"/>
    <n v="64"/>
    <x v="4"/>
    <x v="6"/>
    <n v="5"/>
    <n v="5"/>
  </r>
  <r>
    <n v="2019"/>
    <n v="9"/>
    <x v="0"/>
    <x v="2"/>
    <x v="0"/>
    <s v="2019/2020"/>
    <b v="1"/>
    <b v="1"/>
    <b v="0"/>
    <x v="4"/>
    <n v="29435005007484"/>
    <x v="217"/>
    <x v="32"/>
    <x v="18"/>
    <n v="64"/>
    <x v="4"/>
    <x v="6"/>
    <n v="8"/>
    <n v="8"/>
  </r>
  <r>
    <n v="2019"/>
    <n v="9"/>
    <x v="0"/>
    <x v="2"/>
    <x v="0"/>
    <s v="2019/2020"/>
    <b v="1"/>
    <b v="1"/>
    <b v="0"/>
    <x v="4"/>
    <n v="29435005007484"/>
    <x v="217"/>
    <x v="32"/>
    <x v="18"/>
    <n v="70"/>
    <x v="0"/>
    <x v="0"/>
    <n v="50"/>
    <n v="5"/>
  </r>
  <r>
    <n v="2019"/>
    <n v="9"/>
    <x v="0"/>
    <x v="2"/>
    <x v="0"/>
    <s v="2019/2020"/>
    <b v="1"/>
    <b v="1"/>
    <b v="0"/>
    <x v="4"/>
    <n v="29435005007484"/>
    <x v="217"/>
    <x v="32"/>
    <x v="18"/>
    <n v="70"/>
    <x v="0"/>
    <x v="0"/>
    <n v="150"/>
    <n v="30"/>
  </r>
  <r>
    <n v="2019"/>
    <n v="9"/>
    <x v="0"/>
    <x v="2"/>
    <x v="0"/>
    <s v="2019/2020"/>
    <b v="1"/>
    <b v="1"/>
    <b v="0"/>
    <x v="4"/>
    <n v="29435005008103"/>
    <x v="490"/>
    <x v="133"/>
    <x v="3"/>
    <n v="70"/>
    <x v="0"/>
    <x v="0"/>
    <n v="5"/>
    <n v="1"/>
  </r>
  <r>
    <n v="2019"/>
    <n v="9"/>
    <x v="0"/>
    <x v="2"/>
    <x v="0"/>
    <s v="2019/2020"/>
    <b v="1"/>
    <b v="1"/>
    <b v="0"/>
    <x v="4"/>
    <n v="29435005008294"/>
    <x v="219"/>
    <x v="71"/>
    <x v="3"/>
    <n v="70"/>
    <x v="0"/>
    <x v="0"/>
    <n v="300"/>
    <n v="30"/>
  </r>
  <r>
    <n v="2019"/>
    <n v="9"/>
    <x v="0"/>
    <x v="2"/>
    <x v="0"/>
    <s v="2019/2020"/>
    <b v="1"/>
    <b v="1"/>
    <b v="0"/>
    <x v="4"/>
    <n v="29435005008456"/>
    <x v="220"/>
    <x v="48"/>
    <x v="3"/>
    <n v="70"/>
    <x v="0"/>
    <x v="0"/>
    <n v="200"/>
    <n v="40"/>
  </r>
  <r>
    <n v="2019"/>
    <n v="9"/>
    <x v="0"/>
    <x v="2"/>
    <x v="0"/>
    <s v="2019/2020"/>
    <b v="1"/>
    <b v="1"/>
    <b v="0"/>
    <x v="4"/>
    <n v="29435005009851"/>
    <x v="221"/>
    <x v="10"/>
    <x v="8"/>
    <n v="64"/>
    <x v="4"/>
    <x v="6"/>
    <n v="40"/>
    <n v="20"/>
  </r>
  <r>
    <n v="2019"/>
    <n v="9"/>
    <x v="0"/>
    <x v="2"/>
    <x v="0"/>
    <s v="2019/2020"/>
    <b v="1"/>
    <b v="1"/>
    <b v="0"/>
    <x v="4"/>
    <n v="29435005009851"/>
    <x v="221"/>
    <x v="10"/>
    <x v="8"/>
    <n v="64"/>
    <x v="4"/>
    <x v="6"/>
    <n v="30"/>
    <n v="30"/>
  </r>
  <r>
    <n v="2019"/>
    <n v="9"/>
    <x v="0"/>
    <x v="2"/>
    <x v="0"/>
    <s v="2019/2020"/>
    <b v="1"/>
    <b v="1"/>
    <b v="0"/>
    <x v="4"/>
    <n v="29435005009851"/>
    <x v="221"/>
    <x v="10"/>
    <x v="8"/>
    <n v="70"/>
    <x v="0"/>
    <x v="0"/>
    <n v="50"/>
    <n v="10"/>
  </r>
  <r>
    <n v="2019"/>
    <n v="9"/>
    <x v="0"/>
    <x v="2"/>
    <x v="0"/>
    <s v="2019/2020"/>
    <b v="1"/>
    <b v="1"/>
    <b v="0"/>
    <x v="4"/>
    <n v="29435005009851"/>
    <x v="221"/>
    <x v="10"/>
    <x v="8"/>
    <n v="70"/>
    <x v="0"/>
    <x v="0"/>
    <n v="75"/>
    <n v="15"/>
  </r>
  <r>
    <n v="2019"/>
    <n v="9"/>
    <x v="0"/>
    <x v="2"/>
    <x v="0"/>
    <s v="2019/2020"/>
    <b v="1"/>
    <b v="1"/>
    <b v="0"/>
    <x v="4"/>
    <n v="29435005009932"/>
    <x v="222"/>
    <x v="3"/>
    <x v="3"/>
    <n v="62"/>
    <x v="3"/>
    <x v="5"/>
    <n v="8"/>
    <n v="4"/>
  </r>
  <r>
    <n v="2019"/>
    <n v="9"/>
    <x v="0"/>
    <x v="2"/>
    <x v="0"/>
    <s v="2019/2020"/>
    <b v="1"/>
    <b v="1"/>
    <b v="0"/>
    <x v="4"/>
    <n v="29435005009932"/>
    <x v="222"/>
    <x v="3"/>
    <x v="3"/>
    <n v="64"/>
    <x v="4"/>
    <x v="6"/>
    <n v="3"/>
    <n v="3"/>
  </r>
  <r>
    <n v="2019"/>
    <n v="9"/>
    <x v="0"/>
    <x v="2"/>
    <x v="0"/>
    <s v="2019/2020"/>
    <b v="1"/>
    <b v="1"/>
    <b v="0"/>
    <x v="4"/>
    <n v="29435005009932"/>
    <x v="222"/>
    <x v="3"/>
    <x v="3"/>
    <n v="70"/>
    <x v="0"/>
    <x v="0"/>
    <n v="1050"/>
    <n v="70"/>
  </r>
  <r>
    <n v="2019"/>
    <n v="9"/>
    <x v="0"/>
    <x v="2"/>
    <x v="0"/>
    <s v="2019/2020"/>
    <b v="1"/>
    <b v="1"/>
    <b v="0"/>
    <x v="13"/>
    <n v="30117769000155"/>
    <x v="223"/>
    <x v="13"/>
    <x v="6"/>
    <n v="70"/>
    <x v="0"/>
    <x v="0"/>
    <n v="5"/>
    <n v="1"/>
  </r>
  <r>
    <n v="2019"/>
    <n v="9"/>
    <x v="0"/>
    <x v="2"/>
    <x v="0"/>
    <s v="2019/2020"/>
    <b v="1"/>
    <b v="1"/>
    <b v="0"/>
    <x v="13"/>
    <n v="30117769000155"/>
    <x v="223"/>
    <x v="13"/>
    <x v="6"/>
    <n v="70"/>
    <x v="0"/>
    <x v="0"/>
    <n v="200"/>
    <n v="40"/>
  </r>
  <r>
    <n v="2019"/>
    <n v="9"/>
    <x v="0"/>
    <x v="2"/>
    <x v="0"/>
    <s v="2019/2020"/>
    <b v="1"/>
    <b v="1"/>
    <b v="0"/>
    <x v="12"/>
    <n v="30135335000188"/>
    <x v="416"/>
    <x v="4"/>
    <x v="4"/>
    <n v="70"/>
    <x v="0"/>
    <x v="0"/>
    <n v="15"/>
    <n v="3"/>
  </r>
  <r>
    <n v="2019"/>
    <n v="9"/>
    <x v="0"/>
    <x v="2"/>
    <x v="0"/>
    <s v="2019/2020"/>
    <b v="1"/>
    <b v="1"/>
    <b v="0"/>
    <x v="12"/>
    <n v="30135335000188"/>
    <x v="416"/>
    <x v="4"/>
    <x v="4"/>
    <n v="70"/>
    <x v="0"/>
    <x v="0"/>
    <n v="50"/>
    <n v="10"/>
  </r>
  <r>
    <n v="2019"/>
    <n v="9"/>
    <x v="0"/>
    <x v="2"/>
    <x v="0"/>
    <s v="2019/2020"/>
    <b v="1"/>
    <b v="1"/>
    <b v="0"/>
    <x v="12"/>
    <n v="30135335000188"/>
    <x v="416"/>
    <x v="4"/>
    <x v="4"/>
    <n v="70"/>
    <x v="0"/>
    <x v="0"/>
    <n v="90"/>
    <n v="18"/>
  </r>
  <r>
    <n v="2019"/>
    <n v="9"/>
    <x v="0"/>
    <x v="2"/>
    <x v="0"/>
    <s v="2019/2020"/>
    <b v="1"/>
    <b v="1"/>
    <b v="0"/>
    <x v="12"/>
    <n v="30135335000188"/>
    <x v="416"/>
    <x v="4"/>
    <x v="4"/>
    <n v="70"/>
    <x v="0"/>
    <x v="0"/>
    <n v="300"/>
    <n v="60"/>
  </r>
  <r>
    <n v="2019"/>
    <n v="9"/>
    <x v="0"/>
    <x v="2"/>
    <x v="0"/>
    <s v="2019/2020"/>
    <b v="1"/>
    <b v="1"/>
    <b v="0"/>
    <x v="7"/>
    <n v="30638381000108"/>
    <x v="491"/>
    <x v="67"/>
    <x v="0"/>
    <n v="70"/>
    <x v="0"/>
    <x v="0"/>
    <n v="25"/>
    <n v="5"/>
  </r>
  <r>
    <n v="2019"/>
    <n v="9"/>
    <x v="0"/>
    <x v="2"/>
    <x v="0"/>
    <s v="2019/2020"/>
    <b v="1"/>
    <b v="1"/>
    <b v="0"/>
    <x v="7"/>
    <n v="30638381000108"/>
    <x v="491"/>
    <x v="67"/>
    <x v="0"/>
    <n v="70"/>
    <x v="0"/>
    <x v="0"/>
    <n v="100"/>
    <n v="20"/>
  </r>
  <r>
    <n v="2019"/>
    <n v="9"/>
    <x v="0"/>
    <x v="2"/>
    <x v="0"/>
    <s v="2019/2020"/>
    <b v="1"/>
    <b v="1"/>
    <b v="0"/>
    <x v="10"/>
    <n v="31635857000292"/>
    <x v="225"/>
    <x v="0"/>
    <x v="0"/>
    <n v="73"/>
    <x v="1"/>
    <x v="4"/>
    <n v="16"/>
    <n v="4"/>
  </r>
  <r>
    <n v="2019"/>
    <n v="9"/>
    <x v="0"/>
    <x v="2"/>
    <x v="0"/>
    <s v="2019/2020"/>
    <b v="1"/>
    <b v="1"/>
    <b v="0"/>
    <x v="11"/>
    <n v="33000167000101"/>
    <x v="227"/>
    <x v="0"/>
    <x v="0"/>
    <n v="70"/>
    <x v="0"/>
    <x v="0"/>
    <n v="20"/>
    <n v="4"/>
  </r>
  <r>
    <n v="2019"/>
    <n v="9"/>
    <x v="0"/>
    <x v="2"/>
    <x v="0"/>
    <s v="2019/2020"/>
    <b v="1"/>
    <b v="1"/>
    <b v="0"/>
    <x v="7"/>
    <n v="33000167000101"/>
    <x v="227"/>
    <x v="0"/>
    <x v="0"/>
    <n v="70"/>
    <x v="0"/>
    <x v="0"/>
    <n v="120"/>
    <n v="24"/>
  </r>
  <r>
    <n v="2019"/>
    <n v="9"/>
    <x v="0"/>
    <x v="2"/>
    <x v="0"/>
    <s v="2019/2020"/>
    <b v="1"/>
    <b v="1"/>
    <b v="0"/>
    <x v="2"/>
    <n v="33000167002155"/>
    <x v="418"/>
    <x v="113"/>
    <x v="7"/>
    <n v="70"/>
    <x v="0"/>
    <x v="0"/>
    <n v="25"/>
    <n v="5"/>
  </r>
  <r>
    <n v="2019"/>
    <n v="9"/>
    <x v="0"/>
    <x v="2"/>
    <x v="0"/>
    <s v="2019/2020"/>
    <b v="1"/>
    <b v="1"/>
    <b v="0"/>
    <x v="10"/>
    <n v="33419482000259"/>
    <x v="228"/>
    <x v="0"/>
    <x v="0"/>
    <n v="62"/>
    <x v="3"/>
    <x v="5"/>
    <n v="4"/>
    <n v="2"/>
  </r>
  <r>
    <n v="2019"/>
    <n v="9"/>
    <x v="0"/>
    <x v="2"/>
    <x v="0"/>
    <s v="2019/2020"/>
    <b v="1"/>
    <b v="1"/>
    <b v="0"/>
    <x v="10"/>
    <n v="33419482000259"/>
    <x v="228"/>
    <x v="0"/>
    <x v="0"/>
    <n v="62"/>
    <x v="3"/>
    <x v="5"/>
    <n v="3"/>
    <n v="3"/>
  </r>
  <r>
    <n v="2019"/>
    <n v="9"/>
    <x v="0"/>
    <x v="2"/>
    <x v="0"/>
    <s v="2019/2020"/>
    <b v="1"/>
    <b v="1"/>
    <b v="0"/>
    <x v="10"/>
    <n v="33419482000259"/>
    <x v="228"/>
    <x v="0"/>
    <x v="0"/>
    <n v="64"/>
    <x v="4"/>
    <x v="6"/>
    <n v="3"/>
    <n v="3"/>
  </r>
  <r>
    <n v="2019"/>
    <n v="9"/>
    <x v="0"/>
    <x v="2"/>
    <x v="0"/>
    <s v="2019/2020"/>
    <b v="1"/>
    <b v="1"/>
    <b v="0"/>
    <x v="17"/>
    <n v="33419482000259"/>
    <x v="228"/>
    <x v="0"/>
    <x v="0"/>
    <n v="70"/>
    <x v="0"/>
    <x v="0"/>
    <n v="20"/>
    <n v="2"/>
  </r>
  <r>
    <n v="2019"/>
    <n v="9"/>
    <x v="0"/>
    <x v="2"/>
    <x v="0"/>
    <s v="2019/2020"/>
    <b v="1"/>
    <b v="1"/>
    <b v="0"/>
    <x v="5"/>
    <n v="33663683005347"/>
    <x v="230"/>
    <x v="0"/>
    <x v="0"/>
    <n v="62"/>
    <x v="3"/>
    <x v="5"/>
    <n v="24"/>
    <n v="8"/>
  </r>
  <r>
    <n v="2019"/>
    <n v="9"/>
    <x v="0"/>
    <x v="2"/>
    <x v="0"/>
    <s v="2019/2020"/>
    <b v="1"/>
    <b v="1"/>
    <b v="0"/>
    <x v="5"/>
    <n v="33663683005347"/>
    <x v="230"/>
    <x v="0"/>
    <x v="0"/>
    <n v="64"/>
    <x v="4"/>
    <x v="6"/>
    <n v="24"/>
    <n v="8"/>
  </r>
  <r>
    <n v="2019"/>
    <n v="9"/>
    <x v="0"/>
    <x v="2"/>
    <x v="0"/>
    <s v="2019/2020"/>
    <b v="1"/>
    <b v="1"/>
    <b v="0"/>
    <x v="5"/>
    <n v="33663683005347"/>
    <x v="230"/>
    <x v="0"/>
    <x v="0"/>
    <n v="70"/>
    <x v="0"/>
    <x v="0"/>
    <n v="800"/>
    <n v="160"/>
  </r>
  <r>
    <n v="2019"/>
    <n v="9"/>
    <x v="0"/>
    <x v="2"/>
    <x v="0"/>
    <s v="2019/2020"/>
    <b v="1"/>
    <b v="1"/>
    <b v="0"/>
    <x v="5"/>
    <n v="33663683005347"/>
    <x v="230"/>
    <x v="0"/>
    <x v="0"/>
    <n v="70"/>
    <x v="0"/>
    <x v="0"/>
    <n v="1600"/>
    <n v="320"/>
  </r>
  <r>
    <n v="2019"/>
    <n v="9"/>
    <x v="0"/>
    <x v="2"/>
    <x v="0"/>
    <s v="2019/2020"/>
    <b v="1"/>
    <b v="1"/>
    <b v="0"/>
    <x v="17"/>
    <n v="35917970000726"/>
    <x v="420"/>
    <x v="114"/>
    <x v="0"/>
    <n v="73"/>
    <x v="1"/>
    <x v="4"/>
    <n v="12"/>
    <n v="3"/>
  </r>
  <r>
    <n v="2019"/>
    <n v="9"/>
    <x v="0"/>
    <x v="2"/>
    <x v="0"/>
    <s v="2019/2020"/>
    <b v="1"/>
    <b v="1"/>
    <b v="0"/>
    <x v="17"/>
    <n v="35917970000726"/>
    <x v="420"/>
    <x v="114"/>
    <x v="0"/>
    <n v="73"/>
    <x v="1"/>
    <x v="2"/>
    <n v="3"/>
    <n v="3"/>
  </r>
  <r>
    <n v="2019"/>
    <n v="9"/>
    <x v="0"/>
    <x v="2"/>
    <x v="0"/>
    <s v="2019/2020"/>
    <b v="1"/>
    <b v="1"/>
    <b v="0"/>
    <x v="10"/>
    <n v="35917970000726"/>
    <x v="420"/>
    <x v="114"/>
    <x v="0"/>
    <n v="73"/>
    <x v="1"/>
    <x v="4"/>
    <n v="12"/>
    <n v="3"/>
  </r>
  <r>
    <n v="2019"/>
    <n v="9"/>
    <x v="0"/>
    <x v="2"/>
    <x v="0"/>
    <s v="2019/2020"/>
    <b v="1"/>
    <b v="1"/>
    <b v="0"/>
    <x v="10"/>
    <n v="35917970000726"/>
    <x v="420"/>
    <x v="114"/>
    <x v="0"/>
    <n v="73"/>
    <x v="1"/>
    <x v="2"/>
    <n v="3"/>
    <n v="3"/>
  </r>
  <r>
    <n v="2019"/>
    <n v="9"/>
    <x v="0"/>
    <x v="2"/>
    <x v="0"/>
    <s v="2019/2020"/>
    <b v="1"/>
    <b v="1"/>
    <b v="0"/>
    <x v="10"/>
    <n v="36238913000198"/>
    <x v="421"/>
    <x v="115"/>
    <x v="0"/>
    <n v="73"/>
    <x v="1"/>
    <x v="4"/>
    <n v="80"/>
    <n v="20"/>
  </r>
  <r>
    <n v="2019"/>
    <n v="9"/>
    <x v="0"/>
    <x v="2"/>
    <x v="0"/>
    <s v="2019/2020"/>
    <b v="1"/>
    <b v="1"/>
    <b v="0"/>
    <x v="2"/>
    <n v="36238913000198"/>
    <x v="421"/>
    <x v="115"/>
    <x v="0"/>
    <n v="73"/>
    <x v="1"/>
    <x v="4"/>
    <n v="120"/>
    <n v="10"/>
  </r>
  <r>
    <n v="2019"/>
    <n v="9"/>
    <x v="0"/>
    <x v="2"/>
    <x v="0"/>
    <s v="2019/2020"/>
    <b v="1"/>
    <b v="1"/>
    <b v="0"/>
    <x v="4"/>
    <n v="37108388000159"/>
    <x v="234"/>
    <x v="4"/>
    <x v="4"/>
    <n v="62"/>
    <x v="3"/>
    <x v="5"/>
    <n v="3"/>
    <n v="3"/>
  </r>
  <r>
    <n v="2019"/>
    <n v="9"/>
    <x v="0"/>
    <x v="2"/>
    <x v="0"/>
    <s v="2019/2020"/>
    <b v="1"/>
    <b v="1"/>
    <b v="0"/>
    <x v="17"/>
    <n v="37108388000159"/>
    <x v="234"/>
    <x v="4"/>
    <x v="4"/>
    <n v="62"/>
    <x v="3"/>
    <x v="5"/>
    <n v="10"/>
    <n v="5"/>
  </r>
  <r>
    <n v="2019"/>
    <n v="9"/>
    <x v="0"/>
    <x v="2"/>
    <x v="0"/>
    <s v="2019/2020"/>
    <b v="1"/>
    <b v="1"/>
    <b v="0"/>
    <x v="8"/>
    <n v="37108388000159"/>
    <x v="234"/>
    <x v="4"/>
    <x v="4"/>
    <n v="62"/>
    <x v="3"/>
    <x v="5"/>
    <n v="2"/>
    <n v="2"/>
  </r>
  <r>
    <n v="2019"/>
    <n v="9"/>
    <x v="0"/>
    <x v="2"/>
    <x v="0"/>
    <s v="2019/2020"/>
    <b v="1"/>
    <b v="1"/>
    <b v="0"/>
    <x v="8"/>
    <n v="37108388000159"/>
    <x v="234"/>
    <x v="4"/>
    <x v="4"/>
    <n v="64"/>
    <x v="4"/>
    <x v="6"/>
    <n v="10"/>
    <n v="10"/>
  </r>
  <r>
    <n v="2019"/>
    <n v="9"/>
    <x v="0"/>
    <x v="2"/>
    <x v="0"/>
    <s v="2019/2020"/>
    <b v="1"/>
    <b v="1"/>
    <b v="0"/>
    <x v="8"/>
    <n v="37108388000159"/>
    <x v="234"/>
    <x v="4"/>
    <x v="4"/>
    <n v="64"/>
    <x v="4"/>
    <x v="6"/>
    <n v="20"/>
    <n v="20"/>
  </r>
  <r>
    <n v="2019"/>
    <n v="9"/>
    <x v="0"/>
    <x v="2"/>
    <x v="0"/>
    <s v="2019/2020"/>
    <b v="1"/>
    <b v="1"/>
    <b v="0"/>
    <x v="4"/>
    <n v="38000485000196"/>
    <x v="235"/>
    <x v="4"/>
    <x v="4"/>
    <n v="62"/>
    <x v="3"/>
    <x v="5"/>
    <n v="4"/>
    <n v="4"/>
  </r>
  <r>
    <n v="2019"/>
    <n v="9"/>
    <x v="0"/>
    <x v="2"/>
    <x v="0"/>
    <s v="2019/2020"/>
    <b v="1"/>
    <b v="1"/>
    <b v="0"/>
    <x v="4"/>
    <n v="38000485000196"/>
    <x v="235"/>
    <x v="4"/>
    <x v="4"/>
    <n v="62"/>
    <x v="3"/>
    <x v="5"/>
    <n v="5"/>
    <n v="5"/>
  </r>
  <r>
    <n v="2019"/>
    <n v="9"/>
    <x v="0"/>
    <x v="2"/>
    <x v="0"/>
    <s v="2019/2020"/>
    <b v="1"/>
    <b v="1"/>
    <b v="0"/>
    <x v="4"/>
    <n v="39086160000130"/>
    <x v="236"/>
    <x v="0"/>
    <x v="0"/>
    <n v="70"/>
    <x v="0"/>
    <x v="0"/>
    <n v="180"/>
    <n v="36"/>
  </r>
  <r>
    <n v="2019"/>
    <n v="9"/>
    <x v="0"/>
    <x v="2"/>
    <x v="0"/>
    <s v="2019/2020"/>
    <b v="1"/>
    <b v="1"/>
    <b v="0"/>
    <x v="4"/>
    <n v="39086160000130"/>
    <x v="236"/>
    <x v="0"/>
    <x v="0"/>
    <n v="73"/>
    <x v="1"/>
    <x v="4"/>
    <n v="16"/>
    <n v="4"/>
  </r>
  <r>
    <n v="2019"/>
    <n v="9"/>
    <x v="0"/>
    <x v="2"/>
    <x v="0"/>
    <s v="2019/2020"/>
    <b v="1"/>
    <b v="1"/>
    <b v="0"/>
    <x v="4"/>
    <n v="39086160000130"/>
    <x v="236"/>
    <x v="0"/>
    <x v="0"/>
    <n v="73"/>
    <x v="1"/>
    <x v="4"/>
    <n v="32"/>
    <n v="8"/>
  </r>
  <r>
    <n v="2019"/>
    <n v="9"/>
    <x v="0"/>
    <x v="2"/>
    <x v="0"/>
    <s v="2019/2020"/>
    <b v="1"/>
    <b v="1"/>
    <b v="0"/>
    <x v="4"/>
    <n v="39086160000130"/>
    <x v="236"/>
    <x v="0"/>
    <x v="0"/>
    <n v="73"/>
    <x v="1"/>
    <x v="4"/>
    <n v="40"/>
    <n v="10"/>
  </r>
  <r>
    <n v="2019"/>
    <n v="9"/>
    <x v="0"/>
    <x v="2"/>
    <x v="0"/>
    <s v="2019/2020"/>
    <b v="1"/>
    <b v="1"/>
    <b v="0"/>
    <x v="3"/>
    <n v="39387477000107"/>
    <x v="237"/>
    <x v="66"/>
    <x v="13"/>
    <n v="70"/>
    <x v="0"/>
    <x v="0"/>
    <n v="75"/>
    <n v="15"/>
  </r>
  <r>
    <n v="2019"/>
    <n v="9"/>
    <x v="0"/>
    <x v="2"/>
    <x v="0"/>
    <s v="2019/2020"/>
    <b v="1"/>
    <b v="1"/>
    <b v="0"/>
    <x v="3"/>
    <n v="39387477000107"/>
    <x v="237"/>
    <x v="66"/>
    <x v="13"/>
    <n v="70"/>
    <x v="0"/>
    <x v="0"/>
    <n v="125"/>
    <n v="25"/>
  </r>
  <r>
    <n v="2019"/>
    <n v="9"/>
    <x v="0"/>
    <x v="2"/>
    <x v="0"/>
    <s v="2019/2020"/>
    <b v="1"/>
    <b v="1"/>
    <b v="0"/>
    <x v="3"/>
    <n v="39387477000107"/>
    <x v="237"/>
    <x v="66"/>
    <x v="13"/>
    <n v="70"/>
    <x v="0"/>
    <x v="0"/>
    <n v="150"/>
    <n v="30"/>
  </r>
  <r>
    <n v="2019"/>
    <n v="9"/>
    <x v="0"/>
    <x v="2"/>
    <x v="0"/>
    <s v="2019/2020"/>
    <b v="1"/>
    <b v="1"/>
    <b v="0"/>
    <x v="2"/>
    <n v="40226946000276"/>
    <x v="492"/>
    <x v="0"/>
    <x v="0"/>
    <n v="64"/>
    <x v="4"/>
    <x v="6"/>
    <n v="2"/>
    <n v="2"/>
  </r>
  <r>
    <n v="2019"/>
    <n v="9"/>
    <x v="0"/>
    <x v="2"/>
    <x v="0"/>
    <s v="2019/2020"/>
    <b v="1"/>
    <b v="1"/>
    <b v="0"/>
    <x v="4"/>
    <n v="41580077000165"/>
    <x v="423"/>
    <x v="32"/>
    <x v="18"/>
    <n v="62"/>
    <x v="3"/>
    <x v="5"/>
    <n v="3"/>
    <n v="3"/>
  </r>
  <r>
    <n v="2019"/>
    <n v="9"/>
    <x v="0"/>
    <x v="2"/>
    <x v="0"/>
    <s v="2019/2020"/>
    <b v="1"/>
    <b v="1"/>
    <b v="0"/>
    <x v="4"/>
    <n v="43293604002120"/>
    <x v="239"/>
    <x v="74"/>
    <x v="3"/>
    <n v="70"/>
    <x v="0"/>
    <x v="0"/>
    <n v="15"/>
    <n v="3"/>
  </r>
  <r>
    <n v="2019"/>
    <n v="9"/>
    <x v="0"/>
    <x v="2"/>
    <x v="0"/>
    <s v="2019/2020"/>
    <b v="1"/>
    <b v="1"/>
    <b v="0"/>
    <x v="4"/>
    <n v="43293604002120"/>
    <x v="239"/>
    <x v="74"/>
    <x v="3"/>
    <n v="70"/>
    <x v="0"/>
    <x v="0"/>
    <n v="50"/>
    <n v="10"/>
  </r>
  <r>
    <n v="2019"/>
    <n v="9"/>
    <x v="0"/>
    <x v="2"/>
    <x v="0"/>
    <s v="2019/2020"/>
    <b v="1"/>
    <b v="1"/>
    <b v="0"/>
    <x v="6"/>
    <n v="44456036000311"/>
    <x v="241"/>
    <x v="75"/>
    <x v="3"/>
    <n v="64"/>
    <x v="4"/>
    <x v="6"/>
    <n v="7"/>
    <n v="7"/>
  </r>
  <r>
    <n v="2019"/>
    <n v="9"/>
    <x v="0"/>
    <x v="2"/>
    <x v="0"/>
    <s v="2019/2020"/>
    <b v="1"/>
    <b v="1"/>
    <b v="0"/>
    <x v="17"/>
    <n v="44649812001614"/>
    <x v="493"/>
    <x v="82"/>
    <x v="3"/>
    <n v="64"/>
    <x v="4"/>
    <x v="6"/>
    <n v="4"/>
    <n v="4"/>
  </r>
  <r>
    <n v="2019"/>
    <n v="9"/>
    <x v="0"/>
    <x v="2"/>
    <x v="0"/>
    <s v="2019/2020"/>
    <b v="1"/>
    <b v="1"/>
    <b v="0"/>
    <x v="4"/>
    <n v="44649812005520"/>
    <x v="243"/>
    <x v="3"/>
    <x v="3"/>
    <n v="73"/>
    <x v="1"/>
    <x v="1"/>
    <n v="4"/>
    <n v="2"/>
  </r>
  <r>
    <n v="2019"/>
    <n v="9"/>
    <x v="0"/>
    <x v="2"/>
    <x v="0"/>
    <s v="2019/2020"/>
    <b v="1"/>
    <b v="1"/>
    <b v="0"/>
    <x v="17"/>
    <n v="44649812019238"/>
    <x v="244"/>
    <x v="48"/>
    <x v="3"/>
    <n v="73"/>
    <x v="1"/>
    <x v="4"/>
    <n v="8"/>
    <n v="2"/>
  </r>
  <r>
    <n v="2019"/>
    <n v="9"/>
    <x v="0"/>
    <x v="2"/>
    <x v="0"/>
    <s v="2019/2020"/>
    <b v="1"/>
    <b v="1"/>
    <b v="0"/>
    <x v="14"/>
    <n v="44663631000590"/>
    <x v="245"/>
    <x v="77"/>
    <x v="3"/>
    <n v="70"/>
    <x v="0"/>
    <x v="0"/>
    <n v="165"/>
    <n v="33"/>
  </r>
  <r>
    <n v="2019"/>
    <n v="9"/>
    <x v="0"/>
    <x v="2"/>
    <x v="0"/>
    <s v="2019/2020"/>
    <b v="1"/>
    <b v="1"/>
    <b v="0"/>
    <x v="2"/>
    <n v="44663631000590"/>
    <x v="245"/>
    <x v="77"/>
    <x v="3"/>
    <n v="70"/>
    <x v="0"/>
    <x v="0"/>
    <n v="30"/>
    <n v="6"/>
  </r>
  <r>
    <n v="2019"/>
    <n v="9"/>
    <x v="0"/>
    <x v="2"/>
    <x v="0"/>
    <s v="2019/2020"/>
    <b v="1"/>
    <b v="1"/>
    <b v="0"/>
    <x v="2"/>
    <n v="44663631000590"/>
    <x v="245"/>
    <x v="77"/>
    <x v="3"/>
    <n v="73"/>
    <x v="1"/>
    <x v="4"/>
    <n v="32"/>
    <n v="4"/>
  </r>
  <r>
    <n v="2019"/>
    <n v="9"/>
    <x v="0"/>
    <x v="2"/>
    <x v="0"/>
    <s v="2019/2020"/>
    <b v="1"/>
    <b v="1"/>
    <b v="0"/>
    <x v="17"/>
    <n v="44803922000293"/>
    <x v="246"/>
    <x v="78"/>
    <x v="3"/>
    <n v="73"/>
    <x v="1"/>
    <x v="1"/>
    <n v="8"/>
    <n v="4"/>
  </r>
  <r>
    <n v="2019"/>
    <n v="9"/>
    <x v="0"/>
    <x v="2"/>
    <x v="0"/>
    <s v="2019/2020"/>
    <b v="1"/>
    <b v="1"/>
    <b v="0"/>
    <x v="6"/>
    <n v="45118429001279"/>
    <x v="247"/>
    <x v="79"/>
    <x v="3"/>
    <n v="64"/>
    <x v="4"/>
    <x v="6"/>
    <n v="2"/>
    <n v="2"/>
  </r>
  <r>
    <n v="2019"/>
    <n v="9"/>
    <x v="0"/>
    <x v="2"/>
    <x v="0"/>
    <s v="2019/2020"/>
    <b v="1"/>
    <b v="1"/>
    <b v="0"/>
    <x v="6"/>
    <n v="45118429001279"/>
    <x v="247"/>
    <x v="79"/>
    <x v="3"/>
    <n v="64"/>
    <x v="4"/>
    <x v="6"/>
    <n v="5"/>
    <n v="5"/>
  </r>
  <r>
    <n v="2019"/>
    <n v="9"/>
    <x v="0"/>
    <x v="2"/>
    <x v="0"/>
    <s v="2019/2020"/>
    <b v="1"/>
    <b v="1"/>
    <b v="0"/>
    <x v="17"/>
    <n v="45118429001279"/>
    <x v="247"/>
    <x v="79"/>
    <x v="3"/>
    <n v="70"/>
    <x v="0"/>
    <x v="0"/>
    <n v="50"/>
    <n v="10"/>
  </r>
  <r>
    <n v="2019"/>
    <n v="9"/>
    <x v="0"/>
    <x v="2"/>
    <x v="0"/>
    <s v="2019/2020"/>
    <b v="1"/>
    <b v="1"/>
    <b v="0"/>
    <x v="7"/>
    <n v="45118429001279"/>
    <x v="247"/>
    <x v="79"/>
    <x v="3"/>
    <n v="70"/>
    <x v="0"/>
    <x v="0"/>
    <n v="50"/>
    <n v="10"/>
  </r>
  <r>
    <n v="2019"/>
    <n v="9"/>
    <x v="0"/>
    <x v="2"/>
    <x v="0"/>
    <s v="2019/2020"/>
    <b v="1"/>
    <b v="1"/>
    <b v="0"/>
    <x v="2"/>
    <n v="45118429001279"/>
    <x v="247"/>
    <x v="79"/>
    <x v="3"/>
    <n v="73"/>
    <x v="1"/>
    <x v="1"/>
    <n v="4"/>
    <n v="1"/>
  </r>
  <r>
    <n v="2019"/>
    <n v="9"/>
    <x v="0"/>
    <x v="2"/>
    <x v="0"/>
    <s v="2019/2020"/>
    <b v="1"/>
    <b v="1"/>
    <b v="0"/>
    <x v="2"/>
    <n v="45118429001279"/>
    <x v="247"/>
    <x v="79"/>
    <x v="3"/>
    <n v="73"/>
    <x v="1"/>
    <x v="2"/>
    <n v="2"/>
    <n v="1"/>
  </r>
  <r>
    <n v="2019"/>
    <n v="9"/>
    <x v="0"/>
    <x v="2"/>
    <x v="0"/>
    <s v="2019/2020"/>
    <b v="1"/>
    <b v="1"/>
    <b v="0"/>
    <x v="6"/>
    <n v="45184066000117"/>
    <x v="248"/>
    <x v="35"/>
    <x v="3"/>
    <n v="70"/>
    <x v="0"/>
    <x v="0"/>
    <n v="100"/>
    <n v="20"/>
  </r>
  <r>
    <n v="2019"/>
    <n v="9"/>
    <x v="0"/>
    <x v="2"/>
    <x v="0"/>
    <s v="2019/2020"/>
    <b v="1"/>
    <b v="1"/>
    <b v="0"/>
    <x v="4"/>
    <n v="45184066000117"/>
    <x v="248"/>
    <x v="35"/>
    <x v="3"/>
    <n v="73"/>
    <x v="1"/>
    <x v="2"/>
    <n v="5"/>
    <n v="5"/>
  </r>
  <r>
    <n v="2019"/>
    <n v="9"/>
    <x v="0"/>
    <x v="2"/>
    <x v="0"/>
    <s v="2019/2020"/>
    <b v="1"/>
    <b v="1"/>
    <b v="0"/>
    <x v="6"/>
    <n v="45184066000117"/>
    <x v="248"/>
    <x v="35"/>
    <x v="3"/>
    <n v="73"/>
    <x v="1"/>
    <x v="4"/>
    <n v="8"/>
    <n v="2"/>
  </r>
  <r>
    <n v="2019"/>
    <n v="9"/>
    <x v="0"/>
    <x v="2"/>
    <x v="0"/>
    <s v="2019/2020"/>
    <b v="1"/>
    <b v="1"/>
    <b v="0"/>
    <x v="6"/>
    <n v="45184066000117"/>
    <x v="248"/>
    <x v="35"/>
    <x v="3"/>
    <n v="73"/>
    <x v="1"/>
    <x v="2"/>
    <n v="2"/>
    <n v="2"/>
  </r>
  <r>
    <n v="2019"/>
    <n v="9"/>
    <x v="0"/>
    <x v="2"/>
    <x v="0"/>
    <s v="2019/2020"/>
    <b v="1"/>
    <b v="1"/>
    <b v="0"/>
    <x v="17"/>
    <n v="45232246000550"/>
    <x v="249"/>
    <x v="22"/>
    <x v="3"/>
    <n v="70"/>
    <x v="0"/>
    <x v="0"/>
    <n v="100"/>
    <n v="20"/>
  </r>
  <r>
    <n v="2019"/>
    <n v="9"/>
    <x v="0"/>
    <x v="2"/>
    <x v="0"/>
    <s v="2019/2020"/>
    <b v="1"/>
    <b v="1"/>
    <b v="0"/>
    <x v="6"/>
    <n v="45232246000550"/>
    <x v="249"/>
    <x v="22"/>
    <x v="3"/>
    <n v="70"/>
    <x v="0"/>
    <x v="0"/>
    <n v="50"/>
    <n v="10"/>
  </r>
  <r>
    <n v="2019"/>
    <n v="9"/>
    <x v="0"/>
    <x v="2"/>
    <x v="0"/>
    <s v="2019/2020"/>
    <b v="1"/>
    <b v="1"/>
    <b v="0"/>
    <x v="6"/>
    <n v="45232246000550"/>
    <x v="249"/>
    <x v="22"/>
    <x v="3"/>
    <n v="70"/>
    <x v="0"/>
    <x v="0"/>
    <n v="60"/>
    <n v="12"/>
  </r>
  <r>
    <n v="2019"/>
    <n v="9"/>
    <x v="0"/>
    <x v="2"/>
    <x v="0"/>
    <s v="2019/2020"/>
    <b v="1"/>
    <b v="1"/>
    <b v="0"/>
    <x v="27"/>
    <n v="45232246000550"/>
    <x v="249"/>
    <x v="22"/>
    <x v="3"/>
    <n v="70"/>
    <x v="0"/>
    <x v="0"/>
    <n v="50"/>
    <n v="10"/>
  </r>
  <r>
    <n v="2019"/>
    <n v="9"/>
    <x v="0"/>
    <x v="2"/>
    <x v="0"/>
    <s v="2019/2020"/>
    <b v="1"/>
    <b v="1"/>
    <b v="0"/>
    <x v="27"/>
    <n v="45232246000550"/>
    <x v="249"/>
    <x v="22"/>
    <x v="3"/>
    <n v="70"/>
    <x v="0"/>
    <x v="0"/>
    <n v="100"/>
    <n v="20"/>
  </r>
  <r>
    <n v="2019"/>
    <n v="9"/>
    <x v="0"/>
    <x v="2"/>
    <x v="0"/>
    <s v="2019/2020"/>
    <b v="1"/>
    <b v="1"/>
    <b v="0"/>
    <x v="6"/>
    <n v="45232246000550"/>
    <x v="249"/>
    <x v="22"/>
    <x v="3"/>
    <n v="73"/>
    <x v="1"/>
    <x v="2"/>
    <n v="2"/>
    <n v="2"/>
  </r>
  <r>
    <n v="2019"/>
    <n v="9"/>
    <x v="0"/>
    <x v="2"/>
    <x v="0"/>
    <s v="2019/2020"/>
    <b v="1"/>
    <b v="1"/>
    <b v="0"/>
    <x v="6"/>
    <n v="45232246000550"/>
    <x v="249"/>
    <x v="22"/>
    <x v="3"/>
    <n v="73"/>
    <x v="1"/>
    <x v="1"/>
    <n v="8"/>
    <n v="4"/>
  </r>
  <r>
    <n v="2019"/>
    <n v="9"/>
    <x v="0"/>
    <x v="2"/>
    <x v="0"/>
    <s v="2019/2020"/>
    <b v="1"/>
    <b v="1"/>
    <b v="0"/>
    <x v="6"/>
    <n v="45232246000550"/>
    <x v="249"/>
    <x v="22"/>
    <x v="3"/>
    <n v="73"/>
    <x v="1"/>
    <x v="2"/>
    <n v="4"/>
    <n v="4"/>
  </r>
  <r>
    <n v="2019"/>
    <n v="9"/>
    <x v="0"/>
    <x v="2"/>
    <x v="0"/>
    <s v="2019/2020"/>
    <b v="1"/>
    <b v="1"/>
    <b v="0"/>
    <x v="6"/>
    <n v="45232246000550"/>
    <x v="249"/>
    <x v="22"/>
    <x v="3"/>
    <n v="73"/>
    <x v="1"/>
    <x v="1"/>
    <n v="16"/>
    <n v="8"/>
  </r>
  <r>
    <n v="2019"/>
    <n v="9"/>
    <x v="0"/>
    <x v="2"/>
    <x v="0"/>
    <s v="2019/2020"/>
    <b v="1"/>
    <b v="1"/>
    <b v="0"/>
    <x v="6"/>
    <n v="45232246000550"/>
    <x v="249"/>
    <x v="22"/>
    <x v="3"/>
    <n v="73"/>
    <x v="1"/>
    <x v="4"/>
    <n v="32"/>
    <n v="8"/>
  </r>
  <r>
    <n v="2019"/>
    <n v="9"/>
    <x v="0"/>
    <x v="2"/>
    <x v="0"/>
    <s v="2019/2020"/>
    <b v="1"/>
    <b v="1"/>
    <b v="0"/>
    <x v="2"/>
    <n v="45359213000576"/>
    <x v="250"/>
    <x v="80"/>
    <x v="3"/>
    <n v="73"/>
    <x v="1"/>
    <x v="1"/>
    <n v="8"/>
    <n v="4"/>
  </r>
  <r>
    <n v="2019"/>
    <n v="9"/>
    <x v="0"/>
    <x v="2"/>
    <x v="0"/>
    <s v="2019/2020"/>
    <b v="1"/>
    <b v="1"/>
    <b v="0"/>
    <x v="6"/>
    <n v="45399961000230"/>
    <x v="251"/>
    <x v="81"/>
    <x v="3"/>
    <n v="70"/>
    <x v="0"/>
    <x v="0"/>
    <n v="300"/>
    <n v="30"/>
  </r>
  <r>
    <n v="2019"/>
    <n v="9"/>
    <x v="0"/>
    <x v="2"/>
    <x v="0"/>
    <s v="2019/2020"/>
    <b v="1"/>
    <b v="1"/>
    <b v="0"/>
    <x v="5"/>
    <n v="45780103000150"/>
    <x v="252"/>
    <x v="82"/>
    <x v="3"/>
    <n v="70"/>
    <x v="0"/>
    <x v="0"/>
    <n v="615"/>
    <n v="123"/>
  </r>
  <r>
    <n v="2019"/>
    <n v="9"/>
    <x v="0"/>
    <x v="2"/>
    <x v="0"/>
    <s v="2019/2020"/>
    <b v="1"/>
    <b v="1"/>
    <b v="0"/>
    <x v="17"/>
    <n v="46009718000140"/>
    <x v="253"/>
    <x v="48"/>
    <x v="3"/>
    <n v="66"/>
    <x v="2"/>
    <x v="3"/>
    <n v="3"/>
    <n v="3"/>
  </r>
  <r>
    <n v="2019"/>
    <n v="9"/>
    <x v="0"/>
    <x v="2"/>
    <x v="0"/>
    <s v="2019/2020"/>
    <b v="1"/>
    <b v="1"/>
    <b v="0"/>
    <x v="14"/>
    <n v="46009718000140"/>
    <x v="253"/>
    <x v="48"/>
    <x v="3"/>
    <n v="70"/>
    <x v="0"/>
    <x v="0"/>
    <n v="100"/>
    <n v="20"/>
  </r>
  <r>
    <n v="2019"/>
    <n v="9"/>
    <x v="0"/>
    <x v="2"/>
    <x v="0"/>
    <s v="2019/2020"/>
    <b v="1"/>
    <b v="1"/>
    <b v="0"/>
    <x v="6"/>
    <n v="46009718000140"/>
    <x v="253"/>
    <x v="48"/>
    <x v="3"/>
    <n v="70"/>
    <x v="0"/>
    <x v="0"/>
    <n v="150"/>
    <n v="30"/>
  </r>
  <r>
    <n v="2019"/>
    <n v="9"/>
    <x v="0"/>
    <x v="2"/>
    <x v="0"/>
    <s v="2019/2020"/>
    <b v="1"/>
    <b v="1"/>
    <b v="0"/>
    <x v="2"/>
    <n v="46009718000140"/>
    <x v="253"/>
    <x v="48"/>
    <x v="3"/>
    <n v="70"/>
    <x v="0"/>
    <x v="0"/>
    <n v="200"/>
    <n v="40"/>
  </r>
  <r>
    <n v="2019"/>
    <n v="9"/>
    <x v="0"/>
    <x v="2"/>
    <x v="0"/>
    <s v="2019/2020"/>
    <b v="1"/>
    <b v="1"/>
    <b v="0"/>
    <x v="2"/>
    <n v="46009718000140"/>
    <x v="253"/>
    <x v="48"/>
    <x v="3"/>
    <n v="70"/>
    <x v="0"/>
    <x v="0"/>
    <n v="400"/>
    <n v="80"/>
  </r>
  <r>
    <n v="2019"/>
    <n v="9"/>
    <x v="0"/>
    <x v="2"/>
    <x v="0"/>
    <s v="2019/2020"/>
    <b v="1"/>
    <b v="1"/>
    <b v="0"/>
    <x v="2"/>
    <n v="46009718000140"/>
    <x v="253"/>
    <x v="48"/>
    <x v="3"/>
    <n v="73"/>
    <x v="1"/>
    <x v="1"/>
    <n v="10"/>
    <n v="5"/>
  </r>
  <r>
    <n v="2019"/>
    <n v="9"/>
    <x v="0"/>
    <x v="2"/>
    <x v="0"/>
    <s v="2019/2020"/>
    <b v="1"/>
    <b v="1"/>
    <b v="0"/>
    <x v="2"/>
    <n v="46009718000140"/>
    <x v="253"/>
    <x v="48"/>
    <x v="3"/>
    <n v="73"/>
    <x v="1"/>
    <x v="4"/>
    <n v="20"/>
    <n v="5"/>
  </r>
  <r>
    <n v="2019"/>
    <n v="9"/>
    <x v="0"/>
    <x v="2"/>
    <x v="0"/>
    <s v="2019/2020"/>
    <b v="1"/>
    <b v="1"/>
    <b v="0"/>
    <x v="2"/>
    <n v="46009718000140"/>
    <x v="253"/>
    <x v="48"/>
    <x v="3"/>
    <n v="73"/>
    <x v="1"/>
    <x v="1"/>
    <n v="12"/>
    <n v="6"/>
  </r>
  <r>
    <n v="2019"/>
    <n v="9"/>
    <x v="0"/>
    <x v="2"/>
    <x v="0"/>
    <s v="2019/2020"/>
    <b v="1"/>
    <b v="1"/>
    <b v="0"/>
    <x v="6"/>
    <n v="46020301000269"/>
    <x v="254"/>
    <x v="48"/>
    <x v="3"/>
    <n v="64"/>
    <x v="4"/>
    <x v="6"/>
    <n v="1"/>
    <n v="1"/>
  </r>
  <r>
    <n v="2019"/>
    <n v="9"/>
    <x v="0"/>
    <x v="2"/>
    <x v="0"/>
    <s v="2019/2020"/>
    <b v="1"/>
    <b v="1"/>
    <b v="0"/>
    <x v="4"/>
    <n v="46020301000269"/>
    <x v="254"/>
    <x v="48"/>
    <x v="3"/>
    <n v="73"/>
    <x v="1"/>
    <x v="2"/>
    <n v="3"/>
    <n v="3"/>
  </r>
  <r>
    <n v="2019"/>
    <n v="9"/>
    <x v="0"/>
    <x v="2"/>
    <x v="0"/>
    <s v="2019/2020"/>
    <b v="1"/>
    <b v="1"/>
    <b v="0"/>
    <x v="17"/>
    <n v="46020301000269"/>
    <x v="254"/>
    <x v="48"/>
    <x v="3"/>
    <n v="73"/>
    <x v="1"/>
    <x v="4"/>
    <n v="20"/>
    <n v="5"/>
  </r>
  <r>
    <n v="2019"/>
    <n v="9"/>
    <x v="0"/>
    <x v="2"/>
    <x v="0"/>
    <s v="2019/2020"/>
    <b v="1"/>
    <b v="1"/>
    <b v="0"/>
    <x v="20"/>
    <n v="46020301000269"/>
    <x v="254"/>
    <x v="48"/>
    <x v="3"/>
    <n v="73"/>
    <x v="1"/>
    <x v="4"/>
    <n v="8"/>
    <n v="1"/>
  </r>
  <r>
    <n v="2019"/>
    <n v="9"/>
    <x v="0"/>
    <x v="2"/>
    <x v="0"/>
    <s v="2019/2020"/>
    <b v="1"/>
    <b v="1"/>
    <b v="0"/>
    <x v="20"/>
    <n v="46020301000269"/>
    <x v="254"/>
    <x v="48"/>
    <x v="3"/>
    <n v="73"/>
    <x v="1"/>
    <x v="4"/>
    <n v="8"/>
    <n v="2"/>
  </r>
  <r>
    <n v="2019"/>
    <n v="9"/>
    <x v="0"/>
    <x v="2"/>
    <x v="0"/>
    <s v="2019/2020"/>
    <b v="1"/>
    <b v="1"/>
    <b v="0"/>
    <x v="20"/>
    <n v="46020301000269"/>
    <x v="254"/>
    <x v="48"/>
    <x v="3"/>
    <n v="73"/>
    <x v="1"/>
    <x v="4"/>
    <n v="16"/>
    <n v="4"/>
  </r>
  <r>
    <n v="2019"/>
    <n v="9"/>
    <x v="0"/>
    <x v="2"/>
    <x v="0"/>
    <s v="2019/2020"/>
    <b v="1"/>
    <b v="1"/>
    <b v="0"/>
    <x v="20"/>
    <n v="46124624000111"/>
    <x v="255"/>
    <x v="48"/>
    <x v="3"/>
    <n v="70"/>
    <x v="0"/>
    <x v="0"/>
    <n v="10"/>
    <n v="2"/>
  </r>
  <r>
    <n v="2019"/>
    <n v="9"/>
    <x v="0"/>
    <x v="2"/>
    <x v="0"/>
    <s v="2019/2020"/>
    <b v="1"/>
    <b v="1"/>
    <b v="0"/>
    <x v="20"/>
    <n v="46124624000111"/>
    <x v="255"/>
    <x v="48"/>
    <x v="3"/>
    <n v="70"/>
    <x v="0"/>
    <x v="0"/>
    <n v="90"/>
    <n v="18"/>
  </r>
  <r>
    <n v="2019"/>
    <n v="9"/>
    <x v="0"/>
    <x v="2"/>
    <x v="0"/>
    <s v="2019/2020"/>
    <b v="1"/>
    <b v="1"/>
    <b v="0"/>
    <x v="20"/>
    <n v="46124624000111"/>
    <x v="255"/>
    <x v="48"/>
    <x v="3"/>
    <n v="70"/>
    <x v="0"/>
    <x v="0"/>
    <n v="165"/>
    <n v="33"/>
  </r>
  <r>
    <n v="2019"/>
    <n v="9"/>
    <x v="0"/>
    <x v="2"/>
    <x v="0"/>
    <s v="2019/2020"/>
    <b v="1"/>
    <b v="1"/>
    <b v="0"/>
    <x v="20"/>
    <n v="46124624000111"/>
    <x v="255"/>
    <x v="48"/>
    <x v="3"/>
    <n v="73"/>
    <x v="1"/>
    <x v="4"/>
    <n v="72"/>
    <n v="6"/>
  </r>
  <r>
    <n v="2019"/>
    <n v="9"/>
    <x v="0"/>
    <x v="2"/>
    <x v="0"/>
    <s v="2019/2020"/>
    <b v="1"/>
    <b v="1"/>
    <b v="0"/>
    <x v="20"/>
    <n v="46124624000111"/>
    <x v="255"/>
    <x v="48"/>
    <x v="3"/>
    <n v="73"/>
    <x v="1"/>
    <x v="4"/>
    <n v="48"/>
    <n v="12"/>
  </r>
  <r>
    <n v="2019"/>
    <n v="9"/>
    <x v="0"/>
    <x v="2"/>
    <x v="0"/>
    <s v="2019/2020"/>
    <b v="1"/>
    <b v="1"/>
    <b v="0"/>
    <x v="20"/>
    <n v="46124624002599"/>
    <x v="256"/>
    <x v="83"/>
    <x v="3"/>
    <n v="70"/>
    <x v="0"/>
    <x v="0"/>
    <n v="250"/>
    <n v="50"/>
  </r>
  <r>
    <n v="2019"/>
    <n v="9"/>
    <x v="0"/>
    <x v="2"/>
    <x v="0"/>
    <s v="2019/2020"/>
    <b v="1"/>
    <b v="1"/>
    <b v="0"/>
    <x v="20"/>
    <n v="46124624002599"/>
    <x v="256"/>
    <x v="83"/>
    <x v="3"/>
    <n v="70"/>
    <x v="0"/>
    <x v="0"/>
    <n v="1000"/>
    <n v="100"/>
  </r>
  <r>
    <n v="2019"/>
    <n v="9"/>
    <x v="0"/>
    <x v="2"/>
    <x v="0"/>
    <s v="2019/2020"/>
    <b v="1"/>
    <b v="1"/>
    <b v="0"/>
    <x v="20"/>
    <n v="46124624002599"/>
    <x v="256"/>
    <x v="83"/>
    <x v="3"/>
    <n v="73"/>
    <x v="1"/>
    <x v="4"/>
    <n v="80"/>
    <n v="20"/>
  </r>
  <r>
    <n v="2019"/>
    <n v="9"/>
    <x v="0"/>
    <x v="2"/>
    <x v="0"/>
    <s v="2019/2020"/>
    <b v="1"/>
    <b v="1"/>
    <b v="0"/>
    <x v="5"/>
    <n v="46374500003533"/>
    <x v="257"/>
    <x v="22"/>
    <x v="3"/>
    <n v="70"/>
    <x v="0"/>
    <x v="0"/>
    <n v="1000"/>
    <n v="200"/>
  </r>
  <r>
    <n v="2019"/>
    <n v="9"/>
    <x v="0"/>
    <x v="2"/>
    <x v="0"/>
    <s v="2019/2020"/>
    <b v="1"/>
    <b v="1"/>
    <b v="0"/>
    <x v="5"/>
    <n v="46374500008845"/>
    <x v="494"/>
    <x v="3"/>
    <x v="3"/>
    <n v="70"/>
    <x v="0"/>
    <x v="0"/>
    <n v="200"/>
    <n v="40"/>
  </r>
  <r>
    <n v="2019"/>
    <n v="9"/>
    <x v="0"/>
    <x v="2"/>
    <x v="0"/>
    <s v="2019/2020"/>
    <b v="1"/>
    <b v="1"/>
    <b v="0"/>
    <x v="5"/>
    <n v="46374500009221"/>
    <x v="495"/>
    <x v="134"/>
    <x v="3"/>
    <n v="70"/>
    <x v="0"/>
    <x v="0"/>
    <n v="900"/>
    <n v="180"/>
  </r>
  <r>
    <n v="2019"/>
    <n v="9"/>
    <x v="0"/>
    <x v="2"/>
    <x v="0"/>
    <s v="2019/2020"/>
    <b v="1"/>
    <b v="1"/>
    <b v="0"/>
    <x v="5"/>
    <n v="46374500010823"/>
    <x v="496"/>
    <x v="3"/>
    <x v="3"/>
    <n v="70"/>
    <x v="0"/>
    <x v="0"/>
    <n v="150"/>
    <n v="30"/>
  </r>
  <r>
    <n v="2019"/>
    <n v="9"/>
    <x v="0"/>
    <x v="2"/>
    <x v="0"/>
    <s v="2019/2020"/>
    <b v="1"/>
    <b v="1"/>
    <b v="0"/>
    <x v="5"/>
    <n v="46374500026231"/>
    <x v="428"/>
    <x v="3"/>
    <x v="3"/>
    <n v="66"/>
    <x v="2"/>
    <x v="3"/>
    <n v="28"/>
    <n v="28"/>
  </r>
  <r>
    <n v="2019"/>
    <n v="9"/>
    <x v="0"/>
    <x v="2"/>
    <x v="0"/>
    <s v="2019/2020"/>
    <b v="1"/>
    <b v="1"/>
    <b v="0"/>
    <x v="5"/>
    <n v="46374500026231"/>
    <x v="428"/>
    <x v="3"/>
    <x v="3"/>
    <n v="73"/>
    <x v="1"/>
    <x v="4"/>
    <n v="192"/>
    <n v="48"/>
  </r>
  <r>
    <n v="2019"/>
    <n v="9"/>
    <x v="0"/>
    <x v="2"/>
    <x v="0"/>
    <s v="2019/2020"/>
    <b v="1"/>
    <b v="1"/>
    <b v="0"/>
    <x v="5"/>
    <n v="46643466000106"/>
    <x v="497"/>
    <x v="35"/>
    <x v="3"/>
    <n v="70"/>
    <x v="0"/>
    <x v="0"/>
    <n v="240"/>
    <n v="48"/>
  </r>
  <r>
    <n v="2019"/>
    <n v="9"/>
    <x v="0"/>
    <x v="2"/>
    <x v="0"/>
    <s v="2019/2020"/>
    <b v="1"/>
    <b v="1"/>
    <b v="0"/>
    <x v="5"/>
    <n v="46643466000106"/>
    <x v="497"/>
    <x v="35"/>
    <x v="3"/>
    <n v="70"/>
    <x v="0"/>
    <x v="0"/>
    <n v="460"/>
    <n v="92"/>
  </r>
  <r>
    <n v="2019"/>
    <n v="9"/>
    <x v="0"/>
    <x v="2"/>
    <x v="0"/>
    <s v="2019/2020"/>
    <b v="1"/>
    <b v="1"/>
    <b v="0"/>
    <x v="2"/>
    <n v="47565155000996"/>
    <x v="498"/>
    <x v="135"/>
    <x v="3"/>
    <n v="62"/>
    <x v="3"/>
    <x v="5"/>
    <n v="3"/>
    <n v="3"/>
  </r>
  <r>
    <n v="2019"/>
    <n v="9"/>
    <x v="0"/>
    <x v="2"/>
    <x v="0"/>
    <s v="2019/2020"/>
    <b v="1"/>
    <b v="1"/>
    <b v="0"/>
    <x v="6"/>
    <n v="47565155000996"/>
    <x v="498"/>
    <x v="135"/>
    <x v="3"/>
    <n v="64"/>
    <x v="4"/>
    <x v="6"/>
    <n v="4"/>
    <n v="4"/>
  </r>
  <r>
    <n v="2019"/>
    <n v="9"/>
    <x v="0"/>
    <x v="2"/>
    <x v="0"/>
    <s v="2019/2020"/>
    <b v="1"/>
    <b v="1"/>
    <b v="0"/>
    <x v="5"/>
    <n v="48468284000171"/>
    <x v="259"/>
    <x v="84"/>
    <x v="3"/>
    <n v="70"/>
    <x v="0"/>
    <x v="0"/>
    <n v="200"/>
    <n v="40"/>
  </r>
  <r>
    <n v="2019"/>
    <n v="9"/>
    <x v="0"/>
    <x v="2"/>
    <x v="0"/>
    <s v="2019/2020"/>
    <b v="1"/>
    <b v="1"/>
    <b v="0"/>
    <x v="17"/>
    <n v="50486026000160"/>
    <x v="260"/>
    <x v="85"/>
    <x v="3"/>
    <n v="70"/>
    <x v="0"/>
    <x v="0"/>
    <n v="10"/>
    <n v="2"/>
  </r>
  <r>
    <n v="2019"/>
    <n v="9"/>
    <x v="0"/>
    <x v="2"/>
    <x v="0"/>
    <s v="2019/2020"/>
    <b v="1"/>
    <b v="1"/>
    <b v="0"/>
    <x v="17"/>
    <n v="50486026000160"/>
    <x v="260"/>
    <x v="85"/>
    <x v="3"/>
    <n v="70"/>
    <x v="0"/>
    <x v="0"/>
    <n v="100"/>
    <n v="20"/>
  </r>
  <r>
    <n v="2019"/>
    <n v="9"/>
    <x v="0"/>
    <x v="2"/>
    <x v="0"/>
    <s v="2019/2020"/>
    <b v="1"/>
    <b v="1"/>
    <b v="0"/>
    <x v="6"/>
    <n v="50944198000130"/>
    <x v="499"/>
    <x v="82"/>
    <x v="3"/>
    <n v="64"/>
    <x v="4"/>
    <x v="6"/>
    <n v="8"/>
    <n v="4"/>
  </r>
  <r>
    <n v="2019"/>
    <n v="9"/>
    <x v="0"/>
    <x v="2"/>
    <x v="0"/>
    <s v="2019/2020"/>
    <b v="1"/>
    <b v="1"/>
    <b v="0"/>
    <x v="4"/>
    <n v="51093193000456"/>
    <x v="500"/>
    <x v="116"/>
    <x v="3"/>
    <n v="70"/>
    <x v="0"/>
    <x v="0"/>
    <n v="20"/>
    <n v="4"/>
  </r>
  <r>
    <n v="2019"/>
    <n v="9"/>
    <x v="0"/>
    <x v="2"/>
    <x v="0"/>
    <s v="2019/2020"/>
    <b v="1"/>
    <b v="1"/>
    <b v="0"/>
    <x v="17"/>
    <n v="51722957000506"/>
    <x v="430"/>
    <x v="3"/>
    <x v="3"/>
    <n v="66"/>
    <x v="2"/>
    <x v="3"/>
    <n v="3"/>
    <n v="3"/>
  </r>
  <r>
    <n v="2019"/>
    <n v="9"/>
    <x v="0"/>
    <x v="2"/>
    <x v="0"/>
    <s v="2019/2020"/>
    <b v="1"/>
    <b v="1"/>
    <b v="0"/>
    <x v="4"/>
    <n v="51722957000506"/>
    <x v="430"/>
    <x v="3"/>
    <x v="3"/>
    <n v="70"/>
    <x v="0"/>
    <x v="0"/>
    <n v="200"/>
    <n v="40"/>
  </r>
  <r>
    <n v="2019"/>
    <n v="9"/>
    <x v="0"/>
    <x v="2"/>
    <x v="0"/>
    <s v="2019/2020"/>
    <b v="1"/>
    <b v="1"/>
    <b v="0"/>
    <x v="4"/>
    <n v="51722957000506"/>
    <x v="430"/>
    <x v="3"/>
    <x v="3"/>
    <n v="70"/>
    <x v="0"/>
    <x v="0"/>
    <n v="250"/>
    <n v="50"/>
  </r>
  <r>
    <n v="2019"/>
    <n v="9"/>
    <x v="0"/>
    <x v="2"/>
    <x v="0"/>
    <s v="2019/2020"/>
    <b v="1"/>
    <b v="1"/>
    <b v="0"/>
    <x v="4"/>
    <n v="51722957000506"/>
    <x v="430"/>
    <x v="3"/>
    <x v="3"/>
    <n v="70"/>
    <x v="0"/>
    <x v="0"/>
    <n v="720"/>
    <n v="144"/>
  </r>
  <r>
    <n v="2019"/>
    <n v="9"/>
    <x v="0"/>
    <x v="2"/>
    <x v="0"/>
    <s v="2019/2020"/>
    <b v="1"/>
    <b v="1"/>
    <b v="0"/>
    <x v="4"/>
    <n v="51722957010226"/>
    <x v="261"/>
    <x v="3"/>
    <x v="3"/>
    <n v="70"/>
    <x v="0"/>
    <x v="0"/>
    <n v="200"/>
    <n v="40"/>
  </r>
  <r>
    <n v="2019"/>
    <n v="9"/>
    <x v="0"/>
    <x v="2"/>
    <x v="0"/>
    <s v="2019/2020"/>
    <b v="1"/>
    <b v="1"/>
    <b v="0"/>
    <x v="4"/>
    <n v="51722957010226"/>
    <x v="261"/>
    <x v="3"/>
    <x v="3"/>
    <n v="70"/>
    <x v="0"/>
    <x v="0"/>
    <n v="925"/>
    <n v="185"/>
  </r>
  <r>
    <n v="2019"/>
    <n v="9"/>
    <x v="0"/>
    <x v="2"/>
    <x v="0"/>
    <s v="2019/2020"/>
    <b v="1"/>
    <b v="1"/>
    <b v="0"/>
    <x v="4"/>
    <n v="51722957010226"/>
    <x v="261"/>
    <x v="3"/>
    <x v="3"/>
    <n v="73"/>
    <x v="1"/>
    <x v="2"/>
    <n v="2"/>
    <n v="2"/>
  </r>
  <r>
    <n v="2019"/>
    <n v="9"/>
    <x v="0"/>
    <x v="2"/>
    <x v="0"/>
    <s v="2019/2020"/>
    <b v="1"/>
    <b v="1"/>
    <b v="0"/>
    <x v="4"/>
    <n v="51722957010226"/>
    <x v="261"/>
    <x v="3"/>
    <x v="3"/>
    <n v="73"/>
    <x v="1"/>
    <x v="4"/>
    <n v="16"/>
    <n v="4"/>
  </r>
  <r>
    <n v="2019"/>
    <n v="9"/>
    <x v="0"/>
    <x v="2"/>
    <x v="0"/>
    <s v="2019/2020"/>
    <b v="1"/>
    <b v="1"/>
    <b v="0"/>
    <x v="4"/>
    <n v="51722957010226"/>
    <x v="261"/>
    <x v="3"/>
    <x v="3"/>
    <n v="73"/>
    <x v="1"/>
    <x v="4"/>
    <n v="40"/>
    <n v="10"/>
  </r>
  <r>
    <n v="2019"/>
    <n v="9"/>
    <x v="0"/>
    <x v="2"/>
    <x v="0"/>
    <s v="2019/2020"/>
    <b v="1"/>
    <b v="1"/>
    <b v="0"/>
    <x v="4"/>
    <n v="51722957010226"/>
    <x v="261"/>
    <x v="3"/>
    <x v="3"/>
    <n v="73"/>
    <x v="1"/>
    <x v="4"/>
    <n v="44"/>
    <n v="11"/>
  </r>
  <r>
    <n v="2019"/>
    <n v="9"/>
    <x v="0"/>
    <x v="2"/>
    <x v="0"/>
    <s v="2019/2020"/>
    <b v="1"/>
    <b v="1"/>
    <b v="0"/>
    <x v="2"/>
    <n v="51722957010226"/>
    <x v="261"/>
    <x v="3"/>
    <x v="3"/>
    <n v="73"/>
    <x v="1"/>
    <x v="1"/>
    <n v="4"/>
    <n v="2"/>
  </r>
  <r>
    <n v="2019"/>
    <n v="9"/>
    <x v="0"/>
    <x v="2"/>
    <x v="0"/>
    <s v="2019/2020"/>
    <b v="1"/>
    <b v="1"/>
    <b v="0"/>
    <x v="4"/>
    <n v="51722957012512"/>
    <x v="262"/>
    <x v="3"/>
    <x v="3"/>
    <n v="70"/>
    <x v="0"/>
    <x v="0"/>
    <n v="90"/>
    <n v="18"/>
  </r>
  <r>
    <n v="2019"/>
    <n v="9"/>
    <x v="0"/>
    <x v="2"/>
    <x v="0"/>
    <s v="2019/2020"/>
    <b v="1"/>
    <b v="1"/>
    <b v="0"/>
    <x v="5"/>
    <n v="51885242000140"/>
    <x v="264"/>
    <x v="48"/>
    <x v="3"/>
    <n v="73"/>
    <x v="1"/>
    <x v="1"/>
    <n v="160"/>
    <n v="80"/>
  </r>
  <r>
    <n v="2019"/>
    <n v="9"/>
    <x v="0"/>
    <x v="2"/>
    <x v="0"/>
    <s v="2019/2020"/>
    <b v="1"/>
    <b v="1"/>
    <b v="0"/>
    <x v="6"/>
    <n v="52852100000140"/>
    <x v="501"/>
    <x v="136"/>
    <x v="3"/>
    <n v="70"/>
    <x v="0"/>
    <x v="0"/>
    <n v="25"/>
    <n v="5"/>
  </r>
  <r>
    <n v="2019"/>
    <n v="9"/>
    <x v="0"/>
    <x v="2"/>
    <x v="0"/>
    <s v="2019/2020"/>
    <b v="1"/>
    <b v="1"/>
    <b v="0"/>
    <x v="6"/>
    <n v="52852100000140"/>
    <x v="501"/>
    <x v="136"/>
    <x v="3"/>
    <n v="70"/>
    <x v="0"/>
    <x v="0"/>
    <n v="125"/>
    <n v="25"/>
  </r>
  <r>
    <n v="2019"/>
    <n v="9"/>
    <x v="0"/>
    <x v="2"/>
    <x v="0"/>
    <s v="2019/2020"/>
    <b v="1"/>
    <b v="1"/>
    <b v="0"/>
    <x v="6"/>
    <n v="52852100000140"/>
    <x v="501"/>
    <x v="136"/>
    <x v="3"/>
    <n v="70"/>
    <x v="0"/>
    <x v="0"/>
    <n v="150"/>
    <n v="30"/>
  </r>
  <r>
    <n v="2019"/>
    <n v="9"/>
    <x v="0"/>
    <x v="2"/>
    <x v="0"/>
    <s v="2019/2020"/>
    <b v="1"/>
    <b v="1"/>
    <b v="0"/>
    <x v="6"/>
    <n v="53311999000156"/>
    <x v="502"/>
    <x v="137"/>
    <x v="3"/>
    <n v="64"/>
    <x v="4"/>
    <x v="6"/>
    <n v="2"/>
    <n v="2"/>
  </r>
  <r>
    <n v="2019"/>
    <n v="9"/>
    <x v="0"/>
    <x v="2"/>
    <x v="0"/>
    <s v="2019/2020"/>
    <b v="1"/>
    <b v="1"/>
    <b v="0"/>
    <x v="17"/>
    <n v="54012406000385"/>
    <x v="266"/>
    <x v="86"/>
    <x v="3"/>
    <n v="70"/>
    <x v="0"/>
    <x v="0"/>
    <n v="70"/>
    <n v="14"/>
  </r>
  <r>
    <n v="2019"/>
    <n v="9"/>
    <x v="0"/>
    <x v="2"/>
    <x v="0"/>
    <s v="2019/2020"/>
    <b v="1"/>
    <b v="1"/>
    <b v="0"/>
    <x v="5"/>
    <n v="56577059000100"/>
    <x v="503"/>
    <x v="3"/>
    <x v="3"/>
    <n v="70"/>
    <x v="0"/>
    <x v="0"/>
    <n v="15"/>
    <n v="3"/>
  </r>
  <r>
    <n v="2019"/>
    <n v="9"/>
    <x v="0"/>
    <x v="2"/>
    <x v="0"/>
    <s v="2019/2020"/>
    <b v="1"/>
    <b v="1"/>
    <b v="0"/>
    <x v="5"/>
    <n v="56577059000100"/>
    <x v="503"/>
    <x v="3"/>
    <x v="3"/>
    <n v="70"/>
    <x v="0"/>
    <x v="0"/>
    <n v="120"/>
    <n v="24"/>
  </r>
  <r>
    <n v="2019"/>
    <n v="9"/>
    <x v="0"/>
    <x v="2"/>
    <x v="0"/>
    <s v="2019/2020"/>
    <b v="1"/>
    <b v="1"/>
    <b v="0"/>
    <x v="2"/>
    <n v="57722118000140"/>
    <x v="431"/>
    <x v="22"/>
    <x v="3"/>
    <n v="70"/>
    <x v="0"/>
    <x v="0"/>
    <n v="150"/>
    <n v="30"/>
  </r>
  <r>
    <n v="2019"/>
    <n v="9"/>
    <x v="0"/>
    <x v="2"/>
    <x v="0"/>
    <s v="2019/2020"/>
    <b v="1"/>
    <b v="1"/>
    <b v="0"/>
    <x v="2"/>
    <n v="58229691001070"/>
    <x v="271"/>
    <x v="70"/>
    <x v="3"/>
    <n v="73"/>
    <x v="1"/>
    <x v="4"/>
    <n v="32"/>
    <n v="8"/>
  </r>
  <r>
    <n v="2019"/>
    <n v="9"/>
    <x v="0"/>
    <x v="2"/>
    <x v="0"/>
    <s v="2019/2020"/>
    <b v="1"/>
    <b v="1"/>
    <b v="0"/>
    <x v="12"/>
    <n v="59481028000130"/>
    <x v="272"/>
    <x v="3"/>
    <x v="3"/>
    <n v="70"/>
    <x v="0"/>
    <x v="0"/>
    <n v="30"/>
    <n v="6"/>
  </r>
  <r>
    <n v="2019"/>
    <n v="9"/>
    <x v="0"/>
    <x v="2"/>
    <x v="0"/>
    <s v="2019/2020"/>
    <b v="1"/>
    <b v="1"/>
    <b v="0"/>
    <x v="5"/>
    <n v="60003761000129"/>
    <x v="275"/>
    <x v="26"/>
    <x v="3"/>
    <n v="62"/>
    <x v="3"/>
    <x v="5"/>
    <n v="4"/>
    <n v="4"/>
  </r>
  <r>
    <n v="2019"/>
    <n v="9"/>
    <x v="0"/>
    <x v="2"/>
    <x v="0"/>
    <s v="2019/2020"/>
    <b v="1"/>
    <b v="1"/>
    <b v="0"/>
    <x v="4"/>
    <n v="60003761000129"/>
    <x v="275"/>
    <x v="26"/>
    <x v="3"/>
    <n v="62"/>
    <x v="3"/>
    <x v="5"/>
    <n v="6"/>
    <n v="6"/>
  </r>
  <r>
    <n v="2019"/>
    <n v="9"/>
    <x v="0"/>
    <x v="2"/>
    <x v="0"/>
    <s v="2019/2020"/>
    <b v="1"/>
    <b v="1"/>
    <b v="0"/>
    <x v="5"/>
    <n v="60003761000129"/>
    <x v="275"/>
    <x v="26"/>
    <x v="3"/>
    <n v="64"/>
    <x v="4"/>
    <x v="6"/>
    <n v="5"/>
    <n v="5"/>
  </r>
  <r>
    <n v="2019"/>
    <n v="9"/>
    <x v="0"/>
    <x v="2"/>
    <x v="0"/>
    <s v="2019/2020"/>
    <b v="1"/>
    <b v="1"/>
    <b v="0"/>
    <x v="5"/>
    <n v="60003761000129"/>
    <x v="275"/>
    <x v="26"/>
    <x v="3"/>
    <n v="64"/>
    <x v="4"/>
    <x v="6"/>
    <n v="10"/>
    <n v="10"/>
  </r>
  <r>
    <n v="2019"/>
    <n v="9"/>
    <x v="0"/>
    <x v="2"/>
    <x v="0"/>
    <s v="2019/2020"/>
    <b v="1"/>
    <b v="1"/>
    <b v="0"/>
    <x v="26"/>
    <n v="60194990000844"/>
    <x v="504"/>
    <x v="6"/>
    <x v="2"/>
    <n v="62"/>
    <x v="3"/>
    <x v="5"/>
    <n v="3"/>
    <n v="3"/>
  </r>
  <r>
    <n v="2019"/>
    <n v="9"/>
    <x v="0"/>
    <x v="2"/>
    <x v="0"/>
    <s v="2019/2020"/>
    <b v="1"/>
    <b v="1"/>
    <b v="0"/>
    <x v="13"/>
    <n v="60214517001187"/>
    <x v="505"/>
    <x v="138"/>
    <x v="3"/>
    <n v="70"/>
    <x v="0"/>
    <x v="0"/>
    <n v="20"/>
    <n v="4"/>
  </r>
  <r>
    <n v="2019"/>
    <n v="9"/>
    <x v="0"/>
    <x v="2"/>
    <x v="0"/>
    <s v="2019/2020"/>
    <b v="1"/>
    <b v="1"/>
    <b v="0"/>
    <x v="17"/>
    <n v="60214517001691"/>
    <x v="277"/>
    <x v="35"/>
    <x v="3"/>
    <n v="70"/>
    <x v="0"/>
    <x v="0"/>
    <n v="30"/>
    <n v="6"/>
  </r>
  <r>
    <n v="2019"/>
    <n v="9"/>
    <x v="0"/>
    <x v="2"/>
    <x v="0"/>
    <s v="2019/2020"/>
    <b v="1"/>
    <b v="1"/>
    <b v="0"/>
    <x v="11"/>
    <n v="60214517001691"/>
    <x v="277"/>
    <x v="35"/>
    <x v="3"/>
    <n v="70"/>
    <x v="0"/>
    <x v="0"/>
    <n v="125"/>
    <n v="25"/>
  </r>
  <r>
    <n v="2019"/>
    <n v="9"/>
    <x v="0"/>
    <x v="2"/>
    <x v="0"/>
    <s v="2019/2020"/>
    <b v="1"/>
    <b v="1"/>
    <b v="0"/>
    <x v="14"/>
    <n v="60214517001691"/>
    <x v="277"/>
    <x v="35"/>
    <x v="3"/>
    <n v="70"/>
    <x v="0"/>
    <x v="0"/>
    <n v="125"/>
    <n v="25"/>
  </r>
  <r>
    <n v="2019"/>
    <n v="9"/>
    <x v="0"/>
    <x v="2"/>
    <x v="0"/>
    <s v="2019/2020"/>
    <b v="1"/>
    <b v="1"/>
    <b v="0"/>
    <x v="6"/>
    <n v="60214517001691"/>
    <x v="277"/>
    <x v="35"/>
    <x v="3"/>
    <n v="70"/>
    <x v="0"/>
    <x v="0"/>
    <n v="150"/>
    <n v="30"/>
  </r>
  <r>
    <n v="2019"/>
    <n v="9"/>
    <x v="0"/>
    <x v="2"/>
    <x v="0"/>
    <s v="2019/2020"/>
    <b v="1"/>
    <b v="1"/>
    <b v="0"/>
    <x v="6"/>
    <n v="60214517001691"/>
    <x v="277"/>
    <x v="35"/>
    <x v="3"/>
    <n v="70"/>
    <x v="0"/>
    <x v="0"/>
    <n v="300"/>
    <n v="60"/>
  </r>
  <r>
    <n v="2019"/>
    <n v="9"/>
    <x v="0"/>
    <x v="2"/>
    <x v="0"/>
    <s v="2019/2020"/>
    <b v="1"/>
    <b v="1"/>
    <b v="0"/>
    <x v="5"/>
    <n v="60448040000122"/>
    <x v="278"/>
    <x v="3"/>
    <x v="3"/>
    <n v="62"/>
    <x v="3"/>
    <x v="5"/>
    <n v="60"/>
    <n v="60"/>
  </r>
  <r>
    <n v="2019"/>
    <n v="9"/>
    <x v="0"/>
    <x v="2"/>
    <x v="0"/>
    <s v="2019/2020"/>
    <b v="1"/>
    <b v="1"/>
    <b v="0"/>
    <x v="5"/>
    <n v="60448040000122"/>
    <x v="278"/>
    <x v="3"/>
    <x v="3"/>
    <n v="64"/>
    <x v="4"/>
    <x v="6"/>
    <n v="66"/>
    <n v="66"/>
  </r>
  <r>
    <n v="2019"/>
    <n v="9"/>
    <x v="0"/>
    <x v="2"/>
    <x v="0"/>
    <s v="2019/2020"/>
    <b v="1"/>
    <b v="1"/>
    <b v="0"/>
    <x v="5"/>
    <n v="60448040000122"/>
    <x v="278"/>
    <x v="3"/>
    <x v="3"/>
    <n v="73"/>
    <x v="1"/>
    <x v="4"/>
    <n v="92"/>
    <n v="23"/>
  </r>
  <r>
    <n v="2019"/>
    <n v="9"/>
    <x v="0"/>
    <x v="2"/>
    <x v="0"/>
    <s v="2019/2020"/>
    <b v="1"/>
    <b v="1"/>
    <b v="0"/>
    <x v="17"/>
    <n v="60453024000390"/>
    <x v="279"/>
    <x v="3"/>
    <x v="3"/>
    <n v="62"/>
    <x v="3"/>
    <x v="5"/>
    <n v="40"/>
    <n v="10"/>
  </r>
  <r>
    <n v="2019"/>
    <n v="9"/>
    <x v="0"/>
    <x v="2"/>
    <x v="0"/>
    <s v="2019/2020"/>
    <b v="1"/>
    <b v="1"/>
    <b v="0"/>
    <x v="17"/>
    <n v="60453024000390"/>
    <x v="279"/>
    <x v="3"/>
    <x v="3"/>
    <n v="62"/>
    <x v="3"/>
    <x v="5"/>
    <n v="15"/>
    <n v="15"/>
  </r>
  <r>
    <n v="2019"/>
    <n v="9"/>
    <x v="0"/>
    <x v="2"/>
    <x v="0"/>
    <s v="2019/2020"/>
    <b v="1"/>
    <b v="1"/>
    <b v="0"/>
    <x v="17"/>
    <n v="60453024000390"/>
    <x v="279"/>
    <x v="3"/>
    <x v="3"/>
    <n v="64"/>
    <x v="4"/>
    <x v="6"/>
    <n v="5"/>
    <n v="5"/>
  </r>
  <r>
    <n v="2019"/>
    <n v="9"/>
    <x v="0"/>
    <x v="2"/>
    <x v="0"/>
    <s v="2019/2020"/>
    <b v="1"/>
    <b v="1"/>
    <b v="0"/>
    <x v="17"/>
    <n v="60453024000390"/>
    <x v="279"/>
    <x v="3"/>
    <x v="3"/>
    <n v="64"/>
    <x v="4"/>
    <x v="6"/>
    <n v="6"/>
    <n v="6"/>
  </r>
  <r>
    <n v="2019"/>
    <n v="9"/>
    <x v="0"/>
    <x v="2"/>
    <x v="0"/>
    <s v="2019/2020"/>
    <b v="1"/>
    <b v="1"/>
    <b v="0"/>
    <x v="13"/>
    <n v="60552098000111"/>
    <x v="280"/>
    <x v="3"/>
    <x v="3"/>
    <n v="70"/>
    <x v="0"/>
    <x v="0"/>
    <n v="75"/>
    <n v="15"/>
  </r>
  <r>
    <n v="2019"/>
    <n v="9"/>
    <x v="0"/>
    <x v="2"/>
    <x v="0"/>
    <s v="2019/2020"/>
    <b v="1"/>
    <b v="1"/>
    <b v="0"/>
    <x v="6"/>
    <n v="60678604000113"/>
    <x v="281"/>
    <x v="3"/>
    <x v="3"/>
    <n v="62"/>
    <x v="3"/>
    <x v="5"/>
    <n v="24"/>
    <n v="12"/>
  </r>
  <r>
    <n v="2019"/>
    <n v="9"/>
    <x v="0"/>
    <x v="2"/>
    <x v="0"/>
    <s v="2019/2020"/>
    <b v="1"/>
    <b v="1"/>
    <b v="0"/>
    <x v="11"/>
    <n v="60678604000113"/>
    <x v="281"/>
    <x v="3"/>
    <x v="3"/>
    <n v="64"/>
    <x v="4"/>
    <x v="6"/>
    <n v="1"/>
    <n v="1"/>
  </r>
  <r>
    <n v="2019"/>
    <n v="9"/>
    <x v="0"/>
    <x v="2"/>
    <x v="0"/>
    <s v="2019/2020"/>
    <b v="1"/>
    <b v="1"/>
    <b v="0"/>
    <x v="6"/>
    <n v="60678604000113"/>
    <x v="281"/>
    <x v="3"/>
    <x v="3"/>
    <n v="70"/>
    <x v="0"/>
    <x v="0"/>
    <n v="200"/>
    <n v="20"/>
  </r>
  <r>
    <n v="2019"/>
    <n v="9"/>
    <x v="0"/>
    <x v="2"/>
    <x v="0"/>
    <s v="2019/2020"/>
    <b v="1"/>
    <b v="1"/>
    <b v="0"/>
    <x v="17"/>
    <n v="60726502000126"/>
    <x v="282"/>
    <x v="3"/>
    <x v="3"/>
    <n v="62"/>
    <x v="3"/>
    <x v="5"/>
    <n v="2"/>
    <n v="1"/>
  </r>
  <r>
    <n v="2019"/>
    <n v="9"/>
    <x v="0"/>
    <x v="2"/>
    <x v="0"/>
    <s v="2019/2020"/>
    <b v="1"/>
    <b v="1"/>
    <b v="0"/>
    <x v="17"/>
    <n v="60726502000126"/>
    <x v="282"/>
    <x v="3"/>
    <x v="3"/>
    <n v="64"/>
    <x v="4"/>
    <x v="6"/>
    <n v="6"/>
    <n v="6"/>
  </r>
  <r>
    <n v="2019"/>
    <n v="9"/>
    <x v="0"/>
    <x v="2"/>
    <x v="0"/>
    <s v="2019/2020"/>
    <b v="1"/>
    <b v="1"/>
    <b v="0"/>
    <x v="6"/>
    <n v="60726502000126"/>
    <x v="282"/>
    <x v="3"/>
    <x v="3"/>
    <n v="70"/>
    <x v="0"/>
    <x v="0"/>
    <n v="40"/>
    <n v="4"/>
  </r>
  <r>
    <n v="2019"/>
    <n v="9"/>
    <x v="0"/>
    <x v="2"/>
    <x v="0"/>
    <s v="2019/2020"/>
    <b v="1"/>
    <b v="1"/>
    <b v="0"/>
    <x v="6"/>
    <n v="60726502000126"/>
    <x v="282"/>
    <x v="3"/>
    <x v="3"/>
    <n v="70"/>
    <x v="0"/>
    <x v="0"/>
    <n v="50"/>
    <n v="5"/>
  </r>
  <r>
    <n v="2019"/>
    <n v="9"/>
    <x v="0"/>
    <x v="2"/>
    <x v="0"/>
    <s v="2019/2020"/>
    <b v="1"/>
    <b v="1"/>
    <b v="0"/>
    <x v="6"/>
    <n v="60726502000126"/>
    <x v="282"/>
    <x v="3"/>
    <x v="3"/>
    <n v="70"/>
    <x v="0"/>
    <x v="0"/>
    <n v="195"/>
    <n v="39"/>
  </r>
  <r>
    <n v="2019"/>
    <n v="9"/>
    <x v="0"/>
    <x v="2"/>
    <x v="0"/>
    <s v="2019/2020"/>
    <b v="1"/>
    <b v="1"/>
    <b v="0"/>
    <x v="6"/>
    <n v="60726502000126"/>
    <x v="282"/>
    <x v="3"/>
    <x v="3"/>
    <n v="70"/>
    <x v="0"/>
    <x v="0"/>
    <n v="250"/>
    <n v="50"/>
  </r>
  <r>
    <n v="2019"/>
    <n v="9"/>
    <x v="0"/>
    <x v="2"/>
    <x v="0"/>
    <s v="2019/2020"/>
    <b v="1"/>
    <b v="1"/>
    <b v="0"/>
    <x v="17"/>
    <n v="60726502000126"/>
    <x v="282"/>
    <x v="3"/>
    <x v="3"/>
    <n v="73"/>
    <x v="1"/>
    <x v="4"/>
    <n v="16"/>
    <n v="4"/>
  </r>
  <r>
    <n v="2019"/>
    <n v="9"/>
    <x v="0"/>
    <x v="2"/>
    <x v="0"/>
    <s v="2019/2020"/>
    <b v="1"/>
    <b v="1"/>
    <b v="0"/>
    <x v="17"/>
    <n v="60765823000130"/>
    <x v="432"/>
    <x v="3"/>
    <x v="3"/>
    <n v="62"/>
    <x v="3"/>
    <x v="5"/>
    <n v="4"/>
    <n v="4"/>
  </r>
  <r>
    <n v="2019"/>
    <n v="9"/>
    <x v="0"/>
    <x v="2"/>
    <x v="0"/>
    <s v="2019/2020"/>
    <b v="1"/>
    <b v="1"/>
    <b v="0"/>
    <x v="17"/>
    <n v="60765823000130"/>
    <x v="432"/>
    <x v="3"/>
    <x v="3"/>
    <n v="62"/>
    <x v="3"/>
    <x v="5"/>
    <n v="66"/>
    <n v="11"/>
  </r>
  <r>
    <n v="2019"/>
    <n v="9"/>
    <x v="0"/>
    <x v="2"/>
    <x v="0"/>
    <s v="2019/2020"/>
    <b v="1"/>
    <b v="1"/>
    <b v="0"/>
    <x v="17"/>
    <n v="60765823000130"/>
    <x v="432"/>
    <x v="3"/>
    <x v="3"/>
    <n v="64"/>
    <x v="4"/>
    <x v="6"/>
    <n v="13"/>
    <n v="13"/>
  </r>
  <r>
    <n v="2019"/>
    <n v="9"/>
    <x v="0"/>
    <x v="2"/>
    <x v="0"/>
    <s v="2019/2020"/>
    <b v="1"/>
    <b v="1"/>
    <b v="0"/>
    <x v="17"/>
    <n v="60765823000130"/>
    <x v="432"/>
    <x v="3"/>
    <x v="3"/>
    <n v="64"/>
    <x v="4"/>
    <x v="6"/>
    <n v="17"/>
    <n v="17"/>
  </r>
  <r>
    <n v="2019"/>
    <n v="9"/>
    <x v="0"/>
    <x v="2"/>
    <x v="0"/>
    <s v="2019/2020"/>
    <b v="1"/>
    <b v="1"/>
    <b v="0"/>
    <x v="5"/>
    <n v="60765823000130"/>
    <x v="432"/>
    <x v="3"/>
    <x v="3"/>
    <n v="73"/>
    <x v="1"/>
    <x v="2"/>
    <n v="70"/>
    <n v="70"/>
  </r>
  <r>
    <n v="2019"/>
    <n v="9"/>
    <x v="0"/>
    <x v="2"/>
    <x v="0"/>
    <s v="2019/2020"/>
    <b v="1"/>
    <b v="1"/>
    <b v="0"/>
    <x v="17"/>
    <n v="60765823000130"/>
    <x v="432"/>
    <x v="3"/>
    <x v="3"/>
    <n v="73"/>
    <x v="1"/>
    <x v="2"/>
    <n v="60"/>
    <n v="60"/>
  </r>
  <r>
    <n v="2019"/>
    <n v="9"/>
    <x v="0"/>
    <x v="2"/>
    <x v="0"/>
    <s v="2019/2020"/>
    <b v="1"/>
    <b v="1"/>
    <b v="0"/>
    <x v="4"/>
    <n v="60777901000116"/>
    <x v="284"/>
    <x v="3"/>
    <x v="3"/>
    <n v="70"/>
    <x v="0"/>
    <x v="0"/>
    <n v="100"/>
    <n v="20"/>
  </r>
  <r>
    <n v="2019"/>
    <n v="9"/>
    <x v="0"/>
    <x v="2"/>
    <x v="0"/>
    <s v="2019/2020"/>
    <b v="1"/>
    <b v="1"/>
    <b v="0"/>
    <x v="4"/>
    <n v="60777901000116"/>
    <x v="284"/>
    <x v="3"/>
    <x v="3"/>
    <n v="70"/>
    <x v="0"/>
    <x v="0"/>
    <n v="1000"/>
    <n v="50"/>
  </r>
  <r>
    <n v="2019"/>
    <n v="9"/>
    <x v="0"/>
    <x v="2"/>
    <x v="0"/>
    <s v="2019/2020"/>
    <b v="1"/>
    <b v="1"/>
    <b v="0"/>
    <x v="4"/>
    <n v="60777901000116"/>
    <x v="284"/>
    <x v="3"/>
    <x v="3"/>
    <n v="70"/>
    <x v="0"/>
    <x v="0"/>
    <n v="300"/>
    <n v="60"/>
  </r>
  <r>
    <n v="2019"/>
    <n v="9"/>
    <x v="0"/>
    <x v="2"/>
    <x v="0"/>
    <s v="2019/2020"/>
    <b v="1"/>
    <b v="1"/>
    <b v="0"/>
    <x v="4"/>
    <n v="60884855000316"/>
    <x v="285"/>
    <x v="3"/>
    <x v="3"/>
    <n v="62"/>
    <x v="3"/>
    <x v="5"/>
    <n v="12"/>
    <n v="6"/>
  </r>
  <r>
    <n v="2019"/>
    <n v="9"/>
    <x v="0"/>
    <x v="2"/>
    <x v="0"/>
    <s v="2019/2020"/>
    <b v="1"/>
    <b v="1"/>
    <b v="0"/>
    <x v="4"/>
    <n v="60884855000316"/>
    <x v="285"/>
    <x v="3"/>
    <x v="3"/>
    <n v="62"/>
    <x v="3"/>
    <x v="5"/>
    <n v="7"/>
    <n v="7"/>
  </r>
  <r>
    <n v="2019"/>
    <n v="9"/>
    <x v="0"/>
    <x v="2"/>
    <x v="0"/>
    <s v="2019/2020"/>
    <b v="1"/>
    <b v="1"/>
    <b v="0"/>
    <x v="4"/>
    <n v="60884855000316"/>
    <x v="285"/>
    <x v="3"/>
    <x v="3"/>
    <n v="64"/>
    <x v="4"/>
    <x v="6"/>
    <n v="3"/>
    <n v="3"/>
  </r>
  <r>
    <n v="2019"/>
    <n v="9"/>
    <x v="0"/>
    <x v="2"/>
    <x v="0"/>
    <s v="2019/2020"/>
    <b v="1"/>
    <b v="1"/>
    <b v="0"/>
    <x v="4"/>
    <n v="60884855000316"/>
    <x v="285"/>
    <x v="3"/>
    <x v="3"/>
    <n v="64"/>
    <x v="4"/>
    <x v="6"/>
    <n v="11"/>
    <n v="11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165"/>
    <n v="33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285"/>
    <n v="57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350"/>
    <n v="70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380"/>
    <n v="76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445"/>
    <n v="89"/>
  </r>
  <r>
    <n v="2019"/>
    <n v="9"/>
    <x v="0"/>
    <x v="2"/>
    <x v="0"/>
    <s v="2019/2020"/>
    <b v="1"/>
    <b v="1"/>
    <b v="0"/>
    <x v="4"/>
    <n v="60884855000316"/>
    <x v="285"/>
    <x v="3"/>
    <x v="3"/>
    <n v="70"/>
    <x v="0"/>
    <x v="0"/>
    <n v="505"/>
    <n v="101"/>
  </r>
  <r>
    <n v="2019"/>
    <n v="9"/>
    <x v="0"/>
    <x v="2"/>
    <x v="0"/>
    <s v="2019/2020"/>
    <b v="1"/>
    <b v="1"/>
    <b v="0"/>
    <x v="4"/>
    <n v="60884855000316"/>
    <x v="285"/>
    <x v="3"/>
    <x v="3"/>
    <n v="73"/>
    <x v="1"/>
    <x v="1"/>
    <n v="8"/>
    <n v="4"/>
  </r>
  <r>
    <n v="2019"/>
    <n v="9"/>
    <x v="0"/>
    <x v="2"/>
    <x v="0"/>
    <s v="2019/2020"/>
    <b v="1"/>
    <b v="1"/>
    <b v="0"/>
    <x v="6"/>
    <n v="60884855000316"/>
    <x v="285"/>
    <x v="3"/>
    <x v="3"/>
    <n v="73"/>
    <x v="1"/>
    <x v="1"/>
    <n v="8"/>
    <n v="4"/>
  </r>
  <r>
    <n v="2019"/>
    <n v="9"/>
    <x v="0"/>
    <x v="2"/>
    <x v="0"/>
    <s v="2019/2020"/>
    <b v="1"/>
    <b v="1"/>
    <b v="0"/>
    <x v="2"/>
    <n v="60884855000316"/>
    <x v="285"/>
    <x v="3"/>
    <x v="3"/>
    <n v="73"/>
    <x v="1"/>
    <x v="1"/>
    <n v="8"/>
    <n v="4"/>
  </r>
  <r>
    <n v="2019"/>
    <n v="9"/>
    <x v="0"/>
    <x v="2"/>
    <x v="0"/>
    <s v="2019/2020"/>
    <b v="1"/>
    <b v="1"/>
    <b v="0"/>
    <x v="4"/>
    <n v="60884855001207"/>
    <x v="286"/>
    <x v="9"/>
    <x v="0"/>
    <n v="62"/>
    <x v="3"/>
    <x v="5"/>
    <n v="2"/>
    <n v="2"/>
  </r>
  <r>
    <n v="2019"/>
    <n v="9"/>
    <x v="0"/>
    <x v="2"/>
    <x v="0"/>
    <s v="2019/2020"/>
    <b v="1"/>
    <b v="1"/>
    <b v="0"/>
    <x v="4"/>
    <n v="60884855001207"/>
    <x v="286"/>
    <x v="9"/>
    <x v="0"/>
    <n v="62"/>
    <x v="3"/>
    <x v="5"/>
    <n v="4"/>
    <n v="4"/>
  </r>
  <r>
    <n v="2019"/>
    <n v="9"/>
    <x v="0"/>
    <x v="2"/>
    <x v="0"/>
    <s v="2019/2020"/>
    <b v="1"/>
    <b v="1"/>
    <b v="0"/>
    <x v="4"/>
    <n v="60884855001207"/>
    <x v="286"/>
    <x v="9"/>
    <x v="0"/>
    <n v="62"/>
    <x v="3"/>
    <x v="5"/>
    <n v="7"/>
    <n v="7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100"/>
    <n v="10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80"/>
    <n v="16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105"/>
    <n v="21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150"/>
    <n v="30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165"/>
    <n v="33"/>
  </r>
  <r>
    <n v="2019"/>
    <n v="9"/>
    <x v="0"/>
    <x v="2"/>
    <x v="0"/>
    <s v="2019/2020"/>
    <b v="1"/>
    <b v="1"/>
    <b v="0"/>
    <x v="4"/>
    <n v="60884855001207"/>
    <x v="286"/>
    <x v="9"/>
    <x v="0"/>
    <n v="70"/>
    <x v="0"/>
    <x v="0"/>
    <n v="190"/>
    <n v="38"/>
  </r>
  <r>
    <n v="2019"/>
    <n v="9"/>
    <x v="0"/>
    <x v="2"/>
    <x v="0"/>
    <s v="2019/2020"/>
    <b v="1"/>
    <b v="1"/>
    <b v="0"/>
    <x v="4"/>
    <n v="60884855001207"/>
    <x v="286"/>
    <x v="9"/>
    <x v="0"/>
    <n v="73"/>
    <x v="1"/>
    <x v="2"/>
    <n v="1"/>
    <n v="1"/>
  </r>
  <r>
    <n v="2019"/>
    <n v="9"/>
    <x v="0"/>
    <x v="2"/>
    <x v="0"/>
    <s v="2019/2020"/>
    <b v="1"/>
    <b v="1"/>
    <b v="0"/>
    <x v="17"/>
    <n v="60884855001207"/>
    <x v="286"/>
    <x v="9"/>
    <x v="0"/>
    <n v="73"/>
    <x v="1"/>
    <x v="2"/>
    <n v="1"/>
    <n v="1"/>
  </r>
  <r>
    <n v="2019"/>
    <n v="9"/>
    <x v="0"/>
    <x v="2"/>
    <x v="0"/>
    <s v="2019/2020"/>
    <b v="1"/>
    <b v="1"/>
    <b v="0"/>
    <x v="2"/>
    <n v="60884855001207"/>
    <x v="286"/>
    <x v="9"/>
    <x v="0"/>
    <n v="73"/>
    <x v="1"/>
    <x v="1"/>
    <n v="16"/>
    <n v="4"/>
  </r>
  <r>
    <n v="2019"/>
    <n v="9"/>
    <x v="0"/>
    <x v="2"/>
    <x v="0"/>
    <s v="2019/2020"/>
    <b v="1"/>
    <b v="1"/>
    <b v="0"/>
    <x v="2"/>
    <n v="60884855001207"/>
    <x v="286"/>
    <x v="9"/>
    <x v="0"/>
    <n v="73"/>
    <x v="1"/>
    <x v="1"/>
    <n v="22"/>
    <n v="11"/>
  </r>
  <r>
    <n v="2019"/>
    <n v="9"/>
    <x v="0"/>
    <x v="2"/>
    <x v="0"/>
    <s v="2019/2020"/>
    <b v="1"/>
    <b v="1"/>
    <b v="0"/>
    <x v="4"/>
    <n v="60884855001630"/>
    <x v="287"/>
    <x v="0"/>
    <x v="0"/>
    <n v="62"/>
    <x v="3"/>
    <x v="5"/>
    <n v="5"/>
    <n v="5"/>
  </r>
  <r>
    <n v="2019"/>
    <n v="9"/>
    <x v="0"/>
    <x v="2"/>
    <x v="0"/>
    <s v="2019/2020"/>
    <b v="1"/>
    <b v="1"/>
    <b v="0"/>
    <x v="4"/>
    <n v="60884855001630"/>
    <x v="287"/>
    <x v="0"/>
    <x v="0"/>
    <n v="64"/>
    <x v="4"/>
    <x v="6"/>
    <n v="2"/>
    <n v="2"/>
  </r>
  <r>
    <n v="2019"/>
    <n v="9"/>
    <x v="0"/>
    <x v="2"/>
    <x v="0"/>
    <s v="2019/2020"/>
    <b v="1"/>
    <b v="1"/>
    <b v="0"/>
    <x v="4"/>
    <n v="60884855001630"/>
    <x v="287"/>
    <x v="0"/>
    <x v="0"/>
    <n v="64"/>
    <x v="4"/>
    <x v="6"/>
    <n v="5"/>
    <n v="5"/>
  </r>
  <r>
    <n v="2019"/>
    <n v="9"/>
    <x v="0"/>
    <x v="2"/>
    <x v="0"/>
    <s v="2019/2020"/>
    <b v="1"/>
    <b v="1"/>
    <b v="0"/>
    <x v="4"/>
    <n v="60884855001630"/>
    <x v="287"/>
    <x v="0"/>
    <x v="0"/>
    <n v="70"/>
    <x v="0"/>
    <x v="0"/>
    <n v="60"/>
    <n v="12"/>
  </r>
  <r>
    <n v="2019"/>
    <n v="9"/>
    <x v="0"/>
    <x v="2"/>
    <x v="0"/>
    <s v="2019/2020"/>
    <b v="1"/>
    <b v="1"/>
    <b v="0"/>
    <x v="4"/>
    <n v="60884855001630"/>
    <x v="287"/>
    <x v="0"/>
    <x v="0"/>
    <n v="70"/>
    <x v="0"/>
    <x v="0"/>
    <n v="75"/>
    <n v="15"/>
  </r>
  <r>
    <n v="2019"/>
    <n v="9"/>
    <x v="0"/>
    <x v="2"/>
    <x v="0"/>
    <s v="2019/2020"/>
    <b v="1"/>
    <b v="1"/>
    <b v="0"/>
    <x v="4"/>
    <n v="60884855001630"/>
    <x v="287"/>
    <x v="0"/>
    <x v="0"/>
    <n v="70"/>
    <x v="0"/>
    <x v="0"/>
    <n v="100"/>
    <n v="20"/>
  </r>
  <r>
    <n v="2019"/>
    <n v="9"/>
    <x v="0"/>
    <x v="2"/>
    <x v="0"/>
    <s v="2019/2020"/>
    <b v="1"/>
    <b v="1"/>
    <b v="0"/>
    <x v="4"/>
    <n v="60884855001630"/>
    <x v="287"/>
    <x v="0"/>
    <x v="0"/>
    <n v="70"/>
    <x v="0"/>
    <x v="0"/>
    <n v="150"/>
    <n v="30"/>
  </r>
  <r>
    <n v="2019"/>
    <n v="9"/>
    <x v="0"/>
    <x v="2"/>
    <x v="0"/>
    <s v="2019/2020"/>
    <b v="1"/>
    <b v="1"/>
    <b v="0"/>
    <x v="4"/>
    <n v="60884855001983"/>
    <x v="506"/>
    <x v="4"/>
    <x v="4"/>
    <n v="62"/>
    <x v="3"/>
    <x v="5"/>
    <n v="1"/>
    <n v="1"/>
  </r>
  <r>
    <n v="2019"/>
    <n v="9"/>
    <x v="0"/>
    <x v="2"/>
    <x v="0"/>
    <s v="2019/2020"/>
    <b v="1"/>
    <b v="1"/>
    <b v="0"/>
    <x v="4"/>
    <n v="60884855002289"/>
    <x v="288"/>
    <x v="4"/>
    <x v="4"/>
    <n v="62"/>
    <x v="3"/>
    <x v="5"/>
    <n v="1"/>
    <n v="1"/>
  </r>
  <r>
    <n v="2019"/>
    <n v="9"/>
    <x v="0"/>
    <x v="2"/>
    <x v="0"/>
    <s v="2019/2020"/>
    <b v="1"/>
    <b v="1"/>
    <b v="0"/>
    <x v="4"/>
    <n v="60884855002289"/>
    <x v="288"/>
    <x v="4"/>
    <x v="4"/>
    <n v="62"/>
    <x v="3"/>
    <x v="5"/>
    <n v="3"/>
    <n v="3"/>
  </r>
  <r>
    <n v="2019"/>
    <n v="9"/>
    <x v="0"/>
    <x v="2"/>
    <x v="0"/>
    <s v="2019/2020"/>
    <b v="1"/>
    <b v="1"/>
    <b v="0"/>
    <x v="4"/>
    <n v="60884855002289"/>
    <x v="288"/>
    <x v="4"/>
    <x v="4"/>
    <n v="62"/>
    <x v="3"/>
    <x v="5"/>
    <n v="4"/>
    <n v="4"/>
  </r>
  <r>
    <n v="2019"/>
    <n v="9"/>
    <x v="0"/>
    <x v="2"/>
    <x v="0"/>
    <s v="2019/2020"/>
    <b v="1"/>
    <b v="1"/>
    <b v="0"/>
    <x v="4"/>
    <n v="60884855002289"/>
    <x v="288"/>
    <x v="4"/>
    <x v="4"/>
    <n v="62"/>
    <x v="3"/>
    <x v="5"/>
    <n v="30"/>
    <n v="10"/>
  </r>
  <r>
    <n v="2019"/>
    <n v="9"/>
    <x v="0"/>
    <x v="2"/>
    <x v="0"/>
    <s v="2019/2020"/>
    <b v="1"/>
    <b v="1"/>
    <b v="0"/>
    <x v="4"/>
    <n v="60884855002289"/>
    <x v="288"/>
    <x v="4"/>
    <x v="4"/>
    <n v="64"/>
    <x v="4"/>
    <x v="6"/>
    <n v="40"/>
    <n v="5"/>
  </r>
  <r>
    <n v="2019"/>
    <n v="9"/>
    <x v="0"/>
    <x v="2"/>
    <x v="0"/>
    <s v="2019/2020"/>
    <b v="1"/>
    <b v="1"/>
    <b v="0"/>
    <x v="4"/>
    <n v="60884855002289"/>
    <x v="288"/>
    <x v="4"/>
    <x v="4"/>
    <n v="64"/>
    <x v="4"/>
    <x v="6"/>
    <n v="8"/>
    <n v="8"/>
  </r>
  <r>
    <n v="2019"/>
    <n v="9"/>
    <x v="0"/>
    <x v="2"/>
    <x v="0"/>
    <s v="2019/2020"/>
    <b v="1"/>
    <b v="1"/>
    <b v="0"/>
    <x v="4"/>
    <n v="60884855002289"/>
    <x v="288"/>
    <x v="4"/>
    <x v="4"/>
    <n v="64"/>
    <x v="4"/>
    <x v="6"/>
    <n v="13"/>
    <n v="13"/>
  </r>
  <r>
    <n v="2019"/>
    <n v="9"/>
    <x v="0"/>
    <x v="2"/>
    <x v="0"/>
    <s v="2019/2020"/>
    <b v="1"/>
    <b v="1"/>
    <b v="0"/>
    <x v="4"/>
    <n v="60884855002289"/>
    <x v="288"/>
    <x v="4"/>
    <x v="4"/>
    <n v="70"/>
    <x v="0"/>
    <x v="0"/>
    <n v="100"/>
    <n v="10"/>
  </r>
  <r>
    <n v="2019"/>
    <n v="9"/>
    <x v="0"/>
    <x v="2"/>
    <x v="0"/>
    <s v="2019/2020"/>
    <b v="1"/>
    <b v="1"/>
    <b v="0"/>
    <x v="4"/>
    <n v="60884855002289"/>
    <x v="288"/>
    <x v="4"/>
    <x v="4"/>
    <n v="70"/>
    <x v="0"/>
    <x v="0"/>
    <n v="150"/>
    <n v="15"/>
  </r>
  <r>
    <n v="2019"/>
    <n v="9"/>
    <x v="0"/>
    <x v="2"/>
    <x v="0"/>
    <s v="2019/2020"/>
    <b v="1"/>
    <b v="1"/>
    <b v="0"/>
    <x v="4"/>
    <n v="60884855002289"/>
    <x v="288"/>
    <x v="4"/>
    <x v="4"/>
    <n v="70"/>
    <x v="0"/>
    <x v="0"/>
    <n v="200"/>
    <n v="20"/>
  </r>
  <r>
    <n v="2019"/>
    <n v="9"/>
    <x v="0"/>
    <x v="2"/>
    <x v="0"/>
    <s v="2019/2020"/>
    <b v="1"/>
    <b v="1"/>
    <b v="0"/>
    <x v="4"/>
    <n v="60884855002289"/>
    <x v="288"/>
    <x v="4"/>
    <x v="4"/>
    <n v="70"/>
    <x v="0"/>
    <x v="0"/>
    <n v="200"/>
    <n v="40"/>
  </r>
  <r>
    <n v="2019"/>
    <n v="9"/>
    <x v="0"/>
    <x v="2"/>
    <x v="0"/>
    <s v="2019/2020"/>
    <b v="1"/>
    <b v="1"/>
    <b v="0"/>
    <x v="10"/>
    <n v="60922168000348"/>
    <x v="289"/>
    <x v="0"/>
    <x v="0"/>
    <n v="62"/>
    <x v="3"/>
    <x v="5"/>
    <n v="2"/>
    <n v="2"/>
  </r>
  <r>
    <n v="2019"/>
    <n v="9"/>
    <x v="0"/>
    <x v="2"/>
    <x v="0"/>
    <s v="2019/2020"/>
    <b v="1"/>
    <b v="1"/>
    <b v="0"/>
    <x v="10"/>
    <n v="60922168000348"/>
    <x v="289"/>
    <x v="0"/>
    <x v="0"/>
    <n v="62"/>
    <x v="3"/>
    <x v="5"/>
    <n v="4"/>
    <n v="4"/>
  </r>
  <r>
    <n v="2019"/>
    <n v="9"/>
    <x v="0"/>
    <x v="2"/>
    <x v="0"/>
    <s v="2019/2020"/>
    <b v="1"/>
    <b v="1"/>
    <b v="0"/>
    <x v="10"/>
    <n v="60922168000348"/>
    <x v="289"/>
    <x v="0"/>
    <x v="0"/>
    <n v="64"/>
    <x v="4"/>
    <x v="6"/>
    <n v="3"/>
    <n v="3"/>
  </r>
  <r>
    <n v="2019"/>
    <n v="9"/>
    <x v="0"/>
    <x v="2"/>
    <x v="0"/>
    <s v="2019/2020"/>
    <b v="1"/>
    <b v="1"/>
    <b v="0"/>
    <x v="10"/>
    <n v="60922168000348"/>
    <x v="289"/>
    <x v="0"/>
    <x v="0"/>
    <n v="70"/>
    <x v="0"/>
    <x v="0"/>
    <n v="35"/>
    <n v="7"/>
  </r>
  <r>
    <n v="2019"/>
    <n v="9"/>
    <x v="0"/>
    <x v="2"/>
    <x v="0"/>
    <s v="2019/2020"/>
    <b v="1"/>
    <b v="1"/>
    <b v="0"/>
    <x v="10"/>
    <n v="60922168000348"/>
    <x v="289"/>
    <x v="0"/>
    <x v="0"/>
    <n v="70"/>
    <x v="0"/>
    <x v="0"/>
    <n v="95"/>
    <n v="19"/>
  </r>
  <r>
    <n v="2019"/>
    <n v="9"/>
    <x v="0"/>
    <x v="2"/>
    <x v="0"/>
    <s v="2019/2020"/>
    <b v="1"/>
    <b v="1"/>
    <b v="0"/>
    <x v="2"/>
    <n v="60922168000771"/>
    <x v="290"/>
    <x v="3"/>
    <x v="3"/>
    <n v="62"/>
    <x v="3"/>
    <x v="5"/>
    <n v="4"/>
    <n v="4"/>
  </r>
  <r>
    <n v="2019"/>
    <n v="9"/>
    <x v="0"/>
    <x v="2"/>
    <x v="0"/>
    <s v="2019/2020"/>
    <b v="1"/>
    <b v="1"/>
    <b v="0"/>
    <x v="4"/>
    <n v="60922168000771"/>
    <x v="290"/>
    <x v="3"/>
    <x v="3"/>
    <n v="73"/>
    <x v="1"/>
    <x v="1"/>
    <n v="6"/>
    <n v="1"/>
  </r>
  <r>
    <n v="2019"/>
    <n v="9"/>
    <x v="0"/>
    <x v="2"/>
    <x v="0"/>
    <s v="2019/2020"/>
    <b v="1"/>
    <b v="1"/>
    <b v="0"/>
    <x v="17"/>
    <n v="60922168000771"/>
    <x v="290"/>
    <x v="3"/>
    <x v="3"/>
    <n v="73"/>
    <x v="1"/>
    <x v="1"/>
    <n v="4"/>
    <n v="1"/>
  </r>
  <r>
    <n v="2019"/>
    <n v="9"/>
    <x v="0"/>
    <x v="2"/>
    <x v="0"/>
    <s v="2019/2020"/>
    <b v="1"/>
    <b v="1"/>
    <b v="0"/>
    <x v="17"/>
    <n v="60922168000771"/>
    <x v="290"/>
    <x v="3"/>
    <x v="3"/>
    <n v="73"/>
    <x v="1"/>
    <x v="2"/>
    <n v="2"/>
    <n v="1"/>
  </r>
  <r>
    <n v="2019"/>
    <n v="9"/>
    <x v="0"/>
    <x v="2"/>
    <x v="0"/>
    <s v="2019/2020"/>
    <b v="1"/>
    <b v="1"/>
    <b v="0"/>
    <x v="10"/>
    <n v="60922168000771"/>
    <x v="290"/>
    <x v="3"/>
    <x v="3"/>
    <n v="73"/>
    <x v="1"/>
    <x v="4"/>
    <n v="4"/>
    <n v="1"/>
  </r>
  <r>
    <n v="2019"/>
    <n v="9"/>
    <x v="0"/>
    <x v="2"/>
    <x v="0"/>
    <s v="2019/2020"/>
    <b v="1"/>
    <b v="1"/>
    <b v="0"/>
    <x v="10"/>
    <n v="60922168000771"/>
    <x v="290"/>
    <x v="3"/>
    <x v="3"/>
    <n v="73"/>
    <x v="1"/>
    <x v="2"/>
    <n v="1"/>
    <n v="1"/>
  </r>
  <r>
    <n v="2019"/>
    <n v="9"/>
    <x v="0"/>
    <x v="2"/>
    <x v="0"/>
    <s v="2019/2020"/>
    <b v="1"/>
    <b v="1"/>
    <b v="0"/>
    <x v="2"/>
    <n v="60922168000771"/>
    <x v="290"/>
    <x v="3"/>
    <x v="3"/>
    <n v="73"/>
    <x v="1"/>
    <x v="1"/>
    <n v="4"/>
    <n v="2"/>
  </r>
  <r>
    <n v="2019"/>
    <n v="9"/>
    <x v="0"/>
    <x v="2"/>
    <x v="0"/>
    <s v="2019/2020"/>
    <b v="1"/>
    <b v="1"/>
    <b v="0"/>
    <x v="2"/>
    <n v="60922168000771"/>
    <x v="290"/>
    <x v="3"/>
    <x v="3"/>
    <n v="73"/>
    <x v="1"/>
    <x v="2"/>
    <n v="2"/>
    <n v="2"/>
  </r>
  <r>
    <n v="2019"/>
    <n v="9"/>
    <x v="0"/>
    <x v="2"/>
    <x v="0"/>
    <s v="2019/2020"/>
    <b v="1"/>
    <b v="1"/>
    <b v="0"/>
    <x v="3"/>
    <n v="60922168004335"/>
    <x v="291"/>
    <x v="3"/>
    <x v="3"/>
    <n v="70"/>
    <x v="0"/>
    <x v="0"/>
    <n v="10"/>
    <n v="1"/>
  </r>
  <r>
    <n v="2019"/>
    <n v="9"/>
    <x v="0"/>
    <x v="2"/>
    <x v="0"/>
    <s v="2019/2020"/>
    <b v="1"/>
    <b v="1"/>
    <b v="0"/>
    <x v="15"/>
    <n v="60922168005226"/>
    <x v="292"/>
    <x v="87"/>
    <x v="10"/>
    <n v="64"/>
    <x v="4"/>
    <x v="6"/>
    <n v="1"/>
    <n v="1"/>
  </r>
  <r>
    <n v="2019"/>
    <n v="9"/>
    <x v="0"/>
    <x v="2"/>
    <x v="0"/>
    <s v="2019/2020"/>
    <b v="1"/>
    <b v="1"/>
    <b v="0"/>
    <x v="4"/>
    <n v="60961422000155"/>
    <x v="293"/>
    <x v="3"/>
    <x v="3"/>
    <n v="62"/>
    <x v="3"/>
    <x v="5"/>
    <n v="5"/>
    <n v="1"/>
  </r>
  <r>
    <n v="2019"/>
    <n v="9"/>
    <x v="0"/>
    <x v="2"/>
    <x v="0"/>
    <s v="2019/2020"/>
    <b v="1"/>
    <b v="1"/>
    <b v="0"/>
    <x v="4"/>
    <n v="60961422000155"/>
    <x v="293"/>
    <x v="3"/>
    <x v="3"/>
    <n v="62"/>
    <x v="3"/>
    <x v="5"/>
    <n v="3"/>
    <n v="3"/>
  </r>
  <r>
    <n v="2019"/>
    <n v="9"/>
    <x v="0"/>
    <x v="2"/>
    <x v="0"/>
    <s v="2019/2020"/>
    <b v="1"/>
    <b v="1"/>
    <b v="0"/>
    <x v="17"/>
    <n v="60961422000155"/>
    <x v="293"/>
    <x v="3"/>
    <x v="3"/>
    <n v="64"/>
    <x v="4"/>
    <x v="6"/>
    <n v="1"/>
    <n v="1"/>
  </r>
  <r>
    <n v="2019"/>
    <n v="9"/>
    <x v="0"/>
    <x v="2"/>
    <x v="0"/>
    <s v="2019/2020"/>
    <b v="1"/>
    <b v="1"/>
    <b v="0"/>
    <x v="17"/>
    <n v="60961422000155"/>
    <x v="293"/>
    <x v="3"/>
    <x v="3"/>
    <n v="64"/>
    <x v="4"/>
    <x v="6"/>
    <n v="5"/>
    <n v="5"/>
  </r>
  <r>
    <n v="2019"/>
    <n v="9"/>
    <x v="0"/>
    <x v="2"/>
    <x v="0"/>
    <s v="2019/2020"/>
    <b v="1"/>
    <b v="1"/>
    <b v="0"/>
    <x v="17"/>
    <n v="60961422000155"/>
    <x v="293"/>
    <x v="3"/>
    <x v="3"/>
    <n v="66"/>
    <x v="2"/>
    <x v="3"/>
    <n v="4"/>
    <n v="4"/>
  </r>
  <r>
    <n v="2019"/>
    <n v="9"/>
    <x v="0"/>
    <x v="2"/>
    <x v="0"/>
    <s v="2019/2020"/>
    <b v="1"/>
    <b v="1"/>
    <b v="0"/>
    <x v="4"/>
    <n v="60961422000155"/>
    <x v="293"/>
    <x v="3"/>
    <x v="3"/>
    <n v="70"/>
    <x v="0"/>
    <x v="0"/>
    <n v="20"/>
    <n v="4"/>
  </r>
  <r>
    <n v="2019"/>
    <n v="9"/>
    <x v="0"/>
    <x v="2"/>
    <x v="0"/>
    <s v="2019/2020"/>
    <b v="1"/>
    <b v="1"/>
    <b v="0"/>
    <x v="6"/>
    <n v="60961968000106"/>
    <x v="294"/>
    <x v="3"/>
    <x v="3"/>
    <n v="62"/>
    <x v="3"/>
    <x v="5"/>
    <n v="5"/>
    <n v="5"/>
  </r>
  <r>
    <n v="2019"/>
    <n v="9"/>
    <x v="0"/>
    <x v="2"/>
    <x v="0"/>
    <s v="2019/2020"/>
    <b v="1"/>
    <b v="1"/>
    <b v="0"/>
    <x v="6"/>
    <n v="60961968000106"/>
    <x v="294"/>
    <x v="3"/>
    <x v="3"/>
    <n v="64"/>
    <x v="4"/>
    <x v="6"/>
    <n v="40"/>
    <n v="20"/>
  </r>
  <r>
    <n v="2019"/>
    <n v="9"/>
    <x v="0"/>
    <x v="2"/>
    <x v="0"/>
    <s v="2019/2020"/>
    <b v="1"/>
    <b v="1"/>
    <b v="0"/>
    <x v="6"/>
    <n v="60961968000459"/>
    <x v="433"/>
    <x v="3"/>
    <x v="3"/>
    <n v="64"/>
    <x v="4"/>
    <x v="6"/>
    <n v="5"/>
    <n v="5"/>
  </r>
  <r>
    <n v="2019"/>
    <n v="9"/>
    <x v="0"/>
    <x v="2"/>
    <x v="0"/>
    <s v="2019/2020"/>
    <b v="1"/>
    <b v="1"/>
    <b v="0"/>
    <x v="6"/>
    <n v="60961968000459"/>
    <x v="433"/>
    <x v="3"/>
    <x v="3"/>
    <n v="64"/>
    <x v="4"/>
    <x v="6"/>
    <n v="10"/>
    <n v="10"/>
  </r>
  <r>
    <n v="2019"/>
    <n v="9"/>
    <x v="0"/>
    <x v="2"/>
    <x v="0"/>
    <s v="2019/2020"/>
    <b v="1"/>
    <b v="1"/>
    <b v="0"/>
    <x v="6"/>
    <n v="60975737001204"/>
    <x v="296"/>
    <x v="3"/>
    <x v="3"/>
    <n v="64"/>
    <x v="4"/>
    <x v="6"/>
    <n v="2"/>
    <n v="2"/>
  </r>
  <r>
    <n v="2019"/>
    <n v="9"/>
    <x v="0"/>
    <x v="2"/>
    <x v="0"/>
    <s v="2019/2020"/>
    <b v="1"/>
    <b v="1"/>
    <b v="0"/>
    <x v="6"/>
    <n v="60975737001204"/>
    <x v="296"/>
    <x v="3"/>
    <x v="3"/>
    <n v="64"/>
    <x v="4"/>
    <x v="6"/>
    <n v="5"/>
    <n v="5"/>
  </r>
  <r>
    <n v="2019"/>
    <n v="9"/>
    <x v="0"/>
    <x v="2"/>
    <x v="0"/>
    <s v="2019/2020"/>
    <b v="1"/>
    <b v="1"/>
    <b v="0"/>
    <x v="6"/>
    <n v="60975737001204"/>
    <x v="296"/>
    <x v="3"/>
    <x v="3"/>
    <n v="64"/>
    <x v="4"/>
    <x v="6"/>
    <n v="6"/>
    <n v="6"/>
  </r>
  <r>
    <n v="2019"/>
    <n v="9"/>
    <x v="0"/>
    <x v="2"/>
    <x v="0"/>
    <s v="2019/2020"/>
    <b v="1"/>
    <b v="1"/>
    <b v="0"/>
    <x v="4"/>
    <n v="60975737003509"/>
    <x v="297"/>
    <x v="32"/>
    <x v="18"/>
    <n v="62"/>
    <x v="3"/>
    <x v="5"/>
    <n v="9"/>
    <n v="9"/>
  </r>
  <r>
    <n v="2019"/>
    <n v="9"/>
    <x v="0"/>
    <x v="2"/>
    <x v="0"/>
    <s v="2019/2020"/>
    <b v="1"/>
    <b v="1"/>
    <b v="0"/>
    <x v="4"/>
    <n v="60975737003509"/>
    <x v="297"/>
    <x v="32"/>
    <x v="18"/>
    <n v="62"/>
    <x v="3"/>
    <x v="5"/>
    <n v="10"/>
    <n v="10"/>
  </r>
  <r>
    <n v="2019"/>
    <n v="9"/>
    <x v="0"/>
    <x v="2"/>
    <x v="0"/>
    <s v="2019/2020"/>
    <b v="1"/>
    <b v="1"/>
    <b v="0"/>
    <x v="9"/>
    <n v="60975737003509"/>
    <x v="297"/>
    <x v="32"/>
    <x v="18"/>
    <n v="64"/>
    <x v="4"/>
    <x v="6"/>
    <n v="4"/>
    <n v="4"/>
  </r>
  <r>
    <n v="2019"/>
    <n v="9"/>
    <x v="0"/>
    <x v="2"/>
    <x v="0"/>
    <s v="2019/2020"/>
    <b v="1"/>
    <b v="1"/>
    <b v="0"/>
    <x v="12"/>
    <n v="60975737003509"/>
    <x v="297"/>
    <x v="32"/>
    <x v="18"/>
    <n v="64"/>
    <x v="4"/>
    <x v="6"/>
    <n v="6"/>
    <n v="6"/>
  </r>
  <r>
    <n v="2019"/>
    <n v="9"/>
    <x v="0"/>
    <x v="2"/>
    <x v="0"/>
    <s v="2019/2020"/>
    <b v="1"/>
    <b v="1"/>
    <b v="0"/>
    <x v="6"/>
    <n v="60992427000650"/>
    <x v="507"/>
    <x v="3"/>
    <x v="3"/>
    <n v="62"/>
    <x v="3"/>
    <x v="5"/>
    <n v="3"/>
    <n v="3"/>
  </r>
  <r>
    <n v="2019"/>
    <n v="9"/>
    <x v="0"/>
    <x v="2"/>
    <x v="0"/>
    <s v="2019/2020"/>
    <b v="1"/>
    <b v="1"/>
    <b v="0"/>
    <x v="6"/>
    <n v="60992427000650"/>
    <x v="507"/>
    <x v="3"/>
    <x v="3"/>
    <n v="64"/>
    <x v="4"/>
    <x v="6"/>
    <n v="1"/>
    <n v="1"/>
  </r>
  <r>
    <n v="2019"/>
    <n v="9"/>
    <x v="0"/>
    <x v="2"/>
    <x v="0"/>
    <s v="2019/2020"/>
    <b v="1"/>
    <b v="1"/>
    <b v="0"/>
    <x v="17"/>
    <n v="61062212000198"/>
    <x v="508"/>
    <x v="3"/>
    <x v="3"/>
    <n v="62"/>
    <x v="3"/>
    <x v="5"/>
    <n v="4"/>
    <n v="4"/>
  </r>
  <r>
    <n v="2019"/>
    <n v="9"/>
    <x v="0"/>
    <x v="2"/>
    <x v="0"/>
    <s v="2019/2020"/>
    <b v="1"/>
    <b v="1"/>
    <b v="0"/>
    <x v="17"/>
    <n v="61213674000240"/>
    <x v="298"/>
    <x v="3"/>
    <x v="3"/>
    <n v="62"/>
    <x v="3"/>
    <x v="5"/>
    <n v="2"/>
    <n v="1"/>
  </r>
  <r>
    <n v="2019"/>
    <n v="9"/>
    <x v="0"/>
    <x v="2"/>
    <x v="0"/>
    <s v="2019/2020"/>
    <b v="1"/>
    <b v="1"/>
    <b v="0"/>
    <x v="6"/>
    <n v="61213674000240"/>
    <x v="298"/>
    <x v="3"/>
    <x v="3"/>
    <n v="64"/>
    <x v="4"/>
    <x v="6"/>
    <n v="-2"/>
    <n v="-2"/>
  </r>
  <r>
    <n v="2019"/>
    <n v="9"/>
    <x v="0"/>
    <x v="2"/>
    <x v="0"/>
    <s v="2019/2020"/>
    <b v="1"/>
    <b v="1"/>
    <b v="0"/>
    <x v="6"/>
    <n v="61213674000240"/>
    <x v="298"/>
    <x v="3"/>
    <x v="3"/>
    <n v="64"/>
    <x v="4"/>
    <x v="6"/>
    <n v="1"/>
    <n v="1"/>
  </r>
  <r>
    <n v="2019"/>
    <n v="9"/>
    <x v="0"/>
    <x v="2"/>
    <x v="0"/>
    <s v="2019/2020"/>
    <b v="1"/>
    <b v="1"/>
    <b v="0"/>
    <x v="6"/>
    <n v="61213674000240"/>
    <x v="298"/>
    <x v="3"/>
    <x v="3"/>
    <n v="64"/>
    <x v="4"/>
    <x v="6"/>
    <n v="2"/>
    <n v="2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1"/>
    <n v="12"/>
    <n v="3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1"/>
    <n v="16"/>
    <n v="4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4"/>
    <n v="32"/>
    <n v="4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2"/>
    <n v="5"/>
    <n v="5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2"/>
    <n v="6"/>
    <n v="6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4"/>
    <n v="32"/>
    <n v="8"/>
  </r>
  <r>
    <n v="2019"/>
    <n v="9"/>
    <x v="0"/>
    <x v="2"/>
    <x v="0"/>
    <s v="2019/2020"/>
    <b v="1"/>
    <b v="1"/>
    <b v="0"/>
    <x v="6"/>
    <n v="61213674000240"/>
    <x v="298"/>
    <x v="3"/>
    <x v="3"/>
    <n v="73"/>
    <x v="1"/>
    <x v="2"/>
    <n v="10"/>
    <n v="10"/>
  </r>
  <r>
    <n v="2019"/>
    <n v="9"/>
    <x v="0"/>
    <x v="2"/>
    <x v="0"/>
    <s v="2019/2020"/>
    <b v="1"/>
    <b v="1"/>
    <b v="0"/>
    <x v="5"/>
    <n v="61590410000124"/>
    <x v="299"/>
    <x v="3"/>
    <x v="3"/>
    <n v="62"/>
    <x v="3"/>
    <x v="5"/>
    <n v="14"/>
    <n v="14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3"/>
    <n v="3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4"/>
    <n v="4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5"/>
    <n v="5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6"/>
    <n v="6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9"/>
    <n v="9"/>
  </r>
  <r>
    <n v="2019"/>
    <n v="9"/>
    <x v="0"/>
    <x v="2"/>
    <x v="0"/>
    <s v="2019/2020"/>
    <b v="1"/>
    <b v="1"/>
    <b v="0"/>
    <x v="6"/>
    <n v="61590410000124"/>
    <x v="299"/>
    <x v="3"/>
    <x v="3"/>
    <n v="62"/>
    <x v="3"/>
    <x v="5"/>
    <n v="15"/>
    <n v="15"/>
  </r>
  <r>
    <n v="2019"/>
    <n v="9"/>
    <x v="0"/>
    <x v="2"/>
    <x v="0"/>
    <s v="2019/2020"/>
    <b v="1"/>
    <b v="1"/>
    <b v="0"/>
    <x v="5"/>
    <n v="61590410000124"/>
    <x v="299"/>
    <x v="3"/>
    <x v="3"/>
    <n v="64"/>
    <x v="4"/>
    <x v="6"/>
    <n v="6"/>
    <n v="6"/>
  </r>
  <r>
    <n v="2019"/>
    <n v="9"/>
    <x v="0"/>
    <x v="2"/>
    <x v="0"/>
    <s v="2019/2020"/>
    <b v="1"/>
    <b v="1"/>
    <b v="0"/>
    <x v="6"/>
    <n v="61590410000124"/>
    <x v="299"/>
    <x v="3"/>
    <x v="3"/>
    <n v="64"/>
    <x v="4"/>
    <x v="6"/>
    <n v="10"/>
    <n v="10"/>
  </r>
  <r>
    <n v="2019"/>
    <n v="9"/>
    <x v="0"/>
    <x v="2"/>
    <x v="0"/>
    <s v="2019/2020"/>
    <b v="1"/>
    <b v="1"/>
    <b v="0"/>
    <x v="5"/>
    <n v="61590410000124"/>
    <x v="299"/>
    <x v="3"/>
    <x v="3"/>
    <n v="70"/>
    <x v="0"/>
    <x v="0"/>
    <n v="215"/>
    <n v="43"/>
  </r>
  <r>
    <n v="2019"/>
    <n v="9"/>
    <x v="0"/>
    <x v="2"/>
    <x v="0"/>
    <s v="2019/2020"/>
    <b v="1"/>
    <b v="1"/>
    <b v="0"/>
    <x v="6"/>
    <n v="61590410000124"/>
    <x v="299"/>
    <x v="3"/>
    <x v="3"/>
    <n v="70"/>
    <x v="0"/>
    <x v="0"/>
    <n v="440"/>
    <n v="88"/>
  </r>
  <r>
    <n v="2019"/>
    <n v="9"/>
    <x v="0"/>
    <x v="2"/>
    <x v="0"/>
    <s v="2019/2020"/>
    <b v="1"/>
    <b v="1"/>
    <b v="0"/>
    <x v="6"/>
    <n v="61590410000124"/>
    <x v="299"/>
    <x v="3"/>
    <x v="3"/>
    <n v="70"/>
    <x v="0"/>
    <x v="0"/>
    <n v="540"/>
    <n v="108"/>
  </r>
  <r>
    <n v="2019"/>
    <n v="9"/>
    <x v="0"/>
    <x v="2"/>
    <x v="0"/>
    <s v="2019/2020"/>
    <b v="1"/>
    <b v="1"/>
    <b v="0"/>
    <x v="6"/>
    <n v="61590410000124"/>
    <x v="299"/>
    <x v="3"/>
    <x v="3"/>
    <n v="70"/>
    <x v="0"/>
    <x v="0"/>
    <n v="550"/>
    <n v="110"/>
  </r>
  <r>
    <n v="2019"/>
    <n v="9"/>
    <x v="0"/>
    <x v="2"/>
    <x v="0"/>
    <s v="2019/2020"/>
    <b v="1"/>
    <b v="1"/>
    <b v="0"/>
    <x v="5"/>
    <n v="61590410001287"/>
    <x v="301"/>
    <x v="4"/>
    <x v="4"/>
    <n v="70"/>
    <x v="0"/>
    <x v="0"/>
    <n v="170"/>
    <n v="34"/>
  </r>
  <r>
    <n v="2019"/>
    <n v="9"/>
    <x v="0"/>
    <x v="2"/>
    <x v="0"/>
    <s v="2019/2020"/>
    <b v="1"/>
    <b v="1"/>
    <b v="0"/>
    <x v="5"/>
    <n v="61599908000158"/>
    <x v="302"/>
    <x v="3"/>
    <x v="3"/>
    <n v="62"/>
    <x v="3"/>
    <x v="5"/>
    <n v="20"/>
    <n v="10"/>
  </r>
  <r>
    <n v="2019"/>
    <n v="9"/>
    <x v="0"/>
    <x v="2"/>
    <x v="0"/>
    <s v="2019/2020"/>
    <b v="1"/>
    <b v="1"/>
    <b v="0"/>
    <x v="5"/>
    <n v="61599908000158"/>
    <x v="302"/>
    <x v="3"/>
    <x v="3"/>
    <n v="62"/>
    <x v="3"/>
    <x v="5"/>
    <n v="15"/>
    <n v="15"/>
  </r>
  <r>
    <n v="2019"/>
    <n v="9"/>
    <x v="0"/>
    <x v="2"/>
    <x v="0"/>
    <s v="2019/2020"/>
    <b v="1"/>
    <b v="1"/>
    <b v="0"/>
    <x v="6"/>
    <n v="61599908000158"/>
    <x v="302"/>
    <x v="3"/>
    <x v="3"/>
    <n v="62"/>
    <x v="3"/>
    <x v="5"/>
    <n v="15"/>
    <n v="15"/>
  </r>
  <r>
    <n v="2019"/>
    <n v="9"/>
    <x v="0"/>
    <x v="2"/>
    <x v="0"/>
    <s v="2019/2020"/>
    <b v="1"/>
    <b v="1"/>
    <b v="0"/>
    <x v="5"/>
    <n v="61599908000158"/>
    <x v="302"/>
    <x v="3"/>
    <x v="3"/>
    <n v="64"/>
    <x v="4"/>
    <x v="6"/>
    <n v="90"/>
    <n v="30"/>
  </r>
  <r>
    <n v="2019"/>
    <n v="9"/>
    <x v="0"/>
    <x v="2"/>
    <x v="0"/>
    <s v="2019/2020"/>
    <b v="1"/>
    <b v="1"/>
    <b v="0"/>
    <x v="6"/>
    <n v="61599908000158"/>
    <x v="302"/>
    <x v="3"/>
    <x v="3"/>
    <n v="64"/>
    <x v="4"/>
    <x v="6"/>
    <n v="60"/>
    <n v="60"/>
  </r>
  <r>
    <n v="2019"/>
    <n v="9"/>
    <x v="0"/>
    <x v="2"/>
    <x v="0"/>
    <s v="2019/2020"/>
    <b v="1"/>
    <b v="1"/>
    <b v="0"/>
    <x v="4"/>
    <n v="68204486000113"/>
    <x v="438"/>
    <x v="117"/>
    <x v="3"/>
    <n v="70"/>
    <x v="0"/>
    <x v="0"/>
    <n v="150"/>
    <n v="30"/>
  </r>
  <r>
    <n v="2019"/>
    <n v="9"/>
    <x v="0"/>
    <x v="2"/>
    <x v="0"/>
    <s v="2019/2020"/>
    <b v="1"/>
    <b v="1"/>
    <b v="0"/>
    <x v="10"/>
    <n v="68709211000212"/>
    <x v="307"/>
    <x v="68"/>
    <x v="0"/>
    <n v="70"/>
    <x v="0"/>
    <x v="0"/>
    <n v="10"/>
    <n v="2"/>
  </r>
  <r>
    <n v="2019"/>
    <n v="9"/>
    <x v="0"/>
    <x v="2"/>
    <x v="0"/>
    <s v="2019/2020"/>
    <b v="1"/>
    <b v="1"/>
    <b v="0"/>
    <x v="10"/>
    <n v="68709211000212"/>
    <x v="307"/>
    <x v="68"/>
    <x v="0"/>
    <n v="70"/>
    <x v="0"/>
    <x v="7"/>
    <n v="190"/>
    <n v="19"/>
  </r>
  <r>
    <n v="2019"/>
    <n v="9"/>
    <x v="0"/>
    <x v="2"/>
    <x v="0"/>
    <s v="2019/2020"/>
    <b v="1"/>
    <b v="1"/>
    <b v="0"/>
    <x v="7"/>
    <n v="72101124000506"/>
    <x v="308"/>
    <x v="0"/>
    <x v="0"/>
    <n v="70"/>
    <x v="0"/>
    <x v="0"/>
    <n v="10"/>
    <n v="2"/>
  </r>
  <r>
    <n v="2019"/>
    <n v="9"/>
    <x v="0"/>
    <x v="2"/>
    <x v="0"/>
    <s v="2019/2020"/>
    <b v="1"/>
    <b v="1"/>
    <b v="0"/>
    <x v="7"/>
    <n v="72101124000506"/>
    <x v="308"/>
    <x v="0"/>
    <x v="0"/>
    <n v="70"/>
    <x v="0"/>
    <x v="0"/>
    <n v="200"/>
    <n v="20"/>
  </r>
  <r>
    <n v="2019"/>
    <n v="9"/>
    <x v="0"/>
    <x v="2"/>
    <x v="0"/>
    <s v="2019/2020"/>
    <b v="1"/>
    <b v="1"/>
    <b v="0"/>
    <x v="7"/>
    <n v="72101124000506"/>
    <x v="308"/>
    <x v="0"/>
    <x v="0"/>
    <n v="70"/>
    <x v="0"/>
    <x v="0"/>
    <n v="115"/>
    <n v="23"/>
  </r>
  <r>
    <n v="2019"/>
    <n v="9"/>
    <x v="0"/>
    <x v="2"/>
    <x v="0"/>
    <s v="2019/2020"/>
    <b v="1"/>
    <b v="1"/>
    <b v="0"/>
    <x v="7"/>
    <n v="72101124000506"/>
    <x v="308"/>
    <x v="0"/>
    <x v="0"/>
    <n v="70"/>
    <x v="0"/>
    <x v="0"/>
    <n v="120"/>
    <n v="24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1"/>
    <n v="12"/>
    <n v="1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4"/>
    <n v="1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2"/>
    <n v="6"/>
    <n v="1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8"/>
    <n v="2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48"/>
    <n v="4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20"/>
    <n v="5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32"/>
    <n v="8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40"/>
    <n v="10"/>
  </r>
  <r>
    <n v="2019"/>
    <n v="9"/>
    <x v="0"/>
    <x v="2"/>
    <x v="0"/>
    <s v="2019/2020"/>
    <b v="1"/>
    <b v="1"/>
    <b v="0"/>
    <x v="7"/>
    <n v="72101124000506"/>
    <x v="308"/>
    <x v="0"/>
    <x v="0"/>
    <n v="73"/>
    <x v="1"/>
    <x v="4"/>
    <n v="44"/>
    <n v="11"/>
  </r>
  <r>
    <n v="2019"/>
    <n v="9"/>
    <x v="0"/>
    <x v="2"/>
    <x v="0"/>
    <s v="2019/2020"/>
    <b v="1"/>
    <b v="1"/>
    <b v="0"/>
    <x v="4"/>
    <n v="72775745000133"/>
    <x v="509"/>
    <x v="3"/>
    <x v="3"/>
    <n v="62"/>
    <x v="3"/>
    <x v="5"/>
    <n v="15"/>
    <n v="15"/>
  </r>
  <r>
    <n v="2019"/>
    <n v="9"/>
    <x v="0"/>
    <x v="2"/>
    <x v="0"/>
    <s v="2019/2020"/>
    <b v="1"/>
    <b v="1"/>
    <b v="0"/>
    <x v="4"/>
    <n v="72775745000133"/>
    <x v="509"/>
    <x v="3"/>
    <x v="3"/>
    <n v="64"/>
    <x v="4"/>
    <x v="6"/>
    <n v="15"/>
    <n v="15"/>
  </r>
  <r>
    <n v="2019"/>
    <n v="9"/>
    <x v="0"/>
    <x v="2"/>
    <x v="0"/>
    <s v="2019/2020"/>
    <b v="1"/>
    <b v="1"/>
    <b v="0"/>
    <x v="10"/>
    <n v="73696718000219"/>
    <x v="309"/>
    <x v="0"/>
    <x v="0"/>
    <n v="62"/>
    <x v="3"/>
    <x v="5"/>
    <n v="2"/>
    <n v="2"/>
  </r>
  <r>
    <n v="2019"/>
    <n v="9"/>
    <x v="0"/>
    <x v="2"/>
    <x v="0"/>
    <s v="2019/2020"/>
    <b v="1"/>
    <b v="1"/>
    <b v="0"/>
    <x v="10"/>
    <n v="73696718000219"/>
    <x v="309"/>
    <x v="0"/>
    <x v="0"/>
    <n v="62"/>
    <x v="3"/>
    <x v="5"/>
    <n v="5"/>
    <n v="5"/>
  </r>
  <r>
    <n v="2019"/>
    <n v="9"/>
    <x v="0"/>
    <x v="2"/>
    <x v="0"/>
    <s v="2019/2020"/>
    <b v="1"/>
    <b v="1"/>
    <b v="0"/>
    <x v="15"/>
    <n v="73863342000109"/>
    <x v="310"/>
    <x v="88"/>
    <x v="6"/>
    <n v="70"/>
    <x v="0"/>
    <x v="7"/>
    <n v="20"/>
    <n v="2"/>
  </r>
  <r>
    <n v="2019"/>
    <n v="9"/>
    <x v="0"/>
    <x v="2"/>
    <x v="0"/>
    <s v="2019/2020"/>
    <b v="1"/>
    <b v="1"/>
    <b v="0"/>
    <x v="11"/>
    <n v="74031865000151"/>
    <x v="311"/>
    <x v="32"/>
    <x v="18"/>
    <n v="62"/>
    <x v="3"/>
    <x v="5"/>
    <n v="140"/>
    <n v="140"/>
  </r>
  <r>
    <n v="2019"/>
    <n v="9"/>
    <x v="0"/>
    <x v="2"/>
    <x v="0"/>
    <s v="2019/2020"/>
    <b v="1"/>
    <b v="1"/>
    <b v="0"/>
    <x v="1"/>
    <n v="74031865000151"/>
    <x v="311"/>
    <x v="32"/>
    <x v="18"/>
    <n v="66"/>
    <x v="2"/>
    <x v="3"/>
    <n v="192"/>
    <n v="192"/>
  </r>
  <r>
    <n v="2019"/>
    <n v="9"/>
    <x v="0"/>
    <x v="2"/>
    <x v="0"/>
    <s v="2019/2020"/>
    <b v="1"/>
    <b v="1"/>
    <b v="0"/>
    <x v="17"/>
    <n v="75222224001895"/>
    <x v="312"/>
    <x v="88"/>
    <x v="6"/>
    <n v="70"/>
    <x v="0"/>
    <x v="0"/>
    <n v="630"/>
    <n v="126"/>
  </r>
  <r>
    <n v="2019"/>
    <n v="9"/>
    <x v="0"/>
    <x v="2"/>
    <x v="0"/>
    <s v="2019/2020"/>
    <b v="1"/>
    <b v="1"/>
    <b v="0"/>
    <x v="15"/>
    <n v="75222224001895"/>
    <x v="312"/>
    <x v="88"/>
    <x v="6"/>
    <n v="70"/>
    <x v="0"/>
    <x v="0"/>
    <n v="300"/>
    <n v="30"/>
  </r>
  <r>
    <n v="2019"/>
    <n v="9"/>
    <x v="0"/>
    <x v="2"/>
    <x v="0"/>
    <s v="2019/2020"/>
    <b v="1"/>
    <b v="1"/>
    <b v="0"/>
    <x v="27"/>
    <n v="75222224001895"/>
    <x v="312"/>
    <x v="88"/>
    <x v="6"/>
    <n v="70"/>
    <x v="0"/>
    <x v="0"/>
    <n v="100"/>
    <n v="20"/>
  </r>
  <r>
    <n v="2019"/>
    <n v="9"/>
    <x v="0"/>
    <x v="2"/>
    <x v="0"/>
    <s v="2019/2020"/>
    <b v="1"/>
    <b v="1"/>
    <b v="0"/>
    <x v="27"/>
    <n v="75222224001895"/>
    <x v="312"/>
    <x v="88"/>
    <x v="6"/>
    <n v="70"/>
    <x v="0"/>
    <x v="0"/>
    <n v="455"/>
    <n v="91"/>
  </r>
  <r>
    <n v="2019"/>
    <n v="9"/>
    <x v="0"/>
    <x v="2"/>
    <x v="0"/>
    <s v="2019/2020"/>
    <b v="1"/>
    <b v="1"/>
    <b v="0"/>
    <x v="15"/>
    <n v="76555069000143"/>
    <x v="313"/>
    <x v="13"/>
    <x v="6"/>
    <n v="62"/>
    <x v="3"/>
    <x v="5"/>
    <n v="2"/>
    <n v="2"/>
  </r>
  <r>
    <n v="2019"/>
    <n v="9"/>
    <x v="0"/>
    <x v="2"/>
    <x v="0"/>
    <s v="2019/2020"/>
    <b v="1"/>
    <b v="1"/>
    <b v="0"/>
    <x v="15"/>
    <n v="76555069000143"/>
    <x v="313"/>
    <x v="13"/>
    <x v="6"/>
    <n v="70"/>
    <x v="0"/>
    <x v="0"/>
    <n v="75"/>
    <n v="15"/>
  </r>
  <r>
    <n v="2019"/>
    <n v="9"/>
    <x v="0"/>
    <x v="2"/>
    <x v="0"/>
    <s v="2019/2020"/>
    <b v="1"/>
    <b v="1"/>
    <b v="0"/>
    <x v="15"/>
    <n v="76555069000143"/>
    <x v="313"/>
    <x v="13"/>
    <x v="6"/>
    <n v="70"/>
    <x v="0"/>
    <x v="0"/>
    <n v="100"/>
    <n v="20"/>
  </r>
  <r>
    <n v="2019"/>
    <n v="9"/>
    <x v="0"/>
    <x v="2"/>
    <x v="0"/>
    <s v="2019/2020"/>
    <b v="1"/>
    <b v="1"/>
    <b v="0"/>
    <x v="15"/>
    <n v="76555069000143"/>
    <x v="313"/>
    <x v="13"/>
    <x v="6"/>
    <n v="70"/>
    <x v="0"/>
    <x v="0"/>
    <n v="105"/>
    <n v="21"/>
  </r>
  <r>
    <n v="2019"/>
    <n v="9"/>
    <x v="0"/>
    <x v="2"/>
    <x v="0"/>
    <s v="2019/2020"/>
    <b v="1"/>
    <b v="1"/>
    <b v="0"/>
    <x v="13"/>
    <n v="76591569000130"/>
    <x v="315"/>
    <x v="13"/>
    <x v="6"/>
    <n v="70"/>
    <x v="0"/>
    <x v="0"/>
    <n v="500"/>
    <n v="50"/>
  </r>
  <r>
    <n v="2019"/>
    <n v="9"/>
    <x v="0"/>
    <x v="2"/>
    <x v="0"/>
    <s v="2019/2020"/>
    <b v="1"/>
    <b v="1"/>
    <b v="0"/>
    <x v="16"/>
    <n v="76591569000130"/>
    <x v="315"/>
    <x v="13"/>
    <x v="6"/>
    <n v="73"/>
    <x v="1"/>
    <x v="4"/>
    <n v="12"/>
    <n v="3"/>
  </r>
  <r>
    <n v="2019"/>
    <n v="9"/>
    <x v="0"/>
    <x v="2"/>
    <x v="0"/>
    <s v="2019/2020"/>
    <b v="1"/>
    <b v="1"/>
    <b v="0"/>
    <x v="15"/>
    <n v="76659820002367"/>
    <x v="316"/>
    <x v="13"/>
    <x v="6"/>
    <n v="70"/>
    <x v="0"/>
    <x v="0"/>
    <n v="20"/>
    <n v="4"/>
  </r>
  <r>
    <n v="2019"/>
    <n v="9"/>
    <x v="0"/>
    <x v="2"/>
    <x v="0"/>
    <s v="2019/2020"/>
    <b v="1"/>
    <b v="1"/>
    <b v="0"/>
    <x v="15"/>
    <n v="76659820002367"/>
    <x v="316"/>
    <x v="13"/>
    <x v="6"/>
    <n v="70"/>
    <x v="0"/>
    <x v="0"/>
    <n v="25"/>
    <n v="5"/>
  </r>
  <r>
    <n v="2019"/>
    <n v="9"/>
    <x v="0"/>
    <x v="2"/>
    <x v="0"/>
    <s v="2019/2020"/>
    <b v="1"/>
    <b v="1"/>
    <b v="0"/>
    <x v="14"/>
    <n v="77858611001414"/>
    <x v="318"/>
    <x v="55"/>
    <x v="10"/>
    <n v="70"/>
    <x v="0"/>
    <x v="0"/>
    <n v="30"/>
    <n v="6"/>
  </r>
  <r>
    <n v="2019"/>
    <n v="9"/>
    <x v="0"/>
    <x v="2"/>
    <x v="0"/>
    <s v="2019/2020"/>
    <b v="1"/>
    <b v="1"/>
    <b v="0"/>
    <x v="27"/>
    <n v="78633088000176"/>
    <x v="440"/>
    <x v="88"/>
    <x v="6"/>
    <n v="70"/>
    <x v="0"/>
    <x v="0"/>
    <n v="10"/>
    <n v="2"/>
  </r>
  <r>
    <n v="2019"/>
    <n v="9"/>
    <x v="0"/>
    <x v="2"/>
    <x v="0"/>
    <s v="2019/2020"/>
    <b v="1"/>
    <b v="1"/>
    <b v="0"/>
    <x v="14"/>
    <n v="79115762000193"/>
    <x v="441"/>
    <x v="89"/>
    <x v="6"/>
    <n v="70"/>
    <x v="0"/>
    <x v="0"/>
    <n v="25"/>
    <n v="5"/>
  </r>
  <r>
    <n v="2019"/>
    <n v="9"/>
    <x v="0"/>
    <x v="2"/>
    <x v="0"/>
    <s v="2019/2020"/>
    <b v="1"/>
    <b v="1"/>
    <b v="0"/>
    <x v="14"/>
    <n v="80490618000116"/>
    <x v="319"/>
    <x v="90"/>
    <x v="10"/>
    <n v="70"/>
    <x v="0"/>
    <x v="0"/>
    <n v="60"/>
    <n v="12"/>
  </r>
  <r>
    <n v="2019"/>
    <n v="9"/>
    <x v="0"/>
    <x v="2"/>
    <x v="0"/>
    <s v="2019/2020"/>
    <b v="1"/>
    <b v="1"/>
    <b v="0"/>
    <x v="16"/>
    <n v="80673411000187"/>
    <x v="320"/>
    <x v="14"/>
    <x v="10"/>
    <n v="66"/>
    <x v="2"/>
    <x v="3"/>
    <n v="76"/>
    <n v="76"/>
  </r>
  <r>
    <n v="2019"/>
    <n v="9"/>
    <x v="0"/>
    <x v="2"/>
    <x v="0"/>
    <s v="2019/2020"/>
    <b v="1"/>
    <b v="1"/>
    <b v="0"/>
    <x v="16"/>
    <n v="80673411000187"/>
    <x v="320"/>
    <x v="14"/>
    <x v="10"/>
    <n v="70"/>
    <x v="0"/>
    <x v="7"/>
    <n v="240"/>
    <n v="24"/>
  </r>
  <r>
    <n v="2019"/>
    <n v="9"/>
    <x v="0"/>
    <x v="2"/>
    <x v="0"/>
    <s v="2019/2020"/>
    <b v="1"/>
    <b v="1"/>
    <b v="0"/>
    <x v="15"/>
    <n v="81270548000153"/>
    <x v="510"/>
    <x v="60"/>
    <x v="6"/>
    <n v="62"/>
    <x v="3"/>
    <x v="5"/>
    <n v="3"/>
    <n v="3"/>
  </r>
  <r>
    <n v="2019"/>
    <n v="9"/>
    <x v="0"/>
    <x v="2"/>
    <x v="0"/>
    <s v="2019/2020"/>
    <b v="1"/>
    <b v="1"/>
    <b v="0"/>
    <x v="4"/>
    <n v="81715716000410"/>
    <x v="511"/>
    <x v="139"/>
    <x v="6"/>
    <n v="70"/>
    <x v="0"/>
    <x v="0"/>
    <n v="30"/>
    <n v="6"/>
  </r>
  <r>
    <n v="2019"/>
    <n v="9"/>
    <x v="0"/>
    <x v="2"/>
    <x v="0"/>
    <s v="2019/2020"/>
    <b v="1"/>
    <b v="1"/>
    <b v="0"/>
    <x v="14"/>
    <n v="82654088000120"/>
    <x v="512"/>
    <x v="87"/>
    <x v="10"/>
    <n v="70"/>
    <x v="0"/>
    <x v="0"/>
    <n v="20"/>
    <n v="4"/>
  </r>
  <r>
    <n v="2019"/>
    <n v="9"/>
    <x v="0"/>
    <x v="2"/>
    <x v="0"/>
    <s v="2019/2020"/>
    <b v="1"/>
    <b v="1"/>
    <b v="0"/>
    <x v="4"/>
    <n v="83367342000252"/>
    <x v="322"/>
    <x v="1"/>
    <x v="1"/>
    <n v="70"/>
    <x v="0"/>
    <x v="0"/>
    <n v="40"/>
    <n v="8"/>
  </r>
  <r>
    <n v="2019"/>
    <n v="9"/>
    <x v="0"/>
    <x v="2"/>
    <x v="0"/>
    <s v="2019/2020"/>
    <b v="1"/>
    <b v="1"/>
    <b v="0"/>
    <x v="16"/>
    <n v="83899526000425"/>
    <x v="324"/>
    <x v="14"/>
    <x v="10"/>
    <n v="62"/>
    <x v="3"/>
    <x v="5"/>
    <n v="6"/>
    <n v="6"/>
  </r>
  <r>
    <n v="2019"/>
    <n v="9"/>
    <x v="0"/>
    <x v="2"/>
    <x v="0"/>
    <s v="2019/2020"/>
    <b v="1"/>
    <b v="1"/>
    <b v="0"/>
    <x v="14"/>
    <n v="85241339000809"/>
    <x v="513"/>
    <x v="90"/>
    <x v="10"/>
    <n v="70"/>
    <x v="0"/>
    <x v="0"/>
    <n v="180"/>
    <n v="36"/>
  </r>
  <r>
    <n v="2019"/>
    <n v="9"/>
    <x v="0"/>
    <x v="2"/>
    <x v="0"/>
    <s v="2019/2020"/>
    <b v="1"/>
    <b v="1"/>
    <b v="0"/>
    <x v="7"/>
    <n v="85241339000809"/>
    <x v="513"/>
    <x v="90"/>
    <x v="10"/>
    <n v="70"/>
    <x v="0"/>
    <x v="7"/>
    <n v="130"/>
    <n v="13"/>
  </r>
  <r>
    <n v="2019"/>
    <n v="9"/>
    <x v="0"/>
    <x v="2"/>
    <x v="0"/>
    <s v="2019/2020"/>
    <b v="1"/>
    <b v="1"/>
    <b v="0"/>
    <x v="21"/>
    <n v="85377174000392"/>
    <x v="325"/>
    <x v="20"/>
    <x v="10"/>
    <n v="73"/>
    <x v="1"/>
    <x v="2"/>
    <n v="18"/>
    <n v="18"/>
  </r>
  <r>
    <n v="2019"/>
    <n v="9"/>
    <x v="0"/>
    <x v="2"/>
    <x v="0"/>
    <s v="2019/2020"/>
    <b v="1"/>
    <b v="1"/>
    <b v="0"/>
    <x v="16"/>
    <n v="87020517000120"/>
    <x v="326"/>
    <x v="45"/>
    <x v="11"/>
    <n v="62"/>
    <x v="3"/>
    <x v="5"/>
    <n v="15"/>
    <n v="15"/>
  </r>
  <r>
    <n v="2019"/>
    <n v="9"/>
    <x v="0"/>
    <x v="2"/>
    <x v="0"/>
    <s v="2019/2020"/>
    <b v="1"/>
    <b v="1"/>
    <b v="0"/>
    <x v="5"/>
    <n v="87020517000120"/>
    <x v="326"/>
    <x v="45"/>
    <x v="11"/>
    <n v="64"/>
    <x v="4"/>
    <x v="6"/>
    <n v="5"/>
    <n v="5"/>
  </r>
  <r>
    <n v="2019"/>
    <n v="9"/>
    <x v="0"/>
    <x v="2"/>
    <x v="0"/>
    <s v="2019/2020"/>
    <b v="1"/>
    <b v="1"/>
    <b v="0"/>
    <x v="5"/>
    <n v="87020517000120"/>
    <x v="326"/>
    <x v="45"/>
    <x v="11"/>
    <n v="64"/>
    <x v="4"/>
    <x v="6"/>
    <n v="7"/>
    <n v="7"/>
  </r>
  <r>
    <n v="2019"/>
    <n v="9"/>
    <x v="0"/>
    <x v="2"/>
    <x v="0"/>
    <s v="2019/2020"/>
    <b v="1"/>
    <b v="1"/>
    <b v="0"/>
    <x v="16"/>
    <n v="87317764001084"/>
    <x v="327"/>
    <x v="45"/>
    <x v="11"/>
    <n v="70"/>
    <x v="0"/>
    <x v="7"/>
    <n v="200"/>
    <n v="20"/>
  </r>
  <r>
    <n v="2019"/>
    <n v="9"/>
    <x v="0"/>
    <x v="2"/>
    <x v="0"/>
    <s v="2019/2020"/>
    <b v="1"/>
    <b v="1"/>
    <b v="0"/>
    <x v="4"/>
    <n v="87827689002405"/>
    <x v="330"/>
    <x v="15"/>
    <x v="11"/>
    <n v="70"/>
    <x v="0"/>
    <x v="0"/>
    <n v="90"/>
    <n v="18"/>
  </r>
  <r>
    <n v="2019"/>
    <n v="9"/>
    <x v="0"/>
    <x v="2"/>
    <x v="0"/>
    <s v="2019/2020"/>
    <b v="1"/>
    <b v="1"/>
    <b v="0"/>
    <x v="16"/>
    <n v="87827689002405"/>
    <x v="330"/>
    <x v="15"/>
    <x v="11"/>
    <n v="73"/>
    <x v="1"/>
    <x v="2"/>
    <n v="1"/>
    <n v="1"/>
  </r>
  <r>
    <n v="2019"/>
    <n v="9"/>
    <x v="0"/>
    <x v="2"/>
    <x v="0"/>
    <s v="2019/2020"/>
    <b v="1"/>
    <b v="1"/>
    <b v="0"/>
    <x v="16"/>
    <n v="87827689002405"/>
    <x v="330"/>
    <x v="15"/>
    <x v="11"/>
    <n v="73"/>
    <x v="1"/>
    <x v="1"/>
    <n v="16"/>
    <n v="8"/>
  </r>
  <r>
    <n v="2019"/>
    <n v="9"/>
    <x v="0"/>
    <x v="2"/>
    <x v="0"/>
    <s v="2019/2020"/>
    <b v="1"/>
    <b v="1"/>
    <b v="0"/>
    <x v="16"/>
    <n v="87827689002405"/>
    <x v="330"/>
    <x v="15"/>
    <x v="11"/>
    <n v="73"/>
    <x v="1"/>
    <x v="4"/>
    <n v="192"/>
    <n v="48"/>
  </r>
  <r>
    <n v="2019"/>
    <n v="9"/>
    <x v="0"/>
    <x v="2"/>
    <x v="0"/>
    <s v="2019/2020"/>
    <b v="1"/>
    <b v="1"/>
    <b v="0"/>
    <x v="16"/>
    <n v="88625686002443"/>
    <x v="332"/>
    <x v="45"/>
    <x v="11"/>
    <n v="62"/>
    <x v="3"/>
    <x v="5"/>
    <n v="2"/>
    <n v="2"/>
  </r>
  <r>
    <n v="2019"/>
    <n v="9"/>
    <x v="0"/>
    <x v="2"/>
    <x v="0"/>
    <s v="2019/2020"/>
    <b v="1"/>
    <b v="1"/>
    <b v="0"/>
    <x v="7"/>
    <n v="88625686002443"/>
    <x v="332"/>
    <x v="45"/>
    <x v="11"/>
    <n v="64"/>
    <x v="4"/>
    <x v="6"/>
    <n v="4"/>
    <n v="4"/>
  </r>
  <r>
    <n v="2019"/>
    <n v="9"/>
    <x v="0"/>
    <x v="2"/>
    <x v="0"/>
    <s v="2019/2020"/>
    <b v="1"/>
    <b v="1"/>
    <b v="0"/>
    <x v="7"/>
    <n v="88625686002443"/>
    <x v="332"/>
    <x v="45"/>
    <x v="11"/>
    <n v="64"/>
    <x v="4"/>
    <x v="6"/>
    <n v="5"/>
    <n v="5"/>
  </r>
  <r>
    <n v="2019"/>
    <n v="9"/>
    <x v="0"/>
    <x v="2"/>
    <x v="0"/>
    <s v="2019/2020"/>
    <b v="1"/>
    <b v="1"/>
    <b v="0"/>
    <x v="7"/>
    <n v="88625686002443"/>
    <x v="332"/>
    <x v="45"/>
    <x v="11"/>
    <n v="64"/>
    <x v="4"/>
    <x v="6"/>
    <n v="10"/>
    <n v="10"/>
  </r>
  <r>
    <n v="2019"/>
    <n v="9"/>
    <x v="0"/>
    <x v="2"/>
    <x v="0"/>
    <s v="2019/2020"/>
    <b v="1"/>
    <b v="1"/>
    <b v="0"/>
    <x v="16"/>
    <n v="88645403001372"/>
    <x v="444"/>
    <x v="15"/>
    <x v="11"/>
    <n v="73"/>
    <x v="1"/>
    <x v="4"/>
    <n v="32"/>
    <n v="8"/>
  </r>
  <r>
    <n v="2019"/>
    <n v="9"/>
    <x v="0"/>
    <x v="2"/>
    <x v="0"/>
    <s v="2019/2020"/>
    <b v="1"/>
    <b v="1"/>
    <b v="0"/>
    <x v="16"/>
    <n v="92404789000164"/>
    <x v="446"/>
    <x v="119"/>
    <x v="11"/>
    <n v="73"/>
    <x v="1"/>
    <x v="4"/>
    <n v="16"/>
    <n v="4"/>
  </r>
  <r>
    <n v="2019"/>
    <n v="9"/>
    <x v="0"/>
    <x v="2"/>
    <x v="0"/>
    <s v="2019/2020"/>
    <b v="1"/>
    <b v="1"/>
    <b v="0"/>
    <x v="11"/>
    <n v="92685833000151"/>
    <x v="335"/>
    <x v="45"/>
    <x v="11"/>
    <n v="64"/>
    <x v="4"/>
    <x v="6"/>
    <n v="8"/>
    <n v="8"/>
  </r>
  <r>
    <n v="2019"/>
    <n v="9"/>
    <x v="0"/>
    <x v="2"/>
    <x v="0"/>
    <s v="2019/2020"/>
    <b v="1"/>
    <b v="1"/>
    <b v="0"/>
    <x v="11"/>
    <n v="92685833000151"/>
    <x v="335"/>
    <x v="45"/>
    <x v="11"/>
    <n v="64"/>
    <x v="4"/>
    <x v="6"/>
    <n v="12"/>
    <n v="12"/>
  </r>
  <r>
    <n v="2019"/>
    <n v="9"/>
    <x v="0"/>
    <x v="2"/>
    <x v="0"/>
    <s v="2019/2020"/>
    <b v="1"/>
    <b v="1"/>
    <b v="0"/>
    <x v="12"/>
    <n v="92685833000151"/>
    <x v="335"/>
    <x v="45"/>
    <x v="11"/>
    <n v="64"/>
    <x v="4"/>
    <x v="6"/>
    <n v="4"/>
    <n v="4"/>
  </r>
  <r>
    <n v="2019"/>
    <n v="9"/>
    <x v="0"/>
    <x v="2"/>
    <x v="0"/>
    <s v="2019/2020"/>
    <b v="1"/>
    <b v="1"/>
    <b v="0"/>
    <x v="12"/>
    <n v="92685833000151"/>
    <x v="335"/>
    <x v="45"/>
    <x v="11"/>
    <n v="64"/>
    <x v="4"/>
    <x v="6"/>
    <n v="8"/>
    <n v="8"/>
  </r>
  <r>
    <n v="2019"/>
    <n v="9"/>
    <x v="0"/>
    <x v="2"/>
    <x v="0"/>
    <s v="2019/2020"/>
    <b v="1"/>
    <b v="1"/>
    <b v="0"/>
    <x v="16"/>
    <n v="92685833000151"/>
    <x v="335"/>
    <x v="45"/>
    <x v="11"/>
    <n v="73"/>
    <x v="1"/>
    <x v="2"/>
    <n v="1"/>
    <n v="1"/>
  </r>
  <r>
    <n v="2019"/>
    <n v="9"/>
    <x v="0"/>
    <x v="2"/>
    <x v="0"/>
    <s v="2019/2020"/>
    <b v="1"/>
    <b v="1"/>
    <b v="0"/>
    <x v="4"/>
    <n v="92685833000151"/>
    <x v="335"/>
    <x v="45"/>
    <x v="11"/>
    <n v="73"/>
    <x v="1"/>
    <x v="2"/>
    <n v="3"/>
    <n v="3"/>
  </r>
  <r>
    <n v="2019"/>
    <n v="9"/>
    <x v="0"/>
    <x v="2"/>
    <x v="0"/>
    <s v="2019/2020"/>
    <b v="1"/>
    <b v="1"/>
    <b v="0"/>
    <x v="2"/>
    <n v="92685833000151"/>
    <x v="335"/>
    <x v="45"/>
    <x v="11"/>
    <n v="73"/>
    <x v="1"/>
    <x v="2"/>
    <n v="4"/>
    <n v="4"/>
  </r>
  <r>
    <n v="2019"/>
    <n v="9"/>
    <x v="0"/>
    <x v="2"/>
    <x v="0"/>
    <s v="2019/2020"/>
    <b v="1"/>
    <b v="1"/>
    <b v="0"/>
    <x v="16"/>
    <n v="92741016000254"/>
    <x v="336"/>
    <x v="45"/>
    <x v="11"/>
    <n v="62"/>
    <x v="3"/>
    <x v="5"/>
    <n v="2"/>
    <n v="2"/>
  </r>
  <r>
    <n v="2019"/>
    <n v="9"/>
    <x v="0"/>
    <x v="2"/>
    <x v="0"/>
    <s v="2019/2020"/>
    <b v="1"/>
    <b v="1"/>
    <b v="0"/>
    <x v="16"/>
    <n v="92741016000254"/>
    <x v="336"/>
    <x v="45"/>
    <x v="11"/>
    <n v="64"/>
    <x v="4"/>
    <x v="6"/>
    <n v="9"/>
    <n v="9"/>
  </r>
  <r>
    <n v="2019"/>
    <n v="9"/>
    <x v="0"/>
    <x v="2"/>
    <x v="0"/>
    <s v="2019/2020"/>
    <b v="1"/>
    <b v="1"/>
    <b v="0"/>
    <x v="16"/>
    <n v="92815000000168"/>
    <x v="338"/>
    <x v="45"/>
    <x v="11"/>
    <n v="62"/>
    <x v="3"/>
    <x v="5"/>
    <n v="46"/>
    <n v="46"/>
  </r>
  <r>
    <n v="2019"/>
    <n v="9"/>
    <x v="0"/>
    <x v="2"/>
    <x v="0"/>
    <s v="2019/2020"/>
    <b v="1"/>
    <b v="1"/>
    <b v="0"/>
    <x v="15"/>
    <n v="92815000000168"/>
    <x v="338"/>
    <x v="45"/>
    <x v="11"/>
    <n v="62"/>
    <x v="3"/>
    <x v="5"/>
    <n v="15"/>
    <n v="15"/>
  </r>
  <r>
    <n v="2019"/>
    <n v="9"/>
    <x v="0"/>
    <x v="2"/>
    <x v="0"/>
    <s v="2019/2020"/>
    <b v="1"/>
    <b v="1"/>
    <b v="0"/>
    <x v="16"/>
    <n v="92815000000168"/>
    <x v="338"/>
    <x v="45"/>
    <x v="11"/>
    <n v="64"/>
    <x v="4"/>
    <x v="6"/>
    <n v="25"/>
    <n v="25"/>
  </r>
  <r>
    <n v="2019"/>
    <n v="9"/>
    <x v="0"/>
    <x v="2"/>
    <x v="0"/>
    <s v="2019/2020"/>
    <b v="1"/>
    <b v="1"/>
    <b v="0"/>
    <x v="16"/>
    <n v="92815000000168"/>
    <x v="338"/>
    <x v="45"/>
    <x v="11"/>
    <n v="70"/>
    <x v="0"/>
    <x v="7"/>
    <n v="90"/>
    <n v="9"/>
  </r>
  <r>
    <n v="2019"/>
    <n v="9"/>
    <x v="0"/>
    <x v="2"/>
    <x v="0"/>
    <s v="2019/2020"/>
    <b v="1"/>
    <b v="1"/>
    <b v="0"/>
    <x v="16"/>
    <n v="92815000000168"/>
    <x v="338"/>
    <x v="45"/>
    <x v="11"/>
    <n v="73"/>
    <x v="1"/>
    <x v="2"/>
    <n v="4"/>
    <n v="4"/>
  </r>
  <r>
    <n v="2019"/>
    <n v="9"/>
    <x v="0"/>
    <x v="2"/>
    <x v="0"/>
    <s v="2019/2020"/>
    <b v="1"/>
    <b v="1"/>
    <b v="0"/>
    <x v="16"/>
    <n v="92815000000168"/>
    <x v="338"/>
    <x v="45"/>
    <x v="11"/>
    <n v="73"/>
    <x v="1"/>
    <x v="1"/>
    <n v="24"/>
    <n v="12"/>
  </r>
  <r>
    <n v="2019"/>
    <n v="9"/>
    <x v="0"/>
    <x v="2"/>
    <x v="0"/>
    <s v="2019/2020"/>
    <b v="1"/>
    <b v="1"/>
    <b v="0"/>
    <x v="16"/>
    <n v="92963560000160"/>
    <x v="447"/>
    <x v="45"/>
    <x v="11"/>
    <n v="62"/>
    <x v="3"/>
    <x v="5"/>
    <n v="15"/>
    <n v="15"/>
  </r>
  <r>
    <n v="2019"/>
    <n v="9"/>
    <x v="0"/>
    <x v="2"/>
    <x v="0"/>
    <s v="2019/2020"/>
    <b v="1"/>
    <b v="1"/>
    <b v="0"/>
    <x v="14"/>
    <n v="94831294000147"/>
    <x v="341"/>
    <x v="45"/>
    <x v="11"/>
    <n v="70"/>
    <x v="0"/>
    <x v="0"/>
    <n v="30"/>
    <n v="6"/>
  </r>
  <r>
    <n v="2019"/>
    <n v="9"/>
    <x v="0"/>
    <x v="2"/>
    <x v="0"/>
    <s v="2019/2020"/>
    <b v="1"/>
    <b v="1"/>
    <b v="0"/>
    <x v="16"/>
    <n v="95610887000146"/>
    <x v="342"/>
    <x v="47"/>
    <x v="11"/>
    <n v="62"/>
    <x v="3"/>
    <x v="5"/>
    <n v="3"/>
    <n v="3"/>
  </r>
  <r>
    <n v="2019"/>
    <n v="9"/>
    <x v="0"/>
    <x v="2"/>
    <x v="0"/>
    <s v="2019/2020"/>
    <b v="1"/>
    <b v="1"/>
    <b v="0"/>
    <x v="14"/>
    <n v="95610887000146"/>
    <x v="342"/>
    <x v="47"/>
    <x v="11"/>
    <n v="70"/>
    <x v="0"/>
    <x v="0"/>
    <n v="450"/>
    <n v="90"/>
  </r>
  <r>
    <n v="2019"/>
    <n v="9"/>
    <x v="0"/>
    <x v="2"/>
    <x v="0"/>
    <s v="2019/2020"/>
    <b v="1"/>
    <b v="1"/>
    <b v="0"/>
    <x v="9"/>
    <n v="97397848000138"/>
    <x v="514"/>
    <x v="31"/>
    <x v="17"/>
    <n v="64"/>
    <x v="4"/>
    <x v="6"/>
    <n v="4"/>
    <n v="4"/>
  </r>
  <r>
    <n v="2019"/>
    <n v="10"/>
    <x v="0"/>
    <x v="3"/>
    <x v="1"/>
    <s v="2019/2020"/>
    <b v="1"/>
    <b v="0"/>
    <b v="0"/>
    <x v="1"/>
    <n v="12371009253"/>
    <x v="1"/>
    <x v="1"/>
    <x v="1"/>
    <n v="73"/>
    <x v="1"/>
    <x v="1"/>
    <n v="8"/>
    <n v="4"/>
  </r>
  <r>
    <n v="2019"/>
    <n v="10"/>
    <x v="0"/>
    <x v="3"/>
    <x v="1"/>
    <s v="2019/2020"/>
    <b v="1"/>
    <b v="0"/>
    <b v="0"/>
    <x v="1"/>
    <n v="12371009253"/>
    <x v="1"/>
    <x v="1"/>
    <x v="1"/>
    <n v="73"/>
    <x v="1"/>
    <x v="2"/>
    <n v="4"/>
    <n v="4"/>
  </r>
  <r>
    <n v="2019"/>
    <n v="10"/>
    <x v="0"/>
    <x v="3"/>
    <x v="1"/>
    <s v="2019/2020"/>
    <b v="1"/>
    <b v="0"/>
    <b v="0"/>
    <x v="8"/>
    <n v="25841000153"/>
    <x v="344"/>
    <x v="4"/>
    <x v="4"/>
    <n v="62"/>
    <x v="3"/>
    <x v="5"/>
    <n v="6"/>
    <n v="6"/>
  </r>
  <r>
    <n v="2019"/>
    <n v="10"/>
    <x v="0"/>
    <x v="3"/>
    <x v="1"/>
    <s v="2019/2020"/>
    <b v="1"/>
    <b v="0"/>
    <b v="0"/>
    <x v="2"/>
    <n v="25841000153"/>
    <x v="344"/>
    <x v="4"/>
    <x v="4"/>
    <n v="62"/>
    <x v="3"/>
    <x v="5"/>
    <n v="3"/>
    <n v="3"/>
  </r>
  <r>
    <n v="2019"/>
    <n v="10"/>
    <x v="0"/>
    <x v="3"/>
    <x v="1"/>
    <s v="2019/2020"/>
    <b v="1"/>
    <b v="0"/>
    <b v="0"/>
    <x v="8"/>
    <n v="25841000153"/>
    <x v="344"/>
    <x v="4"/>
    <x v="4"/>
    <n v="64"/>
    <x v="4"/>
    <x v="6"/>
    <n v="5"/>
    <n v="5"/>
  </r>
  <r>
    <n v="2019"/>
    <n v="10"/>
    <x v="0"/>
    <x v="3"/>
    <x v="1"/>
    <s v="2019/2020"/>
    <b v="1"/>
    <b v="0"/>
    <b v="0"/>
    <x v="1"/>
    <n v="44482299472"/>
    <x v="451"/>
    <x v="19"/>
    <x v="14"/>
    <n v="66"/>
    <x v="2"/>
    <x v="3"/>
    <n v="30"/>
    <n v="30"/>
  </r>
  <r>
    <n v="2019"/>
    <n v="10"/>
    <x v="0"/>
    <x v="3"/>
    <x v="1"/>
    <s v="2019/2020"/>
    <b v="1"/>
    <b v="0"/>
    <b v="0"/>
    <x v="2"/>
    <n v="49791000144"/>
    <x v="4"/>
    <x v="4"/>
    <x v="4"/>
    <n v="64"/>
    <x v="4"/>
    <x v="6"/>
    <n v="3"/>
    <n v="3"/>
  </r>
  <r>
    <n v="2019"/>
    <n v="10"/>
    <x v="0"/>
    <x v="3"/>
    <x v="1"/>
    <s v="2019/2020"/>
    <b v="1"/>
    <b v="0"/>
    <b v="0"/>
    <x v="3"/>
    <n v="132229000180"/>
    <x v="7"/>
    <x v="6"/>
    <x v="2"/>
    <n v="70"/>
    <x v="0"/>
    <x v="0"/>
    <n v="105"/>
    <n v="7"/>
  </r>
  <r>
    <n v="2019"/>
    <n v="10"/>
    <x v="0"/>
    <x v="3"/>
    <x v="1"/>
    <s v="2019/2020"/>
    <b v="1"/>
    <b v="0"/>
    <b v="0"/>
    <x v="17"/>
    <n v="132229000180"/>
    <x v="7"/>
    <x v="6"/>
    <x v="2"/>
    <n v="70"/>
    <x v="0"/>
    <x v="0"/>
    <n v="35"/>
    <n v="7"/>
  </r>
  <r>
    <n v="2019"/>
    <n v="10"/>
    <x v="0"/>
    <x v="3"/>
    <x v="1"/>
    <s v="2019/2020"/>
    <b v="1"/>
    <b v="0"/>
    <b v="0"/>
    <x v="4"/>
    <n v="304148000110"/>
    <x v="8"/>
    <x v="7"/>
    <x v="6"/>
    <n v="73"/>
    <x v="1"/>
    <x v="4"/>
    <n v="16"/>
    <n v="4"/>
  </r>
  <r>
    <n v="2019"/>
    <n v="10"/>
    <x v="0"/>
    <x v="3"/>
    <x v="1"/>
    <s v="2019/2020"/>
    <b v="1"/>
    <b v="0"/>
    <b v="0"/>
    <x v="2"/>
    <n v="382069000127"/>
    <x v="515"/>
    <x v="4"/>
    <x v="4"/>
    <n v="62"/>
    <x v="3"/>
    <x v="5"/>
    <n v="2"/>
    <n v="2"/>
  </r>
  <r>
    <n v="2019"/>
    <n v="10"/>
    <x v="0"/>
    <x v="3"/>
    <x v="1"/>
    <s v="2019/2020"/>
    <b v="1"/>
    <b v="0"/>
    <b v="0"/>
    <x v="12"/>
    <n v="382069000127"/>
    <x v="515"/>
    <x v="4"/>
    <x v="4"/>
    <n v="64"/>
    <x v="4"/>
    <x v="6"/>
    <n v="4"/>
    <n v="4"/>
  </r>
  <r>
    <n v="2019"/>
    <n v="10"/>
    <x v="0"/>
    <x v="3"/>
    <x v="1"/>
    <s v="2019/2020"/>
    <b v="1"/>
    <b v="0"/>
    <b v="0"/>
    <x v="8"/>
    <n v="382069000127"/>
    <x v="515"/>
    <x v="4"/>
    <x v="4"/>
    <n v="70"/>
    <x v="0"/>
    <x v="0"/>
    <n v="-50"/>
    <n v="-10"/>
  </r>
  <r>
    <n v="2019"/>
    <n v="10"/>
    <x v="0"/>
    <x v="3"/>
    <x v="1"/>
    <s v="2019/2020"/>
    <b v="1"/>
    <b v="0"/>
    <b v="0"/>
    <x v="8"/>
    <n v="382069000127"/>
    <x v="515"/>
    <x v="4"/>
    <x v="4"/>
    <n v="70"/>
    <x v="0"/>
    <x v="0"/>
    <n v="50"/>
    <n v="10"/>
  </r>
  <r>
    <n v="2019"/>
    <n v="10"/>
    <x v="0"/>
    <x v="3"/>
    <x v="1"/>
    <s v="2019/2020"/>
    <b v="1"/>
    <b v="0"/>
    <b v="0"/>
    <x v="11"/>
    <n v="394429019391"/>
    <x v="516"/>
    <x v="24"/>
    <x v="15"/>
    <n v="70"/>
    <x v="0"/>
    <x v="8"/>
    <n v="25"/>
    <n v="10"/>
  </r>
  <r>
    <n v="2019"/>
    <n v="10"/>
    <x v="0"/>
    <x v="3"/>
    <x v="1"/>
    <s v="2019/2020"/>
    <b v="1"/>
    <b v="0"/>
    <b v="0"/>
    <x v="0"/>
    <n v="394502014870"/>
    <x v="348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5"/>
    <n v="394544000851"/>
    <x v="349"/>
    <x v="4"/>
    <x v="4"/>
    <n v="66"/>
    <x v="2"/>
    <x v="3"/>
    <n v="80"/>
    <n v="80"/>
  </r>
  <r>
    <n v="2019"/>
    <n v="10"/>
    <x v="0"/>
    <x v="3"/>
    <x v="1"/>
    <s v="2019/2020"/>
    <b v="1"/>
    <b v="0"/>
    <b v="0"/>
    <x v="5"/>
    <n v="394544000851"/>
    <x v="349"/>
    <x v="4"/>
    <x v="4"/>
    <n v="66"/>
    <x v="2"/>
    <x v="3"/>
    <n v="246"/>
    <n v="82"/>
  </r>
  <r>
    <n v="2019"/>
    <n v="10"/>
    <x v="0"/>
    <x v="3"/>
    <x v="1"/>
    <s v="2019/2020"/>
    <b v="1"/>
    <b v="0"/>
    <b v="0"/>
    <x v="5"/>
    <n v="394544020372"/>
    <x v="10"/>
    <x v="0"/>
    <x v="0"/>
    <n v="70"/>
    <x v="0"/>
    <x v="0"/>
    <n v="885"/>
    <n v="177"/>
  </r>
  <r>
    <n v="2019"/>
    <n v="10"/>
    <x v="0"/>
    <x v="3"/>
    <x v="1"/>
    <s v="2019/2020"/>
    <b v="1"/>
    <b v="0"/>
    <b v="0"/>
    <x v="5"/>
    <n v="394544020453"/>
    <x v="11"/>
    <x v="0"/>
    <x v="0"/>
    <n v="70"/>
    <x v="0"/>
    <x v="0"/>
    <n v="350"/>
    <n v="70"/>
  </r>
  <r>
    <n v="2019"/>
    <n v="10"/>
    <x v="0"/>
    <x v="3"/>
    <x v="1"/>
    <s v="2019/2020"/>
    <b v="1"/>
    <b v="0"/>
    <b v="0"/>
    <x v="5"/>
    <n v="394544021000"/>
    <x v="12"/>
    <x v="0"/>
    <x v="0"/>
    <n v="70"/>
    <x v="0"/>
    <x v="0"/>
    <n v="150"/>
    <n v="30"/>
  </r>
  <r>
    <n v="2019"/>
    <n v="10"/>
    <x v="0"/>
    <x v="3"/>
    <x v="1"/>
    <s v="2019/2020"/>
    <b v="1"/>
    <b v="0"/>
    <b v="0"/>
    <x v="5"/>
    <n v="394544021344"/>
    <x v="13"/>
    <x v="0"/>
    <x v="0"/>
    <n v="64"/>
    <x v="4"/>
    <x v="6"/>
    <n v="13"/>
    <n v="13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5"/>
    <n v="1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8"/>
    <n v="7.5"/>
    <n v="3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15"/>
    <n v="3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50"/>
    <n v="10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80"/>
    <n v="16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85"/>
    <n v="17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100"/>
    <n v="20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170"/>
    <n v="34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210"/>
    <n v="42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290"/>
    <n v="58"/>
  </r>
  <r>
    <n v="2019"/>
    <n v="10"/>
    <x v="0"/>
    <x v="3"/>
    <x v="1"/>
    <s v="2019/2020"/>
    <b v="1"/>
    <b v="0"/>
    <b v="0"/>
    <x v="7"/>
    <n v="410960000120"/>
    <x v="14"/>
    <x v="6"/>
    <x v="2"/>
    <n v="70"/>
    <x v="0"/>
    <x v="0"/>
    <n v="415"/>
    <n v="83"/>
  </r>
  <r>
    <n v="2019"/>
    <n v="10"/>
    <x v="0"/>
    <x v="3"/>
    <x v="1"/>
    <s v="2019/2020"/>
    <b v="1"/>
    <b v="0"/>
    <b v="0"/>
    <x v="7"/>
    <n v="410960000120"/>
    <x v="14"/>
    <x v="6"/>
    <x v="2"/>
    <n v="73"/>
    <x v="1"/>
    <x v="4"/>
    <n v="24"/>
    <n v="2"/>
  </r>
  <r>
    <n v="2019"/>
    <n v="10"/>
    <x v="0"/>
    <x v="3"/>
    <x v="1"/>
    <s v="2019/2020"/>
    <b v="1"/>
    <b v="0"/>
    <b v="0"/>
    <x v="7"/>
    <n v="410960000120"/>
    <x v="14"/>
    <x v="6"/>
    <x v="2"/>
    <n v="73"/>
    <x v="1"/>
    <x v="2"/>
    <n v="2"/>
    <n v="2"/>
  </r>
  <r>
    <n v="2019"/>
    <n v="10"/>
    <x v="0"/>
    <x v="3"/>
    <x v="1"/>
    <s v="2019/2020"/>
    <b v="1"/>
    <b v="0"/>
    <b v="0"/>
    <x v="7"/>
    <n v="410960000120"/>
    <x v="14"/>
    <x v="6"/>
    <x v="2"/>
    <n v="73"/>
    <x v="1"/>
    <x v="4"/>
    <n v="32"/>
    <n v="4"/>
  </r>
  <r>
    <n v="2019"/>
    <n v="10"/>
    <x v="0"/>
    <x v="3"/>
    <x v="1"/>
    <s v="2019/2020"/>
    <b v="1"/>
    <b v="0"/>
    <b v="0"/>
    <x v="10"/>
    <n v="437007000175"/>
    <x v="16"/>
    <x v="9"/>
    <x v="0"/>
    <n v="70"/>
    <x v="0"/>
    <x v="0"/>
    <n v="20"/>
    <n v="4"/>
  </r>
  <r>
    <n v="2019"/>
    <n v="10"/>
    <x v="0"/>
    <x v="3"/>
    <x v="1"/>
    <s v="2019/2020"/>
    <b v="1"/>
    <b v="0"/>
    <b v="0"/>
    <x v="7"/>
    <n v="437007000175"/>
    <x v="16"/>
    <x v="9"/>
    <x v="0"/>
    <n v="70"/>
    <x v="0"/>
    <x v="8"/>
    <n v="25"/>
    <n v="10"/>
  </r>
  <r>
    <n v="2019"/>
    <n v="10"/>
    <x v="0"/>
    <x v="3"/>
    <x v="1"/>
    <s v="2019/2020"/>
    <b v="1"/>
    <b v="0"/>
    <b v="0"/>
    <x v="7"/>
    <n v="437007000175"/>
    <x v="16"/>
    <x v="9"/>
    <x v="0"/>
    <n v="70"/>
    <x v="0"/>
    <x v="0"/>
    <n v="120"/>
    <n v="24"/>
  </r>
  <r>
    <n v="2019"/>
    <n v="10"/>
    <x v="0"/>
    <x v="3"/>
    <x v="1"/>
    <s v="2019/2020"/>
    <b v="1"/>
    <b v="0"/>
    <b v="0"/>
    <x v="2"/>
    <n v="437007000175"/>
    <x v="16"/>
    <x v="9"/>
    <x v="0"/>
    <n v="70"/>
    <x v="0"/>
    <x v="0"/>
    <n v="85"/>
    <n v="17"/>
  </r>
  <r>
    <n v="2019"/>
    <n v="10"/>
    <x v="0"/>
    <x v="3"/>
    <x v="1"/>
    <s v="2019/2020"/>
    <b v="1"/>
    <b v="0"/>
    <b v="0"/>
    <x v="2"/>
    <n v="437007000175"/>
    <x v="16"/>
    <x v="9"/>
    <x v="0"/>
    <n v="70"/>
    <x v="0"/>
    <x v="0"/>
    <n v="100"/>
    <n v="20"/>
  </r>
  <r>
    <n v="2019"/>
    <n v="10"/>
    <x v="0"/>
    <x v="3"/>
    <x v="1"/>
    <s v="2019/2020"/>
    <b v="1"/>
    <b v="0"/>
    <b v="0"/>
    <x v="2"/>
    <n v="437007000175"/>
    <x v="16"/>
    <x v="9"/>
    <x v="0"/>
    <n v="70"/>
    <x v="0"/>
    <x v="0"/>
    <n v="310"/>
    <n v="62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1"/>
    <n v="6"/>
    <n v="1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2"/>
    <n v="1"/>
    <n v="1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1"/>
    <n v="10"/>
    <n v="5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4"/>
    <n v="40"/>
    <n v="10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4"/>
    <n v="128"/>
    <n v="16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4"/>
    <n v="80"/>
    <n v="20"/>
  </r>
  <r>
    <n v="2019"/>
    <n v="10"/>
    <x v="0"/>
    <x v="3"/>
    <x v="1"/>
    <s v="2019/2020"/>
    <b v="1"/>
    <b v="0"/>
    <b v="0"/>
    <x v="2"/>
    <n v="437007000175"/>
    <x v="16"/>
    <x v="9"/>
    <x v="0"/>
    <n v="73"/>
    <x v="1"/>
    <x v="4"/>
    <n v="104"/>
    <n v="26"/>
  </r>
  <r>
    <n v="2019"/>
    <n v="10"/>
    <x v="0"/>
    <x v="3"/>
    <x v="1"/>
    <s v="2019/2020"/>
    <b v="1"/>
    <b v="0"/>
    <b v="0"/>
    <x v="4"/>
    <n v="461479001054"/>
    <x v="517"/>
    <x v="3"/>
    <x v="3"/>
    <n v="64"/>
    <x v="4"/>
    <x v="6"/>
    <n v="5"/>
    <n v="5"/>
  </r>
  <r>
    <n v="2019"/>
    <n v="10"/>
    <x v="0"/>
    <x v="3"/>
    <x v="1"/>
    <s v="2019/2020"/>
    <b v="1"/>
    <b v="0"/>
    <b v="0"/>
    <x v="12"/>
    <n v="520237000101"/>
    <x v="20"/>
    <x v="4"/>
    <x v="4"/>
    <n v="70"/>
    <x v="0"/>
    <x v="0"/>
    <n v="200"/>
    <n v="40"/>
  </r>
  <r>
    <n v="2019"/>
    <n v="10"/>
    <x v="0"/>
    <x v="3"/>
    <x v="1"/>
    <s v="2019/2020"/>
    <b v="1"/>
    <b v="0"/>
    <b v="0"/>
    <x v="8"/>
    <n v="520237000101"/>
    <x v="20"/>
    <x v="4"/>
    <x v="4"/>
    <n v="70"/>
    <x v="0"/>
    <x v="0"/>
    <n v="105"/>
    <n v="21"/>
  </r>
  <r>
    <n v="2019"/>
    <n v="10"/>
    <x v="0"/>
    <x v="3"/>
    <x v="1"/>
    <s v="2019/2020"/>
    <b v="1"/>
    <b v="0"/>
    <b v="0"/>
    <x v="8"/>
    <n v="520237000101"/>
    <x v="20"/>
    <x v="4"/>
    <x v="4"/>
    <n v="70"/>
    <x v="0"/>
    <x v="0"/>
    <n v="145"/>
    <n v="29"/>
  </r>
  <r>
    <n v="2019"/>
    <n v="10"/>
    <x v="0"/>
    <x v="3"/>
    <x v="1"/>
    <s v="2019/2020"/>
    <b v="1"/>
    <b v="0"/>
    <b v="0"/>
    <x v="8"/>
    <n v="520237000101"/>
    <x v="20"/>
    <x v="4"/>
    <x v="4"/>
    <n v="73"/>
    <x v="1"/>
    <x v="1"/>
    <n v="20"/>
    <n v="5"/>
  </r>
  <r>
    <n v="2019"/>
    <n v="10"/>
    <x v="0"/>
    <x v="3"/>
    <x v="1"/>
    <s v="2019/2020"/>
    <b v="1"/>
    <b v="0"/>
    <b v="0"/>
    <x v="8"/>
    <n v="520237000101"/>
    <x v="20"/>
    <x v="4"/>
    <x v="4"/>
    <n v="73"/>
    <x v="1"/>
    <x v="2"/>
    <n v="5"/>
    <n v="5"/>
  </r>
  <r>
    <n v="2019"/>
    <n v="10"/>
    <x v="0"/>
    <x v="3"/>
    <x v="1"/>
    <s v="2019/2020"/>
    <b v="1"/>
    <b v="0"/>
    <b v="0"/>
    <x v="8"/>
    <n v="520237000101"/>
    <x v="20"/>
    <x v="4"/>
    <x v="4"/>
    <n v="73"/>
    <x v="1"/>
    <x v="4"/>
    <n v="80"/>
    <n v="10"/>
  </r>
  <r>
    <n v="2019"/>
    <n v="10"/>
    <x v="0"/>
    <x v="3"/>
    <x v="1"/>
    <s v="2019/2020"/>
    <b v="1"/>
    <b v="0"/>
    <b v="0"/>
    <x v="8"/>
    <n v="520237000101"/>
    <x v="20"/>
    <x v="4"/>
    <x v="4"/>
    <n v="73"/>
    <x v="1"/>
    <x v="4"/>
    <n v="80"/>
    <n v="20"/>
  </r>
  <r>
    <n v="2019"/>
    <n v="10"/>
    <x v="0"/>
    <x v="3"/>
    <x v="1"/>
    <s v="2019/2020"/>
    <b v="1"/>
    <b v="0"/>
    <b v="0"/>
    <x v="2"/>
    <n v="520237000101"/>
    <x v="20"/>
    <x v="4"/>
    <x v="4"/>
    <n v="73"/>
    <x v="1"/>
    <x v="1"/>
    <n v="10"/>
    <n v="5"/>
  </r>
  <r>
    <n v="2019"/>
    <n v="10"/>
    <x v="0"/>
    <x v="3"/>
    <x v="1"/>
    <s v="2019/2020"/>
    <b v="1"/>
    <b v="0"/>
    <b v="0"/>
    <x v="2"/>
    <n v="520237000101"/>
    <x v="20"/>
    <x v="4"/>
    <x v="4"/>
    <n v="73"/>
    <x v="1"/>
    <x v="2"/>
    <n v="5"/>
    <n v="5"/>
  </r>
  <r>
    <n v="2019"/>
    <n v="10"/>
    <x v="0"/>
    <x v="3"/>
    <x v="1"/>
    <s v="2019/2020"/>
    <b v="1"/>
    <b v="0"/>
    <b v="0"/>
    <x v="2"/>
    <n v="520237000101"/>
    <x v="20"/>
    <x v="4"/>
    <x v="4"/>
    <n v="73"/>
    <x v="1"/>
    <x v="4"/>
    <n v="40"/>
    <n v="10"/>
  </r>
  <r>
    <n v="2019"/>
    <n v="10"/>
    <x v="0"/>
    <x v="3"/>
    <x v="1"/>
    <s v="2019/2020"/>
    <b v="1"/>
    <b v="0"/>
    <b v="0"/>
    <x v="10"/>
    <n v="521197000104"/>
    <x v="21"/>
    <x v="9"/>
    <x v="0"/>
    <n v="70"/>
    <x v="0"/>
    <x v="0"/>
    <n v="50"/>
    <n v="10"/>
  </r>
  <r>
    <n v="2019"/>
    <n v="10"/>
    <x v="0"/>
    <x v="3"/>
    <x v="1"/>
    <s v="2019/2020"/>
    <b v="1"/>
    <b v="0"/>
    <b v="0"/>
    <x v="10"/>
    <n v="521197000104"/>
    <x v="21"/>
    <x v="9"/>
    <x v="0"/>
    <n v="70"/>
    <x v="0"/>
    <x v="0"/>
    <n v="65"/>
    <n v="13"/>
  </r>
  <r>
    <n v="2019"/>
    <n v="10"/>
    <x v="0"/>
    <x v="3"/>
    <x v="1"/>
    <s v="2019/2020"/>
    <b v="1"/>
    <b v="0"/>
    <b v="0"/>
    <x v="7"/>
    <n v="521197000104"/>
    <x v="21"/>
    <x v="9"/>
    <x v="0"/>
    <n v="70"/>
    <x v="0"/>
    <x v="8"/>
    <n v="5"/>
    <n v="2"/>
  </r>
  <r>
    <n v="2019"/>
    <n v="10"/>
    <x v="0"/>
    <x v="3"/>
    <x v="1"/>
    <s v="2019/2020"/>
    <b v="1"/>
    <b v="0"/>
    <b v="0"/>
    <x v="2"/>
    <n v="521197000104"/>
    <x v="21"/>
    <x v="9"/>
    <x v="0"/>
    <n v="70"/>
    <x v="0"/>
    <x v="0"/>
    <n v="90"/>
    <n v="18"/>
  </r>
  <r>
    <n v="2019"/>
    <n v="10"/>
    <x v="0"/>
    <x v="3"/>
    <x v="1"/>
    <s v="2019/2020"/>
    <b v="1"/>
    <b v="0"/>
    <b v="0"/>
    <x v="2"/>
    <n v="521197000104"/>
    <x v="21"/>
    <x v="9"/>
    <x v="0"/>
    <n v="70"/>
    <x v="0"/>
    <x v="0"/>
    <n v="120"/>
    <n v="24"/>
  </r>
  <r>
    <n v="2019"/>
    <n v="10"/>
    <x v="0"/>
    <x v="3"/>
    <x v="1"/>
    <s v="2019/2020"/>
    <b v="1"/>
    <b v="0"/>
    <b v="0"/>
    <x v="4"/>
    <n v="603226000187"/>
    <x v="518"/>
    <x v="3"/>
    <x v="3"/>
    <n v="73"/>
    <x v="1"/>
    <x v="4"/>
    <n v="4"/>
    <n v="1"/>
  </r>
  <r>
    <n v="2019"/>
    <n v="10"/>
    <x v="0"/>
    <x v="3"/>
    <x v="1"/>
    <s v="2019/2020"/>
    <b v="1"/>
    <b v="0"/>
    <b v="0"/>
    <x v="4"/>
    <n v="603226000187"/>
    <x v="518"/>
    <x v="3"/>
    <x v="3"/>
    <n v="73"/>
    <x v="1"/>
    <x v="4"/>
    <n v="16"/>
    <n v="4"/>
  </r>
  <r>
    <n v="2019"/>
    <n v="10"/>
    <x v="0"/>
    <x v="3"/>
    <x v="1"/>
    <s v="2019/2020"/>
    <b v="1"/>
    <b v="0"/>
    <b v="0"/>
    <x v="6"/>
    <n v="603226000187"/>
    <x v="518"/>
    <x v="3"/>
    <x v="3"/>
    <n v="73"/>
    <x v="1"/>
    <x v="4"/>
    <n v="8"/>
    <n v="2"/>
  </r>
  <r>
    <n v="2019"/>
    <n v="10"/>
    <x v="0"/>
    <x v="3"/>
    <x v="1"/>
    <s v="2019/2020"/>
    <b v="1"/>
    <b v="0"/>
    <b v="0"/>
    <x v="8"/>
    <n v="610980000144"/>
    <x v="22"/>
    <x v="4"/>
    <x v="4"/>
    <n v="64"/>
    <x v="4"/>
    <x v="6"/>
    <n v="1"/>
    <n v="1"/>
  </r>
  <r>
    <n v="2019"/>
    <n v="10"/>
    <x v="0"/>
    <x v="3"/>
    <x v="1"/>
    <s v="2019/2020"/>
    <b v="1"/>
    <b v="0"/>
    <b v="0"/>
    <x v="8"/>
    <n v="610980000144"/>
    <x v="22"/>
    <x v="4"/>
    <x v="4"/>
    <n v="64"/>
    <x v="4"/>
    <x v="6"/>
    <n v="2"/>
    <n v="2"/>
  </r>
  <r>
    <n v="2019"/>
    <n v="10"/>
    <x v="0"/>
    <x v="3"/>
    <x v="1"/>
    <s v="2019/2020"/>
    <b v="1"/>
    <b v="0"/>
    <b v="0"/>
    <x v="8"/>
    <n v="610980000144"/>
    <x v="22"/>
    <x v="4"/>
    <x v="4"/>
    <n v="64"/>
    <x v="4"/>
    <x v="6"/>
    <n v="4"/>
    <n v="4"/>
  </r>
  <r>
    <n v="2019"/>
    <n v="10"/>
    <x v="0"/>
    <x v="3"/>
    <x v="1"/>
    <s v="2019/2020"/>
    <b v="1"/>
    <b v="0"/>
    <b v="0"/>
    <x v="8"/>
    <n v="610980000144"/>
    <x v="22"/>
    <x v="4"/>
    <x v="4"/>
    <n v="64"/>
    <x v="4"/>
    <x v="6"/>
    <n v="15"/>
    <n v="15"/>
  </r>
  <r>
    <n v="2019"/>
    <n v="10"/>
    <x v="0"/>
    <x v="3"/>
    <x v="1"/>
    <s v="2019/2020"/>
    <b v="1"/>
    <b v="0"/>
    <b v="0"/>
    <x v="8"/>
    <n v="610980000144"/>
    <x v="22"/>
    <x v="4"/>
    <x v="4"/>
    <n v="70"/>
    <x v="0"/>
    <x v="0"/>
    <n v="50"/>
    <n v="10"/>
  </r>
  <r>
    <n v="2019"/>
    <n v="10"/>
    <x v="0"/>
    <x v="3"/>
    <x v="1"/>
    <s v="2019/2020"/>
    <b v="1"/>
    <b v="0"/>
    <b v="0"/>
    <x v="11"/>
    <n v="820737000150"/>
    <x v="23"/>
    <x v="10"/>
    <x v="8"/>
    <n v="64"/>
    <x v="4"/>
    <x v="6"/>
    <n v="6"/>
    <n v="6"/>
  </r>
  <r>
    <n v="2019"/>
    <n v="10"/>
    <x v="0"/>
    <x v="3"/>
    <x v="1"/>
    <s v="2019/2020"/>
    <b v="1"/>
    <b v="0"/>
    <b v="0"/>
    <x v="11"/>
    <n v="820737000150"/>
    <x v="23"/>
    <x v="10"/>
    <x v="8"/>
    <n v="64"/>
    <x v="4"/>
    <x v="6"/>
    <n v="15"/>
    <n v="15"/>
  </r>
  <r>
    <n v="2019"/>
    <n v="10"/>
    <x v="0"/>
    <x v="3"/>
    <x v="1"/>
    <s v="2019/2020"/>
    <b v="1"/>
    <b v="0"/>
    <b v="0"/>
    <x v="17"/>
    <n v="1011865000116"/>
    <x v="27"/>
    <x v="8"/>
    <x v="7"/>
    <n v="70"/>
    <x v="0"/>
    <x v="0"/>
    <n v="250"/>
    <n v="50"/>
  </r>
  <r>
    <n v="2019"/>
    <n v="10"/>
    <x v="0"/>
    <x v="3"/>
    <x v="1"/>
    <s v="2019/2020"/>
    <b v="1"/>
    <b v="0"/>
    <b v="0"/>
    <x v="8"/>
    <n v="1011865000116"/>
    <x v="27"/>
    <x v="8"/>
    <x v="7"/>
    <n v="70"/>
    <x v="0"/>
    <x v="0"/>
    <n v="150"/>
    <n v="30"/>
  </r>
  <r>
    <n v="2019"/>
    <n v="10"/>
    <x v="0"/>
    <x v="3"/>
    <x v="1"/>
    <s v="2019/2020"/>
    <b v="1"/>
    <b v="0"/>
    <b v="0"/>
    <x v="6"/>
    <n v="1011865000116"/>
    <x v="27"/>
    <x v="8"/>
    <x v="7"/>
    <n v="70"/>
    <x v="0"/>
    <x v="0"/>
    <n v="400"/>
    <n v="80"/>
  </r>
  <r>
    <n v="2019"/>
    <n v="10"/>
    <x v="0"/>
    <x v="3"/>
    <x v="1"/>
    <s v="2019/2020"/>
    <b v="1"/>
    <b v="0"/>
    <b v="0"/>
    <x v="4"/>
    <n v="1125832000105"/>
    <x v="28"/>
    <x v="14"/>
    <x v="10"/>
    <n v="70"/>
    <x v="0"/>
    <x v="0"/>
    <n v="60"/>
    <n v="12"/>
  </r>
  <r>
    <n v="2019"/>
    <n v="10"/>
    <x v="0"/>
    <x v="3"/>
    <x v="1"/>
    <s v="2019/2020"/>
    <b v="1"/>
    <b v="0"/>
    <b v="0"/>
    <x v="11"/>
    <n v="1277573000120"/>
    <x v="456"/>
    <x v="8"/>
    <x v="7"/>
    <n v="64"/>
    <x v="4"/>
    <x v="6"/>
    <n v="6"/>
    <n v="6"/>
  </r>
  <r>
    <n v="2019"/>
    <n v="10"/>
    <x v="0"/>
    <x v="3"/>
    <x v="1"/>
    <s v="2019/2020"/>
    <b v="1"/>
    <b v="0"/>
    <b v="0"/>
    <x v="8"/>
    <n v="1326206000179"/>
    <x v="30"/>
    <x v="16"/>
    <x v="7"/>
    <n v="73"/>
    <x v="1"/>
    <x v="1"/>
    <n v="4"/>
    <n v="1"/>
  </r>
  <r>
    <n v="2019"/>
    <n v="10"/>
    <x v="0"/>
    <x v="3"/>
    <x v="1"/>
    <s v="2019/2020"/>
    <b v="1"/>
    <b v="0"/>
    <b v="0"/>
    <x v="8"/>
    <n v="1326206000179"/>
    <x v="30"/>
    <x v="16"/>
    <x v="7"/>
    <n v="73"/>
    <x v="1"/>
    <x v="4"/>
    <n v="4"/>
    <n v="1"/>
  </r>
  <r>
    <n v="2019"/>
    <n v="10"/>
    <x v="0"/>
    <x v="3"/>
    <x v="1"/>
    <s v="2019/2020"/>
    <b v="1"/>
    <b v="0"/>
    <b v="0"/>
    <x v="8"/>
    <n v="1326206000179"/>
    <x v="30"/>
    <x v="16"/>
    <x v="7"/>
    <n v="73"/>
    <x v="1"/>
    <x v="1"/>
    <n v="4"/>
    <n v="2"/>
  </r>
  <r>
    <n v="2019"/>
    <n v="10"/>
    <x v="0"/>
    <x v="3"/>
    <x v="1"/>
    <s v="2019/2020"/>
    <b v="1"/>
    <b v="0"/>
    <b v="0"/>
    <x v="8"/>
    <n v="1326206000179"/>
    <x v="30"/>
    <x v="16"/>
    <x v="7"/>
    <n v="73"/>
    <x v="1"/>
    <x v="2"/>
    <n v="2"/>
    <n v="2"/>
  </r>
  <r>
    <n v="2019"/>
    <n v="10"/>
    <x v="0"/>
    <x v="3"/>
    <x v="1"/>
    <s v="2019/2020"/>
    <b v="1"/>
    <b v="0"/>
    <b v="0"/>
    <x v="8"/>
    <n v="1326206000179"/>
    <x v="30"/>
    <x v="16"/>
    <x v="7"/>
    <n v="73"/>
    <x v="1"/>
    <x v="4"/>
    <n v="16"/>
    <n v="4"/>
  </r>
  <r>
    <n v="2019"/>
    <n v="10"/>
    <x v="0"/>
    <x v="3"/>
    <x v="1"/>
    <s v="2019/2020"/>
    <b v="1"/>
    <b v="0"/>
    <b v="0"/>
    <x v="3"/>
    <n v="1444455000169"/>
    <x v="519"/>
    <x v="6"/>
    <x v="2"/>
    <n v="70"/>
    <x v="0"/>
    <x v="0"/>
    <n v="30"/>
    <n v="6"/>
  </r>
  <r>
    <n v="2019"/>
    <n v="10"/>
    <x v="0"/>
    <x v="3"/>
    <x v="1"/>
    <s v="2019/2020"/>
    <b v="1"/>
    <b v="0"/>
    <b v="0"/>
    <x v="10"/>
    <n v="1454407000151"/>
    <x v="33"/>
    <x v="19"/>
    <x v="14"/>
    <n v="70"/>
    <x v="0"/>
    <x v="0"/>
    <n v="135"/>
    <n v="27"/>
  </r>
  <r>
    <n v="2019"/>
    <n v="10"/>
    <x v="0"/>
    <x v="3"/>
    <x v="1"/>
    <s v="2019/2020"/>
    <b v="1"/>
    <b v="0"/>
    <b v="0"/>
    <x v="18"/>
    <n v="1454407000151"/>
    <x v="33"/>
    <x v="19"/>
    <x v="14"/>
    <n v="70"/>
    <x v="0"/>
    <x v="0"/>
    <n v="125"/>
    <n v="25"/>
  </r>
  <r>
    <n v="2019"/>
    <n v="10"/>
    <x v="0"/>
    <x v="3"/>
    <x v="1"/>
    <s v="2019/2020"/>
    <b v="1"/>
    <b v="0"/>
    <b v="0"/>
    <x v="11"/>
    <n v="1507901000137"/>
    <x v="34"/>
    <x v="10"/>
    <x v="8"/>
    <n v="64"/>
    <x v="4"/>
    <x v="6"/>
    <n v="1"/>
    <n v="1"/>
  </r>
  <r>
    <n v="2019"/>
    <n v="10"/>
    <x v="0"/>
    <x v="3"/>
    <x v="1"/>
    <s v="2019/2020"/>
    <b v="1"/>
    <b v="0"/>
    <b v="0"/>
    <x v="11"/>
    <n v="1507901000137"/>
    <x v="34"/>
    <x v="10"/>
    <x v="8"/>
    <n v="64"/>
    <x v="4"/>
    <x v="6"/>
    <n v="9"/>
    <n v="9"/>
  </r>
  <r>
    <n v="2019"/>
    <n v="10"/>
    <x v="0"/>
    <x v="3"/>
    <x v="1"/>
    <s v="2019/2020"/>
    <b v="1"/>
    <b v="0"/>
    <b v="0"/>
    <x v="13"/>
    <n v="1554266000149"/>
    <x v="457"/>
    <x v="21"/>
    <x v="10"/>
    <n v="70"/>
    <x v="0"/>
    <x v="0"/>
    <n v="70"/>
    <n v="7"/>
  </r>
  <r>
    <n v="2019"/>
    <n v="10"/>
    <x v="0"/>
    <x v="3"/>
    <x v="1"/>
    <s v="2019/2020"/>
    <b v="1"/>
    <b v="0"/>
    <b v="0"/>
    <x v="4"/>
    <n v="1554266000300"/>
    <x v="36"/>
    <x v="21"/>
    <x v="10"/>
    <n v="70"/>
    <x v="0"/>
    <x v="0"/>
    <n v="70"/>
    <n v="7"/>
  </r>
  <r>
    <n v="2019"/>
    <n v="10"/>
    <x v="0"/>
    <x v="3"/>
    <x v="1"/>
    <s v="2019/2020"/>
    <b v="1"/>
    <b v="0"/>
    <b v="0"/>
    <x v="4"/>
    <n v="1613433010814"/>
    <x v="520"/>
    <x v="134"/>
    <x v="3"/>
    <n v="70"/>
    <x v="0"/>
    <x v="0"/>
    <n v="50"/>
    <n v="5"/>
  </r>
  <r>
    <n v="2019"/>
    <n v="10"/>
    <x v="0"/>
    <x v="3"/>
    <x v="1"/>
    <s v="2019/2020"/>
    <b v="1"/>
    <b v="0"/>
    <b v="0"/>
    <x v="8"/>
    <n v="1757351000104"/>
    <x v="39"/>
    <x v="23"/>
    <x v="12"/>
    <n v="64"/>
    <x v="4"/>
    <x v="6"/>
    <n v="3"/>
    <n v="3"/>
  </r>
  <r>
    <n v="2019"/>
    <n v="10"/>
    <x v="0"/>
    <x v="3"/>
    <x v="1"/>
    <s v="2019/2020"/>
    <b v="1"/>
    <b v="0"/>
    <b v="0"/>
    <x v="11"/>
    <n v="1880344000103"/>
    <x v="352"/>
    <x v="87"/>
    <x v="10"/>
    <n v="70"/>
    <x v="0"/>
    <x v="0"/>
    <n v="5"/>
    <n v="1"/>
  </r>
  <r>
    <n v="2019"/>
    <n v="10"/>
    <x v="0"/>
    <x v="3"/>
    <x v="1"/>
    <s v="2019/2020"/>
    <b v="1"/>
    <b v="0"/>
    <b v="0"/>
    <x v="11"/>
    <n v="1880344000103"/>
    <x v="352"/>
    <x v="87"/>
    <x v="10"/>
    <n v="70"/>
    <x v="0"/>
    <x v="0"/>
    <n v="15"/>
    <n v="3"/>
  </r>
  <r>
    <n v="2019"/>
    <n v="10"/>
    <x v="0"/>
    <x v="3"/>
    <x v="1"/>
    <s v="2019/2020"/>
    <b v="1"/>
    <b v="0"/>
    <b v="0"/>
    <x v="11"/>
    <n v="1880344000103"/>
    <x v="352"/>
    <x v="87"/>
    <x v="10"/>
    <n v="70"/>
    <x v="0"/>
    <x v="0"/>
    <n v="50"/>
    <n v="10"/>
  </r>
  <r>
    <n v="2019"/>
    <n v="10"/>
    <x v="0"/>
    <x v="3"/>
    <x v="1"/>
    <s v="2019/2020"/>
    <b v="1"/>
    <b v="0"/>
    <b v="0"/>
    <x v="11"/>
    <n v="1880344000103"/>
    <x v="352"/>
    <x v="87"/>
    <x v="10"/>
    <n v="70"/>
    <x v="0"/>
    <x v="0"/>
    <n v="130"/>
    <n v="26"/>
  </r>
  <r>
    <n v="2019"/>
    <n v="10"/>
    <x v="0"/>
    <x v="3"/>
    <x v="1"/>
    <s v="2019/2020"/>
    <b v="1"/>
    <b v="0"/>
    <b v="0"/>
    <x v="14"/>
    <n v="1880344000103"/>
    <x v="352"/>
    <x v="87"/>
    <x v="10"/>
    <n v="70"/>
    <x v="0"/>
    <x v="0"/>
    <n v="45"/>
    <n v="9"/>
  </r>
  <r>
    <n v="2019"/>
    <n v="10"/>
    <x v="0"/>
    <x v="3"/>
    <x v="1"/>
    <s v="2019/2020"/>
    <b v="1"/>
    <b v="0"/>
    <b v="0"/>
    <x v="4"/>
    <n v="2109397000180"/>
    <x v="353"/>
    <x v="10"/>
    <x v="8"/>
    <n v="62"/>
    <x v="3"/>
    <x v="5"/>
    <n v="3"/>
    <n v="3"/>
  </r>
  <r>
    <n v="2019"/>
    <n v="10"/>
    <x v="0"/>
    <x v="3"/>
    <x v="1"/>
    <s v="2019/2020"/>
    <b v="1"/>
    <b v="0"/>
    <b v="0"/>
    <x v="2"/>
    <n v="2284062000440"/>
    <x v="40"/>
    <x v="24"/>
    <x v="15"/>
    <n v="64"/>
    <x v="4"/>
    <x v="6"/>
    <n v="5"/>
    <n v="5"/>
  </r>
  <r>
    <n v="2019"/>
    <n v="10"/>
    <x v="0"/>
    <x v="3"/>
    <x v="1"/>
    <s v="2019/2020"/>
    <b v="1"/>
    <b v="0"/>
    <b v="0"/>
    <x v="2"/>
    <n v="2284062000521"/>
    <x v="41"/>
    <x v="0"/>
    <x v="0"/>
    <n v="64"/>
    <x v="4"/>
    <x v="6"/>
    <n v="15"/>
    <n v="5"/>
  </r>
  <r>
    <n v="2019"/>
    <n v="10"/>
    <x v="0"/>
    <x v="3"/>
    <x v="1"/>
    <s v="2019/2020"/>
    <b v="1"/>
    <b v="0"/>
    <b v="0"/>
    <x v="2"/>
    <n v="2284062000521"/>
    <x v="41"/>
    <x v="0"/>
    <x v="0"/>
    <n v="64"/>
    <x v="4"/>
    <x v="6"/>
    <n v="10"/>
    <n v="10"/>
  </r>
  <r>
    <n v="2019"/>
    <n v="10"/>
    <x v="0"/>
    <x v="3"/>
    <x v="1"/>
    <s v="2019/2020"/>
    <b v="1"/>
    <b v="0"/>
    <b v="0"/>
    <x v="2"/>
    <n v="2383508000494"/>
    <x v="43"/>
    <x v="3"/>
    <x v="3"/>
    <n v="70"/>
    <x v="0"/>
    <x v="0"/>
    <n v="160"/>
    <n v="32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1"/>
    <n v="6"/>
    <n v="1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4"/>
    <n v="8"/>
    <n v="1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2"/>
    <n v="3"/>
    <n v="1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4"/>
    <n v="8"/>
    <n v="2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2"/>
    <n v="2"/>
    <n v="2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4"/>
    <n v="12"/>
    <n v="3"/>
  </r>
  <r>
    <n v="2019"/>
    <n v="10"/>
    <x v="0"/>
    <x v="3"/>
    <x v="1"/>
    <s v="2019/2020"/>
    <b v="1"/>
    <b v="0"/>
    <b v="0"/>
    <x v="7"/>
    <n v="2383508000494"/>
    <x v="43"/>
    <x v="3"/>
    <x v="3"/>
    <n v="73"/>
    <x v="1"/>
    <x v="2"/>
    <n v="4"/>
    <n v="4"/>
  </r>
  <r>
    <n v="2019"/>
    <n v="10"/>
    <x v="0"/>
    <x v="3"/>
    <x v="1"/>
    <s v="2019/2020"/>
    <b v="1"/>
    <b v="0"/>
    <b v="0"/>
    <x v="8"/>
    <n v="2476067000203"/>
    <x v="45"/>
    <x v="8"/>
    <x v="7"/>
    <n v="73"/>
    <x v="1"/>
    <x v="1"/>
    <n v="6"/>
    <n v="3"/>
  </r>
  <r>
    <n v="2019"/>
    <n v="10"/>
    <x v="0"/>
    <x v="3"/>
    <x v="1"/>
    <s v="2019/2020"/>
    <b v="1"/>
    <b v="0"/>
    <b v="0"/>
    <x v="8"/>
    <n v="2476067000203"/>
    <x v="45"/>
    <x v="8"/>
    <x v="7"/>
    <n v="73"/>
    <x v="1"/>
    <x v="1"/>
    <n v="10"/>
    <n v="5"/>
  </r>
  <r>
    <n v="2019"/>
    <n v="10"/>
    <x v="0"/>
    <x v="3"/>
    <x v="1"/>
    <s v="2019/2020"/>
    <b v="1"/>
    <b v="0"/>
    <b v="0"/>
    <x v="8"/>
    <n v="2476067000203"/>
    <x v="45"/>
    <x v="8"/>
    <x v="7"/>
    <n v="73"/>
    <x v="1"/>
    <x v="4"/>
    <n v="32"/>
    <n v="8"/>
  </r>
  <r>
    <n v="2019"/>
    <n v="10"/>
    <x v="0"/>
    <x v="3"/>
    <x v="1"/>
    <s v="2019/2020"/>
    <b v="1"/>
    <b v="0"/>
    <b v="0"/>
    <x v="6"/>
    <n v="2476067000203"/>
    <x v="45"/>
    <x v="8"/>
    <x v="7"/>
    <n v="73"/>
    <x v="1"/>
    <x v="2"/>
    <n v="4"/>
    <n v="4"/>
  </r>
  <r>
    <n v="2019"/>
    <n v="10"/>
    <x v="0"/>
    <x v="3"/>
    <x v="1"/>
    <s v="2019/2020"/>
    <b v="1"/>
    <b v="0"/>
    <b v="0"/>
    <x v="6"/>
    <n v="2476067000203"/>
    <x v="45"/>
    <x v="8"/>
    <x v="7"/>
    <n v="73"/>
    <x v="1"/>
    <x v="4"/>
    <n v="24"/>
    <n v="6"/>
  </r>
  <r>
    <n v="2019"/>
    <n v="10"/>
    <x v="0"/>
    <x v="3"/>
    <x v="1"/>
    <s v="2019/2020"/>
    <b v="1"/>
    <b v="0"/>
    <b v="0"/>
    <x v="8"/>
    <n v="2476067000394"/>
    <x v="46"/>
    <x v="8"/>
    <x v="7"/>
    <n v="70"/>
    <x v="0"/>
    <x v="0"/>
    <n v="45"/>
    <n v="9"/>
  </r>
  <r>
    <n v="2019"/>
    <n v="10"/>
    <x v="0"/>
    <x v="3"/>
    <x v="1"/>
    <s v="2019/2020"/>
    <b v="1"/>
    <b v="0"/>
    <b v="0"/>
    <x v="11"/>
    <n v="2560878000107"/>
    <x v="47"/>
    <x v="4"/>
    <x v="4"/>
    <n v="64"/>
    <x v="4"/>
    <x v="6"/>
    <n v="1"/>
    <n v="1"/>
  </r>
  <r>
    <n v="2019"/>
    <n v="10"/>
    <x v="0"/>
    <x v="3"/>
    <x v="1"/>
    <s v="2019/2020"/>
    <b v="1"/>
    <b v="0"/>
    <b v="0"/>
    <x v="11"/>
    <n v="2560878000107"/>
    <x v="47"/>
    <x v="4"/>
    <x v="4"/>
    <n v="64"/>
    <x v="4"/>
    <x v="6"/>
    <n v="3"/>
    <n v="3"/>
  </r>
  <r>
    <n v="2019"/>
    <n v="10"/>
    <x v="0"/>
    <x v="3"/>
    <x v="1"/>
    <s v="2019/2020"/>
    <b v="1"/>
    <b v="0"/>
    <b v="0"/>
    <x v="8"/>
    <n v="2560878000107"/>
    <x v="47"/>
    <x v="4"/>
    <x v="4"/>
    <n v="64"/>
    <x v="4"/>
    <x v="6"/>
    <n v="5"/>
    <n v="5"/>
  </r>
  <r>
    <n v="2019"/>
    <n v="10"/>
    <x v="0"/>
    <x v="3"/>
    <x v="1"/>
    <s v="2019/2020"/>
    <b v="1"/>
    <b v="0"/>
    <b v="0"/>
    <x v="3"/>
    <n v="2560878000107"/>
    <x v="47"/>
    <x v="4"/>
    <x v="4"/>
    <n v="70"/>
    <x v="0"/>
    <x v="0"/>
    <n v="50"/>
    <n v="10"/>
  </r>
  <r>
    <n v="2019"/>
    <n v="10"/>
    <x v="0"/>
    <x v="3"/>
    <x v="1"/>
    <s v="2019/2020"/>
    <b v="1"/>
    <b v="0"/>
    <b v="0"/>
    <x v="8"/>
    <n v="2560878000107"/>
    <x v="47"/>
    <x v="4"/>
    <x v="4"/>
    <n v="70"/>
    <x v="0"/>
    <x v="0"/>
    <n v="5"/>
    <n v="1"/>
  </r>
  <r>
    <n v="2019"/>
    <n v="10"/>
    <x v="0"/>
    <x v="3"/>
    <x v="1"/>
    <s v="2019/2020"/>
    <b v="1"/>
    <b v="0"/>
    <b v="0"/>
    <x v="2"/>
    <n v="2560878000107"/>
    <x v="47"/>
    <x v="4"/>
    <x v="4"/>
    <n v="70"/>
    <x v="0"/>
    <x v="0"/>
    <n v="10"/>
    <n v="2"/>
  </r>
  <r>
    <n v="2019"/>
    <n v="10"/>
    <x v="0"/>
    <x v="3"/>
    <x v="1"/>
    <s v="2019/2020"/>
    <b v="1"/>
    <b v="0"/>
    <b v="0"/>
    <x v="7"/>
    <n v="2623693000102"/>
    <x v="48"/>
    <x v="6"/>
    <x v="2"/>
    <n v="70"/>
    <x v="0"/>
    <x v="7"/>
    <n v="20"/>
    <n v="2"/>
  </r>
  <r>
    <n v="2019"/>
    <n v="10"/>
    <x v="0"/>
    <x v="3"/>
    <x v="1"/>
    <s v="2019/2020"/>
    <b v="1"/>
    <b v="0"/>
    <b v="0"/>
    <x v="6"/>
    <n v="2643405000173"/>
    <x v="49"/>
    <x v="26"/>
    <x v="3"/>
    <n v="73"/>
    <x v="1"/>
    <x v="1"/>
    <n v="8"/>
    <n v="4"/>
  </r>
  <r>
    <n v="2019"/>
    <n v="10"/>
    <x v="0"/>
    <x v="3"/>
    <x v="1"/>
    <s v="2019/2020"/>
    <b v="1"/>
    <b v="0"/>
    <b v="0"/>
    <x v="6"/>
    <n v="2643405000173"/>
    <x v="49"/>
    <x v="26"/>
    <x v="3"/>
    <n v="73"/>
    <x v="1"/>
    <x v="2"/>
    <n v="9"/>
    <n v="9"/>
  </r>
  <r>
    <n v="2019"/>
    <n v="10"/>
    <x v="0"/>
    <x v="3"/>
    <x v="1"/>
    <s v="2019/2020"/>
    <b v="1"/>
    <b v="0"/>
    <b v="0"/>
    <x v="6"/>
    <n v="2837922000183"/>
    <x v="50"/>
    <x v="3"/>
    <x v="3"/>
    <n v="73"/>
    <x v="1"/>
    <x v="2"/>
    <n v="4"/>
    <n v="2"/>
  </r>
  <r>
    <n v="2019"/>
    <n v="10"/>
    <x v="0"/>
    <x v="3"/>
    <x v="1"/>
    <s v="2019/2020"/>
    <b v="1"/>
    <b v="0"/>
    <b v="0"/>
    <x v="6"/>
    <n v="2837922000183"/>
    <x v="50"/>
    <x v="3"/>
    <x v="3"/>
    <n v="73"/>
    <x v="1"/>
    <x v="4"/>
    <n v="96"/>
    <n v="12"/>
  </r>
  <r>
    <n v="2019"/>
    <n v="10"/>
    <x v="0"/>
    <x v="3"/>
    <x v="1"/>
    <s v="2019/2020"/>
    <b v="1"/>
    <b v="0"/>
    <b v="0"/>
    <x v="14"/>
    <n v="2862447000286"/>
    <x v="51"/>
    <x v="13"/>
    <x v="6"/>
    <n v="70"/>
    <x v="0"/>
    <x v="0"/>
    <n v="40"/>
    <n v="8"/>
  </r>
  <r>
    <n v="2019"/>
    <n v="10"/>
    <x v="0"/>
    <x v="3"/>
    <x v="1"/>
    <s v="2019/2020"/>
    <b v="1"/>
    <b v="0"/>
    <b v="0"/>
    <x v="16"/>
    <n v="3123393000208"/>
    <x v="521"/>
    <x v="140"/>
    <x v="11"/>
    <n v="73"/>
    <x v="1"/>
    <x v="2"/>
    <n v="3"/>
    <n v="3"/>
  </r>
  <r>
    <n v="2019"/>
    <n v="10"/>
    <x v="0"/>
    <x v="3"/>
    <x v="1"/>
    <s v="2019/2020"/>
    <b v="1"/>
    <b v="0"/>
    <b v="0"/>
    <x v="5"/>
    <n v="3568867000136"/>
    <x v="522"/>
    <x v="4"/>
    <x v="4"/>
    <n v="70"/>
    <x v="0"/>
    <x v="0"/>
    <n v="430"/>
    <n v="86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0"/>
    <n v="5"/>
    <n v="1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7"/>
    <n v="30"/>
    <n v="3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7"/>
    <n v="50"/>
    <n v="5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7"/>
    <n v="90"/>
    <n v="9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7"/>
    <n v="200"/>
    <n v="10"/>
  </r>
  <r>
    <n v="2019"/>
    <n v="10"/>
    <x v="0"/>
    <x v="3"/>
    <x v="1"/>
    <s v="2019/2020"/>
    <b v="1"/>
    <b v="0"/>
    <b v="0"/>
    <x v="7"/>
    <n v="3850913000195"/>
    <x v="56"/>
    <x v="13"/>
    <x v="6"/>
    <n v="70"/>
    <x v="0"/>
    <x v="7"/>
    <n v="120"/>
    <n v="12"/>
  </r>
  <r>
    <n v="2019"/>
    <n v="10"/>
    <x v="0"/>
    <x v="3"/>
    <x v="1"/>
    <s v="2019/2020"/>
    <b v="1"/>
    <b v="0"/>
    <b v="0"/>
    <x v="15"/>
    <n v="3850913000195"/>
    <x v="56"/>
    <x v="13"/>
    <x v="6"/>
    <n v="70"/>
    <x v="0"/>
    <x v="7"/>
    <n v="150"/>
    <n v="15"/>
  </r>
  <r>
    <n v="2019"/>
    <n v="10"/>
    <x v="0"/>
    <x v="3"/>
    <x v="1"/>
    <s v="2019/2020"/>
    <b v="1"/>
    <b v="0"/>
    <b v="0"/>
    <x v="4"/>
    <n v="3855214000219"/>
    <x v="523"/>
    <x v="141"/>
    <x v="10"/>
    <n v="70"/>
    <x v="0"/>
    <x v="0"/>
    <n v="10"/>
    <n v="2"/>
  </r>
  <r>
    <n v="2019"/>
    <n v="10"/>
    <x v="0"/>
    <x v="3"/>
    <x v="1"/>
    <s v="2019/2020"/>
    <b v="1"/>
    <b v="0"/>
    <b v="0"/>
    <x v="5"/>
    <n v="3866223000124"/>
    <x v="358"/>
    <x v="19"/>
    <x v="14"/>
    <n v="70"/>
    <x v="0"/>
    <x v="0"/>
    <n v="-650"/>
    <n v="-130"/>
  </r>
  <r>
    <n v="2019"/>
    <n v="10"/>
    <x v="0"/>
    <x v="3"/>
    <x v="1"/>
    <s v="2019/2020"/>
    <b v="1"/>
    <b v="0"/>
    <b v="0"/>
    <x v="5"/>
    <n v="3866223000124"/>
    <x v="358"/>
    <x v="19"/>
    <x v="14"/>
    <n v="70"/>
    <x v="0"/>
    <x v="0"/>
    <n v="650"/>
    <n v="130"/>
  </r>
  <r>
    <n v="2019"/>
    <n v="10"/>
    <x v="0"/>
    <x v="3"/>
    <x v="1"/>
    <s v="2019/2020"/>
    <b v="1"/>
    <b v="0"/>
    <b v="0"/>
    <x v="24"/>
    <n v="3866223000124"/>
    <x v="358"/>
    <x v="19"/>
    <x v="14"/>
    <n v="70"/>
    <x v="0"/>
    <x v="0"/>
    <n v="275"/>
    <n v="55"/>
  </r>
  <r>
    <n v="2019"/>
    <n v="10"/>
    <x v="0"/>
    <x v="3"/>
    <x v="1"/>
    <s v="2019/2020"/>
    <b v="1"/>
    <b v="0"/>
    <b v="0"/>
    <x v="24"/>
    <n v="3866223000124"/>
    <x v="358"/>
    <x v="19"/>
    <x v="14"/>
    <n v="70"/>
    <x v="0"/>
    <x v="0"/>
    <n v="340"/>
    <n v="68"/>
  </r>
  <r>
    <n v="2019"/>
    <n v="10"/>
    <x v="0"/>
    <x v="3"/>
    <x v="1"/>
    <s v="2019/2020"/>
    <b v="1"/>
    <b v="0"/>
    <b v="0"/>
    <x v="17"/>
    <n v="3872790000193"/>
    <x v="58"/>
    <x v="3"/>
    <x v="3"/>
    <n v="73"/>
    <x v="1"/>
    <x v="4"/>
    <n v="4"/>
    <n v="1"/>
  </r>
  <r>
    <n v="2019"/>
    <n v="10"/>
    <x v="0"/>
    <x v="3"/>
    <x v="1"/>
    <s v="2019/2020"/>
    <b v="1"/>
    <b v="0"/>
    <b v="0"/>
    <x v="17"/>
    <n v="3872790000193"/>
    <x v="58"/>
    <x v="3"/>
    <x v="3"/>
    <n v="73"/>
    <x v="1"/>
    <x v="4"/>
    <n v="8"/>
    <n v="2"/>
  </r>
  <r>
    <n v="2019"/>
    <n v="10"/>
    <x v="0"/>
    <x v="3"/>
    <x v="1"/>
    <s v="2019/2020"/>
    <b v="1"/>
    <b v="0"/>
    <b v="0"/>
    <x v="12"/>
    <n v="3925419000142"/>
    <x v="59"/>
    <x v="23"/>
    <x v="12"/>
    <n v="64"/>
    <x v="4"/>
    <x v="6"/>
    <n v="4"/>
    <n v="4"/>
  </r>
  <r>
    <n v="2019"/>
    <n v="10"/>
    <x v="0"/>
    <x v="3"/>
    <x v="1"/>
    <s v="2019/2020"/>
    <b v="1"/>
    <b v="0"/>
    <b v="0"/>
    <x v="17"/>
    <n v="4036348000190"/>
    <x v="61"/>
    <x v="3"/>
    <x v="3"/>
    <n v="70"/>
    <x v="0"/>
    <x v="0"/>
    <n v="5"/>
    <n v="1"/>
  </r>
  <r>
    <n v="2019"/>
    <n v="10"/>
    <x v="0"/>
    <x v="3"/>
    <x v="1"/>
    <s v="2019/2020"/>
    <b v="1"/>
    <b v="0"/>
    <b v="0"/>
    <x v="17"/>
    <n v="4036348000190"/>
    <x v="61"/>
    <x v="3"/>
    <x v="3"/>
    <n v="70"/>
    <x v="0"/>
    <x v="0"/>
    <n v="15"/>
    <n v="3"/>
  </r>
  <r>
    <n v="2019"/>
    <n v="10"/>
    <x v="0"/>
    <x v="3"/>
    <x v="1"/>
    <s v="2019/2020"/>
    <b v="1"/>
    <b v="0"/>
    <b v="0"/>
    <x v="6"/>
    <n v="4036348000190"/>
    <x v="61"/>
    <x v="3"/>
    <x v="3"/>
    <n v="70"/>
    <x v="0"/>
    <x v="7"/>
    <n v="10"/>
    <n v="1"/>
  </r>
  <r>
    <n v="2019"/>
    <n v="10"/>
    <x v="0"/>
    <x v="3"/>
    <x v="1"/>
    <s v="2019/2020"/>
    <b v="1"/>
    <b v="0"/>
    <b v="0"/>
    <x v="6"/>
    <n v="4036348000190"/>
    <x v="61"/>
    <x v="3"/>
    <x v="3"/>
    <n v="70"/>
    <x v="0"/>
    <x v="7"/>
    <n v="40"/>
    <n v="4"/>
  </r>
  <r>
    <n v="2019"/>
    <n v="10"/>
    <x v="0"/>
    <x v="3"/>
    <x v="1"/>
    <s v="2019/2020"/>
    <b v="1"/>
    <b v="0"/>
    <b v="0"/>
    <x v="6"/>
    <n v="4036348000190"/>
    <x v="61"/>
    <x v="3"/>
    <x v="3"/>
    <n v="70"/>
    <x v="0"/>
    <x v="7"/>
    <n v="60"/>
    <n v="6"/>
  </r>
  <r>
    <n v="2019"/>
    <n v="10"/>
    <x v="0"/>
    <x v="3"/>
    <x v="1"/>
    <s v="2019/2020"/>
    <b v="1"/>
    <b v="0"/>
    <b v="0"/>
    <x v="6"/>
    <n v="4036348000190"/>
    <x v="61"/>
    <x v="3"/>
    <x v="3"/>
    <n v="70"/>
    <x v="0"/>
    <x v="7"/>
    <n v="160"/>
    <n v="16"/>
  </r>
  <r>
    <n v="2019"/>
    <n v="10"/>
    <x v="0"/>
    <x v="3"/>
    <x v="1"/>
    <s v="2019/2020"/>
    <b v="1"/>
    <b v="0"/>
    <b v="0"/>
    <x v="7"/>
    <n v="4036348000190"/>
    <x v="61"/>
    <x v="3"/>
    <x v="3"/>
    <n v="70"/>
    <x v="0"/>
    <x v="0"/>
    <n v="10"/>
    <n v="2"/>
  </r>
  <r>
    <n v="2019"/>
    <n v="10"/>
    <x v="0"/>
    <x v="3"/>
    <x v="1"/>
    <s v="2019/2020"/>
    <b v="1"/>
    <b v="0"/>
    <b v="0"/>
    <x v="7"/>
    <n v="4036348000190"/>
    <x v="61"/>
    <x v="3"/>
    <x v="3"/>
    <n v="70"/>
    <x v="0"/>
    <x v="7"/>
    <n v="30"/>
    <n v="3"/>
  </r>
  <r>
    <n v="2019"/>
    <n v="10"/>
    <x v="0"/>
    <x v="3"/>
    <x v="1"/>
    <s v="2019/2020"/>
    <b v="1"/>
    <b v="0"/>
    <b v="0"/>
    <x v="4"/>
    <n v="4127483000140"/>
    <x v="524"/>
    <x v="22"/>
    <x v="3"/>
    <n v="70"/>
    <x v="0"/>
    <x v="0"/>
    <n v="5"/>
    <n v="1"/>
  </r>
  <r>
    <n v="2019"/>
    <n v="10"/>
    <x v="0"/>
    <x v="3"/>
    <x v="1"/>
    <s v="2019/2020"/>
    <b v="1"/>
    <b v="0"/>
    <b v="0"/>
    <x v="8"/>
    <n v="4159778000107"/>
    <x v="464"/>
    <x v="51"/>
    <x v="22"/>
    <n v="62"/>
    <x v="3"/>
    <x v="5"/>
    <n v="6"/>
    <n v="6"/>
  </r>
  <r>
    <n v="2019"/>
    <n v="10"/>
    <x v="0"/>
    <x v="3"/>
    <x v="1"/>
    <s v="2019/2020"/>
    <b v="1"/>
    <b v="0"/>
    <b v="0"/>
    <x v="2"/>
    <n v="4159778000107"/>
    <x v="464"/>
    <x v="51"/>
    <x v="22"/>
    <n v="62"/>
    <x v="3"/>
    <x v="5"/>
    <n v="4"/>
    <n v="4"/>
  </r>
  <r>
    <n v="2019"/>
    <n v="10"/>
    <x v="0"/>
    <x v="3"/>
    <x v="1"/>
    <s v="2019/2020"/>
    <b v="1"/>
    <b v="0"/>
    <b v="0"/>
    <x v="11"/>
    <n v="4159778000107"/>
    <x v="464"/>
    <x v="51"/>
    <x v="22"/>
    <n v="64"/>
    <x v="4"/>
    <x v="6"/>
    <n v="3"/>
    <n v="3"/>
  </r>
  <r>
    <n v="2019"/>
    <n v="10"/>
    <x v="0"/>
    <x v="3"/>
    <x v="1"/>
    <s v="2019/2020"/>
    <b v="1"/>
    <b v="0"/>
    <b v="0"/>
    <x v="9"/>
    <n v="4201372001028"/>
    <x v="62"/>
    <x v="1"/>
    <x v="1"/>
    <n v="73"/>
    <x v="1"/>
    <x v="1"/>
    <n v="16"/>
    <n v="4"/>
  </r>
  <r>
    <n v="2019"/>
    <n v="10"/>
    <x v="0"/>
    <x v="3"/>
    <x v="1"/>
    <s v="2019/2020"/>
    <b v="1"/>
    <b v="0"/>
    <b v="0"/>
    <x v="9"/>
    <n v="4201372001028"/>
    <x v="62"/>
    <x v="1"/>
    <x v="1"/>
    <n v="73"/>
    <x v="1"/>
    <x v="4"/>
    <n v="64"/>
    <n v="16"/>
  </r>
  <r>
    <n v="2019"/>
    <n v="10"/>
    <x v="0"/>
    <x v="3"/>
    <x v="1"/>
    <s v="2019/2020"/>
    <b v="1"/>
    <b v="0"/>
    <b v="0"/>
    <x v="3"/>
    <n v="4275687000129"/>
    <x v="63"/>
    <x v="29"/>
    <x v="3"/>
    <n v="73"/>
    <x v="1"/>
    <x v="4"/>
    <n v="32"/>
    <n v="4"/>
  </r>
  <r>
    <n v="2019"/>
    <n v="10"/>
    <x v="0"/>
    <x v="3"/>
    <x v="1"/>
    <s v="2019/2020"/>
    <b v="1"/>
    <b v="0"/>
    <b v="0"/>
    <x v="3"/>
    <n v="4275687000129"/>
    <x v="63"/>
    <x v="29"/>
    <x v="3"/>
    <n v="73"/>
    <x v="1"/>
    <x v="2"/>
    <n v="4"/>
    <n v="4"/>
  </r>
  <r>
    <n v="2019"/>
    <n v="10"/>
    <x v="0"/>
    <x v="3"/>
    <x v="1"/>
    <s v="2019/2020"/>
    <b v="1"/>
    <b v="0"/>
    <b v="0"/>
    <x v="4"/>
    <n v="4378502000101"/>
    <x v="525"/>
    <x v="13"/>
    <x v="6"/>
    <n v="70"/>
    <x v="0"/>
    <x v="0"/>
    <n v="15"/>
    <n v="3"/>
  </r>
  <r>
    <n v="2019"/>
    <n v="10"/>
    <x v="0"/>
    <x v="3"/>
    <x v="1"/>
    <s v="2019/2020"/>
    <b v="1"/>
    <b v="0"/>
    <b v="0"/>
    <x v="14"/>
    <n v="4670913000176"/>
    <x v="65"/>
    <x v="14"/>
    <x v="10"/>
    <n v="70"/>
    <x v="0"/>
    <x v="0"/>
    <n v="435"/>
    <n v="87"/>
  </r>
  <r>
    <n v="2019"/>
    <n v="10"/>
    <x v="0"/>
    <x v="3"/>
    <x v="1"/>
    <s v="2019/2020"/>
    <b v="1"/>
    <b v="0"/>
    <b v="0"/>
    <x v="12"/>
    <n v="4779685002382"/>
    <x v="526"/>
    <x v="0"/>
    <x v="0"/>
    <n v="70"/>
    <x v="0"/>
    <x v="0"/>
    <n v="30"/>
    <n v="6"/>
  </r>
  <r>
    <n v="2019"/>
    <n v="10"/>
    <x v="0"/>
    <x v="3"/>
    <x v="1"/>
    <s v="2019/2020"/>
    <b v="1"/>
    <b v="0"/>
    <b v="0"/>
    <x v="12"/>
    <n v="4779685002382"/>
    <x v="526"/>
    <x v="0"/>
    <x v="0"/>
    <n v="70"/>
    <x v="0"/>
    <x v="0"/>
    <n v="150"/>
    <n v="30"/>
  </r>
  <r>
    <n v="2019"/>
    <n v="10"/>
    <x v="0"/>
    <x v="3"/>
    <x v="1"/>
    <s v="2019/2020"/>
    <b v="1"/>
    <b v="0"/>
    <b v="0"/>
    <x v="4"/>
    <n v="4966545000370"/>
    <x v="66"/>
    <x v="1"/>
    <x v="1"/>
    <n v="70"/>
    <x v="0"/>
    <x v="0"/>
    <n v="40"/>
    <n v="8"/>
  </r>
  <r>
    <n v="2019"/>
    <n v="10"/>
    <x v="0"/>
    <x v="3"/>
    <x v="1"/>
    <s v="2019/2020"/>
    <b v="1"/>
    <b v="0"/>
    <b v="0"/>
    <x v="2"/>
    <n v="5469172000122"/>
    <x v="67"/>
    <x v="31"/>
    <x v="17"/>
    <n v="62"/>
    <x v="3"/>
    <x v="5"/>
    <n v="5"/>
    <n v="5"/>
  </r>
  <r>
    <n v="2019"/>
    <n v="10"/>
    <x v="0"/>
    <x v="3"/>
    <x v="1"/>
    <s v="2019/2020"/>
    <b v="1"/>
    <b v="0"/>
    <b v="0"/>
    <x v="12"/>
    <n v="5469172000122"/>
    <x v="67"/>
    <x v="31"/>
    <x v="17"/>
    <n v="64"/>
    <x v="4"/>
    <x v="6"/>
    <n v="3"/>
    <n v="3"/>
  </r>
  <r>
    <n v="2019"/>
    <n v="10"/>
    <x v="0"/>
    <x v="3"/>
    <x v="1"/>
    <s v="2019/2020"/>
    <b v="1"/>
    <b v="0"/>
    <b v="0"/>
    <x v="7"/>
    <n v="5469172000122"/>
    <x v="67"/>
    <x v="31"/>
    <x v="17"/>
    <n v="64"/>
    <x v="4"/>
    <x v="6"/>
    <n v="5"/>
    <n v="5"/>
  </r>
  <r>
    <n v="2019"/>
    <n v="10"/>
    <x v="0"/>
    <x v="3"/>
    <x v="1"/>
    <s v="2019/2020"/>
    <b v="1"/>
    <b v="0"/>
    <b v="0"/>
    <x v="7"/>
    <n v="5469172000122"/>
    <x v="67"/>
    <x v="31"/>
    <x v="17"/>
    <n v="64"/>
    <x v="4"/>
    <x v="6"/>
    <n v="10"/>
    <n v="10"/>
  </r>
  <r>
    <n v="2019"/>
    <n v="10"/>
    <x v="0"/>
    <x v="3"/>
    <x v="1"/>
    <s v="2019/2020"/>
    <b v="1"/>
    <b v="0"/>
    <b v="0"/>
    <x v="11"/>
    <n v="5612725000154"/>
    <x v="466"/>
    <x v="19"/>
    <x v="14"/>
    <n v="70"/>
    <x v="0"/>
    <x v="0"/>
    <n v="30"/>
    <n v="6"/>
  </r>
  <r>
    <n v="2019"/>
    <n v="10"/>
    <x v="0"/>
    <x v="3"/>
    <x v="1"/>
    <s v="2019/2020"/>
    <b v="1"/>
    <b v="0"/>
    <b v="0"/>
    <x v="9"/>
    <n v="5652543000107"/>
    <x v="362"/>
    <x v="96"/>
    <x v="17"/>
    <n v="64"/>
    <x v="4"/>
    <x v="6"/>
    <n v="3"/>
    <n v="3"/>
  </r>
  <r>
    <n v="2019"/>
    <n v="10"/>
    <x v="0"/>
    <x v="3"/>
    <x v="1"/>
    <s v="2019/2020"/>
    <b v="1"/>
    <b v="0"/>
    <b v="0"/>
    <x v="11"/>
    <n v="5652543000107"/>
    <x v="362"/>
    <x v="96"/>
    <x v="17"/>
    <n v="64"/>
    <x v="4"/>
    <x v="6"/>
    <n v="8"/>
    <n v="8"/>
  </r>
  <r>
    <n v="2019"/>
    <n v="10"/>
    <x v="0"/>
    <x v="3"/>
    <x v="1"/>
    <s v="2019/2020"/>
    <b v="1"/>
    <b v="0"/>
    <b v="0"/>
    <x v="11"/>
    <n v="5652543000107"/>
    <x v="362"/>
    <x v="96"/>
    <x v="17"/>
    <n v="64"/>
    <x v="4"/>
    <x v="6"/>
    <n v="11"/>
    <n v="11"/>
  </r>
  <r>
    <n v="2019"/>
    <n v="10"/>
    <x v="0"/>
    <x v="3"/>
    <x v="1"/>
    <s v="2019/2020"/>
    <b v="1"/>
    <b v="0"/>
    <b v="0"/>
    <x v="11"/>
    <n v="5816630000152"/>
    <x v="68"/>
    <x v="31"/>
    <x v="17"/>
    <n v="62"/>
    <x v="3"/>
    <x v="5"/>
    <n v="30"/>
    <n v="30"/>
  </r>
  <r>
    <n v="2019"/>
    <n v="10"/>
    <x v="0"/>
    <x v="3"/>
    <x v="1"/>
    <s v="2019/2020"/>
    <b v="1"/>
    <b v="0"/>
    <b v="0"/>
    <x v="24"/>
    <n v="5816630000152"/>
    <x v="68"/>
    <x v="31"/>
    <x v="17"/>
    <n v="64"/>
    <x v="4"/>
    <x v="6"/>
    <n v="14"/>
    <n v="14"/>
  </r>
  <r>
    <n v="2019"/>
    <n v="10"/>
    <x v="0"/>
    <x v="3"/>
    <x v="1"/>
    <s v="2019/2020"/>
    <b v="1"/>
    <b v="0"/>
    <b v="0"/>
    <x v="24"/>
    <n v="5816630000152"/>
    <x v="68"/>
    <x v="31"/>
    <x v="17"/>
    <n v="64"/>
    <x v="4"/>
    <x v="6"/>
    <n v="26"/>
    <n v="26"/>
  </r>
  <r>
    <n v="2019"/>
    <n v="10"/>
    <x v="0"/>
    <x v="3"/>
    <x v="1"/>
    <s v="2019/2020"/>
    <b v="1"/>
    <b v="0"/>
    <b v="0"/>
    <x v="5"/>
    <n v="5816630000152"/>
    <x v="68"/>
    <x v="31"/>
    <x v="17"/>
    <n v="70"/>
    <x v="0"/>
    <x v="0"/>
    <n v="175"/>
    <n v="35"/>
  </r>
  <r>
    <n v="2019"/>
    <n v="10"/>
    <x v="0"/>
    <x v="3"/>
    <x v="1"/>
    <s v="2019/2020"/>
    <b v="1"/>
    <b v="0"/>
    <b v="0"/>
    <x v="5"/>
    <n v="5816630000152"/>
    <x v="68"/>
    <x v="31"/>
    <x v="17"/>
    <n v="70"/>
    <x v="0"/>
    <x v="0"/>
    <n v="340"/>
    <n v="68"/>
  </r>
  <r>
    <n v="2019"/>
    <n v="10"/>
    <x v="0"/>
    <x v="3"/>
    <x v="1"/>
    <s v="2019/2020"/>
    <b v="1"/>
    <b v="0"/>
    <b v="0"/>
    <x v="27"/>
    <n v="5831510000124"/>
    <x v="69"/>
    <x v="3"/>
    <x v="3"/>
    <n v="70"/>
    <x v="0"/>
    <x v="0"/>
    <n v="135"/>
    <n v="27"/>
  </r>
  <r>
    <n v="2019"/>
    <n v="10"/>
    <x v="0"/>
    <x v="3"/>
    <x v="1"/>
    <s v="2019/2020"/>
    <b v="1"/>
    <b v="0"/>
    <b v="0"/>
    <x v="4"/>
    <n v="5867015000175"/>
    <x v="70"/>
    <x v="32"/>
    <x v="18"/>
    <n v="73"/>
    <x v="1"/>
    <x v="2"/>
    <n v="8"/>
    <n v="8"/>
  </r>
  <r>
    <n v="2019"/>
    <n v="10"/>
    <x v="0"/>
    <x v="3"/>
    <x v="1"/>
    <s v="2019/2020"/>
    <b v="1"/>
    <b v="0"/>
    <b v="0"/>
    <x v="2"/>
    <n v="5868278000280"/>
    <x v="71"/>
    <x v="32"/>
    <x v="18"/>
    <n v="62"/>
    <x v="3"/>
    <x v="5"/>
    <n v="20"/>
    <n v="10"/>
  </r>
  <r>
    <n v="2019"/>
    <n v="10"/>
    <x v="0"/>
    <x v="3"/>
    <x v="1"/>
    <s v="2019/2020"/>
    <b v="1"/>
    <b v="0"/>
    <b v="0"/>
    <x v="2"/>
    <n v="5868278000280"/>
    <x v="71"/>
    <x v="32"/>
    <x v="18"/>
    <n v="62"/>
    <x v="3"/>
    <x v="5"/>
    <n v="20"/>
    <n v="20"/>
  </r>
  <r>
    <n v="2019"/>
    <n v="10"/>
    <x v="0"/>
    <x v="3"/>
    <x v="1"/>
    <s v="2019/2020"/>
    <b v="1"/>
    <b v="0"/>
    <b v="0"/>
    <x v="9"/>
    <n v="5868278000280"/>
    <x v="71"/>
    <x v="32"/>
    <x v="18"/>
    <n v="64"/>
    <x v="4"/>
    <x v="6"/>
    <n v="6"/>
    <n v="6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1"/>
    <n v="4"/>
    <n v="1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4"/>
    <n v="8"/>
    <n v="2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4"/>
    <n v="12"/>
    <n v="3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1"/>
    <n v="16"/>
    <n v="4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4"/>
    <n v="16"/>
    <n v="4"/>
  </r>
  <r>
    <n v="2019"/>
    <n v="10"/>
    <x v="0"/>
    <x v="3"/>
    <x v="1"/>
    <s v="2019/2020"/>
    <b v="1"/>
    <b v="0"/>
    <b v="0"/>
    <x v="1"/>
    <n v="5868278000280"/>
    <x v="71"/>
    <x v="32"/>
    <x v="18"/>
    <n v="73"/>
    <x v="1"/>
    <x v="4"/>
    <n v="72"/>
    <n v="18"/>
  </r>
  <r>
    <n v="2019"/>
    <n v="10"/>
    <x v="0"/>
    <x v="3"/>
    <x v="1"/>
    <s v="2019/2020"/>
    <b v="1"/>
    <b v="0"/>
    <b v="0"/>
    <x v="4"/>
    <n v="5874946000281"/>
    <x v="363"/>
    <x v="32"/>
    <x v="18"/>
    <n v="62"/>
    <x v="3"/>
    <x v="5"/>
    <n v="5"/>
    <n v="5"/>
  </r>
  <r>
    <n v="2019"/>
    <n v="10"/>
    <x v="0"/>
    <x v="3"/>
    <x v="1"/>
    <s v="2019/2020"/>
    <b v="1"/>
    <b v="0"/>
    <b v="0"/>
    <x v="2"/>
    <n v="6047087000210"/>
    <x v="75"/>
    <x v="3"/>
    <x v="3"/>
    <n v="62"/>
    <x v="3"/>
    <x v="5"/>
    <n v="3"/>
    <n v="3"/>
  </r>
  <r>
    <n v="2019"/>
    <n v="10"/>
    <x v="0"/>
    <x v="3"/>
    <x v="1"/>
    <s v="2019/2020"/>
    <b v="1"/>
    <b v="0"/>
    <b v="0"/>
    <x v="2"/>
    <n v="6047087000210"/>
    <x v="75"/>
    <x v="3"/>
    <x v="3"/>
    <n v="62"/>
    <x v="3"/>
    <x v="5"/>
    <n v="20"/>
    <n v="20"/>
  </r>
  <r>
    <n v="2019"/>
    <n v="10"/>
    <x v="0"/>
    <x v="3"/>
    <x v="1"/>
    <s v="2019/2020"/>
    <b v="1"/>
    <b v="0"/>
    <b v="0"/>
    <x v="2"/>
    <n v="6047087000210"/>
    <x v="75"/>
    <x v="3"/>
    <x v="3"/>
    <n v="62"/>
    <x v="3"/>
    <x v="5"/>
    <n v="46"/>
    <n v="46"/>
  </r>
  <r>
    <n v="2019"/>
    <n v="10"/>
    <x v="0"/>
    <x v="3"/>
    <x v="1"/>
    <s v="2019/2020"/>
    <b v="1"/>
    <b v="0"/>
    <b v="0"/>
    <x v="2"/>
    <n v="6047087000210"/>
    <x v="75"/>
    <x v="3"/>
    <x v="3"/>
    <n v="64"/>
    <x v="4"/>
    <x v="6"/>
    <n v="10"/>
    <n v="10"/>
  </r>
  <r>
    <n v="2019"/>
    <n v="10"/>
    <x v="0"/>
    <x v="3"/>
    <x v="1"/>
    <s v="2019/2020"/>
    <b v="1"/>
    <b v="0"/>
    <b v="0"/>
    <x v="2"/>
    <n v="6047087000210"/>
    <x v="75"/>
    <x v="3"/>
    <x v="3"/>
    <n v="64"/>
    <x v="4"/>
    <x v="6"/>
    <n v="20"/>
    <n v="20"/>
  </r>
  <r>
    <n v="2019"/>
    <n v="10"/>
    <x v="0"/>
    <x v="3"/>
    <x v="1"/>
    <s v="2019/2020"/>
    <b v="1"/>
    <b v="0"/>
    <b v="0"/>
    <x v="2"/>
    <n v="6047087000210"/>
    <x v="75"/>
    <x v="3"/>
    <x v="3"/>
    <n v="64"/>
    <x v="4"/>
    <x v="6"/>
    <n v="30"/>
    <n v="30"/>
  </r>
  <r>
    <n v="2019"/>
    <n v="10"/>
    <x v="0"/>
    <x v="3"/>
    <x v="1"/>
    <s v="2019/2020"/>
    <b v="1"/>
    <b v="0"/>
    <b v="0"/>
    <x v="2"/>
    <n v="6047087000996"/>
    <x v="76"/>
    <x v="0"/>
    <x v="0"/>
    <n v="64"/>
    <x v="4"/>
    <x v="6"/>
    <n v="20"/>
    <n v="10"/>
  </r>
  <r>
    <n v="2019"/>
    <n v="10"/>
    <x v="0"/>
    <x v="3"/>
    <x v="1"/>
    <s v="2019/2020"/>
    <b v="1"/>
    <b v="0"/>
    <b v="0"/>
    <x v="2"/>
    <n v="6047087001020"/>
    <x v="77"/>
    <x v="0"/>
    <x v="0"/>
    <n v="62"/>
    <x v="3"/>
    <x v="5"/>
    <n v="10"/>
    <n v="5"/>
  </r>
  <r>
    <n v="2019"/>
    <n v="10"/>
    <x v="0"/>
    <x v="3"/>
    <x v="1"/>
    <s v="2019/2020"/>
    <b v="1"/>
    <b v="0"/>
    <b v="0"/>
    <x v="2"/>
    <n v="6047087001020"/>
    <x v="77"/>
    <x v="0"/>
    <x v="0"/>
    <n v="62"/>
    <x v="3"/>
    <x v="5"/>
    <n v="10"/>
    <n v="10"/>
  </r>
  <r>
    <n v="2019"/>
    <n v="10"/>
    <x v="0"/>
    <x v="3"/>
    <x v="1"/>
    <s v="2019/2020"/>
    <b v="1"/>
    <b v="0"/>
    <b v="0"/>
    <x v="2"/>
    <n v="6047087001020"/>
    <x v="77"/>
    <x v="0"/>
    <x v="0"/>
    <n v="62"/>
    <x v="3"/>
    <x v="5"/>
    <n v="15"/>
    <n v="15"/>
  </r>
  <r>
    <n v="2019"/>
    <n v="10"/>
    <x v="0"/>
    <x v="3"/>
    <x v="1"/>
    <s v="2019/2020"/>
    <b v="1"/>
    <b v="0"/>
    <b v="0"/>
    <x v="2"/>
    <n v="6047087001020"/>
    <x v="77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2"/>
    <n v="6047087001020"/>
    <x v="77"/>
    <x v="0"/>
    <x v="0"/>
    <n v="64"/>
    <x v="4"/>
    <x v="6"/>
    <n v="6"/>
    <n v="6"/>
  </r>
  <r>
    <n v="2019"/>
    <n v="10"/>
    <x v="0"/>
    <x v="3"/>
    <x v="1"/>
    <s v="2019/2020"/>
    <b v="1"/>
    <b v="0"/>
    <b v="0"/>
    <x v="2"/>
    <n v="6047087001020"/>
    <x v="77"/>
    <x v="0"/>
    <x v="0"/>
    <n v="64"/>
    <x v="4"/>
    <x v="6"/>
    <n v="10"/>
    <n v="10"/>
  </r>
  <r>
    <n v="2019"/>
    <n v="10"/>
    <x v="0"/>
    <x v="3"/>
    <x v="1"/>
    <s v="2019/2020"/>
    <b v="1"/>
    <b v="0"/>
    <b v="0"/>
    <x v="2"/>
    <n v="6047087001020"/>
    <x v="77"/>
    <x v="0"/>
    <x v="0"/>
    <n v="64"/>
    <x v="4"/>
    <x v="6"/>
    <n v="40"/>
    <n v="20"/>
  </r>
  <r>
    <n v="2019"/>
    <n v="10"/>
    <x v="0"/>
    <x v="3"/>
    <x v="1"/>
    <s v="2019/2020"/>
    <b v="1"/>
    <b v="0"/>
    <b v="0"/>
    <x v="2"/>
    <n v="6047087001020"/>
    <x v="77"/>
    <x v="0"/>
    <x v="0"/>
    <n v="64"/>
    <x v="4"/>
    <x v="6"/>
    <n v="25"/>
    <n v="25"/>
  </r>
  <r>
    <n v="2019"/>
    <n v="10"/>
    <x v="0"/>
    <x v="3"/>
    <x v="1"/>
    <s v="2019/2020"/>
    <b v="1"/>
    <b v="0"/>
    <b v="0"/>
    <x v="2"/>
    <n v="6047087001372"/>
    <x v="78"/>
    <x v="34"/>
    <x v="0"/>
    <n v="64"/>
    <x v="4"/>
    <x v="6"/>
    <n v="4"/>
    <n v="4"/>
  </r>
  <r>
    <n v="2019"/>
    <n v="10"/>
    <x v="0"/>
    <x v="3"/>
    <x v="1"/>
    <s v="2019/2020"/>
    <b v="1"/>
    <b v="0"/>
    <b v="0"/>
    <x v="2"/>
    <n v="6047087001372"/>
    <x v="78"/>
    <x v="34"/>
    <x v="0"/>
    <n v="64"/>
    <x v="4"/>
    <x v="6"/>
    <n v="5"/>
    <n v="5"/>
  </r>
  <r>
    <n v="2019"/>
    <n v="10"/>
    <x v="0"/>
    <x v="3"/>
    <x v="1"/>
    <s v="2019/2020"/>
    <b v="1"/>
    <b v="0"/>
    <b v="0"/>
    <x v="7"/>
    <n v="6047087003073"/>
    <x v="80"/>
    <x v="35"/>
    <x v="3"/>
    <n v="73"/>
    <x v="1"/>
    <x v="4"/>
    <n v="48"/>
    <n v="6"/>
  </r>
  <r>
    <n v="2019"/>
    <n v="10"/>
    <x v="0"/>
    <x v="3"/>
    <x v="1"/>
    <s v="2019/2020"/>
    <b v="1"/>
    <b v="0"/>
    <b v="0"/>
    <x v="2"/>
    <n v="6047087003316"/>
    <x v="81"/>
    <x v="0"/>
    <x v="0"/>
    <n v="62"/>
    <x v="3"/>
    <x v="5"/>
    <n v="2"/>
    <n v="2"/>
  </r>
  <r>
    <n v="2019"/>
    <n v="10"/>
    <x v="0"/>
    <x v="3"/>
    <x v="1"/>
    <s v="2019/2020"/>
    <b v="1"/>
    <b v="0"/>
    <b v="0"/>
    <x v="2"/>
    <n v="6047087003316"/>
    <x v="81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2"/>
    <n v="6047087004126"/>
    <x v="83"/>
    <x v="4"/>
    <x v="4"/>
    <n v="64"/>
    <x v="4"/>
    <x v="6"/>
    <n v="1"/>
    <n v="1"/>
  </r>
  <r>
    <n v="2019"/>
    <n v="10"/>
    <x v="0"/>
    <x v="3"/>
    <x v="1"/>
    <s v="2019/2020"/>
    <b v="1"/>
    <b v="0"/>
    <b v="0"/>
    <x v="2"/>
    <n v="6047087004126"/>
    <x v="83"/>
    <x v="4"/>
    <x v="4"/>
    <n v="64"/>
    <x v="4"/>
    <x v="6"/>
    <n v="5"/>
    <n v="5"/>
  </r>
  <r>
    <n v="2019"/>
    <n v="10"/>
    <x v="0"/>
    <x v="3"/>
    <x v="1"/>
    <s v="2019/2020"/>
    <b v="1"/>
    <b v="0"/>
    <b v="0"/>
    <x v="2"/>
    <n v="6047087004207"/>
    <x v="84"/>
    <x v="4"/>
    <x v="4"/>
    <n v="62"/>
    <x v="3"/>
    <x v="5"/>
    <n v="1"/>
    <n v="1"/>
  </r>
  <r>
    <n v="2019"/>
    <n v="10"/>
    <x v="0"/>
    <x v="3"/>
    <x v="1"/>
    <s v="2019/2020"/>
    <b v="1"/>
    <b v="0"/>
    <b v="0"/>
    <x v="2"/>
    <n v="6047087004207"/>
    <x v="84"/>
    <x v="4"/>
    <x v="4"/>
    <n v="62"/>
    <x v="3"/>
    <x v="5"/>
    <n v="4"/>
    <n v="2"/>
  </r>
  <r>
    <n v="2019"/>
    <n v="10"/>
    <x v="0"/>
    <x v="3"/>
    <x v="1"/>
    <s v="2019/2020"/>
    <b v="1"/>
    <b v="0"/>
    <b v="0"/>
    <x v="2"/>
    <n v="6047087004207"/>
    <x v="84"/>
    <x v="4"/>
    <x v="4"/>
    <n v="64"/>
    <x v="4"/>
    <x v="6"/>
    <n v="4"/>
    <n v="4"/>
  </r>
  <r>
    <n v="2019"/>
    <n v="10"/>
    <x v="0"/>
    <x v="3"/>
    <x v="1"/>
    <s v="2019/2020"/>
    <b v="1"/>
    <b v="0"/>
    <b v="0"/>
    <x v="2"/>
    <n v="6047087004207"/>
    <x v="84"/>
    <x v="4"/>
    <x v="4"/>
    <n v="64"/>
    <x v="4"/>
    <x v="6"/>
    <n v="6"/>
    <n v="6"/>
  </r>
  <r>
    <n v="2019"/>
    <n v="10"/>
    <x v="0"/>
    <x v="3"/>
    <x v="1"/>
    <s v="2019/2020"/>
    <b v="1"/>
    <b v="0"/>
    <b v="0"/>
    <x v="2"/>
    <n v="6047087004207"/>
    <x v="84"/>
    <x v="4"/>
    <x v="4"/>
    <n v="64"/>
    <x v="4"/>
    <x v="6"/>
    <n v="7"/>
    <n v="7"/>
  </r>
  <r>
    <n v="2019"/>
    <n v="10"/>
    <x v="0"/>
    <x v="3"/>
    <x v="1"/>
    <s v="2019/2020"/>
    <b v="1"/>
    <b v="0"/>
    <b v="0"/>
    <x v="2"/>
    <n v="6047087007656"/>
    <x v="85"/>
    <x v="36"/>
    <x v="3"/>
    <n v="62"/>
    <x v="3"/>
    <x v="5"/>
    <n v="1"/>
    <n v="1"/>
  </r>
  <r>
    <n v="2019"/>
    <n v="10"/>
    <x v="0"/>
    <x v="3"/>
    <x v="1"/>
    <s v="2019/2020"/>
    <b v="1"/>
    <b v="0"/>
    <b v="0"/>
    <x v="2"/>
    <n v="6337035000105"/>
    <x v="527"/>
    <x v="8"/>
    <x v="7"/>
    <n v="70"/>
    <x v="0"/>
    <x v="0"/>
    <n v="20"/>
    <n v="4"/>
  </r>
  <r>
    <n v="2019"/>
    <n v="10"/>
    <x v="0"/>
    <x v="3"/>
    <x v="1"/>
    <s v="2019/2020"/>
    <b v="1"/>
    <b v="0"/>
    <b v="0"/>
    <x v="2"/>
    <n v="6337035000105"/>
    <x v="527"/>
    <x v="8"/>
    <x v="7"/>
    <n v="70"/>
    <x v="0"/>
    <x v="0"/>
    <n v="30"/>
    <n v="6"/>
  </r>
  <r>
    <n v="2019"/>
    <n v="10"/>
    <x v="0"/>
    <x v="3"/>
    <x v="1"/>
    <s v="2019/2020"/>
    <b v="1"/>
    <b v="0"/>
    <b v="0"/>
    <x v="7"/>
    <n v="6555031000276"/>
    <x v="90"/>
    <x v="40"/>
    <x v="20"/>
    <n v="73"/>
    <x v="1"/>
    <x v="4"/>
    <n v="24"/>
    <n v="6"/>
  </r>
  <r>
    <n v="2019"/>
    <n v="10"/>
    <x v="0"/>
    <x v="3"/>
    <x v="1"/>
    <s v="2019/2020"/>
    <b v="1"/>
    <b v="0"/>
    <b v="0"/>
    <x v="2"/>
    <n v="6555031000276"/>
    <x v="90"/>
    <x v="40"/>
    <x v="20"/>
    <n v="73"/>
    <x v="1"/>
    <x v="4"/>
    <n v="24"/>
    <n v="6"/>
  </r>
  <r>
    <n v="2019"/>
    <n v="10"/>
    <x v="0"/>
    <x v="3"/>
    <x v="1"/>
    <s v="2019/2020"/>
    <b v="1"/>
    <b v="0"/>
    <b v="0"/>
    <x v="14"/>
    <n v="7039651000134"/>
    <x v="91"/>
    <x v="41"/>
    <x v="13"/>
    <n v="70"/>
    <x v="0"/>
    <x v="0"/>
    <n v="25"/>
    <n v="5"/>
  </r>
  <r>
    <n v="2019"/>
    <n v="10"/>
    <x v="0"/>
    <x v="3"/>
    <x v="1"/>
    <s v="2019/2020"/>
    <b v="1"/>
    <b v="0"/>
    <b v="0"/>
    <x v="4"/>
    <n v="7045325000130"/>
    <x v="92"/>
    <x v="3"/>
    <x v="3"/>
    <n v="73"/>
    <x v="1"/>
    <x v="4"/>
    <n v="40"/>
    <n v="10"/>
  </r>
  <r>
    <n v="2019"/>
    <n v="10"/>
    <x v="0"/>
    <x v="3"/>
    <x v="1"/>
    <s v="2019/2020"/>
    <b v="1"/>
    <b v="0"/>
    <b v="0"/>
    <x v="4"/>
    <n v="7045325000130"/>
    <x v="92"/>
    <x v="3"/>
    <x v="3"/>
    <n v="73"/>
    <x v="1"/>
    <x v="4"/>
    <n v="48"/>
    <n v="12"/>
  </r>
  <r>
    <n v="2019"/>
    <n v="10"/>
    <x v="0"/>
    <x v="3"/>
    <x v="1"/>
    <s v="2019/2020"/>
    <b v="1"/>
    <b v="0"/>
    <b v="0"/>
    <x v="5"/>
    <n v="7272636000212"/>
    <x v="95"/>
    <x v="32"/>
    <x v="18"/>
    <n v="62"/>
    <x v="3"/>
    <x v="5"/>
    <n v="25"/>
    <n v="25"/>
  </r>
  <r>
    <n v="2019"/>
    <n v="10"/>
    <x v="0"/>
    <x v="3"/>
    <x v="1"/>
    <s v="2019/2020"/>
    <b v="1"/>
    <b v="0"/>
    <b v="0"/>
    <x v="5"/>
    <n v="7272636000212"/>
    <x v="95"/>
    <x v="32"/>
    <x v="18"/>
    <n v="64"/>
    <x v="4"/>
    <x v="6"/>
    <n v="20"/>
    <n v="20"/>
  </r>
  <r>
    <n v="2019"/>
    <n v="10"/>
    <x v="0"/>
    <x v="3"/>
    <x v="1"/>
    <s v="2019/2020"/>
    <b v="1"/>
    <b v="0"/>
    <b v="0"/>
    <x v="5"/>
    <n v="7272636000212"/>
    <x v="95"/>
    <x v="32"/>
    <x v="18"/>
    <n v="70"/>
    <x v="0"/>
    <x v="0"/>
    <n v="600"/>
    <n v="120"/>
  </r>
  <r>
    <n v="2019"/>
    <n v="10"/>
    <x v="0"/>
    <x v="3"/>
    <x v="1"/>
    <s v="2019/2020"/>
    <b v="1"/>
    <b v="0"/>
    <b v="0"/>
    <x v="5"/>
    <n v="7272636000212"/>
    <x v="95"/>
    <x v="32"/>
    <x v="18"/>
    <n v="70"/>
    <x v="0"/>
    <x v="0"/>
    <n v="1800"/>
    <n v="360"/>
  </r>
  <r>
    <n v="2019"/>
    <n v="10"/>
    <x v="0"/>
    <x v="3"/>
    <x v="1"/>
    <s v="2019/2020"/>
    <b v="1"/>
    <b v="0"/>
    <b v="0"/>
    <x v="13"/>
    <n v="7404052000172"/>
    <x v="96"/>
    <x v="13"/>
    <x v="6"/>
    <n v="70"/>
    <x v="0"/>
    <x v="0"/>
    <n v="30"/>
    <n v="6"/>
  </r>
  <r>
    <n v="2019"/>
    <n v="10"/>
    <x v="0"/>
    <x v="3"/>
    <x v="1"/>
    <s v="2019/2020"/>
    <b v="1"/>
    <b v="0"/>
    <b v="0"/>
    <x v="13"/>
    <n v="7404052000172"/>
    <x v="96"/>
    <x v="13"/>
    <x v="6"/>
    <n v="70"/>
    <x v="0"/>
    <x v="0"/>
    <n v="45"/>
    <n v="9"/>
  </r>
  <r>
    <n v="2019"/>
    <n v="10"/>
    <x v="0"/>
    <x v="3"/>
    <x v="1"/>
    <s v="2019/2020"/>
    <b v="1"/>
    <b v="0"/>
    <b v="0"/>
    <x v="13"/>
    <n v="7404052000172"/>
    <x v="96"/>
    <x v="13"/>
    <x v="6"/>
    <n v="70"/>
    <x v="0"/>
    <x v="0"/>
    <n v="70"/>
    <n v="14"/>
  </r>
  <r>
    <n v="2019"/>
    <n v="10"/>
    <x v="0"/>
    <x v="3"/>
    <x v="1"/>
    <s v="2019/2020"/>
    <b v="1"/>
    <b v="0"/>
    <b v="0"/>
    <x v="0"/>
    <n v="7457902000109"/>
    <x v="528"/>
    <x v="57"/>
    <x v="2"/>
    <n v="70"/>
    <x v="0"/>
    <x v="0"/>
    <n v="30"/>
    <n v="6"/>
  </r>
  <r>
    <n v="2019"/>
    <n v="10"/>
    <x v="0"/>
    <x v="3"/>
    <x v="1"/>
    <s v="2019/2020"/>
    <b v="1"/>
    <b v="0"/>
    <b v="0"/>
    <x v="5"/>
    <n v="7734165000136"/>
    <x v="97"/>
    <x v="13"/>
    <x v="6"/>
    <n v="70"/>
    <x v="0"/>
    <x v="7"/>
    <n v="2000"/>
    <n v="100"/>
  </r>
  <r>
    <n v="2019"/>
    <n v="10"/>
    <x v="0"/>
    <x v="3"/>
    <x v="1"/>
    <s v="2019/2020"/>
    <b v="1"/>
    <b v="0"/>
    <b v="0"/>
    <x v="15"/>
    <n v="7734165000136"/>
    <x v="97"/>
    <x v="13"/>
    <x v="6"/>
    <n v="70"/>
    <x v="0"/>
    <x v="7"/>
    <n v="480"/>
    <n v="48"/>
  </r>
  <r>
    <n v="2019"/>
    <n v="10"/>
    <x v="0"/>
    <x v="3"/>
    <x v="1"/>
    <s v="2019/2020"/>
    <b v="1"/>
    <b v="0"/>
    <b v="0"/>
    <x v="15"/>
    <n v="7734165000136"/>
    <x v="97"/>
    <x v="13"/>
    <x v="6"/>
    <n v="70"/>
    <x v="0"/>
    <x v="7"/>
    <n v="520"/>
    <n v="52"/>
  </r>
  <r>
    <n v="2019"/>
    <n v="10"/>
    <x v="0"/>
    <x v="3"/>
    <x v="1"/>
    <s v="2019/2020"/>
    <b v="1"/>
    <b v="0"/>
    <b v="0"/>
    <x v="15"/>
    <n v="7734165000136"/>
    <x v="97"/>
    <x v="13"/>
    <x v="6"/>
    <n v="70"/>
    <x v="0"/>
    <x v="7"/>
    <n v="1000"/>
    <n v="100"/>
  </r>
  <r>
    <n v="2019"/>
    <n v="10"/>
    <x v="0"/>
    <x v="3"/>
    <x v="1"/>
    <s v="2019/2020"/>
    <b v="1"/>
    <b v="0"/>
    <b v="0"/>
    <x v="4"/>
    <n v="7794623002257"/>
    <x v="99"/>
    <x v="44"/>
    <x v="6"/>
    <n v="70"/>
    <x v="0"/>
    <x v="0"/>
    <n v="80"/>
    <n v="16"/>
  </r>
  <r>
    <n v="2019"/>
    <n v="10"/>
    <x v="0"/>
    <x v="3"/>
    <x v="1"/>
    <s v="2019/2020"/>
    <b v="1"/>
    <b v="0"/>
    <b v="0"/>
    <x v="17"/>
    <n v="8000609000172"/>
    <x v="529"/>
    <x v="142"/>
    <x v="3"/>
    <n v="64"/>
    <x v="4"/>
    <x v="6"/>
    <n v="2"/>
    <n v="2"/>
  </r>
  <r>
    <n v="2019"/>
    <n v="10"/>
    <x v="0"/>
    <x v="3"/>
    <x v="1"/>
    <s v="2019/2020"/>
    <b v="1"/>
    <b v="0"/>
    <b v="0"/>
    <x v="4"/>
    <n v="8100676000592"/>
    <x v="103"/>
    <x v="3"/>
    <x v="3"/>
    <n v="70"/>
    <x v="0"/>
    <x v="0"/>
    <n v="50"/>
    <n v="10"/>
  </r>
  <r>
    <n v="2019"/>
    <n v="10"/>
    <x v="0"/>
    <x v="3"/>
    <x v="1"/>
    <s v="2019/2020"/>
    <b v="1"/>
    <b v="0"/>
    <b v="0"/>
    <x v="4"/>
    <n v="8100676000592"/>
    <x v="103"/>
    <x v="3"/>
    <x v="3"/>
    <n v="70"/>
    <x v="0"/>
    <x v="0"/>
    <n v="250"/>
    <n v="50"/>
  </r>
  <r>
    <n v="2019"/>
    <n v="10"/>
    <x v="0"/>
    <x v="3"/>
    <x v="1"/>
    <s v="2019/2020"/>
    <b v="1"/>
    <b v="0"/>
    <b v="0"/>
    <x v="4"/>
    <n v="8319329000121"/>
    <x v="107"/>
    <x v="10"/>
    <x v="8"/>
    <n v="64"/>
    <x v="4"/>
    <x v="6"/>
    <n v="20"/>
    <n v="20"/>
  </r>
  <r>
    <n v="2019"/>
    <n v="10"/>
    <x v="0"/>
    <x v="3"/>
    <x v="1"/>
    <s v="2019/2020"/>
    <b v="1"/>
    <b v="0"/>
    <b v="0"/>
    <x v="11"/>
    <n v="8319329000121"/>
    <x v="107"/>
    <x v="10"/>
    <x v="8"/>
    <n v="64"/>
    <x v="4"/>
    <x v="6"/>
    <n v="20"/>
    <n v="20"/>
  </r>
  <r>
    <n v="2019"/>
    <n v="10"/>
    <x v="0"/>
    <x v="3"/>
    <x v="1"/>
    <s v="2019/2020"/>
    <b v="1"/>
    <b v="0"/>
    <b v="0"/>
    <x v="11"/>
    <n v="8319329000121"/>
    <x v="107"/>
    <x v="10"/>
    <x v="8"/>
    <n v="64"/>
    <x v="4"/>
    <x v="6"/>
    <n v="21"/>
    <n v="21"/>
  </r>
  <r>
    <n v="2019"/>
    <n v="10"/>
    <x v="0"/>
    <x v="3"/>
    <x v="1"/>
    <s v="2019/2020"/>
    <b v="1"/>
    <b v="0"/>
    <b v="0"/>
    <x v="11"/>
    <n v="8337586000196"/>
    <x v="108"/>
    <x v="10"/>
    <x v="8"/>
    <n v="64"/>
    <x v="4"/>
    <x v="6"/>
    <n v="1"/>
    <n v="1"/>
  </r>
  <r>
    <n v="2019"/>
    <n v="10"/>
    <x v="0"/>
    <x v="3"/>
    <x v="1"/>
    <s v="2019/2020"/>
    <b v="1"/>
    <b v="0"/>
    <b v="0"/>
    <x v="5"/>
    <n v="8597121000174"/>
    <x v="111"/>
    <x v="13"/>
    <x v="6"/>
    <n v="70"/>
    <x v="0"/>
    <x v="0"/>
    <n v="75"/>
    <n v="15"/>
  </r>
  <r>
    <n v="2019"/>
    <n v="10"/>
    <x v="0"/>
    <x v="3"/>
    <x v="1"/>
    <s v="2019/2020"/>
    <b v="1"/>
    <b v="0"/>
    <b v="0"/>
    <x v="2"/>
    <n v="8680639000681"/>
    <x v="112"/>
    <x v="5"/>
    <x v="5"/>
    <n v="70"/>
    <x v="0"/>
    <x v="0"/>
    <n v="200"/>
    <n v="40"/>
  </r>
  <r>
    <n v="2019"/>
    <n v="10"/>
    <x v="0"/>
    <x v="3"/>
    <x v="1"/>
    <s v="2019/2020"/>
    <b v="1"/>
    <b v="0"/>
    <b v="0"/>
    <x v="4"/>
    <n v="8711085000128"/>
    <x v="530"/>
    <x v="32"/>
    <x v="18"/>
    <n v="62"/>
    <x v="3"/>
    <x v="5"/>
    <n v="3"/>
    <n v="3"/>
  </r>
  <r>
    <n v="2019"/>
    <n v="10"/>
    <x v="0"/>
    <x v="3"/>
    <x v="1"/>
    <s v="2019/2020"/>
    <b v="1"/>
    <b v="0"/>
    <b v="0"/>
    <x v="4"/>
    <n v="8711085000128"/>
    <x v="530"/>
    <x v="32"/>
    <x v="18"/>
    <n v="64"/>
    <x v="4"/>
    <x v="6"/>
    <n v="1"/>
    <n v="1"/>
  </r>
  <r>
    <n v="2019"/>
    <n v="10"/>
    <x v="0"/>
    <x v="3"/>
    <x v="1"/>
    <s v="2019/2020"/>
    <b v="1"/>
    <b v="0"/>
    <b v="0"/>
    <x v="2"/>
    <n v="8850962000222"/>
    <x v="113"/>
    <x v="0"/>
    <x v="0"/>
    <n v="64"/>
    <x v="4"/>
    <x v="6"/>
    <n v="3"/>
    <n v="3"/>
  </r>
  <r>
    <n v="2019"/>
    <n v="10"/>
    <x v="0"/>
    <x v="3"/>
    <x v="1"/>
    <s v="2019/2020"/>
    <b v="1"/>
    <b v="0"/>
    <b v="0"/>
    <x v="7"/>
    <n v="8871521000126"/>
    <x v="114"/>
    <x v="3"/>
    <x v="3"/>
    <n v="70"/>
    <x v="0"/>
    <x v="0"/>
    <n v="285"/>
    <n v="57"/>
  </r>
  <r>
    <n v="2019"/>
    <n v="10"/>
    <x v="0"/>
    <x v="3"/>
    <x v="1"/>
    <s v="2019/2020"/>
    <b v="1"/>
    <b v="0"/>
    <b v="0"/>
    <x v="7"/>
    <n v="8871521000126"/>
    <x v="114"/>
    <x v="3"/>
    <x v="3"/>
    <n v="70"/>
    <x v="0"/>
    <x v="0"/>
    <n v="305"/>
    <n v="61"/>
  </r>
  <r>
    <n v="2019"/>
    <n v="10"/>
    <x v="0"/>
    <x v="3"/>
    <x v="1"/>
    <s v="2019/2020"/>
    <b v="1"/>
    <b v="0"/>
    <b v="0"/>
    <x v="27"/>
    <n v="8871521000126"/>
    <x v="114"/>
    <x v="3"/>
    <x v="3"/>
    <n v="70"/>
    <x v="0"/>
    <x v="0"/>
    <n v="280"/>
    <n v="56"/>
  </r>
  <r>
    <n v="2019"/>
    <n v="10"/>
    <x v="0"/>
    <x v="3"/>
    <x v="1"/>
    <s v="2019/2020"/>
    <b v="1"/>
    <b v="0"/>
    <b v="0"/>
    <x v="4"/>
    <n v="9087150000159"/>
    <x v="531"/>
    <x v="3"/>
    <x v="3"/>
    <n v="73"/>
    <x v="1"/>
    <x v="4"/>
    <n v="4"/>
    <n v="1"/>
  </r>
  <r>
    <n v="2019"/>
    <n v="10"/>
    <x v="0"/>
    <x v="3"/>
    <x v="1"/>
    <s v="2019/2020"/>
    <b v="1"/>
    <b v="0"/>
    <b v="0"/>
    <x v="4"/>
    <n v="9087150000159"/>
    <x v="531"/>
    <x v="3"/>
    <x v="3"/>
    <n v="73"/>
    <x v="1"/>
    <x v="2"/>
    <n v="3"/>
    <n v="3"/>
  </r>
  <r>
    <n v="2019"/>
    <n v="10"/>
    <x v="0"/>
    <x v="3"/>
    <x v="1"/>
    <s v="2019/2020"/>
    <b v="1"/>
    <b v="0"/>
    <b v="0"/>
    <x v="17"/>
    <n v="9087150000159"/>
    <x v="531"/>
    <x v="3"/>
    <x v="3"/>
    <n v="73"/>
    <x v="1"/>
    <x v="2"/>
    <n v="4"/>
    <n v="4"/>
  </r>
  <r>
    <n v="2019"/>
    <n v="10"/>
    <x v="0"/>
    <x v="3"/>
    <x v="1"/>
    <s v="2019/2020"/>
    <b v="1"/>
    <b v="0"/>
    <b v="0"/>
    <x v="21"/>
    <n v="9087150000230"/>
    <x v="115"/>
    <x v="45"/>
    <x v="11"/>
    <n v="73"/>
    <x v="1"/>
    <x v="1"/>
    <n v="10"/>
    <n v="5"/>
  </r>
  <r>
    <n v="2019"/>
    <n v="10"/>
    <x v="0"/>
    <x v="3"/>
    <x v="1"/>
    <s v="2019/2020"/>
    <b v="1"/>
    <b v="0"/>
    <b v="0"/>
    <x v="7"/>
    <n v="9104513000974"/>
    <x v="116"/>
    <x v="4"/>
    <x v="4"/>
    <n v="70"/>
    <x v="0"/>
    <x v="0"/>
    <n v="10"/>
    <n v="2"/>
  </r>
  <r>
    <n v="2019"/>
    <n v="10"/>
    <x v="0"/>
    <x v="3"/>
    <x v="1"/>
    <s v="2019/2020"/>
    <b v="1"/>
    <b v="0"/>
    <b v="0"/>
    <x v="7"/>
    <n v="9104513000974"/>
    <x v="116"/>
    <x v="4"/>
    <x v="4"/>
    <n v="70"/>
    <x v="0"/>
    <x v="0"/>
    <n v="30"/>
    <n v="6"/>
  </r>
  <r>
    <n v="2019"/>
    <n v="10"/>
    <x v="0"/>
    <x v="3"/>
    <x v="1"/>
    <s v="2019/2020"/>
    <b v="1"/>
    <b v="0"/>
    <b v="0"/>
    <x v="7"/>
    <n v="9104513000974"/>
    <x v="116"/>
    <x v="4"/>
    <x v="4"/>
    <n v="70"/>
    <x v="0"/>
    <x v="0"/>
    <n v="40"/>
    <n v="8"/>
  </r>
  <r>
    <n v="2019"/>
    <n v="10"/>
    <x v="0"/>
    <x v="3"/>
    <x v="1"/>
    <s v="2019/2020"/>
    <b v="1"/>
    <b v="0"/>
    <b v="0"/>
    <x v="7"/>
    <n v="9104513000974"/>
    <x v="116"/>
    <x v="4"/>
    <x v="4"/>
    <n v="70"/>
    <x v="0"/>
    <x v="0"/>
    <n v="50"/>
    <n v="10"/>
  </r>
  <r>
    <n v="2019"/>
    <n v="10"/>
    <x v="0"/>
    <x v="3"/>
    <x v="1"/>
    <s v="2019/2020"/>
    <b v="1"/>
    <b v="0"/>
    <b v="0"/>
    <x v="7"/>
    <n v="9104513000974"/>
    <x v="116"/>
    <x v="4"/>
    <x v="4"/>
    <n v="70"/>
    <x v="0"/>
    <x v="0"/>
    <n v="235"/>
    <n v="47"/>
  </r>
  <r>
    <n v="2019"/>
    <n v="10"/>
    <x v="0"/>
    <x v="3"/>
    <x v="1"/>
    <s v="2019/2020"/>
    <b v="1"/>
    <b v="0"/>
    <b v="0"/>
    <x v="17"/>
    <n v="9219138000401"/>
    <x v="471"/>
    <x v="0"/>
    <x v="0"/>
    <n v="70"/>
    <x v="0"/>
    <x v="0"/>
    <n v="25"/>
    <n v="5"/>
  </r>
  <r>
    <n v="2019"/>
    <n v="10"/>
    <x v="0"/>
    <x v="3"/>
    <x v="1"/>
    <s v="2019/2020"/>
    <b v="1"/>
    <b v="0"/>
    <b v="0"/>
    <x v="10"/>
    <n v="9219138000401"/>
    <x v="471"/>
    <x v="0"/>
    <x v="0"/>
    <n v="70"/>
    <x v="0"/>
    <x v="0"/>
    <n v="75"/>
    <n v="15"/>
  </r>
  <r>
    <n v="2019"/>
    <n v="10"/>
    <x v="0"/>
    <x v="3"/>
    <x v="1"/>
    <s v="2019/2020"/>
    <b v="1"/>
    <b v="0"/>
    <b v="0"/>
    <x v="10"/>
    <n v="9219138000401"/>
    <x v="471"/>
    <x v="0"/>
    <x v="0"/>
    <n v="70"/>
    <x v="0"/>
    <x v="0"/>
    <n v="165"/>
    <n v="33"/>
  </r>
  <r>
    <n v="2019"/>
    <n v="10"/>
    <x v="0"/>
    <x v="3"/>
    <x v="1"/>
    <s v="2019/2020"/>
    <b v="1"/>
    <b v="0"/>
    <b v="0"/>
    <x v="10"/>
    <n v="9219138000584"/>
    <x v="117"/>
    <x v="0"/>
    <x v="0"/>
    <n v="62"/>
    <x v="3"/>
    <x v="5"/>
    <n v="6"/>
    <n v="3"/>
  </r>
  <r>
    <n v="2019"/>
    <n v="10"/>
    <x v="0"/>
    <x v="3"/>
    <x v="1"/>
    <s v="2019/2020"/>
    <b v="1"/>
    <b v="0"/>
    <b v="0"/>
    <x v="10"/>
    <n v="9219138000584"/>
    <x v="117"/>
    <x v="0"/>
    <x v="0"/>
    <n v="62"/>
    <x v="3"/>
    <x v="5"/>
    <n v="11"/>
    <n v="11"/>
  </r>
  <r>
    <n v="2019"/>
    <n v="10"/>
    <x v="0"/>
    <x v="3"/>
    <x v="1"/>
    <s v="2019/2020"/>
    <b v="1"/>
    <b v="0"/>
    <b v="0"/>
    <x v="12"/>
    <n v="9219138000584"/>
    <x v="117"/>
    <x v="0"/>
    <x v="0"/>
    <n v="64"/>
    <x v="4"/>
    <x v="6"/>
    <n v="10"/>
    <n v="5"/>
  </r>
  <r>
    <n v="2019"/>
    <n v="10"/>
    <x v="0"/>
    <x v="3"/>
    <x v="1"/>
    <s v="2019/2020"/>
    <b v="1"/>
    <b v="0"/>
    <b v="0"/>
    <x v="12"/>
    <n v="9219138000584"/>
    <x v="117"/>
    <x v="0"/>
    <x v="0"/>
    <n v="64"/>
    <x v="4"/>
    <x v="6"/>
    <n v="8"/>
    <n v="8"/>
  </r>
  <r>
    <n v="2019"/>
    <n v="10"/>
    <x v="0"/>
    <x v="3"/>
    <x v="1"/>
    <s v="2019/2020"/>
    <b v="1"/>
    <b v="0"/>
    <b v="0"/>
    <x v="3"/>
    <n v="9219138000584"/>
    <x v="117"/>
    <x v="0"/>
    <x v="0"/>
    <n v="70"/>
    <x v="0"/>
    <x v="0"/>
    <n v="35"/>
    <n v="7"/>
  </r>
  <r>
    <n v="2019"/>
    <n v="10"/>
    <x v="0"/>
    <x v="3"/>
    <x v="1"/>
    <s v="2019/2020"/>
    <b v="1"/>
    <b v="0"/>
    <b v="0"/>
    <x v="17"/>
    <n v="9219138000584"/>
    <x v="117"/>
    <x v="0"/>
    <x v="0"/>
    <n v="70"/>
    <x v="0"/>
    <x v="0"/>
    <n v="50"/>
    <n v="10"/>
  </r>
  <r>
    <n v="2019"/>
    <n v="10"/>
    <x v="0"/>
    <x v="3"/>
    <x v="1"/>
    <s v="2019/2020"/>
    <b v="1"/>
    <b v="0"/>
    <b v="0"/>
    <x v="10"/>
    <n v="9219138000584"/>
    <x v="117"/>
    <x v="0"/>
    <x v="0"/>
    <n v="70"/>
    <x v="0"/>
    <x v="0"/>
    <n v="285"/>
    <n v="57"/>
  </r>
  <r>
    <n v="2019"/>
    <n v="10"/>
    <x v="0"/>
    <x v="3"/>
    <x v="1"/>
    <s v="2019/2020"/>
    <b v="1"/>
    <b v="0"/>
    <b v="0"/>
    <x v="2"/>
    <n v="9219138000584"/>
    <x v="117"/>
    <x v="0"/>
    <x v="0"/>
    <n v="70"/>
    <x v="0"/>
    <x v="0"/>
    <n v="365"/>
    <n v="73"/>
  </r>
  <r>
    <n v="2019"/>
    <n v="10"/>
    <x v="0"/>
    <x v="3"/>
    <x v="1"/>
    <s v="2019/2020"/>
    <b v="1"/>
    <b v="0"/>
    <b v="0"/>
    <x v="10"/>
    <n v="9219138000584"/>
    <x v="117"/>
    <x v="0"/>
    <x v="0"/>
    <n v="73"/>
    <x v="1"/>
    <x v="4"/>
    <n v="24"/>
    <n v="6"/>
  </r>
  <r>
    <n v="2019"/>
    <n v="10"/>
    <x v="0"/>
    <x v="3"/>
    <x v="1"/>
    <s v="2019/2020"/>
    <b v="1"/>
    <b v="0"/>
    <b v="0"/>
    <x v="10"/>
    <n v="9219138000584"/>
    <x v="117"/>
    <x v="0"/>
    <x v="0"/>
    <n v="73"/>
    <x v="1"/>
    <x v="4"/>
    <n v="28"/>
    <n v="7"/>
  </r>
  <r>
    <n v="2019"/>
    <n v="10"/>
    <x v="0"/>
    <x v="3"/>
    <x v="1"/>
    <s v="2019/2020"/>
    <b v="1"/>
    <b v="0"/>
    <b v="0"/>
    <x v="10"/>
    <n v="9219138000584"/>
    <x v="117"/>
    <x v="0"/>
    <x v="0"/>
    <n v="73"/>
    <x v="1"/>
    <x v="4"/>
    <n v="36"/>
    <n v="9"/>
  </r>
  <r>
    <n v="2019"/>
    <n v="10"/>
    <x v="0"/>
    <x v="3"/>
    <x v="1"/>
    <s v="2019/2020"/>
    <b v="1"/>
    <b v="0"/>
    <b v="0"/>
    <x v="2"/>
    <n v="9219138000584"/>
    <x v="117"/>
    <x v="0"/>
    <x v="0"/>
    <n v="73"/>
    <x v="1"/>
    <x v="4"/>
    <n v="12"/>
    <n v="3"/>
  </r>
  <r>
    <n v="2019"/>
    <n v="10"/>
    <x v="0"/>
    <x v="3"/>
    <x v="1"/>
    <s v="2019/2020"/>
    <b v="1"/>
    <b v="0"/>
    <b v="0"/>
    <x v="0"/>
    <n v="9219138000584"/>
    <x v="117"/>
    <x v="0"/>
    <x v="0"/>
    <n v="73"/>
    <x v="1"/>
    <x v="4"/>
    <n v="48"/>
    <n v="12"/>
  </r>
  <r>
    <n v="2019"/>
    <n v="10"/>
    <x v="0"/>
    <x v="3"/>
    <x v="1"/>
    <s v="2019/2020"/>
    <b v="1"/>
    <b v="0"/>
    <b v="0"/>
    <x v="2"/>
    <n v="9578217000158"/>
    <x v="119"/>
    <x v="0"/>
    <x v="0"/>
    <n v="62"/>
    <x v="3"/>
    <x v="5"/>
    <n v="2"/>
    <n v="2"/>
  </r>
  <r>
    <n v="2019"/>
    <n v="10"/>
    <x v="0"/>
    <x v="3"/>
    <x v="1"/>
    <s v="2019/2020"/>
    <b v="1"/>
    <b v="0"/>
    <b v="0"/>
    <x v="2"/>
    <n v="9578217000158"/>
    <x v="119"/>
    <x v="0"/>
    <x v="0"/>
    <n v="64"/>
    <x v="4"/>
    <x v="6"/>
    <n v="2"/>
    <n v="2"/>
  </r>
  <r>
    <n v="2019"/>
    <n v="10"/>
    <x v="0"/>
    <x v="3"/>
    <x v="1"/>
    <s v="2019/2020"/>
    <b v="1"/>
    <b v="0"/>
    <b v="0"/>
    <x v="5"/>
    <n v="9579964000291"/>
    <x v="373"/>
    <x v="13"/>
    <x v="6"/>
    <n v="70"/>
    <x v="0"/>
    <x v="0"/>
    <n v="160"/>
    <n v="32"/>
  </r>
  <r>
    <n v="2019"/>
    <n v="10"/>
    <x v="0"/>
    <x v="3"/>
    <x v="1"/>
    <s v="2019/2020"/>
    <b v="1"/>
    <b v="0"/>
    <b v="0"/>
    <x v="5"/>
    <n v="9579964000291"/>
    <x v="373"/>
    <x v="13"/>
    <x v="6"/>
    <n v="70"/>
    <x v="0"/>
    <x v="0"/>
    <n v="180"/>
    <n v="36"/>
  </r>
  <r>
    <n v="2019"/>
    <n v="10"/>
    <x v="0"/>
    <x v="3"/>
    <x v="1"/>
    <s v="2019/2020"/>
    <b v="1"/>
    <b v="0"/>
    <b v="0"/>
    <x v="5"/>
    <n v="9579964000291"/>
    <x v="373"/>
    <x v="13"/>
    <x v="6"/>
    <n v="70"/>
    <x v="0"/>
    <x v="0"/>
    <n v="1500"/>
    <n v="300"/>
  </r>
  <r>
    <n v="2019"/>
    <n v="10"/>
    <x v="0"/>
    <x v="3"/>
    <x v="1"/>
    <s v="2019/2020"/>
    <b v="1"/>
    <b v="0"/>
    <b v="0"/>
    <x v="6"/>
    <n v="10323381000101"/>
    <x v="123"/>
    <x v="3"/>
    <x v="3"/>
    <n v="73"/>
    <x v="1"/>
    <x v="2"/>
    <n v="2"/>
    <n v="2"/>
  </r>
  <r>
    <n v="2019"/>
    <n v="10"/>
    <x v="0"/>
    <x v="3"/>
    <x v="1"/>
    <s v="2019/2020"/>
    <b v="1"/>
    <b v="0"/>
    <b v="0"/>
    <x v="17"/>
    <n v="10447300000177"/>
    <x v="124"/>
    <x v="48"/>
    <x v="3"/>
    <n v="73"/>
    <x v="1"/>
    <x v="4"/>
    <n v="8"/>
    <n v="2"/>
  </r>
  <r>
    <n v="2019"/>
    <n v="10"/>
    <x v="0"/>
    <x v="3"/>
    <x v="1"/>
    <s v="2019/2020"/>
    <b v="1"/>
    <b v="0"/>
    <b v="0"/>
    <x v="20"/>
    <n v="10447300000177"/>
    <x v="124"/>
    <x v="48"/>
    <x v="3"/>
    <n v="73"/>
    <x v="1"/>
    <x v="4"/>
    <n v="8"/>
    <n v="2"/>
  </r>
  <r>
    <n v="2019"/>
    <n v="10"/>
    <x v="0"/>
    <x v="3"/>
    <x v="1"/>
    <s v="2019/2020"/>
    <b v="1"/>
    <b v="0"/>
    <b v="0"/>
    <x v="17"/>
    <n v="10468341000140"/>
    <x v="125"/>
    <x v="3"/>
    <x v="3"/>
    <n v="70"/>
    <x v="0"/>
    <x v="0"/>
    <n v="125"/>
    <n v="25"/>
  </r>
  <r>
    <n v="2019"/>
    <n v="10"/>
    <x v="0"/>
    <x v="3"/>
    <x v="1"/>
    <s v="2019/2020"/>
    <b v="1"/>
    <b v="0"/>
    <b v="0"/>
    <x v="17"/>
    <n v="10468341000140"/>
    <x v="125"/>
    <x v="3"/>
    <x v="3"/>
    <n v="70"/>
    <x v="0"/>
    <x v="0"/>
    <n v="225"/>
    <n v="45"/>
  </r>
  <r>
    <n v="2019"/>
    <n v="10"/>
    <x v="0"/>
    <x v="3"/>
    <x v="1"/>
    <s v="2019/2020"/>
    <b v="1"/>
    <b v="0"/>
    <b v="0"/>
    <x v="6"/>
    <n v="10468341000140"/>
    <x v="125"/>
    <x v="3"/>
    <x v="3"/>
    <n v="70"/>
    <x v="0"/>
    <x v="0"/>
    <n v="205"/>
    <n v="41"/>
  </r>
  <r>
    <n v="2019"/>
    <n v="10"/>
    <x v="0"/>
    <x v="3"/>
    <x v="1"/>
    <s v="2019/2020"/>
    <b v="1"/>
    <b v="0"/>
    <b v="0"/>
    <x v="6"/>
    <n v="10468341000140"/>
    <x v="125"/>
    <x v="3"/>
    <x v="3"/>
    <n v="70"/>
    <x v="0"/>
    <x v="0"/>
    <n v="215"/>
    <n v="43"/>
  </r>
  <r>
    <n v="2019"/>
    <n v="10"/>
    <x v="0"/>
    <x v="3"/>
    <x v="1"/>
    <s v="2019/2020"/>
    <b v="1"/>
    <b v="0"/>
    <b v="0"/>
    <x v="6"/>
    <n v="10468341000140"/>
    <x v="125"/>
    <x v="3"/>
    <x v="3"/>
    <n v="70"/>
    <x v="0"/>
    <x v="0"/>
    <n v="330"/>
    <n v="66"/>
  </r>
  <r>
    <n v="2019"/>
    <n v="10"/>
    <x v="0"/>
    <x v="3"/>
    <x v="1"/>
    <s v="2019/2020"/>
    <b v="1"/>
    <b v="0"/>
    <b v="0"/>
    <x v="6"/>
    <n v="10468341000140"/>
    <x v="125"/>
    <x v="3"/>
    <x v="3"/>
    <n v="73"/>
    <x v="1"/>
    <x v="4"/>
    <n v="12"/>
    <n v="3"/>
  </r>
  <r>
    <n v="2019"/>
    <n v="10"/>
    <x v="0"/>
    <x v="3"/>
    <x v="1"/>
    <s v="2019/2020"/>
    <b v="1"/>
    <b v="0"/>
    <b v="0"/>
    <x v="17"/>
    <n v="10468341000220"/>
    <x v="126"/>
    <x v="3"/>
    <x v="3"/>
    <n v="70"/>
    <x v="0"/>
    <x v="0"/>
    <n v="85"/>
    <n v="17"/>
  </r>
  <r>
    <n v="2019"/>
    <n v="10"/>
    <x v="0"/>
    <x v="3"/>
    <x v="1"/>
    <s v="2019/2020"/>
    <b v="1"/>
    <b v="0"/>
    <b v="0"/>
    <x v="17"/>
    <n v="10468341000220"/>
    <x v="126"/>
    <x v="3"/>
    <x v="3"/>
    <n v="70"/>
    <x v="0"/>
    <x v="0"/>
    <n v="255"/>
    <n v="51"/>
  </r>
  <r>
    <n v="2019"/>
    <n v="10"/>
    <x v="0"/>
    <x v="3"/>
    <x v="1"/>
    <s v="2019/2020"/>
    <b v="1"/>
    <b v="0"/>
    <b v="0"/>
    <x v="17"/>
    <n v="10468341000220"/>
    <x v="126"/>
    <x v="3"/>
    <x v="3"/>
    <n v="70"/>
    <x v="0"/>
    <x v="0"/>
    <n v="310"/>
    <n v="62"/>
  </r>
  <r>
    <n v="2019"/>
    <n v="10"/>
    <x v="0"/>
    <x v="3"/>
    <x v="1"/>
    <s v="2019/2020"/>
    <b v="1"/>
    <b v="0"/>
    <b v="0"/>
    <x v="6"/>
    <n v="10468341000220"/>
    <x v="126"/>
    <x v="3"/>
    <x v="3"/>
    <n v="70"/>
    <x v="0"/>
    <x v="0"/>
    <n v="50"/>
    <n v="10"/>
  </r>
  <r>
    <n v="2019"/>
    <n v="10"/>
    <x v="0"/>
    <x v="3"/>
    <x v="1"/>
    <s v="2019/2020"/>
    <b v="1"/>
    <b v="0"/>
    <b v="0"/>
    <x v="6"/>
    <n v="10468341000220"/>
    <x v="126"/>
    <x v="3"/>
    <x v="3"/>
    <n v="70"/>
    <x v="0"/>
    <x v="0"/>
    <n v="250"/>
    <n v="50"/>
  </r>
  <r>
    <n v="2019"/>
    <n v="10"/>
    <x v="0"/>
    <x v="3"/>
    <x v="1"/>
    <s v="2019/2020"/>
    <b v="1"/>
    <b v="0"/>
    <b v="0"/>
    <x v="6"/>
    <n v="10468341000220"/>
    <x v="126"/>
    <x v="3"/>
    <x v="3"/>
    <n v="73"/>
    <x v="1"/>
    <x v="4"/>
    <n v="24"/>
    <n v="3"/>
  </r>
  <r>
    <n v="2019"/>
    <n v="10"/>
    <x v="0"/>
    <x v="3"/>
    <x v="1"/>
    <s v="2019/2020"/>
    <b v="1"/>
    <b v="0"/>
    <b v="0"/>
    <x v="11"/>
    <n v="10475230000160"/>
    <x v="127"/>
    <x v="3"/>
    <x v="3"/>
    <n v="70"/>
    <x v="0"/>
    <x v="0"/>
    <n v="20"/>
    <n v="4"/>
  </r>
  <r>
    <n v="2019"/>
    <n v="10"/>
    <x v="0"/>
    <x v="3"/>
    <x v="1"/>
    <s v="2019/2020"/>
    <b v="1"/>
    <b v="0"/>
    <b v="0"/>
    <x v="11"/>
    <n v="10475230000160"/>
    <x v="127"/>
    <x v="3"/>
    <x v="3"/>
    <n v="70"/>
    <x v="0"/>
    <x v="0"/>
    <n v="25"/>
    <n v="5"/>
  </r>
  <r>
    <n v="2019"/>
    <n v="10"/>
    <x v="0"/>
    <x v="3"/>
    <x v="1"/>
    <s v="2019/2020"/>
    <b v="1"/>
    <b v="0"/>
    <b v="0"/>
    <x v="4"/>
    <n v="10839561000132"/>
    <x v="129"/>
    <x v="24"/>
    <x v="15"/>
    <n v="62"/>
    <x v="3"/>
    <x v="5"/>
    <n v="4"/>
    <n v="2"/>
  </r>
  <r>
    <n v="2019"/>
    <n v="10"/>
    <x v="0"/>
    <x v="3"/>
    <x v="1"/>
    <s v="2019/2020"/>
    <b v="1"/>
    <b v="0"/>
    <b v="0"/>
    <x v="4"/>
    <n v="10839561000132"/>
    <x v="129"/>
    <x v="24"/>
    <x v="15"/>
    <n v="62"/>
    <x v="3"/>
    <x v="5"/>
    <n v="6"/>
    <n v="6"/>
  </r>
  <r>
    <n v="2019"/>
    <n v="10"/>
    <x v="0"/>
    <x v="3"/>
    <x v="1"/>
    <s v="2019/2020"/>
    <b v="1"/>
    <b v="0"/>
    <b v="0"/>
    <x v="4"/>
    <n v="10839561000132"/>
    <x v="129"/>
    <x v="24"/>
    <x v="15"/>
    <n v="62"/>
    <x v="3"/>
    <x v="5"/>
    <n v="16"/>
    <n v="8"/>
  </r>
  <r>
    <n v="2019"/>
    <n v="10"/>
    <x v="0"/>
    <x v="3"/>
    <x v="1"/>
    <s v="2019/2020"/>
    <b v="1"/>
    <b v="0"/>
    <b v="0"/>
    <x v="4"/>
    <n v="10839561000132"/>
    <x v="129"/>
    <x v="24"/>
    <x v="15"/>
    <n v="70"/>
    <x v="0"/>
    <x v="0"/>
    <n v="175"/>
    <n v="35"/>
  </r>
  <r>
    <n v="2019"/>
    <n v="10"/>
    <x v="0"/>
    <x v="3"/>
    <x v="1"/>
    <s v="2019/2020"/>
    <b v="1"/>
    <b v="0"/>
    <b v="0"/>
    <x v="4"/>
    <n v="10839561000132"/>
    <x v="129"/>
    <x v="24"/>
    <x v="15"/>
    <n v="73"/>
    <x v="1"/>
    <x v="4"/>
    <n v="16"/>
    <n v="4"/>
  </r>
  <r>
    <n v="2019"/>
    <n v="10"/>
    <x v="0"/>
    <x v="3"/>
    <x v="1"/>
    <s v="2019/2020"/>
    <b v="1"/>
    <b v="0"/>
    <b v="0"/>
    <x v="4"/>
    <n v="10839561000132"/>
    <x v="129"/>
    <x v="24"/>
    <x v="15"/>
    <n v="73"/>
    <x v="1"/>
    <x v="1"/>
    <n v="16"/>
    <n v="8"/>
  </r>
  <r>
    <n v="2019"/>
    <n v="10"/>
    <x v="0"/>
    <x v="3"/>
    <x v="1"/>
    <s v="2019/2020"/>
    <b v="1"/>
    <b v="0"/>
    <b v="0"/>
    <x v="4"/>
    <n v="10839561000132"/>
    <x v="129"/>
    <x v="24"/>
    <x v="15"/>
    <n v="73"/>
    <x v="1"/>
    <x v="4"/>
    <n v="32"/>
    <n v="8"/>
  </r>
  <r>
    <n v="2019"/>
    <n v="10"/>
    <x v="0"/>
    <x v="3"/>
    <x v="1"/>
    <s v="2019/2020"/>
    <b v="1"/>
    <b v="0"/>
    <b v="0"/>
    <x v="7"/>
    <n v="10868295000176"/>
    <x v="375"/>
    <x v="70"/>
    <x v="3"/>
    <n v="70"/>
    <x v="0"/>
    <x v="0"/>
    <n v="90"/>
    <n v="9"/>
  </r>
  <r>
    <n v="2019"/>
    <n v="10"/>
    <x v="0"/>
    <x v="3"/>
    <x v="1"/>
    <s v="2019/2020"/>
    <b v="1"/>
    <b v="0"/>
    <b v="0"/>
    <x v="11"/>
    <n v="10892164000124"/>
    <x v="130"/>
    <x v="24"/>
    <x v="15"/>
    <n v="64"/>
    <x v="4"/>
    <x v="6"/>
    <n v="10"/>
    <n v="10"/>
  </r>
  <r>
    <n v="2019"/>
    <n v="10"/>
    <x v="0"/>
    <x v="3"/>
    <x v="1"/>
    <s v="2019/2020"/>
    <b v="1"/>
    <b v="0"/>
    <b v="0"/>
    <x v="7"/>
    <n v="10892164000124"/>
    <x v="130"/>
    <x v="24"/>
    <x v="15"/>
    <n v="73"/>
    <x v="1"/>
    <x v="4"/>
    <n v="40"/>
    <n v="5"/>
  </r>
  <r>
    <n v="2019"/>
    <n v="10"/>
    <x v="0"/>
    <x v="3"/>
    <x v="1"/>
    <s v="2019/2020"/>
    <b v="1"/>
    <b v="0"/>
    <b v="0"/>
    <x v="8"/>
    <n v="10942995000163"/>
    <x v="376"/>
    <x v="4"/>
    <x v="4"/>
    <n v="70"/>
    <x v="0"/>
    <x v="0"/>
    <n v="350"/>
    <n v="70"/>
  </r>
  <r>
    <n v="2019"/>
    <n v="10"/>
    <x v="0"/>
    <x v="3"/>
    <x v="1"/>
    <s v="2019/2020"/>
    <b v="1"/>
    <b v="0"/>
    <b v="0"/>
    <x v="5"/>
    <n v="10942995000163"/>
    <x v="376"/>
    <x v="4"/>
    <x v="4"/>
    <n v="73"/>
    <x v="1"/>
    <x v="4"/>
    <n v="120"/>
    <n v="30"/>
  </r>
  <r>
    <n v="2019"/>
    <n v="10"/>
    <x v="0"/>
    <x v="3"/>
    <x v="1"/>
    <s v="2019/2020"/>
    <b v="1"/>
    <b v="0"/>
    <b v="0"/>
    <x v="4"/>
    <n v="10988301000129"/>
    <x v="131"/>
    <x v="24"/>
    <x v="15"/>
    <n v="64"/>
    <x v="4"/>
    <x v="6"/>
    <n v="15"/>
    <n v="15"/>
  </r>
  <r>
    <n v="2019"/>
    <n v="10"/>
    <x v="0"/>
    <x v="3"/>
    <x v="1"/>
    <s v="2019/2020"/>
    <b v="1"/>
    <b v="0"/>
    <b v="0"/>
    <x v="1"/>
    <n v="11006293000130"/>
    <x v="132"/>
    <x v="25"/>
    <x v="16"/>
    <n v="70"/>
    <x v="0"/>
    <x v="0"/>
    <n v="45"/>
    <n v="9"/>
  </r>
  <r>
    <n v="2019"/>
    <n v="10"/>
    <x v="0"/>
    <x v="3"/>
    <x v="1"/>
    <s v="2019/2020"/>
    <b v="1"/>
    <b v="0"/>
    <b v="0"/>
    <x v="1"/>
    <n v="11006293000130"/>
    <x v="132"/>
    <x v="25"/>
    <x v="16"/>
    <n v="70"/>
    <x v="0"/>
    <x v="0"/>
    <n v="205"/>
    <n v="41"/>
  </r>
  <r>
    <n v="2019"/>
    <n v="10"/>
    <x v="0"/>
    <x v="3"/>
    <x v="1"/>
    <s v="2019/2020"/>
    <b v="1"/>
    <b v="0"/>
    <b v="0"/>
    <x v="1"/>
    <n v="11006293000130"/>
    <x v="132"/>
    <x v="25"/>
    <x v="16"/>
    <n v="70"/>
    <x v="0"/>
    <x v="0"/>
    <n v="300"/>
    <n v="60"/>
  </r>
  <r>
    <n v="2019"/>
    <n v="10"/>
    <x v="0"/>
    <x v="3"/>
    <x v="1"/>
    <s v="2019/2020"/>
    <b v="1"/>
    <b v="0"/>
    <b v="0"/>
    <x v="9"/>
    <n v="11022597001325"/>
    <x v="532"/>
    <x v="24"/>
    <x v="15"/>
    <n v="64"/>
    <x v="4"/>
    <x v="6"/>
    <n v="60"/>
    <n v="60"/>
  </r>
  <r>
    <n v="2019"/>
    <n v="10"/>
    <x v="0"/>
    <x v="3"/>
    <x v="1"/>
    <s v="2019/2020"/>
    <b v="1"/>
    <b v="0"/>
    <b v="0"/>
    <x v="5"/>
    <n v="11022597001325"/>
    <x v="532"/>
    <x v="24"/>
    <x v="15"/>
    <n v="70"/>
    <x v="0"/>
    <x v="0"/>
    <n v="750"/>
    <n v="150"/>
  </r>
  <r>
    <n v="2019"/>
    <n v="10"/>
    <x v="0"/>
    <x v="3"/>
    <x v="1"/>
    <s v="2019/2020"/>
    <b v="1"/>
    <b v="0"/>
    <b v="0"/>
    <x v="5"/>
    <n v="11022597001597"/>
    <x v="377"/>
    <x v="24"/>
    <x v="15"/>
    <n v="64"/>
    <x v="4"/>
    <x v="6"/>
    <n v="25"/>
    <n v="25"/>
  </r>
  <r>
    <n v="2019"/>
    <n v="10"/>
    <x v="0"/>
    <x v="3"/>
    <x v="1"/>
    <s v="2019/2020"/>
    <b v="1"/>
    <b v="0"/>
    <b v="0"/>
    <x v="8"/>
    <n v="11214624000470"/>
    <x v="379"/>
    <x v="24"/>
    <x v="15"/>
    <n v="73"/>
    <x v="1"/>
    <x v="4"/>
    <n v="96"/>
    <n v="24"/>
  </r>
  <r>
    <n v="2019"/>
    <n v="10"/>
    <x v="0"/>
    <x v="3"/>
    <x v="1"/>
    <s v="2019/2020"/>
    <b v="1"/>
    <b v="0"/>
    <b v="0"/>
    <x v="2"/>
    <n v="11214624001957"/>
    <x v="476"/>
    <x v="24"/>
    <x v="15"/>
    <n v="70"/>
    <x v="0"/>
    <x v="0"/>
    <n v="50"/>
    <n v="10"/>
  </r>
  <r>
    <n v="2019"/>
    <n v="10"/>
    <x v="0"/>
    <x v="3"/>
    <x v="1"/>
    <s v="2019/2020"/>
    <b v="1"/>
    <b v="0"/>
    <b v="0"/>
    <x v="2"/>
    <n v="11794674000121"/>
    <x v="381"/>
    <x v="32"/>
    <x v="18"/>
    <n v="62"/>
    <x v="3"/>
    <x v="5"/>
    <n v="3"/>
    <n v="3"/>
  </r>
  <r>
    <n v="2019"/>
    <n v="10"/>
    <x v="0"/>
    <x v="3"/>
    <x v="1"/>
    <s v="2019/2020"/>
    <b v="1"/>
    <b v="0"/>
    <b v="0"/>
    <x v="2"/>
    <n v="11794674000121"/>
    <x v="381"/>
    <x v="32"/>
    <x v="18"/>
    <n v="62"/>
    <x v="3"/>
    <x v="5"/>
    <n v="4"/>
    <n v="4"/>
  </r>
  <r>
    <n v="2019"/>
    <n v="10"/>
    <x v="0"/>
    <x v="3"/>
    <x v="1"/>
    <s v="2019/2020"/>
    <b v="1"/>
    <b v="0"/>
    <b v="0"/>
    <x v="4"/>
    <n v="11794674000121"/>
    <x v="381"/>
    <x v="32"/>
    <x v="18"/>
    <n v="64"/>
    <x v="4"/>
    <x v="6"/>
    <n v="4"/>
    <n v="4"/>
  </r>
  <r>
    <n v="2019"/>
    <n v="10"/>
    <x v="0"/>
    <x v="3"/>
    <x v="1"/>
    <s v="2019/2020"/>
    <b v="1"/>
    <b v="0"/>
    <b v="0"/>
    <x v="4"/>
    <n v="11859927000106"/>
    <x v="135"/>
    <x v="4"/>
    <x v="4"/>
    <n v="73"/>
    <x v="1"/>
    <x v="1"/>
    <n v="6"/>
    <n v="3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1"/>
    <n v="2"/>
    <n v="1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4"/>
    <n v="8"/>
    <n v="1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2"/>
    <n v="1"/>
    <n v="1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1"/>
    <n v="6"/>
    <n v="3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1"/>
    <n v="10"/>
    <n v="5"/>
  </r>
  <r>
    <n v="2019"/>
    <n v="10"/>
    <x v="0"/>
    <x v="3"/>
    <x v="1"/>
    <s v="2019/2020"/>
    <b v="1"/>
    <b v="0"/>
    <b v="0"/>
    <x v="8"/>
    <n v="11859927000106"/>
    <x v="135"/>
    <x v="4"/>
    <x v="4"/>
    <n v="73"/>
    <x v="1"/>
    <x v="2"/>
    <n v="10"/>
    <n v="5"/>
  </r>
  <r>
    <n v="2019"/>
    <n v="10"/>
    <x v="0"/>
    <x v="3"/>
    <x v="1"/>
    <s v="2019/2020"/>
    <b v="1"/>
    <b v="0"/>
    <b v="0"/>
    <x v="2"/>
    <n v="11859927000106"/>
    <x v="135"/>
    <x v="4"/>
    <x v="4"/>
    <n v="73"/>
    <x v="1"/>
    <x v="2"/>
    <n v="5"/>
    <n v="5"/>
  </r>
  <r>
    <n v="2019"/>
    <n v="10"/>
    <x v="0"/>
    <x v="3"/>
    <x v="1"/>
    <s v="2019/2020"/>
    <b v="1"/>
    <b v="0"/>
    <b v="0"/>
    <x v="18"/>
    <n v="12307187000150"/>
    <x v="533"/>
    <x v="19"/>
    <x v="14"/>
    <n v="70"/>
    <x v="0"/>
    <x v="0"/>
    <n v="210"/>
    <n v="42"/>
  </r>
  <r>
    <n v="2019"/>
    <n v="10"/>
    <x v="0"/>
    <x v="3"/>
    <x v="1"/>
    <s v="2019/2020"/>
    <b v="1"/>
    <b v="0"/>
    <b v="0"/>
    <x v="9"/>
    <n v="12361267011632"/>
    <x v="139"/>
    <x v="51"/>
    <x v="22"/>
    <n v="64"/>
    <x v="4"/>
    <x v="6"/>
    <n v="1"/>
    <n v="1"/>
  </r>
  <r>
    <n v="2019"/>
    <n v="10"/>
    <x v="0"/>
    <x v="3"/>
    <x v="1"/>
    <s v="2019/2020"/>
    <b v="1"/>
    <b v="0"/>
    <b v="0"/>
    <x v="18"/>
    <n v="12361267014739"/>
    <x v="482"/>
    <x v="31"/>
    <x v="17"/>
    <n v="62"/>
    <x v="3"/>
    <x v="5"/>
    <n v="4"/>
    <n v="2"/>
  </r>
  <r>
    <n v="2019"/>
    <n v="10"/>
    <x v="0"/>
    <x v="3"/>
    <x v="1"/>
    <s v="2019/2020"/>
    <b v="1"/>
    <b v="0"/>
    <b v="0"/>
    <x v="9"/>
    <n v="12361267014739"/>
    <x v="482"/>
    <x v="31"/>
    <x v="17"/>
    <n v="64"/>
    <x v="4"/>
    <x v="6"/>
    <n v="2"/>
    <n v="2"/>
  </r>
  <r>
    <n v="2019"/>
    <n v="10"/>
    <x v="0"/>
    <x v="3"/>
    <x v="1"/>
    <s v="2019/2020"/>
    <b v="1"/>
    <b v="0"/>
    <b v="0"/>
    <x v="11"/>
    <n v="12361267014739"/>
    <x v="482"/>
    <x v="31"/>
    <x v="17"/>
    <n v="64"/>
    <x v="4"/>
    <x v="6"/>
    <n v="3"/>
    <n v="3"/>
  </r>
  <r>
    <n v="2019"/>
    <n v="10"/>
    <x v="0"/>
    <x v="3"/>
    <x v="1"/>
    <s v="2019/2020"/>
    <b v="1"/>
    <b v="0"/>
    <b v="0"/>
    <x v="10"/>
    <n v="12442737000496"/>
    <x v="141"/>
    <x v="19"/>
    <x v="14"/>
    <n v="70"/>
    <x v="0"/>
    <x v="0"/>
    <n v="15"/>
    <n v="3"/>
  </r>
  <r>
    <n v="2019"/>
    <n v="10"/>
    <x v="0"/>
    <x v="3"/>
    <x v="1"/>
    <s v="2019/2020"/>
    <b v="1"/>
    <b v="0"/>
    <b v="0"/>
    <x v="10"/>
    <n v="12442737000496"/>
    <x v="141"/>
    <x v="19"/>
    <x v="14"/>
    <n v="70"/>
    <x v="0"/>
    <x v="0"/>
    <n v="315"/>
    <n v="63"/>
  </r>
  <r>
    <n v="2019"/>
    <n v="10"/>
    <x v="0"/>
    <x v="3"/>
    <x v="1"/>
    <s v="2019/2020"/>
    <b v="1"/>
    <b v="0"/>
    <b v="0"/>
    <x v="2"/>
    <n v="12442737000496"/>
    <x v="141"/>
    <x v="19"/>
    <x v="14"/>
    <n v="70"/>
    <x v="0"/>
    <x v="0"/>
    <n v="90"/>
    <n v="18"/>
  </r>
  <r>
    <n v="2019"/>
    <n v="10"/>
    <x v="0"/>
    <x v="3"/>
    <x v="1"/>
    <s v="2019/2020"/>
    <b v="1"/>
    <b v="0"/>
    <b v="0"/>
    <x v="4"/>
    <n v="12508728000108"/>
    <x v="388"/>
    <x v="47"/>
    <x v="11"/>
    <n v="70"/>
    <x v="0"/>
    <x v="0"/>
    <n v="60"/>
    <n v="4"/>
  </r>
  <r>
    <n v="2019"/>
    <n v="10"/>
    <x v="0"/>
    <x v="3"/>
    <x v="1"/>
    <s v="2019/2020"/>
    <b v="1"/>
    <b v="0"/>
    <b v="0"/>
    <x v="12"/>
    <n v="13016092000140"/>
    <x v="143"/>
    <x v="31"/>
    <x v="17"/>
    <n v="64"/>
    <x v="4"/>
    <x v="6"/>
    <n v="6"/>
    <n v="6"/>
  </r>
  <r>
    <n v="2019"/>
    <n v="10"/>
    <x v="0"/>
    <x v="3"/>
    <x v="1"/>
    <s v="2019/2020"/>
    <b v="1"/>
    <b v="0"/>
    <b v="0"/>
    <x v="18"/>
    <n v="13016332000106"/>
    <x v="144"/>
    <x v="49"/>
    <x v="21"/>
    <n v="62"/>
    <x v="3"/>
    <x v="5"/>
    <n v="1"/>
    <n v="1"/>
  </r>
  <r>
    <n v="2019"/>
    <n v="10"/>
    <x v="0"/>
    <x v="3"/>
    <x v="1"/>
    <s v="2019/2020"/>
    <b v="1"/>
    <b v="0"/>
    <b v="0"/>
    <x v="18"/>
    <n v="13016332000106"/>
    <x v="144"/>
    <x v="49"/>
    <x v="21"/>
    <n v="62"/>
    <x v="3"/>
    <x v="5"/>
    <n v="5"/>
    <n v="5"/>
  </r>
  <r>
    <n v="2019"/>
    <n v="10"/>
    <x v="0"/>
    <x v="3"/>
    <x v="1"/>
    <s v="2019/2020"/>
    <b v="1"/>
    <b v="0"/>
    <b v="0"/>
    <x v="18"/>
    <n v="13131370000100"/>
    <x v="145"/>
    <x v="49"/>
    <x v="21"/>
    <n v="70"/>
    <x v="0"/>
    <x v="0"/>
    <n v="50"/>
    <n v="10"/>
  </r>
  <r>
    <n v="2019"/>
    <n v="10"/>
    <x v="0"/>
    <x v="3"/>
    <x v="1"/>
    <s v="2019/2020"/>
    <b v="1"/>
    <b v="0"/>
    <b v="0"/>
    <x v="2"/>
    <n v="13131370000100"/>
    <x v="145"/>
    <x v="49"/>
    <x v="21"/>
    <n v="70"/>
    <x v="0"/>
    <x v="0"/>
    <n v="200"/>
    <n v="40"/>
  </r>
  <r>
    <n v="2019"/>
    <n v="10"/>
    <x v="0"/>
    <x v="3"/>
    <x v="1"/>
    <s v="2019/2020"/>
    <b v="1"/>
    <b v="0"/>
    <b v="0"/>
    <x v="18"/>
    <n v="13131370000100"/>
    <x v="145"/>
    <x v="49"/>
    <x v="21"/>
    <n v="73"/>
    <x v="1"/>
    <x v="4"/>
    <n v="4"/>
    <n v="1"/>
  </r>
  <r>
    <n v="2019"/>
    <n v="10"/>
    <x v="0"/>
    <x v="3"/>
    <x v="1"/>
    <s v="2019/2020"/>
    <b v="1"/>
    <b v="0"/>
    <b v="0"/>
    <x v="18"/>
    <n v="13131370000100"/>
    <x v="145"/>
    <x v="49"/>
    <x v="21"/>
    <n v="73"/>
    <x v="1"/>
    <x v="4"/>
    <n v="8"/>
    <n v="2"/>
  </r>
  <r>
    <n v="2019"/>
    <n v="10"/>
    <x v="0"/>
    <x v="3"/>
    <x v="1"/>
    <s v="2019/2020"/>
    <b v="1"/>
    <b v="0"/>
    <b v="0"/>
    <x v="18"/>
    <n v="13131370000100"/>
    <x v="145"/>
    <x v="49"/>
    <x v="21"/>
    <n v="73"/>
    <x v="1"/>
    <x v="1"/>
    <n v="8"/>
    <n v="4"/>
  </r>
  <r>
    <n v="2019"/>
    <n v="10"/>
    <x v="0"/>
    <x v="3"/>
    <x v="1"/>
    <s v="2019/2020"/>
    <b v="1"/>
    <b v="0"/>
    <b v="0"/>
    <x v="18"/>
    <n v="13131370000100"/>
    <x v="145"/>
    <x v="49"/>
    <x v="21"/>
    <n v="73"/>
    <x v="1"/>
    <x v="4"/>
    <n v="20"/>
    <n v="5"/>
  </r>
  <r>
    <n v="2019"/>
    <n v="10"/>
    <x v="0"/>
    <x v="3"/>
    <x v="1"/>
    <s v="2019/2020"/>
    <b v="1"/>
    <b v="0"/>
    <b v="0"/>
    <x v="18"/>
    <n v="13131370000100"/>
    <x v="145"/>
    <x v="49"/>
    <x v="21"/>
    <n v="73"/>
    <x v="1"/>
    <x v="2"/>
    <n v="6"/>
    <n v="6"/>
  </r>
  <r>
    <n v="2019"/>
    <n v="10"/>
    <x v="0"/>
    <x v="3"/>
    <x v="1"/>
    <s v="2019/2020"/>
    <b v="1"/>
    <b v="0"/>
    <b v="0"/>
    <x v="17"/>
    <n v="13718999001041"/>
    <x v="149"/>
    <x v="33"/>
    <x v="3"/>
    <n v="73"/>
    <x v="1"/>
    <x v="4"/>
    <n v="12"/>
    <n v="1"/>
  </r>
  <r>
    <n v="2019"/>
    <n v="10"/>
    <x v="0"/>
    <x v="3"/>
    <x v="1"/>
    <s v="2019/2020"/>
    <b v="1"/>
    <b v="0"/>
    <b v="0"/>
    <x v="2"/>
    <n v="13952064000134"/>
    <x v="150"/>
    <x v="31"/>
    <x v="17"/>
    <n v="62"/>
    <x v="3"/>
    <x v="5"/>
    <n v="4"/>
    <n v="4"/>
  </r>
  <r>
    <n v="2019"/>
    <n v="10"/>
    <x v="0"/>
    <x v="3"/>
    <x v="1"/>
    <s v="2019/2020"/>
    <b v="1"/>
    <b v="0"/>
    <b v="0"/>
    <x v="11"/>
    <n v="13952064000134"/>
    <x v="150"/>
    <x v="31"/>
    <x v="17"/>
    <n v="64"/>
    <x v="4"/>
    <x v="6"/>
    <n v="4"/>
    <n v="4"/>
  </r>
  <r>
    <n v="2019"/>
    <n v="10"/>
    <x v="0"/>
    <x v="3"/>
    <x v="1"/>
    <s v="2019/2020"/>
    <b v="1"/>
    <b v="0"/>
    <b v="0"/>
    <x v="3"/>
    <n v="14408631000159"/>
    <x v="152"/>
    <x v="54"/>
    <x v="2"/>
    <n v="73"/>
    <x v="1"/>
    <x v="4"/>
    <n v="12"/>
    <n v="1"/>
  </r>
  <r>
    <n v="2019"/>
    <n v="10"/>
    <x v="0"/>
    <x v="3"/>
    <x v="1"/>
    <s v="2019/2020"/>
    <b v="1"/>
    <b v="0"/>
    <b v="0"/>
    <x v="12"/>
    <n v="15016827000160"/>
    <x v="153"/>
    <x v="23"/>
    <x v="12"/>
    <n v="64"/>
    <x v="4"/>
    <x v="6"/>
    <n v="1"/>
    <n v="1"/>
  </r>
  <r>
    <n v="2019"/>
    <n v="10"/>
    <x v="0"/>
    <x v="3"/>
    <x v="1"/>
    <s v="2019/2020"/>
    <b v="1"/>
    <b v="0"/>
    <b v="0"/>
    <x v="19"/>
    <n v="15126437000224"/>
    <x v="154"/>
    <x v="40"/>
    <x v="20"/>
    <n v="64"/>
    <x v="4"/>
    <x v="6"/>
    <n v="10"/>
    <n v="10"/>
  </r>
  <r>
    <n v="2019"/>
    <n v="10"/>
    <x v="0"/>
    <x v="3"/>
    <x v="1"/>
    <s v="2019/2020"/>
    <b v="1"/>
    <b v="0"/>
    <b v="0"/>
    <x v="5"/>
    <n v="15126437000739"/>
    <x v="156"/>
    <x v="10"/>
    <x v="8"/>
    <n v="64"/>
    <x v="4"/>
    <x v="6"/>
    <n v="60"/>
    <n v="60"/>
  </r>
  <r>
    <n v="2019"/>
    <n v="10"/>
    <x v="0"/>
    <x v="3"/>
    <x v="1"/>
    <s v="2019/2020"/>
    <b v="1"/>
    <b v="0"/>
    <b v="0"/>
    <x v="5"/>
    <n v="15126437000739"/>
    <x v="156"/>
    <x v="10"/>
    <x v="8"/>
    <n v="70"/>
    <x v="0"/>
    <x v="0"/>
    <n v="400"/>
    <n v="80"/>
  </r>
  <r>
    <n v="2019"/>
    <n v="10"/>
    <x v="0"/>
    <x v="3"/>
    <x v="1"/>
    <s v="2019/2020"/>
    <b v="1"/>
    <b v="0"/>
    <b v="0"/>
    <x v="5"/>
    <n v="15126437001972"/>
    <x v="157"/>
    <x v="47"/>
    <x v="11"/>
    <n v="64"/>
    <x v="4"/>
    <x v="6"/>
    <n v="10"/>
    <n v="10"/>
  </r>
  <r>
    <n v="2019"/>
    <n v="10"/>
    <x v="0"/>
    <x v="3"/>
    <x v="1"/>
    <s v="2019/2020"/>
    <b v="1"/>
    <b v="0"/>
    <b v="0"/>
    <x v="11"/>
    <n v="15153745000249"/>
    <x v="158"/>
    <x v="31"/>
    <x v="17"/>
    <n v="64"/>
    <x v="4"/>
    <x v="6"/>
    <n v="4"/>
    <n v="4"/>
  </r>
  <r>
    <n v="2019"/>
    <n v="10"/>
    <x v="0"/>
    <x v="3"/>
    <x v="1"/>
    <s v="2019/2020"/>
    <b v="1"/>
    <b v="0"/>
    <b v="0"/>
    <x v="11"/>
    <n v="15153745000249"/>
    <x v="158"/>
    <x v="31"/>
    <x v="17"/>
    <n v="64"/>
    <x v="4"/>
    <x v="6"/>
    <n v="5"/>
    <n v="5"/>
  </r>
  <r>
    <n v="2019"/>
    <n v="10"/>
    <x v="0"/>
    <x v="3"/>
    <x v="1"/>
    <s v="2019/2020"/>
    <b v="1"/>
    <b v="0"/>
    <b v="0"/>
    <x v="7"/>
    <n v="15153745000249"/>
    <x v="158"/>
    <x v="31"/>
    <x v="17"/>
    <n v="64"/>
    <x v="4"/>
    <x v="6"/>
    <n v="5"/>
    <n v="5"/>
  </r>
  <r>
    <n v="2019"/>
    <n v="10"/>
    <x v="0"/>
    <x v="3"/>
    <x v="1"/>
    <s v="2019/2020"/>
    <b v="1"/>
    <b v="0"/>
    <b v="0"/>
    <x v="9"/>
    <n v="15166416000151"/>
    <x v="160"/>
    <x v="31"/>
    <x v="17"/>
    <n v="62"/>
    <x v="3"/>
    <x v="5"/>
    <n v="3"/>
    <n v="1"/>
  </r>
  <r>
    <n v="2019"/>
    <n v="10"/>
    <x v="0"/>
    <x v="3"/>
    <x v="1"/>
    <s v="2019/2020"/>
    <b v="1"/>
    <b v="0"/>
    <b v="0"/>
    <x v="9"/>
    <n v="15166416000151"/>
    <x v="160"/>
    <x v="31"/>
    <x v="17"/>
    <n v="62"/>
    <x v="3"/>
    <x v="5"/>
    <n v="4"/>
    <n v="2"/>
  </r>
  <r>
    <n v="2019"/>
    <n v="10"/>
    <x v="0"/>
    <x v="3"/>
    <x v="1"/>
    <s v="2019/2020"/>
    <b v="1"/>
    <b v="0"/>
    <b v="0"/>
    <x v="2"/>
    <n v="15166416000151"/>
    <x v="160"/>
    <x v="31"/>
    <x v="17"/>
    <n v="62"/>
    <x v="3"/>
    <x v="5"/>
    <n v="6"/>
    <n v="6"/>
  </r>
  <r>
    <n v="2019"/>
    <n v="10"/>
    <x v="0"/>
    <x v="3"/>
    <x v="1"/>
    <s v="2019/2020"/>
    <b v="1"/>
    <b v="0"/>
    <b v="0"/>
    <x v="3"/>
    <n v="15166416000151"/>
    <x v="160"/>
    <x v="31"/>
    <x v="17"/>
    <n v="64"/>
    <x v="4"/>
    <x v="6"/>
    <n v="10"/>
    <n v="10"/>
  </r>
  <r>
    <n v="2019"/>
    <n v="10"/>
    <x v="0"/>
    <x v="3"/>
    <x v="1"/>
    <s v="2019/2020"/>
    <b v="1"/>
    <b v="0"/>
    <b v="0"/>
    <x v="9"/>
    <n v="15166416000151"/>
    <x v="160"/>
    <x v="31"/>
    <x v="17"/>
    <n v="64"/>
    <x v="4"/>
    <x v="6"/>
    <n v="1"/>
    <n v="1"/>
  </r>
  <r>
    <n v="2019"/>
    <n v="10"/>
    <x v="0"/>
    <x v="3"/>
    <x v="1"/>
    <s v="2019/2020"/>
    <b v="1"/>
    <b v="0"/>
    <b v="0"/>
    <x v="9"/>
    <n v="15166416000151"/>
    <x v="160"/>
    <x v="31"/>
    <x v="17"/>
    <n v="64"/>
    <x v="4"/>
    <x v="6"/>
    <n v="6"/>
    <n v="2"/>
  </r>
  <r>
    <n v="2019"/>
    <n v="10"/>
    <x v="0"/>
    <x v="3"/>
    <x v="1"/>
    <s v="2019/2020"/>
    <b v="1"/>
    <b v="0"/>
    <b v="0"/>
    <x v="9"/>
    <n v="15166416000151"/>
    <x v="160"/>
    <x v="31"/>
    <x v="17"/>
    <n v="64"/>
    <x v="4"/>
    <x v="6"/>
    <n v="3"/>
    <n v="3"/>
  </r>
  <r>
    <n v="2019"/>
    <n v="10"/>
    <x v="0"/>
    <x v="3"/>
    <x v="1"/>
    <s v="2019/2020"/>
    <b v="1"/>
    <b v="0"/>
    <b v="0"/>
    <x v="9"/>
    <n v="15166416000151"/>
    <x v="160"/>
    <x v="31"/>
    <x v="17"/>
    <n v="64"/>
    <x v="4"/>
    <x v="6"/>
    <n v="7"/>
    <n v="7"/>
  </r>
  <r>
    <n v="2019"/>
    <n v="10"/>
    <x v="0"/>
    <x v="3"/>
    <x v="1"/>
    <s v="2019/2020"/>
    <b v="1"/>
    <b v="0"/>
    <b v="0"/>
    <x v="9"/>
    <n v="15166416000151"/>
    <x v="160"/>
    <x v="31"/>
    <x v="17"/>
    <n v="64"/>
    <x v="4"/>
    <x v="6"/>
    <n v="10"/>
    <n v="10"/>
  </r>
  <r>
    <n v="2019"/>
    <n v="10"/>
    <x v="0"/>
    <x v="3"/>
    <x v="1"/>
    <s v="2019/2020"/>
    <b v="1"/>
    <b v="0"/>
    <b v="0"/>
    <x v="12"/>
    <n v="15194004000125"/>
    <x v="165"/>
    <x v="31"/>
    <x v="17"/>
    <n v="64"/>
    <x v="4"/>
    <x v="6"/>
    <n v="3"/>
    <n v="3"/>
  </r>
  <r>
    <n v="2019"/>
    <n v="10"/>
    <x v="0"/>
    <x v="3"/>
    <x v="1"/>
    <s v="2019/2020"/>
    <b v="1"/>
    <b v="0"/>
    <b v="0"/>
    <x v="12"/>
    <n v="15194004000125"/>
    <x v="165"/>
    <x v="31"/>
    <x v="17"/>
    <n v="64"/>
    <x v="4"/>
    <x v="6"/>
    <n v="4"/>
    <n v="4"/>
  </r>
  <r>
    <n v="2019"/>
    <n v="10"/>
    <x v="0"/>
    <x v="3"/>
    <x v="1"/>
    <s v="2019/2020"/>
    <b v="1"/>
    <b v="0"/>
    <b v="0"/>
    <x v="12"/>
    <n v="15242761000127"/>
    <x v="166"/>
    <x v="31"/>
    <x v="17"/>
    <n v="70"/>
    <x v="0"/>
    <x v="0"/>
    <n v="100"/>
    <n v="20"/>
  </r>
  <r>
    <n v="2019"/>
    <n v="10"/>
    <x v="0"/>
    <x v="3"/>
    <x v="1"/>
    <s v="2019/2020"/>
    <b v="1"/>
    <b v="0"/>
    <b v="0"/>
    <x v="18"/>
    <n v="15242761000127"/>
    <x v="166"/>
    <x v="31"/>
    <x v="17"/>
    <n v="73"/>
    <x v="1"/>
    <x v="2"/>
    <n v="8"/>
    <n v="8"/>
  </r>
  <r>
    <n v="2019"/>
    <n v="10"/>
    <x v="0"/>
    <x v="3"/>
    <x v="1"/>
    <s v="2019/2020"/>
    <b v="1"/>
    <b v="0"/>
    <b v="0"/>
    <x v="18"/>
    <n v="15242761000127"/>
    <x v="166"/>
    <x v="31"/>
    <x v="17"/>
    <n v="73"/>
    <x v="1"/>
    <x v="4"/>
    <n v="48"/>
    <n v="12"/>
  </r>
  <r>
    <n v="2019"/>
    <n v="10"/>
    <x v="0"/>
    <x v="3"/>
    <x v="1"/>
    <s v="2019/2020"/>
    <b v="1"/>
    <b v="0"/>
    <b v="0"/>
    <x v="12"/>
    <n v="15592785000106"/>
    <x v="167"/>
    <x v="49"/>
    <x v="21"/>
    <n v="70"/>
    <x v="0"/>
    <x v="0"/>
    <n v="25"/>
    <n v="5"/>
  </r>
  <r>
    <n v="2019"/>
    <n v="10"/>
    <x v="0"/>
    <x v="3"/>
    <x v="1"/>
    <s v="2019/2020"/>
    <b v="1"/>
    <b v="0"/>
    <b v="0"/>
    <x v="18"/>
    <n v="15592785000106"/>
    <x v="167"/>
    <x v="49"/>
    <x v="21"/>
    <n v="70"/>
    <x v="0"/>
    <x v="0"/>
    <n v="10"/>
    <n v="2"/>
  </r>
  <r>
    <n v="2019"/>
    <n v="10"/>
    <x v="0"/>
    <x v="3"/>
    <x v="1"/>
    <s v="2019/2020"/>
    <b v="1"/>
    <b v="0"/>
    <b v="0"/>
    <x v="9"/>
    <n v="16064313000577"/>
    <x v="395"/>
    <x v="49"/>
    <x v="21"/>
    <n v="73"/>
    <x v="1"/>
    <x v="1"/>
    <n v="10"/>
    <n v="5"/>
  </r>
  <r>
    <n v="2019"/>
    <n v="10"/>
    <x v="0"/>
    <x v="3"/>
    <x v="1"/>
    <s v="2019/2020"/>
    <b v="1"/>
    <b v="0"/>
    <b v="0"/>
    <x v="9"/>
    <n v="16064313000577"/>
    <x v="395"/>
    <x v="49"/>
    <x v="21"/>
    <n v="73"/>
    <x v="1"/>
    <x v="2"/>
    <n v="5"/>
    <n v="5"/>
  </r>
  <r>
    <n v="2019"/>
    <n v="10"/>
    <x v="0"/>
    <x v="3"/>
    <x v="1"/>
    <s v="2019/2020"/>
    <b v="1"/>
    <b v="0"/>
    <b v="0"/>
    <x v="18"/>
    <n v="16064313000577"/>
    <x v="395"/>
    <x v="49"/>
    <x v="21"/>
    <n v="73"/>
    <x v="1"/>
    <x v="1"/>
    <n v="2"/>
    <n v="1"/>
  </r>
  <r>
    <n v="2019"/>
    <n v="10"/>
    <x v="0"/>
    <x v="3"/>
    <x v="1"/>
    <s v="2019/2020"/>
    <b v="1"/>
    <b v="0"/>
    <b v="0"/>
    <x v="18"/>
    <n v="16064313000577"/>
    <x v="395"/>
    <x v="49"/>
    <x v="21"/>
    <n v="73"/>
    <x v="1"/>
    <x v="2"/>
    <n v="2"/>
    <n v="1"/>
  </r>
  <r>
    <n v="2019"/>
    <n v="10"/>
    <x v="0"/>
    <x v="3"/>
    <x v="1"/>
    <s v="2019/2020"/>
    <b v="1"/>
    <b v="0"/>
    <b v="0"/>
    <x v="18"/>
    <n v="16064313000577"/>
    <x v="395"/>
    <x v="49"/>
    <x v="21"/>
    <n v="73"/>
    <x v="1"/>
    <x v="1"/>
    <n v="4"/>
    <n v="2"/>
  </r>
  <r>
    <n v="2019"/>
    <n v="10"/>
    <x v="0"/>
    <x v="3"/>
    <x v="1"/>
    <s v="2019/2020"/>
    <b v="1"/>
    <b v="0"/>
    <b v="0"/>
    <x v="18"/>
    <n v="16064313000577"/>
    <x v="395"/>
    <x v="49"/>
    <x v="21"/>
    <n v="73"/>
    <x v="1"/>
    <x v="1"/>
    <n v="12"/>
    <n v="3"/>
  </r>
  <r>
    <n v="2019"/>
    <n v="10"/>
    <x v="0"/>
    <x v="3"/>
    <x v="1"/>
    <s v="2019/2020"/>
    <b v="1"/>
    <b v="0"/>
    <b v="0"/>
    <x v="18"/>
    <n v="16064313000577"/>
    <x v="395"/>
    <x v="49"/>
    <x v="21"/>
    <n v="73"/>
    <x v="1"/>
    <x v="2"/>
    <n v="3"/>
    <n v="3"/>
  </r>
  <r>
    <n v="2019"/>
    <n v="10"/>
    <x v="0"/>
    <x v="3"/>
    <x v="1"/>
    <s v="2019/2020"/>
    <b v="1"/>
    <b v="0"/>
    <b v="0"/>
    <x v="9"/>
    <n v="16475154000250"/>
    <x v="396"/>
    <x v="31"/>
    <x v="17"/>
    <n v="64"/>
    <x v="4"/>
    <x v="6"/>
    <n v="4"/>
    <n v="4"/>
  </r>
  <r>
    <n v="2019"/>
    <n v="10"/>
    <x v="0"/>
    <x v="3"/>
    <x v="1"/>
    <s v="2019/2020"/>
    <b v="1"/>
    <b v="0"/>
    <b v="0"/>
    <x v="26"/>
    <n v="16676520000159"/>
    <x v="168"/>
    <x v="6"/>
    <x v="2"/>
    <n v="62"/>
    <x v="3"/>
    <x v="5"/>
    <n v="4"/>
    <n v="2"/>
  </r>
  <r>
    <n v="2019"/>
    <n v="10"/>
    <x v="0"/>
    <x v="3"/>
    <x v="1"/>
    <s v="2019/2020"/>
    <b v="1"/>
    <b v="0"/>
    <b v="0"/>
    <x v="8"/>
    <n v="16739984000167"/>
    <x v="169"/>
    <x v="4"/>
    <x v="4"/>
    <n v="73"/>
    <x v="1"/>
    <x v="1"/>
    <n v="4"/>
    <n v="1"/>
  </r>
  <r>
    <n v="2019"/>
    <n v="10"/>
    <x v="0"/>
    <x v="3"/>
    <x v="1"/>
    <s v="2019/2020"/>
    <b v="1"/>
    <b v="0"/>
    <b v="0"/>
    <x v="8"/>
    <n v="16739984000167"/>
    <x v="169"/>
    <x v="4"/>
    <x v="4"/>
    <n v="73"/>
    <x v="1"/>
    <x v="4"/>
    <n v="8"/>
    <n v="1"/>
  </r>
  <r>
    <n v="2019"/>
    <n v="10"/>
    <x v="0"/>
    <x v="3"/>
    <x v="1"/>
    <s v="2019/2020"/>
    <b v="1"/>
    <b v="0"/>
    <b v="0"/>
    <x v="8"/>
    <n v="16739984000167"/>
    <x v="169"/>
    <x v="4"/>
    <x v="4"/>
    <n v="73"/>
    <x v="1"/>
    <x v="4"/>
    <n v="8"/>
    <n v="2"/>
  </r>
  <r>
    <n v="2019"/>
    <n v="10"/>
    <x v="0"/>
    <x v="3"/>
    <x v="1"/>
    <s v="2019/2020"/>
    <b v="1"/>
    <b v="0"/>
    <b v="0"/>
    <x v="8"/>
    <n v="16739984000167"/>
    <x v="169"/>
    <x v="4"/>
    <x v="4"/>
    <n v="73"/>
    <x v="1"/>
    <x v="2"/>
    <n v="4"/>
    <n v="4"/>
  </r>
  <r>
    <n v="2019"/>
    <n v="10"/>
    <x v="0"/>
    <x v="3"/>
    <x v="1"/>
    <s v="2019/2020"/>
    <b v="1"/>
    <b v="0"/>
    <b v="0"/>
    <x v="2"/>
    <n v="16739984000167"/>
    <x v="169"/>
    <x v="4"/>
    <x v="4"/>
    <n v="73"/>
    <x v="1"/>
    <x v="1"/>
    <n v="4"/>
    <n v="1"/>
  </r>
  <r>
    <n v="2019"/>
    <n v="10"/>
    <x v="0"/>
    <x v="3"/>
    <x v="1"/>
    <s v="2019/2020"/>
    <b v="1"/>
    <b v="0"/>
    <b v="0"/>
    <x v="2"/>
    <n v="16739984000167"/>
    <x v="169"/>
    <x v="4"/>
    <x v="4"/>
    <n v="73"/>
    <x v="1"/>
    <x v="4"/>
    <n v="4"/>
    <n v="1"/>
  </r>
  <r>
    <n v="2019"/>
    <n v="10"/>
    <x v="0"/>
    <x v="3"/>
    <x v="1"/>
    <s v="2019/2020"/>
    <b v="1"/>
    <b v="0"/>
    <b v="0"/>
    <x v="2"/>
    <n v="16739984000167"/>
    <x v="169"/>
    <x v="4"/>
    <x v="4"/>
    <n v="73"/>
    <x v="1"/>
    <x v="4"/>
    <n v="8"/>
    <n v="2"/>
  </r>
  <r>
    <n v="2019"/>
    <n v="10"/>
    <x v="0"/>
    <x v="3"/>
    <x v="1"/>
    <s v="2019/2020"/>
    <b v="1"/>
    <b v="0"/>
    <b v="0"/>
    <x v="2"/>
    <n v="16739984000167"/>
    <x v="169"/>
    <x v="4"/>
    <x v="4"/>
    <n v="73"/>
    <x v="1"/>
    <x v="2"/>
    <n v="2"/>
    <n v="2"/>
  </r>
  <r>
    <n v="2019"/>
    <n v="10"/>
    <x v="0"/>
    <x v="3"/>
    <x v="1"/>
    <s v="2019/2020"/>
    <b v="1"/>
    <b v="0"/>
    <b v="0"/>
    <x v="4"/>
    <n v="17087591000189"/>
    <x v="171"/>
    <x v="56"/>
    <x v="2"/>
    <n v="62"/>
    <x v="3"/>
    <x v="5"/>
    <n v="3"/>
    <n v="3"/>
  </r>
  <r>
    <n v="2019"/>
    <n v="10"/>
    <x v="0"/>
    <x v="3"/>
    <x v="1"/>
    <s v="2019/2020"/>
    <b v="1"/>
    <b v="0"/>
    <b v="0"/>
    <x v="17"/>
    <n v="17214149000176"/>
    <x v="172"/>
    <x v="6"/>
    <x v="2"/>
    <n v="62"/>
    <x v="3"/>
    <x v="5"/>
    <n v="8"/>
    <n v="8"/>
  </r>
  <r>
    <n v="2019"/>
    <n v="10"/>
    <x v="0"/>
    <x v="3"/>
    <x v="1"/>
    <s v="2019/2020"/>
    <b v="1"/>
    <b v="0"/>
    <b v="0"/>
    <x v="0"/>
    <n v="17214149000176"/>
    <x v="172"/>
    <x v="6"/>
    <x v="2"/>
    <n v="62"/>
    <x v="3"/>
    <x v="5"/>
    <n v="48"/>
    <n v="48"/>
  </r>
  <r>
    <n v="2019"/>
    <n v="10"/>
    <x v="0"/>
    <x v="3"/>
    <x v="1"/>
    <s v="2019/2020"/>
    <b v="1"/>
    <b v="0"/>
    <b v="0"/>
    <x v="5"/>
    <n v="17217332003906"/>
    <x v="534"/>
    <x v="6"/>
    <x v="2"/>
    <n v="73"/>
    <x v="1"/>
    <x v="2"/>
    <n v="220"/>
    <n v="220"/>
  </r>
  <r>
    <n v="2019"/>
    <n v="10"/>
    <x v="0"/>
    <x v="3"/>
    <x v="1"/>
    <s v="2019/2020"/>
    <b v="1"/>
    <b v="0"/>
    <b v="0"/>
    <x v="3"/>
    <n v="17689407000928"/>
    <x v="173"/>
    <x v="57"/>
    <x v="2"/>
    <n v="73"/>
    <x v="1"/>
    <x v="2"/>
    <n v="5"/>
    <n v="5"/>
  </r>
  <r>
    <n v="2019"/>
    <n v="10"/>
    <x v="0"/>
    <x v="3"/>
    <x v="1"/>
    <s v="2019/2020"/>
    <b v="1"/>
    <b v="0"/>
    <b v="0"/>
    <x v="3"/>
    <n v="17689407000928"/>
    <x v="173"/>
    <x v="57"/>
    <x v="2"/>
    <n v="73"/>
    <x v="1"/>
    <x v="2"/>
    <n v="6"/>
    <n v="6"/>
  </r>
  <r>
    <n v="2019"/>
    <n v="10"/>
    <x v="0"/>
    <x v="3"/>
    <x v="1"/>
    <s v="2019/2020"/>
    <b v="1"/>
    <b v="0"/>
    <b v="0"/>
    <x v="27"/>
    <n v="17864888000103"/>
    <x v="535"/>
    <x v="60"/>
    <x v="6"/>
    <n v="70"/>
    <x v="0"/>
    <x v="0"/>
    <n v="40"/>
    <n v="8"/>
  </r>
  <r>
    <n v="2019"/>
    <n v="10"/>
    <x v="0"/>
    <x v="3"/>
    <x v="1"/>
    <s v="2019/2020"/>
    <b v="1"/>
    <b v="0"/>
    <b v="0"/>
    <x v="10"/>
    <n v="18010750000100"/>
    <x v="174"/>
    <x v="0"/>
    <x v="0"/>
    <n v="70"/>
    <x v="0"/>
    <x v="7"/>
    <n v="70"/>
    <n v="7"/>
  </r>
  <r>
    <n v="2019"/>
    <n v="10"/>
    <x v="0"/>
    <x v="3"/>
    <x v="1"/>
    <s v="2019/2020"/>
    <b v="1"/>
    <b v="0"/>
    <b v="0"/>
    <x v="10"/>
    <n v="18010750000100"/>
    <x v="174"/>
    <x v="0"/>
    <x v="0"/>
    <n v="70"/>
    <x v="0"/>
    <x v="7"/>
    <n v="100"/>
    <n v="10"/>
  </r>
  <r>
    <n v="2019"/>
    <n v="10"/>
    <x v="0"/>
    <x v="3"/>
    <x v="1"/>
    <s v="2019/2020"/>
    <b v="1"/>
    <b v="0"/>
    <b v="0"/>
    <x v="17"/>
    <n v="18321477000134"/>
    <x v="176"/>
    <x v="35"/>
    <x v="3"/>
    <n v="73"/>
    <x v="1"/>
    <x v="4"/>
    <n v="48"/>
    <n v="12"/>
  </r>
  <r>
    <n v="2019"/>
    <n v="10"/>
    <x v="0"/>
    <x v="3"/>
    <x v="1"/>
    <s v="2019/2020"/>
    <b v="1"/>
    <b v="0"/>
    <b v="0"/>
    <x v="17"/>
    <n v="19056055000141"/>
    <x v="399"/>
    <x v="3"/>
    <x v="3"/>
    <n v="62"/>
    <x v="3"/>
    <x v="5"/>
    <n v="3"/>
    <n v="3"/>
  </r>
  <r>
    <n v="2019"/>
    <n v="10"/>
    <x v="0"/>
    <x v="3"/>
    <x v="1"/>
    <s v="2019/2020"/>
    <b v="1"/>
    <b v="0"/>
    <b v="0"/>
    <x v="17"/>
    <n v="19056055000141"/>
    <x v="399"/>
    <x v="3"/>
    <x v="3"/>
    <n v="62"/>
    <x v="3"/>
    <x v="5"/>
    <n v="12"/>
    <n v="12"/>
  </r>
  <r>
    <n v="2019"/>
    <n v="10"/>
    <x v="0"/>
    <x v="3"/>
    <x v="1"/>
    <s v="2019/2020"/>
    <b v="1"/>
    <b v="0"/>
    <b v="0"/>
    <x v="5"/>
    <n v="19843929001506"/>
    <x v="536"/>
    <x v="6"/>
    <x v="2"/>
    <n v="70"/>
    <x v="0"/>
    <x v="0"/>
    <n v="650"/>
    <n v="130"/>
  </r>
  <r>
    <n v="2019"/>
    <n v="10"/>
    <x v="0"/>
    <x v="3"/>
    <x v="1"/>
    <s v="2019/2020"/>
    <b v="1"/>
    <b v="0"/>
    <b v="0"/>
    <x v="5"/>
    <n v="19843929001506"/>
    <x v="536"/>
    <x v="6"/>
    <x v="2"/>
    <n v="73"/>
    <x v="1"/>
    <x v="2"/>
    <n v="85"/>
    <n v="85"/>
  </r>
  <r>
    <n v="2019"/>
    <n v="10"/>
    <x v="0"/>
    <x v="3"/>
    <x v="1"/>
    <s v="2019/2020"/>
    <b v="1"/>
    <b v="0"/>
    <b v="0"/>
    <x v="5"/>
    <n v="19843929001697"/>
    <x v="537"/>
    <x v="143"/>
    <x v="2"/>
    <n v="70"/>
    <x v="0"/>
    <x v="0"/>
    <n v="350"/>
    <n v="70"/>
  </r>
  <r>
    <n v="2019"/>
    <n v="10"/>
    <x v="0"/>
    <x v="3"/>
    <x v="1"/>
    <s v="2019/2020"/>
    <b v="1"/>
    <b v="0"/>
    <b v="0"/>
    <x v="4"/>
    <n v="20150900000122"/>
    <x v="180"/>
    <x v="56"/>
    <x v="2"/>
    <n v="73"/>
    <x v="1"/>
    <x v="1"/>
    <n v="4"/>
    <n v="1"/>
  </r>
  <r>
    <n v="2019"/>
    <n v="10"/>
    <x v="0"/>
    <x v="3"/>
    <x v="1"/>
    <s v="2019/2020"/>
    <b v="1"/>
    <b v="0"/>
    <b v="0"/>
    <x v="4"/>
    <n v="20150900000122"/>
    <x v="180"/>
    <x v="56"/>
    <x v="2"/>
    <n v="73"/>
    <x v="1"/>
    <x v="4"/>
    <n v="8"/>
    <n v="1"/>
  </r>
  <r>
    <n v="2019"/>
    <n v="10"/>
    <x v="0"/>
    <x v="3"/>
    <x v="1"/>
    <s v="2019/2020"/>
    <b v="1"/>
    <b v="0"/>
    <b v="0"/>
    <x v="17"/>
    <n v="20812223000241"/>
    <x v="182"/>
    <x v="3"/>
    <x v="3"/>
    <n v="73"/>
    <x v="1"/>
    <x v="1"/>
    <n v="6"/>
    <n v="1"/>
  </r>
  <r>
    <n v="2019"/>
    <n v="10"/>
    <x v="0"/>
    <x v="3"/>
    <x v="1"/>
    <s v="2019/2020"/>
    <b v="1"/>
    <b v="0"/>
    <b v="0"/>
    <x v="17"/>
    <n v="20812223000241"/>
    <x v="182"/>
    <x v="3"/>
    <x v="3"/>
    <n v="73"/>
    <x v="1"/>
    <x v="4"/>
    <n v="24"/>
    <n v="2"/>
  </r>
  <r>
    <n v="2019"/>
    <n v="10"/>
    <x v="0"/>
    <x v="3"/>
    <x v="1"/>
    <s v="2019/2020"/>
    <b v="1"/>
    <b v="0"/>
    <b v="0"/>
    <x v="11"/>
    <n v="21040696000311"/>
    <x v="183"/>
    <x v="59"/>
    <x v="2"/>
    <n v="64"/>
    <x v="4"/>
    <x v="6"/>
    <n v="2"/>
    <n v="2"/>
  </r>
  <r>
    <n v="2019"/>
    <n v="10"/>
    <x v="0"/>
    <x v="3"/>
    <x v="1"/>
    <s v="2019/2020"/>
    <b v="1"/>
    <b v="0"/>
    <b v="0"/>
    <x v="4"/>
    <n v="21265360000195"/>
    <x v="185"/>
    <x v="0"/>
    <x v="0"/>
    <n v="73"/>
    <x v="1"/>
    <x v="4"/>
    <n v="16"/>
    <n v="4"/>
  </r>
  <r>
    <n v="2019"/>
    <n v="10"/>
    <x v="0"/>
    <x v="3"/>
    <x v="1"/>
    <s v="2019/2020"/>
    <b v="1"/>
    <b v="0"/>
    <b v="0"/>
    <x v="6"/>
    <n v="21371777000132"/>
    <x v="186"/>
    <x v="3"/>
    <x v="3"/>
    <n v="62"/>
    <x v="3"/>
    <x v="5"/>
    <n v="4"/>
    <n v="2"/>
  </r>
  <r>
    <n v="2019"/>
    <n v="10"/>
    <x v="0"/>
    <x v="3"/>
    <x v="1"/>
    <s v="2019/2020"/>
    <b v="1"/>
    <b v="0"/>
    <b v="0"/>
    <x v="6"/>
    <n v="21371777000132"/>
    <x v="186"/>
    <x v="3"/>
    <x v="3"/>
    <n v="62"/>
    <x v="3"/>
    <x v="5"/>
    <n v="4"/>
    <n v="4"/>
  </r>
  <r>
    <n v="2019"/>
    <n v="10"/>
    <x v="0"/>
    <x v="3"/>
    <x v="1"/>
    <s v="2019/2020"/>
    <b v="1"/>
    <b v="0"/>
    <b v="0"/>
    <x v="6"/>
    <n v="21371777000132"/>
    <x v="186"/>
    <x v="3"/>
    <x v="3"/>
    <n v="62"/>
    <x v="3"/>
    <x v="5"/>
    <n v="25"/>
    <n v="25"/>
  </r>
  <r>
    <n v="2019"/>
    <n v="10"/>
    <x v="0"/>
    <x v="3"/>
    <x v="1"/>
    <s v="2019/2020"/>
    <b v="1"/>
    <b v="0"/>
    <b v="0"/>
    <x v="15"/>
    <n v="21998635000108"/>
    <x v="187"/>
    <x v="60"/>
    <x v="6"/>
    <n v="70"/>
    <x v="0"/>
    <x v="0"/>
    <n v="10"/>
    <n v="2"/>
  </r>
  <r>
    <n v="2019"/>
    <n v="10"/>
    <x v="0"/>
    <x v="3"/>
    <x v="1"/>
    <s v="2019/2020"/>
    <b v="1"/>
    <b v="0"/>
    <b v="0"/>
    <x v="7"/>
    <n v="22227973000109"/>
    <x v="538"/>
    <x v="3"/>
    <x v="3"/>
    <n v="70"/>
    <x v="0"/>
    <x v="8"/>
    <n v="2.5"/>
    <n v="1"/>
  </r>
  <r>
    <n v="2019"/>
    <n v="10"/>
    <x v="0"/>
    <x v="3"/>
    <x v="1"/>
    <s v="2019/2020"/>
    <b v="1"/>
    <b v="0"/>
    <b v="0"/>
    <x v="4"/>
    <n v="22233557000105"/>
    <x v="539"/>
    <x v="0"/>
    <x v="0"/>
    <n v="64"/>
    <x v="4"/>
    <x v="6"/>
    <n v="1"/>
    <n v="1"/>
  </r>
  <r>
    <n v="2019"/>
    <n v="10"/>
    <x v="0"/>
    <x v="3"/>
    <x v="1"/>
    <s v="2019/2020"/>
    <b v="1"/>
    <b v="0"/>
    <b v="0"/>
    <x v="28"/>
    <n v="22233557000105"/>
    <x v="539"/>
    <x v="0"/>
    <x v="0"/>
    <n v="64"/>
    <x v="4"/>
    <x v="6"/>
    <n v="1"/>
    <n v="1"/>
  </r>
  <r>
    <n v="2019"/>
    <n v="10"/>
    <x v="0"/>
    <x v="3"/>
    <x v="1"/>
    <s v="2019/2020"/>
    <b v="1"/>
    <b v="0"/>
    <b v="0"/>
    <x v="5"/>
    <n v="22675359000100"/>
    <x v="540"/>
    <x v="144"/>
    <x v="2"/>
    <n v="70"/>
    <x v="0"/>
    <x v="0"/>
    <n v="250"/>
    <n v="50"/>
  </r>
  <r>
    <n v="2019"/>
    <n v="10"/>
    <x v="0"/>
    <x v="3"/>
    <x v="1"/>
    <s v="2019/2020"/>
    <b v="1"/>
    <b v="0"/>
    <b v="0"/>
    <x v="6"/>
    <n v="23338387000196"/>
    <x v="189"/>
    <x v="62"/>
    <x v="2"/>
    <n v="73"/>
    <x v="1"/>
    <x v="2"/>
    <n v="10"/>
    <n v="10"/>
  </r>
  <r>
    <n v="2019"/>
    <n v="10"/>
    <x v="0"/>
    <x v="3"/>
    <x v="1"/>
    <s v="2019/2020"/>
    <b v="1"/>
    <b v="0"/>
    <b v="0"/>
    <x v="11"/>
    <n v="23443518000103"/>
    <x v="541"/>
    <x v="32"/>
    <x v="18"/>
    <n v="64"/>
    <x v="4"/>
    <x v="6"/>
    <n v="2"/>
    <n v="2"/>
  </r>
  <r>
    <n v="2019"/>
    <n v="10"/>
    <x v="0"/>
    <x v="3"/>
    <x v="1"/>
    <s v="2019/2020"/>
    <b v="1"/>
    <b v="0"/>
    <b v="0"/>
    <x v="1"/>
    <n v="23813270000117"/>
    <x v="542"/>
    <x v="25"/>
    <x v="16"/>
    <n v="70"/>
    <x v="0"/>
    <x v="0"/>
    <n v="5"/>
    <n v="1"/>
  </r>
  <r>
    <n v="2019"/>
    <n v="10"/>
    <x v="0"/>
    <x v="3"/>
    <x v="1"/>
    <s v="2019/2020"/>
    <b v="1"/>
    <b v="0"/>
    <b v="0"/>
    <x v="1"/>
    <n v="23813270000117"/>
    <x v="542"/>
    <x v="25"/>
    <x v="16"/>
    <n v="70"/>
    <x v="0"/>
    <x v="0"/>
    <n v="30"/>
    <n v="6"/>
  </r>
  <r>
    <n v="2019"/>
    <n v="10"/>
    <x v="0"/>
    <x v="3"/>
    <x v="1"/>
    <s v="2019/2020"/>
    <b v="1"/>
    <b v="0"/>
    <b v="0"/>
    <x v="7"/>
    <n v="23982118000168"/>
    <x v="543"/>
    <x v="14"/>
    <x v="10"/>
    <n v="70"/>
    <x v="0"/>
    <x v="0"/>
    <n v="355"/>
    <n v="71"/>
  </r>
  <r>
    <n v="2019"/>
    <n v="10"/>
    <x v="0"/>
    <x v="3"/>
    <x v="1"/>
    <s v="2019/2020"/>
    <b v="1"/>
    <b v="0"/>
    <b v="0"/>
    <x v="7"/>
    <n v="23982118000168"/>
    <x v="543"/>
    <x v="14"/>
    <x v="10"/>
    <n v="70"/>
    <x v="0"/>
    <x v="0"/>
    <n v="410"/>
    <n v="82"/>
  </r>
  <r>
    <n v="2019"/>
    <n v="10"/>
    <x v="0"/>
    <x v="3"/>
    <x v="1"/>
    <s v="2019/2020"/>
    <b v="1"/>
    <b v="0"/>
    <b v="0"/>
    <x v="5"/>
    <n v="24082016000159"/>
    <x v="406"/>
    <x v="109"/>
    <x v="3"/>
    <n v="70"/>
    <x v="0"/>
    <x v="0"/>
    <n v="250"/>
    <n v="50"/>
  </r>
  <r>
    <n v="2019"/>
    <n v="10"/>
    <x v="0"/>
    <x v="3"/>
    <x v="1"/>
    <s v="2019/2020"/>
    <b v="1"/>
    <b v="0"/>
    <b v="0"/>
    <x v="6"/>
    <n v="25026561000190"/>
    <x v="194"/>
    <x v="65"/>
    <x v="3"/>
    <n v="70"/>
    <x v="0"/>
    <x v="0"/>
    <n v="40"/>
    <n v="8"/>
  </r>
  <r>
    <n v="2019"/>
    <n v="10"/>
    <x v="0"/>
    <x v="3"/>
    <x v="1"/>
    <s v="2019/2020"/>
    <b v="1"/>
    <b v="0"/>
    <b v="0"/>
    <x v="4"/>
    <n v="25761040000187"/>
    <x v="408"/>
    <x v="56"/>
    <x v="2"/>
    <n v="62"/>
    <x v="3"/>
    <x v="5"/>
    <n v="2"/>
    <n v="2"/>
  </r>
  <r>
    <n v="2019"/>
    <n v="10"/>
    <x v="0"/>
    <x v="3"/>
    <x v="1"/>
    <s v="2019/2020"/>
    <b v="1"/>
    <b v="0"/>
    <b v="0"/>
    <x v="12"/>
    <n v="26048123000196"/>
    <x v="544"/>
    <x v="81"/>
    <x v="3"/>
    <n v="70"/>
    <x v="0"/>
    <x v="0"/>
    <n v="40"/>
    <n v="4"/>
  </r>
  <r>
    <n v="2019"/>
    <n v="10"/>
    <x v="0"/>
    <x v="3"/>
    <x v="1"/>
    <s v="2019/2020"/>
    <b v="1"/>
    <b v="0"/>
    <b v="0"/>
    <x v="2"/>
    <n v="27372066000169"/>
    <x v="198"/>
    <x v="31"/>
    <x v="17"/>
    <n v="62"/>
    <x v="3"/>
    <x v="5"/>
    <n v="4"/>
    <n v="4"/>
  </r>
  <r>
    <n v="2019"/>
    <n v="10"/>
    <x v="0"/>
    <x v="3"/>
    <x v="1"/>
    <s v="2019/2020"/>
    <b v="1"/>
    <b v="0"/>
    <b v="0"/>
    <x v="2"/>
    <n v="27372066000169"/>
    <x v="198"/>
    <x v="31"/>
    <x v="17"/>
    <n v="62"/>
    <x v="3"/>
    <x v="5"/>
    <n v="10"/>
    <n v="10"/>
  </r>
  <r>
    <n v="2019"/>
    <n v="10"/>
    <x v="0"/>
    <x v="3"/>
    <x v="1"/>
    <s v="2019/2020"/>
    <b v="1"/>
    <b v="0"/>
    <b v="0"/>
    <x v="2"/>
    <n v="27372066000169"/>
    <x v="198"/>
    <x v="31"/>
    <x v="17"/>
    <n v="64"/>
    <x v="4"/>
    <x v="6"/>
    <n v="5"/>
    <n v="5"/>
  </r>
  <r>
    <n v="2019"/>
    <n v="10"/>
    <x v="0"/>
    <x v="3"/>
    <x v="1"/>
    <s v="2019/2020"/>
    <b v="1"/>
    <b v="0"/>
    <b v="0"/>
    <x v="8"/>
    <n v="27578434001525"/>
    <x v="410"/>
    <x v="66"/>
    <x v="13"/>
    <n v="70"/>
    <x v="0"/>
    <x v="0"/>
    <n v="1000"/>
    <n v="200"/>
  </r>
  <r>
    <n v="2019"/>
    <n v="10"/>
    <x v="0"/>
    <x v="3"/>
    <x v="1"/>
    <s v="2019/2020"/>
    <b v="1"/>
    <b v="0"/>
    <b v="0"/>
    <x v="2"/>
    <n v="28000107000159"/>
    <x v="200"/>
    <x v="0"/>
    <x v="0"/>
    <n v="70"/>
    <x v="0"/>
    <x v="0"/>
    <n v="60"/>
    <n v="6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1"/>
    <n v="8"/>
    <n v="1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1"/>
    <n v="4"/>
    <n v="2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4"/>
    <n v="16"/>
    <n v="2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4"/>
    <n v="20"/>
    <n v="5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4"/>
    <n v="56"/>
    <n v="7"/>
  </r>
  <r>
    <n v="2019"/>
    <n v="10"/>
    <x v="0"/>
    <x v="3"/>
    <x v="1"/>
    <s v="2019/2020"/>
    <b v="1"/>
    <b v="0"/>
    <b v="0"/>
    <x v="7"/>
    <n v="28000107000159"/>
    <x v="200"/>
    <x v="0"/>
    <x v="0"/>
    <n v="73"/>
    <x v="1"/>
    <x v="4"/>
    <n v="48"/>
    <n v="12"/>
  </r>
  <r>
    <n v="2019"/>
    <n v="10"/>
    <x v="0"/>
    <x v="3"/>
    <x v="1"/>
    <s v="2019/2020"/>
    <b v="1"/>
    <b v="0"/>
    <b v="0"/>
    <x v="3"/>
    <n v="28137925000106"/>
    <x v="201"/>
    <x v="66"/>
    <x v="13"/>
    <n v="70"/>
    <x v="0"/>
    <x v="0"/>
    <n v="250"/>
    <n v="50"/>
  </r>
  <r>
    <n v="2019"/>
    <n v="10"/>
    <x v="0"/>
    <x v="3"/>
    <x v="1"/>
    <s v="2019/2020"/>
    <b v="1"/>
    <b v="0"/>
    <b v="0"/>
    <x v="3"/>
    <n v="28137925000106"/>
    <x v="201"/>
    <x v="66"/>
    <x v="13"/>
    <n v="70"/>
    <x v="0"/>
    <x v="0"/>
    <n v="300"/>
    <n v="60"/>
  </r>
  <r>
    <n v="2019"/>
    <n v="10"/>
    <x v="0"/>
    <x v="3"/>
    <x v="1"/>
    <s v="2019/2020"/>
    <b v="1"/>
    <b v="0"/>
    <b v="0"/>
    <x v="2"/>
    <n v="28290788000137"/>
    <x v="202"/>
    <x v="3"/>
    <x v="3"/>
    <n v="64"/>
    <x v="4"/>
    <x v="6"/>
    <n v="14"/>
    <n v="14"/>
  </r>
  <r>
    <n v="2019"/>
    <n v="10"/>
    <x v="0"/>
    <x v="3"/>
    <x v="1"/>
    <s v="2019/2020"/>
    <b v="1"/>
    <b v="0"/>
    <b v="0"/>
    <x v="0"/>
    <n v="28806545000532"/>
    <x v="206"/>
    <x v="67"/>
    <x v="0"/>
    <n v="73"/>
    <x v="1"/>
    <x v="4"/>
    <n v="72"/>
    <n v="6"/>
  </r>
  <r>
    <n v="2019"/>
    <n v="10"/>
    <x v="0"/>
    <x v="3"/>
    <x v="1"/>
    <s v="2019/2020"/>
    <b v="1"/>
    <b v="0"/>
    <b v="0"/>
    <x v="2"/>
    <n v="29072642000188"/>
    <x v="207"/>
    <x v="68"/>
    <x v="0"/>
    <n v="64"/>
    <x v="4"/>
    <x v="6"/>
    <n v="8"/>
    <n v="8"/>
  </r>
  <r>
    <n v="2019"/>
    <n v="10"/>
    <x v="0"/>
    <x v="3"/>
    <x v="1"/>
    <s v="2019/2020"/>
    <b v="1"/>
    <b v="0"/>
    <b v="0"/>
    <x v="17"/>
    <n v="29135795000208"/>
    <x v="208"/>
    <x v="69"/>
    <x v="0"/>
    <n v="70"/>
    <x v="0"/>
    <x v="0"/>
    <n v="175"/>
    <n v="35"/>
  </r>
  <r>
    <n v="2019"/>
    <n v="10"/>
    <x v="0"/>
    <x v="3"/>
    <x v="1"/>
    <s v="2019/2020"/>
    <b v="1"/>
    <b v="0"/>
    <b v="0"/>
    <x v="2"/>
    <n v="29259736000403"/>
    <x v="209"/>
    <x v="0"/>
    <x v="0"/>
    <n v="64"/>
    <x v="4"/>
    <x v="6"/>
    <n v="2"/>
    <n v="1"/>
  </r>
  <r>
    <n v="2019"/>
    <n v="10"/>
    <x v="0"/>
    <x v="3"/>
    <x v="1"/>
    <s v="2019/2020"/>
    <b v="1"/>
    <b v="0"/>
    <b v="0"/>
    <x v="2"/>
    <n v="29259736000403"/>
    <x v="209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17"/>
    <n v="29259736000403"/>
    <x v="209"/>
    <x v="0"/>
    <x v="0"/>
    <n v="73"/>
    <x v="1"/>
    <x v="2"/>
    <n v="12"/>
    <n v="12"/>
  </r>
  <r>
    <n v="2019"/>
    <n v="10"/>
    <x v="0"/>
    <x v="3"/>
    <x v="1"/>
    <s v="2019/2020"/>
    <b v="1"/>
    <b v="0"/>
    <b v="0"/>
    <x v="10"/>
    <n v="29259736000403"/>
    <x v="209"/>
    <x v="0"/>
    <x v="0"/>
    <n v="73"/>
    <x v="1"/>
    <x v="2"/>
    <n v="3"/>
    <n v="3"/>
  </r>
  <r>
    <n v="2019"/>
    <n v="10"/>
    <x v="0"/>
    <x v="3"/>
    <x v="1"/>
    <s v="2019/2020"/>
    <b v="1"/>
    <b v="0"/>
    <b v="0"/>
    <x v="7"/>
    <n v="29259736000403"/>
    <x v="209"/>
    <x v="0"/>
    <x v="0"/>
    <n v="73"/>
    <x v="1"/>
    <x v="2"/>
    <n v="1"/>
    <n v="1"/>
  </r>
  <r>
    <n v="2019"/>
    <n v="10"/>
    <x v="0"/>
    <x v="3"/>
    <x v="1"/>
    <s v="2019/2020"/>
    <b v="1"/>
    <b v="0"/>
    <b v="0"/>
    <x v="12"/>
    <n v="29323454000185"/>
    <x v="545"/>
    <x v="145"/>
    <x v="13"/>
    <n v="70"/>
    <x v="0"/>
    <x v="0"/>
    <n v="150"/>
    <n v="30"/>
  </r>
  <r>
    <n v="2019"/>
    <n v="10"/>
    <x v="0"/>
    <x v="3"/>
    <x v="1"/>
    <s v="2019/2020"/>
    <b v="1"/>
    <b v="0"/>
    <b v="0"/>
    <x v="4"/>
    <n v="29435005002687"/>
    <x v="210"/>
    <x v="3"/>
    <x v="3"/>
    <n v="64"/>
    <x v="4"/>
    <x v="6"/>
    <n v="5"/>
    <n v="5"/>
  </r>
  <r>
    <n v="2019"/>
    <n v="10"/>
    <x v="0"/>
    <x v="3"/>
    <x v="1"/>
    <s v="2019/2020"/>
    <b v="1"/>
    <b v="0"/>
    <b v="0"/>
    <x v="4"/>
    <n v="29435005002687"/>
    <x v="210"/>
    <x v="3"/>
    <x v="3"/>
    <n v="70"/>
    <x v="0"/>
    <x v="0"/>
    <n v="300"/>
    <n v="60"/>
  </r>
  <r>
    <n v="2019"/>
    <n v="10"/>
    <x v="0"/>
    <x v="3"/>
    <x v="1"/>
    <s v="2019/2020"/>
    <b v="1"/>
    <b v="0"/>
    <b v="0"/>
    <x v="4"/>
    <n v="29435005002687"/>
    <x v="210"/>
    <x v="3"/>
    <x v="3"/>
    <n v="70"/>
    <x v="0"/>
    <x v="0"/>
    <n v="1000"/>
    <n v="100"/>
  </r>
  <r>
    <n v="2019"/>
    <n v="10"/>
    <x v="0"/>
    <x v="3"/>
    <x v="1"/>
    <s v="2019/2020"/>
    <b v="1"/>
    <b v="0"/>
    <b v="0"/>
    <x v="4"/>
    <n v="29435005003497"/>
    <x v="411"/>
    <x v="34"/>
    <x v="0"/>
    <n v="62"/>
    <x v="3"/>
    <x v="5"/>
    <n v="3"/>
    <n v="3"/>
  </r>
  <r>
    <n v="2019"/>
    <n v="10"/>
    <x v="0"/>
    <x v="3"/>
    <x v="1"/>
    <s v="2019/2020"/>
    <b v="1"/>
    <b v="0"/>
    <b v="0"/>
    <x v="4"/>
    <n v="29435005003497"/>
    <x v="411"/>
    <x v="34"/>
    <x v="0"/>
    <n v="64"/>
    <x v="4"/>
    <x v="6"/>
    <n v="8"/>
    <n v="4"/>
  </r>
  <r>
    <n v="2019"/>
    <n v="10"/>
    <x v="0"/>
    <x v="3"/>
    <x v="1"/>
    <s v="2019/2020"/>
    <b v="1"/>
    <b v="0"/>
    <b v="0"/>
    <x v="4"/>
    <n v="29435005003497"/>
    <x v="411"/>
    <x v="34"/>
    <x v="0"/>
    <n v="64"/>
    <x v="4"/>
    <x v="6"/>
    <n v="6"/>
    <n v="6"/>
  </r>
  <r>
    <n v="2019"/>
    <n v="10"/>
    <x v="0"/>
    <x v="3"/>
    <x v="1"/>
    <s v="2019/2020"/>
    <b v="1"/>
    <b v="0"/>
    <b v="0"/>
    <x v="4"/>
    <n v="29435005004540"/>
    <x v="211"/>
    <x v="3"/>
    <x v="3"/>
    <n v="70"/>
    <x v="0"/>
    <x v="0"/>
    <n v="100"/>
    <n v="20"/>
  </r>
  <r>
    <n v="2019"/>
    <n v="10"/>
    <x v="0"/>
    <x v="3"/>
    <x v="1"/>
    <s v="2019/2020"/>
    <b v="1"/>
    <b v="0"/>
    <b v="0"/>
    <x v="4"/>
    <n v="29435005004540"/>
    <x v="211"/>
    <x v="3"/>
    <x v="3"/>
    <n v="70"/>
    <x v="0"/>
    <x v="0"/>
    <n v="150"/>
    <n v="30"/>
  </r>
  <r>
    <n v="2019"/>
    <n v="10"/>
    <x v="0"/>
    <x v="3"/>
    <x v="1"/>
    <s v="2019/2020"/>
    <b v="1"/>
    <b v="0"/>
    <b v="0"/>
    <x v="4"/>
    <n v="29435005004620"/>
    <x v="212"/>
    <x v="4"/>
    <x v="4"/>
    <n v="62"/>
    <x v="3"/>
    <x v="5"/>
    <n v="2"/>
    <n v="2"/>
  </r>
  <r>
    <n v="2019"/>
    <n v="10"/>
    <x v="0"/>
    <x v="3"/>
    <x v="1"/>
    <s v="2019/2020"/>
    <b v="1"/>
    <b v="0"/>
    <b v="0"/>
    <x v="4"/>
    <n v="29435005005198"/>
    <x v="213"/>
    <x v="0"/>
    <x v="0"/>
    <n v="62"/>
    <x v="3"/>
    <x v="5"/>
    <n v="4"/>
    <n v="4"/>
  </r>
  <r>
    <n v="2019"/>
    <n v="10"/>
    <x v="0"/>
    <x v="3"/>
    <x v="1"/>
    <s v="2019/2020"/>
    <b v="1"/>
    <b v="0"/>
    <b v="0"/>
    <x v="4"/>
    <n v="29435005005198"/>
    <x v="213"/>
    <x v="0"/>
    <x v="0"/>
    <n v="62"/>
    <x v="3"/>
    <x v="5"/>
    <n v="7"/>
    <n v="7"/>
  </r>
  <r>
    <n v="2019"/>
    <n v="10"/>
    <x v="0"/>
    <x v="3"/>
    <x v="1"/>
    <s v="2019/2020"/>
    <b v="1"/>
    <b v="0"/>
    <b v="0"/>
    <x v="4"/>
    <n v="29435005005198"/>
    <x v="213"/>
    <x v="0"/>
    <x v="0"/>
    <n v="62"/>
    <x v="3"/>
    <x v="5"/>
    <n v="20"/>
    <n v="20"/>
  </r>
  <r>
    <n v="2019"/>
    <n v="10"/>
    <x v="0"/>
    <x v="3"/>
    <x v="1"/>
    <s v="2019/2020"/>
    <b v="1"/>
    <b v="0"/>
    <b v="0"/>
    <x v="4"/>
    <n v="29435005005198"/>
    <x v="213"/>
    <x v="0"/>
    <x v="0"/>
    <n v="62"/>
    <x v="3"/>
    <x v="5"/>
    <n v="30"/>
    <n v="30"/>
  </r>
  <r>
    <n v="2019"/>
    <n v="10"/>
    <x v="0"/>
    <x v="3"/>
    <x v="1"/>
    <s v="2019/2020"/>
    <b v="1"/>
    <b v="0"/>
    <b v="0"/>
    <x v="4"/>
    <n v="29435005005198"/>
    <x v="213"/>
    <x v="0"/>
    <x v="0"/>
    <n v="64"/>
    <x v="4"/>
    <x v="6"/>
    <n v="6"/>
    <n v="6"/>
  </r>
  <r>
    <n v="2019"/>
    <n v="10"/>
    <x v="0"/>
    <x v="3"/>
    <x v="1"/>
    <s v="2019/2020"/>
    <b v="1"/>
    <b v="0"/>
    <b v="0"/>
    <x v="4"/>
    <n v="29435005005198"/>
    <x v="213"/>
    <x v="0"/>
    <x v="0"/>
    <n v="64"/>
    <x v="4"/>
    <x v="6"/>
    <n v="20"/>
    <n v="20"/>
  </r>
  <r>
    <n v="2019"/>
    <n v="10"/>
    <x v="0"/>
    <x v="3"/>
    <x v="1"/>
    <s v="2019/2020"/>
    <b v="1"/>
    <b v="0"/>
    <b v="0"/>
    <x v="4"/>
    <n v="29435005005600"/>
    <x v="214"/>
    <x v="13"/>
    <x v="6"/>
    <n v="70"/>
    <x v="0"/>
    <x v="0"/>
    <n v="150"/>
    <n v="30"/>
  </r>
  <r>
    <n v="2019"/>
    <n v="10"/>
    <x v="0"/>
    <x v="3"/>
    <x v="1"/>
    <s v="2019/2020"/>
    <b v="1"/>
    <b v="0"/>
    <b v="0"/>
    <x v="4"/>
    <n v="29435005005600"/>
    <x v="214"/>
    <x v="13"/>
    <x v="6"/>
    <n v="70"/>
    <x v="0"/>
    <x v="0"/>
    <n v="160"/>
    <n v="32"/>
  </r>
  <r>
    <n v="2019"/>
    <n v="10"/>
    <x v="0"/>
    <x v="3"/>
    <x v="1"/>
    <s v="2019/2020"/>
    <b v="1"/>
    <b v="0"/>
    <b v="0"/>
    <x v="4"/>
    <n v="29435005005783"/>
    <x v="215"/>
    <x v="0"/>
    <x v="0"/>
    <n v="70"/>
    <x v="0"/>
    <x v="0"/>
    <n v="100"/>
    <n v="10"/>
  </r>
  <r>
    <n v="2019"/>
    <n v="10"/>
    <x v="0"/>
    <x v="3"/>
    <x v="1"/>
    <s v="2019/2020"/>
    <b v="1"/>
    <b v="0"/>
    <b v="0"/>
    <x v="4"/>
    <n v="29435005005783"/>
    <x v="215"/>
    <x v="0"/>
    <x v="0"/>
    <n v="70"/>
    <x v="0"/>
    <x v="0"/>
    <n v="205"/>
    <n v="41"/>
  </r>
  <r>
    <n v="2019"/>
    <n v="10"/>
    <x v="0"/>
    <x v="3"/>
    <x v="1"/>
    <s v="2019/2020"/>
    <b v="1"/>
    <b v="0"/>
    <b v="0"/>
    <x v="4"/>
    <n v="29435005007484"/>
    <x v="217"/>
    <x v="32"/>
    <x v="18"/>
    <n v="62"/>
    <x v="3"/>
    <x v="5"/>
    <n v="3"/>
    <n v="3"/>
  </r>
  <r>
    <n v="2019"/>
    <n v="10"/>
    <x v="0"/>
    <x v="3"/>
    <x v="1"/>
    <s v="2019/2020"/>
    <b v="1"/>
    <b v="0"/>
    <b v="0"/>
    <x v="4"/>
    <n v="29435005007484"/>
    <x v="217"/>
    <x v="32"/>
    <x v="18"/>
    <n v="62"/>
    <x v="3"/>
    <x v="5"/>
    <n v="8"/>
    <n v="4"/>
  </r>
  <r>
    <n v="2019"/>
    <n v="10"/>
    <x v="0"/>
    <x v="3"/>
    <x v="1"/>
    <s v="2019/2020"/>
    <b v="1"/>
    <b v="0"/>
    <b v="0"/>
    <x v="4"/>
    <n v="29435005007484"/>
    <x v="217"/>
    <x v="32"/>
    <x v="18"/>
    <n v="62"/>
    <x v="3"/>
    <x v="5"/>
    <n v="6"/>
    <n v="6"/>
  </r>
  <r>
    <n v="2019"/>
    <n v="10"/>
    <x v="0"/>
    <x v="3"/>
    <x v="1"/>
    <s v="2019/2020"/>
    <b v="1"/>
    <b v="0"/>
    <b v="0"/>
    <x v="4"/>
    <n v="29435005007484"/>
    <x v="217"/>
    <x v="32"/>
    <x v="18"/>
    <n v="64"/>
    <x v="4"/>
    <x v="6"/>
    <n v="4"/>
    <n v="4"/>
  </r>
  <r>
    <n v="2019"/>
    <n v="10"/>
    <x v="0"/>
    <x v="3"/>
    <x v="1"/>
    <s v="2019/2020"/>
    <b v="1"/>
    <b v="0"/>
    <b v="0"/>
    <x v="4"/>
    <n v="29435005007484"/>
    <x v="217"/>
    <x v="32"/>
    <x v="18"/>
    <n v="64"/>
    <x v="4"/>
    <x v="6"/>
    <n v="16"/>
    <n v="8"/>
  </r>
  <r>
    <n v="2019"/>
    <n v="10"/>
    <x v="0"/>
    <x v="3"/>
    <x v="1"/>
    <s v="2019/2020"/>
    <b v="1"/>
    <b v="0"/>
    <b v="0"/>
    <x v="4"/>
    <n v="29435005007484"/>
    <x v="217"/>
    <x v="32"/>
    <x v="18"/>
    <n v="70"/>
    <x v="0"/>
    <x v="0"/>
    <n v="105"/>
    <n v="21"/>
  </r>
  <r>
    <n v="2019"/>
    <n v="10"/>
    <x v="0"/>
    <x v="3"/>
    <x v="1"/>
    <s v="2019/2020"/>
    <b v="1"/>
    <b v="0"/>
    <b v="0"/>
    <x v="4"/>
    <n v="29435005008294"/>
    <x v="219"/>
    <x v="71"/>
    <x v="3"/>
    <n v="70"/>
    <x v="0"/>
    <x v="0"/>
    <n v="100"/>
    <n v="20"/>
  </r>
  <r>
    <n v="2019"/>
    <n v="10"/>
    <x v="0"/>
    <x v="3"/>
    <x v="1"/>
    <s v="2019/2020"/>
    <b v="1"/>
    <b v="0"/>
    <b v="0"/>
    <x v="4"/>
    <n v="29435005008294"/>
    <x v="219"/>
    <x v="71"/>
    <x v="3"/>
    <n v="70"/>
    <x v="0"/>
    <x v="0"/>
    <n v="150"/>
    <n v="30"/>
  </r>
  <r>
    <n v="2019"/>
    <n v="10"/>
    <x v="0"/>
    <x v="3"/>
    <x v="1"/>
    <s v="2019/2020"/>
    <b v="1"/>
    <b v="0"/>
    <b v="0"/>
    <x v="4"/>
    <n v="29435005008456"/>
    <x v="220"/>
    <x v="48"/>
    <x v="3"/>
    <n v="70"/>
    <x v="0"/>
    <x v="0"/>
    <n v="175"/>
    <n v="35"/>
  </r>
  <r>
    <n v="2019"/>
    <n v="10"/>
    <x v="0"/>
    <x v="3"/>
    <x v="1"/>
    <s v="2019/2020"/>
    <b v="1"/>
    <b v="0"/>
    <b v="0"/>
    <x v="4"/>
    <n v="29435005009851"/>
    <x v="221"/>
    <x v="10"/>
    <x v="8"/>
    <n v="70"/>
    <x v="0"/>
    <x v="0"/>
    <n v="100"/>
    <n v="10"/>
  </r>
  <r>
    <n v="2019"/>
    <n v="10"/>
    <x v="0"/>
    <x v="3"/>
    <x v="1"/>
    <s v="2019/2020"/>
    <b v="1"/>
    <b v="0"/>
    <b v="0"/>
    <x v="4"/>
    <n v="29435005009932"/>
    <x v="222"/>
    <x v="3"/>
    <x v="3"/>
    <n v="62"/>
    <x v="3"/>
    <x v="5"/>
    <n v="2"/>
    <n v="2"/>
  </r>
  <r>
    <n v="2019"/>
    <n v="10"/>
    <x v="0"/>
    <x v="3"/>
    <x v="1"/>
    <s v="2019/2020"/>
    <b v="1"/>
    <b v="0"/>
    <b v="0"/>
    <x v="4"/>
    <n v="29435005009932"/>
    <x v="222"/>
    <x v="3"/>
    <x v="3"/>
    <n v="62"/>
    <x v="3"/>
    <x v="5"/>
    <n v="4"/>
    <n v="4"/>
  </r>
  <r>
    <n v="2019"/>
    <n v="10"/>
    <x v="0"/>
    <x v="3"/>
    <x v="1"/>
    <s v="2019/2020"/>
    <b v="1"/>
    <b v="0"/>
    <b v="0"/>
    <x v="4"/>
    <n v="29435005009932"/>
    <x v="222"/>
    <x v="3"/>
    <x v="3"/>
    <n v="62"/>
    <x v="3"/>
    <x v="5"/>
    <n v="10"/>
    <n v="5"/>
  </r>
  <r>
    <n v="2019"/>
    <n v="10"/>
    <x v="0"/>
    <x v="3"/>
    <x v="1"/>
    <s v="2019/2020"/>
    <b v="1"/>
    <b v="0"/>
    <b v="0"/>
    <x v="4"/>
    <n v="29435005009932"/>
    <x v="222"/>
    <x v="3"/>
    <x v="3"/>
    <n v="62"/>
    <x v="3"/>
    <x v="5"/>
    <n v="14"/>
    <n v="7"/>
  </r>
  <r>
    <n v="2019"/>
    <n v="10"/>
    <x v="0"/>
    <x v="3"/>
    <x v="1"/>
    <s v="2019/2020"/>
    <b v="1"/>
    <b v="0"/>
    <b v="0"/>
    <x v="4"/>
    <n v="29435005009932"/>
    <x v="222"/>
    <x v="3"/>
    <x v="3"/>
    <n v="70"/>
    <x v="0"/>
    <x v="0"/>
    <n v="200"/>
    <n v="40"/>
  </r>
  <r>
    <n v="2019"/>
    <n v="10"/>
    <x v="0"/>
    <x v="3"/>
    <x v="1"/>
    <s v="2019/2020"/>
    <b v="1"/>
    <b v="0"/>
    <b v="0"/>
    <x v="4"/>
    <n v="29435005009932"/>
    <x v="222"/>
    <x v="3"/>
    <x v="3"/>
    <n v="70"/>
    <x v="0"/>
    <x v="0"/>
    <n v="450"/>
    <n v="90"/>
  </r>
  <r>
    <n v="2019"/>
    <n v="10"/>
    <x v="0"/>
    <x v="3"/>
    <x v="1"/>
    <s v="2019/2020"/>
    <b v="1"/>
    <b v="0"/>
    <b v="0"/>
    <x v="15"/>
    <n v="30117769000155"/>
    <x v="223"/>
    <x v="13"/>
    <x v="6"/>
    <n v="70"/>
    <x v="0"/>
    <x v="0"/>
    <n v="150"/>
    <n v="30"/>
  </r>
  <r>
    <n v="2019"/>
    <n v="10"/>
    <x v="0"/>
    <x v="3"/>
    <x v="1"/>
    <s v="2019/2020"/>
    <b v="1"/>
    <b v="0"/>
    <b v="0"/>
    <x v="13"/>
    <n v="30117769000155"/>
    <x v="223"/>
    <x v="13"/>
    <x v="6"/>
    <n v="70"/>
    <x v="0"/>
    <x v="0"/>
    <n v="200"/>
    <n v="40"/>
  </r>
  <r>
    <n v="2019"/>
    <n v="10"/>
    <x v="0"/>
    <x v="3"/>
    <x v="1"/>
    <s v="2019/2020"/>
    <b v="1"/>
    <b v="0"/>
    <b v="0"/>
    <x v="2"/>
    <n v="30145502000171"/>
    <x v="546"/>
    <x v="9"/>
    <x v="0"/>
    <n v="64"/>
    <x v="4"/>
    <x v="6"/>
    <n v="10"/>
    <n v="10"/>
  </r>
  <r>
    <n v="2019"/>
    <n v="10"/>
    <x v="0"/>
    <x v="3"/>
    <x v="1"/>
    <s v="2019/2020"/>
    <b v="1"/>
    <b v="0"/>
    <b v="0"/>
    <x v="10"/>
    <n v="30537740000122"/>
    <x v="417"/>
    <x v="69"/>
    <x v="0"/>
    <n v="70"/>
    <x v="0"/>
    <x v="0"/>
    <n v="60"/>
    <n v="12"/>
  </r>
  <r>
    <n v="2019"/>
    <n v="10"/>
    <x v="0"/>
    <x v="3"/>
    <x v="1"/>
    <s v="2019/2020"/>
    <b v="1"/>
    <b v="0"/>
    <b v="0"/>
    <x v="10"/>
    <n v="31635857000292"/>
    <x v="225"/>
    <x v="0"/>
    <x v="0"/>
    <n v="73"/>
    <x v="1"/>
    <x v="4"/>
    <n v="16"/>
    <n v="4"/>
  </r>
  <r>
    <n v="2019"/>
    <n v="10"/>
    <x v="0"/>
    <x v="3"/>
    <x v="1"/>
    <s v="2019/2020"/>
    <b v="1"/>
    <b v="0"/>
    <b v="0"/>
    <x v="0"/>
    <n v="31635857000292"/>
    <x v="225"/>
    <x v="0"/>
    <x v="0"/>
    <n v="73"/>
    <x v="1"/>
    <x v="4"/>
    <n v="16"/>
    <n v="4"/>
  </r>
  <r>
    <n v="2019"/>
    <n v="10"/>
    <x v="0"/>
    <x v="3"/>
    <x v="1"/>
    <s v="2019/2020"/>
    <b v="1"/>
    <b v="0"/>
    <b v="0"/>
    <x v="7"/>
    <n v="31925548000176"/>
    <x v="547"/>
    <x v="0"/>
    <x v="0"/>
    <n v="70"/>
    <x v="0"/>
    <x v="0"/>
    <n v="30"/>
    <n v="6"/>
  </r>
  <r>
    <n v="2019"/>
    <n v="10"/>
    <x v="0"/>
    <x v="3"/>
    <x v="1"/>
    <s v="2019/2020"/>
    <b v="1"/>
    <b v="0"/>
    <b v="0"/>
    <x v="2"/>
    <n v="31925548000176"/>
    <x v="547"/>
    <x v="0"/>
    <x v="0"/>
    <n v="70"/>
    <x v="0"/>
    <x v="0"/>
    <n v="60"/>
    <n v="6"/>
  </r>
  <r>
    <n v="2019"/>
    <n v="10"/>
    <x v="0"/>
    <x v="3"/>
    <x v="1"/>
    <s v="2019/2020"/>
    <b v="1"/>
    <b v="0"/>
    <b v="0"/>
    <x v="11"/>
    <n v="33000167000101"/>
    <x v="227"/>
    <x v="0"/>
    <x v="0"/>
    <n v="70"/>
    <x v="0"/>
    <x v="0"/>
    <n v="20"/>
    <n v="4"/>
  </r>
  <r>
    <n v="2019"/>
    <n v="10"/>
    <x v="0"/>
    <x v="3"/>
    <x v="1"/>
    <s v="2019/2020"/>
    <b v="1"/>
    <b v="0"/>
    <b v="0"/>
    <x v="2"/>
    <n v="33000167002155"/>
    <x v="418"/>
    <x v="113"/>
    <x v="7"/>
    <n v="70"/>
    <x v="0"/>
    <x v="0"/>
    <n v="25"/>
    <n v="5"/>
  </r>
  <r>
    <n v="2019"/>
    <n v="10"/>
    <x v="0"/>
    <x v="3"/>
    <x v="1"/>
    <s v="2019/2020"/>
    <b v="1"/>
    <b v="0"/>
    <b v="0"/>
    <x v="2"/>
    <n v="33000167002155"/>
    <x v="418"/>
    <x v="113"/>
    <x v="7"/>
    <n v="70"/>
    <x v="0"/>
    <x v="0"/>
    <n v="200"/>
    <n v="40"/>
  </r>
  <r>
    <n v="2019"/>
    <n v="10"/>
    <x v="0"/>
    <x v="3"/>
    <x v="1"/>
    <s v="2019/2020"/>
    <b v="1"/>
    <b v="0"/>
    <b v="0"/>
    <x v="10"/>
    <n v="33419482000259"/>
    <x v="228"/>
    <x v="0"/>
    <x v="0"/>
    <n v="62"/>
    <x v="3"/>
    <x v="5"/>
    <n v="4"/>
    <n v="1"/>
  </r>
  <r>
    <n v="2019"/>
    <n v="10"/>
    <x v="0"/>
    <x v="3"/>
    <x v="1"/>
    <s v="2019/2020"/>
    <b v="1"/>
    <b v="0"/>
    <b v="0"/>
    <x v="7"/>
    <n v="33419482000259"/>
    <x v="228"/>
    <x v="0"/>
    <x v="0"/>
    <n v="64"/>
    <x v="4"/>
    <x v="6"/>
    <n v="3"/>
    <n v="1"/>
  </r>
  <r>
    <n v="2019"/>
    <n v="10"/>
    <x v="0"/>
    <x v="3"/>
    <x v="1"/>
    <s v="2019/2020"/>
    <b v="1"/>
    <b v="0"/>
    <b v="0"/>
    <x v="17"/>
    <n v="33419482000259"/>
    <x v="228"/>
    <x v="0"/>
    <x v="0"/>
    <n v="70"/>
    <x v="0"/>
    <x v="0"/>
    <n v="30"/>
    <n v="2"/>
  </r>
  <r>
    <n v="2019"/>
    <n v="10"/>
    <x v="0"/>
    <x v="3"/>
    <x v="1"/>
    <s v="2019/2020"/>
    <b v="1"/>
    <b v="0"/>
    <b v="0"/>
    <x v="17"/>
    <n v="33419482000259"/>
    <x v="228"/>
    <x v="0"/>
    <x v="0"/>
    <n v="70"/>
    <x v="0"/>
    <x v="0"/>
    <n v="20"/>
    <n v="4"/>
  </r>
  <r>
    <n v="2019"/>
    <n v="10"/>
    <x v="0"/>
    <x v="3"/>
    <x v="1"/>
    <s v="2019/2020"/>
    <b v="1"/>
    <b v="0"/>
    <b v="0"/>
    <x v="10"/>
    <n v="33540014000157"/>
    <x v="548"/>
    <x v="0"/>
    <x v="0"/>
    <n v="66"/>
    <x v="2"/>
    <x v="3"/>
    <n v="3"/>
    <n v="3"/>
  </r>
  <r>
    <n v="2019"/>
    <n v="10"/>
    <x v="0"/>
    <x v="3"/>
    <x v="1"/>
    <s v="2019/2020"/>
    <b v="1"/>
    <b v="0"/>
    <b v="0"/>
    <x v="5"/>
    <n v="33663683005347"/>
    <x v="230"/>
    <x v="0"/>
    <x v="0"/>
    <n v="62"/>
    <x v="3"/>
    <x v="5"/>
    <n v="16"/>
    <n v="16"/>
  </r>
  <r>
    <n v="2019"/>
    <n v="10"/>
    <x v="0"/>
    <x v="3"/>
    <x v="1"/>
    <s v="2019/2020"/>
    <b v="1"/>
    <b v="0"/>
    <b v="0"/>
    <x v="5"/>
    <n v="33663683005347"/>
    <x v="230"/>
    <x v="0"/>
    <x v="0"/>
    <n v="62"/>
    <x v="3"/>
    <x v="5"/>
    <n v="25"/>
    <n v="25"/>
  </r>
  <r>
    <n v="2019"/>
    <n v="10"/>
    <x v="0"/>
    <x v="3"/>
    <x v="1"/>
    <s v="2019/2020"/>
    <b v="1"/>
    <b v="0"/>
    <b v="0"/>
    <x v="5"/>
    <n v="33663683005347"/>
    <x v="230"/>
    <x v="0"/>
    <x v="0"/>
    <n v="64"/>
    <x v="4"/>
    <x v="6"/>
    <n v="16"/>
    <n v="16"/>
  </r>
  <r>
    <n v="2019"/>
    <n v="10"/>
    <x v="0"/>
    <x v="3"/>
    <x v="1"/>
    <s v="2019/2020"/>
    <b v="1"/>
    <b v="0"/>
    <b v="0"/>
    <x v="5"/>
    <n v="33663683005347"/>
    <x v="230"/>
    <x v="0"/>
    <x v="0"/>
    <n v="64"/>
    <x v="4"/>
    <x v="6"/>
    <n v="25"/>
    <n v="25"/>
  </r>
  <r>
    <n v="2019"/>
    <n v="10"/>
    <x v="0"/>
    <x v="3"/>
    <x v="1"/>
    <s v="2019/2020"/>
    <b v="1"/>
    <b v="0"/>
    <b v="0"/>
    <x v="5"/>
    <n v="33663683005347"/>
    <x v="230"/>
    <x v="0"/>
    <x v="0"/>
    <n v="70"/>
    <x v="0"/>
    <x v="0"/>
    <n v="1600"/>
    <n v="320"/>
  </r>
  <r>
    <n v="2019"/>
    <n v="10"/>
    <x v="0"/>
    <x v="3"/>
    <x v="1"/>
    <s v="2019/2020"/>
    <b v="1"/>
    <b v="0"/>
    <b v="0"/>
    <x v="12"/>
    <n v="33722224000166"/>
    <x v="549"/>
    <x v="0"/>
    <x v="0"/>
    <n v="64"/>
    <x v="4"/>
    <x v="6"/>
    <n v="2"/>
    <n v="2"/>
  </r>
  <r>
    <n v="2019"/>
    <n v="10"/>
    <x v="0"/>
    <x v="3"/>
    <x v="1"/>
    <s v="2019/2020"/>
    <b v="1"/>
    <b v="0"/>
    <b v="0"/>
    <x v="28"/>
    <n v="33722224000166"/>
    <x v="549"/>
    <x v="0"/>
    <x v="0"/>
    <n v="64"/>
    <x v="4"/>
    <x v="6"/>
    <n v="3"/>
    <n v="3"/>
  </r>
  <r>
    <n v="2019"/>
    <n v="10"/>
    <x v="0"/>
    <x v="3"/>
    <x v="1"/>
    <s v="2019/2020"/>
    <b v="1"/>
    <b v="0"/>
    <b v="0"/>
    <x v="5"/>
    <n v="33781055000216"/>
    <x v="231"/>
    <x v="0"/>
    <x v="0"/>
    <n v="70"/>
    <x v="0"/>
    <x v="0"/>
    <n v="100"/>
    <n v="20"/>
  </r>
  <r>
    <n v="2019"/>
    <n v="10"/>
    <x v="0"/>
    <x v="3"/>
    <x v="1"/>
    <s v="2019/2020"/>
    <b v="1"/>
    <b v="0"/>
    <b v="0"/>
    <x v="10"/>
    <n v="35917970000726"/>
    <x v="420"/>
    <x v="114"/>
    <x v="0"/>
    <n v="73"/>
    <x v="1"/>
    <x v="4"/>
    <n v="24"/>
    <n v="3"/>
  </r>
  <r>
    <n v="2019"/>
    <n v="10"/>
    <x v="0"/>
    <x v="3"/>
    <x v="1"/>
    <s v="2019/2020"/>
    <b v="1"/>
    <b v="0"/>
    <b v="0"/>
    <x v="10"/>
    <n v="35917970000726"/>
    <x v="420"/>
    <x v="114"/>
    <x v="0"/>
    <n v="73"/>
    <x v="1"/>
    <x v="2"/>
    <n v="6"/>
    <n v="3"/>
  </r>
  <r>
    <n v="2019"/>
    <n v="10"/>
    <x v="0"/>
    <x v="3"/>
    <x v="1"/>
    <s v="2019/2020"/>
    <b v="1"/>
    <b v="0"/>
    <b v="0"/>
    <x v="10"/>
    <n v="36238913000198"/>
    <x v="421"/>
    <x v="115"/>
    <x v="0"/>
    <n v="73"/>
    <x v="1"/>
    <x v="4"/>
    <n v="28"/>
    <n v="7"/>
  </r>
  <r>
    <n v="2019"/>
    <n v="10"/>
    <x v="0"/>
    <x v="3"/>
    <x v="1"/>
    <s v="2019/2020"/>
    <b v="1"/>
    <b v="0"/>
    <b v="0"/>
    <x v="10"/>
    <n v="36238913000198"/>
    <x v="421"/>
    <x v="115"/>
    <x v="0"/>
    <n v="73"/>
    <x v="1"/>
    <x v="4"/>
    <n v="40"/>
    <n v="10"/>
  </r>
  <r>
    <n v="2019"/>
    <n v="10"/>
    <x v="0"/>
    <x v="3"/>
    <x v="1"/>
    <s v="2019/2020"/>
    <b v="1"/>
    <b v="0"/>
    <b v="0"/>
    <x v="8"/>
    <n v="37108388000159"/>
    <x v="234"/>
    <x v="4"/>
    <x v="4"/>
    <n v="64"/>
    <x v="4"/>
    <x v="6"/>
    <n v="20"/>
    <n v="10"/>
  </r>
  <r>
    <n v="2019"/>
    <n v="10"/>
    <x v="0"/>
    <x v="3"/>
    <x v="1"/>
    <s v="2019/2020"/>
    <b v="1"/>
    <b v="0"/>
    <b v="0"/>
    <x v="8"/>
    <n v="38000485000196"/>
    <x v="235"/>
    <x v="4"/>
    <x v="4"/>
    <n v="64"/>
    <x v="4"/>
    <x v="6"/>
    <n v="5"/>
    <n v="5"/>
  </r>
  <r>
    <n v="2019"/>
    <n v="10"/>
    <x v="0"/>
    <x v="3"/>
    <x v="1"/>
    <s v="2019/2020"/>
    <b v="1"/>
    <b v="0"/>
    <b v="0"/>
    <x v="4"/>
    <n v="39086160000130"/>
    <x v="236"/>
    <x v="0"/>
    <x v="0"/>
    <n v="70"/>
    <x v="0"/>
    <x v="0"/>
    <n v="150"/>
    <n v="30"/>
  </r>
  <r>
    <n v="2019"/>
    <n v="10"/>
    <x v="0"/>
    <x v="3"/>
    <x v="1"/>
    <s v="2019/2020"/>
    <b v="1"/>
    <b v="0"/>
    <b v="0"/>
    <x v="4"/>
    <n v="39086160000130"/>
    <x v="236"/>
    <x v="0"/>
    <x v="0"/>
    <n v="73"/>
    <x v="1"/>
    <x v="4"/>
    <n v="128"/>
    <n v="32"/>
  </r>
  <r>
    <n v="2019"/>
    <n v="10"/>
    <x v="0"/>
    <x v="3"/>
    <x v="1"/>
    <s v="2019/2020"/>
    <b v="1"/>
    <b v="0"/>
    <b v="0"/>
    <x v="3"/>
    <n v="39387477000107"/>
    <x v="237"/>
    <x v="66"/>
    <x v="13"/>
    <n v="70"/>
    <x v="0"/>
    <x v="0"/>
    <n v="75"/>
    <n v="15"/>
  </r>
  <r>
    <n v="2019"/>
    <n v="10"/>
    <x v="0"/>
    <x v="3"/>
    <x v="1"/>
    <s v="2019/2020"/>
    <b v="1"/>
    <b v="0"/>
    <b v="0"/>
    <x v="3"/>
    <n v="39387477000107"/>
    <x v="237"/>
    <x v="66"/>
    <x v="13"/>
    <n v="70"/>
    <x v="0"/>
    <x v="0"/>
    <n v="250"/>
    <n v="25"/>
  </r>
  <r>
    <n v="2019"/>
    <n v="10"/>
    <x v="0"/>
    <x v="3"/>
    <x v="1"/>
    <s v="2019/2020"/>
    <b v="1"/>
    <b v="0"/>
    <b v="0"/>
    <x v="10"/>
    <n v="40320103000153"/>
    <x v="422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0"/>
    <n v="40320103000153"/>
    <x v="422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4"/>
    <n v="41781949000234"/>
    <x v="238"/>
    <x v="73"/>
    <x v="2"/>
    <n v="70"/>
    <x v="0"/>
    <x v="0"/>
    <n v="80"/>
    <n v="8"/>
  </r>
  <r>
    <n v="2019"/>
    <n v="10"/>
    <x v="0"/>
    <x v="3"/>
    <x v="1"/>
    <s v="2019/2020"/>
    <b v="1"/>
    <b v="0"/>
    <b v="0"/>
    <x v="4"/>
    <n v="41781949000234"/>
    <x v="238"/>
    <x v="73"/>
    <x v="2"/>
    <n v="70"/>
    <x v="0"/>
    <x v="0"/>
    <n v="120"/>
    <n v="24"/>
  </r>
  <r>
    <n v="2019"/>
    <n v="10"/>
    <x v="0"/>
    <x v="3"/>
    <x v="1"/>
    <s v="2019/2020"/>
    <b v="1"/>
    <b v="0"/>
    <b v="0"/>
    <x v="10"/>
    <n v="42297507000107"/>
    <x v="424"/>
    <x v="0"/>
    <x v="0"/>
    <n v="62"/>
    <x v="3"/>
    <x v="5"/>
    <n v="3"/>
    <n v="3"/>
  </r>
  <r>
    <n v="2019"/>
    <n v="10"/>
    <x v="0"/>
    <x v="3"/>
    <x v="1"/>
    <s v="2019/2020"/>
    <b v="1"/>
    <b v="0"/>
    <b v="0"/>
    <x v="12"/>
    <n v="42297507000107"/>
    <x v="424"/>
    <x v="0"/>
    <x v="0"/>
    <n v="64"/>
    <x v="4"/>
    <x v="6"/>
    <n v="3"/>
    <n v="3"/>
  </r>
  <r>
    <n v="2019"/>
    <n v="10"/>
    <x v="0"/>
    <x v="3"/>
    <x v="1"/>
    <s v="2019/2020"/>
    <b v="1"/>
    <b v="0"/>
    <b v="0"/>
    <x v="10"/>
    <n v="42297507000107"/>
    <x v="424"/>
    <x v="0"/>
    <x v="0"/>
    <n v="64"/>
    <x v="4"/>
    <x v="6"/>
    <n v="3"/>
    <n v="3"/>
  </r>
  <r>
    <n v="2019"/>
    <n v="10"/>
    <x v="0"/>
    <x v="3"/>
    <x v="1"/>
    <s v="2019/2020"/>
    <b v="1"/>
    <b v="0"/>
    <b v="0"/>
    <x v="4"/>
    <n v="43293604002120"/>
    <x v="239"/>
    <x v="74"/>
    <x v="3"/>
    <n v="70"/>
    <x v="0"/>
    <x v="0"/>
    <n v="150"/>
    <n v="10"/>
  </r>
  <r>
    <n v="2019"/>
    <n v="10"/>
    <x v="0"/>
    <x v="3"/>
    <x v="1"/>
    <s v="2019/2020"/>
    <b v="1"/>
    <b v="0"/>
    <b v="0"/>
    <x v="7"/>
    <n v="43775956000178"/>
    <x v="550"/>
    <x v="3"/>
    <x v="3"/>
    <n v="70"/>
    <x v="0"/>
    <x v="0"/>
    <n v="30"/>
    <n v="6"/>
  </r>
  <r>
    <n v="2019"/>
    <n v="10"/>
    <x v="0"/>
    <x v="3"/>
    <x v="1"/>
    <s v="2019/2020"/>
    <b v="1"/>
    <b v="0"/>
    <b v="0"/>
    <x v="2"/>
    <n v="44456036000311"/>
    <x v="241"/>
    <x v="75"/>
    <x v="3"/>
    <n v="62"/>
    <x v="3"/>
    <x v="5"/>
    <n v="8"/>
    <n v="2"/>
  </r>
  <r>
    <n v="2019"/>
    <n v="10"/>
    <x v="0"/>
    <x v="3"/>
    <x v="1"/>
    <s v="2019/2020"/>
    <b v="1"/>
    <b v="0"/>
    <b v="0"/>
    <x v="2"/>
    <n v="44456036000311"/>
    <x v="241"/>
    <x v="75"/>
    <x v="3"/>
    <n v="62"/>
    <x v="3"/>
    <x v="5"/>
    <n v="4"/>
    <n v="4"/>
  </r>
  <r>
    <n v="2019"/>
    <n v="10"/>
    <x v="0"/>
    <x v="3"/>
    <x v="1"/>
    <s v="2019/2020"/>
    <b v="1"/>
    <b v="0"/>
    <b v="0"/>
    <x v="17"/>
    <n v="44649812005520"/>
    <x v="243"/>
    <x v="3"/>
    <x v="3"/>
    <n v="70"/>
    <x v="0"/>
    <x v="0"/>
    <n v="70"/>
    <n v="14"/>
  </r>
  <r>
    <n v="2019"/>
    <n v="10"/>
    <x v="0"/>
    <x v="3"/>
    <x v="1"/>
    <s v="2019/2020"/>
    <b v="1"/>
    <b v="0"/>
    <b v="0"/>
    <x v="6"/>
    <n v="44649812005520"/>
    <x v="243"/>
    <x v="3"/>
    <x v="3"/>
    <n v="73"/>
    <x v="1"/>
    <x v="4"/>
    <n v="32"/>
    <n v="4"/>
  </r>
  <r>
    <n v="2019"/>
    <n v="10"/>
    <x v="0"/>
    <x v="3"/>
    <x v="1"/>
    <s v="2019/2020"/>
    <b v="1"/>
    <b v="0"/>
    <b v="0"/>
    <x v="6"/>
    <n v="44649812005520"/>
    <x v="243"/>
    <x v="3"/>
    <x v="3"/>
    <n v="73"/>
    <x v="1"/>
    <x v="1"/>
    <n v="20"/>
    <n v="5"/>
  </r>
  <r>
    <n v="2019"/>
    <n v="10"/>
    <x v="0"/>
    <x v="3"/>
    <x v="1"/>
    <s v="2019/2020"/>
    <b v="1"/>
    <b v="0"/>
    <b v="0"/>
    <x v="6"/>
    <n v="44649812019238"/>
    <x v="244"/>
    <x v="48"/>
    <x v="3"/>
    <n v="73"/>
    <x v="1"/>
    <x v="4"/>
    <n v="8"/>
    <n v="2"/>
  </r>
  <r>
    <n v="2019"/>
    <n v="10"/>
    <x v="0"/>
    <x v="3"/>
    <x v="1"/>
    <s v="2019/2020"/>
    <b v="1"/>
    <b v="0"/>
    <b v="0"/>
    <x v="17"/>
    <n v="44663631000590"/>
    <x v="245"/>
    <x v="77"/>
    <x v="3"/>
    <n v="70"/>
    <x v="0"/>
    <x v="0"/>
    <n v="165"/>
    <n v="33"/>
  </r>
  <r>
    <n v="2019"/>
    <n v="10"/>
    <x v="0"/>
    <x v="3"/>
    <x v="1"/>
    <s v="2019/2020"/>
    <b v="1"/>
    <b v="0"/>
    <b v="0"/>
    <x v="2"/>
    <n v="44663631000590"/>
    <x v="245"/>
    <x v="77"/>
    <x v="3"/>
    <n v="70"/>
    <x v="0"/>
    <x v="0"/>
    <n v="30"/>
    <n v="6"/>
  </r>
  <r>
    <n v="2019"/>
    <n v="10"/>
    <x v="0"/>
    <x v="3"/>
    <x v="1"/>
    <s v="2019/2020"/>
    <b v="1"/>
    <b v="0"/>
    <b v="0"/>
    <x v="2"/>
    <n v="44663631000590"/>
    <x v="245"/>
    <x v="77"/>
    <x v="3"/>
    <n v="73"/>
    <x v="1"/>
    <x v="4"/>
    <n v="32"/>
    <n v="4"/>
  </r>
  <r>
    <n v="2019"/>
    <n v="10"/>
    <x v="0"/>
    <x v="3"/>
    <x v="1"/>
    <s v="2019/2020"/>
    <b v="1"/>
    <b v="0"/>
    <b v="0"/>
    <x v="2"/>
    <n v="44803922000293"/>
    <x v="246"/>
    <x v="78"/>
    <x v="3"/>
    <n v="73"/>
    <x v="1"/>
    <x v="2"/>
    <n v="8"/>
    <n v="8"/>
  </r>
  <r>
    <n v="2019"/>
    <n v="10"/>
    <x v="0"/>
    <x v="3"/>
    <x v="1"/>
    <s v="2019/2020"/>
    <b v="1"/>
    <b v="0"/>
    <b v="0"/>
    <x v="6"/>
    <n v="44863959000126"/>
    <x v="551"/>
    <x v="146"/>
    <x v="3"/>
    <n v="70"/>
    <x v="0"/>
    <x v="0"/>
    <n v="125"/>
    <n v="25"/>
  </r>
  <r>
    <n v="2019"/>
    <n v="10"/>
    <x v="0"/>
    <x v="3"/>
    <x v="1"/>
    <s v="2019/2020"/>
    <b v="1"/>
    <b v="0"/>
    <b v="0"/>
    <x v="2"/>
    <n v="45118429001279"/>
    <x v="247"/>
    <x v="79"/>
    <x v="3"/>
    <n v="73"/>
    <x v="1"/>
    <x v="1"/>
    <n v="8"/>
    <n v="2"/>
  </r>
  <r>
    <n v="2019"/>
    <n v="10"/>
    <x v="0"/>
    <x v="3"/>
    <x v="1"/>
    <s v="2019/2020"/>
    <b v="1"/>
    <b v="0"/>
    <b v="0"/>
    <x v="2"/>
    <n v="45118429001279"/>
    <x v="247"/>
    <x v="79"/>
    <x v="3"/>
    <n v="73"/>
    <x v="1"/>
    <x v="2"/>
    <n v="4"/>
    <n v="2"/>
  </r>
  <r>
    <n v="2019"/>
    <n v="10"/>
    <x v="0"/>
    <x v="3"/>
    <x v="1"/>
    <s v="2019/2020"/>
    <b v="1"/>
    <b v="0"/>
    <b v="0"/>
    <x v="6"/>
    <n v="45184066000117"/>
    <x v="248"/>
    <x v="35"/>
    <x v="3"/>
    <n v="64"/>
    <x v="4"/>
    <x v="6"/>
    <n v="2"/>
    <n v="2"/>
  </r>
  <r>
    <n v="2019"/>
    <n v="10"/>
    <x v="0"/>
    <x v="3"/>
    <x v="1"/>
    <s v="2019/2020"/>
    <b v="1"/>
    <b v="0"/>
    <b v="0"/>
    <x v="6"/>
    <n v="45184066000117"/>
    <x v="248"/>
    <x v="35"/>
    <x v="3"/>
    <n v="73"/>
    <x v="1"/>
    <x v="4"/>
    <n v="8"/>
    <n v="2"/>
  </r>
  <r>
    <n v="2019"/>
    <n v="10"/>
    <x v="0"/>
    <x v="3"/>
    <x v="1"/>
    <s v="2019/2020"/>
    <b v="1"/>
    <b v="0"/>
    <b v="0"/>
    <x v="6"/>
    <n v="45184066000117"/>
    <x v="248"/>
    <x v="35"/>
    <x v="3"/>
    <n v="73"/>
    <x v="1"/>
    <x v="2"/>
    <n v="2"/>
    <n v="2"/>
  </r>
  <r>
    <n v="2019"/>
    <n v="10"/>
    <x v="0"/>
    <x v="3"/>
    <x v="1"/>
    <s v="2019/2020"/>
    <b v="1"/>
    <b v="0"/>
    <b v="0"/>
    <x v="6"/>
    <n v="45184066000117"/>
    <x v="248"/>
    <x v="35"/>
    <x v="3"/>
    <n v="73"/>
    <x v="1"/>
    <x v="2"/>
    <n v="5"/>
    <n v="5"/>
  </r>
  <r>
    <n v="2019"/>
    <n v="10"/>
    <x v="0"/>
    <x v="3"/>
    <x v="1"/>
    <s v="2019/2020"/>
    <b v="1"/>
    <b v="0"/>
    <b v="0"/>
    <x v="6"/>
    <n v="45232246000550"/>
    <x v="249"/>
    <x v="22"/>
    <x v="3"/>
    <n v="62"/>
    <x v="3"/>
    <x v="5"/>
    <n v="23"/>
    <n v="23"/>
  </r>
  <r>
    <n v="2019"/>
    <n v="10"/>
    <x v="0"/>
    <x v="3"/>
    <x v="1"/>
    <s v="2019/2020"/>
    <b v="1"/>
    <b v="0"/>
    <b v="0"/>
    <x v="17"/>
    <n v="45232246000550"/>
    <x v="249"/>
    <x v="22"/>
    <x v="3"/>
    <n v="70"/>
    <x v="0"/>
    <x v="0"/>
    <n v="100"/>
    <n v="20"/>
  </r>
  <r>
    <n v="2019"/>
    <n v="10"/>
    <x v="0"/>
    <x v="3"/>
    <x v="1"/>
    <s v="2019/2020"/>
    <b v="1"/>
    <b v="0"/>
    <b v="0"/>
    <x v="27"/>
    <n v="45232246000550"/>
    <x v="249"/>
    <x v="22"/>
    <x v="3"/>
    <n v="70"/>
    <x v="0"/>
    <x v="0"/>
    <n v="190"/>
    <n v="38"/>
  </r>
  <r>
    <n v="2019"/>
    <n v="10"/>
    <x v="0"/>
    <x v="3"/>
    <x v="1"/>
    <s v="2019/2020"/>
    <b v="1"/>
    <b v="0"/>
    <b v="0"/>
    <x v="6"/>
    <n v="45232246000550"/>
    <x v="249"/>
    <x v="22"/>
    <x v="3"/>
    <n v="73"/>
    <x v="1"/>
    <x v="2"/>
    <n v="3"/>
    <n v="3"/>
  </r>
  <r>
    <n v="2019"/>
    <n v="10"/>
    <x v="0"/>
    <x v="3"/>
    <x v="1"/>
    <s v="2019/2020"/>
    <b v="1"/>
    <b v="0"/>
    <b v="0"/>
    <x v="6"/>
    <n v="45232246000550"/>
    <x v="249"/>
    <x v="22"/>
    <x v="3"/>
    <n v="73"/>
    <x v="1"/>
    <x v="1"/>
    <n v="12"/>
    <n v="6"/>
  </r>
  <r>
    <n v="2019"/>
    <n v="10"/>
    <x v="0"/>
    <x v="3"/>
    <x v="1"/>
    <s v="2019/2020"/>
    <b v="1"/>
    <b v="0"/>
    <b v="0"/>
    <x v="6"/>
    <n v="45359213000576"/>
    <x v="250"/>
    <x v="80"/>
    <x v="3"/>
    <n v="73"/>
    <x v="1"/>
    <x v="1"/>
    <n v="8"/>
    <n v="4"/>
  </r>
  <r>
    <n v="2019"/>
    <n v="10"/>
    <x v="0"/>
    <x v="3"/>
    <x v="1"/>
    <s v="2019/2020"/>
    <b v="1"/>
    <b v="0"/>
    <b v="0"/>
    <x v="2"/>
    <n v="45359213000576"/>
    <x v="250"/>
    <x v="80"/>
    <x v="3"/>
    <n v="73"/>
    <x v="1"/>
    <x v="4"/>
    <n v="48"/>
    <n v="4"/>
  </r>
  <r>
    <n v="2019"/>
    <n v="10"/>
    <x v="0"/>
    <x v="3"/>
    <x v="1"/>
    <s v="2019/2020"/>
    <b v="1"/>
    <b v="0"/>
    <b v="0"/>
    <x v="2"/>
    <n v="45359213000576"/>
    <x v="250"/>
    <x v="80"/>
    <x v="3"/>
    <n v="73"/>
    <x v="1"/>
    <x v="1"/>
    <n v="10"/>
    <n v="5"/>
  </r>
  <r>
    <n v="2019"/>
    <n v="10"/>
    <x v="0"/>
    <x v="3"/>
    <x v="1"/>
    <s v="2019/2020"/>
    <b v="1"/>
    <b v="0"/>
    <b v="0"/>
    <x v="5"/>
    <n v="45780103000150"/>
    <x v="252"/>
    <x v="82"/>
    <x v="3"/>
    <n v="70"/>
    <x v="0"/>
    <x v="0"/>
    <n v="50"/>
    <n v="10"/>
  </r>
  <r>
    <n v="2019"/>
    <n v="10"/>
    <x v="0"/>
    <x v="3"/>
    <x v="1"/>
    <s v="2019/2020"/>
    <b v="1"/>
    <b v="0"/>
    <b v="0"/>
    <x v="5"/>
    <n v="45780103000150"/>
    <x v="252"/>
    <x v="82"/>
    <x v="3"/>
    <n v="70"/>
    <x v="0"/>
    <x v="0"/>
    <n v="55"/>
    <n v="11"/>
  </r>
  <r>
    <n v="2019"/>
    <n v="10"/>
    <x v="0"/>
    <x v="3"/>
    <x v="1"/>
    <s v="2019/2020"/>
    <b v="1"/>
    <b v="0"/>
    <b v="0"/>
    <x v="5"/>
    <n v="45780103000150"/>
    <x v="252"/>
    <x v="82"/>
    <x v="3"/>
    <n v="70"/>
    <x v="0"/>
    <x v="0"/>
    <n v="260"/>
    <n v="52"/>
  </r>
  <r>
    <n v="2019"/>
    <n v="10"/>
    <x v="0"/>
    <x v="3"/>
    <x v="1"/>
    <s v="2019/2020"/>
    <b v="1"/>
    <b v="0"/>
    <b v="0"/>
    <x v="2"/>
    <n v="46009718000140"/>
    <x v="253"/>
    <x v="48"/>
    <x v="3"/>
    <n v="73"/>
    <x v="1"/>
    <x v="1"/>
    <n v="8"/>
    <n v="4"/>
  </r>
  <r>
    <n v="2019"/>
    <n v="10"/>
    <x v="0"/>
    <x v="3"/>
    <x v="1"/>
    <s v="2019/2020"/>
    <b v="1"/>
    <b v="0"/>
    <b v="0"/>
    <x v="2"/>
    <n v="46009718000140"/>
    <x v="253"/>
    <x v="48"/>
    <x v="3"/>
    <n v="73"/>
    <x v="1"/>
    <x v="4"/>
    <n v="40"/>
    <n v="5"/>
  </r>
  <r>
    <n v="2019"/>
    <n v="10"/>
    <x v="0"/>
    <x v="3"/>
    <x v="1"/>
    <s v="2019/2020"/>
    <b v="1"/>
    <b v="0"/>
    <b v="0"/>
    <x v="4"/>
    <n v="46020301000269"/>
    <x v="254"/>
    <x v="48"/>
    <x v="3"/>
    <n v="73"/>
    <x v="1"/>
    <x v="4"/>
    <n v="12"/>
    <n v="3"/>
  </r>
  <r>
    <n v="2019"/>
    <n v="10"/>
    <x v="0"/>
    <x v="3"/>
    <x v="1"/>
    <s v="2019/2020"/>
    <b v="1"/>
    <b v="0"/>
    <b v="0"/>
    <x v="4"/>
    <n v="46020301000269"/>
    <x v="254"/>
    <x v="48"/>
    <x v="3"/>
    <n v="73"/>
    <x v="1"/>
    <x v="2"/>
    <n v="3"/>
    <n v="3"/>
  </r>
  <r>
    <n v="2019"/>
    <n v="10"/>
    <x v="0"/>
    <x v="3"/>
    <x v="1"/>
    <s v="2019/2020"/>
    <b v="1"/>
    <b v="0"/>
    <b v="0"/>
    <x v="4"/>
    <n v="46020301000269"/>
    <x v="254"/>
    <x v="48"/>
    <x v="3"/>
    <n v="73"/>
    <x v="1"/>
    <x v="4"/>
    <n v="20"/>
    <n v="5"/>
  </r>
  <r>
    <n v="2019"/>
    <n v="10"/>
    <x v="0"/>
    <x v="3"/>
    <x v="1"/>
    <s v="2019/2020"/>
    <b v="1"/>
    <b v="0"/>
    <b v="0"/>
    <x v="17"/>
    <n v="46068425000133"/>
    <x v="425"/>
    <x v="48"/>
    <x v="3"/>
    <n v="66"/>
    <x v="2"/>
    <x v="3"/>
    <n v="1"/>
    <n v="1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25"/>
    <n v="5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75"/>
    <n v="15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00"/>
    <n v="20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15"/>
    <n v="23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25"/>
    <n v="25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40"/>
    <n v="28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50"/>
    <n v="30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165"/>
    <n v="33"/>
  </r>
  <r>
    <n v="2019"/>
    <n v="10"/>
    <x v="0"/>
    <x v="3"/>
    <x v="1"/>
    <s v="2019/2020"/>
    <b v="1"/>
    <b v="0"/>
    <b v="0"/>
    <x v="20"/>
    <n v="46124624000111"/>
    <x v="255"/>
    <x v="48"/>
    <x v="3"/>
    <n v="70"/>
    <x v="0"/>
    <x v="0"/>
    <n v="275"/>
    <n v="55"/>
  </r>
  <r>
    <n v="2019"/>
    <n v="10"/>
    <x v="0"/>
    <x v="3"/>
    <x v="1"/>
    <s v="2019/2020"/>
    <b v="1"/>
    <b v="0"/>
    <b v="0"/>
    <x v="20"/>
    <n v="46124624000111"/>
    <x v="255"/>
    <x v="48"/>
    <x v="3"/>
    <n v="73"/>
    <x v="1"/>
    <x v="4"/>
    <n v="72"/>
    <n v="6"/>
  </r>
  <r>
    <n v="2019"/>
    <n v="10"/>
    <x v="0"/>
    <x v="3"/>
    <x v="1"/>
    <s v="2019/2020"/>
    <b v="1"/>
    <b v="0"/>
    <b v="0"/>
    <x v="20"/>
    <n v="46124624002599"/>
    <x v="256"/>
    <x v="83"/>
    <x v="3"/>
    <n v="70"/>
    <x v="0"/>
    <x v="0"/>
    <n v="300"/>
    <n v="60"/>
  </r>
  <r>
    <n v="2019"/>
    <n v="10"/>
    <x v="0"/>
    <x v="3"/>
    <x v="1"/>
    <s v="2019/2020"/>
    <b v="1"/>
    <b v="0"/>
    <b v="0"/>
    <x v="20"/>
    <n v="46124624002599"/>
    <x v="256"/>
    <x v="83"/>
    <x v="3"/>
    <n v="70"/>
    <x v="0"/>
    <x v="0"/>
    <n v="800"/>
    <n v="80"/>
  </r>
  <r>
    <n v="2019"/>
    <n v="10"/>
    <x v="0"/>
    <x v="3"/>
    <x v="1"/>
    <s v="2019/2020"/>
    <b v="1"/>
    <b v="0"/>
    <b v="0"/>
    <x v="20"/>
    <n v="46124624002599"/>
    <x v="256"/>
    <x v="83"/>
    <x v="3"/>
    <n v="73"/>
    <x v="1"/>
    <x v="4"/>
    <n v="40"/>
    <n v="10"/>
  </r>
  <r>
    <n v="2019"/>
    <n v="10"/>
    <x v="0"/>
    <x v="3"/>
    <x v="1"/>
    <s v="2019/2020"/>
    <b v="1"/>
    <b v="0"/>
    <b v="0"/>
    <x v="20"/>
    <n v="46124624002599"/>
    <x v="256"/>
    <x v="83"/>
    <x v="3"/>
    <n v="73"/>
    <x v="1"/>
    <x v="4"/>
    <n v="240"/>
    <n v="30"/>
  </r>
  <r>
    <n v="2019"/>
    <n v="10"/>
    <x v="0"/>
    <x v="3"/>
    <x v="1"/>
    <s v="2019/2020"/>
    <b v="1"/>
    <b v="0"/>
    <b v="0"/>
    <x v="5"/>
    <n v="46374500003533"/>
    <x v="257"/>
    <x v="22"/>
    <x v="3"/>
    <n v="70"/>
    <x v="0"/>
    <x v="0"/>
    <n v="1000"/>
    <n v="200"/>
  </r>
  <r>
    <n v="2019"/>
    <n v="10"/>
    <x v="0"/>
    <x v="3"/>
    <x v="1"/>
    <s v="2019/2020"/>
    <b v="1"/>
    <b v="0"/>
    <b v="0"/>
    <x v="5"/>
    <n v="46643466000106"/>
    <x v="497"/>
    <x v="35"/>
    <x v="3"/>
    <n v="70"/>
    <x v="0"/>
    <x v="0"/>
    <n v="700"/>
    <n v="140"/>
  </r>
  <r>
    <n v="2019"/>
    <n v="10"/>
    <x v="0"/>
    <x v="3"/>
    <x v="1"/>
    <s v="2019/2020"/>
    <b v="1"/>
    <b v="0"/>
    <b v="0"/>
    <x v="5"/>
    <n v="46643466000106"/>
    <x v="497"/>
    <x v="35"/>
    <x v="3"/>
    <n v="70"/>
    <x v="0"/>
    <x v="0"/>
    <n v="750"/>
    <n v="150"/>
  </r>
  <r>
    <n v="2019"/>
    <n v="10"/>
    <x v="0"/>
    <x v="3"/>
    <x v="1"/>
    <s v="2019/2020"/>
    <b v="1"/>
    <b v="0"/>
    <b v="0"/>
    <x v="2"/>
    <n v="47074851000819"/>
    <x v="258"/>
    <x v="79"/>
    <x v="3"/>
    <n v="73"/>
    <x v="1"/>
    <x v="2"/>
    <n v="12"/>
    <n v="6"/>
  </r>
  <r>
    <n v="2019"/>
    <n v="10"/>
    <x v="0"/>
    <x v="3"/>
    <x v="1"/>
    <s v="2019/2020"/>
    <b v="1"/>
    <b v="0"/>
    <b v="0"/>
    <x v="5"/>
    <n v="48468284000171"/>
    <x v="259"/>
    <x v="84"/>
    <x v="3"/>
    <n v="70"/>
    <x v="0"/>
    <x v="0"/>
    <n v="100"/>
    <n v="20"/>
  </r>
  <r>
    <n v="2019"/>
    <n v="10"/>
    <x v="0"/>
    <x v="3"/>
    <x v="1"/>
    <s v="2019/2020"/>
    <b v="1"/>
    <b v="0"/>
    <b v="0"/>
    <x v="6"/>
    <n v="50486026000160"/>
    <x v="260"/>
    <x v="85"/>
    <x v="3"/>
    <n v="70"/>
    <x v="0"/>
    <x v="0"/>
    <n v="100"/>
    <n v="20"/>
  </r>
  <r>
    <n v="2019"/>
    <n v="10"/>
    <x v="0"/>
    <x v="3"/>
    <x v="1"/>
    <s v="2019/2020"/>
    <b v="1"/>
    <b v="0"/>
    <b v="0"/>
    <x v="4"/>
    <n v="51093193000456"/>
    <x v="500"/>
    <x v="116"/>
    <x v="3"/>
    <n v="70"/>
    <x v="0"/>
    <x v="0"/>
    <n v="20"/>
    <n v="4"/>
  </r>
  <r>
    <n v="2019"/>
    <n v="10"/>
    <x v="0"/>
    <x v="3"/>
    <x v="1"/>
    <s v="2019/2020"/>
    <b v="1"/>
    <b v="0"/>
    <b v="0"/>
    <x v="4"/>
    <n v="51722957010226"/>
    <x v="261"/>
    <x v="3"/>
    <x v="3"/>
    <n v="73"/>
    <x v="1"/>
    <x v="2"/>
    <n v="1"/>
    <n v="1"/>
  </r>
  <r>
    <n v="2019"/>
    <n v="10"/>
    <x v="0"/>
    <x v="3"/>
    <x v="1"/>
    <s v="2019/2020"/>
    <b v="1"/>
    <b v="0"/>
    <b v="0"/>
    <x v="17"/>
    <n v="51722957010226"/>
    <x v="261"/>
    <x v="3"/>
    <x v="3"/>
    <n v="73"/>
    <x v="1"/>
    <x v="1"/>
    <n v="2"/>
    <n v="1"/>
  </r>
  <r>
    <n v="2019"/>
    <n v="10"/>
    <x v="0"/>
    <x v="3"/>
    <x v="1"/>
    <s v="2019/2020"/>
    <b v="1"/>
    <b v="0"/>
    <b v="0"/>
    <x v="4"/>
    <n v="51722957012512"/>
    <x v="262"/>
    <x v="3"/>
    <x v="3"/>
    <n v="70"/>
    <x v="0"/>
    <x v="0"/>
    <n v="150"/>
    <n v="30"/>
  </r>
  <r>
    <n v="2019"/>
    <n v="10"/>
    <x v="0"/>
    <x v="3"/>
    <x v="1"/>
    <s v="2019/2020"/>
    <b v="1"/>
    <b v="0"/>
    <b v="0"/>
    <x v="4"/>
    <n v="51722957012512"/>
    <x v="262"/>
    <x v="3"/>
    <x v="3"/>
    <n v="70"/>
    <x v="0"/>
    <x v="0"/>
    <n v="250"/>
    <n v="50"/>
  </r>
  <r>
    <n v="2019"/>
    <n v="10"/>
    <x v="0"/>
    <x v="3"/>
    <x v="1"/>
    <s v="2019/2020"/>
    <b v="1"/>
    <b v="0"/>
    <b v="0"/>
    <x v="4"/>
    <n v="51722957012512"/>
    <x v="262"/>
    <x v="3"/>
    <x v="3"/>
    <n v="70"/>
    <x v="0"/>
    <x v="0"/>
    <n v="280"/>
    <n v="56"/>
  </r>
  <r>
    <n v="2019"/>
    <n v="10"/>
    <x v="0"/>
    <x v="3"/>
    <x v="1"/>
    <s v="2019/2020"/>
    <b v="1"/>
    <b v="0"/>
    <b v="0"/>
    <x v="4"/>
    <n v="51722957014302"/>
    <x v="552"/>
    <x v="147"/>
    <x v="3"/>
    <n v="70"/>
    <x v="0"/>
    <x v="0"/>
    <n v="75"/>
    <n v="15"/>
  </r>
  <r>
    <n v="2019"/>
    <n v="10"/>
    <x v="0"/>
    <x v="3"/>
    <x v="1"/>
    <s v="2019/2020"/>
    <b v="1"/>
    <b v="0"/>
    <b v="0"/>
    <x v="6"/>
    <n v="53311999000156"/>
    <x v="502"/>
    <x v="137"/>
    <x v="3"/>
    <n v="64"/>
    <x v="4"/>
    <x v="6"/>
    <n v="1"/>
    <n v="1"/>
  </r>
  <r>
    <n v="2019"/>
    <n v="10"/>
    <x v="0"/>
    <x v="3"/>
    <x v="1"/>
    <s v="2019/2020"/>
    <b v="1"/>
    <b v="0"/>
    <b v="0"/>
    <x v="6"/>
    <n v="53678264000246"/>
    <x v="553"/>
    <x v="148"/>
    <x v="3"/>
    <n v="70"/>
    <x v="0"/>
    <x v="7"/>
    <n v="80"/>
    <n v="8"/>
  </r>
  <r>
    <n v="2019"/>
    <n v="10"/>
    <x v="0"/>
    <x v="3"/>
    <x v="1"/>
    <s v="2019/2020"/>
    <b v="1"/>
    <b v="0"/>
    <b v="0"/>
    <x v="2"/>
    <n v="54012406000385"/>
    <x v="266"/>
    <x v="86"/>
    <x v="3"/>
    <n v="70"/>
    <x v="0"/>
    <x v="0"/>
    <n v="70"/>
    <n v="14"/>
  </r>
  <r>
    <n v="2019"/>
    <n v="10"/>
    <x v="0"/>
    <x v="3"/>
    <x v="1"/>
    <s v="2019/2020"/>
    <b v="1"/>
    <b v="0"/>
    <b v="0"/>
    <x v="6"/>
    <n v="54370630000187"/>
    <x v="554"/>
    <x v="78"/>
    <x v="3"/>
    <n v="70"/>
    <x v="0"/>
    <x v="7"/>
    <n v="120"/>
    <n v="12"/>
  </r>
  <r>
    <n v="2019"/>
    <n v="10"/>
    <x v="0"/>
    <x v="3"/>
    <x v="1"/>
    <s v="2019/2020"/>
    <b v="1"/>
    <b v="0"/>
    <b v="0"/>
    <x v="17"/>
    <n v="56577059000606"/>
    <x v="268"/>
    <x v="3"/>
    <x v="3"/>
    <n v="64"/>
    <x v="4"/>
    <x v="6"/>
    <n v="30"/>
    <n v="30"/>
  </r>
  <r>
    <n v="2019"/>
    <n v="10"/>
    <x v="0"/>
    <x v="3"/>
    <x v="1"/>
    <s v="2019/2020"/>
    <b v="1"/>
    <b v="0"/>
    <b v="0"/>
    <x v="6"/>
    <n v="57507402000102"/>
    <x v="555"/>
    <x v="33"/>
    <x v="3"/>
    <n v="70"/>
    <x v="0"/>
    <x v="0"/>
    <n v="150"/>
    <n v="30"/>
  </r>
  <r>
    <n v="2019"/>
    <n v="10"/>
    <x v="0"/>
    <x v="3"/>
    <x v="1"/>
    <s v="2019/2020"/>
    <b v="1"/>
    <b v="0"/>
    <b v="0"/>
    <x v="6"/>
    <n v="57507402000102"/>
    <x v="555"/>
    <x v="33"/>
    <x v="3"/>
    <n v="73"/>
    <x v="1"/>
    <x v="1"/>
    <n v="150"/>
    <n v="75"/>
  </r>
  <r>
    <n v="2019"/>
    <n v="10"/>
    <x v="0"/>
    <x v="3"/>
    <x v="1"/>
    <s v="2019/2020"/>
    <b v="1"/>
    <b v="0"/>
    <b v="0"/>
    <x v="5"/>
    <n v="57722118000302"/>
    <x v="270"/>
    <x v="22"/>
    <x v="3"/>
    <n v="73"/>
    <x v="1"/>
    <x v="2"/>
    <n v="10"/>
    <n v="10"/>
  </r>
  <r>
    <n v="2019"/>
    <n v="10"/>
    <x v="0"/>
    <x v="3"/>
    <x v="1"/>
    <s v="2019/2020"/>
    <b v="1"/>
    <b v="0"/>
    <b v="0"/>
    <x v="5"/>
    <n v="57722118000302"/>
    <x v="270"/>
    <x v="22"/>
    <x v="3"/>
    <n v="73"/>
    <x v="1"/>
    <x v="2"/>
    <n v="18"/>
    <n v="18"/>
  </r>
  <r>
    <n v="2019"/>
    <n v="10"/>
    <x v="0"/>
    <x v="3"/>
    <x v="1"/>
    <s v="2019/2020"/>
    <b v="1"/>
    <b v="0"/>
    <b v="0"/>
    <x v="5"/>
    <n v="57722118000302"/>
    <x v="270"/>
    <x v="22"/>
    <x v="3"/>
    <n v="73"/>
    <x v="1"/>
    <x v="2"/>
    <n v="40"/>
    <n v="40"/>
  </r>
  <r>
    <n v="2019"/>
    <n v="10"/>
    <x v="0"/>
    <x v="3"/>
    <x v="1"/>
    <s v="2019/2020"/>
    <b v="1"/>
    <b v="0"/>
    <b v="0"/>
    <x v="17"/>
    <n v="57723280000183"/>
    <x v="556"/>
    <x v="22"/>
    <x v="3"/>
    <n v="70"/>
    <x v="0"/>
    <x v="0"/>
    <n v="5"/>
    <n v="1"/>
  </r>
  <r>
    <n v="2019"/>
    <n v="10"/>
    <x v="0"/>
    <x v="3"/>
    <x v="1"/>
    <s v="2019/2020"/>
    <b v="1"/>
    <b v="0"/>
    <b v="0"/>
    <x v="3"/>
    <n v="58229691001070"/>
    <x v="271"/>
    <x v="70"/>
    <x v="3"/>
    <n v="73"/>
    <x v="1"/>
    <x v="4"/>
    <n v="32"/>
    <n v="8"/>
  </r>
  <r>
    <n v="2019"/>
    <n v="10"/>
    <x v="0"/>
    <x v="3"/>
    <x v="1"/>
    <s v="2019/2020"/>
    <b v="1"/>
    <b v="0"/>
    <b v="0"/>
    <x v="17"/>
    <n v="59481028000130"/>
    <x v="272"/>
    <x v="3"/>
    <x v="3"/>
    <n v="70"/>
    <x v="0"/>
    <x v="0"/>
    <n v="30"/>
    <n v="3"/>
  </r>
  <r>
    <n v="2019"/>
    <n v="10"/>
    <x v="0"/>
    <x v="3"/>
    <x v="1"/>
    <s v="2019/2020"/>
    <b v="1"/>
    <b v="0"/>
    <b v="0"/>
    <x v="5"/>
    <n v="60003761000129"/>
    <x v="275"/>
    <x v="26"/>
    <x v="3"/>
    <n v="62"/>
    <x v="3"/>
    <x v="5"/>
    <n v="6"/>
    <n v="6"/>
  </r>
  <r>
    <n v="2019"/>
    <n v="10"/>
    <x v="0"/>
    <x v="3"/>
    <x v="1"/>
    <s v="2019/2020"/>
    <b v="1"/>
    <b v="0"/>
    <b v="0"/>
    <x v="5"/>
    <n v="60003761000129"/>
    <x v="275"/>
    <x v="26"/>
    <x v="3"/>
    <n v="62"/>
    <x v="3"/>
    <x v="5"/>
    <n v="8"/>
    <n v="8"/>
  </r>
  <r>
    <n v="2019"/>
    <n v="10"/>
    <x v="0"/>
    <x v="3"/>
    <x v="1"/>
    <s v="2019/2020"/>
    <b v="1"/>
    <b v="0"/>
    <b v="0"/>
    <x v="4"/>
    <n v="60003761000129"/>
    <x v="275"/>
    <x v="26"/>
    <x v="3"/>
    <n v="62"/>
    <x v="3"/>
    <x v="5"/>
    <n v="6"/>
    <n v="6"/>
  </r>
  <r>
    <n v="2019"/>
    <n v="10"/>
    <x v="0"/>
    <x v="3"/>
    <x v="1"/>
    <s v="2019/2020"/>
    <b v="1"/>
    <b v="0"/>
    <b v="0"/>
    <x v="5"/>
    <n v="60003761000129"/>
    <x v="275"/>
    <x v="26"/>
    <x v="3"/>
    <n v="64"/>
    <x v="4"/>
    <x v="6"/>
    <n v="6"/>
    <n v="6"/>
  </r>
  <r>
    <n v="2019"/>
    <n v="10"/>
    <x v="0"/>
    <x v="3"/>
    <x v="1"/>
    <s v="2019/2020"/>
    <b v="1"/>
    <b v="0"/>
    <b v="0"/>
    <x v="5"/>
    <n v="60003761000129"/>
    <x v="275"/>
    <x v="26"/>
    <x v="3"/>
    <n v="64"/>
    <x v="4"/>
    <x v="6"/>
    <n v="30"/>
    <n v="30"/>
  </r>
  <r>
    <n v="2019"/>
    <n v="10"/>
    <x v="0"/>
    <x v="3"/>
    <x v="1"/>
    <s v="2019/2020"/>
    <b v="1"/>
    <b v="0"/>
    <b v="0"/>
    <x v="6"/>
    <n v="60214517001691"/>
    <x v="277"/>
    <x v="35"/>
    <x v="3"/>
    <n v="62"/>
    <x v="3"/>
    <x v="5"/>
    <n v="20"/>
    <n v="20"/>
  </r>
  <r>
    <n v="2019"/>
    <n v="10"/>
    <x v="0"/>
    <x v="3"/>
    <x v="1"/>
    <s v="2019/2020"/>
    <b v="1"/>
    <b v="0"/>
    <b v="0"/>
    <x v="17"/>
    <n v="60214517001691"/>
    <x v="277"/>
    <x v="35"/>
    <x v="3"/>
    <n v="70"/>
    <x v="0"/>
    <x v="0"/>
    <n v="75"/>
    <n v="15"/>
  </r>
  <r>
    <n v="2019"/>
    <n v="10"/>
    <x v="0"/>
    <x v="3"/>
    <x v="1"/>
    <s v="2019/2020"/>
    <b v="1"/>
    <b v="0"/>
    <b v="0"/>
    <x v="17"/>
    <n v="60214517001691"/>
    <x v="277"/>
    <x v="35"/>
    <x v="3"/>
    <n v="70"/>
    <x v="0"/>
    <x v="0"/>
    <n v="250"/>
    <n v="50"/>
  </r>
  <r>
    <n v="2019"/>
    <n v="10"/>
    <x v="0"/>
    <x v="3"/>
    <x v="1"/>
    <s v="2019/2020"/>
    <b v="1"/>
    <b v="0"/>
    <b v="0"/>
    <x v="11"/>
    <n v="60214517001691"/>
    <x v="277"/>
    <x v="35"/>
    <x v="3"/>
    <n v="70"/>
    <x v="0"/>
    <x v="0"/>
    <n v="125"/>
    <n v="25"/>
  </r>
  <r>
    <n v="2019"/>
    <n v="10"/>
    <x v="0"/>
    <x v="3"/>
    <x v="1"/>
    <s v="2019/2020"/>
    <b v="1"/>
    <b v="0"/>
    <b v="0"/>
    <x v="6"/>
    <n v="60214517001691"/>
    <x v="277"/>
    <x v="35"/>
    <x v="3"/>
    <n v="70"/>
    <x v="0"/>
    <x v="0"/>
    <n v="50"/>
    <n v="10"/>
  </r>
  <r>
    <n v="2019"/>
    <n v="10"/>
    <x v="0"/>
    <x v="3"/>
    <x v="1"/>
    <s v="2019/2020"/>
    <b v="1"/>
    <b v="0"/>
    <b v="0"/>
    <x v="5"/>
    <n v="60448040000122"/>
    <x v="278"/>
    <x v="3"/>
    <x v="3"/>
    <n v="62"/>
    <x v="3"/>
    <x v="5"/>
    <n v="66"/>
    <n v="66"/>
  </r>
  <r>
    <n v="2019"/>
    <n v="10"/>
    <x v="0"/>
    <x v="3"/>
    <x v="1"/>
    <s v="2019/2020"/>
    <b v="1"/>
    <b v="0"/>
    <b v="0"/>
    <x v="5"/>
    <n v="60448040000122"/>
    <x v="278"/>
    <x v="3"/>
    <x v="3"/>
    <n v="64"/>
    <x v="4"/>
    <x v="6"/>
    <n v="70"/>
    <n v="70"/>
  </r>
  <r>
    <n v="2019"/>
    <n v="10"/>
    <x v="0"/>
    <x v="3"/>
    <x v="1"/>
    <s v="2019/2020"/>
    <b v="1"/>
    <b v="0"/>
    <b v="0"/>
    <x v="17"/>
    <n v="60453024000390"/>
    <x v="279"/>
    <x v="3"/>
    <x v="3"/>
    <n v="62"/>
    <x v="3"/>
    <x v="5"/>
    <n v="30"/>
    <n v="10"/>
  </r>
  <r>
    <n v="2019"/>
    <n v="10"/>
    <x v="0"/>
    <x v="3"/>
    <x v="1"/>
    <s v="2019/2020"/>
    <b v="1"/>
    <b v="0"/>
    <b v="0"/>
    <x v="17"/>
    <n v="60453024000390"/>
    <x v="279"/>
    <x v="3"/>
    <x v="3"/>
    <n v="64"/>
    <x v="4"/>
    <x v="6"/>
    <n v="4"/>
    <n v="2"/>
  </r>
  <r>
    <n v="2019"/>
    <n v="10"/>
    <x v="0"/>
    <x v="3"/>
    <x v="1"/>
    <s v="2019/2020"/>
    <b v="1"/>
    <b v="0"/>
    <b v="0"/>
    <x v="17"/>
    <n v="60453024000390"/>
    <x v="279"/>
    <x v="3"/>
    <x v="3"/>
    <n v="64"/>
    <x v="4"/>
    <x v="6"/>
    <n v="4"/>
    <n v="4"/>
  </r>
  <r>
    <n v="2019"/>
    <n v="10"/>
    <x v="0"/>
    <x v="3"/>
    <x v="1"/>
    <s v="2019/2020"/>
    <b v="1"/>
    <b v="0"/>
    <b v="0"/>
    <x v="17"/>
    <n v="60453024000390"/>
    <x v="279"/>
    <x v="3"/>
    <x v="3"/>
    <n v="64"/>
    <x v="4"/>
    <x v="6"/>
    <n v="5"/>
    <n v="5"/>
  </r>
  <r>
    <n v="2019"/>
    <n v="10"/>
    <x v="0"/>
    <x v="3"/>
    <x v="1"/>
    <s v="2019/2020"/>
    <b v="1"/>
    <b v="0"/>
    <b v="0"/>
    <x v="28"/>
    <n v="60552098000111"/>
    <x v="280"/>
    <x v="3"/>
    <x v="3"/>
    <n v="70"/>
    <x v="0"/>
    <x v="0"/>
    <n v="125"/>
    <n v="25"/>
  </r>
  <r>
    <n v="2019"/>
    <n v="10"/>
    <x v="0"/>
    <x v="3"/>
    <x v="1"/>
    <s v="2019/2020"/>
    <b v="1"/>
    <b v="0"/>
    <b v="0"/>
    <x v="28"/>
    <n v="60552098000111"/>
    <x v="280"/>
    <x v="3"/>
    <x v="3"/>
    <n v="70"/>
    <x v="0"/>
    <x v="0"/>
    <n v="510"/>
    <n v="102"/>
  </r>
  <r>
    <n v="2019"/>
    <n v="10"/>
    <x v="0"/>
    <x v="3"/>
    <x v="1"/>
    <s v="2019/2020"/>
    <b v="1"/>
    <b v="0"/>
    <b v="0"/>
    <x v="6"/>
    <n v="60678604000113"/>
    <x v="281"/>
    <x v="3"/>
    <x v="3"/>
    <n v="62"/>
    <x v="3"/>
    <x v="5"/>
    <n v="24"/>
    <n v="12"/>
  </r>
  <r>
    <n v="2019"/>
    <n v="10"/>
    <x v="0"/>
    <x v="3"/>
    <x v="1"/>
    <s v="2019/2020"/>
    <b v="1"/>
    <b v="0"/>
    <b v="0"/>
    <x v="6"/>
    <n v="60678604000113"/>
    <x v="281"/>
    <x v="3"/>
    <x v="3"/>
    <n v="62"/>
    <x v="3"/>
    <x v="5"/>
    <n v="14"/>
    <n v="14"/>
  </r>
  <r>
    <n v="2019"/>
    <n v="10"/>
    <x v="0"/>
    <x v="3"/>
    <x v="1"/>
    <s v="2019/2020"/>
    <b v="1"/>
    <b v="0"/>
    <b v="0"/>
    <x v="6"/>
    <n v="60678604000113"/>
    <x v="281"/>
    <x v="3"/>
    <x v="3"/>
    <n v="62"/>
    <x v="3"/>
    <x v="5"/>
    <n v="18"/>
    <n v="18"/>
  </r>
  <r>
    <n v="2019"/>
    <n v="10"/>
    <x v="0"/>
    <x v="3"/>
    <x v="1"/>
    <s v="2019/2020"/>
    <b v="1"/>
    <b v="0"/>
    <b v="0"/>
    <x v="11"/>
    <n v="60678604000113"/>
    <x v="281"/>
    <x v="3"/>
    <x v="3"/>
    <n v="64"/>
    <x v="4"/>
    <x v="6"/>
    <n v="1"/>
    <n v="1"/>
  </r>
  <r>
    <n v="2019"/>
    <n v="10"/>
    <x v="0"/>
    <x v="3"/>
    <x v="1"/>
    <s v="2019/2020"/>
    <b v="1"/>
    <b v="0"/>
    <b v="0"/>
    <x v="6"/>
    <n v="60678604000113"/>
    <x v="281"/>
    <x v="3"/>
    <x v="3"/>
    <n v="70"/>
    <x v="0"/>
    <x v="0"/>
    <n v="100"/>
    <n v="20"/>
  </r>
  <r>
    <n v="2019"/>
    <n v="10"/>
    <x v="0"/>
    <x v="3"/>
    <x v="1"/>
    <s v="2019/2020"/>
    <b v="1"/>
    <b v="0"/>
    <b v="0"/>
    <x v="17"/>
    <n v="60726502000126"/>
    <x v="282"/>
    <x v="3"/>
    <x v="3"/>
    <n v="62"/>
    <x v="3"/>
    <x v="5"/>
    <n v="4"/>
    <n v="2"/>
  </r>
  <r>
    <n v="2019"/>
    <n v="10"/>
    <x v="0"/>
    <x v="3"/>
    <x v="1"/>
    <s v="2019/2020"/>
    <b v="1"/>
    <b v="0"/>
    <b v="0"/>
    <x v="17"/>
    <n v="60726502000126"/>
    <x v="282"/>
    <x v="3"/>
    <x v="3"/>
    <n v="62"/>
    <x v="3"/>
    <x v="5"/>
    <n v="6"/>
    <n v="6"/>
  </r>
  <r>
    <n v="2019"/>
    <n v="10"/>
    <x v="0"/>
    <x v="3"/>
    <x v="1"/>
    <s v="2019/2020"/>
    <b v="1"/>
    <b v="0"/>
    <b v="0"/>
    <x v="17"/>
    <n v="60726502000126"/>
    <x v="282"/>
    <x v="3"/>
    <x v="3"/>
    <n v="64"/>
    <x v="4"/>
    <x v="6"/>
    <n v="2"/>
    <n v="2"/>
  </r>
  <r>
    <n v="2019"/>
    <n v="10"/>
    <x v="0"/>
    <x v="3"/>
    <x v="1"/>
    <s v="2019/2020"/>
    <b v="1"/>
    <b v="0"/>
    <b v="0"/>
    <x v="17"/>
    <n v="60726502000126"/>
    <x v="282"/>
    <x v="3"/>
    <x v="3"/>
    <n v="64"/>
    <x v="4"/>
    <x v="6"/>
    <n v="8"/>
    <n v="4"/>
  </r>
  <r>
    <n v="2019"/>
    <n v="10"/>
    <x v="0"/>
    <x v="3"/>
    <x v="1"/>
    <s v="2019/2020"/>
    <b v="1"/>
    <b v="0"/>
    <b v="0"/>
    <x v="6"/>
    <n v="60726502000126"/>
    <x v="282"/>
    <x v="3"/>
    <x v="3"/>
    <n v="70"/>
    <x v="0"/>
    <x v="0"/>
    <n v="-25"/>
    <n v="-5"/>
  </r>
  <r>
    <n v="2019"/>
    <n v="10"/>
    <x v="0"/>
    <x v="3"/>
    <x v="1"/>
    <s v="2019/2020"/>
    <b v="1"/>
    <b v="0"/>
    <b v="0"/>
    <x v="6"/>
    <n v="60726502000126"/>
    <x v="282"/>
    <x v="3"/>
    <x v="3"/>
    <n v="70"/>
    <x v="0"/>
    <x v="0"/>
    <n v="20"/>
    <n v="4"/>
  </r>
  <r>
    <n v="2019"/>
    <n v="10"/>
    <x v="0"/>
    <x v="3"/>
    <x v="1"/>
    <s v="2019/2020"/>
    <b v="1"/>
    <b v="0"/>
    <b v="0"/>
    <x v="6"/>
    <n v="60726502000126"/>
    <x v="282"/>
    <x v="3"/>
    <x v="3"/>
    <n v="70"/>
    <x v="0"/>
    <x v="0"/>
    <n v="40"/>
    <n v="8"/>
  </r>
  <r>
    <n v="2019"/>
    <n v="10"/>
    <x v="0"/>
    <x v="3"/>
    <x v="1"/>
    <s v="2019/2020"/>
    <b v="1"/>
    <b v="0"/>
    <b v="0"/>
    <x v="6"/>
    <n v="60726502000126"/>
    <x v="282"/>
    <x v="3"/>
    <x v="3"/>
    <n v="70"/>
    <x v="0"/>
    <x v="0"/>
    <n v="120"/>
    <n v="12"/>
  </r>
  <r>
    <n v="2019"/>
    <n v="10"/>
    <x v="0"/>
    <x v="3"/>
    <x v="1"/>
    <s v="2019/2020"/>
    <b v="1"/>
    <b v="0"/>
    <b v="0"/>
    <x v="6"/>
    <n v="60726502000126"/>
    <x v="282"/>
    <x v="3"/>
    <x v="3"/>
    <n v="70"/>
    <x v="0"/>
    <x v="0"/>
    <n v="250"/>
    <n v="50"/>
  </r>
  <r>
    <n v="2019"/>
    <n v="10"/>
    <x v="0"/>
    <x v="3"/>
    <x v="1"/>
    <s v="2019/2020"/>
    <b v="1"/>
    <b v="0"/>
    <b v="0"/>
    <x v="17"/>
    <n v="60726502000711"/>
    <x v="283"/>
    <x v="3"/>
    <x v="3"/>
    <n v="62"/>
    <x v="3"/>
    <x v="5"/>
    <n v="4"/>
    <n v="4"/>
  </r>
  <r>
    <n v="2019"/>
    <n v="10"/>
    <x v="0"/>
    <x v="3"/>
    <x v="1"/>
    <s v="2019/2020"/>
    <b v="1"/>
    <b v="0"/>
    <b v="0"/>
    <x v="5"/>
    <n v="60765823000130"/>
    <x v="432"/>
    <x v="3"/>
    <x v="3"/>
    <n v="62"/>
    <x v="3"/>
    <x v="5"/>
    <n v="60"/>
    <n v="12"/>
  </r>
  <r>
    <n v="2019"/>
    <n v="10"/>
    <x v="0"/>
    <x v="3"/>
    <x v="1"/>
    <s v="2019/2020"/>
    <b v="1"/>
    <b v="0"/>
    <b v="0"/>
    <x v="4"/>
    <n v="60777901000116"/>
    <x v="284"/>
    <x v="3"/>
    <x v="3"/>
    <n v="70"/>
    <x v="0"/>
    <x v="0"/>
    <n v="200"/>
    <n v="40"/>
  </r>
  <r>
    <n v="2019"/>
    <n v="10"/>
    <x v="0"/>
    <x v="3"/>
    <x v="1"/>
    <s v="2019/2020"/>
    <b v="1"/>
    <b v="0"/>
    <b v="0"/>
    <x v="4"/>
    <n v="60777901000116"/>
    <x v="284"/>
    <x v="3"/>
    <x v="3"/>
    <n v="70"/>
    <x v="0"/>
    <x v="0"/>
    <n v="750"/>
    <n v="50"/>
  </r>
  <r>
    <n v="2019"/>
    <n v="10"/>
    <x v="0"/>
    <x v="3"/>
    <x v="1"/>
    <s v="2019/2020"/>
    <b v="1"/>
    <b v="0"/>
    <b v="0"/>
    <x v="4"/>
    <n v="60777901000116"/>
    <x v="284"/>
    <x v="3"/>
    <x v="3"/>
    <n v="70"/>
    <x v="0"/>
    <x v="0"/>
    <n v="300"/>
    <n v="60"/>
  </r>
  <r>
    <n v="2019"/>
    <n v="10"/>
    <x v="0"/>
    <x v="3"/>
    <x v="1"/>
    <s v="2019/2020"/>
    <b v="1"/>
    <b v="0"/>
    <b v="0"/>
    <x v="4"/>
    <n v="60884855000316"/>
    <x v="285"/>
    <x v="3"/>
    <x v="3"/>
    <n v="62"/>
    <x v="3"/>
    <x v="5"/>
    <n v="3"/>
    <n v="3"/>
  </r>
  <r>
    <n v="2019"/>
    <n v="10"/>
    <x v="0"/>
    <x v="3"/>
    <x v="1"/>
    <s v="2019/2020"/>
    <b v="1"/>
    <b v="0"/>
    <b v="0"/>
    <x v="4"/>
    <n v="60884855000316"/>
    <x v="285"/>
    <x v="3"/>
    <x v="3"/>
    <n v="62"/>
    <x v="3"/>
    <x v="5"/>
    <n v="5"/>
    <n v="5"/>
  </r>
  <r>
    <n v="2019"/>
    <n v="10"/>
    <x v="0"/>
    <x v="3"/>
    <x v="1"/>
    <s v="2019/2020"/>
    <b v="1"/>
    <b v="0"/>
    <b v="0"/>
    <x v="4"/>
    <n v="60884855000316"/>
    <x v="285"/>
    <x v="3"/>
    <x v="3"/>
    <n v="70"/>
    <x v="0"/>
    <x v="0"/>
    <n v="175"/>
    <n v="35"/>
  </r>
  <r>
    <n v="2019"/>
    <n v="10"/>
    <x v="0"/>
    <x v="3"/>
    <x v="1"/>
    <s v="2019/2020"/>
    <b v="1"/>
    <b v="0"/>
    <b v="0"/>
    <x v="4"/>
    <n v="60884855000316"/>
    <x v="285"/>
    <x v="3"/>
    <x v="3"/>
    <n v="70"/>
    <x v="0"/>
    <x v="0"/>
    <n v="185"/>
    <n v="37"/>
  </r>
  <r>
    <n v="2019"/>
    <n v="10"/>
    <x v="0"/>
    <x v="3"/>
    <x v="1"/>
    <s v="2019/2020"/>
    <b v="1"/>
    <b v="0"/>
    <b v="0"/>
    <x v="4"/>
    <n v="60884855000316"/>
    <x v="285"/>
    <x v="3"/>
    <x v="3"/>
    <n v="70"/>
    <x v="0"/>
    <x v="0"/>
    <n v="290"/>
    <n v="58"/>
  </r>
  <r>
    <n v="2019"/>
    <n v="10"/>
    <x v="0"/>
    <x v="3"/>
    <x v="1"/>
    <s v="2019/2020"/>
    <b v="1"/>
    <b v="0"/>
    <b v="0"/>
    <x v="4"/>
    <n v="60884855000316"/>
    <x v="285"/>
    <x v="3"/>
    <x v="3"/>
    <n v="70"/>
    <x v="0"/>
    <x v="0"/>
    <n v="400"/>
    <n v="80"/>
  </r>
  <r>
    <n v="2019"/>
    <n v="10"/>
    <x v="0"/>
    <x v="3"/>
    <x v="1"/>
    <s v="2019/2020"/>
    <b v="1"/>
    <b v="0"/>
    <b v="0"/>
    <x v="4"/>
    <n v="60884855000316"/>
    <x v="285"/>
    <x v="3"/>
    <x v="3"/>
    <n v="70"/>
    <x v="0"/>
    <x v="0"/>
    <n v="645"/>
    <n v="129"/>
  </r>
  <r>
    <n v="2019"/>
    <n v="10"/>
    <x v="0"/>
    <x v="3"/>
    <x v="1"/>
    <s v="2019/2020"/>
    <b v="1"/>
    <b v="0"/>
    <b v="0"/>
    <x v="2"/>
    <n v="60884855000316"/>
    <x v="285"/>
    <x v="3"/>
    <x v="3"/>
    <n v="73"/>
    <x v="1"/>
    <x v="1"/>
    <n v="40"/>
    <n v="5"/>
  </r>
  <r>
    <n v="2019"/>
    <n v="10"/>
    <x v="0"/>
    <x v="3"/>
    <x v="1"/>
    <s v="2019/2020"/>
    <b v="1"/>
    <b v="0"/>
    <b v="0"/>
    <x v="4"/>
    <n v="60884855001207"/>
    <x v="286"/>
    <x v="9"/>
    <x v="0"/>
    <n v="62"/>
    <x v="3"/>
    <x v="5"/>
    <n v="2"/>
    <n v="2"/>
  </r>
  <r>
    <n v="2019"/>
    <n v="10"/>
    <x v="0"/>
    <x v="3"/>
    <x v="1"/>
    <s v="2019/2020"/>
    <b v="1"/>
    <b v="0"/>
    <b v="0"/>
    <x v="4"/>
    <n v="60884855001207"/>
    <x v="286"/>
    <x v="9"/>
    <x v="0"/>
    <n v="64"/>
    <x v="4"/>
    <x v="6"/>
    <n v="2"/>
    <n v="2"/>
  </r>
  <r>
    <n v="2019"/>
    <n v="10"/>
    <x v="0"/>
    <x v="3"/>
    <x v="1"/>
    <s v="2019/2020"/>
    <b v="1"/>
    <b v="0"/>
    <b v="0"/>
    <x v="4"/>
    <n v="60884855001207"/>
    <x v="286"/>
    <x v="9"/>
    <x v="0"/>
    <n v="64"/>
    <x v="4"/>
    <x v="6"/>
    <n v="3"/>
    <n v="3"/>
  </r>
  <r>
    <n v="2019"/>
    <n v="10"/>
    <x v="0"/>
    <x v="3"/>
    <x v="1"/>
    <s v="2019/2020"/>
    <b v="1"/>
    <b v="0"/>
    <b v="0"/>
    <x v="4"/>
    <n v="60884855001207"/>
    <x v="286"/>
    <x v="9"/>
    <x v="0"/>
    <n v="64"/>
    <x v="4"/>
    <x v="6"/>
    <n v="7"/>
    <n v="7"/>
  </r>
  <r>
    <n v="2019"/>
    <n v="10"/>
    <x v="0"/>
    <x v="3"/>
    <x v="1"/>
    <s v="2019/2020"/>
    <b v="1"/>
    <b v="0"/>
    <b v="0"/>
    <x v="4"/>
    <n v="60884855001207"/>
    <x v="286"/>
    <x v="9"/>
    <x v="0"/>
    <n v="70"/>
    <x v="0"/>
    <x v="0"/>
    <n v="40"/>
    <n v="8"/>
  </r>
  <r>
    <n v="2019"/>
    <n v="10"/>
    <x v="0"/>
    <x v="3"/>
    <x v="1"/>
    <s v="2019/2020"/>
    <b v="1"/>
    <b v="0"/>
    <b v="0"/>
    <x v="4"/>
    <n v="60884855001207"/>
    <x v="286"/>
    <x v="9"/>
    <x v="0"/>
    <n v="70"/>
    <x v="0"/>
    <x v="0"/>
    <n v="75"/>
    <n v="15"/>
  </r>
  <r>
    <n v="2019"/>
    <n v="10"/>
    <x v="0"/>
    <x v="3"/>
    <x v="1"/>
    <s v="2019/2020"/>
    <b v="1"/>
    <b v="0"/>
    <b v="0"/>
    <x v="4"/>
    <n v="60884855001207"/>
    <x v="286"/>
    <x v="9"/>
    <x v="0"/>
    <n v="70"/>
    <x v="0"/>
    <x v="0"/>
    <n v="115"/>
    <n v="23"/>
  </r>
  <r>
    <n v="2019"/>
    <n v="10"/>
    <x v="0"/>
    <x v="3"/>
    <x v="1"/>
    <s v="2019/2020"/>
    <b v="1"/>
    <b v="0"/>
    <b v="0"/>
    <x v="4"/>
    <n v="60884855001207"/>
    <x v="286"/>
    <x v="9"/>
    <x v="0"/>
    <n v="70"/>
    <x v="0"/>
    <x v="0"/>
    <n v="175"/>
    <n v="35"/>
  </r>
  <r>
    <n v="2019"/>
    <n v="10"/>
    <x v="0"/>
    <x v="3"/>
    <x v="1"/>
    <s v="2019/2020"/>
    <b v="1"/>
    <b v="0"/>
    <b v="0"/>
    <x v="4"/>
    <n v="60884855001207"/>
    <x v="286"/>
    <x v="9"/>
    <x v="0"/>
    <n v="70"/>
    <x v="0"/>
    <x v="0"/>
    <n v="360"/>
    <n v="72"/>
  </r>
  <r>
    <n v="2019"/>
    <n v="10"/>
    <x v="0"/>
    <x v="3"/>
    <x v="1"/>
    <s v="2019/2020"/>
    <b v="1"/>
    <b v="0"/>
    <b v="0"/>
    <x v="4"/>
    <n v="60884855001207"/>
    <x v="286"/>
    <x v="9"/>
    <x v="0"/>
    <n v="73"/>
    <x v="1"/>
    <x v="1"/>
    <n v="2"/>
    <n v="1"/>
  </r>
  <r>
    <n v="2019"/>
    <n v="10"/>
    <x v="0"/>
    <x v="3"/>
    <x v="1"/>
    <s v="2019/2020"/>
    <b v="1"/>
    <b v="0"/>
    <b v="0"/>
    <x v="4"/>
    <n v="60884855001207"/>
    <x v="286"/>
    <x v="9"/>
    <x v="0"/>
    <n v="73"/>
    <x v="1"/>
    <x v="2"/>
    <n v="1"/>
    <n v="1"/>
  </r>
  <r>
    <n v="2019"/>
    <n v="10"/>
    <x v="0"/>
    <x v="3"/>
    <x v="1"/>
    <s v="2019/2020"/>
    <b v="1"/>
    <b v="0"/>
    <b v="0"/>
    <x v="4"/>
    <n v="60884855001207"/>
    <x v="286"/>
    <x v="9"/>
    <x v="0"/>
    <n v="73"/>
    <x v="1"/>
    <x v="1"/>
    <n v="16"/>
    <n v="8"/>
  </r>
  <r>
    <n v="2019"/>
    <n v="10"/>
    <x v="0"/>
    <x v="3"/>
    <x v="1"/>
    <s v="2019/2020"/>
    <b v="1"/>
    <b v="0"/>
    <b v="0"/>
    <x v="2"/>
    <n v="60884855001207"/>
    <x v="286"/>
    <x v="9"/>
    <x v="0"/>
    <n v="73"/>
    <x v="1"/>
    <x v="2"/>
    <n v="1"/>
    <n v="1"/>
  </r>
  <r>
    <n v="2019"/>
    <n v="10"/>
    <x v="0"/>
    <x v="3"/>
    <x v="1"/>
    <s v="2019/2020"/>
    <b v="1"/>
    <b v="0"/>
    <b v="0"/>
    <x v="2"/>
    <n v="60884855001207"/>
    <x v="286"/>
    <x v="9"/>
    <x v="0"/>
    <n v="73"/>
    <x v="1"/>
    <x v="1"/>
    <n v="8"/>
    <n v="4"/>
  </r>
  <r>
    <n v="2019"/>
    <n v="10"/>
    <x v="0"/>
    <x v="3"/>
    <x v="1"/>
    <s v="2019/2020"/>
    <b v="1"/>
    <b v="0"/>
    <b v="0"/>
    <x v="2"/>
    <n v="60884855001207"/>
    <x v="286"/>
    <x v="9"/>
    <x v="0"/>
    <n v="73"/>
    <x v="1"/>
    <x v="1"/>
    <n v="22"/>
    <n v="11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2"/>
    <n v="2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3"/>
    <n v="3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8"/>
    <n v="8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12"/>
    <n v="12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13"/>
    <n v="13"/>
  </r>
  <r>
    <n v="2019"/>
    <n v="10"/>
    <x v="0"/>
    <x v="3"/>
    <x v="1"/>
    <s v="2019/2020"/>
    <b v="1"/>
    <b v="0"/>
    <b v="0"/>
    <x v="4"/>
    <n v="60884855001630"/>
    <x v="287"/>
    <x v="0"/>
    <x v="0"/>
    <n v="62"/>
    <x v="3"/>
    <x v="5"/>
    <n v="23"/>
    <n v="23"/>
  </r>
  <r>
    <n v="2019"/>
    <n v="10"/>
    <x v="0"/>
    <x v="3"/>
    <x v="1"/>
    <s v="2019/2020"/>
    <b v="1"/>
    <b v="0"/>
    <b v="0"/>
    <x v="4"/>
    <n v="60884855001630"/>
    <x v="287"/>
    <x v="0"/>
    <x v="0"/>
    <n v="64"/>
    <x v="4"/>
    <x v="6"/>
    <n v="5"/>
    <n v="5"/>
  </r>
  <r>
    <n v="2019"/>
    <n v="10"/>
    <x v="0"/>
    <x v="3"/>
    <x v="1"/>
    <s v="2019/2020"/>
    <b v="1"/>
    <b v="0"/>
    <b v="0"/>
    <x v="4"/>
    <n v="60884855001630"/>
    <x v="287"/>
    <x v="0"/>
    <x v="0"/>
    <n v="64"/>
    <x v="4"/>
    <x v="6"/>
    <n v="9"/>
    <n v="9"/>
  </r>
  <r>
    <n v="2019"/>
    <n v="10"/>
    <x v="0"/>
    <x v="3"/>
    <x v="1"/>
    <s v="2019/2020"/>
    <b v="1"/>
    <b v="0"/>
    <b v="0"/>
    <x v="4"/>
    <n v="60884855001630"/>
    <x v="287"/>
    <x v="0"/>
    <x v="0"/>
    <n v="64"/>
    <x v="4"/>
    <x v="6"/>
    <n v="24"/>
    <n v="24"/>
  </r>
  <r>
    <n v="2019"/>
    <n v="10"/>
    <x v="0"/>
    <x v="3"/>
    <x v="1"/>
    <s v="2019/2020"/>
    <b v="1"/>
    <b v="0"/>
    <b v="0"/>
    <x v="4"/>
    <n v="60884855002289"/>
    <x v="288"/>
    <x v="4"/>
    <x v="4"/>
    <n v="62"/>
    <x v="3"/>
    <x v="5"/>
    <n v="1"/>
    <n v="1"/>
  </r>
  <r>
    <n v="2019"/>
    <n v="10"/>
    <x v="0"/>
    <x v="3"/>
    <x v="1"/>
    <s v="2019/2020"/>
    <b v="1"/>
    <b v="0"/>
    <b v="0"/>
    <x v="4"/>
    <n v="60884855002289"/>
    <x v="288"/>
    <x v="4"/>
    <x v="4"/>
    <n v="62"/>
    <x v="3"/>
    <x v="5"/>
    <n v="8"/>
    <n v="8"/>
  </r>
  <r>
    <n v="2019"/>
    <n v="10"/>
    <x v="0"/>
    <x v="3"/>
    <x v="1"/>
    <s v="2019/2020"/>
    <b v="1"/>
    <b v="0"/>
    <b v="0"/>
    <x v="4"/>
    <n v="60884855002289"/>
    <x v="288"/>
    <x v="4"/>
    <x v="4"/>
    <n v="62"/>
    <x v="3"/>
    <x v="5"/>
    <n v="11"/>
    <n v="11"/>
  </r>
  <r>
    <n v="2019"/>
    <n v="10"/>
    <x v="0"/>
    <x v="3"/>
    <x v="1"/>
    <s v="2019/2020"/>
    <b v="1"/>
    <b v="0"/>
    <b v="0"/>
    <x v="4"/>
    <n v="60884855002289"/>
    <x v="288"/>
    <x v="4"/>
    <x v="4"/>
    <n v="64"/>
    <x v="4"/>
    <x v="6"/>
    <n v="5"/>
    <n v="5"/>
  </r>
  <r>
    <n v="2019"/>
    <n v="10"/>
    <x v="0"/>
    <x v="3"/>
    <x v="1"/>
    <s v="2019/2020"/>
    <b v="1"/>
    <b v="0"/>
    <b v="0"/>
    <x v="4"/>
    <n v="60884855002289"/>
    <x v="288"/>
    <x v="4"/>
    <x v="4"/>
    <n v="64"/>
    <x v="4"/>
    <x v="6"/>
    <n v="7"/>
    <n v="7"/>
  </r>
  <r>
    <n v="2019"/>
    <n v="10"/>
    <x v="0"/>
    <x v="3"/>
    <x v="1"/>
    <s v="2019/2020"/>
    <b v="1"/>
    <b v="0"/>
    <b v="0"/>
    <x v="4"/>
    <n v="60884855002289"/>
    <x v="288"/>
    <x v="4"/>
    <x v="4"/>
    <n v="64"/>
    <x v="4"/>
    <x v="6"/>
    <n v="9"/>
    <n v="9"/>
  </r>
  <r>
    <n v="2019"/>
    <n v="10"/>
    <x v="0"/>
    <x v="3"/>
    <x v="1"/>
    <s v="2019/2020"/>
    <b v="1"/>
    <b v="0"/>
    <b v="0"/>
    <x v="4"/>
    <n v="60884855002289"/>
    <x v="288"/>
    <x v="4"/>
    <x v="4"/>
    <n v="70"/>
    <x v="0"/>
    <x v="0"/>
    <n v="275"/>
    <n v="55"/>
  </r>
  <r>
    <n v="2019"/>
    <n v="10"/>
    <x v="0"/>
    <x v="3"/>
    <x v="1"/>
    <s v="2019/2020"/>
    <b v="1"/>
    <b v="0"/>
    <b v="0"/>
    <x v="4"/>
    <n v="60884855002289"/>
    <x v="288"/>
    <x v="4"/>
    <x v="4"/>
    <n v="70"/>
    <x v="0"/>
    <x v="0"/>
    <n v="400"/>
    <n v="80"/>
  </r>
  <r>
    <n v="2019"/>
    <n v="10"/>
    <x v="0"/>
    <x v="3"/>
    <x v="1"/>
    <s v="2019/2020"/>
    <b v="1"/>
    <b v="0"/>
    <b v="0"/>
    <x v="10"/>
    <n v="60922168000348"/>
    <x v="289"/>
    <x v="0"/>
    <x v="0"/>
    <n v="62"/>
    <x v="3"/>
    <x v="5"/>
    <n v="2"/>
    <n v="2"/>
  </r>
  <r>
    <n v="2019"/>
    <n v="10"/>
    <x v="0"/>
    <x v="3"/>
    <x v="1"/>
    <s v="2019/2020"/>
    <b v="1"/>
    <b v="0"/>
    <b v="0"/>
    <x v="10"/>
    <n v="60922168000348"/>
    <x v="289"/>
    <x v="0"/>
    <x v="0"/>
    <n v="62"/>
    <x v="3"/>
    <x v="5"/>
    <n v="4"/>
    <n v="4"/>
  </r>
  <r>
    <n v="2019"/>
    <n v="10"/>
    <x v="0"/>
    <x v="3"/>
    <x v="1"/>
    <s v="2019/2020"/>
    <b v="1"/>
    <b v="0"/>
    <b v="0"/>
    <x v="10"/>
    <n v="60922168000348"/>
    <x v="289"/>
    <x v="0"/>
    <x v="0"/>
    <n v="64"/>
    <x v="4"/>
    <x v="6"/>
    <n v="1"/>
    <n v="1"/>
  </r>
  <r>
    <n v="2019"/>
    <n v="10"/>
    <x v="0"/>
    <x v="3"/>
    <x v="1"/>
    <s v="2019/2020"/>
    <b v="1"/>
    <b v="0"/>
    <b v="0"/>
    <x v="10"/>
    <n v="60922168000348"/>
    <x v="289"/>
    <x v="0"/>
    <x v="0"/>
    <n v="64"/>
    <x v="4"/>
    <x v="6"/>
    <n v="2"/>
    <n v="2"/>
  </r>
  <r>
    <n v="2019"/>
    <n v="10"/>
    <x v="0"/>
    <x v="3"/>
    <x v="1"/>
    <s v="2019/2020"/>
    <b v="1"/>
    <b v="0"/>
    <b v="0"/>
    <x v="10"/>
    <n v="60922168000348"/>
    <x v="289"/>
    <x v="0"/>
    <x v="0"/>
    <n v="64"/>
    <x v="4"/>
    <x v="6"/>
    <n v="3"/>
    <n v="3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5"/>
    <n v="1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15"/>
    <n v="3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25"/>
    <n v="5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7"/>
    <n v="60"/>
    <n v="6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30"/>
    <n v="6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40"/>
    <n v="8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7"/>
    <n v="90"/>
    <n v="9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240"/>
    <n v="12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65"/>
    <n v="13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85"/>
    <n v="17"/>
  </r>
  <r>
    <n v="2019"/>
    <n v="10"/>
    <x v="0"/>
    <x v="3"/>
    <x v="1"/>
    <s v="2019/2020"/>
    <b v="1"/>
    <b v="0"/>
    <b v="0"/>
    <x v="10"/>
    <n v="60922168000348"/>
    <x v="289"/>
    <x v="0"/>
    <x v="0"/>
    <n v="70"/>
    <x v="0"/>
    <x v="0"/>
    <n v="95"/>
    <n v="19"/>
  </r>
  <r>
    <n v="2019"/>
    <n v="10"/>
    <x v="0"/>
    <x v="3"/>
    <x v="1"/>
    <s v="2019/2020"/>
    <b v="1"/>
    <b v="0"/>
    <b v="0"/>
    <x v="6"/>
    <n v="60922168000771"/>
    <x v="290"/>
    <x v="3"/>
    <x v="3"/>
    <n v="62"/>
    <x v="3"/>
    <x v="5"/>
    <n v="18"/>
    <n v="18"/>
  </r>
  <r>
    <n v="2019"/>
    <n v="10"/>
    <x v="0"/>
    <x v="3"/>
    <x v="1"/>
    <s v="2019/2020"/>
    <b v="1"/>
    <b v="0"/>
    <b v="0"/>
    <x v="2"/>
    <n v="60922168000771"/>
    <x v="290"/>
    <x v="3"/>
    <x v="3"/>
    <n v="62"/>
    <x v="3"/>
    <x v="5"/>
    <n v="1"/>
    <n v="1"/>
  </r>
  <r>
    <n v="2019"/>
    <n v="10"/>
    <x v="0"/>
    <x v="3"/>
    <x v="1"/>
    <s v="2019/2020"/>
    <b v="1"/>
    <b v="0"/>
    <b v="0"/>
    <x v="2"/>
    <n v="60922168000771"/>
    <x v="290"/>
    <x v="3"/>
    <x v="3"/>
    <n v="62"/>
    <x v="3"/>
    <x v="5"/>
    <n v="2"/>
    <n v="2"/>
  </r>
  <r>
    <n v="2019"/>
    <n v="10"/>
    <x v="0"/>
    <x v="3"/>
    <x v="1"/>
    <s v="2019/2020"/>
    <b v="1"/>
    <b v="0"/>
    <b v="0"/>
    <x v="17"/>
    <n v="60922168000771"/>
    <x v="290"/>
    <x v="3"/>
    <x v="3"/>
    <n v="70"/>
    <x v="0"/>
    <x v="0"/>
    <n v="5"/>
    <n v="1"/>
  </r>
  <r>
    <n v="2019"/>
    <n v="10"/>
    <x v="0"/>
    <x v="3"/>
    <x v="1"/>
    <s v="2019/2020"/>
    <b v="1"/>
    <b v="0"/>
    <b v="0"/>
    <x v="17"/>
    <n v="60922168000771"/>
    <x v="290"/>
    <x v="3"/>
    <x v="3"/>
    <n v="70"/>
    <x v="0"/>
    <x v="0"/>
    <n v="10"/>
    <n v="2"/>
  </r>
  <r>
    <n v="2019"/>
    <n v="10"/>
    <x v="0"/>
    <x v="3"/>
    <x v="1"/>
    <s v="2019/2020"/>
    <b v="1"/>
    <b v="0"/>
    <b v="0"/>
    <x v="10"/>
    <n v="60922168000771"/>
    <x v="290"/>
    <x v="3"/>
    <x v="3"/>
    <n v="70"/>
    <x v="0"/>
    <x v="7"/>
    <n v="10"/>
    <n v="1"/>
  </r>
  <r>
    <n v="2019"/>
    <n v="10"/>
    <x v="0"/>
    <x v="3"/>
    <x v="1"/>
    <s v="2019/2020"/>
    <b v="1"/>
    <b v="0"/>
    <b v="0"/>
    <x v="10"/>
    <n v="60922168000771"/>
    <x v="290"/>
    <x v="3"/>
    <x v="3"/>
    <n v="70"/>
    <x v="0"/>
    <x v="7"/>
    <n v="30"/>
    <n v="3"/>
  </r>
  <r>
    <n v="2019"/>
    <n v="10"/>
    <x v="0"/>
    <x v="3"/>
    <x v="1"/>
    <s v="2019/2020"/>
    <b v="1"/>
    <b v="0"/>
    <b v="0"/>
    <x v="6"/>
    <n v="60922168000771"/>
    <x v="290"/>
    <x v="3"/>
    <x v="3"/>
    <n v="70"/>
    <x v="0"/>
    <x v="0"/>
    <n v="10"/>
    <n v="2"/>
  </r>
  <r>
    <n v="2019"/>
    <n v="10"/>
    <x v="0"/>
    <x v="3"/>
    <x v="1"/>
    <s v="2019/2020"/>
    <b v="1"/>
    <b v="0"/>
    <b v="0"/>
    <x v="6"/>
    <n v="60922168000771"/>
    <x v="290"/>
    <x v="3"/>
    <x v="3"/>
    <n v="70"/>
    <x v="0"/>
    <x v="7"/>
    <n v="130"/>
    <n v="13"/>
  </r>
  <r>
    <n v="2019"/>
    <n v="10"/>
    <x v="0"/>
    <x v="3"/>
    <x v="1"/>
    <s v="2019/2020"/>
    <b v="1"/>
    <b v="0"/>
    <b v="0"/>
    <x v="6"/>
    <n v="60922168000771"/>
    <x v="290"/>
    <x v="3"/>
    <x v="3"/>
    <n v="73"/>
    <x v="1"/>
    <x v="1"/>
    <n v="6"/>
    <n v="1"/>
  </r>
  <r>
    <n v="2019"/>
    <n v="10"/>
    <x v="0"/>
    <x v="3"/>
    <x v="1"/>
    <s v="2019/2020"/>
    <b v="1"/>
    <b v="0"/>
    <b v="0"/>
    <x v="6"/>
    <n v="60922168000771"/>
    <x v="290"/>
    <x v="3"/>
    <x v="3"/>
    <n v="73"/>
    <x v="1"/>
    <x v="4"/>
    <n v="4"/>
    <n v="1"/>
  </r>
  <r>
    <n v="2019"/>
    <n v="10"/>
    <x v="0"/>
    <x v="3"/>
    <x v="1"/>
    <s v="2019/2020"/>
    <b v="1"/>
    <b v="0"/>
    <b v="0"/>
    <x v="2"/>
    <n v="60922168000771"/>
    <x v="290"/>
    <x v="3"/>
    <x v="3"/>
    <n v="73"/>
    <x v="1"/>
    <x v="4"/>
    <n v="8"/>
    <n v="2"/>
  </r>
  <r>
    <n v="2019"/>
    <n v="10"/>
    <x v="0"/>
    <x v="3"/>
    <x v="1"/>
    <s v="2019/2020"/>
    <b v="1"/>
    <b v="0"/>
    <b v="0"/>
    <x v="2"/>
    <n v="60922168000771"/>
    <x v="290"/>
    <x v="3"/>
    <x v="3"/>
    <n v="73"/>
    <x v="1"/>
    <x v="2"/>
    <n v="4"/>
    <n v="2"/>
  </r>
  <r>
    <n v="2019"/>
    <n v="10"/>
    <x v="0"/>
    <x v="3"/>
    <x v="1"/>
    <s v="2019/2020"/>
    <b v="1"/>
    <b v="0"/>
    <b v="0"/>
    <x v="15"/>
    <n v="60922168005226"/>
    <x v="292"/>
    <x v="87"/>
    <x v="10"/>
    <n v="62"/>
    <x v="3"/>
    <x v="5"/>
    <n v="2"/>
    <n v="2"/>
  </r>
  <r>
    <n v="2019"/>
    <n v="10"/>
    <x v="0"/>
    <x v="3"/>
    <x v="1"/>
    <s v="2019/2020"/>
    <b v="1"/>
    <b v="0"/>
    <b v="0"/>
    <x v="4"/>
    <n v="60961422000155"/>
    <x v="293"/>
    <x v="3"/>
    <x v="3"/>
    <n v="62"/>
    <x v="3"/>
    <x v="5"/>
    <n v="8"/>
    <n v="1"/>
  </r>
  <r>
    <n v="2019"/>
    <n v="10"/>
    <x v="0"/>
    <x v="3"/>
    <x v="1"/>
    <s v="2019/2020"/>
    <b v="1"/>
    <b v="0"/>
    <b v="0"/>
    <x v="4"/>
    <n v="60961422000155"/>
    <x v="293"/>
    <x v="3"/>
    <x v="3"/>
    <n v="62"/>
    <x v="3"/>
    <x v="5"/>
    <n v="2"/>
    <n v="2"/>
  </r>
  <r>
    <n v="2019"/>
    <n v="10"/>
    <x v="0"/>
    <x v="3"/>
    <x v="1"/>
    <s v="2019/2020"/>
    <b v="1"/>
    <b v="0"/>
    <b v="0"/>
    <x v="4"/>
    <n v="60961422000155"/>
    <x v="293"/>
    <x v="3"/>
    <x v="3"/>
    <n v="62"/>
    <x v="3"/>
    <x v="5"/>
    <n v="3"/>
    <n v="3"/>
  </r>
  <r>
    <n v="2019"/>
    <n v="10"/>
    <x v="0"/>
    <x v="3"/>
    <x v="1"/>
    <s v="2019/2020"/>
    <b v="1"/>
    <b v="0"/>
    <b v="0"/>
    <x v="17"/>
    <n v="60961422000155"/>
    <x v="293"/>
    <x v="3"/>
    <x v="3"/>
    <n v="64"/>
    <x v="4"/>
    <x v="6"/>
    <n v="1"/>
    <n v="1"/>
  </r>
  <r>
    <n v="2019"/>
    <n v="10"/>
    <x v="0"/>
    <x v="3"/>
    <x v="1"/>
    <s v="2019/2020"/>
    <b v="1"/>
    <b v="0"/>
    <b v="0"/>
    <x v="17"/>
    <n v="60961422000155"/>
    <x v="293"/>
    <x v="3"/>
    <x v="3"/>
    <n v="64"/>
    <x v="4"/>
    <x v="6"/>
    <n v="2"/>
    <n v="2"/>
  </r>
  <r>
    <n v="2019"/>
    <n v="10"/>
    <x v="0"/>
    <x v="3"/>
    <x v="1"/>
    <s v="2019/2020"/>
    <b v="1"/>
    <b v="0"/>
    <b v="0"/>
    <x v="4"/>
    <n v="60961422000155"/>
    <x v="293"/>
    <x v="3"/>
    <x v="3"/>
    <n v="70"/>
    <x v="0"/>
    <x v="0"/>
    <n v="20"/>
    <n v="4"/>
  </r>
  <r>
    <n v="2019"/>
    <n v="10"/>
    <x v="0"/>
    <x v="3"/>
    <x v="1"/>
    <s v="2019/2020"/>
    <b v="1"/>
    <b v="0"/>
    <b v="0"/>
    <x v="6"/>
    <n v="60975737001204"/>
    <x v="296"/>
    <x v="3"/>
    <x v="3"/>
    <n v="62"/>
    <x v="3"/>
    <x v="5"/>
    <n v="4"/>
    <n v="4"/>
  </r>
  <r>
    <n v="2019"/>
    <n v="10"/>
    <x v="0"/>
    <x v="3"/>
    <x v="1"/>
    <s v="2019/2020"/>
    <b v="1"/>
    <b v="0"/>
    <b v="0"/>
    <x v="6"/>
    <n v="60975737001204"/>
    <x v="296"/>
    <x v="3"/>
    <x v="3"/>
    <n v="64"/>
    <x v="4"/>
    <x v="6"/>
    <n v="10"/>
    <n v="5"/>
  </r>
  <r>
    <n v="2019"/>
    <n v="10"/>
    <x v="0"/>
    <x v="3"/>
    <x v="1"/>
    <s v="2019/2020"/>
    <b v="1"/>
    <b v="0"/>
    <b v="0"/>
    <x v="6"/>
    <n v="60992427000650"/>
    <x v="507"/>
    <x v="3"/>
    <x v="3"/>
    <n v="62"/>
    <x v="3"/>
    <x v="5"/>
    <n v="-3"/>
    <n v="-3"/>
  </r>
  <r>
    <n v="2019"/>
    <n v="10"/>
    <x v="0"/>
    <x v="3"/>
    <x v="1"/>
    <s v="2019/2020"/>
    <b v="1"/>
    <b v="0"/>
    <b v="0"/>
    <x v="6"/>
    <n v="60992427000650"/>
    <x v="507"/>
    <x v="3"/>
    <x v="3"/>
    <n v="62"/>
    <x v="3"/>
    <x v="5"/>
    <n v="3"/>
    <n v="3"/>
  </r>
  <r>
    <n v="2019"/>
    <n v="10"/>
    <x v="0"/>
    <x v="3"/>
    <x v="1"/>
    <s v="2019/2020"/>
    <b v="1"/>
    <b v="0"/>
    <b v="0"/>
    <x v="17"/>
    <n v="61213674000240"/>
    <x v="298"/>
    <x v="3"/>
    <x v="3"/>
    <n v="62"/>
    <x v="3"/>
    <x v="5"/>
    <n v="3"/>
    <n v="1"/>
  </r>
  <r>
    <n v="2019"/>
    <n v="10"/>
    <x v="0"/>
    <x v="3"/>
    <x v="1"/>
    <s v="2019/2020"/>
    <b v="1"/>
    <b v="0"/>
    <b v="0"/>
    <x v="6"/>
    <n v="61213674000240"/>
    <x v="298"/>
    <x v="3"/>
    <x v="3"/>
    <n v="64"/>
    <x v="4"/>
    <x v="6"/>
    <n v="1"/>
    <n v="1"/>
  </r>
  <r>
    <n v="2019"/>
    <n v="10"/>
    <x v="0"/>
    <x v="3"/>
    <x v="1"/>
    <s v="2019/2020"/>
    <b v="1"/>
    <b v="0"/>
    <b v="0"/>
    <x v="6"/>
    <n v="61213674000240"/>
    <x v="298"/>
    <x v="3"/>
    <x v="3"/>
    <n v="64"/>
    <x v="4"/>
    <x v="6"/>
    <n v="2"/>
    <n v="2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2"/>
    <n v="2"/>
    <n v="2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1"/>
    <n v="6"/>
    <n v="3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2"/>
    <n v="3"/>
    <n v="3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1"/>
    <n v="8"/>
    <n v="4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4"/>
    <n v="32"/>
    <n v="4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2"/>
    <n v="4"/>
    <n v="4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1"/>
    <n v="10"/>
    <n v="5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4"/>
    <n v="20"/>
    <n v="5"/>
  </r>
  <r>
    <n v="2019"/>
    <n v="10"/>
    <x v="0"/>
    <x v="3"/>
    <x v="1"/>
    <s v="2019/2020"/>
    <b v="1"/>
    <b v="0"/>
    <b v="0"/>
    <x v="6"/>
    <n v="61213674000240"/>
    <x v="298"/>
    <x v="3"/>
    <x v="3"/>
    <n v="73"/>
    <x v="1"/>
    <x v="1"/>
    <n v="12"/>
    <n v="6"/>
  </r>
  <r>
    <n v="2019"/>
    <n v="10"/>
    <x v="0"/>
    <x v="3"/>
    <x v="1"/>
    <s v="2019/2020"/>
    <b v="1"/>
    <b v="0"/>
    <b v="0"/>
    <x v="5"/>
    <n v="61590410000124"/>
    <x v="299"/>
    <x v="3"/>
    <x v="3"/>
    <n v="62"/>
    <x v="3"/>
    <x v="5"/>
    <n v="14"/>
    <n v="7"/>
  </r>
  <r>
    <n v="2019"/>
    <n v="10"/>
    <x v="0"/>
    <x v="3"/>
    <x v="1"/>
    <s v="2019/2020"/>
    <b v="1"/>
    <b v="0"/>
    <b v="0"/>
    <x v="5"/>
    <n v="61590410000124"/>
    <x v="299"/>
    <x v="3"/>
    <x v="3"/>
    <n v="62"/>
    <x v="3"/>
    <x v="5"/>
    <n v="11"/>
    <n v="11"/>
  </r>
  <r>
    <n v="2019"/>
    <n v="10"/>
    <x v="0"/>
    <x v="3"/>
    <x v="1"/>
    <s v="2019/2020"/>
    <b v="1"/>
    <b v="0"/>
    <b v="0"/>
    <x v="5"/>
    <n v="61590410000124"/>
    <x v="299"/>
    <x v="3"/>
    <x v="3"/>
    <n v="62"/>
    <x v="3"/>
    <x v="5"/>
    <n v="17"/>
    <n v="17"/>
  </r>
  <r>
    <n v="2019"/>
    <n v="10"/>
    <x v="0"/>
    <x v="3"/>
    <x v="1"/>
    <s v="2019/2020"/>
    <b v="1"/>
    <b v="0"/>
    <b v="0"/>
    <x v="6"/>
    <n v="61590410000124"/>
    <x v="299"/>
    <x v="3"/>
    <x v="3"/>
    <n v="62"/>
    <x v="3"/>
    <x v="5"/>
    <n v="4"/>
    <n v="4"/>
  </r>
  <r>
    <n v="2019"/>
    <n v="10"/>
    <x v="0"/>
    <x v="3"/>
    <x v="1"/>
    <s v="2019/2020"/>
    <b v="1"/>
    <b v="0"/>
    <b v="0"/>
    <x v="5"/>
    <n v="61590410000124"/>
    <x v="299"/>
    <x v="3"/>
    <x v="3"/>
    <n v="64"/>
    <x v="4"/>
    <x v="6"/>
    <n v="12"/>
    <n v="6"/>
  </r>
  <r>
    <n v="2019"/>
    <n v="10"/>
    <x v="0"/>
    <x v="3"/>
    <x v="1"/>
    <s v="2019/2020"/>
    <b v="1"/>
    <b v="0"/>
    <b v="0"/>
    <x v="5"/>
    <n v="61590410000124"/>
    <x v="299"/>
    <x v="3"/>
    <x v="3"/>
    <n v="64"/>
    <x v="4"/>
    <x v="6"/>
    <n v="14"/>
    <n v="7"/>
  </r>
  <r>
    <n v="2019"/>
    <n v="10"/>
    <x v="0"/>
    <x v="3"/>
    <x v="1"/>
    <s v="2019/2020"/>
    <b v="1"/>
    <b v="0"/>
    <b v="0"/>
    <x v="5"/>
    <n v="61590410000124"/>
    <x v="299"/>
    <x v="3"/>
    <x v="3"/>
    <n v="70"/>
    <x v="0"/>
    <x v="0"/>
    <n v="215"/>
    <n v="43"/>
  </r>
  <r>
    <n v="2019"/>
    <n v="10"/>
    <x v="0"/>
    <x v="3"/>
    <x v="1"/>
    <s v="2019/2020"/>
    <b v="1"/>
    <b v="0"/>
    <b v="0"/>
    <x v="6"/>
    <n v="61590410000124"/>
    <x v="299"/>
    <x v="3"/>
    <x v="3"/>
    <n v="70"/>
    <x v="0"/>
    <x v="0"/>
    <n v="545"/>
    <n v="109"/>
  </r>
  <r>
    <n v="2019"/>
    <n v="10"/>
    <x v="0"/>
    <x v="3"/>
    <x v="1"/>
    <s v="2019/2020"/>
    <b v="1"/>
    <b v="0"/>
    <b v="0"/>
    <x v="6"/>
    <n v="61590410000124"/>
    <x v="299"/>
    <x v="3"/>
    <x v="3"/>
    <n v="70"/>
    <x v="0"/>
    <x v="0"/>
    <n v="1100"/>
    <n v="110"/>
  </r>
  <r>
    <n v="2019"/>
    <n v="10"/>
    <x v="0"/>
    <x v="3"/>
    <x v="1"/>
    <s v="2019/2020"/>
    <b v="1"/>
    <b v="0"/>
    <b v="0"/>
    <x v="8"/>
    <n v="61590410000558"/>
    <x v="300"/>
    <x v="4"/>
    <x v="4"/>
    <n v="73"/>
    <x v="1"/>
    <x v="4"/>
    <n v="16"/>
    <n v="4"/>
  </r>
  <r>
    <n v="2019"/>
    <n v="10"/>
    <x v="0"/>
    <x v="3"/>
    <x v="1"/>
    <s v="2019/2020"/>
    <b v="1"/>
    <b v="0"/>
    <b v="0"/>
    <x v="5"/>
    <n v="61599908000158"/>
    <x v="302"/>
    <x v="3"/>
    <x v="3"/>
    <n v="62"/>
    <x v="3"/>
    <x v="5"/>
    <n v="10"/>
    <n v="10"/>
  </r>
  <r>
    <n v="2019"/>
    <n v="10"/>
    <x v="0"/>
    <x v="3"/>
    <x v="1"/>
    <s v="2019/2020"/>
    <b v="1"/>
    <b v="0"/>
    <b v="0"/>
    <x v="5"/>
    <n v="61599908000158"/>
    <x v="302"/>
    <x v="3"/>
    <x v="3"/>
    <n v="62"/>
    <x v="3"/>
    <x v="5"/>
    <n v="22"/>
    <n v="22"/>
  </r>
  <r>
    <n v="2019"/>
    <n v="10"/>
    <x v="0"/>
    <x v="3"/>
    <x v="1"/>
    <s v="2019/2020"/>
    <b v="1"/>
    <b v="0"/>
    <b v="0"/>
    <x v="5"/>
    <n v="61599908000158"/>
    <x v="302"/>
    <x v="3"/>
    <x v="3"/>
    <n v="62"/>
    <x v="3"/>
    <x v="5"/>
    <n v="40"/>
    <n v="40"/>
  </r>
  <r>
    <n v="2019"/>
    <n v="10"/>
    <x v="0"/>
    <x v="3"/>
    <x v="1"/>
    <s v="2019/2020"/>
    <b v="1"/>
    <b v="0"/>
    <b v="0"/>
    <x v="5"/>
    <n v="61599908000158"/>
    <x v="302"/>
    <x v="3"/>
    <x v="3"/>
    <n v="64"/>
    <x v="4"/>
    <x v="6"/>
    <n v="12"/>
    <n v="12"/>
  </r>
  <r>
    <n v="2019"/>
    <n v="10"/>
    <x v="0"/>
    <x v="3"/>
    <x v="1"/>
    <s v="2019/2020"/>
    <b v="1"/>
    <b v="0"/>
    <b v="0"/>
    <x v="6"/>
    <n v="61599908000158"/>
    <x v="302"/>
    <x v="3"/>
    <x v="3"/>
    <n v="64"/>
    <x v="4"/>
    <x v="6"/>
    <n v="15"/>
    <n v="15"/>
  </r>
  <r>
    <n v="2019"/>
    <n v="10"/>
    <x v="0"/>
    <x v="3"/>
    <x v="1"/>
    <s v="2019/2020"/>
    <b v="1"/>
    <b v="0"/>
    <b v="0"/>
    <x v="11"/>
    <n v="62779145000190"/>
    <x v="305"/>
    <x v="3"/>
    <x v="3"/>
    <n v="64"/>
    <x v="4"/>
    <x v="6"/>
    <n v="4"/>
    <n v="4"/>
  </r>
  <r>
    <n v="2019"/>
    <n v="10"/>
    <x v="0"/>
    <x v="3"/>
    <x v="1"/>
    <s v="2019/2020"/>
    <b v="1"/>
    <b v="0"/>
    <b v="0"/>
    <x v="6"/>
    <n v="62779145000190"/>
    <x v="305"/>
    <x v="3"/>
    <x v="3"/>
    <n v="64"/>
    <x v="4"/>
    <x v="6"/>
    <n v="2"/>
    <n v="2"/>
  </r>
  <r>
    <n v="2019"/>
    <n v="10"/>
    <x v="0"/>
    <x v="3"/>
    <x v="1"/>
    <s v="2019/2020"/>
    <b v="1"/>
    <b v="0"/>
    <b v="0"/>
    <x v="6"/>
    <n v="62779145000190"/>
    <x v="305"/>
    <x v="3"/>
    <x v="3"/>
    <n v="64"/>
    <x v="4"/>
    <x v="6"/>
    <n v="4"/>
    <n v="4"/>
  </r>
  <r>
    <n v="2019"/>
    <n v="10"/>
    <x v="0"/>
    <x v="3"/>
    <x v="1"/>
    <s v="2019/2020"/>
    <b v="1"/>
    <b v="0"/>
    <b v="0"/>
    <x v="8"/>
    <n v="70524145000177"/>
    <x v="557"/>
    <x v="23"/>
    <x v="12"/>
    <n v="64"/>
    <x v="4"/>
    <x v="6"/>
    <n v="2"/>
    <n v="2"/>
  </r>
  <r>
    <n v="2019"/>
    <n v="10"/>
    <x v="0"/>
    <x v="3"/>
    <x v="1"/>
    <s v="2019/2020"/>
    <b v="1"/>
    <b v="0"/>
    <b v="0"/>
    <x v="3"/>
    <n v="72101124000506"/>
    <x v="308"/>
    <x v="0"/>
    <x v="0"/>
    <n v="70"/>
    <x v="0"/>
    <x v="0"/>
    <n v="25"/>
    <n v="5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5"/>
    <n v="1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10"/>
    <n v="2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40"/>
    <n v="4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35"/>
    <n v="7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80"/>
    <n v="8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135"/>
    <n v="27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150"/>
    <n v="30"/>
  </r>
  <r>
    <n v="2019"/>
    <n v="10"/>
    <x v="0"/>
    <x v="3"/>
    <x v="1"/>
    <s v="2019/2020"/>
    <b v="1"/>
    <b v="0"/>
    <b v="0"/>
    <x v="7"/>
    <n v="72101124000506"/>
    <x v="308"/>
    <x v="0"/>
    <x v="0"/>
    <n v="70"/>
    <x v="0"/>
    <x v="0"/>
    <n v="225"/>
    <n v="45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1"/>
    <n v="6"/>
    <n v="1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2"/>
    <n v="3"/>
    <n v="1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4"/>
    <n v="16"/>
    <n v="2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4"/>
    <n v="32"/>
    <n v="4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4"/>
    <n v="20"/>
    <n v="5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4"/>
    <n v="24"/>
    <n v="6"/>
  </r>
  <r>
    <n v="2019"/>
    <n v="10"/>
    <x v="0"/>
    <x v="3"/>
    <x v="1"/>
    <s v="2019/2020"/>
    <b v="1"/>
    <b v="0"/>
    <b v="0"/>
    <x v="7"/>
    <n v="72101124000506"/>
    <x v="308"/>
    <x v="0"/>
    <x v="0"/>
    <n v="73"/>
    <x v="1"/>
    <x v="4"/>
    <n v="32"/>
    <n v="8"/>
  </r>
  <r>
    <n v="2019"/>
    <n v="10"/>
    <x v="0"/>
    <x v="3"/>
    <x v="1"/>
    <s v="2019/2020"/>
    <b v="1"/>
    <b v="0"/>
    <b v="0"/>
    <x v="15"/>
    <n v="73863342000109"/>
    <x v="310"/>
    <x v="88"/>
    <x v="6"/>
    <n v="70"/>
    <x v="0"/>
    <x v="7"/>
    <n v="20"/>
    <n v="2"/>
  </r>
  <r>
    <n v="2019"/>
    <n v="10"/>
    <x v="0"/>
    <x v="3"/>
    <x v="1"/>
    <s v="2019/2020"/>
    <b v="1"/>
    <b v="0"/>
    <b v="0"/>
    <x v="11"/>
    <n v="74031865000151"/>
    <x v="311"/>
    <x v="32"/>
    <x v="18"/>
    <n v="62"/>
    <x v="3"/>
    <x v="5"/>
    <n v="100"/>
    <n v="100"/>
  </r>
  <r>
    <n v="2019"/>
    <n v="10"/>
    <x v="0"/>
    <x v="3"/>
    <x v="1"/>
    <s v="2019/2020"/>
    <b v="1"/>
    <b v="0"/>
    <b v="0"/>
    <x v="11"/>
    <n v="74031865000151"/>
    <x v="311"/>
    <x v="32"/>
    <x v="18"/>
    <n v="62"/>
    <x v="3"/>
    <x v="5"/>
    <n v="140"/>
    <n v="140"/>
  </r>
  <r>
    <n v="2019"/>
    <n v="10"/>
    <x v="0"/>
    <x v="3"/>
    <x v="1"/>
    <s v="2019/2020"/>
    <b v="1"/>
    <b v="0"/>
    <b v="0"/>
    <x v="11"/>
    <n v="74031865000151"/>
    <x v="311"/>
    <x v="32"/>
    <x v="18"/>
    <n v="62"/>
    <x v="3"/>
    <x v="5"/>
    <n v="188"/>
    <n v="188"/>
  </r>
  <r>
    <n v="2019"/>
    <n v="10"/>
    <x v="0"/>
    <x v="3"/>
    <x v="1"/>
    <s v="2019/2020"/>
    <b v="1"/>
    <b v="0"/>
    <b v="0"/>
    <x v="4"/>
    <n v="75055772002254"/>
    <x v="558"/>
    <x v="13"/>
    <x v="6"/>
    <n v="73"/>
    <x v="1"/>
    <x v="1"/>
    <n v="2"/>
    <n v="1"/>
  </r>
  <r>
    <n v="2019"/>
    <n v="10"/>
    <x v="0"/>
    <x v="3"/>
    <x v="1"/>
    <s v="2019/2020"/>
    <b v="1"/>
    <b v="0"/>
    <b v="0"/>
    <x v="4"/>
    <n v="75055772002254"/>
    <x v="558"/>
    <x v="13"/>
    <x v="6"/>
    <n v="73"/>
    <x v="1"/>
    <x v="4"/>
    <n v="4"/>
    <n v="1"/>
  </r>
  <r>
    <n v="2019"/>
    <n v="10"/>
    <x v="0"/>
    <x v="3"/>
    <x v="1"/>
    <s v="2019/2020"/>
    <b v="1"/>
    <b v="0"/>
    <b v="0"/>
    <x v="4"/>
    <n v="75055772002254"/>
    <x v="558"/>
    <x v="13"/>
    <x v="6"/>
    <n v="73"/>
    <x v="1"/>
    <x v="2"/>
    <n v="1"/>
    <n v="1"/>
  </r>
  <r>
    <n v="2019"/>
    <n v="10"/>
    <x v="0"/>
    <x v="3"/>
    <x v="1"/>
    <s v="2019/2020"/>
    <b v="1"/>
    <b v="0"/>
    <b v="0"/>
    <x v="15"/>
    <n v="75095679000220"/>
    <x v="559"/>
    <x v="13"/>
    <x v="6"/>
    <n v="66"/>
    <x v="2"/>
    <x v="3"/>
    <n v="10"/>
    <n v="10"/>
  </r>
  <r>
    <n v="2019"/>
    <n v="10"/>
    <x v="0"/>
    <x v="3"/>
    <x v="1"/>
    <s v="2019/2020"/>
    <b v="1"/>
    <b v="0"/>
    <b v="0"/>
    <x v="15"/>
    <n v="75095679000220"/>
    <x v="559"/>
    <x v="13"/>
    <x v="6"/>
    <n v="66"/>
    <x v="2"/>
    <x v="3"/>
    <n v="11"/>
    <n v="11"/>
  </r>
  <r>
    <n v="2019"/>
    <n v="10"/>
    <x v="0"/>
    <x v="3"/>
    <x v="1"/>
    <s v="2019/2020"/>
    <b v="1"/>
    <b v="0"/>
    <b v="0"/>
    <x v="15"/>
    <n v="75095679000220"/>
    <x v="559"/>
    <x v="13"/>
    <x v="6"/>
    <n v="66"/>
    <x v="2"/>
    <x v="3"/>
    <n v="27"/>
    <n v="27"/>
  </r>
  <r>
    <n v="2019"/>
    <n v="10"/>
    <x v="0"/>
    <x v="3"/>
    <x v="1"/>
    <s v="2019/2020"/>
    <b v="1"/>
    <b v="0"/>
    <b v="0"/>
    <x v="17"/>
    <n v="75222224001895"/>
    <x v="312"/>
    <x v="88"/>
    <x v="6"/>
    <n v="70"/>
    <x v="0"/>
    <x v="0"/>
    <n v="265"/>
    <n v="53"/>
  </r>
  <r>
    <n v="2019"/>
    <n v="10"/>
    <x v="0"/>
    <x v="3"/>
    <x v="1"/>
    <s v="2019/2020"/>
    <b v="1"/>
    <b v="0"/>
    <b v="0"/>
    <x v="17"/>
    <n v="75222224001895"/>
    <x v="312"/>
    <x v="88"/>
    <x v="6"/>
    <n v="70"/>
    <x v="0"/>
    <x v="0"/>
    <n v="365"/>
    <n v="73"/>
  </r>
  <r>
    <n v="2019"/>
    <n v="10"/>
    <x v="0"/>
    <x v="3"/>
    <x v="1"/>
    <s v="2019/2020"/>
    <b v="1"/>
    <b v="0"/>
    <b v="0"/>
    <x v="15"/>
    <n v="76498013000102"/>
    <x v="439"/>
    <x v="13"/>
    <x v="6"/>
    <n v="70"/>
    <x v="0"/>
    <x v="0"/>
    <n v="75"/>
    <n v="15"/>
  </r>
  <r>
    <n v="2019"/>
    <n v="10"/>
    <x v="0"/>
    <x v="3"/>
    <x v="1"/>
    <s v="2019/2020"/>
    <b v="1"/>
    <b v="0"/>
    <b v="0"/>
    <x v="15"/>
    <n v="76498013000102"/>
    <x v="439"/>
    <x v="13"/>
    <x v="6"/>
    <n v="70"/>
    <x v="0"/>
    <x v="0"/>
    <n v="100"/>
    <n v="20"/>
  </r>
  <r>
    <n v="2019"/>
    <n v="10"/>
    <x v="0"/>
    <x v="3"/>
    <x v="1"/>
    <s v="2019/2020"/>
    <b v="1"/>
    <b v="0"/>
    <b v="0"/>
    <x v="15"/>
    <n v="76555069000143"/>
    <x v="313"/>
    <x v="13"/>
    <x v="6"/>
    <n v="62"/>
    <x v="3"/>
    <x v="5"/>
    <n v="3"/>
    <n v="3"/>
  </r>
  <r>
    <n v="2019"/>
    <n v="10"/>
    <x v="0"/>
    <x v="3"/>
    <x v="1"/>
    <s v="2019/2020"/>
    <b v="1"/>
    <b v="0"/>
    <b v="0"/>
    <x v="15"/>
    <n v="76555069000143"/>
    <x v="313"/>
    <x v="13"/>
    <x v="6"/>
    <n v="64"/>
    <x v="4"/>
    <x v="6"/>
    <n v="2"/>
    <n v="2"/>
  </r>
  <r>
    <n v="2019"/>
    <n v="10"/>
    <x v="0"/>
    <x v="3"/>
    <x v="1"/>
    <s v="2019/2020"/>
    <b v="1"/>
    <b v="0"/>
    <b v="0"/>
    <x v="15"/>
    <n v="76555069000143"/>
    <x v="313"/>
    <x v="13"/>
    <x v="6"/>
    <n v="70"/>
    <x v="0"/>
    <x v="0"/>
    <n v="5"/>
    <n v="1"/>
  </r>
  <r>
    <n v="2019"/>
    <n v="10"/>
    <x v="0"/>
    <x v="3"/>
    <x v="1"/>
    <s v="2019/2020"/>
    <b v="1"/>
    <b v="0"/>
    <b v="0"/>
    <x v="15"/>
    <n v="76555069000143"/>
    <x v="313"/>
    <x v="13"/>
    <x v="6"/>
    <n v="70"/>
    <x v="0"/>
    <x v="0"/>
    <n v="50"/>
    <n v="10"/>
  </r>
  <r>
    <n v="2019"/>
    <n v="10"/>
    <x v="0"/>
    <x v="3"/>
    <x v="1"/>
    <s v="2019/2020"/>
    <b v="1"/>
    <b v="0"/>
    <b v="0"/>
    <x v="27"/>
    <n v="76591569000130"/>
    <x v="315"/>
    <x v="13"/>
    <x v="6"/>
    <n v="70"/>
    <x v="0"/>
    <x v="0"/>
    <n v="500"/>
    <n v="100"/>
  </r>
  <r>
    <n v="2019"/>
    <n v="10"/>
    <x v="0"/>
    <x v="3"/>
    <x v="1"/>
    <s v="2019/2020"/>
    <b v="1"/>
    <b v="0"/>
    <b v="0"/>
    <x v="15"/>
    <n v="76659820002367"/>
    <x v="316"/>
    <x v="13"/>
    <x v="6"/>
    <n v="70"/>
    <x v="0"/>
    <x v="0"/>
    <n v="45"/>
    <n v="9"/>
  </r>
  <r>
    <n v="2019"/>
    <n v="10"/>
    <x v="0"/>
    <x v="3"/>
    <x v="1"/>
    <s v="2019/2020"/>
    <b v="1"/>
    <b v="0"/>
    <b v="0"/>
    <x v="15"/>
    <n v="76659820002367"/>
    <x v="316"/>
    <x v="13"/>
    <x v="6"/>
    <n v="70"/>
    <x v="0"/>
    <x v="0"/>
    <n v="75"/>
    <n v="15"/>
  </r>
  <r>
    <n v="2019"/>
    <n v="10"/>
    <x v="0"/>
    <x v="3"/>
    <x v="1"/>
    <s v="2019/2020"/>
    <b v="1"/>
    <b v="0"/>
    <b v="0"/>
    <x v="15"/>
    <n v="76659820002367"/>
    <x v="316"/>
    <x v="13"/>
    <x v="6"/>
    <n v="70"/>
    <x v="0"/>
    <x v="0"/>
    <n v="125"/>
    <n v="25"/>
  </r>
  <r>
    <n v="2019"/>
    <n v="10"/>
    <x v="0"/>
    <x v="3"/>
    <x v="1"/>
    <s v="2019/2020"/>
    <b v="1"/>
    <b v="0"/>
    <b v="0"/>
    <x v="14"/>
    <n v="77858611001414"/>
    <x v="318"/>
    <x v="55"/>
    <x v="10"/>
    <n v="70"/>
    <x v="0"/>
    <x v="0"/>
    <n v="140"/>
    <n v="28"/>
  </r>
  <r>
    <n v="2019"/>
    <n v="10"/>
    <x v="0"/>
    <x v="3"/>
    <x v="1"/>
    <s v="2019/2020"/>
    <b v="1"/>
    <b v="0"/>
    <b v="0"/>
    <x v="7"/>
    <n v="77858611001414"/>
    <x v="318"/>
    <x v="55"/>
    <x v="10"/>
    <n v="70"/>
    <x v="0"/>
    <x v="0"/>
    <n v="25"/>
    <n v="5"/>
  </r>
  <r>
    <n v="2019"/>
    <n v="10"/>
    <x v="0"/>
    <x v="3"/>
    <x v="1"/>
    <s v="2019/2020"/>
    <b v="1"/>
    <b v="0"/>
    <b v="0"/>
    <x v="14"/>
    <n v="78614971000119"/>
    <x v="560"/>
    <x v="88"/>
    <x v="6"/>
    <n v="70"/>
    <x v="0"/>
    <x v="0"/>
    <n v="15"/>
    <n v="3"/>
  </r>
  <r>
    <n v="2019"/>
    <n v="10"/>
    <x v="0"/>
    <x v="3"/>
    <x v="1"/>
    <s v="2019/2020"/>
    <b v="1"/>
    <b v="0"/>
    <b v="0"/>
    <x v="14"/>
    <n v="79115762000193"/>
    <x v="441"/>
    <x v="89"/>
    <x v="6"/>
    <n v="70"/>
    <x v="0"/>
    <x v="0"/>
    <n v="50"/>
    <n v="10"/>
  </r>
  <r>
    <n v="2019"/>
    <n v="10"/>
    <x v="0"/>
    <x v="3"/>
    <x v="1"/>
    <s v="2019/2020"/>
    <b v="1"/>
    <b v="0"/>
    <b v="0"/>
    <x v="14"/>
    <n v="80490618000116"/>
    <x v="319"/>
    <x v="90"/>
    <x v="10"/>
    <n v="70"/>
    <x v="0"/>
    <x v="0"/>
    <n v="60"/>
    <n v="12"/>
  </r>
  <r>
    <n v="2019"/>
    <n v="10"/>
    <x v="0"/>
    <x v="3"/>
    <x v="1"/>
    <s v="2019/2020"/>
    <b v="1"/>
    <b v="0"/>
    <b v="0"/>
    <x v="16"/>
    <n v="80673411000187"/>
    <x v="320"/>
    <x v="14"/>
    <x v="10"/>
    <n v="66"/>
    <x v="2"/>
    <x v="3"/>
    <n v="80"/>
    <n v="80"/>
  </r>
  <r>
    <n v="2019"/>
    <n v="10"/>
    <x v="0"/>
    <x v="3"/>
    <x v="1"/>
    <s v="2019/2020"/>
    <b v="1"/>
    <b v="0"/>
    <b v="0"/>
    <x v="27"/>
    <n v="81715716000410"/>
    <x v="511"/>
    <x v="139"/>
    <x v="6"/>
    <n v="70"/>
    <x v="0"/>
    <x v="0"/>
    <n v="30"/>
    <n v="6"/>
  </r>
  <r>
    <n v="2019"/>
    <n v="10"/>
    <x v="0"/>
    <x v="3"/>
    <x v="1"/>
    <s v="2019/2020"/>
    <b v="1"/>
    <b v="0"/>
    <b v="0"/>
    <x v="4"/>
    <n v="82624776000651"/>
    <x v="321"/>
    <x v="87"/>
    <x v="10"/>
    <n v="70"/>
    <x v="0"/>
    <x v="0"/>
    <n v="35"/>
    <n v="7"/>
  </r>
  <r>
    <n v="2019"/>
    <n v="10"/>
    <x v="0"/>
    <x v="3"/>
    <x v="1"/>
    <s v="2019/2020"/>
    <b v="1"/>
    <b v="0"/>
    <b v="0"/>
    <x v="16"/>
    <n v="83884999000106"/>
    <x v="323"/>
    <x v="14"/>
    <x v="10"/>
    <n v="64"/>
    <x v="4"/>
    <x v="6"/>
    <n v="6"/>
    <n v="6"/>
  </r>
  <r>
    <n v="2019"/>
    <n v="10"/>
    <x v="0"/>
    <x v="3"/>
    <x v="1"/>
    <s v="2019/2020"/>
    <b v="1"/>
    <b v="0"/>
    <b v="0"/>
    <x v="16"/>
    <n v="83899526000425"/>
    <x v="324"/>
    <x v="14"/>
    <x v="10"/>
    <n v="62"/>
    <x v="3"/>
    <x v="5"/>
    <n v="11"/>
    <n v="11"/>
  </r>
  <r>
    <n v="2019"/>
    <n v="10"/>
    <x v="0"/>
    <x v="3"/>
    <x v="1"/>
    <s v="2019/2020"/>
    <b v="1"/>
    <b v="0"/>
    <b v="0"/>
    <x v="9"/>
    <n v="84537141000138"/>
    <x v="561"/>
    <x v="51"/>
    <x v="22"/>
    <n v="62"/>
    <x v="3"/>
    <x v="5"/>
    <n v="6"/>
    <n v="6"/>
  </r>
  <r>
    <n v="2019"/>
    <n v="10"/>
    <x v="0"/>
    <x v="3"/>
    <x v="1"/>
    <s v="2019/2020"/>
    <b v="1"/>
    <b v="0"/>
    <b v="0"/>
    <x v="4"/>
    <n v="85241339000809"/>
    <x v="513"/>
    <x v="90"/>
    <x v="10"/>
    <n v="70"/>
    <x v="0"/>
    <x v="0"/>
    <n v="60"/>
    <n v="12"/>
  </r>
  <r>
    <n v="2019"/>
    <n v="10"/>
    <x v="0"/>
    <x v="3"/>
    <x v="1"/>
    <s v="2019/2020"/>
    <b v="1"/>
    <b v="0"/>
    <b v="0"/>
    <x v="4"/>
    <n v="85241339000809"/>
    <x v="513"/>
    <x v="90"/>
    <x v="10"/>
    <n v="70"/>
    <x v="0"/>
    <x v="0"/>
    <n v="70"/>
    <n v="14"/>
  </r>
  <r>
    <n v="2019"/>
    <n v="10"/>
    <x v="0"/>
    <x v="3"/>
    <x v="1"/>
    <s v="2019/2020"/>
    <b v="1"/>
    <b v="0"/>
    <b v="0"/>
    <x v="4"/>
    <n v="85241339000809"/>
    <x v="513"/>
    <x v="90"/>
    <x v="10"/>
    <n v="70"/>
    <x v="0"/>
    <x v="0"/>
    <n v="130"/>
    <n v="26"/>
  </r>
  <r>
    <n v="2019"/>
    <n v="10"/>
    <x v="0"/>
    <x v="3"/>
    <x v="1"/>
    <s v="2019/2020"/>
    <b v="1"/>
    <b v="0"/>
    <b v="0"/>
    <x v="14"/>
    <n v="85241339000809"/>
    <x v="513"/>
    <x v="90"/>
    <x v="10"/>
    <n v="70"/>
    <x v="0"/>
    <x v="0"/>
    <n v="130"/>
    <n v="26"/>
  </r>
  <r>
    <n v="2019"/>
    <n v="10"/>
    <x v="0"/>
    <x v="3"/>
    <x v="1"/>
    <s v="2019/2020"/>
    <b v="1"/>
    <b v="0"/>
    <b v="0"/>
    <x v="16"/>
    <n v="85377174000392"/>
    <x v="325"/>
    <x v="20"/>
    <x v="10"/>
    <n v="73"/>
    <x v="1"/>
    <x v="4"/>
    <n v="28"/>
    <n v="7"/>
  </r>
  <r>
    <n v="2019"/>
    <n v="10"/>
    <x v="0"/>
    <x v="3"/>
    <x v="1"/>
    <s v="2019/2020"/>
    <b v="1"/>
    <b v="0"/>
    <b v="0"/>
    <x v="21"/>
    <n v="85377174000392"/>
    <x v="325"/>
    <x v="20"/>
    <x v="10"/>
    <n v="73"/>
    <x v="1"/>
    <x v="1"/>
    <n v="2"/>
    <n v="1"/>
  </r>
  <r>
    <n v="2019"/>
    <n v="10"/>
    <x v="0"/>
    <x v="3"/>
    <x v="1"/>
    <s v="2019/2020"/>
    <b v="1"/>
    <b v="0"/>
    <b v="0"/>
    <x v="21"/>
    <n v="85377174000392"/>
    <x v="325"/>
    <x v="20"/>
    <x v="10"/>
    <n v="73"/>
    <x v="1"/>
    <x v="1"/>
    <n v="12"/>
    <n v="6"/>
  </r>
  <r>
    <n v="2019"/>
    <n v="10"/>
    <x v="0"/>
    <x v="3"/>
    <x v="1"/>
    <s v="2019/2020"/>
    <b v="1"/>
    <b v="0"/>
    <b v="0"/>
    <x v="16"/>
    <n v="87020517000120"/>
    <x v="326"/>
    <x v="45"/>
    <x v="11"/>
    <n v="62"/>
    <x v="3"/>
    <x v="5"/>
    <n v="20"/>
    <n v="20"/>
  </r>
  <r>
    <n v="2019"/>
    <n v="10"/>
    <x v="0"/>
    <x v="3"/>
    <x v="1"/>
    <s v="2019/2020"/>
    <b v="1"/>
    <b v="0"/>
    <b v="0"/>
    <x v="5"/>
    <n v="87020517000120"/>
    <x v="326"/>
    <x v="45"/>
    <x v="11"/>
    <n v="64"/>
    <x v="4"/>
    <x v="6"/>
    <n v="7"/>
    <n v="7"/>
  </r>
  <r>
    <n v="2019"/>
    <n v="10"/>
    <x v="0"/>
    <x v="3"/>
    <x v="1"/>
    <s v="2019/2020"/>
    <b v="1"/>
    <b v="0"/>
    <b v="0"/>
    <x v="5"/>
    <n v="87020517000120"/>
    <x v="326"/>
    <x v="45"/>
    <x v="11"/>
    <n v="64"/>
    <x v="4"/>
    <x v="6"/>
    <n v="8"/>
    <n v="8"/>
  </r>
  <r>
    <n v="2019"/>
    <n v="10"/>
    <x v="0"/>
    <x v="3"/>
    <x v="1"/>
    <s v="2019/2020"/>
    <b v="1"/>
    <b v="0"/>
    <b v="0"/>
    <x v="16"/>
    <n v="87317764001084"/>
    <x v="327"/>
    <x v="45"/>
    <x v="11"/>
    <n v="70"/>
    <x v="0"/>
    <x v="7"/>
    <n v="560"/>
    <n v="56"/>
  </r>
  <r>
    <n v="2019"/>
    <n v="10"/>
    <x v="0"/>
    <x v="3"/>
    <x v="1"/>
    <s v="2019/2020"/>
    <b v="1"/>
    <b v="0"/>
    <b v="0"/>
    <x v="16"/>
    <n v="87317764001165"/>
    <x v="562"/>
    <x v="140"/>
    <x v="11"/>
    <n v="73"/>
    <x v="1"/>
    <x v="2"/>
    <n v="3"/>
    <n v="3"/>
  </r>
  <r>
    <n v="2019"/>
    <n v="10"/>
    <x v="0"/>
    <x v="3"/>
    <x v="1"/>
    <s v="2019/2020"/>
    <b v="1"/>
    <b v="0"/>
    <b v="0"/>
    <x v="16"/>
    <n v="87607149000626"/>
    <x v="329"/>
    <x v="92"/>
    <x v="11"/>
    <n v="70"/>
    <x v="0"/>
    <x v="7"/>
    <n v="160"/>
    <n v="16"/>
  </r>
  <r>
    <n v="2019"/>
    <n v="10"/>
    <x v="0"/>
    <x v="3"/>
    <x v="1"/>
    <s v="2019/2020"/>
    <b v="1"/>
    <b v="0"/>
    <b v="0"/>
    <x v="16"/>
    <n v="87638334000505"/>
    <x v="443"/>
    <x v="118"/>
    <x v="11"/>
    <n v="70"/>
    <x v="0"/>
    <x v="7"/>
    <n v="10"/>
    <n v="1"/>
  </r>
  <r>
    <n v="2019"/>
    <n v="10"/>
    <x v="0"/>
    <x v="3"/>
    <x v="1"/>
    <s v="2019/2020"/>
    <b v="1"/>
    <b v="0"/>
    <b v="0"/>
    <x v="4"/>
    <n v="87827689002405"/>
    <x v="330"/>
    <x v="15"/>
    <x v="11"/>
    <n v="70"/>
    <x v="0"/>
    <x v="0"/>
    <n v="90"/>
    <n v="18"/>
  </r>
  <r>
    <n v="2019"/>
    <n v="10"/>
    <x v="0"/>
    <x v="3"/>
    <x v="1"/>
    <s v="2019/2020"/>
    <b v="1"/>
    <b v="0"/>
    <b v="0"/>
    <x v="16"/>
    <n v="87827689002405"/>
    <x v="330"/>
    <x v="15"/>
    <x v="11"/>
    <n v="73"/>
    <x v="1"/>
    <x v="2"/>
    <n v="4"/>
    <n v="4"/>
  </r>
  <r>
    <n v="2019"/>
    <n v="10"/>
    <x v="0"/>
    <x v="3"/>
    <x v="1"/>
    <s v="2019/2020"/>
    <b v="1"/>
    <b v="0"/>
    <b v="0"/>
    <x v="16"/>
    <n v="87827689002405"/>
    <x v="330"/>
    <x v="15"/>
    <x v="11"/>
    <n v="73"/>
    <x v="1"/>
    <x v="1"/>
    <n v="30"/>
    <n v="15"/>
  </r>
  <r>
    <n v="2019"/>
    <n v="10"/>
    <x v="0"/>
    <x v="3"/>
    <x v="1"/>
    <s v="2019/2020"/>
    <b v="1"/>
    <b v="0"/>
    <b v="0"/>
    <x v="16"/>
    <n v="87827689002405"/>
    <x v="330"/>
    <x v="15"/>
    <x v="11"/>
    <n v="73"/>
    <x v="1"/>
    <x v="4"/>
    <n v="192"/>
    <n v="48"/>
  </r>
  <r>
    <n v="2019"/>
    <n v="10"/>
    <x v="0"/>
    <x v="3"/>
    <x v="1"/>
    <s v="2019/2020"/>
    <b v="1"/>
    <b v="0"/>
    <b v="0"/>
    <x v="16"/>
    <n v="88625686002443"/>
    <x v="332"/>
    <x v="45"/>
    <x v="11"/>
    <n v="62"/>
    <x v="3"/>
    <x v="5"/>
    <n v="8"/>
    <n v="8"/>
  </r>
  <r>
    <n v="2019"/>
    <n v="10"/>
    <x v="0"/>
    <x v="3"/>
    <x v="1"/>
    <s v="2019/2020"/>
    <b v="1"/>
    <b v="0"/>
    <b v="0"/>
    <x v="7"/>
    <n v="88625686002443"/>
    <x v="332"/>
    <x v="45"/>
    <x v="11"/>
    <n v="64"/>
    <x v="4"/>
    <x v="6"/>
    <n v="6"/>
    <n v="3"/>
  </r>
  <r>
    <n v="2019"/>
    <n v="10"/>
    <x v="0"/>
    <x v="3"/>
    <x v="1"/>
    <s v="2019/2020"/>
    <b v="1"/>
    <b v="0"/>
    <b v="0"/>
    <x v="7"/>
    <n v="88625686002443"/>
    <x v="332"/>
    <x v="45"/>
    <x v="11"/>
    <n v="64"/>
    <x v="4"/>
    <x v="6"/>
    <n v="5"/>
    <n v="5"/>
  </r>
  <r>
    <n v="2019"/>
    <n v="10"/>
    <x v="0"/>
    <x v="3"/>
    <x v="1"/>
    <s v="2019/2020"/>
    <b v="1"/>
    <b v="0"/>
    <b v="0"/>
    <x v="7"/>
    <n v="88625686002443"/>
    <x v="332"/>
    <x v="45"/>
    <x v="11"/>
    <n v="64"/>
    <x v="4"/>
    <x v="6"/>
    <n v="10"/>
    <n v="10"/>
  </r>
  <r>
    <n v="2019"/>
    <n v="10"/>
    <x v="0"/>
    <x v="3"/>
    <x v="1"/>
    <s v="2019/2020"/>
    <b v="1"/>
    <b v="0"/>
    <b v="0"/>
    <x v="16"/>
    <n v="88645403001372"/>
    <x v="444"/>
    <x v="15"/>
    <x v="11"/>
    <n v="73"/>
    <x v="1"/>
    <x v="4"/>
    <n v="32"/>
    <n v="8"/>
  </r>
  <r>
    <n v="2019"/>
    <n v="10"/>
    <x v="0"/>
    <x v="3"/>
    <x v="1"/>
    <s v="2019/2020"/>
    <b v="1"/>
    <b v="0"/>
    <b v="0"/>
    <x v="16"/>
    <n v="92404789000164"/>
    <x v="446"/>
    <x v="119"/>
    <x v="11"/>
    <n v="73"/>
    <x v="1"/>
    <x v="4"/>
    <n v="8"/>
    <n v="2"/>
  </r>
  <r>
    <n v="2019"/>
    <n v="10"/>
    <x v="0"/>
    <x v="3"/>
    <x v="1"/>
    <s v="2019/2020"/>
    <b v="1"/>
    <b v="0"/>
    <b v="0"/>
    <x v="16"/>
    <n v="92404789000164"/>
    <x v="446"/>
    <x v="119"/>
    <x v="11"/>
    <n v="73"/>
    <x v="1"/>
    <x v="4"/>
    <n v="16"/>
    <n v="4"/>
  </r>
  <r>
    <n v="2019"/>
    <n v="10"/>
    <x v="0"/>
    <x v="3"/>
    <x v="1"/>
    <s v="2019/2020"/>
    <b v="1"/>
    <b v="0"/>
    <b v="0"/>
    <x v="17"/>
    <n v="92685833000151"/>
    <x v="335"/>
    <x v="45"/>
    <x v="11"/>
    <n v="62"/>
    <x v="3"/>
    <x v="5"/>
    <n v="6"/>
    <n v="6"/>
  </r>
  <r>
    <n v="2019"/>
    <n v="10"/>
    <x v="0"/>
    <x v="3"/>
    <x v="1"/>
    <s v="2019/2020"/>
    <b v="1"/>
    <b v="0"/>
    <b v="0"/>
    <x v="0"/>
    <n v="92685833000151"/>
    <x v="335"/>
    <x v="45"/>
    <x v="11"/>
    <n v="62"/>
    <x v="3"/>
    <x v="5"/>
    <n v="4"/>
    <n v="4"/>
  </r>
  <r>
    <n v="2019"/>
    <n v="10"/>
    <x v="0"/>
    <x v="3"/>
    <x v="1"/>
    <s v="2019/2020"/>
    <b v="1"/>
    <b v="0"/>
    <b v="0"/>
    <x v="11"/>
    <n v="92685833000151"/>
    <x v="335"/>
    <x v="45"/>
    <x v="11"/>
    <n v="64"/>
    <x v="4"/>
    <x v="6"/>
    <n v="16"/>
    <n v="8"/>
  </r>
  <r>
    <n v="2019"/>
    <n v="10"/>
    <x v="0"/>
    <x v="3"/>
    <x v="1"/>
    <s v="2019/2020"/>
    <b v="1"/>
    <b v="0"/>
    <b v="0"/>
    <x v="11"/>
    <n v="92685833000151"/>
    <x v="335"/>
    <x v="45"/>
    <x v="11"/>
    <n v="64"/>
    <x v="4"/>
    <x v="6"/>
    <n v="12"/>
    <n v="12"/>
  </r>
  <r>
    <n v="2019"/>
    <n v="10"/>
    <x v="0"/>
    <x v="3"/>
    <x v="1"/>
    <s v="2019/2020"/>
    <b v="1"/>
    <b v="0"/>
    <b v="0"/>
    <x v="16"/>
    <n v="92685833000151"/>
    <x v="335"/>
    <x v="45"/>
    <x v="11"/>
    <n v="73"/>
    <x v="1"/>
    <x v="2"/>
    <n v="2"/>
    <n v="2"/>
  </r>
  <r>
    <n v="2019"/>
    <n v="10"/>
    <x v="0"/>
    <x v="3"/>
    <x v="1"/>
    <s v="2019/2020"/>
    <b v="1"/>
    <b v="0"/>
    <b v="0"/>
    <x v="4"/>
    <n v="92685833000151"/>
    <x v="335"/>
    <x v="45"/>
    <x v="11"/>
    <n v="73"/>
    <x v="1"/>
    <x v="2"/>
    <n v="4"/>
    <n v="4"/>
  </r>
  <r>
    <n v="2019"/>
    <n v="10"/>
    <x v="0"/>
    <x v="3"/>
    <x v="1"/>
    <s v="2019/2020"/>
    <b v="1"/>
    <b v="0"/>
    <b v="0"/>
    <x v="4"/>
    <n v="92685833000151"/>
    <x v="335"/>
    <x v="45"/>
    <x v="11"/>
    <n v="73"/>
    <x v="1"/>
    <x v="2"/>
    <n v="10"/>
    <n v="10"/>
  </r>
  <r>
    <n v="2019"/>
    <n v="10"/>
    <x v="0"/>
    <x v="3"/>
    <x v="1"/>
    <s v="2019/2020"/>
    <b v="1"/>
    <b v="0"/>
    <b v="0"/>
    <x v="17"/>
    <n v="92685833000151"/>
    <x v="335"/>
    <x v="45"/>
    <x v="11"/>
    <n v="73"/>
    <x v="1"/>
    <x v="2"/>
    <n v="4"/>
    <n v="4"/>
  </r>
  <r>
    <n v="2019"/>
    <n v="10"/>
    <x v="0"/>
    <x v="3"/>
    <x v="1"/>
    <s v="2019/2020"/>
    <b v="1"/>
    <b v="0"/>
    <b v="0"/>
    <x v="16"/>
    <n v="92741016000254"/>
    <x v="336"/>
    <x v="45"/>
    <x v="11"/>
    <n v="64"/>
    <x v="4"/>
    <x v="6"/>
    <n v="12"/>
    <n v="12"/>
  </r>
  <r>
    <n v="2019"/>
    <n v="10"/>
    <x v="0"/>
    <x v="3"/>
    <x v="1"/>
    <s v="2019/2020"/>
    <b v="1"/>
    <b v="0"/>
    <b v="0"/>
    <x v="16"/>
    <n v="92787118000120"/>
    <x v="563"/>
    <x v="45"/>
    <x v="11"/>
    <n v="62"/>
    <x v="3"/>
    <x v="5"/>
    <n v="2"/>
    <n v="2"/>
  </r>
  <r>
    <n v="2019"/>
    <n v="10"/>
    <x v="0"/>
    <x v="3"/>
    <x v="1"/>
    <s v="2019/2020"/>
    <b v="1"/>
    <b v="0"/>
    <b v="0"/>
    <x v="16"/>
    <n v="92815000000168"/>
    <x v="338"/>
    <x v="45"/>
    <x v="11"/>
    <n v="62"/>
    <x v="3"/>
    <x v="5"/>
    <n v="62"/>
    <n v="62"/>
  </r>
  <r>
    <n v="2019"/>
    <n v="10"/>
    <x v="0"/>
    <x v="3"/>
    <x v="1"/>
    <s v="2019/2020"/>
    <b v="1"/>
    <b v="0"/>
    <b v="0"/>
    <x v="16"/>
    <n v="92815000000168"/>
    <x v="338"/>
    <x v="45"/>
    <x v="11"/>
    <n v="64"/>
    <x v="4"/>
    <x v="6"/>
    <n v="20"/>
    <n v="20"/>
  </r>
  <r>
    <n v="2019"/>
    <n v="10"/>
    <x v="0"/>
    <x v="3"/>
    <x v="1"/>
    <s v="2019/2020"/>
    <b v="1"/>
    <b v="0"/>
    <b v="0"/>
    <x v="16"/>
    <n v="92815000000168"/>
    <x v="338"/>
    <x v="45"/>
    <x v="11"/>
    <n v="73"/>
    <x v="1"/>
    <x v="1"/>
    <n v="2"/>
    <n v="1"/>
  </r>
  <r>
    <n v="2019"/>
    <n v="10"/>
    <x v="0"/>
    <x v="3"/>
    <x v="1"/>
    <s v="2019/2020"/>
    <b v="1"/>
    <b v="0"/>
    <b v="0"/>
    <x v="16"/>
    <n v="92815000000168"/>
    <x v="338"/>
    <x v="45"/>
    <x v="11"/>
    <n v="73"/>
    <x v="1"/>
    <x v="2"/>
    <n v="2"/>
    <n v="2"/>
  </r>
  <r>
    <n v="2019"/>
    <n v="10"/>
    <x v="0"/>
    <x v="3"/>
    <x v="1"/>
    <s v="2019/2020"/>
    <b v="1"/>
    <b v="0"/>
    <b v="0"/>
    <x v="4"/>
    <n v="92815000000168"/>
    <x v="338"/>
    <x v="45"/>
    <x v="11"/>
    <n v="73"/>
    <x v="1"/>
    <x v="2"/>
    <n v="1"/>
    <n v="1"/>
  </r>
  <r>
    <n v="2019"/>
    <n v="10"/>
    <x v="0"/>
    <x v="3"/>
    <x v="1"/>
    <s v="2019/2020"/>
    <b v="1"/>
    <b v="0"/>
    <b v="0"/>
    <x v="4"/>
    <n v="92815000000168"/>
    <x v="338"/>
    <x v="45"/>
    <x v="11"/>
    <n v="73"/>
    <x v="1"/>
    <x v="1"/>
    <n v="16"/>
    <n v="4"/>
  </r>
  <r>
    <n v="2019"/>
    <n v="10"/>
    <x v="0"/>
    <x v="3"/>
    <x v="1"/>
    <s v="2019/2020"/>
    <b v="1"/>
    <b v="0"/>
    <b v="0"/>
    <x v="4"/>
    <n v="92815000000168"/>
    <x v="338"/>
    <x v="45"/>
    <x v="11"/>
    <n v="73"/>
    <x v="1"/>
    <x v="1"/>
    <n v="24"/>
    <n v="12"/>
  </r>
  <r>
    <n v="2019"/>
    <n v="10"/>
    <x v="0"/>
    <x v="3"/>
    <x v="1"/>
    <s v="2019/2020"/>
    <b v="1"/>
    <b v="0"/>
    <b v="0"/>
    <x v="16"/>
    <n v="92898550000198"/>
    <x v="339"/>
    <x v="45"/>
    <x v="11"/>
    <n v="62"/>
    <x v="3"/>
    <x v="5"/>
    <n v="3"/>
    <n v="3"/>
  </r>
  <r>
    <n v="2019"/>
    <n v="10"/>
    <x v="0"/>
    <x v="3"/>
    <x v="1"/>
    <s v="2019/2020"/>
    <b v="1"/>
    <b v="0"/>
    <b v="0"/>
    <x v="16"/>
    <n v="92963560000160"/>
    <x v="447"/>
    <x v="45"/>
    <x v="11"/>
    <n v="62"/>
    <x v="3"/>
    <x v="5"/>
    <n v="30"/>
    <n v="30"/>
  </r>
  <r>
    <n v="2019"/>
    <n v="10"/>
    <x v="0"/>
    <x v="3"/>
    <x v="1"/>
    <s v="2019/2020"/>
    <b v="1"/>
    <b v="0"/>
    <b v="0"/>
    <x v="16"/>
    <n v="92963560000160"/>
    <x v="447"/>
    <x v="45"/>
    <x v="11"/>
    <n v="64"/>
    <x v="4"/>
    <x v="6"/>
    <n v="20"/>
    <n v="20"/>
  </r>
  <r>
    <n v="2019"/>
    <n v="10"/>
    <x v="0"/>
    <x v="3"/>
    <x v="1"/>
    <s v="2019/2020"/>
    <b v="1"/>
    <b v="0"/>
    <b v="0"/>
    <x v="14"/>
    <n v="94831294000147"/>
    <x v="341"/>
    <x v="45"/>
    <x v="11"/>
    <n v="70"/>
    <x v="0"/>
    <x v="0"/>
    <n v="30"/>
    <n v="6"/>
  </r>
  <r>
    <n v="2019"/>
    <n v="10"/>
    <x v="0"/>
    <x v="3"/>
    <x v="1"/>
    <s v="2019/2020"/>
    <b v="1"/>
    <b v="0"/>
    <b v="0"/>
    <x v="16"/>
    <n v="95610887000146"/>
    <x v="342"/>
    <x v="47"/>
    <x v="11"/>
    <n v="62"/>
    <x v="3"/>
    <x v="5"/>
    <n v="8"/>
    <n v="8"/>
  </r>
  <r>
    <n v="2019"/>
    <n v="10"/>
    <x v="0"/>
    <x v="3"/>
    <x v="1"/>
    <s v="2019/2020"/>
    <b v="1"/>
    <b v="0"/>
    <b v="0"/>
    <x v="4"/>
    <n v="95610887000146"/>
    <x v="342"/>
    <x v="47"/>
    <x v="11"/>
    <n v="70"/>
    <x v="0"/>
    <x v="0"/>
    <n v="150"/>
    <n v="30"/>
  </r>
  <r>
    <n v="2019"/>
    <n v="10"/>
    <x v="0"/>
    <x v="3"/>
    <x v="1"/>
    <s v="2019/2020"/>
    <b v="1"/>
    <b v="0"/>
    <b v="0"/>
    <x v="14"/>
    <n v="95610887000146"/>
    <x v="342"/>
    <x v="47"/>
    <x v="11"/>
    <n v="70"/>
    <x v="0"/>
    <x v="0"/>
    <n v="150"/>
    <n v="30"/>
  </r>
  <r>
    <n v="2019"/>
    <n v="10"/>
    <x v="0"/>
    <x v="3"/>
    <x v="1"/>
    <s v="2019/2020"/>
    <b v="1"/>
    <b v="0"/>
    <b v="0"/>
    <x v="4"/>
    <n v="95610887000146"/>
    <x v="342"/>
    <x v="47"/>
    <x v="11"/>
    <n v="73"/>
    <x v="1"/>
    <x v="1"/>
    <n v="2"/>
    <n v="1"/>
  </r>
  <r>
    <n v="2019"/>
    <n v="10"/>
    <x v="0"/>
    <x v="3"/>
    <x v="1"/>
    <s v="2019/2020"/>
    <b v="1"/>
    <b v="0"/>
    <b v="0"/>
    <x v="4"/>
    <n v="95610887000146"/>
    <x v="342"/>
    <x v="47"/>
    <x v="11"/>
    <n v="73"/>
    <x v="1"/>
    <x v="4"/>
    <n v="8"/>
    <n v="2"/>
  </r>
  <r>
    <n v="2019"/>
    <n v="11"/>
    <x v="0"/>
    <x v="4"/>
    <x v="1"/>
    <s v="2019/2020"/>
    <b v="1"/>
    <b v="0"/>
    <b v="0"/>
    <x v="0"/>
    <n v="9324322559"/>
    <x v="450"/>
    <x v="31"/>
    <x v="17"/>
    <n v="73"/>
    <x v="1"/>
    <x v="2"/>
    <n v="5"/>
    <n v="5"/>
  </r>
  <r>
    <n v="2019"/>
    <n v="11"/>
    <x v="0"/>
    <x v="4"/>
    <x v="1"/>
    <s v="2019/2020"/>
    <b v="1"/>
    <b v="0"/>
    <b v="0"/>
    <x v="1"/>
    <n v="12371009253"/>
    <x v="1"/>
    <x v="1"/>
    <x v="1"/>
    <n v="73"/>
    <x v="1"/>
    <x v="1"/>
    <n v="16"/>
    <n v="4"/>
  </r>
  <r>
    <n v="2019"/>
    <n v="11"/>
    <x v="0"/>
    <x v="4"/>
    <x v="1"/>
    <s v="2019/2020"/>
    <b v="1"/>
    <b v="0"/>
    <b v="0"/>
    <x v="1"/>
    <n v="12371009253"/>
    <x v="1"/>
    <x v="1"/>
    <x v="1"/>
    <n v="73"/>
    <x v="1"/>
    <x v="2"/>
    <n v="8"/>
    <n v="4"/>
  </r>
  <r>
    <n v="2019"/>
    <n v="11"/>
    <x v="0"/>
    <x v="4"/>
    <x v="1"/>
    <s v="2019/2020"/>
    <b v="1"/>
    <b v="0"/>
    <b v="0"/>
    <x v="1"/>
    <n v="83925694404"/>
    <x v="5"/>
    <x v="5"/>
    <x v="5"/>
    <n v="66"/>
    <x v="2"/>
    <x v="3"/>
    <n v="6"/>
    <n v="6"/>
  </r>
  <r>
    <n v="2019"/>
    <n v="11"/>
    <x v="0"/>
    <x v="4"/>
    <x v="1"/>
    <s v="2019/2020"/>
    <b v="1"/>
    <b v="0"/>
    <b v="0"/>
    <x v="1"/>
    <n v="83925694404"/>
    <x v="5"/>
    <x v="5"/>
    <x v="5"/>
    <n v="66"/>
    <x v="2"/>
    <x v="3"/>
    <n v="18"/>
    <n v="18"/>
  </r>
  <r>
    <n v="2019"/>
    <n v="11"/>
    <x v="0"/>
    <x v="4"/>
    <x v="1"/>
    <s v="2019/2020"/>
    <b v="1"/>
    <b v="0"/>
    <b v="0"/>
    <x v="10"/>
    <n v="92929000198"/>
    <x v="564"/>
    <x v="0"/>
    <x v="0"/>
    <n v="73"/>
    <x v="1"/>
    <x v="1"/>
    <n v="60"/>
    <n v="15"/>
  </r>
  <r>
    <n v="2019"/>
    <n v="11"/>
    <x v="0"/>
    <x v="4"/>
    <x v="1"/>
    <s v="2019/2020"/>
    <b v="1"/>
    <b v="0"/>
    <b v="0"/>
    <x v="17"/>
    <n v="132229000180"/>
    <x v="7"/>
    <x v="6"/>
    <x v="2"/>
    <n v="70"/>
    <x v="0"/>
    <x v="0"/>
    <n v="25"/>
    <n v="5"/>
  </r>
  <r>
    <n v="2019"/>
    <n v="11"/>
    <x v="0"/>
    <x v="4"/>
    <x v="1"/>
    <s v="2019/2020"/>
    <b v="1"/>
    <b v="0"/>
    <b v="0"/>
    <x v="4"/>
    <n v="382069000127"/>
    <x v="515"/>
    <x v="4"/>
    <x v="4"/>
    <n v="62"/>
    <x v="3"/>
    <x v="5"/>
    <n v="6"/>
    <n v="6"/>
  </r>
  <r>
    <n v="2019"/>
    <n v="11"/>
    <x v="0"/>
    <x v="4"/>
    <x v="1"/>
    <s v="2019/2020"/>
    <b v="1"/>
    <b v="0"/>
    <b v="0"/>
    <x v="8"/>
    <n v="382069000127"/>
    <x v="515"/>
    <x v="4"/>
    <x v="4"/>
    <n v="64"/>
    <x v="4"/>
    <x v="6"/>
    <n v="3"/>
    <n v="3"/>
  </r>
  <r>
    <n v="2019"/>
    <n v="11"/>
    <x v="0"/>
    <x v="4"/>
    <x v="1"/>
    <s v="2019/2020"/>
    <b v="1"/>
    <b v="0"/>
    <b v="0"/>
    <x v="8"/>
    <n v="382069000127"/>
    <x v="515"/>
    <x v="4"/>
    <x v="4"/>
    <n v="64"/>
    <x v="4"/>
    <x v="6"/>
    <n v="6"/>
    <n v="6"/>
  </r>
  <r>
    <n v="2019"/>
    <n v="11"/>
    <x v="0"/>
    <x v="4"/>
    <x v="1"/>
    <s v="2019/2020"/>
    <b v="1"/>
    <b v="0"/>
    <b v="0"/>
    <x v="4"/>
    <n v="382069000127"/>
    <x v="515"/>
    <x v="4"/>
    <x v="4"/>
    <n v="70"/>
    <x v="0"/>
    <x v="0"/>
    <n v="100"/>
    <n v="20"/>
  </r>
  <r>
    <n v="2019"/>
    <n v="11"/>
    <x v="0"/>
    <x v="4"/>
    <x v="1"/>
    <s v="2019/2020"/>
    <b v="1"/>
    <b v="0"/>
    <b v="0"/>
    <x v="0"/>
    <n v="394502014870"/>
    <x v="348"/>
    <x v="0"/>
    <x v="0"/>
    <n v="64"/>
    <x v="4"/>
    <x v="6"/>
    <n v="10"/>
    <n v="10"/>
  </r>
  <r>
    <n v="2019"/>
    <n v="11"/>
    <x v="0"/>
    <x v="4"/>
    <x v="1"/>
    <s v="2019/2020"/>
    <b v="1"/>
    <b v="0"/>
    <b v="0"/>
    <x v="5"/>
    <n v="394502014870"/>
    <x v="348"/>
    <x v="0"/>
    <x v="0"/>
    <n v="70"/>
    <x v="0"/>
    <x v="0"/>
    <n v="1000"/>
    <n v="200"/>
  </r>
  <r>
    <n v="2019"/>
    <n v="11"/>
    <x v="0"/>
    <x v="4"/>
    <x v="1"/>
    <s v="2019/2020"/>
    <b v="1"/>
    <b v="0"/>
    <b v="0"/>
    <x v="5"/>
    <n v="394544000851"/>
    <x v="349"/>
    <x v="4"/>
    <x v="4"/>
    <n v="73"/>
    <x v="1"/>
    <x v="1"/>
    <n v="24"/>
    <n v="12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50"/>
    <n v="10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65"/>
    <n v="13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100"/>
    <n v="20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200"/>
    <n v="40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250"/>
    <n v="50"/>
  </r>
  <r>
    <n v="2019"/>
    <n v="11"/>
    <x v="0"/>
    <x v="4"/>
    <x v="1"/>
    <s v="2019/2020"/>
    <b v="1"/>
    <b v="0"/>
    <b v="0"/>
    <x v="7"/>
    <n v="410960000120"/>
    <x v="14"/>
    <x v="6"/>
    <x v="2"/>
    <n v="70"/>
    <x v="0"/>
    <x v="0"/>
    <n v="385"/>
    <n v="77"/>
  </r>
  <r>
    <n v="2019"/>
    <n v="11"/>
    <x v="0"/>
    <x v="4"/>
    <x v="1"/>
    <s v="2019/2020"/>
    <b v="1"/>
    <b v="0"/>
    <b v="0"/>
    <x v="7"/>
    <n v="410960000120"/>
    <x v="14"/>
    <x v="6"/>
    <x v="2"/>
    <n v="73"/>
    <x v="1"/>
    <x v="4"/>
    <n v="16"/>
    <n v="2"/>
  </r>
  <r>
    <n v="2019"/>
    <n v="11"/>
    <x v="0"/>
    <x v="4"/>
    <x v="1"/>
    <s v="2019/2020"/>
    <b v="1"/>
    <b v="0"/>
    <b v="0"/>
    <x v="7"/>
    <n v="410960000120"/>
    <x v="14"/>
    <x v="6"/>
    <x v="2"/>
    <n v="73"/>
    <x v="1"/>
    <x v="4"/>
    <n v="16"/>
    <n v="4"/>
  </r>
  <r>
    <n v="2019"/>
    <n v="11"/>
    <x v="0"/>
    <x v="4"/>
    <x v="1"/>
    <s v="2019/2020"/>
    <b v="1"/>
    <b v="0"/>
    <b v="0"/>
    <x v="2"/>
    <n v="437007000175"/>
    <x v="16"/>
    <x v="9"/>
    <x v="0"/>
    <n v="70"/>
    <x v="0"/>
    <x v="0"/>
    <n v="35"/>
    <n v="7"/>
  </r>
  <r>
    <n v="2019"/>
    <n v="11"/>
    <x v="0"/>
    <x v="4"/>
    <x v="1"/>
    <s v="2019/2020"/>
    <b v="1"/>
    <b v="0"/>
    <b v="0"/>
    <x v="2"/>
    <n v="437007000175"/>
    <x v="16"/>
    <x v="9"/>
    <x v="0"/>
    <n v="73"/>
    <x v="1"/>
    <x v="1"/>
    <n v="2"/>
    <n v="1"/>
  </r>
  <r>
    <n v="2019"/>
    <n v="11"/>
    <x v="0"/>
    <x v="4"/>
    <x v="1"/>
    <s v="2019/2020"/>
    <b v="1"/>
    <b v="0"/>
    <b v="0"/>
    <x v="2"/>
    <n v="437007000175"/>
    <x v="16"/>
    <x v="9"/>
    <x v="0"/>
    <n v="73"/>
    <x v="1"/>
    <x v="4"/>
    <n v="80"/>
    <n v="20"/>
  </r>
  <r>
    <n v="2019"/>
    <n v="11"/>
    <x v="0"/>
    <x v="4"/>
    <x v="1"/>
    <s v="2019/2020"/>
    <b v="1"/>
    <b v="0"/>
    <b v="0"/>
    <x v="2"/>
    <n v="437007000175"/>
    <x v="16"/>
    <x v="9"/>
    <x v="0"/>
    <n v="73"/>
    <x v="1"/>
    <x v="4"/>
    <n v="124"/>
    <n v="31"/>
  </r>
  <r>
    <n v="2019"/>
    <n v="11"/>
    <x v="0"/>
    <x v="4"/>
    <x v="1"/>
    <s v="2019/2020"/>
    <b v="1"/>
    <b v="0"/>
    <b v="0"/>
    <x v="4"/>
    <n v="461479001054"/>
    <x v="517"/>
    <x v="3"/>
    <x v="3"/>
    <n v="64"/>
    <x v="4"/>
    <x v="6"/>
    <n v="8"/>
    <n v="8"/>
  </r>
  <r>
    <n v="2019"/>
    <n v="11"/>
    <x v="0"/>
    <x v="4"/>
    <x v="1"/>
    <s v="2019/2020"/>
    <b v="1"/>
    <b v="0"/>
    <b v="0"/>
    <x v="17"/>
    <n v="461479004150"/>
    <x v="565"/>
    <x v="3"/>
    <x v="3"/>
    <n v="70"/>
    <x v="0"/>
    <x v="0"/>
    <n v="80"/>
    <n v="16"/>
  </r>
  <r>
    <n v="2019"/>
    <n v="11"/>
    <x v="0"/>
    <x v="4"/>
    <x v="1"/>
    <s v="2019/2020"/>
    <b v="1"/>
    <b v="0"/>
    <b v="0"/>
    <x v="17"/>
    <n v="461479005122"/>
    <x v="566"/>
    <x v="3"/>
    <x v="3"/>
    <n v="70"/>
    <x v="0"/>
    <x v="0"/>
    <n v="125"/>
    <n v="25"/>
  </r>
  <r>
    <n v="2019"/>
    <n v="11"/>
    <x v="0"/>
    <x v="4"/>
    <x v="1"/>
    <s v="2019/2020"/>
    <b v="1"/>
    <b v="0"/>
    <b v="0"/>
    <x v="8"/>
    <n v="511816000180"/>
    <x v="19"/>
    <x v="4"/>
    <x v="4"/>
    <n v="64"/>
    <x v="4"/>
    <x v="6"/>
    <n v="4"/>
    <n v="4"/>
  </r>
  <r>
    <n v="2019"/>
    <n v="11"/>
    <x v="0"/>
    <x v="4"/>
    <x v="1"/>
    <s v="2019/2020"/>
    <b v="1"/>
    <b v="0"/>
    <b v="0"/>
    <x v="3"/>
    <n v="520237000101"/>
    <x v="20"/>
    <x v="4"/>
    <x v="4"/>
    <n v="70"/>
    <x v="0"/>
    <x v="0"/>
    <n v="250"/>
    <n v="50"/>
  </r>
  <r>
    <n v="2019"/>
    <n v="11"/>
    <x v="0"/>
    <x v="4"/>
    <x v="1"/>
    <s v="2019/2020"/>
    <b v="1"/>
    <b v="0"/>
    <b v="0"/>
    <x v="17"/>
    <n v="520237000101"/>
    <x v="20"/>
    <x v="4"/>
    <x v="4"/>
    <n v="70"/>
    <x v="0"/>
    <x v="0"/>
    <n v="300"/>
    <n v="60"/>
  </r>
  <r>
    <n v="2019"/>
    <n v="11"/>
    <x v="0"/>
    <x v="4"/>
    <x v="1"/>
    <s v="2019/2020"/>
    <b v="1"/>
    <b v="0"/>
    <b v="0"/>
    <x v="8"/>
    <n v="520237000101"/>
    <x v="20"/>
    <x v="4"/>
    <x v="4"/>
    <n v="73"/>
    <x v="1"/>
    <x v="4"/>
    <n v="8"/>
    <n v="2"/>
  </r>
  <r>
    <n v="2019"/>
    <n v="11"/>
    <x v="0"/>
    <x v="4"/>
    <x v="1"/>
    <s v="2019/2020"/>
    <b v="1"/>
    <b v="0"/>
    <b v="0"/>
    <x v="8"/>
    <n v="520237000101"/>
    <x v="20"/>
    <x v="4"/>
    <x v="4"/>
    <n v="73"/>
    <x v="1"/>
    <x v="2"/>
    <n v="6"/>
    <n v="3"/>
  </r>
  <r>
    <n v="2019"/>
    <n v="11"/>
    <x v="0"/>
    <x v="4"/>
    <x v="1"/>
    <s v="2019/2020"/>
    <b v="1"/>
    <b v="0"/>
    <b v="0"/>
    <x v="8"/>
    <n v="520237000101"/>
    <x v="20"/>
    <x v="4"/>
    <x v="4"/>
    <n v="73"/>
    <x v="1"/>
    <x v="1"/>
    <n v="24"/>
    <n v="6"/>
  </r>
  <r>
    <n v="2019"/>
    <n v="11"/>
    <x v="0"/>
    <x v="4"/>
    <x v="1"/>
    <s v="2019/2020"/>
    <b v="1"/>
    <b v="0"/>
    <b v="0"/>
    <x v="8"/>
    <n v="520237000101"/>
    <x v="20"/>
    <x v="4"/>
    <x v="4"/>
    <n v="73"/>
    <x v="1"/>
    <x v="4"/>
    <n v="48"/>
    <n v="12"/>
  </r>
  <r>
    <n v="2019"/>
    <n v="11"/>
    <x v="0"/>
    <x v="4"/>
    <x v="1"/>
    <s v="2019/2020"/>
    <b v="1"/>
    <b v="0"/>
    <b v="0"/>
    <x v="7"/>
    <n v="521197000104"/>
    <x v="21"/>
    <x v="9"/>
    <x v="0"/>
    <n v="70"/>
    <x v="0"/>
    <x v="8"/>
    <n v="7.5"/>
    <n v="3"/>
  </r>
  <r>
    <n v="2019"/>
    <n v="11"/>
    <x v="0"/>
    <x v="4"/>
    <x v="1"/>
    <s v="2019/2020"/>
    <b v="1"/>
    <b v="0"/>
    <b v="0"/>
    <x v="7"/>
    <n v="521197000104"/>
    <x v="21"/>
    <x v="9"/>
    <x v="0"/>
    <n v="70"/>
    <x v="0"/>
    <x v="8"/>
    <n v="12.5"/>
    <n v="5"/>
  </r>
  <r>
    <n v="2019"/>
    <n v="11"/>
    <x v="0"/>
    <x v="4"/>
    <x v="1"/>
    <s v="2019/2020"/>
    <b v="1"/>
    <b v="0"/>
    <b v="0"/>
    <x v="7"/>
    <n v="521197000104"/>
    <x v="21"/>
    <x v="9"/>
    <x v="0"/>
    <n v="70"/>
    <x v="0"/>
    <x v="0"/>
    <n v="120"/>
    <n v="24"/>
  </r>
  <r>
    <n v="2019"/>
    <n v="11"/>
    <x v="0"/>
    <x v="4"/>
    <x v="1"/>
    <s v="2019/2020"/>
    <b v="1"/>
    <b v="0"/>
    <b v="0"/>
    <x v="2"/>
    <n v="521197000104"/>
    <x v="21"/>
    <x v="9"/>
    <x v="0"/>
    <n v="70"/>
    <x v="0"/>
    <x v="0"/>
    <n v="25"/>
    <n v="5"/>
  </r>
  <r>
    <n v="2019"/>
    <n v="11"/>
    <x v="0"/>
    <x v="4"/>
    <x v="1"/>
    <s v="2019/2020"/>
    <b v="1"/>
    <b v="0"/>
    <b v="0"/>
    <x v="2"/>
    <n v="521197000104"/>
    <x v="21"/>
    <x v="9"/>
    <x v="0"/>
    <n v="70"/>
    <x v="0"/>
    <x v="0"/>
    <n v="40"/>
    <n v="8"/>
  </r>
  <r>
    <n v="2019"/>
    <n v="11"/>
    <x v="0"/>
    <x v="4"/>
    <x v="1"/>
    <s v="2019/2020"/>
    <b v="1"/>
    <b v="0"/>
    <b v="0"/>
    <x v="2"/>
    <n v="521197000104"/>
    <x v="21"/>
    <x v="9"/>
    <x v="0"/>
    <n v="70"/>
    <x v="0"/>
    <x v="0"/>
    <n v="105"/>
    <n v="21"/>
  </r>
  <r>
    <n v="2019"/>
    <n v="11"/>
    <x v="0"/>
    <x v="4"/>
    <x v="1"/>
    <s v="2019/2020"/>
    <b v="1"/>
    <b v="0"/>
    <b v="0"/>
    <x v="4"/>
    <n v="603226000187"/>
    <x v="518"/>
    <x v="3"/>
    <x v="3"/>
    <n v="73"/>
    <x v="1"/>
    <x v="4"/>
    <n v="8"/>
    <n v="2"/>
  </r>
  <r>
    <n v="2019"/>
    <n v="11"/>
    <x v="0"/>
    <x v="4"/>
    <x v="1"/>
    <s v="2019/2020"/>
    <b v="1"/>
    <b v="0"/>
    <b v="0"/>
    <x v="3"/>
    <n v="610980000144"/>
    <x v="22"/>
    <x v="4"/>
    <x v="4"/>
    <n v="62"/>
    <x v="3"/>
    <x v="5"/>
    <n v="1"/>
    <n v="1"/>
  </r>
  <r>
    <n v="2019"/>
    <n v="11"/>
    <x v="0"/>
    <x v="4"/>
    <x v="1"/>
    <s v="2019/2020"/>
    <b v="1"/>
    <b v="0"/>
    <b v="0"/>
    <x v="17"/>
    <n v="610980000144"/>
    <x v="22"/>
    <x v="4"/>
    <x v="4"/>
    <n v="62"/>
    <x v="3"/>
    <x v="5"/>
    <n v="1"/>
    <n v="1"/>
  </r>
  <r>
    <n v="2019"/>
    <n v="11"/>
    <x v="0"/>
    <x v="4"/>
    <x v="1"/>
    <s v="2019/2020"/>
    <b v="1"/>
    <b v="0"/>
    <b v="0"/>
    <x v="8"/>
    <n v="610980000144"/>
    <x v="22"/>
    <x v="4"/>
    <x v="4"/>
    <n v="64"/>
    <x v="4"/>
    <x v="6"/>
    <n v="1"/>
    <n v="1"/>
  </r>
  <r>
    <n v="2019"/>
    <n v="11"/>
    <x v="0"/>
    <x v="4"/>
    <x v="1"/>
    <s v="2019/2020"/>
    <b v="1"/>
    <b v="0"/>
    <b v="0"/>
    <x v="8"/>
    <n v="610980000144"/>
    <x v="22"/>
    <x v="4"/>
    <x v="4"/>
    <n v="64"/>
    <x v="4"/>
    <x v="6"/>
    <n v="6"/>
    <n v="3"/>
  </r>
  <r>
    <n v="2019"/>
    <n v="11"/>
    <x v="0"/>
    <x v="4"/>
    <x v="1"/>
    <s v="2019/2020"/>
    <b v="1"/>
    <b v="0"/>
    <b v="0"/>
    <x v="3"/>
    <n v="610980000144"/>
    <x v="22"/>
    <x v="4"/>
    <x v="4"/>
    <n v="70"/>
    <x v="0"/>
    <x v="0"/>
    <n v="50"/>
    <n v="10"/>
  </r>
  <r>
    <n v="2019"/>
    <n v="11"/>
    <x v="0"/>
    <x v="4"/>
    <x v="1"/>
    <s v="2019/2020"/>
    <b v="1"/>
    <b v="0"/>
    <b v="0"/>
    <x v="10"/>
    <n v="820737000150"/>
    <x v="23"/>
    <x v="10"/>
    <x v="8"/>
    <n v="62"/>
    <x v="3"/>
    <x v="5"/>
    <n v="3"/>
    <n v="3"/>
  </r>
  <r>
    <n v="2019"/>
    <n v="11"/>
    <x v="0"/>
    <x v="4"/>
    <x v="1"/>
    <s v="2019/2020"/>
    <b v="1"/>
    <b v="0"/>
    <b v="0"/>
    <x v="10"/>
    <n v="820737000150"/>
    <x v="23"/>
    <x v="10"/>
    <x v="8"/>
    <n v="62"/>
    <x v="3"/>
    <x v="5"/>
    <n v="6"/>
    <n v="6"/>
  </r>
  <r>
    <n v="2019"/>
    <n v="11"/>
    <x v="0"/>
    <x v="4"/>
    <x v="1"/>
    <s v="2019/2020"/>
    <b v="1"/>
    <b v="0"/>
    <b v="0"/>
    <x v="11"/>
    <n v="820737000150"/>
    <x v="23"/>
    <x v="10"/>
    <x v="8"/>
    <n v="64"/>
    <x v="4"/>
    <x v="6"/>
    <n v="30"/>
    <n v="30"/>
  </r>
  <r>
    <n v="2019"/>
    <n v="11"/>
    <x v="0"/>
    <x v="4"/>
    <x v="1"/>
    <s v="2019/2020"/>
    <b v="1"/>
    <b v="0"/>
    <b v="0"/>
    <x v="13"/>
    <n v="840048000450"/>
    <x v="24"/>
    <x v="11"/>
    <x v="3"/>
    <n v="70"/>
    <x v="0"/>
    <x v="7"/>
    <n v="160"/>
    <n v="16"/>
  </r>
  <r>
    <n v="2019"/>
    <n v="11"/>
    <x v="0"/>
    <x v="4"/>
    <x v="1"/>
    <s v="2019/2020"/>
    <b v="1"/>
    <b v="0"/>
    <b v="0"/>
    <x v="17"/>
    <n v="1011865000116"/>
    <x v="27"/>
    <x v="8"/>
    <x v="7"/>
    <n v="70"/>
    <x v="0"/>
    <x v="0"/>
    <n v="200"/>
    <n v="40"/>
  </r>
  <r>
    <n v="2019"/>
    <n v="11"/>
    <x v="0"/>
    <x v="4"/>
    <x v="1"/>
    <s v="2019/2020"/>
    <b v="1"/>
    <b v="0"/>
    <b v="0"/>
    <x v="17"/>
    <n v="1011865000116"/>
    <x v="27"/>
    <x v="8"/>
    <x v="7"/>
    <n v="70"/>
    <x v="0"/>
    <x v="0"/>
    <n v="250"/>
    <n v="50"/>
  </r>
  <r>
    <n v="2019"/>
    <n v="11"/>
    <x v="0"/>
    <x v="4"/>
    <x v="1"/>
    <s v="2019/2020"/>
    <b v="1"/>
    <b v="0"/>
    <b v="0"/>
    <x v="4"/>
    <n v="1125832000105"/>
    <x v="28"/>
    <x v="14"/>
    <x v="10"/>
    <n v="70"/>
    <x v="0"/>
    <x v="0"/>
    <n v="40"/>
    <n v="8"/>
  </r>
  <r>
    <n v="2019"/>
    <n v="11"/>
    <x v="0"/>
    <x v="4"/>
    <x v="1"/>
    <s v="2019/2020"/>
    <b v="1"/>
    <b v="0"/>
    <b v="0"/>
    <x v="4"/>
    <n v="1125832000105"/>
    <x v="28"/>
    <x v="14"/>
    <x v="10"/>
    <n v="70"/>
    <x v="0"/>
    <x v="0"/>
    <n v="100"/>
    <n v="10"/>
  </r>
  <r>
    <n v="2019"/>
    <n v="11"/>
    <x v="0"/>
    <x v="4"/>
    <x v="1"/>
    <s v="2019/2020"/>
    <b v="1"/>
    <b v="0"/>
    <b v="0"/>
    <x v="11"/>
    <n v="1277573000120"/>
    <x v="456"/>
    <x v="8"/>
    <x v="7"/>
    <n v="64"/>
    <x v="4"/>
    <x v="6"/>
    <n v="11"/>
    <n v="11"/>
  </r>
  <r>
    <n v="2019"/>
    <n v="11"/>
    <x v="0"/>
    <x v="4"/>
    <x v="1"/>
    <s v="2019/2020"/>
    <b v="1"/>
    <b v="0"/>
    <b v="0"/>
    <x v="17"/>
    <n v="1326206000179"/>
    <x v="30"/>
    <x v="16"/>
    <x v="7"/>
    <n v="73"/>
    <x v="1"/>
    <x v="1"/>
    <n v="4"/>
    <n v="2"/>
  </r>
  <r>
    <n v="2019"/>
    <n v="11"/>
    <x v="0"/>
    <x v="4"/>
    <x v="1"/>
    <s v="2019/2020"/>
    <b v="1"/>
    <b v="0"/>
    <b v="0"/>
    <x v="8"/>
    <n v="1326206000179"/>
    <x v="30"/>
    <x v="16"/>
    <x v="7"/>
    <n v="73"/>
    <x v="1"/>
    <x v="1"/>
    <n v="4"/>
    <n v="2"/>
  </r>
  <r>
    <n v="2019"/>
    <n v="11"/>
    <x v="0"/>
    <x v="4"/>
    <x v="1"/>
    <s v="2019/2020"/>
    <b v="1"/>
    <b v="0"/>
    <b v="0"/>
    <x v="8"/>
    <n v="1326206000179"/>
    <x v="30"/>
    <x v="16"/>
    <x v="7"/>
    <n v="73"/>
    <x v="1"/>
    <x v="2"/>
    <n v="2"/>
    <n v="2"/>
  </r>
  <r>
    <n v="2019"/>
    <n v="11"/>
    <x v="0"/>
    <x v="4"/>
    <x v="1"/>
    <s v="2019/2020"/>
    <b v="1"/>
    <b v="0"/>
    <b v="0"/>
    <x v="8"/>
    <n v="1326206000179"/>
    <x v="30"/>
    <x v="16"/>
    <x v="7"/>
    <n v="73"/>
    <x v="1"/>
    <x v="4"/>
    <n v="16"/>
    <n v="4"/>
  </r>
  <r>
    <n v="2019"/>
    <n v="11"/>
    <x v="0"/>
    <x v="4"/>
    <x v="1"/>
    <s v="2019/2020"/>
    <b v="1"/>
    <b v="0"/>
    <b v="0"/>
    <x v="3"/>
    <n v="1396804000114"/>
    <x v="32"/>
    <x v="18"/>
    <x v="13"/>
    <n v="70"/>
    <x v="0"/>
    <x v="0"/>
    <n v="25"/>
    <n v="5"/>
  </r>
  <r>
    <n v="2019"/>
    <n v="11"/>
    <x v="0"/>
    <x v="4"/>
    <x v="1"/>
    <s v="2019/2020"/>
    <b v="1"/>
    <b v="0"/>
    <b v="0"/>
    <x v="3"/>
    <n v="1454407000151"/>
    <x v="33"/>
    <x v="19"/>
    <x v="14"/>
    <n v="70"/>
    <x v="0"/>
    <x v="0"/>
    <n v="80"/>
    <n v="16"/>
  </r>
  <r>
    <n v="2019"/>
    <n v="11"/>
    <x v="0"/>
    <x v="4"/>
    <x v="1"/>
    <s v="2019/2020"/>
    <b v="1"/>
    <b v="0"/>
    <b v="0"/>
    <x v="3"/>
    <n v="1454407000151"/>
    <x v="33"/>
    <x v="19"/>
    <x v="14"/>
    <n v="70"/>
    <x v="0"/>
    <x v="0"/>
    <n v="100"/>
    <n v="20"/>
  </r>
  <r>
    <n v="2019"/>
    <n v="11"/>
    <x v="0"/>
    <x v="4"/>
    <x v="1"/>
    <s v="2019/2020"/>
    <b v="1"/>
    <b v="0"/>
    <b v="0"/>
    <x v="16"/>
    <n v="1517626000132"/>
    <x v="35"/>
    <x v="20"/>
    <x v="10"/>
    <n v="73"/>
    <x v="1"/>
    <x v="4"/>
    <n v="12"/>
    <n v="3"/>
  </r>
  <r>
    <n v="2019"/>
    <n v="11"/>
    <x v="0"/>
    <x v="4"/>
    <x v="1"/>
    <s v="2019/2020"/>
    <b v="1"/>
    <b v="0"/>
    <b v="0"/>
    <x v="4"/>
    <n v="1554266000300"/>
    <x v="36"/>
    <x v="21"/>
    <x v="10"/>
    <n v="70"/>
    <x v="0"/>
    <x v="0"/>
    <n v="70"/>
    <n v="7"/>
  </r>
  <r>
    <n v="2019"/>
    <n v="11"/>
    <x v="0"/>
    <x v="4"/>
    <x v="1"/>
    <s v="2019/2020"/>
    <b v="1"/>
    <b v="0"/>
    <b v="0"/>
    <x v="4"/>
    <n v="1613433006892"/>
    <x v="37"/>
    <x v="22"/>
    <x v="3"/>
    <n v="70"/>
    <x v="0"/>
    <x v="0"/>
    <n v="125"/>
    <n v="25"/>
  </r>
  <r>
    <n v="2019"/>
    <n v="11"/>
    <x v="0"/>
    <x v="4"/>
    <x v="1"/>
    <s v="2019/2020"/>
    <b v="1"/>
    <b v="0"/>
    <b v="0"/>
    <x v="4"/>
    <n v="1613433006892"/>
    <x v="37"/>
    <x v="22"/>
    <x v="3"/>
    <n v="70"/>
    <x v="0"/>
    <x v="0"/>
    <n v="150"/>
    <n v="30"/>
  </r>
  <r>
    <n v="2019"/>
    <n v="11"/>
    <x v="0"/>
    <x v="4"/>
    <x v="1"/>
    <s v="2019/2020"/>
    <b v="1"/>
    <b v="0"/>
    <b v="0"/>
    <x v="4"/>
    <n v="1613433006892"/>
    <x v="37"/>
    <x v="22"/>
    <x v="3"/>
    <n v="70"/>
    <x v="0"/>
    <x v="0"/>
    <n v="165"/>
    <n v="33"/>
  </r>
  <r>
    <n v="2019"/>
    <n v="11"/>
    <x v="0"/>
    <x v="4"/>
    <x v="1"/>
    <s v="2019/2020"/>
    <b v="1"/>
    <b v="0"/>
    <b v="0"/>
    <x v="4"/>
    <n v="1613433006892"/>
    <x v="37"/>
    <x v="22"/>
    <x v="3"/>
    <n v="70"/>
    <x v="0"/>
    <x v="0"/>
    <n v="175"/>
    <n v="35"/>
  </r>
  <r>
    <n v="2019"/>
    <n v="11"/>
    <x v="0"/>
    <x v="4"/>
    <x v="1"/>
    <s v="2019/2020"/>
    <b v="1"/>
    <b v="0"/>
    <b v="0"/>
    <x v="4"/>
    <n v="1613433006892"/>
    <x v="37"/>
    <x v="22"/>
    <x v="3"/>
    <n v="70"/>
    <x v="0"/>
    <x v="0"/>
    <n v="190"/>
    <n v="38"/>
  </r>
  <r>
    <n v="2019"/>
    <n v="11"/>
    <x v="0"/>
    <x v="4"/>
    <x v="1"/>
    <s v="2019/2020"/>
    <b v="1"/>
    <b v="0"/>
    <b v="0"/>
    <x v="7"/>
    <n v="1682668000129"/>
    <x v="38"/>
    <x v="4"/>
    <x v="4"/>
    <n v="70"/>
    <x v="0"/>
    <x v="0"/>
    <n v="25"/>
    <n v="5"/>
  </r>
  <r>
    <n v="2019"/>
    <n v="11"/>
    <x v="0"/>
    <x v="4"/>
    <x v="1"/>
    <s v="2019/2020"/>
    <b v="1"/>
    <b v="0"/>
    <b v="0"/>
    <x v="0"/>
    <n v="1757351000104"/>
    <x v="39"/>
    <x v="23"/>
    <x v="12"/>
    <n v="62"/>
    <x v="3"/>
    <x v="5"/>
    <n v="4"/>
    <n v="4"/>
  </r>
  <r>
    <n v="2019"/>
    <n v="11"/>
    <x v="0"/>
    <x v="4"/>
    <x v="1"/>
    <s v="2019/2020"/>
    <b v="1"/>
    <b v="0"/>
    <b v="0"/>
    <x v="4"/>
    <n v="1757351000104"/>
    <x v="39"/>
    <x v="23"/>
    <x v="12"/>
    <n v="64"/>
    <x v="4"/>
    <x v="6"/>
    <n v="5"/>
    <n v="5"/>
  </r>
  <r>
    <n v="2019"/>
    <n v="11"/>
    <x v="0"/>
    <x v="4"/>
    <x v="1"/>
    <s v="2019/2020"/>
    <b v="1"/>
    <b v="0"/>
    <b v="0"/>
    <x v="11"/>
    <n v="1880344000103"/>
    <x v="352"/>
    <x v="87"/>
    <x v="10"/>
    <n v="70"/>
    <x v="0"/>
    <x v="0"/>
    <n v="20"/>
    <n v="4"/>
  </r>
  <r>
    <n v="2019"/>
    <n v="11"/>
    <x v="0"/>
    <x v="4"/>
    <x v="1"/>
    <s v="2019/2020"/>
    <b v="1"/>
    <b v="0"/>
    <b v="0"/>
    <x v="2"/>
    <n v="2284062000521"/>
    <x v="41"/>
    <x v="0"/>
    <x v="0"/>
    <n v="64"/>
    <x v="4"/>
    <x v="6"/>
    <n v="5"/>
    <n v="5"/>
  </r>
  <r>
    <n v="2019"/>
    <n v="11"/>
    <x v="0"/>
    <x v="4"/>
    <x v="1"/>
    <s v="2019/2020"/>
    <b v="1"/>
    <b v="0"/>
    <b v="0"/>
    <x v="1"/>
    <n v="2284062001170"/>
    <x v="42"/>
    <x v="25"/>
    <x v="16"/>
    <n v="64"/>
    <x v="4"/>
    <x v="6"/>
    <n v="2"/>
    <n v="2"/>
  </r>
  <r>
    <n v="2019"/>
    <n v="11"/>
    <x v="0"/>
    <x v="4"/>
    <x v="1"/>
    <s v="2019/2020"/>
    <b v="1"/>
    <b v="0"/>
    <b v="0"/>
    <x v="7"/>
    <n v="2383508000494"/>
    <x v="43"/>
    <x v="3"/>
    <x v="3"/>
    <n v="73"/>
    <x v="1"/>
    <x v="1"/>
    <n v="6"/>
    <n v="1"/>
  </r>
  <r>
    <n v="2019"/>
    <n v="11"/>
    <x v="0"/>
    <x v="4"/>
    <x v="1"/>
    <s v="2019/2020"/>
    <b v="1"/>
    <b v="0"/>
    <b v="0"/>
    <x v="7"/>
    <n v="2383508000494"/>
    <x v="43"/>
    <x v="3"/>
    <x v="3"/>
    <n v="73"/>
    <x v="1"/>
    <x v="4"/>
    <n v="4"/>
    <n v="1"/>
  </r>
  <r>
    <n v="2019"/>
    <n v="11"/>
    <x v="0"/>
    <x v="4"/>
    <x v="1"/>
    <s v="2019/2020"/>
    <b v="1"/>
    <b v="0"/>
    <b v="0"/>
    <x v="7"/>
    <n v="2383508000494"/>
    <x v="43"/>
    <x v="3"/>
    <x v="3"/>
    <n v="73"/>
    <x v="1"/>
    <x v="2"/>
    <n v="1"/>
    <n v="1"/>
  </r>
  <r>
    <n v="2019"/>
    <n v="11"/>
    <x v="0"/>
    <x v="4"/>
    <x v="1"/>
    <s v="2019/2020"/>
    <b v="1"/>
    <b v="0"/>
    <b v="0"/>
    <x v="7"/>
    <n v="2383508000494"/>
    <x v="43"/>
    <x v="3"/>
    <x v="3"/>
    <n v="73"/>
    <x v="1"/>
    <x v="1"/>
    <n v="4"/>
    <n v="2"/>
  </r>
  <r>
    <n v="2019"/>
    <n v="11"/>
    <x v="0"/>
    <x v="4"/>
    <x v="1"/>
    <s v="2019/2020"/>
    <b v="1"/>
    <b v="0"/>
    <b v="0"/>
    <x v="7"/>
    <n v="2383508000494"/>
    <x v="43"/>
    <x v="3"/>
    <x v="3"/>
    <n v="73"/>
    <x v="1"/>
    <x v="2"/>
    <n v="2"/>
    <n v="2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1"/>
    <n v="2"/>
    <n v="1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2"/>
    <n v="1"/>
    <n v="1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4"/>
    <n v="16"/>
    <n v="2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4"/>
    <n v="12"/>
    <n v="3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2"/>
    <n v="3"/>
    <n v="3"/>
  </r>
  <r>
    <n v="2019"/>
    <n v="11"/>
    <x v="0"/>
    <x v="4"/>
    <x v="1"/>
    <s v="2019/2020"/>
    <b v="1"/>
    <b v="0"/>
    <b v="0"/>
    <x v="8"/>
    <n v="2476067000203"/>
    <x v="45"/>
    <x v="8"/>
    <x v="7"/>
    <n v="73"/>
    <x v="1"/>
    <x v="4"/>
    <n v="20"/>
    <n v="5"/>
  </r>
  <r>
    <n v="2019"/>
    <n v="11"/>
    <x v="0"/>
    <x v="4"/>
    <x v="1"/>
    <s v="2019/2020"/>
    <b v="1"/>
    <b v="0"/>
    <b v="0"/>
    <x v="6"/>
    <n v="2476067000203"/>
    <x v="45"/>
    <x v="8"/>
    <x v="7"/>
    <n v="73"/>
    <x v="1"/>
    <x v="2"/>
    <n v="4"/>
    <n v="4"/>
  </r>
  <r>
    <n v="2019"/>
    <n v="11"/>
    <x v="0"/>
    <x v="4"/>
    <x v="1"/>
    <s v="2019/2020"/>
    <b v="1"/>
    <b v="0"/>
    <b v="0"/>
    <x v="27"/>
    <n v="2476067000394"/>
    <x v="46"/>
    <x v="8"/>
    <x v="7"/>
    <n v="70"/>
    <x v="0"/>
    <x v="0"/>
    <n v="30"/>
    <n v="6"/>
  </r>
  <r>
    <n v="2019"/>
    <n v="11"/>
    <x v="0"/>
    <x v="4"/>
    <x v="1"/>
    <s v="2019/2020"/>
    <b v="1"/>
    <b v="0"/>
    <b v="0"/>
    <x v="27"/>
    <n v="2476067000394"/>
    <x v="46"/>
    <x v="8"/>
    <x v="7"/>
    <n v="70"/>
    <x v="0"/>
    <x v="0"/>
    <n v="40"/>
    <n v="8"/>
  </r>
  <r>
    <n v="2019"/>
    <n v="11"/>
    <x v="0"/>
    <x v="4"/>
    <x v="1"/>
    <s v="2019/2020"/>
    <b v="1"/>
    <b v="0"/>
    <b v="0"/>
    <x v="27"/>
    <n v="2476067000394"/>
    <x v="46"/>
    <x v="8"/>
    <x v="7"/>
    <n v="70"/>
    <x v="0"/>
    <x v="0"/>
    <n v="65"/>
    <n v="13"/>
  </r>
  <r>
    <n v="2019"/>
    <n v="11"/>
    <x v="0"/>
    <x v="4"/>
    <x v="1"/>
    <s v="2019/2020"/>
    <b v="1"/>
    <b v="0"/>
    <b v="0"/>
    <x v="4"/>
    <n v="2560878000107"/>
    <x v="47"/>
    <x v="4"/>
    <x v="4"/>
    <n v="62"/>
    <x v="3"/>
    <x v="5"/>
    <n v="3"/>
    <n v="3"/>
  </r>
  <r>
    <n v="2019"/>
    <n v="11"/>
    <x v="0"/>
    <x v="4"/>
    <x v="1"/>
    <s v="2019/2020"/>
    <b v="1"/>
    <b v="0"/>
    <b v="0"/>
    <x v="0"/>
    <n v="2560878000107"/>
    <x v="47"/>
    <x v="4"/>
    <x v="4"/>
    <n v="62"/>
    <x v="3"/>
    <x v="5"/>
    <n v="3"/>
    <n v="3"/>
  </r>
  <r>
    <n v="2019"/>
    <n v="11"/>
    <x v="0"/>
    <x v="4"/>
    <x v="1"/>
    <s v="2019/2020"/>
    <b v="1"/>
    <b v="0"/>
    <b v="0"/>
    <x v="8"/>
    <n v="2560878000107"/>
    <x v="47"/>
    <x v="4"/>
    <x v="4"/>
    <n v="64"/>
    <x v="4"/>
    <x v="6"/>
    <n v="2"/>
    <n v="2"/>
  </r>
  <r>
    <n v="2019"/>
    <n v="11"/>
    <x v="0"/>
    <x v="4"/>
    <x v="1"/>
    <s v="2019/2020"/>
    <b v="1"/>
    <b v="0"/>
    <b v="0"/>
    <x v="8"/>
    <n v="2560878000107"/>
    <x v="47"/>
    <x v="4"/>
    <x v="4"/>
    <n v="64"/>
    <x v="4"/>
    <x v="6"/>
    <n v="4"/>
    <n v="4"/>
  </r>
  <r>
    <n v="2019"/>
    <n v="11"/>
    <x v="0"/>
    <x v="4"/>
    <x v="1"/>
    <s v="2019/2020"/>
    <b v="1"/>
    <b v="0"/>
    <b v="0"/>
    <x v="8"/>
    <n v="2560878000107"/>
    <x v="47"/>
    <x v="4"/>
    <x v="4"/>
    <n v="64"/>
    <x v="4"/>
    <x v="6"/>
    <n v="6"/>
    <n v="6"/>
  </r>
  <r>
    <n v="2019"/>
    <n v="11"/>
    <x v="0"/>
    <x v="4"/>
    <x v="1"/>
    <s v="2019/2020"/>
    <b v="1"/>
    <b v="0"/>
    <b v="0"/>
    <x v="3"/>
    <n v="2560878000107"/>
    <x v="47"/>
    <x v="4"/>
    <x v="4"/>
    <n v="70"/>
    <x v="0"/>
    <x v="0"/>
    <n v="25"/>
    <n v="5"/>
  </r>
  <r>
    <n v="2019"/>
    <n v="11"/>
    <x v="0"/>
    <x v="4"/>
    <x v="1"/>
    <s v="2019/2020"/>
    <b v="1"/>
    <b v="0"/>
    <b v="0"/>
    <x v="4"/>
    <n v="2560878000107"/>
    <x v="47"/>
    <x v="4"/>
    <x v="4"/>
    <n v="70"/>
    <x v="0"/>
    <x v="0"/>
    <n v="5"/>
    <n v="1"/>
  </r>
  <r>
    <n v="2019"/>
    <n v="11"/>
    <x v="0"/>
    <x v="4"/>
    <x v="1"/>
    <s v="2019/2020"/>
    <b v="1"/>
    <b v="0"/>
    <b v="0"/>
    <x v="17"/>
    <n v="2560878000107"/>
    <x v="47"/>
    <x v="4"/>
    <x v="4"/>
    <n v="70"/>
    <x v="0"/>
    <x v="0"/>
    <n v="25"/>
    <n v="5"/>
  </r>
  <r>
    <n v="2019"/>
    <n v="11"/>
    <x v="0"/>
    <x v="4"/>
    <x v="1"/>
    <s v="2019/2020"/>
    <b v="1"/>
    <b v="0"/>
    <b v="0"/>
    <x v="7"/>
    <n v="2623693000102"/>
    <x v="48"/>
    <x v="6"/>
    <x v="2"/>
    <n v="70"/>
    <x v="0"/>
    <x v="7"/>
    <n v="20"/>
    <n v="2"/>
  </r>
  <r>
    <n v="2019"/>
    <n v="11"/>
    <x v="0"/>
    <x v="4"/>
    <x v="1"/>
    <s v="2019/2020"/>
    <b v="1"/>
    <b v="0"/>
    <b v="0"/>
    <x v="6"/>
    <n v="2643405000173"/>
    <x v="49"/>
    <x v="26"/>
    <x v="3"/>
    <n v="73"/>
    <x v="1"/>
    <x v="2"/>
    <n v="2"/>
    <n v="2"/>
  </r>
  <r>
    <n v="2019"/>
    <n v="11"/>
    <x v="0"/>
    <x v="4"/>
    <x v="1"/>
    <s v="2019/2020"/>
    <b v="1"/>
    <b v="0"/>
    <b v="0"/>
    <x v="6"/>
    <n v="2643405000173"/>
    <x v="49"/>
    <x v="26"/>
    <x v="3"/>
    <n v="73"/>
    <x v="1"/>
    <x v="1"/>
    <n v="12"/>
    <n v="6"/>
  </r>
  <r>
    <n v="2019"/>
    <n v="11"/>
    <x v="0"/>
    <x v="4"/>
    <x v="1"/>
    <s v="2019/2020"/>
    <b v="1"/>
    <b v="0"/>
    <b v="0"/>
    <x v="6"/>
    <n v="2643405000173"/>
    <x v="49"/>
    <x v="26"/>
    <x v="3"/>
    <n v="73"/>
    <x v="1"/>
    <x v="2"/>
    <n v="11"/>
    <n v="11"/>
  </r>
  <r>
    <n v="2019"/>
    <n v="11"/>
    <x v="0"/>
    <x v="4"/>
    <x v="1"/>
    <s v="2019/2020"/>
    <b v="1"/>
    <b v="0"/>
    <b v="0"/>
    <x v="17"/>
    <n v="2837922000183"/>
    <x v="50"/>
    <x v="3"/>
    <x v="3"/>
    <n v="73"/>
    <x v="1"/>
    <x v="4"/>
    <n v="48"/>
    <n v="12"/>
  </r>
  <r>
    <n v="2019"/>
    <n v="11"/>
    <x v="0"/>
    <x v="4"/>
    <x v="1"/>
    <s v="2019/2020"/>
    <b v="1"/>
    <b v="0"/>
    <b v="0"/>
    <x v="6"/>
    <n v="2837922000183"/>
    <x v="50"/>
    <x v="3"/>
    <x v="3"/>
    <n v="73"/>
    <x v="1"/>
    <x v="2"/>
    <n v="4"/>
    <n v="2"/>
  </r>
  <r>
    <n v="2019"/>
    <n v="11"/>
    <x v="0"/>
    <x v="4"/>
    <x v="1"/>
    <s v="2019/2020"/>
    <b v="1"/>
    <b v="0"/>
    <b v="0"/>
    <x v="6"/>
    <n v="2837922000183"/>
    <x v="50"/>
    <x v="3"/>
    <x v="3"/>
    <n v="73"/>
    <x v="1"/>
    <x v="4"/>
    <n v="48"/>
    <n v="12"/>
  </r>
  <r>
    <n v="2019"/>
    <n v="11"/>
    <x v="0"/>
    <x v="4"/>
    <x v="1"/>
    <s v="2019/2020"/>
    <b v="1"/>
    <b v="0"/>
    <b v="0"/>
    <x v="10"/>
    <n v="2864097000106"/>
    <x v="52"/>
    <x v="0"/>
    <x v="0"/>
    <n v="70"/>
    <x v="0"/>
    <x v="0"/>
    <n v="35"/>
    <n v="7"/>
  </r>
  <r>
    <n v="2019"/>
    <n v="11"/>
    <x v="0"/>
    <x v="4"/>
    <x v="1"/>
    <s v="2019/2020"/>
    <b v="1"/>
    <b v="0"/>
    <b v="0"/>
    <x v="10"/>
    <n v="2864097000106"/>
    <x v="52"/>
    <x v="0"/>
    <x v="0"/>
    <n v="70"/>
    <x v="0"/>
    <x v="0"/>
    <n v="45"/>
    <n v="9"/>
  </r>
  <r>
    <n v="2019"/>
    <n v="11"/>
    <x v="0"/>
    <x v="4"/>
    <x v="1"/>
    <s v="2019/2020"/>
    <b v="1"/>
    <b v="0"/>
    <b v="0"/>
    <x v="3"/>
    <n v="3091003000176"/>
    <x v="355"/>
    <x v="49"/>
    <x v="21"/>
    <n v="70"/>
    <x v="0"/>
    <x v="0"/>
    <n v="175"/>
    <n v="35"/>
  </r>
  <r>
    <n v="2019"/>
    <n v="11"/>
    <x v="0"/>
    <x v="4"/>
    <x v="1"/>
    <s v="2019/2020"/>
    <b v="1"/>
    <b v="0"/>
    <b v="0"/>
    <x v="3"/>
    <n v="3315918000541"/>
    <x v="567"/>
    <x v="12"/>
    <x v="9"/>
    <n v="70"/>
    <x v="0"/>
    <x v="0"/>
    <n v="50"/>
    <n v="10"/>
  </r>
  <r>
    <n v="2019"/>
    <n v="11"/>
    <x v="0"/>
    <x v="4"/>
    <x v="1"/>
    <s v="2019/2020"/>
    <b v="1"/>
    <b v="0"/>
    <b v="0"/>
    <x v="7"/>
    <n v="3354642000187"/>
    <x v="568"/>
    <x v="87"/>
    <x v="10"/>
    <n v="70"/>
    <x v="0"/>
    <x v="0"/>
    <n v="15"/>
    <n v="3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30"/>
    <n v="3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60"/>
    <n v="6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160"/>
    <n v="8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90"/>
    <n v="9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120"/>
    <n v="12"/>
  </r>
  <r>
    <n v="2019"/>
    <n v="11"/>
    <x v="0"/>
    <x v="4"/>
    <x v="1"/>
    <s v="2019/2020"/>
    <b v="1"/>
    <b v="0"/>
    <b v="0"/>
    <x v="7"/>
    <n v="3850913000195"/>
    <x v="56"/>
    <x v="13"/>
    <x v="6"/>
    <n v="70"/>
    <x v="0"/>
    <x v="7"/>
    <n v="170"/>
    <n v="17"/>
  </r>
  <r>
    <n v="2019"/>
    <n v="11"/>
    <x v="0"/>
    <x v="4"/>
    <x v="1"/>
    <s v="2019/2020"/>
    <b v="1"/>
    <b v="0"/>
    <b v="0"/>
    <x v="4"/>
    <n v="3855214000219"/>
    <x v="523"/>
    <x v="141"/>
    <x v="10"/>
    <n v="70"/>
    <x v="0"/>
    <x v="0"/>
    <n v="10"/>
    <n v="2"/>
  </r>
  <r>
    <n v="2019"/>
    <n v="11"/>
    <x v="0"/>
    <x v="4"/>
    <x v="1"/>
    <s v="2019/2020"/>
    <b v="1"/>
    <b v="0"/>
    <b v="0"/>
    <x v="9"/>
    <n v="3866223000124"/>
    <x v="358"/>
    <x v="19"/>
    <x v="14"/>
    <n v="70"/>
    <x v="0"/>
    <x v="0"/>
    <n v="10"/>
    <n v="2"/>
  </r>
  <r>
    <n v="2019"/>
    <n v="11"/>
    <x v="0"/>
    <x v="4"/>
    <x v="1"/>
    <s v="2019/2020"/>
    <b v="1"/>
    <b v="0"/>
    <b v="0"/>
    <x v="24"/>
    <n v="3866223000124"/>
    <x v="358"/>
    <x v="19"/>
    <x v="14"/>
    <n v="70"/>
    <x v="0"/>
    <x v="0"/>
    <n v="95"/>
    <n v="19"/>
  </r>
  <r>
    <n v="2019"/>
    <n v="11"/>
    <x v="0"/>
    <x v="4"/>
    <x v="1"/>
    <s v="2019/2020"/>
    <b v="1"/>
    <b v="0"/>
    <b v="0"/>
    <x v="24"/>
    <n v="3866223000124"/>
    <x v="358"/>
    <x v="19"/>
    <x v="14"/>
    <n v="70"/>
    <x v="0"/>
    <x v="0"/>
    <n v="140"/>
    <n v="28"/>
  </r>
  <r>
    <n v="2019"/>
    <n v="11"/>
    <x v="0"/>
    <x v="4"/>
    <x v="1"/>
    <s v="2019/2020"/>
    <b v="1"/>
    <b v="0"/>
    <b v="0"/>
    <x v="24"/>
    <n v="3866223000124"/>
    <x v="358"/>
    <x v="19"/>
    <x v="14"/>
    <n v="70"/>
    <x v="0"/>
    <x v="0"/>
    <n v="175"/>
    <n v="35"/>
  </r>
  <r>
    <n v="2019"/>
    <n v="11"/>
    <x v="0"/>
    <x v="4"/>
    <x v="1"/>
    <s v="2019/2020"/>
    <b v="1"/>
    <b v="0"/>
    <b v="0"/>
    <x v="17"/>
    <n v="3872790000193"/>
    <x v="58"/>
    <x v="3"/>
    <x v="3"/>
    <n v="73"/>
    <x v="1"/>
    <x v="4"/>
    <n v="4"/>
    <n v="1"/>
  </r>
  <r>
    <n v="2019"/>
    <n v="11"/>
    <x v="0"/>
    <x v="4"/>
    <x v="1"/>
    <s v="2019/2020"/>
    <b v="1"/>
    <b v="0"/>
    <b v="0"/>
    <x v="11"/>
    <n v="3925419000142"/>
    <x v="59"/>
    <x v="23"/>
    <x v="12"/>
    <n v="64"/>
    <x v="4"/>
    <x v="6"/>
    <n v="4"/>
    <n v="4"/>
  </r>
  <r>
    <n v="2019"/>
    <n v="11"/>
    <x v="0"/>
    <x v="4"/>
    <x v="1"/>
    <s v="2019/2020"/>
    <b v="1"/>
    <b v="0"/>
    <b v="0"/>
    <x v="12"/>
    <n v="3925419000142"/>
    <x v="59"/>
    <x v="23"/>
    <x v="12"/>
    <n v="64"/>
    <x v="4"/>
    <x v="6"/>
    <n v="5"/>
    <n v="5"/>
  </r>
  <r>
    <n v="2019"/>
    <n v="11"/>
    <x v="0"/>
    <x v="4"/>
    <x v="1"/>
    <s v="2019/2020"/>
    <b v="1"/>
    <b v="0"/>
    <b v="0"/>
    <x v="17"/>
    <n v="4036348000190"/>
    <x v="61"/>
    <x v="3"/>
    <x v="3"/>
    <n v="70"/>
    <x v="0"/>
    <x v="0"/>
    <n v="175"/>
    <n v="35"/>
  </r>
  <r>
    <n v="2019"/>
    <n v="11"/>
    <x v="0"/>
    <x v="4"/>
    <x v="1"/>
    <s v="2019/2020"/>
    <b v="1"/>
    <b v="0"/>
    <b v="0"/>
    <x v="6"/>
    <n v="4036348000190"/>
    <x v="61"/>
    <x v="3"/>
    <x v="3"/>
    <n v="70"/>
    <x v="0"/>
    <x v="0"/>
    <n v="75"/>
    <n v="15"/>
  </r>
  <r>
    <n v="2019"/>
    <n v="11"/>
    <x v="0"/>
    <x v="4"/>
    <x v="1"/>
    <s v="2019/2020"/>
    <b v="1"/>
    <b v="0"/>
    <b v="0"/>
    <x v="9"/>
    <n v="4201372001028"/>
    <x v="62"/>
    <x v="1"/>
    <x v="1"/>
    <n v="73"/>
    <x v="1"/>
    <x v="1"/>
    <n v="8"/>
    <n v="4"/>
  </r>
  <r>
    <n v="2019"/>
    <n v="11"/>
    <x v="0"/>
    <x v="4"/>
    <x v="1"/>
    <s v="2019/2020"/>
    <b v="1"/>
    <b v="0"/>
    <b v="0"/>
    <x v="9"/>
    <n v="4201372001028"/>
    <x v="62"/>
    <x v="1"/>
    <x v="1"/>
    <n v="73"/>
    <x v="1"/>
    <x v="4"/>
    <n v="40"/>
    <n v="10"/>
  </r>
  <r>
    <n v="2019"/>
    <n v="11"/>
    <x v="0"/>
    <x v="4"/>
    <x v="1"/>
    <s v="2019/2020"/>
    <b v="1"/>
    <b v="0"/>
    <b v="0"/>
    <x v="3"/>
    <n v="4275687000129"/>
    <x v="63"/>
    <x v="29"/>
    <x v="3"/>
    <n v="73"/>
    <x v="1"/>
    <x v="4"/>
    <n v="20"/>
    <n v="5"/>
  </r>
  <r>
    <n v="2019"/>
    <n v="11"/>
    <x v="0"/>
    <x v="4"/>
    <x v="1"/>
    <s v="2019/2020"/>
    <b v="1"/>
    <b v="0"/>
    <b v="0"/>
    <x v="3"/>
    <n v="4275687000129"/>
    <x v="63"/>
    <x v="29"/>
    <x v="3"/>
    <n v="73"/>
    <x v="1"/>
    <x v="2"/>
    <n v="5"/>
    <n v="5"/>
  </r>
  <r>
    <n v="2019"/>
    <n v="11"/>
    <x v="0"/>
    <x v="4"/>
    <x v="1"/>
    <s v="2019/2020"/>
    <b v="1"/>
    <b v="0"/>
    <b v="0"/>
    <x v="17"/>
    <n v="4275687000129"/>
    <x v="63"/>
    <x v="29"/>
    <x v="3"/>
    <n v="73"/>
    <x v="1"/>
    <x v="4"/>
    <n v="20"/>
    <n v="5"/>
  </r>
  <r>
    <n v="2019"/>
    <n v="11"/>
    <x v="0"/>
    <x v="4"/>
    <x v="1"/>
    <s v="2019/2020"/>
    <b v="1"/>
    <b v="0"/>
    <b v="0"/>
    <x v="14"/>
    <n v="4670913000176"/>
    <x v="65"/>
    <x v="14"/>
    <x v="10"/>
    <n v="70"/>
    <x v="0"/>
    <x v="0"/>
    <n v="70"/>
    <n v="14"/>
  </r>
  <r>
    <n v="2019"/>
    <n v="11"/>
    <x v="0"/>
    <x v="4"/>
    <x v="1"/>
    <s v="2019/2020"/>
    <b v="1"/>
    <b v="0"/>
    <b v="0"/>
    <x v="7"/>
    <n v="4670913000176"/>
    <x v="65"/>
    <x v="14"/>
    <x v="10"/>
    <n v="70"/>
    <x v="0"/>
    <x v="0"/>
    <n v="130"/>
    <n v="26"/>
  </r>
  <r>
    <n v="2019"/>
    <n v="11"/>
    <x v="0"/>
    <x v="4"/>
    <x v="1"/>
    <s v="2019/2020"/>
    <b v="1"/>
    <b v="0"/>
    <b v="0"/>
    <x v="27"/>
    <n v="4670913000176"/>
    <x v="65"/>
    <x v="14"/>
    <x v="10"/>
    <n v="70"/>
    <x v="0"/>
    <x v="0"/>
    <n v="75"/>
    <n v="15"/>
  </r>
  <r>
    <n v="2019"/>
    <n v="11"/>
    <x v="0"/>
    <x v="4"/>
    <x v="1"/>
    <s v="2019/2020"/>
    <b v="1"/>
    <b v="0"/>
    <b v="0"/>
    <x v="27"/>
    <n v="4670913000176"/>
    <x v="65"/>
    <x v="14"/>
    <x v="10"/>
    <n v="70"/>
    <x v="0"/>
    <x v="0"/>
    <n v="80"/>
    <n v="16"/>
  </r>
  <r>
    <n v="2019"/>
    <n v="11"/>
    <x v="0"/>
    <x v="4"/>
    <x v="1"/>
    <s v="2019/2020"/>
    <b v="1"/>
    <b v="0"/>
    <b v="0"/>
    <x v="9"/>
    <n v="4929345000185"/>
    <x v="569"/>
    <x v="1"/>
    <x v="1"/>
    <n v="62"/>
    <x v="3"/>
    <x v="5"/>
    <n v="25"/>
    <n v="25"/>
  </r>
  <r>
    <n v="2019"/>
    <n v="11"/>
    <x v="0"/>
    <x v="4"/>
    <x v="1"/>
    <s v="2019/2020"/>
    <b v="1"/>
    <b v="0"/>
    <b v="0"/>
    <x v="9"/>
    <n v="4929345000185"/>
    <x v="569"/>
    <x v="1"/>
    <x v="1"/>
    <n v="64"/>
    <x v="4"/>
    <x v="6"/>
    <n v="25"/>
    <n v="25"/>
  </r>
  <r>
    <n v="2019"/>
    <n v="11"/>
    <x v="0"/>
    <x v="4"/>
    <x v="1"/>
    <s v="2019/2020"/>
    <b v="1"/>
    <b v="0"/>
    <b v="0"/>
    <x v="5"/>
    <n v="4929345000185"/>
    <x v="569"/>
    <x v="1"/>
    <x v="1"/>
    <n v="70"/>
    <x v="0"/>
    <x v="8"/>
    <n v="125"/>
    <n v="50"/>
  </r>
  <r>
    <n v="2019"/>
    <n v="11"/>
    <x v="0"/>
    <x v="4"/>
    <x v="1"/>
    <s v="2019/2020"/>
    <b v="1"/>
    <b v="0"/>
    <b v="0"/>
    <x v="5"/>
    <n v="4929345000185"/>
    <x v="569"/>
    <x v="1"/>
    <x v="1"/>
    <n v="70"/>
    <x v="0"/>
    <x v="0"/>
    <n v="500"/>
    <n v="100"/>
  </r>
  <r>
    <n v="2019"/>
    <n v="11"/>
    <x v="0"/>
    <x v="4"/>
    <x v="1"/>
    <s v="2019/2020"/>
    <b v="1"/>
    <b v="0"/>
    <b v="0"/>
    <x v="5"/>
    <n v="4929345000185"/>
    <x v="569"/>
    <x v="1"/>
    <x v="1"/>
    <n v="73"/>
    <x v="1"/>
    <x v="2"/>
    <n v="50"/>
    <n v="50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50"/>
    <n v="10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55"/>
    <n v="11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70"/>
    <n v="14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100"/>
    <n v="20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300"/>
    <n v="60"/>
  </r>
  <r>
    <n v="2019"/>
    <n v="11"/>
    <x v="0"/>
    <x v="4"/>
    <x v="1"/>
    <s v="2019/2020"/>
    <b v="1"/>
    <b v="0"/>
    <b v="0"/>
    <x v="5"/>
    <n v="4995603000121"/>
    <x v="570"/>
    <x v="3"/>
    <x v="3"/>
    <n v="70"/>
    <x v="0"/>
    <x v="0"/>
    <n v="425"/>
    <n v="85"/>
  </r>
  <r>
    <n v="2019"/>
    <n v="11"/>
    <x v="0"/>
    <x v="4"/>
    <x v="1"/>
    <s v="2019/2020"/>
    <b v="1"/>
    <b v="0"/>
    <b v="0"/>
    <x v="3"/>
    <n v="5430118000173"/>
    <x v="571"/>
    <x v="149"/>
    <x v="17"/>
    <n v="73"/>
    <x v="1"/>
    <x v="2"/>
    <n v="8"/>
    <n v="8"/>
  </r>
  <r>
    <n v="2019"/>
    <n v="11"/>
    <x v="0"/>
    <x v="4"/>
    <x v="1"/>
    <s v="2019/2020"/>
    <b v="1"/>
    <b v="0"/>
    <b v="0"/>
    <x v="0"/>
    <n v="5430118000173"/>
    <x v="571"/>
    <x v="149"/>
    <x v="17"/>
    <n v="73"/>
    <x v="1"/>
    <x v="2"/>
    <n v="4"/>
    <n v="4"/>
  </r>
  <r>
    <n v="2019"/>
    <n v="11"/>
    <x v="0"/>
    <x v="4"/>
    <x v="1"/>
    <s v="2019/2020"/>
    <b v="1"/>
    <b v="0"/>
    <b v="0"/>
    <x v="4"/>
    <n v="5469172000122"/>
    <x v="67"/>
    <x v="31"/>
    <x v="17"/>
    <n v="62"/>
    <x v="3"/>
    <x v="5"/>
    <n v="4"/>
    <n v="4"/>
  </r>
  <r>
    <n v="2019"/>
    <n v="11"/>
    <x v="0"/>
    <x v="4"/>
    <x v="1"/>
    <s v="2019/2020"/>
    <b v="1"/>
    <b v="0"/>
    <b v="0"/>
    <x v="4"/>
    <n v="5469172000122"/>
    <x v="67"/>
    <x v="31"/>
    <x v="17"/>
    <n v="62"/>
    <x v="3"/>
    <x v="5"/>
    <n v="6"/>
    <n v="6"/>
  </r>
  <r>
    <n v="2019"/>
    <n v="11"/>
    <x v="0"/>
    <x v="4"/>
    <x v="1"/>
    <s v="2019/2020"/>
    <b v="1"/>
    <b v="0"/>
    <b v="0"/>
    <x v="4"/>
    <n v="5469172000122"/>
    <x v="67"/>
    <x v="31"/>
    <x v="17"/>
    <n v="64"/>
    <x v="4"/>
    <x v="6"/>
    <n v="10"/>
    <n v="5"/>
  </r>
  <r>
    <n v="2019"/>
    <n v="11"/>
    <x v="0"/>
    <x v="4"/>
    <x v="1"/>
    <s v="2019/2020"/>
    <b v="1"/>
    <b v="0"/>
    <b v="0"/>
    <x v="4"/>
    <n v="5469172000122"/>
    <x v="67"/>
    <x v="31"/>
    <x v="17"/>
    <n v="64"/>
    <x v="4"/>
    <x v="6"/>
    <n v="9"/>
    <n v="9"/>
  </r>
  <r>
    <n v="2019"/>
    <n v="11"/>
    <x v="0"/>
    <x v="4"/>
    <x v="1"/>
    <s v="2019/2020"/>
    <b v="1"/>
    <b v="0"/>
    <b v="0"/>
    <x v="4"/>
    <n v="5469172000122"/>
    <x v="67"/>
    <x v="31"/>
    <x v="17"/>
    <n v="64"/>
    <x v="4"/>
    <x v="6"/>
    <n v="12"/>
    <n v="12"/>
  </r>
  <r>
    <n v="2019"/>
    <n v="11"/>
    <x v="0"/>
    <x v="4"/>
    <x v="1"/>
    <s v="2019/2020"/>
    <b v="1"/>
    <b v="0"/>
    <b v="0"/>
    <x v="4"/>
    <n v="5612725000154"/>
    <x v="466"/>
    <x v="19"/>
    <x v="14"/>
    <n v="70"/>
    <x v="0"/>
    <x v="0"/>
    <n v="30"/>
    <n v="6"/>
  </r>
  <r>
    <n v="2019"/>
    <n v="11"/>
    <x v="0"/>
    <x v="4"/>
    <x v="1"/>
    <s v="2019/2020"/>
    <b v="1"/>
    <b v="0"/>
    <b v="0"/>
    <x v="5"/>
    <n v="5816630000152"/>
    <x v="68"/>
    <x v="31"/>
    <x v="17"/>
    <n v="70"/>
    <x v="0"/>
    <x v="8"/>
    <n v="25"/>
    <n v="10"/>
  </r>
  <r>
    <n v="2019"/>
    <n v="11"/>
    <x v="0"/>
    <x v="4"/>
    <x v="1"/>
    <s v="2019/2020"/>
    <b v="1"/>
    <b v="0"/>
    <b v="0"/>
    <x v="5"/>
    <n v="5816630000152"/>
    <x v="68"/>
    <x v="31"/>
    <x v="17"/>
    <n v="70"/>
    <x v="0"/>
    <x v="0"/>
    <n v="300"/>
    <n v="30"/>
  </r>
  <r>
    <n v="2019"/>
    <n v="11"/>
    <x v="0"/>
    <x v="4"/>
    <x v="1"/>
    <s v="2019/2020"/>
    <b v="1"/>
    <b v="0"/>
    <b v="0"/>
    <x v="5"/>
    <n v="5816630000152"/>
    <x v="68"/>
    <x v="31"/>
    <x v="17"/>
    <n v="70"/>
    <x v="0"/>
    <x v="0"/>
    <n v="1000"/>
    <n v="100"/>
  </r>
  <r>
    <n v="2019"/>
    <n v="11"/>
    <x v="0"/>
    <x v="4"/>
    <x v="1"/>
    <s v="2019/2020"/>
    <b v="1"/>
    <b v="0"/>
    <b v="0"/>
    <x v="5"/>
    <n v="5816630000152"/>
    <x v="68"/>
    <x v="31"/>
    <x v="17"/>
    <n v="70"/>
    <x v="0"/>
    <x v="0"/>
    <n v="1015"/>
    <n v="203"/>
  </r>
  <r>
    <n v="2019"/>
    <n v="11"/>
    <x v="0"/>
    <x v="4"/>
    <x v="1"/>
    <s v="2019/2020"/>
    <b v="1"/>
    <b v="0"/>
    <b v="0"/>
    <x v="5"/>
    <n v="5816630000152"/>
    <x v="68"/>
    <x v="31"/>
    <x v="17"/>
    <n v="70"/>
    <x v="0"/>
    <x v="0"/>
    <n v="1115"/>
    <n v="223"/>
  </r>
  <r>
    <n v="2019"/>
    <n v="11"/>
    <x v="0"/>
    <x v="4"/>
    <x v="1"/>
    <s v="2019/2020"/>
    <b v="1"/>
    <b v="0"/>
    <b v="0"/>
    <x v="27"/>
    <n v="5831510000124"/>
    <x v="69"/>
    <x v="3"/>
    <x v="3"/>
    <n v="70"/>
    <x v="0"/>
    <x v="0"/>
    <n v="140"/>
    <n v="28"/>
  </r>
  <r>
    <n v="2019"/>
    <n v="11"/>
    <x v="0"/>
    <x v="4"/>
    <x v="1"/>
    <s v="2019/2020"/>
    <b v="1"/>
    <b v="0"/>
    <b v="0"/>
    <x v="4"/>
    <n v="5867015000175"/>
    <x v="70"/>
    <x v="32"/>
    <x v="18"/>
    <n v="73"/>
    <x v="1"/>
    <x v="2"/>
    <n v="8"/>
    <n v="8"/>
  </r>
  <r>
    <n v="2019"/>
    <n v="11"/>
    <x v="0"/>
    <x v="4"/>
    <x v="1"/>
    <s v="2019/2020"/>
    <b v="1"/>
    <b v="0"/>
    <b v="0"/>
    <x v="9"/>
    <n v="5868278000280"/>
    <x v="71"/>
    <x v="32"/>
    <x v="18"/>
    <n v="62"/>
    <x v="3"/>
    <x v="5"/>
    <n v="24"/>
    <n v="24"/>
  </r>
  <r>
    <n v="2019"/>
    <n v="11"/>
    <x v="0"/>
    <x v="4"/>
    <x v="1"/>
    <s v="2019/2020"/>
    <b v="1"/>
    <b v="0"/>
    <b v="0"/>
    <x v="9"/>
    <n v="5868278000280"/>
    <x v="71"/>
    <x v="32"/>
    <x v="18"/>
    <n v="64"/>
    <x v="4"/>
    <x v="6"/>
    <n v="1"/>
    <n v="1"/>
  </r>
  <r>
    <n v="2019"/>
    <n v="11"/>
    <x v="0"/>
    <x v="4"/>
    <x v="1"/>
    <s v="2019/2020"/>
    <b v="1"/>
    <b v="0"/>
    <b v="0"/>
    <x v="9"/>
    <n v="5868278000280"/>
    <x v="71"/>
    <x v="32"/>
    <x v="18"/>
    <n v="64"/>
    <x v="4"/>
    <x v="6"/>
    <n v="3"/>
    <n v="3"/>
  </r>
  <r>
    <n v="2019"/>
    <n v="11"/>
    <x v="0"/>
    <x v="4"/>
    <x v="1"/>
    <s v="2019/2020"/>
    <b v="1"/>
    <b v="0"/>
    <b v="0"/>
    <x v="9"/>
    <n v="5868278000280"/>
    <x v="71"/>
    <x v="32"/>
    <x v="18"/>
    <n v="64"/>
    <x v="4"/>
    <x v="6"/>
    <n v="4"/>
    <n v="4"/>
  </r>
  <r>
    <n v="2019"/>
    <n v="11"/>
    <x v="0"/>
    <x v="4"/>
    <x v="1"/>
    <s v="2019/2020"/>
    <b v="1"/>
    <b v="0"/>
    <b v="0"/>
    <x v="9"/>
    <n v="5868278000280"/>
    <x v="71"/>
    <x v="32"/>
    <x v="18"/>
    <n v="64"/>
    <x v="4"/>
    <x v="6"/>
    <n v="8"/>
    <n v="8"/>
  </r>
  <r>
    <n v="2019"/>
    <n v="11"/>
    <x v="0"/>
    <x v="4"/>
    <x v="1"/>
    <s v="2019/2020"/>
    <b v="1"/>
    <b v="0"/>
    <b v="0"/>
    <x v="9"/>
    <n v="5868278000280"/>
    <x v="71"/>
    <x v="32"/>
    <x v="18"/>
    <n v="70"/>
    <x v="0"/>
    <x v="0"/>
    <n v="70"/>
    <n v="14"/>
  </r>
  <r>
    <n v="2019"/>
    <n v="11"/>
    <x v="0"/>
    <x v="4"/>
    <x v="1"/>
    <s v="2019/2020"/>
    <b v="1"/>
    <b v="0"/>
    <b v="0"/>
    <x v="9"/>
    <n v="5868278000280"/>
    <x v="71"/>
    <x v="32"/>
    <x v="18"/>
    <n v="70"/>
    <x v="0"/>
    <x v="0"/>
    <n v="465"/>
    <n v="93"/>
  </r>
  <r>
    <n v="2019"/>
    <n v="11"/>
    <x v="0"/>
    <x v="4"/>
    <x v="1"/>
    <s v="2019/2020"/>
    <b v="1"/>
    <b v="0"/>
    <b v="0"/>
    <x v="12"/>
    <n v="5868278000280"/>
    <x v="71"/>
    <x v="32"/>
    <x v="18"/>
    <n v="70"/>
    <x v="0"/>
    <x v="0"/>
    <n v="50"/>
    <n v="10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1"/>
    <n v="2"/>
    <n v="1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4"/>
    <n v="4"/>
    <n v="1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1"/>
    <n v="4"/>
    <n v="2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4"/>
    <n v="16"/>
    <n v="2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1"/>
    <n v="8"/>
    <n v="4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4"/>
    <n v="20"/>
    <n v="5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4"/>
    <n v="40"/>
    <n v="10"/>
  </r>
  <r>
    <n v="2019"/>
    <n v="11"/>
    <x v="0"/>
    <x v="4"/>
    <x v="1"/>
    <s v="2019/2020"/>
    <b v="1"/>
    <b v="0"/>
    <b v="0"/>
    <x v="1"/>
    <n v="5868278000280"/>
    <x v="71"/>
    <x v="32"/>
    <x v="18"/>
    <n v="73"/>
    <x v="1"/>
    <x v="4"/>
    <n v="52"/>
    <n v="13"/>
  </r>
  <r>
    <n v="2019"/>
    <n v="11"/>
    <x v="0"/>
    <x v="4"/>
    <x v="1"/>
    <s v="2019/2020"/>
    <b v="1"/>
    <b v="0"/>
    <b v="0"/>
    <x v="4"/>
    <n v="5868278000280"/>
    <x v="71"/>
    <x v="32"/>
    <x v="18"/>
    <n v="73"/>
    <x v="1"/>
    <x v="1"/>
    <n v="8"/>
    <n v="4"/>
  </r>
  <r>
    <n v="2019"/>
    <n v="11"/>
    <x v="0"/>
    <x v="4"/>
    <x v="1"/>
    <s v="2019/2020"/>
    <b v="1"/>
    <b v="0"/>
    <b v="0"/>
    <x v="9"/>
    <n v="5874946000281"/>
    <x v="363"/>
    <x v="32"/>
    <x v="18"/>
    <n v="70"/>
    <x v="0"/>
    <x v="0"/>
    <n v="75"/>
    <n v="5"/>
  </r>
  <r>
    <n v="2019"/>
    <n v="11"/>
    <x v="0"/>
    <x v="4"/>
    <x v="1"/>
    <s v="2019/2020"/>
    <b v="1"/>
    <b v="0"/>
    <b v="0"/>
    <x v="9"/>
    <n v="5874946000281"/>
    <x v="363"/>
    <x v="32"/>
    <x v="18"/>
    <n v="70"/>
    <x v="0"/>
    <x v="0"/>
    <n v="150"/>
    <n v="30"/>
  </r>
  <r>
    <n v="2019"/>
    <n v="11"/>
    <x v="0"/>
    <x v="4"/>
    <x v="1"/>
    <s v="2019/2020"/>
    <b v="1"/>
    <b v="0"/>
    <b v="0"/>
    <x v="2"/>
    <n v="6047087000996"/>
    <x v="76"/>
    <x v="0"/>
    <x v="0"/>
    <n v="70"/>
    <x v="0"/>
    <x v="0"/>
    <n v="120"/>
    <n v="24"/>
  </r>
  <r>
    <n v="2019"/>
    <n v="11"/>
    <x v="0"/>
    <x v="4"/>
    <x v="1"/>
    <s v="2019/2020"/>
    <b v="1"/>
    <b v="0"/>
    <b v="0"/>
    <x v="10"/>
    <n v="6047087000996"/>
    <x v="76"/>
    <x v="0"/>
    <x v="0"/>
    <n v="73"/>
    <x v="1"/>
    <x v="4"/>
    <n v="24"/>
    <n v="6"/>
  </r>
  <r>
    <n v="2019"/>
    <n v="11"/>
    <x v="0"/>
    <x v="4"/>
    <x v="1"/>
    <s v="2019/2020"/>
    <b v="1"/>
    <b v="0"/>
    <b v="0"/>
    <x v="2"/>
    <n v="6047087001020"/>
    <x v="77"/>
    <x v="0"/>
    <x v="0"/>
    <n v="62"/>
    <x v="3"/>
    <x v="5"/>
    <n v="20"/>
    <n v="10"/>
  </r>
  <r>
    <n v="2019"/>
    <n v="11"/>
    <x v="0"/>
    <x v="4"/>
    <x v="1"/>
    <s v="2019/2020"/>
    <b v="1"/>
    <b v="0"/>
    <b v="0"/>
    <x v="2"/>
    <n v="6047087001020"/>
    <x v="77"/>
    <x v="0"/>
    <x v="0"/>
    <n v="62"/>
    <x v="3"/>
    <x v="5"/>
    <n v="15"/>
    <n v="15"/>
  </r>
  <r>
    <n v="2019"/>
    <n v="11"/>
    <x v="0"/>
    <x v="4"/>
    <x v="1"/>
    <s v="2019/2020"/>
    <b v="1"/>
    <b v="0"/>
    <b v="0"/>
    <x v="2"/>
    <n v="6047087001020"/>
    <x v="77"/>
    <x v="0"/>
    <x v="0"/>
    <n v="62"/>
    <x v="3"/>
    <x v="5"/>
    <n v="30"/>
    <n v="30"/>
  </r>
  <r>
    <n v="2019"/>
    <n v="11"/>
    <x v="0"/>
    <x v="4"/>
    <x v="1"/>
    <s v="2019/2020"/>
    <b v="1"/>
    <b v="0"/>
    <b v="0"/>
    <x v="2"/>
    <n v="6047087001020"/>
    <x v="77"/>
    <x v="0"/>
    <x v="0"/>
    <n v="64"/>
    <x v="4"/>
    <x v="6"/>
    <n v="8"/>
    <n v="8"/>
  </r>
  <r>
    <n v="2019"/>
    <n v="11"/>
    <x v="0"/>
    <x v="4"/>
    <x v="1"/>
    <s v="2019/2020"/>
    <b v="1"/>
    <b v="0"/>
    <b v="0"/>
    <x v="2"/>
    <n v="6047087001020"/>
    <x v="77"/>
    <x v="0"/>
    <x v="0"/>
    <n v="64"/>
    <x v="4"/>
    <x v="6"/>
    <n v="33"/>
    <n v="33"/>
  </r>
  <r>
    <n v="2019"/>
    <n v="11"/>
    <x v="0"/>
    <x v="4"/>
    <x v="1"/>
    <s v="2019/2020"/>
    <b v="1"/>
    <b v="0"/>
    <b v="0"/>
    <x v="2"/>
    <n v="6047087001372"/>
    <x v="78"/>
    <x v="34"/>
    <x v="0"/>
    <n v="64"/>
    <x v="4"/>
    <x v="6"/>
    <n v="3"/>
    <n v="3"/>
  </r>
  <r>
    <n v="2019"/>
    <n v="11"/>
    <x v="0"/>
    <x v="4"/>
    <x v="1"/>
    <s v="2019/2020"/>
    <b v="1"/>
    <b v="0"/>
    <b v="0"/>
    <x v="2"/>
    <n v="6047087001372"/>
    <x v="78"/>
    <x v="34"/>
    <x v="0"/>
    <n v="64"/>
    <x v="4"/>
    <x v="6"/>
    <n v="4"/>
    <n v="4"/>
  </r>
  <r>
    <n v="2019"/>
    <n v="11"/>
    <x v="0"/>
    <x v="4"/>
    <x v="1"/>
    <s v="2019/2020"/>
    <b v="1"/>
    <b v="0"/>
    <b v="0"/>
    <x v="2"/>
    <n v="6047087002697"/>
    <x v="79"/>
    <x v="0"/>
    <x v="0"/>
    <n v="62"/>
    <x v="3"/>
    <x v="5"/>
    <n v="4"/>
    <n v="4"/>
  </r>
  <r>
    <n v="2019"/>
    <n v="11"/>
    <x v="0"/>
    <x v="4"/>
    <x v="1"/>
    <s v="2019/2020"/>
    <b v="1"/>
    <b v="0"/>
    <b v="0"/>
    <x v="17"/>
    <n v="6047087003073"/>
    <x v="80"/>
    <x v="35"/>
    <x v="3"/>
    <n v="66"/>
    <x v="2"/>
    <x v="3"/>
    <n v="4"/>
    <n v="4"/>
  </r>
  <r>
    <n v="2019"/>
    <n v="11"/>
    <x v="0"/>
    <x v="4"/>
    <x v="1"/>
    <s v="2019/2020"/>
    <b v="1"/>
    <b v="0"/>
    <b v="0"/>
    <x v="7"/>
    <n v="6047087003073"/>
    <x v="80"/>
    <x v="35"/>
    <x v="3"/>
    <n v="73"/>
    <x v="1"/>
    <x v="4"/>
    <n v="48"/>
    <n v="6"/>
  </r>
  <r>
    <n v="2019"/>
    <n v="11"/>
    <x v="0"/>
    <x v="4"/>
    <x v="1"/>
    <s v="2019/2020"/>
    <b v="1"/>
    <b v="0"/>
    <b v="0"/>
    <x v="2"/>
    <n v="6047087003316"/>
    <x v="81"/>
    <x v="0"/>
    <x v="0"/>
    <n v="62"/>
    <x v="3"/>
    <x v="5"/>
    <n v="2"/>
    <n v="2"/>
  </r>
  <r>
    <n v="2019"/>
    <n v="11"/>
    <x v="0"/>
    <x v="4"/>
    <x v="1"/>
    <s v="2019/2020"/>
    <b v="1"/>
    <b v="0"/>
    <b v="0"/>
    <x v="2"/>
    <n v="6047087004207"/>
    <x v="84"/>
    <x v="4"/>
    <x v="4"/>
    <n v="64"/>
    <x v="4"/>
    <x v="6"/>
    <n v="1"/>
    <n v="1"/>
  </r>
  <r>
    <n v="2019"/>
    <n v="11"/>
    <x v="0"/>
    <x v="4"/>
    <x v="1"/>
    <s v="2019/2020"/>
    <b v="1"/>
    <b v="0"/>
    <b v="0"/>
    <x v="2"/>
    <n v="6047087004207"/>
    <x v="84"/>
    <x v="4"/>
    <x v="4"/>
    <n v="64"/>
    <x v="4"/>
    <x v="6"/>
    <n v="3"/>
    <n v="3"/>
  </r>
  <r>
    <n v="2019"/>
    <n v="11"/>
    <x v="0"/>
    <x v="4"/>
    <x v="1"/>
    <s v="2019/2020"/>
    <b v="1"/>
    <b v="0"/>
    <b v="0"/>
    <x v="2"/>
    <n v="6047087007656"/>
    <x v="85"/>
    <x v="36"/>
    <x v="3"/>
    <n v="62"/>
    <x v="3"/>
    <x v="5"/>
    <n v="2"/>
    <n v="2"/>
  </r>
  <r>
    <n v="2019"/>
    <n v="11"/>
    <x v="0"/>
    <x v="4"/>
    <x v="1"/>
    <s v="2019/2020"/>
    <b v="1"/>
    <b v="0"/>
    <b v="0"/>
    <x v="5"/>
    <n v="6553564000138"/>
    <x v="572"/>
    <x v="40"/>
    <x v="20"/>
    <n v="70"/>
    <x v="0"/>
    <x v="8"/>
    <n v="210"/>
    <n v="84"/>
  </r>
  <r>
    <n v="2019"/>
    <n v="11"/>
    <x v="0"/>
    <x v="4"/>
    <x v="1"/>
    <s v="2019/2020"/>
    <b v="1"/>
    <b v="0"/>
    <b v="0"/>
    <x v="11"/>
    <n v="6555031000276"/>
    <x v="90"/>
    <x v="40"/>
    <x v="20"/>
    <n v="64"/>
    <x v="4"/>
    <x v="6"/>
    <n v="5"/>
    <n v="5"/>
  </r>
  <r>
    <n v="2019"/>
    <n v="11"/>
    <x v="0"/>
    <x v="4"/>
    <x v="1"/>
    <s v="2019/2020"/>
    <b v="1"/>
    <b v="0"/>
    <b v="0"/>
    <x v="1"/>
    <n v="6555031000276"/>
    <x v="90"/>
    <x v="40"/>
    <x v="20"/>
    <n v="73"/>
    <x v="1"/>
    <x v="4"/>
    <n v="24"/>
    <n v="6"/>
  </r>
  <r>
    <n v="2019"/>
    <n v="11"/>
    <x v="0"/>
    <x v="4"/>
    <x v="1"/>
    <s v="2019/2020"/>
    <b v="1"/>
    <b v="0"/>
    <b v="0"/>
    <x v="7"/>
    <n v="6555031000276"/>
    <x v="90"/>
    <x v="40"/>
    <x v="20"/>
    <n v="73"/>
    <x v="1"/>
    <x v="4"/>
    <n v="32"/>
    <n v="8"/>
  </r>
  <r>
    <n v="2019"/>
    <n v="11"/>
    <x v="0"/>
    <x v="4"/>
    <x v="1"/>
    <s v="2019/2020"/>
    <b v="1"/>
    <b v="0"/>
    <b v="0"/>
    <x v="2"/>
    <n v="6555031000276"/>
    <x v="90"/>
    <x v="40"/>
    <x v="20"/>
    <n v="73"/>
    <x v="1"/>
    <x v="4"/>
    <n v="8"/>
    <n v="2"/>
  </r>
  <r>
    <n v="2019"/>
    <n v="11"/>
    <x v="0"/>
    <x v="4"/>
    <x v="1"/>
    <s v="2019/2020"/>
    <b v="1"/>
    <b v="0"/>
    <b v="0"/>
    <x v="15"/>
    <n v="6943723000100"/>
    <x v="573"/>
    <x v="13"/>
    <x v="6"/>
    <n v="70"/>
    <x v="0"/>
    <x v="0"/>
    <n v="70"/>
    <n v="14"/>
  </r>
  <r>
    <n v="2019"/>
    <n v="11"/>
    <x v="0"/>
    <x v="4"/>
    <x v="1"/>
    <s v="2019/2020"/>
    <b v="1"/>
    <b v="0"/>
    <b v="0"/>
    <x v="15"/>
    <n v="6943723000100"/>
    <x v="573"/>
    <x v="13"/>
    <x v="6"/>
    <n v="70"/>
    <x v="0"/>
    <x v="0"/>
    <n v="100"/>
    <n v="20"/>
  </r>
  <r>
    <n v="2019"/>
    <n v="11"/>
    <x v="0"/>
    <x v="4"/>
    <x v="1"/>
    <s v="2019/2020"/>
    <b v="1"/>
    <b v="0"/>
    <b v="0"/>
    <x v="3"/>
    <n v="7039651000134"/>
    <x v="91"/>
    <x v="41"/>
    <x v="13"/>
    <n v="70"/>
    <x v="0"/>
    <x v="0"/>
    <n v="25"/>
    <n v="5"/>
  </r>
  <r>
    <n v="2019"/>
    <n v="11"/>
    <x v="0"/>
    <x v="4"/>
    <x v="1"/>
    <s v="2019/2020"/>
    <b v="1"/>
    <b v="0"/>
    <b v="0"/>
    <x v="6"/>
    <n v="7045325000130"/>
    <x v="92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6"/>
    <n v="7045325000130"/>
    <x v="92"/>
    <x v="3"/>
    <x v="3"/>
    <n v="70"/>
    <x v="0"/>
    <x v="0"/>
    <n v="225"/>
    <n v="45"/>
  </r>
  <r>
    <n v="2019"/>
    <n v="11"/>
    <x v="0"/>
    <x v="4"/>
    <x v="1"/>
    <s v="2019/2020"/>
    <b v="1"/>
    <b v="0"/>
    <b v="0"/>
    <x v="14"/>
    <n v="7404052000172"/>
    <x v="96"/>
    <x v="13"/>
    <x v="6"/>
    <n v="70"/>
    <x v="0"/>
    <x v="0"/>
    <n v="45"/>
    <n v="9"/>
  </r>
  <r>
    <n v="2019"/>
    <n v="11"/>
    <x v="0"/>
    <x v="4"/>
    <x v="1"/>
    <s v="2019/2020"/>
    <b v="1"/>
    <b v="0"/>
    <b v="0"/>
    <x v="5"/>
    <n v="7734165000136"/>
    <x v="97"/>
    <x v="13"/>
    <x v="6"/>
    <n v="70"/>
    <x v="0"/>
    <x v="7"/>
    <n v="150"/>
    <n v="15"/>
  </r>
  <r>
    <n v="2019"/>
    <n v="11"/>
    <x v="0"/>
    <x v="4"/>
    <x v="1"/>
    <s v="2019/2020"/>
    <b v="1"/>
    <b v="0"/>
    <b v="0"/>
    <x v="5"/>
    <n v="7734165000136"/>
    <x v="97"/>
    <x v="13"/>
    <x v="6"/>
    <n v="70"/>
    <x v="0"/>
    <x v="7"/>
    <n v="350"/>
    <n v="35"/>
  </r>
  <r>
    <n v="2019"/>
    <n v="11"/>
    <x v="0"/>
    <x v="4"/>
    <x v="1"/>
    <s v="2019/2020"/>
    <b v="1"/>
    <b v="0"/>
    <b v="0"/>
    <x v="5"/>
    <n v="7734165000136"/>
    <x v="97"/>
    <x v="13"/>
    <x v="6"/>
    <n v="70"/>
    <x v="0"/>
    <x v="0"/>
    <n v="500"/>
    <n v="50"/>
  </r>
  <r>
    <n v="2019"/>
    <n v="11"/>
    <x v="0"/>
    <x v="4"/>
    <x v="1"/>
    <s v="2019/2020"/>
    <b v="1"/>
    <b v="0"/>
    <b v="0"/>
    <x v="15"/>
    <n v="7734165000136"/>
    <x v="97"/>
    <x v="13"/>
    <x v="6"/>
    <n v="70"/>
    <x v="0"/>
    <x v="7"/>
    <n v="2000"/>
    <n v="100"/>
  </r>
  <r>
    <n v="2019"/>
    <n v="11"/>
    <x v="0"/>
    <x v="4"/>
    <x v="1"/>
    <s v="2019/2020"/>
    <b v="1"/>
    <b v="0"/>
    <b v="0"/>
    <x v="15"/>
    <n v="7734165000136"/>
    <x v="97"/>
    <x v="13"/>
    <x v="6"/>
    <n v="70"/>
    <x v="0"/>
    <x v="0"/>
    <n v="500"/>
    <n v="100"/>
  </r>
  <r>
    <n v="2019"/>
    <n v="11"/>
    <x v="0"/>
    <x v="4"/>
    <x v="1"/>
    <s v="2019/2020"/>
    <b v="1"/>
    <b v="0"/>
    <b v="0"/>
    <x v="15"/>
    <n v="7734165000136"/>
    <x v="97"/>
    <x v="13"/>
    <x v="6"/>
    <n v="70"/>
    <x v="0"/>
    <x v="7"/>
    <n v="1500"/>
    <n v="150"/>
  </r>
  <r>
    <n v="2019"/>
    <n v="11"/>
    <x v="0"/>
    <x v="4"/>
    <x v="1"/>
    <s v="2019/2020"/>
    <b v="1"/>
    <b v="0"/>
    <b v="0"/>
    <x v="2"/>
    <n v="7734165000136"/>
    <x v="97"/>
    <x v="13"/>
    <x v="6"/>
    <n v="73"/>
    <x v="1"/>
    <x v="4"/>
    <n v="20"/>
    <n v="5"/>
  </r>
  <r>
    <n v="2019"/>
    <n v="11"/>
    <x v="0"/>
    <x v="4"/>
    <x v="1"/>
    <s v="2019/2020"/>
    <b v="1"/>
    <b v="0"/>
    <b v="0"/>
    <x v="2"/>
    <n v="7734165000136"/>
    <x v="97"/>
    <x v="13"/>
    <x v="6"/>
    <n v="73"/>
    <x v="1"/>
    <x v="4"/>
    <n v="40"/>
    <n v="10"/>
  </r>
  <r>
    <n v="2019"/>
    <n v="11"/>
    <x v="0"/>
    <x v="4"/>
    <x v="1"/>
    <s v="2019/2020"/>
    <b v="1"/>
    <b v="0"/>
    <b v="0"/>
    <x v="9"/>
    <n v="7775847000278"/>
    <x v="367"/>
    <x v="97"/>
    <x v="9"/>
    <n v="70"/>
    <x v="0"/>
    <x v="0"/>
    <n v="100"/>
    <n v="20"/>
  </r>
  <r>
    <n v="2019"/>
    <n v="11"/>
    <x v="0"/>
    <x v="4"/>
    <x v="1"/>
    <s v="2019/2020"/>
    <b v="1"/>
    <b v="0"/>
    <b v="0"/>
    <x v="9"/>
    <n v="7775847000278"/>
    <x v="367"/>
    <x v="97"/>
    <x v="9"/>
    <n v="70"/>
    <x v="0"/>
    <x v="0"/>
    <n v="260"/>
    <n v="52"/>
  </r>
  <r>
    <n v="2019"/>
    <n v="11"/>
    <x v="0"/>
    <x v="4"/>
    <x v="1"/>
    <s v="2019/2020"/>
    <b v="1"/>
    <b v="0"/>
    <b v="0"/>
    <x v="4"/>
    <n v="7794623001528"/>
    <x v="98"/>
    <x v="43"/>
    <x v="0"/>
    <n v="73"/>
    <x v="1"/>
    <x v="1"/>
    <n v="2"/>
    <n v="1"/>
  </r>
  <r>
    <n v="2019"/>
    <n v="11"/>
    <x v="0"/>
    <x v="4"/>
    <x v="1"/>
    <s v="2019/2020"/>
    <b v="1"/>
    <b v="0"/>
    <b v="0"/>
    <x v="4"/>
    <n v="7794623001528"/>
    <x v="98"/>
    <x v="43"/>
    <x v="0"/>
    <n v="73"/>
    <x v="1"/>
    <x v="4"/>
    <n v="12"/>
    <n v="3"/>
  </r>
  <r>
    <n v="2019"/>
    <n v="11"/>
    <x v="0"/>
    <x v="4"/>
    <x v="1"/>
    <s v="2019/2020"/>
    <b v="1"/>
    <b v="0"/>
    <b v="0"/>
    <x v="4"/>
    <n v="7794623002257"/>
    <x v="99"/>
    <x v="44"/>
    <x v="6"/>
    <n v="70"/>
    <x v="0"/>
    <x v="0"/>
    <n v="65"/>
    <n v="13"/>
  </r>
  <r>
    <n v="2019"/>
    <n v="11"/>
    <x v="0"/>
    <x v="4"/>
    <x v="1"/>
    <s v="2019/2020"/>
    <b v="1"/>
    <b v="0"/>
    <b v="0"/>
    <x v="4"/>
    <n v="7794623002257"/>
    <x v="99"/>
    <x v="44"/>
    <x v="6"/>
    <n v="70"/>
    <x v="0"/>
    <x v="0"/>
    <n v="140"/>
    <n v="14"/>
  </r>
  <r>
    <n v="2019"/>
    <n v="11"/>
    <x v="0"/>
    <x v="4"/>
    <x v="1"/>
    <s v="2019/2020"/>
    <b v="1"/>
    <b v="0"/>
    <b v="0"/>
    <x v="4"/>
    <n v="7794623002257"/>
    <x v="99"/>
    <x v="44"/>
    <x v="6"/>
    <n v="70"/>
    <x v="0"/>
    <x v="0"/>
    <n v="85"/>
    <n v="17"/>
  </r>
  <r>
    <n v="2019"/>
    <n v="11"/>
    <x v="0"/>
    <x v="4"/>
    <x v="1"/>
    <s v="2019/2020"/>
    <b v="1"/>
    <b v="0"/>
    <b v="0"/>
    <x v="4"/>
    <n v="7794623004896"/>
    <x v="100"/>
    <x v="0"/>
    <x v="0"/>
    <n v="70"/>
    <x v="0"/>
    <x v="0"/>
    <n v="400"/>
    <n v="80"/>
  </r>
  <r>
    <n v="2019"/>
    <n v="11"/>
    <x v="0"/>
    <x v="4"/>
    <x v="1"/>
    <s v="2019/2020"/>
    <b v="1"/>
    <b v="0"/>
    <b v="0"/>
    <x v="4"/>
    <n v="8100676000592"/>
    <x v="103"/>
    <x v="3"/>
    <x v="3"/>
    <n v="70"/>
    <x v="0"/>
    <x v="0"/>
    <n v="135"/>
    <n v="9"/>
  </r>
  <r>
    <n v="2019"/>
    <n v="11"/>
    <x v="0"/>
    <x v="4"/>
    <x v="1"/>
    <s v="2019/2020"/>
    <b v="1"/>
    <b v="0"/>
    <b v="0"/>
    <x v="4"/>
    <n v="8100676000592"/>
    <x v="103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4"/>
    <n v="8100676000673"/>
    <x v="574"/>
    <x v="3"/>
    <x v="3"/>
    <n v="70"/>
    <x v="0"/>
    <x v="0"/>
    <n v="10"/>
    <n v="2"/>
  </r>
  <r>
    <n v="2019"/>
    <n v="11"/>
    <x v="0"/>
    <x v="4"/>
    <x v="1"/>
    <s v="2019/2020"/>
    <b v="1"/>
    <b v="0"/>
    <b v="0"/>
    <x v="4"/>
    <n v="8100676002102"/>
    <x v="105"/>
    <x v="0"/>
    <x v="0"/>
    <n v="62"/>
    <x v="3"/>
    <x v="5"/>
    <n v="10"/>
    <n v="10"/>
  </r>
  <r>
    <n v="2019"/>
    <n v="11"/>
    <x v="0"/>
    <x v="4"/>
    <x v="1"/>
    <s v="2019/2020"/>
    <b v="1"/>
    <b v="0"/>
    <b v="0"/>
    <x v="4"/>
    <n v="8100676002102"/>
    <x v="105"/>
    <x v="0"/>
    <x v="0"/>
    <n v="64"/>
    <x v="4"/>
    <x v="6"/>
    <n v="5"/>
    <n v="5"/>
  </r>
  <r>
    <n v="2019"/>
    <n v="11"/>
    <x v="0"/>
    <x v="4"/>
    <x v="1"/>
    <s v="2019/2020"/>
    <b v="1"/>
    <b v="0"/>
    <b v="0"/>
    <x v="4"/>
    <n v="8100676002102"/>
    <x v="105"/>
    <x v="0"/>
    <x v="0"/>
    <n v="64"/>
    <x v="4"/>
    <x v="6"/>
    <n v="15"/>
    <n v="15"/>
  </r>
  <r>
    <n v="2019"/>
    <n v="11"/>
    <x v="0"/>
    <x v="4"/>
    <x v="1"/>
    <s v="2019/2020"/>
    <b v="1"/>
    <b v="0"/>
    <b v="0"/>
    <x v="4"/>
    <n v="8100676002455"/>
    <x v="106"/>
    <x v="3"/>
    <x v="3"/>
    <n v="64"/>
    <x v="4"/>
    <x v="6"/>
    <n v="36"/>
    <n v="18"/>
  </r>
  <r>
    <n v="2019"/>
    <n v="11"/>
    <x v="0"/>
    <x v="4"/>
    <x v="1"/>
    <s v="2019/2020"/>
    <b v="1"/>
    <b v="0"/>
    <b v="0"/>
    <x v="7"/>
    <n v="8680639000681"/>
    <x v="112"/>
    <x v="5"/>
    <x v="5"/>
    <n v="73"/>
    <x v="1"/>
    <x v="4"/>
    <n v="16"/>
    <n v="4"/>
  </r>
  <r>
    <n v="2019"/>
    <n v="11"/>
    <x v="0"/>
    <x v="4"/>
    <x v="1"/>
    <s v="2019/2020"/>
    <b v="1"/>
    <b v="0"/>
    <b v="0"/>
    <x v="2"/>
    <n v="8680639000681"/>
    <x v="112"/>
    <x v="5"/>
    <x v="5"/>
    <n v="73"/>
    <x v="1"/>
    <x v="4"/>
    <n v="36"/>
    <n v="9"/>
  </r>
  <r>
    <n v="2019"/>
    <n v="11"/>
    <x v="0"/>
    <x v="4"/>
    <x v="1"/>
    <s v="2019/2020"/>
    <b v="1"/>
    <b v="0"/>
    <b v="0"/>
    <x v="2"/>
    <n v="8850962000222"/>
    <x v="113"/>
    <x v="0"/>
    <x v="0"/>
    <n v="62"/>
    <x v="3"/>
    <x v="5"/>
    <n v="2"/>
    <n v="2"/>
  </r>
  <r>
    <n v="2019"/>
    <n v="11"/>
    <x v="0"/>
    <x v="4"/>
    <x v="1"/>
    <s v="2019/2020"/>
    <b v="1"/>
    <b v="0"/>
    <b v="0"/>
    <x v="2"/>
    <n v="8850962000222"/>
    <x v="113"/>
    <x v="0"/>
    <x v="0"/>
    <n v="62"/>
    <x v="3"/>
    <x v="5"/>
    <n v="5"/>
    <n v="5"/>
  </r>
  <r>
    <n v="2019"/>
    <n v="11"/>
    <x v="0"/>
    <x v="4"/>
    <x v="1"/>
    <s v="2019/2020"/>
    <b v="1"/>
    <b v="0"/>
    <b v="0"/>
    <x v="2"/>
    <n v="8850962000222"/>
    <x v="113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7"/>
    <n v="8871521000126"/>
    <x v="114"/>
    <x v="3"/>
    <x v="3"/>
    <n v="70"/>
    <x v="0"/>
    <x v="8"/>
    <n v="17.5"/>
    <n v="7"/>
  </r>
  <r>
    <n v="2019"/>
    <n v="11"/>
    <x v="0"/>
    <x v="4"/>
    <x v="1"/>
    <s v="2019/2020"/>
    <b v="1"/>
    <b v="0"/>
    <b v="0"/>
    <x v="7"/>
    <n v="8871521000126"/>
    <x v="114"/>
    <x v="3"/>
    <x v="3"/>
    <n v="70"/>
    <x v="0"/>
    <x v="0"/>
    <n v="130"/>
    <n v="26"/>
  </r>
  <r>
    <n v="2019"/>
    <n v="11"/>
    <x v="0"/>
    <x v="4"/>
    <x v="1"/>
    <s v="2019/2020"/>
    <b v="1"/>
    <b v="0"/>
    <b v="0"/>
    <x v="27"/>
    <n v="8871521000126"/>
    <x v="114"/>
    <x v="3"/>
    <x v="3"/>
    <n v="70"/>
    <x v="0"/>
    <x v="0"/>
    <n v="10"/>
    <n v="2"/>
  </r>
  <r>
    <n v="2019"/>
    <n v="11"/>
    <x v="0"/>
    <x v="4"/>
    <x v="1"/>
    <s v="2019/2020"/>
    <b v="1"/>
    <b v="0"/>
    <b v="0"/>
    <x v="27"/>
    <n v="8871521000126"/>
    <x v="114"/>
    <x v="3"/>
    <x v="3"/>
    <n v="70"/>
    <x v="0"/>
    <x v="0"/>
    <n v="25"/>
    <n v="5"/>
  </r>
  <r>
    <n v="2019"/>
    <n v="11"/>
    <x v="0"/>
    <x v="4"/>
    <x v="1"/>
    <s v="2019/2020"/>
    <b v="1"/>
    <b v="0"/>
    <b v="0"/>
    <x v="27"/>
    <n v="8871521000126"/>
    <x v="114"/>
    <x v="3"/>
    <x v="3"/>
    <n v="70"/>
    <x v="0"/>
    <x v="0"/>
    <n v="345"/>
    <n v="23"/>
  </r>
  <r>
    <n v="2019"/>
    <n v="11"/>
    <x v="0"/>
    <x v="4"/>
    <x v="1"/>
    <s v="2019/2020"/>
    <b v="1"/>
    <b v="0"/>
    <b v="0"/>
    <x v="3"/>
    <n v="9087150000159"/>
    <x v="531"/>
    <x v="3"/>
    <x v="3"/>
    <n v="73"/>
    <x v="1"/>
    <x v="2"/>
    <n v="4"/>
    <n v="4"/>
  </r>
  <r>
    <n v="2019"/>
    <n v="11"/>
    <x v="0"/>
    <x v="4"/>
    <x v="1"/>
    <s v="2019/2020"/>
    <b v="1"/>
    <b v="0"/>
    <b v="0"/>
    <x v="17"/>
    <n v="9087150000159"/>
    <x v="531"/>
    <x v="3"/>
    <x v="3"/>
    <n v="73"/>
    <x v="1"/>
    <x v="2"/>
    <n v="3"/>
    <n v="3"/>
  </r>
  <r>
    <n v="2019"/>
    <n v="11"/>
    <x v="0"/>
    <x v="4"/>
    <x v="1"/>
    <s v="2019/2020"/>
    <b v="1"/>
    <b v="0"/>
    <b v="0"/>
    <x v="17"/>
    <n v="9087150000230"/>
    <x v="115"/>
    <x v="45"/>
    <x v="11"/>
    <n v="73"/>
    <x v="1"/>
    <x v="1"/>
    <n v="8"/>
    <n v="4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5"/>
    <n v="1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20"/>
    <n v="4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7"/>
    <n v="200"/>
    <n v="10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50"/>
    <n v="10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110"/>
    <n v="11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85"/>
    <n v="17"/>
  </r>
  <r>
    <n v="2019"/>
    <n v="11"/>
    <x v="0"/>
    <x v="4"/>
    <x v="1"/>
    <s v="2019/2020"/>
    <b v="1"/>
    <b v="0"/>
    <b v="0"/>
    <x v="7"/>
    <n v="9104513000974"/>
    <x v="116"/>
    <x v="4"/>
    <x v="4"/>
    <n v="70"/>
    <x v="0"/>
    <x v="0"/>
    <n v="100"/>
    <n v="20"/>
  </r>
  <r>
    <n v="2019"/>
    <n v="11"/>
    <x v="0"/>
    <x v="4"/>
    <x v="1"/>
    <s v="2019/2020"/>
    <b v="1"/>
    <b v="0"/>
    <b v="0"/>
    <x v="3"/>
    <n v="9219138000401"/>
    <x v="471"/>
    <x v="0"/>
    <x v="0"/>
    <n v="70"/>
    <x v="0"/>
    <x v="0"/>
    <n v="180"/>
    <n v="36"/>
  </r>
  <r>
    <n v="2019"/>
    <n v="11"/>
    <x v="0"/>
    <x v="4"/>
    <x v="1"/>
    <s v="2019/2020"/>
    <b v="1"/>
    <b v="0"/>
    <b v="0"/>
    <x v="17"/>
    <n v="9219138000401"/>
    <x v="471"/>
    <x v="0"/>
    <x v="0"/>
    <n v="70"/>
    <x v="0"/>
    <x v="0"/>
    <n v="30"/>
    <n v="6"/>
  </r>
  <r>
    <n v="2019"/>
    <n v="11"/>
    <x v="0"/>
    <x v="4"/>
    <x v="1"/>
    <s v="2019/2020"/>
    <b v="1"/>
    <b v="0"/>
    <b v="0"/>
    <x v="17"/>
    <n v="9219138000401"/>
    <x v="471"/>
    <x v="0"/>
    <x v="0"/>
    <n v="70"/>
    <x v="0"/>
    <x v="0"/>
    <n v="225"/>
    <n v="45"/>
  </r>
  <r>
    <n v="2019"/>
    <n v="11"/>
    <x v="0"/>
    <x v="4"/>
    <x v="1"/>
    <s v="2019/2020"/>
    <b v="1"/>
    <b v="0"/>
    <b v="0"/>
    <x v="17"/>
    <n v="9219138000401"/>
    <x v="471"/>
    <x v="0"/>
    <x v="0"/>
    <n v="70"/>
    <x v="0"/>
    <x v="0"/>
    <n v="280"/>
    <n v="56"/>
  </r>
  <r>
    <n v="2019"/>
    <n v="11"/>
    <x v="0"/>
    <x v="4"/>
    <x v="1"/>
    <s v="2019/2020"/>
    <b v="1"/>
    <b v="0"/>
    <b v="0"/>
    <x v="10"/>
    <n v="9219138000401"/>
    <x v="471"/>
    <x v="0"/>
    <x v="0"/>
    <n v="70"/>
    <x v="0"/>
    <x v="0"/>
    <n v="75"/>
    <n v="15"/>
  </r>
  <r>
    <n v="2019"/>
    <n v="11"/>
    <x v="0"/>
    <x v="4"/>
    <x v="1"/>
    <s v="2019/2020"/>
    <b v="1"/>
    <b v="0"/>
    <b v="0"/>
    <x v="10"/>
    <n v="9219138000401"/>
    <x v="471"/>
    <x v="0"/>
    <x v="0"/>
    <n v="70"/>
    <x v="0"/>
    <x v="0"/>
    <n v="125"/>
    <n v="25"/>
  </r>
  <r>
    <n v="2019"/>
    <n v="11"/>
    <x v="0"/>
    <x v="4"/>
    <x v="1"/>
    <s v="2019/2020"/>
    <b v="1"/>
    <b v="0"/>
    <b v="0"/>
    <x v="10"/>
    <n v="9219138000401"/>
    <x v="471"/>
    <x v="0"/>
    <x v="0"/>
    <n v="70"/>
    <x v="0"/>
    <x v="0"/>
    <n v="190"/>
    <n v="38"/>
  </r>
  <r>
    <n v="2019"/>
    <n v="11"/>
    <x v="0"/>
    <x v="4"/>
    <x v="1"/>
    <s v="2019/2020"/>
    <b v="1"/>
    <b v="0"/>
    <b v="0"/>
    <x v="0"/>
    <n v="9219138000584"/>
    <x v="117"/>
    <x v="0"/>
    <x v="0"/>
    <n v="62"/>
    <x v="3"/>
    <x v="5"/>
    <n v="4"/>
    <n v="4"/>
  </r>
  <r>
    <n v="2019"/>
    <n v="11"/>
    <x v="0"/>
    <x v="4"/>
    <x v="1"/>
    <s v="2019/2020"/>
    <b v="1"/>
    <b v="0"/>
    <b v="0"/>
    <x v="3"/>
    <n v="9219138000584"/>
    <x v="117"/>
    <x v="0"/>
    <x v="0"/>
    <n v="70"/>
    <x v="0"/>
    <x v="0"/>
    <n v="80"/>
    <n v="16"/>
  </r>
  <r>
    <n v="2019"/>
    <n v="11"/>
    <x v="0"/>
    <x v="4"/>
    <x v="1"/>
    <s v="2019/2020"/>
    <b v="1"/>
    <b v="0"/>
    <b v="0"/>
    <x v="3"/>
    <n v="9219138000584"/>
    <x v="117"/>
    <x v="0"/>
    <x v="0"/>
    <n v="70"/>
    <x v="0"/>
    <x v="0"/>
    <n v="105"/>
    <n v="21"/>
  </r>
  <r>
    <n v="2019"/>
    <n v="11"/>
    <x v="0"/>
    <x v="4"/>
    <x v="1"/>
    <s v="2019/2020"/>
    <b v="1"/>
    <b v="0"/>
    <b v="0"/>
    <x v="17"/>
    <n v="9219138000584"/>
    <x v="117"/>
    <x v="0"/>
    <x v="0"/>
    <n v="70"/>
    <x v="0"/>
    <x v="0"/>
    <n v="225"/>
    <n v="45"/>
  </r>
  <r>
    <n v="2019"/>
    <n v="11"/>
    <x v="0"/>
    <x v="4"/>
    <x v="1"/>
    <s v="2019/2020"/>
    <b v="1"/>
    <b v="0"/>
    <b v="0"/>
    <x v="10"/>
    <n v="9219138000584"/>
    <x v="117"/>
    <x v="0"/>
    <x v="0"/>
    <n v="70"/>
    <x v="0"/>
    <x v="0"/>
    <n v="20"/>
    <n v="4"/>
  </r>
  <r>
    <n v="2019"/>
    <n v="11"/>
    <x v="0"/>
    <x v="4"/>
    <x v="1"/>
    <s v="2019/2020"/>
    <b v="1"/>
    <b v="0"/>
    <b v="0"/>
    <x v="10"/>
    <n v="9219138000584"/>
    <x v="117"/>
    <x v="0"/>
    <x v="0"/>
    <n v="73"/>
    <x v="1"/>
    <x v="4"/>
    <n v="12"/>
    <n v="3"/>
  </r>
  <r>
    <n v="2019"/>
    <n v="11"/>
    <x v="0"/>
    <x v="4"/>
    <x v="1"/>
    <s v="2019/2020"/>
    <b v="1"/>
    <b v="0"/>
    <b v="0"/>
    <x v="0"/>
    <n v="9219138000584"/>
    <x v="117"/>
    <x v="0"/>
    <x v="0"/>
    <n v="73"/>
    <x v="1"/>
    <x v="4"/>
    <n v="12"/>
    <n v="3"/>
  </r>
  <r>
    <n v="2019"/>
    <n v="11"/>
    <x v="0"/>
    <x v="4"/>
    <x v="1"/>
    <s v="2019/2020"/>
    <b v="1"/>
    <b v="0"/>
    <b v="0"/>
    <x v="0"/>
    <n v="9219138000584"/>
    <x v="117"/>
    <x v="0"/>
    <x v="0"/>
    <n v="73"/>
    <x v="1"/>
    <x v="4"/>
    <n v="32"/>
    <n v="8"/>
  </r>
  <r>
    <n v="2019"/>
    <n v="11"/>
    <x v="0"/>
    <x v="4"/>
    <x v="1"/>
    <s v="2019/2020"/>
    <b v="1"/>
    <b v="0"/>
    <b v="0"/>
    <x v="0"/>
    <n v="9219138000584"/>
    <x v="117"/>
    <x v="0"/>
    <x v="0"/>
    <n v="73"/>
    <x v="1"/>
    <x v="4"/>
    <n v="48"/>
    <n v="12"/>
  </r>
  <r>
    <n v="2019"/>
    <n v="11"/>
    <x v="0"/>
    <x v="4"/>
    <x v="1"/>
    <s v="2019/2020"/>
    <b v="1"/>
    <b v="0"/>
    <b v="0"/>
    <x v="2"/>
    <n v="9578217000158"/>
    <x v="119"/>
    <x v="0"/>
    <x v="0"/>
    <n v="62"/>
    <x v="3"/>
    <x v="5"/>
    <n v="1"/>
    <n v="1"/>
  </r>
  <r>
    <n v="2019"/>
    <n v="11"/>
    <x v="0"/>
    <x v="4"/>
    <x v="1"/>
    <s v="2019/2020"/>
    <b v="1"/>
    <b v="0"/>
    <b v="0"/>
    <x v="2"/>
    <n v="9578217000158"/>
    <x v="119"/>
    <x v="0"/>
    <x v="0"/>
    <n v="62"/>
    <x v="3"/>
    <x v="5"/>
    <n v="2"/>
    <n v="2"/>
  </r>
  <r>
    <n v="2019"/>
    <n v="11"/>
    <x v="0"/>
    <x v="4"/>
    <x v="1"/>
    <s v="2019/2020"/>
    <b v="1"/>
    <b v="0"/>
    <b v="0"/>
    <x v="2"/>
    <n v="9578217000158"/>
    <x v="119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16"/>
    <n v="9605231000284"/>
    <x v="120"/>
    <x v="47"/>
    <x v="11"/>
    <n v="70"/>
    <x v="0"/>
    <x v="0"/>
    <n v="100"/>
    <n v="20"/>
  </r>
  <r>
    <n v="2019"/>
    <n v="11"/>
    <x v="0"/>
    <x v="4"/>
    <x v="1"/>
    <s v="2019/2020"/>
    <b v="1"/>
    <b v="0"/>
    <b v="0"/>
    <x v="4"/>
    <n v="10447300000177"/>
    <x v="124"/>
    <x v="48"/>
    <x v="3"/>
    <n v="73"/>
    <x v="1"/>
    <x v="1"/>
    <n v="4"/>
    <n v="2"/>
  </r>
  <r>
    <n v="2019"/>
    <n v="11"/>
    <x v="0"/>
    <x v="4"/>
    <x v="1"/>
    <s v="2019/2020"/>
    <b v="1"/>
    <b v="0"/>
    <b v="0"/>
    <x v="20"/>
    <n v="10447300000177"/>
    <x v="124"/>
    <x v="48"/>
    <x v="3"/>
    <n v="73"/>
    <x v="1"/>
    <x v="4"/>
    <n v="16"/>
    <n v="2"/>
  </r>
  <r>
    <n v="2019"/>
    <n v="11"/>
    <x v="0"/>
    <x v="4"/>
    <x v="1"/>
    <s v="2019/2020"/>
    <b v="1"/>
    <b v="0"/>
    <b v="0"/>
    <x v="17"/>
    <n v="10468341000140"/>
    <x v="125"/>
    <x v="3"/>
    <x v="3"/>
    <n v="70"/>
    <x v="0"/>
    <x v="0"/>
    <n v="270"/>
    <n v="54"/>
  </r>
  <r>
    <n v="2019"/>
    <n v="11"/>
    <x v="0"/>
    <x v="4"/>
    <x v="1"/>
    <s v="2019/2020"/>
    <b v="1"/>
    <b v="0"/>
    <b v="0"/>
    <x v="6"/>
    <n v="10468341000140"/>
    <x v="125"/>
    <x v="3"/>
    <x v="3"/>
    <n v="70"/>
    <x v="0"/>
    <x v="0"/>
    <n v="490"/>
    <n v="98"/>
  </r>
  <r>
    <n v="2019"/>
    <n v="11"/>
    <x v="0"/>
    <x v="4"/>
    <x v="1"/>
    <s v="2019/2020"/>
    <b v="1"/>
    <b v="0"/>
    <b v="0"/>
    <x v="6"/>
    <n v="10468341000140"/>
    <x v="125"/>
    <x v="3"/>
    <x v="3"/>
    <n v="73"/>
    <x v="1"/>
    <x v="4"/>
    <n v="48"/>
    <n v="3"/>
  </r>
  <r>
    <n v="2019"/>
    <n v="11"/>
    <x v="0"/>
    <x v="4"/>
    <x v="1"/>
    <s v="2019/2020"/>
    <b v="1"/>
    <b v="0"/>
    <b v="0"/>
    <x v="17"/>
    <n v="10468341000220"/>
    <x v="126"/>
    <x v="3"/>
    <x v="3"/>
    <n v="70"/>
    <x v="0"/>
    <x v="0"/>
    <n v="450"/>
    <n v="90"/>
  </r>
  <r>
    <n v="2019"/>
    <n v="11"/>
    <x v="0"/>
    <x v="4"/>
    <x v="1"/>
    <s v="2019/2020"/>
    <b v="1"/>
    <b v="0"/>
    <b v="0"/>
    <x v="6"/>
    <n v="10468341000220"/>
    <x v="126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6"/>
    <n v="10468341000220"/>
    <x v="126"/>
    <x v="3"/>
    <x v="3"/>
    <n v="70"/>
    <x v="0"/>
    <x v="0"/>
    <n v="295"/>
    <n v="59"/>
  </r>
  <r>
    <n v="2019"/>
    <n v="11"/>
    <x v="0"/>
    <x v="4"/>
    <x v="1"/>
    <s v="2019/2020"/>
    <b v="1"/>
    <b v="0"/>
    <b v="0"/>
    <x v="17"/>
    <n v="10475230000160"/>
    <x v="127"/>
    <x v="3"/>
    <x v="3"/>
    <n v="70"/>
    <x v="0"/>
    <x v="0"/>
    <n v="20"/>
    <n v="4"/>
  </r>
  <r>
    <n v="2019"/>
    <n v="11"/>
    <x v="0"/>
    <x v="4"/>
    <x v="1"/>
    <s v="2019/2020"/>
    <b v="1"/>
    <b v="0"/>
    <b v="0"/>
    <x v="11"/>
    <n v="10475230000160"/>
    <x v="127"/>
    <x v="3"/>
    <x v="3"/>
    <n v="70"/>
    <x v="0"/>
    <x v="0"/>
    <n v="25"/>
    <n v="5"/>
  </r>
  <r>
    <n v="2019"/>
    <n v="11"/>
    <x v="0"/>
    <x v="4"/>
    <x v="1"/>
    <s v="2019/2020"/>
    <b v="1"/>
    <b v="0"/>
    <b v="0"/>
    <x v="4"/>
    <n v="10576443000189"/>
    <x v="374"/>
    <x v="26"/>
    <x v="3"/>
    <n v="70"/>
    <x v="0"/>
    <x v="0"/>
    <n v="25"/>
    <n v="5"/>
  </r>
  <r>
    <n v="2019"/>
    <n v="11"/>
    <x v="0"/>
    <x v="4"/>
    <x v="1"/>
    <s v="2019/2020"/>
    <b v="1"/>
    <b v="0"/>
    <b v="0"/>
    <x v="12"/>
    <n v="10576443000189"/>
    <x v="374"/>
    <x v="26"/>
    <x v="3"/>
    <n v="70"/>
    <x v="0"/>
    <x v="0"/>
    <n v="55"/>
    <n v="11"/>
  </r>
  <r>
    <n v="2019"/>
    <n v="11"/>
    <x v="0"/>
    <x v="4"/>
    <x v="1"/>
    <s v="2019/2020"/>
    <b v="1"/>
    <b v="0"/>
    <b v="0"/>
    <x v="12"/>
    <n v="10576443000189"/>
    <x v="374"/>
    <x v="26"/>
    <x v="3"/>
    <n v="70"/>
    <x v="0"/>
    <x v="0"/>
    <n v="105"/>
    <n v="21"/>
  </r>
  <r>
    <n v="2019"/>
    <n v="11"/>
    <x v="0"/>
    <x v="4"/>
    <x v="1"/>
    <s v="2019/2020"/>
    <b v="1"/>
    <b v="0"/>
    <b v="0"/>
    <x v="5"/>
    <n v="10586940000168"/>
    <x v="475"/>
    <x v="66"/>
    <x v="13"/>
    <n v="64"/>
    <x v="4"/>
    <x v="6"/>
    <n v="30"/>
    <n v="30"/>
  </r>
  <r>
    <n v="2019"/>
    <n v="11"/>
    <x v="0"/>
    <x v="4"/>
    <x v="1"/>
    <s v="2019/2020"/>
    <b v="1"/>
    <b v="0"/>
    <b v="0"/>
    <x v="5"/>
    <n v="10586940000168"/>
    <x v="475"/>
    <x v="66"/>
    <x v="13"/>
    <n v="73"/>
    <x v="1"/>
    <x v="1"/>
    <n v="20"/>
    <n v="10"/>
  </r>
  <r>
    <n v="2019"/>
    <n v="11"/>
    <x v="0"/>
    <x v="4"/>
    <x v="1"/>
    <s v="2019/2020"/>
    <b v="1"/>
    <b v="0"/>
    <b v="0"/>
    <x v="5"/>
    <n v="10586940000168"/>
    <x v="475"/>
    <x v="66"/>
    <x v="13"/>
    <n v="73"/>
    <x v="1"/>
    <x v="4"/>
    <n v="60"/>
    <n v="15"/>
  </r>
  <r>
    <n v="2019"/>
    <n v="11"/>
    <x v="0"/>
    <x v="4"/>
    <x v="1"/>
    <s v="2019/2020"/>
    <b v="1"/>
    <b v="0"/>
    <b v="0"/>
    <x v="10"/>
    <n v="10834118000179"/>
    <x v="575"/>
    <x v="0"/>
    <x v="0"/>
    <n v="64"/>
    <x v="4"/>
    <x v="6"/>
    <n v="20"/>
    <n v="20"/>
  </r>
  <r>
    <n v="2019"/>
    <n v="11"/>
    <x v="0"/>
    <x v="4"/>
    <x v="1"/>
    <s v="2019/2020"/>
    <b v="1"/>
    <b v="0"/>
    <b v="0"/>
    <x v="4"/>
    <n v="10839561000132"/>
    <x v="129"/>
    <x v="24"/>
    <x v="15"/>
    <n v="73"/>
    <x v="1"/>
    <x v="2"/>
    <n v="8"/>
    <n v="8"/>
  </r>
  <r>
    <n v="2019"/>
    <n v="11"/>
    <x v="0"/>
    <x v="4"/>
    <x v="1"/>
    <s v="2019/2020"/>
    <b v="1"/>
    <b v="0"/>
    <b v="0"/>
    <x v="7"/>
    <n v="10868295000176"/>
    <x v="375"/>
    <x v="70"/>
    <x v="3"/>
    <n v="70"/>
    <x v="0"/>
    <x v="0"/>
    <n v="180"/>
    <n v="9"/>
  </r>
  <r>
    <n v="2019"/>
    <n v="11"/>
    <x v="0"/>
    <x v="4"/>
    <x v="1"/>
    <s v="2019/2020"/>
    <b v="1"/>
    <b v="0"/>
    <b v="0"/>
    <x v="7"/>
    <n v="10868295000176"/>
    <x v="375"/>
    <x v="70"/>
    <x v="3"/>
    <n v="70"/>
    <x v="0"/>
    <x v="0"/>
    <n v="90"/>
    <n v="18"/>
  </r>
  <r>
    <n v="2019"/>
    <n v="11"/>
    <x v="0"/>
    <x v="4"/>
    <x v="1"/>
    <s v="2019/2020"/>
    <b v="1"/>
    <b v="0"/>
    <b v="0"/>
    <x v="4"/>
    <n v="10892164000124"/>
    <x v="130"/>
    <x v="24"/>
    <x v="15"/>
    <n v="64"/>
    <x v="4"/>
    <x v="6"/>
    <n v="10"/>
    <n v="10"/>
  </r>
  <r>
    <n v="2019"/>
    <n v="11"/>
    <x v="0"/>
    <x v="4"/>
    <x v="1"/>
    <s v="2019/2020"/>
    <b v="1"/>
    <b v="0"/>
    <b v="0"/>
    <x v="7"/>
    <n v="10892164000124"/>
    <x v="130"/>
    <x v="24"/>
    <x v="15"/>
    <n v="73"/>
    <x v="1"/>
    <x v="4"/>
    <n v="20"/>
    <n v="5"/>
  </r>
  <r>
    <n v="2019"/>
    <n v="11"/>
    <x v="0"/>
    <x v="4"/>
    <x v="1"/>
    <s v="2019/2020"/>
    <b v="1"/>
    <b v="0"/>
    <b v="0"/>
    <x v="7"/>
    <n v="10892164000124"/>
    <x v="130"/>
    <x v="24"/>
    <x v="15"/>
    <n v="73"/>
    <x v="1"/>
    <x v="4"/>
    <n v="40"/>
    <n v="10"/>
  </r>
  <r>
    <n v="2019"/>
    <n v="11"/>
    <x v="0"/>
    <x v="4"/>
    <x v="1"/>
    <s v="2019/2020"/>
    <b v="1"/>
    <b v="0"/>
    <b v="0"/>
    <x v="12"/>
    <n v="10922058000146"/>
    <x v="576"/>
    <x v="0"/>
    <x v="0"/>
    <n v="70"/>
    <x v="0"/>
    <x v="0"/>
    <n v="75"/>
    <n v="15"/>
  </r>
  <r>
    <n v="2019"/>
    <n v="11"/>
    <x v="0"/>
    <x v="4"/>
    <x v="1"/>
    <s v="2019/2020"/>
    <b v="1"/>
    <b v="0"/>
    <b v="0"/>
    <x v="7"/>
    <n v="10922058000146"/>
    <x v="576"/>
    <x v="0"/>
    <x v="0"/>
    <n v="70"/>
    <x v="0"/>
    <x v="0"/>
    <n v="75"/>
    <n v="15"/>
  </r>
  <r>
    <n v="2019"/>
    <n v="11"/>
    <x v="0"/>
    <x v="4"/>
    <x v="1"/>
    <s v="2019/2020"/>
    <b v="1"/>
    <b v="0"/>
    <b v="0"/>
    <x v="8"/>
    <n v="10942995000163"/>
    <x v="376"/>
    <x v="4"/>
    <x v="4"/>
    <n v="70"/>
    <x v="0"/>
    <x v="0"/>
    <n v="350"/>
    <n v="70"/>
  </r>
  <r>
    <n v="2019"/>
    <n v="11"/>
    <x v="0"/>
    <x v="4"/>
    <x v="1"/>
    <s v="2019/2020"/>
    <b v="1"/>
    <b v="0"/>
    <b v="0"/>
    <x v="8"/>
    <n v="10942995000163"/>
    <x v="376"/>
    <x v="4"/>
    <x v="4"/>
    <n v="70"/>
    <x v="0"/>
    <x v="0"/>
    <n v="500"/>
    <n v="100"/>
  </r>
  <r>
    <n v="2019"/>
    <n v="11"/>
    <x v="0"/>
    <x v="4"/>
    <x v="1"/>
    <s v="2019/2020"/>
    <b v="1"/>
    <b v="0"/>
    <b v="0"/>
    <x v="5"/>
    <n v="10942995000163"/>
    <x v="376"/>
    <x v="4"/>
    <x v="4"/>
    <n v="73"/>
    <x v="1"/>
    <x v="4"/>
    <n v="80"/>
    <n v="20"/>
  </r>
  <r>
    <n v="2019"/>
    <n v="11"/>
    <x v="0"/>
    <x v="4"/>
    <x v="1"/>
    <s v="2019/2020"/>
    <b v="1"/>
    <b v="0"/>
    <b v="0"/>
    <x v="5"/>
    <n v="10942995000163"/>
    <x v="376"/>
    <x v="4"/>
    <x v="4"/>
    <n v="73"/>
    <x v="1"/>
    <x v="4"/>
    <n v="120"/>
    <n v="30"/>
  </r>
  <r>
    <n v="2019"/>
    <n v="11"/>
    <x v="0"/>
    <x v="4"/>
    <x v="1"/>
    <s v="2019/2020"/>
    <b v="1"/>
    <b v="0"/>
    <b v="0"/>
    <x v="4"/>
    <n v="11006293000130"/>
    <x v="132"/>
    <x v="25"/>
    <x v="16"/>
    <n v="62"/>
    <x v="3"/>
    <x v="5"/>
    <n v="1"/>
    <n v="1"/>
  </r>
  <r>
    <n v="2019"/>
    <n v="11"/>
    <x v="0"/>
    <x v="4"/>
    <x v="1"/>
    <s v="2019/2020"/>
    <b v="1"/>
    <b v="0"/>
    <b v="0"/>
    <x v="1"/>
    <n v="11006293000130"/>
    <x v="132"/>
    <x v="25"/>
    <x v="16"/>
    <n v="70"/>
    <x v="0"/>
    <x v="0"/>
    <n v="500"/>
    <n v="100"/>
  </r>
  <r>
    <n v="2019"/>
    <n v="11"/>
    <x v="0"/>
    <x v="4"/>
    <x v="1"/>
    <s v="2019/2020"/>
    <b v="1"/>
    <b v="0"/>
    <b v="0"/>
    <x v="3"/>
    <n v="11214624000470"/>
    <x v="379"/>
    <x v="24"/>
    <x v="15"/>
    <n v="70"/>
    <x v="0"/>
    <x v="0"/>
    <n v="50"/>
    <n v="10"/>
  </r>
  <r>
    <n v="2019"/>
    <n v="11"/>
    <x v="0"/>
    <x v="4"/>
    <x v="1"/>
    <s v="2019/2020"/>
    <b v="1"/>
    <b v="0"/>
    <b v="0"/>
    <x v="27"/>
    <n v="11836436000131"/>
    <x v="577"/>
    <x v="64"/>
    <x v="12"/>
    <n v="70"/>
    <x v="0"/>
    <x v="0"/>
    <n v="25"/>
    <n v="5"/>
  </r>
  <r>
    <n v="2019"/>
    <n v="11"/>
    <x v="0"/>
    <x v="4"/>
    <x v="1"/>
    <s v="2019/2020"/>
    <b v="1"/>
    <b v="0"/>
    <b v="0"/>
    <x v="8"/>
    <n v="11859927000106"/>
    <x v="135"/>
    <x v="4"/>
    <x v="4"/>
    <n v="73"/>
    <x v="1"/>
    <x v="1"/>
    <n v="6"/>
    <n v="3"/>
  </r>
  <r>
    <n v="2019"/>
    <n v="11"/>
    <x v="0"/>
    <x v="4"/>
    <x v="1"/>
    <s v="2019/2020"/>
    <b v="1"/>
    <b v="0"/>
    <b v="0"/>
    <x v="8"/>
    <n v="11859927000106"/>
    <x v="135"/>
    <x v="4"/>
    <x v="4"/>
    <n v="73"/>
    <x v="1"/>
    <x v="2"/>
    <n v="5"/>
    <n v="5"/>
  </r>
  <r>
    <n v="2019"/>
    <n v="11"/>
    <x v="0"/>
    <x v="4"/>
    <x v="1"/>
    <s v="2019/2020"/>
    <b v="1"/>
    <b v="0"/>
    <b v="0"/>
    <x v="2"/>
    <n v="11859927000106"/>
    <x v="135"/>
    <x v="4"/>
    <x v="4"/>
    <n v="73"/>
    <x v="1"/>
    <x v="2"/>
    <n v="5"/>
    <n v="5"/>
  </r>
  <r>
    <n v="2019"/>
    <n v="11"/>
    <x v="0"/>
    <x v="4"/>
    <x v="1"/>
    <s v="2019/2020"/>
    <b v="1"/>
    <b v="0"/>
    <b v="0"/>
    <x v="2"/>
    <n v="11859927000106"/>
    <x v="135"/>
    <x v="4"/>
    <x v="4"/>
    <n v="73"/>
    <x v="1"/>
    <x v="1"/>
    <n v="18"/>
    <n v="9"/>
  </r>
  <r>
    <n v="2019"/>
    <n v="11"/>
    <x v="0"/>
    <x v="4"/>
    <x v="1"/>
    <s v="2019/2020"/>
    <b v="1"/>
    <b v="0"/>
    <b v="0"/>
    <x v="9"/>
    <n v="12361267000517"/>
    <x v="136"/>
    <x v="49"/>
    <x v="21"/>
    <n v="64"/>
    <x v="4"/>
    <x v="6"/>
    <n v="2"/>
    <n v="2"/>
  </r>
  <r>
    <n v="2019"/>
    <n v="11"/>
    <x v="0"/>
    <x v="4"/>
    <x v="1"/>
    <s v="2019/2020"/>
    <b v="1"/>
    <b v="0"/>
    <b v="0"/>
    <x v="9"/>
    <n v="12361267000517"/>
    <x v="136"/>
    <x v="49"/>
    <x v="21"/>
    <n v="70"/>
    <x v="0"/>
    <x v="0"/>
    <n v="30"/>
    <n v="6"/>
  </r>
  <r>
    <n v="2019"/>
    <n v="11"/>
    <x v="0"/>
    <x v="4"/>
    <x v="1"/>
    <s v="2019/2020"/>
    <b v="1"/>
    <b v="0"/>
    <b v="0"/>
    <x v="9"/>
    <n v="12361267000789"/>
    <x v="477"/>
    <x v="25"/>
    <x v="16"/>
    <n v="62"/>
    <x v="3"/>
    <x v="5"/>
    <n v="2"/>
    <n v="2"/>
  </r>
  <r>
    <n v="2019"/>
    <n v="11"/>
    <x v="0"/>
    <x v="4"/>
    <x v="1"/>
    <s v="2019/2020"/>
    <b v="1"/>
    <b v="0"/>
    <b v="0"/>
    <x v="9"/>
    <n v="12361267000789"/>
    <x v="477"/>
    <x v="25"/>
    <x v="16"/>
    <n v="64"/>
    <x v="4"/>
    <x v="6"/>
    <n v="-2"/>
    <n v="-2"/>
  </r>
  <r>
    <n v="2019"/>
    <n v="11"/>
    <x v="0"/>
    <x v="4"/>
    <x v="1"/>
    <s v="2019/2020"/>
    <b v="1"/>
    <b v="0"/>
    <b v="0"/>
    <x v="9"/>
    <n v="12361267000789"/>
    <x v="477"/>
    <x v="25"/>
    <x v="16"/>
    <n v="70"/>
    <x v="0"/>
    <x v="0"/>
    <n v="20"/>
    <n v="4"/>
  </r>
  <r>
    <n v="2019"/>
    <n v="11"/>
    <x v="0"/>
    <x v="4"/>
    <x v="1"/>
    <s v="2019/2020"/>
    <b v="1"/>
    <b v="0"/>
    <b v="0"/>
    <x v="9"/>
    <n v="12361267003370"/>
    <x v="578"/>
    <x v="1"/>
    <x v="1"/>
    <n v="62"/>
    <x v="3"/>
    <x v="5"/>
    <n v="4"/>
    <n v="4"/>
  </r>
  <r>
    <n v="2019"/>
    <n v="11"/>
    <x v="0"/>
    <x v="4"/>
    <x v="1"/>
    <s v="2019/2020"/>
    <b v="1"/>
    <b v="0"/>
    <b v="0"/>
    <x v="9"/>
    <n v="12361267003370"/>
    <x v="578"/>
    <x v="1"/>
    <x v="1"/>
    <n v="70"/>
    <x v="0"/>
    <x v="0"/>
    <n v="105"/>
    <n v="21"/>
  </r>
  <r>
    <n v="2019"/>
    <n v="11"/>
    <x v="0"/>
    <x v="4"/>
    <x v="1"/>
    <s v="2019/2020"/>
    <b v="1"/>
    <b v="0"/>
    <b v="0"/>
    <x v="9"/>
    <n v="12361267003370"/>
    <x v="578"/>
    <x v="1"/>
    <x v="1"/>
    <n v="70"/>
    <x v="0"/>
    <x v="0"/>
    <n v="200"/>
    <n v="40"/>
  </r>
  <r>
    <n v="2019"/>
    <n v="11"/>
    <x v="0"/>
    <x v="4"/>
    <x v="1"/>
    <s v="2019/2020"/>
    <b v="1"/>
    <b v="0"/>
    <b v="0"/>
    <x v="9"/>
    <n v="12361267005748"/>
    <x v="579"/>
    <x v="122"/>
    <x v="15"/>
    <n v="62"/>
    <x v="3"/>
    <x v="5"/>
    <n v="1"/>
    <n v="1"/>
  </r>
  <r>
    <n v="2019"/>
    <n v="11"/>
    <x v="0"/>
    <x v="4"/>
    <x v="1"/>
    <s v="2019/2020"/>
    <b v="1"/>
    <b v="0"/>
    <b v="0"/>
    <x v="9"/>
    <n v="12361267005748"/>
    <x v="579"/>
    <x v="122"/>
    <x v="15"/>
    <n v="62"/>
    <x v="3"/>
    <x v="5"/>
    <n v="3"/>
    <n v="3"/>
  </r>
  <r>
    <n v="2019"/>
    <n v="11"/>
    <x v="0"/>
    <x v="4"/>
    <x v="1"/>
    <s v="2019/2020"/>
    <b v="1"/>
    <b v="0"/>
    <b v="0"/>
    <x v="9"/>
    <n v="12361267008410"/>
    <x v="480"/>
    <x v="127"/>
    <x v="18"/>
    <n v="62"/>
    <x v="3"/>
    <x v="5"/>
    <n v="2"/>
    <n v="2"/>
  </r>
  <r>
    <n v="2019"/>
    <n v="11"/>
    <x v="0"/>
    <x v="4"/>
    <x v="1"/>
    <s v="2019/2020"/>
    <b v="1"/>
    <b v="0"/>
    <b v="0"/>
    <x v="9"/>
    <n v="12361267010407"/>
    <x v="387"/>
    <x v="53"/>
    <x v="17"/>
    <n v="62"/>
    <x v="3"/>
    <x v="5"/>
    <n v="2"/>
    <n v="2"/>
  </r>
  <r>
    <n v="2019"/>
    <n v="11"/>
    <x v="0"/>
    <x v="4"/>
    <x v="1"/>
    <s v="2019/2020"/>
    <b v="1"/>
    <b v="0"/>
    <b v="0"/>
    <x v="9"/>
    <n v="12361267011802"/>
    <x v="140"/>
    <x v="32"/>
    <x v="18"/>
    <n v="62"/>
    <x v="3"/>
    <x v="5"/>
    <n v="2"/>
    <n v="2"/>
  </r>
  <r>
    <n v="2019"/>
    <n v="11"/>
    <x v="0"/>
    <x v="4"/>
    <x v="1"/>
    <s v="2019/2020"/>
    <b v="1"/>
    <b v="0"/>
    <b v="0"/>
    <x v="4"/>
    <n v="12361267011802"/>
    <x v="140"/>
    <x v="32"/>
    <x v="18"/>
    <n v="64"/>
    <x v="4"/>
    <x v="6"/>
    <n v="3"/>
    <n v="3"/>
  </r>
  <r>
    <n v="2019"/>
    <n v="11"/>
    <x v="0"/>
    <x v="4"/>
    <x v="1"/>
    <s v="2019/2020"/>
    <b v="1"/>
    <b v="0"/>
    <b v="0"/>
    <x v="9"/>
    <n v="12361267014739"/>
    <x v="482"/>
    <x v="31"/>
    <x v="17"/>
    <n v="62"/>
    <x v="3"/>
    <x v="5"/>
    <n v="3"/>
    <n v="3"/>
  </r>
  <r>
    <n v="2019"/>
    <n v="11"/>
    <x v="0"/>
    <x v="4"/>
    <x v="1"/>
    <s v="2019/2020"/>
    <b v="1"/>
    <b v="0"/>
    <b v="0"/>
    <x v="4"/>
    <n v="12361267014739"/>
    <x v="482"/>
    <x v="31"/>
    <x v="17"/>
    <n v="62"/>
    <x v="3"/>
    <x v="5"/>
    <n v="3"/>
    <n v="3"/>
  </r>
  <r>
    <n v="2019"/>
    <n v="11"/>
    <x v="0"/>
    <x v="4"/>
    <x v="1"/>
    <s v="2019/2020"/>
    <b v="1"/>
    <b v="0"/>
    <b v="0"/>
    <x v="4"/>
    <n v="12361267014739"/>
    <x v="482"/>
    <x v="31"/>
    <x v="17"/>
    <n v="62"/>
    <x v="3"/>
    <x v="5"/>
    <n v="4"/>
    <n v="4"/>
  </r>
  <r>
    <n v="2019"/>
    <n v="11"/>
    <x v="0"/>
    <x v="4"/>
    <x v="1"/>
    <s v="2019/2020"/>
    <b v="1"/>
    <b v="0"/>
    <b v="0"/>
    <x v="9"/>
    <n v="12361267014739"/>
    <x v="482"/>
    <x v="31"/>
    <x v="17"/>
    <n v="70"/>
    <x v="0"/>
    <x v="0"/>
    <n v="220"/>
    <n v="44"/>
  </r>
  <r>
    <n v="2019"/>
    <n v="11"/>
    <x v="0"/>
    <x v="4"/>
    <x v="1"/>
    <s v="2019/2020"/>
    <b v="1"/>
    <b v="0"/>
    <b v="0"/>
    <x v="3"/>
    <n v="12442737000496"/>
    <x v="141"/>
    <x v="19"/>
    <x v="14"/>
    <n v="70"/>
    <x v="0"/>
    <x v="0"/>
    <n v="35"/>
    <n v="7"/>
  </r>
  <r>
    <n v="2019"/>
    <n v="11"/>
    <x v="0"/>
    <x v="4"/>
    <x v="1"/>
    <s v="2019/2020"/>
    <b v="1"/>
    <b v="0"/>
    <b v="0"/>
    <x v="4"/>
    <n v="12442737000496"/>
    <x v="141"/>
    <x v="19"/>
    <x v="14"/>
    <n v="70"/>
    <x v="0"/>
    <x v="0"/>
    <n v="65"/>
    <n v="13"/>
  </r>
  <r>
    <n v="2019"/>
    <n v="11"/>
    <x v="0"/>
    <x v="4"/>
    <x v="1"/>
    <s v="2019/2020"/>
    <b v="1"/>
    <b v="0"/>
    <b v="0"/>
    <x v="4"/>
    <n v="12442737000496"/>
    <x v="141"/>
    <x v="19"/>
    <x v="14"/>
    <n v="70"/>
    <x v="0"/>
    <x v="0"/>
    <n v="200"/>
    <n v="40"/>
  </r>
  <r>
    <n v="2019"/>
    <n v="11"/>
    <x v="0"/>
    <x v="4"/>
    <x v="1"/>
    <s v="2019/2020"/>
    <b v="1"/>
    <b v="0"/>
    <b v="0"/>
    <x v="4"/>
    <n v="12442737000496"/>
    <x v="141"/>
    <x v="19"/>
    <x v="14"/>
    <n v="70"/>
    <x v="0"/>
    <x v="0"/>
    <n v="400"/>
    <n v="80"/>
  </r>
  <r>
    <n v="2019"/>
    <n v="11"/>
    <x v="0"/>
    <x v="4"/>
    <x v="1"/>
    <s v="2019/2020"/>
    <b v="1"/>
    <b v="0"/>
    <b v="0"/>
    <x v="12"/>
    <n v="12442737000496"/>
    <x v="141"/>
    <x v="19"/>
    <x v="14"/>
    <n v="70"/>
    <x v="0"/>
    <x v="0"/>
    <n v="75"/>
    <n v="15"/>
  </r>
  <r>
    <n v="2019"/>
    <n v="11"/>
    <x v="0"/>
    <x v="4"/>
    <x v="1"/>
    <s v="2019/2020"/>
    <b v="1"/>
    <b v="0"/>
    <b v="0"/>
    <x v="12"/>
    <n v="12442737000496"/>
    <x v="141"/>
    <x v="19"/>
    <x v="14"/>
    <n v="70"/>
    <x v="0"/>
    <x v="0"/>
    <n v="110"/>
    <n v="22"/>
  </r>
  <r>
    <n v="2019"/>
    <n v="11"/>
    <x v="0"/>
    <x v="4"/>
    <x v="1"/>
    <s v="2019/2020"/>
    <b v="1"/>
    <b v="0"/>
    <b v="0"/>
    <x v="2"/>
    <n v="12442737000496"/>
    <x v="141"/>
    <x v="19"/>
    <x v="14"/>
    <n v="70"/>
    <x v="0"/>
    <x v="0"/>
    <n v="200"/>
    <n v="40"/>
  </r>
  <r>
    <n v="2019"/>
    <n v="11"/>
    <x v="0"/>
    <x v="4"/>
    <x v="1"/>
    <s v="2019/2020"/>
    <b v="1"/>
    <b v="0"/>
    <b v="0"/>
    <x v="4"/>
    <n v="12508728000108"/>
    <x v="388"/>
    <x v="47"/>
    <x v="11"/>
    <n v="70"/>
    <x v="0"/>
    <x v="0"/>
    <n v="20"/>
    <n v="4"/>
  </r>
  <r>
    <n v="2019"/>
    <n v="11"/>
    <x v="0"/>
    <x v="4"/>
    <x v="1"/>
    <s v="2019/2020"/>
    <b v="1"/>
    <b v="0"/>
    <b v="0"/>
    <x v="9"/>
    <n v="12568570000161"/>
    <x v="142"/>
    <x v="32"/>
    <x v="18"/>
    <n v="70"/>
    <x v="0"/>
    <x v="0"/>
    <n v="5"/>
    <n v="1"/>
  </r>
  <r>
    <n v="2019"/>
    <n v="11"/>
    <x v="0"/>
    <x v="4"/>
    <x v="1"/>
    <s v="2019/2020"/>
    <b v="1"/>
    <b v="0"/>
    <b v="0"/>
    <x v="18"/>
    <n v="13016332000106"/>
    <x v="144"/>
    <x v="49"/>
    <x v="21"/>
    <n v="62"/>
    <x v="3"/>
    <x v="5"/>
    <n v="4"/>
    <n v="4"/>
  </r>
  <r>
    <n v="2019"/>
    <n v="11"/>
    <x v="0"/>
    <x v="4"/>
    <x v="1"/>
    <s v="2019/2020"/>
    <b v="1"/>
    <b v="0"/>
    <b v="0"/>
    <x v="18"/>
    <n v="13131370000100"/>
    <x v="145"/>
    <x v="49"/>
    <x v="21"/>
    <n v="64"/>
    <x v="4"/>
    <x v="6"/>
    <n v="4"/>
    <n v="4"/>
  </r>
  <r>
    <n v="2019"/>
    <n v="11"/>
    <x v="0"/>
    <x v="4"/>
    <x v="1"/>
    <s v="2019/2020"/>
    <b v="1"/>
    <b v="0"/>
    <b v="0"/>
    <x v="2"/>
    <n v="13131370000100"/>
    <x v="145"/>
    <x v="49"/>
    <x v="21"/>
    <n v="70"/>
    <x v="0"/>
    <x v="0"/>
    <n v="200"/>
    <n v="40"/>
  </r>
  <r>
    <n v="2019"/>
    <n v="11"/>
    <x v="0"/>
    <x v="4"/>
    <x v="1"/>
    <s v="2019/2020"/>
    <b v="1"/>
    <b v="0"/>
    <b v="0"/>
    <x v="18"/>
    <n v="13131370000100"/>
    <x v="145"/>
    <x v="49"/>
    <x v="21"/>
    <n v="73"/>
    <x v="1"/>
    <x v="4"/>
    <n v="16"/>
    <n v="4"/>
  </r>
  <r>
    <n v="2019"/>
    <n v="11"/>
    <x v="0"/>
    <x v="4"/>
    <x v="1"/>
    <s v="2019/2020"/>
    <b v="1"/>
    <b v="0"/>
    <b v="0"/>
    <x v="18"/>
    <n v="13131370000100"/>
    <x v="145"/>
    <x v="49"/>
    <x v="21"/>
    <n v="73"/>
    <x v="1"/>
    <x v="2"/>
    <n v="4"/>
    <n v="4"/>
  </r>
  <r>
    <n v="2019"/>
    <n v="11"/>
    <x v="0"/>
    <x v="4"/>
    <x v="1"/>
    <s v="2019/2020"/>
    <b v="1"/>
    <b v="0"/>
    <b v="0"/>
    <x v="18"/>
    <n v="13131370000100"/>
    <x v="145"/>
    <x v="49"/>
    <x v="21"/>
    <n v="73"/>
    <x v="1"/>
    <x v="4"/>
    <n v="20"/>
    <n v="5"/>
  </r>
  <r>
    <n v="2019"/>
    <n v="11"/>
    <x v="0"/>
    <x v="4"/>
    <x v="1"/>
    <s v="2019/2020"/>
    <b v="1"/>
    <b v="0"/>
    <b v="0"/>
    <x v="18"/>
    <n v="13131370000100"/>
    <x v="145"/>
    <x v="49"/>
    <x v="21"/>
    <n v="73"/>
    <x v="1"/>
    <x v="2"/>
    <n v="6"/>
    <n v="6"/>
  </r>
  <r>
    <n v="2019"/>
    <n v="11"/>
    <x v="0"/>
    <x v="4"/>
    <x v="1"/>
    <s v="2019/2020"/>
    <b v="1"/>
    <b v="0"/>
    <b v="0"/>
    <x v="2"/>
    <n v="13131370000100"/>
    <x v="145"/>
    <x v="49"/>
    <x v="21"/>
    <n v="73"/>
    <x v="1"/>
    <x v="4"/>
    <n v="20"/>
    <n v="5"/>
  </r>
  <r>
    <n v="2019"/>
    <n v="11"/>
    <x v="0"/>
    <x v="4"/>
    <x v="1"/>
    <s v="2019/2020"/>
    <b v="1"/>
    <b v="0"/>
    <b v="0"/>
    <x v="17"/>
    <n v="13718999001041"/>
    <x v="149"/>
    <x v="33"/>
    <x v="3"/>
    <n v="73"/>
    <x v="1"/>
    <x v="4"/>
    <n v="8"/>
    <n v="1"/>
  </r>
  <r>
    <n v="2019"/>
    <n v="11"/>
    <x v="0"/>
    <x v="4"/>
    <x v="1"/>
    <s v="2019/2020"/>
    <b v="1"/>
    <b v="0"/>
    <b v="0"/>
    <x v="3"/>
    <n v="14408631000159"/>
    <x v="152"/>
    <x v="54"/>
    <x v="2"/>
    <n v="73"/>
    <x v="1"/>
    <x v="4"/>
    <n v="4"/>
    <n v="1"/>
  </r>
  <r>
    <n v="2019"/>
    <n v="11"/>
    <x v="0"/>
    <x v="4"/>
    <x v="1"/>
    <s v="2019/2020"/>
    <b v="1"/>
    <b v="0"/>
    <b v="0"/>
    <x v="12"/>
    <n v="15016827000160"/>
    <x v="153"/>
    <x v="23"/>
    <x v="12"/>
    <n v="64"/>
    <x v="4"/>
    <x v="6"/>
    <n v="4"/>
    <n v="4"/>
  </r>
  <r>
    <n v="2019"/>
    <n v="11"/>
    <x v="0"/>
    <x v="4"/>
    <x v="1"/>
    <s v="2019/2020"/>
    <b v="1"/>
    <b v="0"/>
    <b v="0"/>
    <x v="12"/>
    <n v="15016827000160"/>
    <x v="153"/>
    <x v="23"/>
    <x v="12"/>
    <n v="64"/>
    <x v="4"/>
    <x v="6"/>
    <n v="8"/>
    <n v="8"/>
  </r>
  <r>
    <n v="2019"/>
    <n v="11"/>
    <x v="0"/>
    <x v="4"/>
    <x v="1"/>
    <s v="2019/2020"/>
    <b v="1"/>
    <b v="0"/>
    <b v="0"/>
    <x v="0"/>
    <n v="15016827000160"/>
    <x v="153"/>
    <x v="23"/>
    <x v="12"/>
    <n v="64"/>
    <x v="4"/>
    <x v="6"/>
    <n v="2"/>
    <n v="2"/>
  </r>
  <r>
    <n v="2019"/>
    <n v="11"/>
    <x v="0"/>
    <x v="4"/>
    <x v="1"/>
    <s v="2019/2020"/>
    <b v="1"/>
    <b v="0"/>
    <b v="0"/>
    <x v="19"/>
    <n v="15126437000224"/>
    <x v="154"/>
    <x v="40"/>
    <x v="20"/>
    <n v="64"/>
    <x v="4"/>
    <x v="6"/>
    <n v="10"/>
    <n v="10"/>
  </r>
  <r>
    <n v="2019"/>
    <n v="11"/>
    <x v="0"/>
    <x v="4"/>
    <x v="1"/>
    <s v="2019/2020"/>
    <b v="1"/>
    <b v="0"/>
    <b v="0"/>
    <x v="5"/>
    <n v="15126437000577"/>
    <x v="580"/>
    <x v="103"/>
    <x v="2"/>
    <n v="70"/>
    <x v="0"/>
    <x v="0"/>
    <n v="500"/>
    <n v="100"/>
  </r>
  <r>
    <n v="2019"/>
    <n v="11"/>
    <x v="0"/>
    <x v="4"/>
    <x v="1"/>
    <s v="2019/2020"/>
    <b v="1"/>
    <b v="0"/>
    <b v="0"/>
    <x v="5"/>
    <n v="15126437000739"/>
    <x v="156"/>
    <x v="10"/>
    <x v="8"/>
    <n v="64"/>
    <x v="4"/>
    <x v="6"/>
    <n v="200"/>
    <n v="200"/>
  </r>
  <r>
    <n v="2019"/>
    <n v="11"/>
    <x v="0"/>
    <x v="4"/>
    <x v="1"/>
    <s v="2019/2020"/>
    <b v="1"/>
    <b v="0"/>
    <b v="0"/>
    <x v="5"/>
    <n v="15126437000739"/>
    <x v="156"/>
    <x v="10"/>
    <x v="8"/>
    <n v="64"/>
    <x v="4"/>
    <x v="6"/>
    <n v="300"/>
    <n v="300"/>
  </r>
  <r>
    <n v="2019"/>
    <n v="11"/>
    <x v="0"/>
    <x v="4"/>
    <x v="1"/>
    <s v="2019/2020"/>
    <b v="1"/>
    <b v="0"/>
    <b v="0"/>
    <x v="5"/>
    <n v="15126437001468"/>
    <x v="393"/>
    <x v="32"/>
    <x v="18"/>
    <n v="64"/>
    <x v="4"/>
    <x v="6"/>
    <n v="50"/>
    <n v="50"/>
  </r>
  <r>
    <n v="2019"/>
    <n v="11"/>
    <x v="0"/>
    <x v="4"/>
    <x v="1"/>
    <s v="2019/2020"/>
    <b v="1"/>
    <b v="0"/>
    <b v="0"/>
    <x v="16"/>
    <n v="15126437001972"/>
    <x v="157"/>
    <x v="47"/>
    <x v="11"/>
    <n v="62"/>
    <x v="3"/>
    <x v="5"/>
    <n v="10"/>
    <n v="10"/>
  </r>
  <r>
    <n v="2019"/>
    <n v="11"/>
    <x v="0"/>
    <x v="4"/>
    <x v="1"/>
    <s v="2019/2020"/>
    <b v="1"/>
    <b v="0"/>
    <b v="0"/>
    <x v="5"/>
    <n v="15126437002863"/>
    <x v="581"/>
    <x v="31"/>
    <x v="17"/>
    <n v="64"/>
    <x v="4"/>
    <x v="6"/>
    <n v="12"/>
    <n v="12"/>
  </r>
  <r>
    <n v="2019"/>
    <n v="11"/>
    <x v="0"/>
    <x v="4"/>
    <x v="1"/>
    <s v="2019/2020"/>
    <b v="1"/>
    <b v="0"/>
    <b v="0"/>
    <x v="5"/>
    <n v="15126437003240"/>
    <x v="582"/>
    <x v="123"/>
    <x v="5"/>
    <n v="70"/>
    <x v="0"/>
    <x v="8"/>
    <n v="75"/>
    <n v="30"/>
  </r>
  <r>
    <n v="2019"/>
    <n v="11"/>
    <x v="0"/>
    <x v="4"/>
    <x v="1"/>
    <s v="2019/2020"/>
    <b v="1"/>
    <b v="0"/>
    <b v="0"/>
    <x v="16"/>
    <n v="15126437003401"/>
    <x v="583"/>
    <x v="150"/>
    <x v="10"/>
    <n v="62"/>
    <x v="3"/>
    <x v="5"/>
    <n v="8"/>
    <n v="8"/>
  </r>
  <r>
    <n v="2019"/>
    <n v="11"/>
    <x v="0"/>
    <x v="4"/>
    <x v="1"/>
    <s v="2019/2020"/>
    <b v="1"/>
    <b v="0"/>
    <b v="0"/>
    <x v="5"/>
    <n v="15126437003673"/>
    <x v="584"/>
    <x v="151"/>
    <x v="0"/>
    <n v="64"/>
    <x v="4"/>
    <x v="6"/>
    <n v="5"/>
    <n v="5"/>
  </r>
  <r>
    <n v="2019"/>
    <n v="11"/>
    <x v="0"/>
    <x v="4"/>
    <x v="1"/>
    <s v="2019/2020"/>
    <b v="1"/>
    <b v="0"/>
    <b v="0"/>
    <x v="5"/>
    <n v="15126437003673"/>
    <x v="584"/>
    <x v="151"/>
    <x v="0"/>
    <n v="70"/>
    <x v="0"/>
    <x v="8"/>
    <n v="100"/>
    <n v="40"/>
  </r>
  <r>
    <n v="2019"/>
    <n v="11"/>
    <x v="0"/>
    <x v="4"/>
    <x v="1"/>
    <s v="2019/2020"/>
    <b v="1"/>
    <b v="0"/>
    <b v="0"/>
    <x v="2"/>
    <n v="15153745000249"/>
    <x v="158"/>
    <x v="31"/>
    <x v="17"/>
    <n v="62"/>
    <x v="3"/>
    <x v="5"/>
    <n v="4"/>
    <n v="4"/>
  </r>
  <r>
    <n v="2019"/>
    <n v="11"/>
    <x v="0"/>
    <x v="4"/>
    <x v="1"/>
    <s v="2019/2020"/>
    <b v="1"/>
    <b v="0"/>
    <b v="0"/>
    <x v="11"/>
    <n v="15153745000249"/>
    <x v="158"/>
    <x v="31"/>
    <x v="17"/>
    <n v="64"/>
    <x v="4"/>
    <x v="6"/>
    <n v="2"/>
    <n v="1"/>
  </r>
  <r>
    <n v="2019"/>
    <n v="11"/>
    <x v="0"/>
    <x v="4"/>
    <x v="1"/>
    <s v="2019/2020"/>
    <b v="1"/>
    <b v="0"/>
    <b v="0"/>
    <x v="7"/>
    <n v="15153745000249"/>
    <x v="158"/>
    <x v="31"/>
    <x v="17"/>
    <n v="64"/>
    <x v="4"/>
    <x v="6"/>
    <n v="5"/>
    <n v="5"/>
  </r>
  <r>
    <n v="2019"/>
    <n v="11"/>
    <x v="0"/>
    <x v="4"/>
    <x v="1"/>
    <s v="2019/2020"/>
    <b v="1"/>
    <b v="0"/>
    <b v="0"/>
    <x v="9"/>
    <n v="15166416000151"/>
    <x v="160"/>
    <x v="31"/>
    <x v="17"/>
    <n v="62"/>
    <x v="3"/>
    <x v="5"/>
    <n v="2"/>
    <n v="2"/>
  </r>
  <r>
    <n v="2019"/>
    <n v="11"/>
    <x v="0"/>
    <x v="4"/>
    <x v="1"/>
    <s v="2019/2020"/>
    <b v="1"/>
    <b v="0"/>
    <b v="0"/>
    <x v="9"/>
    <n v="15166416000151"/>
    <x v="160"/>
    <x v="31"/>
    <x v="17"/>
    <n v="64"/>
    <x v="4"/>
    <x v="6"/>
    <n v="2"/>
    <n v="1"/>
  </r>
  <r>
    <n v="2019"/>
    <n v="11"/>
    <x v="0"/>
    <x v="4"/>
    <x v="1"/>
    <s v="2019/2020"/>
    <b v="1"/>
    <b v="0"/>
    <b v="0"/>
    <x v="9"/>
    <n v="15170723000106"/>
    <x v="161"/>
    <x v="31"/>
    <x v="17"/>
    <n v="64"/>
    <x v="4"/>
    <x v="6"/>
    <n v="7"/>
    <n v="7"/>
  </r>
  <r>
    <n v="2019"/>
    <n v="11"/>
    <x v="0"/>
    <x v="4"/>
    <x v="1"/>
    <s v="2019/2020"/>
    <b v="1"/>
    <b v="0"/>
    <b v="0"/>
    <x v="5"/>
    <n v="15180714000287"/>
    <x v="585"/>
    <x v="31"/>
    <x v="17"/>
    <n v="70"/>
    <x v="0"/>
    <x v="0"/>
    <n v="400"/>
    <n v="80"/>
  </r>
  <r>
    <n v="2019"/>
    <n v="11"/>
    <x v="0"/>
    <x v="4"/>
    <x v="1"/>
    <s v="2019/2020"/>
    <b v="1"/>
    <b v="0"/>
    <b v="0"/>
    <x v="12"/>
    <n v="15194004000125"/>
    <x v="165"/>
    <x v="31"/>
    <x v="17"/>
    <n v="64"/>
    <x v="4"/>
    <x v="6"/>
    <n v="2"/>
    <n v="1"/>
  </r>
  <r>
    <n v="2019"/>
    <n v="11"/>
    <x v="0"/>
    <x v="4"/>
    <x v="1"/>
    <s v="2019/2020"/>
    <b v="1"/>
    <b v="0"/>
    <b v="0"/>
    <x v="17"/>
    <n v="15217814000150"/>
    <x v="586"/>
    <x v="3"/>
    <x v="3"/>
    <n v="70"/>
    <x v="0"/>
    <x v="0"/>
    <n v="5"/>
    <n v="1"/>
  </r>
  <r>
    <n v="2019"/>
    <n v="11"/>
    <x v="0"/>
    <x v="4"/>
    <x v="1"/>
    <s v="2019/2020"/>
    <b v="1"/>
    <b v="0"/>
    <b v="0"/>
    <x v="18"/>
    <n v="15242761000127"/>
    <x v="166"/>
    <x v="31"/>
    <x v="17"/>
    <n v="73"/>
    <x v="1"/>
    <x v="2"/>
    <n v="10"/>
    <n v="10"/>
  </r>
  <r>
    <n v="2019"/>
    <n v="11"/>
    <x v="0"/>
    <x v="4"/>
    <x v="1"/>
    <s v="2019/2020"/>
    <b v="1"/>
    <b v="0"/>
    <b v="0"/>
    <x v="18"/>
    <n v="15242761000127"/>
    <x v="166"/>
    <x v="31"/>
    <x v="17"/>
    <n v="73"/>
    <x v="1"/>
    <x v="4"/>
    <n v="44"/>
    <n v="11"/>
  </r>
  <r>
    <n v="2019"/>
    <n v="11"/>
    <x v="0"/>
    <x v="4"/>
    <x v="1"/>
    <s v="2019/2020"/>
    <b v="1"/>
    <b v="0"/>
    <b v="0"/>
    <x v="18"/>
    <n v="16064313000577"/>
    <x v="395"/>
    <x v="49"/>
    <x v="21"/>
    <n v="73"/>
    <x v="1"/>
    <x v="1"/>
    <n v="6"/>
    <n v="3"/>
  </r>
  <r>
    <n v="2019"/>
    <n v="11"/>
    <x v="0"/>
    <x v="4"/>
    <x v="1"/>
    <s v="2019/2020"/>
    <b v="1"/>
    <b v="0"/>
    <b v="0"/>
    <x v="18"/>
    <n v="16064313000577"/>
    <x v="395"/>
    <x v="49"/>
    <x v="21"/>
    <n v="73"/>
    <x v="1"/>
    <x v="2"/>
    <n v="3"/>
    <n v="3"/>
  </r>
  <r>
    <n v="2019"/>
    <n v="11"/>
    <x v="0"/>
    <x v="4"/>
    <x v="1"/>
    <s v="2019/2020"/>
    <b v="1"/>
    <b v="0"/>
    <b v="0"/>
    <x v="18"/>
    <n v="16064313000577"/>
    <x v="395"/>
    <x v="49"/>
    <x v="21"/>
    <n v="73"/>
    <x v="1"/>
    <x v="1"/>
    <n v="8"/>
    <n v="4"/>
  </r>
  <r>
    <n v="2019"/>
    <n v="11"/>
    <x v="0"/>
    <x v="4"/>
    <x v="1"/>
    <s v="2019/2020"/>
    <b v="1"/>
    <b v="0"/>
    <b v="0"/>
    <x v="18"/>
    <n v="16064313000577"/>
    <x v="395"/>
    <x v="49"/>
    <x v="21"/>
    <n v="73"/>
    <x v="1"/>
    <x v="2"/>
    <n v="4"/>
    <n v="4"/>
  </r>
  <r>
    <n v="2019"/>
    <n v="11"/>
    <x v="0"/>
    <x v="4"/>
    <x v="1"/>
    <s v="2019/2020"/>
    <b v="1"/>
    <b v="0"/>
    <b v="0"/>
    <x v="2"/>
    <n v="16739984000167"/>
    <x v="169"/>
    <x v="4"/>
    <x v="4"/>
    <n v="73"/>
    <x v="1"/>
    <x v="1"/>
    <n v="4"/>
    <n v="1"/>
  </r>
  <r>
    <n v="2019"/>
    <n v="11"/>
    <x v="0"/>
    <x v="4"/>
    <x v="1"/>
    <s v="2019/2020"/>
    <b v="1"/>
    <b v="0"/>
    <b v="0"/>
    <x v="2"/>
    <n v="16739984000167"/>
    <x v="169"/>
    <x v="4"/>
    <x v="4"/>
    <n v="73"/>
    <x v="1"/>
    <x v="4"/>
    <n v="4"/>
    <n v="1"/>
  </r>
  <r>
    <n v="2019"/>
    <n v="11"/>
    <x v="0"/>
    <x v="4"/>
    <x v="1"/>
    <s v="2019/2020"/>
    <b v="1"/>
    <b v="0"/>
    <b v="0"/>
    <x v="2"/>
    <n v="16739984000167"/>
    <x v="169"/>
    <x v="4"/>
    <x v="4"/>
    <n v="73"/>
    <x v="1"/>
    <x v="4"/>
    <n v="8"/>
    <n v="2"/>
  </r>
  <r>
    <n v="2019"/>
    <n v="11"/>
    <x v="0"/>
    <x v="4"/>
    <x v="1"/>
    <s v="2019/2020"/>
    <b v="1"/>
    <b v="0"/>
    <b v="0"/>
    <x v="2"/>
    <n v="16739984000167"/>
    <x v="169"/>
    <x v="4"/>
    <x v="4"/>
    <n v="73"/>
    <x v="1"/>
    <x v="2"/>
    <n v="2"/>
    <n v="2"/>
  </r>
  <r>
    <n v="2019"/>
    <n v="11"/>
    <x v="0"/>
    <x v="4"/>
    <x v="1"/>
    <s v="2019/2020"/>
    <b v="1"/>
    <b v="0"/>
    <b v="0"/>
    <x v="26"/>
    <n v="17214149000176"/>
    <x v="172"/>
    <x v="6"/>
    <x v="2"/>
    <n v="62"/>
    <x v="3"/>
    <x v="5"/>
    <n v="6"/>
    <n v="6"/>
  </r>
  <r>
    <n v="2019"/>
    <n v="11"/>
    <x v="0"/>
    <x v="4"/>
    <x v="1"/>
    <s v="2019/2020"/>
    <b v="1"/>
    <b v="0"/>
    <b v="0"/>
    <x v="0"/>
    <n v="17214149000176"/>
    <x v="172"/>
    <x v="6"/>
    <x v="2"/>
    <n v="62"/>
    <x v="3"/>
    <x v="5"/>
    <n v="16"/>
    <n v="16"/>
  </r>
  <r>
    <n v="2019"/>
    <n v="11"/>
    <x v="0"/>
    <x v="4"/>
    <x v="1"/>
    <s v="2019/2020"/>
    <b v="1"/>
    <b v="0"/>
    <b v="0"/>
    <x v="3"/>
    <n v="17689407000928"/>
    <x v="173"/>
    <x v="57"/>
    <x v="2"/>
    <n v="73"/>
    <x v="1"/>
    <x v="2"/>
    <n v="4"/>
    <n v="4"/>
  </r>
  <r>
    <n v="2019"/>
    <n v="11"/>
    <x v="0"/>
    <x v="4"/>
    <x v="1"/>
    <s v="2019/2020"/>
    <b v="1"/>
    <b v="0"/>
    <b v="0"/>
    <x v="3"/>
    <n v="17689407000928"/>
    <x v="173"/>
    <x v="57"/>
    <x v="2"/>
    <n v="73"/>
    <x v="1"/>
    <x v="2"/>
    <n v="6"/>
    <n v="6"/>
  </r>
  <r>
    <n v="2019"/>
    <n v="11"/>
    <x v="0"/>
    <x v="4"/>
    <x v="1"/>
    <s v="2019/2020"/>
    <b v="1"/>
    <b v="0"/>
    <b v="0"/>
    <x v="4"/>
    <n v="17774738000613"/>
    <x v="397"/>
    <x v="103"/>
    <x v="2"/>
    <n v="73"/>
    <x v="1"/>
    <x v="4"/>
    <n v="8"/>
    <n v="2"/>
  </r>
  <r>
    <n v="2019"/>
    <n v="11"/>
    <x v="0"/>
    <x v="4"/>
    <x v="1"/>
    <s v="2019/2020"/>
    <b v="1"/>
    <b v="0"/>
    <b v="0"/>
    <x v="10"/>
    <n v="18010750000100"/>
    <x v="174"/>
    <x v="0"/>
    <x v="0"/>
    <n v="62"/>
    <x v="3"/>
    <x v="5"/>
    <n v="2"/>
    <n v="1"/>
  </r>
  <r>
    <n v="2019"/>
    <n v="11"/>
    <x v="0"/>
    <x v="4"/>
    <x v="1"/>
    <s v="2019/2020"/>
    <b v="1"/>
    <b v="0"/>
    <b v="0"/>
    <x v="10"/>
    <n v="18010750000100"/>
    <x v="174"/>
    <x v="0"/>
    <x v="0"/>
    <n v="70"/>
    <x v="0"/>
    <x v="7"/>
    <n v="90"/>
    <n v="9"/>
  </r>
  <r>
    <n v="2019"/>
    <n v="11"/>
    <x v="0"/>
    <x v="4"/>
    <x v="1"/>
    <s v="2019/2020"/>
    <b v="1"/>
    <b v="0"/>
    <b v="0"/>
    <x v="10"/>
    <n v="18010750000100"/>
    <x v="174"/>
    <x v="0"/>
    <x v="0"/>
    <n v="70"/>
    <x v="0"/>
    <x v="7"/>
    <n v="110"/>
    <n v="11"/>
  </r>
  <r>
    <n v="2019"/>
    <n v="11"/>
    <x v="0"/>
    <x v="4"/>
    <x v="1"/>
    <s v="2019/2020"/>
    <b v="1"/>
    <b v="0"/>
    <b v="0"/>
    <x v="10"/>
    <n v="18010750000100"/>
    <x v="174"/>
    <x v="0"/>
    <x v="0"/>
    <n v="70"/>
    <x v="0"/>
    <x v="0"/>
    <n v="65"/>
    <n v="13"/>
  </r>
  <r>
    <n v="2019"/>
    <n v="11"/>
    <x v="0"/>
    <x v="4"/>
    <x v="1"/>
    <s v="2019/2020"/>
    <b v="1"/>
    <b v="0"/>
    <b v="0"/>
    <x v="10"/>
    <n v="18010750000100"/>
    <x v="174"/>
    <x v="0"/>
    <x v="0"/>
    <n v="70"/>
    <x v="0"/>
    <x v="7"/>
    <n v="250"/>
    <n v="25"/>
  </r>
  <r>
    <n v="2019"/>
    <n v="11"/>
    <x v="0"/>
    <x v="4"/>
    <x v="1"/>
    <s v="2019/2020"/>
    <b v="1"/>
    <b v="0"/>
    <b v="0"/>
    <x v="14"/>
    <n v="18010750000100"/>
    <x v="174"/>
    <x v="0"/>
    <x v="0"/>
    <n v="70"/>
    <x v="0"/>
    <x v="0"/>
    <n v="65"/>
    <n v="13"/>
  </r>
  <r>
    <n v="2019"/>
    <n v="11"/>
    <x v="0"/>
    <x v="4"/>
    <x v="1"/>
    <s v="2019/2020"/>
    <b v="1"/>
    <b v="0"/>
    <b v="0"/>
    <x v="2"/>
    <n v="18010750000100"/>
    <x v="174"/>
    <x v="0"/>
    <x v="0"/>
    <n v="70"/>
    <x v="0"/>
    <x v="0"/>
    <n v="75"/>
    <n v="15"/>
  </r>
  <r>
    <n v="2019"/>
    <n v="11"/>
    <x v="0"/>
    <x v="4"/>
    <x v="1"/>
    <s v="2019/2020"/>
    <b v="1"/>
    <b v="0"/>
    <b v="0"/>
    <x v="17"/>
    <n v="18180008000142"/>
    <x v="175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10"/>
    <n v="18180008000142"/>
    <x v="175"/>
    <x v="3"/>
    <x v="3"/>
    <n v="62"/>
    <x v="3"/>
    <x v="5"/>
    <n v="2"/>
    <n v="2"/>
  </r>
  <r>
    <n v="2019"/>
    <n v="11"/>
    <x v="0"/>
    <x v="4"/>
    <x v="1"/>
    <s v="2019/2020"/>
    <b v="1"/>
    <b v="0"/>
    <b v="0"/>
    <x v="3"/>
    <n v="18180008000142"/>
    <x v="175"/>
    <x v="3"/>
    <x v="3"/>
    <n v="64"/>
    <x v="4"/>
    <x v="6"/>
    <n v="1"/>
    <n v="1"/>
  </r>
  <r>
    <n v="2019"/>
    <n v="11"/>
    <x v="0"/>
    <x v="4"/>
    <x v="1"/>
    <s v="2019/2020"/>
    <b v="1"/>
    <b v="0"/>
    <b v="0"/>
    <x v="17"/>
    <n v="18180008000142"/>
    <x v="175"/>
    <x v="3"/>
    <x v="3"/>
    <n v="64"/>
    <x v="4"/>
    <x v="6"/>
    <n v="3"/>
    <n v="3"/>
  </r>
  <r>
    <n v="2019"/>
    <n v="11"/>
    <x v="0"/>
    <x v="4"/>
    <x v="1"/>
    <s v="2019/2020"/>
    <b v="1"/>
    <b v="0"/>
    <b v="0"/>
    <x v="17"/>
    <n v="18180008000142"/>
    <x v="175"/>
    <x v="3"/>
    <x v="3"/>
    <n v="64"/>
    <x v="4"/>
    <x v="6"/>
    <n v="4"/>
    <n v="4"/>
  </r>
  <r>
    <n v="2019"/>
    <n v="11"/>
    <x v="0"/>
    <x v="4"/>
    <x v="1"/>
    <s v="2019/2020"/>
    <b v="1"/>
    <b v="0"/>
    <b v="0"/>
    <x v="4"/>
    <n v="18321477000134"/>
    <x v="176"/>
    <x v="35"/>
    <x v="3"/>
    <n v="73"/>
    <x v="1"/>
    <x v="4"/>
    <n v="48"/>
    <n v="12"/>
  </r>
  <r>
    <n v="2019"/>
    <n v="11"/>
    <x v="0"/>
    <x v="4"/>
    <x v="1"/>
    <s v="2019/2020"/>
    <b v="1"/>
    <b v="0"/>
    <b v="0"/>
    <x v="17"/>
    <n v="18321477000134"/>
    <x v="176"/>
    <x v="35"/>
    <x v="3"/>
    <n v="73"/>
    <x v="1"/>
    <x v="2"/>
    <n v="2"/>
    <n v="2"/>
  </r>
  <r>
    <n v="2019"/>
    <n v="11"/>
    <x v="0"/>
    <x v="4"/>
    <x v="1"/>
    <s v="2019/2020"/>
    <b v="1"/>
    <b v="0"/>
    <b v="0"/>
    <x v="10"/>
    <n v="18836965000184"/>
    <x v="486"/>
    <x v="130"/>
    <x v="2"/>
    <n v="73"/>
    <x v="1"/>
    <x v="4"/>
    <n v="20"/>
    <n v="5"/>
  </r>
  <r>
    <n v="2019"/>
    <n v="11"/>
    <x v="0"/>
    <x v="4"/>
    <x v="1"/>
    <s v="2019/2020"/>
    <b v="1"/>
    <b v="0"/>
    <b v="0"/>
    <x v="3"/>
    <n v="19130186000121"/>
    <x v="587"/>
    <x v="152"/>
    <x v="2"/>
    <n v="70"/>
    <x v="0"/>
    <x v="0"/>
    <n v="5"/>
    <n v="1"/>
  </r>
  <r>
    <n v="2019"/>
    <n v="11"/>
    <x v="0"/>
    <x v="4"/>
    <x v="1"/>
    <s v="2019/2020"/>
    <b v="1"/>
    <b v="0"/>
    <b v="0"/>
    <x v="5"/>
    <n v="19843929001000"/>
    <x v="588"/>
    <x v="57"/>
    <x v="2"/>
    <n v="70"/>
    <x v="0"/>
    <x v="0"/>
    <n v="200"/>
    <n v="40"/>
  </r>
  <r>
    <n v="2019"/>
    <n v="11"/>
    <x v="0"/>
    <x v="4"/>
    <x v="1"/>
    <s v="2019/2020"/>
    <b v="1"/>
    <b v="0"/>
    <b v="0"/>
    <x v="5"/>
    <n v="19843929001182"/>
    <x v="589"/>
    <x v="6"/>
    <x v="2"/>
    <n v="70"/>
    <x v="0"/>
    <x v="0"/>
    <n v="405"/>
    <n v="81"/>
  </r>
  <r>
    <n v="2019"/>
    <n v="11"/>
    <x v="0"/>
    <x v="4"/>
    <x v="1"/>
    <s v="2019/2020"/>
    <b v="1"/>
    <b v="0"/>
    <b v="0"/>
    <x v="5"/>
    <n v="19843929001344"/>
    <x v="590"/>
    <x v="6"/>
    <x v="2"/>
    <n v="70"/>
    <x v="0"/>
    <x v="0"/>
    <n v="125"/>
    <n v="25"/>
  </r>
  <r>
    <n v="2019"/>
    <n v="11"/>
    <x v="0"/>
    <x v="4"/>
    <x v="1"/>
    <s v="2019/2020"/>
    <b v="1"/>
    <b v="0"/>
    <b v="0"/>
    <x v="5"/>
    <n v="19843929001697"/>
    <x v="537"/>
    <x v="143"/>
    <x v="2"/>
    <n v="70"/>
    <x v="0"/>
    <x v="0"/>
    <n v="125"/>
    <n v="25"/>
  </r>
  <r>
    <n v="2019"/>
    <n v="11"/>
    <x v="0"/>
    <x v="4"/>
    <x v="1"/>
    <s v="2019/2020"/>
    <b v="1"/>
    <b v="0"/>
    <b v="0"/>
    <x v="5"/>
    <n v="19843929002820"/>
    <x v="591"/>
    <x v="6"/>
    <x v="2"/>
    <n v="70"/>
    <x v="0"/>
    <x v="0"/>
    <n v="1170"/>
    <n v="234"/>
  </r>
  <r>
    <n v="2019"/>
    <n v="11"/>
    <x v="0"/>
    <x v="4"/>
    <x v="1"/>
    <s v="2019/2020"/>
    <b v="1"/>
    <b v="0"/>
    <b v="0"/>
    <x v="3"/>
    <n v="19878404000100"/>
    <x v="179"/>
    <x v="58"/>
    <x v="2"/>
    <n v="73"/>
    <x v="1"/>
    <x v="4"/>
    <n v="96"/>
    <n v="24"/>
  </r>
  <r>
    <n v="2019"/>
    <n v="11"/>
    <x v="0"/>
    <x v="4"/>
    <x v="1"/>
    <s v="2019/2020"/>
    <b v="1"/>
    <b v="0"/>
    <b v="0"/>
    <x v="4"/>
    <n v="20150900000122"/>
    <x v="180"/>
    <x v="56"/>
    <x v="2"/>
    <n v="73"/>
    <x v="1"/>
    <x v="1"/>
    <n v="4"/>
    <n v="1"/>
  </r>
  <r>
    <n v="2019"/>
    <n v="11"/>
    <x v="0"/>
    <x v="4"/>
    <x v="1"/>
    <s v="2019/2020"/>
    <b v="1"/>
    <b v="0"/>
    <b v="0"/>
    <x v="4"/>
    <n v="20150900000122"/>
    <x v="180"/>
    <x v="56"/>
    <x v="2"/>
    <n v="73"/>
    <x v="1"/>
    <x v="4"/>
    <n v="8"/>
    <n v="1"/>
  </r>
  <r>
    <n v="2019"/>
    <n v="11"/>
    <x v="0"/>
    <x v="4"/>
    <x v="1"/>
    <s v="2019/2020"/>
    <b v="1"/>
    <b v="0"/>
    <b v="0"/>
    <x v="17"/>
    <n v="20622890000180"/>
    <x v="592"/>
    <x v="153"/>
    <x v="2"/>
    <n v="70"/>
    <x v="0"/>
    <x v="0"/>
    <n v="325"/>
    <n v="65"/>
  </r>
  <r>
    <n v="2019"/>
    <n v="11"/>
    <x v="0"/>
    <x v="4"/>
    <x v="1"/>
    <s v="2019/2020"/>
    <b v="1"/>
    <b v="0"/>
    <b v="0"/>
    <x v="17"/>
    <n v="20812223000241"/>
    <x v="182"/>
    <x v="3"/>
    <x v="3"/>
    <n v="73"/>
    <x v="1"/>
    <x v="1"/>
    <n v="2"/>
    <n v="1"/>
  </r>
  <r>
    <n v="2019"/>
    <n v="11"/>
    <x v="0"/>
    <x v="4"/>
    <x v="1"/>
    <s v="2019/2020"/>
    <b v="1"/>
    <b v="0"/>
    <b v="0"/>
    <x v="17"/>
    <n v="20812223000241"/>
    <x v="182"/>
    <x v="3"/>
    <x v="3"/>
    <n v="73"/>
    <x v="1"/>
    <x v="2"/>
    <n v="1"/>
    <n v="1"/>
  </r>
  <r>
    <n v="2019"/>
    <n v="11"/>
    <x v="0"/>
    <x v="4"/>
    <x v="1"/>
    <s v="2019/2020"/>
    <b v="1"/>
    <b v="0"/>
    <b v="0"/>
    <x v="17"/>
    <n v="20812223000241"/>
    <x v="182"/>
    <x v="3"/>
    <x v="3"/>
    <n v="73"/>
    <x v="1"/>
    <x v="4"/>
    <n v="8"/>
    <n v="2"/>
  </r>
  <r>
    <n v="2019"/>
    <n v="11"/>
    <x v="0"/>
    <x v="4"/>
    <x v="1"/>
    <s v="2019/2020"/>
    <b v="1"/>
    <b v="0"/>
    <b v="0"/>
    <x v="17"/>
    <n v="20812223000241"/>
    <x v="182"/>
    <x v="3"/>
    <x v="3"/>
    <n v="73"/>
    <x v="1"/>
    <x v="4"/>
    <n v="12"/>
    <n v="3"/>
  </r>
  <r>
    <n v="2019"/>
    <n v="11"/>
    <x v="0"/>
    <x v="4"/>
    <x v="1"/>
    <s v="2019/2020"/>
    <b v="1"/>
    <b v="0"/>
    <b v="0"/>
    <x v="4"/>
    <n v="20909271000171"/>
    <x v="401"/>
    <x v="105"/>
    <x v="2"/>
    <n v="73"/>
    <x v="1"/>
    <x v="1"/>
    <n v="40"/>
    <n v="20"/>
  </r>
  <r>
    <n v="2019"/>
    <n v="11"/>
    <x v="0"/>
    <x v="4"/>
    <x v="1"/>
    <s v="2019/2020"/>
    <b v="1"/>
    <b v="0"/>
    <b v="0"/>
    <x v="10"/>
    <n v="21265360000195"/>
    <x v="185"/>
    <x v="0"/>
    <x v="0"/>
    <n v="73"/>
    <x v="1"/>
    <x v="4"/>
    <n v="16"/>
    <n v="4"/>
  </r>
  <r>
    <n v="2019"/>
    <n v="11"/>
    <x v="0"/>
    <x v="4"/>
    <x v="1"/>
    <s v="2019/2020"/>
    <b v="1"/>
    <b v="0"/>
    <b v="0"/>
    <x v="0"/>
    <n v="21371777000132"/>
    <x v="186"/>
    <x v="3"/>
    <x v="3"/>
    <n v="62"/>
    <x v="3"/>
    <x v="5"/>
    <n v="10"/>
    <n v="10"/>
  </r>
  <r>
    <n v="2019"/>
    <n v="11"/>
    <x v="0"/>
    <x v="4"/>
    <x v="1"/>
    <s v="2019/2020"/>
    <b v="1"/>
    <b v="0"/>
    <b v="0"/>
    <x v="2"/>
    <n v="21371777000132"/>
    <x v="186"/>
    <x v="3"/>
    <x v="3"/>
    <n v="70"/>
    <x v="0"/>
    <x v="0"/>
    <n v="100"/>
    <n v="20"/>
  </r>
  <r>
    <n v="2019"/>
    <n v="11"/>
    <x v="0"/>
    <x v="4"/>
    <x v="1"/>
    <s v="2019/2020"/>
    <b v="1"/>
    <b v="0"/>
    <b v="0"/>
    <x v="15"/>
    <n v="21998635000108"/>
    <x v="187"/>
    <x v="60"/>
    <x v="6"/>
    <n v="70"/>
    <x v="0"/>
    <x v="0"/>
    <n v="20"/>
    <n v="4"/>
  </r>
  <r>
    <n v="2019"/>
    <n v="11"/>
    <x v="0"/>
    <x v="4"/>
    <x v="1"/>
    <s v="2019/2020"/>
    <b v="1"/>
    <b v="0"/>
    <b v="0"/>
    <x v="6"/>
    <n v="23338387000196"/>
    <x v="189"/>
    <x v="62"/>
    <x v="2"/>
    <n v="73"/>
    <x v="1"/>
    <x v="2"/>
    <n v="10"/>
    <n v="10"/>
  </r>
  <r>
    <n v="2019"/>
    <n v="11"/>
    <x v="0"/>
    <x v="4"/>
    <x v="1"/>
    <s v="2019/2020"/>
    <b v="1"/>
    <b v="0"/>
    <b v="0"/>
    <x v="4"/>
    <n v="23443518000103"/>
    <x v="541"/>
    <x v="32"/>
    <x v="18"/>
    <n v="64"/>
    <x v="4"/>
    <x v="6"/>
    <n v="3"/>
    <n v="3"/>
  </r>
  <r>
    <n v="2019"/>
    <n v="11"/>
    <x v="0"/>
    <x v="4"/>
    <x v="1"/>
    <s v="2019/2020"/>
    <b v="1"/>
    <b v="0"/>
    <b v="0"/>
    <x v="10"/>
    <n v="24217779000160"/>
    <x v="190"/>
    <x v="0"/>
    <x v="0"/>
    <n v="62"/>
    <x v="3"/>
    <x v="5"/>
    <n v="3"/>
    <n v="3"/>
  </r>
  <r>
    <n v="2019"/>
    <n v="11"/>
    <x v="0"/>
    <x v="4"/>
    <x v="1"/>
    <s v="2019/2020"/>
    <b v="1"/>
    <b v="0"/>
    <b v="0"/>
    <x v="10"/>
    <n v="24217779000160"/>
    <x v="190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6"/>
    <n v="25026561000190"/>
    <x v="194"/>
    <x v="65"/>
    <x v="3"/>
    <n v="70"/>
    <x v="0"/>
    <x v="0"/>
    <n v="40"/>
    <n v="8"/>
  </r>
  <r>
    <n v="2019"/>
    <n v="11"/>
    <x v="0"/>
    <x v="4"/>
    <x v="1"/>
    <s v="2019/2020"/>
    <b v="1"/>
    <b v="0"/>
    <b v="0"/>
    <x v="5"/>
    <n v="25648387000207"/>
    <x v="195"/>
    <x v="56"/>
    <x v="2"/>
    <n v="70"/>
    <x v="0"/>
    <x v="0"/>
    <n v="600"/>
    <n v="120"/>
  </r>
  <r>
    <n v="2019"/>
    <n v="11"/>
    <x v="0"/>
    <x v="4"/>
    <x v="1"/>
    <s v="2019/2020"/>
    <b v="1"/>
    <b v="0"/>
    <b v="0"/>
    <x v="2"/>
    <n v="27372066000169"/>
    <x v="198"/>
    <x v="31"/>
    <x v="17"/>
    <n v="62"/>
    <x v="3"/>
    <x v="5"/>
    <n v="5"/>
    <n v="5"/>
  </r>
  <r>
    <n v="2019"/>
    <n v="11"/>
    <x v="0"/>
    <x v="4"/>
    <x v="1"/>
    <s v="2019/2020"/>
    <b v="1"/>
    <b v="0"/>
    <b v="0"/>
    <x v="2"/>
    <n v="27372066000169"/>
    <x v="198"/>
    <x v="31"/>
    <x v="17"/>
    <n v="64"/>
    <x v="4"/>
    <x v="6"/>
    <n v="7"/>
    <n v="7"/>
  </r>
  <r>
    <n v="2019"/>
    <n v="11"/>
    <x v="0"/>
    <x v="4"/>
    <x v="1"/>
    <s v="2019/2020"/>
    <b v="1"/>
    <b v="0"/>
    <b v="0"/>
    <x v="2"/>
    <n v="27372066000169"/>
    <x v="198"/>
    <x v="31"/>
    <x v="17"/>
    <n v="64"/>
    <x v="4"/>
    <x v="6"/>
    <n v="10"/>
    <n v="10"/>
  </r>
  <r>
    <n v="2019"/>
    <n v="11"/>
    <x v="0"/>
    <x v="4"/>
    <x v="1"/>
    <s v="2019/2020"/>
    <b v="1"/>
    <b v="0"/>
    <b v="0"/>
    <x v="8"/>
    <n v="27456372000183"/>
    <x v="593"/>
    <x v="8"/>
    <x v="7"/>
    <n v="64"/>
    <x v="4"/>
    <x v="6"/>
    <n v="2"/>
    <n v="2"/>
  </r>
  <r>
    <n v="2019"/>
    <n v="11"/>
    <x v="0"/>
    <x v="4"/>
    <x v="1"/>
    <s v="2019/2020"/>
    <b v="1"/>
    <b v="0"/>
    <b v="0"/>
    <x v="3"/>
    <n v="27578434001525"/>
    <x v="410"/>
    <x v="66"/>
    <x v="13"/>
    <n v="70"/>
    <x v="0"/>
    <x v="0"/>
    <n v="1000"/>
    <n v="200"/>
  </r>
  <r>
    <n v="2019"/>
    <n v="11"/>
    <x v="0"/>
    <x v="4"/>
    <x v="1"/>
    <s v="2019/2020"/>
    <b v="1"/>
    <b v="0"/>
    <b v="0"/>
    <x v="14"/>
    <n v="27578434001525"/>
    <x v="410"/>
    <x v="66"/>
    <x v="13"/>
    <n v="70"/>
    <x v="0"/>
    <x v="0"/>
    <n v="500"/>
    <n v="100"/>
  </r>
  <r>
    <n v="2019"/>
    <n v="11"/>
    <x v="0"/>
    <x v="4"/>
    <x v="1"/>
    <s v="2019/2020"/>
    <b v="1"/>
    <b v="0"/>
    <b v="0"/>
    <x v="2"/>
    <n v="27901222000131"/>
    <x v="199"/>
    <x v="0"/>
    <x v="0"/>
    <n v="64"/>
    <x v="4"/>
    <x v="6"/>
    <n v="1"/>
    <n v="1"/>
  </r>
  <r>
    <n v="2019"/>
    <n v="11"/>
    <x v="0"/>
    <x v="4"/>
    <x v="1"/>
    <s v="2019/2020"/>
    <b v="1"/>
    <b v="0"/>
    <b v="0"/>
    <x v="2"/>
    <n v="28000107000159"/>
    <x v="200"/>
    <x v="0"/>
    <x v="0"/>
    <n v="70"/>
    <x v="0"/>
    <x v="0"/>
    <n v="30"/>
    <n v="6"/>
  </r>
  <r>
    <n v="2019"/>
    <n v="11"/>
    <x v="0"/>
    <x v="4"/>
    <x v="1"/>
    <s v="2019/2020"/>
    <b v="1"/>
    <b v="0"/>
    <b v="0"/>
    <x v="2"/>
    <n v="28000107000159"/>
    <x v="200"/>
    <x v="0"/>
    <x v="0"/>
    <n v="70"/>
    <x v="0"/>
    <x v="0"/>
    <n v="60"/>
    <n v="12"/>
  </r>
  <r>
    <n v="2019"/>
    <n v="11"/>
    <x v="0"/>
    <x v="4"/>
    <x v="1"/>
    <s v="2019/2020"/>
    <b v="1"/>
    <b v="0"/>
    <b v="0"/>
    <x v="7"/>
    <n v="28000107000159"/>
    <x v="200"/>
    <x v="0"/>
    <x v="0"/>
    <n v="73"/>
    <x v="1"/>
    <x v="4"/>
    <n v="-8"/>
    <n v="-2"/>
  </r>
  <r>
    <n v="2019"/>
    <n v="11"/>
    <x v="0"/>
    <x v="4"/>
    <x v="1"/>
    <s v="2019/2020"/>
    <b v="1"/>
    <b v="0"/>
    <b v="0"/>
    <x v="7"/>
    <n v="28000107000159"/>
    <x v="200"/>
    <x v="0"/>
    <x v="0"/>
    <n v="73"/>
    <x v="1"/>
    <x v="1"/>
    <n v="-2"/>
    <n v="-1"/>
  </r>
  <r>
    <n v="2019"/>
    <n v="11"/>
    <x v="0"/>
    <x v="4"/>
    <x v="1"/>
    <s v="2019/2020"/>
    <b v="1"/>
    <b v="0"/>
    <b v="0"/>
    <x v="7"/>
    <n v="28000107000159"/>
    <x v="200"/>
    <x v="0"/>
    <x v="0"/>
    <n v="73"/>
    <x v="1"/>
    <x v="1"/>
    <n v="6"/>
    <n v="1"/>
  </r>
  <r>
    <n v="2019"/>
    <n v="11"/>
    <x v="0"/>
    <x v="4"/>
    <x v="1"/>
    <s v="2019/2020"/>
    <b v="1"/>
    <b v="0"/>
    <b v="0"/>
    <x v="7"/>
    <n v="28000107000159"/>
    <x v="200"/>
    <x v="0"/>
    <x v="0"/>
    <n v="73"/>
    <x v="1"/>
    <x v="4"/>
    <n v="24"/>
    <n v="2"/>
  </r>
  <r>
    <n v="2019"/>
    <n v="11"/>
    <x v="0"/>
    <x v="4"/>
    <x v="1"/>
    <s v="2019/2020"/>
    <b v="1"/>
    <b v="0"/>
    <b v="0"/>
    <x v="7"/>
    <n v="28000107000159"/>
    <x v="200"/>
    <x v="0"/>
    <x v="0"/>
    <n v="73"/>
    <x v="1"/>
    <x v="4"/>
    <n v="20"/>
    <n v="5"/>
  </r>
  <r>
    <n v="2019"/>
    <n v="11"/>
    <x v="0"/>
    <x v="4"/>
    <x v="1"/>
    <s v="2019/2020"/>
    <b v="1"/>
    <b v="0"/>
    <b v="0"/>
    <x v="5"/>
    <n v="28102490000156"/>
    <x v="594"/>
    <x v="32"/>
    <x v="18"/>
    <n v="73"/>
    <x v="1"/>
    <x v="1"/>
    <n v="10"/>
    <n v="5"/>
  </r>
  <r>
    <n v="2019"/>
    <n v="11"/>
    <x v="0"/>
    <x v="4"/>
    <x v="1"/>
    <s v="2019/2020"/>
    <b v="1"/>
    <b v="0"/>
    <b v="0"/>
    <x v="5"/>
    <n v="28102490000156"/>
    <x v="594"/>
    <x v="32"/>
    <x v="18"/>
    <n v="73"/>
    <x v="1"/>
    <x v="4"/>
    <n v="20"/>
    <n v="5"/>
  </r>
  <r>
    <n v="2019"/>
    <n v="11"/>
    <x v="0"/>
    <x v="4"/>
    <x v="1"/>
    <s v="2019/2020"/>
    <b v="1"/>
    <b v="0"/>
    <b v="0"/>
    <x v="3"/>
    <n v="28137925000106"/>
    <x v="201"/>
    <x v="66"/>
    <x v="13"/>
    <n v="70"/>
    <x v="0"/>
    <x v="0"/>
    <n v="25"/>
    <n v="5"/>
  </r>
  <r>
    <n v="2019"/>
    <n v="11"/>
    <x v="0"/>
    <x v="4"/>
    <x v="1"/>
    <s v="2019/2020"/>
    <b v="1"/>
    <b v="0"/>
    <b v="0"/>
    <x v="3"/>
    <n v="28137925000106"/>
    <x v="201"/>
    <x v="66"/>
    <x v="13"/>
    <n v="70"/>
    <x v="0"/>
    <x v="0"/>
    <n v="125"/>
    <n v="25"/>
  </r>
  <r>
    <n v="2019"/>
    <n v="11"/>
    <x v="0"/>
    <x v="4"/>
    <x v="1"/>
    <s v="2019/2020"/>
    <b v="1"/>
    <b v="0"/>
    <b v="0"/>
    <x v="11"/>
    <n v="28602407000108"/>
    <x v="205"/>
    <x v="0"/>
    <x v="0"/>
    <n v="64"/>
    <x v="4"/>
    <x v="6"/>
    <n v="1"/>
    <n v="1"/>
  </r>
  <r>
    <n v="2019"/>
    <n v="11"/>
    <x v="0"/>
    <x v="4"/>
    <x v="1"/>
    <s v="2019/2020"/>
    <b v="1"/>
    <b v="0"/>
    <b v="0"/>
    <x v="11"/>
    <n v="28602407000108"/>
    <x v="205"/>
    <x v="0"/>
    <x v="0"/>
    <n v="64"/>
    <x v="4"/>
    <x v="6"/>
    <n v="3"/>
    <n v="3"/>
  </r>
  <r>
    <n v="2019"/>
    <n v="11"/>
    <x v="0"/>
    <x v="4"/>
    <x v="1"/>
    <s v="2019/2020"/>
    <b v="1"/>
    <b v="0"/>
    <b v="0"/>
    <x v="10"/>
    <n v="28602407000108"/>
    <x v="205"/>
    <x v="0"/>
    <x v="0"/>
    <n v="73"/>
    <x v="1"/>
    <x v="1"/>
    <n v="4"/>
    <n v="1"/>
  </r>
  <r>
    <n v="2019"/>
    <n v="11"/>
    <x v="0"/>
    <x v="4"/>
    <x v="1"/>
    <s v="2019/2020"/>
    <b v="1"/>
    <b v="0"/>
    <b v="0"/>
    <x v="10"/>
    <n v="28806545000532"/>
    <x v="206"/>
    <x v="67"/>
    <x v="0"/>
    <n v="73"/>
    <x v="1"/>
    <x v="4"/>
    <n v="48"/>
    <n v="6"/>
  </r>
  <r>
    <n v="2019"/>
    <n v="11"/>
    <x v="0"/>
    <x v="4"/>
    <x v="1"/>
    <s v="2019/2020"/>
    <b v="1"/>
    <b v="0"/>
    <b v="0"/>
    <x v="0"/>
    <n v="28806545000532"/>
    <x v="206"/>
    <x v="67"/>
    <x v="0"/>
    <n v="73"/>
    <x v="1"/>
    <x v="4"/>
    <n v="24"/>
    <n v="6"/>
  </r>
  <r>
    <n v="2019"/>
    <n v="11"/>
    <x v="0"/>
    <x v="4"/>
    <x v="1"/>
    <s v="2019/2020"/>
    <b v="1"/>
    <b v="0"/>
    <b v="0"/>
    <x v="2"/>
    <n v="29072642000188"/>
    <x v="207"/>
    <x v="68"/>
    <x v="0"/>
    <n v="64"/>
    <x v="4"/>
    <x v="6"/>
    <n v="6"/>
    <n v="6"/>
  </r>
  <r>
    <n v="2019"/>
    <n v="11"/>
    <x v="0"/>
    <x v="4"/>
    <x v="1"/>
    <s v="2019/2020"/>
    <b v="1"/>
    <b v="0"/>
    <b v="0"/>
    <x v="17"/>
    <n v="29135795000208"/>
    <x v="208"/>
    <x v="69"/>
    <x v="0"/>
    <n v="70"/>
    <x v="0"/>
    <x v="0"/>
    <n v="75"/>
    <n v="15"/>
  </r>
  <r>
    <n v="2019"/>
    <n v="11"/>
    <x v="0"/>
    <x v="4"/>
    <x v="1"/>
    <s v="2019/2020"/>
    <b v="1"/>
    <b v="0"/>
    <b v="0"/>
    <x v="2"/>
    <n v="29259736000403"/>
    <x v="209"/>
    <x v="0"/>
    <x v="0"/>
    <n v="64"/>
    <x v="4"/>
    <x v="6"/>
    <n v="2"/>
    <n v="2"/>
  </r>
  <r>
    <n v="2019"/>
    <n v="11"/>
    <x v="0"/>
    <x v="4"/>
    <x v="1"/>
    <s v="2019/2020"/>
    <b v="1"/>
    <b v="0"/>
    <b v="0"/>
    <x v="10"/>
    <n v="29259736000403"/>
    <x v="209"/>
    <x v="0"/>
    <x v="0"/>
    <n v="73"/>
    <x v="1"/>
    <x v="2"/>
    <n v="5"/>
    <n v="5"/>
  </r>
  <r>
    <n v="2019"/>
    <n v="11"/>
    <x v="0"/>
    <x v="4"/>
    <x v="1"/>
    <s v="2019/2020"/>
    <b v="1"/>
    <b v="0"/>
    <b v="0"/>
    <x v="2"/>
    <n v="29259736000403"/>
    <x v="209"/>
    <x v="0"/>
    <x v="0"/>
    <n v="73"/>
    <x v="1"/>
    <x v="4"/>
    <n v="24"/>
    <n v="6"/>
  </r>
  <r>
    <n v="2019"/>
    <n v="11"/>
    <x v="0"/>
    <x v="4"/>
    <x v="1"/>
    <s v="2019/2020"/>
    <b v="1"/>
    <b v="0"/>
    <b v="0"/>
    <x v="4"/>
    <n v="29435005002687"/>
    <x v="210"/>
    <x v="3"/>
    <x v="3"/>
    <n v="70"/>
    <x v="0"/>
    <x v="0"/>
    <n v="500"/>
    <n v="100"/>
  </r>
  <r>
    <n v="2019"/>
    <n v="11"/>
    <x v="0"/>
    <x v="4"/>
    <x v="1"/>
    <s v="2019/2020"/>
    <b v="1"/>
    <b v="0"/>
    <b v="0"/>
    <x v="4"/>
    <n v="29435005003497"/>
    <x v="411"/>
    <x v="34"/>
    <x v="0"/>
    <n v="70"/>
    <x v="0"/>
    <x v="0"/>
    <n v="100"/>
    <n v="20"/>
  </r>
  <r>
    <n v="2019"/>
    <n v="11"/>
    <x v="0"/>
    <x v="4"/>
    <x v="1"/>
    <s v="2019/2020"/>
    <b v="1"/>
    <b v="0"/>
    <b v="0"/>
    <x v="4"/>
    <n v="29435005004540"/>
    <x v="211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4"/>
    <n v="29435005005198"/>
    <x v="213"/>
    <x v="0"/>
    <x v="0"/>
    <n v="62"/>
    <x v="3"/>
    <x v="5"/>
    <n v="12"/>
    <n v="12"/>
  </r>
  <r>
    <n v="2019"/>
    <n v="11"/>
    <x v="0"/>
    <x v="4"/>
    <x v="1"/>
    <s v="2019/2020"/>
    <b v="1"/>
    <b v="0"/>
    <b v="0"/>
    <x v="4"/>
    <n v="29435005005198"/>
    <x v="213"/>
    <x v="0"/>
    <x v="0"/>
    <n v="64"/>
    <x v="4"/>
    <x v="6"/>
    <n v="10"/>
    <n v="10"/>
  </r>
  <r>
    <n v="2019"/>
    <n v="11"/>
    <x v="0"/>
    <x v="4"/>
    <x v="1"/>
    <s v="2019/2020"/>
    <b v="1"/>
    <b v="0"/>
    <b v="0"/>
    <x v="10"/>
    <n v="29435005005198"/>
    <x v="213"/>
    <x v="0"/>
    <x v="0"/>
    <n v="70"/>
    <x v="0"/>
    <x v="0"/>
    <n v="65"/>
    <n v="13"/>
  </r>
  <r>
    <n v="2019"/>
    <n v="11"/>
    <x v="0"/>
    <x v="4"/>
    <x v="1"/>
    <s v="2019/2020"/>
    <b v="1"/>
    <b v="0"/>
    <b v="0"/>
    <x v="10"/>
    <n v="29435005005198"/>
    <x v="213"/>
    <x v="0"/>
    <x v="0"/>
    <n v="70"/>
    <x v="0"/>
    <x v="0"/>
    <n v="135"/>
    <n v="27"/>
  </r>
  <r>
    <n v="2019"/>
    <n v="11"/>
    <x v="0"/>
    <x v="4"/>
    <x v="1"/>
    <s v="2019/2020"/>
    <b v="1"/>
    <b v="0"/>
    <b v="0"/>
    <x v="4"/>
    <n v="29435005005600"/>
    <x v="214"/>
    <x v="13"/>
    <x v="6"/>
    <n v="70"/>
    <x v="0"/>
    <x v="0"/>
    <n v="55"/>
    <n v="11"/>
  </r>
  <r>
    <n v="2019"/>
    <n v="11"/>
    <x v="0"/>
    <x v="4"/>
    <x v="1"/>
    <s v="2019/2020"/>
    <b v="1"/>
    <b v="0"/>
    <b v="0"/>
    <x v="4"/>
    <n v="29435005005783"/>
    <x v="215"/>
    <x v="0"/>
    <x v="0"/>
    <n v="70"/>
    <x v="0"/>
    <x v="0"/>
    <n v="25"/>
    <n v="5"/>
  </r>
  <r>
    <n v="2019"/>
    <n v="11"/>
    <x v="0"/>
    <x v="4"/>
    <x v="1"/>
    <s v="2019/2020"/>
    <b v="1"/>
    <b v="0"/>
    <b v="0"/>
    <x v="4"/>
    <n v="29435005006160"/>
    <x v="216"/>
    <x v="0"/>
    <x v="0"/>
    <n v="62"/>
    <x v="3"/>
    <x v="5"/>
    <n v="2"/>
    <n v="2"/>
  </r>
  <r>
    <n v="2019"/>
    <n v="11"/>
    <x v="0"/>
    <x v="4"/>
    <x v="1"/>
    <s v="2019/2020"/>
    <b v="1"/>
    <b v="0"/>
    <b v="0"/>
    <x v="4"/>
    <n v="29435005007484"/>
    <x v="217"/>
    <x v="32"/>
    <x v="18"/>
    <n v="62"/>
    <x v="3"/>
    <x v="5"/>
    <n v="6"/>
    <n v="3"/>
  </r>
  <r>
    <n v="2019"/>
    <n v="11"/>
    <x v="0"/>
    <x v="4"/>
    <x v="1"/>
    <s v="2019/2020"/>
    <b v="1"/>
    <b v="0"/>
    <b v="0"/>
    <x v="4"/>
    <n v="29435005007484"/>
    <x v="217"/>
    <x v="32"/>
    <x v="18"/>
    <n v="64"/>
    <x v="4"/>
    <x v="6"/>
    <n v="4"/>
    <n v="4"/>
  </r>
  <r>
    <n v="2019"/>
    <n v="11"/>
    <x v="0"/>
    <x v="4"/>
    <x v="1"/>
    <s v="2019/2020"/>
    <b v="1"/>
    <b v="0"/>
    <b v="0"/>
    <x v="4"/>
    <n v="29435005007484"/>
    <x v="217"/>
    <x v="32"/>
    <x v="18"/>
    <n v="64"/>
    <x v="4"/>
    <x v="6"/>
    <n v="16"/>
    <n v="8"/>
  </r>
  <r>
    <n v="2019"/>
    <n v="11"/>
    <x v="0"/>
    <x v="4"/>
    <x v="1"/>
    <s v="2019/2020"/>
    <b v="1"/>
    <b v="0"/>
    <b v="0"/>
    <x v="4"/>
    <n v="29435005008456"/>
    <x v="220"/>
    <x v="48"/>
    <x v="3"/>
    <n v="70"/>
    <x v="0"/>
    <x v="0"/>
    <n v="100"/>
    <n v="20"/>
  </r>
  <r>
    <n v="2019"/>
    <n v="11"/>
    <x v="0"/>
    <x v="4"/>
    <x v="1"/>
    <s v="2019/2020"/>
    <b v="1"/>
    <b v="0"/>
    <b v="0"/>
    <x v="4"/>
    <n v="29435005008456"/>
    <x v="220"/>
    <x v="48"/>
    <x v="3"/>
    <n v="70"/>
    <x v="0"/>
    <x v="0"/>
    <n v="150"/>
    <n v="30"/>
  </r>
  <r>
    <n v="2019"/>
    <n v="11"/>
    <x v="0"/>
    <x v="4"/>
    <x v="1"/>
    <s v="2019/2020"/>
    <b v="1"/>
    <b v="0"/>
    <b v="0"/>
    <x v="4"/>
    <n v="29435005009851"/>
    <x v="221"/>
    <x v="10"/>
    <x v="8"/>
    <n v="64"/>
    <x v="4"/>
    <x v="6"/>
    <n v="25"/>
    <n v="25"/>
  </r>
  <r>
    <n v="2019"/>
    <n v="11"/>
    <x v="0"/>
    <x v="4"/>
    <x v="1"/>
    <s v="2019/2020"/>
    <b v="1"/>
    <b v="0"/>
    <b v="0"/>
    <x v="4"/>
    <n v="29435005009851"/>
    <x v="221"/>
    <x v="10"/>
    <x v="8"/>
    <n v="70"/>
    <x v="0"/>
    <x v="0"/>
    <n v="50"/>
    <n v="10"/>
  </r>
  <r>
    <n v="2019"/>
    <n v="11"/>
    <x v="0"/>
    <x v="4"/>
    <x v="1"/>
    <s v="2019/2020"/>
    <b v="1"/>
    <b v="0"/>
    <b v="0"/>
    <x v="4"/>
    <n v="29435005009851"/>
    <x v="221"/>
    <x v="10"/>
    <x v="8"/>
    <n v="70"/>
    <x v="0"/>
    <x v="0"/>
    <n v="125"/>
    <n v="25"/>
  </r>
  <r>
    <n v="2019"/>
    <n v="11"/>
    <x v="0"/>
    <x v="4"/>
    <x v="1"/>
    <s v="2019/2020"/>
    <b v="1"/>
    <b v="0"/>
    <b v="0"/>
    <x v="4"/>
    <n v="29435005009932"/>
    <x v="222"/>
    <x v="3"/>
    <x v="3"/>
    <n v="64"/>
    <x v="4"/>
    <x v="6"/>
    <n v="2"/>
    <n v="2"/>
  </r>
  <r>
    <n v="2019"/>
    <n v="11"/>
    <x v="0"/>
    <x v="4"/>
    <x v="1"/>
    <s v="2019/2020"/>
    <b v="1"/>
    <b v="0"/>
    <b v="0"/>
    <x v="4"/>
    <n v="29435005009932"/>
    <x v="222"/>
    <x v="3"/>
    <x v="3"/>
    <n v="70"/>
    <x v="0"/>
    <x v="0"/>
    <n v="160"/>
    <n v="32"/>
  </r>
  <r>
    <n v="2019"/>
    <n v="11"/>
    <x v="0"/>
    <x v="4"/>
    <x v="1"/>
    <s v="2019/2020"/>
    <b v="1"/>
    <b v="0"/>
    <b v="0"/>
    <x v="4"/>
    <n v="29435005009932"/>
    <x v="222"/>
    <x v="3"/>
    <x v="3"/>
    <n v="70"/>
    <x v="0"/>
    <x v="0"/>
    <n v="200"/>
    <n v="40"/>
  </r>
  <r>
    <n v="2019"/>
    <n v="11"/>
    <x v="0"/>
    <x v="4"/>
    <x v="1"/>
    <s v="2019/2020"/>
    <b v="1"/>
    <b v="0"/>
    <b v="0"/>
    <x v="4"/>
    <n v="29435005009932"/>
    <x v="222"/>
    <x v="3"/>
    <x v="3"/>
    <n v="70"/>
    <x v="0"/>
    <x v="0"/>
    <n v="300"/>
    <n v="60"/>
  </r>
  <r>
    <n v="2019"/>
    <n v="11"/>
    <x v="0"/>
    <x v="4"/>
    <x v="1"/>
    <s v="2019/2020"/>
    <b v="1"/>
    <b v="0"/>
    <b v="0"/>
    <x v="4"/>
    <n v="29435005009932"/>
    <x v="222"/>
    <x v="3"/>
    <x v="3"/>
    <n v="70"/>
    <x v="0"/>
    <x v="0"/>
    <n v="350"/>
    <n v="70"/>
  </r>
  <r>
    <n v="2019"/>
    <n v="11"/>
    <x v="0"/>
    <x v="4"/>
    <x v="1"/>
    <s v="2019/2020"/>
    <b v="1"/>
    <b v="0"/>
    <b v="0"/>
    <x v="0"/>
    <n v="29640612000120"/>
    <x v="413"/>
    <x v="111"/>
    <x v="0"/>
    <n v="64"/>
    <x v="4"/>
    <x v="6"/>
    <n v="2"/>
    <n v="1"/>
  </r>
  <r>
    <n v="2019"/>
    <n v="11"/>
    <x v="0"/>
    <x v="4"/>
    <x v="1"/>
    <s v="2019/2020"/>
    <b v="1"/>
    <b v="0"/>
    <b v="0"/>
    <x v="0"/>
    <n v="29640612000120"/>
    <x v="413"/>
    <x v="111"/>
    <x v="0"/>
    <n v="64"/>
    <x v="4"/>
    <x v="6"/>
    <n v="2"/>
    <n v="2"/>
  </r>
  <r>
    <n v="2019"/>
    <n v="11"/>
    <x v="0"/>
    <x v="4"/>
    <x v="1"/>
    <s v="2019/2020"/>
    <b v="1"/>
    <b v="0"/>
    <b v="0"/>
    <x v="4"/>
    <n v="29929600000110"/>
    <x v="595"/>
    <x v="154"/>
    <x v="3"/>
    <n v="73"/>
    <x v="1"/>
    <x v="1"/>
    <n v="8"/>
    <n v="2"/>
  </r>
  <r>
    <n v="2019"/>
    <n v="11"/>
    <x v="0"/>
    <x v="4"/>
    <x v="1"/>
    <s v="2019/2020"/>
    <b v="1"/>
    <b v="0"/>
    <b v="0"/>
    <x v="15"/>
    <n v="30117769000155"/>
    <x v="223"/>
    <x v="13"/>
    <x v="6"/>
    <n v="70"/>
    <x v="0"/>
    <x v="0"/>
    <n v="60"/>
    <n v="12"/>
  </r>
  <r>
    <n v="2019"/>
    <n v="11"/>
    <x v="0"/>
    <x v="4"/>
    <x v="1"/>
    <s v="2019/2020"/>
    <b v="1"/>
    <b v="0"/>
    <b v="0"/>
    <x v="4"/>
    <n v="30135335000188"/>
    <x v="416"/>
    <x v="4"/>
    <x v="4"/>
    <n v="70"/>
    <x v="0"/>
    <x v="0"/>
    <n v="270"/>
    <n v="54"/>
  </r>
  <r>
    <n v="2019"/>
    <n v="11"/>
    <x v="0"/>
    <x v="4"/>
    <x v="1"/>
    <s v="2019/2020"/>
    <b v="1"/>
    <b v="0"/>
    <b v="0"/>
    <x v="4"/>
    <n v="30135335000188"/>
    <x v="416"/>
    <x v="4"/>
    <x v="4"/>
    <n v="70"/>
    <x v="0"/>
    <x v="0"/>
    <n v="350"/>
    <n v="70"/>
  </r>
  <r>
    <n v="2019"/>
    <n v="11"/>
    <x v="0"/>
    <x v="4"/>
    <x v="1"/>
    <s v="2019/2020"/>
    <b v="1"/>
    <b v="0"/>
    <b v="0"/>
    <x v="12"/>
    <n v="30135335000188"/>
    <x v="416"/>
    <x v="4"/>
    <x v="4"/>
    <n v="70"/>
    <x v="0"/>
    <x v="0"/>
    <n v="125"/>
    <n v="25"/>
  </r>
  <r>
    <n v="2019"/>
    <n v="11"/>
    <x v="0"/>
    <x v="4"/>
    <x v="1"/>
    <s v="2019/2020"/>
    <b v="1"/>
    <b v="0"/>
    <b v="0"/>
    <x v="5"/>
    <n v="31378288000166"/>
    <x v="596"/>
    <x v="155"/>
    <x v="3"/>
    <n v="62"/>
    <x v="3"/>
    <x v="5"/>
    <n v="100"/>
    <n v="100"/>
  </r>
  <r>
    <n v="2019"/>
    <n v="11"/>
    <x v="0"/>
    <x v="4"/>
    <x v="1"/>
    <s v="2019/2020"/>
    <b v="1"/>
    <b v="0"/>
    <b v="0"/>
    <x v="5"/>
    <n v="31378288000166"/>
    <x v="596"/>
    <x v="155"/>
    <x v="3"/>
    <n v="64"/>
    <x v="4"/>
    <x v="6"/>
    <n v="100"/>
    <n v="100"/>
  </r>
  <r>
    <n v="2019"/>
    <n v="11"/>
    <x v="0"/>
    <x v="4"/>
    <x v="1"/>
    <s v="2019/2020"/>
    <b v="1"/>
    <b v="0"/>
    <b v="0"/>
    <x v="5"/>
    <n v="31378288000166"/>
    <x v="596"/>
    <x v="155"/>
    <x v="3"/>
    <n v="70"/>
    <x v="0"/>
    <x v="0"/>
    <n v="520"/>
    <n v="104"/>
  </r>
  <r>
    <n v="2019"/>
    <n v="11"/>
    <x v="0"/>
    <x v="4"/>
    <x v="1"/>
    <s v="2019/2020"/>
    <b v="1"/>
    <b v="0"/>
    <b v="0"/>
    <x v="5"/>
    <n v="31378288000166"/>
    <x v="596"/>
    <x v="155"/>
    <x v="3"/>
    <n v="70"/>
    <x v="0"/>
    <x v="0"/>
    <n v="3480"/>
    <n v="696"/>
  </r>
  <r>
    <n v="2019"/>
    <n v="11"/>
    <x v="0"/>
    <x v="4"/>
    <x v="1"/>
    <s v="2019/2020"/>
    <b v="1"/>
    <b v="0"/>
    <b v="0"/>
    <x v="5"/>
    <n v="31378288000166"/>
    <x v="596"/>
    <x v="155"/>
    <x v="3"/>
    <n v="73"/>
    <x v="1"/>
    <x v="2"/>
    <n v="30"/>
    <n v="30"/>
  </r>
  <r>
    <n v="2019"/>
    <n v="11"/>
    <x v="0"/>
    <x v="4"/>
    <x v="1"/>
    <s v="2019/2020"/>
    <b v="1"/>
    <b v="0"/>
    <b v="0"/>
    <x v="5"/>
    <n v="31378288000166"/>
    <x v="596"/>
    <x v="155"/>
    <x v="3"/>
    <n v="73"/>
    <x v="1"/>
    <x v="1"/>
    <n v="100"/>
    <n v="50"/>
  </r>
  <r>
    <n v="2019"/>
    <n v="11"/>
    <x v="0"/>
    <x v="4"/>
    <x v="1"/>
    <s v="2019/2020"/>
    <b v="1"/>
    <b v="0"/>
    <b v="0"/>
    <x v="5"/>
    <n v="31378288000166"/>
    <x v="596"/>
    <x v="155"/>
    <x v="3"/>
    <n v="73"/>
    <x v="1"/>
    <x v="4"/>
    <n v="400"/>
    <n v="100"/>
  </r>
  <r>
    <n v="2019"/>
    <n v="11"/>
    <x v="0"/>
    <x v="4"/>
    <x v="1"/>
    <s v="2019/2020"/>
    <b v="1"/>
    <b v="0"/>
    <b v="0"/>
    <x v="0"/>
    <n v="31635857000292"/>
    <x v="225"/>
    <x v="0"/>
    <x v="0"/>
    <n v="73"/>
    <x v="1"/>
    <x v="4"/>
    <n v="16"/>
    <n v="4"/>
  </r>
  <r>
    <n v="2019"/>
    <n v="11"/>
    <x v="0"/>
    <x v="4"/>
    <x v="1"/>
    <s v="2019/2020"/>
    <b v="1"/>
    <b v="0"/>
    <b v="0"/>
    <x v="7"/>
    <n v="31671480000146"/>
    <x v="597"/>
    <x v="156"/>
    <x v="0"/>
    <n v="64"/>
    <x v="4"/>
    <x v="6"/>
    <n v="3"/>
    <n v="3"/>
  </r>
  <r>
    <n v="2019"/>
    <n v="11"/>
    <x v="0"/>
    <x v="4"/>
    <x v="1"/>
    <s v="2019/2020"/>
    <b v="1"/>
    <b v="0"/>
    <b v="0"/>
    <x v="7"/>
    <n v="31671480000146"/>
    <x v="597"/>
    <x v="156"/>
    <x v="0"/>
    <n v="64"/>
    <x v="4"/>
    <x v="6"/>
    <n v="7"/>
    <n v="7"/>
  </r>
  <r>
    <n v="2019"/>
    <n v="11"/>
    <x v="0"/>
    <x v="4"/>
    <x v="1"/>
    <s v="2019/2020"/>
    <b v="1"/>
    <b v="0"/>
    <b v="0"/>
    <x v="7"/>
    <n v="31671480000308"/>
    <x v="598"/>
    <x v="9"/>
    <x v="0"/>
    <n v="64"/>
    <x v="4"/>
    <x v="6"/>
    <n v="10"/>
    <n v="10"/>
  </r>
  <r>
    <n v="2019"/>
    <n v="11"/>
    <x v="0"/>
    <x v="4"/>
    <x v="1"/>
    <s v="2019/2020"/>
    <b v="1"/>
    <b v="0"/>
    <b v="0"/>
    <x v="10"/>
    <n v="33419482000259"/>
    <x v="228"/>
    <x v="0"/>
    <x v="0"/>
    <n v="62"/>
    <x v="3"/>
    <x v="5"/>
    <n v="1"/>
    <n v="1"/>
  </r>
  <r>
    <n v="2019"/>
    <n v="11"/>
    <x v="0"/>
    <x v="4"/>
    <x v="1"/>
    <s v="2019/2020"/>
    <b v="1"/>
    <b v="0"/>
    <b v="0"/>
    <x v="10"/>
    <n v="33419482000259"/>
    <x v="228"/>
    <x v="0"/>
    <x v="0"/>
    <n v="62"/>
    <x v="3"/>
    <x v="5"/>
    <n v="4"/>
    <n v="4"/>
  </r>
  <r>
    <n v="2019"/>
    <n v="11"/>
    <x v="0"/>
    <x v="4"/>
    <x v="1"/>
    <s v="2019/2020"/>
    <b v="1"/>
    <b v="0"/>
    <b v="0"/>
    <x v="10"/>
    <n v="33419482000259"/>
    <x v="228"/>
    <x v="0"/>
    <x v="0"/>
    <n v="64"/>
    <x v="4"/>
    <x v="6"/>
    <n v="3"/>
    <n v="3"/>
  </r>
  <r>
    <n v="2019"/>
    <n v="11"/>
    <x v="0"/>
    <x v="4"/>
    <x v="1"/>
    <s v="2019/2020"/>
    <b v="1"/>
    <b v="0"/>
    <b v="0"/>
    <x v="7"/>
    <n v="33419482000259"/>
    <x v="228"/>
    <x v="0"/>
    <x v="0"/>
    <n v="64"/>
    <x v="4"/>
    <x v="6"/>
    <n v="3"/>
    <n v="1"/>
  </r>
  <r>
    <n v="2019"/>
    <n v="11"/>
    <x v="0"/>
    <x v="4"/>
    <x v="1"/>
    <s v="2019/2020"/>
    <b v="1"/>
    <b v="0"/>
    <b v="0"/>
    <x v="4"/>
    <n v="33575127000600"/>
    <x v="599"/>
    <x v="0"/>
    <x v="0"/>
    <n v="70"/>
    <x v="0"/>
    <x v="0"/>
    <n v="175"/>
    <n v="35"/>
  </r>
  <r>
    <n v="2019"/>
    <n v="11"/>
    <x v="0"/>
    <x v="4"/>
    <x v="1"/>
    <s v="2019/2020"/>
    <b v="1"/>
    <b v="0"/>
    <b v="0"/>
    <x v="10"/>
    <n v="33705849000543"/>
    <x v="600"/>
    <x v="0"/>
    <x v="0"/>
    <n v="62"/>
    <x v="3"/>
    <x v="5"/>
    <n v="4"/>
    <n v="4"/>
  </r>
  <r>
    <n v="2019"/>
    <n v="11"/>
    <x v="0"/>
    <x v="4"/>
    <x v="1"/>
    <s v="2019/2020"/>
    <b v="1"/>
    <b v="0"/>
    <b v="0"/>
    <x v="10"/>
    <n v="33705849000543"/>
    <x v="600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5"/>
    <n v="33781055000216"/>
    <x v="231"/>
    <x v="0"/>
    <x v="0"/>
    <n v="70"/>
    <x v="0"/>
    <x v="0"/>
    <n v="150"/>
    <n v="30"/>
  </r>
  <r>
    <n v="2019"/>
    <n v="11"/>
    <x v="0"/>
    <x v="4"/>
    <x v="1"/>
    <s v="2019/2020"/>
    <b v="1"/>
    <b v="0"/>
    <b v="0"/>
    <x v="5"/>
    <n v="33781055000216"/>
    <x v="231"/>
    <x v="0"/>
    <x v="0"/>
    <n v="70"/>
    <x v="0"/>
    <x v="0"/>
    <n v="200"/>
    <n v="40"/>
  </r>
  <r>
    <n v="2019"/>
    <n v="11"/>
    <x v="0"/>
    <x v="4"/>
    <x v="1"/>
    <s v="2019/2020"/>
    <b v="1"/>
    <b v="0"/>
    <b v="0"/>
    <x v="17"/>
    <n v="35917970000726"/>
    <x v="420"/>
    <x v="114"/>
    <x v="0"/>
    <n v="73"/>
    <x v="1"/>
    <x v="4"/>
    <n v="12"/>
    <n v="3"/>
  </r>
  <r>
    <n v="2019"/>
    <n v="11"/>
    <x v="0"/>
    <x v="4"/>
    <x v="1"/>
    <s v="2019/2020"/>
    <b v="1"/>
    <b v="0"/>
    <b v="0"/>
    <x v="10"/>
    <n v="36238913000198"/>
    <x v="421"/>
    <x v="115"/>
    <x v="0"/>
    <n v="73"/>
    <x v="1"/>
    <x v="4"/>
    <n v="4"/>
    <n v="1"/>
  </r>
  <r>
    <n v="2019"/>
    <n v="11"/>
    <x v="0"/>
    <x v="4"/>
    <x v="1"/>
    <s v="2019/2020"/>
    <b v="1"/>
    <b v="0"/>
    <b v="0"/>
    <x v="10"/>
    <n v="36238913000198"/>
    <x v="421"/>
    <x v="115"/>
    <x v="0"/>
    <n v="73"/>
    <x v="1"/>
    <x v="4"/>
    <n v="28"/>
    <n v="7"/>
  </r>
  <r>
    <n v="2019"/>
    <n v="11"/>
    <x v="0"/>
    <x v="4"/>
    <x v="1"/>
    <s v="2019/2020"/>
    <b v="1"/>
    <b v="0"/>
    <b v="0"/>
    <x v="10"/>
    <n v="36238913000198"/>
    <x v="421"/>
    <x v="115"/>
    <x v="0"/>
    <n v="73"/>
    <x v="1"/>
    <x v="4"/>
    <n v="80"/>
    <n v="10"/>
  </r>
  <r>
    <n v="2019"/>
    <n v="11"/>
    <x v="0"/>
    <x v="4"/>
    <x v="1"/>
    <s v="2019/2020"/>
    <b v="1"/>
    <b v="0"/>
    <b v="0"/>
    <x v="4"/>
    <n v="39086160000130"/>
    <x v="236"/>
    <x v="0"/>
    <x v="0"/>
    <n v="70"/>
    <x v="0"/>
    <x v="0"/>
    <n v="200"/>
    <n v="40"/>
  </r>
  <r>
    <n v="2019"/>
    <n v="11"/>
    <x v="0"/>
    <x v="4"/>
    <x v="1"/>
    <s v="2019/2020"/>
    <b v="1"/>
    <b v="0"/>
    <b v="0"/>
    <x v="4"/>
    <n v="39086160000130"/>
    <x v="236"/>
    <x v="0"/>
    <x v="0"/>
    <n v="73"/>
    <x v="1"/>
    <x v="4"/>
    <n v="120"/>
    <n v="30"/>
  </r>
  <r>
    <n v="2019"/>
    <n v="11"/>
    <x v="0"/>
    <x v="4"/>
    <x v="1"/>
    <s v="2019/2020"/>
    <b v="1"/>
    <b v="0"/>
    <b v="0"/>
    <x v="3"/>
    <n v="39387477000107"/>
    <x v="237"/>
    <x v="66"/>
    <x v="13"/>
    <n v="70"/>
    <x v="0"/>
    <x v="0"/>
    <n v="150"/>
    <n v="30"/>
  </r>
  <r>
    <n v="2019"/>
    <n v="11"/>
    <x v="0"/>
    <x v="4"/>
    <x v="1"/>
    <s v="2019/2020"/>
    <b v="1"/>
    <b v="0"/>
    <b v="0"/>
    <x v="3"/>
    <n v="39387477000107"/>
    <x v="237"/>
    <x v="66"/>
    <x v="13"/>
    <n v="70"/>
    <x v="0"/>
    <x v="0"/>
    <n v="225"/>
    <n v="45"/>
  </r>
  <r>
    <n v="2019"/>
    <n v="11"/>
    <x v="0"/>
    <x v="4"/>
    <x v="1"/>
    <s v="2019/2020"/>
    <b v="1"/>
    <b v="0"/>
    <b v="0"/>
    <x v="3"/>
    <n v="41781949000234"/>
    <x v="238"/>
    <x v="73"/>
    <x v="2"/>
    <n v="70"/>
    <x v="0"/>
    <x v="0"/>
    <n v="40"/>
    <n v="8"/>
  </r>
  <r>
    <n v="2019"/>
    <n v="11"/>
    <x v="0"/>
    <x v="4"/>
    <x v="1"/>
    <s v="2019/2020"/>
    <b v="1"/>
    <b v="0"/>
    <b v="0"/>
    <x v="5"/>
    <n v="42498733000148"/>
    <x v="601"/>
    <x v="0"/>
    <x v="0"/>
    <n v="70"/>
    <x v="0"/>
    <x v="8"/>
    <n v="200"/>
    <n v="80"/>
  </r>
  <r>
    <n v="2019"/>
    <n v="11"/>
    <x v="0"/>
    <x v="4"/>
    <x v="1"/>
    <s v="2019/2020"/>
    <b v="1"/>
    <b v="0"/>
    <b v="0"/>
    <x v="4"/>
    <n v="42855999000362"/>
    <x v="602"/>
    <x v="157"/>
    <x v="2"/>
    <n v="70"/>
    <x v="0"/>
    <x v="0"/>
    <n v="75"/>
    <n v="15"/>
  </r>
  <r>
    <n v="2019"/>
    <n v="11"/>
    <x v="0"/>
    <x v="4"/>
    <x v="1"/>
    <s v="2019/2020"/>
    <b v="1"/>
    <b v="0"/>
    <b v="0"/>
    <x v="4"/>
    <n v="42855999000362"/>
    <x v="602"/>
    <x v="157"/>
    <x v="2"/>
    <n v="73"/>
    <x v="1"/>
    <x v="2"/>
    <n v="9"/>
    <n v="9"/>
  </r>
  <r>
    <n v="2019"/>
    <n v="11"/>
    <x v="0"/>
    <x v="4"/>
    <x v="1"/>
    <s v="2019/2020"/>
    <b v="1"/>
    <b v="0"/>
    <b v="0"/>
    <x v="4"/>
    <n v="43775956000178"/>
    <x v="550"/>
    <x v="3"/>
    <x v="3"/>
    <n v="70"/>
    <x v="0"/>
    <x v="0"/>
    <n v="30"/>
    <n v="6"/>
  </r>
  <r>
    <n v="2019"/>
    <n v="11"/>
    <x v="0"/>
    <x v="4"/>
    <x v="1"/>
    <s v="2019/2020"/>
    <b v="1"/>
    <b v="0"/>
    <b v="0"/>
    <x v="3"/>
    <n v="44456036000311"/>
    <x v="241"/>
    <x v="75"/>
    <x v="3"/>
    <n v="62"/>
    <x v="3"/>
    <x v="5"/>
    <n v="1"/>
    <n v="1"/>
  </r>
  <r>
    <n v="2019"/>
    <n v="11"/>
    <x v="0"/>
    <x v="4"/>
    <x v="1"/>
    <s v="2019/2020"/>
    <b v="1"/>
    <b v="0"/>
    <b v="0"/>
    <x v="11"/>
    <n v="44456036000311"/>
    <x v="241"/>
    <x v="75"/>
    <x v="3"/>
    <n v="64"/>
    <x v="4"/>
    <x v="6"/>
    <n v="2"/>
    <n v="2"/>
  </r>
  <r>
    <n v="2019"/>
    <n v="11"/>
    <x v="0"/>
    <x v="4"/>
    <x v="1"/>
    <s v="2019/2020"/>
    <b v="1"/>
    <b v="0"/>
    <b v="0"/>
    <x v="17"/>
    <n v="44649812001614"/>
    <x v="493"/>
    <x v="82"/>
    <x v="3"/>
    <n v="64"/>
    <x v="4"/>
    <x v="6"/>
    <n v="2"/>
    <n v="2"/>
  </r>
  <r>
    <n v="2019"/>
    <n v="11"/>
    <x v="0"/>
    <x v="4"/>
    <x v="1"/>
    <s v="2019/2020"/>
    <b v="1"/>
    <b v="0"/>
    <b v="0"/>
    <x v="14"/>
    <n v="44732469000190"/>
    <x v="603"/>
    <x v="158"/>
    <x v="3"/>
    <n v="70"/>
    <x v="0"/>
    <x v="0"/>
    <n v="55"/>
    <n v="11"/>
  </r>
  <r>
    <n v="2019"/>
    <n v="11"/>
    <x v="0"/>
    <x v="4"/>
    <x v="1"/>
    <s v="2019/2020"/>
    <b v="1"/>
    <b v="0"/>
    <b v="0"/>
    <x v="2"/>
    <n v="45118429001279"/>
    <x v="247"/>
    <x v="79"/>
    <x v="3"/>
    <n v="70"/>
    <x v="0"/>
    <x v="0"/>
    <n v="50"/>
    <n v="10"/>
  </r>
  <r>
    <n v="2019"/>
    <n v="11"/>
    <x v="0"/>
    <x v="4"/>
    <x v="1"/>
    <s v="2019/2020"/>
    <b v="1"/>
    <b v="0"/>
    <b v="0"/>
    <x v="6"/>
    <n v="45184066000117"/>
    <x v="248"/>
    <x v="35"/>
    <x v="3"/>
    <n v="73"/>
    <x v="1"/>
    <x v="4"/>
    <n v="8"/>
    <n v="2"/>
  </r>
  <r>
    <n v="2019"/>
    <n v="11"/>
    <x v="0"/>
    <x v="4"/>
    <x v="1"/>
    <s v="2019/2020"/>
    <b v="1"/>
    <b v="0"/>
    <b v="0"/>
    <x v="6"/>
    <n v="45184066000117"/>
    <x v="248"/>
    <x v="35"/>
    <x v="3"/>
    <n v="73"/>
    <x v="1"/>
    <x v="2"/>
    <n v="2"/>
    <n v="2"/>
  </r>
  <r>
    <n v="2019"/>
    <n v="11"/>
    <x v="0"/>
    <x v="4"/>
    <x v="1"/>
    <s v="2019/2020"/>
    <b v="1"/>
    <b v="0"/>
    <b v="0"/>
    <x v="27"/>
    <n v="45232246000550"/>
    <x v="249"/>
    <x v="22"/>
    <x v="3"/>
    <n v="70"/>
    <x v="0"/>
    <x v="0"/>
    <n v="30"/>
    <n v="3"/>
  </r>
  <r>
    <n v="2019"/>
    <n v="11"/>
    <x v="0"/>
    <x v="4"/>
    <x v="1"/>
    <s v="2019/2020"/>
    <b v="1"/>
    <b v="0"/>
    <b v="0"/>
    <x v="27"/>
    <n v="45232246000550"/>
    <x v="249"/>
    <x v="22"/>
    <x v="3"/>
    <n v="70"/>
    <x v="0"/>
    <x v="0"/>
    <n v="50"/>
    <n v="10"/>
  </r>
  <r>
    <n v="2019"/>
    <n v="11"/>
    <x v="0"/>
    <x v="4"/>
    <x v="1"/>
    <s v="2019/2020"/>
    <b v="1"/>
    <b v="0"/>
    <b v="0"/>
    <x v="3"/>
    <n v="45232246000550"/>
    <x v="249"/>
    <x v="22"/>
    <x v="3"/>
    <n v="73"/>
    <x v="1"/>
    <x v="2"/>
    <n v="2"/>
    <n v="2"/>
  </r>
  <r>
    <n v="2019"/>
    <n v="11"/>
    <x v="0"/>
    <x v="4"/>
    <x v="1"/>
    <s v="2019/2020"/>
    <b v="1"/>
    <b v="0"/>
    <b v="0"/>
    <x v="3"/>
    <n v="45232246000550"/>
    <x v="249"/>
    <x v="22"/>
    <x v="3"/>
    <n v="73"/>
    <x v="1"/>
    <x v="1"/>
    <n v="8"/>
    <n v="4"/>
  </r>
  <r>
    <n v="2019"/>
    <n v="11"/>
    <x v="0"/>
    <x v="4"/>
    <x v="1"/>
    <s v="2019/2020"/>
    <b v="1"/>
    <b v="0"/>
    <b v="0"/>
    <x v="2"/>
    <n v="45232246000550"/>
    <x v="249"/>
    <x v="22"/>
    <x v="3"/>
    <n v="73"/>
    <x v="1"/>
    <x v="4"/>
    <n v="32"/>
    <n v="8"/>
  </r>
  <r>
    <n v="2019"/>
    <n v="11"/>
    <x v="0"/>
    <x v="4"/>
    <x v="1"/>
    <s v="2019/2020"/>
    <b v="1"/>
    <b v="0"/>
    <b v="0"/>
    <x v="2"/>
    <n v="45359213000576"/>
    <x v="250"/>
    <x v="80"/>
    <x v="3"/>
    <n v="73"/>
    <x v="1"/>
    <x v="4"/>
    <n v="16"/>
    <n v="4"/>
  </r>
  <r>
    <n v="2019"/>
    <n v="11"/>
    <x v="0"/>
    <x v="4"/>
    <x v="1"/>
    <s v="2019/2020"/>
    <b v="1"/>
    <b v="0"/>
    <b v="0"/>
    <x v="17"/>
    <n v="45399961000230"/>
    <x v="251"/>
    <x v="81"/>
    <x v="3"/>
    <n v="70"/>
    <x v="0"/>
    <x v="0"/>
    <n v="150"/>
    <n v="30"/>
  </r>
  <r>
    <n v="2019"/>
    <n v="11"/>
    <x v="0"/>
    <x v="4"/>
    <x v="1"/>
    <s v="2019/2020"/>
    <b v="1"/>
    <b v="0"/>
    <b v="0"/>
    <x v="7"/>
    <n v="45399961000230"/>
    <x v="251"/>
    <x v="81"/>
    <x v="3"/>
    <n v="70"/>
    <x v="0"/>
    <x v="0"/>
    <n v="100"/>
    <n v="20"/>
  </r>
  <r>
    <n v="2019"/>
    <n v="11"/>
    <x v="0"/>
    <x v="4"/>
    <x v="1"/>
    <s v="2019/2020"/>
    <b v="1"/>
    <b v="0"/>
    <b v="0"/>
    <x v="2"/>
    <n v="46009718000140"/>
    <x v="253"/>
    <x v="48"/>
    <x v="3"/>
    <n v="73"/>
    <x v="1"/>
    <x v="4"/>
    <n v="20"/>
    <n v="5"/>
  </r>
  <r>
    <n v="2019"/>
    <n v="11"/>
    <x v="0"/>
    <x v="4"/>
    <x v="1"/>
    <s v="2019/2020"/>
    <b v="1"/>
    <b v="0"/>
    <b v="0"/>
    <x v="2"/>
    <n v="46009718000140"/>
    <x v="253"/>
    <x v="48"/>
    <x v="3"/>
    <n v="73"/>
    <x v="1"/>
    <x v="1"/>
    <n v="16"/>
    <n v="8"/>
  </r>
  <r>
    <n v="2019"/>
    <n v="11"/>
    <x v="0"/>
    <x v="4"/>
    <x v="1"/>
    <s v="2019/2020"/>
    <b v="1"/>
    <b v="0"/>
    <b v="0"/>
    <x v="6"/>
    <n v="46020301000269"/>
    <x v="254"/>
    <x v="48"/>
    <x v="3"/>
    <n v="64"/>
    <x v="4"/>
    <x v="6"/>
    <n v="1"/>
    <n v="1"/>
  </r>
  <r>
    <n v="2019"/>
    <n v="11"/>
    <x v="0"/>
    <x v="4"/>
    <x v="1"/>
    <s v="2019/2020"/>
    <b v="1"/>
    <b v="0"/>
    <b v="0"/>
    <x v="4"/>
    <n v="46020301000269"/>
    <x v="254"/>
    <x v="48"/>
    <x v="3"/>
    <n v="73"/>
    <x v="1"/>
    <x v="2"/>
    <n v="3"/>
    <n v="3"/>
  </r>
  <r>
    <n v="2019"/>
    <n v="11"/>
    <x v="0"/>
    <x v="4"/>
    <x v="1"/>
    <s v="2019/2020"/>
    <b v="1"/>
    <b v="0"/>
    <b v="0"/>
    <x v="17"/>
    <n v="46020301000269"/>
    <x v="254"/>
    <x v="48"/>
    <x v="3"/>
    <n v="73"/>
    <x v="1"/>
    <x v="4"/>
    <n v="12"/>
    <n v="3"/>
  </r>
  <r>
    <n v="2019"/>
    <n v="11"/>
    <x v="0"/>
    <x v="4"/>
    <x v="1"/>
    <s v="2019/2020"/>
    <b v="1"/>
    <b v="0"/>
    <b v="0"/>
    <x v="20"/>
    <n v="46020301000269"/>
    <x v="254"/>
    <x v="48"/>
    <x v="3"/>
    <n v="73"/>
    <x v="1"/>
    <x v="4"/>
    <n v="4"/>
    <n v="1"/>
  </r>
  <r>
    <n v="2019"/>
    <n v="11"/>
    <x v="0"/>
    <x v="4"/>
    <x v="1"/>
    <s v="2019/2020"/>
    <b v="1"/>
    <b v="0"/>
    <b v="0"/>
    <x v="20"/>
    <n v="46020301000269"/>
    <x v="254"/>
    <x v="48"/>
    <x v="3"/>
    <n v="73"/>
    <x v="1"/>
    <x v="4"/>
    <n v="16"/>
    <n v="4"/>
  </r>
  <r>
    <n v="2019"/>
    <n v="11"/>
    <x v="0"/>
    <x v="4"/>
    <x v="1"/>
    <s v="2019/2020"/>
    <b v="1"/>
    <b v="0"/>
    <b v="0"/>
    <x v="17"/>
    <n v="46068425000133"/>
    <x v="425"/>
    <x v="48"/>
    <x v="3"/>
    <n v="66"/>
    <x v="2"/>
    <x v="3"/>
    <n v="2"/>
    <n v="1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10"/>
    <n v="2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15"/>
    <n v="3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40"/>
    <n v="4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150"/>
    <n v="15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300"/>
    <n v="30"/>
  </r>
  <r>
    <n v="2019"/>
    <n v="11"/>
    <x v="0"/>
    <x v="4"/>
    <x v="1"/>
    <s v="2019/2020"/>
    <b v="1"/>
    <b v="0"/>
    <b v="0"/>
    <x v="20"/>
    <n v="46124624000111"/>
    <x v="255"/>
    <x v="48"/>
    <x v="3"/>
    <n v="70"/>
    <x v="0"/>
    <x v="0"/>
    <n v="175"/>
    <n v="35"/>
  </r>
  <r>
    <n v="2019"/>
    <n v="11"/>
    <x v="0"/>
    <x v="4"/>
    <x v="1"/>
    <s v="2019/2020"/>
    <b v="1"/>
    <b v="0"/>
    <b v="0"/>
    <x v="20"/>
    <n v="46124624000111"/>
    <x v="255"/>
    <x v="48"/>
    <x v="3"/>
    <n v="73"/>
    <x v="1"/>
    <x v="4"/>
    <n v="8"/>
    <n v="2"/>
  </r>
  <r>
    <n v="2019"/>
    <n v="11"/>
    <x v="0"/>
    <x v="4"/>
    <x v="1"/>
    <s v="2019/2020"/>
    <b v="1"/>
    <b v="0"/>
    <b v="0"/>
    <x v="20"/>
    <n v="46124624000111"/>
    <x v="255"/>
    <x v="48"/>
    <x v="3"/>
    <n v="73"/>
    <x v="1"/>
    <x v="4"/>
    <n v="24"/>
    <n v="6"/>
  </r>
  <r>
    <n v="2019"/>
    <n v="11"/>
    <x v="0"/>
    <x v="4"/>
    <x v="1"/>
    <s v="2019/2020"/>
    <b v="1"/>
    <b v="0"/>
    <b v="0"/>
    <x v="20"/>
    <n v="46124624002599"/>
    <x v="256"/>
    <x v="83"/>
    <x v="3"/>
    <n v="70"/>
    <x v="0"/>
    <x v="0"/>
    <n v="300"/>
    <n v="60"/>
  </r>
  <r>
    <n v="2019"/>
    <n v="11"/>
    <x v="0"/>
    <x v="4"/>
    <x v="1"/>
    <s v="2019/2020"/>
    <b v="1"/>
    <b v="0"/>
    <b v="0"/>
    <x v="20"/>
    <n v="46124624002599"/>
    <x v="256"/>
    <x v="83"/>
    <x v="3"/>
    <n v="73"/>
    <x v="1"/>
    <x v="4"/>
    <n v="120"/>
    <n v="30"/>
  </r>
  <r>
    <n v="2019"/>
    <n v="11"/>
    <x v="0"/>
    <x v="4"/>
    <x v="1"/>
    <s v="2019/2020"/>
    <b v="1"/>
    <b v="0"/>
    <b v="0"/>
    <x v="20"/>
    <n v="46124624002670"/>
    <x v="604"/>
    <x v="3"/>
    <x v="3"/>
    <n v="70"/>
    <x v="0"/>
    <x v="0"/>
    <n v="100"/>
    <n v="20"/>
  </r>
  <r>
    <n v="2019"/>
    <n v="11"/>
    <x v="0"/>
    <x v="4"/>
    <x v="1"/>
    <s v="2019/2020"/>
    <b v="1"/>
    <b v="0"/>
    <b v="0"/>
    <x v="20"/>
    <n v="46124624002670"/>
    <x v="604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20"/>
    <n v="46124624002670"/>
    <x v="604"/>
    <x v="3"/>
    <x v="3"/>
    <n v="70"/>
    <x v="0"/>
    <x v="0"/>
    <n v="500"/>
    <n v="50"/>
  </r>
  <r>
    <n v="2019"/>
    <n v="11"/>
    <x v="0"/>
    <x v="4"/>
    <x v="1"/>
    <s v="2019/2020"/>
    <b v="1"/>
    <b v="0"/>
    <b v="0"/>
    <x v="20"/>
    <n v="46124624002670"/>
    <x v="604"/>
    <x v="3"/>
    <x v="3"/>
    <n v="73"/>
    <x v="1"/>
    <x v="4"/>
    <n v="32"/>
    <n v="8"/>
  </r>
  <r>
    <n v="2019"/>
    <n v="11"/>
    <x v="0"/>
    <x v="4"/>
    <x v="1"/>
    <s v="2019/2020"/>
    <b v="1"/>
    <b v="0"/>
    <b v="0"/>
    <x v="20"/>
    <n v="46124624002670"/>
    <x v="604"/>
    <x v="3"/>
    <x v="3"/>
    <n v="73"/>
    <x v="1"/>
    <x v="4"/>
    <n v="128"/>
    <n v="16"/>
  </r>
  <r>
    <n v="2019"/>
    <n v="11"/>
    <x v="0"/>
    <x v="4"/>
    <x v="1"/>
    <s v="2019/2020"/>
    <b v="1"/>
    <b v="0"/>
    <b v="0"/>
    <x v="20"/>
    <n v="46124624002670"/>
    <x v="604"/>
    <x v="3"/>
    <x v="3"/>
    <n v="73"/>
    <x v="1"/>
    <x v="4"/>
    <n v="80"/>
    <n v="20"/>
  </r>
  <r>
    <n v="2019"/>
    <n v="11"/>
    <x v="0"/>
    <x v="4"/>
    <x v="1"/>
    <s v="2019/2020"/>
    <b v="1"/>
    <b v="0"/>
    <b v="0"/>
    <x v="5"/>
    <n v="46374500000941"/>
    <x v="605"/>
    <x v="3"/>
    <x v="3"/>
    <n v="64"/>
    <x v="4"/>
    <x v="6"/>
    <n v="24"/>
    <n v="24"/>
  </r>
  <r>
    <n v="2019"/>
    <n v="11"/>
    <x v="0"/>
    <x v="4"/>
    <x v="1"/>
    <s v="2019/2020"/>
    <b v="1"/>
    <b v="0"/>
    <b v="0"/>
    <x v="5"/>
    <n v="46374500003533"/>
    <x v="257"/>
    <x v="22"/>
    <x v="3"/>
    <n v="70"/>
    <x v="0"/>
    <x v="0"/>
    <n v="1000"/>
    <n v="200"/>
  </r>
  <r>
    <n v="2019"/>
    <n v="11"/>
    <x v="0"/>
    <x v="4"/>
    <x v="1"/>
    <s v="2019/2020"/>
    <b v="1"/>
    <b v="0"/>
    <b v="0"/>
    <x v="4"/>
    <n v="49150352000201"/>
    <x v="606"/>
    <x v="159"/>
    <x v="3"/>
    <n v="64"/>
    <x v="4"/>
    <x v="6"/>
    <n v="5"/>
    <n v="5"/>
  </r>
  <r>
    <n v="2019"/>
    <n v="11"/>
    <x v="0"/>
    <x v="4"/>
    <x v="1"/>
    <s v="2019/2020"/>
    <b v="1"/>
    <b v="0"/>
    <b v="0"/>
    <x v="6"/>
    <n v="50486026000160"/>
    <x v="260"/>
    <x v="85"/>
    <x v="3"/>
    <n v="70"/>
    <x v="0"/>
    <x v="0"/>
    <n v="100"/>
    <n v="20"/>
  </r>
  <r>
    <n v="2019"/>
    <n v="11"/>
    <x v="0"/>
    <x v="4"/>
    <x v="1"/>
    <s v="2019/2020"/>
    <b v="1"/>
    <b v="0"/>
    <b v="0"/>
    <x v="6"/>
    <n v="50944198000130"/>
    <x v="499"/>
    <x v="82"/>
    <x v="3"/>
    <n v="64"/>
    <x v="4"/>
    <x v="6"/>
    <n v="4"/>
    <n v="4"/>
  </r>
  <r>
    <n v="2019"/>
    <n v="11"/>
    <x v="0"/>
    <x v="4"/>
    <x v="1"/>
    <s v="2019/2020"/>
    <b v="1"/>
    <b v="0"/>
    <b v="0"/>
    <x v="6"/>
    <n v="50944198000130"/>
    <x v="499"/>
    <x v="82"/>
    <x v="3"/>
    <n v="64"/>
    <x v="4"/>
    <x v="6"/>
    <n v="12"/>
    <n v="6"/>
  </r>
  <r>
    <n v="2019"/>
    <n v="11"/>
    <x v="0"/>
    <x v="4"/>
    <x v="1"/>
    <s v="2019/2020"/>
    <b v="1"/>
    <b v="0"/>
    <b v="0"/>
    <x v="4"/>
    <n v="51093193000456"/>
    <x v="500"/>
    <x v="116"/>
    <x v="3"/>
    <n v="70"/>
    <x v="0"/>
    <x v="0"/>
    <n v="10"/>
    <n v="2"/>
  </r>
  <r>
    <n v="2019"/>
    <n v="11"/>
    <x v="0"/>
    <x v="4"/>
    <x v="1"/>
    <s v="2019/2020"/>
    <b v="1"/>
    <b v="0"/>
    <b v="0"/>
    <x v="12"/>
    <n v="51093193000456"/>
    <x v="500"/>
    <x v="116"/>
    <x v="3"/>
    <n v="70"/>
    <x v="0"/>
    <x v="0"/>
    <n v="10"/>
    <n v="2"/>
  </r>
  <r>
    <n v="2019"/>
    <n v="11"/>
    <x v="0"/>
    <x v="4"/>
    <x v="1"/>
    <s v="2019/2020"/>
    <b v="1"/>
    <b v="0"/>
    <b v="0"/>
    <x v="4"/>
    <n v="51722957000506"/>
    <x v="430"/>
    <x v="3"/>
    <x v="3"/>
    <n v="70"/>
    <x v="0"/>
    <x v="0"/>
    <n v="100"/>
    <n v="20"/>
  </r>
  <r>
    <n v="2019"/>
    <n v="11"/>
    <x v="0"/>
    <x v="4"/>
    <x v="1"/>
    <s v="2019/2020"/>
    <b v="1"/>
    <b v="0"/>
    <b v="0"/>
    <x v="4"/>
    <n v="51722957010226"/>
    <x v="261"/>
    <x v="3"/>
    <x v="3"/>
    <n v="70"/>
    <x v="0"/>
    <x v="0"/>
    <n v="165"/>
    <n v="33"/>
  </r>
  <r>
    <n v="2019"/>
    <n v="11"/>
    <x v="0"/>
    <x v="4"/>
    <x v="1"/>
    <s v="2019/2020"/>
    <b v="1"/>
    <b v="0"/>
    <b v="0"/>
    <x v="4"/>
    <n v="51722957010226"/>
    <x v="261"/>
    <x v="3"/>
    <x v="3"/>
    <n v="73"/>
    <x v="1"/>
    <x v="1"/>
    <n v="2"/>
    <n v="1"/>
  </r>
  <r>
    <n v="2019"/>
    <n v="11"/>
    <x v="0"/>
    <x v="4"/>
    <x v="1"/>
    <s v="2019/2020"/>
    <b v="1"/>
    <b v="0"/>
    <b v="0"/>
    <x v="4"/>
    <n v="51722957010226"/>
    <x v="261"/>
    <x v="3"/>
    <x v="3"/>
    <n v="73"/>
    <x v="1"/>
    <x v="2"/>
    <n v="2"/>
    <n v="1"/>
  </r>
  <r>
    <n v="2019"/>
    <n v="11"/>
    <x v="0"/>
    <x v="4"/>
    <x v="1"/>
    <s v="2019/2020"/>
    <b v="1"/>
    <b v="0"/>
    <b v="0"/>
    <x v="17"/>
    <n v="51722957010226"/>
    <x v="261"/>
    <x v="3"/>
    <x v="3"/>
    <n v="73"/>
    <x v="1"/>
    <x v="1"/>
    <n v="4"/>
    <n v="1"/>
  </r>
  <r>
    <n v="2019"/>
    <n v="11"/>
    <x v="0"/>
    <x v="4"/>
    <x v="1"/>
    <s v="2019/2020"/>
    <b v="1"/>
    <b v="0"/>
    <b v="0"/>
    <x v="4"/>
    <n v="51722957012512"/>
    <x v="262"/>
    <x v="3"/>
    <x v="3"/>
    <n v="70"/>
    <x v="0"/>
    <x v="0"/>
    <n v="280"/>
    <n v="56"/>
  </r>
  <r>
    <n v="2019"/>
    <n v="11"/>
    <x v="0"/>
    <x v="4"/>
    <x v="1"/>
    <s v="2019/2020"/>
    <b v="1"/>
    <b v="0"/>
    <b v="0"/>
    <x v="5"/>
    <n v="51885242000140"/>
    <x v="264"/>
    <x v="48"/>
    <x v="3"/>
    <n v="73"/>
    <x v="1"/>
    <x v="1"/>
    <n v="240"/>
    <n v="120"/>
  </r>
  <r>
    <n v="2019"/>
    <n v="11"/>
    <x v="0"/>
    <x v="4"/>
    <x v="1"/>
    <s v="2019/2020"/>
    <b v="1"/>
    <b v="0"/>
    <b v="0"/>
    <x v="17"/>
    <n v="53221255004995"/>
    <x v="265"/>
    <x v="0"/>
    <x v="0"/>
    <n v="62"/>
    <x v="3"/>
    <x v="5"/>
    <n v="1"/>
    <n v="1"/>
  </r>
  <r>
    <n v="2019"/>
    <n v="11"/>
    <x v="0"/>
    <x v="4"/>
    <x v="1"/>
    <s v="2019/2020"/>
    <b v="1"/>
    <b v="0"/>
    <b v="0"/>
    <x v="6"/>
    <n v="53311999000156"/>
    <x v="502"/>
    <x v="137"/>
    <x v="3"/>
    <n v="64"/>
    <x v="4"/>
    <x v="6"/>
    <n v="10"/>
    <n v="2"/>
  </r>
  <r>
    <n v="2019"/>
    <n v="11"/>
    <x v="0"/>
    <x v="4"/>
    <x v="1"/>
    <s v="2019/2020"/>
    <b v="1"/>
    <b v="0"/>
    <b v="0"/>
    <x v="6"/>
    <n v="54012406000385"/>
    <x v="266"/>
    <x v="86"/>
    <x v="3"/>
    <n v="70"/>
    <x v="0"/>
    <x v="0"/>
    <n v="65"/>
    <n v="13"/>
  </r>
  <r>
    <n v="2019"/>
    <n v="11"/>
    <x v="0"/>
    <x v="4"/>
    <x v="1"/>
    <s v="2019/2020"/>
    <b v="1"/>
    <b v="0"/>
    <b v="0"/>
    <x v="17"/>
    <n v="56727134001216"/>
    <x v="607"/>
    <x v="82"/>
    <x v="3"/>
    <n v="64"/>
    <x v="4"/>
    <x v="6"/>
    <n v="2"/>
    <n v="2"/>
  </r>
  <r>
    <n v="2019"/>
    <n v="11"/>
    <x v="0"/>
    <x v="4"/>
    <x v="1"/>
    <s v="2019/2020"/>
    <b v="1"/>
    <b v="0"/>
    <b v="0"/>
    <x v="7"/>
    <n v="57723280000183"/>
    <x v="556"/>
    <x v="22"/>
    <x v="3"/>
    <n v="70"/>
    <x v="0"/>
    <x v="0"/>
    <n v="35"/>
    <n v="7"/>
  </r>
  <r>
    <n v="2019"/>
    <n v="11"/>
    <x v="0"/>
    <x v="4"/>
    <x v="1"/>
    <s v="2019/2020"/>
    <b v="1"/>
    <b v="0"/>
    <b v="0"/>
    <x v="17"/>
    <n v="58229691001070"/>
    <x v="271"/>
    <x v="70"/>
    <x v="3"/>
    <n v="73"/>
    <x v="1"/>
    <x v="4"/>
    <n v="16"/>
    <n v="4"/>
  </r>
  <r>
    <n v="2019"/>
    <n v="11"/>
    <x v="0"/>
    <x v="4"/>
    <x v="1"/>
    <s v="2019/2020"/>
    <b v="1"/>
    <b v="0"/>
    <b v="0"/>
    <x v="7"/>
    <n v="59481028000130"/>
    <x v="272"/>
    <x v="3"/>
    <x v="3"/>
    <n v="70"/>
    <x v="0"/>
    <x v="0"/>
    <n v="15"/>
    <n v="3"/>
  </r>
  <r>
    <n v="2019"/>
    <n v="11"/>
    <x v="0"/>
    <x v="4"/>
    <x v="1"/>
    <s v="2019/2020"/>
    <b v="1"/>
    <b v="0"/>
    <b v="0"/>
    <x v="2"/>
    <n v="59481028000130"/>
    <x v="272"/>
    <x v="3"/>
    <x v="3"/>
    <n v="70"/>
    <x v="0"/>
    <x v="0"/>
    <n v="15"/>
    <n v="3"/>
  </r>
  <r>
    <n v="2019"/>
    <n v="11"/>
    <x v="0"/>
    <x v="4"/>
    <x v="1"/>
    <s v="2019/2020"/>
    <b v="1"/>
    <b v="0"/>
    <b v="0"/>
    <x v="5"/>
    <n v="60003761000129"/>
    <x v="275"/>
    <x v="26"/>
    <x v="3"/>
    <n v="62"/>
    <x v="3"/>
    <x v="5"/>
    <n v="16"/>
    <n v="8"/>
  </r>
  <r>
    <n v="2019"/>
    <n v="11"/>
    <x v="0"/>
    <x v="4"/>
    <x v="1"/>
    <s v="2019/2020"/>
    <b v="1"/>
    <b v="0"/>
    <b v="0"/>
    <x v="5"/>
    <n v="60003761000129"/>
    <x v="275"/>
    <x v="26"/>
    <x v="3"/>
    <n v="64"/>
    <x v="4"/>
    <x v="6"/>
    <n v="30"/>
    <n v="30"/>
  </r>
  <r>
    <n v="2019"/>
    <n v="11"/>
    <x v="0"/>
    <x v="4"/>
    <x v="1"/>
    <s v="2019/2020"/>
    <b v="1"/>
    <b v="0"/>
    <b v="0"/>
    <x v="26"/>
    <n v="60194990000844"/>
    <x v="504"/>
    <x v="6"/>
    <x v="2"/>
    <n v="62"/>
    <x v="3"/>
    <x v="5"/>
    <n v="6"/>
    <n v="2"/>
  </r>
  <r>
    <n v="2019"/>
    <n v="11"/>
    <x v="0"/>
    <x v="4"/>
    <x v="1"/>
    <s v="2019/2020"/>
    <b v="1"/>
    <b v="0"/>
    <b v="0"/>
    <x v="3"/>
    <n v="60214517001691"/>
    <x v="277"/>
    <x v="35"/>
    <x v="3"/>
    <n v="70"/>
    <x v="0"/>
    <x v="0"/>
    <n v="35"/>
    <n v="7"/>
  </r>
  <r>
    <n v="2019"/>
    <n v="11"/>
    <x v="0"/>
    <x v="4"/>
    <x v="1"/>
    <s v="2019/2020"/>
    <b v="1"/>
    <b v="0"/>
    <b v="0"/>
    <x v="5"/>
    <n v="60448040000122"/>
    <x v="278"/>
    <x v="3"/>
    <x v="3"/>
    <n v="62"/>
    <x v="3"/>
    <x v="5"/>
    <n v="66"/>
    <n v="66"/>
  </r>
  <r>
    <n v="2019"/>
    <n v="11"/>
    <x v="0"/>
    <x v="4"/>
    <x v="1"/>
    <s v="2019/2020"/>
    <b v="1"/>
    <b v="0"/>
    <b v="0"/>
    <x v="5"/>
    <n v="60448040000122"/>
    <x v="278"/>
    <x v="3"/>
    <x v="3"/>
    <n v="73"/>
    <x v="1"/>
    <x v="4"/>
    <n v="40"/>
    <n v="10"/>
  </r>
  <r>
    <n v="2019"/>
    <n v="11"/>
    <x v="0"/>
    <x v="4"/>
    <x v="1"/>
    <s v="2019/2020"/>
    <b v="1"/>
    <b v="0"/>
    <b v="0"/>
    <x v="17"/>
    <n v="60453024000390"/>
    <x v="279"/>
    <x v="3"/>
    <x v="3"/>
    <n v="62"/>
    <x v="3"/>
    <x v="5"/>
    <n v="10"/>
    <n v="10"/>
  </r>
  <r>
    <n v="2019"/>
    <n v="11"/>
    <x v="0"/>
    <x v="4"/>
    <x v="1"/>
    <s v="2019/2020"/>
    <b v="1"/>
    <b v="0"/>
    <b v="0"/>
    <x v="17"/>
    <n v="60453024000390"/>
    <x v="279"/>
    <x v="3"/>
    <x v="3"/>
    <n v="62"/>
    <x v="3"/>
    <x v="5"/>
    <n v="11"/>
    <n v="11"/>
  </r>
  <r>
    <n v="2019"/>
    <n v="11"/>
    <x v="0"/>
    <x v="4"/>
    <x v="1"/>
    <s v="2019/2020"/>
    <b v="1"/>
    <b v="0"/>
    <b v="0"/>
    <x v="17"/>
    <n v="60453024000390"/>
    <x v="279"/>
    <x v="3"/>
    <x v="3"/>
    <n v="62"/>
    <x v="3"/>
    <x v="5"/>
    <n v="12"/>
    <n v="12"/>
  </r>
  <r>
    <n v="2019"/>
    <n v="11"/>
    <x v="0"/>
    <x v="4"/>
    <x v="1"/>
    <s v="2019/2020"/>
    <b v="1"/>
    <b v="0"/>
    <b v="0"/>
    <x v="17"/>
    <n v="60453024000390"/>
    <x v="279"/>
    <x v="3"/>
    <x v="3"/>
    <n v="64"/>
    <x v="4"/>
    <x v="6"/>
    <n v="5"/>
    <n v="5"/>
  </r>
  <r>
    <n v="2019"/>
    <n v="11"/>
    <x v="0"/>
    <x v="4"/>
    <x v="1"/>
    <s v="2019/2020"/>
    <b v="1"/>
    <b v="0"/>
    <b v="0"/>
    <x v="17"/>
    <n v="60453024000390"/>
    <x v="279"/>
    <x v="3"/>
    <x v="3"/>
    <n v="64"/>
    <x v="4"/>
    <x v="6"/>
    <n v="6"/>
    <n v="6"/>
  </r>
  <r>
    <n v="2019"/>
    <n v="11"/>
    <x v="0"/>
    <x v="4"/>
    <x v="1"/>
    <s v="2019/2020"/>
    <b v="1"/>
    <b v="0"/>
    <b v="0"/>
    <x v="6"/>
    <n v="60678604000113"/>
    <x v="281"/>
    <x v="3"/>
    <x v="3"/>
    <n v="62"/>
    <x v="3"/>
    <x v="5"/>
    <n v="6"/>
    <n v="6"/>
  </r>
  <r>
    <n v="2019"/>
    <n v="11"/>
    <x v="0"/>
    <x v="4"/>
    <x v="1"/>
    <s v="2019/2020"/>
    <b v="1"/>
    <b v="0"/>
    <b v="0"/>
    <x v="6"/>
    <n v="60678604000113"/>
    <x v="281"/>
    <x v="3"/>
    <x v="3"/>
    <n v="62"/>
    <x v="3"/>
    <x v="5"/>
    <n v="20"/>
    <n v="10"/>
  </r>
  <r>
    <n v="2019"/>
    <n v="11"/>
    <x v="0"/>
    <x v="4"/>
    <x v="1"/>
    <s v="2019/2020"/>
    <b v="1"/>
    <b v="0"/>
    <b v="0"/>
    <x v="11"/>
    <n v="60678604000113"/>
    <x v="281"/>
    <x v="3"/>
    <x v="3"/>
    <n v="64"/>
    <x v="4"/>
    <x v="6"/>
    <n v="1"/>
    <n v="1"/>
  </r>
  <r>
    <n v="2019"/>
    <n v="11"/>
    <x v="0"/>
    <x v="4"/>
    <x v="1"/>
    <s v="2019/2020"/>
    <b v="1"/>
    <b v="0"/>
    <b v="0"/>
    <x v="17"/>
    <n v="60726502000126"/>
    <x v="282"/>
    <x v="3"/>
    <x v="3"/>
    <n v="64"/>
    <x v="4"/>
    <x v="6"/>
    <n v="3"/>
    <n v="3"/>
  </r>
  <r>
    <n v="2019"/>
    <n v="11"/>
    <x v="0"/>
    <x v="4"/>
    <x v="1"/>
    <s v="2019/2020"/>
    <b v="1"/>
    <b v="0"/>
    <b v="0"/>
    <x v="6"/>
    <n v="60726502000126"/>
    <x v="282"/>
    <x v="3"/>
    <x v="3"/>
    <n v="70"/>
    <x v="0"/>
    <x v="0"/>
    <n v="30"/>
    <n v="6"/>
  </r>
  <r>
    <n v="2019"/>
    <n v="11"/>
    <x v="0"/>
    <x v="4"/>
    <x v="1"/>
    <s v="2019/2020"/>
    <b v="1"/>
    <b v="0"/>
    <b v="0"/>
    <x v="6"/>
    <n v="60726502000126"/>
    <x v="282"/>
    <x v="3"/>
    <x v="3"/>
    <n v="70"/>
    <x v="0"/>
    <x v="0"/>
    <n v="40"/>
    <n v="8"/>
  </r>
  <r>
    <n v="2019"/>
    <n v="11"/>
    <x v="0"/>
    <x v="4"/>
    <x v="1"/>
    <s v="2019/2020"/>
    <b v="1"/>
    <b v="0"/>
    <b v="0"/>
    <x v="5"/>
    <n v="60765823000130"/>
    <x v="432"/>
    <x v="3"/>
    <x v="3"/>
    <n v="62"/>
    <x v="3"/>
    <x v="5"/>
    <n v="10"/>
    <n v="10"/>
  </r>
  <r>
    <n v="2019"/>
    <n v="11"/>
    <x v="0"/>
    <x v="4"/>
    <x v="1"/>
    <s v="2019/2020"/>
    <b v="1"/>
    <b v="0"/>
    <b v="0"/>
    <x v="5"/>
    <n v="60765823000130"/>
    <x v="432"/>
    <x v="3"/>
    <x v="3"/>
    <n v="62"/>
    <x v="3"/>
    <x v="5"/>
    <n v="60"/>
    <n v="12"/>
  </r>
  <r>
    <n v="2019"/>
    <n v="11"/>
    <x v="0"/>
    <x v="4"/>
    <x v="1"/>
    <s v="2019/2020"/>
    <b v="1"/>
    <b v="0"/>
    <b v="0"/>
    <x v="5"/>
    <n v="60765823000130"/>
    <x v="432"/>
    <x v="3"/>
    <x v="3"/>
    <n v="62"/>
    <x v="3"/>
    <x v="5"/>
    <n v="26"/>
    <n v="26"/>
  </r>
  <r>
    <n v="2019"/>
    <n v="11"/>
    <x v="0"/>
    <x v="4"/>
    <x v="1"/>
    <s v="2019/2020"/>
    <b v="1"/>
    <b v="0"/>
    <b v="0"/>
    <x v="5"/>
    <n v="60765823000130"/>
    <x v="432"/>
    <x v="3"/>
    <x v="3"/>
    <n v="62"/>
    <x v="3"/>
    <x v="5"/>
    <n v="44"/>
    <n v="44"/>
  </r>
  <r>
    <n v="2019"/>
    <n v="11"/>
    <x v="0"/>
    <x v="4"/>
    <x v="1"/>
    <s v="2019/2020"/>
    <b v="1"/>
    <b v="0"/>
    <b v="0"/>
    <x v="5"/>
    <n v="60765823000130"/>
    <x v="432"/>
    <x v="3"/>
    <x v="3"/>
    <n v="62"/>
    <x v="3"/>
    <x v="5"/>
    <n v="60"/>
    <n v="60"/>
  </r>
  <r>
    <n v="2019"/>
    <n v="11"/>
    <x v="0"/>
    <x v="4"/>
    <x v="1"/>
    <s v="2019/2020"/>
    <b v="1"/>
    <b v="0"/>
    <b v="0"/>
    <x v="5"/>
    <n v="60765823000130"/>
    <x v="432"/>
    <x v="3"/>
    <x v="3"/>
    <n v="64"/>
    <x v="4"/>
    <x v="6"/>
    <n v="40"/>
    <n v="20"/>
  </r>
  <r>
    <n v="2019"/>
    <n v="11"/>
    <x v="0"/>
    <x v="4"/>
    <x v="1"/>
    <s v="2019/2020"/>
    <b v="1"/>
    <b v="0"/>
    <b v="0"/>
    <x v="5"/>
    <n v="60765823000130"/>
    <x v="432"/>
    <x v="3"/>
    <x v="3"/>
    <n v="70"/>
    <x v="0"/>
    <x v="8"/>
    <n v="25"/>
    <n v="10"/>
  </r>
  <r>
    <n v="2019"/>
    <n v="11"/>
    <x v="0"/>
    <x v="4"/>
    <x v="1"/>
    <s v="2019/2020"/>
    <b v="1"/>
    <b v="0"/>
    <b v="0"/>
    <x v="5"/>
    <n v="60765823000130"/>
    <x v="432"/>
    <x v="3"/>
    <x v="3"/>
    <n v="70"/>
    <x v="0"/>
    <x v="8"/>
    <n v="50"/>
    <n v="20"/>
  </r>
  <r>
    <n v="2019"/>
    <n v="11"/>
    <x v="0"/>
    <x v="4"/>
    <x v="1"/>
    <s v="2019/2020"/>
    <b v="1"/>
    <b v="0"/>
    <b v="0"/>
    <x v="5"/>
    <n v="60765823000130"/>
    <x v="432"/>
    <x v="3"/>
    <x v="3"/>
    <n v="73"/>
    <x v="1"/>
    <x v="2"/>
    <n v="5"/>
    <n v="5"/>
  </r>
  <r>
    <n v="2019"/>
    <n v="11"/>
    <x v="0"/>
    <x v="4"/>
    <x v="1"/>
    <s v="2019/2020"/>
    <b v="1"/>
    <b v="0"/>
    <b v="0"/>
    <x v="5"/>
    <n v="60765823000130"/>
    <x v="432"/>
    <x v="3"/>
    <x v="3"/>
    <n v="73"/>
    <x v="1"/>
    <x v="2"/>
    <n v="60"/>
    <n v="60"/>
  </r>
  <r>
    <n v="2019"/>
    <n v="11"/>
    <x v="0"/>
    <x v="4"/>
    <x v="1"/>
    <s v="2019/2020"/>
    <b v="1"/>
    <b v="0"/>
    <b v="0"/>
    <x v="5"/>
    <n v="60765823000130"/>
    <x v="432"/>
    <x v="3"/>
    <x v="3"/>
    <n v="73"/>
    <x v="1"/>
    <x v="2"/>
    <n v="65"/>
    <n v="65"/>
  </r>
  <r>
    <n v="2019"/>
    <n v="11"/>
    <x v="0"/>
    <x v="4"/>
    <x v="1"/>
    <s v="2019/2020"/>
    <b v="1"/>
    <b v="0"/>
    <b v="0"/>
    <x v="4"/>
    <n v="60777901000116"/>
    <x v="284"/>
    <x v="3"/>
    <x v="3"/>
    <n v="70"/>
    <x v="0"/>
    <x v="0"/>
    <n v="150"/>
    <n v="30"/>
  </r>
  <r>
    <n v="2019"/>
    <n v="11"/>
    <x v="0"/>
    <x v="4"/>
    <x v="1"/>
    <s v="2019/2020"/>
    <b v="1"/>
    <b v="0"/>
    <b v="0"/>
    <x v="4"/>
    <n v="60777901000116"/>
    <x v="284"/>
    <x v="3"/>
    <x v="3"/>
    <n v="70"/>
    <x v="0"/>
    <x v="0"/>
    <n v="200"/>
    <n v="40"/>
  </r>
  <r>
    <n v="2019"/>
    <n v="11"/>
    <x v="0"/>
    <x v="4"/>
    <x v="1"/>
    <s v="2019/2020"/>
    <b v="1"/>
    <b v="0"/>
    <b v="0"/>
    <x v="4"/>
    <n v="60777901000116"/>
    <x v="284"/>
    <x v="3"/>
    <x v="3"/>
    <n v="70"/>
    <x v="0"/>
    <x v="0"/>
    <n v="500"/>
    <n v="50"/>
  </r>
  <r>
    <n v="2019"/>
    <n v="11"/>
    <x v="0"/>
    <x v="4"/>
    <x v="1"/>
    <s v="2019/2020"/>
    <b v="1"/>
    <b v="0"/>
    <b v="0"/>
    <x v="4"/>
    <n v="60777901000116"/>
    <x v="284"/>
    <x v="3"/>
    <x v="3"/>
    <n v="70"/>
    <x v="0"/>
    <x v="0"/>
    <n v="300"/>
    <n v="60"/>
  </r>
  <r>
    <n v="2019"/>
    <n v="11"/>
    <x v="0"/>
    <x v="4"/>
    <x v="1"/>
    <s v="2019/2020"/>
    <b v="1"/>
    <b v="0"/>
    <b v="0"/>
    <x v="4"/>
    <n v="60884855000316"/>
    <x v="285"/>
    <x v="3"/>
    <x v="3"/>
    <n v="62"/>
    <x v="3"/>
    <x v="5"/>
    <n v="2"/>
    <n v="2"/>
  </r>
  <r>
    <n v="2019"/>
    <n v="11"/>
    <x v="0"/>
    <x v="4"/>
    <x v="1"/>
    <s v="2019/2020"/>
    <b v="1"/>
    <b v="0"/>
    <b v="0"/>
    <x v="4"/>
    <n v="60884855000316"/>
    <x v="285"/>
    <x v="3"/>
    <x v="3"/>
    <n v="62"/>
    <x v="3"/>
    <x v="5"/>
    <n v="3"/>
    <n v="3"/>
  </r>
  <r>
    <n v="2019"/>
    <n v="11"/>
    <x v="0"/>
    <x v="4"/>
    <x v="1"/>
    <s v="2019/2020"/>
    <b v="1"/>
    <b v="0"/>
    <b v="0"/>
    <x v="4"/>
    <n v="60884855000316"/>
    <x v="285"/>
    <x v="3"/>
    <x v="3"/>
    <n v="64"/>
    <x v="4"/>
    <x v="6"/>
    <n v="6"/>
    <n v="6"/>
  </r>
  <r>
    <n v="2019"/>
    <n v="11"/>
    <x v="0"/>
    <x v="4"/>
    <x v="1"/>
    <s v="2019/2020"/>
    <b v="1"/>
    <b v="0"/>
    <b v="0"/>
    <x v="4"/>
    <n v="60884855000316"/>
    <x v="285"/>
    <x v="3"/>
    <x v="3"/>
    <n v="70"/>
    <x v="0"/>
    <x v="0"/>
    <n v="200"/>
    <n v="40"/>
  </r>
  <r>
    <n v="2019"/>
    <n v="11"/>
    <x v="0"/>
    <x v="4"/>
    <x v="1"/>
    <s v="2019/2020"/>
    <b v="1"/>
    <b v="0"/>
    <b v="0"/>
    <x v="4"/>
    <n v="60884855000316"/>
    <x v="285"/>
    <x v="3"/>
    <x v="3"/>
    <n v="70"/>
    <x v="0"/>
    <x v="0"/>
    <n v="225"/>
    <n v="45"/>
  </r>
  <r>
    <n v="2019"/>
    <n v="11"/>
    <x v="0"/>
    <x v="4"/>
    <x v="1"/>
    <s v="2019/2020"/>
    <b v="1"/>
    <b v="0"/>
    <b v="0"/>
    <x v="4"/>
    <n v="60884855000316"/>
    <x v="285"/>
    <x v="3"/>
    <x v="3"/>
    <n v="70"/>
    <x v="0"/>
    <x v="0"/>
    <n v="230"/>
    <n v="46"/>
  </r>
  <r>
    <n v="2019"/>
    <n v="11"/>
    <x v="0"/>
    <x v="4"/>
    <x v="1"/>
    <s v="2019/2020"/>
    <b v="1"/>
    <b v="0"/>
    <b v="0"/>
    <x v="4"/>
    <n v="60884855000316"/>
    <x v="285"/>
    <x v="3"/>
    <x v="3"/>
    <n v="70"/>
    <x v="0"/>
    <x v="0"/>
    <n v="265"/>
    <n v="53"/>
  </r>
  <r>
    <n v="2019"/>
    <n v="11"/>
    <x v="0"/>
    <x v="4"/>
    <x v="1"/>
    <s v="2019/2020"/>
    <b v="1"/>
    <b v="0"/>
    <b v="0"/>
    <x v="4"/>
    <n v="60884855000316"/>
    <x v="285"/>
    <x v="3"/>
    <x v="3"/>
    <n v="70"/>
    <x v="0"/>
    <x v="0"/>
    <n v="285"/>
    <n v="57"/>
  </r>
  <r>
    <n v="2019"/>
    <n v="11"/>
    <x v="0"/>
    <x v="4"/>
    <x v="1"/>
    <s v="2019/2020"/>
    <b v="1"/>
    <b v="0"/>
    <b v="0"/>
    <x v="17"/>
    <n v="60884855000316"/>
    <x v="285"/>
    <x v="3"/>
    <x v="3"/>
    <n v="73"/>
    <x v="1"/>
    <x v="1"/>
    <n v="32"/>
    <n v="8"/>
  </r>
  <r>
    <n v="2019"/>
    <n v="11"/>
    <x v="0"/>
    <x v="4"/>
    <x v="1"/>
    <s v="2019/2020"/>
    <b v="1"/>
    <b v="0"/>
    <b v="0"/>
    <x v="2"/>
    <n v="60884855000316"/>
    <x v="285"/>
    <x v="3"/>
    <x v="3"/>
    <n v="73"/>
    <x v="1"/>
    <x v="1"/>
    <n v="16"/>
    <n v="8"/>
  </r>
  <r>
    <n v="2019"/>
    <n v="11"/>
    <x v="0"/>
    <x v="4"/>
    <x v="1"/>
    <s v="2019/2020"/>
    <b v="1"/>
    <b v="0"/>
    <b v="0"/>
    <x v="4"/>
    <n v="60884855001207"/>
    <x v="286"/>
    <x v="9"/>
    <x v="0"/>
    <n v="62"/>
    <x v="3"/>
    <x v="5"/>
    <n v="12"/>
    <n v="4"/>
  </r>
  <r>
    <n v="2019"/>
    <n v="11"/>
    <x v="0"/>
    <x v="4"/>
    <x v="1"/>
    <s v="2019/2020"/>
    <b v="1"/>
    <b v="0"/>
    <b v="0"/>
    <x v="4"/>
    <n v="60884855001207"/>
    <x v="286"/>
    <x v="9"/>
    <x v="0"/>
    <n v="62"/>
    <x v="3"/>
    <x v="5"/>
    <n v="6"/>
    <n v="6"/>
  </r>
  <r>
    <n v="2019"/>
    <n v="11"/>
    <x v="0"/>
    <x v="4"/>
    <x v="1"/>
    <s v="2019/2020"/>
    <b v="1"/>
    <b v="0"/>
    <b v="0"/>
    <x v="4"/>
    <n v="60884855001207"/>
    <x v="286"/>
    <x v="9"/>
    <x v="0"/>
    <n v="62"/>
    <x v="3"/>
    <x v="5"/>
    <n v="10"/>
    <n v="10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2"/>
    <n v="2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6"/>
    <n v="6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7"/>
    <n v="7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16"/>
    <n v="8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10"/>
    <n v="10"/>
  </r>
  <r>
    <n v="2019"/>
    <n v="11"/>
    <x v="0"/>
    <x v="4"/>
    <x v="1"/>
    <s v="2019/2020"/>
    <b v="1"/>
    <b v="0"/>
    <b v="0"/>
    <x v="4"/>
    <n v="60884855001207"/>
    <x v="286"/>
    <x v="9"/>
    <x v="0"/>
    <n v="64"/>
    <x v="4"/>
    <x v="6"/>
    <n v="12"/>
    <n v="12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30"/>
    <n v="6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40"/>
    <n v="8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100"/>
    <n v="20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120"/>
    <n v="24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145"/>
    <n v="29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185"/>
    <n v="37"/>
  </r>
  <r>
    <n v="2019"/>
    <n v="11"/>
    <x v="0"/>
    <x v="4"/>
    <x v="1"/>
    <s v="2019/2020"/>
    <b v="1"/>
    <b v="0"/>
    <b v="0"/>
    <x v="4"/>
    <n v="60884855001207"/>
    <x v="286"/>
    <x v="9"/>
    <x v="0"/>
    <n v="70"/>
    <x v="0"/>
    <x v="0"/>
    <n v="290"/>
    <n v="58"/>
  </r>
  <r>
    <n v="2019"/>
    <n v="11"/>
    <x v="0"/>
    <x v="4"/>
    <x v="1"/>
    <s v="2019/2020"/>
    <b v="1"/>
    <b v="0"/>
    <b v="0"/>
    <x v="4"/>
    <n v="60884855001630"/>
    <x v="287"/>
    <x v="0"/>
    <x v="0"/>
    <n v="62"/>
    <x v="3"/>
    <x v="5"/>
    <n v="4"/>
    <n v="2"/>
  </r>
  <r>
    <n v="2019"/>
    <n v="11"/>
    <x v="0"/>
    <x v="4"/>
    <x v="1"/>
    <s v="2019/2020"/>
    <b v="1"/>
    <b v="0"/>
    <b v="0"/>
    <x v="4"/>
    <n v="60884855001630"/>
    <x v="287"/>
    <x v="0"/>
    <x v="0"/>
    <n v="62"/>
    <x v="3"/>
    <x v="5"/>
    <n v="5"/>
    <n v="5"/>
  </r>
  <r>
    <n v="2019"/>
    <n v="11"/>
    <x v="0"/>
    <x v="4"/>
    <x v="1"/>
    <s v="2019/2020"/>
    <b v="1"/>
    <b v="0"/>
    <b v="0"/>
    <x v="4"/>
    <n v="60884855001630"/>
    <x v="287"/>
    <x v="0"/>
    <x v="0"/>
    <n v="62"/>
    <x v="3"/>
    <x v="5"/>
    <n v="18"/>
    <n v="9"/>
  </r>
  <r>
    <n v="2019"/>
    <n v="11"/>
    <x v="0"/>
    <x v="4"/>
    <x v="1"/>
    <s v="2019/2020"/>
    <b v="1"/>
    <b v="0"/>
    <b v="0"/>
    <x v="4"/>
    <n v="60884855001630"/>
    <x v="287"/>
    <x v="0"/>
    <x v="0"/>
    <n v="64"/>
    <x v="4"/>
    <x v="6"/>
    <n v="2"/>
    <n v="2"/>
  </r>
  <r>
    <n v="2019"/>
    <n v="11"/>
    <x v="0"/>
    <x v="4"/>
    <x v="1"/>
    <s v="2019/2020"/>
    <b v="1"/>
    <b v="0"/>
    <b v="0"/>
    <x v="4"/>
    <n v="60884855001630"/>
    <x v="287"/>
    <x v="0"/>
    <x v="0"/>
    <n v="64"/>
    <x v="4"/>
    <x v="6"/>
    <n v="3"/>
    <n v="3"/>
  </r>
  <r>
    <n v="2019"/>
    <n v="11"/>
    <x v="0"/>
    <x v="4"/>
    <x v="1"/>
    <s v="2019/2020"/>
    <b v="1"/>
    <b v="0"/>
    <b v="0"/>
    <x v="4"/>
    <n v="60884855001630"/>
    <x v="287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4"/>
    <n v="60884855001630"/>
    <x v="287"/>
    <x v="0"/>
    <x v="0"/>
    <n v="64"/>
    <x v="4"/>
    <x v="6"/>
    <n v="5"/>
    <n v="5"/>
  </r>
  <r>
    <n v="2019"/>
    <n v="11"/>
    <x v="0"/>
    <x v="4"/>
    <x v="1"/>
    <s v="2019/2020"/>
    <b v="1"/>
    <b v="0"/>
    <b v="0"/>
    <x v="4"/>
    <n v="60884855001630"/>
    <x v="287"/>
    <x v="0"/>
    <x v="0"/>
    <n v="64"/>
    <x v="4"/>
    <x v="6"/>
    <n v="6"/>
    <n v="6"/>
  </r>
  <r>
    <n v="2019"/>
    <n v="11"/>
    <x v="0"/>
    <x v="4"/>
    <x v="1"/>
    <s v="2019/2020"/>
    <b v="1"/>
    <b v="0"/>
    <b v="0"/>
    <x v="4"/>
    <n v="60884855001630"/>
    <x v="287"/>
    <x v="0"/>
    <x v="0"/>
    <n v="70"/>
    <x v="0"/>
    <x v="0"/>
    <n v="115"/>
    <n v="23"/>
  </r>
  <r>
    <n v="2019"/>
    <n v="11"/>
    <x v="0"/>
    <x v="4"/>
    <x v="1"/>
    <s v="2019/2020"/>
    <b v="1"/>
    <b v="0"/>
    <b v="0"/>
    <x v="4"/>
    <n v="60884855001630"/>
    <x v="287"/>
    <x v="0"/>
    <x v="0"/>
    <n v="70"/>
    <x v="0"/>
    <x v="0"/>
    <n v="140"/>
    <n v="28"/>
  </r>
  <r>
    <n v="2019"/>
    <n v="11"/>
    <x v="0"/>
    <x v="4"/>
    <x v="1"/>
    <s v="2019/2020"/>
    <b v="1"/>
    <b v="0"/>
    <b v="0"/>
    <x v="4"/>
    <n v="60884855002289"/>
    <x v="288"/>
    <x v="4"/>
    <x v="4"/>
    <n v="62"/>
    <x v="3"/>
    <x v="5"/>
    <n v="4"/>
    <n v="4"/>
  </r>
  <r>
    <n v="2019"/>
    <n v="11"/>
    <x v="0"/>
    <x v="4"/>
    <x v="1"/>
    <s v="2019/2020"/>
    <b v="1"/>
    <b v="0"/>
    <b v="0"/>
    <x v="4"/>
    <n v="60884855002289"/>
    <x v="288"/>
    <x v="4"/>
    <x v="4"/>
    <n v="62"/>
    <x v="3"/>
    <x v="5"/>
    <n v="5"/>
    <n v="5"/>
  </r>
  <r>
    <n v="2019"/>
    <n v="11"/>
    <x v="0"/>
    <x v="4"/>
    <x v="1"/>
    <s v="2019/2020"/>
    <b v="1"/>
    <b v="0"/>
    <b v="0"/>
    <x v="4"/>
    <n v="60884855002289"/>
    <x v="288"/>
    <x v="4"/>
    <x v="4"/>
    <n v="62"/>
    <x v="3"/>
    <x v="5"/>
    <n v="10"/>
    <n v="10"/>
  </r>
  <r>
    <n v="2019"/>
    <n v="11"/>
    <x v="0"/>
    <x v="4"/>
    <x v="1"/>
    <s v="2019/2020"/>
    <b v="1"/>
    <b v="0"/>
    <b v="0"/>
    <x v="4"/>
    <n v="60884855002289"/>
    <x v="288"/>
    <x v="4"/>
    <x v="4"/>
    <n v="64"/>
    <x v="4"/>
    <x v="6"/>
    <n v="15"/>
    <n v="5"/>
  </r>
  <r>
    <n v="2019"/>
    <n v="11"/>
    <x v="0"/>
    <x v="4"/>
    <x v="1"/>
    <s v="2019/2020"/>
    <b v="1"/>
    <b v="0"/>
    <b v="0"/>
    <x v="4"/>
    <n v="60884855002289"/>
    <x v="288"/>
    <x v="4"/>
    <x v="4"/>
    <n v="64"/>
    <x v="4"/>
    <x v="6"/>
    <n v="13"/>
    <n v="13"/>
  </r>
  <r>
    <n v="2019"/>
    <n v="11"/>
    <x v="0"/>
    <x v="4"/>
    <x v="1"/>
    <s v="2019/2020"/>
    <b v="1"/>
    <b v="0"/>
    <b v="0"/>
    <x v="4"/>
    <n v="60884855002289"/>
    <x v="288"/>
    <x v="4"/>
    <x v="4"/>
    <n v="70"/>
    <x v="0"/>
    <x v="0"/>
    <n v="75"/>
    <n v="15"/>
  </r>
  <r>
    <n v="2019"/>
    <n v="11"/>
    <x v="0"/>
    <x v="4"/>
    <x v="1"/>
    <s v="2019/2020"/>
    <b v="1"/>
    <b v="0"/>
    <b v="0"/>
    <x v="10"/>
    <n v="60922168000348"/>
    <x v="289"/>
    <x v="0"/>
    <x v="0"/>
    <n v="64"/>
    <x v="4"/>
    <x v="6"/>
    <n v="4"/>
    <n v="4"/>
  </r>
  <r>
    <n v="2019"/>
    <n v="11"/>
    <x v="0"/>
    <x v="4"/>
    <x v="1"/>
    <s v="2019/2020"/>
    <b v="1"/>
    <b v="0"/>
    <b v="0"/>
    <x v="10"/>
    <n v="60922168000348"/>
    <x v="289"/>
    <x v="0"/>
    <x v="0"/>
    <n v="64"/>
    <x v="4"/>
    <x v="6"/>
    <n v="8"/>
    <n v="8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15"/>
    <n v="1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30"/>
    <n v="3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7"/>
    <n v="60"/>
    <n v="6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60"/>
    <n v="6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40"/>
    <n v="8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100"/>
    <n v="10"/>
  </r>
  <r>
    <n v="2019"/>
    <n v="11"/>
    <x v="0"/>
    <x v="4"/>
    <x v="1"/>
    <s v="2019/2020"/>
    <b v="1"/>
    <b v="0"/>
    <b v="0"/>
    <x v="10"/>
    <n v="60922168000348"/>
    <x v="289"/>
    <x v="0"/>
    <x v="0"/>
    <n v="70"/>
    <x v="0"/>
    <x v="0"/>
    <n v="75"/>
    <n v="15"/>
  </r>
  <r>
    <n v="2019"/>
    <n v="11"/>
    <x v="0"/>
    <x v="4"/>
    <x v="1"/>
    <s v="2019/2020"/>
    <b v="1"/>
    <b v="0"/>
    <b v="0"/>
    <x v="2"/>
    <n v="60922168000771"/>
    <x v="290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2"/>
    <n v="60922168000771"/>
    <x v="290"/>
    <x v="3"/>
    <x v="3"/>
    <n v="62"/>
    <x v="3"/>
    <x v="5"/>
    <n v="9"/>
    <n v="9"/>
  </r>
  <r>
    <n v="2019"/>
    <n v="11"/>
    <x v="0"/>
    <x v="4"/>
    <x v="1"/>
    <s v="2019/2020"/>
    <b v="1"/>
    <b v="0"/>
    <b v="0"/>
    <x v="3"/>
    <n v="60922168000771"/>
    <x v="290"/>
    <x v="3"/>
    <x v="3"/>
    <n v="70"/>
    <x v="0"/>
    <x v="0"/>
    <n v="5"/>
    <n v="1"/>
  </r>
  <r>
    <n v="2019"/>
    <n v="11"/>
    <x v="0"/>
    <x v="4"/>
    <x v="1"/>
    <s v="2019/2020"/>
    <b v="1"/>
    <b v="0"/>
    <b v="0"/>
    <x v="17"/>
    <n v="60922168000771"/>
    <x v="290"/>
    <x v="3"/>
    <x v="3"/>
    <n v="70"/>
    <x v="0"/>
    <x v="0"/>
    <n v="5"/>
    <n v="1"/>
  </r>
  <r>
    <n v="2019"/>
    <n v="11"/>
    <x v="0"/>
    <x v="4"/>
    <x v="1"/>
    <s v="2019/2020"/>
    <b v="1"/>
    <b v="0"/>
    <b v="0"/>
    <x v="10"/>
    <n v="60922168000771"/>
    <x v="290"/>
    <x v="3"/>
    <x v="3"/>
    <n v="70"/>
    <x v="0"/>
    <x v="7"/>
    <n v="10"/>
    <n v="1"/>
  </r>
  <r>
    <n v="2019"/>
    <n v="11"/>
    <x v="0"/>
    <x v="4"/>
    <x v="1"/>
    <s v="2019/2020"/>
    <b v="1"/>
    <b v="0"/>
    <b v="0"/>
    <x v="6"/>
    <n v="60922168000771"/>
    <x v="290"/>
    <x v="3"/>
    <x v="3"/>
    <n v="70"/>
    <x v="0"/>
    <x v="7"/>
    <n v="20"/>
    <n v="2"/>
  </r>
  <r>
    <n v="2019"/>
    <n v="11"/>
    <x v="0"/>
    <x v="4"/>
    <x v="1"/>
    <s v="2019/2020"/>
    <b v="1"/>
    <b v="0"/>
    <b v="0"/>
    <x v="6"/>
    <n v="60922168000771"/>
    <x v="290"/>
    <x v="3"/>
    <x v="3"/>
    <n v="70"/>
    <x v="0"/>
    <x v="7"/>
    <n v="60"/>
    <n v="6"/>
  </r>
  <r>
    <n v="2019"/>
    <n v="11"/>
    <x v="0"/>
    <x v="4"/>
    <x v="1"/>
    <s v="2019/2020"/>
    <b v="1"/>
    <b v="0"/>
    <b v="0"/>
    <x v="3"/>
    <n v="60922168000771"/>
    <x v="290"/>
    <x v="3"/>
    <x v="3"/>
    <n v="73"/>
    <x v="1"/>
    <x v="1"/>
    <n v="2"/>
    <n v="1"/>
  </r>
  <r>
    <n v="2019"/>
    <n v="11"/>
    <x v="0"/>
    <x v="4"/>
    <x v="1"/>
    <s v="2019/2020"/>
    <b v="1"/>
    <b v="0"/>
    <b v="0"/>
    <x v="6"/>
    <n v="60922168000771"/>
    <x v="290"/>
    <x v="3"/>
    <x v="3"/>
    <n v="73"/>
    <x v="1"/>
    <x v="1"/>
    <n v="2"/>
    <n v="1"/>
  </r>
  <r>
    <n v="2019"/>
    <n v="11"/>
    <x v="0"/>
    <x v="4"/>
    <x v="1"/>
    <s v="2019/2020"/>
    <b v="1"/>
    <b v="0"/>
    <b v="0"/>
    <x v="2"/>
    <n v="60922168000771"/>
    <x v="290"/>
    <x v="3"/>
    <x v="3"/>
    <n v="73"/>
    <x v="1"/>
    <x v="2"/>
    <n v="2"/>
    <n v="2"/>
  </r>
  <r>
    <n v="2019"/>
    <n v="11"/>
    <x v="0"/>
    <x v="4"/>
    <x v="1"/>
    <s v="2019/2020"/>
    <b v="1"/>
    <b v="0"/>
    <b v="0"/>
    <x v="21"/>
    <n v="60922168005226"/>
    <x v="292"/>
    <x v="87"/>
    <x v="10"/>
    <n v="62"/>
    <x v="3"/>
    <x v="5"/>
    <n v="2"/>
    <n v="2"/>
  </r>
  <r>
    <n v="2019"/>
    <n v="11"/>
    <x v="0"/>
    <x v="4"/>
    <x v="1"/>
    <s v="2019/2020"/>
    <b v="1"/>
    <b v="0"/>
    <b v="0"/>
    <x v="7"/>
    <n v="60922168005226"/>
    <x v="292"/>
    <x v="87"/>
    <x v="10"/>
    <n v="64"/>
    <x v="4"/>
    <x v="6"/>
    <n v="2"/>
    <n v="2"/>
  </r>
  <r>
    <n v="2019"/>
    <n v="11"/>
    <x v="0"/>
    <x v="4"/>
    <x v="1"/>
    <s v="2019/2020"/>
    <b v="1"/>
    <b v="0"/>
    <b v="0"/>
    <x v="17"/>
    <n v="60961422000155"/>
    <x v="293"/>
    <x v="3"/>
    <x v="3"/>
    <n v="62"/>
    <x v="3"/>
    <x v="5"/>
    <n v="5"/>
    <n v="1"/>
  </r>
  <r>
    <n v="2019"/>
    <n v="11"/>
    <x v="0"/>
    <x v="4"/>
    <x v="1"/>
    <s v="2019/2020"/>
    <b v="1"/>
    <b v="0"/>
    <b v="0"/>
    <x v="17"/>
    <n v="60961422000155"/>
    <x v="293"/>
    <x v="3"/>
    <x v="3"/>
    <n v="62"/>
    <x v="3"/>
    <x v="5"/>
    <n v="2"/>
    <n v="2"/>
  </r>
  <r>
    <n v="2019"/>
    <n v="11"/>
    <x v="0"/>
    <x v="4"/>
    <x v="1"/>
    <s v="2019/2020"/>
    <b v="1"/>
    <b v="0"/>
    <b v="0"/>
    <x v="17"/>
    <n v="60961422000155"/>
    <x v="293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17"/>
    <n v="60961422000155"/>
    <x v="293"/>
    <x v="3"/>
    <x v="3"/>
    <n v="64"/>
    <x v="4"/>
    <x v="6"/>
    <n v="4"/>
    <n v="1"/>
  </r>
  <r>
    <n v="2019"/>
    <n v="11"/>
    <x v="0"/>
    <x v="4"/>
    <x v="1"/>
    <s v="2019/2020"/>
    <b v="1"/>
    <b v="0"/>
    <b v="0"/>
    <x v="4"/>
    <n v="60961422000155"/>
    <x v="293"/>
    <x v="3"/>
    <x v="3"/>
    <n v="70"/>
    <x v="0"/>
    <x v="0"/>
    <n v="20"/>
    <n v="4"/>
  </r>
  <r>
    <n v="2019"/>
    <n v="11"/>
    <x v="0"/>
    <x v="4"/>
    <x v="1"/>
    <s v="2019/2020"/>
    <b v="1"/>
    <b v="0"/>
    <b v="0"/>
    <x v="6"/>
    <n v="60975737000232"/>
    <x v="434"/>
    <x v="3"/>
    <x v="3"/>
    <n v="62"/>
    <x v="3"/>
    <x v="5"/>
    <n v="3"/>
    <n v="3"/>
  </r>
  <r>
    <n v="2019"/>
    <n v="11"/>
    <x v="0"/>
    <x v="4"/>
    <x v="1"/>
    <s v="2019/2020"/>
    <b v="1"/>
    <b v="0"/>
    <b v="0"/>
    <x v="6"/>
    <n v="60975737000232"/>
    <x v="434"/>
    <x v="3"/>
    <x v="3"/>
    <n v="62"/>
    <x v="3"/>
    <x v="5"/>
    <n v="5"/>
    <n v="5"/>
  </r>
  <r>
    <n v="2019"/>
    <n v="11"/>
    <x v="0"/>
    <x v="4"/>
    <x v="1"/>
    <s v="2019/2020"/>
    <b v="1"/>
    <b v="0"/>
    <b v="0"/>
    <x v="6"/>
    <n v="60975737001204"/>
    <x v="296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4"/>
    <n v="60975737003509"/>
    <x v="297"/>
    <x v="32"/>
    <x v="18"/>
    <n v="62"/>
    <x v="3"/>
    <x v="5"/>
    <n v="1"/>
    <n v="1"/>
  </r>
  <r>
    <n v="2019"/>
    <n v="11"/>
    <x v="0"/>
    <x v="4"/>
    <x v="1"/>
    <s v="2019/2020"/>
    <b v="1"/>
    <b v="0"/>
    <b v="0"/>
    <x v="4"/>
    <n v="60975737003509"/>
    <x v="297"/>
    <x v="32"/>
    <x v="18"/>
    <n v="62"/>
    <x v="3"/>
    <x v="5"/>
    <n v="3"/>
    <n v="3"/>
  </r>
  <r>
    <n v="2019"/>
    <n v="11"/>
    <x v="0"/>
    <x v="4"/>
    <x v="1"/>
    <s v="2019/2020"/>
    <b v="1"/>
    <b v="0"/>
    <b v="0"/>
    <x v="4"/>
    <n v="60975737003509"/>
    <x v="297"/>
    <x v="32"/>
    <x v="18"/>
    <n v="62"/>
    <x v="3"/>
    <x v="5"/>
    <n v="8"/>
    <n v="4"/>
  </r>
  <r>
    <n v="2019"/>
    <n v="11"/>
    <x v="0"/>
    <x v="4"/>
    <x v="1"/>
    <s v="2019/2020"/>
    <b v="1"/>
    <b v="0"/>
    <b v="0"/>
    <x v="4"/>
    <n v="60975737003509"/>
    <x v="297"/>
    <x v="32"/>
    <x v="18"/>
    <n v="64"/>
    <x v="4"/>
    <x v="6"/>
    <n v="4"/>
    <n v="4"/>
  </r>
  <r>
    <n v="2019"/>
    <n v="11"/>
    <x v="0"/>
    <x v="4"/>
    <x v="1"/>
    <s v="2019/2020"/>
    <b v="1"/>
    <b v="0"/>
    <b v="0"/>
    <x v="11"/>
    <n v="60975737003509"/>
    <x v="297"/>
    <x v="32"/>
    <x v="18"/>
    <n v="64"/>
    <x v="4"/>
    <x v="6"/>
    <n v="4"/>
    <n v="4"/>
  </r>
  <r>
    <n v="2019"/>
    <n v="11"/>
    <x v="0"/>
    <x v="4"/>
    <x v="1"/>
    <s v="2019/2020"/>
    <b v="1"/>
    <b v="0"/>
    <b v="0"/>
    <x v="7"/>
    <n v="60975737003509"/>
    <x v="297"/>
    <x v="32"/>
    <x v="18"/>
    <n v="64"/>
    <x v="4"/>
    <x v="6"/>
    <n v="9"/>
    <n v="9"/>
  </r>
  <r>
    <n v="2019"/>
    <n v="11"/>
    <x v="0"/>
    <x v="4"/>
    <x v="1"/>
    <s v="2019/2020"/>
    <b v="1"/>
    <b v="0"/>
    <b v="0"/>
    <x v="7"/>
    <n v="60975737003509"/>
    <x v="297"/>
    <x v="32"/>
    <x v="18"/>
    <n v="73"/>
    <x v="1"/>
    <x v="1"/>
    <n v="2"/>
    <n v="1"/>
  </r>
  <r>
    <n v="2019"/>
    <n v="11"/>
    <x v="0"/>
    <x v="4"/>
    <x v="1"/>
    <s v="2019/2020"/>
    <b v="1"/>
    <b v="0"/>
    <b v="0"/>
    <x v="7"/>
    <n v="60975737003509"/>
    <x v="297"/>
    <x v="32"/>
    <x v="18"/>
    <n v="73"/>
    <x v="1"/>
    <x v="2"/>
    <n v="1"/>
    <n v="1"/>
  </r>
  <r>
    <n v="2019"/>
    <n v="11"/>
    <x v="0"/>
    <x v="4"/>
    <x v="1"/>
    <s v="2019/2020"/>
    <b v="1"/>
    <b v="0"/>
    <b v="0"/>
    <x v="6"/>
    <n v="60975737005110"/>
    <x v="435"/>
    <x v="3"/>
    <x v="3"/>
    <n v="62"/>
    <x v="3"/>
    <x v="5"/>
    <n v="2"/>
    <n v="2"/>
  </r>
  <r>
    <n v="2019"/>
    <n v="11"/>
    <x v="0"/>
    <x v="4"/>
    <x v="1"/>
    <s v="2019/2020"/>
    <b v="1"/>
    <b v="0"/>
    <b v="0"/>
    <x v="6"/>
    <n v="60975737005110"/>
    <x v="435"/>
    <x v="3"/>
    <x v="3"/>
    <n v="64"/>
    <x v="4"/>
    <x v="6"/>
    <n v="2"/>
    <n v="2"/>
  </r>
  <r>
    <n v="2019"/>
    <n v="11"/>
    <x v="0"/>
    <x v="4"/>
    <x v="1"/>
    <s v="2019/2020"/>
    <b v="1"/>
    <b v="0"/>
    <b v="0"/>
    <x v="17"/>
    <n v="60979457000111"/>
    <x v="608"/>
    <x v="3"/>
    <x v="3"/>
    <n v="70"/>
    <x v="0"/>
    <x v="0"/>
    <n v="20"/>
    <n v="4"/>
  </r>
  <r>
    <n v="2019"/>
    <n v="11"/>
    <x v="0"/>
    <x v="4"/>
    <x v="1"/>
    <s v="2019/2020"/>
    <b v="1"/>
    <b v="0"/>
    <b v="0"/>
    <x v="11"/>
    <n v="60992427000650"/>
    <x v="507"/>
    <x v="3"/>
    <x v="3"/>
    <n v="64"/>
    <x v="4"/>
    <x v="6"/>
    <n v="3"/>
    <n v="3"/>
  </r>
  <r>
    <n v="2019"/>
    <n v="11"/>
    <x v="0"/>
    <x v="4"/>
    <x v="1"/>
    <s v="2019/2020"/>
    <b v="1"/>
    <b v="0"/>
    <b v="0"/>
    <x v="11"/>
    <n v="60992427000650"/>
    <x v="507"/>
    <x v="3"/>
    <x v="3"/>
    <n v="64"/>
    <x v="4"/>
    <x v="6"/>
    <n v="8"/>
    <n v="8"/>
  </r>
  <r>
    <n v="2019"/>
    <n v="11"/>
    <x v="0"/>
    <x v="4"/>
    <x v="1"/>
    <s v="2019/2020"/>
    <b v="1"/>
    <b v="0"/>
    <b v="0"/>
    <x v="4"/>
    <n v="61213674000240"/>
    <x v="298"/>
    <x v="3"/>
    <x v="3"/>
    <n v="62"/>
    <x v="3"/>
    <x v="5"/>
    <n v="3"/>
    <n v="3"/>
  </r>
  <r>
    <n v="2019"/>
    <n v="11"/>
    <x v="0"/>
    <x v="4"/>
    <x v="1"/>
    <s v="2019/2020"/>
    <b v="1"/>
    <b v="0"/>
    <b v="0"/>
    <x v="17"/>
    <n v="61213674000240"/>
    <x v="298"/>
    <x v="3"/>
    <x v="3"/>
    <n v="62"/>
    <x v="3"/>
    <x v="5"/>
    <n v="4"/>
    <n v="2"/>
  </r>
  <r>
    <n v="2019"/>
    <n v="11"/>
    <x v="0"/>
    <x v="4"/>
    <x v="1"/>
    <s v="2019/2020"/>
    <b v="1"/>
    <b v="0"/>
    <b v="0"/>
    <x v="17"/>
    <n v="61213674000240"/>
    <x v="298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17"/>
    <n v="61213674000240"/>
    <x v="298"/>
    <x v="3"/>
    <x v="3"/>
    <n v="62"/>
    <x v="3"/>
    <x v="5"/>
    <n v="5"/>
    <n v="5"/>
  </r>
  <r>
    <n v="2019"/>
    <n v="11"/>
    <x v="0"/>
    <x v="4"/>
    <x v="1"/>
    <s v="2019/2020"/>
    <b v="1"/>
    <b v="0"/>
    <b v="0"/>
    <x v="6"/>
    <n v="61213674000240"/>
    <x v="298"/>
    <x v="3"/>
    <x v="3"/>
    <n v="64"/>
    <x v="4"/>
    <x v="6"/>
    <n v="3"/>
    <n v="1"/>
  </r>
  <r>
    <n v="2019"/>
    <n v="11"/>
    <x v="0"/>
    <x v="4"/>
    <x v="1"/>
    <s v="2019/2020"/>
    <b v="1"/>
    <b v="0"/>
    <b v="0"/>
    <x v="6"/>
    <n v="61213674000240"/>
    <x v="298"/>
    <x v="3"/>
    <x v="3"/>
    <n v="64"/>
    <x v="4"/>
    <x v="6"/>
    <n v="2"/>
    <n v="2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4"/>
    <n v="12"/>
    <n v="3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1"/>
    <n v="8"/>
    <n v="4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2"/>
    <n v="4"/>
    <n v="4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1"/>
    <n v="10"/>
    <n v="5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4"/>
    <n v="20"/>
    <n v="5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2"/>
    <n v="5"/>
    <n v="5"/>
  </r>
  <r>
    <n v="2019"/>
    <n v="11"/>
    <x v="0"/>
    <x v="4"/>
    <x v="1"/>
    <s v="2019/2020"/>
    <b v="1"/>
    <b v="0"/>
    <b v="0"/>
    <x v="17"/>
    <n v="61213674000240"/>
    <x v="298"/>
    <x v="3"/>
    <x v="3"/>
    <n v="73"/>
    <x v="1"/>
    <x v="4"/>
    <n v="24"/>
    <n v="6"/>
  </r>
  <r>
    <n v="2019"/>
    <n v="11"/>
    <x v="0"/>
    <x v="4"/>
    <x v="1"/>
    <s v="2019/2020"/>
    <b v="1"/>
    <b v="0"/>
    <b v="0"/>
    <x v="6"/>
    <n v="61213674000240"/>
    <x v="298"/>
    <x v="3"/>
    <x v="3"/>
    <n v="73"/>
    <x v="1"/>
    <x v="2"/>
    <n v="3"/>
    <n v="3"/>
  </r>
  <r>
    <n v="2019"/>
    <n v="11"/>
    <x v="0"/>
    <x v="4"/>
    <x v="1"/>
    <s v="2019/2020"/>
    <b v="1"/>
    <b v="0"/>
    <b v="0"/>
    <x v="6"/>
    <n v="61213674000240"/>
    <x v="298"/>
    <x v="3"/>
    <x v="3"/>
    <n v="73"/>
    <x v="1"/>
    <x v="4"/>
    <n v="24"/>
    <n v="6"/>
  </r>
  <r>
    <n v="2019"/>
    <n v="11"/>
    <x v="0"/>
    <x v="4"/>
    <x v="1"/>
    <s v="2019/2020"/>
    <b v="1"/>
    <b v="0"/>
    <b v="0"/>
    <x v="5"/>
    <n v="61590410000124"/>
    <x v="299"/>
    <x v="3"/>
    <x v="3"/>
    <n v="62"/>
    <x v="3"/>
    <x v="5"/>
    <n v="4"/>
    <n v="4"/>
  </r>
  <r>
    <n v="2019"/>
    <n v="11"/>
    <x v="0"/>
    <x v="4"/>
    <x v="1"/>
    <s v="2019/2020"/>
    <b v="1"/>
    <b v="0"/>
    <b v="0"/>
    <x v="5"/>
    <n v="61590410000124"/>
    <x v="299"/>
    <x v="3"/>
    <x v="3"/>
    <n v="64"/>
    <x v="4"/>
    <x v="6"/>
    <n v="10"/>
    <n v="5"/>
  </r>
  <r>
    <n v="2019"/>
    <n v="11"/>
    <x v="0"/>
    <x v="4"/>
    <x v="1"/>
    <s v="2019/2020"/>
    <b v="1"/>
    <b v="0"/>
    <b v="0"/>
    <x v="5"/>
    <n v="61590410000124"/>
    <x v="299"/>
    <x v="3"/>
    <x v="3"/>
    <n v="64"/>
    <x v="4"/>
    <x v="6"/>
    <n v="10"/>
    <n v="10"/>
  </r>
  <r>
    <n v="2019"/>
    <n v="11"/>
    <x v="0"/>
    <x v="4"/>
    <x v="1"/>
    <s v="2019/2020"/>
    <b v="1"/>
    <b v="0"/>
    <b v="0"/>
    <x v="5"/>
    <n v="61599908000158"/>
    <x v="302"/>
    <x v="3"/>
    <x v="3"/>
    <n v="62"/>
    <x v="3"/>
    <x v="5"/>
    <n v="20"/>
    <n v="10"/>
  </r>
  <r>
    <n v="2019"/>
    <n v="11"/>
    <x v="0"/>
    <x v="4"/>
    <x v="1"/>
    <s v="2019/2020"/>
    <b v="1"/>
    <b v="0"/>
    <b v="0"/>
    <x v="5"/>
    <n v="61599908000158"/>
    <x v="302"/>
    <x v="3"/>
    <x v="3"/>
    <n v="62"/>
    <x v="3"/>
    <x v="5"/>
    <n v="18"/>
    <n v="18"/>
  </r>
  <r>
    <n v="2019"/>
    <n v="11"/>
    <x v="0"/>
    <x v="4"/>
    <x v="1"/>
    <s v="2019/2020"/>
    <b v="1"/>
    <b v="0"/>
    <b v="0"/>
    <x v="5"/>
    <n v="61599908000158"/>
    <x v="302"/>
    <x v="3"/>
    <x v="3"/>
    <n v="62"/>
    <x v="3"/>
    <x v="5"/>
    <n v="20"/>
    <n v="20"/>
  </r>
  <r>
    <n v="2019"/>
    <n v="11"/>
    <x v="0"/>
    <x v="4"/>
    <x v="1"/>
    <s v="2019/2020"/>
    <b v="1"/>
    <b v="0"/>
    <b v="0"/>
    <x v="5"/>
    <n v="61599908000158"/>
    <x v="302"/>
    <x v="3"/>
    <x v="3"/>
    <n v="62"/>
    <x v="3"/>
    <x v="5"/>
    <n v="60"/>
    <n v="30"/>
  </r>
  <r>
    <n v="2019"/>
    <n v="11"/>
    <x v="0"/>
    <x v="4"/>
    <x v="1"/>
    <s v="2019/2020"/>
    <b v="1"/>
    <b v="0"/>
    <b v="0"/>
    <x v="5"/>
    <n v="61599908000158"/>
    <x v="302"/>
    <x v="3"/>
    <x v="3"/>
    <n v="62"/>
    <x v="3"/>
    <x v="5"/>
    <n v="50"/>
    <n v="50"/>
  </r>
  <r>
    <n v="2019"/>
    <n v="11"/>
    <x v="0"/>
    <x v="4"/>
    <x v="1"/>
    <s v="2019/2020"/>
    <b v="1"/>
    <b v="0"/>
    <b v="0"/>
    <x v="5"/>
    <n v="61599908000158"/>
    <x v="302"/>
    <x v="3"/>
    <x v="3"/>
    <n v="64"/>
    <x v="4"/>
    <x v="6"/>
    <n v="20"/>
    <n v="20"/>
  </r>
  <r>
    <n v="2019"/>
    <n v="11"/>
    <x v="0"/>
    <x v="4"/>
    <x v="1"/>
    <s v="2019/2020"/>
    <b v="1"/>
    <b v="0"/>
    <b v="0"/>
    <x v="5"/>
    <n v="61599908000158"/>
    <x v="302"/>
    <x v="3"/>
    <x v="3"/>
    <n v="64"/>
    <x v="4"/>
    <x v="6"/>
    <n v="60"/>
    <n v="30"/>
  </r>
  <r>
    <n v="2019"/>
    <n v="11"/>
    <x v="0"/>
    <x v="4"/>
    <x v="1"/>
    <s v="2019/2020"/>
    <b v="1"/>
    <b v="0"/>
    <b v="0"/>
    <x v="5"/>
    <n v="61599908000158"/>
    <x v="302"/>
    <x v="3"/>
    <x v="3"/>
    <n v="64"/>
    <x v="4"/>
    <x v="6"/>
    <n v="100"/>
    <n v="50"/>
  </r>
  <r>
    <n v="2019"/>
    <n v="11"/>
    <x v="0"/>
    <x v="4"/>
    <x v="1"/>
    <s v="2019/2020"/>
    <b v="1"/>
    <b v="0"/>
    <b v="0"/>
    <x v="17"/>
    <n v="61699567000869"/>
    <x v="609"/>
    <x v="147"/>
    <x v="3"/>
    <n v="70"/>
    <x v="0"/>
    <x v="0"/>
    <n v="160"/>
    <n v="32"/>
  </r>
  <r>
    <n v="2019"/>
    <n v="11"/>
    <x v="0"/>
    <x v="4"/>
    <x v="1"/>
    <s v="2019/2020"/>
    <b v="1"/>
    <b v="0"/>
    <b v="0"/>
    <x v="17"/>
    <n v="61699567008924"/>
    <x v="610"/>
    <x v="154"/>
    <x v="3"/>
    <n v="70"/>
    <x v="0"/>
    <x v="0"/>
    <n v="30"/>
    <n v="6"/>
  </r>
  <r>
    <n v="2019"/>
    <n v="11"/>
    <x v="0"/>
    <x v="4"/>
    <x v="1"/>
    <s v="2019/2020"/>
    <b v="1"/>
    <b v="0"/>
    <b v="0"/>
    <x v="10"/>
    <n v="68709211000212"/>
    <x v="307"/>
    <x v="68"/>
    <x v="0"/>
    <n v="70"/>
    <x v="0"/>
    <x v="0"/>
    <n v="5"/>
    <n v="1"/>
  </r>
  <r>
    <n v="2019"/>
    <n v="11"/>
    <x v="0"/>
    <x v="4"/>
    <x v="1"/>
    <s v="2019/2020"/>
    <b v="1"/>
    <b v="0"/>
    <b v="0"/>
    <x v="10"/>
    <n v="68709211000212"/>
    <x v="307"/>
    <x v="68"/>
    <x v="0"/>
    <n v="70"/>
    <x v="0"/>
    <x v="0"/>
    <n v="30"/>
    <n v="6"/>
  </r>
  <r>
    <n v="2019"/>
    <n v="11"/>
    <x v="0"/>
    <x v="4"/>
    <x v="1"/>
    <s v="2019/2020"/>
    <b v="1"/>
    <b v="0"/>
    <b v="0"/>
    <x v="10"/>
    <n v="68709211000212"/>
    <x v="307"/>
    <x v="68"/>
    <x v="0"/>
    <n v="70"/>
    <x v="0"/>
    <x v="7"/>
    <n v="440"/>
    <n v="44"/>
  </r>
  <r>
    <n v="2019"/>
    <n v="11"/>
    <x v="0"/>
    <x v="4"/>
    <x v="1"/>
    <s v="2019/2020"/>
    <b v="1"/>
    <b v="0"/>
    <b v="0"/>
    <x v="7"/>
    <n v="72101124000506"/>
    <x v="308"/>
    <x v="0"/>
    <x v="0"/>
    <n v="70"/>
    <x v="0"/>
    <x v="0"/>
    <n v="50"/>
    <n v="5"/>
  </r>
  <r>
    <n v="2019"/>
    <n v="11"/>
    <x v="0"/>
    <x v="4"/>
    <x v="1"/>
    <s v="2019/2020"/>
    <b v="1"/>
    <b v="0"/>
    <b v="0"/>
    <x v="7"/>
    <n v="72101124000506"/>
    <x v="308"/>
    <x v="0"/>
    <x v="0"/>
    <n v="70"/>
    <x v="0"/>
    <x v="0"/>
    <n v="85"/>
    <n v="17"/>
  </r>
  <r>
    <n v="2019"/>
    <n v="11"/>
    <x v="0"/>
    <x v="4"/>
    <x v="1"/>
    <s v="2019/2020"/>
    <b v="1"/>
    <b v="0"/>
    <b v="0"/>
    <x v="7"/>
    <n v="72101124000506"/>
    <x v="308"/>
    <x v="0"/>
    <x v="0"/>
    <n v="70"/>
    <x v="0"/>
    <x v="0"/>
    <n v="145"/>
    <n v="29"/>
  </r>
  <r>
    <n v="2019"/>
    <n v="11"/>
    <x v="0"/>
    <x v="4"/>
    <x v="1"/>
    <s v="2019/2020"/>
    <b v="1"/>
    <b v="0"/>
    <b v="0"/>
    <x v="7"/>
    <n v="72101124000506"/>
    <x v="308"/>
    <x v="0"/>
    <x v="0"/>
    <n v="73"/>
    <x v="1"/>
    <x v="1"/>
    <n v="2"/>
    <n v="1"/>
  </r>
  <r>
    <n v="2019"/>
    <n v="11"/>
    <x v="0"/>
    <x v="4"/>
    <x v="1"/>
    <s v="2019/2020"/>
    <b v="1"/>
    <b v="0"/>
    <b v="0"/>
    <x v="7"/>
    <n v="72101124000506"/>
    <x v="308"/>
    <x v="0"/>
    <x v="0"/>
    <n v="73"/>
    <x v="1"/>
    <x v="2"/>
    <n v="1"/>
    <n v="1"/>
  </r>
  <r>
    <n v="2019"/>
    <n v="11"/>
    <x v="0"/>
    <x v="4"/>
    <x v="1"/>
    <s v="2019/2020"/>
    <b v="1"/>
    <b v="0"/>
    <b v="0"/>
    <x v="7"/>
    <n v="72101124000506"/>
    <x v="308"/>
    <x v="0"/>
    <x v="0"/>
    <n v="73"/>
    <x v="1"/>
    <x v="1"/>
    <n v="4"/>
    <n v="2"/>
  </r>
  <r>
    <n v="2019"/>
    <n v="11"/>
    <x v="0"/>
    <x v="4"/>
    <x v="1"/>
    <s v="2019/2020"/>
    <b v="1"/>
    <b v="0"/>
    <b v="0"/>
    <x v="7"/>
    <n v="72101124000506"/>
    <x v="308"/>
    <x v="0"/>
    <x v="0"/>
    <n v="73"/>
    <x v="1"/>
    <x v="4"/>
    <n v="24"/>
    <n v="2"/>
  </r>
  <r>
    <n v="2019"/>
    <n v="11"/>
    <x v="0"/>
    <x v="4"/>
    <x v="1"/>
    <s v="2019/2020"/>
    <b v="1"/>
    <b v="0"/>
    <b v="0"/>
    <x v="7"/>
    <n v="72101124000506"/>
    <x v="308"/>
    <x v="0"/>
    <x v="0"/>
    <n v="73"/>
    <x v="1"/>
    <x v="4"/>
    <n v="24"/>
    <n v="6"/>
  </r>
  <r>
    <n v="2019"/>
    <n v="11"/>
    <x v="0"/>
    <x v="4"/>
    <x v="1"/>
    <s v="2019/2020"/>
    <b v="1"/>
    <b v="0"/>
    <b v="0"/>
    <x v="11"/>
    <n v="72576143000157"/>
    <x v="611"/>
    <x v="4"/>
    <x v="4"/>
    <n v="64"/>
    <x v="4"/>
    <x v="6"/>
    <n v="6"/>
    <n v="6"/>
  </r>
  <r>
    <n v="2019"/>
    <n v="11"/>
    <x v="0"/>
    <x v="4"/>
    <x v="1"/>
    <s v="2019/2020"/>
    <b v="1"/>
    <b v="0"/>
    <b v="0"/>
    <x v="12"/>
    <n v="72576143000157"/>
    <x v="611"/>
    <x v="4"/>
    <x v="4"/>
    <n v="64"/>
    <x v="4"/>
    <x v="6"/>
    <n v="14"/>
    <n v="14"/>
  </r>
  <r>
    <n v="2019"/>
    <n v="11"/>
    <x v="0"/>
    <x v="4"/>
    <x v="1"/>
    <s v="2019/2020"/>
    <b v="1"/>
    <b v="0"/>
    <b v="0"/>
    <x v="0"/>
    <n v="73696718000219"/>
    <x v="309"/>
    <x v="0"/>
    <x v="0"/>
    <n v="62"/>
    <x v="3"/>
    <x v="5"/>
    <n v="3"/>
    <n v="3"/>
  </r>
  <r>
    <n v="2019"/>
    <n v="11"/>
    <x v="0"/>
    <x v="4"/>
    <x v="1"/>
    <s v="2019/2020"/>
    <b v="1"/>
    <b v="0"/>
    <b v="0"/>
    <x v="0"/>
    <n v="73696718000219"/>
    <x v="309"/>
    <x v="0"/>
    <x v="0"/>
    <n v="62"/>
    <x v="3"/>
    <x v="5"/>
    <n v="5"/>
    <n v="5"/>
  </r>
  <r>
    <n v="2019"/>
    <n v="11"/>
    <x v="0"/>
    <x v="4"/>
    <x v="1"/>
    <s v="2019/2020"/>
    <b v="1"/>
    <b v="0"/>
    <b v="0"/>
    <x v="10"/>
    <n v="73696718000219"/>
    <x v="309"/>
    <x v="0"/>
    <x v="0"/>
    <n v="64"/>
    <x v="4"/>
    <x v="6"/>
    <n v="4"/>
    <n v="2"/>
  </r>
  <r>
    <n v="2019"/>
    <n v="11"/>
    <x v="0"/>
    <x v="4"/>
    <x v="1"/>
    <s v="2019/2020"/>
    <b v="1"/>
    <b v="0"/>
    <b v="0"/>
    <x v="0"/>
    <n v="73696718000219"/>
    <x v="309"/>
    <x v="0"/>
    <x v="0"/>
    <n v="64"/>
    <x v="4"/>
    <x v="6"/>
    <n v="1"/>
    <n v="1"/>
  </r>
  <r>
    <n v="2019"/>
    <n v="11"/>
    <x v="0"/>
    <x v="4"/>
    <x v="1"/>
    <s v="2019/2020"/>
    <b v="1"/>
    <b v="0"/>
    <b v="0"/>
    <x v="5"/>
    <n v="74031865000151"/>
    <x v="311"/>
    <x v="32"/>
    <x v="18"/>
    <n v="62"/>
    <x v="3"/>
    <x v="5"/>
    <n v="12"/>
    <n v="12"/>
  </r>
  <r>
    <n v="2019"/>
    <n v="11"/>
    <x v="0"/>
    <x v="4"/>
    <x v="1"/>
    <s v="2019/2020"/>
    <b v="1"/>
    <b v="0"/>
    <b v="0"/>
    <x v="5"/>
    <n v="74031865000151"/>
    <x v="311"/>
    <x v="32"/>
    <x v="18"/>
    <n v="62"/>
    <x v="3"/>
    <x v="5"/>
    <n v="378"/>
    <n v="378"/>
  </r>
  <r>
    <n v="2019"/>
    <n v="11"/>
    <x v="0"/>
    <x v="4"/>
    <x v="1"/>
    <s v="2019/2020"/>
    <b v="1"/>
    <b v="0"/>
    <b v="0"/>
    <x v="17"/>
    <n v="75222224001895"/>
    <x v="312"/>
    <x v="88"/>
    <x v="6"/>
    <n v="70"/>
    <x v="0"/>
    <x v="0"/>
    <n v="630"/>
    <n v="126"/>
  </r>
  <r>
    <n v="2019"/>
    <n v="11"/>
    <x v="0"/>
    <x v="4"/>
    <x v="1"/>
    <s v="2019/2020"/>
    <b v="1"/>
    <b v="0"/>
    <b v="0"/>
    <x v="11"/>
    <n v="76498013000102"/>
    <x v="439"/>
    <x v="13"/>
    <x v="6"/>
    <n v="70"/>
    <x v="0"/>
    <x v="0"/>
    <n v="150"/>
    <n v="30"/>
  </r>
  <r>
    <n v="2019"/>
    <n v="11"/>
    <x v="0"/>
    <x v="4"/>
    <x v="1"/>
    <s v="2019/2020"/>
    <b v="1"/>
    <b v="0"/>
    <b v="0"/>
    <x v="15"/>
    <n v="76498013000102"/>
    <x v="439"/>
    <x v="13"/>
    <x v="6"/>
    <n v="70"/>
    <x v="0"/>
    <x v="0"/>
    <n v="60"/>
    <n v="12"/>
  </r>
  <r>
    <n v="2019"/>
    <n v="11"/>
    <x v="0"/>
    <x v="4"/>
    <x v="1"/>
    <s v="2019/2020"/>
    <b v="1"/>
    <b v="0"/>
    <b v="0"/>
    <x v="15"/>
    <n v="76555069000143"/>
    <x v="313"/>
    <x v="13"/>
    <x v="6"/>
    <n v="70"/>
    <x v="0"/>
    <x v="0"/>
    <n v="135"/>
    <n v="27"/>
  </r>
  <r>
    <n v="2019"/>
    <n v="11"/>
    <x v="0"/>
    <x v="4"/>
    <x v="1"/>
    <s v="2019/2020"/>
    <b v="1"/>
    <b v="0"/>
    <b v="0"/>
    <x v="15"/>
    <n v="76555069000143"/>
    <x v="313"/>
    <x v="13"/>
    <x v="6"/>
    <n v="70"/>
    <x v="0"/>
    <x v="0"/>
    <n v="150"/>
    <n v="30"/>
  </r>
  <r>
    <n v="2019"/>
    <n v="11"/>
    <x v="0"/>
    <x v="4"/>
    <x v="1"/>
    <s v="2019/2020"/>
    <b v="1"/>
    <b v="0"/>
    <b v="0"/>
    <x v="14"/>
    <n v="76591569000130"/>
    <x v="315"/>
    <x v="13"/>
    <x v="6"/>
    <n v="70"/>
    <x v="0"/>
    <x v="0"/>
    <n v="125"/>
    <n v="25"/>
  </r>
  <r>
    <n v="2019"/>
    <n v="11"/>
    <x v="0"/>
    <x v="4"/>
    <x v="1"/>
    <s v="2019/2020"/>
    <b v="1"/>
    <b v="0"/>
    <b v="0"/>
    <x v="27"/>
    <n v="76591569000130"/>
    <x v="315"/>
    <x v="13"/>
    <x v="6"/>
    <n v="70"/>
    <x v="0"/>
    <x v="0"/>
    <n v="70"/>
    <n v="14"/>
  </r>
  <r>
    <n v="2019"/>
    <n v="11"/>
    <x v="0"/>
    <x v="4"/>
    <x v="1"/>
    <s v="2019/2020"/>
    <b v="1"/>
    <b v="0"/>
    <b v="0"/>
    <x v="27"/>
    <n v="76591569000130"/>
    <x v="315"/>
    <x v="13"/>
    <x v="6"/>
    <n v="70"/>
    <x v="0"/>
    <x v="0"/>
    <n v="180"/>
    <n v="36"/>
  </r>
  <r>
    <n v="2019"/>
    <n v="11"/>
    <x v="0"/>
    <x v="4"/>
    <x v="1"/>
    <s v="2019/2020"/>
    <b v="1"/>
    <b v="0"/>
    <b v="0"/>
    <x v="4"/>
    <n v="77265361000194"/>
    <x v="317"/>
    <x v="89"/>
    <x v="6"/>
    <n v="70"/>
    <x v="0"/>
    <x v="0"/>
    <n v="175"/>
    <n v="35"/>
  </r>
  <r>
    <n v="2019"/>
    <n v="11"/>
    <x v="0"/>
    <x v="4"/>
    <x v="1"/>
    <s v="2019/2020"/>
    <b v="1"/>
    <b v="0"/>
    <b v="0"/>
    <x v="4"/>
    <n v="77781706000243"/>
    <x v="612"/>
    <x v="160"/>
    <x v="6"/>
    <n v="70"/>
    <x v="0"/>
    <x v="0"/>
    <n v="10"/>
    <n v="1"/>
  </r>
  <r>
    <n v="2019"/>
    <n v="11"/>
    <x v="0"/>
    <x v="4"/>
    <x v="1"/>
    <s v="2019/2020"/>
    <b v="1"/>
    <b v="0"/>
    <b v="0"/>
    <x v="14"/>
    <n v="77858611001414"/>
    <x v="318"/>
    <x v="55"/>
    <x v="10"/>
    <n v="70"/>
    <x v="0"/>
    <x v="0"/>
    <n v="325"/>
    <n v="65"/>
  </r>
  <r>
    <n v="2019"/>
    <n v="11"/>
    <x v="0"/>
    <x v="4"/>
    <x v="1"/>
    <s v="2019/2020"/>
    <b v="1"/>
    <b v="0"/>
    <b v="0"/>
    <x v="14"/>
    <n v="78044815000240"/>
    <x v="613"/>
    <x v="161"/>
    <x v="6"/>
    <n v="70"/>
    <x v="0"/>
    <x v="0"/>
    <n v="75"/>
    <n v="15"/>
  </r>
  <r>
    <n v="2019"/>
    <n v="11"/>
    <x v="0"/>
    <x v="4"/>
    <x v="1"/>
    <s v="2019/2020"/>
    <b v="1"/>
    <b v="0"/>
    <b v="0"/>
    <x v="14"/>
    <n v="78633088000176"/>
    <x v="440"/>
    <x v="88"/>
    <x v="6"/>
    <n v="70"/>
    <x v="0"/>
    <x v="0"/>
    <n v="25"/>
    <n v="5"/>
  </r>
  <r>
    <n v="2019"/>
    <n v="11"/>
    <x v="0"/>
    <x v="4"/>
    <x v="1"/>
    <s v="2019/2020"/>
    <b v="1"/>
    <b v="0"/>
    <b v="0"/>
    <x v="14"/>
    <n v="79115762000193"/>
    <x v="441"/>
    <x v="89"/>
    <x v="6"/>
    <n v="70"/>
    <x v="0"/>
    <x v="0"/>
    <n v="175"/>
    <n v="35"/>
  </r>
  <r>
    <n v="2019"/>
    <n v="11"/>
    <x v="0"/>
    <x v="4"/>
    <x v="1"/>
    <s v="2019/2020"/>
    <b v="1"/>
    <b v="0"/>
    <b v="0"/>
    <x v="14"/>
    <n v="80490618000116"/>
    <x v="319"/>
    <x v="90"/>
    <x v="10"/>
    <n v="70"/>
    <x v="0"/>
    <x v="0"/>
    <n v="60"/>
    <n v="12"/>
  </r>
  <r>
    <n v="2019"/>
    <n v="11"/>
    <x v="0"/>
    <x v="4"/>
    <x v="1"/>
    <s v="2019/2020"/>
    <b v="1"/>
    <b v="0"/>
    <b v="0"/>
    <x v="16"/>
    <n v="80673411000187"/>
    <x v="320"/>
    <x v="14"/>
    <x v="10"/>
    <n v="70"/>
    <x v="0"/>
    <x v="8"/>
    <n v="1000"/>
    <n v="400"/>
  </r>
  <r>
    <n v="2019"/>
    <n v="11"/>
    <x v="0"/>
    <x v="4"/>
    <x v="1"/>
    <s v="2019/2020"/>
    <b v="1"/>
    <b v="0"/>
    <b v="0"/>
    <x v="5"/>
    <n v="80673411000187"/>
    <x v="320"/>
    <x v="14"/>
    <x v="10"/>
    <n v="73"/>
    <x v="1"/>
    <x v="4"/>
    <n v="64"/>
    <n v="16"/>
  </r>
  <r>
    <n v="2019"/>
    <n v="11"/>
    <x v="0"/>
    <x v="4"/>
    <x v="1"/>
    <s v="2019/2020"/>
    <b v="1"/>
    <b v="0"/>
    <b v="0"/>
    <x v="17"/>
    <n v="81170003000256"/>
    <x v="614"/>
    <x v="60"/>
    <x v="6"/>
    <n v="66"/>
    <x v="2"/>
    <x v="3"/>
    <n v="1"/>
    <n v="1"/>
  </r>
  <r>
    <n v="2019"/>
    <n v="11"/>
    <x v="0"/>
    <x v="4"/>
    <x v="1"/>
    <s v="2019/2020"/>
    <b v="1"/>
    <b v="0"/>
    <b v="0"/>
    <x v="15"/>
    <n v="81190449000242"/>
    <x v="615"/>
    <x v="13"/>
    <x v="6"/>
    <n v="70"/>
    <x v="0"/>
    <x v="0"/>
    <n v="115"/>
    <n v="23"/>
  </r>
  <r>
    <n v="2019"/>
    <n v="11"/>
    <x v="0"/>
    <x v="4"/>
    <x v="1"/>
    <s v="2019/2020"/>
    <b v="1"/>
    <b v="0"/>
    <b v="0"/>
    <x v="4"/>
    <n v="81733115000197"/>
    <x v="616"/>
    <x v="162"/>
    <x v="6"/>
    <n v="70"/>
    <x v="0"/>
    <x v="0"/>
    <n v="60"/>
    <n v="12"/>
  </r>
  <r>
    <n v="2019"/>
    <n v="11"/>
    <x v="0"/>
    <x v="4"/>
    <x v="1"/>
    <s v="2019/2020"/>
    <b v="1"/>
    <b v="0"/>
    <b v="0"/>
    <x v="7"/>
    <n v="82602327000360"/>
    <x v="617"/>
    <x v="101"/>
    <x v="10"/>
    <n v="64"/>
    <x v="4"/>
    <x v="6"/>
    <n v="6"/>
    <n v="6"/>
  </r>
  <r>
    <n v="2019"/>
    <n v="11"/>
    <x v="0"/>
    <x v="4"/>
    <x v="1"/>
    <s v="2019/2020"/>
    <b v="1"/>
    <b v="0"/>
    <b v="0"/>
    <x v="14"/>
    <n v="82624776000651"/>
    <x v="321"/>
    <x v="87"/>
    <x v="10"/>
    <n v="70"/>
    <x v="0"/>
    <x v="0"/>
    <n v="15"/>
    <n v="3"/>
  </r>
  <r>
    <n v="2019"/>
    <n v="11"/>
    <x v="0"/>
    <x v="4"/>
    <x v="1"/>
    <s v="2019/2020"/>
    <b v="1"/>
    <b v="0"/>
    <b v="0"/>
    <x v="11"/>
    <n v="83367342000252"/>
    <x v="322"/>
    <x v="1"/>
    <x v="1"/>
    <n v="64"/>
    <x v="4"/>
    <x v="6"/>
    <n v="10"/>
    <n v="10"/>
  </r>
  <r>
    <n v="2019"/>
    <n v="11"/>
    <x v="0"/>
    <x v="4"/>
    <x v="1"/>
    <s v="2019/2020"/>
    <b v="1"/>
    <b v="0"/>
    <b v="0"/>
    <x v="9"/>
    <n v="83367342000252"/>
    <x v="322"/>
    <x v="1"/>
    <x v="1"/>
    <n v="70"/>
    <x v="0"/>
    <x v="0"/>
    <n v="25"/>
    <n v="5"/>
  </r>
  <r>
    <n v="2019"/>
    <n v="11"/>
    <x v="0"/>
    <x v="4"/>
    <x v="1"/>
    <s v="2019/2020"/>
    <b v="1"/>
    <b v="0"/>
    <b v="0"/>
    <x v="16"/>
    <n v="83899526000425"/>
    <x v="324"/>
    <x v="14"/>
    <x v="10"/>
    <n v="70"/>
    <x v="0"/>
    <x v="0"/>
    <n v="300"/>
    <n v="60"/>
  </r>
  <r>
    <n v="2019"/>
    <n v="11"/>
    <x v="0"/>
    <x v="4"/>
    <x v="1"/>
    <s v="2019/2020"/>
    <b v="1"/>
    <b v="0"/>
    <b v="0"/>
    <x v="9"/>
    <n v="84537141000138"/>
    <x v="561"/>
    <x v="51"/>
    <x v="22"/>
    <n v="64"/>
    <x v="4"/>
    <x v="6"/>
    <n v="3"/>
    <n v="3"/>
  </r>
  <r>
    <n v="2019"/>
    <n v="11"/>
    <x v="0"/>
    <x v="4"/>
    <x v="1"/>
    <s v="2019/2020"/>
    <b v="1"/>
    <b v="0"/>
    <b v="0"/>
    <x v="16"/>
    <n v="85377174000392"/>
    <x v="325"/>
    <x v="20"/>
    <x v="10"/>
    <n v="73"/>
    <x v="1"/>
    <x v="2"/>
    <n v="11"/>
    <n v="11"/>
  </r>
  <r>
    <n v="2019"/>
    <n v="11"/>
    <x v="0"/>
    <x v="4"/>
    <x v="1"/>
    <s v="2019/2020"/>
    <b v="1"/>
    <b v="0"/>
    <b v="0"/>
    <x v="21"/>
    <n v="85377174000392"/>
    <x v="325"/>
    <x v="20"/>
    <x v="10"/>
    <n v="73"/>
    <x v="1"/>
    <x v="2"/>
    <n v="3"/>
    <n v="3"/>
  </r>
  <r>
    <n v="2019"/>
    <n v="11"/>
    <x v="0"/>
    <x v="4"/>
    <x v="1"/>
    <s v="2019/2020"/>
    <b v="1"/>
    <b v="0"/>
    <b v="0"/>
    <x v="16"/>
    <n v="87317764001084"/>
    <x v="327"/>
    <x v="45"/>
    <x v="11"/>
    <n v="64"/>
    <x v="4"/>
    <x v="6"/>
    <n v="1"/>
    <n v="1"/>
  </r>
  <r>
    <n v="2019"/>
    <n v="11"/>
    <x v="0"/>
    <x v="4"/>
    <x v="1"/>
    <s v="2019/2020"/>
    <b v="1"/>
    <b v="0"/>
    <b v="0"/>
    <x v="16"/>
    <n v="87317764001084"/>
    <x v="327"/>
    <x v="45"/>
    <x v="11"/>
    <n v="70"/>
    <x v="0"/>
    <x v="7"/>
    <n v="130"/>
    <n v="13"/>
  </r>
  <r>
    <n v="2019"/>
    <n v="11"/>
    <x v="0"/>
    <x v="4"/>
    <x v="1"/>
    <s v="2019/2020"/>
    <b v="1"/>
    <b v="0"/>
    <b v="0"/>
    <x v="7"/>
    <n v="87607149000626"/>
    <x v="329"/>
    <x v="92"/>
    <x v="11"/>
    <n v="70"/>
    <x v="0"/>
    <x v="8"/>
    <n v="5"/>
    <n v="2"/>
  </r>
  <r>
    <n v="2019"/>
    <n v="11"/>
    <x v="0"/>
    <x v="4"/>
    <x v="1"/>
    <s v="2019/2020"/>
    <b v="1"/>
    <b v="0"/>
    <b v="0"/>
    <x v="7"/>
    <n v="87607149000626"/>
    <x v="329"/>
    <x v="92"/>
    <x v="11"/>
    <n v="70"/>
    <x v="0"/>
    <x v="7"/>
    <n v="140"/>
    <n v="14"/>
  </r>
  <r>
    <n v="2019"/>
    <n v="11"/>
    <x v="0"/>
    <x v="4"/>
    <x v="1"/>
    <s v="2019/2020"/>
    <b v="1"/>
    <b v="0"/>
    <b v="0"/>
    <x v="16"/>
    <n v="87638334000505"/>
    <x v="443"/>
    <x v="118"/>
    <x v="11"/>
    <n v="70"/>
    <x v="0"/>
    <x v="7"/>
    <n v="10"/>
    <n v="1"/>
  </r>
  <r>
    <n v="2019"/>
    <n v="11"/>
    <x v="0"/>
    <x v="4"/>
    <x v="1"/>
    <s v="2019/2020"/>
    <b v="1"/>
    <b v="0"/>
    <b v="0"/>
    <x v="16"/>
    <n v="87827689002405"/>
    <x v="330"/>
    <x v="15"/>
    <x v="11"/>
    <n v="73"/>
    <x v="1"/>
    <x v="1"/>
    <n v="40"/>
    <n v="20"/>
  </r>
  <r>
    <n v="2019"/>
    <n v="11"/>
    <x v="0"/>
    <x v="4"/>
    <x v="1"/>
    <s v="2019/2020"/>
    <b v="1"/>
    <b v="0"/>
    <b v="0"/>
    <x v="16"/>
    <n v="87827689002405"/>
    <x v="330"/>
    <x v="15"/>
    <x v="11"/>
    <n v="73"/>
    <x v="1"/>
    <x v="4"/>
    <n v="144"/>
    <n v="36"/>
  </r>
  <r>
    <n v="2019"/>
    <n v="11"/>
    <x v="0"/>
    <x v="4"/>
    <x v="1"/>
    <s v="2019/2020"/>
    <b v="1"/>
    <b v="0"/>
    <b v="0"/>
    <x v="4"/>
    <n v="87827689002405"/>
    <x v="330"/>
    <x v="15"/>
    <x v="11"/>
    <n v="73"/>
    <x v="1"/>
    <x v="2"/>
    <n v="2"/>
    <n v="2"/>
  </r>
  <r>
    <n v="2019"/>
    <n v="11"/>
    <x v="0"/>
    <x v="4"/>
    <x v="1"/>
    <s v="2019/2020"/>
    <b v="1"/>
    <b v="0"/>
    <b v="0"/>
    <x v="7"/>
    <n v="88625686002443"/>
    <x v="332"/>
    <x v="45"/>
    <x v="11"/>
    <n v="64"/>
    <x v="4"/>
    <x v="6"/>
    <n v="3"/>
    <n v="3"/>
  </r>
  <r>
    <n v="2019"/>
    <n v="11"/>
    <x v="0"/>
    <x v="4"/>
    <x v="1"/>
    <s v="2019/2020"/>
    <b v="1"/>
    <b v="0"/>
    <b v="0"/>
    <x v="7"/>
    <n v="88625686002443"/>
    <x v="332"/>
    <x v="45"/>
    <x v="11"/>
    <n v="64"/>
    <x v="4"/>
    <x v="6"/>
    <n v="6"/>
    <n v="6"/>
  </r>
  <r>
    <n v="2019"/>
    <n v="11"/>
    <x v="0"/>
    <x v="4"/>
    <x v="1"/>
    <s v="2019/2020"/>
    <b v="1"/>
    <b v="0"/>
    <b v="0"/>
    <x v="7"/>
    <n v="88625686002443"/>
    <x v="332"/>
    <x v="45"/>
    <x v="11"/>
    <n v="64"/>
    <x v="4"/>
    <x v="6"/>
    <n v="8"/>
    <n v="8"/>
  </r>
  <r>
    <n v="2019"/>
    <n v="11"/>
    <x v="0"/>
    <x v="4"/>
    <x v="1"/>
    <s v="2019/2020"/>
    <b v="1"/>
    <b v="0"/>
    <b v="0"/>
    <x v="16"/>
    <n v="88630413000796"/>
    <x v="333"/>
    <x v="45"/>
    <x v="11"/>
    <n v="64"/>
    <x v="4"/>
    <x v="6"/>
    <n v="14"/>
    <n v="14"/>
  </r>
  <r>
    <n v="2019"/>
    <n v="11"/>
    <x v="0"/>
    <x v="4"/>
    <x v="1"/>
    <s v="2019/2020"/>
    <b v="1"/>
    <b v="0"/>
    <b v="0"/>
    <x v="16"/>
    <n v="88645403001372"/>
    <x v="444"/>
    <x v="15"/>
    <x v="11"/>
    <n v="73"/>
    <x v="1"/>
    <x v="4"/>
    <n v="32"/>
    <n v="8"/>
  </r>
  <r>
    <n v="2019"/>
    <n v="11"/>
    <x v="0"/>
    <x v="4"/>
    <x v="1"/>
    <s v="2019/2020"/>
    <b v="1"/>
    <b v="0"/>
    <b v="0"/>
    <x v="16"/>
    <n v="92404789000164"/>
    <x v="446"/>
    <x v="119"/>
    <x v="11"/>
    <n v="73"/>
    <x v="1"/>
    <x v="4"/>
    <n v="16"/>
    <n v="4"/>
  </r>
  <r>
    <n v="2019"/>
    <n v="11"/>
    <x v="0"/>
    <x v="4"/>
    <x v="1"/>
    <s v="2019/2020"/>
    <b v="1"/>
    <b v="0"/>
    <b v="0"/>
    <x v="16"/>
    <n v="92685833000151"/>
    <x v="335"/>
    <x v="45"/>
    <x v="11"/>
    <n v="62"/>
    <x v="3"/>
    <x v="5"/>
    <n v="10"/>
    <n v="10"/>
  </r>
  <r>
    <n v="2019"/>
    <n v="11"/>
    <x v="0"/>
    <x v="4"/>
    <x v="1"/>
    <s v="2019/2020"/>
    <b v="1"/>
    <b v="0"/>
    <b v="0"/>
    <x v="0"/>
    <n v="92685833000151"/>
    <x v="335"/>
    <x v="45"/>
    <x v="11"/>
    <n v="62"/>
    <x v="3"/>
    <x v="5"/>
    <n v="4"/>
    <n v="4"/>
  </r>
  <r>
    <n v="2019"/>
    <n v="11"/>
    <x v="0"/>
    <x v="4"/>
    <x v="1"/>
    <s v="2019/2020"/>
    <b v="1"/>
    <b v="0"/>
    <b v="0"/>
    <x v="12"/>
    <n v="92685833000151"/>
    <x v="335"/>
    <x v="45"/>
    <x v="11"/>
    <n v="64"/>
    <x v="4"/>
    <x v="6"/>
    <n v="6"/>
    <n v="6"/>
  </r>
  <r>
    <n v="2019"/>
    <n v="11"/>
    <x v="0"/>
    <x v="4"/>
    <x v="1"/>
    <s v="2019/2020"/>
    <b v="1"/>
    <b v="0"/>
    <b v="0"/>
    <x v="4"/>
    <n v="92685833000151"/>
    <x v="335"/>
    <x v="45"/>
    <x v="11"/>
    <n v="73"/>
    <x v="1"/>
    <x v="2"/>
    <n v="8"/>
    <n v="2"/>
  </r>
  <r>
    <n v="2019"/>
    <n v="11"/>
    <x v="0"/>
    <x v="4"/>
    <x v="1"/>
    <s v="2019/2020"/>
    <b v="1"/>
    <b v="0"/>
    <b v="0"/>
    <x v="4"/>
    <n v="92685833000151"/>
    <x v="335"/>
    <x v="45"/>
    <x v="11"/>
    <n v="73"/>
    <x v="1"/>
    <x v="2"/>
    <n v="8"/>
    <n v="8"/>
  </r>
  <r>
    <n v="2019"/>
    <n v="11"/>
    <x v="0"/>
    <x v="4"/>
    <x v="1"/>
    <s v="2019/2020"/>
    <b v="1"/>
    <b v="0"/>
    <b v="0"/>
    <x v="4"/>
    <n v="92685833000151"/>
    <x v="335"/>
    <x v="45"/>
    <x v="11"/>
    <n v="73"/>
    <x v="1"/>
    <x v="2"/>
    <n v="10"/>
    <n v="10"/>
  </r>
  <r>
    <n v="2019"/>
    <n v="11"/>
    <x v="0"/>
    <x v="4"/>
    <x v="1"/>
    <s v="2019/2020"/>
    <b v="1"/>
    <b v="0"/>
    <b v="0"/>
    <x v="16"/>
    <n v="92741016000254"/>
    <x v="336"/>
    <x v="45"/>
    <x v="11"/>
    <n v="64"/>
    <x v="4"/>
    <x v="6"/>
    <n v="10"/>
    <n v="10"/>
  </r>
  <r>
    <n v="2019"/>
    <n v="11"/>
    <x v="0"/>
    <x v="4"/>
    <x v="1"/>
    <s v="2019/2020"/>
    <b v="1"/>
    <b v="0"/>
    <b v="0"/>
    <x v="16"/>
    <n v="92787118000391"/>
    <x v="337"/>
    <x v="45"/>
    <x v="11"/>
    <n v="62"/>
    <x v="3"/>
    <x v="5"/>
    <n v="1"/>
    <n v="1"/>
  </r>
  <r>
    <n v="2019"/>
    <n v="11"/>
    <x v="0"/>
    <x v="4"/>
    <x v="1"/>
    <s v="2019/2020"/>
    <b v="1"/>
    <b v="0"/>
    <b v="0"/>
    <x v="16"/>
    <n v="92815000000168"/>
    <x v="338"/>
    <x v="45"/>
    <x v="11"/>
    <n v="62"/>
    <x v="3"/>
    <x v="5"/>
    <n v="93"/>
    <n v="93"/>
  </r>
  <r>
    <n v="2019"/>
    <n v="11"/>
    <x v="0"/>
    <x v="4"/>
    <x v="1"/>
    <s v="2019/2020"/>
    <b v="1"/>
    <b v="0"/>
    <b v="0"/>
    <x v="16"/>
    <n v="92815000000168"/>
    <x v="338"/>
    <x v="45"/>
    <x v="11"/>
    <n v="64"/>
    <x v="4"/>
    <x v="6"/>
    <n v="20"/>
    <n v="20"/>
  </r>
  <r>
    <n v="2019"/>
    <n v="11"/>
    <x v="0"/>
    <x v="4"/>
    <x v="1"/>
    <s v="2019/2020"/>
    <b v="1"/>
    <b v="0"/>
    <b v="0"/>
    <x v="4"/>
    <n v="92815000000168"/>
    <x v="338"/>
    <x v="45"/>
    <x v="11"/>
    <n v="73"/>
    <x v="1"/>
    <x v="1"/>
    <n v="8"/>
    <n v="2"/>
  </r>
  <r>
    <n v="2019"/>
    <n v="11"/>
    <x v="0"/>
    <x v="4"/>
    <x v="1"/>
    <s v="2019/2020"/>
    <b v="1"/>
    <b v="0"/>
    <b v="0"/>
    <x v="4"/>
    <n v="92815000000168"/>
    <x v="338"/>
    <x v="45"/>
    <x v="11"/>
    <n v="73"/>
    <x v="1"/>
    <x v="2"/>
    <n v="2"/>
    <n v="2"/>
  </r>
  <r>
    <n v="2019"/>
    <n v="11"/>
    <x v="0"/>
    <x v="4"/>
    <x v="1"/>
    <s v="2019/2020"/>
    <b v="1"/>
    <b v="0"/>
    <b v="0"/>
    <x v="4"/>
    <n v="92815000000168"/>
    <x v="338"/>
    <x v="45"/>
    <x v="11"/>
    <n v="73"/>
    <x v="1"/>
    <x v="1"/>
    <n v="6"/>
    <n v="3"/>
  </r>
  <r>
    <n v="2019"/>
    <n v="11"/>
    <x v="0"/>
    <x v="4"/>
    <x v="1"/>
    <s v="2019/2020"/>
    <b v="1"/>
    <b v="0"/>
    <b v="0"/>
    <x v="4"/>
    <n v="92815000000168"/>
    <x v="338"/>
    <x v="45"/>
    <x v="11"/>
    <n v="73"/>
    <x v="1"/>
    <x v="1"/>
    <n v="8"/>
    <n v="4"/>
  </r>
  <r>
    <n v="2019"/>
    <n v="11"/>
    <x v="0"/>
    <x v="4"/>
    <x v="1"/>
    <s v="2019/2020"/>
    <b v="1"/>
    <b v="0"/>
    <b v="0"/>
    <x v="4"/>
    <n v="92815000000168"/>
    <x v="338"/>
    <x v="45"/>
    <x v="11"/>
    <n v="73"/>
    <x v="1"/>
    <x v="1"/>
    <n v="12"/>
    <n v="6"/>
  </r>
  <r>
    <n v="2019"/>
    <n v="11"/>
    <x v="0"/>
    <x v="4"/>
    <x v="1"/>
    <s v="2019/2020"/>
    <b v="1"/>
    <b v="0"/>
    <b v="0"/>
    <x v="16"/>
    <n v="92898550000198"/>
    <x v="339"/>
    <x v="45"/>
    <x v="11"/>
    <n v="62"/>
    <x v="3"/>
    <x v="5"/>
    <n v="1"/>
    <n v="1"/>
  </r>
  <r>
    <n v="2019"/>
    <n v="11"/>
    <x v="0"/>
    <x v="4"/>
    <x v="1"/>
    <s v="2019/2020"/>
    <b v="1"/>
    <b v="0"/>
    <b v="0"/>
    <x v="16"/>
    <n v="92898550000198"/>
    <x v="339"/>
    <x v="45"/>
    <x v="11"/>
    <n v="64"/>
    <x v="4"/>
    <x v="6"/>
    <n v="2"/>
    <n v="2"/>
  </r>
  <r>
    <n v="2019"/>
    <n v="11"/>
    <x v="0"/>
    <x v="4"/>
    <x v="1"/>
    <s v="2019/2020"/>
    <b v="1"/>
    <b v="0"/>
    <b v="0"/>
    <x v="14"/>
    <n v="94831294000147"/>
    <x v="341"/>
    <x v="45"/>
    <x v="11"/>
    <n v="70"/>
    <x v="0"/>
    <x v="0"/>
    <n v="30"/>
    <n v="6"/>
  </r>
  <r>
    <n v="2019"/>
    <n v="11"/>
    <x v="0"/>
    <x v="4"/>
    <x v="1"/>
    <s v="2019/2020"/>
    <b v="1"/>
    <b v="0"/>
    <b v="0"/>
    <x v="16"/>
    <n v="95610887000146"/>
    <x v="342"/>
    <x v="47"/>
    <x v="11"/>
    <n v="62"/>
    <x v="3"/>
    <x v="5"/>
    <n v="13"/>
    <n v="13"/>
  </r>
  <r>
    <n v="2019"/>
    <n v="11"/>
    <x v="0"/>
    <x v="4"/>
    <x v="1"/>
    <s v="2019/2020"/>
    <b v="1"/>
    <b v="0"/>
    <b v="0"/>
    <x v="16"/>
    <n v="95610887000146"/>
    <x v="342"/>
    <x v="47"/>
    <x v="11"/>
    <n v="70"/>
    <x v="0"/>
    <x v="0"/>
    <n v="100"/>
    <n v="20"/>
  </r>
  <r>
    <n v="2019"/>
    <n v="11"/>
    <x v="0"/>
    <x v="4"/>
    <x v="1"/>
    <s v="2019/2020"/>
    <b v="1"/>
    <b v="0"/>
    <b v="0"/>
    <x v="4"/>
    <n v="95610887000146"/>
    <x v="342"/>
    <x v="47"/>
    <x v="11"/>
    <n v="70"/>
    <x v="0"/>
    <x v="0"/>
    <n v="500"/>
    <n v="50"/>
  </r>
  <r>
    <n v="2019"/>
    <n v="11"/>
    <x v="0"/>
    <x v="4"/>
    <x v="1"/>
    <s v="2019/2020"/>
    <b v="1"/>
    <b v="0"/>
    <b v="0"/>
    <x v="14"/>
    <n v="95610887000146"/>
    <x v="342"/>
    <x v="47"/>
    <x v="11"/>
    <n v="70"/>
    <x v="0"/>
    <x v="0"/>
    <n v="150"/>
    <n v="30"/>
  </r>
  <r>
    <n v="2019"/>
    <n v="11"/>
    <x v="0"/>
    <x v="4"/>
    <x v="1"/>
    <s v="2019/2020"/>
    <b v="1"/>
    <b v="0"/>
    <b v="0"/>
    <x v="4"/>
    <n v="95610887000146"/>
    <x v="342"/>
    <x v="47"/>
    <x v="11"/>
    <n v="73"/>
    <x v="1"/>
    <x v="1"/>
    <n v="4"/>
    <n v="1"/>
  </r>
  <r>
    <n v="2019"/>
    <n v="11"/>
    <x v="0"/>
    <x v="4"/>
    <x v="1"/>
    <s v="2019/2020"/>
    <b v="1"/>
    <b v="0"/>
    <b v="0"/>
    <x v="4"/>
    <n v="95610887000146"/>
    <x v="342"/>
    <x v="47"/>
    <x v="11"/>
    <n v="73"/>
    <x v="1"/>
    <x v="4"/>
    <n v="16"/>
    <n v="2"/>
  </r>
  <r>
    <n v="2019"/>
    <n v="12"/>
    <x v="0"/>
    <x v="5"/>
    <x v="1"/>
    <s v="2019/2020"/>
    <b v="1"/>
    <b v="1"/>
    <b v="0"/>
    <x v="2"/>
    <n v="437007000175"/>
    <x v="16"/>
    <x v="9"/>
    <x v="0"/>
    <n v="73"/>
    <x v="1"/>
    <x v="2"/>
    <n v="2"/>
    <n v="2"/>
  </r>
  <r>
    <n v="2019"/>
    <n v="12"/>
    <x v="0"/>
    <x v="5"/>
    <x v="1"/>
    <s v="2019/2020"/>
    <b v="1"/>
    <b v="1"/>
    <b v="0"/>
    <x v="2"/>
    <n v="437007000175"/>
    <x v="16"/>
    <x v="9"/>
    <x v="0"/>
    <n v="73"/>
    <x v="1"/>
    <x v="4"/>
    <n v="100"/>
    <n v="25"/>
  </r>
  <r>
    <n v="2019"/>
    <n v="12"/>
    <x v="0"/>
    <x v="5"/>
    <x v="1"/>
    <s v="2019/2020"/>
    <b v="1"/>
    <b v="1"/>
    <b v="0"/>
    <x v="2"/>
    <n v="520237000101"/>
    <x v="20"/>
    <x v="4"/>
    <x v="4"/>
    <n v="73"/>
    <x v="1"/>
    <x v="2"/>
    <n v="3"/>
    <n v="3"/>
  </r>
  <r>
    <n v="2019"/>
    <n v="12"/>
    <x v="0"/>
    <x v="5"/>
    <x v="1"/>
    <s v="2019/2020"/>
    <b v="1"/>
    <b v="1"/>
    <b v="0"/>
    <x v="2"/>
    <n v="520237000101"/>
    <x v="20"/>
    <x v="4"/>
    <x v="4"/>
    <n v="73"/>
    <x v="1"/>
    <x v="4"/>
    <n v="120"/>
    <n v="15"/>
  </r>
  <r>
    <n v="2019"/>
    <n v="12"/>
    <x v="0"/>
    <x v="5"/>
    <x v="1"/>
    <s v="2019/2020"/>
    <b v="1"/>
    <b v="1"/>
    <b v="0"/>
    <x v="3"/>
    <n v="1396804000114"/>
    <x v="32"/>
    <x v="18"/>
    <x v="13"/>
    <n v="70"/>
    <x v="0"/>
    <x v="0"/>
    <n v="25"/>
    <n v="5"/>
  </r>
  <r>
    <n v="2019"/>
    <n v="12"/>
    <x v="0"/>
    <x v="5"/>
    <x v="1"/>
    <s v="2019/2020"/>
    <b v="1"/>
    <b v="1"/>
    <b v="0"/>
    <x v="2"/>
    <n v="2560878000107"/>
    <x v="47"/>
    <x v="4"/>
    <x v="4"/>
    <n v="70"/>
    <x v="0"/>
    <x v="0"/>
    <n v="25"/>
    <n v="5"/>
  </r>
  <r>
    <n v="2019"/>
    <n v="12"/>
    <x v="0"/>
    <x v="5"/>
    <x v="1"/>
    <s v="2019/2020"/>
    <b v="1"/>
    <b v="1"/>
    <b v="0"/>
    <x v="14"/>
    <n v="3855214000219"/>
    <x v="523"/>
    <x v="141"/>
    <x v="10"/>
    <n v="70"/>
    <x v="0"/>
    <x v="0"/>
    <n v="10"/>
    <n v="2"/>
  </r>
  <r>
    <n v="2019"/>
    <n v="12"/>
    <x v="0"/>
    <x v="5"/>
    <x v="1"/>
    <s v="2019/2020"/>
    <b v="1"/>
    <b v="1"/>
    <b v="0"/>
    <x v="2"/>
    <n v="3866223000124"/>
    <x v="358"/>
    <x v="19"/>
    <x v="14"/>
    <n v="70"/>
    <x v="0"/>
    <x v="0"/>
    <n v="625"/>
    <n v="125"/>
  </r>
  <r>
    <n v="2019"/>
    <n v="12"/>
    <x v="0"/>
    <x v="5"/>
    <x v="1"/>
    <s v="2019/2020"/>
    <b v="1"/>
    <b v="1"/>
    <b v="0"/>
    <x v="2"/>
    <n v="4036348000190"/>
    <x v="61"/>
    <x v="3"/>
    <x v="3"/>
    <n v="70"/>
    <x v="0"/>
    <x v="0"/>
    <n v="100"/>
    <n v="20"/>
  </r>
  <r>
    <n v="2019"/>
    <n v="12"/>
    <x v="0"/>
    <x v="5"/>
    <x v="1"/>
    <s v="2019/2020"/>
    <b v="1"/>
    <b v="1"/>
    <b v="0"/>
    <x v="3"/>
    <n v="4275687000129"/>
    <x v="63"/>
    <x v="29"/>
    <x v="3"/>
    <n v="73"/>
    <x v="1"/>
    <x v="4"/>
    <n v="20"/>
    <n v="5"/>
  </r>
  <r>
    <n v="2019"/>
    <n v="12"/>
    <x v="0"/>
    <x v="5"/>
    <x v="1"/>
    <s v="2019/2020"/>
    <b v="1"/>
    <b v="1"/>
    <b v="0"/>
    <x v="3"/>
    <n v="4275687000129"/>
    <x v="63"/>
    <x v="29"/>
    <x v="3"/>
    <n v="73"/>
    <x v="1"/>
    <x v="2"/>
    <n v="5"/>
    <n v="5"/>
  </r>
  <r>
    <n v="2019"/>
    <n v="12"/>
    <x v="0"/>
    <x v="5"/>
    <x v="1"/>
    <s v="2019/2020"/>
    <b v="1"/>
    <b v="1"/>
    <b v="0"/>
    <x v="12"/>
    <n v="5469172000122"/>
    <x v="67"/>
    <x v="31"/>
    <x v="17"/>
    <n v="64"/>
    <x v="4"/>
    <x v="6"/>
    <n v="5"/>
    <n v="5"/>
  </r>
  <r>
    <n v="2019"/>
    <n v="12"/>
    <x v="0"/>
    <x v="5"/>
    <x v="1"/>
    <s v="2019/2020"/>
    <b v="1"/>
    <b v="1"/>
    <b v="0"/>
    <x v="2"/>
    <n v="6047087000210"/>
    <x v="75"/>
    <x v="3"/>
    <x v="3"/>
    <n v="62"/>
    <x v="3"/>
    <x v="5"/>
    <n v="10"/>
    <n v="10"/>
  </r>
  <r>
    <n v="2019"/>
    <n v="12"/>
    <x v="0"/>
    <x v="5"/>
    <x v="1"/>
    <s v="2019/2020"/>
    <b v="1"/>
    <b v="1"/>
    <b v="0"/>
    <x v="2"/>
    <n v="6047087000210"/>
    <x v="75"/>
    <x v="3"/>
    <x v="3"/>
    <n v="64"/>
    <x v="4"/>
    <x v="6"/>
    <n v="25"/>
    <n v="25"/>
  </r>
  <r>
    <n v="2019"/>
    <n v="12"/>
    <x v="0"/>
    <x v="5"/>
    <x v="1"/>
    <s v="2019/2020"/>
    <b v="1"/>
    <b v="1"/>
    <b v="0"/>
    <x v="2"/>
    <n v="6047087000996"/>
    <x v="76"/>
    <x v="0"/>
    <x v="0"/>
    <n v="62"/>
    <x v="3"/>
    <x v="5"/>
    <n v="15"/>
    <n v="15"/>
  </r>
  <r>
    <n v="2019"/>
    <n v="12"/>
    <x v="0"/>
    <x v="5"/>
    <x v="1"/>
    <s v="2019/2020"/>
    <b v="1"/>
    <b v="1"/>
    <b v="0"/>
    <x v="2"/>
    <n v="6047087001020"/>
    <x v="77"/>
    <x v="0"/>
    <x v="0"/>
    <n v="64"/>
    <x v="4"/>
    <x v="6"/>
    <n v="30"/>
    <n v="30"/>
  </r>
  <r>
    <n v="2019"/>
    <n v="12"/>
    <x v="0"/>
    <x v="5"/>
    <x v="1"/>
    <s v="2019/2020"/>
    <b v="1"/>
    <b v="1"/>
    <b v="0"/>
    <x v="2"/>
    <n v="6047087004207"/>
    <x v="84"/>
    <x v="4"/>
    <x v="4"/>
    <n v="62"/>
    <x v="3"/>
    <x v="5"/>
    <n v="2"/>
    <n v="2"/>
  </r>
  <r>
    <n v="2019"/>
    <n v="12"/>
    <x v="0"/>
    <x v="5"/>
    <x v="1"/>
    <s v="2019/2020"/>
    <b v="1"/>
    <b v="1"/>
    <b v="0"/>
    <x v="2"/>
    <n v="6047087004207"/>
    <x v="84"/>
    <x v="4"/>
    <x v="4"/>
    <n v="64"/>
    <x v="4"/>
    <x v="6"/>
    <n v="3"/>
    <n v="3"/>
  </r>
  <r>
    <n v="2019"/>
    <n v="12"/>
    <x v="0"/>
    <x v="5"/>
    <x v="1"/>
    <s v="2019/2020"/>
    <b v="1"/>
    <b v="1"/>
    <b v="0"/>
    <x v="2"/>
    <n v="6047087004207"/>
    <x v="84"/>
    <x v="4"/>
    <x v="4"/>
    <n v="64"/>
    <x v="4"/>
    <x v="6"/>
    <n v="11"/>
    <n v="11"/>
  </r>
  <r>
    <n v="2019"/>
    <n v="12"/>
    <x v="0"/>
    <x v="5"/>
    <x v="1"/>
    <s v="2019/2020"/>
    <b v="1"/>
    <b v="1"/>
    <b v="0"/>
    <x v="2"/>
    <n v="6047087009276"/>
    <x v="86"/>
    <x v="24"/>
    <x v="15"/>
    <n v="64"/>
    <x v="4"/>
    <x v="6"/>
    <n v="5"/>
    <n v="5"/>
  </r>
  <r>
    <n v="2019"/>
    <n v="12"/>
    <x v="0"/>
    <x v="5"/>
    <x v="1"/>
    <s v="2019/2020"/>
    <b v="1"/>
    <b v="1"/>
    <b v="0"/>
    <x v="11"/>
    <n v="6337035000105"/>
    <x v="527"/>
    <x v="8"/>
    <x v="7"/>
    <n v="70"/>
    <x v="0"/>
    <x v="0"/>
    <n v="25"/>
    <n v="5"/>
  </r>
  <r>
    <n v="2019"/>
    <n v="12"/>
    <x v="0"/>
    <x v="5"/>
    <x v="1"/>
    <s v="2019/2020"/>
    <b v="1"/>
    <b v="1"/>
    <b v="0"/>
    <x v="2"/>
    <n v="7734165000136"/>
    <x v="97"/>
    <x v="13"/>
    <x v="6"/>
    <n v="73"/>
    <x v="1"/>
    <x v="4"/>
    <n v="32"/>
    <n v="8"/>
  </r>
  <r>
    <n v="2019"/>
    <n v="12"/>
    <x v="0"/>
    <x v="5"/>
    <x v="1"/>
    <s v="2019/2020"/>
    <b v="1"/>
    <b v="1"/>
    <b v="0"/>
    <x v="11"/>
    <n v="10475230000160"/>
    <x v="127"/>
    <x v="3"/>
    <x v="3"/>
    <n v="70"/>
    <x v="0"/>
    <x v="0"/>
    <n v="45"/>
    <n v="9"/>
  </r>
  <r>
    <n v="2019"/>
    <n v="12"/>
    <x v="0"/>
    <x v="5"/>
    <x v="1"/>
    <s v="2019/2020"/>
    <b v="1"/>
    <b v="1"/>
    <b v="0"/>
    <x v="8"/>
    <n v="11859927000106"/>
    <x v="135"/>
    <x v="4"/>
    <x v="4"/>
    <n v="73"/>
    <x v="1"/>
    <x v="2"/>
    <n v="4"/>
    <n v="4"/>
  </r>
  <r>
    <n v="2019"/>
    <n v="12"/>
    <x v="0"/>
    <x v="5"/>
    <x v="1"/>
    <s v="2019/2020"/>
    <b v="1"/>
    <b v="1"/>
    <b v="0"/>
    <x v="2"/>
    <n v="12442737000496"/>
    <x v="141"/>
    <x v="19"/>
    <x v="14"/>
    <n v="70"/>
    <x v="0"/>
    <x v="0"/>
    <n v="595"/>
    <n v="119"/>
  </r>
  <r>
    <n v="2019"/>
    <n v="12"/>
    <x v="0"/>
    <x v="5"/>
    <x v="1"/>
    <s v="2019/2020"/>
    <b v="1"/>
    <b v="1"/>
    <b v="0"/>
    <x v="2"/>
    <n v="13131370000100"/>
    <x v="145"/>
    <x v="49"/>
    <x v="21"/>
    <n v="70"/>
    <x v="0"/>
    <x v="0"/>
    <n v="250"/>
    <n v="50"/>
  </r>
  <r>
    <n v="2019"/>
    <n v="12"/>
    <x v="0"/>
    <x v="5"/>
    <x v="1"/>
    <s v="2019/2020"/>
    <b v="1"/>
    <b v="1"/>
    <b v="0"/>
    <x v="12"/>
    <n v="14074546000100"/>
    <x v="151"/>
    <x v="53"/>
    <x v="17"/>
    <n v="64"/>
    <x v="4"/>
    <x v="6"/>
    <n v="1"/>
    <n v="1"/>
  </r>
  <r>
    <n v="2019"/>
    <n v="12"/>
    <x v="0"/>
    <x v="5"/>
    <x v="1"/>
    <s v="2019/2020"/>
    <b v="1"/>
    <b v="1"/>
    <b v="0"/>
    <x v="3"/>
    <n v="14408631000159"/>
    <x v="152"/>
    <x v="54"/>
    <x v="2"/>
    <n v="73"/>
    <x v="1"/>
    <x v="4"/>
    <n v="4"/>
    <n v="1"/>
  </r>
  <r>
    <n v="2019"/>
    <n v="12"/>
    <x v="0"/>
    <x v="5"/>
    <x v="1"/>
    <s v="2019/2020"/>
    <b v="1"/>
    <b v="1"/>
    <b v="0"/>
    <x v="12"/>
    <n v="15194004000125"/>
    <x v="165"/>
    <x v="31"/>
    <x v="17"/>
    <n v="64"/>
    <x v="4"/>
    <x v="6"/>
    <n v="1"/>
    <n v="1"/>
  </r>
  <r>
    <n v="2019"/>
    <n v="12"/>
    <x v="0"/>
    <x v="5"/>
    <x v="1"/>
    <s v="2019/2020"/>
    <b v="1"/>
    <b v="1"/>
    <b v="0"/>
    <x v="3"/>
    <n v="15592785000106"/>
    <x v="167"/>
    <x v="49"/>
    <x v="21"/>
    <n v="70"/>
    <x v="0"/>
    <x v="0"/>
    <n v="15"/>
    <n v="3"/>
  </r>
  <r>
    <n v="2019"/>
    <n v="12"/>
    <x v="0"/>
    <x v="5"/>
    <x v="1"/>
    <s v="2019/2020"/>
    <b v="1"/>
    <b v="1"/>
    <b v="0"/>
    <x v="12"/>
    <n v="15592785000106"/>
    <x v="167"/>
    <x v="49"/>
    <x v="21"/>
    <n v="70"/>
    <x v="0"/>
    <x v="0"/>
    <n v="150"/>
    <n v="30"/>
  </r>
  <r>
    <n v="2019"/>
    <n v="12"/>
    <x v="0"/>
    <x v="5"/>
    <x v="1"/>
    <s v="2019/2020"/>
    <b v="1"/>
    <b v="1"/>
    <b v="0"/>
    <x v="2"/>
    <n v="16739984000167"/>
    <x v="169"/>
    <x v="4"/>
    <x v="4"/>
    <n v="73"/>
    <x v="1"/>
    <x v="1"/>
    <n v="2"/>
    <n v="1"/>
  </r>
  <r>
    <n v="2019"/>
    <n v="12"/>
    <x v="0"/>
    <x v="5"/>
    <x v="1"/>
    <s v="2019/2020"/>
    <b v="1"/>
    <b v="1"/>
    <b v="0"/>
    <x v="2"/>
    <n v="16739984000167"/>
    <x v="169"/>
    <x v="4"/>
    <x v="4"/>
    <n v="73"/>
    <x v="1"/>
    <x v="4"/>
    <n v="8"/>
    <n v="2"/>
  </r>
  <r>
    <n v="2019"/>
    <n v="12"/>
    <x v="0"/>
    <x v="5"/>
    <x v="1"/>
    <s v="2019/2020"/>
    <b v="1"/>
    <b v="1"/>
    <b v="0"/>
    <x v="2"/>
    <n v="16739984000167"/>
    <x v="169"/>
    <x v="4"/>
    <x v="4"/>
    <n v="73"/>
    <x v="1"/>
    <x v="2"/>
    <n v="2"/>
    <n v="2"/>
  </r>
  <r>
    <n v="2019"/>
    <n v="12"/>
    <x v="0"/>
    <x v="5"/>
    <x v="1"/>
    <s v="2019/2020"/>
    <b v="1"/>
    <b v="1"/>
    <b v="0"/>
    <x v="2"/>
    <n v="27372066000169"/>
    <x v="198"/>
    <x v="31"/>
    <x v="17"/>
    <n v="62"/>
    <x v="3"/>
    <x v="5"/>
    <n v="5"/>
    <n v="5"/>
  </r>
  <r>
    <n v="2019"/>
    <n v="12"/>
    <x v="0"/>
    <x v="5"/>
    <x v="1"/>
    <s v="2019/2020"/>
    <b v="1"/>
    <b v="1"/>
    <b v="0"/>
    <x v="2"/>
    <n v="27372066000169"/>
    <x v="198"/>
    <x v="31"/>
    <x v="17"/>
    <n v="64"/>
    <x v="4"/>
    <x v="6"/>
    <n v="5"/>
    <n v="5"/>
  </r>
  <r>
    <n v="2019"/>
    <n v="12"/>
    <x v="0"/>
    <x v="5"/>
    <x v="1"/>
    <s v="2019/2020"/>
    <b v="1"/>
    <b v="1"/>
    <b v="0"/>
    <x v="2"/>
    <n v="28000107000159"/>
    <x v="200"/>
    <x v="0"/>
    <x v="0"/>
    <n v="70"/>
    <x v="0"/>
    <x v="0"/>
    <n v="30"/>
    <n v="6"/>
  </r>
  <r>
    <n v="2019"/>
    <n v="12"/>
    <x v="0"/>
    <x v="5"/>
    <x v="1"/>
    <s v="2019/2020"/>
    <b v="1"/>
    <b v="1"/>
    <b v="0"/>
    <x v="2"/>
    <n v="31635857000292"/>
    <x v="225"/>
    <x v="0"/>
    <x v="0"/>
    <n v="62"/>
    <x v="3"/>
    <x v="5"/>
    <n v="2"/>
    <n v="2"/>
  </r>
  <r>
    <n v="2019"/>
    <n v="12"/>
    <x v="0"/>
    <x v="5"/>
    <x v="1"/>
    <s v="2019/2020"/>
    <b v="1"/>
    <b v="1"/>
    <b v="0"/>
    <x v="8"/>
    <n v="37108388000159"/>
    <x v="234"/>
    <x v="4"/>
    <x v="4"/>
    <n v="64"/>
    <x v="4"/>
    <x v="6"/>
    <n v="10"/>
    <n v="10"/>
  </r>
  <r>
    <n v="2019"/>
    <n v="12"/>
    <x v="0"/>
    <x v="5"/>
    <x v="1"/>
    <s v="2019/2020"/>
    <b v="1"/>
    <b v="1"/>
    <b v="0"/>
    <x v="3"/>
    <n v="41781949000234"/>
    <x v="238"/>
    <x v="73"/>
    <x v="2"/>
    <n v="70"/>
    <x v="0"/>
    <x v="0"/>
    <n v="120"/>
    <n v="24"/>
  </r>
  <r>
    <n v="2019"/>
    <n v="12"/>
    <x v="0"/>
    <x v="5"/>
    <x v="1"/>
    <s v="2019/2020"/>
    <b v="1"/>
    <b v="1"/>
    <b v="0"/>
    <x v="2"/>
    <n v="45118429001279"/>
    <x v="247"/>
    <x v="79"/>
    <x v="3"/>
    <n v="73"/>
    <x v="1"/>
    <x v="1"/>
    <n v="4"/>
    <n v="2"/>
  </r>
  <r>
    <n v="2019"/>
    <n v="12"/>
    <x v="0"/>
    <x v="5"/>
    <x v="1"/>
    <s v="2019/2020"/>
    <b v="1"/>
    <b v="1"/>
    <b v="0"/>
    <x v="2"/>
    <n v="45118429001279"/>
    <x v="247"/>
    <x v="79"/>
    <x v="3"/>
    <n v="73"/>
    <x v="1"/>
    <x v="2"/>
    <n v="2"/>
    <n v="2"/>
  </r>
  <r>
    <n v="2019"/>
    <n v="12"/>
    <x v="0"/>
    <x v="5"/>
    <x v="1"/>
    <s v="2019/2020"/>
    <b v="1"/>
    <b v="1"/>
    <b v="0"/>
    <x v="2"/>
    <n v="45399961000230"/>
    <x v="251"/>
    <x v="81"/>
    <x v="3"/>
    <n v="70"/>
    <x v="0"/>
    <x v="0"/>
    <n v="200"/>
    <n v="40"/>
  </r>
  <r>
    <n v="2019"/>
    <n v="12"/>
    <x v="0"/>
    <x v="5"/>
    <x v="1"/>
    <s v="2019/2020"/>
    <b v="1"/>
    <b v="1"/>
    <b v="0"/>
    <x v="2"/>
    <n v="46009718000140"/>
    <x v="253"/>
    <x v="48"/>
    <x v="3"/>
    <n v="73"/>
    <x v="1"/>
    <x v="4"/>
    <n v="40"/>
    <n v="10"/>
  </r>
  <r>
    <n v="2019"/>
    <n v="12"/>
    <x v="0"/>
    <x v="5"/>
    <x v="1"/>
    <s v="2019/2020"/>
    <b v="1"/>
    <b v="1"/>
    <b v="0"/>
    <x v="2"/>
    <n v="60884855001207"/>
    <x v="286"/>
    <x v="9"/>
    <x v="0"/>
    <n v="73"/>
    <x v="1"/>
    <x v="2"/>
    <n v="1"/>
    <n v="1"/>
  </r>
  <r>
    <n v="2019"/>
    <n v="12"/>
    <x v="0"/>
    <x v="5"/>
    <x v="1"/>
    <s v="2019/2020"/>
    <b v="1"/>
    <b v="1"/>
    <b v="0"/>
    <x v="2"/>
    <n v="60884855001207"/>
    <x v="286"/>
    <x v="9"/>
    <x v="0"/>
    <n v="73"/>
    <x v="1"/>
    <x v="1"/>
    <n v="24"/>
    <n v="12"/>
  </r>
  <r>
    <n v="2019"/>
    <n v="12"/>
    <x v="0"/>
    <x v="5"/>
    <x v="1"/>
    <s v="2019/2020"/>
    <b v="1"/>
    <b v="1"/>
    <b v="0"/>
    <x v="2"/>
    <n v="60922168000771"/>
    <x v="290"/>
    <x v="3"/>
    <x v="3"/>
    <n v="73"/>
    <x v="1"/>
    <x v="4"/>
    <n v="4"/>
    <n v="1"/>
  </r>
  <r>
    <n v="2019"/>
    <n v="12"/>
    <x v="0"/>
    <x v="5"/>
    <x v="1"/>
    <s v="2019/2020"/>
    <b v="1"/>
    <b v="1"/>
    <b v="0"/>
    <x v="2"/>
    <n v="60922168000771"/>
    <x v="290"/>
    <x v="3"/>
    <x v="3"/>
    <n v="73"/>
    <x v="1"/>
    <x v="1"/>
    <n v="4"/>
    <n v="2"/>
  </r>
  <r>
    <n v="2019"/>
    <n v="12"/>
    <x v="0"/>
    <x v="5"/>
    <x v="1"/>
    <s v="2019/2020"/>
    <b v="1"/>
    <b v="1"/>
    <b v="0"/>
    <x v="2"/>
    <n v="60992427000650"/>
    <x v="507"/>
    <x v="3"/>
    <x v="3"/>
    <n v="62"/>
    <x v="3"/>
    <x v="5"/>
    <n v="2"/>
    <n v="2"/>
  </r>
  <r>
    <n v="2019"/>
    <n v="12"/>
    <x v="0"/>
    <x v="5"/>
    <x v="1"/>
    <s v="2019/2020"/>
    <b v="1"/>
    <b v="1"/>
    <b v="0"/>
    <x v="2"/>
    <n v="60992427000650"/>
    <x v="507"/>
    <x v="3"/>
    <x v="3"/>
    <n v="64"/>
    <x v="4"/>
    <x v="6"/>
    <n v="5"/>
    <n v="5"/>
  </r>
  <r>
    <n v="2019"/>
    <n v="12"/>
    <x v="0"/>
    <x v="5"/>
    <x v="1"/>
    <s v="2019/2020"/>
    <b v="1"/>
    <b v="1"/>
    <b v="0"/>
    <x v="14"/>
    <n v="75055772002254"/>
    <x v="558"/>
    <x v="13"/>
    <x v="6"/>
    <n v="70"/>
    <x v="0"/>
    <x v="0"/>
    <n v="70"/>
    <n v="14"/>
  </r>
  <r>
    <n v="2019"/>
    <n v="12"/>
    <x v="0"/>
    <x v="5"/>
    <x v="1"/>
    <s v="2019/2020"/>
    <b v="1"/>
    <b v="1"/>
    <b v="0"/>
    <x v="2"/>
    <n v="76081892000164"/>
    <x v="618"/>
    <x v="60"/>
    <x v="6"/>
    <n v="62"/>
    <x v="3"/>
    <x v="5"/>
    <n v="1"/>
    <n v="1"/>
  </r>
  <r>
    <n v="2019"/>
    <n v="12"/>
    <x v="0"/>
    <x v="5"/>
    <x v="1"/>
    <s v="2019/2020"/>
    <b v="1"/>
    <b v="1"/>
    <b v="0"/>
    <x v="2"/>
    <n v="81270548000153"/>
    <x v="510"/>
    <x v="60"/>
    <x v="6"/>
    <n v="62"/>
    <x v="3"/>
    <x v="5"/>
    <n v="3"/>
    <n v="3"/>
  </r>
  <r>
    <n v="2019"/>
    <n v="12"/>
    <x v="0"/>
    <x v="5"/>
    <x v="1"/>
    <s v="2019/2020"/>
    <b v="1"/>
    <b v="1"/>
    <b v="0"/>
    <x v="2"/>
    <n v="87096616003101"/>
    <x v="442"/>
    <x v="45"/>
    <x v="11"/>
    <n v="73"/>
    <x v="1"/>
    <x v="1"/>
    <n v="48"/>
    <n v="24"/>
  </r>
  <r>
    <n v="2019"/>
    <n v="12"/>
    <x v="0"/>
    <x v="5"/>
    <x v="1"/>
    <s v="2019/2020"/>
    <b v="1"/>
    <b v="1"/>
    <b v="0"/>
    <x v="11"/>
    <n v="88625686002443"/>
    <x v="332"/>
    <x v="45"/>
    <x v="11"/>
    <n v="62"/>
    <x v="3"/>
    <x v="5"/>
    <n v="1"/>
    <n v="1"/>
  </r>
  <r>
    <n v="2019"/>
    <n v="12"/>
    <x v="0"/>
    <x v="5"/>
    <x v="1"/>
    <s v="2019/2020"/>
    <b v="1"/>
    <b v="1"/>
    <b v="0"/>
    <x v="11"/>
    <n v="88625686002443"/>
    <x v="332"/>
    <x v="45"/>
    <x v="11"/>
    <n v="62"/>
    <x v="3"/>
    <x v="5"/>
    <n v="8"/>
    <n v="8"/>
  </r>
  <r>
    <n v="2019"/>
    <n v="12"/>
    <x v="0"/>
    <x v="5"/>
    <x v="1"/>
    <s v="2019/2020"/>
    <b v="1"/>
    <b v="1"/>
    <b v="0"/>
    <x v="11"/>
    <n v="92741016000254"/>
    <x v="336"/>
    <x v="45"/>
    <x v="11"/>
    <n v="62"/>
    <x v="3"/>
    <x v="5"/>
    <n v="2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B8E42-CDA0-42D4-B86B-3BC223823905}" name="pvt_Demanda_Detalhada_REP_Tri" cacheId="4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 rowHeaderCaption="Estabelecimento">
  <location ref="S7:X73" firstHeaderRow="0" firstDataRow="1" firstDataCol="1" rowPageCount="3" colPageCount="1"/>
  <pivotFields count="19"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axis="axisRow" showAll="0">
      <items count="1191">
        <item m="1" x="1188"/>
        <item m="1" x="650"/>
        <item m="1" x="860"/>
        <item m="1" x="1111"/>
        <item m="1" x="1152"/>
        <item m="1" x="900"/>
        <item m="1" x="865"/>
        <item m="1" x="744"/>
        <item m="1" x="833"/>
        <item m="1" x="1180"/>
        <item m="1" x="729"/>
        <item m="1" x="681"/>
        <item m="1" x="718"/>
        <item m="1" x="1003"/>
        <item m="1" x="1138"/>
        <item m="1" x="795"/>
        <item m="1" x="943"/>
        <item m="1" x="1134"/>
        <item m="1" x="1008"/>
        <item m="1" x="716"/>
        <item m="1" x="673"/>
        <item m="1" x="1013"/>
        <item m="1" x="1173"/>
        <item m="1" x="1043"/>
        <item m="1" x="812"/>
        <item m="1" x="994"/>
        <item m="1" x="704"/>
        <item m="1" x="845"/>
        <item m="1" x="1030"/>
        <item m="1" x="639"/>
        <item m="1" x="679"/>
        <item m="1" x="1015"/>
        <item m="1" x="854"/>
        <item m="1" x="1154"/>
        <item m="1" x="806"/>
        <item m="1" x="807"/>
        <item m="1" x="1094"/>
        <item m="1" x="916"/>
        <item m="1" x="814"/>
        <item m="1" x="1071"/>
        <item m="1" x="1126"/>
        <item m="1" x="1031"/>
        <item m="1" x="655"/>
        <item m="1" x="1183"/>
        <item m="1" x="921"/>
        <item m="1" x="1118"/>
        <item m="1" x="1143"/>
        <item m="1" x="1168"/>
        <item m="1" x="1090"/>
        <item m="1" x="898"/>
        <item m="1" x="1002"/>
        <item m="1" x="1052"/>
        <item m="1" x="1040"/>
        <item m="1" x="1128"/>
        <item m="1" x="1125"/>
        <item m="1" x="678"/>
        <item m="1" x="697"/>
        <item m="1" x="676"/>
        <item m="1" x="1144"/>
        <item m="1" x="930"/>
        <item m="1" x="668"/>
        <item m="1" x="974"/>
        <item m="1" x="652"/>
        <item m="1" x="707"/>
        <item m="1" x="736"/>
        <item m="1" x="731"/>
        <item m="1" x="1140"/>
        <item m="1" x="826"/>
        <item m="1" x="837"/>
        <item m="1" x="1145"/>
        <item m="1" x="1177"/>
        <item m="1" x="1068"/>
        <item m="1" x="648"/>
        <item m="1" x="839"/>
        <item m="1" x="728"/>
        <item m="1" x="696"/>
        <item m="1" x="1185"/>
        <item m="1" x="658"/>
        <item m="1" x="996"/>
        <item m="1" x="909"/>
        <item m="1" x="1059"/>
        <item m="1" x="1158"/>
        <item m="1" x="779"/>
        <item m="1" x="1147"/>
        <item m="1" x="1178"/>
        <item m="1" x="903"/>
        <item m="1" x="927"/>
        <item m="1" x="1026"/>
        <item m="1" x="755"/>
        <item m="1" x="810"/>
        <item m="1" x="805"/>
        <item m="1" x="667"/>
        <item m="1" x="1005"/>
        <item m="1" x="735"/>
        <item m="1" x="742"/>
        <item m="1" x="979"/>
        <item m="1" x="777"/>
        <item m="1" x="832"/>
        <item m="1" x="783"/>
        <item m="1" x="769"/>
        <item m="1" x="674"/>
        <item m="1" x="794"/>
        <item m="1" x="1016"/>
        <item m="1" x="1000"/>
        <item m="1" x="1006"/>
        <item m="1" x="645"/>
        <item m="1" x="768"/>
        <item m="1" x="923"/>
        <item m="1" x="917"/>
        <item m="1" x="644"/>
        <item m="1" x="1079"/>
        <item m="1" x="841"/>
        <item m="1" x="764"/>
        <item m="1" x="1131"/>
        <item m="1" x="969"/>
        <item m="1" x="920"/>
        <item m="1" x="1156"/>
        <item m="1" x="873"/>
        <item m="1" x="1091"/>
        <item m="1" x="1009"/>
        <item m="1" x="1100"/>
        <item m="1" x="1114"/>
        <item m="1" x="787"/>
        <item m="1" x="808"/>
        <item m="1" x="815"/>
        <item m="1" x="712"/>
        <item m="1" x="784"/>
        <item m="1" x="751"/>
        <item m="1" x="1033"/>
        <item m="1" x="1112"/>
        <item m="1" x="825"/>
        <item m="1" x="834"/>
        <item m="1" x="699"/>
        <item m="1" x="859"/>
        <item m="1" x="961"/>
        <item m="1" x="883"/>
        <item m="1" x="813"/>
        <item m="1" x="1104"/>
        <item m="1" x="631"/>
        <item m="1" x="952"/>
        <item m="1" x="628"/>
        <item m="1" x="830"/>
        <item m="1" x="907"/>
        <item m="1" x="1169"/>
        <item m="1" x="698"/>
        <item m="1" x="694"/>
        <item m="1" x="634"/>
        <item m="1" x="1155"/>
        <item m="1" x="818"/>
        <item m="1" x="1037"/>
        <item m="1" x="688"/>
        <item m="1" x="844"/>
        <item m="1" x="1103"/>
        <item m="1" x="973"/>
        <item m="1" x="980"/>
        <item m="1" x="1077"/>
        <item m="1" x="975"/>
        <item m="1" x="1014"/>
        <item m="1" x="861"/>
        <item m="1" x="968"/>
        <item m="1" x="654"/>
        <item m="1" x="1082"/>
        <item m="1" x="627"/>
        <item m="1" x="894"/>
        <item m="1" x="737"/>
        <item m="1" x="1062"/>
        <item m="1" x="901"/>
        <item m="1" x="869"/>
        <item m="1" x="831"/>
        <item m="1" x="991"/>
        <item m="1" x="988"/>
        <item m="1" x="938"/>
        <item m="1" x="821"/>
        <item m="1" x="902"/>
        <item m="1" x="1179"/>
        <item m="1" x="1011"/>
        <item m="1" x="629"/>
        <item m="1" x="1065"/>
        <item m="1" x="741"/>
        <item m="1" x="849"/>
        <item m="1" x="1078"/>
        <item m="1" x="1172"/>
        <item m="1" x="971"/>
        <item m="1" x="649"/>
        <item m="1" x="1076"/>
        <item m="1" x="1105"/>
        <item m="1" x="682"/>
        <item m="1" x="877"/>
        <item m="1" x="868"/>
        <item m="1" x="887"/>
        <item m="1" x="1056"/>
        <item m="1" x="759"/>
        <item m="1" x="1135"/>
        <item m="1" x="1012"/>
        <item m="1" x="1117"/>
        <item m="1" x="922"/>
        <item m="1" x="858"/>
        <item m="1" x="984"/>
        <item m="1" x="798"/>
        <item m="1" x="1096"/>
        <item m="1" x="1164"/>
        <item m="1" x="715"/>
        <item m="1" x="651"/>
        <item m="1" x="752"/>
        <item m="1" x="1039"/>
        <item m="1" x="1124"/>
        <item m="1" x="956"/>
        <item m="1" x="1046"/>
        <item m="1" x="1028"/>
        <item m="1" x="800"/>
        <item m="1" x="1189"/>
        <item m="1" x="962"/>
        <item m="1" x="829"/>
        <item m="1" x="1163"/>
        <item m="1" x="726"/>
        <item m="1" x="1022"/>
        <item m="1" x="637"/>
        <item m="1" x="965"/>
        <item m="1" x="1166"/>
        <item m="1" x="646"/>
        <item m="1" x="1161"/>
        <item m="1" x="895"/>
        <item m="1" x="936"/>
        <item m="1" x="754"/>
        <item m="1" x="925"/>
        <item m="1" x="1060"/>
        <item m="1" x="908"/>
        <item m="1" x="1047"/>
        <item m="1" x="880"/>
        <item m="1" x="1123"/>
        <item m="1" x="685"/>
        <item m="1" x="848"/>
        <item m="1" x="1086"/>
        <item m="1" x="816"/>
        <item m="1" x="850"/>
        <item m="1" x="778"/>
        <item m="1" x="1036"/>
        <item m="1" x="809"/>
        <item m="1" x="720"/>
        <item m="1" x="1151"/>
        <item m="1" x="896"/>
        <item m="1" x="835"/>
        <item m="1" x="1165"/>
        <item m="1" x="775"/>
        <item m="1" x="875"/>
        <item m="1" x="842"/>
        <item m="1" x="1019"/>
        <item m="1" x="819"/>
        <item m="1" x="862"/>
        <item m="1" x="1149"/>
        <item m="1" x="913"/>
        <item m="1" x="983"/>
        <item m="1" x="1073"/>
        <item m="1" x="1064"/>
        <item m="1" x="760"/>
        <item m="1" x="857"/>
        <item m="1" x="1120"/>
        <item m="1" x="621"/>
        <item m="1" x="714"/>
        <item m="1" x="745"/>
        <item m="1" x="889"/>
        <item m="1" x="730"/>
        <item m="1" x="725"/>
        <item m="1" x="964"/>
        <item m="1" x="702"/>
        <item m="1" x="1148"/>
        <item m="1" x="906"/>
        <item m="1" x="954"/>
        <item m="1" x="976"/>
        <item m="1" x="657"/>
        <item m="1" x="771"/>
        <item m="1" x="1042"/>
        <item m="1" x="811"/>
        <item m="1" x="762"/>
        <item m="1" x="763"/>
        <item m="1" x="1072"/>
        <item m="1" x="1084"/>
        <item m="1" x="689"/>
        <item m="1" x="985"/>
        <item m="1" x="724"/>
        <item m="1" x="999"/>
        <item m="1" x="757"/>
        <item m="1" x="940"/>
        <item m="1" x="1041"/>
        <item m="1" x="782"/>
        <item m="1" x="853"/>
        <item m="1" x="733"/>
        <item m="1" x="703"/>
        <item m="1" x="1050"/>
        <item m="1" x="1018"/>
        <item m="1" x="1171"/>
        <item m="1" x="625"/>
        <item m="1" x="867"/>
        <item m="1" x="1023"/>
        <item m="1" x="953"/>
        <item m="1" x="934"/>
        <item m="1" x="986"/>
        <item m="1" x="774"/>
        <item m="1" x="791"/>
        <item m="1" x="700"/>
        <item m="1" x="1074"/>
        <item m="1" x="1175"/>
        <item m="1" x="1109"/>
        <item m="1" x="663"/>
        <item m="1" x="804"/>
        <item m="1" x="756"/>
        <item m="1" x="709"/>
        <item m="1" x="727"/>
        <item m="1" x="1048"/>
        <item m="1" x="1113"/>
        <item m="1" x="945"/>
        <item m="1" x="1160"/>
        <item m="1" x="1122"/>
        <item m="1" x="827"/>
        <item m="1" x="623"/>
        <item m="1" x="992"/>
        <item m="1" x="662"/>
        <item m="1" x="799"/>
        <item m="1" x="981"/>
        <item m="1" x="893"/>
        <item m="1" x="1141"/>
        <item m="1" x="882"/>
        <item m="1" x="788"/>
        <item m="1" x="767"/>
        <item m="1" x="633"/>
        <item m="1" x="803"/>
        <item m="1" x="817"/>
        <item m="1" x="928"/>
        <item m="1" x="643"/>
        <item m="1" x="1184"/>
        <item m="1" x="708"/>
        <item m="1" x="1099"/>
        <item m="1" x="1146"/>
        <item m="1" x="701"/>
        <item m="1" x="1167"/>
        <item m="1" x="1119"/>
        <item m="1" x="734"/>
        <item m="1" x="710"/>
        <item m="1" x="758"/>
        <item m="1" x="670"/>
        <item m="1" x="719"/>
        <item m="1" x="847"/>
        <item m="1" x="620"/>
        <item m="1" x="671"/>
        <item m="1" x="932"/>
        <item m="1" x="717"/>
        <item m="1" x="1174"/>
        <item m="1" x="1170"/>
        <item m="1" x="790"/>
        <item m="1" x="888"/>
        <item m="1" x="1153"/>
        <item m="1" x="749"/>
        <item m="1" x="695"/>
        <item m="1" x="1187"/>
        <item m="1" x="1085"/>
        <item m="1" x="886"/>
        <item m="1" x="713"/>
        <item m="1" x="683"/>
        <item m="1" x="948"/>
        <item m="1" x="977"/>
        <item m="1" x="641"/>
        <item m="1" x="947"/>
        <item m="1" x="910"/>
        <item m="1" x="892"/>
        <item m="1" x="690"/>
        <item m="1" x="669"/>
        <item m="1" x="761"/>
        <item m="1" x="1102"/>
        <item m="1" x="1176"/>
        <item m="1" x="852"/>
        <item m="1" x="989"/>
        <item m="1" x="693"/>
        <item m="1" x="1186"/>
        <item m="1" x="946"/>
        <item m="1" x="1067"/>
        <item m="1" x="1089"/>
        <item m="1" x="721"/>
        <item m="1" x="619"/>
        <item m="1" x="1132"/>
        <item m="1" x="1162"/>
        <item m="1" x="626"/>
        <item m="1" x="773"/>
        <item m="1" x="958"/>
        <item m="1" x="722"/>
        <item m="1" x="687"/>
        <item m="1" x="746"/>
        <item m="1" x="1159"/>
        <item m="1" x="1095"/>
        <item m="1" x="1069"/>
        <item m="1" x="1035"/>
        <item m="1" x="772"/>
        <item m="1" x="1049"/>
        <item m="1" x="732"/>
        <item m="1" x="864"/>
        <item m="1" x="672"/>
        <item m="1" x="624"/>
        <item m="1" x="636"/>
        <item m="1" x="748"/>
        <item m="1" x="855"/>
        <item m="1" x="711"/>
        <item m="1" x="939"/>
        <item m="1" x="846"/>
        <item m="1" x="912"/>
        <item m="1" x="765"/>
        <item m="1" x="630"/>
        <item m="1" x="1106"/>
        <item m="1" x="982"/>
        <item m="1" x="1032"/>
        <item m="1" x="1004"/>
        <item m="1" x="802"/>
        <item m="1" x="1157"/>
        <item m="1" x="949"/>
        <item m="1" x="656"/>
        <item m="1" x="904"/>
        <item m="1" x="1054"/>
        <item m="1" x="870"/>
        <item m="1" x="937"/>
        <item m="1" x="823"/>
        <item m="1" x="822"/>
        <item m="1" x="786"/>
        <item m="1" x="664"/>
        <item m="1" x="884"/>
        <item m="1" x="972"/>
        <item m="1" x="1007"/>
        <item m="1" x="881"/>
        <item m="1" x="836"/>
        <item m="1" x="1034"/>
        <item m="1" x="1110"/>
        <item m="1" x="1182"/>
        <item m="1" x="905"/>
        <item m="1" x="1038"/>
        <item m="1" x="960"/>
        <item m="1" x="1020"/>
        <item m="1" x="941"/>
        <item m="1" x="1066"/>
        <item m="1" x="653"/>
        <item m="1" x="632"/>
        <item m="1" x="1139"/>
        <item m="1" x="843"/>
        <item m="1" x="897"/>
        <item m="1" x="675"/>
        <item m="1" x="661"/>
        <item m="1" x="743"/>
        <item m="1" x="1142"/>
        <item m="1" x="1136"/>
        <item m="1" x="1181"/>
        <item m="1" x="1081"/>
        <item m="1" x="840"/>
        <item m="1" x="691"/>
        <item m="1" x="924"/>
        <item m="1" x="1063"/>
        <item m="1" x="1055"/>
        <item m="1" x="933"/>
        <item m="1" x="899"/>
        <item m="1" x="955"/>
        <item m="1" x="914"/>
        <item m="1" x="995"/>
        <item m="1" x="1017"/>
        <item m="1" x="863"/>
        <item m="1" x="753"/>
        <item m="1" x="1010"/>
        <item m="1" x="1045"/>
        <item m="1" x="970"/>
        <item m="1" x="1101"/>
        <item m="1" x="1053"/>
        <item m="1" x="931"/>
        <item m="1" x="1121"/>
        <item m="1" x="878"/>
        <item m="1" x="890"/>
        <item m="1" x="1027"/>
        <item m="1" x="911"/>
        <item m="1" x="1075"/>
        <item m="1" x="876"/>
        <item m="1" x="1070"/>
        <item m="1" x="796"/>
        <item m="1" x="660"/>
        <item m="1" x="1029"/>
        <item m="1" x="951"/>
        <item m="1" x="966"/>
        <item m="1" x="638"/>
        <item m="1" x="950"/>
        <item m="1" x="797"/>
        <item m="1" x="686"/>
        <item m="1" x="828"/>
        <item m="1" x="1127"/>
        <item m="1" x="747"/>
        <item m="1" x="990"/>
        <item m="1" x="1097"/>
        <item m="1" x="820"/>
        <item m="1" x="706"/>
        <item m="1" x="1150"/>
        <item m="1" x="944"/>
        <item m="1" x="1021"/>
        <item m="1" x="866"/>
        <item m="1" x="1058"/>
        <item m="1" x="792"/>
        <item m="1" x="856"/>
        <item m="1" x="872"/>
        <item m="1" x="1116"/>
        <item m="1" x="874"/>
        <item m="1" x="705"/>
        <item m="1" x="919"/>
        <item m="1" x="987"/>
        <item m="1" x="622"/>
        <item m="1" x="647"/>
        <item m="1" x="1057"/>
        <item m="1" x="1133"/>
        <item m="1" x="871"/>
        <item m="1" x="998"/>
        <item m="1" x="1137"/>
        <item m="1" x="1051"/>
        <item m="1" x="851"/>
        <item m="1" x="1108"/>
        <item m="1" x="1083"/>
        <item m="1" x="1115"/>
        <item m="1" x="926"/>
        <item m="1" x="1093"/>
        <item m="1" x="642"/>
        <item m="1" x="967"/>
        <item m="1" x="640"/>
        <item m="1" x="959"/>
        <item m="1" x="997"/>
        <item m="1" x="635"/>
        <item m="1" x="677"/>
        <item m="1" x="1130"/>
        <item m="1" x="692"/>
        <item m="1" x="770"/>
        <item m="1" x="957"/>
        <item m="1" x="766"/>
        <item m="1" x="879"/>
        <item m="1" x="1001"/>
        <item m="1" x="739"/>
        <item m="1" x="891"/>
        <item m="1" x="963"/>
        <item m="1" x="740"/>
        <item m="1" x="1024"/>
        <item m="1" x="750"/>
        <item m="1" x="680"/>
        <item m="1" x="1025"/>
        <item m="1" x="929"/>
        <item m="1" x="918"/>
        <item m="1" x="1098"/>
        <item m="1" x="1088"/>
        <item m="1" x="665"/>
        <item m="1" x="785"/>
        <item m="1" x="915"/>
        <item m="1" x="1087"/>
        <item m="1" x="885"/>
        <item m="1" x="793"/>
        <item m="1" x="942"/>
        <item m="1" x="838"/>
        <item m="1" x="993"/>
        <item m="1" x="935"/>
        <item m="1" x="776"/>
        <item m="1" x="738"/>
        <item m="1" x="684"/>
        <item m="1" x="1129"/>
        <item m="1" x="1044"/>
        <item m="1" x="781"/>
        <item m="1" x="723"/>
        <item m="1" x="1092"/>
        <item m="1" x="1107"/>
        <item m="1" x="659"/>
        <item m="1" x="824"/>
        <item m="1" x="1061"/>
        <item m="1" x="666"/>
        <item m="1" x="7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m="1" x="978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5"/>
        <item m="1" x="780"/>
        <item x="566"/>
        <item x="567"/>
        <item x="568"/>
        <item x="569"/>
        <item x="570"/>
        <item x="572"/>
        <item x="574"/>
        <item x="575"/>
        <item x="576"/>
        <item x="577"/>
        <item x="578"/>
        <item x="581"/>
        <item x="58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m="1" x="1080"/>
        <item x="598"/>
        <item x="599"/>
        <item x="600"/>
        <item x="601"/>
        <item x="602"/>
        <item x="603"/>
        <item m="1" x="801"/>
        <item x="604"/>
        <item x="605"/>
        <item x="606"/>
        <item x="607"/>
        <item x="613"/>
        <item x="608"/>
        <item x="609"/>
        <item x="610"/>
        <item x="611"/>
        <item x="612"/>
        <item x="614"/>
        <item x="615"/>
        <item x="616"/>
        <item x="617"/>
        <item x="564"/>
        <item x="573"/>
        <item x="579"/>
        <item x="580"/>
        <item x="583"/>
        <item x="571"/>
        <item x="595"/>
        <item x="596"/>
        <item x="597"/>
        <item x="618"/>
        <item t="default"/>
      </items>
    </pivotField>
    <pivotField showAll="0"/>
    <pivotField showAll="0"/>
    <pivotField showAll="0"/>
    <pivotField showAll="0"/>
    <pivotField axis="axisPage" showAll="0">
      <items count="25">
        <item x="13"/>
        <item x="17"/>
        <item x="15"/>
        <item x="14"/>
        <item x="10"/>
        <item x="9"/>
        <item x="5"/>
        <item x="16"/>
        <item x="4"/>
        <item x="3"/>
        <item x="1"/>
        <item x="7"/>
        <item x="12"/>
        <item x="8"/>
        <item x="20"/>
        <item x="11"/>
        <item x="19"/>
        <item x="6"/>
        <item x="18"/>
        <item m="1" x="23"/>
        <item x="0"/>
        <item x="2"/>
        <item x="22"/>
        <item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66">
    <i>
      <x v="702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3"/>
    </i>
    <i>
      <x v="714"/>
    </i>
    <i>
      <x v="716"/>
    </i>
    <i>
      <x v="718"/>
    </i>
    <i>
      <x v="719"/>
    </i>
    <i>
      <x v="720"/>
    </i>
    <i>
      <x v="721"/>
    </i>
    <i>
      <x v="722"/>
    </i>
    <i>
      <x v="723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7"/>
    </i>
    <i>
      <x v="748"/>
    </i>
    <i>
      <x v="749"/>
    </i>
    <i>
      <x v="750"/>
    </i>
    <i>
      <x v="752"/>
    </i>
    <i>
      <x v="753"/>
    </i>
    <i>
      <x v="754"/>
    </i>
    <i>
      <x v="755"/>
    </i>
    <i>
      <x v="756"/>
    </i>
    <i>
      <x v="959"/>
    </i>
    <i>
      <x v="961"/>
    </i>
    <i>
      <x v="962"/>
    </i>
    <i>
      <x v="964"/>
    </i>
    <i>
      <x v="966"/>
    </i>
    <i>
      <x v="968"/>
    </i>
    <i>
      <x v="970"/>
    </i>
    <i>
      <x v="972"/>
    </i>
    <i>
      <x v="1055"/>
    </i>
    <i>
      <x v="1106"/>
    </i>
    <i>
      <x v="1107"/>
    </i>
    <i>
      <x v="1108"/>
    </i>
    <i>
      <x v="1109"/>
    </i>
    <i>
      <x v="1110"/>
    </i>
    <i>
      <x v="1111"/>
    </i>
    <i>
      <x v="1154"/>
    </i>
    <i>
      <x v="1155"/>
    </i>
    <i>
      <x v="1156"/>
    </i>
    <i>
      <x v="1157"/>
    </i>
    <i>
      <x v="1159"/>
    </i>
    <i>
      <x v="116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item="0" hier="-1"/>
    <pageField fld="2" item="1" hier="-1"/>
    <pageField fld="9" item="4" hier="-1"/>
  </pageFields>
  <dataFields count="5">
    <dataField name="BERINERT" fld="14" baseField="4" baseItem="0" numFmtId="3"/>
    <dataField name="BERIPLEX" fld="15" baseField="4" baseItem="0" numFmtId="3"/>
    <dataField name="HAEMO" fld="16" baseField="4" baseItem="0" numFmtId="3"/>
    <dataField name="HIZENTRA" fld="17" baseField="4" baseItem="0" numFmtId="3"/>
    <dataField name="PRIVIGEN" fld="18" baseField="4" baseItem="0" numFmtId="3"/>
  </dataFields>
  <formats count="45">
    <format dxfId="1890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89">
      <pivotArea outline="0" fieldPosition="0">
        <references count="1">
          <reference field="4294967294" count="1">
            <x v="0"/>
          </reference>
        </references>
      </pivotArea>
    </format>
    <format dxfId="1888">
      <pivotArea outline="0" fieldPosition="0">
        <references count="1">
          <reference field="4294967294" count="1">
            <x v="1"/>
          </reference>
        </references>
      </pivotArea>
    </format>
    <format dxfId="1887">
      <pivotArea outline="0" fieldPosition="0">
        <references count="1">
          <reference field="4294967294" count="1">
            <x v="2"/>
          </reference>
        </references>
      </pivotArea>
    </format>
    <format dxfId="1886">
      <pivotArea outline="0" fieldPosition="0">
        <references count="1">
          <reference field="4294967294" count="1">
            <x v="4"/>
          </reference>
        </references>
      </pivotArea>
    </format>
    <format dxfId="1885">
      <pivotArea outline="0" fieldPosition="0">
        <references count="1">
          <reference field="4294967294" count="1">
            <x v="3"/>
          </reference>
        </references>
      </pivotArea>
    </format>
    <format dxfId="1884">
      <pivotArea type="all" dataOnly="0" outline="0" fieldPosition="0"/>
    </format>
    <format dxfId="1883">
      <pivotArea outline="0" collapsedLevelsAreSubtotals="1" fieldPosition="0"/>
    </format>
    <format dxfId="1882">
      <pivotArea field="4" type="button" dataOnly="0" labelOnly="1" outline="0" axis="axisRow" fieldPosition="0"/>
    </format>
    <format dxfId="1881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80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879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878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877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876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875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874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873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872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871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1870">
      <pivotArea dataOnly="0" labelOnly="1" grandRow="1" outline="0" fieldPosition="0"/>
    </format>
    <format dxfId="186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68">
      <pivotArea type="all" dataOnly="0" outline="0" fieldPosition="0"/>
    </format>
    <format dxfId="1867">
      <pivotArea field="4" type="button" dataOnly="0" labelOnly="1" outline="0" axis="axisRow" fieldPosition="0"/>
    </format>
    <format dxfId="1866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65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864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863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862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861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860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859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858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857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856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1855">
      <pivotArea dataOnly="0" labelOnly="1" grandRow="1" outline="0" fieldPosition="0"/>
    </format>
    <format dxfId="18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53">
      <pivotArea field="4" type="button" dataOnly="0" labelOnly="1" outline="0" axis="axisRow" fieldPosition="0"/>
    </format>
    <format dxfId="18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5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50">
      <pivotArea type="all" dataOnly="0" outline="0" fieldPosition="0"/>
    </format>
    <format dxfId="1849">
      <pivotArea outline="0" collapsedLevelsAreSubtotals="1" fieldPosition="0"/>
    </format>
    <format dxfId="1848">
      <pivotArea field="4" type="button" dataOnly="0" labelOnly="1" outline="0" axis="axisRow" fieldPosition="0"/>
    </format>
    <format dxfId="1847">
      <pivotArea dataOnly="0" labelOnly="1" fieldPosition="0">
        <references count="1">
          <reference field="4" count="25">
            <x v="5"/>
            <x v="7"/>
            <x v="71"/>
            <x v="72"/>
            <x v="126"/>
            <x v="145"/>
            <x v="151"/>
            <x v="155"/>
            <x v="156"/>
            <x v="159"/>
            <x v="166"/>
            <x v="216"/>
            <x v="223"/>
            <x v="246"/>
            <x v="272"/>
            <x v="274"/>
            <x v="278"/>
            <x v="298"/>
            <x v="300"/>
            <x v="353"/>
            <x v="443"/>
            <x v="450"/>
            <x v="460"/>
            <x v="467"/>
            <x v="486"/>
          </reference>
        </references>
      </pivotArea>
    </format>
    <format dxfId="18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2">
    <conditionalFormat priority="2">
      <pivotAreas count="1">
        <pivotArea outline="0" fieldPosition="0">
          <references count="2">
            <reference field="4294967294" count="1">
              <x v="0"/>
            </reference>
            <reference field="0" count="0" selected="0"/>
          </references>
        </pivotArea>
      </pivotAreas>
    </conditionalFormat>
    <conditionalFormat priority="1">
      <pivotAreas count="1">
        <pivotArea outline="0" fieldPosition="0">
          <references count="2">
            <reference field="4294967294" count="5">
              <x v="0"/>
              <x v="1"/>
              <x v="2"/>
              <x v="3"/>
              <x v="4"/>
            </reference>
            <reference field="0" count="0" selected="0"/>
          </references>
        </pivotArea>
      </pivotAreas>
    </conditionalFormat>
  </conditional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D1DD3-66DF-43B6-AE25-04BA7713E138}" name="pvt_Demanda_Detalhada_REP" cacheId="4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 rowHeaderCaption="Estabelecimento">
  <location ref="L8:Q14" firstHeaderRow="0" firstDataRow="1" firstDataCol="1" rowPageCount="4" colPageCount="1"/>
  <pivotFields count="19">
    <pivotField axis="axisPage" showAll="0">
      <items count="2">
        <item x="0"/>
        <item t="default"/>
      </items>
    </pivotField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1191">
        <item m="1" x="1188"/>
        <item m="1" x="650"/>
        <item m="1" x="860"/>
        <item m="1" x="1111"/>
        <item m="1" x="1152"/>
        <item m="1" x="900"/>
        <item m="1" x="865"/>
        <item m="1" x="744"/>
        <item m="1" x="833"/>
        <item m="1" x="1180"/>
        <item m="1" x="729"/>
        <item m="1" x="681"/>
        <item m="1" x="718"/>
        <item m="1" x="1003"/>
        <item m="1" x="1138"/>
        <item m="1" x="795"/>
        <item m="1" x="943"/>
        <item m="1" x="1134"/>
        <item m="1" x="1008"/>
        <item m="1" x="716"/>
        <item m="1" x="673"/>
        <item m="1" x="1013"/>
        <item m="1" x="1173"/>
        <item m="1" x="1043"/>
        <item m="1" x="812"/>
        <item m="1" x="994"/>
        <item m="1" x="704"/>
        <item m="1" x="845"/>
        <item m="1" x="1030"/>
        <item m="1" x="639"/>
        <item m="1" x="679"/>
        <item m="1" x="1015"/>
        <item m="1" x="854"/>
        <item m="1" x="1154"/>
        <item m="1" x="806"/>
        <item m="1" x="807"/>
        <item m="1" x="1094"/>
        <item m="1" x="916"/>
        <item m="1" x="814"/>
        <item m="1" x="1071"/>
        <item m="1" x="1126"/>
        <item m="1" x="1031"/>
        <item m="1" x="655"/>
        <item m="1" x="1183"/>
        <item m="1" x="921"/>
        <item m="1" x="1118"/>
        <item m="1" x="1143"/>
        <item m="1" x="1168"/>
        <item m="1" x="1090"/>
        <item m="1" x="898"/>
        <item m="1" x="1002"/>
        <item m="1" x="1052"/>
        <item m="1" x="1040"/>
        <item m="1" x="1128"/>
        <item m="1" x="1125"/>
        <item m="1" x="678"/>
        <item m="1" x="697"/>
        <item m="1" x="676"/>
        <item m="1" x="1144"/>
        <item m="1" x="930"/>
        <item m="1" x="668"/>
        <item m="1" x="974"/>
        <item m="1" x="652"/>
        <item m="1" x="707"/>
        <item m="1" x="736"/>
        <item m="1" x="731"/>
        <item m="1" x="1140"/>
        <item m="1" x="826"/>
        <item m="1" x="837"/>
        <item m="1" x="1145"/>
        <item m="1" x="1177"/>
        <item m="1" x="1068"/>
        <item m="1" x="648"/>
        <item m="1" x="839"/>
        <item m="1" x="728"/>
        <item m="1" x="696"/>
        <item m="1" x="1185"/>
        <item m="1" x="658"/>
        <item m="1" x="996"/>
        <item m="1" x="909"/>
        <item m="1" x="1059"/>
        <item m="1" x="1158"/>
        <item m="1" x="779"/>
        <item m="1" x="1147"/>
        <item m="1" x="1178"/>
        <item m="1" x="903"/>
        <item m="1" x="927"/>
        <item m="1" x="1026"/>
        <item m="1" x="755"/>
        <item m="1" x="810"/>
        <item m="1" x="805"/>
        <item m="1" x="667"/>
        <item m="1" x="1005"/>
        <item m="1" x="735"/>
        <item m="1" x="742"/>
        <item m="1" x="979"/>
        <item m="1" x="777"/>
        <item m="1" x="832"/>
        <item m="1" x="783"/>
        <item m="1" x="769"/>
        <item m="1" x="674"/>
        <item m="1" x="794"/>
        <item m="1" x="1016"/>
        <item m="1" x="1000"/>
        <item m="1" x="1006"/>
        <item m="1" x="645"/>
        <item m="1" x="768"/>
        <item m="1" x="923"/>
        <item m="1" x="917"/>
        <item m="1" x="644"/>
        <item m="1" x="1079"/>
        <item m="1" x="841"/>
        <item m="1" x="764"/>
        <item m="1" x="1131"/>
        <item m="1" x="969"/>
        <item m="1" x="920"/>
        <item m="1" x="1156"/>
        <item m="1" x="873"/>
        <item m="1" x="1091"/>
        <item m="1" x="1009"/>
        <item m="1" x="1100"/>
        <item m="1" x="1114"/>
        <item m="1" x="787"/>
        <item m="1" x="808"/>
        <item m="1" x="815"/>
        <item m="1" x="712"/>
        <item m="1" x="784"/>
        <item m="1" x="751"/>
        <item m="1" x="1033"/>
        <item m="1" x="1112"/>
        <item m="1" x="825"/>
        <item m="1" x="834"/>
        <item m="1" x="699"/>
        <item m="1" x="859"/>
        <item m="1" x="961"/>
        <item m="1" x="883"/>
        <item m="1" x="813"/>
        <item m="1" x="1104"/>
        <item m="1" x="631"/>
        <item m="1" x="952"/>
        <item m="1" x="628"/>
        <item m="1" x="830"/>
        <item m="1" x="907"/>
        <item m="1" x="1169"/>
        <item m="1" x="698"/>
        <item m="1" x="694"/>
        <item m="1" x="634"/>
        <item m="1" x="1155"/>
        <item m="1" x="818"/>
        <item m="1" x="1037"/>
        <item m="1" x="688"/>
        <item m="1" x="844"/>
        <item m="1" x="1103"/>
        <item m="1" x="973"/>
        <item m="1" x="980"/>
        <item m="1" x="1077"/>
        <item m="1" x="975"/>
        <item m="1" x="1014"/>
        <item m="1" x="861"/>
        <item m="1" x="968"/>
        <item m="1" x="654"/>
        <item m="1" x="1082"/>
        <item m="1" x="627"/>
        <item m="1" x="894"/>
        <item m="1" x="737"/>
        <item m="1" x="1062"/>
        <item m="1" x="901"/>
        <item m="1" x="869"/>
        <item m="1" x="831"/>
        <item m="1" x="991"/>
        <item m="1" x="988"/>
        <item m="1" x="938"/>
        <item m="1" x="821"/>
        <item m="1" x="902"/>
        <item m="1" x="1179"/>
        <item m="1" x="1011"/>
        <item m="1" x="629"/>
        <item m="1" x="1065"/>
        <item m="1" x="741"/>
        <item m="1" x="849"/>
        <item m="1" x="1078"/>
        <item m="1" x="1172"/>
        <item m="1" x="971"/>
        <item m="1" x="649"/>
        <item m="1" x="1076"/>
        <item m="1" x="1105"/>
        <item m="1" x="682"/>
        <item m="1" x="877"/>
        <item m="1" x="868"/>
        <item m="1" x="887"/>
        <item m="1" x="1056"/>
        <item m="1" x="759"/>
        <item m="1" x="1135"/>
        <item m="1" x="1012"/>
        <item m="1" x="1117"/>
        <item m="1" x="922"/>
        <item m="1" x="858"/>
        <item m="1" x="984"/>
        <item m="1" x="798"/>
        <item m="1" x="1096"/>
        <item m="1" x="1164"/>
        <item m="1" x="715"/>
        <item m="1" x="651"/>
        <item m="1" x="752"/>
        <item m="1" x="1039"/>
        <item m="1" x="1124"/>
        <item m="1" x="956"/>
        <item m="1" x="1046"/>
        <item m="1" x="1028"/>
        <item m="1" x="800"/>
        <item m="1" x="1189"/>
        <item m="1" x="962"/>
        <item m="1" x="829"/>
        <item m="1" x="1163"/>
        <item m="1" x="726"/>
        <item m="1" x="1022"/>
        <item m="1" x="637"/>
        <item m="1" x="965"/>
        <item m="1" x="1166"/>
        <item m="1" x="646"/>
        <item m="1" x="1161"/>
        <item m="1" x="895"/>
        <item m="1" x="936"/>
        <item m="1" x="754"/>
        <item m="1" x="925"/>
        <item m="1" x="1060"/>
        <item m="1" x="908"/>
        <item m="1" x="1047"/>
        <item m="1" x="880"/>
        <item m="1" x="1123"/>
        <item m="1" x="685"/>
        <item m="1" x="848"/>
        <item m="1" x="1086"/>
        <item m="1" x="816"/>
        <item m="1" x="850"/>
        <item m="1" x="778"/>
        <item m="1" x="1036"/>
        <item m="1" x="809"/>
        <item m="1" x="720"/>
        <item m="1" x="1151"/>
        <item m="1" x="896"/>
        <item m="1" x="835"/>
        <item m="1" x="1165"/>
        <item m="1" x="775"/>
        <item m="1" x="875"/>
        <item m="1" x="842"/>
        <item m="1" x="1019"/>
        <item m="1" x="819"/>
        <item m="1" x="862"/>
        <item m="1" x="1149"/>
        <item m="1" x="913"/>
        <item m="1" x="983"/>
        <item m="1" x="1073"/>
        <item m="1" x="1064"/>
        <item m="1" x="760"/>
        <item m="1" x="857"/>
        <item m="1" x="1120"/>
        <item m="1" x="621"/>
        <item m="1" x="714"/>
        <item m="1" x="745"/>
        <item m="1" x="889"/>
        <item m="1" x="730"/>
        <item m="1" x="725"/>
        <item m="1" x="964"/>
        <item m="1" x="702"/>
        <item m="1" x="1148"/>
        <item m="1" x="906"/>
        <item m="1" x="954"/>
        <item m="1" x="976"/>
        <item m="1" x="657"/>
        <item m="1" x="771"/>
        <item m="1" x="1042"/>
        <item m="1" x="811"/>
        <item m="1" x="762"/>
        <item m="1" x="763"/>
        <item m="1" x="1072"/>
        <item m="1" x="1084"/>
        <item m="1" x="689"/>
        <item m="1" x="985"/>
        <item m="1" x="724"/>
        <item m="1" x="999"/>
        <item m="1" x="757"/>
        <item m="1" x="940"/>
        <item m="1" x="1041"/>
        <item m="1" x="782"/>
        <item m="1" x="853"/>
        <item m="1" x="733"/>
        <item m="1" x="703"/>
        <item m="1" x="1050"/>
        <item m="1" x="1018"/>
        <item m="1" x="1171"/>
        <item m="1" x="625"/>
        <item m="1" x="867"/>
        <item m="1" x="1023"/>
        <item m="1" x="953"/>
        <item m="1" x="934"/>
        <item m="1" x="986"/>
        <item m="1" x="774"/>
        <item m="1" x="791"/>
        <item m="1" x="700"/>
        <item m="1" x="1074"/>
        <item m="1" x="1175"/>
        <item m="1" x="1109"/>
        <item m="1" x="663"/>
        <item m="1" x="804"/>
        <item m="1" x="756"/>
        <item m="1" x="709"/>
        <item m="1" x="727"/>
        <item m="1" x="1048"/>
        <item m="1" x="1113"/>
        <item m="1" x="945"/>
        <item m="1" x="1160"/>
        <item m="1" x="1122"/>
        <item m="1" x="827"/>
        <item m="1" x="623"/>
        <item m="1" x="992"/>
        <item m="1" x="662"/>
        <item m="1" x="799"/>
        <item m="1" x="981"/>
        <item m="1" x="893"/>
        <item m="1" x="1141"/>
        <item m="1" x="882"/>
        <item m="1" x="788"/>
        <item m="1" x="767"/>
        <item m="1" x="633"/>
        <item m="1" x="803"/>
        <item m="1" x="817"/>
        <item m="1" x="928"/>
        <item m="1" x="643"/>
        <item m="1" x="1184"/>
        <item m="1" x="708"/>
        <item m="1" x="1099"/>
        <item m="1" x="1146"/>
        <item m="1" x="701"/>
        <item m="1" x="1167"/>
        <item m="1" x="1119"/>
        <item m="1" x="734"/>
        <item m="1" x="710"/>
        <item m="1" x="758"/>
        <item m="1" x="670"/>
        <item m="1" x="719"/>
        <item m="1" x="847"/>
        <item m="1" x="620"/>
        <item m="1" x="671"/>
        <item m="1" x="932"/>
        <item m="1" x="717"/>
        <item m="1" x="1174"/>
        <item m="1" x="1170"/>
        <item m="1" x="790"/>
        <item m="1" x="888"/>
        <item m="1" x="1153"/>
        <item m="1" x="749"/>
        <item m="1" x="695"/>
        <item m="1" x="1187"/>
        <item m="1" x="1085"/>
        <item m="1" x="886"/>
        <item m="1" x="713"/>
        <item m="1" x="683"/>
        <item m="1" x="948"/>
        <item m="1" x="977"/>
        <item m="1" x="641"/>
        <item m="1" x="947"/>
        <item m="1" x="910"/>
        <item m="1" x="892"/>
        <item m="1" x="690"/>
        <item m="1" x="669"/>
        <item m="1" x="761"/>
        <item m="1" x="1102"/>
        <item m="1" x="1176"/>
        <item m="1" x="852"/>
        <item m="1" x="989"/>
        <item m="1" x="693"/>
        <item m="1" x="1186"/>
        <item m="1" x="946"/>
        <item m="1" x="1067"/>
        <item m="1" x="1089"/>
        <item m="1" x="721"/>
        <item m="1" x="619"/>
        <item m="1" x="1132"/>
        <item m="1" x="1162"/>
        <item m="1" x="626"/>
        <item m="1" x="773"/>
        <item m="1" x="958"/>
        <item m="1" x="722"/>
        <item m="1" x="687"/>
        <item m="1" x="746"/>
        <item m="1" x="1159"/>
        <item m="1" x="1095"/>
        <item m="1" x="1069"/>
        <item m="1" x="1035"/>
        <item m="1" x="772"/>
        <item m="1" x="1049"/>
        <item m="1" x="732"/>
        <item m="1" x="864"/>
        <item m="1" x="672"/>
        <item m="1" x="624"/>
        <item m="1" x="636"/>
        <item m="1" x="748"/>
        <item m="1" x="855"/>
        <item m="1" x="711"/>
        <item m="1" x="939"/>
        <item m="1" x="846"/>
        <item m="1" x="912"/>
        <item m="1" x="765"/>
        <item m="1" x="630"/>
        <item m="1" x="1106"/>
        <item m="1" x="982"/>
        <item m="1" x="1032"/>
        <item m="1" x="1004"/>
        <item m="1" x="802"/>
        <item m="1" x="1157"/>
        <item m="1" x="949"/>
        <item m="1" x="656"/>
        <item m="1" x="904"/>
        <item m="1" x="1054"/>
        <item m="1" x="870"/>
        <item m="1" x="937"/>
        <item m="1" x="823"/>
        <item m="1" x="822"/>
        <item m="1" x="786"/>
        <item m="1" x="664"/>
        <item m="1" x="884"/>
        <item m="1" x="972"/>
        <item m="1" x="1007"/>
        <item m="1" x="881"/>
        <item m="1" x="836"/>
        <item m="1" x="1034"/>
        <item m="1" x="1110"/>
        <item m="1" x="1182"/>
        <item m="1" x="905"/>
        <item m="1" x="1038"/>
        <item m="1" x="960"/>
        <item m="1" x="1020"/>
        <item m="1" x="941"/>
        <item m="1" x="1066"/>
        <item m="1" x="653"/>
        <item m="1" x="632"/>
        <item m="1" x="1139"/>
        <item m="1" x="843"/>
        <item m="1" x="897"/>
        <item m="1" x="675"/>
        <item m="1" x="661"/>
        <item m="1" x="743"/>
        <item m="1" x="1142"/>
        <item m="1" x="1136"/>
        <item m="1" x="1181"/>
        <item m="1" x="1081"/>
        <item m="1" x="840"/>
        <item m="1" x="691"/>
        <item m="1" x="924"/>
        <item m="1" x="1063"/>
        <item m="1" x="1055"/>
        <item m="1" x="933"/>
        <item m="1" x="899"/>
        <item m="1" x="955"/>
        <item m="1" x="914"/>
        <item m="1" x="995"/>
        <item m="1" x="1017"/>
        <item m="1" x="863"/>
        <item m="1" x="753"/>
        <item m="1" x="1010"/>
        <item m="1" x="1045"/>
        <item m="1" x="970"/>
        <item m="1" x="1101"/>
        <item m="1" x="1053"/>
        <item m="1" x="931"/>
        <item m="1" x="1121"/>
        <item m="1" x="878"/>
        <item m="1" x="890"/>
        <item m="1" x="1027"/>
        <item m="1" x="911"/>
        <item m="1" x="1075"/>
        <item m="1" x="876"/>
        <item m="1" x="1070"/>
        <item m="1" x="796"/>
        <item m="1" x="660"/>
        <item m="1" x="1029"/>
        <item m="1" x="951"/>
        <item m="1" x="966"/>
        <item m="1" x="638"/>
        <item m="1" x="950"/>
        <item m="1" x="797"/>
        <item m="1" x="686"/>
        <item m="1" x="828"/>
        <item m="1" x="1127"/>
        <item m="1" x="747"/>
        <item m="1" x="990"/>
        <item m="1" x="1097"/>
        <item m="1" x="820"/>
        <item m="1" x="706"/>
        <item m="1" x="1150"/>
        <item m="1" x="944"/>
        <item m="1" x="1021"/>
        <item m="1" x="866"/>
        <item m="1" x="1058"/>
        <item m="1" x="792"/>
        <item m="1" x="856"/>
        <item m="1" x="872"/>
        <item m="1" x="1116"/>
        <item m="1" x="874"/>
        <item m="1" x="705"/>
        <item m="1" x="919"/>
        <item m="1" x="987"/>
        <item m="1" x="622"/>
        <item m="1" x="647"/>
        <item m="1" x="1057"/>
        <item m="1" x="1133"/>
        <item m="1" x="871"/>
        <item m="1" x="998"/>
        <item m="1" x="1137"/>
        <item m="1" x="1051"/>
        <item m="1" x="851"/>
        <item m="1" x="1108"/>
        <item m="1" x="1083"/>
        <item m="1" x="1115"/>
        <item m="1" x="926"/>
        <item m="1" x="1093"/>
        <item m="1" x="642"/>
        <item m="1" x="967"/>
        <item m="1" x="640"/>
        <item m="1" x="959"/>
        <item m="1" x="997"/>
        <item m="1" x="635"/>
        <item m="1" x="677"/>
        <item m="1" x="1130"/>
        <item m="1" x="692"/>
        <item m="1" x="770"/>
        <item m="1" x="957"/>
        <item m="1" x="766"/>
        <item m="1" x="879"/>
        <item m="1" x="1001"/>
        <item m="1" x="739"/>
        <item m="1" x="891"/>
        <item m="1" x="963"/>
        <item m="1" x="740"/>
        <item m="1" x="1024"/>
        <item m="1" x="750"/>
        <item m="1" x="680"/>
        <item m="1" x="1025"/>
        <item m="1" x="929"/>
        <item m="1" x="918"/>
        <item m="1" x="1098"/>
        <item m="1" x="1088"/>
        <item m="1" x="665"/>
        <item m="1" x="785"/>
        <item m="1" x="915"/>
        <item m="1" x="1087"/>
        <item m="1" x="885"/>
        <item m="1" x="793"/>
        <item m="1" x="942"/>
        <item m="1" x="838"/>
        <item m="1" x="993"/>
        <item m="1" x="935"/>
        <item m="1" x="776"/>
        <item m="1" x="738"/>
        <item m="1" x="684"/>
        <item m="1" x="1129"/>
        <item m="1" x="1044"/>
        <item m="1" x="781"/>
        <item m="1" x="723"/>
        <item m="1" x="1092"/>
        <item m="1" x="1107"/>
        <item m="1" x="659"/>
        <item m="1" x="824"/>
        <item m="1" x="1061"/>
        <item m="1" x="666"/>
        <item m="1" x="7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m="1" x="978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5"/>
        <item m="1" x="780"/>
        <item x="566"/>
        <item x="567"/>
        <item x="568"/>
        <item x="569"/>
        <item x="570"/>
        <item x="572"/>
        <item x="574"/>
        <item x="575"/>
        <item x="576"/>
        <item x="577"/>
        <item x="578"/>
        <item x="581"/>
        <item x="58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m="1" x="1080"/>
        <item x="598"/>
        <item x="599"/>
        <item x="600"/>
        <item x="601"/>
        <item x="602"/>
        <item x="603"/>
        <item m="1" x="801"/>
        <item x="604"/>
        <item x="605"/>
        <item x="606"/>
        <item x="607"/>
        <item x="613"/>
        <item x="608"/>
        <item x="609"/>
        <item x="610"/>
        <item x="611"/>
        <item x="612"/>
        <item x="614"/>
        <item x="615"/>
        <item x="616"/>
        <item x="617"/>
        <item x="564"/>
        <item x="573"/>
        <item x="579"/>
        <item x="580"/>
        <item x="583"/>
        <item x="571"/>
        <item x="595"/>
        <item x="596"/>
        <item x="597"/>
        <item x="618"/>
        <item t="default"/>
      </items>
    </pivotField>
    <pivotField showAll="0"/>
    <pivotField showAll="0"/>
    <pivotField showAll="0"/>
    <pivotField showAll="0"/>
    <pivotField axis="axisPage" showAll="0">
      <items count="25">
        <item x="13"/>
        <item x="17"/>
        <item x="15"/>
        <item x="14"/>
        <item x="10"/>
        <item x="9"/>
        <item x="5"/>
        <item x="16"/>
        <item x="4"/>
        <item x="3"/>
        <item x="1"/>
        <item x="7"/>
        <item x="12"/>
        <item x="8"/>
        <item x="20"/>
        <item x="11"/>
        <item x="19"/>
        <item x="6"/>
        <item x="18"/>
        <item m="1" x="23"/>
        <item x="0"/>
        <item x="2"/>
        <item x="22"/>
        <item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4"/>
  </rowFields>
  <rowItems count="6">
    <i>
      <x v="704"/>
    </i>
    <i>
      <x v="705"/>
    </i>
    <i>
      <x v="720"/>
    </i>
    <i>
      <x v="726"/>
    </i>
    <i>
      <x v="738"/>
    </i>
    <i>
      <x v="75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item="0" hier="-1"/>
    <pageField fld="2" item="1" hier="-1"/>
    <pageField fld="1" item="5" hier="-1"/>
    <pageField fld="9" item="4" hier="-1"/>
  </pageFields>
  <dataFields count="5">
    <dataField name="BERINERT" fld="14" baseField="4" baseItem="0" numFmtId="3"/>
    <dataField name="BERIPLEX" fld="15" baseField="4" baseItem="0" numFmtId="3"/>
    <dataField name="HAEMO" fld="16" baseField="4" baseItem="0" numFmtId="3"/>
    <dataField name="HIZENTRA" fld="17" baseField="4" baseItem="0" numFmtId="3"/>
    <dataField name="PRIVIGEN" fld="18" baseField="4" baseItem="0" numFmtId="3"/>
  </dataFields>
  <formats count="45">
    <format dxfId="1935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34">
      <pivotArea outline="0" fieldPosition="0">
        <references count="1">
          <reference field="4294967294" count="1">
            <x v="0"/>
          </reference>
        </references>
      </pivotArea>
    </format>
    <format dxfId="1933">
      <pivotArea outline="0" fieldPosition="0">
        <references count="1">
          <reference field="4294967294" count="1">
            <x v="1"/>
          </reference>
        </references>
      </pivotArea>
    </format>
    <format dxfId="1932">
      <pivotArea outline="0" fieldPosition="0">
        <references count="1">
          <reference field="4294967294" count="1">
            <x v="2"/>
          </reference>
        </references>
      </pivotArea>
    </format>
    <format dxfId="1931">
      <pivotArea outline="0" fieldPosition="0">
        <references count="1">
          <reference field="4294967294" count="1">
            <x v="4"/>
          </reference>
        </references>
      </pivotArea>
    </format>
    <format dxfId="1930">
      <pivotArea outline="0" fieldPosition="0">
        <references count="1">
          <reference field="4294967294" count="1">
            <x v="3"/>
          </reference>
        </references>
      </pivotArea>
    </format>
    <format dxfId="1929">
      <pivotArea type="all" dataOnly="0" outline="0" fieldPosition="0"/>
    </format>
    <format dxfId="1928">
      <pivotArea outline="0" collapsedLevelsAreSubtotals="1" fieldPosition="0"/>
    </format>
    <format dxfId="1927">
      <pivotArea field="4" type="button" dataOnly="0" labelOnly="1" outline="0" axis="axisRow" fieldPosition="0"/>
    </format>
    <format dxfId="1926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25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24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923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922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921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920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919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918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917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916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1915">
      <pivotArea dataOnly="0" labelOnly="1" grandRow="1" outline="0" fieldPosition="0"/>
    </format>
    <format dxfId="19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13">
      <pivotArea type="all" dataOnly="0" outline="0" fieldPosition="0"/>
    </format>
    <format dxfId="1912">
      <pivotArea field="4" type="button" dataOnly="0" labelOnly="1" outline="0" axis="axisRow" fieldPosition="0"/>
    </format>
    <format dxfId="1911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10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909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908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907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906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905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904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903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902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901">
      <pivotArea dataOnly="0" labelOnly="1" fieldPosition="0">
        <references count="1">
          <reference field="4" count="19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</reference>
        </references>
      </pivotArea>
    </format>
    <format dxfId="1900">
      <pivotArea dataOnly="0" labelOnly="1" grandRow="1" outline="0" fieldPosition="0"/>
    </format>
    <format dxfId="189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98">
      <pivotArea field="4" type="button" dataOnly="0" labelOnly="1" outline="0" axis="axisRow" fieldPosition="0"/>
    </format>
    <format dxfId="189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9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95">
      <pivotArea type="all" dataOnly="0" outline="0" fieldPosition="0"/>
    </format>
    <format dxfId="1894">
      <pivotArea outline="0" collapsedLevelsAreSubtotals="1" fieldPosition="0"/>
    </format>
    <format dxfId="1893">
      <pivotArea field="4" type="button" dataOnly="0" labelOnly="1" outline="0" axis="axisRow" fieldPosition="0"/>
    </format>
    <format dxfId="1892">
      <pivotArea dataOnly="0" labelOnly="1" fieldPosition="0">
        <references count="1">
          <reference field="4" count="25">
            <x v="5"/>
            <x v="7"/>
            <x v="71"/>
            <x v="72"/>
            <x v="126"/>
            <x v="145"/>
            <x v="151"/>
            <x v="155"/>
            <x v="156"/>
            <x v="159"/>
            <x v="166"/>
            <x v="216"/>
            <x v="223"/>
            <x v="246"/>
            <x v="272"/>
            <x v="274"/>
            <x v="278"/>
            <x v="298"/>
            <x v="300"/>
            <x v="353"/>
            <x v="443"/>
            <x v="450"/>
            <x v="460"/>
            <x v="467"/>
            <x v="486"/>
          </reference>
        </references>
      </pivotArea>
    </format>
    <format dxfId="18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2">
    <conditionalFormat priority="5">
      <pivotAreas count="1">
        <pivotArea outline="0" fieldPosition="0">
          <references count="2">
            <reference field="4294967294" count="1">
              <x v="0"/>
            </reference>
            <reference field="0" count="0" selected="0"/>
          </references>
        </pivotArea>
      </pivotAreas>
    </conditionalFormat>
    <conditionalFormat priority="4">
      <pivotAreas count="1">
        <pivotArea outline="0" fieldPosition="0">
          <references count="2">
            <reference field="4294967294" count="5">
              <x v="0"/>
              <x v="1"/>
              <x v="2"/>
              <x v="3"/>
              <x v="4"/>
            </reference>
            <reference field="0" count="0" selected="0"/>
          </references>
        </pivotArea>
      </pivotAreas>
    </conditionalFormat>
  </conditional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2D498-1DCE-4171-ACB2-382A8F28C2AF}" name="pvt_Demanda_Detalhada_GR" cacheId="5" applyNumberFormats="0" applyBorderFormats="0" applyFontFormats="0" applyPatternFormats="0" applyAlignmentFormats="0" applyWidthHeightFormats="1" dataCaption="Valores" updatedVersion="6" minRefreshableVersion="3" showDrill="0" showDataTips="0" rowGrandTotals="0" colGrandTotals="0" itemPrintTitles="1" createdVersion="6" indent="0" showHeaders="0" outline="1" outlineData="1" multipleFieldFilters="0">
  <location ref="L7:Q100" firstHeaderRow="1" firstDataRow="2" firstDataCol="1" rowPageCount="4" colPageCount="1"/>
  <pivotFields count="13">
    <pivotField axis="axisPage" showAll="0">
      <items count="2">
        <item x="0"/>
        <item t="default"/>
      </items>
    </pivotField>
    <pivotField axis="axisPage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4">
        <item x="0"/>
        <item x="1"/>
        <item x="2"/>
        <item t="default"/>
      </items>
    </pivotField>
    <pivotField numFmtId="1" showAll="0"/>
    <pivotField axis="axisRow" showAll="0">
      <items count="1306">
        <item m="1" x="1303"/>
        <item m="1" x="762"/>
        <item m="1" x="975"/>
        <item m="1" x="1226"/>
        <item m="1" x="1267"/>
        <item m="1" x="1015"/>
        <item m="1" x="980"/>
        <item m="1" x="858"/>
        <item m="1" x="948"/>
        <item m="1" x="1295"/>
        <item m="1" x="843"/>
        <item m="1" x="794"/>
        <item m="1" x="832"/>
        <item m="1" x="1118"/>
        <item m="1" x="1253"/>
        <item m="1" x="910"/>
        <item m="1" x="1058"/>
        <item m="1" x="1249"/>
        <item m="1" x="1123"/>
        <item m="1" x="830"/>
        <item m="1" x="786"/>
        <item m="1" x="1128"/>
        <item m="1" x="1288"/>
        <item m="1" x="1158"/>
        <item m="1" x="927"/>
        <item m="1" x="1109"/>
        <item m="1" x="817"/>
        <item m="1" x="960"/>
        <item m="1" x="1145"/>
        <item m="1" x="751"/>
        <item m="1" x="792"/>
        <item m="1" x="1130"/>
        <item m="1" x="969"/>
        <item m="1" x="1269"/>
        <item m="1" x="921"/>
        <item m="1" x="922"/>
        <item m="1" x="1209"/>
        <item m="1" x="1031"/>
        <item m="1" x="929"/>
        <item m="1" x="1186"/>
        <item m="1" x="1241"/>
        <item m="1" x="1146"/>
        <item m="1" x="768"/>
        <item m="1" x="1298"/>
        <item m="1" x="1036"/>
        <item m="1" x="1233"/>
        <item m="1" x="1258"/>
        <item m="1" x="1283"/>
        <item m="1" x="1205"/>
        <item m="1" x="1013"/>
        <item m="1" x="1117"/>
        <item m="1" x="1167"/>
        <item m="1" x="1155"/>
        <item m="1" x="1243"/>
        <item m="1" x="1240"/>
        <item m="1" x="791"/>
        <item m="1" x="810"/>
        <item m="1" x="789"/>
        <item m="1" x="1259"/>
        <item m="1" x="1045"/>
        <item m="1" x="781"/>
        <item m="1" x="1088"/>
        <item m="1" x="764"/>
        <item m="1" x="820"/>
        <item m="1" x="850"/>
        <item m="1" x="845"/>
        <item m="1" x="1255"/>
        <item m="1" x="941"/>
        <item m="1" x="952"/>
        <item m="1" x="1260"/>
        <item m="1" x="1292"/>
        <item m="1" x="1183"/>
        <item m="1" x="760"/>
        <item m="1" x="954"/>
        <item m="1" x="842"/>
        <item m="1" x="809"/>
        <item m="1" x="1300"/>
        <item m="1" x="771"/>
        <item m="1" x="1111"/>
        <item m="1" x="1024"/>
        <item m="1" x="1174"/>
        <item m="1" x="1273"/>
        <item m="1" x="894"/>
        <item m="1" x="1262"/>
        <item m="1" x="1293"/>
        <item m="1" x="1018"/>
        <item m="1" x="1042"/>
        <item m="1" x="1141"/>
        <item m="1" x="869"/>
        <item m="1" x="925"/>
        <item m="1" x="920"/>
        <item m="1" x="780"/>
        <item m="1" x="1120"/>
        <item m="1" x="849"/>
        <item m="1" x="856"/>
        <item m="1" x="1094"/>
        <item m="1" x="892"/>
        <item m="1" x="947"/>
        <item m="1" x="898"/>
        <item m="1" x="884"/>
        <item m="1" x="787"/>
        <item m="1" x="909"/>
        <item m="1" x="1131"/>
        <item m="1" x="1115"/>
        <item m="1" x="1121"/>
        <item m="1" x="757"/>
        <item m="1" x="882"/>
        <item m="1" x="1038"/>
        <item m="1" x="1032"/>
        <item m="1" x="756"/>
        <item m="1" x="1194"/>
        <item m="1" x="956"/>
        <item m="1" x="878"/>
        <item m="1" x="1246"/>
        <item m="1" x="1083"/>
        <item m="1" x="1035"/>
        <item m="1" x="1271"/>
        <item m="1" x="988"/>
        <item m="1" x="1206"/>
        <item m="1" x="1124"/>
        <item m="1" x="1215"/>
        <item m="1" x="1229"/>
        <item m="1" x="902"/>
        <item m="1" x="923"/>
        <item m="1" x="930"/>
        <item m="1" x="825"/>
        <item m="1" x="899"/>
        <item m="1" x="865"/>
        <item m="1" x="1148"/>
        <item m="1" x="1227"/>
        <item m="1" x="940"/>
        <item m="1" x="949"/>
        <item m="1" x="812"/>
        <item m="1" x="974"/>
        <item m="1" x="1075"/>
        <item m="1" x="998"/>
        <item m="1" x="928"/>
        <item m="1" x="1219"/>
        <item m="1" x="743"/>
        <item m="1" x="1066"/>
        <item m="1" x="740"/>
        <item m="1" x="945"/>
        <item m="1" x="1022"/>
        <item m="1" x="1284"/>
        <item m="1" x="811"/>
        <item m="1" x="807"/>
        <item m="1" x="746"/>
        <item m="1" x="1270"/>
        <item m="1" x="933"/>
        <item m="1" x="1152"/>
        <item m="1" x="801"/>
        <item m="1" x="959"/>
        <item m="1" x="1218"/>
        <item m="1" x="1087"/>
        <item m="1" x="1095"/>
        <item m="1" x="1192"/>
        <item m="1" x="1089"/>
        <item m="1" x="1129"/>
        <item m="1" x="976"/>
        <item m="1" x="1082"/>
        <item m="1" x="767"/>
        <item m="1" x="1197"/>
        <item m="1" x="739"/>
        <item m="1" x="1009"/>
        <item m="1" x="851"/>
        <item m="1" x="1177"/>
        <item m="1" x="1016"/>
        <item m="1" x="984"/>
        <item m="1" x="946"/>
        <item m="1" x="1106"/>
        <item m="1" x="1103"/>
        <item m="1" x="1053"/>
        <item m="1" x="936"/>
        <item m="1" x="1017"/>
        <item m="1" x="1294"/>
        <item m="1" x="1126"/>
        <item m="1" x="741"/>
        <item m="1" x="1180"/>
        <item m="1" x="855"/>
        <item m="1" x="964"/>
        <item m="1" x="1193"/>
        <item m="1" x="1287"/>
        <item m="1" x="1085"/>
        <item m="1" x="761"/>
        <item m="1" x="1191"/>
        <item m="1" x="1220"/>
        <item m="1" x="795"/>
        <item m="1" x="992"/>
        <item m="1" x="983"/>
        <item m="1" x="1002"/>
        <item m="1" x="1171"/>
        <item m="1" x="873"/>
        <item m="1" x="1250"/>
        <item m="1" x="1127"/>
        <item m="1" x="1232"/>
        <item m="1" x="1037"/>
        <item m="1" x="973"/>
        <item m="1" x="1099"/>
        <item m="1" x="913"/>
        <item m="1" x="1211"/>
        <item m="1" x="1279"/>
        <item m="1" x="829"/>
        <item m="1" x="763"/>
        <item m="1" x="866"/>
        <item m="1" x="1154"/>
        <item m="1" x="1239"/>
        <item m="1" x="1070"/>
        <item m="1" x="1161"/>
        <item m="1" x="1143"/>
        <item m="1" x="915"/>
        <item m="1" x="1304"/>
        <item m="1" x="1076"/>
        <item m="1" x="944"/>
        <item m="1" x="1278"/>
        <item m="1" x="840"/>
        <item m="1" x="1137"/>
        <item m="1" x="749"/>
        <item m="1" x="1079"/>
        <item m="1" x="1281"/>
        <item m="1" x="758"/>
        <item m="1" x="1276"/>
        <item m="1" x="1010"/>
        <item m="1" x="1051"/>
        <item m="1" x="868"/>
        <item m="1" x="1040"/>
        <item m="1" x="1175"/>
        <item m="1" x="1023"/>
        <item m="1" x="1162"/>
        <item m="1" x="995"/>
        <item m="1" x="1238"/>
        <item m="1" x="798"/>
        <item m="1" x="963"/>
        <item m="1" x="1201"/>
        <item m="1" x="931"/>
        <item m="1" x="965"/>
        <item m="1" x="893"/>
        <item m="1" x="1151"/>
        <item m="1" x="924"/>
        <item m="1" x="834"/>
        <item m="1" x="1266"/>
        <item m="1" x="1011"/>
        <item m="1" x="950"/>
        <item m="1" x="1280"/>
        <item m="1" x="890"/>
        <item m="1" x="990"/>
        <item m="1" x="957"/>
        <item m="1" x="1134"/>
        <item m="1" x="934"/>
        <item m="1" x="977"/>
        <item m="1" x="1264"/>
        <item m="1" x="1028"/>
        <item m="1" x="1098"/>
        <item m="1" x="1188"/>
        <item m="1" x="1179"/>
        <item m="1" x="874"/>
        <item m="1" x="972"/>
        <item m="1" x="1235"/>
        <item m="1" x="733"/>
        <item m="1" x="827"/>
        <item m="1" x="859"/>
        <item m="1" x="1004"/>
        <item m="1" x="844"/>
        <item m="1" x="839"/>
        <item m="1" x="1078"/>
        <item m="1" x="815"/>
        <item m="1" x="1263"/>
        <item m="1" x="1021"/>
        <item m="1" x="1068"/>
        <item m="1" x="1091"/>
        <item m="1" x="770"/>
        <item m="1" x="886"/>
        <item m="1" x="1157"/>
        <item m="1" x="926"/>
        <item m="1" x="876"/>
        <item m="1" x="877"/>
        <item m="1" x="1187"/>
        <item m="1" x="1199"/>
        <item m="1" x="802"/>
        <item m="1" x="1100"/>
        <item m="1" x="838"/>
        <item m="1" x="1114"/>
        <item m="1" x="871"/>
        <item m="1" x="1055"/>
        <item m="1" x="1156"/>
        <item m="1" x="897"/>
        <item m="1" x="968"/>
        <item m="1" x="847"/>
        <item m="1" x="816"/>
        <item m="1" x="1165"/>
        <item m="1" x="1133"/>
        <item m="1" x="1286"/>
        <item m="1" x="737"/>
        <item m="1" x="982"/>
        <item m="1" x="1138"/>
        <item m="1" x="1067"/>
        <item m="1" x="1049"/>
        <item m="1" x="1101"/>
        <item m="1" x="889"/>
        <item m="1" x="906"/>
        <item m="1" x="813"/>
        <item m="1" x="747"/>
        <item m="1" x="1189"/>
        <item m="1" x="1290"/>
        <item m="1" x="1224"/>
        <item m="1" x="776"/>
        <item m="1" x="919"/>
        <item m="1" x="870"/>
        <item m="1" x="822"/>
        <item m="1" x="841"/>
        <item m="1" x="1163"/>
        <item m="1" x="1228"/>
        <item m="1" x="1060"/>
        <item m="1" x="1275"/>
        <item m="1" x="1237"/>
        <item m="1" x="942"/>
        <item m="1" x="735"/>
        <item m="1" x="1107"/>
        <item m="1" x="775"/>
        <item m="1" x="914"/>
        <item m="1" x="1096"/>
        <item m="1" x="1008"/>
        <item m="1" x="1256"/>
        <item m="1" x="997"/>
        <item m="1" x="903"/>
        <item m="1" x="881"/>
        <item m="1" x="745"/>
        <item m="1" x="918"/>
        <item m="1" x="932"/>
        <item m="1" x="1043"/>
        <item m="1" x="755"/>
        <item m="1" x="1299"/>
        <item m="1" x="821"/>
        <item m="1" x="1214"/>
        <item m="1" x="1261"/>
        <item m="1" x="814"/>
        <item m="1" x="1282"/>
        <item m="1" x="1234"/>
        <item m="1" x="848"/>
        <item m="1" x="823"/>
        <item m="1" x="872"/>
        <item m="1" x="783"/>
        <item m="1" x="833"/>
        <item m="1" x="962"/>
        <item m="1" x="732"/>
        <item m="1" x="784"/>
        <item m="1" x="1047"/>
        <item m="1" x="831"/>
        <item m="1" x="1289"/>
        <item m="1" x="1285"/>
        <item m="1" x="905"/>
        <item m="1" x="1003"/>
        <item m="1" x="1268"/>
        <item m="1" x="863"/>
        <item m="1" x="808"/>
        <item m="1" x="1302"/>
        <item m="1" x="1200"/>
        <item m="1" x="1001"/>
        <item m="1" x="826"/>
        <item m="1" x="796"/>
        <item m="1" x="1063"/>
        <item m="1" x="1092"/>
        <item m="1" x="753"/>
        <item m="1" x="1062"/>
        <item m="1" x="1025"/>
        <item m="1" x="1007"/>
        <item m="1" x="803"/>
        <item m="1" x="782"/>
        <item m="1" x="875"/>
        <item m="1" x="1217"/>
        <item m="1" x="1291"/>
        <item m="1" x="967"/>
        <item m="1" x="1104"/>
        <item m="1" x="806"/>
        <item m="1" x="1301"/>
        <item m="1" x="1061"/>
        <item m="1" x="1182"/>
        <item m="1" x="1204"/>
        <item m="1" x="835"/>
        <item m="1" x="731"/>
        <item m="1" x="1247"/>
        <item m="1" x="1277"/>
        <item m="1" x="738"/>
        <item m="1" x="888"/>
        <item m="1" x="1072"/>
        <item m="1" x="836"/>
        <item m="1" x="800"/>
        <item m="1" x="860"/>
        <item m="1" x="1274"/>
        <item m="1" x="1210"/>
        <item m="1" x="1184"/>
        <item m="1" x="1150"/>
        <item m="1" x="887"/>
        <item m="1" x="1164"/>
        <item m="1" x="846"/>
        <item m="1" x="979"/>
        <item m="1" x="785"/>
        <item m="1" x="736"/>
        <item m="1" x="748"/>
        <item m="1" x="862"/>
        <item m="1" x="970"/>
        <item m="1" x="824"/>
        <item m="1" x="1054"/>
        <item m="1" x="961"/>
        <item m="1" x="1027"/>
        <item m="1" x="879"/>
        <item m="1" x="742"/>
        <item m="1" x="1221"/>
        <item m="1" x="1097"/>
        <item m="1" x="1147"/>
        <item m="1" x="1119"/>
        <item m="1" x="917"/>
        <item m="1" x="1272"/>
        <item m="1" x="1064"/>
        <item m="1" x="769"/>
        <item m="1" x="1019"/>
        <item m="1" x="1169"/>
        <item m="1" x="985"/>
        <item m="1" x="1052"/>
        <item m="1" x="938"/>
        <item m="1" x="937"/>
        <item m="1" x="901"/>
        <item m="1" x="777"/>
        <item m="1" x="999"/>
        <item m="1" x="1086"/>
        <item m="1" x="1122"/>
        <item m="1" x="996"/>
        <item m="1" x="951"/>
        <item m="1" x="1149"/>
        <item m="1" x="1225"/>
        <item m="1" x="1297"/>
        <item m="1" x="1020"/>
        <item m="1" x="1153"/>
        <item m="1" x="1074"/>
        <item m="1" x="1135"/>
        <item m="1" x="1056"/>
        <item m="1" x="1181"/>
        <item m="1" x="765"/>
        <item m="1" x="744"/>
        <item m="1" x="1254"/>
        <item m="1" x="958"/>
        <item m="1" x="1012"/>
        <item m="1" x="788"/>
        <item m="1" x="774"/>
        <item m="1" x="857"/>
        <item m="1" x="1257"/>
        <item m="1" x="1251"/>
        <item m="1" x="1296"/>
        <item m="1" x="1196"/>
        <item m="1" x="955"/>
        <item m="1" x="804"/>
        <item m="1" x="1039"/>
        <item m="1" x="1178"/>
        <item m="1" x="1170"/>
        <item m="1" x="1048"/>
        <item m="1" x="1014"/>
        <item m="1" x="1069"/>
        <item m="1" x="1029"/>
        <item m="1" x="1110"/>
        <item m="1" x="1073"/>
        <item m="1" x="1132"/>
        <item m="1" x="978"/>
        <item m="1" x="867"/>
        <item m="1" x="1125"/>
        <item m="1" x="1160"/>
        <item m="1" x="1084"/>
        <item m="1" x="1216"/>
        <item m="1" x="1168"/>
        <item m="1" x="1046"/>
        <item m="1" x="1236"/>
        <item m="1" x="993"/>
        <item m="1" x="1005"/>
        <item m="1" x="1142"/>
        <item m="1" x="1026"/>
        <item m="1" x="1190"/>
        <item m="1" x="991"/>
        <item m="1" x="1185"/>
        <item m="1" x="911"/>
        <item m="1" x="773"/>
        <item m="1" x="1144"/>
        <item m="1" x="766"/>
        <item m="1" x="1080"/>
        <item m="1" x="750"/>
        <item m="1" x="1065"/>
        <item m="1" x="912"/>
        <item m="1" x="799"/>
        <item m="1" x="943"/>
        <item m="1" x="1242"/>
        <item m="1" x="861"/>
        <item m="1" x="1105"/>
        <item m="1" x="1212"/>
        <item m="1" x="935"/>
        <item m="1" x="819"/>
        <item m="1" x="1265"/>
        <item m="1" x="1059"/>
        <item m="1" x="1136"/>
        <item m="1" x="981"/>
        <item m="1" x="1173"/>
        <item m="1" x="907"/>
        <item m="1" x="971"/>
        <item m="1" x="987"/>
        <item m="1" x="1231"/>
        <item m="1" x="989"/>
        <item m="1" x="818"/>
        <item m="1" x="1034"/>
        <item m="1" x="1102"/>
        <item m="1" x="734"/>
        <item m="1" x="759"/>
        <item m="1" x="1172"/>
        <item m="1" x="1248"/>
        <item m="1" x="986"/>
        <item m="1" x="1113"/>
        <item m="1" x="1252"/>
        <item m="1" x="1166"/>
        <item m="1" x="966"/>
        <item m="1" x="1223"/>
        <item m="1" x="1198"/>
        <item m="1" x="1230"/>
        <item m="1" x="1041"/>
        <item m="1" x="1208"/>
        <item m="1" x="754"/>
        <item m="1" x="1081"/>
        <item m="1" x="1203"/>
        <item m="1" x="1213"/>
        <item m="1" x="1140"/>
        <item m="1" x="1044"/>
        <item m="1" x="778"/>
        <item m="1" x="1033"/>
        <item m="1" x="805"/>
        <item m="1" x="880"/>
        <item m="1" x="1245"/>
        <item m="1" x="1006"/>
        <item m="1" x="752"/>
        <item m="1" x="1112"/>
        <item m="1" x="793"/>
        <item m="1" x="853"/>
        <item m="1" x="1071"/>
        <item m="1" x="994"/>
        <item m="1" x="885"/>
        <item m="1" x="864"/>
        <item m="1" x="1077"/>
        <item m="1" x="1116"/>
        <item m="1" x="1139"/>
        <item m="1" x="854"/>
        <item m="1" x="790"/>
        <item m="1" x="1222"/>
        <item m="1" x="772"/>
        <item m="1" x="1159"/>
        <item m="1" x="837"/>
        <item m="1" x="896"/>
        <item m="1" x="1207"/>
        <item m="1" x="852"/>
        <item m="1" x="953"/>
        <item m="1" x="1000"/>
        <item m="1" x="1050"/>
        <item m="1" x="1030"/>
        <item m="1" x="797"/>
        <item m="1" x="1244"/>
        <item m="1" x="1057"/>
        <item m="1" x="908"/>
        <item m="1" x="900"/>
        <item m="1" x="1108"/>
        <item m="1" x="1202"/>
        <item m="1" x="891"/>
        <item m="1" x="939"/>
        <item m="1" x="904"/>
        <item m="1" x="1176"/>
        <item m="1" x="77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5"/>
        <item x="49"/>
        <item x="61"/>
        <item x="62"/>
        <item x="63"/>
        <item x="64"/>
        <item x="65"/>
        <item x="66"/>
        <item x="67"/>
        <item x="68"/>
        <item x="69"/>
        <item x="70"/>
        <item x="71"/>
        <item x="53"/>
        <item x="72"/>
        <item x="73"/>
        <item x="74"/>
        <item x="57"/>
        <item x="75"/>
        <item x="76"/>
        <item x="77"/>
        <item x="78"/>
        <item x="80"/>
        <item x="81"/>
        <item x="82"/>
        <item x="56"/>
        <item x="79"/>
        <item x="60"/>
        <item x="83"/>
        <item x="84"/>
        <item x="85"/>
        <item x="86"/>
        <item x="87"/>
        <item x="88"/>
        <item x="51"/>
        <item x="89"/>
        <item x="90"/>
        <item x="43"/>
        <item x="44"/>
        <item x="46"/>
        <item x="48"/>
        <item x="91"/>
        <item x="50"/>
        <item m="1" x="916"/>
        <item x="47"/>
        <item x="159"/>
        <item m="1" x="883"/>
        <item x="201"/>
        <item x="139"/>
        <item x="140"/>
        <item x="202"/>
        <item x="203"/>
        <item x="161"/>
        <item x="162"/>
        <item x="141"/>
        <item x="142"/>
        <item x="115"/>
        <item x="116"/>
        <item x="117"/>
        <item x="163"/>
        <item x="118"/>
        <item x="143"/>
        <item x="144"/>
        <item x="165"/>
        <item x="166"/>
        <item x="145"/>
        <item x="164"/>
        <item x="167"/>
        <item x="168"/>
        <item x="169"/>
        <item x="170"/>
        <item x="119"/>
        <item x="146"/>
        <item x="147"/>
        <item x="148"/>
        <item x="149"/>
        <item x="130"/>
        <item x="136"/>
        <item x="137"/>
        <item x="150"/>
        <item x="171"/>
        <item x="172"/>
        <item x="124"/>
        <item x="131"/>
        <item x="151"/>
        <item x="152"/>
        <item x="173"/>
        <item x="153"/>
        <item x="174"/>
        <item x="175"/>
        <item x="176"/>
        <item x="154"/>
        <item x="177"/>
        <item x="155"/>
        <item x="158"/>
        <item x="156"/>
        <item x="120"/>
        <item x="121"/>
        <item x="122"/>
        <item x="178"/>
        <item x="138"/>
        <item x="123"/>
        <item x="179"/>
        <item x="125"/>
        <item x="126"/>
        <item x="180"/>
        <item x="127"/>
        <item x="181"/>
        <item x="182"/>
        <item x="183"/>
        <item x="184"/>
        <item x="128"/>
        <item x="185"/>
        <item x="186"/>
        <item x="187"/>
        <item x="129"/>
        <item x="188"/>
        <item x="189"/>
        <item x="132"/>
        <item x="133"/>
        <item x="190"/>
        <item x="191"/>
        <item x="134"/>
        <item x="192"/>
        <item x="193"/>
        <item x="194"/>
        <item x="135"/>
        <item x="195"/>
        <item x="196"/>
        <item x="197"/>
        <item x="198"/>
        <item x="199"/>
        <item x="157"/>
        <item x="200"/>
        <item x="213"/>
        <item x="630"/>
        <item x="723"/>
        <item x="550"/>
        <item x="552"/>
        <item x="553"/>
        <item m="1" x="1195"/>
        <item x="724"/>
        <item x="726"/>
        <item x="458"/>
        <item x="556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6"/>
        <item x="274"/>
        <item x="277"/>
        <item x="275"/>
        <item x="281"/>
        <item x="283"/>
        <item x="284"/>
        <item x="278"/>
        <item x="279"/>
        <item x="280"/>
        <item x="282"/>
        <item x="289"/>
        <item x="290"/>
        <item x="285"/>
        <item x="286"/>
        <item x="287"/>
        <item x="288"/>
        <item x="291"/>
        <item x="292"/>
        <item x="293"/>
        <item x="294"/>
        <item x="295"/>
        <item x="310"/>
        <item x="296"/>
        <item x="311"/>
        <item x="297"/>
        <item x="298"/>
        <item x="299"/>
        <item x="300"/>
        <item x="301"/>
        <item x="302"/>
        <item x="314"/>
        <item x="303"/>
        <item x="304"/>
        <item x="305"/>
        <item x="306"/>
        <item x="315"/>
        <item x="307"/>
        <item x="308"/>
        <item x="309"/>
        <item x="312"/>
        <item x="313"/>
        <item x="319"/>
        <item x="316"/>
        <item x="317"/>
        <item x="318"/>
        <item x="322"/>
        <item x="332"/>
        <item x="333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m="1" x="1093"/>
        <item x="363"/>
        <item x="364"/>
        <item x="365"/>
        <item x="367"/>
        <item x="603"/>
        <item x="371"/>
        <item x="372"/>
        <item x="383"/>
        <item x="384"/>
        <item x="385"/>
        <item x="386"/>
        <item x="387"/>
        <item x="388"/>
        <item x="389"/>
        <item x="392"/>
        <item x="390"/>
        <item x="391"/>
        <item x="393"/>
        <item x="396"/>
        <item x="397"/>
        <item x="394"/>
        <item x="39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m="1" x="895"/>
        <item x="428"/>
        <item x="429"/>
        <item x="430"/>
        <item x="431"/>
        <item x="432"/>
        <item x="433"/>
        <item x="434"/>
        <item x="436"/>
        <item x="435"/>
        <item x="437"/>
        <item x="438"/>
        <item x="439"/>
        <item x="440"/>
        <item x="441"/>
        <item x="442"/>
        <item x="445"/>
        <item x="443"/>
        <item x="444"/>
        <item x="446"/>
        <item x="447"/>
        <item x="449"/>
        <item x="450"/>
        <item x="451"/>
        <item x="452"/>
        <item x="448"/>
        <item x="453"/>
        <item x="454"/>
        <item x="455"/>
        <item x="456"/>
        <item x="457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6"/>
        <item x="477"/>
        <item x="479"/>
        <item x="478"/>
        <item x="480"/>
        <item x="481"/>
        <item x="482"/>
        <item x="483"/>
        <item x="487"/>
        <item x="484"/>
        <item x="485"/>
        <item x="486"/>
        <item x="495"/>
        <item x="488"/>
        <item x="489"/>
        <item x="501"/>
        <item x="490"/>
        <item x="491"/>
        <item x="492"/>
        <item x="493"/>
        <item x="494"/>
        <item x="496"/>
        <item x="497"/>
        <item x="498"/>
        <item x="499"/>
        <item x="500"/>
        <item x="502"/>
        <item x="503"/>
        <item x="504"/>
        <item x="505"/>
        <item x="506"/>
        <item x="510"/>
        <item x="511"/>
        <item x="512"/>
        <item x="514"/>
        <item x="516"/>
        <item x="517"/>
        <item x="518"/>
        <item x="520"/>
        <item x="521"/>
        <item x="507"/>
        <item x="508"/>
        <item x="509"/>
        <item x="513"/>
        <item x="515"/>
        <item x="519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9"/>
        <item x="551"/>
        <item x="554"/>
        <item x="555"/>
        <item x="591"/>
        <item x="566"/>
        <item x="620"/>
        <item x="567"/>
        <item x="621"/>
        <item x="592"/>
        <item x="558"/>
        <item x="622"/>
        <item x="568"/>
        <item x="569"/>
        <item x="570"/>
        <item x="593"/>
        <item x="574"/>
        <item x="594"/>
        <item x="595"/>
        <item x="571"/>
        <item x="572"/>
        <item x="573"/>
        <item x="575"/>
        <item x="596"/>
        <item x="624"/>
        <item x="625"/>
        <item x="578"/>
        <item x="579"/>
        <item x="623"/>
        <item x="576"/>
        <item x="597"/>
        <item x="577"/>
        <item x="580"/>
        <item x="475"/>
        <item x="581"/>
        <item x="582"/>
        <item x="626"/>
        <item x="583"/>
        <item x="598"/>
        <item x="584"/>
        <item x="585"/>
        <item x="627"/>
        <item x="628"/>
        <item x="599"/>
        <item x="629"/>
        <item x="600"/>
        <item x="601"/>
        <item x="602"/>
        <item x="560"/>
        <item x="586"/>
        <item x="605"/>
        <item x="606"/>
        <item x="608"/>
        <item x="609"/>
        <item x="646"/>
        <item x="647"/>
        <item x="648"/>
        <item x="649"/>
        <item x="632"/>
        <item x="634"/>
        <item x="650"/>
        <item x="633"/>
        <item x="651"/>
        <item x="635"/>
        <item x="652"/>
        <item x="653"/>
        <item x="636"/>
        <item x="637"/>
        <item x="654"/>
        <item x="655"/>
        <item x="638"/>
        <item x="656"/>
        <item x="639"/>
        <item x="640"/>
        <item x="641"/>
        <item x="657"/>
        <item x="642"/>
        <item x="643"/>
        <item m="1" x="828"/>
        <item x="564"/>
        <item x="644"/>
        <item m="1" x="1090"/>
        <item x="645"/>
        <item x="661"/>
        <item x="665"/>
        <item x="666"/>
        <item x="667"/>
        <item x="668"/>
        <item x="670"/>
        <item x="671"/>
        <item x="672"/>
        <item x="673"/>
        <item x="675"/>
        <item x="676"/>
        <item x="677"/>
        <item x="678"/>
        <item x="680"/>
        <item x="684"/>
        <item x="687"/>
        <item x="688"/>
        <item x="689"/>
        <item x="691"/>
        <item x="694"/>
        <item x="696"/>
        <item x="697"/>
        <item x="703"/>
        <item x="704"/>
        <item x="706"/>
        <item x="708"/>
        <item x="709"/>
        <item x="710"/>
        <item x="711"/>
        <item x="690"/>
        <item x="698"/>
        <item x="715"/>
        <item x="717"/>
        <item x="720"/>
        <item x="685"/>
        <item x="660"/>
        <item x="662"/>
        <item x="663"/>
        <item x="664"/>
        <item x="669"/>
        <item x="674"/>
        <item x="679"/>
        <item x="681"/>
        <item x="686"/>
        <item x="695"/>
        <item x="699"/>
        <item x="700"/>
        <item x="701"/>
        <item x="707"/>
        <item x="705"/>
        <item x="713"/>
        <item x="714"/>
        <item x="716"/>
        <item x="718"/>
        <item x="692"/>
        <item x="693"/>
        <item x="702"/>
        <item x="682"/>
        <item x="683"/>
        <item x="712"/>
        <item x="719"/>
        <item x="366"/>
        <item x="368"/>
        <item x="369"/>
        <item x="370"/>
        <item x="604"/>
        <item x="607"/>
        <item x="721"/>
        <item x="722"/>
        <item x="725"/>
        <item x="563"/>
        <item x="52"/>
        <item x="54"/>
        <item x="55"/>
        <item x="58"/>
        <item x="59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60"/>
        <item x="204"/>
        <item x="205"/>
        <item x="206"/>
        <item x="207"/>
        <item x="208"/>
        <item x="209"/>
        <item x="210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373"/>
        <item x="374"/>
        <item x="375"/>
        <item x="376"/>
        <item x="377"/>
        <item x="378"/>
        <item x="379"/>
        <item x="380"/>
        <item x="381"/>
        <item x="382"/>
        <item x="425"/>
        <item x="426"/>
        <item x="427"/>
        <item x="474"/>
        <item x="548"/>
        <item x="557"/>
        <item x="559"/>
        <item x="561"/>
        <item x="562"/>
        <item x="565"/>
        <item x="587"/>
        <item x="588"/>
        <item x="589"/>
        <item x="590"/>
        <item x="610"/>
        <item x="611"/>
        <item x="612"/>
        <item x="613"/>
        <item x="614"/>
        <item x="615"/>
        <item x="616"/>
        <item x="617"/>
        <item x="618"/>
        <item x="619"/>
        <item x="631"/>
        <item x="658"/>
        <item x="659"/>
        <item x="727"/>
        <item x="728"/>
        <item x="729"/>
        <item x="730"/>
        <item t="default"/>
      </items>
    </pivotField>
    <pivotField showAll="0"/>
    <pivotField showAll="0"/>
    <pivotField axis="axisPage" showAll="0">
      <items count="7">
        <item x="0"/>
        <item x="3"/>
        <item x="4"/>
        <item x="1"/>
        <item m="1" x="5"/>
        <item x="2"/>
        <item t="default"/>
      </items>
    </pivotField>
    <pivotField showAll="0"/>
    <pivotField showAll="0"/>
    <pivotField axis="axisCol" showAll="0">
      <items count="6">
        <item x="4"/>
        <item x="2"/>
        <item x="3"/>
        <item x="1"/>
        <item x="0"/>
        <item t="default"/>
      </items>
    </pivotField>
    <pivotField showAll="0"/>
    <pivotField dataField="1" numFmtId="3" showAll="0"/>
  </pivotFields>
  <rowFields count="1">
    <field x="4"/>
  </rowFields>
  <rowItems count="92">
    <i>
      <x v="568"/>
    </i>
    <i>
      <x v="569"/>
    </i>
    <i>
      <x v="570"/>
    </i>
    <i>
      <x v="571"/>
    </i>
    <i>
      <x v="572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6"/>
    </i>
    <i>
      <x v="587"/>
    </i>
    <i>
      <x v="589"/>
    </i>
    <i>
      <x v="591"/>
    </i>
    <i>
      <x v="592"/>
    </i>
    <i>
      <x v="593"/>
    </i>
    <i>
      <x v="594"/>
    </i>
    <i>
      <x v="596"/>
    </i>
    <i>
      <x v="599"/>
    </i>
    <i>
      <x v="600"/>
    </i>
    <i>
      <x v="603"/>
    </i>
    <i>
      <x v="607"/>
    </i>
    <i>
      <x v="609"/>
    </i>
    <i>
      <x v="610"/>
    </i>
    <i>
      <x v="611"/>
    </i>
    <i>
      <x v="614"/>
    </i>
    <i>
      <x v="615"/>
    </i>
    <i>
      <x v="624"/>
    </i>
    <i>
      <x v="625"/>
    </i>
    <i>
      <x v="629"/>
    </i>
    <i>
      <x v="630"/>
    </i>
    <i>
      <x v="632"/>
    </i>
    <i>
      <x v="633"/>
    </i>
    <i>
      <x v="638"/>
    </i>
    <i>
      <x v="639"/>
    </i>
    <i>
      <x v="641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4"/>
    </i>
    <i>
      <x v="655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7"/>
    </i>
    <i>
      <x v="668"/>
    </i>
    <i>
      <x v="671"/>
    </i>
    <i>
      <x v="672"/>
    </i>
    <i>
      <x v="673"/>
    </i>
    <i>
      <x v="674"/>
    </i>
    <i>
      <x v="675"/>
    </i>
    <i>
      <x v="676"/>
    </i>
    <i>
      <x v="679"/>
    </i>
    <i>
      <x v="681"/>
    </i>
    <i>
      <x v="686"/>
    </i>
    <i>
      <x v="687"/>
    </i>
    <i>
      <x v="688"/>
    </i>
    <i>
      <x v="689"/>
    </i>
    <i>
      <x v="690"/>
    </i>
    <i>
      <x v="692"/>
    </i>
    <i>
      <x v="693"/>
    </i>
    <i>
      <x v="694"/>
    </i>
    <i>
      <x v="695"/>
    </i>
    <i>
      <x v="696"/>
    </i>
    <i>
      <x v="699"/>
    </i>
    <i>
      <x v="701"/>
    </i>
    <i>
      <x v="702"/>
    </i>
    <i>
      <x v="705"/>
    </i>
    <i>
      <x v="708"/>
    </i>
    <i>
      <x v="710"/>
    </i>
    <i>
      <x v="713"/>
    </i>
    <i>
      <x v="725"/>
    </i>
    <i>
      <x v="729"/>
    </i>
    <i>
      <x v="730"/>
    </i>
    <i>
      <x v="732"/>
    </i>
    <i>
      <x v="743"/>
    </i>
  </rowItems>
  <colFields count="1">
    <field x="10"/>
  </colFields>
  <colItems count="5">
    <i>
      <x/>
    </i>
    <i>
      <x v="1"/>
    </i>
    <i>
      <x v="2"/>
    </i>
    <i>
      <x v="3"/>
    </i>
    <i>
      <x v="4"/>
    </i>
  </colItems>
  <pageFields count="4">
    <pageField fld="0" item="0" hier="-1"/>
    <pageField fld="2" item="1" hier="-1"/>
    <pageField fld="1" item="4" hier="-1"/>
    <pageField fld="7" item="0" hier="-1"/>
  </pageFields>
  <dataFields count="1">
    <dataField name="Unidades Equivalentes" fld="12" baseField="4" baseItem="8" numFmtId="3"/>
  </dataFields>
  <formats count="45">
    <format dxfId="1799">
      <pivotArea type="all" dataOnly="0" outline="0" fieldPosition="0"/>
    </format>
    <format dxfId="1798">
      <pivotArea outline="0" collapsedLevelsAreSubtotals="1" fieldPosition="0"/>
    </format>
    <format dxfId="1797">
      <pivotArea type="origin" dataOnly="0" labelOnly="1" outline="0" fieldPosition="0"/>
    </format>
    <format dxfId="1796">
      <pivotArea field="10" type="button" dataOnly="0" labelOnly="1" outline="0" axis="axisCol" fieldPosition="0"/>
    </format>
    <format dxfId="1795">
      <pivotArea type="topRight" dataOnly="0" labelOnly="1" outline="0" fieldPosition="0"/>
    </format>
    <format dxfId="1794">
      <pivotArea field="4" type="button" dataOnly="0" labelOnly="1" outline="0" axis="axisRow" fieldPosition="0"/>
    </format>
    <format dxfId="1793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92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91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790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789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788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787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786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785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784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783">
      <pivotArea dataOnly="0" labelOnly="1" fieldPosition="0">
        <references count="1">
          <reference field="4" count="21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</reference>
        </references>
      </pivotArea>
    </format>
    <format dxfId="1782">
      <pivotArea dataOnly="0" labelOnly="1" grandRow="1" outline="0" fieldPosition="0"/>
    </format>
    <format dxfId="1781">
      <pivotArea dataOnly="0" labelOnly="1" fieldPosition="0">
        <references count="1">
          <reference field="10" count="0"/>
        </references>
      </pivotArea>
    </format>
    <format dxfId="1780">
      <pivotArea dataOnly="0" labelOnly="1" grandCol="1" outline="0" fieldPosition="0"/>
    </format>
    <format dxfId="1779">
      <pivotArea type="all" dataOnly="0" outline="0" fieldPosition="0"/>
    </format>
    <format dxfId="1778">
      <pivotArea outline="0" collapsedLevelsAreSubtotals="1" fieldPosition="0"/>
    </format>
    <format dxfId="1777">
      <pivotArea type="origin" dataOnly="0" labelOnly="1" outline="0" fieldPosition="0"/>
    </format>
    <format dxfId="1776">
      <pivotArea field="10" type="button" dataOnly="0" labelOnly="1" outline="0" axis="axisCol" fieldPosition="0"/>
    </format>
    <format dxfId="1775">
      <pivotArea type="topRight" dataOnly="0" labelOnly="1" outline="0" fieldPosition="0"/>
    </format>
    <format dxfId="1774">
      <pivotArea field="4" type="button" dataOnly="0" labelOnly="1" outline="0" axis="axisRow" fieldPosition="0"/>
    </format>
    <format dxfId="1773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72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71">
      <pivotArea dataOnly="0" labelOnly="1" fieldPosition="0">
        <references count="1">
          <reference field="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770">
      <pivotArea dataOnly="0" labelOnly="1" fieldPosition="0">
        <references count="1">
          <reference field="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769">
      <pivotArea dataOnly="0" labelOnly="1" fieldPosition="0">
        <references count="1">
          <reference field="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768">
      <pivotArea dataOnly="0" labelOnly="1" fieldPosition="0">
        <references count="1">
          <reference field="4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767">
      <pivotArea dataOnly="0" labelOnly="1" fieldPosition="0">
        <references count="1">
          <reference field="4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766">
      <pivotArea dataOnly="0" labelOnly="1" fieldPosition="0">
        <references count="1">
          <reference field="4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765">
      <pivotArea dataOnly="0" labelOnly="1" fieldPosition="0">
        <references count="1">
          <reference field="4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764">
      <pivotArea dataOnly="0" labelOnly="1" fieldPosition="0">
        <references count="1">
          <reference field="4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763">
      <pivotArea dataOnly="0" labelOnly="1" fieldPosition="0">
        <references count="1">
          <reference field="4" count="21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</reference>
        </references>
      </pivotArea>
    </format>
    <format dxfId="1762">
      <pivotArea dataOnly="0" labelOnly="1" grandRow="1" outline="0" fieldPosition="0"/>
    </format>
    <format dxfId="1761">
      <pivotArea dataOnly="0" labelOnly="1" fieldPosition="0">
        <references count="1">
          <reference field="10" count="0"/>
        </references>
      </pivotArea>
    </format>
    <format dxfId="1760">
      <pivotArea dataOnly="0" labelOnly="1" grandCol="1" outline="0" fieldPosition="0"/>
    </format>
    <format dxfId="1759">
      <pivotArea dataOnly="0" outline="0" fieldPosition="0">
        <references count="1">
          <reference field="10" count="0"/>
        </references>
      </pivotArea>
    </format>
    <format dxfId="1758">
      <pivotArea dataOnly="0" labelOnly="1" fieldPosition="0">
        <references count="1">
          <reference field="10" count="0"/>
        </references>
      </pivotArea>
    </format>
    <format dxfId="1757">
      <pivotArea dataOnly="0" labelOnly="1" fieldPosition="0">
        <references count="1">
          <reference field="10" count="0"/>
        </references>
      </pivotArea>
    </format>
    <format dxfId="1756">
      <pivotArea dataOnly="0" labelOnly="1" fieldPosition="0">
        <references count="1">
          <reference field="10" count="0"/>
        </references>
      </pivotArea>
    </format>
    <format dxfId="175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C4FE1E-BA92-41E0-958B-9EDFC018AC58}" name="pvt_Venda_Detalhada_Mes" cacheId="6" applyNumberFormats="0" applyBorderFormats="0" applyFontFormats="0" applyPatternFormats="0" applyAlignmentFormats="0" applyWidthHeightFormats="1" dataCaption="Valores" updatedVersion="6" minRefreshableVersion="3" showDrill="0" showDataTips="0" rowGrandTotals="0" itemPrintTitles="1" createdVersion="6" indent="0" showHeaders="0" outline="1" outlineData="1" multipleFieldFilters="0">
  <location ref="C8:G85" firstHeaderRow="1" firstDataRow="2" firstDataCol="1" rowPageCount="3" colPageCount="1"/>
  <pivotFields count="7">
    <pivotField axis="axisPage" showAll="0">
      <items count="2">
        <item x="0"/>
        <item t="default"/>
      </items>
    </pivotField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3">
        <item x="0"/>
        <item x="1"/>
        <item t="default"/>
      </items>
    </pivotField>
    <pivotField numFmtId="1" showAll="0"/>
    <pivotField axis="axisRow" showAll="0">
      <items count="197">
        <item x="9"/>
        <item x="39"/>
        <item x="13"/>
        <item x="20"/>
        <item m="1" x="182"/>
        <item x="19"/>
        <item x="30"/>
        <item x="107"/>
        <item m="1" x="156"/>
        <item x="96"/>
        <item m="1" x="193"/>
        <item m="1" x="157"/>
        <item m="1" x="190"/>
        <item m="1" x="153"/>
        <item x="109"/>
        <item x="90"/>
        <item x="10"/>
        <item x="84"/>
        <item x="34"/>
        <item m="1" x="185"/>
        <item m="1" x="151"/>
        <item x="24"/>
        <item x="33"/>
        <item m="1" x="162"/>
        <item x="15"/>
        <item x="98"/>
        <item x="14"/>
        <item m="1" x="184"/>
        <item x="127"/>
        <item x="95"/>
        <item x="22"/>
        <item x="81"/>
        <item x="38"/>
        <item x="69"/>
        <item x="29"/>
        <item m="1" x="165"/>
        <item x="31"/>
        <item x="71"/>
        <item x="4"/>
        <item x="27"/>
        <item m="1" x="160"/>
        <item m="1" x="179"/>
        <item m="1" x="172"/>
        <item x="70"/>
        <item x="40"/>
        <item m="1" x="152"/>
        <item m="1" x="183"/>
        <item x="42"/>
        <item m="1" x="188"/>
        <item x="56"/>
        <item x="3"/>
        <item x="2"/>
        <item x="77"/>
        <item x="5"/>
        <item m="1" x="186"/>
        <item m="1" x="194"/>
        <item m="1" x="189"/>
        <item x="1"/>
        <item x="50"/>
        <item m="1" x="175"/>
        <item m="1" x="161"/>
        <item x="111"/>
        <item m="1" x="192"/>
        <item m="1" x="154"/>
        <item x="6"/>
        <item x="45"/>
        <item x="99"/>
        <item x="137"/>
        <item x="17"/>
        <item m="1" x="167"/>
        <item m="1" x="195"/>
        <item m="1" x="171"/>
        <item x="44"/>
        <item m="1" x="159"/>
        <item x="46"/>
        <item x="74"/>
        <item x="7"/>
        <item x="47"/>
        <item m="1" x="180"/>
        <item x="80"/>
        <item x="32"/>
        <item x="25"/>
        <item x="100"/>
        <item x="21"/>
        <item x="37"/>
        <item x="28"/>
        <item x="118"/>
        <item x="23"/>
        <item m="1" x="181"/>
        <item x="75"/>
        <item x="16"/>
        <item x="11"/>
        <item m="1" x="169"/>
        <item x="59"/>
        <item x="58"/>
        <item x="68"/>
        <item x="12"/>
        <item x="79"/>
        <item x="8"/>
        <item m="1" x="170"/>
        <item x="82"/>
        <item x="36"/>
        <item x="106"/>
        <item x="26"/>
        <item x="72"/>
        <item x="92"/>
        <item m="1" x="176"/>
        <item x="104"/>
        <item m="1" x="168"/>
        <item x="43"/>
        <item m="1" x="174"/>
        <item m="1" x="178"/>
        <item x="18"/>
        <item m="1" x="163"/>
        <item x="49"/>
        <item x="103"/>
        <item x="87"/>
        <item x="0"/>
        <item m="1" x="166"/>
        <item x="117"/>
        <item x="119"/>
        <item x="120"/>
        <item x="121"/>
        <item x="122"/>
        <item m="1" x="155"/>
        <item x="124"/>
        <item m="1" x="187"/>
        <item x="126"/>
        <item m="1" x="164"/>
        <item m="1" x="158"/>
        <item x="133"/>
        <item x="129"/>
        <item m="1" x="173"/>
        <item x="132"/>
        <item m="1" x="150"/>
        <item m="1" x="177"/>
        <item x="35"/>
        <item x="41"/>
        <item x="48"/>
        <item x="51"/>
        <item x="52"/>
        <item x="53"/>
        <item x="54"/>
        <item x="55"/>
        <item x="57"/>
        <item x="60"/>
        <item x="61"/>
        <item x="62"/>
        <item x="63"/>
        <item x="64"/>
        <item x="65"/>
        <item x="66"/>
        <item x="67"/>
        <item x="73"/>
        <item x="76"/>
        <item x="78"/>
        <item x="83"/>
        <item x="85"/>
        <item x="86"/>
        <item x="88"/>
        <item x="89"/>
        <item x="91"/>
        <item x="93"/>
        <item x="94"/>
        <item x="97"/>
        <item x="101"/>
        <item x="102"/>
        <item x="105"/>
        <item x="108"/>
        <item x="110"/>
        <item x="112"/>
        <item x="113"/>
        <item x="114"/>
        <item x="115"/>
        <item x="116"/>
        <item x="125"/>
        <item x="128"/>
        <item m="1" x="191"/>
        <item x="130"/>
        <item x="131"/>
        <item x="134"/>
        <item x="135"/>
        <item x="136"/>
        <item x="138"/>
        <item x="139"/>
        <item x="141"/>
        <item x="142"/>
        <item x="143"/>
        <item x="144"/>
        <item x="145"/>
        <item x="146"/>
        <item x="147"/>
        <item x="140"/>
        <item x="123"/>
        <item x="148"/>
        <item x="149"/>
        <item t="default"/>
      </items>
    </pivotField>
    <pivotField axis="axisCol" showAll="0">
      <items count="4">
        <item x="2"/>
        <item x="0"/>
        <item x="1"/>
        <item t="default"/>
      </items>
    </pivotField>
    <pivotField dataField="1" numFmtId="165" showAll="0"/>
  </pivotFields>
  <rowFields count="1">
    <field x="4"/>
  </rowFields>
  <rowItems count="76">
    <i>
      <x/>
    </i>
    <i>
      <x v="2"/>
    </i>
    <i>
      <x v="3"/>
    </i>
    <i>
      <x v="5"/>
    </i>
    <i>
      <x v="6"/>
    </i>
    <i>
      <x v="7"/>
    </i>
    <i>
      <x v="9"/>
    </i>
    <i>
      <x v="16"/>
    </i>
    <i>
      <x v="17"/>
    </i>
    <i>
      <x v="21"/>
    </i>
    <i>
      <x v="22"/>
    </i>
    <i>
      <x v="24"/>
    </i>
    <i>
      <x v="26"/>
    </i>
    <i>
      <x v="28"/>
    </i>
    <i>
      <x v="29"/>
    </i>
    <i>
      <x v="32"/>
    </i>
    <i>
      <x v="33"/>
    </i>
    <i>
      <x v="43"/>
    </i>
    <i>
      <x v="51"/>
    </i>
    <i>
      <x v="57"/>
    </i>
    <i>
      <x v="67"/>
    </i>
    <i>
      <x v="74"/>
    </i>
    <i>
      <x v="76"/>
    </i>
    <i>
      <x v="79"/>
    </i>
    <i>
      <x v="80"/>
    </i>
    <i>
      <x v="85"/>
    </i>
    <i>
      <x v="90"/>
    </i>
    <i>
      <x v="91"/>
    </i>
    <i>
      <x v="93"/>
    </i>
    <i>
      <x v="95"/>
    </i>
    <i>
      <x v="96"/>
    </i>
    <i>
      <x v="97"/>
    </i>
    <i>
      <x v="98"/>
    </i>
    <i>
      <x v="101"/>
    </i>
    <i>
      <x v="102"/>
    </i>
    <i>
      <x v="103"/>
    </i>
    <i>
      <x v="105"/>
    </i>
    <i>
      <x v="109"/>
    </i>
    <i>
      <x v="112"/>
    </i>
    <i>
      <x v="121"/>
    </i>
    <i>
      <x v="123"/>
    </i>
    <i>
      <x v="130"/>
    </i>
    <i>
      <x v="131"/>
    </i>
    <i>
      <x v="133"/>
    </i>
    <i>
      <x v="137"/>
    </i>
    <i>
      <x v="139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2"/>
    </i>
    <i>
      <x v="153"/>
    </i>
    <i>
      <x v="155"/>
    </i>
    <i>
      <x v="157"/>
    </i>
    <i>
      <x v="162"/>
    </i>
    <i>
      <x v="165"/>
    </i>
    <i>
      <x v="170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</rowItems>
  <colFields count="1">
    <field x="5"/>
  </colFields>
  <colItems count="4">
    <i>
      <x/>
    </i>
    <i>
      <x v="1"/>
    </i>
    <i>
      <x v="2"/>
    </i>
    <i t="grand">
      <x/>
    </i>
  </colItems>
  <pageFields count="3">
    <pageField fld="0" hier="-1"/>
    <pageField fld="2" item="1" hier="-1"/>
    <pageField fld="1" item="4" hier="-1"/>
  </pageFields>
  <dataFields count="1">
    <dataField name="Venda BRL" fld="6" baseField="4" baseItem="0" numFmtId="165"/>
  </dataFields>
  <formats count="23">
    <format dxfId="1731">
      <pivotArea dataOnly="0" labelOnly="1" fieldPosition="0">
        <references count="1">
          <reference field="5" count="0"/>
        </references>
      </pivotArea>
    </format>
    <format dxfId="1730">
      <pivotArea dataOnly="0" labelOnly="1" grandCol="1" outline="0" fieldPosition="0"/>
    </format>
    <format dxfId="1729">
      <pivotArea dataOnly="0" labelOnly="1" fieldPosition="0">
        <references count="1">
          <reference field="5" count="0"/>
        </references>
      </pivotArea>
    </format>
    <format dxfId="1728">
      <pivotArea dataOnly="0" labelOnly="1" grandCol="1" outline="0" fieldPosition="0"/>
    </format>
    <format dxfId="1727">
      <pivotArea dataOnly="0" labelOnly="1" fieldPosition="0">
        <references count="1">
          <reference field="5" count="0"/>
        </references>
      </pivotArea>
    </format>
    <format dxfId="1726">
      <pivotArea dataOnly="0" labelOnly="1" grandCol="1" outline="0" fieldPosition="0"/>
    </format>
    <format dxfId="1725">
      <pivotArea type="all" dataOnly="0" outline="0" fieldPosition="0"/>
    </format>
    <format dxfId="1724">
      <pivotArea type="origin" dataOnly="0" labelOnly="1" outline="0" fieldPosition="0"/>
    </format>
    <format dxfId="1723">
      <pivotArea dataOnly="0" outline="0" fieldPosition="0">
        <references count="1">
          <reference field="5" count="0"/>
        </references>
      </pivotArea>
    </format>
    <format dxfId="1722">
      <pivotArea type="all" dataOnly="0" outline="0" fieldPosition="0"/>
    </format>
    <format dxfId="1721">
      <pivotArea outline="0" collapsedLevelsAreSubtotals="1" fieldPosition="0"/>
    </format>
    <format dxfId="1720">
      <pivotArea type="origin" dataOnly="0" labelOnly="1" outline="0" fieldPosition="0"/>
    </format>
    <format dxfId="1719">
      <pivotArea type="topRight" dataOnly="0" labelOnly="1" outline="0" fieldPosition="0"/>
    </format>
    <format dxfId="1718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17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16">
      <pivotArea dataOnly="0" labelOnly="1" fieldPosition="0">
        <references count="1">
          <reference field="4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715">
      <pivotArea dataOnly="0" labelOnly="1" fieldPosition="0">
        <references count="1">
          <reference field="5" count="0"/>
        </references>
      </pivotArea>
    </format>
    <format dxfId="1714">
      <pivotArea dataOnly="0" labelOnly="1" grandCol="1" outline="0" fieldPosition="0"/>
    </format>
    <format dxfId="1713">
      <pivotArea dataOnly="0" labelOnly="1" fieldPosition="0">
        <references count="1">
          <reference field="5" count="0"/>
        </references>
      </pivotArea>
    </format>
    <format dxfId="1712">
      <pivotArea dataOnly="0" labelOnly="1" grandCol="1" outline="0" fieldPosition="0"/>
    </format>
    <format dxfId="1711">
      <pivotArea outline="0" fieldPosition="0">
        <references count="1">
          <reference field="4294967294" count="1">
            <x v="0"/>
          </reference>
        </references>
      </pivotArea>
    </format>
    <format dxfId="1710">
      <pivotArea dataOnly="0" labelOnly="1" fieldPosition="0">
        <references count="1">
          <reference field="5" count="0"/>
        </references>
      </pivotArea>
    </format>
    <format dxfId="1709">
      <pivotArea dataOnly="0" labelOnly="1" grandCol="1" outline="0" fieldPosition="0"/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49ABCA-3115-4245-9E23-A3611270D47D}" name="pvt_Venda_Detalhada_Tri" cacheId="6" applyNumberFormats="0" applyBorderFormats="0" applyFontFormats="0" applyPatternFormats="0" applyAlignmentFormats="0" applyWidthHeightFormats="1" dataCaption="Valores" updatedVersion="6" minRefreshableVersion="3" showDrill="0" showDataTips="0" rowGrandTotals="0" itemPrintTitles="1" createdVersion="6" indent="0" showHeaders="0" outline="1" outlineData="1" multipleFieldFilters="0">
  <location ref="I7:M123" firstHeaderRow="1" firstDataRow="2" firstDataCol="1" rowPageCount="2" colPageCount="1"/>
  <pivotFields count="7"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numFmtId="1" showAll="0"/>
    <pivotField axis="axisRow" showAll="0">
      <items count="197">
        <item x="9"/>
        <item x="39"/>
        <item x="13"/>
        <item x="20"/>
        <item m="1" x="182"/>
        <item x="19"/>
        <item x="30"/>
        <item x="107"/>
        <item m="1" x="156"/>
        <item x="96"/>
        <item m="1" x="193"/>
        <item m="1" x="157"/>
        <item m="1" x="190"/>
        <item m="1" x="153"/>
        <item x="109"/>
        <item x="90"/>
        <item x="10"/>
        <item x="84"/>
        <item x="34"/>
        <item m="1" x="185"/>
        <item m="1" x="151"/>
        <item x="24"/>
        <item x="33"/>
        <item m="1" x="162"/>
        <item x="15"/>
        <item x="98"/>
        <item x="14"/>
        <item m="1" x="184"/>
        <item x="127"/>
        <item x="95"/>
        <item x="22"/>
        <item x="81"/>
        <item x="38"/>
        <item x="69"/>
        <item x="29"/>
        <item m="1" x="165"/>
        <item x="31"/>
        <item x="71"/>
        <item x="4"/>
        <item x="27"/>
        <item m="1" x="160"/>
        <item m="1" x="179"/>
        <item m="1" x="172"/>
        <item x="70"/>
        <item x="40"/>
        <item m="1" x="152"/>
        <item m="1" x="183"/>
        <item x="42"/>
        <item m="1" x="188"/>
        <item x="56"/>
        <item x="3"/>
        <item x="2"/>
        <item x="77"/>
        <item x="5"/>
        <item m="1" x="186"/>
        <item m="1" x="194"/>
        <item m="1" x="189"/>
        <item x="1"/>
        <item x="50"/>
        <item m="1" x="175"/>
        <item m="1" x="161"/>
        <item x="111"/>
        <item m="1" x="192"/>
        <item m="1" x="154"/>
        <item x="6"/>
        <item x="45"/>
        <item x="99"/>
        <item x="137"/>
        <item x="17"/>
        <item m="1" x="167"/>
        <item m="1" x="195"/>
        <item m="1" x="171"/>
        <item x="44"/>
        <item m="1" x="159"/>
        <item x="46"/>
        <item x="74"/>
        <item x="7"/>
        <item x="47"/>
        <item m="1" x="180"/>
        <item x="80"/>
        <item x="32"/>
        <item x="25"/>
        <item x="100"/>
        <item x="21"/>
        <item x="37"/>
        <item x="28"/>
        <item x="118"/>
        <item x="23"/>
        <item m="1" x="181"/>
        <item x="75"/>
        <item x="16"/>
        <item x="11"/>
        <item m="1" x="169"/>
        <item x="59"/>
        <item x="58"/>
        <item x="68"/>
        <item x="12"/>
        <item x="79"/>
        <item x="8"/>
        <item m="1" x="170"/>
        <item x="82"/>
        <item x="36"/>
        <item x="106"/>
        <item x="26"/>
        <item x="72"/>
        <item x="92"/>
        <item m="1" x="176"/>
        <item x="104"/>
        <item m="1" x="168"/>
        <item x="43"/>
        <item m="1" x="174"/>
        <item m="1" x="178"/>
        <item x="18"/>
        <item m="1" x="163"/>
        <item x="49"/>
        <item x="103"/>
        <item x="87"/>
        <item x="0"/>
        <item m="1" x="166"/>
        <item x="117"/>
        <item x="119"/>
        <item x="120"/>
        <item x="121"/>
        <item x="122"/>
        <item m="1" x="155"/>
        <item x="124"/>
        <item m="1" x="187"/>
        <item x="126"/>
        <item m="1" x="164"/>
        <item m="1" x="158"/>
        <item x="133"/>
        <item x="129"/>
        <item m="1" x="173"/>
        <item x="132"/>
        <item m="1" x="150"/>
        <item m="1" x="177"/>
        <item x="35"/>
        <item x="41"/>
        <item x="48"/>
        <item x="51"/>
        <item x="52"/>
        <item x="53"/>
        <item x="54"/>
        <item x="55"/>
        <item x="57"/>
        <item x="60"/>
        <item x="61"/>
        <item x="62"/>
        <item x="63"/>
        <item x="64"/>
        <item x="65"/>
        <item x="66"/>
        <item x="67"/>
        <item x="73"/>
        <item x="76"/>
        <item x="78"/>
        <item x="83"/>
        <item x="85"/>
        <item x="86"/>
        <item x="88"/>
        <item x="89"/>
        <item x="91"/>
        <item x="93"/>
        <item x="94"/>
        <item x="97"/>
        <item x="101"/>
        <item x="102"/>
        <item x="105"/>
        <item x="108"/>
        <item x="110"/>
        <item x="112"/>
        <item x="113"/>
        <item x="114"/>
        <item x="115"/>
        <item x="116"/>
        <item x="125"/>
        <item x="128"/>
        <item m="1" x="191"/>
        <item x="130"/>
        <item x="131"/>
        <item x="134"/>
        <item x="135"/>
        <item x="136"/>
        <item x="138"/>
        <item x="139"/>
        <item x="141"/>
        <item x="142"/>
        <item x="143"/>
        <item x="144"/>
        <item x="145"/>
        <item x="146"/>
        <item x="147"/>
        <item x="140"/>
        <item x="123"/>
        <item x="148"/>
        <item x="149"/>
        <item t="default"/>
      </items>
    </pivotField>
    <pivotField axis="axisCol" showAll="0">
      <items count="4">
        <item x="2"/>
        <item x="0"/>
        <item x="1"/>
        <item t="default"/>
      </items>
    </pivotField>
    <pivotField dataField="1" numFmtId="165" showAll="0"/>
  </pivotFields>
  <rowFields count="1">
    <field x="4"/>
  </rowFields>
  <rowItems count="115">
    <i>
      <x/>
    </i>
    <i>
      <x v="1"/>
    </i>
    <i>
      <x v="2"/>
    </i>
    <i>
      <x v="3"/>
    </i>
    <i>
      <x v="5"/>
    </i>
    <i>
      <x v="6"/>
    </i>
    <i>
      <x v="7"/>
    </i>
    <i>
      <x v="9"/>
    </i>
    <i>
      <x v="14"/>
    </i>
    <i>
      <x v="15"/>
    </i>
    <i>
      <x v="16"/>
    </i>
    <i>
      <x v="17"/>
    </i>
    <i>
      <x v="18"/>
    </i>
    <i>
      <x v="21"/>
    </i>
    <i>
      <x v="22"/>
    </i>
    <i>
      <x v="24"/>
    </i>
    <i>
      <x v="25"/>
    </i>
    <i>
      <x v="26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3"/>
    </i>
    <i>
      <x v="44"/>
    </i>
    <i>
      <x v="47"/>
    </i>
    <i>
      <x v="49"/>
    </i>
    <i>
      <x v="50"/>
    </i>
    <i>
      <x v="51"/>
    </i>
    <i>
      <x v="52"/>
    </i>
    <i>
      <x v="53"/>
    </i>
    <i>
      <x v="57"/>
    </i>
    <i>
      <x v="58"/>
    </i>
    <i>
      <x v="61"/>
    </i>
    <i>
      <x v="64"/>
    </i>
    <i>
      <x v="65"/>
    </i>
    <i>
      <x v="66"/>
    </i>
    <i>
      <x v="68"/>
    </i>
    <i>
      <x v="72"/>
    </i>
    <i>
      <x v="74"/>
    </i>
    <i>
      <x v="75"/>
    </i>
    <i>
      <x v="76"/>
    </i>
    <i>
      <x v="77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2"/>
    </i>
    <i>
      <x v="114"/>
    </i>
    <i>
      <x v="115"/>
    </i>
    <i>
      <x v="116"/>
    </i>
    <i>
      <x v="117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0" item="0" hier="-1"/>
    <pageField fld="2" item="0" hier="-1"/>
  </pageFields>
  <dataFields count="1">
    <dataField name="Venda BRL" fld="6" baseField="4" baseItem="0" numFmtId="165"/>
  </dataFields>
  <formats count="23">
    <format dxfId="1754">
      <pivotArea dataOnly="0" labelOnly="1" fieldPosition="0">
        <references count="1">
          <reference field="5" count="0"/>
        </references>
      </pivotArea>
    </format>
    <format dxfId="1753">
      <pivotArea dataOnly="0" labelOnly="1" grandCol="1" outline="0" fieldPosition="0"/>
    </format>
    <format dxfId="1752">
      <pivotArea dataOnly="0" labelOnly="1" fieldPosition="0">
        <references count="1">
          <reference field="5" count="0"/>
        </references>
      </pivotArea>
    </format>
    <format dxfId="1751">
      <pivotArea dataOnly="0" labelOnly="1" grandCol="1" outline="0" fieldPosition="0"/>
    </format>
    <format dxfId="1750">
      <pivotArea dataOnly="0" labelOnly="1" fieldPosition="0">
        <references count="1">
          <reference field="5" count="0"/>
        </references>
      </pivotArea>
    </format>
    <format dxfId="1749">
      <pivotArea dataOnly="0" labelOnly="1" grandCol="1" outline="0" fieldPosition="0"/>
    </format>
    <format dxfId="1748">
      <pivotArea type="all" dataOnly="0" outline="0" fieldPosition="0"/>
    </format>
    <format dxfId="1747">
      <pivotArea type="origin" dataOnly="0" labelOnly="1" outline="0" fieldPosition="0"/>
    </format>
    <format dxfId="1746">
      <pivotArea dataOnly="0" outline="0" fieldPosition="0">
        <references count="1">
          <reference field="5" count="0"/>
        </references>
      </pivotArea>
    </format>
    <format dxfId="1745">
      <pivotArea type="all" dataOnly="0" outline="0" fieldPosition="0"/>
    </format>
    <format dxfId="1744">
      <pivotArea outline="0" collapsedLevelsAreSubtotals="1" fieldPosition="0"/>
    </format>
    <format dxfId="1743">
      <pivotArea type="origin" dataOnly="0" labelOnly="1" outline="0" fieldPosition="0"/>
    </format>
    <format dxfId="1742">
      <pivotArea type="topRight" dataOnly="0" labelOnly="1" outline="0" fieldPosition="0"/>
    </format>
    <format dxfId="1741">
      <pivotArea dataOnly="0" labelOnly="1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40">
      <pivotArea dataOnly="0" labelOnly="1" fieldPosition="0">
        <references count="1">
          <reference field="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39">
      <pivotArea dataOnly="0" labelOnly="1" fieldPosition="0">
        <references count="1">
          <reference field="4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738">
      <pivotArea dataOnly="0" labelOnly="1" fieldPosition="0">
        <references count="1">
          <reference field="5" count="0"/>
        </references>
      </pivotArea>
    </format>
    <format dxfId="1737">
      <pivotArea dataOnly="0" labelOnly="1" grandCol="1" outline="0" fieldPosition="0"/>
    </format>
    <format dxfId="1736">
      <pivotArea dataOnly="0" labelOnly="1" fieldPosition="0">
        <references count="1">
          <reference field="5" count="0"/>
        </references>
      </pivotArea>
    </format>
    <format dxfId="1735">
      <pivotArea dataOnly="0" labelOnly="1" grandCol="1" outline="0" fieldPosition="0"/>
    </format>
    <format dxfId="1734">
      <pivotArea outline="0" fieldPosition="0">
        <references count="1">
          <reference field="4294967294" count="1">
            <x v="0"/>
          </reference>
        </references>
      </pivotArea>
    </format>
    <format dxfId="1733">
      <pivotArea dataOnly="0" labelOnly="1" fieldPosition="0">
        <references count="1">
          <reference field="5" count="0"/>
        </references>
      </pivotArea>
    </format>
    <format dxfId="1732">
      <pivotArea dataOnly="0" labelOnly="1" grandCol="1" outline="0" fieldPosition="0"/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367DC-939F-4384-90D9-E993AAC13DC5}" name="Tabela dinâmica1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B60" firstHeaderRow="1" firstDataRow="1" firstDataCol="1" rowPageCount="2" colPageCount="1"/>
  <pivotFields count="19"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numFmtId="1" showAll="0"/>
    <pivotField axis="axisRow" showAll="0" sortType="ascending">
      <items count="1191">
        <item x="269"/>
        <item x="284"/>
        <item m="1" x="1188"/>
        <item x="608"/>
        <item x="77"/>
        <item m="1" x="650"/>
        <item x="240"/>
        <item m="1" x="860"/>
        <item x="242"/>
        <item m="1" x="1111"/>
        <item x="34"/>
        <item m="1" x="1152"/>
        <item m="1" x="900"/>
        <item m="1" x="865"/>
        <item x="551"/>
        <item x="439"/>
        <item x="285"/>
        <item m="1" x="744"/>
        <item x="448"/>
        <item m="1" x="833"/>
        <item x="589"/>
        <item x="539"/>
        <item m="1" x="740"/>
        <item x="255"/>
        <item m="1" x="1180"/>
        <item x="198"/>
        <item m="1" x="729"/>
        <item x="435"/>
        <item m="1" x="681"/>
        <item x="286"/>
        <item m="1" x="718"/>
        <item x="204"/>
        <item m="1" x="1003"/>
        <item x="609"/>
        <item m="1" x="789"/>
        <item x="96"/>
        <item m="1" x="1138"/>
        <item x="509"/>
        <item m="1" x="795"/>
        <item x="436"/>
        <item m="1" x="943"/>
        <item m="1" x="1134"/>
        <item x="145"/>
        <item x="484"/>
        <item m="1" x="1008"/>
        <item x="8"/>
        <item m="1" x="716"/>
        <item x="370"/>
        <item m="1" x="673"/>
        <item x="80"/>
        <item m="1" x="1013"/>
        <item x="396"/>
        <item m="1" x="1173"/>
        <item x="350"/>
        <item m="1" x="1043"/>
        <item x="275"/>
        <item m="1" x="812"/>
        <item x="398"/>
        <item m="1" x="994"/>
        <item x="593"/>
        <item x="146"/>
        <item m="1" x="704"/>
        <item x="191"/>
        <item m="1" x="845"/>
        <item x="585"/>
        <item m="1" x="750"/>
        <item x="547"/>
        <item x="406"/>
        <item m="1" x="1030"/>
        <item m="1" x="639"/>
        <item x="141"/>
        <item m="1" x="679"/>
        <item x="147"/>
        <item m="1" x="1015"/>
        <item x="134"/>
        <item m="1" x="854"/>
        <item x="35"/>
        <item m="1" x="1154"/>
        <item x="287"/>
        <item m="1" x="806"/>
        <item x="61"/>
        <item m="1" x="807"/>
        <item x="89"/>
        <item m="1" x="1094"/>
        <item x="148"/>
        <item m="1" x="916"/>
        <item x="417"/>
        <item m="1" x="814"/>
        <item x="261"/>
        <item m="1" x="1071"/>
        <item x="602"/>
        <item x="288"/>
        <item m="1" x="1126"/>
        <item x="233"/>
        <item m="1" x="1031"/>
        <item x="437"/>
        <item m="1" x="655"/>
        <item x="493"/>
        <item m="1" x="1183"/>
        <item x="149"/>
        <item m="1" x="921"/>
        <item x="225"/>
        <item m="1" x="1118"/>
        <item m="1" x="1143"/>
        <item x="82"/>
        <item m="1" x="793"/>
        <item x="528"/>
        <item x="36"/>
        <item m="1" x="1168"/>
        <item x="363"/>
        <item m="1" x="1090"/>
        <item x="594"/>
        <item x="117"/>
        <item m="1" x="898"/>
        <item x="289"/>
        <item m="1" x="1002"/>
        <item x="399"/>
        <item m="1" x="1052"/>
        <item x="400"/>
        <item m="1" x="1040"/>
        <item x="88"/>
        <item m="1" x="1128"/>
        <item x="355"/>
        <item m="1" x="1125"/>
        <item x="356"/>
        <item m="1" x="678"/>
        <item x="290"/>
        <item m="1" x="697"/>
        <item x="600"/>
        <item x="420"/>
        <item m="1" x="676"/>
        <item x="559"/>
        <item m="1" x="1098"/>
        <item x="56"/>
        <item m="1" x="1144"/>
        <item x="232"/>
        <item m="1" x="930"/>
        <item x="423"/>
        <item m="1" x="668"/>
        <item x="564"/>
        <item x="368"/>
        <item m="1" x="974"/>
        <item m="1" x="652"/>
        <item x="150"/>
        <item x="90"/>
        <item m="1" x="707"/>
        <item x="375"/>
        <item x="449"/>
        <item m="1" x="640"/>
        <item x="554"/>
        <item m="1" x="929"/>
        <item x="151"/>
        <item m="1" x="736"/>
        <item x="201"/>
        <item m="1" x="731"/>
        <item x="91"/>
        <item m="1" x="1140"/>
        <item x="137"/>
        <item m="1" x="826"/>
        <item x="510"/>
        <item m="1" x="837"/>
        <item x="533"/>
        <item m="1" x="993"/>
        <item m="1" x="801"/>
        <item m="1" x="1025"/>
        <item m="1" x="1145"/>
        <item x="440"/>
        <item x="438"/>
        <item m="1" x="1177"/>
        <item x="291"/>
        <item m="1" x="1068"/>
        <item x="292"/>
        <item m="1" x="648"/>
        <item x="118"/>
        <item m="1" x="839"/>
        <item x="616"/>
        <item m="1" x="728"/>
        <item x="262"/>
        <item x="357"/>
        <item m="1" x="696"/>
        <item x="427"/>
        <item m="1" x="1185"/>
        <item x="495"/>
        <item m="1" x="658"/>
        <item x="432"/>
        <item m="1" x="996"/>
        <item x="23"/>
        <item m="1" x="909"/>
        <item x="583"/>
        <item x="580"/>
        <item x="351"/>
        <item m="1" x="1059"/>
        <item x="453"/>
        <item m="1" x="1158"/>
        <item x="481"/>
        <item m="1" x="779"/>
        <item x="540"/>
        <item m="1" x="1024"/>
        <item x="352"/>
        <item m="1" x="1147"/>
        <item x="217"/>
        <item m="1" x="1178"/>
        <item x="112"/>
        <item m="1" x="903"/>
        <item x="471"/>
        <item x="358"/>
        <item m="1" x="927"/>
        <item x="67"/>
        <item m="1" x="1026"/>
        <item x="577"/>
        <item x="454"/>
        <item m="1" x="755"/>
        <item x="5"/>
        <item m="1" x="810"/>
        <item m="1" x="805"/>
        <item x="192"/>
        <item m="1" x="667"/>
        <item x="293"/>
        <item m="1" x="1005"/>
        <item x="497"/>
        <item x="254"/>
        <item x="193"/>
        <item m="1" x="735"/>
        <item m="1" x="742"/>
        <item m="1" x="979"/>
        <item x="294"/>
        <item m="1" x="777"/>
        <item x="433"/>
        <item m="1" x="832"/>
        <item x="367"/>
        <item m="1" x="783"/>
        <item x="295"/>
        <item m="1" x="769"/>
        <item x="345"/>
        <item m="1" x="674"/>
        <item x="534"/>
        <item m="1" x="739"/>
        <item x="226"/>
        <item m="1" x="794"/>
        <item x="9"/>
        <item m="1" x="1016"/>
        <item x="567"/>
        <item m="1" x="1000"/>
        <item x="485"/>
        <item x="416"/>
        <item m="1" x="1006"/>
        <item x="511"/>
        <item m="1" x="645"/>
        <item x="70"/>
        <item m="1" x="768"/>
        <item x="116"/>
        <item m="1" x="923"/>
        <item x="10"/>
        <item m="1" x="917"/>
        <item x="372"/>
        <item m="1" x="644"/>
        <item x="603"/>
        <item x="581"/>
        <item x="595"/>
        <item x="205"/>
        <item m="1" x="1079"/>
        <item m="1" x="1080"/>
        <item x="24"/>
        <item m="1" x="841"/>
        <item x="119"/>
        <item m="1" x="764"/>
        <item x="66"/>
        <item m="1" x="1131"/>
        <item x="386"/>
        <item m="1" x="969"/>
        <item x="475"/>
        <item m="1" x="920"/>
        <item x="410"/>
        <item m="1" x="1156"/>
        <item x="25"/>
        <item m="1" x="873"/>
        <item m="1" x="1001"/>
        <item m="1" x="978"/>
        <item x="489"/>
        <item m="1" x="1091"/>
        <item x="296"/>
        <item m="1" x="1009"/>
        <item x="574"/>
        <item x="297"/>
        <item m="1" x="1100"/>
        <item x="531"/>
        <item m="1" x="942"/>
        <item x="37"/>
        <item m="1" x="1114"/>
        <item x="374"/>
        <item m="1" x="787"/>
        <item x="75"/>
        <item m="1" x="808"/>
        <item x="26"/>
        <item m="1" x="815"/>
        <item x="393"/>
        <item m="1" x="712"/>
        <item x="298"/>
        <item m="1" x="784"/>
        <item x="11"/>
        <item m="1" x="751"/>
        <item x="431"/>
        <item m="1" x="1033"/>
        <item x="498"/>
        <item m="1" x="1112"/>
        <item x="557"/>
        <item m="1" x="665"/>
        <item x="71"/>
        <item m="1" x="825"/>
        <item x="62"/>
        <item m="1" x="834"/>
        <item x="460"/>
        <item m="1" x="699"/>
        <item x="299"/>
        <item m="1" x="859"/>
        <item m="1" x="961"/>
        <item x="418"/>
        <item x="38"/>
        <item m="1" x="883"/>
        <item x="276"/>
        <item m="1" x="813"/>
        <item x="560"/>
        <item m="1" x="1104"/>
        <item m="1" x="631"/>
        <item x="300"/>
        <item x="152"/>
        <item m="1" x="952"/>
        <item x="522"/>
        <item m="1" x="628"/>
        <item x="194"/>
        <item m="1" x="830"/>
        <item m="1" x="907"/>
        <item x="301"/>
        <item x="556"/>
        <item m="1" x="1092"/>
        <item x="153"/>
        <item m="1" x="1169"/>
        <item m="1" x="698"/>
        <item x="505"/>
        <item x="302"/>
        <item m="1" x="694"/>
        <item x="441"/>
        <item m="1" x="634"/>
        <item x="267"/>
        <item m="1" x="1155"/>
        <item x="97"/>
        <item m="1" x="818"/>
        <item x="154"/>
        <item m="1" x="1037"/>
        <item x="7"/>
        <item m="1" x="688"/>
        <item x="303"/>
        <item x="304"/>
        <item m="1" x="844"/>
        <item m="1" x="1103"/>
        <item x="12"/>
        <item m="1" x="973"/>
        <item x="39"/>
        <item m="1" x="980"/>
        <item x="305"/>
        <item m="1" x="1077"/>
        <item x="610"/>
        <item x="306"/>
        <item m="1" x="975"/>
        <item x="92"/>
        <item m="1" x="1014"/>
        <item x="461"/>
        <item m="1" x="861"/>
        <item x="307"/>
        <item m="1" x="968"/>
        <item x="456"/>
        <item m="1" x="654"/>
        <item x="40"/>
        <item m="1" x="1082"/>
        <item x="115"/>
        <item m="1" x="627"/>
        <item x="407"/>
        <item m="1" x="894"/>
        <item x="512"/>
        <item m="1" x="737"/>
        <item x="401"/>
        <item m="1" x="1062"/>
        <item x="308"/>
        <item m="1" x="901"/>
        <item m="1" x="869"/>
        <item x="155"/>
        <item m="1" x="831"/>
        <item x="434"/>
        <item x="206"/>
        <item m="1" x="991"/>
        <item x="504"/>
        <item m="1" x="988"/>
        <item x="41"/>
        <item m="1" x="938"/>
        <item x="156"/>
        <item m="1" x="821"/>
        <item x="157"/>
        <item m="1" x="902"/>
        <item x="135"/>
        <item m="1" x="1179"/>
        <item x="158"/>
        <item m="1" x="1011"/>
        <item m="1" x="629"/>
        <item x="159"/>
        <item m="1" x="1065"/>
        <item x="160"/>
        <item x="207"/>
        <item m="1" x="741"/>
        <item x="27"/>
        <item m="1" x="849"/>
        <item x="346"/>
        <item m="1" x="1078"/>
        <item x="161"/>
        <item m="1" x="1172"/>
        <item x="105"/>
        <item m="1" x="971"/>
        <item x="519"/>
        <item m="1" x="649"/>
        <item x="309"/>
        <item m="1" x="1076"/>
        <item x="94"/>
        <item m="1" x="1105"/>
        <item x="520"/>
        <item m="1" x="682"/>
        <item x="277"/>
        <item m="1" x="877"/>
        <item x="218"/>
        <item m="1" x="868"/>
        <item x="500"/>
        <item m="1" x="887"/>
        <item x="234"/>
        <item m="1" x="1056"/>
        <item x="535"/>
        <item m="1" x="759"/>
        <item x="208"/>
        <item m="1" x="1135"/>
        <item x="83"/>
        <item m="1" x="1012"/>
        <item x="402"/>
        <item m="1" x="1117"/>
        <item x="606"/>
        <item x="162"/>
        <item m="1" x="922"/>
        <item x="219"/>
        <item m="1" x="858"/>
        <item x="428"/>
        <item m="1" x="984"/>
        <item x="414"/>
        <item m="1" x="798"/>
        <item x="209"/>
        <item m="1" x="1096"/>
        <item x="389"/>
        <item m="1" x="1164"/>
        <item x="411"/>
        <item m="1" x="715"/>
        <item x="494"/>
        <item m="1" x="651"/>
        <item x="310"/>
        <item m="1" x="752"/>
        <item x="0"/>
        <item m="1" x="1039"/>
        <item x="220"/>
        <item m="1" x="1124"/>
        <item x="390"/>
        <item m="1" x="956"/>
        <item x="195"/>
        <item m="1" x="1046"/>
        <item m="1" x="1028"/>
        <item x="42"/>
        <item x="57"/>
        <item m="1" x="800"/>
        <item m="1" x="1189"/>
        <item x="163"/>
        <item x="362"/>
        <item m="1" x="962"/>
        <item x="599"/>
        <item m="1" x="829"/>
        <item x="506"/>
        <item x="243"/>
        <item m="1" x="1163"/>
        <item x="84"/>
        <item m="1" x="726"/>
        <item x="391"/>
        <item m="1" x="1022"/>
        <item x="311"/>
        <item m="1" x="637"/>
        <item x="376"/>
        <item m="1" x="965"/>
        <item x="312"/>
        <item m="1" x="1166"/>
        <item x="313"/>
        <item m="1" x="646"/>
        <item x="314"/>
        <item m="1" x="1161"/>
        <item x="60"/>
        <item m="1" x="895"/>
        <item x="266"/>
        <item m="1" x="936"/>
        <item x="315"/>
        <item m="1" x="754"/>
        <item x="120"/>
        <item m="1" x="925"/>
        <item x="570"/>
        <item x="210"/>
        <item m="1" x="1060"/>
        <item m="1" x="908"/>
        <item x="382"/>
        <item m="1" x="1047"/>
        <item x="476"/>
        <item m="1" x="880"/>
        <item x="383"/>
        <item x="544"/>
        <item x="545"/>
        <item m="1" x="738"/>
        <item x="164"/>
        <item m="1" x="1123"/>
        <item x="344"/>
        <item m="1" x="685"/>
        <item x="474"/>
        <item m="1" x="848"/>
        <item x="524"/>
        <item m="1" x="957"/>
        <item x="165"/>
        <item m="1" x="1086"/>
        <item x="387"/>
        <item m="1" x="816"/>
        <item x="166"/>
        <item m="1" x="850"/>
        <item x="513"/>
        <item m="1" x="778"/>
        <item x="590"/>
        <item x="525"/>
        <item m="1" x="885"/>
        <item x="466"/>
        <item m="1" x="1036"/>
        <item x="138"/>
        <item m="1" x="809"/>
        <item x="592"/>
        <item x="541"/>
        <item m="1" x="776"/>
        <item x="349"/>
        <item m="1" x="720"/>
        <item x="278"/>
        <item m="1" x="1151"/>
        <item x="526"/>
        <item m="1" x="766"/>
        <item x="121"/>
        <item m="1" x="896"/>
        <item x="316"/>
        <item m="1" x="835"/>
        <item m="1" x="677"/>
        <item x="542"/>
        <item x="442"/>
        <item m="1" x="1165"/>
        <item x="455"/>
        <item m="1" x="775"/>
        <item x="106"/>
        <item m="1" x="875"/>
        <item x="575"/>
        <item x="571"/>
        <item x="572"/>
        <item x="378"/>
        <item m="1" x="842"/>
        <item m="1" x="1019"/>
        <item x="450"/>
        <item m="1" x="819"/>
        <item x="468"/>
        <item x="211"/>
        <item m="1" x="862"/>
        <item x="122"/>
        <item m="1" x="1149"/>
        <item x="76"/>
        <item m="1" x="913"/>
        <item x="43"/>
        <item m="1" x="983"/>
        <item x="394"/>
        <item m="1" x="1073"/>
        <item x="469"/>
        <item x="72"/>
        <item m="1" x="1064"/>
        <item m="1" x="760"/>
        <item x="451"/>
        <item m="1" x="857"/>
        <item x="596"/>
        <item m="1" x="1120"/>
        <item x="107"/>
        <item x="130"/>
        <item m="1" x="621"/>
        <item x="28"/>
        <item m="1" x="714"/>
        <item x="104"/>
        <item m="1" x="745"/>
        <item x="443"/>
        <item m="1" x="889"/>
        <item x="364"/>
        <item m="1" x="730"/>
        <item m="1" x="725"/>
        <item x="13"/>
        <item x="403"/>
        <item m="1" x="964"/>
        <item m="1" x="702"/>
        <item x="507"/>
        <item m="1" x="1148"/>
        <item x="167"/>
        <item x="546"/>
        <item m="1" x="1129"/>
        <item x="123"/>
        <item m="1" x="906"/>
        <item x="388"/>
        <item m="1" x="954"/>
        <item m="1" x="976"/>
        <item x="168"/>
        <item x="517"/>
        <item m="1" x="1130"/>
        <item x="250"/>
        <item m="1" x="657"/>
        <item x="133"/>
        <item m="1" x="771"/>
        <item x="169"/>
        <item m="1" x="1042"/>
        <item x="317"/>
        <item m="1" x="811"/>
        <item x="501"/>
        <item m="1" x="762"/>
        <item x="279"/>
        <item m="1" x="763"/>
        <item x="618"/>
        <item x="108"/>
        <item m="1" x="1072"/>
        <item x="14"/>
        <item m="1" x="1084"/>
        <item x="170"/>
        <item m="1" x="689"/>
        <item x="565"/>
        <item x="514"/>
        <item m="1" x="985"/>
        <item m="1" x="724"/>
        <item x="171"/>
        <item x="101"/>
        <item m="1" x="999"/>
        <item x="29"/>
        <item m="1" x="757"/>
        <item x="478"/>
        <item m="1" x="940"/>
        <item m="1" x="1041"/>
        <item x="172"/>
        <item x="190"/>
        <item m="1" x="782"/>
        <item x="173"/>
        <item x="174"/>
        <item m="1" x="853"/>
        <item m="1" x="733"/>
        <item x="318"/>
        <item m="1" x="703"/>
        <item x="561"/>
        <item m="1" x="1107"/>
        <item x="611"/>
        <item x="421"/>
        <item m="1" x="1050"/>
        <item x="319"/>
        <item m="1" x="1018"/>
        <item x="320"/>
        <item m="1" x="1171"/>
        <item x="124"/>
        <item m="1" x="625"/>
        <item x="85"/>
        <item m="1" x="867"/>
        <item x="462"/>
        <item m="1" x="1023"/>
        <item x="44"/>
        <item x="604"/>
        <item x="222"/>
        <item m="1" x="953"/>
        <item x="15"/>
        <item m="1" x="934"/>
        <item m="1" x="986"/>
        <item x="45"/>
        <item x="46"/>
        <item m="1" x="774"/>
        <item x="321"/>
        <item m="1" x="791"/>
        <item x="58"/>
        <item m="1" x="700"/>
        <item x="530"/>
        <item m="1" x="635"/>
        <item x="280"/>
        <item m="1" x="1074"/>
        <item x="444"/>
        <item m="1" x="1175"/>
        <item x="445"/>
        <item m="1" x="1109"/>
        <item x="322"/>
        <item m="1" x="663"/>
        <item x="353"/>
        <item m="1" x="804"/>
        <item x="68"/>
        <item m="1" x="756"/>
        <item m="1" x="709"/>
        <item x="263"/>
        <item x="175"/>
        <item m="1" x="727"/>
        <item x="568"/>
        <item x="252"/>
        <item m="1" x="1048"/>
        <item x="395"/>
        <item m="1" x="1113"/>
        <item x="235"/>
        <item m="1" x="945"/>
        <item x="573"/>
        <item x="3"/>
        <item m="1" x="1160"/>
        <item x="397"/>
        <item m="1" x="1122"/>
        <item x="264"/>
        <item m="1" x="827"/>
        <item x="176"/>
        <item m="1" x="623"/>
        <item x="212"/>
        <item m="1" x="992"/>
        <item x="465"/>
        <item m="1" x="662"/>
        <item m="1" x="799"/>
        <item x="323"/>
        <item m="1" x="981"/>
        <item x="109"/>
        <item x="354"/>
        <item m="1" x="893"/>
        <item x="16"/>
        <item m="1" x="1141"/>
        <item x="587"/>
        <item x="202"/>
        <item m="1" x="882"/>
        <item x="177"/>
        <item m="1" x="788"/>
        <item m="1" x="767"/>
        <item x="258"/>
        <item x="490"/>
        <item m="1" x="633"/>
        <item x="17"/>
        <item m="1" x="803"/>
        <item x="236"/>
        <item m="1" x="817"/>
        <item x="241"/>
        <item m="1" x="928"/>
        <item x="578"/>
        <item x="1"/>
        <item m="1" x="643"/>
        <item x="196"/>
        <item m="1" x="1184"/>
        <item x="142"/>
        <item m="1" x="708"/>
        <item x="81"/>
        <item m="1" x="1099"/>
        <item x="230"/>
        <item m="1" x="1146"/>
        <item x="605"/>
        <item x="479"/>
        <item m="1" x="701"/>
        <item x="405"/>
        <item m="1" x="1167"/>
        <item x="223"/>
        <item m="1" x="1119"/>
        <item x="199"/>
        <item m="1" x="734"/>
        <item x="496"/>
        <item m="1" x="710"/>
        <item x="548"/>
        <item m="1" x="680"/>
        <item x="221"/>
        <item m="1" x="758"/>
        <item m="1" x="670"/>
        <item x="113"/>
        <item x="384"/>
        <item m="1" x="719"/>
        <item x="477"/>
        <item m="1" x="847"/>
        <item x="143"/>
        <item m="1" x="620"/>
        <item x="274"/>
        <item m="1" x="671"/>
        <item x="576"/>
        <item x="601"/>
        <item x="178"/>
        <item m="1" x="932"/>
        <item x="582"/>
        <item x="473"/>
        <item m="1" x="717"/>
        <item x="483"/>
        <item x="591"/>
        <item m="1" x="1174"/>
        <item x="377"/>
        <item m="1" x="1170"/>
        <item x="502"/>
        <item m="1" x="790"/>
        <item x="532"/>
        <item m="1" x="838"/>
        <item x="30"/>
        <item m="1" x="888"/>
        <item x="244"/>
        <item m="1" x="1153"/>
        <item x="324"/>
        <item m="1" x="749"/>
        <item x="588"/>
        <item x="125"/>
        <item m="1" x="695"/>
        <item m="1" x="1187"/>
        <item x="281"/>
        <item x="268"/>
        <item m="1" x="1085"/>
        <item x="47"/>
        <item m="1" x="886"/>
        <item x="227"/>
        <item m="1" x="713"/>
        <item x="2"/>
        <item m="1" x="683"/>
        <item x="4"/>
        <item x="22"/>
        <item m="1" x="948"/>
        <item x="359"/>
        <item m="1" x="977"/>
        <item x="126"/>
        <item m="1" x="641"/>
        <item x="48"/>
        <item m="1" x="947"/>
        <item x="110"/>
        <item m="1" x="910"/>
        <item x="381"/>
        <item m="1" x="892"/>
        <item x="228"/>
        <item m="1" x="690"/>
        <item m="1" x="669"/>
        <item x="59"/>
        <item x="197"/>
        <item m="1" x="761"/>
        <item x="521"/>
        <item m="1" x="1087"/>
        <item x="463"/>
        <item m="1" x="1102"/>
        <item x="612"/>
        <item x="49"/>
        <item m="1" x="1176"/>
        <item x="50"/>
        <item m="1" x="852"/>
        <item x="371"/>
        <item x="127"/>
        <item m="1" x="989"/>
        <item x="325"/>
        <item m="1" x="693"/>
        <item x="63"/>
        <item m="1" x="1186"/>
        <item m="1" x="946"/>
        <item x="213"/>
        <item m="1" x="1067"/>
        <item x="446"/>
        <item m="1" x="1089"/>
        <item x="326"/>
        <item m="1" x="721"/>
        <item x="179"/>
        <item m="1" x="619"/>
        <item x="200"/>
        <item m="1" x="1132"/>
        <item x="238"/>
        <item m="1" x="1162"/>
        <item x="327"/>
        <item m="1" x="626"/>
        <item x="245"/>
        <item m="1" x="773"/>
        <item m="1" x="958"/>
        <item x="180"/>
        <item x="31"/>
        <item m="1" x="722"/>
        <item x="181"/>
        <item m="1" x="687"/>
        <item x="569"/>
        <item x="527"/>
        <item m="1" x="997"/>
        <item x="404"/>
        <item m="1" x="746"/>
        <item x="182"/>
        <item m="1" x="1159"/>
        <item x="555"/>
        <item m="1" x="1095"/>
        <item x="464"/>
        <item m="1" x="1069"/>
        <item x="32"/>
        <item m="1" x="1035"/>
        <item x="328"/>
        <item m="1" x="772"/>
        <item x="246"/>
        <item m="1" x="1049"/>
        <item x="552"/>
        <item m="1" x="781"/>
        <item x="214"/>
        <item m="1" x="732"/>
        <item x="329"/>
        <item m="1" x="864"/>
        <item x="503"/>
        <item m="1" x="672"/>
        <item x="537"/>
        <item m="1" x="963"/>
        <item m="1" x="624"/>
        <item x="330"/>
        <item x="239"/>
        <item m="1" x="636"/>
        <item x="256"/>
        <item m="1" x="748"/>
        <item x="550"/>
        <item m="1" x="1044"/>
        <item x="6"/>
        <item m="1" x="855"/>
        <item x="183"/>
        <item m="1" x="711"/>
        <item x="98"/>
        <item m="1" x="939"/>
        <item x="415"/>
        <item m="1" x="846"/>
        <item m="1" x="780"/>
        <item x="482"/>
        <item m="1" x="912"/>
        <item x="18"/>
        <item m="1" x="765"/>
        <item x="486"/>
        <item m="1" x="630"/>
        <item x="492"/>
        <item m="1" x="1106"/>
        <item x="184"/>
        <item m="1" x="982"/>
        <item x="426"/>
        <item m="1" x="1032"/>
        <item x="457"/>
        <item m="1" x="1004"/>
        <item x="566"/>
        <item x="365"/>
        <item m="1" x="802"/>
        <item x="19"/>
        <item m="1" x="1157"/>
        <item x="392"/>
        <item m="1" x="949"/>
        <item x="607"/>
        <item x="343"/>
        <item m="1" x="656"/>
        <item x="412"/>
        <item m="1" x="904"/>
        <item x="408"/>
        <item m="1" x="1054"/>
        <item m="1" x="770"/>
        <item x="523"/>
        <item x="361"/>
        <item m="1" x="870"/>
        <item m="1" x="935"/>
        <item x="538"/>
        <item x="128"/>
        <item m="1" x="937"/>
        <item x="20"/>
        <item m="1" x="823"/>
        <item x="331"/>
        <item m="1" x="822"/>
        <item x="458"/>
        <item m="1" x="786"/>
        <item x="73"/>
        <item m="1" x="664"/>
        <item x="579"/>
        <item x="613"/>
        <item x="424"/>
        <item m="1" x="884"/>
        <item x="51"/>
        <item m="1" x="972"/>
        <item x="332"/>
        <item m="1" x="1007"/>
        <item m="1" x="881"/>
        <item x="185"/>
        <item x="562"/>
        <item m="1" x="659"/>
        <item x="139"/>
        <item m="1" x="836"/>
        <item x="186"/>
        <item m="1" x="1034"/>
        <item m="1" x="1110"/>
        <item x="74"/>
        <item x="114"/>
        <item x="459"/>
        <item m="1" x="1182"/>
        <item x="129"/>
        <item m="1" x="905"/>
        <item m="1" x="1061"/>
        <item x="379"/>
        <item m="1" x="1038"/>
        <item m="1" x="960"/>
        <item x="333"/>
        <item x="99"/>
        <item m="1" x="1020"/>
        <item x="187"/>
        <item m="1" x="941"/>
        <item x="366"/>
        <item m="1" x="1066"/>
        <item x="584"/>
        <item m="1" x="666"/>
        <item x="87"/>
        <item m="1" x="653"/>
        <item x="419"/>
        <item m="1" x="632"/>
        <item x="257"/>
        <item m="1" x="1139"/>
        <item x="247"/>
        <item m="1" x="843"/>
        <item x="253"/>
        <item m="1" x="897"/>
        <item x="52"/>
        <item m="1" x="675"/>
        <item x="347"/>
        <item m="1" x="661"/>
        <item x="597"/>
        <item x="334"/>
        <item m="1" x="743"/>
        <item x="499"/>
        <item m="1" x="1142"/>
        <item x="614"/>
        <item x="132"/>
        <item m="1" x="1136"/>
        <item x="95"/>
        <item m="1" x="1181"/>
        <item x="385"/>
        <item m="1" x="1081"/>
        <item x="518"/>
        <item m="1" x="692"/>
        <item x="53"/>
        <item m="1" x="840"/>
        <item x="131"/>
        <item m="1" x="691"/>
        <item x="470"/>
        <item m="1" x="924"/>
        <item x="335"/>
        <item m="1" x="1063"/>
        <item x="237"/>
        <item m="1" x="1055"/>
        <item x="487"/>
        <item m="1" x="933"/>
        <item x="598"/>
        <item x="102"/>
        <item m="1" x="899"/>
        <item x="215"/>
        <item m="1" x="955"/>
        <item x="425"/>
        <item m="1" x="914"/>
        <item x="336"/>
        <item m="1" x="995"/>
        <item x="452"/>
        <item x="516"/>
        <item m="1" x="959"/>
        <item m="1" x="915"/>
        <item x="144"/>
        <item m="1" x="1017"/>
        <item x="79"/>
        <item m="1" x="863"/>
        <item x="515"/>
        <item m="1" x="785"/>
        <item x="373"/>
        <item m="1" x="753"/>
        <item m="1" x="1010"/>
        <item x="282"/>
        <item m="1" x="1045"/>
        <item x="273"/>
        <item m="1" x="970"/>
        <item x="111"/>
        <item m="1" x="1101"/>
        <item x="360"/>
        <item m="1" x="1053"/>
        <item x="55"/>
        <item m="1" x="931"/>
        <item x="549"/>
        <item m="1" x="1121"/>
        <item x="508"/>
        <item m="1" x="878"/>
        <item m="1" x="890"/>
        <item x="337"/>
        <item x="447"/>
        <item m="1" x="1027"/>
        <item x="348"/>
        <item m="1" x="911"/>
        <item x="338"/>
        <item m="1" x="1075"/>
        <item x="64"/>
        <item m="1" x="876"/>
        <item x="224"/>
        <item m="1" x="1070"/>
        <item x="339"/>
        <item m="1" x="796"/>
        <item x="340"/>
        <item m="1" x="660"/>
        <item m="1" x="684"/>
        <item x="617"/>
        <item m="1" x="1029"/>
        <item x="341"/>
        <item x="472"/>
        <item m="1" x="951"/>
        <item x="422"/>
        <item m="1" x="966"/>
        <item x="86"/>
        <item m="1" x="638"/>
        <item m="1" x="950"/>
        <item x="69"/>
        <item x="543"/>
        <item m="1" x="824"/>
        <item x="33"/>
        <item m="1" x="797"/>
        <item x="413"/>
        <item m="1" x="686"/>
        <item x="54"/>
        <item x="342"/>
        <item m="1" x="828"/>
        <item m="1" x="1127"/>
        <item x="248"/>
        <item m="1" x="747"/>
        <item x="271"/>
        <item m="1" x="990"/>
        <item x="369"/>
        <item m="1" x="1097"/>
        <item m="1" x="820"/>
        <item x="467"/>
        <item x="249"/>
        <item m="1" x="706"/>
        <item x="615"/>
        <item x="272"/>
        <item m="1" x="1150"/>
        <item x="136"/>
        <item m="1" x="944"/>
        <item x="93"/>
        <item m="1" x="1021"/>
        <item x="536"/>
        <item m="1" x="891"/>
        <item x="100"/>
        <item m="1" x="866"/>
        <item x="491"/>
        <item m="1" x="1058"/>
        <item x="586"/>
        <item x="430"/>
        <item m="1" x="792"/>
        <item x="140"/>
        <item m="1" x="856"/>
        <item x="259"/>
        <item m="1" x="872"/>
        <item x="260"/>
        <item m="1" x="1116"/>
        <item x="553"/>
        <item m="1" x="723"/>
        <item x="265"/>
        <item m="1" x="874"/>
        <item x="270"/>
        <item m="1" x="705"/>
        <item x="65"/>
        <item m="1" x="919"/>
        <item x="231"/>
        <item m="1" x="987"/>
        <item x="251"/>
        <item m="1" x="622"/>
        <item x="103"/>
        <item m="1" x="647"/>
        <item x="78"/>
        <item m="1" x="1057"/>
        <item x="558"/>
        <item m="1" x="918"/>
        <item x="409"/>
        <item m="1" x="1133"/>
        <item x="203"/>
        <item m="1" x="871"/>
        <item x="283"/>
        <item m="1" x="998"/>
        <item x="380"/>
        <item m="1" x="1137"/>
        <item m="1" x="1051"/>
        <item x="488"/>
        <item x="188"/>
        <item m="1" x="851"/>
        <item m="1" x="1108"/>
        <item x="529"/>
        <item m="1" x="879"/>
        <item x="429"/>
        <item m="1" x="1083"/>
        <item x="21"/>
        <item m="1" x="1115"/>
        <item x="480"/>
        <item m="1" x="926"/>
        <item x="189"/>
        <item m="1" x="1093"/>
        <item m="1" x="642"/>
        <item x="216"/>
        <item x="563"/>
        <item m="1" x="1088"/>
        <item x="229"/>
        <item m="1" x="967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4">
        <item x="21"/>
        <item x="13"/>
        <item x="17"/>
        <item x="15"/>
        <item x="14"/>
        <item x="10"/>
        <item x="9"/>
        <item x="5"/>
        <item x="16"/>
        <item x="4"/>
        <item x="3"/>
        <item x="1"/>
        <item x="7"/>
        <item x="12"/>
        <item x="8"/>
        <item x="20"/>
        <item x="11"/>
        <item x="19"/>
        <item x="0"/>
        <item x="2"/>
        <item x="6"/>
        <item x="18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56">
    <i>
      <x v="20"/>
    </i>
    <i>
      <x v="31"/>
    </i>
    <i>
      <x v="64"/>
    </i>
    <i>
      <x v="74"/>
    </i>
    <i>
      <x v="90"/>
    </i>
    <i>
      <x v="101"/>
    </i>
    <i>
      <x v="112"/>
    </i>
    <i>
      <x v="128"/>
    </i>
    <i>
      <x v="129"/>
    </i>
    <i>
      <x v="135"/>
    </i>
    <i>
      <x v="173"/>
    </i>
    <i>
      <x v="200"/>
    </i>
    <i>
      <x v="237"/>
    </i>
    <i>
      <x v="250"/>
    </i>
    <i>
      <x v="259"/>
    </i>
    <i>
      <x v="406"/>
    </i>
    <i>
      <x v="426"/>
    </i>
    <i>
      <x v="443"/>
    </i>
    <i>
      <x v="447"/>
    </i>
    <i>
      <x v="449"/>
    </i>
    <i>
      <x v="451"/>
    </i>
    <i>
      <x v="453"/>
    </i>
    <i>
      <x v="461"/>
    </i>
    <i>
      <x v="482"/>
    </i>
    <i>
      <x v="503"/>
    </i>
    <i>
      <x v="530"/>
    </i>
    <i>
      <x v="546"/>
    </i>
    <i>
      <x v="567"/>
    </i>
    <i>
      <x v="608"/>
    </i>
    <i>
      <x v="616"/>
    </i>
    <i>
      <x v="657"/>
    </i>
    <i>
      <x v="663"/>
    </i>
    <i>
      <x v="671"/>
    </i>
    <i>
      <x v="717"/>
    </i>
    <i>
      <x v="729"/>
    </i>
    <i>
      <x v="760"/>
    </i>
    <i>
      <x v="762"/>
    </i>
    <i>
      <x v="766"/>
    </i>
    <i>
      <x v="768"/>
    </i>
    <i>
      <x v="781"/>
    </i>
    <i>
      <x v="802"/>
    </i>
    <i>
      <x v="803"/>
    </i>
    <i>
      <x v="811"/>
    </i>
    <i>
      <x v="844"/>
    </i>
    <i>
      <x v="851"/>
    </i>
    <i>
      <x v="892"/>
    </i>
    <i>
      <x v="982"/>
    </i>
    <i>
      <x v="1017"/>
    </i>
    <i>
      <x v="1083"/>
    </i>
    <i>
      <x v="1105"/>
    </i>
    <i>
      <x v="1134"/>
    </i>
    <i>
      <x v="1151"/>
    </i>
    <i>
      <x v="1163"/>
    </i>
    <i>
      <x v="1185"/>
    </i>
    <i>
      <x v="1188"/>
    </i>
    <i t="grand">
      <x/>
    </i>
  </rowItems>
  <colItems count="1">
    <i/>
  </colItems>
  <pageFields count="2">
    <pageField fld="1" item="4" hier="-1"/>
    <pageField fld="10" item="14" hier="-1"/>
  </pageFields>
  <dataFields count="1">
    <dataField name="Soma de Demanda.PRIVIGEN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559FE2-7DE3-4A34-8CE7-6D05C8F1A697}" name="Tabela dinâmica1" cacheId="7" applyNumberFormats="0" applyBorderFormats="0" applyFontFormats="0" applyPatternFormats="0" applyAlignmentFormats="0" applyWidthHeightFormats="1" dataCaption="Valores" updatedVersion="6" minRefreshableVersion="3" showDrill="0" rowGrandTotals="0" colGrandTotals="0" itemPrintTitles="1" createdVersion="6" indent="0" compact="0" compactData="0" multipleFieldFilters="0">
  <location ref="B7:I31" firstHeaderRow="1" firstDataRow="2" firstDataCol="3" rowPageCount="4" colPageCount="1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9">
        <item x="5"/>
        <item x="16"/>
        <item x="3"/>
        <item x="26"/>
        <item x="1"/>
        <item x="9"/>
        <item x="4"/>
        <item x="17"/>
        <item x="11"/>
        <item x="12"/>
        <item x="25"/>
        <item x="10"/>
        <item x="14"/>
        <item x="28"/>
        <item x="18"/>
        <item x="23"/>
        <item x="8"/>
        <item x="6"/>
        <item x="19"/>
        <item x="7"/>
        <item x="2"/>
        <item x="15"/>
        <item x="20"/>
        <item x="24"/>
        <item x="0"/>
        <item x="13"/>
        <item x="27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9">
        <item x="218"/>
        <item x="294"/>
        <item x="608"/>
        <item x="183"/>
        <item x="63"/>
        <item x="124"/>
        <item x="116"/>
        <item x="552"/>
        <item x="430"/>
        <item x="261"/>
        <item x="451"/>
        <item x="613"/>
        <item x="547"/>
        <item x="89"/>
        <item x="328"/>
        <item x="398"/>
        <item x="175"/>
        <item x="335"/>
        <item x="570"/>
        <item x="66"/>
        <item x="507"/>
        <item x="375"/>
        <item x="184"/>
        <item x="491"/>
        <item x="150"/>
        <item x="400"/>
        <item x="189"/>
        <item x="415"/>
        <item x="365"/>
        <item x="273"/>
        <item x="412"/>
        <item x="599"/>
        <item x="289"/>
        <item x="107"/>
        <item x="614"/>
        <item x="543"/>
        <item x="390"/>
        <item x="98"/>
        <item x="100"/>
        <item x="99"/>
        <item x="101"/>
        <item x="43"/>
        <item x="46"/>
        <item x="54"/>
        <item x="232"/>
        <item x="442"/>
        <item x="270"/>
        <item x="617"/>
        <item x="240"/>
        <item x="136"/>
        <item x="429"/>
        <item x="513"/>
        <item x="52"/>
        <item x="28"/>
        <item x="181"/>
        <item x="528"/>
        <item x="20"/>
        <item x="410"/>
        <item x="576"/>
        <item x="97"/>
        <item x="114"/>
        <item x="422"/>
        <item x="404"/>
        <item x="25"/>
        <item x="351"/>
        <item x="416"/>
        <item x="272"/>
        <item x="568"/>
        <item x="388"/>
        <item x="550"/>
        <item x="32"/>
        <item x="319"/>
        <item x="389"/>
        <item x="571"/>
        <item x="366"/>
        <item x="224"/>
        <item x="153"/>
        <item x="397"/>
        <item x="466"/>
        <item x="524"/>
        <item x="236"/>
        <item x="118"/>
        <item x="39"/>
        <item x="16"/>
        <item x="494"/>
        <item x="535"/>
        <item x="428"/>
        <item x="374"/>
        <item x="126"/>
        <item x="125"/>
        <item x="96"/>
        <item x="595"/>
        <item x="257"/>
        <item x="349"/>
        <item x="426"/>
        <item x="495"/>
        <item x="427"/>
        <item x="140"/>
        <item x="579"/>
        <item x="578"/>
        <item x="363"/>
        <item x="482"/>
        <item x="473"/>
        <item x="526"/>
        <item x="393"/>
        <item x="157"/>
        <item x="154"/>
        <item x="484"/>
        <item x="392"/>
        <item x="155"/>
        <item x="580"/>
        <item x="450"/>
        <item x="151"/>
        <item x="156"/>
        <item x="222"/>
        <item x="490"/>
        <item x="219"/>
        <item x="221"/>
        <item x="123"/>
        <item x="431"/>
        <item x="356"/>
        <item x="203"/>
        <item x="396"/>
        <item x="525"/>
        <item x="320"/>
        <item x="68"/>
        <item x="594"/>
        <item x="492"/>
        <item x="378"/>
        <item x="503"/>
        <item x="172"/>
        <item x="187"/>
        <item x="165"/>
        <item x="403"/>
        <item x="606"/>
        <item x="569"/>
        <item x="575"/>
        <item x="339"/>
        <item x="311"/>
        <item x="111"/>
        <item x="88"/>
        <item x="380"/>
        <item x="463"/>
        <item x="372"/>
        <item x="94"/>
        <item x="474"/>
        <item x="58"/>
        <item x="592"/>
        <item x="303"/>
        <item x="516"/>
        <item x="60"/>
        <item x="346"/>
        <item x="2"/>
        <item x="72"/>
        <item x="369"/>
        <item x="104"/>
        <item x="67"/>
        <item x="406"/>
        <item x="483"/>
        <item x="544"/>
        <item x="14"/>
        <item x="15"/>
        <item x="455"/>
        <item x="127"/>
        <item x="347"/>
        <item x="234"/>
        <item x="49"/>
        <item x="518"/>
        <item x="110"/>
        <item x="185"/>
        <item x="527"/>
        <item x="108"/>
        <item x="74"/>
        <item x="555"/>
        <item x="225"/>
        <item x="498"/>
        <item x="285"/>
        <item x="433"/>
        <item x="149"/>
        <item x="322"/>
        <item x="309"/>
        <item x="64"/>
        <item x="282"/>
        <item x="283"/>
        <item x="143"/>
        <item x="212"/>
        <item x="103"/>
        <item x="574"/>
        <item x="106"/>
        <item x="59"/>
        <item x="467"/>
        <item x="291"/>
        <item x="480"/>
        <item x="47"/>
        <item x="93"/>
        <item x="386"/>
        <item x="509"/>
        <item x="424"/>
        <item x="186"/>
        <item x="41"/>
        <item x="364"/>
        <item x="196"/>
        <item x="502"/>
        <item x="288"/>
        <item x="190"/>
        <item x="133"/>
        <item x="78"/>
        <item x="121"/>
        <item x="76"/>
        <item x="79"/>
        <item x="337"/>
        <item x="297"/>
        <item x="357"/>
        <item x="11"/>
        <item x="128"/>
        <item x="515"/>
        <item x="278"/>
        <item x="31"/>
        <item x="522"/>
        <item x="275"/>
        <item x="342"/>
        <item x="499"/>
        <item x="144"/>
        <item x="559"/>
        <item x="326"/>
        <item x="195"/>
        <item x="419"/>
        <item x="609"/>
        <item x="226"/>
        <item x="120"/>
        <item x="436"/>
        <item x="446"/>
        <item x="327"/>
        <item x="440"/>
        <item x="444"/>
        <item x="462"/>
        <item x="279"/>
        <item x="33"/>
        <item x="35"/>
        <item x="359"/>
        <item x="23"/>
        <item x="84"/>
        <item x="197"/>
        <item x="199"/>
        <item x="409"/>
        <item x="597"/>
        <item x="468"/>
        <item x="254"/>
        <item x="180"/>
        <item x="441"/>
        <item x="262"/>
        <item x="408"/>
        <item x="281"/>
        <item x="304"/>
        <item x="295"/>
        <item x="30"/>
        <item x="245"/>
        <item x="211"/>
        <item x="26"/>
        <item x="589"/>
        <item x="336"/>
        <item x="354"/>
        <item x="469"/>
        <item x="385"/>
        <item x="521"/>
        <item x="562"/>
        <item x="10"/>
        <item x="387"/>
        <item x="481"/>
        <item x="537"/>
        <item x="9"/>
        <item x="373"/>
        <item x="12"/>
        <item x="496"/>
        <item x="612"/>
        <item x="534"/>
        <item x="477"/>
        <item x="286"/>
        <item x="598"/>
        <item x="539"/>
        <item x="362"/>
        <item x="274"/>
        <item x="536"/>
        <item x="315"/>
        <item x="298"/>
        <item x="549"/>
        <item x="432"/>
        <item x="514"/>
        <item x="134"/>
        <item x="588"/>
        <item x="590"/>
        <item x="591"/>
        <item x="383"/>
        <item x="478"/>
        <item x="504"/>
        <item x="332"/>
        <item x="316"/>
        <item x="179"/>
        <item x="235"/>
        <item x="411"/>
        <item x="485"/>
        <item x="168"/>
        <item x="461"/>
        <item x="600"/>
        <item x="86"/>
        <item x="8"/>
        <item x="217"/>
        <item x="57"/>
        <item x="399"/>
        <item x="402"/>
        <item x="159"/>
        <item x="348"/>
        <item x="459"/>
        <item x="119"/>
        <item x="563"/>
        <item x="314"/>
        <item x="439"/>
        <item x="81"/>
        <item x="541"/>
        <item x="258"/>
        <item x="317"/>
        <item x="215"/>
        <item x="210"/>
        <item x="493"/>
        <item x="248"/>
        <item x="130"/>
        <item x="160"/>
        <item x="213"/>
        <item x="585"/>
        <item x="508"/>
        <item x="77"/>
        <item x="191"/>
        <item x="71"/>
        <item x="479"/>
        <item x="209"/>
        <item x="137"/>
        <item x="105"/>
        <item x="216"/>
        <item x="17"/>
        <item x="517"/>
        <item x="565"/>
        <item x="352"/>
        <item x="290"/>
        <item x="280"/>
        <item x="313"/>
        <item x="177"/>
        <item x="460"/>
        <item x="4"/>
        <item x="603"/>
        <item x="292"/>
        <item x="158"/>
        <item x="83"/>
        <item x="22"/>
        <item x="284"/>
        <item x="201"/>
        <item x="557"/>
        <item x="277"/>
        <item x="435"/>
        <item x="434"/>
        <item x="296"/>
        <item x="381"/>
        <item x="132"/>
        <item x="37"/>
        <item x="265"/>
        <item x="611"/>
        <item x="260"/>
        <item x="413"/>
        <item x="145"/>
        <item x="587"/>
        <item x="139"/>
        <item x="417"/>
        <item x="267"/>
        <item x="287"/>
        <item x="333"/>
        <item x="470"/>
        <item x="82"/>
        <item x="40"/>
        <item x="423"/>
        <item x="198"/>
        <item x="615"/>
        <item x="334"/>
        <item x="174"/>
        <item x="85"/>
        <item x="512"/>
        <item x="138"/>
        <item x="167"/>
        <item x="241"/>
        <item x="567"/>
        <item x="141"/>
        <item x="109"/>
        <item x="206"/>
        <item x="238"/>
        <item x="170"/>
        <item x="607"/>
        <item x="511"/>
        <item x="420"/>
        <item x="321"/>
        <item x="330"/>
        <item x="500"/>
        <item x="523"/>
        <item x="325"/>
        <item x="90"/>
        <item x="379"/>
        <item x="476"/>
        <item x="307"/>
        <item x="250"/>
        <item x="602"/>
        <item x="583"/>
        <item x="230"/>
        <item x="582"/>
        <item x="465"/>
        <item x="489"/>
        <item x="584"/>
        <item x="367"/>
        <item x="472"/>
        <item x="532"/>
        <item x="95"/>
        <item x="253"/>
        <item x="202"/>
        <item x="573"/>
        <item x="214"/>
        <item x="80"/>
        <item x="73"/>
        <item x="300"/>
        <item x="324"/>
        <item x="192"/>
        <item x="87"/>
        <item x="146"/>
        <item x="376"/>
        <item x="55"/>
        <item x="204"/>
        <item x="131"/>
        <item x="371"/>
        <item x="323"/>
        <item x="237"/>
        <item x="34"/>
        <item x="545"/>
        <item x="456"/>
        <item x="605"/>
        <item x="135"/>
        <item x="340"/>
        <item x="407"/>
        <item x="56"/>
        <item x="69"/>
        <item x="27"/>
        <item x="341"/>
        <item x="437"/>
        <item x="18"/>
        <item x="229"/>
        <item x="29"/>
        <item x="194"/>
        <item x="268"/>
        <item x="263"/>
        <item x="113"/>
        <item x="102"/>
        <item x="231"/>
        <item x="593"/>
        <item x="519"/>
        <item x="350"/>
        <item x="13"/>
        <item x="556"/>
        <item x="458"/>
        <item x="142"/>
        <item x="243"/>
        <item x="244"/>
        <item x="554"/>
        <item x="338"/>
        <item x="305"/>
        <item x="501"/>
        <item x="560"/>
        <item x="3"/>
        <item x="266"/>
        <item x="252"/>
        <item x="529"/>
        <item x="162"/>
        <item x="228"/>
        <item x="6"/>
        <item x="414"/>
        <item x="487"/>
        <item x="161"/>
        <item x="448"/>
        <item x="452"/>
        <item x="0"/>
        <item x="343"/>
        <item x="506"/>
        <item x="581"/>
        <item x="345"/>
        <item x="163"/>
        <item x="421"/>
        <item x="596"/>
        <item x="358"/>
        <item x="445"/>
        <item x="353"/>
        <item x="542"/>
        <item x="360"/>
        <item x="546"/>
        <item x="51"/>
        <item x="166"/>
        <item x="148"/>
        <item x="453"/>
        <item x="48"/>
        <item x="577"/>
        <item x="586"/>
        <item x="355"/>
        <item x="38"/>
        <item x="61"/>
        <item x="308"/>
        <item x="538"/>
        <item x="21"/>
        <item x="200"/>
        <item x="7"/>
        <item x="306"/>
        <item x="475"/>
        <item x="223"/>
        <item x="361"/>
        <item x="122"/>
        <item x="1"/>
        <item x="227"/>
        <item x="418"/>
        <item x="572"/>
        <item x="152"/>
        <item x="447"/>
        <item x="242"/>
        <item x="264"/>
        <item x="259"/>
        <item x="169"/>
        <item x="382"/>
        <item x="564"/>
        <item x="50"/>
        <item x="505"/>
        <item x="566"/>
        <item x="312"/>
        <item x="193"/>
        <item x="377"/>
        <item x="530"/>
        <item x="19"/>
        <item x="310"/>
        <item x="486"/>
        <item x="302"/>
        <item x="147"/>
        <item x="449"/>
        <item x="601"/>
        <item x="5"/>
        <item x="331"/>
        <item x="395"/>
        <item x="92"/>
        <item x="464"/>
        <item x="561"/>
        <item x="207"/>
        <item x="188"/>
        <item x="533"/>
        <item x="405"/>
        <item x="176"/>
        <item x="239"/>
        <item x="129"/>
        <item x="344"/>
        <item x="91"/>
        <item x="520"/>
        <item x="497"/>
        <item x="75"/>
        <item x="370"/>
        <item x="394"/>
        <item x="293"/>
        <item x="45"/>
        <item x="36"/>
        <item x="299"/>
        <item x="178"/>
        <item x="610"/>
        <item x="182"/>
        <item x="454"/>
        <item x="384"/>
        <item x="171"/>
        <item x="42"/>
        <item x="548"/>
        <item x="70"/>
        <item x="443"/>
        <item x="301"/>
        <item x="269"/>
        <item x="220"/>
        <item x="251"/>
        <item x="401"/>
        <item x="488"/>
        <item x="255"/>
        <item x="604"/>
        <item x="256"/>
        <item x="233"/>
        <item x="53"/>
        <item x="558"/>
        <item x="62"/>
        <item x="457"/>
        <item x="616"/>
        <item x="438"/>
        <item x="208"/>
        <item x="246"/>
        <item x="24"/>
        <item x="551"/>
        <item x="249"/>
        <item x="271"/>
        <item x="44"/>
        <item x="318"/>
        <item x="247"/>
        <item x="112"/>
        <item x="173"/>
        <item x="553"/>
        <item x="368"/>
        <item x="329"/>
        <item x="276"/>
        <item x="391"/>
        <item x="471"/>
        <item x="117"/>
        <item x="540"/>
        <item x="425"/>
        <item x="164"/>
        <item x="510"/>
        <item x="205"/>
        <item x="115"/>
        <item x="531"/>
        <item x="65"/>
        <item x="6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3">
        <item x="120"/>
        <item x="50"/>
        <item x="27"/>
        <item x="128"/>
        <item x="65"/>
        <item x="115"/>
        <item x="106"/>
        <item x="49"/>
        <item x="116"/>
        <item x="105"/>
        <item x="134"/>
        <item x="86"/>
        <item x="132"/>
        <item x="133"/>
        <item x="29"/>
        <item x="20"/>
        <item x="143"/>
        <item x="159"/>
        <item x="75"/>
        <item x="1"/>
        <item x="6"/>
        <item x="91"/>
        <item x="87"/>
        <item x="129"/>
        <item x="4"/>
        <item x="21"/>
        <item x="123"/>
        <item x="42"/>
        <item x="48"/>
        <item x="152"/>
        <item x="12"/>
        <item x="139"/>
        <item x="99"/>
        <item x="104"/>
        <item x="60"/>
        <item x="16"/>
        <item x="79"/>
        <item x="15"/>
        <item x="162"/>
        <item x="41"/>
        <item x="2"/>
        <item x="46"/>
        <item x="23"/>
        <item x="13"/>
        <item x="97"/>
        <item x="117"/>
        <item x="34"/>
        <item x="118"/>
        <item x="140"/>
        <item x="53"/>
        <item x="150"/>
        <item x="14"/>
        <item x="32"/>
        <item x="7"/>
        <item x="85"/>
        <item x="142"/>
        <item x="119"/>
        <item x="28"/>
        <item x="8"/>
        <item x="153"/>
        <item x="161"/>
        <item x="84"/>
        <item x="71"/>
        <item x="39"/>
        <item x="158"/>
        <item x="58"/>
        <item x="59"/>
        <item x="111"/>
        <item x="122"/>
        <item x="138"/>
        <item x="112"/>
        <item x="141"/>
        <item x="5"/>
        <item x="101"/>
        <item x="57"/>
        <item x="82"/>
        <item x="30"/>
        <item x="145"/>
        <item x="76"/>
        <item x="88"/>
        <item x="149"/>
        <item x="72"/>
        <item x="37"/>
        <item x="19"/>
        <item x="51"/>
        <item x="126"/>
        <item x="102"/>
        <item x="127"/>
        <item x="109"/>
        <item x="89"/>
        <item x="131"/>
        <item x="147"/>
        <item x="136"/>
        <item x="144"/>
        <item x="10"/>
        <item x="151"/>
        <item x="9"/>
        <item x="93"/>
        <item x="69"/>
        <item x="43"/>
        <item x="100"/>
        <item x="124"/>
        <item x="137"/>
        <item x="36"/>
        <item x="107"/>
        <item x="92"/>
        <item x="61"/>
        <item x="62"/>
        <item x="108"/>
        <item x="98"/>
        <item x="67"/>
        <item x="135"/>
        <item x="78"/>
        <item x="11"/>
        <item x="73"/>
        <item x="160"/>
        <item x="45"/>
        <item x="146"/>
        <item x="17"/>
        <item x="130"/>
        <item x="24"/>
        <item x="68"/>
        <item x="94"/>
        <item x="155"/>
        <item x="22"/>
        <item x="77"/>
        <item x="0"/>
        <item x="38"/>
        <item x="64"/>
        <item x="31"/>
        <item x="95"/>
        <item x="47"/>
        <item x="63"/>
        <item x="33"/>
        <item x="96"/>
        <item x="70"/>
        <item x="74"/>
        <item x="80"/>
        <item x="156"/>
        <item x="148"/>
        <item x="55"/>
        <item x="125"/>
        <item x="26"/>
        <item x="35"/>
        <item x="44"/>
        <item x="25"/>
        <item x="110"/>
        <item x="3"/>
        <item x="113"/>
        <item x="18"/>
        <item x="121"/>
        <item x="81"/>
        <item x="83"/>
        <item x="154"/>
        <item x="40"/>
        <item x="157"/>
        <item x="90"/>
        <item x="103"/>
        <item x="56"/>
        <item x="54"/>
        <item x="66"/>
        <item x="52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4"/>
        <item x="22"/>
        <item x="19"/>
        <item x="17"/>
        <item x="18"/>
        <item x="4"/>
        <item x="13"/>
        <item x="7"/>
        <item x="16"/>
        <item x="2"/>
        <item x="9"/>
        <item x="12"/>
        <item x="1"/>
        <item x="5"/>
        <item x="15"/>
        <item x="20"/>
        <item x="6"/>
        <item x="0"/>
        <item x="8"/>
        <item x="11"/>
        <item x="10"/>
        <item x="2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defaultSubtotal="0">
      <items count="5">
        <item x="2"/>
        <item x="4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2"/>
    <field x="13"/>
  </rowFields>
  <rowItems count="23">
    <i>
      <x v="16"/>
      <x v="147"/>
      <x v="22"/>
    </i>
    <i>
      <x v="32"/>
      <x v="126"/>
      <x v="17"/>
    </i>
    <i>
      <x v="52"/>
      <x v="126"/>
      <x v="17"/>
    </i>
    <i>
      <x v="136"/>
      <x v="126"/>
      <x v="17"/>
    </i>
    <i>
      <x v="169"/>
      <x v="126"/>
      <x v="17"/>
    </i>
    <i>
      <x v="180"/>
      <x v="126"/>
      <x v="17"/>
    </i>
    <i>
      <x v="204"/>
      <x v="126"/>
      <x v="17"/>
    </i>
    <i>
      <x v="208"/>
      <x v="126"/>
      <x v="17"/>
    </i>
    <i>
      <x v="240"/>
      <x v="94"/>
      <x v="18"/>
    </i>
    <i>
      <x v="303"/>
      <x v="126"/>
      <x v="17"/>
    </i>
    <i>
      <x v="327"/>
      <x v="126"/>
      <x v="17"/>
    </i>
    <i>
      <x v="334"/>
      <x v="126"/>
      <x v="17"/>
    </i>
    <i>
      <x v="342"/>
      <x v="147"/>
      <x v="22"/>
    </i>
    <i>
      <x v="381"/>
      <x v="126"/>
      <x v="17"/>
    </i>
    <i>
      <x v="390"/>
      <x v="110"/>
      <x v="17"/>
    </i>
    <i>
      <x v="404"/>
      <x v="121"/>
      <x v="17"/>
    </i>
    <i>
      <x v="475"/>
      <x v="126"/>
      <x v="17"/>
    </i>
    <i>
      <x v="488"/>
      <x v="5"/>
      <x v="17"/>
    </i>
    <i>
      <x v="527"/>
      <x v="126"/>
      <x v="17"/>
    </i>
    <i>
      <x v="537"/>
      <x v="119"/>
      <x v="9"/>
    </i>
    <i>
      <x v="608"/>
      <x v="126"/>
      <x v="17"/>
    </i>
    <i>
      <x v="609"/>
      <x v="126"/>
      <x v="17"/>
    </i>
    <i>
      <x v="614"/>
      <x v="126"/>
      <x v="17"/>
    </i>
  </rowItems>
  <colFields count="1">
    <field x="15"/>
  </colFields>
  <colItems count="5">
    <i>
      <x/>
    </i>
    <i>
      <x v="1"/>
    </i>
    <i>
      <x v="2"/>
    </i>
    <i>
      <x v="3"/>
    </i>
    <i>
      <x v="4"/>
    </i>
  </colItems>
  <pageFields count="4">
    <pageField fld="2" hier="-1"/>
    <pageField fld="4" item="1" hier="-1"/>
    <pageField fld="3" item="4" hier="-1"/>
    <pageField fld="9" item="11" hier="-1"/>
  </pageFields>
  <dataFields count="1">
    <dataField name="#eq" fld="17" baseField="13" baseItem="22" numFmtId="3"/>
  </dataFields>
  <formats count="1255">
    <format dxfId="1381">
      <pivotArea type="all" dataOnly="0" outline="0" fieldPosition="0"/>
    </format>
    <format dxfId="1380">
      <pivotArea outline="0" collapsedLevelsAreSubtotals="1" fieldPosition="0"/>
    </format>
    <format dxfId="1379">
      <pivotArea type="origin" dataOnly="0" labelOnly="1" outline="0" fieldPosition="0"/>
    </format>
    <format dxfId="1378">
      <pivotArea field="15" type="button" dataOnly="0" labelOnly="1" outline="0" axis="axisCol" fieldPosition="0"/>
    </format>
    <format dxfId="1377">
      <pivotArea type="topRight" dataOnly="0" labelOnly="1" outline="0" fieldPosition="0"/>
    </format>
    <format dxfId="1376">
      <pivotArea field="11" type="button" dataOnly="0" labelOnly="1" outline="0" axis="axisRow" fieldPosition="0"/>
    </format>
    <format dxfId="1375">
      <pivotArea field="12" type="button" dataOnly="0" labelOnly="1" outline="0" axis="axisRow" fieldPosition="1"/>
    </format>
    <format dxfId="1374">
      <pivotArea field="13" type="button" dataOnly="0" labelOnly="1" outline="0" axis="axisRow" fieldPosition="2"/>
    </format>
    <format dxfId="1373">
      <pivotArea dataOnly="0" labelOnly="1" outline="0" fieldPosition="0">
        <references count="1">
          <reference field="1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72">
      <pivotArea dataOnly="0" labelOnly="1" outline="0" fieldPosition="0">
        <references count="1">
          <reference field="1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71">
      <pivotArea dataOnly="0" labelOnly="1" outline="0" fieldPosition="0">
        <references count="1">
          <reference field="1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70">
      <pivotArea dataOnly="0" labelOnly="1" outline="0" fieldPosition="0">
        <references count="1">
          <reference field="1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69">
      <pivotArea dataOnly="0" labelOnly="1" outline="0" fieldPosition="0">
        <references count="1">
          <reference field="1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68">
      <pivotArea dataOnly="0" labelOnly="1" outline="0" fieldPosition="0">
        <references count="1">
          <reference field="1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67">
      <pivotArea dataOnly="0" labelOnly="1" outline="0" fieldPosition="0">
        <references count="1">
          <reference field="1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66">
      <pivotArea dataOnly="0" labelOnly="1" outline="0" fieldPosition="0">
        <references count="1">
          <reference field="1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65">
      <pivotArea dataOnly="0" labelOnly="1" outline="0" fieldPosition="0">
        <references count="1">
          <reference field="1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64">
      <pivotArea dataOnly="0" labelOnly="1" outline="0" fieldPosition="0">
        <references count="1">
          <reference field="1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63">
      <pivotArea dataOnly="0" labelOnly="1" outline="0" fieldPosition="0">
        <references count="1">
          <reference field="1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62">
      <pivotArea dataOnly="0" labelOnly="1" outline="0" fieldPosition="0">
        <references count="1">
          <reference field="1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61">
      <pivotArea dataOnly="0" labelOnly="1" outline="0" fieldPosition="0">
        <references count="1">
          <reference field="11" count="18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</reference>
        </references>
      </pivotArea>
    </format>
    <format dxfId="1360">
      <pivotArea dataOnly="0" labelOnly="1" grandRow="1" outline="0" fieldPosition="0"/>
    </format>
    <format dxfId="1359">
      <pivotArea dataOnly="0" labelOnly="1" outline="0" fieldPosition="0">
        <references count="2">
          <reference field="11" count="1" selected="0">
            <x v="0"/>
          </reference>
          <reference field="12" count="1">
            <x v="135"/>
          </reference>
        </references>
      </pivotArea>
    </format>
    <format dxfId="1358">
      <pivotArea dataOnly="0" labelOnly="1" outline="0" fieldPosition="0">
        <references count="2">
          <reference field="11" count="1" selected="0">
            <x v="1"/>
          </reference>
          <reference field="12" count="1">
            <x v="147"/>
          </reference>
        </references>
      </pivotArea>
    </format>
    <format dxfId="1357">
      <pivotArea dataOnly="0" labelOnly="1" outline="0" fieldPosition="0">
        <references count="2">
          <reference field="11" count="1" selected="0">
            <x v="3"/>
          </reference>
          <reference field="12" count="1">
            <x v="66"/>
          </reference>
        </references>
      </pivotArea>
    </format>
    <format dxfId="1356">
      <pivotArea dataOnly="0" labelOnly="1" outline="0" fieldPosition="0">
        <references count="2">
          <reference field="11" count="1" selected="0">
            <x v="4"/>
          </reference>
          <reference field="12" count="1">
            <x v="14"/>
          </reference>
        </references>
      </pivotArea>
    </format>
    <format dxfId="1355">
      <pivotArea dataOnly="0" labelOnly="1" outline="0" fieldPosition="0">
        <references count="2">
          <reference field="11" count="1" selected="0">
            <x v="5"/>
          </reference>
          <reference field="12" count="1">
            <x v="28"/>
          </reference>
        </references>
      </pivotArea>
    </format>
    <format dxfId="1354">
      <pivotArea dataOnly="0" labelOnly="1" outline="0" fieldPosition="0">
        <references count="2">
          <reference field="11" count="1" selected="0">
            <x v="6"/>
          </reference>
          <reference field="12" count="1">
            <x v="24"/>
          </reference>
        </references>
      </pivotArea>
    </format>
    <format dxfId="1353">
      <pivotArea dataOnly="0" labelOnly="1" outline="0" fieldPosition="0">
        <references count="2">
          <reference field="11" count="1" selected="0">
            <x v="7"/>
          </reference>
          <reference field="12" count="1">
            <x v="91"/>
          </reference>
        </references>
      </pivotArea>
    </format>
    <format dxfId="1352">
      <pivotArea dataOnly="0" labelOnly="1" outline="0" fieldPosition="0">
        <references count="2">
          <reference field="11" count="1" selected="0">
            <x v="8"/>
          </reference>
          <reference field="12" count="1">
            <x v="147"/>
          </reference>
        </references>
      </pivotArea>
    </format>
    <format dxfId="1351">
      <pivotArea dataOnly="0" labelOnly="1" outline="0" fieldPosition="0">
        <references count="2">
          <reference field="11" count="1" selected="0">
            <x v="10"/>
          </reference>
          <reference field="12" count="1">
            <x v="83"/>
          </reference>
        </references>
      </pivotArea>
    </format>
    <format dxfId="1350">
      <pivotArea dataOnly="0" labelOnly="1" outline="0" fieldPosition="0">
        <references count="2">
          <reference field="11" count="1" selected="0">
            <x v="11"/>
          </reference>
          <reference field="12" count="1">
            <x v="60"/>
          </reference>
        </references>
      </pivotArea>
    </format>
    <format dxfId="1349">
      <pivotArea dataOnly="0" labelOnly="1" outline="0" fieldPosition="0">
        <references count="2">
          <reference field="11" count="1" selected="0">
            <x v="12"/>
          </reference>
          <reference field="12" count="1">
            <x v="126"/>
          </reference>
        </references>
      </pivotArea>
    </format>
    <format dxfId="1348">
      <pivotArea dataOnly="0" labelOnly="1" outline="0" fieldPosition="0">
        <references count="2">
          <reference field="11" count="1" selected="0">
            <x v="13"/>
          </reference>
          <reference field="12" count="1">
            <x v="63"/>
          </reference>
        </references>
      </pivotArea>
    </format>
    <format dxfId="1347">
      <pivotArea dataOnly="0" labelOnly="1" outline="0" fieldPosition="0">
        <references count="2">
          <reference field="11" count="1" selected="0">
            <x v="14"/>
          </reference>
          <reference field="12" count="1">
            <x v="21"/>
          </reference>
        </references>
      </pivotArea>
    </format>
    <format dxfId="1346">
      <pivotArea dataOnly="0" labelOnly="1" outline="0" fieldPosition="0">
        <references count="2">
          <reference field="11" count="1" selected="0">
            <x v="15"/>
          </reference>
          <reference field="12" count="1">
            <x v="135"/>
          </reference>
        </references>
      </pivotArea>
    </format>
    <format dxfId="1345">
      <pivotArea dataOnly="0" labelOnly="1" outline="0" fieldPosition="0">
        <references count="2">
          <reference field="11" count="1" selected="0">
            <x v="16"/>
          </reference>
          <reference field="12" count="1">
            <x v="147"/>
          </reference>
        </references>
      </pivotArea>
    </format>
    <format dxfId="1344">
      <pivotArea dataOnly="0" labelOnly="1" outline="0" fieldPosition="0">
        <references count="2">
          <reference field="11" count="1" selected="0">
            <x v="17"/>
          </reference>
          <reference field="12" count="1">
            <x v="116"/>
          </reference>
        </references>
      </pivotArea>
    </format>
    <format dxfId="1343">
      <pivotArea dataOnly="0" labelOnly="1" outline="0" fieldPosition="0">
        <references count="2">
          <reference field="11" count="1" selected="0">
            <x v="18"/>
          </reference>
          <reference field="12" count="1">
            <x v="147"/>
          </reference>
        </references>
      </pivotArea>
    </format>
    <format dxfId="1342">
      <pivotArea dataOnly="0" labelOnly="1" outline="0" fieldPosition="0">
        <references count="2">
          <reference field="11" count="1" selected="0">
            <x v="19"/>
          </reference>
          <reference field="12" count="1">
            <x v="19"/>
          </reference>
        </references>
      </pivotArea>
    </format>
    <format dxfId="1341">
      <pivotArea dataOnly="0" labelOnly="1" outline="0" fieldPosition="0">
        <references count="2">
          <reference field="11" count="1" selected="0">
            <x v="20"/>
          </reference>
          <reference field="12" count="1">
            <x v="147"/>
          </reference>
        </references>
      </pivotArea>
    </format>
    <format dxfId="1340">
      <pivotArea dataOnly="0" labelOnly="1" outline="0" fieldPosition="0">
        <references count="2">
          <reference field="11" count="1" selected="0">
            <x v="21"/>
          </reference>
          <reference field="12" count="1">
            <x v="135"/>
          </reference>
        </references>
      </pivotArea>
    </format>
    <format dxfId="1339">
      <pivotArea dataOnly="0" labelOnly="1" outline="0" fieldPosition="0">
        <references count="2">
          <reference field="11" count="1" selected="0">
            <x v="22"/>
          </reference>
          <reference field="12" count="1">
            <x v="126"/>
          </reference>
        </references>
      </pivotArea>
    </format>
    <format dxfId="1338">
      <pivotArea dataOnly="0" labelOnly="1" outline="0" fieldPosition="0">
        <references count="2">
          <reference field="11" count="1" selected="0">
            <x v="23"/>
          </reference>
          <reference field="12" count="1">
            <x v="110"/>
          </reference>
        </references>
      </pivotArea>
    </format>
    <format dxfId="1337">
      <pivotArea dataOnly="0" labelOnly="1" outline="0" fieldPosition="0">
        <references count="2">
          <reference field="11" count="1" selected="0">
            <x v="24"/>
          </reference>
          <reference field="12" count="1">
            <x v="129"/>
          </reference>
        </references>
      </pivotArea>
    </format>
    <format dxfId="1336">
      <pivotArea dataOnly="0" labelOnly="1" outline="0" fieldPosition="0">
        <references count="2">
          <reference field="11" count="1" selected="0">
            <x v="25"/>
          </reference>
          <reference field="12" count="1">
            <x v="33"/>
          </reference>
        </references>
      </pivotArea>
    </format>
    <format dxfId="1335">
      <pivotArea dataOnly="0" labelOnly="1" outline="0" fieldPosition="0">
        <references count="2">
          <reference field="11" count="1" selected="0">
            <x v="26"/>
          </reference>
          <reference field="12" count="1">
            <x v="107"/>
          </reference>
        </references>
      </pivotArea>
    </format>
    <format dxfId="1334">
      <pivotArea dataOnly="0" labelOnly="1" outline="0" fieldPosition="0">
        <references count="2">
          <reference field="11" count="1" selected="0">
            <x v="27"/>
          </reference>
          <reference field="12" count="1">
            <x v="96"/>
          </reference>
        </references>
      </pivotArea>
    </format>
    <format dxfId="1333">
      <pivotArea dataOnly="0" labelOnly="1" outline="0" fieldPosition="0">
        <references count="2">
          <reference field="11" count="1" selected="0">
            <x v="28"/>
          </reference>
          <reference field="12" count="1">
            <x v="52"/>
          </reference>
        </references>
      </pivotArea>
    </format>
    <format dxfId="1332">
      <pivotArea dataOnly="0" labelOnly="1" outline="0" fieldPosition="0">
        <references count="2">
          <reference field="11" count="1" selected="0">
            <x v="29"/>
          </reference>
          <reference field="12" count="1">
            <x v="142"/>
          </reference>
        </references>
      </pivotArea>
    </format>
    <format dxfId="1331">
      <pivotArea dataOnly="0" labelOnly="1" outline="0" fieldPosition="0">
        <references count="2">
          <reference field="11" count="1" selected="0">
            <x v="30"/>
          </reference>
          <reference field="12" count="1">
            <x v="126"/>
          </reference>
        </references>
      </pivotArea>
    </format>
    <format dxfId="1330">
      <pivotArea dataOnly="0" labelOnly="1" outline="0" fieldPosition="0">
        <references count="2">
          <reference field="11" count="1" selected="0">
            <x v="33"/>
          </reference>
          <reference field="12" count="1">
            <x v="94"/>
          </reference>
        </references>
      </pivotArea>
    </format>
    <format dxfId="1329">
      <pivotArea dataOnly="0" labelOnly="1" outline="0" fieldPosition="0">
        <references count="2">
          <reference field="11" count="1" selected="0">
            <x v="34"/>
          </reference>
          <reference field="12" count="1">
            <x v="34"/>
          </reference>
        </references>
      </pivotArea>
    </format>
    <format dxfId="1328">
      <pivotArea dataOnly="0" labelOnly="1" outline="0" fieldPosition="0">
        <references count="2">
          <reference field="11" count="1" selected="0">
            <x v="35"/>
          </reference>
          <reference field="12" count="1">
            <x v="51"/>
          </reference>
        </references>
      </pivotArea>
    </format>
    <format dxfId="1327">
      <pivotArea dataOnly="0" labelOnly="1" outline="0" fieldPosition="0">
        <references count="2">
          <reference field="11" count="1" selected="0">
            <x v="36"/>
          </reference>
          <reference field="12" count="1">
            <x v="94"/>
          </reference>
        </references>
      </pivotArea>
    </format>
    <format dxfId="1326">
      <pivotArea dataOnly="0" labelOnly="1" outline="0" fieldPosition="0">
        <references count="2">
          <reference field="11" count="1" selected="0">
            <x v="37"/>
          </reference>
          <reference field="12" count="1">
            <x v="99"/>
          </reference>
        </references>
      </pivotArea>
    </format>
    <format dxfId="1325">
      <pivotArea dataOnly="0" labelOnly="1" outline="0" fieldPosition="0">
        <references count="2">
          <reference field="11" count="1" selected="0">
            <x v="38"/>
          </reference>
          <reference field="12" count="1">
            <x v="126"/>
          </reference>
        </references>
      </pivotArea>
    </format>
    <format dxfId="1324">
      <pivotArea dataOnly="0" labelOnly="1" outline="0" fieldPosition="0">
        <references count="2">
          <reference field="11" count="1" selected="0">
            <x v="39"/>
          </reference>
          <reference field="12" count="1">
            <x v="144"/>
          </reference>
        </references>
      </pivotArea>
    </format>
    <format dxfId="1323">
      <pivotArea dataOnly="0" labelOnly="1" outline="0" fieldPosition="0">
        <references count="2">
          <reference field="11" count="1" selected="0">
            <x v="40"/>
          </reference>
          <reference field="12" count="1">
            <x v="24"/>
          </reference>
        </references>
      </pivotArea>
    </format>
    <format dxfId="1322">
      <pivotArea dataOnly="0" labelOnly="1" outline="0" fieldPosition="0">
        <references count="2">
          <reference field="11" count="1" selected="0">
            <x v="41"/>
          </reference>
          <reference field="12" count="1">
            <x v="147"/>
          </reference>
        </references>
      </pivotArea>
    </format>
    <format dxfId="1321">
      <pivotArea dataOnly="0" labelOnly="1" outline="0" fieldPosition="0">
        <references count="2">
          <reference field="11" count="1" selected="0">
            <x v="42"/>
          </reference>
          <reference field="12" count="1">
            <x v="58"/>
          </reference>
        </references>
      </pivotArea>
    </format>
    <format dxfId="1320">
      <pivotArea dataOnly="0" labelOnly="1" outline="0" fieldPosition="0">
        <references count="2">
          <reference field="11" count="1" selected="0">
            <x v="43"/>
          </reference>
          <reference field="12" count="1">
            <x v="2"/>
          </reference>
        </references>
      </pivotArea>
    </format>
    <format dxfId="1319">
      <pivotArea dataOnly="0" labelOnly="1" outline="0" fieldPosition="0">
        <references count="2">
          <reference field="11" count="1" selected="0">
            <x v="44"/>
          </reference>
          <reference field="12" count="1">
            <x v="126"/>
          </reference>
        </references>
      </pivotArea>
    </format>
    <format dxfId="1318">
      <pivotArea dataOnly="0" labelOnly="1" outline="0" fieldPosition="0">
        <references count="2">
          <reference field="11" count="1" selected="0">
            <x v="45"/>
          </reference>
          <reference field="12" count="1">
            <x v="116"/>
          </reference>
        </references>
      </pivotArea>
    </format>
    <format dxfId="1317">
      <pivotArea dataOnly="0" labelOnly="1" outline="0" fieldPosition="0">
        <references count="2">
          <reference field="11" count="1" selected="0">
            <x v="46"/>
          </reference>
          <reference field="12" count="1">
            <x v="124"/>
          </reference>
        </references>
      </pivotArea>
    </format>
    <format dxfId="1316">
      <pivotArea dataOnly="0" labelOnly="1" outline="0" fieldPosition="0">
        <references count="2">
          <reference field="11" count="1" selected="0">
            <x v="47"/>
          </reference>
          <reference field="12" count="1">
            <x v="73"/>
          </reference>
        </references>
      </pivotArea>
    </format>
    <format dxfId="1315">
      <pivotArea dataOnly="0" labelOnly="1" outline="0" fieldPosition="0">
        <references count="2">
          <reference field="11" count="1" selected="0">
            <x v="48"/>
          </reference>
          <reference field="12" count="1">
            <x v="147"/>
          </reference>
        </references>
      </pivotArea>
    </format>
    <format dxfId="1314">
      <pivotArea dataOnly="0" labelOnly="1" outline="0" fieldPosition="0">
        <references count="2">
          <reference field="11" count="1" selected="0">
            <x v="49"/>
          </reference>
          <reference field="12" count="1">
            <x v="7"/>
          </reference>
        </references>
      </pivotArea>
    </format>
    <format dxfId="1313">
      <pivotArea dataOnly="0" labelOnly="1" outline="0" fieldPosition="0">
        <references count="2">
          <reference field="11" count="1" selected="0">
            <x v="50"/>
          </reference>
          <reference field="12" count="1">
            <x v="142"/>
          </reference>
        </references>
      </pivotArea>
    </format>
    <format dxfId="1312">
      <pivotArea dataOnly="0" labelOnly="1" outline="0" fieldPosition="0">
        <references count="2">
          <reference field="11" count="1" selected="0">
            <x v="51"/>
          </reference>
          <reference field="12" count="1">
            <x v="156"/>
          </reference>
        </references>
      </pivotArea>
    </format>
    <format dxfId="1311">
      <pivotArea dataOnly="0" labelOnly="1" outline="0" fieldPosition="0">
        <references count="2">
          <reference field="11" count="1" selected="0">
            <x v="52"/>
          </reference>
          <reference field="12" count="1">
            <x v="126"/>
          </reference>
        </references>
      </pivotArea>
    </format>
    <format dxfId="1310">
      <pivotArea dataOnly="0" labelOnly="1" outline="0" fieldPosition="0">
        <references count="2">
          <reference field="11" count="1" selected="0">
            <x v="53"/>
          </reference>
          <reference field="12" count="1">
            <x v="51"/>
          </reference>
        </references>
      </pivotArea>
    </format>
    <format dxfId="1309">
      <pivotArea dataOnly="0" labelOnly="1" outline="0" fieldPosition="0">
        <references count="2">
          <reference field="11" count="1" selected="0">
            <x v="54"/>
          </reference>
          <reference field="12" count="1">
            <x v="158"/>
          </reference>
        </references>
      </pivotArea>
    </format>
    <format dxfId="1308">
      <pivotArea dataOnly="0" labelOnly="1" outline="0" fieldPosition="0">
        <references count="2">
          <reference field="11" count="1" selected="0">
            <x v="55"/>
          </reference>
          <reference field="12" count="1">
            <x v="74"/>
          </reference>
        </references>
      </pivotArea>
    </format>
    <format dxfId="1307">
      <pivotArea dataOnly="0" labelOnly="1" outline="0" fieldPosition="0">
        <references count="2">
          <reference field="11" count="1" selected="0">
            <x v="56"/>
          </reference>
          <reference field="12" count="1">
            <x v="24"/>
          </reference>
        </references>
      </pivotArea>
    </format>
    <format dxfId="1306">
      <pivotArea dataOnly="0" labelOnly="1" outline="0" fieldPosition="0">
        <references count="2">
          <reference field="11" count="1" selected="0">
            <x v="57"/>
          </reference>
          <reference field="12" count="1">
            <x v="160"/>
          </reference>
        </references>
      </pivotArea>
    </format>
    <format dxfId="1305">
      <pivotArea dataOnly="0" labelOnly="1" outline="0" fieldPosition="0">
        <references count="2">
          <reference field="11" count="1" selected="0">
            <x v="58"/>
          </reference>
          <reference field="12" count="1">
            <x v="126"/>
          </reference>
        </references>
      </pivotArea>
    </format>
    <format dxfId="1304">
      <pivotArea dataOnly="0" labelOnly="1" outline="0" fieldPosition="0">
        <references count="2">
          <reference field="11" count="1" selected="0">
            <x v="59"/>
          </reference>
          <reference field="12" count="1">
            <x v="43"/>
          </reference>
        </references>
      </pivotArea>
    </format>
    <format dxfId="1303">
      <pivotArea dataOnly="0" labelOnly="1" outline="0" fieldPosition="0">
        <references count="2">
          <reference field="11" count="1" selected="0">
            <x v="60"/>
          </reference>
          <reference field="12" count="1">
            <x v="147"/>
          </reference>
        </references>
      </pivotArea>
    </format>
    <format dxfId="1302">
      <pivotArea dataOnly="0" labelOnly="1" outline="0" fieldPosition="0">
        <references count="2">
          <reference field="11" count="1" selected="0">
            <x v="61"/>
          </reference>
          <reference field="12" count="1">
            <x v="126"/>
          </reference>
        </references>
      </pivotArea>
    </format>
    <format dxfId="1301">
      <pivotArea dataOnly="0" labelOnly="1" outline="0" fieldPosition="0">
        <references count="2">
          <reference field="11" count="1" selected="0">
            <x v="63"/>
          </reference>
          <reference field="12" count="1">
            <x v="30"/>
          </reference>
        </references>
      </pivotArea>
    </format>
    <format dxfId="1300">
      <pivotArea dataOnly="0" labelOnly="1" outline="0" fieldPosition="0">
        <references count="2">
          <reference field="11" count="1" selected="0">
            <x v="64"/>
          </reference>
          <reference field="12" count="1">
            <x v="24"/>
          </reference>
        </references>
      </pivotArea>
    </format>
    <format dxfId="1299">
      <pivotArea dataOnly="0" labelOnly="1" outline="0" fieldPosition="0">
        <references count="2">
          <reference field="11" count="1" selected="0">
            <x v="66"/>
          </reference>
          <reference field="12" count="1">
            <x v="147"/>
          </reference>
        </references>
      </pivotArea>
    </format>
    <format dxfId="1298">
      <pivotArea dataOnly="0" labelOnly="1" outline="0" fieldPosition="0">
        <references count="2">
          <reference field="11" count="1" selected="0">
            <x v="67"/>
          </reference>
          <reference field="12" count="1">
            <x v="22"/>
          </reference>
        </references>
      </pivotArea>
    </format>
    <format dxfId="1297">
      <pivotArea dataOnly="0" labelOnly="1" outline="0" fieldPosition="0">
        <references count="2">
          <reference field="11" count="1" selected="0">
            <x v="68"/>
          </reference>
          <reference field="12" count="1">
            <x v="131"/>
          </reference>
        </references>
      </pivotArea>
    </format>
    <format dxfId="1296">
      <pivotArea dataOnly="0" labelOnly="1" outline="0" fieldPosition="0">
        <references count="2">
          <reference field="11" count="1" selected="0">
            <x v="69"/>
          </reference>
          <reference field="12" count="1">
            <x v="147"/>
          </reference>
        </references>
      </pivotArea>
    </format>
    <format dxfId="1295">
      <pivotArea dataOnly="0" labelOnly="1" outline="0" fieldPosition="0">
        <references count="2">
          <reference field="11" count="1" selected="0">
            <x v="70"/>
          </reference>
          <reference field="12" count="1">
            <x v="149"/>
          </reference>
        </references>
      </pivotArea>
    </format>
    <format dxfId="1294">
      <pivotArea dataOnly="0" labelOnly="1" outline="0" fieldPosition="0">
        <references count="2">
          <reference field="11" count="1" selected="0">
            <x v="71"/>
          </reference>
          <reference field="12" count="1">
            <x v="156"/>
          </reference>
        </references>
      </pivotArea>
    </format>
    <format dxfId="1293">
      <pivotArea dataOnly="0" labelOnly="1" outline="0" fieldPosition="0">
        <references count="2">
          <reference field="11" count="1" selected="0">
            <x v="72"/>
          </reference>
          <reference field="12" count="1">
            <x v="7"/>
          </reference>
        </references>
      </pivotArea>
    </format>
    <format dxfId="1292">
      <pivotArea dataOnly="0" labelOnly="1" outline="0" fieldPosition="0">
        <references count="2">
          <reference field="11" count="1" selected="0">
            <x v="73"/>
          </reference>
          <reference field="12" count="1">
            <x v="80"/>
          </reference>
        </references>
      </pivotArea>
    </format>
    <format dxfId="1291">
      <pivotArea dataOnly="0" labelOnly="1" outline="0" fieldPosition="0">
        <references count="2">
          <reference field="11" count="1" selected="0">
            <x v="74"/>
          </reference>
          <reference field="12" count="1">
            <x v="145"/>
          </reference>
        </references>
      </pivotArea>
    </format>
    <format dxfId="1290">
      <pivotArea dataOnly="0" labelOnly="1" outline="0" fieldPosition="0">
        <references count="2">
          <reference field="11" count="1" selected="0">
            <x v="75"/>
          </reference>
          <reference field="12" count="1">
            <x v="126"/>
          </reference>
        </references>
      </pivotArea>
    </format>
    <format dxfId="1289">
      <pivotArea dataOnly="0" labelOnly="1" outline="0" fieldPosition="0">
        <references count="2">
          <reference field="11" count="1" selected="0">
            <x v="76"/>
          </reference>
          <reference field="12" count="1">
            <x v="42"/>
          </reference>
        </references>
      </pivotArea>
    </format>
    <format dxfId="1288">
      <pivotArea dataOnly="0" labelOnly="1" outline="0" fieldPosition="0">
        <references count="2">
          <reference field="11" count="1" selected="0">
            <x v="77"/>
          </reference>
          <reference field="12" count="1">
            <x v="157"/>
          </reference>
        </references>
      </pivotArea>
    </format>
    <format dxfId="1287">
      <pivotArea dataOnly="0" labelOnly="1" outline="0" fieldPosition="0">
        <references count="2">
          <reference field="11" count="1" selected="0">
            <x v="78"/>
          </reference>
          <reference field="12" count="1">
            <x v="83"/>
          </reference>
        </references>
      </pivotArea>
    </format>
    <format dxfId="1286">
      <pivotArea dataOnly="0" labelOnly="1" outline="0" fieldPosition="0">
        <references count="2">
          <reference field="11" count="1" selected="0">
            <x v="79"/>
          </reference>
          <reference field="12" count="1">
            <x v="124"/>
          </reference>
        </references>
      </pivotArea>
    </format>
    <format dxfId="1285">
      <pivotArea dataOnly="0" labelOnly="1" outline="0" fieldPosition="0">
        <references count="2">
          <reference field="11" count="1" selected="0">
            <x v="80"/>
          </reference>
          <reference field="12" count="1">
            <x v="126"/>
          </reference>
        </references>
      </pivotArea>
    </format>
    <format dxfId="1284">
      <pivotArea dataOnly="0" labelOnly="1" outline="0" fieldPosition="0">
        <references count="2">
          <reference field="11" count="1" selected="0">
            <x v="81"/>
          </reference>
          <reference field="12" count="1">
            <x v="41"/>
          </reference>
        </references>
      </pivotArea>
    </format>
    <format dxfId="1283">
      <pivotArea dataOnly="0" labelOnly="1" outline="0" fieldPosition="0">
        <references count="2">
          <reference field="11" count="1" selected="0">
            <x v="82"/>
          </reference>
          <reference field="12" count="1">
            <x v="42"/>
          </reference>
        </references>
      </pivotArea>
    </format>
    <format dxfId="1282">
      <pivotArea dataOnly="0" labelOnly="1" outline="0" fieldPosition="0">
        <references count="2">
          <reference field="11" count="1" selected="0">
            <x v="83"/>
          </reference>
          <reference field="12" count="1">
            <x v="96"/>
          </reference>
        </references>
      </pivotArea>
    </format>
    <format dxfId="1281">
      <pivotArea dataOnly="0" labelOnly="1" outline="0" fieldPosition="0">
        <references count="2">
          <reference field="11" count="1" selected="0">
            <x v="84"/>
          </reference>
          <reference field="12" count="1">
            <x v="147"/>
          </reference>
        </references>
      </pivotArea>
    </format>
    <format dxfId="1280">
      <pivotArea dataOnly="0" labelOnly="1" outline="0" fieldPosition="0">
        <references count="2">
          <reference field="11" count="1" selected="0">
            <x v="85"/>
          </reference>
          <reference field="12" count="1">
            <x v="34"/>
          </reference>
        </references>
      </pivotArea>
    </format>
    <format dxfId="1279">
      <pivotArea dataOnly="0" labelOnly="1" outline="0" fieldPosition="0">
        <references count="2">
          <reference field="11" count="1" selected="0">
            <x v="86"/>
          </reference>
          <reference field="12" count="1">
            <x v="147"/>
          </reference>
        </references>
      </pivotArea>
    </format>
    <format dxfId="1278">
      <pivotArea dataOnly="0" labelOnly="1" outline="0" fieldPosition="0">
        <references count="2">
          <reference field="11" count="1" selected="0">
            <x v="87"/>
          </reference>
          <reference field="12" count="1">
            <x v="142"/>
          </reference>
        </references>
      </pivotArea>
    </format>
    <format dxfId="1277">
      <pivotArea dataOnly="0" labelOnly="1" outline="0" fieldPosition="0">
        <references count="2">
          <reference field="11" count="1" selected="0">
            <x v="88"/>
          </reference>
          <reference field="12" count="1">
            <x v="147"/>
          </reference>
        </references>
      </pivotArea>
    </format>
    <format dxfId="1276">
      <pivotArea dataOnly="0" labelOnly="1" outline="0" fieldPosition="0">
        <references count="2">
          <reference field="11" count="1" selected="0">
            <x v="90"/>
          </reference>
          <reference field="12" count="1">
            <x v="43"/>
          </reference>
        </references>
      </pivotArea>
    </format>
    <format dxfId="1275">
      <pivotArea dataOnly="0" labelOnly="1" outline="0" fieldPosition="0">
        <references count="2">
          <reference field="11" count="1" selected="0">
            <x v="91"/>
          </reference>
          <reference field="12" count="1">
            <x v="153"/>
          </reference>
        </references>
      </pivotArea>
    </format>
    <format dxfId="1274">
      <pivotArea dataOnly="0" labelOnly="1" outline="0" fieldPosition="0">
        <references count="2">
          <reference field="11" count="1" selected="0">
            <x v="92"/>
          </reference>
          <reference field="12" count="1">
            <x v="124"/>
          </reference>
        </references>
      </pivotArea>
    </format>
    <format dxfId="1273">
      <pivotArea dataOnly="0" labelOnly="1" outline="0" fieldPosition="0">
        <references count="2">
          <reference field="11" count="1" selected="0">
            <x v="93"/>
          </reference>
          <reference field="12" count="1">
            <x v="24"/>
          </reference>
        </references>
      </pivotArea>
    </format>
    <format dxfId="1272">
      <pivotArea dataOnly="0" labelOnly="1" outline="0" fieldPosition="0">
        <references count="2">
          <reference field="11" count="1" selected="0">
            <x v="94"/>
          </reference>
          <reference field="12" count="1">
            <x v="8"/>
          </reference>
        </references>
      </pivotArea>
    </format>
    <format dxfId="1271">
      <pivotArea dataOnly="0" labelOnly="1" outline="0" fieldPosition="0">
        <references count="2">
          <reference field="11" count="1" selected="0">
            <x v="95"/>
          </reference>
          <reference field="12" count="1">
            <x v="10"/>
          </reference>
        </references>
      </pivotArea>
    </format>
    <format dxfId="1270">
      <pivotArea dataOnly="0" labelOnly="1" outline="0" fieldPosition="0">
        <references count="2">
          <reference field="11" count="1" selected="0">
            <x v="96"/>
          </reference>
          <reference field="12" count="1">
            <x v="112"/>
          </reference>
        </references>
      </pivotArea>
    </format>
    <format dxfId="1269">
      <pivotArea dataOnly="0" labelOnly="1" outline="0" fieldPosition="0">
        <references count="2">
          <reference field="11" count="1" selected="0">
            <x v="97"/>
          </reference>
          <reference field="12" count="1">
            <x v="52"/>
          </reference>
        </references>
      </pivotArea>
    </format>
    <format dxfId="1268">
      <pivotArea dataOnly="0" labelOnly="1" outline="0" fieldPosition="0">
        <references count="2">
          <reference field="11" count="1" selected="0">
            <x v="98"/>
          </reference>
          <reference field="12" count="1">
            <x v="68"/>
          </reference>
        </references>
      </pivotArea>
    </format>
    <format dxfId="1267">
      <pivotArea dataOnly="0" labelOnly="1" outline="0" fieldPosition="0">
        <references count="2">
          <reference field="11" count="1" selected="0">
            <x v="99"/>
          </reference>
          <reference field="12" count="1">
            <x v="19"/>
          </reference>
        </references>
      </pivotArea>
    </format>
    <format dxfId="1266">
      <pivotArea dataOnly="0" labelOnly="1" outline="0" fieldPosition="0">
        <references count="2">
          <reference field="11" count="1" selected="0">
            <x v="100"/>
          </reference>
          <reference field="12" count="1">
            <x v="52"/>
          </reference>
        </references>
      </pivotArea>
    </format>
    <format dxfId="1265">
      <pivotArea dataOnly="0" labelOnly="1" outline="0" fieldPosition="0">
        <references count="2">
          <reference field="11" count="1" selected="0">
            <x v="101"/>
          </reference>
          <reference field="12" count="1">
            <x v="129"/>
          </reference>
        </references>
      </pivotArea>
    </format>
    <format dxfId="1264">
      <pivotArea dataOnly="0" labelOnly="1" outline="0" fieldPosition="0">
        <references count="2">
          <reference field="11" count="1" selected="0">
            <x v="102"/>
          </reference>
          <reference field="12" count="1">
            <x v="85"/>
          </reference>
        </references>
      </pivotArea>
    </format>
    <format dxfId="1263">
      <pivotArea dataOnly="0" labelOnly="1" outline="0" fieldPosition="0">
        <references count="2">
          <reference field="11" count="1" selected="0">
            <x v="103"/>
          </reference>
          <reference field="12" count="1">
            <x v="126"/>
          </reference>
        </references>
      </pivotArea>
    </format>
    <format dxfId="1262">
      <pivotArea dataOnly="0" labelOnly="1" outline="0" fieldPosition="0">
        <references count="2">
          <reference field="11" count="1" selected="0">
            <x v="104"/>
          </reference>
          <reference field="12" count="1">
            <x v="52"/>
          </reference>
        </references>
      </pivotArea>
    </format>
    <format dxfId="1261">
      <pivotArea dataOnly="0" labelOnly="1" outline="0" fieldPosition="0">
        <references count="2">
          <reference field="11" count="1" selected="0">
            <x v="105"/>
          </reference>
          <reference field="12" count="1">
            <x v="131"/>
          </reference>
        </references>
      </pivotArea>
    </format>
    <format dxfId="1260">
      <pivotArea dataOnly="0" labelOnly="1" outline="0" fieldPosition="0">
        <references count="2">
          <reference field="11" count="1" selected="0">
            <x v="106"/>
          </reference>
          <reference field="12" count="1">
            <x v="154"/>
          </reference>
        </references>
      </pivotArea>
    </format>
    <format dxfId="1259">
      <pivotArea dataOnly="0" labelOnly="1" outline="0" fieldPosition="0">
        <references count="2">
          <reference field="11" count="1" selected="0">
            <x v="107"/>
          </reference>
          <reference field="12" count="1">
            <x v="42"/>
          </reference>
        </references>
      </pivotArea>
    </format>
    <format dxfId="1258">
      <pivotArea dataOnly="0" labelOnly="1" outline="0" fieldPosition="0">
        <references count="2">
          <reference field="11" count="1" selected="0">
            <x v="108"/>
          </reference>
          <reference field="12" count="1">
            <x v="24"/>
          </reference>
        </references>
      </pivotArea>
    </format>
    <format dxfId="1257">
      <pivotArea dataOnly="0" labelOnly="1" outline="0" fieldPosition="0">
        <references count="2">
          <reference field="11" count="1" selected="0">
            <x v="109"/>
          </reference>
          <reference field="12" count="1">
            <x v="145"/>
          </reference>
        </references>
      </pivotArea>
    </format>
    <format dxfId="1256">
      <pivotArea dataOnly="0" labelOnly="1" outline="0" fieldPosition="0">
        <references count="2">
          <reference field="11" count="1" selected="0">
            <x v="110"/>
          </reference>
          <reference field="12" count="1">
            <x v="157"/>
          </reference>
        </references>
      </pivotArea>
    </format>
    <format dxfId="1255">
      <pivotArea dataOnly="0" labelOnly="1" outline="0" fieldPosition="0">
        <references count="2">
          <reference field="11" count="1" selected="0">
            <x v="111"/>
          </reference>
          <reference field="12" count="1">
            <x v="129"/>
          </reference>
        </references>
      </pivotArea>
    </format>
    <format dxfId="1254">
      <pivotArea dataOnly="0" labelOnly="1" outline="0" fieldPosition="0">
        <references count="2">
          <reference field="11" count="1" selected="0">
            <x v="112"/>
          </reference>
          <reference field="12" count="1">
            <x v="49"/>
          </reference>
        </references>
      </pivotArea>
    </format>
    <format dxfId="1253">
      <pivotArea dataOnly="0" labelOnly="1" outline="0" fieldPosition="0">
        <references count="2">
          <reference field="11" count="1" selected="0">
            <x v="113"/>
          </reference>
          <reference field="12" count="1">
            <x v="94"/>
          </reference>
        </references>
      </pivotArea>
    </format>
    <format dxfId="1252">
      <pivotArea dataOnly="0" labelOnly="1" outline="0" fieldPosition="0">
        <references count="2">
          <reference field="11" count="1" selected="0">
            <x v="114"/>
          </reference>
          <reference field="12" count="1">
            <x v="147"/>
          </reference>
        </references>
      </pivotArea>
    </format>
    <format dxfId="1251">
      <pivotArea dataOnly="0" labelOnly="1" outline="0" fieldPosition="0">
        <references count="2">
          <reference field="11" count="1" selected="0">
            <x v="115"/>
          </reference>
          <reference field="12" count="1">
            <x v="13"/>
          </reference>
        </references>
      </pivotArea>
    </format>
    <format dxfId="1250">
      <pivotArea dataOnly="0" labelOnly="1" outline="0" fieldPosition="0">
        <references count="2">
          <reference field="11" count="1" selected="0">
            <x v="116"/>
          </reference>
          <reference field="12" count="1">
            <x v="62"/>
          </reference>
        </references>
      </pivotArea>
    </format>
    <format dxfId="1249">
      <pivotArea dataOnly="0" labelOnly="1" outline="0" fieldPosition="0">
        <references count="2">
          <reference field="11" count="1" selected="0">
            <x v="117"/>
          </reference>
          <reference field="12" count="1">
            <x v="94"/>
          </reference>
        </references>
      </pivotArea>
    </format>
    <format dxfId="1248">
      <pivotArea dataOnly="0" labelOnly="1" outline="0" fieldPosition="0">
        <references count="2">
          <reference field="11" count="1" selected="0">
            <x v="118"/>
          </reference>
          <reference field="12" count="1">
            <x v="147"/>
          </reference>
        </references>
      </pivotArea>
    </format>
    <format dxfId="1247">
      <pivotArea dataOnly="0" labelOnly="1" outline="0" fieldPosition="0">
        <references count="2">
          <reference field="11" count="1" selected="0">
            <x v="119"/>
          </reference>
          <reference field="12" count="1">
            <x v="124"/>
          </reference>
        </references>
      </pivotArea>
    </format>
    <format dxfId="1246">
      <pivotArea dataOnly="0" labelOnly="1" outline="0" fieldPosition="0">
        <references count="2">
          <reference field="11" count="1" selected="0">
            <x v="120"/>
          </reference>
          <reference field="12" count="1">
            <x v="130"/>
          </reference>
        </references>
      </pivotArea>
    </format>
    <format dxfId="1245">
      <pivotArea dataOnly="0" labelOnly="1" outline="0" fieldPosition="0">
        <references count="2">
          <reference field="11" count="1" selected="0">
            <x v="121"/>
          </reference>
          <reference field="12" count="1">
            <x v="147"/>
          </reference>
        </references>
      </pivotArea>
    </format>
    <format dxfId="1244">
      <pivotArea dataOnly="0" labelOnly="1" outline="0" fieldPosition="0">
        <references count="2">
          <reference field="11" count="1" selected="0">
            <x v="122"/>
          </reference>
          <reference field="12" count="1">
            <x v="129"/>
          </reference>
        </references>
      </pivotArea>
    </format>
    <format dxfId="1243">
      <pivotArea dataOnly="0" labelOnly="1" outline="0" fieldPosition="0">
        <references count="2">
          <reference field="11" count="1" selected="0">
            <x v="123"/>
          </reference>
          <reference field="12" count="1">
            <x v="43"/>
          </reference>
        </references>
      </pivotArea>
    </format>
    <format dxfId="1242">
      <pivotArea dataOnly="0" labelOnly="1" outline="0" fieldPosition="0">
        <references count="2">
          <reference field="11" count="1" selected="0">
            <x v="124"/>
          </reference>
          <reference field="12" count="1">
            <x v="51"/>
          </reference>
        </references>
      </pivotArea>
    </format>
    <format dxfId="1241">
      <pivotArea dataOnly="0" labelOnly="1" outline="0" fieldPosition="0">
        <references count="2">
          <reference field="11" count="1" selected="0">
            <x v="125"/>
          </reference>
          <reference field="12" count="1">
            <x v="129"/>
          </reference>
        </references>
      </pivotArea>
    </format>
    <format dxfId="1240">
      <pivotArea dataOnly="0" labelOnly="1" outline="0" fieldPosition="0">
        <references count="2">
          <reference field="11" count="1" selected="0">
            <x v="126"/>
          </reference>
          <reference field="12" count="1">
            <x v="52"/>
          </reference>
        </references>
      </pivotArea>
    </format>
    <format dxfId="1239">
      <pivotArea dataOnly="0" labelOnly="1" outline="0" fieldPosition="0">
        <references count="2">
          <reference field="11" count="1" selected="0">
            <x v="127"/>
          </reference>
          <reference field="12" count="1">
            <x v="126"/>
          </reference>
        </references>
      </pivotArea>
    </format>
    <format dxfId="1238">
      <pivotArea dataOnly="0" labelOnly="1" outline="0" fieldPosition="0">
        <references count="2">
          <reference field="11" count="1" selected="0">
            <x v="128"/>
          </reference>
          <reference field="12" count="1">
            <x v="100"/>
          </reference>
        </references>
      </pivotArea>
    </format>
    <format dxfId="1237">
      <pivotArea dataOnly="0" labelOnly="1" outline="0" fieldPosition="0">
        <references count="2">
          <reference field="11" count="1" selected="0">
            <x v="129"/>
          </reference>
          <reference field="12" count="1">
            <x v="147"/>
          </reference>
        </references>
      </pivotArea>
    </format>
    <format dxfId="1236">
      <pivotArea dataOnly="0" labelOnly="1" outline="0" fieldPosition="0">
        <references count="2">
          <reference field="11" count="1" selected="0">
            <x v="130"/>
          </reference>
          <reference field="12" count="1">
            <x v="20"/>
          </reference>
        </references>
      </pivotArea>
    </format>
    <format dxfId="1235">
      <pivotArea dataOnly="0" labelOnly="1" outline="0" fieldPosition="0">
        <references count="2">
          <reference field="11" count="1" selected="0">
            <x v="131"/>
          </reference>
          <reference field="12" count="1">
            <x v="34"/>
          </reference>
        </references>
      </pivotArea>
    </format>
    <format dxfId="1234">
      <pivotArea dataOnly="0" labelOnly="1" outline="0" fieldPosition="0">
        <references count="2">
          <reference field="11" count="1" selected="0">
            <x v="132"/>
          </reference>
          <reference field="12" count="1">
            <x v="129"/>
          </reference>
        </references>
      </pivotArea>
    </format>
    <format dxfId="1233">
      <pivotArea dataOnly="0" labelOnly="1" outline="0" fieldPosition="0">
        <references count="2">
          <reference field="11" count="1" selected="0">
            <x v="133"/>
          </reference>
          <reference field="12" count="1">
            <x v="104"/>
          </reference>
        </references>
      </pivotArea>
    </format>
    <format dxfId="1232">
      <pivotArea dataOnly="0" labelOnly="1" outline="0" fieldPosition="0">
        <references count="2">
          <reference field="11" count="1" selected="0">
            <x v="134"/>
          </reference>
          <reference field="12" count="1">
            <x v="17"/>
          </reference>
        </references>
      </pivotArea>
    </format>
    <format dxfId="1231">
      <pivotArea dataOnly="0" labelOnly="1" outline="0" fieldPosition="0">
        <references count="2">
          <reference field="11" count="1" selected="0">
            <x v="135"/>
          </reference>
          <reference field="12" count="1">
            <x v="19"/>
          </reference>
        </references>
      </pivotArea>
    </format>
    <format dxfId="1230">
      <pivotArea dataOnly="0" labelOnly="1" outline="0" fieldPosition="0">
        <references count="2">
          <reference field="11" count="1" selected="0">
            <x v="136"/>
          </reference>
          <reference field="12" count="1">
            <x v="126"/>
          </reference>
        </references>
      </pivotArea>
    </format>
    <format dxfId="1229">
      <pivotArea dataOnly="0" labelOnly="1" outline="0" fieldPosition="0">
        <references count="2">
          <reference field="11" count="1" selected="0">
            <x v="137"/>
          </reference>
          <reference field="12" count="1">
            <x v="116"/>
          </reference>
        </references>
      </pivotArea>
    </format>
    <format dxfId="1228">
      <pivotArea dataOnly="0" labelOnly="1" outline="0" fieldPosition="0">
        <references count="2">
          <reference field="11" count="1" selected="0">
            <x v="138"/>
          </reference>
          <reference field="12" count="1">
            <x v="52"/>
          </reference>
        </references>
      </pivotArea>
    </format>
    <format dxfId="1227">
      <pivotArea dataOnly="0" labelOnly="1" outline="0" fieldPosition="0">
        <references count="2">
          <reference field="11" count="1" selected="0">
            <x v="139"/>
          </reference>
          <reference field="12" count="1">
            <x v="43"/>
          </reference>
        </references>
      </pivotArea>
    </format>
    <format dxfId="1226">
      <pivotArea dataOnly="0" labelOnly="1" outline="0" fieldPosition="0">
        <references count="2">
          <reference field="11" count="1" selected="0">
            <x v="140"/>
          </reference>
          <reference field="12" count="1">
            <x v="127"/>
          </reference>
        </references>
      </pivotArea>
    </format>
    <format dxfId="1225">
      <pivotArea dataOnly="0" labelOnly="1" outline="0" fieldPosition="0">
        <references count="2">
          <reference field="11" count="1" selected="0">
            <x v="141"/>
          </reference>
          <reference field="12" count="1">
            <x v="154"/>
          </reference>
        </references>
      </pivotArea>
    </format>
    <format dxfId="1224">
      <pivotArea dataOnly="0" labelOnly="1" outline="0" fieldPosition="0">
        <references count="2">
          <reference field="11" count="1" selected="0">
            <x v="142"/>
          </reference>
          <reference field="12" count="1">
            <x v="68"/>
          </reference>
        </references>
      </pivotArea>
    </format>
    <format dxfId="1223">
      <pivotArea dataOnly="0" labelOnly="1" outline="0" fieldPosition="0">
        <references count="2">
          <reference field="11" count="1" selected="0">
            <x v="143"/>
          </reference>
          <reference field="12" count="1">
            <x v="32"/>
          </reference>
        </references>
      </pivotArea>
    </format>
    <format dxfId="1222">
      <pivotArea dataOnly="0" labelOnly="1" outline="0" fieldPosition="0">
        <references count="2">
          <reference field="11" count="1" selected="0">
            <x v="144"/>
          </reference>
          <reference field="12" count="1">
            <x v="52"/>
          </reference>
        </references>
      </pivotArea>
    </format>
    <format dxfId="1221">
      <pivotArea dataOnly="0" labelOnly="1" outline="0" fieldPosition="0">
        <references count="2">
          <reference field="11" count="1" selected="0">
            <x v="145"/>
          </reference>
          <reference field="12" count="1">
            <x v="162"/>
          </reference>
        </references>
      </pivotArea>
    </format>
    <format dxfId="1220">
      <pivotArea dataOnly="0" labelOnly="1" outline="0" fieldPosition="0">
        <references count="2">
          <reference field="11" count="1" selected="0">
            <x v="146"/>
          </reference>
          <reference field="12" count="1">
            <x v="147"/>
          </reference>
        </references>
      </pivotArea>
    </format>
    <format dxfId="1219">
      <pivotArea dataOnly="0" labelOnly="1" outline="0" fieldPosition="0">
        <references count="2">
          <reference field="11" count="1" selected="0">
            <x v="147"/>
          </reference>
          <reference field="12" count="1">
            <x v="59"/>
          </reference>
        </references>
      </pivotArea>
    </format>
    <format dxfId="1218">
      <pivotArea dataOnly="0" labelOnly="1" outline="0" fieldPosition="0">
        <references count="2">
          <reference field="11" count="1" selected="0">
            <x v="148"/>
          </reference>
          <reference field="12" count="1">
            <x v="147"/>
          </reference>
        </references>
      </pivotArea>
    </format>
    <format dxfId="1217">
      <pivotArea dataOnly="0" labelOnly="1" outline="0" fieldPosition="0">
        <references count="2">
          <reference field="11" count="1" selected="0">
            <x v="149"/>
          </reference>
          <reference field="12" count="1">
            <x v="120"/>
          </reference>
        </references>
      </pivotArea>
    </format>
    <format dxfId="1216">
      <pivotArea dataOnly="0" labelOnly="1" outline="0" fieldPosition="0">
        <references count="2">
          <reference field="11" count="1" selected="0">
            <x v="150"/>
          </reference>
          <reference field="12" count="1">
            <x v="24"/>
          </reference>
        </references>
      </pivotArea>
    </format>
    <format dxfId="1215">
      <pivotArea dataOnly="0" labelOnly="1" outline="0" fieldPosition="0">
        <references count="2">
          <reference field="11" count="1" selected="0">
            <x v="151"/>
          </reference>
          <reference field="12" count="1">
            <x v="122"/>
          </reference>
        </references>
      </pivotArea>
    </format>
    <format dxfId="1214">
      <pivotArea dataOnly="0" labelOnly="1" outline="0" fieldPosition="0">
        <references count="2">
          <reference field="11" count="1" selected="0">
            <x v="152"/>
          </reference>
          <reference field="12" count="1">
            <x v="40"/>
          </reference>
        </references>
      </pivotArea>
    </format>
    <format dxfId="1213">
      <pivotArea dataOnly="0" labelOnly="1" outline="0" fieldPosition="0">
        <references count="2">
          <reference field="11" count="1" selected="0">
            <x v="153"/>
          </reference>
          <reference field="12" count="1">
            <x v="52"/>
          </reference>
        </references>
      </pivotArea>
    </format>
    <format dxfId="1212">
      <pivotArea dataOnly="0" labelOnly="1" outline="0" fieldPosition="0">
        <references count="2">
          <reference field="11" count="1" selected="0">
            <x v="154"/>
          </reference>
          <reference field="12" count="1">
            <x v="46"/>
          </reference>
        </references>
      </pivotArea>
    </format>
    <format dxfId="1211">
      <pivotArea dataOnly="0" labelOnly="1" outline="0" fieldPosition="0">
        <references count="2">
          <reference field="11" count="1" selected="0">
            <x v="155"/>
          </reference>
          <reference field="12" count="1">
            <x v="147"/>
          </reference>
        </references>
      </pivotArea>
    </format>
    <format dxfId="1210">
      <pivotArea dataOnly="0" labelOnly="1" outline="0" fieldPosition="0">
        <references count="2">
          <reference field="11" count="1" selected="0">
            <x v="156"/>
          </reference>
          <reference field="12" count="1">
            <x v="129"/>
          </reference>
        </references>
      </pivotArea>
    </format>
    <format dxfId="1209">
      <pivotArea dataOnly="0" labelOnly="1" outline="0" fieldPosition="0">
        <references count="2">
          <reference field="11" count="1" selected="0">
            <x v="157"/>
          </reference>
          <reference field="12" count="1">
            <x v="88"/>
          </reference>
        </references>
      </pivotArea>
    </format>
    <format dxfId="1208">
      <pivotArea dataOnly="0" labelOnly="1" outline="0" fieldPosition="0">
        <references count="2">
          <reference field="11" count="1" selected="0">
            <x v="158"/>
          </reference>
          <reference field="12" count="1">
            <x v="23"/>
          </reference>
        </references>
      </pivotArea>
    </format>
    <format dxfId="1207">
      <pivotArea dataOnly="0" labelOnly="1" outline="0" fieldPosition="0">
        <references count="2">
          <reference field="11" count="1" selected="0">
            <x v="159"/>
          </reference>
          <reference field="12" count="1">
            <x v="151"/>
          </reference>
        </references>
      </pivotArea>
    </format>
    <format dxfId="1206">
      <pivotArea dataOnly="0" labelOnly="1" outline="0" fieldPosition="0">
        <references count="2">
          <reference field="11" count="1" selected="0">
            <x v="160"/>
          </reference>
          <reference field="12" count="1">
            <x v="20"/>
          </reference>
        </references>
      </pivotArea>
    </format>
    <format dxfId="1205">
      <pivotArea dataOnly="0" labelOnly="1" outline="0" fieldPosition="0">
        <references count="2">
          <reference field="11" count="1" selected="0">
            <x v="161"/>
          </reference>
          <reference field="12" count="1">
            <x v="58"/>
          </reference>
        </references>
      </pivotArea>
    </format>
    <format dxfId="1204">
      <pivotArea dataOnly="0" labelOnly="1" outline="0" fieldPosition="0">
        <references count="2">
          <reference field="11" count="1" selected="0">
            <x v="162"/>
          </reference>
          <reference field="12" count="1">
            <x v="0"/>
          </reference>
        </references>
      </pivotArea>
    </format>
    <format dxfId="1203">
      <pivotArea dataOnly="0" labelOnly="1" outline="0" fieldPosition="0">
        <references count="2">
          <reference field="11" count="1" selected="0">
            <x v="163"/>
          </reference>
          <reference field="12" count="1">
            <x v="147"/>
          </reference>
        </references>
      </pivotArea>
    </format>
    <format dxfId="1202">
      <pivotArea dataOnly="0" labelOnly="1" outline="0" fieldPosition="0">
        <references count="2">
          <reference field="11" count="1" selected="0">
            <x v="164"/>
          </reference>
          <reference field="12" count="1">
            <x v="116"/>
          </reference>
        </references>
      </pivotArea>
    </format>
    <format dxfId="1201">
      <pivotArea dataOnly="0" labelOnly="1" outline="0" fieldPosition="0">
        <references count="2">
          <reference field="11" count="1" selected="0">
            <x v="165"/>
          </reference>
          <reference field="12" count="1">
            <x v="24"/>
          </reference>
        </references>
      </pivotArea>
    </format>
    <format dxfId="1200">
      <pivotArea dataOnly="0" labelOnly="1" outline="0" fieldPosition="0">
        <references count="2">
          <reference field="11" count="1" selected="0">
            <x v="166"/>
          </reference>
          <reference field="12" count="1">
            <x v="142"/>
          </reference>
        </references>
      </pivotArea>
    </format>
    <format dxfId="1199">
      <pivotArea dataOnly="0" labelOnly="1" outline="0" fieldPosition="0">
        <references count="2">
          <reference field="11" count="1" selected="0">
            <x v="167"/>
          </reference>
          <reference field="12" count="1">
            <x v="147"/>
          </reference>
        </references>
      </pivotArea>
    </format>
    <format dxfId="1198">
      <pivotArea dataOnly="0" labelOnly="1" outline="0" fieldPosition="0">
        <references count="2">
          <reference field="11" count="1" selected="0">
            <x v="169"/>
          </reference>
          <reference field="12" count="1">
            <x v="126"/>
          </reference>
        </references>
      </pivotArea>
    </format>
    <format dxfId="1197">
      <pivotArea dataOnly="0" labelOnly="1" outline="0" fieldPosition="0">
        <references count="2">
          <reference field="11" count="1" selected="0">
            <x v="170"/>
          </reference>
          <reference field="12" count="1">
            <x v="58"/>
          </reference>
        </references>
      </pivotArea>
    </format>
    <format dxfId="1196">
      <pivotArea dataOnly="0" labelOnly="1" outline="0" fieldPosition="0">
        <references count="2">
          <reference field="11" count="1" selected="0">
            <x v="171"/>
          </reference>
          <reference field="12" count="1">
            <x v="94"/>
          </reference>
        </references>
      </pivotArea>
    </format>
    <format dxfId="1195">
      <pivotArea dataOnly="0" labelOnly="1" outline="0" fieldPosition="0">
        <references count="2">
          <reference field="11" count="1" selected="0">
            <x v="172"/>
          </reference>
          <reference field="12" count="1">
            <x v="147"/>
          </reference>
        </references>
      </pivotArea>
    </format>
    <format dxfId="1194">
      <pivotArea dataOnly="0" labelOnly="1" outline="0" fieldPosition="0">
        <references count="2">
          <reference field="11" count="1" selected="0">
            <x v="173"/>
          </reference>
          <reference field="12" count="1">
            <x v="133"/>
          </reference>
        </references>
      </pivotArea>
    </format>
    <format dxfId="1193">
      <pivotArea dataOnly="0" labelOnly="1" outline="0" fieldPosition="0">
        <references count="2">
          <reference field="11" count="1" selected="0">
            <x v="174"/>
          </reference>
          <reference field="12" count="1">
            <x v="126"/>
          </reference>
        </references>
      </pivotArea>
    </format>
    <format dxfId="1192">
      <pivotArea dataOnly="0" labelOnly="1" outline="0" fieldPosition="0">
        <references count="2">
          <reference field="11" count="1" selected="0">
            <x v="175"/>
          </reference>
          <reference field="12" count="1">
            <x v="111"/>
          </reference>
        </references>
      </pivotArea>
    </format>
    <format dxfId="1191">
      <pivotArea dataOnly="0" labelOnly="1" outline="0" fieldPosition="0">
        <references count="2">
          <reference field="11" count="1" selected="0">
            <x v="176"/>
          </reference>
          <reference field="12" count="1">
            <x v="147"/>
          </reference>
        </references>
      </pivotArea>
    </format>
    <format dxfId="1190">
      <pivotArea dataOnly="0" labelOnly="1" outline="0" fieldPosition="0">
        <references count="2">
          <reference field="11" count="1" selected="0">
            <x v="178"/>
          </reference>
          <reference field="12" count="1">
            <x v="133"/>
          </reference>
        </references>
      </pivotArea>
    </format>
    <format dxfId="1189">
      <pivotArea dataOnly="0" labelOnly="1" outline="0" fieldPosition="0">
        <references count="2">
          <reference field="11" count="1" selected="0">
            <x v="179"/>
          </reference>
          <reference field="12" count="1">
            <x v="19"/>
          </reference>
        </references>
      </pivotArea>
    </format>
    <format dxfId="1188">
      <pivotArea dataOnly="0" labelOnly="1" outline="0" fieldPosition="0">
        <references count="2">
          <reference field="11" count="1" selected="0">
            <x v="180"/>
          </reference>
          <reference field="12" count="1">
            <x v="126"/>
          </reference>
        </references>
      </pivotArea>
    </format>
    <format dxfId="1187">
      <pivotArea dataOnly="0" labelOnly="1" outline="0" fieldPosition="0">
        <references count="2">
          <reference field="11" count="1" selected="0">
            <x v="181"/>
          </reference>
          <reference field="12" count="1">
            <x v="76"/>
          </reference>
        </references>
      </pivotArea>
    </format>
    <format dxfId="1186">
      <pivotArea dataOnly="0" labelOnly="1" outline="0" fieldPosition="0">
        <references count="2">
          <reference field="11" count="1" selected="0">
            <x v="182"/>
          </reference>
          <reference field="12" count="1">
            <x v="147"/>
          </reference>
        </references>
      </pivotArea>
    </format>
    <format dxfId="1185">
      <pivotArea dataOnly="0" labelOnly="1" outline="0" fieldPosition="0">
        <references count="2">
          <reference field="11" count="1" selected="0">
            <x v="184"/>
          </reference>
          <reference field="12" count="1">
            <x v="129"/>
          </reference>
        </references>
      </pivotArea>
    </format>
    <format dxfId="1184">
      <pivotArea dataOnly="0" labelOnly="1" outline="0" fieldPosition="0">
        <references count="2">
          <reference field="11" count="1" selected="0">
            <x v="185"/>
          </reference>
          <reference field="12" count="1">
            <x v="24"/>
          </reference>
        </references>
      </pivotArea>
    </format>
    <format dxfId="1183">
      <pivotArea dataOnly="0" labelOnly="1" outline="0" fieldPosition="0">
        <references count="2">
          <reference field="11" count="1" selected="0">
            <x v="186"/>
          </reference>
          <reference field="12" count="1">
            <x v="147"/>
          </reference>
        </references>
      </pivotArea>
    </format>
    <format dxfId="1182">
      <pivotArea dataOnly="0" labelOnly="1" outline="0" fieldPosition="0">
        <references count="2">
          <reference field="11" count="1" selected="0">
            <x v="189"/>
          </reference>
          <reference field="12" count="1">
            <x v="42"/>
          </reference>
        </references>
      </pivotArea>
    </format>
    <format dxfId="1181">
      <pivotArea dataOnly="0" labelOnly="1" outline="0" fieldPosition="0">
        <references count="2">
          <reference field="11" count="1" selected="0">
            <x v="190"/>
          </reference>
          <reference field="12" count="1">
            <x v="58"/>
          </reference>
        </references>
      </pivotArea>
    </format>
    <format dxfId="1180">
      <pivotArea dataOnly="0" labelOnly="1" outline="0" fieldPosition="0">
        <references count="2">
          <reference field="11" count="1" selected="0">
            <x v="191"/>
          </reference>
          <reference field="12" count="1">
            <x v="147"/>
          </reference>
        </references>
      </pivotArea>
    </format>
    <format dxfId="1179">
      <pivotArea dataOnly="0" labelOnly="1" outline="0" fieldPosition="0">
        <references count="2">
          <reference field="11" count="1" selected="0">
            <x v="192"/>
          </reference>
          <reference field="12" count="1">
            <x v="87"/>
          </reference>
        </references>
      </pivotArea>
    </format>
    <format dxfId="1178">
      <pivotArea dataOnly="0" labelOnly="1" outline="0" fieldPosition="0">
        <references count="2">
          <reference field="11" count="1" selected="0">
            <x v="193"/>
          </reference>
          <reference field="12" count="1">
            <x v="24"/>
          </reference>
        </references>
      </pivotArea>
    </format>
    <format dxfId="1177">
      <pivotArea dataOnly="0" labelOnly="1" outline="0" fieldPosition="0">
        <references count="2">
          <reference field="11" count="1" selected="0">
            <x v="194"/>
          </reference>
          <reference field="12" count="1">
            <x v="27"/>
          </reference>
        </references>
      </pivotArea>
    </format>
    <format dxfId="1176">
      <pivotArea dataOnly="0" labelOnly="1" outline="0" fieldPosition="0">
        <references count="2">
          <reference field="11" count="1" selected="0">
            <x v="195"/>
          </reference>
          <reference field="12" count="1">
            <x v="94"/>
          </reference>
        </references>
      </pivotArea>
    </format>
    <format dxfId="1175">
      <pivotArea dataOnly="0" labelOnly="1" outline="0" fieldPosition="0">
        <references count="2">
          <reference field="11" count="1" selected="0">
            <x v="196"/>
          </reference>
          <reference field="12" count="1">
            <x v="147"/>
          </reference>
        </references>
      </pivotArea>
    </format>
    <format dxfId="1174">
      <pivotArea dataOnly="0" labelOnly="1" outline="0" fieldPosition="0">
        <references count="2">
          <reference field="11" count="1" selected="0">
            <x v="197"/>
          </reference>
          <reference field="12" count="1">
            <x v="126"/>
          </reference>
        </references>
      </pivotArea>
    </format>
    <format dxfId="1173">
      <pivotArea dataOnly="0" labelOnly="1" outline="0" fieldPosition="0">
        <references count="2">
          <reference field="11" count="1" selected="0">
            <x v="198"/>
          </reference>
          <reference field="12" count="1">
            <x v="147"/>
          </reference>
        </references>
      </pivotArea>
    </format>
    <format dxfId="1172">
      <pivotArea dataOnly="0" labelOnly="1" outline="0" fieldPosition="0">
        <references count="2">
          <reference field="11" count="1" selected="0">
            <x v="199"/>
          </reference>
          <reference field="12" count="1">
            <x v="126"/>
          </reference>
        </references>
      </pivotArea>
    </format>
    <format dxfId="1171">
      <pivotArea dataOnly="0" labelOnly="1" outline="0" fieldPosition="0">
        <references count="2">
          <reference field="11" count="1" selected="0">
            <x v="200"/>
          </reference>
          <reference field="12" count="1">
            <x v="133"/>
          </reference>
        </references>
      </pivotArea>
    </format>
    <format dxfId="1170">
      <pivotArea dataOnly="0" labelOnly="1" outline="0" fieldPosition="0">
        <references count="2">
          <reference field="11" count="1" selected="0">
            <x v="201"/>
          </reference>
          <reference field="12" count="1">
            <x v="116"/>
          </reference>
        </references>
      </pivotArea>
    </format>
    <format dxfId="1169">
      <pivotArea dataOnly="0" labelOnly="1" outline="0" fieldPosition="0">
        <references count="2">
          <reference field="11" count="1" selected="0">
            <x v="202"/>
          </reference>
          <reference field="12" count="1">
            <x v="102"/>
          </reference>
        </references>
      </pivotArea>
    </format>
    <format dxfId="1168">
      <pivotArea dataOnly="0" labelOnly="1" outline="0" fieldPosition="0">
        <references count="2">
          <reference field="11" count="1" selected="0">
            <x v="203"/>
          </reference>
          <reference field="12" count="1">
            <x v="24"/>
          </reference>
        </references>
      </pivotArea>
    </format>
    <format dxfId="1167">
      <pivotArea dataOnly="0" labelOnly="1" outline="0" fieldPosition="0">
        <references count="2">
          <reference field="11" count="1" selected="0">
            <x v="204"/>
          </reference>
          <reference field="12" count="1">
            <x v="126"/>
          </reference>
        </references>
      </pivotArea>
    </format>
    <format dxfId="1166">
      <pivotArea dataOnly="0" labelOnly="1" outline="0" fieldPosition="0">
        <references count="2">
          <reference field="11" count="1" selected="0">
            <x v="206"/>
          </reference>
          <reference field="12" count="1">
            <x v="46"/>
          </reference>
        </references>
      </pivotArea>
    </format>
    <format dxfId="1165">
      <pivotArea dataOnly="0" labelOnly="1" outline="0" fieldPosition="0">
        <references count="2">
          <reference field="11" count="1" selected="0">
            <x v="207"/>
          </reference>
          <reference field="12" count="1">
            <x v="126"/>
          </reference>
        </references>
      </pivotArea>
    </format>
    <format dxfId="1164">
      <pivotArea dataOnly="0" labelOnly="1" outline="0" fieldPosition="0">
        <references count="2">
          <reference field="11" count="1" selected="0">
            <x v="210"/>
          </reference>
          <reference field="12" count="1">
            <x v="116"/>
          </reference>
        </references>
      </pivotArea>
    </format>
    <format dxfId="1163">
      <pivotArea dataOnly="0" labelOnly="1" outline="0" fieldPosition="0">
        <references count="2">
          <reference field="11" count="1" selected="0">
            <x v="211"/>
          </reference>
          <reference field="12" count="1">
            <x v="52"/>
          </reference>
        </references>
      </pivotArea>
    </format>
    <format dxfId="1162">
      <pivotArea dataOnly="0" labelOnly="1" outline="0" fieldPosition="0">
        <references count="2">
          <reference field="11" count="1" selected="0">
            <x v="212"/>
          </reference>
          <reference field="12" count="1">
            <x v="129"/>
          </reference>
        </references>
      </pivotArea>
    </format>
    <format dxfId="1161">
      <pivotArea dataOnly="0" labelOnly="1" outline="0" fieldPosition="0">
        <references count="2">
          <reference field="11" count="1" selected="0">
            <x v="213"/>
          </reference>
          <reference field="12" count="1">
            <x v="126"/>
          </reference>
        </references>
      </pivotArea>
    </format>
    <format dxfId="1160">
      <pivotArea dataOnly="0" labelOnly="1" outline="0" fieldPosition="0">
        <references count="2">
          <reference field="11" count="1" selected="0">
            <x v="214"/>
          </reference>
          <reference field="12" count="1">
            <x v="120"/>
          </reference>
        </references>
      </pivotArea>
    </format>
    <format dxfId="1159">
      <pivotArea dataOnly="0" labelOnly="1" outline="0" fieldPosition="0">
        <references count="2">
          <reference field="11" count="1" selected="0">
            <x v="215"/>
          </reference>
          <reference field="12" count="1">
            <x v="24"/>
          </reference>
        </references>
      </pivotArea>
    </format>
    <format dxfId="1158">
      <pivotArea dataOnly="0" labelOnly="1" outline="0" fieldPosition="0">
        <references count="2">
          <reference field="11" count="1" selected="0">
            <x v="216"/>
          </reference>
          <reference field="12" count="1">
            <x v="147"/>
          </reference>
        </references>
      </pivotArea>
    </format>
    <format dxfId="1157">
      <pivotArea dataOnly="0" labelOnly="1" outline="0" fieldPosition="0">
        <references count="2">
          <reference field="11" count="1" selected="0">
            <x v="217"/>
          </reference>
          <reference field="12" count="1">
            <x v="118"/>
          </reference>
        </references>
      </pivotArea>
    </format>
    <format dxfId="1156">
      <pivotArea dataOnly="0" labelOnly="1" outline="0" fieldPosition="0">
        <references count="2">
          <reference field="11" count="1" selected="0">
            <x v="218"/>
          </reference>
          <reference field="12" count="1">
            <x v="24"/>
          </reference>
        </references>
      </pivotArea>
    </format>
    <format dxfId="1155">
      <pivotArea dataOnly="0" labelOnly="1" outline="0" fieldPosition="0">
        <references count="2">
          <reference field="11" count="1" selected="0">
            <x v="219"/>
          </reference>
          <reference field="12" count="1">
            <x v="142"/>
          </reference>
        </references>
      </pivotArea>
    </format>
    <format dxfId="1154">
      <pivotArea dataOnly="0" labelOnly="1" outline="0" fieldPosition="0">
        <references count="2">
          <reference field="11" count="1" selected="0">
            <x v="220"/>
          </reference>
          <reference field="12" count="1">
            <x v="131"/>
          </reference>
        </references>
      </pivotArea>
    </format>
    <format dxfId="1153">
      <pivotArea dataOnly="0" labelOnly="1" outline="0" fieldPosition="0">
        <references count="2">
          <reference field="11" count="1" selected="0">
            <x v="221"/>
          </reference>
          <reference field="12" count="1">
            <x v="75"/>
          </reference>
        </references>
      </pivotArea>
    </format>
    <format dxfId="1152">
      <pivotArea dataOnly="0" labelOnly="1" outline="0" fieldPosition="0">
        <references count="2">
          <reference field="11" count="1" selected="0">
            <x v="222"/>
          </reference>
          <reference field="12" count="1">
            <x v="7"/>
          </reference>
        </references>
      </pivotArea>
    </format>
    <format dxfId="1151">
      <pivotArea dataOnly="0" labelOnly="1" outline="0" fieldPosition="0">
        <references count="2">
          <reference field="11" count="1" selected="0">
            <x v="223"/>
          </reference>
          <reference field="12" count="1">
            <x v="43"/>
          </reference>
        </references>
      </pivotArea>
    </format>
    <format dxfId="1150">
      <pivotArea dataOnly="0" labelOnly="1" outline="0" fieldPosition="0">
        <references count="2">
          <reference field="11" count="1" selected="0">
            <x v="224"/>
          </reference>
          <reference field="12" count="1">
            <x v="116"/>
          </reference>
        </references>
      </pivotArea>
    </format>
    <format dxfId="1149">
      <pivotArea dataOnly="0" labelOnly="1" outline="0" fieldPosition="0">
        <references count="2">
          <reference field="11" count="1" selected="0">
            <x v="225"/>
          </reference>
          <reference field="12" count="1">
            <x v="158"/>
          </reference>
        </references>
      </pivotArea>
    </format>
    <format dxfId="1148">
      <pivotArea dataOnly="0" labelOnly="1" outline="0" fieldPosition="0">
        <references count="2">
          <reference field="11" count="1" selected="0">
            <x v="226"/>
          </reference>
          <reference field="12" count="1">
            <x v="126"/>
          </reference>
        </references>
      </pivotArea>
    </format>
    <format dxfId="1147">
      <pivotArea dataOnly="0" labelOnly="1" outline="0" fieldPosition="0">
        <references count="2">
          <reference field="11" count="1" selected="0">
            <x v="227"/>
          </reference>
          <reference field="12" count="1">
            <x v="91"/>
          </reference>
        </references>
      </pivotArea>
    </format>
    <format dxfId="1146">
      <pivotArea dataOnly="0" labelOnly="1" outline="0" fieldPosition="0">
        <references count="2">
          <reference field="11" count="1" selected="0">
            <x v="228"/>
          </reference>
          <reference field="12" count="1">
            <x v="126"/>
          </reference>
        </references>
      </pivotArea>
    </format>
    <format dxfId="1145">
      <pivotArea dataOnly="0" labelOnly="1" outline="0" fieldPosition="0">
        <references count="2">
          <reference field="11" count="1" selected="0">
            <x v="229"/>
          </reference>
          <reference field="12" count="1">
            <x v="131"/>
          </reference>
        </references>
      </pivotArea>
    </format>
    <format dxfId="1144">
      <pivotArea dataOnly="0" labelOnly="1" outline="0" fieldPosition="0">
        <references count="2">
          <reference field="11" count="1" selected="0">
            <x v="230"/>
          </reference>
          <reference field="12" count="1">
            <x v="18"/>
          </reference>
        </references>
      </pivotArea>
    </format>
    <format dxfId="1143">
      <pivotArea dataOnly="0" labelOnly="1" outline="0" fieldPosition="0">
        <references count="2">
          <reference field="11" count="1" selected="0">
            <x v="231"/>
          </reference>
          <reference field="12" count="1">
            <x v="56"/>
          </reference>
        </references>
      </pivotArea>
    </format>
    <format dxfId="1142">
      <pivotArea dataOnly="0" labelOnly="1" outline="0" fieldPosition="0">
        <references count="2">
          <reference field="11" count="1" selected="0">
            <x v="232"/>
          </reference>
          <reference field="12" count="1">
            <x v="116"/>
          </reference>
        </references>
      </pivotArea>
    </format>
    <format dxfId="1141">
      <pivotArea dataOnly="0" labelOnly="1" outline="0" fieldPosition="0">
        <references count="2">
          <reference field="11" count="1" selected="0">
            <x v="233"/>
          </reference>
          <reference field="12" count="1">
            <x v="79"/>
          </reference>
        </references>
      </pivotArea>
    </format>
    <format dxfId="1140">
      <pivotArea dataOnly="0" labelOnly="1" outline="0" fieldPosition="0">
        <references count="2">
          <reference field="11" count="1" selected="0">
            <x v="234"/>
          </reference>
          <reference field="12" count="1">
            <x v="37"/>
          </reference>
        </references>
      </pivotArea>
    </format>
    <format dxfId="1139">
      <pivotArea dataOnly="0" labelOnly="1" outline="0" fieldPosition="0">
        <references count="2">
          <reference field="11" count="1" selected="0">
            <x v="235"/>
          </reference>
          <reference field="12" count="1">
            <x v="7"/>
          </reference>
        </references>
      </pivotArea>
    </format>
    <format dxfId="1138">
      <pivotArea dataOnly="0" labelOnly="1" outline="0" fieldPosition="0">
        <references count="2">
          <reference field="11" count="1" selected="0">
            <x v="236"/>
          </reference>
          <reference field="12" count="1">
            <x v="147"/>
          </reference>
        </references>
      </pivotArea>
    </format>
    <format dxfId="1137">
      <pivotArea dataOnly="0" labelOnly="1" outline="0" fieldPosition="0">
        <references count="2">
          <reference field="11" count="1" selected="0">
            <x v="237"/>
          </reference>
          <reference field="12" count="1">
            <x v="83"/>
          </reference>
        </references>
      </pivotArea>
    </format>
    <format dxfId="1136">
      <pivotArea dataOnly="0" labelOnly="1" outline="0" fieldPosition="0">
        <references count="2">
          <reference field="11" count="1" selected="0">
            <x v="238"/>
          </reference>
          <reference field="12" count="1">
            <x v="15"/>
          </reference>
        </references>
      </pivotArea>
    </format>
    <format dxfId="1135">
      <pivotArea dataOnly="0" labelOnly="1" outline="0" fieldPosition="0">
        <references count="2">
          <reference field="11" count="1" selected="0">
            <x v="239"/>
          </reference>
          <reference field="12" count="1">
            <x v="79"/>
          </reference>
        </references>
      </pivotArea>
    </format>
    <format dxfId="1134">
      <pivotArea dataOnly="0" labelOnly="1" outline="0" fieldPosition="0">
        <references count="2">
          <reference field="11" count="1" selected="0">
            <x v="240"/>
          </reference>
          <reference field="12" count="1">
            <x v="94"/>
          </reference>
        </references>
      </pivotArea>
    </format>
    <format dxfId="1133">
      <pivotArea dataOnly="0" labelOnly="1" outline="0" fieldPosition="0">
        <references count="2">
          <reference field="11" count="1" selected="0">
            <x v="241"/>
          </reference>
          <reference field="12" count="1">
            <x v="24"/>
          </reference>
        </references>
      </pivotArea>
    </format>
    <format dxfId="1132">
      <pivotArea dataOnly="0" labelOnly="1" outline="0" fieldPosition="0">
        <references count="2">
          <reference field="11" count="1" selected="0">
            <x v="242"/>
          </reference>
          <reference field="12" count="1">
            <x v="149"/>
          </reference>
        </references>
      </pivotArea>
    </format>
    <format dxfId="1131">
      <pivotArea dataOnly="0" labelOnly="1" outline="0" fieldPosition="0">
        <references count="2">
          <reference field="11" count="1" selected="0">
            <x v="243"/>
          </reference>
          <reference field="12" count="1">
            <x v="126"/>
          </reference>
        </references>
      </pivotArea>
    </format>
    <format dxfId="1130">
      <pivotArea dataOnly="0" labelOnly="1" outline="0" fieldPosition="0">
        <references count="2">
          <reference field="11" count="1" selected="0">
            <x v="244"/>
          </reference>
          <reference field="12" count="1">
            <x v="146"/>
          </reference>
        </references>
      </pivotArea>
    </format>
    <format dxfId="1129">
      <pivotArea dataOnly="0" labelOnly="1" outline="0" fieldPosition="0">
        <references count="2">
          <reference field="11" count="1" selected="0">
            <x v="245"/>
          </reference>
          <reference field="12" count="1">
            <x v="138"/>
          </reference>
        </references>
      </pivotArea>
    </format>
    <format dxfId="1128">
      <pivotArea dataOnly="0" labelOnly="1" outline="0" fieldPosition="0">
        <references count="2">
          <reference field="11" count="1" selected="0">
            <x v="246"/>
          </reference>
          <reference field="12" count="1">
            <x v="133"/>
          </reference>
        </references>
      </pivotArea>
    </format>
    <format dxfId="1127">
      <pivotArea dataOnly="0" labelOnly="1" outline="0" fieldPosition="0">
        <references count="2">
          <reference field="11" count="1" selected="0">
            <x v="247"/>
          </reference>
          <reference field="12" count="1">
            <x v="28"/>
          </reference>
        </references>
      </pivotArea>
    </format>
    <format dxfId="1126">
      <pivotArea dataOnly="0" labelOnly="1" outline="0" fieldPosition="0">
        <references count="2">
          <reference field="11" count="1" selected="0">
            <x v="248"/>
          </reference>
          <reference field="12" count="1">
            <x v="158"/>
          </reference>
        </references>
      </pivotArea>
    </format>
    <format dxfId="1125">
      <pivotArea dataOnly="0" labelOnly="1" outline="0" fieldPosition="0">
        <references count="2">
          <reference field="11" count="1" selected="0">
            <x v="249"/>
          </reference>
          <reference field="12" count="1">
            <x v="89"/>
          </reference>
        </references>
      </pivotArea>
    </format>
    <format dxfId="1124">
      <pivotArea dataOnly="0" labelOnly="1" outline="0" fieldPosition="0">
        <references count="2">
          <reference field="11" count="1" selected="0">
            <x v="250"/>
          </reference>
          <reference field="12" count="1">
            <x v="147"/>
          </reference>
        </references>
      </pivotArea>
    </format>
    <format dxfId="1123">
      <pivotArea dataOnly="0" labelOnly="1" outline="0" fieldPosition="0">
        <references count="2">
          <reference field="11" count="1" selected="0">
            <x v="251"/>
          </reference>
          <reference field="12" count="1">
            <x v="158"/>
          </reference>
        </references>
      </pivotArea>
    </format>
    <format dxfId="1122">
      <pivotArea dataOnly="0" labelOnly="1" outline="0" fieldPosition="0">
        <references count="2">
          <reference field="11" count="1" selected="0">
            <x v="252"/>
          </reference>
          <reference field="12" count="1">
            <x v="147"/>
          </reference>
        </references>
      </pivotArea>
    </format>
    <format dxfId="1121">
      <pivotArea dataOnly="0" labelOnly="1" outline="0" fieldPosition="0">
        <references count="2">
          <reference field="11" count="1" selected="0">
            <x v="255"/>
          </reference>
          <reference field="12" count="1">
            <x v="35"/>
          </reference>
        </references>
      </pivotArea>
    </format>
    <format dxfId="1120">
      <pivotArea dataOnly="0" labelOnly="1" outline="0" fieldPosition="0">
        <references count="2">
          <reference field="11" count="1" selected="0">
            <x v="256"/>
          </reference>
          <reference field="12" count="1">
            <x v="125"/>
          </reference>
        </references>
      </pivotArea>
    </format>
    <format dxfId="1119">
      <pivotArea dataOnly="0" labelOnly="1" outline="0" fieldPosition="0">
        <references count="2">
          <reference field="11" count="1" selected="0">
            <x v="257"/>
          </reference>
          <reference field="12" count="1">
            <x v="147"/>
          </reference>
        </references>
      </pivotArea>
    </format>
    <format dxfId="1118">
      <pivotArea dataOnly="0" labelOnly="1" outline="0" fieldPosition="0">
        <references count="2">
          <reference field="11" count="1" selected="0">
            <x v="258"/>
          </reference>
          <reference field="12" count="1">
            <x v="43"/>
          </reference>
        </references>
      </pivotArea>
    </format>
    <format dxfId="1117">
      <pivotArea dataOnly="0" labelOnly="1" outline="0" fieldPosition="0">
        <references count="2">
          <reference field="11" count="1" selected="0">
            <x v="259"/>
          </reference>
          <reference field="12" count="1">
            <x v="20"/>
          </reference>
        </references>
      </pivotArea>
    </format>
    <format dxfId="1116">
      <pivotArea dataOnly="0" labelOnly="1" outline="0" fieldPosition="0">
        <references count="2">
          <reference field="11" count="1" selected="0">
            <x v="260"/>
          </reference>
          <reference field="12" count="1">
            <x v="116"/>
          </reference>
        </references>
      </pivotArea>
    </format>
    <format dxfId="1115">
      <pivotArea dataOnly="0" labelOnly="1" outline="0" fieldPosition="0">
        <references count="2">
          <reference field="11" count="1" selected="0">
            <x v="261"/>
          </reference>
          <reference field="12" count="1">
            <x v="120"/>
          </reference>
        </references>
      </pivotArea>
    </format>
    <format dxfId="1114">
      <pivotArea dataOnly="0" labelOnly="1" outline="0" fieldPosition="0">
        <references count="2">
          <reference field="11" count="1" selected="0">
            <x v="262"/>
          </reference>
          <reference field="12" count="1">
            <x v="101"/>
          </reference>
        </references>
      </pivotArea>
    </format>
    <format dxfId="1113">
      <pivotArea dataOnly="0" labelOnly="1" outline="0" fieldPosition="0">
        <references count="2">
          <reference field="11" count="1" selected="0">
            <x v="263"/>
          </reference>
          <reference field="12" count="1">
            <x v="120"/>
          </reference>
        </references>
      </pivotArea>
    </format>
    <format dxfId="1112">
      <pivotArea dataOnly="0" labelOnly="1" outline="0" fieldPosition="0">
        <references count="2">
          <reference field="11" count="1" selected="0">
            <x v="264"/>
          </reference>
          <reference field="12" count="1">
            <x v="48"/>
          </reference>
        </references>
      </pivotArea>
    </format>
    <format dxfId="1111">
      <pivotArea dataOnly="0" labelOnly="1" outline="0" fieldPosition="0">
        <references count="2">
          <reference field="11" count="1" selected="0">
            <x v="266"/>
          </reference>
          <reference field="12" count="1">
            <x v="126"/>
          </reference>
        </references>
      </pivotArea>
    </format>
    <format dxfId="1110">
      <pivotArea dataOnly="0" labelOnly="1" outline="0" fieldPosition="0">
        <references count="2">
          <reference field="11" count="1" selected="0">
            <x v="267"/>
          </reference>
          <reference field="12" count="1">
            <x v="49"/>
          </reference>
        </references>
      </pivotArea>
    </format>
    <format dxfId="1109">
      <pivotArea dataOnly="0" labelOnly="1" outline="0" fieldPosition="0">
        <references count="2">
          <reference field="11" count="1" selected="0">
            <x v="268"/>
          </reference>
          <reference field="12" count="1">
            <x v="3"/>
          </reference>
        </references>
      </pivotArea>
    </format>
    <format dxfId="1108">
      <pivotArea dataOnly="0" labelOnly="1" outline="0" fieldPosition="0">
        <references count="2">
          <reference field="11" count="1" selected="0">
            <x v="269"/>
          </reference>
          <reference field="12" count="1">
            <x v="16"/>
          </reference>
        </references>
      </pivotArea>
    </format>
    <format dxfId="1107">
      <pivotArea dataOnly="0" labelOnly="1" outline="0" fieldPosition="0">
        <references count="2">
          <reference field="11" count="1" selected="0">
            <x v="270"/>
          </reference>
          <reference field="12" count="1">
            <x v="126"/>
          </reference>
        </references>
      </pivotArea>
    </format>
    <format dxfId="1106">
      <pivotArea dataOnly="0" labelOnly="1" outline="0" fieldPosition="0">
        <references count="2">
          <reference field="11" count="1" selected="0">
            <x v="271"/>
          </reference>
          <reference field="12" count="1">
            <x v="43"/>
          </reference>
        </references>
      </pivotArea>
    </format>
    <format dxfId="1105">
      <pivotArea dataOnly="0" labelOnly="1" outline="0" fieldPosition="0">
        <references count="2">
          <reference field="11" count="1" selected="0">
            <x v="272"/>
          </reference>
          <reference field="12" count="1">
            <x v="126"/>
          </reference>
        </references>
      </pivotArea>
    </format>
    <format dxfId="1104">
      <pivotArea dataOnly="0" labelOnly="1" outline="0" fieldPosition="0">
        <references count="2">
          <reference field="11" count="1" selected="0">
            <x v="273"/>
          </reference>
          <reference field="12" count="1">
            <x v="147"/>
          </reference>
        </references>
      </pivotArea>
    </format>
    <format dxfId="1103">
      <pivotArea dataOnly="0" labelOnly="1" outline="0" fieldPosition="0">
        <references count="2">
          <reference field="11" count="1" selected="0">
            <x v="274"/>
          </reference>
          <reference field="12" count="1">
            <x v="115"/>
          </reference>
        </references>
      </pivotArea>
    </format>
    <format dxfId="1102">
      <pivotArea dataOnly="0" labelOnly="1" outline="0" fieldPosition="0">
        <references count="2">
          <reference field="11" count="1" selected="0">
            <x v="275"/>
          </reference>
          <reference field="12" count="1">
            <x v="20"/>
          </reference>
        </references>
      </pivotArea>
    </format>
    <format dxfId="1101">
      <pivotArea dataOnly="0" labelOnly="1" outline="0" fieldPosition="0">
        <references count="2">
          <reference field="11" count="1" selected="0">
            <x v="276"/>
          </reference>
          <reference field="12" count="1">
            <x v="145"/>
          </reference>
        </references>
      </pivotArea>
    </format>
    <format dxfId="1100">
      <pivotArea dataOnly="0" labelOnly="1" outline="0" fieldPosition="0">
        <references count="2">
          <reference field="11" count="1" selected="0">
            <x v="277"/>
          </reference>
          <reference field="12" count="1">
            <x v="96"/>
          </reference>
        </references>
      </pivotArea>
    </format>
    <format dxfId="1099">
      <pivotArea dataOnly="0" labelOnly="1" outline="0" fieldPosition="0">
        <references count="2">
          <reference field="11" count="1" selected="0">
            <x v="279"/>
          </reference>
          <reference field="12" count="1">
            <x v="126"/>
          </reference>
        </references>
      </pivotArea>
    </format>
    <format dxfId="1098">
      <pivotArea dataOnly="0" labelOnly="1" outline="0" fieldPosition="0">
        <references count="2">
          <reference field="11" count="1" selected="0">
            <x v="280"/>
          </reference>
          <reference field="12" count="1">
            <x v="134"/>
          </reference>
        </references>
      </pivotArea>
    </format>
    <format dxfId="1097">
      <pivotArea dataOnly="0" labelOnly="1" outline="0" fieldPosition="0">
        <references count="2">
          <reference field="11" count="1" selected="0">
            <x v="281"/>
          </reference>
          <reference field="12" count="1">
            <x v="142"/>
          </reference>
        </references>
      </pivotArea>
    </format>
    <format dxfId="1096">
      <pivotArea dataOnly="0" labelOnly="1" outline="0" fieldPosition="0">
        <references count="2">
          <reference field="11" count="1" selected="0">
            <x v="282"/>
          </reference>
          <reference field="12" count="1">
            <x v="20"/>
          </reference>
        </references>
      </pivotArea>
    </format>
    <format dxfId="1095">
      <pivotArea dataOnly="0" labelOnly="1" outline="0" fieldPosition="0">
        <references count="2">
          <reference field="11" count="1" selected="0">
            <x v="283"/>
          </reference>
          <reference field="12" count="1">
            <x v="43"/>
          </reference>
        </references>
      </pivotArea>
    </format>
    <format dxfId="1094">
      <pivotArea dataOnly="0" labelOnly="1" outline="0" fieldPosition="0">
        <references count="2">
          <reference field="11" count="1" selected="0">
            <x v="284"/>
          </reference>
          <reference field="12" count="1">
            <x v="147"/>
          </reference>
        </references>
      </pivotArea>
    </format>
    <format dxfId="1093">
      <pivotArea dataOnly="0" labelOnly="1" outline="0" fieldPosition="0">
        <references count="2">
          <reference field="11" count="1" selected="0">
            <x v="285"/>
          </reference>
          <reference field="12" count="1">
            <x v="126"/>
          </reference>
        </references>
      </pivotArea>
    </format>
    <format dxfId="1092">
      <pivotArea dataOnly="0" labelOnly="1" outline="0" fieldPosition="0">
        <references count="2">
          <reference field="11" count="1" selected="0">
            <x v="286"/>
          </reference>
          <reference field="12" count="1">
            <x v="147"/>
          </reference>
        </references>
      </pivotArea>
    </format>
    <format dxfId="1091">
      <pivotArea dataOnly="0" labelOnly="1" outline="0" fieldPosition="0">
        <references count="2">
          <reference field="11" count="1" selected="0">
            <x v="287"/>
          </reference>
          <reference field="12" count="1">
            <x v="129"/>
          </reference>
        </references>
      </pivotArea>
    </format>
    <format dxfId="1090">
      <pivotArea dataOnly="0" labelOnly="1" outline="0" fieldPosition="0">
        <references count="2">
          <reference field="11" count="1" selected="0">
            <x v="288"/>
          </reference>
          <reference field="12" count="1">
            <x v="120"/>
          </reference>
        </references>
      </pivotArea>
    </format>
    <format dxfId="1089">
      <pivotArea dataOnly="0" labelOnly="1" outline="0" fieldPosition="0">
        <references count="2">
          <reference field="11" count="1" selected="0">
            <x v="289"/>
          </reference>
          <reference field="12" count="1">
            <x v="74"/>
          </reference>
        </references>
      </pivotArea>
    </format>
    <format dxfId="1088">
      <pivotArea dataOnly="0" labelOnly="1" outline="0" fieldPosition="0">
        <references count="2">
          <reference field="11" count="1" selected="0">
            <x v="290"/>
          </reference>
          <reference field="12" count="1">
            <x v="20"/>
          </reference>
        </references>
      </pivotArea>
    </format>
    <format dxfId="1087">
      <pivotArea dataOnly="0" labelOnly="1" outline="0" fieldPosition="0">
        <references count="2">
          <reference field="11" count="1" selected="0">
            <x v="292"/>
          </reference>
          <reference field="12" count="1">
            <x v="19"/>
          </reference>
        </references>
      </pivotArea>
    </format>
    <format dxfId="1086">
      <pivotArea dataOnly="0" labelOnly="1" outline="0" fieldPosition="0">
        <references count="2">
          <reference field="11" count="1" selected="0">
            <x v="293"/>
          </reference>
          <reference field="12" count="1">
            <x v="83"/>
          </reference>
        </references>
      </pivotArea>
    </format>
    <format dxfId="1085">
      <pivotArea dataOnly="0" labelOnly="1" outline="0" fieldPosition="0">
        <references count="2">
          <reference field="11" count="1" selected="0">
            <x v="294"/>
          </reference>
          <reference field="12" count="1">
            <x v="20"/>
          </reference>
        </references>
      </pivotArea>
    </format>
    <format dxfId="1084">
      <pivotArea dataOnly="0" labelOnly="1" outline="0" fieldPosition="0">
        <references count="2">
          <reference field="11" count="1" selected="0">
            <x v="295"/>
          </reference>
          <reference field="12" count="1">
            <x v="116"/>
          </reference>
        </references>
      </pivotArea>
    </format>
    <format dxfId="1083">
      <pivotArea dataOnly="0" labelOnly="1" outline="0" fieldPosition="0">
        <references count="2">
          <reference field="11" count="1" selected="0">
            <x v="296"/>
          </reference>
          <reference field="12" count="1">
            <x v="43"/>
          </reference>
        </references>
      </pivotArea>
    </format>
    <format dxfId="1082">
      <pivotArea dataOnly="0" labelOnly="1" outline="0" fieldPosition="0">
        <references count="2">
          <reference field="11" count="1" selected="0">
            <x v="297"/>
          </reference>
          <reference field="12" count="1">
            <x v="65"/>
          </reference>
        </references>
      </pivotArea>
    </format>
    <format dxfId="1081">
      <pivotArea dataOnly="0" labelOnly="1" outline="0" fieldPosition="0">
        <references count="2">
          <reference field="11" count="1" selected="0">
            <x v="298"/>
          </reference>
          <reference field="12" count="1">
            <x v="24"/>
          </reference>
        </references>
      </pivotArea>
    </format>
    <format dxfId="1080">
      <pivotArea dataOnly="0" labelOnly="1" outline="0" fieldPosition="0">
        <references count="2">
          <reference field="11" count="1" selected="0">
            <x v="299"/>
          </reference>
          <reference field="12" count="1">
            <x v="46"/>
          </reference>
        </references>
      </pivotArea>
    </format>
    <format dxfId="1079">
      <pivotArea dataOnly="0" labelOnly="1" outline="0" fieldPosition="0">
        <references count="2">
          <reference field="11" count="1" selected="0">
            <x v="300"/>
          </reference>
          <reference field="12" count="1">
            <x v="20"/>
          </reference>
        </references>
      </pivotArea>
    </format>
    <format dxfId="1078">
      <pivotArea dataOnly="0" labelOnly="1" outline="0" fieldPosition="0">
        <references count="2">
          <reference field="11" count="1" selected="0">
            <x v="302"/>
          </reference>
          <reference field="12" count="1">
            <x v="83"/>
          </reference>
        </references>
      </pivotArea>
    </format>
    <format dxfId="1077">
      <pivotArea dataOnly="0" labelOnly="1" outline="0" fieldPosition="0">
        <references count="2">
          <reference field="11" count="1" selected="0">
            <x v="303"/>
          </reference>
          <reference field="12" count="1">
            <x v="126"/>
          </reference>
        </references>
      </pivotArea>
    </format>
    <format dxfId="1076">
      <pivotArea dataOnly="0" labelOnly="1" outline="0" fieldPosition="0">
        <references count="2">
          <reference field="11" count="1" selected="0">
            <x v="304"/>
          </reference>
          <reference field="12" count="1">
            <x v="120"/>
          </reference>
        </references>
      </pivotArea>
    </format>
    <format dxfId="1075">
      <pivotArea dataOnly="0" labelOnly="1" outline="0" fieldPosition="0">
        <references count="2">
          <reference field="11" count="1" selected="0">
            <x v="305"/>
          </reference>
          <reference field="12" count="1">
            <x v="53"/>
          </reference>
        </references>
      </pivotArea>
    </format>
    <format dxfId="1074">
      <pivotArea dataOnly="0" labelOnly="1" outline="0" fieldPosition="0">
        <references count="2">
          <reference field="11" count="1" selected="0">
            <x v="306"/>
          </reference>
          <reference field="12" count="1">
            <x v="52"/>
          </reference>
        </references>
      </pivotArea>
    </format>
    <format dxfId="1073">
      <pivotArea dataOnly="0" labelOnly="1" outline="0" fieldPosition="0">
        <references count="2">
          <reference field="11" count="1" selected="0">
            <x v="307"/>
          </reference>
          <reference field="12" count="1">
            <x v="57"/>
          </reference>
        </references>
      </pivotArea>
    </format>
    <format dxfId="1072">
      <pivotArea dataOnly="0" labelOnly="1" outline="0" fieldPosition="0">
        <references count="2">
          <reference field="11" count="1" selected="0">
            <x v="308"/>
          </reference>
          <reference field="12" count="1">
            <x v="147"/>
          </reference>
        </references>
      </pivotArea>
    </format>
    <format dxfId="1071">
      <pivotArea dataOnly="0" labelOnly="1" outline="0" fieldPosition="0">
        <references count="2">
          <reference field="11" count="1" selected="0">
            <x v="309"/>
          </reference>
          <reference field="12" count="1">
            <x v="6"/>
          </reference>
        </references>
      </pivotArea>
    </format>
    <format dxfId="1070">
      <pivotArea dataOnly="0" labelOnly="1" outline="0" fieldPosition="0">
        <references count="2">
          <reference field="11" count="1" selected="0">
            <x v="310"/>
          </reference>
          <reference field="12" count="1">
            <x v="129"/>
          </reference>
        </references>
      </pivotArea>
    </format>
    <format dxfId="1069">
      <pivotArea dataOnly="0" labelOnly="1" outline="0" fieldPosition="0">
        <references count="2">
          <reference field="11" count="1" selected="0">
            <x v="311"/>
          </reference>
          <reference field="12" count="1">
            <x v="126"/>
          </reference>
        </references>
      </pivotArea>
    </format>
    <format dxfId="1068">
      <pivotArea dataOnly="0" labelOnly="1" outline="0" fieldPosition="0">
        <references count="2">
          <reference field="11" count="1" selected="0">
            <x v="312"/>
          </reference>
          <reference field="12" count="1">
            <x v="150"/>
          </reference>
        </references>
      </pivotArea>
    </format>
    <format dxfId="1067">
      <pivotArea dataOnly="0" labelOnly="1" outline="0" fieldPosition="0">
        <references count="2">
          <reference field="11" count="1" selected="0">
            <x v="313"/>
          </reference>
          <reference field="12" count="1">
            <x v="126"/>
          </reference>
        </references>
      </pivotArea>
    </format>
    <format dxfId="1066">
      <pivotArea dataOnly="0" labelOnly="1" outline="0" fieldPosition="0">
        <references count="2">
          <reference field="11" count="1" selected="0">
            <x v="314"/>
          </reference>
          <reference field="12" count="1">
            <x v="116"/>
          </reference>
        </references>
      </pivotArea>
    </format>
    <format dxfId="1065">
      <pivotArea dataOnly="0" labelOnly="1" outline="0" fieldPosition="0">
        <references count="2">
          <reference field="11" count="1" selected="0">
            <x v="315"/>
          </reference>
          <reference field="12" count="1">
            <x v="43"/>
          </reference>
        </references>
      </pivotArea>
    </format>
    <format dxfId="1064">
      <pivotArea dataOnly="0" labelOnly="1" outline="0" fieldPosition="0">
        <references count="2">
          <reference field="11" count="1" selected="0">
            <x v="317"/>
          </reference>
          <reference field="12" count="1">
            <x v="126"/>
          </reference>
        </references>
      </pivotArea>
    </format>
    <format dxfId="1063">
      <pivotArea dataOnly="0" labelOnly="1" outline="0" fieldPosition="0">
        <references count="2">
          <reference field="11" count="1" selected="0">
            <x v="318"/>
          </reference>
          <reference field="12" count="1">
            <x v="52"/>
          </reference>
        </references>
      </pivotArea>
    </format>
    <format dxfId="1062">
      <pivotArea dataOnly="0" labelOnly="1" outline="0" fieldPosition="0">
        <references count="2">
          <reference field="11" count="1" selected="0">
            <x v="319"/>
          </reference>
          <reference field="12" count="1">
            <x v="36"/>
          </reference>
        </references>
      </pivotArea>
    </format>
    <format dxfId="1061">
      <pivotArea dataOnly="0" labelOnly="1" outline="0" fieldPosition="0">
        <references count="2">
          <reference field="11" count="1" selected="0">
            <x v="320"/>
          </reference>
          <reference field="12" count="1">
            <x v="89"/>
          </reference>
        </references>
      </pivotArea>
    </format>
    <format dxfId="1060">
      <pivotArea dataOnly="0" labelOnly="1" outline="0" fieldPosition="0">
        <references count="2">
          <reference field="11" count="1" selected="0">
            <x v="321"/>
          </reference>
          <reference field="12" count="1">
            <x v="126"/>
          </reference>
        </references>
      </pivotArea>
    </format>
    <format dxfId="1059">
      <pivotArea dataOnly="0" labelOnly="1" outline="0" fieldPosition="0">
        <references count="2">
          <reference field="11" count="1" selected="0">
            <x v="322"/>
          </reference>
          <reference field="12" count="1">
            <x v="147"/>
          </reference>
        </references>
      </pivotArea>
    </format>
    <format dxfId="1058">
      <pivotArea dataOnly="0" labelOnly="1" outline="0" fieldPosition="0">
        <references count="2">
          <reference field="11" count="1" selected="0">
            <x v="323"/>
          </reference>
          <reference field="12" count="1">
            <x v="75"/>
          </reference>
        </references>
      </pivotArea>
    </format>
    <format dxfId="1057">
      <pivotArea dataOnly="0" labelOnly="1" outline="0" fieldPosition="0">
        <references count="2">
          <reference field="11" count="1" selected="0">
            <x v="324"/>
          </reference>
          <reference field="12" count="1">
            <x v="143"/>
          </reference>
        </references>
      </pivotArea>
    </format>
    <format dxfId="1056">
      <pivotArea dataOnly="0" labelOnly="1" outline="0" fieldPosition="0">
        <references count="2">
          <reference field="11" count="1" selected="0">
            <x v="325"/>
          </reference>
          <reference field="12" count="1">
            <x v="120"/>
          </reference>
        </references>
      </pivotArea>
    </format>
    <format dxfId="1055">
      <pivotArea dataOnly="0" labelOnly="1" outline="0" fieldPosition="0">
        <references count="2">
          <reference field="11" count="1" selected="0">
            <x v="326"/>
          </reference>
          <reference field="12" count="1">
            <x v="129"/>
          </reference>
        </references>
      </pivotArea>
    </format>
    <format dxfId="1054">
      <pivotArea dataOnly="0" labelOnly="1" outline="0" fieldPosition="0">
        <references count="2">
          <reference field="11" count="1" selected="0">
            <x v="327"/>
          </reference>
          <reference field="12" count="1">
            <x v="126"/>
          </reference>
        </references>
      </pivotArea>
    </format>
    <format dxfId="1053">
      <pivotArea dataOnly="0" labelOnly="1" outline="0" fieldPosition="0">
        <references count="2">
          <reference field="11" count="1" selected="0">
            <x v="328"/>
          </reference>
          <reference field="12" count="1">
            <x v="129"/>
          </reference>
        </references>
      </pivotArea>
    </format>
    <format dxfId="1052">
      <pivotArea dataOnly="0" labelOnly="1" outline="0" fieldPosition="0">
        <references count="2">
          <reference field="11" count="1" selected="0">
            <x v="329"/>
          </reference>
          <reference field="12" count="1">
            <x v="147"/>
          </reference>
        </references>
      </pivotArea>
    </format>
    <format dxfId="1051">
      <pivotArea dataOnly="0" labelOnly="1" outline="0" fieldPosition="0">
        <references count="2">
          <reference field="11" count="1" selected="0">
            <x v="330"/>
          </reference>
          <reference field="12" count="1">
            <x v="126"/>
          </reference>
        </references>
      </pivotArea>
    </format>
    <format dxfId="1050">
      <pivotArea dataOnly="0" labelOnly="1" outline="0" fieldPosition="0">
        <references count="2">
          <reference field="11" count="1" selected="0">
            <x v="331"/>
          </reference>
          <reference field="12" count="1">
            <x v="132"/>
          </reference>
        </references>
      </pivotArea>
    </format>
    <format dxfId="1049">
      <pivotArea dataOnly="0" labelOnly="1" outline="0" fieldPosition="0">
        <references count="2">
          <reference field="11" count="1" selected="0">
            <x v="332"/>
          </reference>
          <reference field="12" count="1">
            <x v="52"/>
          </reference>
        </references>
      </pivotArea>
    </format>
    <format dxfId="1048">
      <pivotArea dataOnly="0" labelOnly="1" outline="0" fieldPosition="0">
        <references count="2">
          <reference field="11" count="1" selected="0">
            <x v="333"/>
          </reference>
          <reference field="12" count="1">
            <x v="154"/>
          </reference>
        </references>
      </pivotArea>
    </format>
    <format dxfId="1047">
      <pivotArea dataOnly="0" labelOnly="1" outline="0" fieldPosition="0">
        <references count="2">
          <reference field="11" count="1" selected="0">
            <x v="334"/>
          </reference>
          <reference field="12" count="1">
            <x v="126"/>
          </reference>
        </references>
      </pivotArea>
    </format>
    <format dxfId="1046">
      <pivotArea dataOnly="0" labelOnly="1" outline="0" fieldPosition="0">
        <references count="2">
          <reference field="11" count="1" selected="0">
            <x v="335"/>
          </reference>
          <reference field="12" count="1">
            <x v="1"/>
          </reference>
        </references>
      </pivotArea>
    </format>
    <format dxfId="1045">
      <pivotArea dataOnly="0" labelOnly="1" outline="0" fieldPosition="0">
        <references count="2">
          <reference field="11" count="1" selected="0">
            <x v="336"/>
          </reference>
          <reference field="12" count="1">
            <x v="126"/>
          </reference>
        </references>
      </pivotArea>
    </format>
    <format dxfId="1044">
      <pivotArea dataOnly="0" labelOnly="1" outline="0" fieldPosition="0">
        <references count="2">
          <reference field="11" count="1" selected="0">
            <x v="338"/>
          </reference>
          <reference field="12" count="1">
            <x v="147"/>
          </reference>
        </references>
      </pivotArea>
    </format>
    <format dxfId="1043">
      <pivotArea dataOnly="0" labelOnly="1" outline="0" fieldPosition="0">
        <references count="2">
          <reference field="11" count="1" selected="0">
            <x v="341"/>
          </reference>
          <reference field="12" count="1">
            <x v="22"/>
          </reference>
        </references>
      </pivotArea>
    </format>
    <format dxfId="1042">
      <pivotArea dataOnly="0" labelOnly="1" outline="0" fieldPosition="0">
        <references count="2">
          <reference field="11" count="1" selected="0">
            <x v="342"/>
          </reference>
          <reference field="12" count="1">
            <x v="147"/>
          </reference>
        </references>
      </pivotArea>
    </format>
    <format dxfId="1041">
      <pivotArea dataOnly="0" labelOnly="1" outline="0" fieldPosition="0">
        <references count="2">
          <reference field="11" count="1" selected="0">
            <x v="344"/>
          </reference>
          <reference field="12" count="1">
            <x v="43"/>
          </reference>
        </references>
      </pivotArea>
    </format>
    <format dxfId="1040">
      <pivotArea dataOnly="0" labelOnly="1" outline="0" fieldPosition="0">
        <references count="2">
          <reference field="11" count="1" selected="0">
            <x v="345"/>
          </reference>
          <reference field="12" count="1">
            <x v="158"/>
          </reference>
        </references>
      </pivotArea>
    </format>
    <format dxfId="1039">
      <pivotArea dataOnly="0" labelOnly="1" outline="0" fieldPosition="0">
        <references count="2">
          <reference field="11" count="1" selected="0">
            <x v="346"/>
          </reference>
          <reference field="12" count="1">
            <x v="58"/>
          </reference>
        </references>
      </pivotArea>
    </format>
    <format dxfId="1038">
      <pivotArea dataOnly="0" labelOnly="1" outline="0" fieldPosition="0">
        <references count="2">
          <reference field="11" count="1" selected="0">
            <x v="347"/>
          </reference>
          <reference field="12" count="1">
            <x v="24"/>
          </reference>
        </references>
      </pivotArea>
    </format>
    <format dxfId="1037">
      <pivotArea dataOnly="0" labelOnly="1" outline="0" fieldPosition="0">
        <references count="2">
          <reference field="11" count="1" selected="0">
            <x v="348"/>
          </reference>
          <reference field="12" count="1">
            <x v="64"/>
          </reference>
        </references>
      </pivotArea>
    </format>
    <format dxfId="1036">
      <pivotArea dataOnly="0" labelOnly="1" outline="0" fieldPosition="0">
        <references count="2">
          <reference field="11" count="1" selected="0">
            <x v="349"/>
          </reference>
          <reference field="12" count="1">
            <x v="22"/>
          </reference>
        </references>
      </pivotArea>
    </format>
    <format dxfId="1035">
      <pivotArea dataOnly="0" labelOnly="1" outline="0" fieldPosition="0">
        <references count="2">
          <reference field="11" count="1" selected="0">
            <x v="350"/>
          </reference>
          <reference field="12" count="1">
            <x v="129"/>
          </reference>
        </references>
      </pivotArea>
    </format>
    <format dxfId="1034">
      <pivotArea dataOnly="0" labelOnly="1" outline="0" fieldPosition="0">
        <references count="2">
          <reference field="11" count="1" selected="0">
            <x v="351"/>
          </reference>
          <reference field="12" count="1">
            <x v="24"/>
          </reference>
        </references>
      </pivotArea>
    </format>
    <format dxfId="1033">
      <pivotArea dataOnly="0" labelOnly="1" outline="0" fieldPosition="0">
        <references count="2">
          <reference field="11" count="1" selected="0">
            <x v="353"/>
          </reference>
          <reference field="12" count="1">
            <x v="147"/>
          </reference>
        </references>
      </pivotArea>
    </format>
    <format dxfId="1032">
      <pivotArea dataOnly="0" labelOnly="1" outline="0" fieldPosition="0">
        <references count="2">
          <reference field="11" count="1" selected="0">
            <x v="354"/>
          </reference>
          <reference field="12" count="1">
            <x v="160"/>
          </reference>
        </references>
      </pivotArea>
    </format>
    <format dxfId="1031">
      <pivotArea dataOnly="0" labelOnly="1" outline="0" fieldPosition="0">
        <references count="2">
          <reference field="11" count="1" selected="0">
            <x v="355"/>
          </reference>
          <reference field="12" count="1">
            <x v="42"/>
          </reference>
        </references>
      </pivotArea>
    </format>
    <format dxfId="1030">
      <pivotArea dataOnly="0" labelOnly="1" outline="0" fieldPosition="0">
        <references count="2">
          <reference field="11" count="1" selected="0">
            <x v="356"/>
          </reference>
          <reference field="12" count="1">
            <x v="143"/>
          </reference>
        </references>
      </pivotArea>
    </format>
    <format dxfId="1029">
      <pivotArea dataOnly="0" labelOnly="1" outline="0" fieldPosition="0">
        <references count="2">
          <reference field="11" count="1" selected="0">
            <x v="357"/>
          </reference>
          <reference field="12" count="1">
            <x v="147"/>
          </reference>
        </references>
      </pivotArea>
    </format>
    <format dxfId="1028">
      <pivotArea dataOnly="0" labelOnly="1" outline="0" fieldPosition="0">
        <references count="2">
          <reference field="11" count="1" selected="0">
            <x v="360"/>
          </reference>
          <reference field="12" count="1">
            <x v="52"/>
          </reference>
        </references>
      </pivotArea>
    </format>
    <format dxfId="1027">
      <pivotArea dataOnly="0" labelOnly="1" outline="0" fieldPosition="0">
        <references count="2">
          <reference field="11" count="1" selected="0">
            <x v="361"/>
          </reference>
          <reference field="12" count="1">
            <x v="145"/>
          </reference>
        </references>
      </pivotArea>
    </format>
    <format dxfId="1026">
      <pivotArea dataOnly="0" labelOnly="1" outline="0" fieldPosition="0">
        <references count="2">
          <reference field="11" count="1" selected="0">
            <x v="362"/>
          </reference>
          <reference field="12" count="1">
            <x v="124"/>
          </reference>
        </references>
      </pivotArea>
    </format>
    <format dxfId="1025">
      <pivotArea dataOnly="0" labelOnly="1" outline="0" fieldPosition="0">
        <references count="2">
          <reference field="11" count="1" selected="0">
            <x v="363"/>
          </reference>
          <reference field="12" count="1">
            <x v="126"/>
          </reference>
        </references>
      </pivotArea>
    </format>
    <format dxfId="1024">
      <pivotArea dataOnly="0" labelOnly="1" outline="0" fieldPosition="0">
        <references count="2">
          <reference field="11" count="1" selected="0">
            <x v="364"/>
          </reference>
          <reference field="12" count="1">
            <x v="24"/>
          </reference>
        </references>
      </pivotArea>
    </format>
    <format dxfId="1023">
      <pivotArea dataOnly="0" labelOnly="1" outline="0" fieldPosition="0">
        <references count="2">
          <reference field="11" count="1" selected="0">
            <x v="365"/>
          </reference>
          <reference field="12" count="1">
            <x v="54"/>
          </reference>
        </references>
      </pivotArea>
    </format>
    <format dxfId="1022">
      <pivotArea dataOnly="0" labelOnly="1" outline="0" fieldPosition="0">
        <references count="2">
          <reference field="11" count="1" selected="0">
            <x v="366"/>
          </reference>
          <reference field="12" count="1">
            <x v="67"/>
          </reference>
        </references>
      </pivotArea>
    </format>
    <format dxfId="1021">
      <pivotArea dataOnly="0" labelOnly="1" outline="0" fieldPosition="0">
        <references count="2">
          <reference field="11" count="1" selected="0">
            <x v="367"/>
          </reference>
          <reference field="12" count="1">
            <x v="7"/>
          </reference>
        </references>
      </pivotArea>
    </format>
    <format dxfId="1020">
      <pivotArea dataOnly="0" labelOnly="1" outline="0" fieldPosition="0">
        <references count="2">
          <reference field="11" count="1" selected="0">
            <x v="368"/>
          </reference>
          <reference field="12" count="1">
            <x v="29"/>
          </reference>
        </references>
      </pivotArea>
    </format>
    <format dxfId="1019">
      <pivotArea dataOnly="0" labelOnly="1" outline="0" fieldPosition="0">
        <references count="2">
          <reference field="11" count="1" selected="0">
            <x v="369"/>
          </reference>
          <reference field="12" count="1">
            <x v="84"/>
          </reference>
        </references>
      </pivotArea>
    </format>
    <format dxfId="1018">
      <pivotArea dataOnly="0" labelOnly="1" outline="0" fieldPosition="0">
        <references count="2">
          <reference field="11" count="1" selected="0">
            <x v="370"/>
          </reference>
          <reference field="12" count="1">
            <x v="98"/>
          </reference>
        </references>
      </pivotArea>
    </format>
    <format dxfId="1017">
      <pivotArea dataOnly="0" labelOnly="1" outline="0" fieldPosition="0">
        <references count="2">
          <reference field="11" count="1" selected="0">
            <x v="371"/>
          </reference>
          <reference field="12" count="1">
            <x v="124"/>
          </reference>
        </references>
      </pivotArea>
    </format>
    <format dxfId="1016">
      <pivotArea dataOnly="0" labelOnly="1" outline="0" fieldPosition="0">
        <references count="2">
          <reference field="11" count="1" selected="0">
            <x v="372"/>
          </reference>
          <reference field="12" count="1">
            <x v="126"/>
          </reference>
        </references>
      </pivotArea>
    </format>
    <format dxfId="1015">
      <pivotArea dataOnly="0" labelOnly="1" outline="0" fieldPosition="0">
        <references count="2">
          <reference field="11" count="1" selected="0">
            <x v="373"/>
          </reference>
          <reference field="12" count="1">
            <x v="116"/>
          </reference>
        </references>
      </pivotArea>
    </format>
    <format dxfId="1014">
      <pivotArea dataOnly="0" labelOnly="1" outline="0" fieldPosition="0">
        <references count="2">
          <reference field="11" count="1" selected="0">
            <x v="374"/>
          </reference>
          <reference field="12" count="1">
            <x v="141"/>
          </reference>
        </references>
      </pivotArea>
    </format>
    <format dxfId="1013">
      <pivotArea dataOnly="0" labelOnly="1" outline="0" fieldPosition="0">
        <references count="2">
          <reference field="11" count="1" selected="0">
            <x v="375"/>
          </reference>
          <reference field="12" count="1">
            <x v="147"/>
          </reference>
        </references>
      </pivotArea>
    </format>
    <format dxfId="1012">
      <pivotArea dataOnly="0" labelOnly="1" outline="0" fieldPosition="0">
        <references count="2">
          <reference field="11" count="1" selected="0">
            <x v="376"/>
          </reference>
          <reference field="12" count="1">
            <x v="120"/>
          </reference>
        </references>
      </pivotArea>
    </format>
    <format dxfId="1011">
      <pivotArea dataOnly="0" labelOnly="1" outline="0" fieldPosition="0">
        <references count="2">
          <reference field="11" count="1" selected="0">
            <x v="377"/>
          </reference>
          <reference field="12" count="1">
            <x v="52"/>
          </reference>
        </references>
      </pivotArea>
    </format>
    <format dxfId="1010">
      <pivotArea dataOnly="0" labelOnly="1" outline="0" fieldPosition="0">
        <references count="2">
          <reference field="11" count="1" selected="0">
            <x v="378"/>
          </reference>
          <reference field="12" count="1">
            <x v="129"/>
          </reference>
        </references>
      </pivotArea>
    </format>
    <format dxfId="1009">
      <pivotArea dataOnly="0" labelOnly="1" outline="0" fieldPosition="0">
        <references count="2">
          <reference field="11" count="1" selected="0">
            <x v="379"/>
          </reference>
          <reference field="12" count="1">
            <x v="43"/>
          </reference>
        </references>
      </pivotArea>
    </format>
    <format dxfId="1008">
      <pivotArea dataOnly="0" labelOnly="1" outline="0" fieldPosition="0">
        <references count="2">
          <reference field="11" count="1" selected="0">
            <x v="380"/>
          </reference>
          <reference field="12" count="1">
            <x v="105"/>
          </reference>
        </references>
      </pivotArea>
    </format>
    <format dxfId="1007">
      <pivotArea dataOnly="0" labelOnly="1" outline="0" fieldPosition="0">
        <references count="2">
          <reference field="11" count="1" selected="0">
            <x v="381"/>
          </reference>
          <reference field="12" count="1">
            <x v="126"/>
          </reference>
        </references>
      </pivotArea>
    </format>
    <format dxfId="1006">
      <pivotArea dataOnly="0" labelOnly="1" outline="0" fieldPosition="0">
        <references count="2">
          <reference field="11" count="1" selected="0">
            <x v="382"/>
          </reference>
          <reference field="12" count="1">
            <x v="103"/>
          </reference>
        </references>
      </pivotArea>
    </format>
    <format dxfId="1005">
      <pivotArea dataOnly="0" labelOnly="1" outline="0" fieldPosition="0">
        <references count="2">
          <reference field="11" count="1" selected="0">
            <x v="383"/>
          </reference>
          <reference field="12" count="1">
            <x v="22"/>
          </reference>
        </references>
      </pivotArea>
    </format>
    <format dxfId="1004">
      <pivotArea dataOnly="0" labelOnly="1" outline="0" fieldPosition="0">
        <references count="2">
          <reference field="11" count="1" selected="0">
            <x v="384"/>
          </reference>
          <reference field="12" count="1">
            <x v="129"/>
          </reference>
        </references>
      </pivotArea>
    </format>
    <format dxfId="1003">
      <pivotArea dataOnly="0" labelOnly="1" outline="0" fieldPosition="0">
        <references count="2">
          <reference field="11" count="1" selected="0">
            <x v="385"/>
          </reference>
          <reference field="12" count="1">
            <x v="7"/>
          </reference>
        </references>
      </pivotArea>
    </format>
    <format dxfId="1002">
      <pivotArea dataOnly="0" labelOnly="1" outline="0" fieldPosition="0">
        <references count="2">
          <reference field="11" count="1" selected="0">
            <x v="386"/>
          </reference>
          <reference field="12" count="1">
            <x v="18"/>
          </reference>
        </references>
      </pivotArea>
    </format>
    <format dxfId="1001">
      <pivotArea dataOnly="0" labelOnly="1" outline="0" fieldPosition="0">
        <references count="2">
          <reference field="11" count="1" selected="0">
            <x v="387"/>
          </reference>
          <reference field="12" count="1">
            <x v="30"/>
          </reference>
        </references>
      </pivotArea>
    </format>
    <format dxfId="1000">
      <pivotArea dataOnly="0" labelOnly="1" outline="0" fieldPosition="0">
        <references count="2">
          <reference field="11" count="1" selected="0">
            <x v="388"/>
          </reference>
          <reference field="12" count="1">
            <x v="83"/>
          </reference>
        </references>
      </pivotArea>
    </format>
    <format dxfId="999">
      <pivotArea dataOnly="0" labelOnly="1" outline="0" fieldPosition="0">
        <references count="2">
          <reference field="11" count="1" selected="0">
            <x v="389"/>
          </reference>
          <reference field="12" count="1">
            <x v="94"/>
          </reference>
        </references>
      </pivotArea>
    </format>
    <format dxfId="998">
      <pivotArea dataOnly="0" labelOnly="1" outline="0" fieldPosition="0">
        <references count="2">
          <reference field="11" count="1" selected="0">
            <x v="390"/>
          </reference>
          <reference field="12" count="1">
            <x v="110"/>
          </reference>
        </references>
      </pivotArea>
    </format>
    <format dxfId="997">
      <pivotArea dataOnly="0" labelOnly="1" outline="0" fieldPosition="0">
        <references count="2">
          <reference field="11" count="1" selected="0">
            <x v="391"/>
          </reference>
          <reference field="12" count="1">
            <x v="114"/>
          </reference>
        </references>
      </pivotArea>
    </format>
    <format dxfId="996">
      <pivotArea dataOnly="0" labelOnly="1" outline="0" fieldPosition="0">
        <references count="2">
          <reference field="11" count="1" selected="0">
            <x v="392"/>
          </reference>
          <reference field="12" count="1">
            <x v="140"/>
          </reference>
        </references>
      </pivotArea>
    </format>
    <format dxfId="995">
      <pivotArea dataOnly="0" labelOnly="1" outline="0" fieldPosition="0">
        <references count="2">
          <reference field="11" count="1" selected="0">
            <x v="393"/>
          </reference>
          <reference field="12" count="1">
            <x v="75"/>
          </reference>
        </references>
      </pivotArea>
    </format>
    <format dxfId="994">
      <pivotArea dataOnly="0" labelOnly="1" outline="0" fieldPosition="0">
        <references count="2">
          <reference field="11" count="1" selected="0">
            <x v="394"/>
          </reference>
          <reference field="12" count="1">
            <x v="31"/>
          </reference>
        </references>
      </pivotArea>
    </format>
    <format dxfId="993">
      <pivotArea dataOnly="0" labelOnly="1" outline="0" fieldPosition="0">
        <references count="2">
          <reference field="11" count="1" selected="0">
            <x v="395"/>
          </reference>
          <reference field="12" count="1">
            <x v="162"/>
          </reference>
        </references>
      </pivotArea>
    </format>
    <format dxfId="992">
      <pivotArea dataOnly="0" labelOnly="1" outline="0" fieldPosition="0">
        <references count="2">
          <reference field="11" count="1" selected="0">
            <x v="396"/>
          </reference>
          <reference field="12" count="1">
            <x v="22"/>
          </reference>
        </references>
      </pivotArea>
    </format>
    <format dxfId="991">
      <pivotArea dataOnly="0" labelOnly="1" outline="0" fieldPosition="0">
        <references count="2">
          <reference field="11" count="1" selected="0">
            <x v="397"/>
          </reference>
          <reference field="12" count="1">
            <x v="37"/>
          </reference>
        </references>
      </pivotArea>
    </format>
    <format dxfId="990">
      <pivotArea dataOnly="0" labelOnly="1" outline="0" fieldPosition="0">
        <references count="2">
          <reference field="11" count="1" selected="0">
            <x v="398"/>
          </reference>
          <reference field="12" count="1">
            <x v="8"/>
          </reference>
        </references>
      </pivotArea>
    </format>
    <format dxfId="989">
      <pivotArea dataOnly="0" labelOnly="1" outline="0" fieldPosition="0">
        <references count="2">
          <reference field="11" count="1" selected="0">
            <x v="399"/>
          </reference>
          <reference field="12" count="1">
            <x v="71"/>
          </reference>
        </references>
      </pivotArea>
    </format>
    <format dxfId="988">
      <pivotArea dataOnly="0" labelOnly="1" outline="0" fieldPosition="0">
        <references count="2">
          <reference field="11" count="1" selected="0">
            <x v="400"/>
          </reference>
          <reference field="12" count="1">
            <x v="15"/>
          </reference>
        </references>
      </pivotArea>
    </format>
    <format dxfId="987">
      <pivotArea dataOnly="0" labelOnly="1" outline="0" fieldPosition="0">
        <references count="2">
          <reference field="11" count="1" selected="0">
            <x v="401"/>
          </reference>
          <reference field="12" count="1">
            <x v="154"/>
          </reference>
        </references>
      </pivotArea>
    </format>
    <format dxfId="986">
      <pivotArea dataOnly="0" labelOnly="1" outline="0" fieldPosition="0">
        <references count="2">
          <reference field="11" count="1" selected="0">
            <x v="402"/>
          </reference>
          <reference field="12" count="1">
            <x v="120"/>
          </reference>
        </references>
      </pivotArea>
    </format>
    <format dxfId="985">
      <pivotArea dataOnly="0" labelOnly="1" outline="0" fieldPosition="0">
        <references count="2">
          <reference field="11" count="1" selected="0">
            <x v="404"/>
          </reference>
          <reference field="12" count="1">
            <x v="121"/>
          </reference>
        </references>
      </pivotArea>
    </format>
    <format dxfId="984">
      <pivotArea dataOnly="0" labelOnly="1" outline="0" fieldPosition="0">
        <references count="2">
          <reference field="11" count="1" selected="0">
            <x v="405"/>
          </reference>
          <reference field="12" count="1">
            <x v="137"/>
          </reference>
        </references>
      </pivotArea>
    </format>
    <format dxfId="983">
      <pivotArea dataOnly="0" labelOnly="1" outline="0" fieldPosition="0">
        <references count="2">
          <reference field="11" count="1" selected="0">
            <x v="406"/>
          </reference>
          <reference field="12" count="1">
            <x v="155"/>
          </reference>
        </references>
      </pivotArea>
    </format>
    <format dxfId="982">
      <pivotArea dataOnly="0" labelOnly="1" outline="0" fieldPosition="0">
        <references count="2">
          <reference field="11" count="1" selected="0">
            <x v="407"/>
          </reference>
          <reference field="12" count="1">
            <x v="50"/>
          </reference>
        </references>
      </pivotArea>
    </format>
    <format dxfId="981">
      <pivotArea dataOnly="0" labelOnly="1" outline="0" fieldPosition="0">
        <references count="2">
          <reference field="11" count="1" selected="0">
            <x v="408"/>
          </reference>
          <reference field="12" count="1">
            <x v="126"/>
          </reference>
        </references>
      </pivotArea>
    </format>
    <format dxfId="980">
      <pivotArea dataOnly="0" labelOnly="1" outline="0" fieldPosition="0">
        <references count="2">
          <reference field="11" count="1" selected="0">
            <x v="409"/>
          </reference>
          <reference field="12" count="1">
            <x v="26"/>
          </reference>
        </references>
      </pivotArea>
    </format>
    <format dxfId="979">
      <pivotArea dataOnly="0" labelOnly="1" outline="0" fieldPosition="0">
        <references count="2">
          <reference field="11" count="1" selected="0">
            <x v="411"/>
          </reference>
          <reference field="12" count="1">
            <x v="96"/>
          </reference>
        </references>
      </pivotArea>
    </format>
    <format dxfId="978">
      <pivotArea dataOnly="0" labelOnly="1" outline="0" fieldPosition="0">
        <references count="2">
          <reference field="11" count="1" selected="0">
            <x v="412"/>
          </reference>
          <reference field="12" count="1">
            <x v="95"/>
          </reference>
        </references>
      </pivotArea>
    </format>
    <format dxfId="977">
      <pivotArea dataOnly="0" labelOnly="1" outline="0" fieldPosition="0">
        <references count="2">
          <reference field="11" count="1" selected="0">
            <x v="413"/>
          </reference>
          <reference field="12" count="1">
            <x v="44"/>
          </reference>
        </references>
      </pivotArea>
    </format>
    <format dxfId="976">
      <pivotArea dataOnly="0" labelOnly="1" outline="0" fieldPosition="0">
        <references count="2">
          <reference field="11" count="1" selected="0">
            <x v="414"/>
          </reference>
          <reference field="12" count="1">
            <x v="88"/>
          </reference>
        </references>
      </pivotArea>
    </format>
    <format dxfId="975">
      <pivotArea dataOnly="0" labelOnly="1" outline="0" fieldPosition="0">
        <references count="2">
          <reference field="11" count="1" selected="0">
            <x v="415"/>
          </reference>
          <reference field="12" count="1">
            <x v="120"/>
          </reference>
        </references>
      </pivotArea>
    </format>
    <format dxfId="974">
      <pivotArea dataOnly="0" labelOnly="1" outline="0" fieldPosition="0">
        <references count="2">
          <reference field="11" count="1" selected="0">
            <x v="416"/>
          </reference>
          <reference field="12" count="1">
            <x v="52"/>
          </reference>
        </references>
      </pivotArea>
    </format>
    <format dxfId="973">
      <pivotArea dataOnly="0" labelOnly="1" outline="0" fieldPosition="0">
        <references count="2">
          <reference field="11" count="1" selected="0">
            <x v="417"/>
          </reference>
          <reference field="12" count="1">
            <x v="28"/>
          </reference>
        </references>
      </pivotArea>
    </format>
    <format dxfId="972">
      <pivotArea dataOnly="0" labelOnly="1" outline="0" fieldPosition="0">
        <references count="2">
          <reference field="11" count="1" selected="0">
            <x v="418"/>
          </reference>
          <reference field="12" count="1">
            <x v="147"/>
          </reference>
        </references>
      </pivotArea>
    </format>
    <format dxfId="971">
      <pivotArea dataOnly="0" labelOnly="1" outline="0" fieldPosition="0">
        <references count="2">
          <reference field="11" count="1" selected="0">
            <x v="419"/>
          </reference>
          <reference field="12" count="1">
            <x v="43"/>
          </reference>
        </references>
      </pivotArea>
    </format>
    <format dxfId="970">
      <pivotArea dataOnly="0" labelOnly="1" outline="0" fieldPosition="0">
        <references count="2">
          <reference field="11" count="1" selected="0">
            <x v="421"/>
          </reference>
          <reference field="12" count="1">
            <x v="143"/>
          </reference>
        </references>
      </pivotArea>
    </format>
    <format dxfId="969">
      <pivotArea dataOnly="0" labelOnly="1" outline="0" fieldPosition="0">
        <references count="2">
          <reference field="11" count="1" selected="0">
            <x v="422"/>
          </reference>
          <reference field="12" count="1">
            <x v="133"/>
          </reference>
        </references>
      </pivotArea>
    </format>
    <format dxfId="968">
      <pivotArea dataOnly="0" labelOnly="1" outline="0" fieldPosition="0">
        <references count="2">
          <reference field="11" count="1" selected="0">
            <x v="423"/>
          </reference>
          <reference field="12" count="1">
            <x v="24"/>
          </reference>
        </references>
      </pivotArea>
    </format>
    <format dxfId="967">
      <pivotArea dataOnly="0" labelOnly="1" outline="0" fieldPosition="0">
        <references count="2">
          <reference field="11" count="1" selected="0">
            <x v="424"/>
          </reference>
          <reference field="12" count="1">
            <x v="51"/>
          </reference>
        </references>
      </pivotArea>
    </format>
    <format dxfId="966">
      <pivotArea dataOnly="0" labelOnly="1" outline="0" fieldPosition="0">
        <references count="2">
          <reference field="11" count="1" selected="0">
            <x v="425"/>
          </reference>
          <reference field="12" count="1">
            <x v="83"/>
          </reference>
        </references>
      </pivotArea>
    </format>
    <format dxfId="965">
      <pivotArea dataOnly="0" labelOnly="1" outline="0" fieldPosition="0">
        <references count="2">
          <reference field="11" count="1" selected="0">
            <x v="426"/>
          </reference>
          <reference field="12" count="1">
            <x v="82"/>
          </reference>
        </references>
      </pivotArea>
    </format>
    <format dxfId="964">
      <pivotArea dataOnly="0" labelOnly="1" outline="0" fieldPosition="0">
        <references count="2">
          <reference field="11" count="1" selected="0">
            <x v="427"/>
          </reference>
          <reference field="12" count="1">
            <x v="161"/>
          </reference>
        </references>
      </pivotArea>
    </format>
    <format dxfId="963">
      <pivotArea dataOnly="0" labelOnly="1" outline="0" fieldPosition="0">
        <references count="2">
          <reference field="11" count="1" selected="0">
            <x v="428"/>
          </reference>
          <reference field="12" count="1">
            <x v="24"/>
          </reference>
        </references>
      </pivotArea>
    </format>
    <format dxfId="962">
      <pivotArea dataOnly="0" labelOnly="1" outline="0" fieldPosition="0">
        <references count="2">
          <reference field="11" count="1" selected="0">
            <x v="429"/>
          </reference>
          <reference field="12" count="1">
            <x v="43"/>
          </reference>
        </references>
      </pivotArea>
    </format>
    <format dxfId="961">
      <pivotArea dataOnly="0" labelOnly="1" outline="0" fieldPosition="0">
        <references count="2">
          <reference field="11" count="1" selected="0">
            <x v="430"/>
          </reference>
          <reference field="12" count="1">
            <x v="24"/>
          </reference>
        </references>
      </pivotArea>
    </format>
    <format dxfId="960">
      <pivotArea dataOnly="0" labelOnly="1" outline="0" fieldPosition="0">
        <references count="2">
          <reference field="11" count="1" selected="0">
            <x v="431"/>
          </reference>
          <reference field="12" count="1">
            <x v="120"/>
          </reference>
        </references>
      </pivotArea>
    </format>
    <format dxfId="959">
      <pivotArea dataOnly="0" labelOnly="1" outline="0" fieldPosition="0">
        <references count="2">
          <reference field="11" count="1" selected="0">
            <x v="432"/>
          </reference>
          <reference field="12" count="1">
            <x v="109"/>
          </reference>
        </references>
      </pivotArea>
    </format>
    <format dxfId="958">
      <pivotArea dataOnly="0" labelOnly="1" outline="0" fieldPosition="0">
        <references count="2">
          <reference field="11" count="1" selected="0">
            <x v="433"/>
          </reference>
          <reference field="12" count="1">
            <x v="51"/>
          </reference>
        </references>
      </pivotArea>
    </format>
    <format dxfId="957">
      <pivotArea dataOnly="0" labelOnly="1" outline="0" fieldPosition="0">
        <references count="2">
          <reference field="11" count="1" selected="0">
            <x v="434"/>
          </reference>
          <reference field="12" count="1">
            <x v="160"/>
          </reference>
        </references>
      </pivotArea>
    </format>
    <format dxfId="956">
      <pivotArea dataOnly="0" labelOnly="1" outline="0" fieldPosition="0">
        <references count="2">
          <reference field="11" count="1" selected="0">
            <x v="435"/>
          </reference>
          <reference field="12" count="1">
            <x v="94"/>
          </reference>
        </references>
      </pivotArea>
    </format>
    <format dxfId="955">
      <pivotArea dataOnly="0" labelOnly="1" outline="0" fieldPosition="0">
        <references count="2">
          <reference field="11" count="1" selected="0">
            <x v="436"/>
          </reference>
          <reference field="12" count="1">
            <x v="77"/>
          </reference>
        </references>
      </pivotArea>
    </format>
    <format dxfId="954">
      <pivotArea dataOnly="0" labelOnly="1" outline="0" fieldPosition="0">
        <references count="2">
          <reference field="11" count="1" selected="0">
            <x v="437"/>
          </reference>
          <reference field="12" count="1">
            <x v="58"/>
          </reference>
        </references>
      </pivotArea>
    </format>
    <format dxfId="953">
      <pivotArea dataOnly="0" labelOnly="1" outline="0" fieldPosition="0">
        <references count="2">
          <reference field="11" count="1" selected="0">
            <x v="438"/>
          </reference>
          <reference field="12" count="1">
            <x v="147"/>
          </reference>
        </references>
      </pivotArea>
    </format>
    <format dxfId="952">
      <pivotArea dataOnly="0" labelOnly="1" outline="0" fieldPosition="0">
        <references count="2">
          <reference field="11" count="1" selected="0">
            <x v="439"/>
          </reference>
          <reference field="12" count="1">
            <x v="24"/>
          </reference>
        </references>
      </pivotArea>
    </format>
    <format dxfId="951">
      <pivotArea dataOnly="0" labelOnly="1" outline="0" fieldPosition="0">
        <references count="2">
          <reference field="11" count="1" selected="0">
            <x v="441"/>
          </reference>
          <reference field="12" count="1">
            <x v="74"/>
          </reference>
        </references>
      </pivotArea>
    </format>
    <format dxfId="950">
      <pivotArea dataOnly="0" labelOnly="1" outline="0" fieldPosition="0">
        <references count="2">
          <reference field="11" count="1" selected="0">
            <x v="442"/>
          </reference>
          <reference field="12" count="1">
            <x v="43"/>
          </reference>
        </references>
      </pivotArea>
    </format>
    <format dxfId="949">
      <pivotArea dataOnly="0" labelOnly="1" outline="0" fieldPosition="0">
        <references count="2">
          <reference field="11" count="1" selected="0">
            <x v="443"/>
          </reference>
          <reference field="12" count="1">
            <x v="147"/>
          </reference>
        </references>
      </pivotArea>
    </format>
    <format dxfId="948">
      <pivotArea dataOnly="0" labelOnly="1" outline="0" fieldPosition="0">
        <references count="2">
          <reference field="11" count="1" selected="0">
            <x v="444"/>
          </reference>
          <reference field="12" count="1">
            <x v="58"/>
          </reference>
        </references>
      </pivotArea>
    </format>
    <format dxfId="947">
      <pivotArea dataOnly="0" labelOnly="1" outline="0" fieldPosition="0">
        <references count="2">
          <reference field="11" count="1" selected="0">
            <x v="445"/>
          </reference>
          <reference field="12" count="1">
            <x v="116"/>
          </reference>
        </references>
      </pivotArea>
    </format>
    <format dxfId="946">
      <pivotArea dataOnly="0" labelOnly="1" outline="0" fieldPosition="0">
        <references count="2">
          <reference field="11" count="1" selected="0">
            <x v="446"/>
          </reference>
          <reference field="12" count="1">
            <x v="147"/>
          </reference>
        </references>
      </pivotArea>
    </format>
    <format dxfId="945">
      <pivotArea dataOnly="0" labelOnly="1" outline="0" fieldPosition="0">
        <references count="2">
          <reference field="11" count="1" selected="0">
            <x v="448"/>
          </reference>
          <reference field="12" count="1">
            <x v="126"/>
          </reference>
        </references>
      </pivotArea>
    </format>
    <format dxfId="944">
      <pivotArea dataOnly="0" labelOnly="1" outline="0" fieldPosition="0">
        <references count="2">
          <reference field="11" count="1" selected="0">
            <x v="449"/>
          </reference>
          <reference field="12" count="1">
            <x v="37"/>
          </reference>
        </references>
      </pivotArea>
    </format>
    <format dxfId="943">
      <pivotArea dataOnly="0" labelOnly="1" outline="0" fieldPosition="0">
        <references count="2">
          <reference field="11" count="1" selected="0">
            <x v="450"/>
          </reference>
          <reference field="12" count="1">
            <x v="4"/>
          </reference>
        </references>
      </pivotArea>
    </format>
    <format dxfId="942">
      <pivotArea dataOnly="0" labelOnly="1" outline="0" fieldPosition="0">
        <references count="2">
          <reference field="11" count="1" selected="0">
            <x v="451"/>
          </reference>
          <reference field="12" count="1">
            <x v="147"/>
          </reference>
        </references>
      </pivotArea>
    </format>
    <format dxfId="941">
      <pivotArea dataOnly="0" labelOnly="1" outline="0" fieldPosition="0">
        <references count="2">
          <reference field="11" count="1" selected="0">
            <x v="452"/>
          </reference>
          <reference field="12" count="1">
            <x v="28"/>
          </reference>
        </references>
      </pivotArea>
    </format>
    <format dxfId="940">
      <pivotArea dataOnly="0" labelOnly="1" outline="0" fieldPosition="0">
        <references count="2">
          <reference field="11" count="1" selected="0">
            <x v="453"/>
          </reference>
          <reference field="12" count="1">
            <x v="126"/>
          </reference>
        </references>
      </pivotArea>
    </format>
    <format dxfId="939">
      <pivotArea dataOnly="0" labelOnly="1" outline="0" fieldPosition="0">
        <references count="2">
          <reference field="11" count="1" selected="0">
            <x v="454"/>
          </reference>
          <reference field="12" count="1">
            <x v="52"/>
          </reference>
        </references>
      </pivotArea>
    </format>
    <format dxfId="938">
      <pivotArea dataOnly="0" labelOnly="1" outline="0" fieldPosition="0">
        <references count="2">
          <reference field="11" count="1" selected="0">
            <x v="455"/>
          </reference>
          <reference field="12" count="1">
            <x v="126"/>
          </reference>
        </references>
      </pivotArea>
    </format>
    <format dxfId="937">
      <pivotArea dataOnly="0" labelOnly="1" outline="0" fieldPosition="0">
        <references count="2">
          <reference field="11" count="1" selected="0">
            <x v="456"/>
          </reference>
          <reference field="12" count="1">
            <x v="58"/>
          </reference>
        </references>
      </pivotArea>
    </format>
    <format dxfId="936">
      <pivotArea dataOnly="0" labelOnly="1" outline="0" fieldPosition="0">
        <references count="2">
          <reference field="11" count="1" selected="0">
            <x v="457"/>
          </reference>
          <reference field="12" count="1">
            <x v="20"/>
          </reference>
        </references>
      </pivotArea>
    </format>
    <format dxfId="935">
      <pivotArea dataOnly="0" labelOnly="1" outline="0" fieldPosition="0">
        <references count="2">
          <reference field="11" count="1" selected="0">
            <x v="458"/>
          </reference>
          <reference field="12" count="1">
            <x v="126"/>
          </reference>
        </references>
      </pivotArea>
    </format>
    <format dxfId="934">
      <pivotArea dataOnly="0" labelOnly="1" outline="0" fieldPosition="0">
        <references count="2">
          <reference field="11" count="1" selected="0">
            <x v="460"/>
          </reference>
          <reference field="12" count="1">
            <x v="124"/>
          </reference>
        </references>
      </pivotArea>
    </format>
    <format dxfId="933">
      <pivotArea dataOnly="0" labelOnly="1" outline="0" fieldPosition="0">
        <references count="2">
          <reference field="11" count="1" selected="0">
            <x v="461"/>
          </reference>
          <reference field="12" count="1">
            <x v="58"/>
          </reference>
        </references>
      </pivotArea>
    </format>
    <format dxfId="932">
      <pivotArea dataOnly="0" labelOnly="1" outline="0" fieldPosition="0">
        <references count="2">
          <reference field="11" count="1" selected="0">
            <x v="462"/>
          </reference>
          <reference field="12" count="1">
            <x v="52"/>
          </reference>
        </references>
      </pivotArea>
    </format>
    <format dxfId="931">
      <pivotArea dataOnly="0" labelOnly="1" outline="0" fieldPosition="0">
        <references count="2">
          <reference field="11" count="1" selected="0">
            <x v="463"/>
          </reference>
          <reference field="12" count="1">
            <x v="147"/>
          </reference>
        </references>
      </pivotArea>
    </format>
    <format dxfId="930">
      <pivotArea dataOnly="0" labelOnly="1" outline="0" fieldPosition="0">
        <references count="2">
          <reference field="11" count="1" selected="0">
            <x v="464"/>
          </reference>
          <reference field="12" count="1">
            <x v="28"/>
          </reference>
        </references>
      </pivotArea>
    </format>
    <format dxfId="929">
      <pivotArea dataOnly="0" labelOnly="1" outline="0" fieldPosition="0">
        <references count="2">
          <reference field="11" count="1" selected="0">
            <x v="465"/>
          </reference>
          <reference field="12" count="1">
            <x v="112"/>
          </reference>
        </references>
      </pivotArea>
    </format>
    <format dxfId="928">
      <pivotArea dataOnly="0" labelOnly="1" outline="0" fieldPosition="0">
        <references count="2">
          <reference field="11" count="1" selected="0">
            <x v="466"/>
          </reference>
          <reference field="12" count="1">
            <x v="116"/>
          </reference>
        </references>
      </pivotArea>
    </format>
    <format dxfId="927">
      <pivotArea dataOnly="0" labelOnly="1" outline="0" fieldPosition="0">
        <references count="2">
          <reference field="11" count="1" selected="0">
            <x v="467"/>
          </reference>
          <reference field="12" count="1">
            <x v="147"/>
          </reference>
        </references>
      </pivotArea>
    </format>
    <format dxfId="926">
      <pivotArea dataOnly="0" labelOnly="1" outline="0" fieldPosition="0">
        <references count="2">
          <reference field="11" count="1" selected="0">
            <x v="468"/>
          </reference>
          <reference field="12" count="1">
            <x v="92"/>
          </reference>
        </references>
      </pivotArea>
    </format>
    <format dxfId="925">
      <pivotArea dataOnly="0" labelOnly="1" outline="0" fieldPosition="0">
        <references count="2">
          <reference field="11" count="1" selected="0">
            <x v="469"/>
          </reference>
          <reference field="12" count="1">
            <x v="79"/>
          </reference>
        </references>
      </pivotArea>
    </format>
    <format dxfId="924">
      <pivotArea dataOnly="0" labelOnly="1" outline="0" fieldPosition="0">
        <references count="2">
          <reference field="11" count="1" selected="0">
            <x v="470"/>
          </reference>
          <reference field="12" count="1">
            <x v="147"/>
          </reference>
        </references>
      </pivotArea>
    </format>
    <format dxfId="923">
      <pivotArea dataOnly="0" labelOnly="1" outline="0" fieldPosition="0">
        <references count="2">
          <reference field="11" count="1" selected="0">
            <x v="471"/>
          </reference>
          <reference field="12" count="1">
            <x v="11"/>
          </reference>
        </references>
      </pivotArea>
    </format>
    <format dxfId="922">
      <pivotArea dataOnly="0" labelOnly="1" outline="0" fieldPosition="0">
        <references count="2">
          <reference field="11" count="1" selected="0">
            <x v="472"/>
          </reference>
          <reference field="12" count="1">
            <x v="75"/>
          </reference>
        </references>
      </pivotArea>
    </format>
    <format dxfId="921">
      <pivotArea dataOnly="0" labelOnly="1" outline="0" fieldPosition="0">
        <references count="2">
          <reference field="11" count="1" selected="0">
            <x v="473"/>
          </reference>
          <reference field="12" count="1">
            <x v="55"/>
          </reference>
        </references>
      </pivotArea>
    </format>
    <format dxfId="920">
      <pivotArea dataOnly="0" labelOnly="1" outline="0" fieldPosition="0">
        <references count="2">
          <reference field="11" count="1" selected="0">
            <x v="474"/>
          </reference>
          <reference field="12" count="1">
            <x v="49"/>
          </reference>
        </references>
      </pivotArea>
    </format>
    <format dxfId="919">
      <pivotArea dataOnly="0" labelOnly="1" outline="0" fieldPosition="0">
        <references count="2">
          <reference field="11" count="1" selected="0">
            <x v="475"/>
          </reference>
          <reference field="12" count="1">
            <x v="126"/>
          </reference>
        </references>
      </pivotArea>
    </format>
    <format dxfId="918">
      <pivotArea dataOnly="0" labelOnly="1" outline="0" fieldPosition="0">
        <references count="2">
          <reference field="11" count="1" selected="0">
            <x v="476"/>
          </reference>
          <reference field="12" count="1">
            <x v="19"/>
          </reference>
        </references>
      </pivotArea>
    </format>
    <format dxfId="917">
      <pivotArea dataOnly="0" labelOnly="1" outline="0" fieldPosition="0">
        <references count="2">
          <reference field="11" count="1" selected="0">
            <x v="477"/>
          </reference>
          <reference field="12" count="1">
            <x v="70"/>
          </reference>
        </references>
      </pivotArea>
    </format>
    <format dxfId="916">
      <pivotArea dataOnly="0" labelOnly="1" outline="0" fieldPosition="0">
        <references count="2">
          <reference field="11" count="1" selected="0">
            <x v="478"/>
          </reference>
          <reference field="12" count="1">
            <x v="90"/>
          </reference>
        </references>
      </pivotArea>
    </format>
    <format dxfId="915">
      <pivotArea dataOnly="0" labelOnly="1" outline="0" fieldPosition="0">
        <references count="2">
          <reference field="11" count="1" selected="0">
            <x v="479"/>
          </reference>
          <reference field="12" count="1">
            <x v="129"/>
          </reference>
        </references>
      </pivotArea>
    </format>
    <format dxfId="914">
      <pivotArea dataOnly="0" labelOnly="1" outline="0" fieldPosition="0">
        <references count="2">
          <reference field="11" count="1" selected="0">
            <x v="480"/>
          </reference>
          <reference field="12" count="1">
            <x v="126"/>
          </reference>
        </references>
      </pivotArea>
    </format>
    <format dxfId="913">
      <pivotArea dataOnly="0" labelOnly="1" outline="0" fieldPosition="0">
        <references count="2">
          <reference field="11" count="1" selected="0">
            <x v="481"/>
          </reference>
          <reference field="12" count="1">
            <x v="51"/>
          </reference>
        </references>
      </pivotArea>
    </format>
    <format dxfId="912">
      <pivotArea dataOnly="0" labelOnly="1" outline="0" fieldPosition="0">
        <references count="2">
          <reference field="11" count="1" selected="0">
            <x v="482"/>
          </reference>
          <reference field="12" count="1">
            <x v="126"/>
          </reference>
        </references>
      </pivotArea>
    </format>
    <format dxfId="911">
      <pivotArea dataOnly="0" labelOnly="1" outline="0" fieldPosition="0">
        <references count="2">
          <reference field="11" count="1" selected="0">
            <x v="483"/>
          </reference>
          <reference field="12" count="1">
            <x v="97"/>
          </reference>
        </references>
      </pivotArea>
    </format>
    <format dxfId="910">
      <pivotArea dataOnly="0" labelOnly="1" outline="0" fieldPosition="0">
        <references count="2">
          <reference field="11" count="1" selected="0">
            <x v="484"/>
          </reference>
          <reference field="12" count="1">
            <x v="24"/>
          </reference>
        </references>
      </pivotArea>
    </format>
    <format dxfId="909">
      <pivotArea dataOnly="0" labelOnly="1" outline="0" fieldPosition="0">
        <references count="2">
          <reference field="11" count="1" selected="0">
            <x v="485"/>
          </reference>
          <reference field="12" count="1">
            <x v="129"/>
          </reference>
        </references>
      </pivotArea>
    </format>
    <format dxfId="908">
      <pivotArea dataOnly="0" labelOnly="1" outline="0" fieldPosition="0">
        <references count="2">
          <reference field="11" count="1" selected="0">
            <x v="486"/>
          </reference>
          <reference field="12" count="1">
            <x v="58"/>
          </reference>
        </references>
      </pivotArea>
    </format>
    <format dxfId="907">
      <pivotArea dataOnly="0" labelOnly="1" outline="0" fieldPosition="0">
        <references count="2">
          <reference field="11" count="1" selected="0">
            <x v="487"/>
          </reference>
          <reference field="12" count="1">
            <x v="129"/>
          </reference>
        </references>
      </pivotArea>
    </format>
    <format dxfId="906">
      <pivotArea dataOnly="0" labelOnly="1" outline="0" fieldPosition="0">
        <references count="2">
          <reference field="11" count="1" selected="0">
            <x v="488"/>
          </reference>
          <reference field="12" count="1">
            <x v="5"/>
          </reference>
        </references>
      </pivotArea>
    </format>
    <format dxfId="905">
      <pivotArea dataOnly="0" labelOnly="1" outline="0" fieldPosition="0">
        <references count="2">
          <reference field="11" count="1" selected="0">
            <x v="489"/>
          </reference>
          <reference field="12" count="1">
            <x v="123"/>
          </reference>
        </references>
      </pivotArea>
    </format>
    <format dxfId="904">
      <pivotArea dataOnly="0" labelOnly="1" outline="0" fieldPosition="0">
        <references count="2">
          <reference field="11" count="1" selected="0">
            <x v="490"/>
          </reference>
          <reference field="12" count="1">
            <x v="83"/>
          </reference>
        </references>
      </pivotArea>
    </format>
    <format dxfId="903">
      <pivotArea dataOnly="0" labelOnly="1" outline="0" fieldPosition="0">
        <references count="2">
          <reference field="11" count="1" selected="0">
            <x v="491"/>
          </reference>
          <reference field="12" count="1">
            <x v="37"/>
          </reference>
        </references>
      </pivotArea>
    </format>
    <format dxfId="902">
      <pivotArea dataOnly="0" labelOnly="1" outline="0" fieldPosition="0">
        <references count="2">
          <reference field="11" count="1" selected="0">
            <x v="492"/>
          </reference>
          <reference field="12" count="1">
            <x v="94"/>
          </reference>
        </references>
      </pivotArea>
    </format>
    <format dxfId="901">
      <pivotArea dataOnly="0" labelOnly="1" outline="0" fieldPosition="0">
        <references count="2">
          <reference field="11" count="1" selected="0">
            <x v="493"/>
          </reference>
          <reference field="12" count="1">
            <x v="145"/>
          </reference>
        </references>
      </pivotArea>
    </format>
    <format dxfId="900">
      <pivotArea dataOnly="0" labelOnly="1" outline="0" fieldPosition="0">
        <references count="2">
          <reference field="11" count="1" selected="0">
            <x v="494"/>
          </reference>
          <reference field="12" count="1">
            <x v="149"/>
          </reference>
        </references>
      </pivotArea>
    </format>
    <format dxfId="899">
      <pivotArea dataOnly="0" labelOnly="1" outline="0" fieldPosition="0">
        <references count="2">
          <reference field="11" count="1" selected="0">
            <x v="495"/>
          </reference>
          <reference field="12" count="1">
            <x v="96"/>
          </reference>
        </references>
      </pivotArea>
    </format>
    <format dxfId="898">
      <pivotArea dataOnly="0" labelOnly="1" outline="0" fieldPosition="0">
        <references count="2">
          <reference field="11" count="1" selected="0">
            <x v="496"/>
          </reference>
          <reference field="12" count="1">
            <x v="43"/>
          </reference>
        </references>
      </pivotArea>
    </format>
    <format dxfId="897">
      <pivotArea dataOnly="0" labelOnly="1" outline="0" fieldPosition="0">
        <references count="2">
          <reference field="11" count="1" selected="0">
            <x v="497"/>
          </reference>
          <reference field="12" count="1">
            <x v="129"/>
          </reference>
        </references>
      </pivotArea>
    </format>
    <format dxfId="896">
      <pivotArea dataOnly="0" labelOnly="1" outline="0" fieldPosition="0">
        <references count="2">
          <reference field="11" count="1" selected="0">
            <x v="498"/>
          </reference>
          <reference field="12" count="1">
            <x v="147"/>
          </reference>
        </references>
      </pivotArea>
    </format>
    <format dxfId="895">
      <pivotArea dataOnly="0" labelOnly="1" outline="0" fieldPosition="0">
        <references count="2">
          <reference field="11" count="1" selected="0">
            <x v="499"/>
          </reference>
          <reference field="12" count="1">
            <x v="24"/>
          </reference>
        </references>
      </pivotArea>
    </format>
    <format dxfId="894">
      <pivotArea dataOnly="0" labelOnly="1" outline="0" fieldPosition="0">
        <references count="2">
          <reference field="11" count="1" selected="0">
            <x v="500"/>
          </reference>
          <reference field="12" count="1">
            <x v="20"/>
          </reference>
        </references>
      </pivotArea>
    </format>
    <format dxfId="893">
      <pivotArea dataOnly="0" labelOnly="1" outline="0" fieldPosition="0">
        <references count="2">
          <reference field="11" count="1" selected="0">
            <x v="501"/>
          </reference>
          <reference field="12" count="1">
            <x v="128"/>
          </reference>
        </references>
      </pivotArea>
    </format>
    <format dxfId="892">
      <pivotArea dataOnly="0" labelOnly="1" outline="0" fieldPosition="0">
        <references count="2">
          <reference field="11" count="1" selected="0">
            <x v="502"/>
          </reference>
          <reference field="12" count="1">
            <x v="147"/>
          </reference>
        </references>
      </pivotArea>
    </format>
    <format dxfId="891">
      <pivotArea dataOnly="0" labelOnly="1" outline="0" fieldPosition="0">
        <references count="2">
          <reference field="11" count="1" selected="0">
            <x v="503"/>
          </reference>
          <reference field="12" count="1">
            <x v="7"/>
          </reference>
        </references>
      </pivotArea>
    </format>
    <format dxfId="890">
      <pivotArea dataOnly="0" labelOnly="1" outline="0" fieldPosition="0">
        <references count="2">
          <reference field="11" count="1" selected="0">
            <x v="504"/>
          </reference>
          <reference field="12" count="1">
            <x v="24"/>
          </reference>
        </references>
      </pivotArea>
    </format>
    <format dxfId="889">
      <pivotArea dataOnly="0" labelOnly="1" outline="0" fieldPosition="0">
        <references count="2">
          <reference field="11" count="1" selected="0">
            <x v="505"/>
          </reference>
          <reference field="12" count="1">
            <x v="147"/>
          </reference>
        </references>
      </pivotArea>
    </format>
    <format dxfId="888">
      <pivotArea dataOnly="0" labelOnly="1" outline="0" fieldPosition="0">
        <references count="2">
          <reference field="11" count="1" selected="0">
            <x v="506"/>
          </reference>
          <reference field="12" count="1">
            <x v="126"/>
          </reference>
        </references>
      </pivotArea>
    </format>
    <format dxfId="887">
      <pivotArea dataOnly="0" labelOnly="1" outline="0" fieldPosition="0">
        <references count="2">
          <reference field="11" count="1" selected="0">
            <x v="507"/>
          </reference>
          <reference field="12" count="1">
            <x v="147"/>
          </reference>
        </references>
      </pivotArea>
    </format>
    <format dxfId="886">
      <pivotArea dataOnly="0" labelOnly="1" outline="0" fieldPosition="0">
        <references count="2">
          <reference field="11" count="1" selected="0">
            <x v="508"/>
          </reference>
          <reference field="12" count="1">
            <x v="96"/>
          </reference>
        </references>
      </pivotArea>
    </format>
    <format dxfId="885">
      <pivotArea dataOnly="0" labelOnly="1" outline="0" fieldPosition="0">
        <references count="2">
          <reference field="11" count="1" selected="0">
            <x v="509"/>
          </reference>
          <reference field="12" count="1">
            <x v="126"/>
          </reference>
        </references>
      </pivotArea>
    </format>
    <format dxfId="884">
      <pivotArea dataOnly="0" labelOnly="1" outline="0" fieldPosition="0">
        <references count="2">
          <reference field="11" count="1" selected="0">
            <x v="510"/>
          </reference>
          <reference field="12" count="1">
            <x v="20"/>
          </reference>
        </references>
      </pivotArea>
    </format>
    <format dxfId="883">
      <pivotArea dataOnly="0" labelOnly="1" outline="0" fieldPosition="0">
        <references count="2">
          <reference field="11" count="1" selected="0">
            <x v="511"/>
          </reference>
          <reference field="12" count="1">
            <x v="154"/>
          </reference>
        </references>
      </pivotArea>
    </format>
    <format dxfId="882">
      <pivotArea dataOnly="0" labelOnly="1" outline="0" fieldPosition="0">
        <references count="2">
          <reference field="11" count="1" selected="0">
            <x v="512"/>
          </reference>
          <reference field="12" count="1">
            <x v="160"/>
          </reference>
        </references>
      </pivotArea>
    </format>
    <format dxfId="881">
      <pivotArea dataOnly="0" labelOnly="1" outline="0" fieldPosition="0">
        <references count="2">
          <reference field="11" count="1" selected="0">
            <x v="513"/>
          </reference>
          <reference field="12" count="1">
            <x v="43"/>
          </reference>
        </references>
      </pivotArea>
    </format>
    <format dxfId="880">
      <pivotArea dataOnly="0" labelOnly="1" outline="0" fieldPosition="0">
        <references count="2">
          <reference field="11" count="1" selected="0">
            <x v="514"/>
          </reference>
          <reference field="12" count="1">
            <x v="19"/>
          </reference>
        </references>
      </pivotArea>
    </format>
    <format dxfId="879">
      <pivotArea dataOnly="0" labelOnly="1" outline="0" fieldPosition="0">
        <references count="2">
          <reference field="11" count="1" selected="0">
            <x v="515"/>
          </reference>
          <reference field="12" count="1">
            <x v="147"/>
          </reference>
        </references>
      </pivotArea>
    </format>
    <format dxfId="878">
      <pivotArea dataOnly="0" labelOnly="1" outline="0" fieldPosition="0">
        <references count="2">
          <reference field="11" count="1" selected="0">
            <x v="516"/>
          </reference>
          <reference field="12" count="1">
            <x v="19"/>
          </reference>
        </references>
      </pivotArea>
    </format>
    <format dxfId="877">
      <pivotArea dataOnly="0" labelOnly="1" outline="0" fieldPosition="0">
        <references count="2">
          <reference field="11" count="1" selected="0">
            <x v="517"/>
          </reference>
          <reference field="12" count="1">
            <x v="126"/>
          </reference>
        </references>
      </pivotArea>
    </format>
    <format dxfId="876">
      <pivotArea dataOnly="0" labelOnly="1" outline="0" fieldPosition="0">
        <references count="2">
          <reference field="11" count="1" selected="0">
            <x v="518"/>
          </reference>
          <reference field="12" count="1">
            <x v="148"/>
          </reference>
        </references>
      </pivotArea>
    </format>
    <format dxfId="875">
      <pivotArea dataOnly="0" labelOnly="1" outline="0" fieldPosition="0">
        <references count="2">
          <reference field="11" count="1" selected="0">
            <x v="519"/>
          </reference>
          <reference field="12" count="1">
            <x v="154"/>
          </reference>
        </references>
      </pivotArea>
    </format>
    <format dxfId="874">
      <pivotArea dataOnly="0" labelOnly="1" outline="0" fieldPosition="0">
        <references count="2">
          <reference field="11" count="1" selected="0">
            <x v="520"/>
          </reference>
          <reference field="12" count="1">
            <x v="159"/>
          </reference>
        </references>
      </pivotArea>
    </format>
    <format dxfId="873">
      <pivotArea dataOnly="0" labelOnly="1" outline="0" fieldPosition="0">
        <references count="2">
          <reference field="11" count="1" selected="0">
            <x v="521"/>
          </reference>
          <reference field="12" count="1">
            <x v="116"/>
          </reference>
        </references>
      </pivotArea>
    </format>
    <format dxfId="872">
      <pivotArea dataOnly="0" labelOnly="1" outline="0" fieldPosition="0">
        <references count="2">
          <reference field="11" count="1" selected="0">
            <x v="522"/>
          </reference>
          <reference field="12" count="1">
            <x v="78"/>
          </reference>
        </references>
      </pivotArea>
    </format>
    <format dxfId="871">
      <pivotArea dataOnly="0" labelOnly="1" outline="0" fieldPosition="0">
        <references count="2">
          <reference field="11" count="1" selected="0">
            <x v="523"/>
          </reference>
          <reference field="12" count="1">
            <x v="28"/>
          </reference>
        </references>
      </pivotArea>
    </format>
    <format dxfId="870">
      <pivotArea dataOnly="0" labelOnly="1" outline="0" fieldPosition="0">
        <references count="2">
          <reference field="11" count="1" selected="0">
            <x v="524"/>
          </reference>
          <reference field="12" count="1">
            <x v="61"/>
          </reference>
        </references>
      </pivotArea>
    </format>
    <format dxfId="869">
      <pivotArea dataOnly="0" labelOnly="1" outline="0" fieldPosition="0">
        <references count="2">
          <reference field="11" count="1" selected="0">
            <x v="525"/>
          </reference>
          <reference field="12" count="1">
            <x v="24"/>
          </reference>
        </references>
      </pivotArea>
    </format>
    <format dxfId="868">
      <pivotArea dataOnly="0" labelOnly="1" outline="0" fieldPosition="0">
        <references count="2">
          <reference field="11" count="1" selected="0">
            <x v="526"/>
          </reference>
          <reference field="12" count="1">
            <x v="129"/>
          </reference>
        </references>
      </pivotArea>
    </format>
    <format dxfId="867">
      <pivotArea dataOnly="0" labelOnly="1" outline="0" fieldPosition="0">
        <references count="2">
          <reference field="11" count="1" selected="0">
            <x v="527"/>
          </reference>
          <reference field="12" count="1">
            <x v="126"/>
          </reference>
        </references>
      </pivotArea>
    </format>
    <format dxfId="866">
      <pivotArea dataOnly="0" labelOnly="1" outline="0" fieldPosition="0">
        <references count="2">
          <reference field="11" count="1" selected="0">
            <x v="528"/>
          </reference>
          <reference field="12" count="1">
            <x v="147"/>
          </reference>
        </references>
      </pivotArea>
    </format>
    <format dxfId="865">
      <pivotArea dataOnly="0" labelOnly="1" outline="0" fieldPosition="0">
        <references count="2">
          <reference field="11" count="1" selected="0">
            <x v="529"/>
          </reference>
          <reference field="12" count="1">
            <x v="69"/>
          </reference>
        </references>
      </pivotArea>
    </format>
    <format dxfId="864">
      <pivotArea dataOnly="0" labelOnly="1" outline="0" fieldPosition="0">
        <references count="2">
          <reference field="11" count="1" selected="0">
            <x v="530"/>
          </reference>
          <reference field="12" count="1">
            <x v="147"/>
          </reference>
        </references>
      </pivotArea>
    </format>
    <format dxfId="863">
      <pivotArea dataOnly="0" labelOnly="1" outline="0" fieldPosition="0">
        <references count="2">
          <reference field="11" count="1" selected="0">
            <x v="531"/>
          </reference>
          <reference field="12" count="1">
            <x v="79"/>
          </reference>
        </references>
      </pivotArea>
    </format>
    <format dxfId="862">
      <pivotArea dataOnly="0" labelOnly="1" outline="0" fieldPosition="0">
        <references count="2">
          <reference field="11" count="1" selected="0">
            <x v="532"/>
          </reference>
          <reference field="12" count="1">
            <x v="128"/>
          </reference>
        </references>
      </pivotArea>
    </format>
    <format dxfId="861">
      <pivotArea dataOnly="0" labelOnly="1" outline="0" fieldPosition="0">
        <references count="2">
          <reference field="11" count="1" selected="0">
            <x v="533"/>
          </reference>
          <reference field="12" count="1">
            <x v="120"/>
          </reference>
        </references>
      </pivotArea>
    </format>
    <format dxfId="860">
      <pivotArea dataOnly="0" labelOnly="1" outline="0" fieldPosition="0">
        <references count="2">
          <reference field="11" count="1" selected="0">
            <x v="534"/>
          </reference>
          <reference field="12" count="1">
            <x v="52"/>
          </reference>
        </references>
      </pivotArea>
    </format>
    <format dxfId="859">
      <pivotArea dataOnly="0" labelOnly="1" outline="0" fieldPosition="0">
        <references count="2">
          <reference field="11" count="1" selected="0">
            <x v="535"/>
          </reference>
          <reference field="12" count="1">
            <x v="24"/>
          </reference>
        </references>
      </pivotArea>
    </format>
    <format dxfId="858">
      <pivotArea dataOnly="0" labelOnly="1" outline="0" fieldPosition="0">
        <references count="2">
          <reference field="11" count="1" selected="0">
            <x v="536"/>
          </reference>
          <reference field="12" count="1">
            <x v="79"/>
          </reference>
        </references>
      </pivotArea>
    </format>
    <format dxfId="857">
      <pivotArea dataOnly="0" labelOnly="1" outline="0" fieldPosition="0">
        <references count="2">
          <reference field="11" count="1" selected="0">
            <x v="537"/>
          </reference>
          <reference field="12" count="1">
            <x v="119"/>
          </reference>
        </references>
      </pivotArea>
    </format>
    <format dxfId="856">
      <pivotArea dataOnly="0" labelOnly="1" outline="0" fieldPosition="0">
        <references count="2">
          <reference field="11" count="1" selected="0">
            <x v="538"/>
          </reference>
          <reference field="12" count="1">
            <x v="147"/>
          </reference>
        </references>
      </pivotArea>
    </format>
    <format dxfId="855">
      <pivotArea dataOnly="0" labelOnly="1" outline="0" fieldPosition="0">
        <references count="2">
          <reference field="11" count="1" selected="0">
            <x v="539"/>
          </reference>
          <reference field="12" count="1">
            <x v="7"/>
          </reference>
        </references>
      </pivotArea>
    </format>
    <format dxfId="854">
      <pivotArea dataOnly="0" labelOnly="1" outline="0" fieldPosition="0">
        <references count="2">
          <reference field="11" count="1" selected="0">
            <x v="540"/>
          </reference>
          <reference field="12" count="1">
            <x v="126"/>
          </reference>
        </references>
      </pivotArea>
    </format>
    <format dxfId="853">
      <pivotArea dataOnly="0" labelOnly="1" outline="0" fieldPosition="0">
        <references count="2">
          <reference field="11" count="1" selected="0">
            <x v="542"/>
          </reference>
          <reference field="12" count="1">
            <x v="72"/>
          </reference>
        </references>
      </pivotArea>
    </format>
    <format dxfId="852">
      <pivotArea dataOnly="0" labelOnly="1" outline="0" fieldPosition="0">
        <references count="2">
          <reference field="11" count="1" selected="0">
            <x v="543"/>
          </reference>
          <reference field="12" count="1">
            <x v="116"/>
          </reference>
        </references>
      </pivotArea>
    </format>
    <format dxfId="851">
      <pivotArea dataOnly="0" labelOnly="1" outline="0" fieldPosition="0">
        <references count="2">
          <reference field="11" count="1" selected="0">
            <x v="544"/>
          </reference>
          <reference field="12" count="1">
            <x v="7"/>
          </reference>
        </references>
      </pivotArea>
    </format>
    <format dxfId="850">
      <pivotArea dataOnly="0" labelOnly="1" outline="0" fieldPosition="0">
        <references count="2">
          <reference field="11" count="1" selected="0">
            <x v="545"/>
          </reference>
          <reference field="12" count="1">
            <x v="147"/>
          </reference>
        </references>
      </pivotArea>
    </format>
    <format dxfId="849">
      <pivotArea dataOnly="0" labelOnly="1" outline="0" fieldPosition="0">
        <references count="2">
          <reference field="11" count="1" selected="0">
            <x v="546"/>
          </reference>
          <reference field="12" count="1">
            <x v="84"/>
          </reference>
        </references>
      </pivotArea>
    </format>
    <format dxfId="848">
      <pivotArea dataOnly="0" labelOnly="1" outline="0" fieldPosition="0">
        <references count="2">
          <reference field="11" count="1" selected="0">
            <x v="548"/>
          </reference>
          <reference field="12" count="1">
            <x v="121"/>
          </reference>
        </references>
      </pivotArea>
    </format>
    <format dxfId="847">
      <pivotArea dataOnly="0" labelOnly="1" outline="0" fieldPosition="0">
        <references count="2">
          <reference field="11" count="1" selected="0">
            <x v="549"/>
          </reference>
          <reference field="12" count="1">
            <x v="106"/>
          </reference>
        </references>
      </pivotArea>
    </format>
    <format dxfId="846">
      <pivotArea dataOnly="0" labelOnly="1" outline="0" fieldPosition="0">
        <references count="2">
          <reference field="11" count="1" selected="0">
            <x v="550"/>
          </reference>
          <reference field="12" count="1">
            <x v="83"/>
          </reference>
        </references>
      </pivotArea>
    </format>
    <format dxfId="845">
      <pivotArea dataOnly="0" labelOnly="1" outline="0" fieldPosition="0">
        <references count="2">
          <reference field="11" count="1" selected="0">
            <x v="551"/>
          </reference>
          <reference field="12" count="1">
            <x v="108"/>
          </reference>
        </references>
      </pivotArea>
    </format>
    <format dxfId="844">
      <pivotArea dataOnly="0" labelOnly="1" outline="0" fieldPosition="0">
        <references count="2">
          <reference field="11" count="1" selected="0">
            <x v="552"/>
          </reference>
          <reference field="12" count="1">
            <x v="143"/>
          </reference>
        </references>
      </pivotArea>
    </format>
    <format dxfId="843">
      <pivotArea dataOnly="0" labelOnly="1" outline="0" fieldPosition="0">
        <references count="2">
          <reference field="11" count="1" selected="0">
            <x v="553"/>
          </reference>
          <reference field="12" count="1">
            <x v="136"/>
          </reference>
        </references>
      </pivotArea>
    </format>
    <format dxfId="842">
      <pivotArea dataOnly="0" labelOnly="1" outline="0" fieldPosition="0">
        <references count="2">
          <reference field="11" count="1" selected="0">
            <x v="554"/>
          </reference>
          <reference field="12" count="1">
            <x v="120"/>
          </reference>
        </references>
      </pivotArea>
    </format>
    <format dxfId="841">
      <pivotArea dataOnly="0" labelOnly="1" outline="0" fieldPosition="0">
        <references count="2">
          <reference field="11" count="1" selected="0">
            <x v="555"/>
          </reference>
          <reference field="12" count="1">
            <x v="24"/>
          </reference>
        </references>
      </pivotArea>
    </format>
    <format dxfId="840">
      <pivotArea dataOnly="0" labelOnly="1" outline="0" fieldPosition="0">
        <references count="2">
          <reference field="11" count="1" selected="0">
            <x v="556"/>
          </reference>
          <reference field="12" count="1">
            <x v="39"/>
          </reference>
        </references>
      </pivotArea>
    </format>
    <format dxfId="839">
      <pivotArea dataOnly="0" labelOnly="1" outline="0" fieldPosition="0">
        <references count="2">
          <reference field="11" count="1" selected="0">
            <x v="557"/>
          </reference>
          <reference field="12" count="1">
            <x v="10"/>
          </reference>
        </references>
      </pivotArea>
    </format>
    <format dxfId="838">
      <pivotArea dataOnly="0" labelOnly="1" outline="0" fieldPosition="0">
        <references count="2">
          <reference field="11" count="1" selected="0">
            <x v="558"/>
          </reference>
          <reference field="12" count="1">
            <x v="143"/>
          </reference>
        </references>
      </pivotArea>
    </format>
    <format dxfId="837">
      <pivotArea dataOnly="0" labelOnly="1" outline="0" fieldPosition="0">
        <references count="2">
          <reference field="11" count="1" selected="0">
            <x v="559"/>
          </reference>
          <reference field="12" count="1">
            <x v="147"/>
          </reference>
        </references>
      </pivotArea>
    </format>
    <format dxfId="836">
      <pivotArea dataOnly="0" labelOnly="1" outline="0" fieldPosition="0">
        <references count="2">
          <reference field="11" count="1" selected="0">
            <x v="561"/>
          </reference>
          <reference field="12" count="1">
            <x v="129"/>
          </reference>
        </references>
      </pivotArea>
    </format>
    <format dxfId="835">
      <pivotArea dataOnly="0" labelOnly="1" outline="0" fieldPosition="0">
        <references count="2">
          <reference field="11" count="1" selected="0">
            <x v="562"/>
          </reference>
          <reference field="12" count="1">
            <x v="147"/>
          </reference>
        </references>
      </pivotArea>
    </format>
    <format dxfId="834">
      <pivotArea dataOnly="0" labelOnly="1" outline="0" fieldPosition="0">
        <references count="2">
          <reference field="11" count="1" selected="0">
            <x v="563"/>
          </reference>
          <reference field="12" count="1">
            <x v="58"/>
          </reference>
        </references>
      </pivotArea>
    </format>
    <format dxfId="833">
      <pivotArea dataOnly="0" labelOnly="1" outline="0" fieldPosition="0">
        <references count="2">
          <reference field="11" count="1" selected="0">
            <x v="564"/>
          </reference>
          <reference field="12" count="1">
            <x v="25"/>
          </reference>
        </references>
      </pivotArea>
    </format>
    <format dxfId="832">
      <pivotArea dataOnly="0" labelOnly="1" outline="0" fieldPosition="0">
        <references count="2">
          <reference field="11" count="1" selected="0">
            <x v="565"/>
          </reference>
          <reference field="12" count="1">
            <x v="147"/>
          </reference>
        </references>
      </pivotArea>
    </format>
    <format dxfId="831">
      <pivotArea dataOnly="0" labelOnly="1" outline="0" fieldPosition="0">
        <references count="2">
          <reference field="11" count="1" selected="0">
            <x v="567"/>
          </reference>
          <reference field="12" count="1">
            <x v="153"/>
          </reference>
        </references>
      </pivotArea>
    </format>
    <format dxfId="830">
      <pivotArea dataOnly="0" labelOnly="1" outline="0" fieldPosition="0">
        <references count="2">
          <reference field="11" count="1" selected="0">
            <x v="568"/>
          </reference>
          <reference field="12" count="1">
            <x v="147"/>
          </reference>
        </references>
      </pivotArea>
    </format>
    <format dxfId="829">
      <pivotArea dataOnly="0" labelOnly="1" outline="0" fieldPosition="0">
        <references count="2">
          <reference field="11" count="1" selected="0">
            <x v="569"/>
          </reference>
          <reference field="12" count="1">
            <x v="19"/>
          </reference>
        </references>
      </pivotArea>
    </format>
    <format dxfId="828">
      <pivotArea dataOnly="0" labelOnly="1" outline="0" fieldPosition="0">
        <references count="2">
          <reference field="11" count="1" selected="0">
            <x v="570"/>
          </reference>
          <reference field="12" count="1">
            <x v="73"/>
          </reference>
        </references>
      </pivotArea>
    </format>
    <format dxfId="827">
      <pivotArea dataOnly="0" labelOnly="1" outline="0" fieldPosition="0">
        <references count="2">
          <reference field="11" count="1" selected="0">
            <x v="571"/>
          </reference>
          <reference field="12" count="1">
            <x v="158"/>
          </reference>
        </references>
      </pivotArea>
    </format>
    <format dxfId="826">
      <pivotArea dataOnly="0" labelOnly="1" outline="0" fieldPosition="0">
        <references count="2">
          <reference field="11" count="1" selected="0">
            <x v="572"/>
          </reference>
          <reference field="12" count="1">
            <x v="145"/>
          </reference>
        </references>
      </pivotArea>
    </format>
    <format dxfId="825">
      <pivotArea dataOnly="0" labelOnly="1" outline="0" fieldPosition="0">
        <references count="2">
          <reference field="11" count="1" selected="0">
            <x v="573"/>
          </reference>
          <reference field="12" count="1">
            <x v="126"/>
          </reference>
        </references>
      </pivotArea>
    </format>
    <format dxfId="824">
      <pivotArea dataOnly="0" labelOnly="1" outline="0" fieldPosition="0">
        <references count="2">
          <reference field="11" count="1" selected="0">
            <x v="574"/>
          </reference>
          <reference field="12" count="1">
            <x v="52"/>
          </reference>
        </references>
      </pivotArea>
    </format>
    <format dxfId="823">
      <pivotArea dataOnly="0" labelOnly="1" outline="0" fieldPosition="0">
        <references count="2">
          <reference field="11" count="1" selected="0">
            <x v="575"/>
          </reference>
          <reference field="12" count="1">
            <x v="47"/>
          </reference>
        </references>
      </pivotArea>
    </format>
    <format dxfId="822">
      <pivotArea dataOnly="0" labelOnly="1" outline="0" fieldPosition="0">
        <references count="2">
          <reference field="11" count="1" selected="0">
            <x v="576"/>
          </reference>
          <reference field="12" count="1">
            <x v="24"/>
          </reference>
        </references>
      </pivotArea>
    </format>
    <format dxfId="821">
      <pivotArea dataOnly="0" labelOnly="1" outline="0" fieldPosition="0">
        <references count="2">
          <reference field="11" count="1" selected="0">
            <x v="577"/>
          </reference>
          <reference field="12" count="1">
            <x v="147"/>
          </reference>
        </references>
      </pivotArea>
    </format>
    <format dxfId="820">
      <pivotArea dataOnly="0" labelOnly="1" outline="0" fieldPosition="0">
        <references count="2">
          <reference field="11" count="1" selected="0">
            <x v="578"/>
          </reference>
          <reference field="12" count="1">
            <x v="28"/>
          </reference>
        </references>
      </pivotArea>
    </format>
    <format dxfId="819">
      <pivotArea dataOnly="0" labelOnly="1" outline="0" fieldPosition="0">
        <references count="2">
          <reference field="11" count="1" selected="0">
            <x v="579"/>
          </reference>
          <reference field="12" count="1">
            <x v="151"/>
          </reference>
        </references>
      </pivotArea>
    </format>
    <format dxfId="818">
      <pivotArea dataOnly="0" labelOnly="1" outline="0" fieldPosition="0">
        <references count="2">
          <reference field="11" count="1" selected="0">
            <x v="580"/>
          </reference>
          <reference field="12" count="1">
            <x v="9"/>
          </reference>
        </references>
      </pivotArea>
    </format>
    <format dxfId="817">
      <pivotArea dataOnly="0" labelOnly="1" outline="0" fieldPosition="0">
        <references count="2">
          <reference field="11" count="1" selected="0">
            <x v="581"/>
          </reference>
          <reference field="12" count="1">
            <x v="12"/>
          </reference>
        </references>
      </pivotArea>
    </format>
    <format dxfId="816">
      <pivotArea dataOnly="0" labelOnly="1" outline="0" fieldPosition="0">
        <references count="2">
          <reference field="11" count="1" selected="0">
            <x v="582"/>
          </reference>
          <reference field="12" count="1">
            <x v="28"/>
          </reference>
        </references>
      </pivotArea>
    </format>
    <format dxfId="815">
      <pivotArea dataOnly="0" labelOnly="1" outline="0" fieldPosition="0">
        <references count="2">
          <reference field="11" count="1" selected="0">
            <x v="583"/>
          </reference>
          <reference field="12" count="1">
            <x v="147"/>
          </reference>
        </references>
      </pivotArea>
    </format>
    <format dxfId="814">
      <pivotArea dataOnly="0" labelOnly="1" outline="0" fieldPosition="0">
        <references count="2">
          <reference field="11" count="1" selected="0">
            <x v="584"/>
          </reference>
          <reference field="12" count="1">
            <x v="152"/>
          </reference>
        </references>
      </pivotArea>
    </format>
    <format dxfId="813">
      <pivotArea dataOnly="0" labelOnly="1" outline="0" fieldPosition="0">
        <references count="2">
          <reference field="11" count="1" selected="0">
            <x v="585"/>
          </reference>
          <reference field="12" count="1">
            <x v="81"/>
          </reference>
        </references>
      </pivotArea>
    </format>
    <format dxfId="812">
      <pivotArea dataOnly="0" labelOnly="1" outline="0" fieldPosition="0">
        <references count="2">
          <reference field="11" count="1" selected="0">
            <x v="586"/>
          </reference>
          <reference field="12" count="1">
            <x v="42"/>
          </reference>
        </references>
      </pivotArea>
    </format>
    <format dxfId="811">
      <pivotArea dataOnly="0" labelOnly="1" outline="0" fieldPosition="0">
        <references count="2">
          <reference field="11" count="1" selected="0">
            <x v="587"/>
          </reference>
          <reference field="12" count="1">
            <x v="43"/>
          </reference>
        </references>
      </pivotArea>
    </format>
    <format dxfId="810">
      <pivotArea dataOnly="0" labelOnly="1" outline="0" fieldPosition="0">
        <references count="2">
          <reference field="11" count="1" selected="0">
            <x v="588"/>
          </reference>
          <reference field="12" count="1">
            <x v="19"/>
          </reference>
        </references>
      </pivotArea>
    </format>
    <format dxfId="809">
      <pivotArea dataOnly="0" labelOnly="1" outline="0" fieldPosition="0">
        <references count="2">
          <reference field="11" count="1" selected="0">
            <x v="589"/>
          </reference>
          <reference field="12" count="1">
            <x v="25"/>
          </reference>
        </references>
      </pivotArea>
    </format>
    <format dxfId="808">
      <pivotArea dataOnly="0" labelOnly="1" outline="0" fieldPosition="0">
        <references count="2">
          <reference field="11" count="1" selected="0">
            <x v="590"/>
          </reference>
          <reference field="12" count="1">
            <x v="38"/>
          </reference>
        </references>
      </pivotArea>
    </format>
    <format dxfId="807">
      <pivotArea dataOnly="0" labelOnly="1" outline="0" fieldPosition="0">
        <references count="2">
          <reference field="11" count="1" selected="0">
            <x v="591"/>
          </reference>
          <reference field="12" count="1">
            <x v="45"/>
          </reference>
        </references>
      </pivotArea>
    </format>
    <format dxfId="806">
      <pivotArea dataOnly="0" labelOnly="1" outline="0" fieldPosition="0">
        <references count="2">
          <reference field="11" count="1" selected="0">
            <x v="592"/>
          </reference>
          <reference field="12" count="1">
            <x v="98"/>
          </reference>
        </references>
      </pivotArea>
    </format>
    <format dxfId="805">
      <pivotArea dataOnly="0" labelOnly="1" outline="0" fieldPosition="0">
        <references count="2">
          <reference field="11" count="1" selected="0">
            <x v="593"/>
          </reference>
          <reference field="12" count="1">
            <x v="112"/>
          </reference>
        </references>
      </pivotArea>
    </format>
    <format dxfId="804">
      <pivotArea dataOnly="0" labelOnly="1" outline="0" fieldPosition="0">
        <references count="2">
          <reference field="11" count="1" selected="0">
            <x v="594"/>
          </reference>
          <reference field="12" count="1">
            <x v="113"/>
          </reference>
        </references>
      </pivotArea>
    </format>
    <format dxfId="803">
      <pivotArea dataOnly="0" labelOnly="1" outline="0" fieldPosition="0">
        <references count="2">
          <reference field="11" count="1" selected="0">
            <x v="595"/>
          </reference>
          <reference field="12" count="1">
            <x v="117"/>
          </reference>
        </references>
      </pivotArea>
    </format>
    <format dxfId="802">
      <pivotArea dataOnly="0" labelOnly="1" outline="0" fieldPosition="0">
        <references count="2">
          <reference field="11" count="1" selected="0">
            <x v="596"/>
          </reference>
          <reference field="12" count="1">
            <x v="124"/>
          </reference>
        </references>
      </pivotArea>
    </format>
    <format dxfId="801">
      <pivotArea dataOnly="0" labelOnly="1" outline="0" fieldPosition="0">
        <references count="2">
          <reference field="11" count="1" selected="0">
            <x v="597"/>
          </reference>
          <reference field="12" count="1">
            <x v="135"/>
          </reference>
        </references>
      </pivotArea>
    </format>
    <format dxfId="800">
      <pivotArea dataOnly="0" labelOnly="1" outline="0" fieldPosition="0">
        <references count="2">
          <reference field="11" count="1" selected="0">
            <x v="598"/>
          </reference>
          <reference field="12" count="1">
            <x v="58"/>
          </reference>
        </references>
      </pivotArea>
    </format>
    <format dxfId="799">
      <pivotArea dataOnly="0" labelOnly="1" outline="0" fieldPosition="0">
        <references count="2">
          <reference field="11" count="1" selected="0">
            <x v="599"/>
          </reference>
          <reference field="12" count="1">
            <x v="140"/>
          </reference>
        </references>
      </pivotArea>
    </format>
    <format dxfId="798">
      <pivotArea dataOnly="0" labelOnly="1" outline="0" fieldPosition="0">
        <references count="2">
          <reference field="11" count="1" selected="0">
            <x v="600"/>
          </reference>
          <reference field="12" count="1">
            <x v="36"/>
          </reference>
        </references>
      </pivotArea>
    </format>
    <format dxfId="797">
      <pivotArea dataOnly="0" labelOnly="1" outline="0" fieldPosition="0">
        <references count="2">
          <reference field="11" count="1" selected="0">
            <x v="601"/>
          </reference>
          <reference field="12" count="1">
            <x v="72"/>
          </reference>
        </references>
      </pivotArea>
    </format>
    <format dxfId="796">
      <pivotArea dataOnly="0" labelOnly="1" outline="0" fieldPosition="0">
        <references count="2">
          <reference field="11" count="1" selected="0">
            <x v="602"/>
          </reference>
          <reference field="12" count="1">
            <x v="74"/>
          </reference>
        </references>
      </pivotArea>
    </format>
    <format dxfId="795">
      <pivotArea dataOnly="0" labelOnly="1" outline="0" fieldPosition="0">
        <references count="2">
          <reference field="11" count="1" selected="0">
            <x v="603"/>
          </reference>
          <reference field="12" count="1">
            <x v="139"/>
          </reference>
        </references>
      </pivotArea>
    </format>
    <format dxfId="794">
      <pivotArea dataOnly="0" labelOnly="1" outline="0" fieldPosition="0">
        <references count="2">
          <reference field="11" count="1" selected="0">
            <x v="604"/>
          </reference>
          <reference field="12" count="1">
            <x v="94"/>
          </reference>
        </references>
      </pivotArea>
    </format>
    <format dxfId="793">
      <pivotArea dataOnly="0" labelOnly="1" outline="0" fieldPosition="0">
        <references count="2">
          <reference field="11" count="1" selected="0">
            <x v="605"/>
          </reference>
          <reference field="12" count="1">
            <x v="105"/>
          </reference>
        </references>
      </pivotArea>
    </format>
    <format dxfId="792">
      <pivotArea dataOnly="0" labelOnly="1" outline="0" fieldPosition="0">
        <references count="2">
          <reference field="11" count="1" selected="0">
            <x v="606"/>
          </reference>
          <reference field="12" count="1">
            <x v="143"/>
          </reference>
        </references>
      </pivotArea>
    </format>
    <format dxfId="791">
      <pivotArea dataOnly="0" labelOnly="1" outline="0" fieldPosition="0">
        <references count="2">
          <reference field="11" count="1" selected="0">
            <x v="607"/>
          </reference>
          <reference field="12" count="1">
            <x v="86"/>
          </reference>
        </references>
      </pivotArea>
    </format>
    <format dxfId="790">
      <pivotArea dataOnly="0" labelOnly="1" outline="0" fieldPosition="0">
        <references count="2">
          <reference field="11" count="1" selected="0">
            <x v="608"/>
          </reference>
          <reference field="12" count="1">
            <x v="126"/>
          </reference>
        </references>
      </pivotArea>
    </format>
    <format dxfId="789">
      <pivotArea dataOnly="0" labelOnly="1" outline="0" fieldPosition="0">
        <references count="2">
          <reference field="11" count="1" selected="0">
            <x v="610"/>
          </reference>
          <reference field="12" count="1">
            <x v="93"/>
          </reference>
        </references>
      </pivotArea>
    </format>
    <format dxfId="788">
      <pivotArea dataOnly="0" labelOnly="1" outline="0" fieldPosition="0">
        <references count="2">
          <reference field="11" count="1" selected="0">
            <x v="611"/>
          </reference>
          <reference field="12" count="1">
            <x v="28"/>
          </reference>
        </references>
      </pivotArea>
    </format>
    <format dxfId="787">
      <pivotArea dataOnly="0" labelOnly="1" outline="0" fieldPosition="0">
        <references count="2">
          <reference field="11" count="1" selected="0">
            <x v="612"/>
          </reference>
          <reference field="12" count="1">
            <x v="129"/>
          </reference>
        </references>
      </pivotArea>
    </format>
    <format dxfId="786">
      <pivotArea dataOnly="0" labelOnly="1" outline="0" fieldPosition="0">
        <references count="2">
          <reference field="11" count="1" selected="0">
            <x v="613"/>
          </reference>
          <reference field="12" count="1">
            <x v="34"/>
          </reference>
        </references>
      </pivotArea>
    </format>
    <format dxfId="785">
      <pivotArea dataOnly="0" labelOnly="1" outline="0" fieldPosition="0">
        <references count="2">
          <reference field="11" count="1" selected="0">
            <x v="614"/>
          </reference>
          <reference field="12" count="1">
            <x v="126"/>
          </reference>
        </references>
      </pivotArea>
    </format>
    <format dxfId="784">
      <pivotArea dataOnly="0" labelOnly="1" outline="0" fieldPosition="0">
        <references count="2">
          <reference field="11" count="1" selected="0">
            <x v="615"/>
          </reference>
          <reference field="12" count="1">
            <x v="116"/>
          </reference>
        </references>
      </pivotArea>
    </format>
    <format dxfId="783">
      <pivotArea dataOnly="0" labelOnly="1" outline="0" fieldPosition="0">
        <references count="2">
          <reference field="11" count="1" selected="0">
            <x v="616"/>
          </reference>
          <reference field="12" count="1">
            <x v="147"/>
          </reference>
        </references>
      </pivotArea>
    </format>
    <format dxfId="782">
      <pivotArea dataOnly="0" labelOnly="1" outline="0" fieldPosition="0">
        <references count="2">
          <reference field="11" count="1" selected="0">
            <x v="617"/>
          </reference>
          <reference field="12" count="1">
            <x v="51"/>
          </reference>
        </references>
      </pivotArea>
    </format>
    <format dxfId="781">
      <pivotArea dataOnly="0" labelOnly="1" outline="0" fieldPosition="0">
        <references count="3">
          <reference field="11" count="1" selected="0">
            <x v="0"/>
          </reference>
          <reference field="12" count="1" selected="0">
            <x v="135"/>
          </reference>
          <reference field="13" count="1">
            <x v="22"/>
          </reference>
        </references>
      </pivotArea>
    </format>
    <format dxfId="780">
      <pivotArea dataOnly="0" labelOnly="1" outline="0" fieldPosition="0">
        <references count="3">
          <reference field="11" count="1" selected="0">
            <x v="1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79">
      <pivotArea dataOnly="0" labelOnly="1" outline="0" fieldPosition="0">
        <references count="3">
          <reference field="11" count="1" selected="0">
            <x v="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78">
      <pivotArea dataOnly="0" labelOnly="1" outline="0" fieldPosition="0">
        <references count="3">
          <reference field="11" count="1" selected="0">
            <x v="3"/>
          </reference>
          <reference field="12" count="1" selected="0">
            <x v="66"/>
          </reference>
          <reference field="13" count="1">
            <x v="9"/>
          </reference>
        </references>
      </pivotArea>
    </format>
    <format dxfId="777">
      <pivotArea dataOnly="0" labelOnly="1" outline="0" fieldPosition="0">
        <references count="3">
          <reference field="11" count="1" selected="0">
            <x v="4"/>
          </reference>
          <reference field="12" count="1" selected="0">
            <x v="14"/>
          </reference>
          <reference field="13" count="1">
            <x v="22"/>
          </reference>
        </references>
      </pivotArea>
    </format>
    <format dxfId="776">
      <pivotArea dataOnly="0" labelOnly="1" outline="0" fieldPosition="0">
        <references count="3">
          <reference field="11" count="1" selected="0">
            <x v="5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775">
      <pivotArea dataOnly="0" labelOnly="1" outline="0" fieldPosition="0">
        <references count="3">
          <reference field="11" count="1" selected="0">
            <x v="6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774">
      <pivotArea dataOnly="0" labelOnly="1" outline="0" fieldPosition="0">
        <references count="3">
          <reference field="11" count="1" selected="0">
            <x v="7"/>
          </reference>
          <reference field="12" count="1" selected="0">
            <x v="91"/>
          </reference>
          <reference field="13" count="1">
            <x v="22"/>
          </reference>
        </references>
      </pivotArea>
    </format>
    <format dxfId="773">
      <pivotArea dataOnly="0" labelOnly="1" outline="0" fieldPosition="0">
        <references count="3">
          <reference field="11" count="1" selected="0">
            <x v="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72">
      <pivotArea dataOnly="0" labelOnly="1" outline="0" fieldPosition="0">
        <references count="3">
          <reference field="11" count="1" selected="0">
            <x v="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71">
      <pivotArea dataOnly="0" labelOnly="1" outline="0" fieldPosition="0">
        <references count="3">
          <reference field="11" count="1" selected="0">
            <x v="10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770">
      <pivotArea dataOnly="0" labelOnly="1" outline="0" fieldPosition="0">
        <references count="3">
          <reference field="11" count="1" selected="0">
            <x v="11"/>
          </reference>
          <reference field="12" count="1" selected="0">
            <x v="60"/>
          </reference>
          <reference field="13" count="1">
            <x v="16"/>
          </reference>
        </references>
      </pivotArea>
    </format>
    <format dxfId="769">
      <pivotArea dataOnly="0" labelOnly="1" outline="0" fieldPosition="0">
        <references count="3">
          <reference field="11" count="1" selected="0">
            <x v="1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68">
      <pivotArea dataOnly="0" labelOnly="1" outline="0" fieldPosition="0">
        <references count="3">
          <reference field="11" count="1" selected="0">
            <x v="13"/>
          </reference>
          <reference field="12" count="1" selected="0">
            <x v="63"/>
          </reference>
          <reference field="13" count="1">
            <x v="22"/>
          </reference>
        </references>
      </pivotArea>
    </format>
    <format dxfId="767">
      <pivotArea dataOnly="0" labelOnly="1" outline="0" fieldPosition="0">
        <references count="3">
          <reference field="11" count="1" selected="0">
            <x v="14"/>
          </reference>
          <reference field="12" count="1" selected="0">
            <x v="21"/>
          </reference>
          <reference field="13" count="1">
            <x v="19"/>
          </reference>
        </references>
      </pivotArea>
    </format>
    <format dxfId="766">
      <pivotArea dataOnly="0" labelOnly="1" outline="0" fieldPosition="0">
        <references count="3">
          <reference field="11" count="1" selected="0">
            <x v="15"/>
          </reference>
          <reference field="12" count="1" selected="0">
            <x v="135"/>
          </reference>
          <reference field="13" count="1">
            <x v="22"/>
          </reference>
        </references>
      </pivotArea>
    </format>
    <format dxfId="765">
      <pivotArea dataOnly="0" labelOnly="1" outline="0" fieldPosition="0">
        <references count="3">
          <reference field="11" count="1" selected="0">
            <x v="1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64">
      <pivotArea dataOnly="0" labelOnly="1" outline="0" fieldPosition="0">
        <references count="3">
          <reference field="11" count="1" selected="0">
            <x v="17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763">
      <pivotArea dataOnly="0" labelOnly="1" outline="0" fieldPosition="0">
        <references count="3">
          <reference field="11" count="1" selected="0">
            <x v="1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62">
      <pivotArea dataOnly="0" labelOnly="1" outline="0" fieldPosition="0">
        <references count="3">
          <reference field="11" count="1" selected="0">
            <x v="19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761">
      <pivotArea dataOnly="0" labelOnly="1" outline="0" fieldPosition="0">
        <references count="3">
          <reference field="11" count="1" selected="0">
            <x v="2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60">
      <pivotArea dataOnly="0" labelOnly="1" outline="0" fieldPosition="0">
        <references count="3">
          <reference field="11" count="1" selected="0">
            <x v="21"/>
          </reference>
          <reference field="12" count="1" selected="0">
            <x v="135"/>
          </reference>
          <reference field="13" count="1">
            <x v="22"/>
          </reference>
        </references>
      </pivotArea>
    </format>
    <format dxfId="759">
      <pivotArea dataOnly="0" labelOnly="1" outline="0" fieldPosition="0">
        <references count="3">
          <reference field="11" count="1" selected="0">
            <x v="2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58">
      <pivotArea dataOnly="0" labelOnly="1" outline="0" fieldPosition="0">
        <references count="3">
          <reference field="11" count="1" selected="0">
            <x v="23"/>
          </reference>
          <reference field="12" count="1" selected="0">
            <x v="110"/>
          </reference>
          <reference field="13" count="1">
            <x v="17"/>
          </reference>
        </references>
      </pivotArea>
    </format>
    <format dxfId="757">
      <pivotArea dataOnly="0" labelOnly="1" outline="0" fieldPosition="0">
        <references count="3">
          <reference field="11" count="1" selected="0">
            <x v="24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756">
      <pivotArea dataOnly="0" labelOnly="1" outline="0" fieldPosition="0">
        <references count="3">
          <reference field="11" count="1" selected="0">
            <x v="25"/>
          </reference>
          <reference field="12" count="1" selected="0">
            <x v="33"/>
          </reference>
          <reference field="13" count="1">
            <x v="9"/>
          </reference>
        </references>
      </pivotArea>
    </format>
    <format dxfId="755">
      <pivotArea dataOnly="0" labelOnly="1" outline="0" fieldPosition="0">
        <references count="3">
          <reference field="11" count="1" selected="0">
            <x v="26"/>
          </reference>
          <reference field="12" count="1" selected="0">
            <x v="107"/>
          </reference>
          <reference field="13" count="1">
            <x v="9"/>
          </reference>
        </references>
      </pivotArea>
    </format>
    <format dxfId="754">
      <pivotArea dataOnly="0" labelOnly="1" outline="0" fieldPosition="0">
        <references count="3">
          <reference field="11" count="1" selected="0">
            <x v="27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753">
      <pivotArea dataOnly="0" labelOnly="1" outline="0" fieldPosition="0">
        <references count="3">
          <reference field="11" count="1" selected="0">
            <x v="28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752">
      <pivotArea dataOnly="0" labelOnly="1" outline="0" fieldPosition="0">
        <references count="3">
          <reference field="11" count="1" selected="0">
            <x v="29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751">
      <pivotArea dataOnly="0" labelOnly="1" outline="0" fieldPosition="0">
        <references count="3">
          <reference field="11" count="1" selected="0">
            <x v="3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50">
      <pivotArea dataOnly="0" labelOnly="1" outline="0" fieldPosition="0">
        <references count="3">
          <reference field="11" count="1" selected="0">
            <x v="3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49">
      <pivotArea dataOnly="0" labelOnly="1" outline="0" fieldPosition="0">
        <references count="3">
          <reference field="11" count="1" selected="0">
            <x v="3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48">
      <pivotArea dataOnly="0" labelOnly="1" outline="0" fieldPosition="0">
        <references count="3">
          <reference field="11" count="1" selected="0">
            <x v="33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747">
      <pivotArea dataOnly="0" labelOnly="1" outline="0" fieldPosition="0">
        <references count="3">
          <reference field="11" count="1" selected="0">
            <x v="34"/>
          </reference>
          <reference field="12" count="1" selected="0">
            <x v="34"/>
          </reference>
          <reference field="13" count="1">
            <x v="16"/>
          </reference>
        </references>
      </pivotArea>
    </format>
    <format dxfId="746">
      <pivotArea dataOnly="0" labelOnly="1" outline="0" fieldPosition="0">
        <references count="3">
          <reference field="11" count="1" selected="0">
            <x v="35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745">
      <pivotArea dataOnly="0" labelOnly="1" outline="0" fieldPosition="0">
        <references count="3">
          <reference field="11" count="1" selected="0">
            <x v="36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744">
      <pivotArea dataOnly="0" labelOnly="1" outline="0" fieldPosition="0">
        <references count="3">
          <reference field="11" count="1" selected="0">
            <x v="37"/>
          </reference>
          <reference field="12" count="1" selected="0">
            <x v="99"/>
          </reference>
          <reference field="13" count="1">
            <x v="17"/>
          </reference>
        </references>
      </pivotArea>
    </format>
    <format dxfId="743">
      <pivotArea dataOnly="0" labelOnly="1" outline="0" fieldPosition="0">
        <references count="3">
          <reference field="11" count="1" selected="0">
            <x v="3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42">
      <pivotArea dataOnly="0" labelOnly="1" outline="0" fieldPosition="0">
        <references count="3">
          <reference field="11" count="1" selected="0">
            <x v="39"/>
          </reference>
          <reference field="12" count="1" selected="0">
            <x v="144"/>
          </reference>
          <reference field="13" count="1">
            <x v="16"/>
          </reference>
        </references>
      </pivotArea>
    </format>
    <format dxfId="741">
      <pivotArea dataOnly="0" labelOnly="1" outline="0" fieldPosition="0">
        <references count="3">
          <reference field="11" count="1" selected="0">
            <x v="40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740">
      <pivotArea dataOnly="0" labelOnly="1" outline="0" fieldPosition="0">
        <references count="3">
          <reference field="11" count="1" selected="0">
            <x v="41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39">
      <pivotArea dataOnly="0" labelOnly="1" outline="0" fieldPosition="0">
        <references count="3">
          <reference field="11" count="1" selected="0">
            <x v="42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738">
      <pivotArea dataOnly="0" labelOnly="1" outline="0" fieldPosition="0">
        <references count="3">
          <reference field="11" count="1" selected="0">
            <x v="43"/>
          </reference>
          <reference field="12" count="1" selected="0">
            <x v="2"/>
          </reference>
          <reference field="13" count="1">
            <x v="11"/>
          </reference>
        </references>
      </pivotArea>
    </format>
    <format dxfId="737">
      <pivotArea dataOnly="0" labelOnly="1" outline="0" fieldPosition="0">
        <references count="3">
          <reference field="11" count="1" selected="0">
            <x v="44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36">
      <pivotArea dataOnly="0" labelOnly="1" outline="0" fieldPosition="0">
        <references count="3">
          <reference field="11" count="1" selected="0">
            <x v="45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735">
      <pivotArea dataOnly="0" labelOnly="1" outline="0" fieldPosition="0">
        <references count="3">
          <reference field="11" count="1" selected="0">
            <x v="46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734">
      <pivotArea dataOnly="0" labelOnly="1" outline="0" fieldPosition="0">
        <references count="3">
          <reference field="11" count="1" selected="0">
            <x v="47"/>
          </reference>
          <reference field="12" count="1" selected="0">
            <x v="73"/>
          </reference>
          <reference field="13" count="1">
            <x v="20"/>
          </reference>
        </references>
      </pivotArea>
    </format>
    <format dxfId="733">
      <pivotArea dataOnly="0" labelOnly="1" outline="0" fieldPosition="0">
        <references count="3">
          <reference field="11" count="1" selected="0">
            <x v="4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32">
      <pivotArea dataOnly="0" labelOnly="1" outline="0" fieldPosition="0">
        <references count="3">
          <reference field="11" count="1" selected="0">
            <x v="49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731">
      <pivotArea dataOnly="0" labelOnly="1" outline="0" fieldPosition="0">
        <references count="3">
          <reference field="11" count="1" selected="0">
            <x v="50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730">
      <pivotArea dataOnly="0" labelOnly="1" outline="0" fieldPosition="0">
        <references count="3">
          <reference field="11" count="1" selected="0">
            <x v="51"/>
          </reference>
          <reference field="12" count="1" selected="0">
            <x v="156"/>
          </reference>
          <reference field="13" count="1">
            <x v="20"/>
          </reference>
        </references>
      </pivotArea>
    </format>
    <format dxfId="729">
      <pivotArea dataOnly="0" labelOnly="1" outline="0" fieldPosition="0">
        <references count="3">
          <reference field="11" count="1" selected="0">
            <x v="5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28">
      <pivotArea dataOnly="0" labelOnly="1" outline="0" fieldPosition="0">
        <references count="3">
          <reference field="11" count="1" selected="0">
            <x v="53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727">
      <pivotArea dataOnly="0" labelOnly="1" outline="0" fieldPosition="0">
        <references count="3">
          <reference field="11" count="1" selected="0">
            <x v="54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726">
      <pivotArea dataOnly="0" labelOnly="1" outline="0" fieldPosition="0">
        <references count="3">
          <reference field="11" count="1" selected="0">
            <x v="55"/>
          </reference>
          <reference field="12" count="1" selected="0">
            <x v="74"/>
          </reference>
          <reference field="13" count="1">
            <x v="9"/>
          </reference>
        </references>
      </pivotArea>
    </format>
    <format dxfId="725">
      <pivotArea dataOnly="0" labelOnly="1" outline="0" fieldPosition="0">
        <references count="3">
          <reference field="11" count="1" selected="0">
            <x v="56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724">
      <pivotArea dataOnly="0" labelOnly="1" outline="0" fieldPosition="0">
        <references count="3">
          <reference field="11" count="1" selected="0">
            <x v="57"/>
          </reference>
          <reference field="12" count="1" selected="0">
            <x v="160"/>
          </reference>
          <reference field="13" count="1">
            <x v="6"/>
          </reference>
        </references>
      </pivotArea>
    </format>
    <format dxfId="723">
      <pivotArea dataOnly="0" labelOnly="1" outline="0" fieldPosition="0">
        <references count="3">
          <reference field="11" count="1" selected="0">
            <x v="5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22">
      <pivotArea dataOnly="0" labelOnly="1" outline="0" fieldPosition="0">
        <references count="3">
          <reference field="11" count="1" selected="0">
            <x v="59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721">
      <pivotArea dataOnly="0" labelOnly="1" outline="0" fieldPosition="0">
        <references count="3">
          <reference field="11" count="1" selected="0">
            <x v="6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20">
      <pivotArea dataOnly="0" labelOnly="1" outline="0" fieldPosition="0">
        <references count="3">
          <reference field="11" count="1" selected="0">
            <x v="6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19">
      <pivotArea dataOnly="0" labelOnly="1" outline="0" fieldPosition="0">
        <references count="3">
          <reference field="11" count="1" selected="0">
            <x v="6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18">
      <pivotArea dataOnly="0" labelOnly="1" outline="0" fieldPosition="0">
        <references count="3">
          <reference field="11" count="1" selected="0">
            <x v="63"/>
          </reference>
          <reference field="12" count="1" selected="0">
            <x v="30"/>
          </reference>
          <reference field="13" count="1">
            <x v="10"/>
          </reference>
        </references>
      </pivotArea>
    </format>
    <format dxfId="717">
      <pivotArea dataOnly="0" labelOnly="1" outline="0" fieldPosition="0">
        <references count="3">
          <reference field="11" count="1" selected="0">
            <x v="64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716">
      <pivotArea dataOnly="0" labelOnly="1" outline="0" fieldPosition="0">
        <references count="3">
          <reference field="11" count="1" selected="0">
            <x v="6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715">
      <pivotArea dataOnly="0" labelOnly="1" outline="0" fieldPosition="0">
        <references count="3">
          <reference field="11" count="1" selected="0">
            <x v="6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14">
      <pivotArea dataOnly="0" labelOnly="1" outline="0" fieldPosition="0">
        <references count="3">
          <reference field="11" count="1" selected="0">
            <x v="67"/>
          </reference>
          <reference field="12" count="1" selected="0">
            <x v="22"/>
          </reference>
          <reference field="13" count="1">
            <x v="20"/>
          </reference>
        </references>
      </pivotArea>
    </format>
    <format dxfId="713">
      <pivotArea dataOnly="0" labelOnly="1" outline="0" fieldPosition="0">
        <references count="3">
          <reference field="11" count="1" selected="0">
            <x v="68"/>
          </reference>
          <reference field="12" count="1" selected="0">
            <x v="131"/>
          </reference>
          <reference field="13" count="1">
            <x v="19"/>
          </reference>
        </references>
      </pivotArea>
    </format>
    <format dxfId="712">
      <pivotArea dataOnly="0" labelOnly="1" outline="0" fieldPosition="0">
        <references count="3">
          <reference field="11" count="1" selected="0">
            <x v="6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711">
      <pivotArea dataOnly="0" labelOnly="1" outline="0" fieldPosition="0">
        <references count="3">
          <reference field="11" count="1" selected="0">
            <x v="70"/>
          </reference>
          <reference field="12" count="1" selected="0">
            <x v="149"/>
          </reference>
          <reference field="13" count="1">
            <x v="6"/>
          </reference>
        </references>
      </pivotArea>
    </format>
    <format dxfId="710">
      <pivotArea dataOnly="0" labelOnly="1" outline="0" fieldPosition="0">
        <references count="3">
          <reference field="11" count="1" selected="0">
            <x v="71"/>
          </reference>
          <reference field="12" count="1" selected="0">
            <x v="156"/>
          </reference>
          <reference field="13" count="1">
            <x v="20"/>
          </reference>
        </references>
      </pivotArea>
    </format>
    <format dxfId="709">
      <pivotArea dataOnly="0" labelOnly="1" outline="0" fieldPosition="0">
        <references count="3">
          <reference field="11" count="1" selected="0">
            <x v="72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708">
      <pivotArea dataOnly="0" labelOnly="1" outline="0" fieldPosition="0">
        <references count="3">
          <reference field="11" count="1" selected="0">
            <x v="73"/>
          </reference>
          <reference field="12" count="1" selected="0">
            <x v="80"/>
          </reference>
          <reference field="13" count="1">
            <x v="3"/>
          </reference>
        </references>
      </pivotArea>
    </format>
    <format dxfId="707">
      <pivotArea dataOnly="0" labelOnly="1" outline="0" fieldPosition="0">
        <references count="3">
          <reference field="11" count="1" selected="0">
            <x v="74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706">
      <pivotArea dataOnly="0" labelOnly="1" outline="0" fieldPosition="0">
        <references count="3">
          <reference field="11" count="1" selected="0">
            <x v="75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05">
      <pivotArea dataOnly="0" labelOnly="1" outline="0" fieldPosition="0">
        <references count="3">
          <reference field="11" count="1" selected="0">
            <x v="76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704">
      <pivotArea dataOnly="0" labelOnly="1" outline="0" fieldPosition="0">
        <references count="3">
          <reference field="11" count="1" selected="0">
            <x v="77"/>
          </reference>
          <reference field="12" count="1" selected="0">
            <x v="157"/>
          </reference>
          <reference field="13" count="1">
            <x v="9"/>
          </reference>
        </references>
      </pivotArea>
    </format>
    <format dxfId="703">
      <pivotArea dataOnly="0" labelOnly="1" outline="0" fieldPosition="0">
        <references count="3">
          <reference field="11" count="1" selected="0">
            <x v="78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702">
      <pivotArea dataOnly="0" labelOnly="1" outline="0" fieldPosition="0">
        <references count="3">
          <reference field="11" count="1" selected="0">
            <x v="79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701">
      <pivotArea dataOnly="0" labelOnly="1" outline="0" fieldPosition="0">
        <references count="3">
          <reference field="11" count="1" selected="0">
            <x v="8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700">
      <pivotArea dataOnly="0" labelOnly="1" outline="0" fieldPosition="0">
        <references count="3">
          <reference field="11" count="1" selected="0">
            <x v="81"/>
          </reference>
          <reference field="12" count="1" selected="0">
            <x v="41"/>
          </reference>
          <reference field="13" count="1">
            <x v="19"/>
          </reference>
        </references>
      </pivotArea>
    </format>
    <format dxfId="699">
      <pivotArea dataOnly="0" labelOnly="1" outline="0" fieldPosition="0">
        <references count="3">
          <reference field="11" count="1" selected="0">
            <x v="82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698">
      <pivotArea dataOnly="0" labelOnly="1" outline="0" fieldPosition="0">
        <references count="3">
          <reference field="11" count="1" selected="0">
            <x v="83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697">
      <pivotArea dataOnly="0" labelOnly="1" outline="0" fieldPosition="0">
        <references count="3">
          <reference field="11" count="1" selected="0">
            <x v="84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96">
      <pivotArea dataOnly="0" labelOnly="1" outline="0" fieldPosition="0">
        <references count="3">
          <reference field="11" count="1" selected="0">
            <x v="85"/>
          </reference>
          <reference field="12" count="1" selected="0">
            <x v="34"/>
          </reference>
          <reference field="13" count="1">
            <x v="16"/>
          </reference>
        </references>
      </pivotArea>
    </format>
    <format dxfId="695">
      <pivotArea dataOnly="0" labelOnly="1" outline="0" fieldPosition="0">
        <references count="3">
          <reference field="11" count="1" selected="0">
            <x v="8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94">
      <pivotArea dataOnly="0" labelOnly="1" outline="0" fieldPosition="0">
        <references count="3">
          <reference field="11" count="1" selected="0">
            <x v="87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693">
      <pivotArea dataOnly="0" labelOnly="1" outline="0" fieldPosition="0">
        <references count="3">
          <reference field="11" count="1" selected="0">
            <x v="8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92">
      <pivotArea dataOnly="0" labelOnly="1" outline="0" fieldPosition="0">
        <references count="3">
          <reference field="11" count="1" selected="0">
            <x v="8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91">
      <pivotArea dataOnly="0" labelOnly="1" outline="0" fieldPosition="0">
        <references count="3">
          <reference field="11" count="1" selected="0">
            <x v="90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690">
      <pivotArea dataOnly="0" labelOnly="1" outline="0" fieldPosition="0">
        <references count="3">
          <reference field="11" count="1" selected="0">
            <x v="91"/>
          </reference>
          <reference field="12" count="1" selected="0">
            <x v="153"/>
          </reference>
          <reference field="13" count="1">
            <x v="22"/>
          </reference>
        </references>
      </pivotArea>
    </format>
    <format dxfId="689">
      <pivotArea dataOnly="0" labelOnly="1" outline="0" fieldPosition="0">
        <references count="3">
          <reference field="11" count="1" selected="0">
            <x v="92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688">
      <pivotArea dataOnly="0" labelOnly="1" outline="0" fieldPosition="0">
        <references count="3">
          <reference field="11" count="1" selected="0">
            <x v="93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687">
      <pivotArea dataOnly="0" labelOnly="1" outline="0" fieldPosition="0">
        <references count="3">
          <reference field="11" count="1" selected="0">
            <x v="94"/>
          </reference>
          <reference field="12" count="1" selected="0">
            <x v="8"/>
          </reference>
          <reference field="13" count="1">
            <x v="22"/>
          </reference>
        </references>
      </pivotArea>
    </format>
    <format dxfId="686">
      <pivotArea dataOnly="0" labelOnly="1" outline="0" fieldPosition="0">
        <references count="3">
          <reference field="11" count="1" selected="0">
            <x v="95"/>
          </reference>
          <reference field="12" count="1" selected="0">
            <x v="10"/>
          </reference>
          <reference field="13" count="1">
            <x v="22"/>
          </reference>
        </references>
      </pivotArea>
    </format>
    <format dxfId="685">
      <pivotArea dataOnly="0" labelOnly="1" outline="0" fieldPosition="0">
        <references count="3">
          <reference field="11" count="1" selected="0">
            <x v="96"/>
          </reference>
          <reference field="12" count="1" selected="0">
            <x v="112"/>
          </reference>
          <reference field="13" count="1">
            <x v="22"/>
          </reference>
        </references>
      </pivotArea>
    </format>
    <format dxfId="684">
      <pivotArea dataOnly="0" labelOnly="1" outline="0" fieldPosition="0">
        <references count="3">
          <reference field="11" count="1" selected="0">
            <x v="97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83">
      <pivotArea dataOnly="0" labelOnly="1" outline="0" fieldPosition="0">
        <references count="3">
          <reference field="11" count="1" selected="0">
            <x v="98"/>
          </reference>
          <reference field="12" count="1" selected="0">
            <x v="68"/>
          </reference>
          <reference field="13" count="1">
            <x v="14"/>
          </reference>
        </references>
      </pivotArea>
    </format>
    <format dxfId="682">
      <pivotArea dataOnly="0" labelOnly="1" outline="0" fieldPosition="0">
        <references count="3">
          <reference field="11" count="1" selected="0">
            <x v="99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681">
      <pivotArea dataOnly="0" labelOnly="1" outline="0" fieldPosition="0">
        <references count="3">
          <reference field="11" count="1" selected="0">
            <x v="100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80">
      <pivotArea dataOnly="0" labelOnly="1" outline="0" fieldPosition="0">
        <references count="3">
          <reference field="11" count="1" selected="0">
            <x v="101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79">
      <pivotArea dataOnly="0" labelOnly="1" outline="0" fieldPosition="0">
        <references count="3">
          <reference field="11" count="1" selected="0">
            <x v="102"/>
          </reference>
          <reference field="12" count="1" selected="0">
            <x v="85"/>
          </reference>
          <reference field="13" count="1">
            <x v="17"/>
          </reference>
        </references>
      </pivotArea>
    </format>
    <format dxfId="678">
      <pivotArea dataOnly="0" labelOnly="1" outline="0" fieldPosition="0">
        <references count="3">
          <reference field="11" count="1" selected="0">
            <x v="10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77">
      <pivotArea dataOnly="0" labelOnly="1" outline="0" fieldPosition="0">
        <references count="3">
          <reference field="11" count="1" selected="0">
            <x v="104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76">
      <pivotArea dataOnly="0" labelOnly="1" outline="0" fieldPosition="0">
        <references count="3">
          <reference field="11" count="1" selected="0">
            <x v="105"/>
          </reference>
          <reference field="12" count="1" selected="0">
            <x v="131"/>
          </reference>
          <reference field="13" count="1">
            <x v="19"/>
          </reference>
        </references>
      </pivotArea>
    </format>
    <format dxfId="675">
      <pivotArea dataOnly="0" labelOnly="1" outline="0" fieldPosition="0">
        <references count="3">
          <reference field="11" count="1" selected="0">
            <x v="106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674">
      <pivotArea dataOnly="0" labelOnly="1" outline="0" fieldPosition="0">
        <references count="3">
          <reference field="11" count="1" selected="0">
            <x v="107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673">
      <pivotArea dataOnly="0" labelOnly="1" outline="0" fieldPosition="0">
        <references count="3">
          <reference field="11" count="1" selected="0">
            <x v="108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672">
      <pivotArea dataOnly="0" labelOnly="1" outline="0" fieldPosition="0">
        <references count="3">
          <reference field="11" count="1" selected="0">
            <x v="109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671">
      <pivotArea dataOnly="0" labelOnly="1" outline="0" fieldPosition="0">
        <references count="3">
          <reference field="11" count="1" selected="0">
            <x v="110"/>
          </reference>
          <reference field="12" count="1" selected="0">
            <x v="157"/>
          </reference>
          <reference field="13" count="1">
            <x v="9"/>
          </reference>
        </references>
      </pivotArea>
    </format>
    <format dxfId="670">
      <pivotArea dataOnly="0" labelOnly="1" outline="0" fieldPosition="0">
        <references count="3">
          <reference field="11" count="1" selected="0">
            <x v="111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69">
      <pivotArea dataOnly="0" labelOnly="1" outline="0" fieldPosition="0">
        <references count="3">
          <reference field="11" count="1" selected="0">
            <x v="112"/>
          </reference>
          <reference field="12" count="1" selected="0">
            <x v="49"/>
          </reference>
          <reference field="13" count="1">
            <x v="3"/>
          </reference>
        </references>
      </pivotArea>
    </format>
    <format dxfId="668">
      <pivotArea dataOnly="0" labelOnly="1" outline="0" fieldPosition="0">
        <references count="3">
          <reference field="11" count="1" selected="0">
            <x v="113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667">
      <pivotArea dataOnly="0" labelOnly="1" outline="0" fieldPosition="0">
        <references count="3">
          <reference field="11" count="1" selected="0">
            <x v="114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66">
      <pivotArea dataOnly="0" labelOnly="1" outline="0" fieldPosition="0">
        <references count="3">
          <reference field="11" count="1" selected="0">
            <x v="115"/>
          </reference>
          <reference field="12" count="1" selected="0">
            <x v="13"/>
          </reference>
          <reference field="13" count="1">
            <x v="22"/>
          </reference>
        </references>
      </pivotArea>
    </format>
    <format dxfId="665">
      <pivotArea dataOnly="0" labelOnly="1" outline="0" fieldPosition="0">
        <references count="3">
          <reference field="11" count="1" selected="0">
            <x v="116"/>
          </reference>
          <reference field="12" count="1" selected="0">
            <x v="62"/>
          </reference>
          <reference field="13" count="1">
            <x v="22"/>
          </reference>
        </references>
      </pivotArea>
    </format>
    <format dxfId="664">
      <pivotArea dataOnly="0" labelOnly="1" outline="0" fieldPosition="0">
        <references count="3">
          <reference field="11" count="1" selected="0">
            <x v="117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663">
      <pivotArea dataOnly="0" labelOnly="1" outline="0" fieldPosition="0">
        <references count="3">
          <reference field="11" count="1" selected="0">
            <x v="11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62">
      <pivotArea dataOnly="0" labelOnly="1" outline="0" fieldPosition="0">
        <references count="3">
          <reference field="11" count="1" selected="0">
            <x v="119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661">
      <pivotArea dataOnly="0" labelOnly="1" outline="0" fieldPosition="0">
        <references count="3">
          <reference field="11" count="1" selected="0">
            <x v="120"/>
          </reference>
          <reference field="12" count="1" selected="0">
            <x v="130"/>
          </reference>
          <reference field="13" count="1">
            <x v="8"/>
          </reference>
        </references>
      </pivotArea>
    </format>
    <format dxfId="660">
      <pivotArea dataOnly="0" labelOnly="1" outline="0" fieldPosition="0">
        <references count="3">
          <reference field="11" count="1" selected="0">
            <x v="121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59">
      <pivotArea dataOnly="0" labelOnly="1" outline="0" fieldPosition="0">
        <references count="3">
          <reference field="11" count="1" selected="0">
            <x v="122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58">
      <pivotArea dataOnly="0" labelOnly="1" outline="0" fieldPosition="0">
        <references count="3">
          <reference field="11" count="1" selected="0">
            <x v="123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657">
      <pivotArea dataOnly="0" labelOnly="1" outline="0" fieldPosition="0">
        <references count="3">
          <reference field="11" count="1" selected="0">
            <x v="124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656">
      <pivotArea dataOnly="0" labelOnly="1" outline="0" fieldPosition="0">
        <references count="3">
          <reference field="11" count="1" selected="0">
            <x v="125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55">
      <pivotArea dataOnly="0" labelOnly="1" outline="0" fieldPosition="0">
        <references count="3">
          <reference field="11" count="1" selected="0">
            <x v="126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54">
      <pivotArea dataOnly="0" labelOnly="1" outline="0" fieldPosition="0">
        <references count="3">
          <reference field="11" count="1" selected="0">
            <x v="12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53">
      <pivotArea dataOnly="0" labelOnly="1" outline="0" fieldPosition="0">
        <references count="3">
          <reference field="11" count="1" selected="0">
            <x v="128"/>
          </reference>
          <reference field="12" count="1" selected="0">
            <x v="100"/>
          </reference>
          <reference field="13" count="1">
            <x v="19"/>
          </reference>
        </references>
      </pivotArea>
    </format>
    <format dxfId="652">
      <pivotArea dataOnly="0" labelOnly="1" outline="0" fieldPosition="0">
        <references count="3">
          <reference field="11" count="1" selected="0">
            <x v="12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51">
      <pivotArea dataOnly="0" labelOnly="1" outline="0" fieldPosition="0">
        <references count="3">
          <reference field="11" count="1" selected="0">
            <x v="13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650">
      <pivotArea dataOnly="0" labelOnly="1" outline="0" fieldPosition="0">
        <references count="3">
          <reference field="11" count="1" selected="0">
            <x v="131"/>
          </reference>
          <reference field="12" count="1" selected="0">
            <x v="34"/>
          </reference>
          <reference field="13" count="1">
            <x v="16"/>
          </reference>
        </references>
      </pivotArea>
    </format>
    <format dxfId="649">
      <pivotArea dataOnly="0" labelOnly="1" outline="0" fieldPosition="0">
        <references count="3">
          <reference field="11" count="1" selected="0">
            <x v="132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48">
      <pivotArea dataOnly="0" labelOnly="1" outline="0" fieldPosition="0">
        <references count="3">
          <reference field="11" count="1" selected="0">
            <x v="133"/>
          </reference>
          <reference field="12" count="1" selected="0">
            <x v="104"/>
          </reference>
          <reference field="13" count="1">
            <x v="9"/>
          </reference>
        </references>
      </pivotArea>
    </format>
    <format dxfId="647">
      <pivotArea dataOnly="0" labelOnly="1" outline="0" fieldPosition="0">
        <references count="3">
          <reference field="11" count="1" selected="0">
            <x v="134"/>
          </reference>
          <reference field="12" count="1" selected="0">
            <x v="17"/>
          </reference>
          <reference field="13" count="1">
            <x v="22"/>
          </reference>
        </references>
      </pivotArea>
    </format>
    <format dxfId="646">
      <pivotArea dataOnly="0" labelOnly="1" outline="0" fieldPosition="0">
        <references count="3">
          <reference field="11" count="1" selected="0">
            <x v="135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645">
      <pivotArea dataOnly="0" labelOnly="1" outline="0" fieldPosition="0">
        <references count="3">
          <reference field="11" count="1" selected="0">
            <x v="136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44">
      <pivotArea dataOnly="0" labelOnly="1" outline="0" fieldPosition="0">
        <references count="3">
          <reference field="11" count="1" selected="0">
            <x v="137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643">
      <pivotArea dataOnly="0" labelOnly="1" outline="0" fieldPosition="0">
        <references count="3">
          <reference field="11" count="1" selected="0">
            <x v="138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42">
      <pivotArea dataOnly="0" labelOnly="1" outline="0" fieldPosition="0">
        <references count="3">
          <reference field="11" count="1" selected="0">
            <x v="139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641">
      <pivotArea dataOnly="0" labelOnly="1" outline="0" fieldPosition="0">
        <references count="3">
          <reference field="11" count="1" selected="0">
            <x v="140"/>
          </reference>
          <reference field="12" count="1" selected="0">
            <x v="127"/>
          </reference>
          <reference field="13" count="1">
            <x v="7"/>
          </reference>
        </references>
      </pivotArea>
    </format>
    <format dxfId="640">
      <pivotArea dataOnly="0" labelOnly="1" outline="0" fieldPosition="0">
        <references count="3">
          <reference field="11" count="1" selected="0">
            <x v="141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639">
      <pivotArea dataOnly="0" labelOnly="1" outline="0" fieldPosition="0">
        <references count="3">
          <reference field="11" count="1" selected="0">
            <x v="142"/>
          </reference>
          <reference field="12" count="1" selected="0">
            <x v="68"/>
          </reference>
          <reference field="13" count="1">
            <x v="14"/>
          </reference>
        </references>
      </pivotArea>
    </format>
    <format dxfId="638">
      <pivotArea dataOnly="0" labelOnly="1" outline="0" fieldPosition="0">
        <references count="3">
          <reference field="11" count="1" selected="0">
            <x v="143"/>
          </reference>
          <reference field="12" count="1" selected="0">
            <x v="32"/>
          </reference>
          <reference field="13" count="1">
            <x v="19"/>
          </reference>
        </references>
      </pivotArea>
    </format>
    <format dxfId="637">
      <pivotArea dataOnly="0" labelOnly="1" outline="0" fieldPosition="0">
        <references count="3">
          <reference field="11" count="1" selected="0">
            <x v="144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36">
      <pivotArea dataOnly="0" labelOnly="1" outline="0" fieldPosition="0">
        <references count="3">
          <reference field="11" count="1" selected="0">
            <x v="145"/>
          </reference>
          <reference field="12" count="1" selected="0">
            <x v="162"/>
          </reference>
          <reference field="13" count="1">
            <x v="17"/>
          </reference>
        </references>
      </pivotArea>
    </format>
    <format dxfId="635">
      <pivotArea dataOnly="0" labelOnly="1" outline="0" fieldPosition="0">
        <references count="3">
          <reference field="11" count="1" selected="0">
            <x v="14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34">
      <pivotArea dataOnly="0" labelOnly="1" outline="0" fieldPosition="0">
        <references count="3">
          <reference field="11" count="1" selected="0">
            <x v="147"/>
          </reference>
          <reference field="12" count="1" selected="0">
            <x v="59"/>
          </reference>
          <reference field="13" count="1">
            <x v="9"/>
          </reference>
        </references>
      </pivotArea>
    </format>
    <format dxfId="633">
      <pivotArea dataOnly="0" labelOnly="1" outline="0" fieldPosition="0">
        <references count="3">
          <reference field="11" count="1" selected="0">
            <x v="14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32">
      <pivotArea dataOnly="0" labelOnly="1" outline="0" fieldPosition="0">
        <references count="3">
          <reference field="11" count="1" selected="0">
            <x v="149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631">
      <pivotArea dataOnly="0" labelOnly="1" outline="0" fieldPosition="0">
        <references count="3">
          <reference field="11" count="1" selected="0">
            <x v="150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630">
      <pivotArea dataOnly="0" labelOnly="1" outline="0" fieldPosition="0">
        <references count="3">
          <reference field="11" count="1" selected="0">
            <x v="151"/>
          </reference>
          <reference field="12" count="1" selected="0">
            <x v="122"/>
          </reference>
          <reference field="13" count="1">
            <x v="9"/>
          </reference>
        </references>
      </pivotArea>
    </format>
    <format dxfId="629">
      <pivotArea dataOnly="0" labelOnly="1" outline="0" fieldPosition="0">
        <references count="3">
          <reference field="11" count="1" selected="0">
            <x v="152"/>
          </reference>
          <reference field="12" count="1" selected="0">
            <x v="40"/>
          </reference>
          <reference field="13" count="1">
            <x v="9"/>
          </reference>
        </references>
      </pivotArea>
    </format>
    <format dxfId="628">
      <pivotArea dataOnly="0" labelOnly="1" outline="0" fieldPosition="0">
        <references count="3">
          <reference field="11" count="1" selected="0">
            <x v="153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627">
      <pivotArea dataOnly="0" labelOnly="1" outline="0" fieldPosition="0">
        <references count="3">
          <reference field="11" count="1" selected="0">
            <x v="154"/>
          </reference>
          <reference field="12" count="1" selected="0">
            <x v="46"/>
          </reference>
          <reference field="13" count="1">
            <x v="17"/>
          </reference>
        </references>
      </pivotArea>
    </format>
    <format dxfId="626">
      <pivotArea dataOnly="0" labelOnly="1" outline="0" fieldPosition="0">
        <references count="3">
          <reference field="11" count="1" selected="0">
            <x v="15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25">
      <pivotArea dataOnly="0" labelOnly="1" outline="0" fieldPosition="0">
        <references count="3">
          <reference field="11" count="1" selected="0">
            <x v="156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624">
      <pivotArea dataOnly="0" labelOnly="1" outline="0" fieldPosition="0">
        <references count="3">
          <reference field="11" count="1" selected="0">
            <x v="157"/>
          </reference>
          <reference field="12" count="1" selected="0">
            <x v="88"/>
          </reference>
          <reference field="13" count="1">
            <x v="22"/>
          </reference>
        </references>
      </pivotArea>
    </format>
    <format dxfId="623">
      <pivotArea dataOnly="0" labelOnly="1" outline="0" fieldPosition="0">
        <references count="3">
          <reference field="11" count="1" selected="0">
            <x v="158"/>
          </reference>
          <reference field="12" count="1" selected="0">
            <x v="23"/>
          </reference>
          <reference field="13" count="1">
            <x v="22"/>
          </reference>
        </references>
      </pivotArea>
    </format>
    <format dxfId="622">
      <pivotArea dataOnly="0" labelOnly="1" outline="0" fieldPosition="0">
        <references count="3">
          <reference field="11" count="1" selected="0">
            <x v="159"/>
          </reference>
          <reference field="12" count="1" selected="0">
            <x v="151"/>
          </reference>
          <reference field="13" count="1">
            <x v="22"/>
          </reference>
        </references>
      </pivotArea>
    </format>
    <format dxfId="621">
      <pivotArea dataOnly="0" labelOnly="1" outline="0" fieldPosition="0">
        <references count="3">
          <reference field="11" count="1" selected="0">
            <x v="16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620">
      <pivotArea dataOnly="0" labelOnly="1" outline="0" fieldPosition="0">
        <references count="3">
          <reference field="11" count="1" selected="0">
            <x v="161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619">
      <pivotArea dataOnly="0" labelOnly="1" outline="0" fieldPosition="0">
        <references count="3">
          <reference field="11" count="1" selected="0">
            <x v="162"/>
          </reference>
          <reference field="12" count="1" selected="0">
            <x v="0"/>
          </reference>
          <reference field="13" count="1">
            <x v="7"/>
          </reference>
        </references>
      </pivotArea>
    </format>
    <format dxfId="618">
      <pivotArea dataOnly="0" labelOnly="1" outline="0" fieldPosition="0">
        <references count="3">
          <reference field="11" count="1" selected="0">
            <x v="16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17">
      <pivotArea dataOnly="0" labelOnly="1" outline="0" fieldPosition="0">
        <references count="3">
          <reference field="11" count="1" selected="0">
            <x v="164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616">
      <pivotArea dataOnly="0" labelOnly="1" outline="0" fieldPosition="0">
        <references count="3">
          <reference field="11" count="1" selected="0">
            <x v="16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615">
      <pivotArea dataOnly="0" labelOnly="1" outline="0" fieldPosition="0">
        <references count="3">
          <reference field="11" count="1" selected="0">
            <x v="166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614">
      <pivotArea dataOnly="0" labelOnly="1" outline="0" fieldPosition="0">
        <references count="3">
          <reference field="11" count="1" selected="0">
            <x v="16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13">
      <pivotArea dataOnly="0" labelOnly="1" outline="0" fieldPosition="0">
        <references count="3">
          <reference field="11" count="1" selected="0">
            <x v="16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12">
      <pivotArea dataOnly="0" labelOnly="1" outline="0" fieldPosition="0">
        <references count="3">
          <reference field="11" count="1" selected="0">
            <x v="16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11">
      <pivotArea dataOnly="0" labelOnly="1" outline="0" fieldPosition="0">
        <references count="3">
          <reference field="11" count="1" selected="0">
            <x v="170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610">
      <pivotArea dataOnly="0" labelOnly="1" outline="0" fieldPosition="0">
        <references count="3">
          <reference field="11" count="1" selected="0">
            <x v="171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609">
      <pivotArea dataOnly="0" labelOnly="1" outline="0" fieldPosition="0">
        <references count="3">
          <reference field="11" count="1" selected="0">
            <x v="17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08">
      <pivotArea dataOnly="0" labelOnly="1" outline="0" fieldPosition="0">
        <references count="3">
          <reference field="11" count="1" selected="0">
            <x v="173"/>
          </reference>
          <reference field="12" count="1" selected="0">
            <x v="133"/>
          </reference>
          <reference field="13" count="1">
            <x v="22"/>
          </reference>
        </references>
      </pivotArea>
    </format>
    <format dxfId="607">
      <pivotArea dataOnly="0" labelOnly="1" outline="0" fieldPosition="0">
        <references count="3">
          <reference field="11" count="1" selected="0">
            <x v="174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06">
      <pivotArea dataOnly="0" labelOnly="1" outline="0" fieldPosition="0">
        <references count="3">
          <reference field="11" count="1" selected="0">
            <x v="175"/>
          </reference>
          <reference field="12" count="1" selected="0">
            <x v="111"/>
          </reference>
          <reference field="13" count="1">
            <x v="22"/>
          </reference>
        </references>
      </pivotArea>
    </format>
    <format dxfId="605">
      <pivotArea dataOnly="0" labelOnly="1" outline="0" fieldPosition="0">
        <references count="3">
          <reference field="11" count="1" selected="0">
            <x v="17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04">
      <pivotArea dataOnly="0" labelOnly="1" outline="0" fieldPosition="0">
        <references count="3">
          <reference field="11" count="1" selected="0">
            <x v="17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603">
      <pivotArea dataOnly="0" labelOnly="1" outline="0" fieldPosition="0">
        <references count="3">
          <reference field="11" count="1" selected="0">
            <x v="178"/>
          </reference>
          <reference field="12" count="1" selected="0">
            <x v="133"/>
          </reference>
          <reference field="13" count="1">
            <x v="22"/>
          </reference>
        </references>
      </pivotArea>
    </format>
    <format dxfId="602">
      <pivotArea dataOnly="0" labelOnly="1" outline="0" fieldPosition="0">
        <references count="3">
          <reference field="11" count="1" selected="0">
            <x v="179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601">
      <pivotArea dataOnly="0" labelOnly="1" outline="0" fieldPosition="0">
        <references count="3">
          <reference field="11" count="1" selected="0">
            <x v="18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600">
      <pivotArea dataOnly="0" labelOnly="1" outline="0" fieldPosition="0">
        <references count="3">
          <reference field="11" count="1" selected="0">
            <x v="181"/>
          </reference>
          <reference field="12" count="1" selected="0">
            <x v="76"/>
          </reference>
          <reference field="13" count="1">
            <x v="3"/>
          </reference>
        </references>
      </pivotArea>
    </format>
    <format dxfId="599">
      <pivotArea dataOnly="0" labelOnly="1" outline="0" fieldPosition="0">
        <references count="3">
          <reference field="11" count="1" selected="0">
            <x v="18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98">
      <pivotArea dataOnly="0" labelOnly="1" outline="0" fieldPosition="0">
        <references count="3">
          <reference field="11" count="1" selected="0">
            <x v="18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97">
      <pivotArea dataOnly="0" labelOnly="1" outline="0" fieldPosition="0">
        <references count="3">
          <reference field="11" count="1" selected="0">
            <x v="184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596">
      <pivotArea dataOnly="0" labelOnly="1" outline="0" fieldPosition="0">
        <references count="3">
          <reference field="11" count="1" selected="0">
            <x v="18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95">
      <pivotArea dataOnly="0" labelOnly="1" outline="0" fieldPosition="0">
        <references count="3">
          <reference field="11" count="1" selected="0">
            <x v="18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94">
      <pivotArea dataOnly="0" labelOnly="1" outline="0" fieldPosition="0">
        <references count="3">
          <reference field="11" count="1" selected="0">
            <x v="18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93">
      <pivotArea dataOnly="0" labelOnly="1" outline="0" fieldPosition="0">
        <references count="3">
          <reference field="11" count="1" selected="0">
            <x v="18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92">
      <pivotArea dataOnly="0" labelOnly="1" outline="0" fieldPosition="0">
        <references count="3">
          <reference field="11" count="1" selected="0">
            <x v="189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591">
      <pivotArea dataOnly="0" labelOnly="1" outline="0" fieldPosition="0">
        <references count="3">
          <reference field="11" count="1" selected="0">
            <x v="190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590">
      <pivotArea dataOnly="0" labelOnly="1" outline="0" fieldPosition="0">
        <references count="3">
          <reference field="11" count="1" selected="0">
            <x v="191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89">
      <pivotArea dataOnly="0" labelOnly="1" outline="0" fieldPosition="0">
        <references count="3">
          <reference field="11" count="1" selected="0">
            <x v="192"/>
          </reference>
          <reference field="12" count="1" selected="0">
            <x v="87"/>
          </reference>
          <reference field="13" count="1">
            <x v="4"/>
          </reference>
        </references>
      </pivotArea>
    </format>
    <format dxfId="588">
      <pivotArea dataOnly="0" labelOnly="1" outline="0" fieldPosition="0">
        <references count="3">
          <reference field="11" count="1" selected="0">
            <x v="193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87">
      <pivotArea dataOnly="0" labelOnly="1" outline="0" fieldPosition="0">
        <references count="3">
          <reference field="11" count="1" selected="0">
            <x v="194"/>
          </reference>
          <reference field="12" count="1" selected="0">
            <x v="27"/>
          </reference>
          <reference field="13" count="1">
            <x v="16"/>
          </reference>
        </references>
      </pivotArea>
    </format>
    <format dxfId="586">
      <pivotArea dataOnly="0" labelOnly="1" outline="0" fieldPosition="0">
        <references count="3">
          <reference field="11" count="1" selected="0">
            <x v="195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585">
      <pivotArea dataOnly="0" labelOnly="1" outline="0" fieldPosition="0">
        <references count="3">
          <reference field="11" count="1" selected="0">
            <x v="19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84">
      <pivotArea dataOnly="0" labelOnly="1" outline="0" fieldPosition="0">
        <references count="3">
          <reference field="11" count="1" selected="0">
            <x v="19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83">
      <pivotArea dataOnly="0" labelOnly="1" outline="0" fieldPosition="0">
        <references count="3">
          <reference field="11" count="1" selected="0">
            <x v="19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82">
      <pivotArea dataOnly="0" labelOnly="1" outline="0" fieldPosition="0">
        <references count="3">
          <reference field="11" count="1" selected="0">
            <x v="19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81">
      <pivotArea dataOnly="0" labelOnly="1" outline="0" fieldPosition="0">
        <references count="3">
          <reference field="11" count="1" selected="0">
            <x v="200"/>
          </reference>
          <reference field="12" count="1" selected="0">
            <x v="133"/>
          </reference>
          <reference field="13" count="1">
            <x v="22"/>
          </reference>
        </references>
      </pivotArea>
    </format>
    <format dxfId="580">
      <pivotArea dataOnly="0" labelOnly="1" outline="0" fieldPosition="0">
        <references count="3">
          <reference field="11" count="1" selected="0">
            <x v="201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579">
      <pivotArea dataOnly="0" labelOnly="1" outline="0" fieldPosition="0">
        <references count="3">
          <reference field="11" count="1" selected="0">
            <x v="202"/>
          </reference>
          <reference field="12" count="1" selected="0">
            <x v="102"/>
          </reference>
          <reference field="13" count="1">
            <x v="22"/>
          </reference>
        </references>
      </pivotArea>
    </format>
    <format dxfId="578">
      <pivotArea dataOnly="0" labelOnly="1" outline="0" fieldPosition="0">
        <references count="3">
          <reference field="11" count="1" selected="0">
            <x v="203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77">
      <pivotArea dataOnly="0" labelOnly="1" outline="0" fieldPosition="0">
        <references count="3">
          <reference field="11" count="1" selected="0">
            <x v="204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76">
      <pivotArea dataOnly="0" labelOnly="1" outline="0" fieldPosition="0">
        <references count="3">
          <reference field="11" count="1" selected="0">
            <x v="205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75">
      <pivotArea dataOnly="0" labelOnly="1" outline="0" fieldPosition="0">
        <references count="3">
          <reference field="11" count="1" selected="0">
            <x v="206"/>
          </reference>
          <reference field="12" count="1" selected="0">
            <x v="46"/>
          </reference>
          <reference field="13" count="1">
            <x v="17"/>
          </reference>
        </references>
      </pivotArea>
    </format>
    <format dxfId="574">
      <pivotArea dataOnly="0" labelOnly="1" outline="0" fieldPosition="0">
        <references count="3">
          <reference field="11" count="1" selected="0">
            <x v="20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73">
      <pivotArea dataOnly="0" labelOnly="1" outline="0" fieldPosition="0">
        <references count="3">
          <reference field="11" count="1" selected="0">
            <x v="20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72">
      <pivotArea dataOnly="0" labelOnly="1" outline="0" fieldPosition="0">
        <references count="3">
          <reference field="11" count="1" selected="0">
            <x v="20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71">
      <pivotArea dataOnly="0" labelOnly="1" outline="0" fieldPosition="0">
        <references count="3">
          <reference field="11" count="1" selected="0">
            <x v="210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570">
      <pivotArea dataOnly="0" labelOnly="1" outline="0" fieldPosition="0">
        <references count="3">
          <reference field="11" count="1" selected="0">
            <x v="211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569">
      <pivotArea dataOnly="0" labelOnly="1" outline="0" fieldPosition="0">
        <references count="3">
          <reference field="11" count="1" selected="0">
            <x v="212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568">
      <pivotArea dataOnly="0" labelOnly="1" outline="0" fieldPosition="0">
        <references count="3">
          <reference field="11" count="1" selected="0">
            <x v="21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67">
      <pivotArea dataOnly="0" labelOnly="1" outline="0" fieldPosition="0">
        <references count="3">
          <reference field="11" count="1" selected="0">
            <x v="214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566">
      <pivotArea dataOnly="0" labelOnly="1" outline="0" fieldPosition="0">
        <references count="3">
          <reference field="11" count="1" selected="0">
            <x v="21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65">
      <pivotArea dataOnly="0" labelOnly="1" outline="0" fieldPosition="0">
        <references count="3">
          <reference field="11" count="1" selected="0">
            <x v="21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64">
      <pivotArea dataOnly="0" labelOnly="1" outline="0" fieldPosition="0">
        <references count="3">
          <reference field="11" count="1" selected="0">
            <x v="217"/>
          </reference>
          <reference field="12" count="1" selected="0">
            <x v="118"/>
          </reference>
          <reference field="13" count="1">
            <x v="11"/>
          </reference>
        </references>
      </pivotArea>
    </format>
    <format dxfId="563">
      <pivotArea dataOnly="0" labelOnly="1" outline="0" fieldPosition="0">
        <references count="3">
          <reference field="11" count="1" selected="0">
            <x v="218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62">
      <pivotArea dataOnly="0" labelOnly="1" outline="0" fieldPosition="0">
        <references count="3">
          <reference field="11" count="1" selected="0">
            <x v="219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561">
      <pivotArea dataOnly="0" labelOnly="1" outline="0" fieldPosition="0">
        <references count="3">
          <reference field="11" count="1" selected="0">
            <x v="220"/>
          </reference>
          <reference field="12" count="1" selected="0">
            <x v="131"/>
          </reference>
          <reference field="13" count="1">
            <x v="19"/>
          </reference>
        </references>
      </pivotArea>
    </format>
    <format dxfId="560">
      <pivotArea dataOnly="0" labelOnly="1" outline="0" fieldPosition="0">
        <references count="3">
          <reference field="11" count="1" selected="0">
            <x v="221"/>
          </reference>
          <reference field="12" count="1" selected="0">
            <x v="75"/>
          </reference>
          <reference field="13" count="1">
            <x v="22"/>
          </reference>
        </references>
      </pivotArea>
    </format>
    <format dxfId="559">
      <pivotArea dataOnly="0" labelOnly="1" outline="0" fieldPosition="0">
        <references count="3">
          <reference field="11" count="1" selected="0">
            <x v="222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558">
      <pivotArea dataOnly="0" labelOnly="1" outline="0" fieldPosition="0">
        <references count="3">
          <reference field="11" count="1" selected="0">
            <x v="223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557">
      <pivotArea dataOnly="0" labelOnly="1" outline="0" fieldPosition="0">
        <references count="3">
          <reference field="11" count="1" selected="0">
            <x v="224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556">
      <pivotArea dataOnly="0" labelOnly="1" outline="0" fieldPosition="0">
        <references count="3">
          <reference field="11" count="1" selected="0">
            <x v="225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555">
      <pivotArea dataOnly="0" labelOnly="1" outline="0" fieldPosition="0">
        <references count="3">
          <reference field="11" count="1" selected="0">
            <x v="226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54">
      <pivotArea dataOnly="0" labelOnly="1" outline="0" fieldPosition="0">
        <references count="3">
          <reference field="11" count="1" selected="0">
            <x v="227"/>
          </reference>
          <reference field="12" count="1" selected="0">
            <x v="91"/>
          </reference>
          <reference field="13" count="1">
            <x v="22"/>
          </reference>
        </references>
      </pivotArea>
    </format>
    <format dxfId="553">
      <pivotArea dataOnly="0" labelOnly="1" outline="0" fieldPosition="0">
        <references count="3">
          <reference field="11" count="1" selected="0">
            <x v="22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52">
      <pivotArea dataOnly="0" labelOnly="1" outline="0" fieldPosition="0">
        <references count="3">
          <reference field="11" count="1" selected="0">
            <x v="229"/>
          </reference>
          <reference field="12" count="1" selected="0">
            <x v="131"/>
          </reference>
          <reference field="13" count="1">
            <x v="19"/>
          </reference>
        </references>
      </pivotArea>
    </format>
    <format dxfId="551">
      <pivotArea dataOnly="0" labelOnly="1" outline="0" fieldPosition="0">
        <references count="3">
          <reference field="11" count="1" selected="0">
            <x v="230"/>
          </reference>
          <reference field="12" count="1" selected="0">
            <x v="18"/>
          </reference>
          <reference field="13" count="1">
            <x v="22"/>
          </reference>
        </references>
      </pivotArea>
    </format>
    <format dxfId="550">
      <pivotArea dataOnly="0" labelOnly="1" outline="0" fieldPosition="0">
        <references count="3">
          <reference field="11" count="1" selected="0">
            <x v="231"/>
          </reference>
          <reference field="12" count="1" selected="0">
            <x v="56"/>
          </reference>
          <reference field="13" count="1">
            <x v="19"/>
          </reference>
        </references>
      </pivotArea>
    </format>
    <format dxfId="549">
      <pivotArea dataOnly="0" labelOnly="1" outline="0" fieldPosition="0">
        <references count="3">
          <reference field="11" count="1" selected="0">
            <x v="232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548">
      <pivotArea dataOnly="0" labelOnly="1" outline="0" fieldPosition="0">
        <references count="3">
          <reference field="11" count="1" selected="0">
            <x v="233"/>
          </reference>
          <reference field="12" count="1" selected="0">
            <x v="79"/>
          </reference>
          <reference field="13" count="1">
            <x v="16"/>
          </reference>
        </references>
      </pivotArea>
    </format>
    <format dxfId="547">
      <pivotArea dataOnly="0" labelOnly="1" outline="0" fieldPosition="0">
        <references count="3">
          <reference field="11" count="1" selected="0">
            <x v="234"/>
          </reference>
          <reference field="12" count="1" selected="0">
            <x v="37"/>
          </reference>
          <reference field="13" count="1">
            <x v="19"/>
          </reference>
        </references>
      </pivotArea>
    </format>
    <format dxfId="546">
      <pivotArea dataOnly="0" labelOnly="1" outline="0" fieldPosition="0">
        <references count="3">
          <reference field="11" count="1" selected="0">
            <x v="235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545">
      <pivotArea dataOnly="0" labelOnly="1" outline="0" fieldPosition="0">
        <references count="3">
          <reference field="11" count="1" selected="0">
            <x v="23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44">
      <pivotArea dataOnly="0" labelOnly="1" outline="0" fieldPosition="0">
        <references count="3">
          <reference field="11" count="1" selected="0">
            <x v="237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543">
      <pivotArea dataOnly="0" labelOnly="1" outline="0" fieldPosition="0">
        <references count="3">
          <reference field="11" count="1" selected="0">
            <x v="238"/>
          </reference>
          <reference field="12" count="1" selected="0">
            <x v="15"/>
          </reference>
          <reference field="13" count="1">
            <x v="20"/>
          </reference>
        </references>
      </pivotArea>
    </format>
    <format dxfId="542">
      <pivotArea dataOnly="0" labelOnly="1" outline="0" fieldPosition="0">
        <references count="3">
          <reference field="11" count="1" selected="0">
            <x v="239"/>
          </reference>
          <reference field="12" count="1" selected="0">
            <x v="79"/>
          </reference>
          <reference field="13" count="1">
            <x v="16"/>
          </reference>
        </references>
      </pivotArea>
    </format>
    <format dxfId="541">
      <pivotArea dataOnly="0" labelOnly="1" outline="0" fieldPosition="0">
        <references count="3">
          <reference field="11" count="1" selected="0">
            <x v="240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540">
      <pivotArea dataOnly="0" labelOnly="1" outline="0" fieldPosition="0">
        <references count="3">
          <reference field="11" count="1" selected="0">
            <x v="241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539">
      <pivotArea dataOnly="0" labelOnly="1" outline="0" fieldPosition="0">
        <references count="3">
          <reference field="11" count="1" selected="0">
            <x v="242"/>
          </reference>
          <reference field="12" count="1" selected="0">
            <x v="149"/>
          </reference>
          <reference field="13" count="1">
            <x v="6"/>
          </reference>
        </references>
      </pivotArea>
    </format>
    <format dxfId="538">
      <pivotArea dataOnly="0" labelOnly="1" outline="0" fieldPosition="0">
        <references count="3">
          <reference field="11" count="1" selected="0">
            <x v="24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37">
      <pivotArea dataOnly="0" labelOnly="1" outline="0" fieldPosition="0">
        <references count="3">
          <reference field="11" count="1" selected="0">
            <x v="244"/>
          </reference>
          <reference field="12" count="1" selected="0">
            <x v="146"/>
          </reference>
          <reference field="13" count="1">
            <x v="6"/>
          </reference>
        </references>
      </pivotArea>
    </format>
    <format dxfId="536">
      <pivotArea dataOnly="0" labelOnly="1" outline="0" fieldPosition="0">
        <references count="3">
          <reference field="11" count="1" selected="0">
            <x v="245"/>
          </reference>
          <reference field="12" count="1" selected="0">
            <x v="138"/>
          </reference>
          <reference field="13" count="1">
            <x v="17"/>
          </reference>
        </references>
      </pivotArea>
    </format>
    <format dxfId="535">
      <pivotArea dataOnly="0" labelOnly="1" outline="0" fieldPosition="0">
        <references count="3">
          <reference field="11" count="1" selected="0">
            <x v="246"/>
          </reference>
          <reference field="12" count="1" selected="0">
            <x v="133"/>
          </reference>
          <reference field="13" count="1">
            <x v="22"/>
          </reference>
        </references>
      </pivotArea>
    </format>
    <format dxfId="534">
      <pivotArea dataOnly="0" labelOnly="1" outline="0" fieldPosition="0">
        <references count="3">
          <reference field="11" count="1" selected="0">
            <x v="247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533">
      <pivotArea dataOnly="0" labelOnly="1" outline="0" fieldPosition="0">
        <references count="3">
          <reference field="11" count="1" selected="0">
            <x v="248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532">
      <pivotArea dataOnly="0" labelOnly="1" outline="0" fieldPosition="0">
        <references count="3">
          <reference field="11" count="1" selected="0">
            <x v="249"/>
          </reference>
          <reference field="12" count="1" selected="0">
            <x v="89"/>
          </reference>
          <reference field="13" count="1">
            <x v="16"/>
          </reference>
        </references>
      </pivotArea>
    </format>
    <format dxfId="531">
      <pivotArea dataOnly="0" labelOnly="1" outline="0" fieldPosition="0">
        <references count="3">
          <reference field="11" count="1" selected="0">
            <x v="25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30">
      <pivotArea dataOnly="0" labelOnly="1" outline="0" fieldPosition="0">
        <references count="3">
          <reference field="11" count="1" selected="0">
            <x v="251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529">
      <pivotArea dataOnly="0" labelOnly="1" outline="0" fieldPosition="0">
        <references count="3">
          <reference field="11" count="1" selected="0">
            <x v="25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28">
      <pivotArea dataOnly="0" labelOnly="1" outline="0" fieldPosition="0">
        <references count="3">
          <reference field="11" count="1" selected="0">
            <x v="25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27">
      <pivotArea dataOnly="0" labelOnly="1" outline="0" fieldPosition="0">
        <references count="3">
          <reference field="11" count="1" selected="0">
            <x v="254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26">
      <pivotArea dataOnly="0" labelOnly="1" outline="0" fieldPosition="0">
        <references count="3">
          <reference field="11" count="1" selected="0">
            <x v="255"/>
          </reference>
          <reference field="12" count="1" selected="0">
            <x v="35"/>
          </reference>
          <reference field="13" count="1">
            <x v="7"/>
          </reference>
        </references>
      </pivotArea>
    </format>
    <format dxfId="525">
      <pivotArea dataOnly="0" labelOnly="1" outline="0" fieldPosition="0">
        <references count="3">
          <reference field="11" count="1" selected="0">
            <x v="256"/>
          </reference>
          <reference field="12" count="1" selected="0">
            <x v="125"/>
          </reference>
          <reference field="13" count="1">
            <x v="22"/>
          </reference>
        </references>
      </pivotArea>
    </format>
    <format dxfId="524">
      <pivotArea dataOnly="0" labelOnly="1" outline="0" fieldPosition="0">
        <references count="3">
          <reference field="11" count="1" selected="0">
            <x v="25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23">
      <pivotArea dataOnly="0" labelOnly="1" outline="0" fieldPosition="0">
        <references count="3">
          <reference field="11" count="1" selected="0">
            <x v="258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522">
      <pivotArea dataOnly="0" labelOnly="1" outline="0" fieldPosition="0">
        <references count="3">
          <reference field="11" count="1" selected="0">
            <x v="259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521">
      <pivotArea dataOnly="0" labelOnly="1" outline="0" fieldPosition="0">
        <references count="3">
          <reference field="11" count="1" selected="0">
            <x v="260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520">
      <pivotArea dataOnly="0" labelOnly="1" outline="0" fieldPosition="0">
        <references count="3">
          <reference field="11" count="1" selected="0">
            <x v="261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519">
      <pivotArea dataOnly="0" labelOnly="1" outline="0" fieldPosition="0">
        <references count="3">
          <reference field="11" count="1" selected="0">
            <x v="262"/>
          </reference>
          <reference field="12" count="1" selected="0">
            <x v="101"/>
          </reference>
          <reference field="13" count="1">
            <x v="14"/>
          </reference>
        </references>
      </pivotArea>
    </format>
    <format dxfId="518">
      <pivotArea dataOnly="0" labelOnly="1" outline="0" fieldPosition="0">
        <references count="3">
          <reference field="11" count="1" selected="0">
            <x v="263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517">
      <pivotArea dataOnly="0" labelOnly="1" outline="0" fieldPosition="0">
        <references count="3">
          <reference field="11" count="1" selected="0">
            <x v="264"/>
          </reference>
          <reference field="12" count="1" selected="0">
            <x v="48"/>
          </reference>
          <reference field="13" count="1">
            <x v="19"/>
          </reference>
        </references>
      </pivotArea>
    </format>
    <format dxfId="516">
      <pivotArea dataOnly="0" labelOnly="1" outline="0" fieldPosition="0">
        <references count="3">
          <reference field="11" count="1" selected="0">
            <x v="265"/>
          </reference>
          <reference field="12" count="1" selected="0">
            <x v="48"/>
          </reference>
          <reference field="13" count="1">
            <x v="19"/>
          </reference>
        </references>
      </pivotArea>
    </format>
    <format dxfId="515">
      <pivotArea dataOnly="0" labelOnly="1" outline="0" fieldPosition="0">
        <references count="3">
          <reference field="11" count="1" selected="0">
            <x v="266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14">
      <pivotArea dataOnly="0" labelOnly="1" outline="0" fieldPosition="0">
        <references count="3">
          <reference field="11" count="1" selected="0">
            <x v="267"/>
          </reference>
          <reference field="12" count="1" selected="0">
            <x v="49"/>
          </reference>
          <reference field="13" count="1">
            <x v="3"/>
          </reference>
        </references>
      </pivotArea>
    </format>
    <format dxfId="513">
      <pivotArea dataOnly="0" labelOnly="1" outline="0" fieldPosition="0">
        <references count="3">
          <reference field="11" count="1" selected="0">
            <x v="268"/>
          </reference>
          <reference field="12" count="1" selected="0">
            <x v="3"/>
          </reference>
          <reference field="13" count="1">
            <x v="13"/>
          </reference>
        </references>
      </pivotArea>
    </format>
    <format dxfId="512">
      <pivotArea dataOnly="0" labelOnly="1" outline="0" fieldPosition="0">
        <references count="3">
          <reference field="11" count="1" selected="0">
            <x v="269"/>
          </reference>
          <reference field="12" count="1" selected="0">
            <x v="16"/>
          </reference>
          <reference field="13" count="1">
            <x v="9"/>
          </reference>
        </references>
      </pivotArea>
    </format>
    <format dxfId="511">
      <pivotArea dataOnly="0" labelOnly="1" outline="0" fieldPosition="0">
        <references count="3">
          <reference field="11" count="1" selected="0">
            <x v="27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10">
      <pivotArea dataOnly="0" labelOnly="1" outline="0" fieldPosition="0">
        <references count="3">
          <reference field="11" count="1" selected="0">
            <x v="271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509">
      <pivotArea dataOnly="0" labelOnly="1" outline="0" fieldPosition="0">
        <references count="3">
          <reference field="11" count="1" selected="0">
            <x v="27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08">
      <pivotArea dataOnly="0" labelOnly="1" outline="0" fieldPosition="0">
        <references count="3">
          <reference field="11" count="1" selected="0">
            <x v="27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507">
      <pivotArea dataOnly="0" labelOnly="1" outline="0" fieldPosition="0">
        <references count="3">
          <reference field="11" count="1" selected="0">
            <x v="274"/>
          </reference>
          <reference field="12" count="1" selected="0">
            <x v="115"/>
          </reference>
          <reference field="13" count="1">
            <x v="16"/>
          </reference>
        </references>
      </pivotArea>
    </format>
    <format dxfId="506">
      <pivotArea dataOnly="0" labelOnly="1" outline="0" fieldPosition="0">
        <references count="3">
          <reference field="11" count="1" selected="0">
            <x v="275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505">
      <pivotArea dataOnly="0" labelOnly="1" outline="0" fieldPosition="0">
        <references count="3">
          <reference field="11" count="1" selected="0">
            <x v="276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504">
      <pivotArea dataOnly="0" labelOnly="1" outline="0" fieldPosition="0">
        <references count="3">
          <reference field="11" count="1" selected="0">
            <x v="277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503">
      <pivotArea dataOnly="0" labelOnly="1" outline="0" fieldPosition="0">
        <references count="3">
          <reference field="11" count="1" selected="0">
            <x v="278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502">
      <pivotArea dataOnly="0" labelOnly="1" outline="0" fieldPosition="0">
        <references count="3">
          <reference field="11" count="1" selected="0">
            <x v="27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501">
      <pivotArea dataOnly="0" labelOnly="1" outline="0" fieldPosition="0">
        <references count="3">
          <reference field="11" count="1" selected="0">
            <x v="280"/>
          </reference>
          <reference field="12" count="1" selected="0">
            <x v="134"/>
          </reference>
          <reference field="13" count="1">
            <x v="3"/>
          </reference>
        </references>
      </pivotArea>
    </format>
    <format dxfId="500">
      <pivotArea dataOnly="0" labelOnly="1" outline="0" fieldPosition="0">
        <references count="3">
          <reference field="11" count="1" selected="0">
            <x v="281"/>
          </reference>
          <reference field="12" count="1" selected="0">
            <x v="142"/>
          </reference>
          <reference field="13" count="1">
            <x v="22"/>
          </reference>
        </references>
      </pivotArea>
    </format>
    <format dxfId="499">
      <pivotArea dataOnly="0" labelOnly="1" outline="0" fieldPosition="0">
        <references count="3">
          <reference field="11" count="1" selected="0">
            <x v="282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98">
      <pivotArea dataOnly="0" labelOnly="1" outline="0" fieldPosition="0">
        <references count="3">
          <reference field="11" count="1" selected="0">
            <x v="283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97">
      <pivotArea dataOnly="0" labelOnly="1" outline="0" fieldPosition="0">
        <references count="3">
          <reference field="11" count="1" selected="0">
            <x v="284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96">
      <pivotArea dataOnly="0" labelOnly="1" outline="0" fieldPosition="0">
        <references count="3">
          <reference field="11" count="1" selected="0">
            <x v="285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95">
      <pivotArea dataOnly="0" labelOnly="1" outline="0" fieldPosition="0">
        <references count="3">
          <reference field="11" count="1" selected="0">
            <x v="28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94">
      <pivotArea dataOnly="0" labelOnly="1" outline="0" fieldPosition="0">
        <references count="3">
          <reference field="11" count="1" selected="0">
            <x v="287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93">
      <pivotArea dataOnly="0" labelOnly="1" outline="0" fieldPosition="0">
        <references count="3">
          <reference field="11" count="1" selected="0">
            <x v="288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492">
      <pivotArea dataOnly="0" labelOnly="1" outline="0" fieldPosition="0">
        <references count="3">
          <reference field="11" count="1" selected="0">
            <x v="289"/>
          </reference>
          <reference field="12" count="1" selected="0">
            <x v="74"/>
          </reference>
          <reference field="13" count="1">
            <x v="9"/>
          </reference>
        </references>
      </pivotArea>
    </format>
    <format dxfId="491">
      <pivotArea dataOnly="0" labelOnly="1" outline="0" fieldPosition="0">
        <references count="3">
          <reference field="11" count="1" selected="0">
            <x v="29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90">
      <pivotArea dataOnly="0" labelOnly="1" outline="0" fieldPosition="0">
        <references count="3">
          <reference field="11" count="1" selected="0">
            <x v="291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89">
      <pivotArea dataOnly="0" labelOnly="1" outline="0" fieldPosition="0">
        <references count="3">
          <reference field="11" count="1" selected="0">
            <x v="292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488">
      <pivotArea dataOnly="0" labelOnly="1" outline="0" fieldPosition="0">
        <references count="3">
          <reference field="11" count="1" selected="0">
            <x v="293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487">
      <pivotArea dataOnly="0" labelOnly="1" outline="0" fieldPosition="0">
        <references count="3">
          <reference field="11" count="1" selected="0">
            <x v="294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86">
      <pivotArea dataOnly="0" labelOnly="1" outline="0" fieldPosition="0">
        <references count="3">
          <reference field="11" count="1" selected="0">
            <x v="295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485">
      <pivotArea dataOnly="0" labelOnly="1" outline="0" fieldPosition="0">
        <references count="3">
          <reference field="11" count="1" selected="0">
            <x v="296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84">
      <pivotArea dataOnly="0" labelOnly="1" outline="0" fieldPosition="0">
        <references count="3">
          <reference field="11" count="1" selected="0">
            <x v="297"/>
          </reference>
          <reference field="12" count="1" selected="0">
            <x v="65"/>
          </reference>
          <reference field="13" count="1">
            <x v="9"/>
          </reference>
        </references>
      </pivotArea>
    </format>
    <format dxfId="483">
      <pivotArea dataOnly="0" labelOnly="1" outline="0" fieldPosition="0">
        <references count="3">
          <reference field="11" count="1" selected="0">
            <x v="298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482">
      <pivotArea dataOnly="0" labelOnly="1" outline="0" fieldPosition="0">
        <references count="3">
          <reference field="11" count="1" selected="0">
            <x v="299"/>
          </reference>
          <reference field="12" count="1" selected="0">
            <x v="46"/>
          </reference>
          <reference field="13" count="1">
            <x v="17"/>
          </reference>
        </references>
      </pivotArea>
    </format>
    <format dxfId="481">
      <pivotArea dataOnly="0" labelOnly="1" outline="0" fieldPosition="0">
        <references count="3">
          <reference field="11" count="1" selected="0">
            <x v="30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80">
      <pivotArea dataOnly="0" labelOnly="1" outline="0" fieldPosition="0">
        <references count="3">
          <reference field="11" count="1" selected="0">
            <x v="301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479">
      <pivotArea dataOnly="0" labelOnly="1" outline="0" fieldPosition="0">
        <references count="3">
          <reference field="11" count="1" selected="0">
            <x v="302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478">
      <pivotArea dataOnly="0" labelOnly="1" outline="0" fieldPosition="0">
        <references count="3">
          <reference field="11" count="1" selected="0">
            <x v="30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77">
      <pivotArea dataOnly="0" labelOnly="1" outline="0" fieldPosition="0">
        <references count="3">
          <reference field="11" count="1" selected="0">
            <x v="304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476">
      <pivotArea dataOnly="0" labelOnly="1" outline="0" fieldPosition="0">
        <references count="3">
          <reference field="11" count="1" selected="0">
            <x v="305"/>
          </reference>
          <reference field="12" count="1" selected="0">
            <x v="53"/>
          </reference>
          <reference field="13" count="1">
            <x v="16"/>
          </reference>
        </references>
      </pivotArea>
    </format>
    <format dxfId="475">
      <pivotArea dataOnly="0" labelOnly="1" outline="0" fieldPosition="0">
        <references count="3">
          <reference field="11" count="1" selected="0">
            <x v="306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474">
      <pivotArea dataOnly="0" labelOnly="1" outline="0" fieldPosition="0">
        <references count="3">
          <reference field="11" count="1" selected="0">
            <x v="307"/>
          </reference>
          <reference field="12" count="1" selected="0">
            <x v="57"/>
          </reference>
          <reference field="13" count="1">
            <x v="14"/>
          </reference>
        </references>
      </pivotArea>
    </format>
    <format dxfId="473">
      <pivotArea dataOnly="0" labelOnly="1" outline="0" fieldPosition="0">
        <references count="3">
          <reference field="11" count="1" selected="0">
            <x v="30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72">
      <pivotArea dataOnly="0" labelOnly="1" outline="0" fieldPosition="0">
        <references count="3">
          <reference field="11" count="1" selected="0">
            <x v="309"/>
          </reference>
          <reference field="12" count="1" selected="0">
            <x v="6"/>
          </reference>
          <reference field="13" count="1">
            <x v="7"/>
          </reference>
        </references>
      </pivotArea>
    </format>
    <format dxfId="471">
      <pivotArea dataOnly="0" labelOnly="1" outline="0" fieldPosition="0">
        <references count="3">
          <reference field="11" count="1" selected="0">
            <x v="310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70">
      <pivotArea dataOnly="0" labelOnly="1" outline="0" fieldPosition="0">
        <references count="3">
          <reference field="11" count="1" selected="0">
            <x v="31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69">
      <pivotArea dataOnly="0" labelOnly="1" outline="0" fieldPosition="0">
        <references count="3">
          <reference field="11" count="1" selected="0">
            <x v="312"/>
          </reference>
          <reference field="12" count="1" selected="0">
            <x v="150"/>
          </reference>
          <reference field="13" count="1">
            <x v="22"/>
          </reference>
        </references>
      </pivotArea>
    </format>
    <format dxfId="468">
      <pivotArea dataOnly="0" labelOnly="1" outline="0" fieldPosition="0">
        <references count="3">
          <reference field="11" count="1" selected="0">
            <x v="31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67">
      <pivotArea dataOnly="0" labelOnly="1" outline="0" fieldPosition="0">
        <references count="3">
          <reference field="11" count="1" selected="0">
            <x v="314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466">
      <pivotArea dataOnly="0" labelOnly="1" outline="0" fieldPosition="0">
        <references count="3">
          <reference field="11" count="1" selected="0">
            <x v="315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65">
      <pivotArea dataOnly="0" labelOnly="1" outline="0" fieldPosition="0">
        <references count="3">
          <reference field="11" count="1" selected="0">
            <x v="316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64">
      <pivotArea dataOnly="0" labelOnly="1" outline="0" fieldPosition="0">
        <references count="3">
          <reference field="11" count="1" selected="0">
            <x v="31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63">
      <pivotArea dataOnly="0" labelOnly="1" outline="0" fieldPosition="0">
        <references count="3">
          <reference field="11" count="1" selected="0">
            <x v="318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462">
      <pivotArea dataOnly="0" labelOnly="1" outline="0" fieldPosition="0">
        <references count="3">
          <reference field="11" count="1" selected="0">
            <x v="319"/>
          </reference>
          <reference field="12" count="1" selected="0">
            <x v="36"/>
          </reference>
          <reference field="13" count="1">
            <x v="22"/>
          </reference>
        </references>
      </pivotArea>
    </format>
    <format dxfId="461">
      <pivotArea dataOnly="0" labelOnly="1" outline="0" fieldPosition="0">
        <references count="3">
          <reference field="11" count="1" selected="0">
            <x v="320"/>
          </reference>
          <reference field="12" count="1" selected="0">
            <x v="89"/>
          </reference>
          <reference field="13" count="1">
            <x v="16"/>
          </reference>
        </references>
      </pivotArea>
    </format>
    <format dxfId="460">
      <pivotArea dataOnly="0" labelOnly="1" outline="0" fieldPosition="0">
        <references count="3">
          <reference field="11" count="1" selected="0">
            <x v="32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59">
      <pivotArea dataOnly="0" labelOnly="1" outline="0" fieldPosition="0">
        <references count="3">
          <reference field="11" count="1" selected="0">
            <x v="32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58">
      <pivotArea dataOnly="0" labelOnly="1" outline="0" fieldPosition="0">
        <references count="3">
          <reference field="11" count="1" selected="0">
            <x v="323"/>
          </reference>
          <reference field="12" count="1" selected="0">
            <x v="75"/>
          </reference>
          <reference field="13" count="1">
            <x v="22"/>
          </reference>
        </references>
      </pivotArea>
    </format>
    <format dxfId="457">
      <pivotArea dataOnly="0" labelOnly="1" outline="0" fieldPosition="0">
        <references count="3">
          <reference field="11" count="1" selected="0">
            <x v="324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456">
      <pivotArea dataOnly="0" labelOnly="1" outline="0" fieldPosition="0">
        <references count="3">
          <reference field="11" count="1" selected="0">
            <x v="325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455">
      <pivotArea dataOnly="0" labelOnly="1" outline="0" fieldPosition="0">
        <references count="3">
          <reference field="11" count="1" selected="0">
            <x v="326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54">
      <pivotArea dataOnly="0" labelOnly="1" outline="0" fieldPosition="0">
        <references count="3">
          <reference field="11" count="1" selected="0">
            <x v="32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53">
      <pivotArea dataOnly="0" labelOnly="1" outline="0" fieldPosition="0">
        <references count="3">
          <reference field="11" count="1" selected="0">
            <x v="328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52">
      <pivotArea dataOnly="0" labelOnly="1" outline="0" fieldPosition="0">
        <references count="3">
          <reference field="11" count="1" selected="0">
            <x v="32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51">
      <pivotArea dataOnly="0" labelOnly="1" outline="0" fieldPosition="0">
        <references count="3">
          <reference field="11" count="1" selected="0">
            <x v="33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50">
      <pivotArea dataOnly="0" labelOnly="1" outline="0" fieldPosition="0">
        <references count="3">
          <reference field="11" count="1" selected="0">
            <x v="331"/>
          </reference>
          <reference field="12" count="1" selected="0">
            <x v="132"/>
          </reference>
          <reference field="13" count="1">
            <x v="12"/>
          </reference>
        </references>
      </pivotArea>
    </format>
    <format dxfId="449">
      <pivotArea dataOnly="0" labelOnly="1" outline="0" fieldPosition="0">
        <references count="3">
          <reference field="11" count="1" selected="0">
            <x v="332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448">
      <pivotArea dataOnly="0" labelOnly="1" outline="0" fieldPosition="0">
        <references count="3">
          <reference field="11" count="1" selected="0">
            <x v="333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447">
      <pivotArea dataOnly="0" labelOnly="1" outline="0" fieldPosition="0">
        <references count="3">
          <reference field="11" count="1" selected="0">
            <x v="334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46">
      <pivotArea dataOnly="0" labelOnly="1" outline="0" fieldPosition="0">
        <references count="3">
          <reference field="11" count="1" selected="0">
            <x v="335"/>
          </reference>
          <reference field="12" count="1" selected="0">
            <x v="1"/>
          </reference>
          <reference field="13" count="1">
            <x v="18"/>
          </reference>
        </references>
      </pivotArea>
    </format>
    <format dxfId="445">
      <pivotArea dataOnly="0" labelOnly="1" outline="0" fieldPosition="0">
        <references count="3">
          <reference field="11" count="1" selected="0">
            <x v="336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44">
      <pivotArea dataOnly="0" labelOnly="1" outline="0" fieldPosition="0">
        <references count="3">
          <reference field="11" count="1" selected="0">
            <x v="33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43">
      <pivotArea dataOnly="0" labelOnly="1" outline="0" fieldPosition="0">
        <references count="3">
          <reference field="11" count="1" selected="0">
            <x v="33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42">
      <pivotArea dataOnly="0" labelOnly="1" outline="0" fieldPosition="0">
        <references count="3">
          <reference field="11" count="1" selected="0">
            <x v="33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41">
      <pivotArea dataOnly="0" labelOnly="1" outline="0" fieldPosition="0">
        <references count="3">
          <reference field="11" count="1" selected="0">
            <x v="34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40">
      <pivotArea dataOnly="0" labelOnly="1" outline="0" fieldPosition="0">
        <references count="3">
          <reference field="11" count="1" selected="0">
            <x v="341"/>
          </reference>
          <reference field="12" count="1" selected="0">
            <x v="22"/>
          </reference>
          <reference field="13" count="1">
            <x v="20"/>
          </reference>
        </references>
      </pivotArea>
    </format>
    <format dxfId="439">
      <pivotArea dataOnly="0" labelOnly="1" outline="0" fieldPosition="0">
        <references count="3">
          <reference field="11" count="1" selected="0">
            <x v="34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38">
      <pivotArea dataOnly="0" labelOnly="1" outline="0" fieldPosition="0">
        <references count="3">
          <reference field="11" count="1" selected="0">
            <x v="34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37">
      <pivotArea dataOnly="0" labelOnly="1" outline="0" fieldPosition="0">
        <references count="3">
          <reference field="11" count="1" selected="0">
            <x v="344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36">
      <pivotArea dataOnly="0" labelOnly="1" outline="0" fieldPosition="0">
        <references count="3">
          <reference field="11" count="1" selected="0">
            <x v="345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435">
      <pivotArea dataOnly="0" labelOnly="1" outline="0" fieldPosition="0">
        <references count="3">
          <reference field="11" count="1" selected="0">
            <x v="346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434">
      <pivotArea dataOnly="0" labelOnly="1" outline="0" fieldPosition="0">
        <references count="3">
          <reference field="11" count="1" selected="0">
            <x v="347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433">
      <pivotArea dataOnly="0" labelOnly="1" outline="0" fieldPosition="0">
        <references count="3">
          <reference field="11" count="1" selected="0">
            <x v="348"/>
          </reference>
          <reference field="12" count="1" selected="0">
            <x v="64"/>
          </reference>
          <reference field="13" count="1">
            <x v="22"/>
          </reference>
        </references>
      </pivotArea>
    </format>
    <format dxfId="432">
      <pivotArea dataOnly="0" labelOnly="1" outline="0" fieldPosition="0">
        <references count="3">
          <reference field="11" count="1" selected="0">
            <x v="349"/>
          </reference>
          <reference field="12" count="1" selected="0">
            <x v="22"/>
          </reference>
          <reference field="13" count="1">
            <x v="20"/>
          </reference>
        </references>
      </pivotArea>
    </format>
    <format dxfId="431">
      <pivotArea dataOnly="0" labelOnly="1" outline="0" fieldPosition="0">
        <references count="3">
          <reference field="11" count="1" selected="0">
            <x v="350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30">
      <pivotArea dataOnly="0" labelOnly="1" outline="0" fieldPosition="0">
        <references count="3">
          <reference field="11" count="1" selected="0">
            <x v="351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429">
      <pivotArea dataOnly="0" labelOnly="1" outline="0" fieldPosition="0">
        <references count="3">
          <reference field="11" count="1" selected="0">
            <x v="352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428">
      <pivotArea dataOnly="0" labelOnly="1" outline="0" fieldPosition="0">
        <references count="3">
          <reference field="11" count="1" selected="0">
            <x v="35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27">
      <pivotArea dataOnly="0" labelOnly="1" outline="0" fieldPosition="0">
        <references count="3">
          <reference field="11" count="1" selected="0">
            <x v="354"/>
          </reference>
          <reference field="12" count="1" selected="0">
            <x v="160"/>
          </reference>
          <reference field="13" count="1">
            <x v="6"/>
          </reference>
        </references>
      </pivotArea>
    </format>
    <format dxfId="426">
      <pivotArea dataOnly="0" labelOnly="1" outline="0" fieldPosition="0">
        <references count="3">
          <reference field="11" count="1" selected="0">
            <x v="355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425">
      <pivotArea dataOnly="0" labelOnly="1" outline="0" fieldPosition="0">
        <references count="3">
          <reference field="11" count="1" selected="0">
            <x v="356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424">
      <pivotArea dataOnly="0" labelOnly="1" outline="0" fieldPosition="0">
        <references count="3">
          <reference field="11" count="1" selected="0">
            <x v="35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23">
      <pivotArea dataOnly="0" labelOnly="1" outline="0" fieldPosition="0">
        <references count="3">
          <reference field="11" count="1" selected="0">
            <x v="35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22">
      <pivotArea dataOnly="0" labelOnly="1" outline="0" fieldPosition="0">
        <references count="3">
          <reference field="11" count="1" selected="0">
            <x v="35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21">
      <pivotArea dataOnly="0" labelOnly="1" outline="0" fieldPosition="0">
        <references count="3">
          <reference field="11" count="1" selected="0">
            <x v="360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420">
      <pivotArea dataOnly="0" labelOnly="1" outline="0" fieldPosition="0">
        <references count="3">
          <reference field="11" count="1" selected="0">
            <x v="361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419">
      <pivotArea dataOnly="0" labelOnly="1" outline="0" fieldPosition="0">
        <references count="3">
          <reference field="11" count="1" selected="0">
            <x v="362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418">
      <pivotArea dataOnly="0" labelOnly="1" outline="0" fieldPosition="0">
        <references count="3">
          <reference field="11" count="1" selected="0">
            <x v="36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17">
      <pivotArea dataOnly="0" labelOnly="1" outline="0" fieldPosition="0">
        <references count="3">
          <reference field="11" count="1" selected="0">
            <x v="364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416">
      <pivotArea dataOnly="0" labelOnly="1" outline="0" fieldPosition="0">
        <references count="3">
          <reference field="11" count="1" selected="0">
            <x v="365"/>
          </reference>
          <reference field="12" count="1" selected="0">
            <x v="54"/>
          </reference>
          <reference field="13" count="1">
            <x v="22"/>
          </reference>
        </references>
      </pivotArea>
    </format>
    <format dxfId="415">
      <pivotArea dataOnly="0" labelOnly="1" outline="0" fieldPosition="0">
        <references count="3">
          <reference field="11" count="1" selected="0">
            <x v="366"/>
          </reference>
          <reference field="12" count="1" selected="0">
            <x v="67"/>
          </reference>
          <reference field="13" count="1">
            <x v="17"/>
          </reference>
        </references>
      </pivotArea>
    </format>
    <format dxfId="414">
      <pivotArea dataOnly="0" labelOnly="1" outline="0" fieldPosition="0">
        <references count="3">
          <reference field="11" count="1" selected="0">
            <x v="367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413">
      <pivotArea dataOnly="0" labelOnly="1" outline="0" fieldPosition="0">
        <references count="3">
          <reference field="11" count="1" selected="0">
            <x v="368"/>
          </reference>
          <reference field="12" count="1" selected="0">
            <x v="29"/>
          </reference>
          <reference field="13" count="1">
            <x v="9"/>
          </reference>
        </references>
      </pivotArea>
    </format>
    <format dxfId="412">
      <pivotArea dataOnly="0" labelOnly="1" outline="0" fieldPosition="0">
        <references count="3">
          <reference field="11" count="1" selected="0">
            <x v="369"/>
          </reference>
          <reference field="12" count="1" selected="0">
            <x v="84"/>
          </reference>
          <reference field="13" count="1">
            <x v="1"/>
          </reference>
        </references>
      </pivotArea>
    </format>
    <format dxfId="411">
      <pivotArea dataOnly="0" labelOnly="1" outline="0" fieldPosition="0">
        <references count="3">
          <reference field="11" count="1" selected="0">
            <x v="370"/>
          </reference>
          <reference field="12" count="1" selected="0">
            <x v="98"/>
          </reference>
          <reference field="13" count="1">
            <x v="17"/>
          </reference>
        </references>
      </pivotArea>
    </format>
    <format dxfId="410">
      <pivotArea dataOnly="0" labelOnly="1" outline="0" fieldPosition="0">
        <references count="3">
          <reference field="11" count="1" selected="0">
            <x v="371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409">
      <pivotArea dataOnly="0" labelOnly="1" outline="0" fieldPosition="0">
        <references count="3">
          <reference field="11" count="1" selected="0">
            <x v="37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408">
      <pivotArea dataOnly="0" labelOnly="1" outline="0" fieldPosition="0">
        <references count="3">
          <reference field="11" count="1" selected="0">
            <x v="373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407">
      <pivotArea dataOnly="0" labelOnly="1" outline="0" fieldPosition="0">
        <references count="3">
          <reference field="11" count="1" selected="0">
            <x v="374"/>
          </reference>
          <reference field="12" count="1" selected="0">
            <x v="141"/>
          </reference>
          <reference field="13" count="1">
            <x v="8"/>
          </reference>
        </references>
      </pivotArea>
    </format>
    <format dxfId="406">
      <pivotArea dataOnly="0" labelOnly="1" outline="0" fieldPosition="0">
        <references count="3">
          <reference field="11" count="1" selected="0">
            <x v="37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405">
      <pivotArea dataOnly="0" labelOnly="1" outline="0" fieldPosition="0">
        <references count="3">
          <reference field="11" count="1" selected="0">
            <x v="376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404">
      <pivotArea dataOnly="0" labelOnly="1" outline="0" fieldPosition="0">
        <references count="3">
          <reference field="11" count="1" selected="0">
            <x v="377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403">
      <pivotArea dataOnly="0" labelOnly="1" outline="0" fieldPosition="0">
        <references count="3">
          <reference field="11" count="1" selected="0">
            <x v="378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402">
      <pivotArea dataOnly="0" labelOnly="1" outline="0" fieldPosition="0">
        <references count="3">
          <reference field="11" count="1" selected="0">
            <x v="379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401">
      <pivotArea dataOnly="0" labelOnly="1" outline="0" fieldPosition="0">
        <references count="3">
          <reference field="11" count="1" selected="0">
            <x v="380"/>
          </reference>
          <reference field="12" count="1" selected="0">
            <x v="105"/>
          </reference>
          <reference field="13" count="1">
            <x v="19"/>
          </reference>
        </references>
      </pivotArea>
    </format>
    <format dxfId="400">
      <pivotArea dataOnly="0" labelOnly="1" outline="0" fieldPosition="0">
        <references count="3">
          <reference field="11" count="1" selected="0">
            <x v="38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99">
      <pivotArea dataOnly="0" labelOnly="1" outline="0" fieldPosition="0">
        <references count="3">
          <reference field="11" count="1" selected="0">
            <x v="382"/>
          </reference>
          <reference field="12" count="1" selected="0">
            <x v="103"/>
          </reference>
          <reference field="13" count="1">
            <x v="22"/>
          </reference>
        </references>
      </pivotArea>
    </format>
    <format dxfId="398">
      <pivotArea dataOnly="0" labelOnly="1" outline="0" fieldPosition="0">
        <references count="3">
          <reference field="11" count="1" selected="0">
            <x v="383"/>
          </reference>
          <reference field="12" count="1" selected="0">
            <x v="22"/>
          </reference>
          <reference field="13" count="1">
            <x v="20"/>
          </reference>
        </references>
      </pivotArea>
    </format>
    <format dxfId="397">
      <pivotArea dataOnly="0" labelOnly="1" outline="0" fieldPosition="0">
        <references count="3">
          <reference field="11" count="1" selected="0">
            <x v="384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396">
      <pivotArea dataOnly="0" labelOnly="1" outline="0" fieldPosition="0">
        <references count="3">
          <reference field="11" count="1" selected="0">
            <x v="385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395">
      <pivotArea dataOnly="0" labelOnly="1" outline="0" fieldPosition="0">
        <references count="3">
          <reference field="11" count="1" selected="0">
            <x v="386"/>
          </reference>
          <reference field="12" count="1" selected="0">
            <x v="18"/>
          </reference>
          <reference field="13" count="1">
            <x v="22"/>
          </reference>
        </references>
      </pivotArea>
    </format>
    <format dxfId="394">
      <pivotArea dataOnly="0" labelOnly="1" outline="0" fieldPosition="0">
        <references count="3">
          <reference field="11" count="1" selected="0">
            <x v="387"/>
          </reference>
          <reference field="12" count="1" selected="0">
            <x v="30"/>
          </reference>
          <reference field="13" count="1">
            <x v="10"/>
          </reference>
        </references>
      </pivotArea>
    </format>
    <format dxfId="393">
      <pivotArea dataOnly="0" labelOnly="1" outline="0" fieldPosition="0">
        <references count="3">
          <reference field="11" count="1" selected="0">
            <x v="388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392">
      <pivotArea dataOnly="0" labelOnly="1" outline="0" fieldPosition="0">
        <references count="3">
          <reference field="11" count="1" selected="0">
            <x v="389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391">
      <pivotArea dataOnly="0" labelOnly="1" outline="0" fieldPosition="0">
        <references count="3">
          <reference field="11" count="1" selected="0">
            <x v="390"/>
          </reference>
          <reference field="12" count="1" selected="0">
            <x v="110"/>
          </reference>
          <reference field="13" count="1">
            <x v="17"/>
          </reference>
        </references>
      </pivotArea>
    </format>
    <format dxfId="390">
      <pivotArea dataOnly="0" labelOnly="1" outline="0" fieldPosition="0">
        <references count="3">
          <reference field="11" count="1" selected="0">
            <x v="391"/>
          </reference>
          <reference field="12" count="1" selected="0">
            <x v="114"/>
          </reference>
          <reference field="13" count="1">
            <x v="9"/>
          </reference>
        </references>
      </pivotArea>
    </format>
    <format dxfId="389">
      <pivotArea dataOnly="0" labelOnly="1" outline="0" fieldPosition="0">
        <references count="3">
          <reference field="11" count="1" selected="0">
            <x v="392"/>
          </reference>
          <reference field="12" count="1" selected="0">
            <x v="140"/>
          </reference>
          <reference field="13" count="1">
            <x v="20"/>
          </reference>
        </references>
      </pivotArea>
    </format>
    <format dxfId="388">
      <pivotArea dataOnly="0" labelOnly="1" outline="0" fieldPosition="0">
        <references count="3">
          <reference field="11" count="1" selected="0">
            <x v="393"/>
          </reference>
          <reference field="12" count="1" selected="0">
            <x v="75"/>
          </reference>
          <reference field="13" count="1">
            <x v="22"/>
          </reference>
        </references>
      </pivotArea>
    </format>
    <format dxfId="387">
      <pivotArea dataOnly="0" labelOnly="1" outline="0" fieldPosition="0">
        <references count="3">
          <reference field="11" count="1" selected="0">
            <x v="394"/>
          </reference>
          <reference field="12" count="1" selected="0">
            <x v="31"/>
          </reference>
          <reference field="13" count="1">
            <x v="16"/>
          </reference>
        </references>
      </pivotArea>
    </format>
    <format dxfId="386">
      <pivotArea dataOnly="0" labelOnly="1" outline="0" fieldPosition="0">
        <references count="3">
          <reference field="11" count="1" selected="0">
            <x v="395"/>
          </reference>
          <reference field="12" count="1" selected="0">
            <x v="162"/>
          </reference>
          <reference field="13" count="1">
            <x v="17"/>
          </reference>
        </references>
      </pivotArea>
    </format>
    <format dxfId="385">
      <pivotArea dataOnly="0" labelOnly="1" outline="0" fieldPosition="0">
        <references count="3">
          <reference field="11" count="1" selected="0">
            <x v="396"/>
          </reference>
          <reference field="12" count="1" selected="0">
            <x v="22"/>
          </reference>
          <reference field="13" count="1">
            <x v="20"/>
          </reference>
        </references>
      </pivotArea>
    </format>
    <format dxfId="384">
      <pivotArea dataOnly="0" labelOnly="1" outline="0" fieldPosition="0">
        <references count="3">
          <reference field="11" count="1" selected="0">
            <x v="397"/>
          </reference>
          <reference field="12" count="1" selected="0">
            <x v="37"/>
          </reference>
          <reference field="13" count="1">
            <x v="19"/>
          </reference>
        </references>
      </pivotArea>
    </format>
    <format dxfId="383">
      <pivotArea dataOnly="0" labelOnly="1" outline="0" fieldPosition="0">
        <references count="3">
          <reference field="11" count="1" selected="0">
            <x v="398"/>
          </reference>
          <reference field="12" count="1" selected="0">
            <x v="8"/>
          </reference>
          <reference field="13" count="1">
            <x v="22"/>
          </reference>
        </references>
      </pivotArea>
    </format>
    <format dxfId="382">
      <pivotArea dataOnly="0" labelOnly="1" outline="0" fieldPosition="0">
        <references count="3">
          <reference field="11" count="1" selected="0">
            <x v="399"/>
          </reference>
          <reference field="12" count="1" selected="0">
            <x v="71"/>
          </reference>
          <reference field="13" count="1">
            <x v="20"/>
          </reference>
        </references>
      </pivotArea>
    </format>
    <format dxfId="381">
      <pivotArea dataOnly="0" labelOnly="1" outline="0" fieldPosition="0">
        <references count="3">
          <reference field="11" count="1" selected="0">
            <x v="400"/>
          </reference>
          <reference field="12" count="1" selected="0">
            <x v="15"/>
          </reference>
          <reference field="13" count="1">
            <x v="20"/>
          </reference>
        </references>
      </pivotArea>
    </format>
    <format dxfId="380">
      <pivotArea dataOnly="0" labelOnly="1" outline="0" fieldPosition="0">
        <references count="3">
          <reference field="11" count="1" selected="0">
            <x v="401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379">
      <pivotArea dataOnly="0" labelOnly="1" outline="0" fieldPosition="0">
        <references count="3">
          <reference field="11" count="1" selected="0">
            <x v="402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378">
      <pivotArea dataOnly="0" labelOnly="1" outline="0" fieldPosition="0">
        <references count="3">
          <reference field="11" count="1" selected="0">
            <x v="403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377">
      <pivotArea dataOnly="0" labelOnly="1" outline="0" fieldPosition="0">
        <references count="3">
          <reference field="11" count="1" selected="0">
            <x v="404"/>
          </reference>
          <reference field="12" count="1" selected="0">
            <x v="121"/>
          </reference>
          <reference field="13" count="1">
            <x v="17"/>
          </reference>
        </references>
      </pivotArea>
    </format>
    <format dxfId="376">
      <pivotArea dataOnly="0" labelOnly="1" outline="0" fieldPosition="0">
        <references count="3">
          <reference field="11" count="1" selected="0">
            <x v="405"/>
          </reference>
          <reference field="12" count="1" selected="0">
            <x v="137"/>
          </reference>
          <reference field="13" count="1">
            <x v="22"/>
          </reference>
        </references>
      </pivotArea>
    </format>
    <format dxfId="375">
      <pivotArea dataOnly="0" labelOnly="1" outline="0" fieldPosition="0">
        <references count="3">
          <reference field="11" count="1" selected="0">
            <x v="406"/>
          </reference>
          <reference field="12" count="1" selected="0">
            <x v="155"/>
          </reference>
          <reference field="13" count="1">
            <x v="9"/>
          </reference>
        </references>
      </pivotArea>
    </format>
    <format dxfId="374">
      <pivotArea dataOnly="0" labelOnly="1" outline="0" fieldPosition="0">
        <references count="3">
          <reference field="11" count="1" selected="0">
            <x v="407"/>
          </reference>
          <reference field="12" count="1" selected="0">
            <x v="50"/>
          </reference>
          <reference field="13" count="1">
            <x v="20"/>
          </reference>
        </references>
      </pivotArea>
    </format>
    <format dxfId="373">
      <pivotArea dataOnly="0" labelOnly="1" outline="0" fieldPosition="0">
        <references count="3">
          <reference field="11" count="1" selected="0">
            <x v="40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72">
      <pivotArea dataOnly="0" labelOnly="1" outline="0" fieldPosition="0">
        <references count="3">
          <reference field="11" count="1" selected="0">
            <x v="409"/>
          </reference>
          <reference field="12" count="1" selected="0">
            <x v="26"/>
          </reference>
          <reference field="13" count="1">
            <x v="13"/>
          </reference>
        </references>
      </pivotArea>
    </format>
    <format dxfId="371">
      <pivotArea dataOnly="0" labelOnly="1" outline="0" fieldPosition="0">
        <references count="3">
          <reference field="11" count="1" selected="0">
            <x v="410"/>
          </reference>
          <reference field="12" count="1" selected="0">
            <x v="26"/>
          </reference>
          <reference field="13" count="1">
            <x v="13"/>
          </reference>
        </references>
      </pivotArea>
    </format>
    <format dxfId="370">
      <pivotArea dataOnly="0" labelOnly="1" outline="0" fieldPosition="0">
        <references count="3">
          <reference field="11" count="1" selected="0">
            <x v="411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369">
      <pivotArea dataOnly="0" labelOnly="1" outline="0" fieldPosition="0">
        <references count="3">
          <reference field="11" count="1" selected="0">
            <x v="412"/>
          </reference>
          <reference field="12" count="1" selected="0">
            <x v="95"/>
          </reference>
          <reference field="13" count="1">
            <x v="17"/>
          </reference>
        </references>
      </pivotArea>
    </format>
    <format dxfId="368">
      <pivotArea dataOnly="0" labelOnly="1" outline="0" fieldPosition="0">
        <references count="3">
          <reference field="11" count="1" selected="0">
            <x v="413"/>
          </reference>
          <reference field="12" count="1" selected="0">
            <x v="44"/>
          </reference>
          <reference field="13" count="1">
            <x v="10"/>
          </reference>
        </references>
      </pivotArea>
    </format>
    <format dxfId="367">
      <pivotArea dataOnly="0" labelOnly="1" outline="0" fieldPosition="0">
        <references count="3">
          <reference field="11" count="1" selected="0">
            <x v="414"/>
          </reference>
          <reference field="12" count="1" selected="0">
            <x v="88"/>
          </reference>
          <reference field="13" count="1">
            <x v="22"/>
          </reference>
        </references>
      </pivotArea>
    </format>
    <format dxfId="366">
      <pivotArea dataOnly="0" labelOnly="1" outline="0" fieldPosition="0">
        <references count="3">
          <reference field="11" count="1" selected="0">
            <x v="415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365">
      <pivotArea dataOnly="0" labelOnly="1" outline="0" fieldPosition="0">
        <references count="3">
          <reference field="11" count="1" selected="0">
            <x v="416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364">
      <pivotArea dataOnly="0" labelOnly="1" outline="0" fieldPosition="0">
        <references count="3">
          <reference field="11" count="1" selected="0">
            <x v="417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363">
      <pivotArea dataOnly="0" labelOnly="1" outline="0" fieldPosition="0">
        <references count="3">
          <reference field="11" count="1" selected="0">
            <x v="41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62">
      <pivotArea dataOnly="0" labelOnly="1" outline="0" fieldPosition="0">
        <references count="3">
          <reference field="11" count="1" selected="0">
            <x v="419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361">
      <pivotArea dataOnly="0" labelOnly="1" outline="0" fieldPosition="0">
        <references count="3">
          <reference field="11" count="1" selected="0">
            <x v="420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360">
      <pivotArea dataOnly="0" labelOnly="1" outline="0" fieldPosition="0">
        <references count="3">
          <reference field="11" count="1" selected="0">
            <x v="421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359">
      <pivotArea dataOnly="0" labelOnly="1" outline="0" fieldPosition="0">
        <references count="3">
          <reference field="11" count="1" selected="0">
            <x v="422"/>
          </reference>
          <reference field="12" count="1" selected="0">
            <x v="133"/>
          </reference>
          <reference field="13" count="1">
            <x v="22"/>
          </reference>
        </references>
      </pivotArea>
    </format>
    <format dxfId="358">
      <pivotArea dataOnly="0" labelOnly="1" outline="0" fieldPosition="0">
        <references count="3">
          <reference field="11" count="1" selected="0">
            <x v="423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357">
      <pivotArea dataOnly="0" labelOnly="1" outline="0" fieldPosition="0">
        <references count="3">
          <reference field="11" count="1" selected="0">
            <x v="424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356">
      <pivotArea dataOnly="0" labelOnly="1" outline="0" fieldPosition="0">
        <references count="3">
          <reference field="11" count="1" selected="0">
            <x v="425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355">
      <pivotArea dataOnly="0" labelOnly="1" outline="0" fieldPosition="0">
        <references count="3">
          <reference field="11" count="1" selected="0">
            <x v="426"/>
          </reference>
          <reference field="12" count="1" selected="0">
            <x v="82"/>
          </reference>
          <reference field="13" count="1">
            <x v="2"/>
          </reference>
        </references>
      </pivotArea>
    </format>
    <format dxfId="354">
      <pivotArea dataOnly="0" labelOnly="1" outline="0" fieldPosition="0">
        <references count="3">
          <reference field="11" count="1" selected="0">
            <x v="427"/>
          </reference>
          <reference field="12" count="1" selected="0">
            <x v="161"/>
          </reference>
          <reference field="13" count="1">
            <x v="3"/>
          </reference>
        </references>
      </pivotArea>
    </format>
    <format dxfId="353">
      <pivotArea dataOnly="0" labelOnly="1" outline="0" fieldPosition="0">
        <references count="3">
          <reference field="11" count="1" selected="0">
            <x v="428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352">
      <pivotArea dataOnly="0" labelOnly="1" outline="0" fieldPosition="0">
        <references count="3">
          <reference field="11" count="1" selected="0">
            <x v="429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351">
      <pivotArea dataOnly="0" labelOnly="1" outline="0" fieldPosition="0">
        <references count="3">
          <reference field="11" count="1" selected="0">
            <x v="430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350">
      <pivotArea dataOnly="0" labelOnly="1" outline="0" fieldPosition="0">
        <references count="3">
          <reference field="11" count="1" selected="0">
            <x v="431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349">
      <pivotArea dataOnly="0" labelOnly="1" outline="0" fieldPosition="0">
        <references count="3">
          <reference field="11" count="1" selected="0">
            <x v="432"/>
          </reference>
          <reference field="12" count="1" selected="0">
            <x v="109"/>
          </reference>
          <reference field="13" count="1">
            <x v="14"/>
          </reference>
        </references>
      </pivotArea>
    </format>
    <format dxfId="348">
      <pivotArea dataOnly="0" labelOnly="1" outline="0" fieldPosition="0">
        <references count="3">
          <reference field="11" count="1" selected="0">
            <x v="433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347">
      <pivotArea dataOnly="0" labelOnly="1" outline="0" fieldPosition="0">
        <references count="3">
          <reference field="11" count="1" selected="0">
            <x v="434"/>
          </reference>
          <reference field="12" count="1" selected="0">
            <x v="160"/>
          </reference>
          <reference field="13" count="1">
            <x v="6"/>
          </reference>
        </references>
      </pivotArea>
    </format>
    <format dxfId="346">
      <pivotArea dataOnly="0" labelOnly="1" outline="0" fieldPosition="0">
        <references count="3">
          <reference field="11" count="1" selected="0">
            <x v="435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345">
      <pivotArea dataOnly="0" labelOnly="1" outline="0" fieldPosition="0">
        <references count="3">
          <reference field="11" count="1" selected="0">
            <x v="436"/>
          </reference>
          <reference field="12" count="1" selected="0">
            <x v="77"/>
          </reference>
          <reference field="13" count="1">
            <x v="6"/>
          </reference>
        </references>
      </pivotArea>
    </format>
    <format dxfId="344">
      <pivotArea dataOnly="0" labelOnly="1" outline="0" fieldPosition="0">
        <references count="3">
          <reference field="11" count="1" selected="0">
            <x v="437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343">
      <pivotArea dataOnly="0" labelOnly="1" outline="0" fieldPosition="0">
        <references count="3">
          <reference field="11" count="1" selected="0">
            <x v="43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42">
      <pivotArea dataOnly="0" labelOnly="1" outline="0" fieldPosition="0">
        <references count="3">
          <reference field="11" count="1" selected="0">
            <x v="439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341">
      <pivotArea dataOnly="0" labelOnly="1" outline="0" fieldPosition="0">
        <references count="3">
          <reference field="11" count="1" selected="0">
            <x v="440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340">
      <pivotArea dataOnly="0" labelOnly="1" outline="0" fieldPosition="0">
        <references count="3">
          <reference field="11" count="1" selected="0">
            <x v="441"/>
          </reference>
          <reference field="12" count="1" selected="0">
            <x v="74"/>
          </reference>
          <reference field="13" count="1">
            <x v="9"/>
          </reference>
        </references>
      </pivotArea>
    </format>
    <format dxfId="339">
      <pivotArea dataOnly="0" labelOnly="1" outline="0" fieldPosition="0">
        <references count="3">
          <reference field="11" count="1" selected="0">
            <x v="442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338">
      <pivotArea dataOnly="0" labelOnly="1" outline="0" fieldPosition="0">
        <references count="3">
          <reference field="11" count="1" selected="0">
            <x v="44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37">
      <pivotArea dataOnly="0" labelOnly="1" outline="0" fieldPosition="0">
        <references count="3">
          <reference field="11" count="1" selected="0">
            <x v="444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336">
      <pivotArea dataOnly="0" labelOnly="1" outline="0" fieldPosition="0">
        <references count="3">
          <reference field="11" count="1" selected="0">
            <x v="445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335">
      <pivotArea dataOnly="0" labelOnly="1" outline="0" fieldPosition="0">
        <references count="3">
          <reference field="11" count="1" selected="0">
            <x v="44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34">
      <pivotArea dataOnly="0" labelOnly="1" outline="0" fieldPosition="0">
        <references count="3">
          <reference field="11" count="1" selected="0">
            <x v="44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33">
      <pivotArea dataOnly="0" labelOnly="1" outline="0" fieldPosition="0">
        <references count="3">
          <reference field="11" count="1" selected="0">
            <x v="44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32">
      <pivotArea dataOnly="0" labelOnly="1" outline="0" fieldPosition="0">
        <references count="3">
          <reference field="11" count="1" selected="0">
            <x v="449"/>
          </reference>
          <reference field="12" count="1" selected="0">
            <x v="37"/>
          </reference>
          <reference field="13" count="1">
            <x v="19"/>
          </reference>
        </references>
      </pivotArea>
    </format>
    <format dxfId="331">
      <pivotArea dataOnly="0" labelOnly="1" outline="0" fieldPosition="0">
        <references count="3">
          <reference field="11" count="1" selected="0">
            <x v="450"/>
          </reference>
          <reference field="12" count="1" selected="0">
            <x v="4"/>
          </reference>
          <reference field="13" count="1">
            <x v="22"/>
          </reference>
        </references>
      </pivotArea>
    </format>
    <format dxfId="330">
      <pivotArea dataOnly="0" labelOnly="1" outline="0" fieldPosition="0">
        <references count="3">
          <reference field="11" count="1" selected="0">
            <x v="451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29">
      <pivotArea dataOnly="0" labelOnly="1" outline="0" fieldPosition="0">
        <references count="3">
          <reference field="11" count="1" selected="0">
            <x v="452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328">
      <pivotArea dataOnly="0" labelOnly="1" outline="0" fieldPosition="0">
        <references count="3">
          <reference field="11" count="1" selected="0">
            <x v="45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27">
      <pivotArea dataOnly="0" labelOnly="1" outline="0" fieldPosition="0">
        <references count="3">
          <reference field="11" count="1" selected="0">
            <x v="454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326">
      <pivotArea dataOnly="0" labelOnly="1" outline="0" fieldPosition="0">
        <references count="3">
          <reference field="11" count="1" selected="0">
            <x v="455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25">
      <pivotArea dataOnly="0" labelOnly="1" outline="0" fieldPosition="0">
        <references count="3">
          <reference field="11" count="1" selected="0">
            <x v="456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324">
      <pivotArea dataOnly="0" labelOnly="1" outline="0" fieldPosition="0">
        <references count="3">
          <reference field="11" count="1" selected="0">
            <x v="457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323">
      <pivotArea dataOnly="0" labelOnly="1" outline="0" fieldPosition="0">
        <references count="3">
          <reference field="11" count="1" selected="0">
            <x v="45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22">
      <pivotArea dataOnly="0" labelOnly="1" outline="0" fieldPosition="0">
        <references count="3">
          <reference field="11" count="1" selected="0">
            <x v="45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21">
      <pivotArea dataOnly="0" labelOnly="1" outline="0" fieldPosition="0">
        <references count="3">
          <reference field="11" count="1" selected="0">
            <x v="460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320">
      <pivotArea dataOnly="0" labelOnly="1" outline="0" fieldPosition="0">
        <references count="3">
          <reference field="11" count="1" selected="0">
            <x v="461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319">
      <pivotArea dataOnly="0" labelOnly="1" outline="0" fieldPosition="0">
        <references count="3">
          <reference field="11" count="1" selected="0">
            <x v="462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318">
      <pivotArea dataOnly="0" labelOnly="1" outline="0" fieldPosition="0">
        <references count="3">
          <reference field="11" count="1" selected="0">
            <x v="46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17">
      <pivotArea dataOnly="0" labelOnly="1" outline="0" fieldPosition="0">
        <references count="3">
          <reference field="11" count="1" selected="0">
            <x v="464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316">
      <pivotArea dataOnly="0" labelOnly="1" outline="0" fieldPosition="0">
        <references count="3">
          <reference field="11" count="1" selected="0">
            <x v="465"/>
          </reference>
          <reference field="12" count="1" selected="0">
            <x v="112"/>
          </reference>
          <reference field="13" count="1">
            <x v="22"/>
          </reference>
        </references>
      </pivotArea>
    </format>
    <format dxfId="315">
      <pivotArea dataOnly="0" labelOnly="1" outline="0" fieldPosition="0">
        <references count="3">
          <reference field="11" count="1" selected="0">
            <x v="466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314">
      <pivotArea dataOnly="0" labelOnly="1" outline="0" fieldPosition="0">
        <references count="3">
          <reference field="11" count="1" selected="0">
            <x v="46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13">
      <pivotArea dataOnly="0" labelOnly="1" outline="0" fieldPosition="0">
        <references count="3">
          <reference field="11" count="1" selected="0">
            <x v="468"/>
          </reference>
          <reference field="12" count="1" selected="0">
            <x v="92"/>
          </reference>
          <reference field="13" count="1">
            <x v="22"/>
          </reference>
        </references>
      </pivotArea>
    </format>
    <format dxfId="312">
      <pivotArea dataOnly="0" labelOnly="1" outline="0" fieldPosition="0">
        <references count="3">
          <reference field="11" count="1" selected="0">
            <x v="469"/>
          </reference>
          <reference field="12" count="1" selected="0">
            <x v="79"/>
          </reference>
          <reference field="13" count="1">
            <x v="16"/>
          </reference>
        </references>
      </pivotArea>
    </format>
    <format dxfId="311">
      <pivotArea dataOnly="0" labelOnly="1" outline="0" fieldPosition="0">
        <references count="3">
          <reference field="11" count="1" selected="0">
            <x v="47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310">
      <pivotArea dataOnly="0" labelOnly="1" outline="0" fieldPosition="0">
        <references count="3">
          <reference field="11" count="1" selected="0">
            <x v="471"/>
          </reference>
          <reference field="12" count="1" selected="0">
            <x v="11"/>
          </reference>
          <reference field="13" count="1">
            <x v="22"/>
          </reference>
        </references>
      </pivotArea>
    </format>
    <format dxfId="309">
      <pivotArea dataOnly="0" labelOnly="1" outline="0" fieldPosition="0">
        <references count="3">
          <reference field="11" count="1" selected="0">
            <x v="472"/>
          </reference>
          <reference field="12" count="1" selected="0">
            <x v="75"/>
          </reference>
          <reference field="13" count="1">
            <x v="22"/>
          </reference>
        </references>
      </pivotArea>
    </format>
    <format dxfId="308">
      <pivotArea dataOnly="0" labelOnly="1" outline="0" fieldPosition="0">
        <references count="3">
          <reference field="11" count="1" selected="0">
            <x v="473"/>
          </reference>
          <reference field="12" count="1" selected="0">
            <x v="55"/>
          </reference>
          <reference field="13" count="1">
            <x v="22"/>
          </reference>
        </references>
      </pivotArea>
    </format>
    <format dxfId="307">
      <pivotArea dataOnly="0" labelOnly="1" outline="0" fieldPosition="0">
        <references count="3">
          <reference field="11" count="1" selected="0">
            <x v="474"/>
          </reference>
          <reference field="12" count="1" selected="0">
            <x v="49"/>
          </reference>
          <reference field="13" count="1">
            <x v="3"/>
          </reference>
        </references>
      </pivotArea>
    </format>
    <format dxfId="306">
      <pivotArea dataOnly="0" labelOnly="1" outline="0" fieldPosition="0">
        <references count="3">
          <reference field="11" count="1" selected="0">
            <x v="475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05">
      <pivotArea dataOnly="0" labelOnly="1" outline="0" fieldPosition="0">
        <references count="3">
          <reference field="11" count="1" selected="0">
            <x v="476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304">
      <pivotArea dataOnly="0" labelOnly="1" outline="0" fieldPosition="0">
        <references count="3">
          <reference field="11" count="1" selected="0">
            <x v="477"/>
          </reference>
          <reference field="12" count="1" selected="0">
            <x v="70"/>
          </reference>
          <reference field="13" count="1">
            <x v="19"/>
          </reference>
        </references>
      </pivotArea>
    </format>
    <format dxfId="303">
      <pivotArea dataOnly="0" labelOnly="1" outline="0" fieldPosition="0">
        <references count="3">
          <reference field="11" count="1" selected="0">
            <x v="478"/>
          </reference>
          <reference field="12" count="1" selected="0">
            <x v="90"/>
          </reference>
          <reference field="13" count="1">
            <x v="17"/>
          </reference>
        </references>
      </pivotArea>
    </format>
    <format dxfId="302">
      <pivotArea dataOnly="0" labelOnly="1" outline="0" fieldPosition="0">
        <references count="3">
          <reference field="11" count="1" selected="0">
            <x v="479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301">
      <pivotArea dataOnly="0" labelOnly="1" outline="0" fieldPosition="0">
        <references count="3">
          <reference field="11" count="1" selected="0">
            <x v="48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300">
      <pivotArea dataOnly="0" labelOnly="1" outline="0" fieldPosition="0">
        <references count="3">
          <reference field="11" count="1" selected="0">
            <x v="481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299">
      <pivotArea dataOnly="0" labelOnly="1" outline="0" fieldPosition="0">
        <references count="3">
          <reference field="11" count="1" selected="0">
            <x v="482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98">
      <pivotArea dataOnly="0" labelOnly="1" outline="0" fieldPosition="0">
        <references count="3">
          <reference field="11" count="1" selected="0">
            <x v="483"/>
          </reference>
          <reference field="12" count="1" selected="0">
            <x v="97"/>
          </reference>
          <reference field="13" count="1">
            <x v="21"/>
          </reference>
        </references>
      </pivotArea>
    </format>
    <format dxfId="297">
      <pivotArea dataOnly="0" labelOnly="1" outline="0" fieldPosition="0">
        <references count="3">
          <reference field="11" count="1" selected="0">
            <x v="484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96">
      <pivotArea dataOnly="0" labelOnly="1" outline="0" fieldPosition="0">
        <references count="3">
          <reference field="11" count="1" selected="0">
            <x v="485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295">
      <pivotArea dataOnly="0" labelOnly="1" outline="0" fieldPosition="0">
        <references count="3">
          <reference field="11" count="1" selected="0">
            <x v="486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294">
      <pivotArea dataOnly="0" labelOnly="1" outline="0" fieldPosition="0">
        <references count="3">
          <reference field="11" count="1" selected="0">
            <x v="487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293">
      <pivotArea dataOnly="0" labelOnly="1" outline="0" fieldPosition="0">
        <references count="3">
          <reference field="11" count="1" selected="0">
            <x v="488"/>
          </reference>
          <reference field="12" count="1" selected="0">
            <x v="5"/>
          </reference>
          <reference field="13" count="1">
            <x v="17"/>
          </reference>
        </references>
      </pivotArea>
    </format>
    <format dxfId="292">
      <pivotArea dataOnly="0" labelOnly="1" outline="0" fieldPosition="0">
        <references count="3">
          <reference field="11" count="1" selected="0">
            <x v="489"/>
          </reference>
          <reference field="12" count="1" selected="0">
            <x v="123"/>
          </reference>
          <reference field="13" count="1">
            <x v="22"/>
          </reference>
        </references>
      </pivotArea>
    </format>
    <format dxfId="291">
      <pivotArea dataOnly="0" labelOnly="1" outline="0" fieldPosition="0">
        <references count="3">
          <reference field="11" count="1" selected="0">
            <x v="490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290">
      <pivotArea dataOnly="0" labelOnly="1" outline="0" fieldPosition="0">
        <references count="3">
          <reference field="11" count="1" selected="0">
            <x v="491"/>
          </reference>
          <reference field="12" count="1" selected="0">
            <x v="37"/>
          </reference>
          <reference field="13" count="1">
            <x v="19"/>
          </reference>
        </references>
      </pivotArea>
    </format>
    <format dxfId="289">
      <pivotArea dataOnly="0" labelOnly="1" outline="0" fieldPosition="0">
        <references count="3">
          <reference field="11" count="1" selected="0">
            <x v="492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288">
      <pivotArea dataOnly="0" labelOnly="1" outline="0" fieldPosition="0">
        <references count="3">
          <reference field="11" count="1" selected="0">
            <x v="493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287">
      <pivotArea dataOnly="0" labelOnly="1" outline="0" fieldPosition="0">
        <references count="3">
          <reference field="11" count="1" selected="0">
            <x v="494"/>
          </reference>
          <reference field="12" count="1" selected="0">
            <x v="149"/>
          </reference>
          <reference field="13" count="1">
            <x v="6"/>
          </reference>
        </references>
      </pivotArea>
    </format>
    <format dxfId="286">
      <pivotArea dataOnly="0" labelOnly="1" outline="0" fieldPosition="0">
        <references count="3">
          <reference field="11" count="1" selected="0">
            <x v="495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285">
      <pivotArea dataOnly="0" labelOnly="1" outline="0" fieldPosition="0">
        <references count="3">
          <reference field="11" count="1" selected="0">
            <x v="496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284">
      <pivotArea dataOnly="0" labelOnly="1" outline="0" fieldPosition="0">
        <references count="3">
          <reference field="11" count="1" selected="0">
            <x v="497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283">
      <pivotArea dataOnly="0" labelOnly="1" outline="0" fieldPosition="0">
        <references count="3">
          <reference field="11" count="1" selected="0">
            <x v="49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82">
      <pivotArea dataOnly="0" labelOnly="1" outline="0" fieldPosition="0">
        <references count="3">
          <reference field="11" count="1" selected="0">
            <x v="499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81">
      <pivotArea dataOnly="0" labelOnly="1" outline="0" fieldPosition="0">
        <references count="3">
          <reference field="11" count="1" selected="0">
            <x v="50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280">
      <pivotArea dataOnly="0" labelOnly="1" outline="0" fieldPosition="0">
        <references count="3">
          <reference field="11" count="1" selected="0">
            <x v="501"/>
          </reference>
          <reference field="12" count="1" selected="0">
            <x v="128"/>
          </reference>
          <reference field="13" count="1">
            <x v="11"/>
          </reference>
        </references>
      </pivotArea>
    </format>
    <format dxfId="279">
      <pivotArea dataOnly="0" labelOnly="1" outline="0" fieldPosition="0">
        <references count="3">
          <reference field="11" count="1" selected="0">
            <x v="50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78">
      <pivotArea dataOnly="0" labelOnly="1" outline="0" fieldPosition="0">
        <references count="3">
          <reference field="11" count="1" selected="0">
            <x v="503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277">
      <pivotArea dataOnly="0" labelOnly="1" outline="0" fieldPosition="0">
        <references count="3">
          <reference field="11" count="1" selected="0">
            <x v="504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76">
      <pivotArea dataOnly="0" labelOnly="1" outline="0" fieldPosition="0">
        <references count="3">
          <reference field="11" count="1" selected="0">
            <x v="50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75">
      <pivotArea dataOnly="0" labelOnly="1" outline="0" fieldPosition="0">
        <references count="3">
          <reference field="11" count="1" selected="0">
            <x v="506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74">
      <pivotArea dataOnly="0" labelOnly="1" outline="0" fieldPosition="0">
        <references count="3">
          <reference field="11" count="1" selected="0">
            <x v="50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73">
      <pivotArea dataOnly="0" labelOnly="1" outline="0" fieldPosition="0">
        <references count="3">
          <reference field="11" count="1" selected="0">
            <x v="508"/>
          </reference>
          <reference field="12" count="1" selected="0">
            <x v="96"/>
          </reference>
          <reference field="13" count="1">
            <x v="17"/>
          </reference>
        </references>
      </pivotArea>
    </format>
    <format dxfId="272">
      <pivotArea dataOnly="0" labelOnly="1" outline="0" fieldPosition="0">
        <references count="3">
          <reference field="11" count="1" selected="0">
            <x v="50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71">
      <pivotArea dataOnly="0" labelOnly="1" outline="0" fieldPosition="0">
        <references count="3">
          <reference field="11" count="1" selected="0">
            <x v="510"/>
          </reference>
          <reference field="12" count="1" selected="0">
            <x v="20"/>
          </reference>
          <reference field="13" count="1">
            <x v="9"/>
          </reference>
        </references>
      </pivotArea>
    </format>
    <format dxfId="270">
      <pivotArea dataOnly="0" labelOnly="1" outline="0" fieldPosition="0">
        <references count="3">
          <reference field="11" count="1" selected="0">
            <x v="511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269">
      <pivotArea dataOnly="0" labelOnly="1" outline="0" fieldPosition="0">
        <references count="3">
          <reference field="11" count="1" selected="0">
            <x v="512"/>
          </reference>
          <reference field="12" count="1" selected="0">
            <x v="160"/>
          </reference>
          <reference field="13" count="1">
            <x v="6"/>
          </reference>
        </references>
      </pivotArea>
    </format>
    <format dxfId="268">
      <pivotArea dataOnly="0" labelOnly="1" outline="0" fieldPosition="0">
        <references count="3">
          <reference field="11" count="1" selected="0">
            <x v="513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267">
      <pivotArea dataOnly="0" labelOnly="1" outline="0" fieldPosition="0">
        <references count="3">
          <reference field="11" count="1" selected="0">
            <x v="514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266">
      <pivotArea dataOnly="0" labelOnly="1" outline="0" fieldPosition="0">
        <references count="3">
          <reference field="11" count="1" selected="0">
            <x v="51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65">
      <pivotArea dataOnly="0" labelOnly="1" outline="0" fieldPosition="0">
        <references count="3">
          <reference field="11" count="1" selected="0">
            <x v="516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264">
      <pivotArea dataOnly="0" labelOnly="1" outline="0" fieldPosition="0">
        <references count="3">
          <reference field="11" count="1" selected="0">
            <x v="51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63">
      <pivotArea dataOnly="0" labelOnly="1" outline="0" fieldPosition="0">
        <references count="3">
          <reference field="11" count="1" selected="0">
            <x v="518"/>
          </reference>
          <reference field="12" count="1" selected="0">
            <x v="148"/>
          </reference>
          <reference field="13" count="1">
            <x v="7"/>
          </reference>
        </references>
      </pivotArea>
    </format>
    <format dxfId="262">
      <pivotArea dataOnly="0" labelOnly="1" outline="0" fieldPosition="0">
        <references count="3">
          <reference field="11" count="1" selected="0">
            <x v="519"/>
          </reference>
          <reference field="12" count="1" selected="0">
            <x v="154"/>
          </reference>
          <reference field="13" count="1">
            <x v="15"/>
          </reference>
        </references>
      </pivotArea>
    </format>
    <format dxfId="261">
      <pivotArea dataOnly="0" labelOnly="1" outline="0" fieldPosition="0">
        <references count="3">
          <reference field="11" count="1" selected="0">
            <x v="520"/>
          </reference>
          <reference field="12" count="1" selected="0">
            <x v="159"/>
          </reference>
          <reference field="13" count="1">
            <x v="9"/>
          </reference>
        </references>
      </pivotArea>
    </format>
    <format dxfId="260">
      <pivotArea dataOnly="0" labelOnly="1" outline="0" fieldPosition="0">
        <references count="3">
          <reference field="11" count="1" selected="0">
            <x v="521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259">
      <pivotArea dataOnly="0" labelOnly="1" outline="0" fieldPosition="0">
        <references count="3">
          <reference field="11" count="1" selected="0">
            <x v="522"/>
          </reference>
          <reference field="12" count="1" selected="0">
            <x v="78"/>
          </reference>
          <reference field="13" count="1">
            <x v="22"/>
          </reference>
        </references>
      </pivotArea>
    </format>
    <format dxfId="258">
      <pivotArea dataOnly="0" labelOnly="1" outline="0" fieldPosition="0">
        <references count="3">
          <reference field="11" count="1" selected="0">
            <x v="523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257">
      <pivotArea dataOnly="0" labelOnly="1" outline="0" fieldPosition="0">
        <references count="3">
          <reference field="11" count="1" selected="0">
            <x v="524"/>
          </reference>
          <reference field="12" count="1" selected="0">
            <x v="61"/>
          </reference>
          <reference field="13" count="1">
            <x v="22"/>
          </reference>
        </references>
      </pivotArea>
    </format>
    <format dxfId="256">
      <pivotArea dataOnly="0" labelOnly="1" outline="0" fieldPosition="0">
        <references count="3">
          <reference field="11" count="1" selected="0">
            <x v="52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55">
      <pivotArea dataOnly="0" labelOnly="1" outline="0" fieldPosition="0">
        <references count="3">
          <reference field="11" count="1" selected="0">
            <x v="526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254">
      <pivotArea dataOnly="0" labelOnly="1" outline="0" fieldPosition="0">
        <references count="3">
          <reference field="11" count="1" selected="0">
            <x v="527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53">
      <pivotArea dataOnly="0" labelOnly="1" outline="0" fieldPosition="0">
        <references count="3">
          <reference field="11" count="1" selected="0">
            <x v="52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52">
      <pivotArea dataOnly="0" labelOnly="1" outline="0" fieldPosition="0">
        <references count="3">
          <reference field="11" count="1" selected="0">
            <x v="529"/>
          </reference>
          <reference field="12" count="1" selected="0">
            <x v="69"/>
          </reference>
          <reference field="13" count="1">
            <x v="22"/>
          </reference>
        </references>
      </pivotArea>
    </format>
    <format dxfId="251">
      <pivotArea dataOnly="0" labelOnly="1" outline="0" fieldPosition="0">
        <references count="3">
          <reference field="11" count="1" selected="0">
            <x v="53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50">
      <pivotArea dataOnly="0" labelOnly="1" outline="0" fieldPosition="0">
        <references count="3">
          <reference field="11" count="1" selected="0">
            <x v="531"/>
          </reference>
          <reference field="12" count="1" selected="0">
            <x v="79"/>
          </reference>
          <reference field="13" count="1">
            <x v="16"/>
          </reference>
        </references>
      </pivotArea>
    </format>
    <format dxfId="249">
      <pivotArea dataOnly="0" labelOnly="1" outline="0" fieldPosition="0">
        <references count="3">
          <reference field="11" count="1" selected="0">
            <x v="532"/>
          </reference>
          <reference field="12" count="1" selected="0">
            <x v="128"/>
          </reference>
          <reference field="13" count="1">
            <x v="11"/>
          </reference>
        </references>
      </pivotArea>
    </format>
    <format dxfId="248">
      <pivotArea dataOnly="0" labelOnly="1" outline="0" fieldPosition="0">
        <references count="3">
          <reference field="11" count="1" selected="0">
            <x v="533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247">
      <pivotArea dataOnly="0" labelOnly="1" outline="0" fieldPosition="0">
        <references count="3">
          <reference field="11" count="1" selected="0">
            <x v="534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246">
      <pivotArea dataOnly="0" labelOnly="1" outline="0" fieldPosition="0">
        <references count="3">
          <reference field="11" count="1" selected="0">
            <x v="53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45">
      <pivotArea dataOnly="0" labelOnly="1" outline="0" fieldPosition="0">
        <references count="3">
          <reference field="11" count="1" selected="0">
            <x v="536"/>
          </reference>
          <reference field="12" count="1" selected="0">
            <x v="79"/>
          </reference>
          <reference field="13" count="1">
            <x v="16"/>
          </reference>
        </references>
      </pivotArea>
    </format>
    <format dxfId="244">
      <pivotArea dataOnly="0" labelOnly="1" outline="0" fieldPosition="0">
        <references count="3">
          <reference field="11" count="1" selected="0">
            <x v="537"/>
          </reference>
          <reference field="12" count="1" selected="0">
            <x v="119"/>
          </reference>
          <reference field="13" count="1">
            <x v="9"/>
          </reference>
        </references>
      </pivotArea>
    </format>
    <format dxfId="243">
      <pivotArea dataOnly="0" labelOnly="1" outline="0" fieldPosition="0">
        <references count="3">
          <reference field="11" count="1" selected="0">
            <x v="53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42">
      <pivotArea dataOnly="0" labelOnly="1" outline="0" fieldPosition="0">
        <references count="3">
          <reference field="11" count="1" selected="0">
            <x v="539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241">
      <pivotArea dataOnly="0" labelOnly="1" outline="0" fieldPosition="0">
        <references count="3">
          <reference field="11" count="1" selected="0">
            <x v="540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40">
      <pivotArea dataOnly="0" labelOnly="1" outline="0" fieldPosition="0">
        <references count="3">
          <reference field="11" count="1" selected="0">
            <x v="541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39">
      <pivotArea dataOnly="0" labelOnly="1" outline="0" fieldPosition="0">
        <references count="3">
          <reference field="11" count="1" selected="0">
            <x v="542"/>
          </reference>
          <reference field="12" count="1" selected="0">
            <x v="72"/>
          </reference>
          <reference field="13" count="1">
            <x v="13"/>
          </reference>
        </references>
      </pivotArea>
    </format>
    <format dxfId="238">
      <pivotArea dataOnly="0" labelOnly="1" outline="0" fieldPosition="0">
        <references count="3">
          <reference field="11" count="1" selected="0">
            <x v="543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237">
      <pivotArea dataOnly="0" labelOnly="1" outline="0" fieldPosition="0">
        <references count="3">
          <reference field="11" count="1" selected="0">
            <x v="544"/>
          </reference>
          <reference field="12" count="1" selected="0">
            <x v="7"/>
          </reference>
          <reference field="13" count="1">
            <x v="21"/>
          </reference>
        </references>
      </pivotArea>
    </format>
    <format dxfId="236">
      <pivotArea dataOnly="0" labelOnly="1" outline="0" fieldPosition="0">
        <references count="3">
          <reference field="11" count="1" selected="0">
            <x v="54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35">
      <pivotArea dataOnly="0" labelOnly="1" outline="0" fieldPosition="0">
        <references count="3">
          <reference field="11" count="1" selected="0">
            <x v="546"/>
          </reference>
          <reference field="12" count="1" selected="0">
            <x v="84"/>
          </reference>
          <reference field="13" count="1">
            <x v="1"/>
          </reference>
        </references>
      </pivotArea>
    </format>
    <format dxfId="234">
      <pivotArea dataOnly="0" labelOnly="1" outline="0" fieldPosition="0">
        <references count="3">
          <reference field="11" count="1" selected="0">
            <x v="547"/>
          </reference>
          <reference field="12" count="1" selected="0">
            <x v="84"/>
          </reference>
          <reference field="13" count="1">
            <x v="1"/>
          </reference>
        </references>
      </pivotArea>
    </format>
    <format dxfId="233">
      <pivotArea dataOnly="0" labelOnly="1" outline="0" fieldPosition="0">
        <references count="3">
          <reference field="11" count="1" selected="0">
            <x v="548"/>
          </reference>
          <reference field="12" count="1" selected="0">
            <x v="121"/>
          </reference>
          <reference field="13" count="1">
            <x v="17"/>
          </reference>
        </references>
      </pivotArea>
    </format>
    <format dxfId="232">
      <pivotArea dataOnly="0" labelOnly="1" outline="0" fieldPosition="0">
        <references count="3">
          <reference field="11" count="1" selected="0">
            <x v="549"/>
          </reference>
          <reference field="12" count="1" selected="0">
            <x v="106"/>
          </reference>
          <reference field="13" count="1">
            <x v="9"/>
          </reference>
        </references>
      </pivotArea>
    </format>
    <format dxfId="231">
      <pivotArea dataOnly="0" labelOnly="1" outline="0" fieldPosition="0">
        <references count="3">
          <reference field="11" count="1" selected="0">
            <x v="550"/>
          </reference>
          <reference field="12" count="1" selected="0">
            <x v="83"/>
          </reference>
          <reference field="13" count="1">
            <x v="0"/>
          </reference>
        </references>
      </pivotArea>
    </format>
    <format dxfId="230">
      <pivotArea dataOnly="0" labelOnly="1" outline="0" fieldPosition="0">
        <references count="3">
          <reference field="11" count="1" selected="0">
            <x v="551"/>
          </reference>
          <reference field="12" count="1" selected="0">
            <x v="108"/>
          </reference>
          <reference field="13" count="1">
            <x v="9"/>
          </reference>
        </references>
      </pivotArea>
    </format>
    <format dxfId="229">
      <pivotArea dataOnly="0" labelOnly="1" outline="0" fieldPosition="0">
        <references count="3">
          <reference field="11" count="1" selected="0">
            <x v="552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228">
      <pivotArea dataOnly="0" labelOnly="1" outline="0" fieldPosition="0">
        <references count="3">
          <reference field="11" count="1" selected="0">
            <x v="553"/>
          </reference>
          <reference field="12" count="1" selected="0">
            <x v="136"/>
          </reference>
          <reference field="13" count="1">
            <x v="22"/>
          </reference>
        </references>
      </pivotArea>
    </format>
    <format dxfId="227">
      <pivotArea dataOnly="0" labelOnly="1" outline="0" fieldPosition="0">
        <references count="3">
          <reference field="11" count="1" selected="0">
            <x v="554"/>
          </reference>
          <reference field="12" count="1" selected="0">
            <x v="120"/>
          </reference>
          <reference field="13" count="1">
            <x v="14"/>
          </reference>
        </references>
      </pivotArea>
    </format>
    <format dxfId="226">
      <pivotArea dataOnly="0" labelOnly="1" outline="0" fieldPosition="0">
        <references count="3">
          <reference field="11" count="1" selected="0">
            <x v="555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25">
      <pivotArea dataOnly="0" labelOnly="1" outline="0" fieldPosition="0">
        <references count="3">
          <reference field="11" count="1" selected="0">
            <x v="556"/>
          </reference>
          <reference field="12" count="1" selected="0">
            <x v="39"/>
          </reference>
          <reference field="13" count="1">
            <x v="6"/>
          </reference>
        </references>
      </pivotArea>
    </format>
    <format dxfId="224">
      <pivotArea dataOnly="0" labelOnly="1" outline="0" fieldPosition="0">
        <references count="3">
          <reference field="11" count="1" selected="0">
            <x v="557"/>
          </reference>
          <reference field="12" count="1" selected="0">
            <x v="10"/>
          </reference>
          <reference field="13" count="1">
            <x v="22"/>
          </reference>
        </references>
      </pivotArea>
    </format>
    <format dxfId="223">
      <pivotArea dataOnly="0" labelOnly="1" outline="0" fieldPosition="0">
        <references count="3">
          <reference field="11" count="1" selected="0">
            <x v="558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222">
      <pivotArea dataOnly="0" labelOnly="1" outline="0" fieldPosition="0">
        <references count="3">
          <reference field="11" count="1" selected="0">
            <x v="559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21">
      <pivotArea dataOnly="0" labelOnly="1" outline="0" fieldPosition="0">
        <references count="3">
          <reference field="11" count="1" selected="0">
            <x v="560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20">
      <pivotArea dataOnly="0" labelOnly="1" outline="0" fieldPosition="0">
        <references count="3">
          <reference field="11" count="1" selected="0">
            <x v="561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219">
      <pivotArea dataOnly="0" labelOnly="1" outline="0" fieldPosition="0">
        <references count="3">
          <reference field="11" count="1" selected="0">
            <x v="562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18">
      <pivotArea dataOnly="0" labelOnly="1" outline="0" fieldPosition="0">
        <references count="3">
          <reference field="11" count="1" selected="0">
            <x v="563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217">
      <pivotArea dataOnly="0" labelOnly="1" outline="0" fieldPosition="0">
        <references count="3">
          <reference field="11" count="1" selected="0">
            <x v="564"/>
          </reference>
          <reference field="12" count="1" selected="0">
            <x v="25"/>
          </reference>
          <reference field="13" count="1">
            <x v="20"/>
          </reference>
        </references>
      </pivotArea>
    </format>
    <format dxfId="216">
      <pivotArea dataOnly="0" labelOnly="1" outline="0" fieldPosition="0">
        <references count="3">
          <reference field="11" count="1" selected="0">
            <x v="565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15">
      <pivotArea dataOnly="0" labelOnly="1" outline="0" fieldPosition="0">
        <references count="3">
          <reference field="11" count="1" selected="0">
            <x v="56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14">
      <pivotArea dataOnly="0" labelOnly="1" outline="0" fieldPosition="0">
        <references count="3">
          <reference field="11" count="1" selected="0">
            <x v="567"/>
          </reference>
          <reference field="12" count="1" selected="0">
            <x v="153"/>
          </reference>
          <reference field="13" count="1">
            <x v="22"/>
          </reference>
        </references>
      </pivotArea>
    </format>
    <format dxfId="213">
      <pivotArea dataOnly="0" labelOnly="1" outline="0" fieldPosition="0">
        <references count="3">
          <reference field="11" count="1" selected="0">
            <x v="568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12">
      <pivotArea dataOnly="0" labelOnly="1" outline="0" fieldPosition="0">
        <references count="3">
          <reference field="11" count="1" selected="0">
            <x v="569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211">
      <pivotArea dataOnly="0" labelOnly="1" outline="0" fieldPosition="0">
        <references count="3">
          <reference field="11" count="1" selected="0">
            <x v="570"/>
          </reference>
          <reference field="12" count="1" selected="0">
            <x v="73"/>
          </reference>
          <reference field="13" count="1">
            <x v="20"/>
          </reference>
        </references>
      </pivotArea>
    </format>
    <format dxfId="210">
      <pivotArea dataOnly="0" labelOnly="1" outline="0" fieldPosition="0">
        <references count="3">
          <reference field="11" count="1" selected="0">
            <x v="571"/>
          </reference>
          <reference field="12" count="1" selected="0">
            <x v="158"/>
          </reference>
          <reference field="13" count="1">
            <x v="9"/>
          </reference>
        </references>
      </pivotArea>
    </format>
    <format dxfId="209">
      <pivotArea dataOnly="0" labelOnly="1" outline="0" fieldPosition="0">
        <references count="3">
          <reference field="11" count="1" selected="0">
            <x v="572"/>
          </reference>
          <reference field="12" count="1" selected="0">
            <x v="145"/>
          </reference>
          <reference field="13" count="1">
            <x v="8"/>
          </reference>
        </references>
      </pivotArea>
    </format>
    <format dxfId="208">
      <pivotArea dataOnly="0" labelOnly="1" outline="0" fieldPosition="0">
        <references count="3">
          <reference field="11" count="1" selected="0">
            <x v="573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207">
      <pivotArea dataOnly="0" labelOnly="1" outline="0" fieldPosition="0">
        <references count="3">
          <reference field="11" count="1" selected="0">
            <x v="574"/>
          </reference>
          <reference field="12" count="1" selected="0">
            <x v="52"/>
          </reference>
          <reference field="13" count="1">
            <x v="4"/>
          </reference>
        </references>
      </pivotArea>
    </format>
    <format dxfId="206">
      <pivotArea dataOnly="0" labelOnly="1" outline="0" fieldPosition="0">
        <references count="3">
          <reference field="11" count="1" selected="0">
            <x v="575"/>
          </reference>
          <reference field="12" count="1" selected="0">
            <x v="47"/>
          </reference>
          <reference field="13" count="1">
            <x v="19"/>
          </reference>
        </references>
      </pivotArea>
    </format>
    <format dxfId="205">
      <pivotArea dataOnly="0" labelOnly="1" outline="0" fieldPosition="0">
        <references count="3">
          <reference field="11" count="1" selected="0">
            <x v="576"/>
          </reference>
          <reference field="12" count="1" selected="0">
            <x v="24"/>
          </reference>
          <reference field="13" count="1">
            <x v="5"/>
          </reference>
        </references>
      </pivotArea>
    </format>
    <format dxfId="204">
      <pivotArea dataOnly="0" labelOnly="1" outline="0" fieldPosition="0">
        <references count="3">
          <reference field="11" count="1" selected="0">
            <x v="577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203">
      <pivotArea dataOnly="0" labelOnly="1" outline="0" fieldPosition="0">
        <references count="3">
          <reference field="11" count="1" selected="0">
            <x v="578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202">
      <pivotArea dataOnly="0" labelOnly="1" outline="0" fieldPosition="0">
        <references count="3">
          <reference field="11" count="1" selected="0">
            <x v="579"/>
          </reference>
          <reference field="12" count="1" selected="0">
            <x v="151"/>
          </reference>
          <reference field="13" count="1">
            <x v="22"/>
          </reference>
        </references>
      </pivotArea>
    </format>
    <format dxfId="201">
      <pivotArea dataOnly="0" labelOnly="1" outline="0" fieldPosition="0">
        <references count="3">
          <reference field="11" count="1" selected="0">
            <x v="580"/>
          </reference>
          <reference field="12" count="1" selected="0">
            <x v="9"/>
          </reference>
          <reference field="13" count="1">
            <x v="9"/>
          </reference>
        </references>
      </pivotArea>
    </format>
    <format dxfId="200">
      <pivotArea dataOnly="0" labelOnly="1" outline="0" fieldPosition="0">
        <references count="3">
          <reference field="11" count="1" selected="0">
            <x v="581"/>
          </reference>
          <reference field="12" count="1" selected="0">
            <x v="12"/>
          </reference>
          <reference field="13" count="1">
            <x v="9"/>
          </reference>
        </references>
      </pivotArea>
    </format>
    <format dxfId="199">
      <pivotArea dataOnly="0" labelOnly="1" outline="0" fieldPosition="0">
        <references count="3">
          <reference field="11" count="1" selected="0">
            <x v="582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198">
      <pivotArea dataOnly="0" labelOnly="1" outline="0" fieldPosition="0">
        <references count="3">
          <reference field="11" count="1" selected="0">
            <x v="583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197">
      <pivotArea dataOnly="0" labelOnly="1" outline="0" fieldPosition="0">
        <references count="3">
          <reference field="11" count="1" selected="0">
            <x v="584"/>
          </reference>
          <reference field="12" count="1" selected="0">
            <x v="152"/>
          </reference>
          <reference field="13" count="1">
            <x v="22"/>
          </reference>
        </references>
      </pivotArea>
    </format>
    <format dxfId="196">
      <pivotArea dataOnly="0" labelOnly="1" outline="0" fieldPosition="0">
        <references count="3">
          <reference field="11" count="1" selected="0">
            <x v="585"/>
          </reference>
          <reference field="12" count="1" selected="0">
            <x v="81"/>
          </reference>
          <reference field="13" count="1">
            <x v="17"/>
          </reference>
        </references>
      </pivotArea>
    </format>
    <format dxfId="195">
      <pivotArea dataOnly="0" labelOnly="1" outline="0" fieldPosition="0">
        <references count="3">
          <reference field="11" count="1" selected="0">
            <x v="586"/>
          </reference>
          <reference field="12" count="1" selected="0">
            <x v="42"/>
          </reference>
          <reference field="13" count="1">
            <x v="11"/>
          </reference>
        </references>
      </pivotArea>
    </format>
    <format dxfId="194">
      <pivotArea dataOnly="0" labelOnly="1" outline="0" fieldPosition="0">
        <references count="3">
          <reference field="11" count="1" selected="0">
            <x v="587"/>
          </reference>
          <reference field="12" count="1" selected="0">
            <x v="43"/>
          </reference>
          <reference field="13" count="1">
            <x v="16"/>
          </reference>
        </references>
      </pivotArea>
    </format>
    <format dxfId="193">
      <pivotArea dataOnly="0" labelOnly="1" outline="0" fieldPosition="0">
        <references count="3">
          <reference field="11" count="1" selected="0">
            <x v="588"/>
          </reference>
          <reference field="12" count="1" selected="0">
            <x v="19"/>
          </reference>
          <reference field="13" count="1">
            <x v="12"/>
          </reference>
        </references>
      </pivotArea>
    </format>
    <format dxfId="192">
      <pivotArea dataOnly="0" labelOnly="1" outline="0" fieldPosition="0">
        <references count="3">
          <reference field="11" count="1" selected="0">
            <x v="589"/>
          </reference>
          <reference field="12" count="1" selected="0">
            <x v="25"/>
          </reference>
          <reference field="13" count="1">
            <x v="20"/>
          </reference>
        </references>
      </pivotArea>
    </format>
    <format dxfId="191">
      <pivotArea dataOnly="0" labelOnly="1" outline="0" fieldPosition="0">
        <references count="3">
          <reference field="11" count="1" selected="0">
            <x v="590"/>
          </reference>
          <reference field="12" count="1" selected="0">
            <x v="38"/>
          </reference>
          <reference field="13" count="1">
            <x v="16"/>
          </reference>
        </references>
      </pivotArea>
    </format>
    <format dxfId="190">
      <pivotArea dataOnly="0" labelOnly="1" outline="0" fieldPosition="0">
        <references count="3">
          <reference field="11" count="1" selected="0">
            <x v="591"/>
          </reference>
          <reference field="12" count="1" selected="0">
            <x v="45"/>
          </reference>
          <reference field="13" count="1">
            <x v="22"/>
          </reference>
        </references>
      </pivotArea>
    </format>
    <format dxfId="189">
      <pivotArea dataOnly="0" labelOnly="1" outline="0" fieldPosition="0">
        <references count="3">
          <reference field="11" count="1" selected="0">
            <x v="592"/>
          </reference>
          <reference field="12" count="1" selected="0">
            <x v="98"/>
          </reference>
          <reference field="13" count="1">
            <x v="17"/>
          </reference>
        </references>
      </pivotArea>
    </format>
    <format dxfId="188">
      <pivotArea dataOnly="0" labelOnly="1" outline="0" fieldPosition="0">
        <references count="3">
          <reference field="11" count="1" selected="0">
            <x v="593"/>
          </reference>
          <reference field="12" count="1" selected="0">
            <x v="112"/>
          </reference>
          <reference field="13" count="1">
            <x v="22"/>
          </reference>
        </references>
      </pivotArea>
    </format>
    <format dxfId="187">
      <pivotArea dataOnly="0" labelOnly="1" outline="0" fieldPosition="0">
        <references count="3">
          <reference field="11" count="1" selected="0">
            <x v="594"/>
          </reference>
          <reference field="12" count="1" selected="0">
            <x v="113"/>
          </reference>
          <reference field="13" count="1">
            <x v="22"/>
          </reference>
        </references>
      </pivotArea>
    </format>
    <format dxfId="186">
      <pivotArea dataOnly="0" labelOnly="1" outline="0" fieldPosition="0">
        <references count="3">
          <reference field="11" count="1" selected="0">
            <x v="595"/>
          </reference>
          <reference field="12" count="1" selected="0">
            <x v="117"/>
          </reference>
          <reference field="13" count="1">
            <x v="22"/>
          </reference>
        </references>
      </pivotArea>
    </format>
    <format dxfId="185">
      <pivotArea dataOnly="0" labelOnly="1" outline="0" fieldPosition="0">
        <references count="3">
          <reference field="11" count="1" selected="0">
            <x v="596"/>
          </reference>
          <reference field="12" count="1" selected="0">
            <x v="124"/>
          </reference>
          <reference field="13" count="1">
            <x v="22"/>
          </reference>
        </references>
      </pivotArea>
    </format>
    <format dxfId="184">
      <pivotArea dataOnly="0" labelOnly="1" outline="0" fieldPosition="0">
        <references count="3">
          <reference field="11" count="1" selected="0">
            <x v="597"/>
          </reference>
          <reference field="12" count="1" selected="0">
            <x v="135"/>
          </reference>
          <reference field="13" count="1">
            <x v="22"/>
          </reference>
        </references>
      </pivotArea>
    </format>
    <format dxfId="183">
      <pivotArea dataOnly="0" labelOnly="1" outline="0" fieldPosition="0">
        <references count="3">
          <reference field="11" count="1" selected="0">
            <x v="598"/>
          </reference>
          <reference field="12" count="1" selected="0">
            <x v="58"/>
          </reference>
          <reference field="13" count="1">
            <x v="7"/>
          </reference>
        </references>
      </pivotArea>
    </format>
    <format dxfId="182">
      <pivotArea dataOnly="0" labelOnly="1" outline="0" fieldPosition="0">
        <references count="3">
          <reference field="11" count="1" selected="0">
            <x v="599"/>
          </reference>
          <reference field="12" count="1" selected="0">
            <x v="140"/>
          </reference>
          <reference field="13" count="1">
            <x v="20"/>
          </reference>
        </references>
      </pivotArea>
    </format>
    <format dxfId="181">
      <pivotArea dataOnly="0" labelOnly="1" outline="0" fieldPosition="0">
        <references count="3">
          <reference field="11" count="1" selected="0">
            <x v="600"/>
          </reference>
          <reference field="12" count="1" selected="0">
            <x v="36"/>
          </reference>
          <reference field="13" count="1">
            <x v="22"/>
          </reference>
        </references>
      </pivotArea>
    </format>
    <format dxfId="180">
      <pivotArea dataOnly="0" labelOnly="1" outline="0" fieldPosition="0">
        <references count="3">
          <reference field="11" count="1" selected="0">
            <x v="601"/>
          </reference>
          <reference field="12" count="1" selected="0">
            <x v="72"/>
          </reference>
          <reference field="13" count="1">
            <x v="13"/>
          </reference>
        </references>
      </pivotArea>
    </format>
    <format dxfId="179">
      <pivotArea dataOnly="0" labelOnly="1" outline="0" fieldPosition="0">
        <references count="3">
          <reference field="11" count="1" selected="0">
            <x v="602"/>
          </reference>
          <reference field="12" count="1" selected="0">
            <x v="74"/>
          </reference>
          <reference field="13" count="1">
            <x v="9"/>
          </reference>
        </references>
      </pivotArea>
    </format>
    <format dxfId="178">
      <pivotArea dataOnly="0" labelOnly="1" outline="0" fieldPosition="0">
        <references count="3">
          <reference field="11" count="1" selected="0">
            <x v="603"/>
          </reference>
          <reference field="12" count="1" selected="0">
            <x v="139"/>
          </reference>
          <reference field="13" count="1">
            <x v="22"/>
          </reference>
        </references>
      </pivotArea>
    </format>
    <format dxfId="177">
      <pivotArea dataOnly="0" labelOnly="1" outline="0" fieldPosition="0">
        <references count="3">
          <reference field="11" count="1" selected="0">
            <x v="604"/>
          </reference>
          <reference field="12" count="1" selected="0">
            <x v="94"/>
          </reference>
          <reference field="13" count="1">
            <x v="18"/>
          </reference>
        </references>
      </pivotArea>
    </format>
    <format dxfId="176">
      <pivotArea dataOnly="0" labelOnly="1" outline="0" fieldPosition="0">
        <references count="3">
          <reference field="11" count="1" selected="0">
            <x v="605"/>
          </reference>
          <reference field="12" count="1" selected="0">
            <x v="105"/>
          </reference>
          <reference field="13" count="1">
            <x v="19"/>
          </reference>
        </references>
      </pivotArea>
    </format>
    <format dxfId="175">
      <pivotArea dataOnly="0" labelOnly="1" outline="0" fieldPosition="0">
        <references count="3">
          <reference field="11" count="1" selected="0">
            <x v="606"/>
          </reference>
          <reference field="12" count="1" selected="0">
            <x v="143"/>
          </reference>
          <reference field="13" count="1">
            <x v="22"/>
          </reference>
        </references>
      </pivotArea>
    </format>
    <format dxfId="174">
      <pivotArea dataOnly="0" labelOnly="1" outline="0" fieldPosition="0">
        <references count="3">
          <reference field="11" count="1" selected="0">
            <x v="607"/>
          </reference>
          <reference field="12" count="1" selected="0">
            <x v="86"/>
          </reference>
          <reference field="13" count="1">
            <x v="12"/>
          </reference>
        </references>
      </pivotArea>
    </format>
    <format dxfId="173">
      <pivotArea dataOnly="0" labelOnly="1" outline="0" fieldPosition="0">
        <references count="3">
          <reference field="11" count="1" selected="0">
            <x v="608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172">
      <pivotArea dataOnly="0" labelOnly="1" outline="0" fieldPosition="0">
        <references count="3">
          <reference field="11" count="1" selected="0">
            <x v="609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171">
      <pivotArea dataOnly="0" labelOnly="1" outline="0" fieldPosition="0">
        <references count="3">
          <reference field="11" count="1" selected="0">
            <x v="610"/>
          </reference>
          <reference field="12" count="1" selected="0">
            <x v="93"/>
          </reference>
          <reference field="13" count="1">
            <x v="9"/>
          </reference>
        </references>
      </pivotArea>
    </format>
    <format dxfId="170">
      <pivotArea dataOnly="0" labelOnly="1" outline="0" fieldPosition="0">
        <references count="3">
          <reference field="11" count="1" selected="0">
            <x v="611"/>
          </reference>
          <reference field="12" count="1" selected="0">
            <x v="28"/>
          </reference>
          <reference field="13" count="1">
            <x v="22"/>
          </reference>
        </references>
      </pivotArea>
    </format>
    <format dxfId="169">
      <pivotArea dataOnly="0" labelOnly="1" outline="0" fieldPosition="0">
        <references count="3">
          <reference field="11" count="1" selected="0">
            <x v="612"/>
          </reference>
          <reference field="12" count="1" selected="0">
            <x v="129"/>
          </reference>
          <reference field="13" count="1">
            <x v="3"/>
          </reference>
        </references>
      </pivotArea>
    </format>
    <format dxfId="168">
      <pivotArea dataOnly="0" labelOnly="1" outline="0" fieldPosition="0">
        <references count="3">
          <reference field="11" count="1" selected="0">
            <x v="613"/>
          </reference>
          <reference field="12" count="1" selected="0">
            <x v="34"/>
          </reference>
          <reference field="13" count="1">
            <x v="16"/>
          </reference>
        </references>
      </pivotArea>
    </format>
    <format dxfId="167">
      <pivotArea dataOnly="0" labelOnly="1" outline="0" fieldPosition="0">
        <references count="3">
          <reference field="11" count="1" selected="0">
            <x v="614"/>
          </reference>
          <reference field="12" count="1" selected="0">
            <x v="126"/>
          </reference>
          <reference field="13" count="1">
            <x v="17"/>
          </reference>
        </references>
      </pivotArea>
    </format>
    <format dxfId="166">
      <pivotArea dataOnly="0" labelOnly="1" outline="0" fieldPosition="0">
        <references count="3">
          <reference field="11" count="1" selected="0">
            <x v="615"/>
          </reference>
          <reference field="12" count="1" selected="0">
            <x v="116"/>
          </reference>
          <reference field="13" count="1">
            <x v="19"/>
          </reference>
        </references>
      </pivotArea>
    </format>
    <format dxfId="165">
      <pivotArea dataOnly="0" labelOnly="1" outline="0" fieldPosition="0">
        <references count="3">
          <reference field="11" count="1" selected="0">
            <x v="616"/>
          </reference>
          <reference field="12" count="1" selected="0">
            <x v="147"/>
          </reference>
          <reference field="13" count="1">
            <x v="22"/>
          </reference>
        </references>
      </pivotArea>
    </format>
    <format dxfId="164">
      <pivotArea dataOnly="0" labelOnly="1" outline="0" fieldPosition="0">
        <references count="3">
          <reference field="11" count="1" selected="0">
            <x v="617"/>
          </reference>
          <reference field="12" count="1" selected="0">
            <x v="51"/>
          </reference>
          <reference field="13" count="1">
            <x v="20"/>
          </reference>
        </references>
      </pivotArea>
    </format>
    <format dxfId="163">
      <pivotArea dataOnly="0" labelOnly="1" outline="0" fieldPosition="0">
        <references count="1">
          <reference field="15" count="0"/>
        </references>
      </pivotArea>
    </format>
    <format dxfId="162">
      <pivotArea dataOnly="0" labelOnly="1" grandCol="1" outline="0" fieldPosition="0"/>
    </format>
    <format dxfId="161">
      <pivotArea dataOnly="0" outline="0" fieldPosition="0">
        <references count="1">
          <reference field="15" count="0"/>
        </references>
      </pivotArea>
    </format>
    <format dxfId="160">
      <pivotArea dataOnly="0" labelOnly="1" outline="0" fieldPosition="0">
        <references count="1">
          <reference field="15" count="0"/>
        </references>
      </pivotArea>
    </format>
    <format dxfId="159">
      <pivotArea type="origin" dataOnly="0" labelOnly="1" outline="0" fieldPosition="0"/>
    </format>
    <format dxfId="158">
      <pivotArea type="topRight" dataOnly="0" labelOnly="1" outline="0" fieldPosition="0"/>
    </format>
    <format dxfId="157">
      <pivotArea type="origin" dataOnly="0" labelOnly="1" outline="0" fieldPosition="0"/>
    </format>
    <format dxfId="156">
      <pivotArea type="topRight" dataOnly="0" labelOnly="1" outline="0" fieldPosition="0"/>
    </format>
    <format dxfId="155">
      <pivotArea field="11" type="button" dataOnly="0" labelOnly="1" outline="0" axis="axisRow" fieldPosition="0"/>
    </format>
    <format dxfId="154">
      <pivotArea field="12" type="button" dataOnly="0" labelOnly="1" outline="0" axis="axisRow" fieldPosition="1"/>
    </format>
    <format dxfId="153">
      <pivotArea field="11" type="button" dataOnly="0" labelOnly="1" outline="0" axis="axisRow" fieldPosition="0"/>
    </format>
    <format dxfId="152">
      <pivotArea field="12" type="button" dataOnly="0" labelOnly="1" outline="0" axis="axisRow" fieldPosition="1"/>
    </format>
    <format dxfId="151">
      <pivotArea field="13" type="button" dataOnly="0" labelOnly="1" outline="0" axis="axisRow" fieldPosition="2"/>
    </format>
    <format dxfId="150">
      <pivotArea dataOnly="0" labelOnly="1" outline="0" fieldPosition="0">
        <references count="1">
          <reference field="15" count="0"/>
        </references>
      </pivotArea>
    </format>
    <format dxfId="149">
      <pivotArea field="11" type="button" dataOnly="0" labelOnly="1" outline="0" axis="axisRow" fieldPosition="0"/>
    </format>
    <format dxfId="148">
      <pivotArea field="12" type="button" dataOnly="0" labelOnly="1" outline="0" axis="axisRow" fieldPosition="1"/>
    </format>
    <format dxfId="147">
      <pivotArea field="13" type="button" dataOnly="0" labelOnly="1" outline="0" axis="axisRow" fieldPosition="2"/>
    </format>
    <format dxfId="146">
      <pivotArea dataOnly="0" labelOnly="1" outline="0" fieldPosition="0">
        <references count="1">
          <reference field="15" count="0"/>
        </references>
      </pivotArea>
    </format>
    <format dxfId="145">
      <pivotArea field="11" type="button" dataOnly="0" labelOnly="1" outline="0" axis="axisRow" fieldPosition="0"/>
    </format>
    <format dxfId="144">
      <pivotArea field="12" type="button" dataOnly="0" labelOnly="1" outline="0" axis="axisRow" fieldPosition="1"/>
    </format>
    <format dxfId="143">
      <pivotArea field="13" type="button" dataOnly="0" labelOnly="1" outline="0" axis="axisRow" fieldPosition="2"/>
    </format>
    <format dxfId="142">
      <pivotArea dataOnly="0" labelOnly="1" outline="0" fieldPosition="0">
        <references count="1">
          <reference field="15" count="0"/>
        </references>
      </pivotArea>
    </format>
    <format dxfId="141">
      <pivotArea field="11" type="button" dataOnly="0" labelOnly="1" outline="0" axis="axisRow" fieldPosition="0"/>
    </format>
    <format dxfId="140">
      <pivotArea field="12" type="button" dataOnly="0" labelOnly="1" outline="0" axis="axisRow" fieldPosition="1"/>
    </format>
    <format dxfId="139">
      <pivotArea field="13" type="button" dataOnly="0" labelOnly="1" outline="0" axis="axisRow" fieldPosition="2"/>
    </format>
    <format dxfId="138">
      <pivotArea dataOnly="0" labelOnly="1" outline="0" fieldPosition="0">
        <references count="1">
          <reference field="15" count="0"/>
        </references>
      </pivotArea>
    </format>
    <format dxfId="137">
      <pivotArea dataOnly="0" labelOnly="1" outline="0" fieldPosition="0">
        <references count="1">
          <reference field="13" count="0"/>
        </references>
      </pivotArea>
    </format>
    <format dxfId="136">
      <pivotArea field="9" type="button" dataOnly="0" labelOnly="1" outline="0" axis="axisPage" fieldPosition="3"/>
    </format>
    <format dxfId="135">
      <pivotArea field="9" type="button" dataOnly="0" labelOnly="1" outline="0" axis="axisPage" fieldPosition="3"/>
    </format>
    <format dxfId="134">
      <pivotArea field="9" type="button" dataOnly="0" labelOnly="1" outline="0" axis="axisPage" fieldPosition="3"/>
    </format>
    <format dxfId="133">
      <pivotArea type="origin" dataOnly="0" labelOnly="1" outline="0" fieldPosition="0"/>
    </format>
    <format dxfId="132">
      <pivotArea field="15" type="button" dataOnly="0" labelOnly="1" outline="0" axis="axisCol" fieldPosition="0"/>
    </format>
    <format dxfId="131">
      <pivotArea type="topRight" dataOnly="0" labelOnly="1" outline="0" fieldPosition="0"/>
    </format>
    <format dxfId="130">
      <pivotArea field="11" type="button" dataOnly="0" labelOnly="1" outline="0" axis="axisRow" fieldPosition="0"/>
    </format>
    <format dxfId="129">
      <pivotArea field="12" type="button" dataOnly="0" labelOnly="1" outline="0" axis="axisRow" fieldPosition="1"/>
    </format>
    <format dxfId="128">
      <pivotArea field="13" type="button" dataOnly="0" labelOnly="1" outline="0" axis="axisRow" fieldPosition="2"/>
    </format>
    <format dxfId="127">
      <pivotArea dataOnly="0" labelOnly="1" outline="0" fieldPosition="0">
        <references count="1">
          <reference field="15" count="0"/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4235B9-55CB-48CB-B348-4649F3CD8990}" name="Tabela dinâmica1" cacheId="7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B7:C16" firstHeaderRow="1" firstDataRow="1" firstDataCol="1" rowPageCount="4" colPageCount="1"/>
  <pivotFields count="1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9">
        <item x="5"/>
        <item x="16"/>
        <item x="3"/>
        <item x="26"/>
        <item x="1"/>
        <item x="9"/>
        <item x="4"/>
        <item x="17"/>
        <item x="11"/>
        <item x="12"/>
        <item x="25"/>
        <item x="10"/>
        <item x="14"/>
        <item x="28"/>
        <item x="18"/>
        <item x="23"/>
        <item x="8"/>
        <item x="6"/>
        <item x="19"/>
        <item x="7"/>
        <item x="2"/>
        <item x="15"/>
        <item x="20"/>
        <item x="24"/>
        <item x="0"/>
        <item x="13"/>
        <item x="27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619">
        <item x="218"/>
        <item x="294"/>
        <item x="608"/>
        <item x="183"/>
        <item x="63"/>
        <item x="124"/>
        <item x="116"/>
        <item x="552"/>
        <item x="430"/>
        <item x="261"/>
        <item x="451"/>
        <item x="613"/>
        <item x="547"/>
        <item x="89"/>
        <item x="328"/>
        <item x="398"/>
        <item x="175"/>
        <item x="335"/>
        <item x="570"/>
        <item x="66"/>
        <item x="507"/>
        <item x="375"/>
        <item x="184"/>
        <item x="491"/>
        <item x="150"/>
        <item x="400"/>
        <item x="189"/>
        <item x="415"/>
        <item x="365"/>
        <item x="273"/>
        <item x="412"/>
        <item x="599"/>
        <item x="289"/>
        <item x="107"/>
        <item x="614"/>
        <item x="543"/>
        <item x="390"/>
        <item x="98"/>
        <item x="100"/>
        <item x="99"/>
        <item x="101"/>
        <item x="43"/>
        <item x="46"/>
        <item x="54"/>
        <item x="232"/>
        <item x="442"/>
        <item x="270"/>
        <item x="617"/>
        <item x="240"/>
        <item x="136"/>
        <item x="429"/>
        <item x="513"/>
        <item x="52"/>
        <item x="28"/>
        <item x="181"/>
        <item x="528"/>
        <item x="20"/>
        <item x="410"/>
        <item x="576"/>
        <item x="97"/>
        <item x="114"/>
        <item x="422"/>
        <item x="404"/>
        <item x="25"/>
        <item x="351"/>
        <item x="416"/>
        <item x="272"/>
        <item x="568"/>
        <item x="388"/>
        <item x="550"/>
        <item x="32"/>
        <item x="319"/>
        <item x="389"/>
        <item x="571"/>
        <item x="366"/>
        <item x="224"/>
        <item x="153"/>
        <item x="397"/>
        <item x="466"/>
        <item x="524"/>
        <item x="236"/>
        <item x="118"/>
        <item x="39"/>
        <item x="16"/>
        <item x="494"/>
        <item x="535"/>
        <item x="428"/>
        <item x="374"/>
        <item x="126"/>
        <item x="125"/>
        <item x="96"/>
        <item x="595"/>
        <item x="257"/>
        <item x="349"/>
        <item x="426"/>
        <item x="495"/>
        <item x="427"/>
        <item x="140"/>
        <item x="579"/>
        <item x="578"/>
        <item x="363"/>
        <item x="482"/>
        <item x="473"/>
        <item x="526"/>
        <item x="393"/>
        <item x="157"/>
        <item x="154"/>
        <item x="484"/>
        <item x="392"/>
        <item x="155"/>
        <item x="580"/>
        <item x="450"/>
        <item x="151"/>
        <item x="156"/>
        <item x="222"/>
        <item x="490"/>
        <item x="219"/>
        <item x="221"/>
        <item x="123"/>
        <item x="431"/>
        <item x="356"/>
        <item x="203"/>
        <item x="396"/>
        <item x="525"/>
        <item x="320"/>
        <item x="68"/>
        <item x="594"/>
        <item x="492"/>
        <item x="378"/>
        <item x="503"/>
        <item x="172"/>
        <item x="187"/>
        <item x="165"/>
        <item x="403"/>
        <item x="606"/>
        <item x="569"/>
        <item x="575"/>
        <item x="339"/>
        <item x="311"/>
        <item x="111"/>
        <item x="88"/>
        <item x="380"/>
        <item x="463"/>
        <item x="372"/>
        <item x="94"/>
        <item x="474"/>
        <item x="58"/>
        <item x="592"/>
        <item x="303"/>
        <item x="516"/>
        <item x="60"/>
        <item x="346"/>
        <item x="2"/>
        <item x="72"/>
        <item x="369"/>
        <item x="104"/>
        <item x="67"/>
        <item x="406"/>
        <item x="483"/>
        <item x="544"/>
        <item x="14"/>
        <item x="15"/>
        <item x="455"/>
        <item x="127"/>
        <item x="347"/>
        <item x="234"/>
        <item x="49"/>
        <item x="518"/>
        <item x="110"/>
        <item x="185"/>
        <item x="527"/>
        <item x="108"/>
        <item x="74"/>
        <item x="555"/>
        <item x="225"/>
        <item x="498"/>
        <item x="285"/>
        <item x="433"/>
        <item x="149"/>
        <item x="322"/>
        <item x="309"/>
        <item x="64"/>
        <item x="282"/>
        <item x="283"/>
        <item x="143"/>
        <item x="212"/>
        <item x="103"/>
        <item x="574"/>
        <item x="106"/>
        <item x="59"/>
        <item x="467"/>
        <item x="291"/>
        <item x="480"/>
        <item x="47"/>
        <item x="93"/>
        <item x="386"/>
        <item x="509"/>
        <item x="424"/>
        <item x="186"/>
        <item x="41"/>
        <item x="364"/>
        <item x="196"/>
        <item x="502"/>
        <item x="288"/>
        <item x="190"/>
        <item x="133"/>
        <item x="78"/>
        <item x="121"/>
        <item x="76"/>
        <item x="79"/>
        <item x="337"/>
        <item x="297"/>
        <item x="357"/>
        <item x="11"/>
        <item x="128"/>
        <item x="515"/>
        <item x="278"/>
        <item x="31"/>
        <item x="522"/>
        <item x="275"/>
        <item x="342"/>
        <item x="499"/>
        <item x="144"/>
        <item x="559"/>
        <item x="326"/>
        <item x="195"/>
        <item x="419"/>
        <item x="609"/>
        <item x="226"/>
        <item x="120"/>
        <item x="436"/>
        <item x="446"/>
        <item x="327"/>
        <item x="440"/>
        <item x="444"/>
        <item x="462"/>
        <item x="279"/>
        <item x="33"/>
        <item x="35"/>
        <item x="359"/>
        <item x="23"/>
        <item x="84"/>
        <item x="197"/>
        <item x="199"/>
        <item x="409"/>
        <item x="597"/>
        <item x="468"/>
        <item x="254"/>
        <item x="180"/>
        <item x="441"/>
        <item x="262"/>
        <item x="408"/>
        <item x="281"/>
        <item x="304"/>
        <item x="295"/>
        <item x="30"/>
        <item x="245"/>
        <item x="211"/>
        <item x="26"/>
        <item x="589"/>
        <item x="336"/>
        <item x="354"/>
        <item x="469"/>
        <item x="385"/>
        <item x="521"/>
        <item x="562"/>
        <item x="10"/>
        <item x="387"/>
        <item x="481"/>
        <item x="537"/>
        <item x="9"/>
        <item x="373"/>
        <item x="12"/>
        <item x="496"/>
        <item x="612"/>
        <item x="534"/>
        <item x="477"/>
        <item x="286"/>
        <item x="598"/>
        <item x="539"/>
        <item x="362"/>
        <item x="274"/>
        <item x="536"/>
        <item x="315"/>
        <item x="298"/>
        <item x="549"/>
        <item x="432"/>
        <item x="514"/>
        <item x="134"/>
        <item x="588"/>
        <item x="590"/>
        <item x="591"/>
        <item x="383"/>
        <item x="478"/>
        <item x="504"/>
        <item x="332"/>
        <item x="316"/>
        <item x="179"/>
        <item x="235"/>
        <item x="411"/>
        <item x="485"/>
        <item x="168"/>
        <item x="461"/>
        <item x="600"/>
        <item x="86"/>
        <item x="8"/>
        <item x="217"/>
        <item x="57"/>
        <item x="399"/>
        <item x="402"/>
        <item x="159"/>
        <item x="348"/>
        <item x="459"/>
        <item x="119"/>
        <item x="563"/>
        <item x="314"/>
        <item x="439"/>
        <item x="81"/>
        <item x="541"/>
        <item x="258"/>
        <item x="317"/>
        <item x="215"/>
        <item x="210"/>
        <item x="493"/>
        <item x="248"/>
        <item x="130"/>
        <item x="160"/>
        <item x="213"/>
        <item x="585"/>
        <item x="508"/>
        <item x="77"/>
        <item x="191"/>
        <item x="71"/>
        <item x="479"/>
        <item x="209"/>
        <item x="137"/>
        <item x="105"/>
        <item x="216"/>
        <item x="17"/>
        <item x="517"/>
        <item x="565"/>
        <item x="352"/>
        <item x="290"/>
        <item x="280"/>
        <item x="313"/>
        <item x="177"/>
        <item x="460"/>
        <item x="4"/>
        <item x="603"/>
        <item x="292"/>
        <item x="158"/>
        <item x="83"/>
        <item x="22"/>
        <item x="284"/>
        <item x="201"/>
        <item x="557"/>
        <item x="277"/>
        <item x="435"/>
        <item x="434"/>
        <item x="296"/>
        <item x="381"/>
        <item x="132"/>
        <item x="37"/>
        <item x="265"/>
        <item x="611"/>
        <item x="260"/>
        <item x="413"/>
        <item x="145"/>
        <item x="587"/>
        <item x="139"/>
        <item x="417"/>
        <item x="267"/>
        <item x="287"/>
        <item x="333"/>
        <item x="470"/>
        <item x="82"/>
        <item x="40"/>
        <item x="423"/>
        <item x="198"/>
        <item x="615"/>
        <item x="334"/>
        <item x="174"/>
        <item x="85"/>
        <item x="512"/>
        <item x="138"/>
        <item x="167"/>
        <item x="241"/>
        <item x="567"/>
        <item x="141"/>
        <item x="109"/>
        <item x="206"/>
        <item x="238"/>
        <item x="170"/>
        <item x="607"/>
        <item x="511"/>
        <item x="420"/>
        <item x="321"/>
        <item x="330"/>
        <item x="500"/>
        <item x="523"/>
        <item x="325"/>
        <item x="90"/>
        <item x="379"/>
        <item x="476"/>
        <item x="307"/>
        <item x="250"/>
        <item x="602"/>
        <item x="583"/>
        <item x="230"/>
        <item x="582"/>
        <item x="465"/>
        <item x="489"/>
        <item x="584"/>
        <item x="367"/>
        <item x="472"/>
        <item x="532"/>
        <item x="95"/>
        <item x="253"/>
        <item x="202"/>
        <item x="573"/>
        <item x="214"/>
        <item x="80"/>
        <item x="73"/>
        <item x="300"/>
        <item x="324"/>
        <item x="192"/>
        <item x="87"/>
        <item x="146"/>
        <item x="376"/>
        <item x="55"/>
        <item x="204"/>
        <item x="131"/>
        <item x="371"/>
        <item x="323"/>
        <item x="237"/>
        <item x="34"/>
        <item x="545"/>
        <item x="456"/>
        <item x="605"/>
        <item x="135"/>
        <item x="340"/>
        <item x="407"/>
        <item x="56"/>
        <item x="69"/>
        <item x="27"/>
        <item x="341"/>
        <item x="437"/>
        <item x="18"/>
        <item x="229"/>
        <item x="29"/>
        <item x="194"/>
        <item x="268"/>
        <item x="263"/>
        <item x="113"/>
        <item x="102"/>
        <item x="231"/>
        <item x="593"/>
        <item x="519"/>
        <item x="350"/>
        <item x="13"/>
        <item x="556"/>
        <item x="458"/>
        <item x="142"/>
        <item x="243"/>
        <item x="244"/>
        <item x="554"/>
        <item x="338"/>
        <item x="305"/>
        <item x="501"/>
        <item x="560"/>
        <item x="3"/>
        <item x="266"/>
        <item x="252"/>
        <item x="529"/>
        <item x="162"/>
        <item x="228"/>
        <item x="6"/>
        <item x="414"/>
        <item x="487"/>
        <item x="161"/>
        <item x="448"/>
        <item x="452"/>
        <item x="0"/>
        <item x="343"/>
        <item x="506"/>
        <item x="581"/>
        <item x="345"/>
        <item x="163"/>
        <item x="421"/>
        <item x="596"/>
        <item x="358"/>
        <item x="445"/>
        <item x="353"/>
        <item x="542"/>
        <item x="360"/>
        <item x="546"/>
        <item x="51"/>
        <item x="166"/>
        <item x="148"/>
        <item x="453"/>
        <item x="48"/>
        <item x="577"/>
        <item x="586"/>
        <item x="355"/>
        <item x="38"/>
        <item x="61"/>
        <item x="308"/>
        <item x="538"/>
        <item x="21"/>
        <item x="200"/>
        <item x="7"/>
        <item x="306"/>
        <item x="475"/>
        <item x="223"/>
        <item x="361"/>
        <item x="122"/>
        <item x="1"/>
        <item x="227"/>
        <item x="418"/>
        <item x="572"/>
        <item x="152"/>
        <item x="447"/>
        <item x="242"/>
        <item x="264"/>
        <item x="259"/>
        <item x="169"/>
        <item x="382"/>
        <item x="564"/>
        <item x="50"/>
        <item x="505"/>
        <item x="566"/>
        <item x="312"/>
        <item x="193"/>
        <item x="377"/>
        <item x="530"/>
        <item x="19"/>
        <item x="310"/>
        <item x="486"/>
        <item x="302"/>
        <item x="147"/>
        <item x="449"/>
        <item x="601"/>
        <item x="5"/>
        <item x="331"/>
        <item x="395"/>
        <item x="92"/>
        <item x="464"/>
        <item x="561"/>
        <item x="207"/>
        <item x="188"/>
        <item x="533"/>
        <item x="405"/>
        <item x="176"/>
        <item x="239"/>
        <item x="129"/>
        <item x="344"/>
        <item x="91"/>
        <item x="520"/>
        <item x="497"/>
        <item x="75"/>
        <item x="370"/>
        <item x="394"/>
        <item x="293"/>
        <item x="45"/>
        <item x="36"/>
        <item x="299"/>
        <item x="178"/>
        <item x="610"/>
        <item x="182"/>
        <item x="454"/>
        <item x="384"/>
        <item x="171"/>
        <item x="42"/>
        <item x="548"/>
        <item x="70"/>
        <item x="443"/>
        <item x="301"/>
        <item x="269"/>
        <item x="220"/>
        <item x="251"/>
        <item x="401"/>
        <item x="488"/>
        <item x="255"/>
        <item x="604"/>
        <item x="256"/>
        <item x="233"/>
        <item x="53"/>
        <item x="558"/>
        <item x="62"/>
        <item x="457"/>
        <item x="616"/>
        <item x="438"/>
        <item x="208"/>
        <item x="246"/>
        <item x="24"/>
        <item x="551"/>
        <item x="249"/>
        <item x="271"/>
        <item x="44"/>
        <item x="318"/>
        <item x="247"/>
        <item x="112"/>
        <item x="173"/>
        <item x="553"/>
        <item x="368"/>
        <item x="329"/>
        <item x="276"/>
        <item x="391"/>
        <item x="471"/>
        <item x="117"/>
        <item x="540"/>
        <item x="425"/>
        <item x="164"/>
        <item x="510"/>
        <item x="205"/>
        <item x="115"/>
        <item x="531"/>
        <item x="65"/>
        <item x="6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63">
        <item x="120"/>
        <item x="50"/>
        <item x="27"/>
        <item x="128"/>
        <item x="65"/>
        <item x="115"/>
        <item x="106"/>
        <item x="49"/>
        <item x="116"/>
        <item x="105"/>
        <item x="134"/>
        <item x="86"/>
        <item x="132"/>
        <item x="133"/>
        <item x="29"/>
        <item x="20"/>
        <item x="143"/>
        <item x="159"/>
        <item x="75"/>
        <item x="1"/>
        <item x="6"/>
        <item x="91"/>
        <item x="87"/>
        <item x="129"/>
        <item x="4"/>
        <item x="21"/>
        <item x="123"/>
        <item x="42"/>
        <item x="48"/>
        <item x="152"/>
        <item x="12"/>
        <item x="139"/>
        <item x="99"/>
        <item x="104"/>
        <item x="60"/>
        <item x="16"/>
        <item x="79"/>
        <item x="15"/>
        <item x="162"/>
        <item x="41"/>
        <item x="2"/>
        <item x="46"/>
        <item x="23"/>
        <item x="13"/>
        <item x="97"/>
        <item x="117"/>
        <item x="34"/>
        <item x="118"/>
        <item x="140"/>
        <item x="53"/>
        <item x="150"/>
        <item x="14"/>
        <item x="32"/>
        <item x="7"/>
        <item x="85"/>
        <item x="142"/>
        <item x="119"/>
        <item x="28"/>
        <item x="8"/>
        <item x="153"/>
        <item x="161"/>
        <item x="84"/>
        <item x="71"/>
        <item x="39"/>
        <item x="158"/>
        <item x="58"/>
        <item x="59"/>
        <item x="111"/>
        <item x="122"/>
        <item x="138"/>
        <item x="112"/>
        <item x="141"/>
        <item x="5"/>
        <item x="101"/>
        <item x="57"/>
        <item x="82"/>
        <item x="30"/>
        <item x="145"/>
        <item x="76"/>
        <item x="88"/>
        <item x="149"/>
        <item x="72"/>
        <item x="37"/>
        <item x="19"/>
        <item x="51"/>
        <item x="126"/>
        <item x="102"/>
        <item x="127"/>
        <item x="109"/>
        <item x="89"/>
        <item x="131"/>
        <item x="147"/>
        <item x="136"/>
        <item x="144"/>
        <item x="10"/>
        <item x="151"/>
        <item x="9"/>
        <item x="93"/>
        <item x="69"/>
        <item x="43"/>
        <item x="100"/>
        <item x="124"/>
        <item x="137"/>
        <item x="36"/>
        <item x="107"/>
        <item x="92"/>
        <item x="61"/>
        <item x="62"/>
        <item x="108"/>
        <item x="98"/>
        <item x="67"/>
        <item x="135"/>
        <item x="78"/>
        <item x="11"/>
        <item x="73"/>
        <item x="160"/>
        <item x="45"/>
        <item x="146"/>
        <item x="17"/>
        <item x="130"/>
        <item x="24"/>
        <item x="68"/>
        <item x="94"/>
        <item x="155"/>
        <item x="22"/>
        <item x="77"/>
        <item x="0"/>
        <item x="38"/>
        <item x="64"/>
        <item x="31"/>
        <item x="95"/>
        <item x="47"/>
        <item x="63"/>
        <item x="33"/>
        <item x="96"/>
        <item x="70"/>
        <item x="74"/>
        <item x="80"/>
        <item x="156"/>
        <item x="148"/>
        <item x="55"/>
        <item x="125"/>
        <item x="26"/>
        <item x="35"/>
        <item x="44"/>
        <item x="25"/>
        <item x="110"/>
        <item x="3"/>
        <item x="113"/>
        <item x="18"/>
        <item x="121"/>
        <item x="81"/>
        <item x="83"/>
        <item x="154"/>
        <item x="40"/>
        <item x="157"/>
        <item x="90"/>
        <item x="103"/>
        <item x="56"/>
        <item x="54"/>
        <item x="66"/>
        <item x="52"/>
        <item x="1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23">
        <item x="14"/>
        <item x="22"/>
        <item x="19"/>
        <item x="17"/>
        <item x="18"/>
        <item x="4"/>
        <item x="13"/>
        <item x="7"/>
        <item x="16"/>
        <item x="2"/>
        <item x="9"/>
        <item x="12"/>
        <item x="1"/>
        <item x="5"/>
        <item x="15"/>
        <item x="20"/>
        <item x="6"/>
        <item x="0"/>
        <item x="8"/>
        <item x="11"/>
        <item x="10"/>
        <item x="2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efaultSubtotal="0">
      <items count="5">
        <item x="2"/>
        <item x="4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9">
        <item sd="0" x="6"/>
        <item sd="0" x="3"/>
        <item sd="0" x="1"/>
        <item sd="0" x="4"/>
        <item sd="0" x="2"/>
        <item sd="0" x="7"/>
        <item sd="0" x="8"/>
        <item sd="0" x="0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3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6"/>
    <field x="1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4">
    <pageField fld="2" hier="-1"/>
    <pageField fld="4" hier="-1"/>
    <pageField fld="3" hier="-1"/>
    <pageField fld="9" hier="-1"/>
  </pageFields>
  <dataFields count="1">
    <dataField name="Unidades" fld="18" baseField="16" baseItem="0" numFmtId="3"/>
  </dataFields>
  <formats count="53">
    <format dxfId="126">
      <pivotArea type="all" dataOnly="0" outline="0" fieldPosition="0"/>
    </format>
    <format dxfId="125">
      <pivotArea outline="0" collapsedLevelsAreSubtotals="1" fieldPosition="0"/>
    </format>
    <format dxfId="124">
      <pivotArea type="origin" dataOnly="0" labelOnly="1" outline="0" fieldPosition="0"/>
    </format>
    <format dxfId="123">
      <pivotArea field="15" type="button" dataOnly="0" labelOnly="1" outline="0"/>
    </format>
    <format dxfId="122">
      <pivotArea type="topRight" dataOnly="0" labelOnly="1" outline="0" fieldPosition="0"/>
    </format>
    <format dxfId="121">
      <pivotArea field="11" type="button" dataOnly="0" labelOnly="1" outline="0" axis="axisRow" fieldPosition="1"/>
    </format>
    <format dxfId="120">
      <pivotArea field="12" type="button" dataOnly="0" labelOnly="1" outline="0"/>
    </format>
    <format dxfId="119">
      <pivotArea field="13" type="button" dataOnly="0" labelOnly="1" outline="0"/>
    </format>
    <format dxfId="118">
      <pivotArea dataOnly="0" labelOnly="1" outline="0" fieldPosition="0">
        <references count="1">
          <reference field="1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7">
      <pivotArea dataOnly="0" labelOnly="1" outline="0" fieldPosition="0">
        <references count="1">
          <reference field="1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16">
      <pivotArea dataOnly="0" labelOnly="1" outline="0" fieldPosition="0">
        <references count="1">
          <reference field="1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15">
      <pivotArea dataOnly="0" labelOnly="1" outline="0" fieldPosition="0">
        <references count="1">
          <reference field="1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14">
      <pivotArea dataOnly="0" labelOnly="1" outline="0" fieldPosition="0">
        <references count="1">
          <reference field="1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13">
      <pivotArea dataOnly="0" labelOnly="1" outline="0" fieldPosition="0">
        <references count="1">
          <reference field="1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12">
      <pivotArea dataOnly="0" labelOnly="1" outline="0" fieldPosition="0">
        <references count="1">
          <reference field="1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11">
      <pivotArea dataOnly="0" labelOnly="1" outline="0" fieldPosition="0">
        <references count="1">
          <reference field="1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10">
      <pivotArea dataOnly="0" labelOnly="1" outline="0" fieldPosition="0">
        <references count="1">
          <reference field="1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9">
      <pivotArea dataOnly="0" labelOnly="1" outline="0" fieldPosition="0">
        <references count="1">
          <reference field="1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8">
      <pivotArea dataOnly="0" labelOnly="1" outline="0" fieldPosition="0">
        <references count="1">
          <reference field="1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7">
      <pivotArea dataOnly="0" labelOnly="1" outline="0" fieldPosition="0">
        <references count="1">
          <reference field="1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6">
      <pivotArea dataOnly="0" labelOnly="1" outline="0" fieldPosition="0">
        <references count="1">
          <reference field="11" count="18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</reference>
        </references>
      </pivotArea>
    </format>
    <format dxfId="105">
      <pivotArea dataOnly="0" labelOnly="1" grandRow="1" outline="0" fieldPosition="0"/>
    </format>
    <format dxfId="104">
      <pivotArea dataOnly="0" labelOnly="1" grandCol="1" outline="0" fieldPosition="0"/>
    </format>
    <format dxfId="103">
      <pivotArea type="origin" dataOnly="0" labelOnly="1" outline="0" fieldPosition="0"/>
    </format>
    <format dxfId="102">
      <pivotArea type="topRight" dataOnly="0" labelOnly="1" outline="0" fieldPosition="0"/>
    </format>
    <format dxfId="101">
      <pivotArea type="origin" dataOnly="0" labelOnly="1" outline="0" fieldPosition="0"/>
    </format>
    <format dxfId="100">
      <pivotArea type="topRight" dataOnly="0" labelOnly="1" outline="0" fieldPosition="0"/>
    </format>
    <format dxfId="99">
      <pivotArea field="11" type="button" dataOnly="0" labelOnly="1" outline="0" axis="axisRow" fieldPosition="1"/>
    </format>
    <format dxfId="98">
      <pivotArea field="12" type="button" dataOnly="0" labelOnly="1" outline="0"/>
    </format>
    <format dxfId="97">
      <pivotArea field="11" type="button" dataOnly="0" labelOnly="1" outline="0" axis="axisRow" fieldPosition="1"/>
    </format>
    <format dxfId="96">
      <pivotArea field="12" type="button" dataOnly="0" labelOnly="1" outline="0"/>
    </format>
    <format dxfId="95">
      <pivotArea field="13" type="button" dataOnly="0" labelOnly="1" outline="0"/>
    </format>
    <format dxfId="94">
      <pivotArea field="11" type="button" dataOnly="0" labelOnly="1" outline="0" axis="axisRow" fieldPosition="1"/>
    </format>
    <format dxfId="93">
      <pivotArea field="12" type="button" dataOnly="0" labelOnly="1" outline="0"/>
    </format>
    <format dxfId="92">
      <pivotArea field="13" type="button" dataOnly="0" labelOnly="1" outline="0"/>
    </format>
    <format dxfId="91">
      <pivotArea field="11" type="button" dataOnly="0" labelOnly="1" outline="0" axis="axisRow" fieldPosition="1"/>
    </format>
    <format dxfId="90">
      <pivotArea field="12" type="button" dataOnly="0" labelOnly="1" outline="0"/>
    </format>
    <format dxfId="89">
      <pivotArea field="13" type="button" dataOnly="0" labelOnly="1" outline="0"/>
    </format>
    <format dxfId="88">
      <pivotArea field="11" type="button" dataOnly="0" labelOnly="1" outline="0" axis="axisRow" fieldPosition="1"/>
    </format>
    <format dxfId="87">
      <pivotArea field="12" type="button" dataOnly="0" labelOnly="1" outline="0"/>
    </format>
    <format dxfId="86">
      <pivotArea field="13" type="button" dataOnly="0" labelOnly="1" outline="0"/>
    </format>
    <format dxfId="85">
      <pivotArea field="9" type="button" dataOnly="0" labelOnly="1" outline="0" axis="axisPage" fieldPosition="3"/>
    </format>
    <format dxfId="84">
      <pivotArea field="9" type="button" dataOnly="0" labelOnly="1" outline="0" axis="axisPage" fieldPosition="3"/>
    </format>
    <format dxfId="83">
      <pivotArea field="9" type="button" dataOnly="0" labelOnly="1" outline="0" axis="axisPage" fieldPosition="3"/>
    </format>
    <format dxfId="82">
      <pivotArea type="origin" dataOnly="0" labelOnly="1" outline="0" fieldPosition="0"/>
    </format>
    <format dxfId="81">
      <pivotArea field="15" type="button" dataOnly="0" labelOnly="1" outline="0"/>
    </format>
    <format dxfId="80">
      <pivotArea type="topRight" dataOnly="0" labelOnly="1" outline="0" fieldPosition="0"/>
    </format>
    <format dxfId="79">
      <pivotArea field="11" type="button" dataOnly="0" labelOnly="1" outline="0" axis="axisRow" fieldPosition="1"/>
    </format>
    <format dxfId="78">
      <pivotArea field="12" type="button" dataOnly="0" labelOnly="1" outline="0"/>
    </format>
    <format dxfId="77">
      <pivotArea field="13" type="button" dataOnly="0" labelOnly="1" outline="0"/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1" xr16:uid="{B89AB365-9331-440A-98D6-DBE030E7F982}" autoFormatId="16" applyNumberFormats="0" applyBorderFormats="0" applyFontFormats="0" applyPatternFormats="0" applyAlignmentFormats="0" applyWidthHeightFormats="0">
  <queryTableRefresh nextId="26">
    <queryTableFields count="15"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Status" tableColumnId="5"/>
      <queryTableField id="6" name="Qtd_REPS" tableColumnId="6"/>
      <queryTableField id="7" name="Email-Representante" tableColumnId="7"/>
      <queryTableField id="8" name="Representante" tableColumnId="8"/>
      <queryTableField id="11" name="Equipe" tableColumnId="11"/>
      <queryTableField id="13" name="Gerente" tableColumnId="13"/>
      <queryTableField id="16" name="@-BERINERT" tableColumnId="16"/>
      <queryTableField id="18" name="@-BERIPLEX" tableColumnId="18"/>
      <queryTableField id="20" name="@-HAEMO" tableColumnId="20"/>
      <queryTableField id="22" name="@-HIZENTRA" tableColumnId="22"/>
      <queryTableField id="24" name="@-PRIVIGEN" tableColumnId="24"/>
    </queryTableFields>
  </queryTableRefresh>
  <extLst>
    <ext xmlns:x15="http://schemas.microsoft.com/office/spreadsheetml/2010/11/main" uri="{883FBD77-0823-4a55-B5E3-86C4891E6966}">
      <x15:queryTable sourceDataName="Consulta - VIEW_IV_2019_ESTABELECIMENTOS_SETORIZACAO_REP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5970C88-ED64-438C-984B-D71F2A6D8AE9}" autoFormatId="16" applyNumberFormats="0" applyBorderFormats="0" applyFontFormats="0" applyPatternFormats="0" applyAlignmentFormats="0" applyWidthHeightFormats="0">
  <queryTableRefresh nextId="15">
    <queryTableFields count="14">
      <queryTableField id="1" name="Ano-Unv" tableColumnId="1"/>
      <queryTableField id="2" name="Mes-Unv" tableColumnId="2"/>
      <queryTableField id="3" name="Ano-Fiscal" tableColumnId="3"/>
      <queryTableField id="4" name="Mes-Fiscal" tableColumnId="4"/>
      <queryTableField id="5" name="Tri-Fiscal" tableColumnId="5"/>
      <queryTableField id="6" name="Periodo-IV" tableColumnId="6"/>
      <queryTableField id="7" name="Calculo-2019" tableColumnId="7"/>
      <queryTableField id="8" name="Calculo-Mensal" tableColumnId="8"/>
      <queryTableField id="9" name="Calculo-Trimestral" tableColumnId="9"/>
      <queryTableField id="10" name="Calculo-Anual" tableColumnId="10"/>
      <queryTableField id="11" name="Data-Mapas" tableColumnId="11"/>
      <queryTableField id="12" name="Data-Conferencia" tableColumnId="12"/>
      <queryTableField id="13" name="Data-Fechamento" tableColumnId="13"/>
      <queryTableField id="14" name="Data-Pagamento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backgroundRefresh="0" connectionId="26" xr16:uid="{05BCDC44-810E-4E80-83F8-E2D0F155415D}" autoFormatId="16" applyNumberFormats="0" applyBorderFormats="0" applyFontFormats="0" applyPatternFormats="0" applyAlignmentFormats="0" applyWidthHeightFormats="0">
  <queryTableRefresh nextId="21" unboundColumnsRight="10">
    <queryTableFields count="12">
      <queryTableField id="6" name="E-mail" tableColumnId="6"/>
      <queryTableField id="20" name="Nome" tableColumnId="17"/>
      <queryTableField id="8" dataBound="0" tableColumnId="7"/>
      <queryTableField id="11" dataBound="0" tableColumnId="10"/>
      <queryTableField id="9" dataBound="0" tableColumnId="8"/>
      <queryTableField id="10" dataBound="0" tableColumnId="9"/>
      <queryTableField id="14" dataBound="0" tableColumnId="11"/>
      <queryTableField id="15" dataBound="0" tableColumnId="12"/>
      <queryTableField id="16" dataBound="0" tableColumnId="13"/>
      <queryTableField id="17" dataBound="0" tableColumnId="14"/>
      <queryTableField id="19" dataBound="0" tableColumnId="16"/>
      <queryTableField id="18" dataBound="0" tableColumnId="15"/>
    </queryTableFields>
  </queryTableRefresh>
  <extLst>
    <ext xmlns:x15="http://schemas.microsoft.com/office/spreadsheetml/2010/11/main" uri="{883FBD77-0823-4a55-B5E3-86C4891E6966}">
      <x15:queryTable sourceDataName="Consulta - VIEW_IV_2019_REPRESENTANTES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27" xr16:uid="{A38820F6-FEA0-438E-966D-6DE87CF7F547}" autoFormatId="16" applyNumberFormats="0" applyBorderFormats="0" applyFontFormats="0" applyPatternFormats="0" applyAlignmentFormats="0" applyWidthHeightFormats="0">
  <queryTableRefresh nextId="15" unboundColumnsRight="10">
    <queryTableFields count="12">
      <queryTableField id="13" name="Email" tableColumnId="13"/>
      <queryTableField id="14" name="Nome" tableColumnId="14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</queryTableRefresh>
  <extLst>
    <ext xmlns:x15="http://schemas.microsoft.com/office/spreadsheetml/2010/11/main" uri="{883FBD77-0823-4a55-B5E3-86C4891E6966}">
      <x15:queryTable sourceDataName="Consulta - VIEW_IV_2019_GERENTES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17" xr16:uid="{50AC34FD-E22C-4B93-9E1E-3AB33127F890}" autoFormatId="16" applyNumberFormats="0" applyBorderFormats="0" applyFontFormats="0" applyPatternFormats="0" applyAlignmentFormats="0" applyWidthHeightFormats="0">
  <queryTableRefresh nextId="65" unboundColumnsRight="17">
    <queryTableFields count="27">
      <queryTableField id="3" name="Ano-Fiscal" tableColumnId="3"/>
      <queryTableField id="5" name="Tri-Fiscal" tableColumnId="5"/>
      <queryTableField id="11" name="Cota-ALBUREX" tableColumnId="11"/>
      <queryTableField id="41" name="Cota-RHOPYLAC" tableColumnId="9"/>
      <queryTableField id="43" name="Cota-OUTRO PRODUTOS" tableColumnId="13"/>
      <queryTableField id="23" name="Cota-TOTAL" tableColumnId="23"/>
      <queryTableField id="12" name="Venda-ALBUREX" tableColumnId="12"/>
      <queryTableField id="42" name="Venda-RHOPYLAC" tableColumnId="10"/>
      <queryTableField id="44" name="Venda-OUTRO PRODUTOS" tableColumnId="14"/>
      <queryTableField id="24" name="Venda-TOTAL" tableColumnId="24"/>
      <queryTableField id="55" dataBound="0" tableColumnId="18"/>
      <queryTableField id="54" dataBound="0" tableColumnId="17"/>
      <queryTableField id="53" dataBound="0" tableColumnId="16"/>
      <queryTableField id="52" dataBound="0" tableColumnId="15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56" dataBound="0" tableColumnId="19"/>
      <queryTableField id="57" dataBound="0" tableColumnId="20"/>
      <queryTableField id="58" dataBound="0" tableColumnId="21"/>
      <queryTableField id="59" dataBound="0" tableColumnId="22"/>
      <queryTableField id="60" dataBound="0" tableColumnId="25"/>
      <queryTableField id="61" dataBound="0" tableColumnId="26"/>
      <queryTableField id="62" dataBound="0" tableColumnId="31"/>
      <queryTableField id="64" dataBound="0" tableColumnId="1"/>
      <queryTableField id="63" dataBound="0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15" xr16:uid="{60E36FEC-693E-437B-8B34-5DA22191550B}" autoFormatId="16" applyNumberFormats="0" applyBorderFormats="0" applyFontFormats="0" applyPatternFormats="0" applyAlignmentFormats="0" applyWidthHeightFormats="0">
  <queryTableRefresh nextId="52" unboundColumnsRight="5">
    <queryTableFields count="24">
      <queryTableField id="3" name="Ano-Fiscal" tableColumnId="3"/>
      <queryTableField id="4" name="Mes-Fiscal" tableColumnId="4"/>
      <queryTableField id="5" name="Tri-Fiscal" tableColumnId="5"/>
      <queryTableField id="11" name="Cota-ALBUREX" tableColumnId="11"/>
      <queryTableField id="15" name="Cota-RHOPHYLAC" tableColumnId="15"/>
      <queryTableField id="19" name="Cota-OUTROS PRODUTOS" tableColumnId="19"/>
      <queryTableField id="23" name="Cota-TOTAL" tableColumnId="23"/>
      <queryTableField id="12" name="Venda-ALBUREX" tableColumnId="12"/>
      <queryTableField id="16" name="Venda-RHOPHYLAC" tableColumnId="16"/>
      <queryTableField id="39" name="Venda-OUTROS PRODUTOS" tableColumnId="8"/>
      <queryTableField id="24" name="Venda-TOTAL" tableColumnId="24"/>
      <queryTableField id="14" name="Cobertura-ALBUREX" tableColumnId="14"/>
      <queryTableField id="18" name="Cobertura-RHOPYLAC" tableColumnId="18"/>
      <queryTableField id="22" name="Cobertura-OUTROS PRODUTOS" tableColumnId="22"/>
      <queryTableField id="26" name="Cobertura-TOTAL" tableColumnId="26"/>
      <queryTableField id="31" name="Peso-ALBUREX" tableColumnId="1"/>
      <queryTableField id="32" name="Peso-RHOPHYLAC" tableColumnId="2"/>
      <queryTableField id="33" name="Peso-OUTROS PRODUTOS" tableColumnId="6"/>
      <queryTableField id="34" name="Peso-TOTAL" tableColumnId="7"/>
      <queryTableField id="27" dataBound="0" tableColumnId="27"/>
      <queryTableField id="28" dataBound="0" tableColumnId="28"/>
      <queryTableField id="29" dataBound="0" tableColumnId="29"/>
      <queryTableField id="51" dataBound="0" tableColumnId="9"/>
      <queryTableField id="30" dataBound="0" tableColumnId="3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12" xr16:uid="{6C9E986D-EA5F-474C-9E93-F1E86BA3B153}" autoFormatId="16" applyNumberFormats="0" applyBorderFormats="0" applyFontFormats="0" applyPatternFormats="0" applyAlignmentFormats="0" applyWidthHeightFormats="0">
  <queryTableRefresh nextId="81" unboundColumnsRight="6">
    <queryTableFields count="40">
      <queryTableField id="3" name="Ano-Fiscal" tableColumnId="3"/>
      <queryTableField id="4" name="Mes-Fiscal" tableColumnId="4"/>
      <queryTableField id="5" name="Tri-Fiscal" tableColumnId="5"/>
      <queryTableField id="11" name="#PK-Email" tableColumnId="11"/>
      <queryTableField id="12" name="Nome" tableColumnId="12"/>
      <queryTableField id="15" name="Equipe" tableColumnId="15"/>
      <queryTableField id="17" name="Gerente" tableColumnId="17"/>
      <queryTableField id="18" name="@-Ativo" tableColumnId="18"/>
      <queryTableField id="19" name="@-IV" tableColumnId="19"/>
      <queryTableField id="20" name="Cota-BERINERT" tableColumnId="20"/>
      <queryTableField id="25" name="Cota-BERIPLEX" tableColumnId="25"/>
      <queryTableField id="30" name="Cota-HAEMO" tableColumnId="30"/>
      <queryTableField id="35" name="Cota-HIZENTRA" tableColumnId="35"/>
      <queryTableField id="40" name="Cota-PRIVIGEN" tableColumnId="40"/>
      <queryTableField id="21" name="Demanda-BERINERT" tableColumnId="21"/>
      <queryTableField id="26" name="Demanda-BERIPLEX" tableColumnId="26"/>
      <queryTableField id="31" name="Demanda-HAEMO" tableColumnId="31"/>
      <queryTableField id="36" name="Demanda-HIZENTRA" tableColumnId="36"/>
      <queryTableField id="41" name="Demanda-PRIVIGEN" tableColumnId="41"/>
      <queryTableField id="22" name="Garantido-BERINERT" tableColumnId="22"/>
      <queryTableField id="27" name="Garantido-BERIPLEX" tableColumnId="27"/>
      <queryTableField id="32" name="Garantido-HAEMO" tableColumnId="32"/>
      <queryTableField id="37" name="Garantido-HIZENTRA" tableColumnId="37"/>
      <queryTableField id="42" name="Garantido-PRIVIGEN" tableColumnId="42"/>
      <queryTableField id="23" name="Cobertura-BERINERT" tableColumnId="23"/>
      <queryTableField id="28" name="Cobertura-BERIPLEX" tableColumnId="28"/>
      <queryTableField id="33" name="Cobertura-HAEMO" tableColumnId="33"/>
      <queryTableField id="38" name="Cobertura-HIZENTRA" tableColumnId="38"/>
      <queryTableField id="43" name="Cobertura-PRIVIGEN" tableColumnId="43"/>
      <queryTableField id="55" name="Peso-BERINERT" tableColumnId="1"/>
      <queryTableField id="56" name="Peso-BERIPLEX" tableColumnId="2"/>
      <queryTableField id="57" name="Peso-HAEMO" tableColumnId="6"/>
      <queryTableField id="58" name="Peso-HIZENTRA" tableColumnId="7"/>
      <queryTableField id="59" name="Peso-PRIVIGEN" tableColumnId="8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80" dataBound="0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3" xr16:uid="{D63DA638-8FF4-4EBA-9916-8C3B4B72BF1D}" autoFormatId="16" applyNumberFormats="0" applyBorderFormats="0" applyFontFormats="0" applyPatternFormats="0" applyAlignmentFormats="0" applyWidthHeightFormats="0">
  <queryTableRefresh nextId="56" unboundColumnsRight="21">
    <queryTableFields count="44">
      <queryTableField id="1" name="Ano-Fiscal" tableColumnId="1"/>
      <queryTableField id="3" name="Tri-Fiscal" tableColumnId="3"/>
      <queryTableField id="4" name="#PK-Email" tableColumnId="4"/>
      <queryTableField id="5" name="Nome" tableColumnId="5"/>
      <queryTableField id="6" name="Equipe" tableColumnId="6"/>
      <queryTableField id="7" name="Gerente" tableColumnId="7"/>
      <queryTableField id="8" name="@-Ativo" tableColumnId="8"/>
      <queryTableField id="9" name="@-IV" tableColumnId="9"/>
      <queryTableField id="10" name="Cota-BERINERT" tableColumnId="10"/>
      <queryTableField id="11" name="Cota-BERIPLEX" tableColumnId="11"/>
      <queryTableField id="12" name="Cota-HAEMO" tableColumnId="12"/>
      <queryTableField id="13" name="Cota-HIZENTRA" tableColumnId="13"/>
      <queryTableField id="14" name="Cota-PRIVIGEN" tableColumnId="14"/>
      <queryTableField id="15" name="Demanda-BERINERT" tableColumnId="15"/>
      <queryTableField id="16" name="Demanda-BERIPLEX" tableColumnId="16"/>
      <queryTableField id="17" name="Demanda-HAEMO" tableColumnId="17"/>
      <queryTableField id="18" name="Demanda-HIZENTRA" tableColumnId="18"/>
      <queryTableField id="19" name="Demanda-PRIVIGEN" tableColumnId="19"/>
      <queryTableField id="30" name="Peso-BERINERT" tableColumnId="30"/>
      <queryTableField id="31" name="Peso-BERIPLEX" tableColumnId="31"/>
      <queryTableField id="32" name="Peso-HAEMO" tableColumnId="32"/>
      <queryTableField id="33" name="Peso-HIZENTRA" tableColumnId="33"/>
      <queryTableField id="34" name="Peso-PRIVIGEN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5" xr16:uid="{8FD9DFC6-A86B-4F4A-991C-28F76E25E40B}" autoFormatId="16" applyNumberFormats="0" applyBorderFormats="0" applyFontFormats="0" applyPatternFormats="0" applyAlignmentFormats="0" applyWidthHeightFormats="0">
  <queryTableRefresh nextId="33" unboundColumnsRight="1">
    <queryTableFields count="18">
      <queryTableField id="3" name="Ano-Fiscal" tableColumnId="3"/>
      <queryTableField id="4" name="Mes-Fiscal" tableColumnId="4"/>
      <queryTableField id="5" name="Tri-Fiscal" tableColumnId="5"/>
      <queryTableField id="11" name="#PK-Email" tableColumnId="11"/>
      <queryTableField id="12" name="Nome" tableColumnId="12"/>
      <queryTableField id="16" name="Equipe" tableColumnId="16"/>
      <queryTableField id="17" name="@-Ativo" tableColumnId="17"/>
      <queryTableField id="18" name="@-IV" tableColumnId="18"/>
      <queryTableField id="20" name="Gerente" tableColumnId="20"/>
      <queryTableField id="29" name="Garantido" tableColumnId="29"/>
      <queryTableField id="21" name="Dias-Uteis" tableColumnId="21"/>
      <queryTableField id="22" name="Dias-Eventos" tableColumnId="22"/>
      <queryTableField id="23" name="Dias-Visita" tableColumnId="23"/>
      <queryTableField id="24" name="Visitas-Dia" tableColumnId="24"/>
      <queryTableField id="25" name="Visitas-Realizar" tableColumnId="25"/>
      <queryTableField id="26" name="Visitas-Realizadas" tableColumnId="26"/>
      <queryTableField id="28" name="Visitas-Cobertura" tableColumnId="28"/>
      <queryTableField id="32" dataBound="0" tableColumnId="30"/>
    </queryTableFields>
  </queryTableRefresh>
  <extLst>
    <ext xmlns:x15="http://schemas.microsoft.com/office/spreadsheetml/2010/11/main" uri="{883FBD77-0823-4a55-B5E3-86C4891E6966}">
      <x15:queryTable sourceDataName="Consulta - VIEW_IV_2019_VISITAS_REP"/>
    </ext>
  </extLst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3" xr16:uid="{5C591058-D8C8-4563-96DA-430B068BA359}" autoFormatId="16" applyNumberFormats="0" applyBorderFormats="0" applyFontFormats="0" applyPatternFormats="0" applyAlignmentFormats="0" applyWidthHeightFormats="0">
  <queryTableRefresh nextId="26">
    <queryTableFields count="15">
      <queryTableField id="1" name="#PK-Email" tableColumnId="1"/>
      <queryTableField id="2" name="Nome" tableColumnId="2"/>
      <queryTableField id="3" name="Perfil" tableColumnId="3"/>
      <queryTableField id="4" name="#FK-Cod-Equipe" tableColumnId="4"/>
      <queryTableField id="5" name="Equipe" tableColumnId="5"/>
      <queryTableField id="13" name="#FK-Email-Gerente" tableColumnId="13"/>
      <queryTableField id="14" name="Gerente" tableColumnId="14"/>
      <queryTableField id="6" name="@-Ativo" tableColumnId="6"/>
      <queryTableField id="7" name="@-IV" tableColumnId="7"/>
      <queryTableField id="8" name="%-BERINERT" tableColumnId="8"/>
      <queryTableField id="9" name="%-BERIPLEX" tableColumnId="9"/>
      <queryTableField id="10" name="%-HAEMO" tableColumnId="10"/>
      <queryTableField id="11" name="%-HIZENTRA" tableColumnId="11"/>
      <queryTableField id="12" name="%-PRIVIGEN" tableColumnId="12"/>
      <queryTableField id="17" name="@-Configurado" tableColumnId="15"/>
    </queryTableFields>
  </queryTableRefresh>
  <extLst>
    <ext xmlns:x15="http://schemas.microsoft.com/office/spreadsheetml/2010/11/main" uri="{883FBD77-0823-4a55-B5E3-86C4891E6966}">
      <x15:queryTable sourceDataName="Consulta - VIEW_IV_2019_DEMANDA_CONFIG_PESOS"/>
    </ext>
  </extLst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7D1D2B1C-B4EC-497C-8E83-EDB8547A0835}" autoFormatId="16" applyNumberFormats="0" applyBorderFormats="0" applyFontFormats="0" applyPatternFormats="0" applyAlignmentFormats="0" applyWidthHeightFormats="0">
  <queryTableRefresh nextId="52">
    <queryTableFields count="19">
      <queryTableField id="29" name="Ano-Fiscal" tableColumnId="29"/>
      <queryTableField id="30" name="Mes-Fiscal" tableColumnId="30"/>
      <queryTableField id="31" name="Tri-Fiscal" tableColumnId="31"/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Status" tableColumnId="5"/>
      <queryTableField id="6" name="Qtd_REPS" tableColumnId="6"/>
      <queryTableField id="7" name="Email-Representante" tableColumnId="7"/>
      <queryTableField id="8" name="Representante" tableColumnId="8"/>
      <queryTableField id="11" name="Equipe" tableColumnId="11"/>
      <queryTableField id="50" name="#FK-Email-Gerente" tableColumnId="16"/>
      <queryTableField id="13" name="Gerente" tableColumnId="13"/>
      <queryTableField id="45" name="Demanda.BERINERT" tableColumnId="9"/>
      <queryTableField id="46" name="Demanda.BERIPLEX" tableColumnId="10"/>
      <queryTableField id="47" name="Demanda.HAEMO" tableColumnId="12"/>
      <queryTableField id="48" name="Demanda.HIZENTRA" tableColumnId="14"/>
      <queryTableField id="49" name="Demanda.PRIVIGEN" tableColumnId="1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0" xr16:uid="{020B364D-2E7B-4105-ACF4-8218185F0CAB}" autoFormatId="16" applyNumberFormats="0" applyBorderFormats="0" applyFontFormats="0" applyPatternFormats="0" applyAlignmentFormats="0" applyWidthHeightFormats="0">
  <queryTableRefresh nextId="38" unboundColumnsRight="21">
    <queryTableFields count="36">
      <queryTableField id="1" name="Tipo" tableColumnId="1"/>
      <queryTableField id="2" name="Ano-Fiscal" tableColumnId="2"/>
      <queryTableField id="25" name="Tri-Fiscal" tableColumnId="25"/>
      <queryTableField id="3" name="#FK-Email-Gerente" tableColumnId="3"/>
      <queryTableField id="4" name="Gerente" tableColumnId="4"/>
      <queryTableField id="5" name="Cota.BERINERT" tableColumnId="5"/>
      <queryTableField id="6" name="Cota.BERIPLEX" tableColumnId="6"/>
      <queryTableField id="7" name="Cota.HAEMO" tableColumnId="7"/>
      <queryTableField id="8" name="Cota.HIZENTRA" tableColumnId="8"/>
      <queryTableField id="9" name="Cota.PRIVIGEN" tableColumnId="9"/>
      <queryTableField id="10" name="Demanda.BERINERT" tableColumnId="10"/>
      <queryTableField id="11" name="Demanda.BERIPLEX" tableColumnId="11"/>
      <queryTableField id="12" name="Demanda.HAEMO" tableColumnId="12"/>
      <queryTableField id="13" name="Demanda.HIZENTRA" tableColumnId="13"/>
      <queryTableField id="14" name="Demanda.PRIVIGEN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7" dataBound="0" tableColumnId="26"/>
      <queryTableField id="28" dataBound="0" tableColumnId="27"/>
      <queryTableField id="29" dataBound="0" tableColumnId="28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9" xr16:uid="{A0817D88-5BC8-4443-886E-CC019CF8C910}" autoFormatId="16" applyNumberFormats="0" applyBorderFormats="0" applyFontFormats="0" applyPatternFormats="0" applyAlignmentFormats="0" applyWidthHeightFormats="0">
  <queryTableRefresh nextId="41" unboundColumnsRight="11">
    <queryTableFields count="27">
      <queryTableField id="18" name="Tipo" tableColumnId="18"/>
      <queryTableField id="3" name="Ano-Fiscal" tableColumnId="3"/>
      <queryTableField id="4" name="Mes-Fiscal" tableColumnId="4"/>
      <queryTableField id="5" name="Tri-Fiscal" tableColumnId="5"/>
      <queryTableField id="11" name="#FK-Email-Gerente" tableColumnId="11"/>
      <queryTableField id="12" name="Gerente" tableColumnId="12"/>
      <queryTableField id="20" name="Cota.BERINERT" tableColumnId="19"/>
      <queryTableField id="21" name="Cota.BERIPLEX" tableColumnId="20"/>
      <queryTableField id="22" name="Cota.HAEMO" tableColumnId="21"/>
      <queryTableField id="23" name="Cota.HIZENTRA" tableColumnId="22"/>
      <queryTableField id="24" name="Cota.PRIVIGEN" tableColumnId="23"/>
      <queryTableField id="25" name="Demanda.BERINERT" tableColumnId="24"/>
      <queryTableField id="26" name="Demanda.BERIPLEX" tableColumnId="25"/>
      <queryTableField id="27" name="Demanda.HAEMO" tableColumnId="26"/>
      <queryTableField id="28" name="Demanda.HIZENTRA" tableColumnId="27"/>
      <queryTableField id="29" name="Demanda.PRIVIGEN" tableColumnId="28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  <queryTableField id="38" dataBound="0" tableColumnId="37"/>
      <queryTableField id="39" dataBound="0" tableColumnId="38"/>
      <queryTableField id="40" dataBound="0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22" xr16:uid="{78EAA02F-2997-4430-8302-D34347F9A870}" autoFormatId="16" applyNumberFormats="0" applyBorderFormats="0" applyFontFormats="0" applyPatternFormats="0" applyAlignmentFormats="0" applyWidthHeightFormats="0">
  <queryTableRefresh nextId="17" unboundColumnsRight="2">
    <queryTableFields count="9">
      <queryTableField id="3" name="Ano-Fiscal" tableColumnId="3"/>
      <queryTableField id="4" name="Mes-Fiscal" tableColumnId="4"/>
      <queryTableField id="5" name="Tri-Fiscal" tableColumnId="5"/>
      <queryTableField id="11" name="#FK-Email-Gerente" tableColumnId="11"/>
      <queryTableField id="12" name="Gerente" tableColumnId="12"/>
      <queryTableField id="13" name="Visitas-Realizar" tableColumnId="13"/>
      <queryTableField id="14" name="Visitas-Realizadas" tableColumnId="14"/>
      <queryTableField id="15" dataBound="0" tableColumnId="15"/>
      <queryTableField id="16" dataBound="0" tableColumnId="16"/>
    </queryTableFields>
  </queryTableRefresh>
  <extLst>
    <ext xmlns:x15="http://schemas.microsoft.com/office/spreadsheetml/2010/11/main" uri="{883FBD77-0823-4a55-B5E3-86C4891E6966}">
      <x15:queryTable sourceDataName="Consulta - VIEW_IV_2019_VISITAS_GR"/>
    </ext>
  </extLst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0" xr16:uid="{D2016282-C3B2-4B6C-82D5-6D65D879F0C4}" autoFormatId="16" applyNumberFormats="0" applyBorderFormats="0" applyFontFormats="0" applyPatternFormats="0" applyAlignmentFormats="0" applyWidthHeightFormats="0">
  <queryTableRefresh nextId="23">
    <queryTableFields count="13">
      <queryTableField id="3" name="Ano-Fiscal" tableColumnId="3"/>
      <queryTableField id="4" name="Mes-Fiscal" tableColumnId="4"/>
      <queryTableField id="5" name="Tri-Fiscal" tableColumnId="5"/>
      <queryTableField id="10" name="CNPJ" tableColumnId="10"/>
      <queryTableField id="11" name="Estabelecimento" tableColumnId="11"/>
      <queryTableField id="12" name="Cidade" tableColumnId="12"/>
      <queryTableField id="13" name="UF" tableColumnId="13"/>
      <queryTableField id="17" name="#FK-Email-Gerente" tableColumnId="17"/>
      <queryTableField id="18" name="Gerente" tableColumnId="18"/>
      <queryTableField id="14" name="Cod-Linha" tableColumnId="14"/>
      <queryTableField id="15" name="Linha" tableColumnId="15"/>
      <queryTableField id="21" name="Estabelecimento.1" tableColumnId="1"/>
      <queryTableField id="16" name="EQ" tableColumnId="16"/>
    </queryTableFields>
  </queryTableRefresh>
  <extLst>
    <ext xmlns:x15="http://schemas.microsoft.com/office/spreadsheetml/2010/11/main" uri="{883FBD77-0823-4a55-B5E3-86C4891E6966}">
      <x15:queryTable sourceDataName="Consulta - VIEW_IV_2019_DEMANDA_SETORIZADA_GR"/>
    </ext>
  </extLst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24" xr16:uid="{8AEE9AE2-757F-4DEA-BC68-3C4CE9864341}" autoFormatId="16" applyNumberFormats="0" applyBorderFormats="0" applyFontFormats="0" applyPatternFormats="0" applyAlignmentFormats="0" applyWidthHeightFormats="0">
  <queryTableRefresh nextId="8">
    <queryTableFields count="6">
      <queryTableField id="1" name="#FK-CNPJ" tableColumnId="1"/>
      <queryTableField id="2" name="Estabelecimento" tableColumnId="2"/>
      <queryTableField id="3" name="Cidade" tableColumnId="3"/>
      <queryTableField id="4" name="UF" tableColumnId="4"/>
      <queryTableField id="5" name="#FK-Email-Gerente" tableColumnId="5"/>
      <queryTableField id="6" name="Gerente" tableColumnId="6"/>
    </queryTableFields>
  </queryTableRefresh>
  <extLst>
    <ext xmlns:x15="http://schemas.microsoft.com/office/spreadsheetml/2010/11/main" uri="{883FBD77-0823-4a55-B5E3-86C4891E6966}">
      <x15:queryTable sourceDataName="Consulta - VIEW_IV_2019_ESTABELECIMENTOS_SETORIZACAO_GR"/>
    </ext>
  </extLst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9438D787-B787-4924-83FA-4623C0A31233}" autoFormatId="16" applyNumberFormats="0" applyBorderFormats="0" applyFontFormats="0" applyPatternFormats="0" applyAlignmentFormats="0" applyWidthHeightFormats="0">
  <queryTableRefresh nextId="21">
    <queryTableFields count="19">
      <queryTableField id="1" name="Ano-Unv" tableColumnId="1"/>
      <queryTableField id="2" name="Mes-Unv" tableColumnId="2"/>
      <queryTableField id="3" name="Ano-Fiscal" tableColumnId="3"/>
      <queryTableField id="4" name="Mes-Fiscal" tableColumnId="4"/>
      <queryTableField id="5" name="Tri-Fiscal" tableColumnId="5"/>
      <queryTableField id="6" name="Periodo-IV" tableColumnId="6"/>
      <queryTableField id="7" name="Calculo-Mensal" tableColumnId="7"/>
      <queryTableField id="8" name="Calculo-Trimestral" tableColumnId="8"/>
      <queryTableField id="9" name="Calculo-Anual" tableColumnId="9"/>
      <queryTableField id="10" name="Grupo-Distribuidor" tableColumnId="10"/>
      <queryTableField id="11" name="CNPJ" tableColumnId="11"/>
      <queryTableField id="12" name="Estabelecimento" tableColumnId="12"/>
      <queryTableField id="13" name="CIDADE" tableColumnId="13"/>
      <queryTableField id="14" name="UF" tableColumnId="14"/>
      <queryTableField id="15" name="Cod-Linha" tableColumnId="15"/>
      <queryTableField id="16" name="Linha" tableColumnId="16"/>
      <queryTableField id="18" name="Produto" tableColumnId="18"/>
      <queryTableField id="17" name="EQ" tableColumnId="17"/>
      <queryTableField id="19" name="UN" tableColumnId="19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84D58A5-4D38-473E-B88D-C8DCE7E8DF58}" autoFormatId="16" applyNumberFormats="0" applyBorderFormats="0" applyFontFormats="0" applyPatternFormats="0" applyAlignmentFormats="0" applyWidthHeightFormats="0">
  <queryTableRefresh nextId="15">
    <queryTableFields count="7">
      <queryTableField id="3" name="Ano-Fiscal" tableColumnId="3"/>
      <queryTableField id="4" name="Mes-Fiscal" tableColumnId="4"/>
      <queryTableField id="5" name="Tri-Fiscal" tableColumnId="5"/>
      <queryTableField id="11" name="CNPJ" tableColumnId="11"/>
      <queryTableField id="12" name="Estabelecimento-Venda" tableColumnId="12"/>
      <queryTableField id="13" name="Grupo-Linha-IV-REP" tableColumnId="13"/>
      <queryTableField id="14" name="BRL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" xr10:uid="{AFD1558A-4243-4E0E-B082-61773D6880AD}" sourceName="Mes-Fiscal">
  <pivotTables>
    <pivotTable tabId="38" name="pvt_Demanda_Detalhada_REP"/>
  </pivotTables>
  <data>
    <tabular pivotCacheId="1805376015">
      <items count="6">
        <i x="3"/>
        <i x="4"/>
        <i x="5" s="1"/>
        <i x="0" nd="1"/>
        <i x="1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" xr10:uid="{A8432534-19D1-4136-8EE1-2EBA867DD059}" sourceName="Tri-Fiscal">
  <pivotTables>
    <pivotTable tabId="38" name="pvt_Demanda_Detalhada_REP"/>
    <pivotTable tabId="38" name="pvt_Demanda_Detalhada_REP_Tri"/>
  </pivotTables>
  <data>
    <tabular pivotCacheId="1805376015">
      <items count="2">
        <i x="0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mail_Representante" xr10:uid="{A35B3970-963F-4DC9-9E09-5699207F6B3A}" sourceName="Email-Representante">
  <pivotTables>
    <pivotTable tabId="38" name="pvt_Demanda_Detalhada_REP"/>
    <pivotTable tabId="38" name="pvt_Demanda_Detalhada_REP_Tri"/>
  </pivotTables>
  <data>
    <tabular pivotCacheId="1805376015">
      <items count="24">
        <i x="13"/>
        <i x="17"/>
        <i x="15"/>
        <i x="14"/>
        <i x="10" s="1"/>
        <i x="9"/>
        <i x="5"/>
        <i x="16"/>
        <i x="4"/>
        <i x="3"/>
        <i x="1"/>
        <i x="7"/>
        <i x="12"/>
        <i x="8"/>
        <i x="20"/>
        <i x="21"/>
        <i x="11"/>
        <i x="19"/>
        <i x="6"/>
        <i x="18"/>
        <i x="0"/>
        <i x="2"/>
        <i x="22"/>
        <i x="23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1" xr10:uid="{A4EC26F6-F50C-48F0-ADAB-3B44D1786C26}" sourceName="Mes-Fiscal">
  <pivotTables>
    <pivotTable tabId="43" name="pvt_Demanda_Detalhada_GR"/>
  </pivotTables>
  <data>
    <tabular pivotCacheId="1494696249">
      <items count="7">
        <i x="3"/>
        <i x="4" s="1"/>
        <i x="5"/>
        <i x="0" nd="1"/>
        <i x="1" nd="1"/>
        <i x="2" nd="1"/>
        <i x="6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1" xr10:uid="{7685EC16-4FED-45CE-B9CB-49673297C980}" sourceName="Tri-Fiscal">
  <pivotTables>
    <pivotTable tabId="43" name="pvt_Demanda_Detalhada_GR"/>
  </pivotTables>
  <data>
    <tabular pivotCacheId="1494696249">
      <items count="3">
        <i x="1" s="1"/>
        <i x="0" nd="1"/>
        <i x="2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_FK_Email_Gerente" xr10:uid="{2944CAC2-0D70-4A7C-906D-118BAAEE23EC}" sourceName="#FK-Email-Gerente">
  <pivotTables>
    <pivotTable tabId="43" name="pvt_Demanda_Detalhada_GR"/>
  </pivotTables>
  <data>
    <tabular pivotCacheId="1494696249">
      <items count="6">
        <i x="0" s="1"/>
        <i x="3"/>
        <i x="2"/>
        <i x="4"/>
        <i x="5" nd="1"/>
        <i x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Fiscal1" xr10:uid="{6F3F0AEF-2BBC-4071-B1B2-A8A95A6C7611}" sourceName="Ano-Fiscal">
  <pivotTables>
    <pivotTable tabId="46" name="pvt_Venda_Detalhada_Mes"/>
  </pivotTables>
  <data>
    <tabular pivotCacheId="1167195518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3" xr10:uid="{A0849B56-47EE-4833-9EDF-9363B8A2B153}" sourceName="Mes-Fiscal">
  <pivotTables>
    <pivotTable tabId="46" name="pvt_Venda_Detalhada_Mes"/>
  </pivotTables>
  <data>
    <tabular pivotCacheId="1167195518">
      <items count="6">
        <i x="3"/>
        <i x="4" s="1"/>
        <i x="5"/>
        <i x="0" nd="1"/>
        <i x="1" nd="1"/>
        <i x="2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3" xr10:uid="{342E62C7-3141-4B92-AC06-F40DE2B101B9}" sourceName="Tri-Fiscal">
  <pivotTables>
    <pivotTable tabId="46" name="pvt_Venda_Detalhada_Mes"/>
  </pivotTables>
  <data>
    <tabular pivotCacheId="1167195518">
      <items count="2">
        <i x="1" s="1"/>
        <i x="0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Fiscal" xr10:uid="{0E98E227-CAB8-44F0-AA61-4A07B6F18932}" sourceName="Ano-Fiscal">
  <extLst>
    <x:ext xmlns:x15="http://schemas.microsoft.com/office/spreadsheetml/2010/11/main" uri="{2F2917AC-EB37-4324-AD4E-5DD8C200BD13}">
      <x15:tableSlicerCache tableId="14" column="3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_Fiscal2" xr10:uid="{0A154D0E-EF73-4BB1-98E5-A2E5040C63BE}" sourceName="Mes-Fiscal">
  <extLst>
    <x:ext xmlns:x15="http://schemas.microsoft.com/office/spreadsheetml/2010/11/main" uri="{2F2917AC-EB37-4324-AD4E-5DD8C200BD13}">
      <x15:tableSlicerCache tableId="14" column="4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_Fiscal2" xr10:uid="{DB1B9793-AF1D-4114-A6F8-CAB3EAC7FB0F}" sourceName="Tri-Fiscal">
  <extLst>
    <x:ext xmlns:x15="http://schemas.microsoft.com/office/spreadsheetml/2010/11/main" uri="{2F2917AC-EB37-4324-AD4E-5DD8C200BD13}">
      <x15:tableSlicerCache tableId="14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 1" xr10:uid="{39BC3186-A7D5-4833-8767-62BA12B77B6C}" cache="SegmentaçãodeDados_Ano_Fiscal" caption="Ano-Fiscal" style="SlicerStyleLight6" rowHeight="241300"/>
  <slicer name="Mes-Fiscal 3" xr10:uid="{CAFC3B10-19EF-48F8-BE24-1ACC2329BAD2}" cache="SegmentaçãodeDados_Mes_Fiscal2" caption="Mes-Fiscal" startItem="1" style="SlicerStyleLight6" rowHeight="241300"/>
  <slicer name="Tri-Fiscal 3" xr10:uid="{F870010B-1005-4712-AE47-39E733045F6B}" cache="SegmentaçãodeDados_Tri_Fiscal2" caption="Tri-Fiscal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" xr10:uid="{E29E862F-1356-4F0B-8CCB-27F84445AF3F}" cache="SegmentaçãodeDados_Ano_Fiscal" caption="Ano-Fiscal" style="SlicerStyleLight6" rowHeight="241300"/>
  <slicer name="Mes-Fiscal 2" xr10:uid="{EAD20C8F-A21D-43F1-BAF9-1FF88B748438}" cache="SegmentaçãodeDados_Mes_Fiscal2" caption="Mes-Fiscal" columnCount="5" style="SlicerStyleLight6" rowHeight="241300"/>
  <slicer name="Tri-Fiscal 2" xr10:uid="{A4F95F99-5A5D-4BF9-820E-599CF97FDC6C}" cache="SegmentaçãodeDados_Tri_Fiscal2" caption="Tri-Fiscal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Fiscal" xr10:uid="{A4A8E603-14F4-4D34-A891-9F89684D1401}" cache="SegmentaçãodeDados_Mes_Fiscal" caption="Mês" startItem="2" style="SlicerStyleLight6" rowHeight="241300"/>
  <slicer name="Tri-Fiscal" xr10:uid="{7105824C-40BD-4B60-A831-2F21328C2B75}" cache="SegmentaçãodeDados_Tri_Fiscal" caption="Tri" startItem="1" style="SlicerStyleLight6" rowHeight="241300"/>
  <slicer name="Email-Representante" xr10:uid="{557B0685-C06D-4D1F-BCC3-7D01D622AE1B}" cache="SegmentaçãodeDados_Email_Representante" caption="Email-Representante" style="SlicerStyleLight6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Fiscal 1" xr10:uid="{26E334DC-B8DB-4E21-8C1E-DB6E4C6E9951}" cache="SegmentaçãodeDados_Mes_Fiscal1" caption="Mês" style="SlicerStyleLight6" rowHeight="241300"/>
  <slicer name="Tri-Fiscal 1" xr10:uid="{C5165686-D86A-4132-BE5F-80811E0A2197}" cache="SegmentaçãodeDados_Tri_Fiscal1" caption="Tri" style="SlicerStyleLight6" rowHeight="241300"/>
  <slicer name="#FK-Email-Gerente" xr10:uid="{44F5C6C2-F194-4664-BB90-88C827B500AF}" cache="SegmentaçãodeDados__FK_Email_Gerente" caption="#FK-Email-Gerente" style="SlicerStyleLight6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-Fiscal 2" xr10:uid="{2E8A27DE-EF8C-4DC1-879A-6A04C92CDAE0}" cache="SegmentaçãodeDados_Ano_Fiscal1" caption="Ano-Fiscal" rowHeight="241300"/>
  <slicer name="Mes-Fiscal 4" xr10:uid="{02D3A96F-A7D2-409B-9A5E-361D04C9A169}" cache="SegmentaçãodeDados_Mes_Fiscal3" caption="Mes-Fiscal" rowHeight="241300"/>
  <slicer name="Tri-Fiscal 4" xr10:uid="{6469D04E-EDAB-49D9-BA5B-745FEF5B53CD}" cache="SegmentaçãodeDados_Tri_Fiscal3" caption="Tri-Fiscal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EF0685-FFA4-4D31-A9C3-53116062BE8E}" name="VIEW_IV_2019_ESTABELECIMENTOS_SETORIZACAO_REP" displayName="VIEW_IV_2019_ESTABELECIMENTOS_SETORIZACAO_REP" ref="A5:O1325" tableType="queryTable" totalsRowShown="0" headerRowDxfId="2069" dataDxfId="2068">
  <autoFilter ref="A5:O1325" xr:uid="{D8065C7A-5728-4B53-9698-1CA6708A75C8}"/>
  <tableColumns count="15">
    <tableColumn id="1" xr3:uid="{54406788-230D-4183-8998-C3BF047701A6}" uniqueName="1" name="#FK-CNPJ" queryTableFieldId="1" dataDxfId="2067"/>
    <tableColumn id="2" xr3:uid="{1662F042-844E-4241-BB34-EEF4EDD3C583}" uniqueName="2" name="Estabelecimento" queryTableFieldId="2" dataDxfId="2066"/>
    <tableColumn id="3" xr3:uid="{6104D244-5D50-4244-9AF6-B6CA3F20B67C}" uniqueName="3" name="Cidade" queryTableFieldId="3" dataDxfId="2065"/>
    <tableColumn id="4" xr3:uid="{B0F2A169-858A-4260-A1B9-985B0D3DABF3}" uniqueName="4" name="UF" queryTableFieldId="4" dataDxfId="2064"/>
    <tableColumn id="5" xr3:uid="{1F7CF81C-E758-4079-82B6-AEE2F4CB7DDF}" uniqueName="5" name="Status" queryTableFieldId="5" dataDxfId="2063"/>
    <tableColumn id="6" xr3:uid="{5DAB6BB4-7363-49D6-846C-4645A0611293}" uniqueName="6" name="Qtd_REPS" queryTableFieldId="6" dataDxfId="2062"/>
    <tableColumn id="7" xr3:uid="{22E6FC9F-CB80-4E92-BB04-A10FA91341CA}" uniqueName="7" name="Email-Representante" queryTableFieldId="7" dataDxfId="2061"/>
    <tableColumn id="8" xr3:uid="{01F2FE9B-A113-4E2C-8BD7-82B76E4561FD}" uniqueName="8" name="Representante" queryTableFieldId="8" dataDxfId="2060"/>
    <tableColumn id="11" xr3:uid="{2626CEC9-5938-42F6-B590-D7A029DDA934}" uniqueName="11" name="Equipe" queryTableFieldId="11" dataDxfId="2059"/>
    <tableColumn id="13" xr3:uid="{79AACF41-4549-4077-B8FE-F68D62508F80}" uniqueName="13" name="Gerente" queryTableFieldId="13" dataDxfId="2058"/>
    <tableColumn id="16" xr3:uid="{85368B1E-E780-4F68-B6A1-23C09107C220}" uniqueName="16" name="@-BERINERT" queryTableFieldId="16" dataDxfId="2057"/>
    <tableColumn id="18" xr3:uid="{854CA5C7-F830-4108-8B2E-756AA2950D94}" uniqueName="18" name="@-BERIPLEX" queryTableFieldId="18" dataDxfId="2056"/>
    <tableColumn id="20" xr3:uid="{2EFC2CE4-B287-42AD-9B2B-3D7619E9DCDF}" uniqueName="20" name="@-HAEMO" queryTableFieldId="20" dataDxfId="2055"/>
    <tableColumn id="22" xr3:uid="{5C778364-6A19-432A-B246-2D7A025B781B}" uniqueName="22" name="@-HIZENTRA" queryTableFieldId="22" dataDxfId="2054"/>
    <tableColumn id="24" xr3:uid="{B05BFF73-A8C9-45FB-AE13-BE28D21EBC88}" uniqueName="24" name="@-PRIVIGEN" queryTableFieldId="24" dataDxfId="205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B86EC8-2718-4723-BDAF-AD352F59C65D}" name="TBL_IV_PERIODOS" displayName="TBL_IV_PERIODOS" ref="A5:N17" tableType="queryTable" totalsRowShown="0" headerRowDxfId="2048" dataDxfId="2047">
  <autoFilter ref="A5:N17" xr:uid="{0B1ADB40-287F-4F77-A3E3-179351A88A36}">
    <filterColumn colId="3">
      <filters>
        <filter val="05-Nov"/>
      </filters>
    </filterColumn>
    <filterColumn colId="4">
      <filters>
        <filter val="02-Tri"/>
      </filters>
    </filterColumn>
  </autoFilter>
  <tableColumns count="14">
    <tableColumn id="1" xr3:uid="{0B20FAB7-EB8A-4EF3-ABF1-D497EDEB70CD}" uniqueName="1" name="Ano-Unv" queryTableFieldId="1" dataDxfId="2046"/>
    <tableColumn id="2" xr3:uid="{F5DC3F6D-BD50-42AA-8612-E76B6A72EBF0}" uniqueName="2" name="Mes-Unv" queryTableFieldId="2" dataDxfId="2045"/>
    <tableColumn id="3" xr3:uid="{1BA7E2C1-C812-48D9-96E9-1A7B4BF1921F}" uniqueName="3" name="Ano-Fiscal" queryTableFieldId="3" dataDxfId="2044"/>
    <tableColumn id="4" xr3:uid="{BFDCB482-1B24-46E1-9AC2-0D0C087DDC11}" uniqueName="4" name="Mes-Fiscal" queryTableFieldId="4" dataDxfId="2043"/>
    <tableColumn id="5" xr3:uid="{9AE34C67-3215-4E4C-86EA-80BF44A0AC9F}" uniqueName="5" name="Tri-Fiscal" queryTableFieldId="5" dataDxfId="2042"/>
    <tableColumn id="6" xr3:uid="{C789CE47-18E1-4A5C-8057-9BFB9CE62A26}" uniqueName="6" name="Periodo-IV" queryTableFieldId="6" dataDxfId="2041"/>
    <tableColumn id="7" xr3:uid="{032BF01B-8A64-4187-97E8-BC74C1549A7B}" uniqueName="7" name="Calculo-2019" queryTableFieldId="7" dataDxfId="2040"/>
    <tableColumn id="8" xr3:uid="{8EF63EF2-1A10-476E-B7C8-6A23EA2933A6}" uniqueName="8" name="Calculo-Mensal" queryTableFieldId="8" dataDxfId="2039"/>
    <tableColumn id="9" xr3:uid="{CA8786E6-1430-496B-BE75-B8C2FB879994}" uniqueName="9" name="Calculo-Trimestral" queryTableFieldId="9" dataDxfId="2038"/>
    <tableColumn id="10" xr3:uid="{DB53FAEA-5EAC-4843-9781-157F03B78804}" uniqueName="10" name="Calculo-Anual" queryTableFieldId="10" dataDxfId="2037"/>
    <tableColumn id="11" xr3:uid="{2042E2AE-5804-4F98-8626-5E5BEBF5C6EB}" uniqueName="11" name="Data-Mapas" queryTableFieldId="11" dataDxfId="2036"/>
    <tableColumn id="12" xr3:uid="{842CC1B6-37D6-44F3-90A3-D6C829AC2BBA}" uniqueName="12" name="Data-Conferencia" queryTableFieldId="12" dataDxfId="2035"/>
    <tableColumn id="13" xr3:uid="{437AAA6F-AA7B-4386-AA69-A507596509D6}" uniqueName="13" name="Data-Fechamento" queryTableFieldId="13" dataDxfId="2034"/>
    <tableColumn id="14" xr3:uid="{3AAA00BB-827F-47DC-BEC0-E1181FA2BAB5}" uniqueName="14" name="Data-Pagamento" queryTableFieldId="14" dataDxfId="203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59D63E-B100-4F84-BB9C-AE3212E33E53}" name="VIEW_IV_2019_REPRESENTANTES" displayName="VIEW_IV_2019_REPRESENTANTES" ref="A18:L38" tableType="queryTable" totalsRowShown="0" headerRowDxfId="2030" dataDxfId="2029">
  <autoFilter ref="A18:L38" xr:uid="{F50AB0E2-6CFB-4382-84F9-37580BE146F2}"/>
  <tableColumns count="12">
    <tableColumn id="6" xr3:uid="{E63567E2-ACFC-406A-981C-74B8249A2C32}" uniqueName="6" name="E-mail" queryTableFieldId="6" dataDxfId="2028"/>
    <tableColumn id="17" xr3:uid="{C55C0A30-D32A-4F0E-A16B-C37D9651E24C}" uniqueName="17" name="Nome" queryTableFieldId="20" dataDxfId="2027"/>
    <tableColumn id="7" xr3:uid="{85C62B70-2B1A-4F3D-9EDD-D6B45FCA1803}" uniqueName="7" name="IV Demanda Mês (70%)" queryTableFieldId="8" dataDxfId="2026">
      <calculatedColumnFormula>SUMIFS(VIEW_IV_2019_REP_CALCULO[Premio-Total],VIEW_IV_2019_REP_CALCULO[Ano-Fiscal],Demostrativo_Ano,VIEW_IV_2019_REP_CALCULO[Mes-Fiscal],Demonstrativo_Mes,VIEW_IV_2019_REP_CALCULO['#PK-Email],VIEW_IV_2019_REPRESENTANTES[[#This Row],[E-mail]])</calculatedColumnFormula>
    </tableColumn>
    <tableColumn id="10" xr3:uid="{692D3786-D1BB-413A-98AB-69D1F314A281}" uniqueName="10" name="IV Venda Mês (20%)" queryTableFieldId="11" dataDxfId="2025">
      <calculatedColumnFormula>SUMIFS(VIEW_IV_2019_VENDA[Premio-Total-REP],VIEW_IV_2019_VENDA[Ano-Fiscal],Demostrativo_Ano,VIEW_IV_2019_VENDA[Mes-Fiscal],Demonstrativo_Mes)</calculatedColumnFormula>
    </tableColumn>
    <tableColumn id="8" xr3:uid="{1D8DA7F9-EB6A-4884-A711-1A3148FC8918}" uniqueName="8" name="IV Visitas (5%)" queryTableFieldId="9" dataDxfId="2024">
      <calculatedColumnFormula>SUMIFS(VIEW_IV_2019_VISITAS_REP[Visitas-Premio],VIEW_IV_2019_VISITAS_REP[Ano-Fiscal],Demostrativo_Ano,VIEW_IV_2019_VISITAS_REP[Mes-Fiscal],Demonstrativo_Mes,VIEW_IV_2019_VISITAS_REP['#PK-Email],VIEW_IV_2019_REPRESENTANTES[[#This Row],[E-mail]])</calculatedColumnFormula>
    </tableColumn>
    <tableColumn id="9" xr3:uid="{118DBBDD-3C33-45A0-AFD1-A35E0C32B3EA}" uniqueName="9" name="IV Conhecimento (5%)" queryTableFieldId="10" dataDxfId="2023">
      <calculatedColumnFormula>Vlr_100_REP*0.05</calculatedColumnFormula>
    </tableColumn>
    <tableColumn id="11" xr3:uid="{0651290B-C047-4792-B18A-04252727DEEE}" uniqueName="11" name="Recuperavel Demanda Tri" queryTableFieldId="14" dataDxfId="2022">
      <calculatedColumnFormula array="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calculatedColumnFormula>
    </tableColumn>
    <tableColumn id="12" xr3:uid="{86A7B79D-8C03-43CF-8A4B-5CA8C96E41F3}" uniqueName="12" name="Recuperavel Venda Tri" queryTableFieldId="15" dataDxfId="2021">
      <calculatedColumnFormula array="1">IF(Demonstrativo_Calcular_Recuperavel_Tri="Não",0,SUMIFS(VIEW_IV_2019_VENDA_TRI[Recuperavel-Total-REP],VIEW_IV_2019_VENDA_TRI[Ano-Fiscal],Demostrativo_Ano,VIEW_IV_2019_VENDA_TRI[Tri-Fiscal],Demonstrativo_Tri))</calculatedColumnFormula>
    </tableColumn>
    <tableColumn id="13" xr3:uid="{404847A0-1766-47D3-A126-3ED74C673675}" uniqueName="13" name="Acréscimos (+)" queryTableFieldId="16" dataDxfId="2020"/>
    <tableColumn id="14" xr3:uid="{044FCB47-6C4B-4A1E-AB63-B608007ACF52}" uniqueName="14" name="Descontos (-)" queryTableFieldId="17" dataDxfId="2019"/>
    <tableColumn id="16" xr3:uid="{D3BBC669-4B60-4B23-B501-A7BA6C194CD8}" uniqueName="16" name="Total Premiação" queryTableFieldId="19" dataDxfId="2018">
      <calculatedColumnFormula>SUM(VIEW_IV_2019_REPRESENTANTES[[#This Row],[IV Demanda Mês (70%)]:[Acréscimos (+)]])-VIEW_IV_2019_REPRESENTANTES[[#This Row],[Descontos (-)]]</calculatedColumnFormula>
    </tableColumn>
    <tableColumn id="15" xr3:uid="{E794F78B-BA41-4501-90FA-FE0A55BEE7A7}" uniqueName="15" name="Observações" queryTableFieldId="18" dataDxfId="20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B9D854C-535F-4254-8B19-5B64050D2A52}" name="VIEW_IV_2019_GERENTES" displayName="VIEW_IV_2019_GERENTES" ref="A12:L15" tableType="queryTable" totalsRowShown="0" headerRowDxfId="2016" dataDxfId="2015">
  <autoFilter ref="A12:L15" xr:uid="{0FD1D4C3-487E-42D6-B0BE-B0BDE697712D}"/>
  <tableColumns count="12">
    <tableColumn id="13" xr3:uid="{0AE42079-8024-4933-9CF4-27DA01B08F6D}" uniqueName="13" name="Email" queryTableFieldId="13" dataDxfId="2014"/>
    <tableColumn id="14" xr3:uid="{A085B727-B241-471F-A074-522124C13648}" uniqueName="14" name="Nome" queryTableFieldId="14" dataDxfId="2013"/>
    <tableColumn id="3" xr3:uid="{E2FF7BA6-4F1E-46AE-8C56-93BBE809BDA4}" uniqueName="3" name="IV Demanda Mês (70%)" queryTableFieldId="3" dataDxfId="2012">
      <calculatedColumnFormula>SUMIFS(VIEW_IV_2019_GR_COTA_DEMANDA[Premio.Total],VIEW_IV_2019_GR_COTA_DEMANDA[Ano-Fiscal],Demostrativo_Ano,VIEW_IV_2019_GR_COTA_DEMANDA[Mes-Fiscal],Demonstrativo_Mes,VIEW_IV_2019_GR_COTA_DEMANDA['#FK-Email-Gerente],VIEW_IV_2019_GERENTES[[#This Row],[Email]])</calculatedColumnFormula>
    </tableColumn>
    <tableColumn id="4" xr3:uid="{76BABE98-D569-4D04-BD06-48FA6D019DDC}" uniqueName="4" name="IV Venda Mês (20%)" queryTableFieldId="4" dataDxfId="2011">
      <calculatedColumnFormula>SUMIFS(VIEW_IV_2019_VENDA[Premio-TOTAL-GR],VIEW_IV_2019_VENDA[Ano-Fiscal],Demostrativo_Ano,VIEW_IV_2019_VENDA[Mes-Fiscal],Demonstrativo_Mes)</calculatedColumnFormula>
    </tableColumn>
    <tableColumn id="5" xr3:uid="{21CD3B60-FD7A-4D4F-83E4-5A8E0F7FB3F5}" uniqueName="5" name="IV Visitas (5%)" queryTableFieldId="5" dataDxfId="2010">
      <calculatedColumnFormula>SUMIFS(VIEW_IV_2019_VISITAS_GR[Visitas-Premio],VIEW_IV_2019_VISITAS_GR[Ano-Fiscal],Demostrativo_Ano,VIEW_IV_2019_VISITAS_GR[Mes-Fiscal],Demonstrativo_Mes,VIEW_IV_2019_VISITAS_GR['#FK-Email-Gerente],VIEW_IV_2019_GERENTES[[#This Row],[Email]])</calculatedColumnFormula>
    </tableColumn>
    <tableColumn id="6" xr3:uid="{DE4FD780-EC54-4F99-B133-C5A19B453D16}" uniqueName="6" name="IV Conhecimento (5%)" queryTableFieldId="6" dataDxfId="2009">
      <calculatedColumnFormula>Vlr_100_GR*0.05</calculatedColumnFormula>
    </tableColumn>
    <tableColumn id="7" xr3:uid="{63E44442-984A-4B1B-8968-7D53DDAA6626}" uniqueName="7" name="Recuperavel Demanda Tri" queryTableFieldId="7" dataDxfId="2008">
      <calculatedColumnFormula array="1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calculatedColumnFormula>
    </tableColumn>
    <tableColumn id="8" xr3:uid="{B2B72AD5-A4AF-4A60-88C2-B6E44574CB6B}" uniqueName="8" name="Recuperavel Venda Tri" queryTableFieldId="8" dataDxfId="2007">
      <calculatedColumnFormula array="1">IF(Demonstrativo_Calcular_Recuperavel_Tri="Não",0,SUMIFS(VIEW_IV_2019_VENDA_TRI[Recuperavel-TOTAL-GR],VIEW_IV_2019_VENDA_TRI[Ano-Fiscal],Demostrativo_Ano,VIEW_IV_2019_VENDA_TRI[Tri-Fiscal],Demonstrativo_Tri))</calculatedColumnFormula>
    </tableColumn>
    <tableColumn id="9" xr3:uid="{A29ED50B-F351-4364-AE59-B6CE97DE2D71}" uniqueName="9" name="Acréscimos (+)" queryTableFieldId="9" dataDxfId="2006"/>
    <tableColumn id="10" xr3:uid="{C08BF66F-A2F3-422A-BB91-A8F3858F6511}" uniqueName="10" name="Descontos (-)" queryTableFieldId="10" dataDxfId="2005"/>
    <tableColumn id="11" xr3:uid="{92878E9C-669F-4D21-9EC1-85D14C773F90}" uniqueName="11" name="Total Premiação" queryTableFieldId="11" dataDxfId="2004">
      <calculatedColumnFormula>SUM(VIEW_IV_2019_GERENTES[[#This Row],[IV Demanda Mês (70%)]:[Acréscimos (+)]])-VIEW_IV_2019_GERENTES[[#This Row],[Descontos (-)]]</calculatedColumnFormula>
    </tableColumn>
    <tableColumn id="12" xr3:uid="{8F2BF373-D0F0-43E3-8E62-CD0486A40CB2}" uniqueName="12" name="Observações" queryTableFieldId="12" dataDxfId="200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EB6380-6050-4FEC-81F6-3E3E0B390F22}" name="VIEW_IV_2019_VENDA_TRI" displayName="VIEW_IV_2019_VENDA_TRI" ref="A5:AA8" tableType="queryTable" totalsRowShown="0" headerRowDxfId="1706" dataDxfId="1705">
  <tableColumns count="27">
    <tableColumn id="3" xr3:uid="{32A3E124-DFB9-464B-9D5A-890461584868}" uniqueName="3" name="Ano-Fiscal" queryTableFieldId="3" dataDxfId="1704"/>
    <tableColumn id="5" xr3:uid="{3A247634-B12F-43D6-8006-8873C7A7B11B}" uniqueName="5" name="Tri-Fiscal" queryTableFieldId="5" dataDxfId="1703"/>
    <tableColumn id="11" xr3:uid="{EFB396EB-29F1-46FE-B763-BE1029A1798B}" uniqueName="11" name="Cota-ALBUREX" queryTableFieldId="11" dataDxfId="1702"/>
    <tableColumn id="9" xr3:uid="{91DCC2F0-DA39-44F4-8810-9D2EF9AB370C}" uniqueName="9" name="Cota-RHOPYLAC" queryTableFieldId="41" dataDxfId="1701"/>
    <tableColumn id="13" xr3:uid="{6383DDBA-E55D-4634-AA23-3630315DA21F}" uniqueName="13" name="Cota-OUTRO PRODUTOS" queryTableFieldId="43" dataDxfId="1700"/>
    <tableColumn id="23" xr3:uid="{8E697A87-F9DE-4AAF-8D9F-BE3BDFE3231D}" uniqueName="23" name="Cota-TOTAL" queryTableFieldId="23" dataDxfId="1699"/>
    <tableColumn id="12" xr3:uid="{5FF8FF2A-27E0-4CCF-8E41-0996CB2B699D}" uniqueName="12" name="Venda-ALBUREX" queryTableFieldId="12" dataDxfId="1698"/>
    <tableColumn id="10" xr3:uid="{32B5546D-6B51-4670-B8BF-020113BE3B1B}" uniqueName="10" name="Venda-RHOPYLAC" queryTableFieldId="42" dataDxfId="1697"/>
    <tableColumn id="14" xr3:uid="{CA6971D8-5423-4DAF-BCF6-69353FBF4EE5}" uniqueName="14" name="Venda-OUTRO PRODUTOS" queryTableFieldId="44" dataDxfId="1696"/>
    <tableColumn id="24" xr3:uid="{8D82ED01-9D74-4FDB-BB62-419AE977BF13}" uniqueName="24" name="Venda-TOTAL" queryTableFieldId="24" dataDxfId="1695"/>
    <tableColumn id="18" xr3:uid="{57B18643-02A8-4353-9AE9-65DD40D00019}" uniqueName="18" name="Cobertura-ALBUREX" queryTableFieldId="55" dataDxfId="1694" dataCellStyle="Porcentagem">
      <calculatedColumnFormula>IFERROR(VIEW_IV_2019_VENDA_TRI[[#This Row],[Venda-ALBUREX]]/VIEW_IV_2019_VENDA_TRI[[#This Row],[Cota-ALBUREX]],0)</calculatedColumnFormula>
    </tableColumn>
    <tableColumn id="17" xr3:uid="{1FAC4280-74C0-4D4E-9689-333EEF7A6BC8}" uniqueName="17" name="Cobertura-RHOPYLAC" queryTableFieldId="54" dataDxfId="1693" dataCellStyle="Porcentagem">
      <calculatedColumnFormula>IFERROR(VIEW_IV_2019_VENDA_TRI[[#This Row],[Venda-RHOPYLAC]]/VIEW_IV_2019_VENDA_TRI[[#This Row],[Cota-RHOPYLAC]],0)</calculatedColumnFormula>
    </tableColumn>
    <tableColumn id="16" xr3:uid="{54EC1A03-1874-46D3-9E14-D538CFC87D31}" uniqueName="16" name="Cobertura-OUTROS PRODUTOS" queryTableFieldId="53" dataDxfId="1692" dataCellStyle="Porcentagem">
      <calculatedColumnFormula>IFERROR(VIEW_IV_2019_VENDA_TRI[[#This Row],[Venda-OUTRO PRODUTOS]]/VIEW_IV_2019_VENDA_TRI[[#This Row],[Cota-OUTRO PRODUTOS]],0)</calculatedColumnFormula>
    </tableColumn>
    <tableColumn id="15" xr3:uid="{A32B9FCA-18B3-4EF8-82AC-CFB5AAB3305C}" uniqueName="15" name="Cobertura-TOTAL" queryTableFieldId="52" dataDxfId="1691" dataCellStyle="Porcentagem">
      <calculatedColumnFormula>IFERROR(VIEW_IV_2019_VENDA_TRI[[#This Row],[Venda-TOTAL]]/VIEW_IV_2019_VENDA_TRI[[#This Row],[Cota-TOTAL]],0)</calculatedColumnFormula>
    </tableColumn>
    <tableColumn id="27" xr3:uid="{517CFC47-961D-4D6C-B130-E1B11715975A}" uniqueName="27" name="Premio-ALBUREX" queryTableFieldId="27" dataDxfId="1690">
      <calculatedColumnFormula>(IF(VIEW_IV_2019_VENDA_TRI[[#This Row],[Cobertura-ALBUREX]]&lt;Cob_Min_REP,0,IF(VIEW_IV_2019_VENDA_TRI[[#This Row],[Cobertura-ALBUREX]]&gt;Cob_Max_REP,Vlr_Max_REP,VLOOKUP(VIEW_IV_2019_VENDA_TRI[[#This Row],[Cobertura-ALBUREX]],Tabela_Valores_REP,2,1)))*O$1)*3</calculatedColumnFormula>
    </tableColumn>
    <tableColumn id="28" xr3:uid="{40150489-F6A3-46D7-BDBE-4F4B146F5657}" uniqueName="28" name="Premio-RHOPYLAC" queryTableFieldId="28" dataDxfId="1689">
      <calculatedColumnFormula>IF(VIEW_IV_2019_VENDA_TRI[[#This Row],[Cobertura-RHOPYLAC]]&lt;Cob_Min_REP,0,IF(VIEW_IV_2019_VENDA_TRI[[#This Row],[Cobertura-RHOPYLAC]]&gt;Cob_Max_REP,Vlr_Max_REP,VLOOKUP(VIEW_IV_2019_VENDA_TRI[[#This Row],[Cobertura-RHOPYLAC]],Tabela_Valores_REP,2,1)))*P$1</calculatedColumnFormula>
    </tableColumn>
    <tableColumn id="29" xr3:uid="{E9C84C33-8166-4FE0-BDD0-26CB576EE050}" uniqueName="29" name="Premio-OUTROS" queryTableFieldId="29" dataDxfId="1688">
      <calculatedColumnFormula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calculatedColumnFormula>
    </tableColumn>
    <tableColumn id="30" xr3:uid="{024D81D4-41D2-47B4-B969-4F60DD0C2B4C}" uniqueName="30" name="Premio-TOTAL-GR" queryTableFieldId="30" dataDxfId="1687">
      <calculatedColumnFormula>IF(VIEW_IV_2019_VENDA_TRI[[#This Row],[Cobertura-TOTAL]]&lt;Cob_Min_REP,0,IF(VIEW_IV_2019_VENDA_TRI[[#This Row],[Cobertura-TOTAL]]&gt;Cob_Max_REP,Vlr_Max_REP,VLOOKUP(VIEW_IV_2019_VENDA_TRI[[#This Row],[Cobertura-TOTAL]],Tabela_Valores_REP,2,1)))*R$1</calculatedColumnFormula>
    </tableColumn>
    <tableColumn id="19" xr3:uid="{E7CA3D11-4872-4CF6-AFB8-999E8D87F05F}" uniqueName="19" name="Recebido-ALBUREX" queryTableFieldId="56" dataDxfId="1686">
      <calculatedColumnFormula>SUMIFS(VIEW_IV_2019_VENDA[Premio-ALBUREX],VIEW_IV_2019_VENDA[Ano-Fiscal],VIEW_IV_2019_VENDA_TRI[[#This Row],[Ano-Fiscal]],VIEW_IV_2019_VENDA[Tri-Fiscal],VIEW_IV_2019_VENDA_TRI[[#This Row],[Tri-Fiscal]])</calculatedColumnFormula>
    </tableColumn>
    <tableColumn id="20" xr3:uid="{D17DE862-98F9-461D-BEF5-0C458C4EA907}" uniqueName="20" name="Recebido-RHOPYLAC" queryTableFieldId="57" dataDxfId="1685">
      <calculatedColumnFormula>SUMIFS(VIEW_IV_2019_VENDA[Premio-RHOPYLAC],VIEW_IV_2019_VENDA[Ano-Fiscal],VIEW_IV_2019_VENDA_TRI[[#This Row],[Ano-Fiscal]],VIEW_IV_2019_VENDA[Tri-Fiscal],VIEW_IV_2019_VENDA_TRI[[#This Row],[Tri-Fiscal]])</calculatedColumnFormula>
    </tableColumn>
    <tableColumn id="21" xr3:uid="{D239FA98-4ACA-49F4-BD45-B50B8D3B7198}" uniqueName="21" name="Recebido-OUTROS" queryTableFieldId="58" dataDxfId="1684">
      <calculatedColumnFormula>SUMIFS(VIEW_IV_2019_VENDA[Premio-OUTROS],VIEW_IV_2019_VENDA[Ano-Fiscal],VIEW_IV_2019_VENDA_TRI[[#This Row],[Ano-Fiscal]],VIEW_IV_2019_VENDA[Tri-Fiscal],VIEW_IV_2019_VENDA_TRI[[#This Row],[Tri-Fiscal]])</calculatedColumnFormula>
    </tableColumn>
    <tableColumn id="22" xr3:uid="{CC49C7CC-9135-46C5-8DB0-015C0ED854E8}" uniqueName="22" name="Recebido-TOTAL-GR" queryTableFieldId="59" dataDxfId="1683">
      <calculatedColumnFormula>SUMIFS(VIEW_IV_2019_VENDA[Premio-TOTAL-GR],VIEW_IV_2019_VENDA[Ano-Fiscal],VIEW_IV_2019_VENDA_TRI[[#This Row],[Ano-Fiscal]],VIEW_IV_2019_VENDA[Tri-Fiscal],VIEW_IV_2019_VENDA_TRI[[#This Row],[Tri-Fiscal]])</calculatedColumnFormula>
    </tableColumn>
    <tableColumn id="25" xr3:uid="{39102885-DFE4-4691-89B8-AAABEAE60C34}" uniqueName="25" name="Recuperavel-ALBUREX" queryTableFieldId="60" dataDxfId="1682">
      <calculatedColumnFormula>IF(VIEW_IV_2019_VENDA_TRI[[#This Row],[Premio-ALBUREX]]-VIEW_IV_2019_VENDA_TRI[[#This Row],[Recebido-ALBUREX]]&lt;=0,0,VIEW_IV_2019_VENDA_TRI[[#This Row],[Premio-ALBUREX]]-VIEW_IV_2019_VENDA_TRI[[#This Row],[Recebido-ALBUREX]])</calculatedColumnFormula>
    </tableColumn>
    <tableColumn id="26" xr3:uid="{41E97A4C-277F-4684-BCB2-7B9206C063D0}" uniqueName="26" name="Recuperavel-RHOPYLAC" queryTableFieldId="61" dataDxfId="1681">
      <calculatedColumnFormula>IF(VIEW_IV_2019_VENDA_TRI[[#This Row],[Premio-RHOPYLAC]]-VIEW_IV_2019_VENDA_TRI[[#This Row],[Recebido-RHOPYLAC]]&lt;=0,0,VIEW_IV_2019_VENDA_TRI[[#This Row],[Premio-RHOPYLAC]]-VIEW_IV_2019_VENDA_TRI[[#This Row],[Recebido-RHOPYLAC]])</calculatedColumnFormula>
    </tableColumn>
    <tableColumn id="31" xr3:uid="{E67FEB31-6308-4F92-B4F4-6C008E4CA152}" uniqueName="31" name="Recuperavel-OUTROS" queryTableFieldId="62" dataDxfId="1680">
      <calculatedColumnFormula>IF(VIEW_IV_2019_VENDA_TRI[[#This Row],[Premio-OUTROS]]-VIEW_IV_2019_VENDA_TRI[[#This Row],[Recebido-OUTROS]]&lt;=0,0,VIEW_IV_2019_VENDA_TRI[[#This Row],[Premio-OUTROS]]-VIEW_IV_2019_VENDA_TRI[[#This Row],[Recebido-OUTROS]])</calculatedColumnFormula>
    </tableColumn>
    <tableColumn id="1" xr3:uid="{FA6C01E0-C7BB-426F-A90D-17C9CE469F5A}" uniqueName="1" name="Recuperavel-Total-REP" queryTableFieldId="64" dataDxfId="1679">
      <calculatedColumnFormula>SUM(VIEW_IV_2019_VENDA_TRI[[#This Row],[Recuperavel-ALBUREX]:[Recuperavel-OUTROS]])</calculatedColumnFormula>
    </tableColumn>
    <tableColumn id="32" xr3:uid="{2D904BD2-6279-4691-A30F-3D5FF705400F}" uniqueName="32" name="Recuperavel-TOTAL-GR" queryTableFieldId="63" dataDxfId="1678">
      <calculatedColumnFormula>IF(VIEW_IV_2019_VENDA_TRI[[#This Row],[Premio-TOTAL-GR]]-VIEW_IV_2019_VENDA_TRI[[#This Row],[Recebido-TOTAL-GR]]&lt;=0,0,VIEW_IV_2019_VENDA_TRI[[#This Row],[Premio-TOTAL-GR]]-VIEW_IV_2019_VENDA_TRI[[#This Row],[Recebido-TOTAL-GR]])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56B160-EFC8-4165-A101-D684D76CED79}" name="VIEW_IV_2019_VENDA" displayName="VIEW_IV_2019_VENDA" ref="A5:X12" tableType="queryTable" totalsRowShown="0" headerRowDxfId="1677" dataDxfId="1676">
  <autoFilter ref="A5:X12" xr:uid="{20726ECE-4173-438F-8BAC-54FCCF873CA3}"/>
  <tableColumns count="24">
    <tableColumn id="3" xr3:uid="{2618A5E1-0FEA-4449-9EA9-CDE02FEEBD4F}" uniqueName="3" name="Ano-Fiscal" queryTableFieldId="3" dataDxfId="1675"/>
    <tableColumn id="4" xr3:uid="{F6F6C435-1741-4D5B-B1EF-51B0AD175AE1}" uniqueName="4" name="Mes-Fiscal" queryTableFieldId="4" dataDxfId="1674"/>
    <tableColumn id="5" xr3:uid="{A0643623-800F-4F35-846F-B03C67684FB6}" uniqueName="5" name="Tri-Fiscal" queryTableFieldId="5" dataDxfId="1673"/>
    <tableColumn id="11" xr3:uid="{5A001562-23D0-400F-8623-D6A4EE8EE52F}" uniqueName="11" name="Cota-ALBUREX" queryTableFieldId="11" dataDxfId="1672"/>
    <tableColumn id="15" xr3:uid="{2879CA53-2233-4306-BB59-F635859769E4}" uniqueName="15" name="Cota-RHOPHYLAC" queryTableFieldId="15" dataDxfId="1671"/>
    <tableColumn id="19" xr3:uid="{3AB47B12-EE35-4AF8-95BE-1E573F19A006}" uniqueName="19" name="Cota-OUTROS PRODUTOS" queryTableFieldId="19" dataDxfId="1670"/>
    <tableColumn id="23" xr3:uid="{7CBAC899-1016-42F4-9B12-76E93BE75300}" uniqueName="23" name="Cota-TOTAL" queryTableFieldId="23" dataDxfId="1669"/>
    <tableColumn id="12" xr3:uid="{5E15942D-7ECC-4CC1-A8D4-AFC17E81EC8D}" uniqueName="12" name="Venda-ALBUREX" queryTableFieldId="12" dataDxfId="1668"/>
    <tableColumn id="16" xr3:uid="{12C4BAE9-A220-47A6-8258-C158D3676A38}" uniqueName="16" name="Venda-RHOPHYLAC" queryTableFieldId="16" dataDxfId="1667"/>
    <tableColumn id="8" xr3:uid="{D9221B5C-038E-4B3F-ACE1-2157BC223FA1}" uniqueName="8" name="Venda-OUTROS PRODUTOS" queryTableFieldId="39" dataDxfId="1666" dataCellStyle="Porcentagem"/>
    <tableColumn id="24" xr3:uid="{10E421EB-6A32-4CEB-A909-646A9492C84A}" uniqueName="24" name="Venda-TOTAL" queryTableFieldId="24" dataDxfId="1665"/>
    <tableColumn id="14" xr3:uid="{8CB94A96-5415-437C-B6CC-40E85F44BFD1}" uniqueName="14" name="Cobertura-ALBUREX" queryTableFieldId="14" dataDxfId="1664" dataCellStyle="Porcentagem"/>
    <tableColumn id="18" xr3:uid="{CF7B17FE-ADD4-47E7-9B79-3020C57EF8D7}" uniqueName="18" name="Cobertura-RHOPYLAC" queryTableFieldId="18" dataDxfId="1663" dataCellStyle="Porcentagem"/>
    <tableColumn id="22" xr3:uid="{40B33A8F-A2D7-4CC1-B464-2C690AA5A23D}" uniqueName="22" name="Cobertura-OUTROS PRODUTOS" queryTableFieldId="22" dataDxfId="1662" dataCellStyle="Porcentagem"/>
    <tableColumn id="26" xr3:uid="{461435BB-6D32-45E2-9D58-78F69EE85E41}" uniqueName="26" name="Cobertura-TOTAL" queryTableFieldId="26" dataDxfId="1661" dataCellStyle="Porcentagem"/>
    <tableColumn id="1" xr3:uid="{AC98637C-1C3E-4F8C-AFB4-176144CD5AC8}" uniqueName="1" name="Peso-ALBUREX" queryTableFieldId="31" dataDxfId="1660" dataCellStyle="Porcentagem"/>
    <tableColumn id="2" xr3:uid="{BA9C7880-09CA-4DBA-AFBD-BF0E86A79B37}" uniqueName="2" name="Peso-RHOPHYLAC" queryTableFieldId="32" dataDxfId="1659" dataCellStyle="Porcentagem"/>
    <tableColumn id="6" xr3:uid="{4466F5E2-F3B8-4C86-8EFD-0F1A5E0DCC22}" uniqueName="6" name="Peso-OUTROS PRODUTOS" queryTableFieldId="33" dataDxfId="1658" dataCellStyle="Porcentagem"/>
    <tableColumn id="7" xr3:uid="{C0BD3EF0-A744-46DB-A437-89D506CF485F}" uniqueName="7" name="Peso-TOTAL" queryTableFieldId="34" dataDxfId="1657" dataCellStyle="Porcentagem"/>
    <tableColumn id="27" xr3:uid="{C4EFE3D4-7BB3-468C-BD10-F47FF5135B4C}" uniqueName="27" name="Premio-ALBUREX" queryTableFieldId="27" dataDxfId="1656">
      <calculatedColumnFormula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calculatedColumnFormula>
    </tableColumn>
    <tableColumn id="28" xr3:uid="{E5285847-22BE-4FA8-9C8D-8B09F4440AF8}" uniqueName="28" name="Premio-RHOPYLAC" queryTableFieldId="28" dataDxfId="1655">
      <calculatedColumnFormula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calculatedColumnFormula>
    </tableColumn>
    <tableColumn id="29" xr3:uid="{A06D8A12-4BED-461C-A17B-9B9F1CE7F1F5}" uniqueName="29" name="Premio-OUTROS" queryTableFieldId="29" dataDxfId="1654">
      <calculatedColumnFormula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calculatedColumnFormula>
    </tableColumn>
    <tableColumn id="9" xr3:uid="{C6F8F14A-4028-4D72-849F-5CABE2EC2833}" uniqueName="9" name="Premio-Total-REP" queryTableFieldId="51" dataDxfId="1653">
      <calculatedColumnFormula>SUM(VIEW_IV_2019_VENDA[[#This Row],[Premio-ALBUREX]:[Premio-OUTROS]])</calculatedColumnFormula>
    </tableColumn>
    <tableColumn id="30" xr3:uid="{3FB5EBE8-79D2-4C73-A289-2A38104CCBDF}" uniqueName="30" name="Premio-TOTAL-GR" queryTableFieldId="30" dataDxfId="1652">
      <calculatedColumnFormula>IF(VIEW_IV_2019_VENDA[[#This Row],[Cobertura-TOTAL]]&lt;Cob_Min_GR,0,IF(VIEW_IV_2019_VENDA[[#This Row],[Cobertura-TOTAL]]&gt;Cob_Max_GR,Vlr_Max_GR,VLOOKUP(VIEW_IV_2019_VENDA[[#This Row],[Cobertura-TOTAL]],Tabela_Valores_GR,2,1)))*VIEW_IV_2019_VENDA[[#This Row],[Peso-TOTAL]]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466C34-9AF4-4458-B0BD-BAB92E4303A8}" name="VIEW_IV_2019_REP_CALCULO" displayName="VIEW_IV_2019_REP_CALCULO" ref="A5:AN245" tableType="queryTable" totalsRowShown="0" headerRowDxfId="1649" dataDxfId="1648">
  <autoFilter ref="A5:AN245" xr:uid="{4827CB14-21C5-45DB-9FD3-6A7448B89114}">
    <filterColumn colId="1">
      <filters>
        <filter val="05-Nov"/>
      </filters>
    </filterColumn>
  </autoFilter>
  <tableColumns count="40">
    <tableColumn id="3" xr3:uid="{7708B3ED-0D6F-4445-AF1D-27495424131F}" uniqueName="3" name="Ano-Fiscal" queryTableFieldId="3" dataDxfId="1647"/>
    <tableColumn id="4" xr3:uid="{C58BD0BE-AFB2-4DC3-8478-B4F08EA3EFB5}" uniqueName="4" name="Mes-Fiscal" queryTableFieldId="4" dataDxfId="1646"/>
    <tableColumn id="5" xr3:uid="{8EC4B92F-96F5-4460-B618-71EB1E98C01B}" uniqueName="5" name="Tri-Fiscal" queryTableFieldId="5" dataDxfId="1645"/>
    <tableColumn id="11" xr3:uid="{ACF844BA-53AB-4445-9583-68313041BBDA}" uniqueName="11" name="#PK-Email" queryTableFieldId="11" dataDxfId="1644"/>
    <tableColumn id="12" xr3:uid="{78C67EC1-BB9F-40DA-AE46-74FD75149600}" uniqueName="12" name="Nome" queryTableFieldId="12" dataDxfId="1643"/>
    <tableColumn id="15" xr3:uid="{CFDC9C67-A40C-492B-9CB2-D60108483040}" uniqueName="15" name="Equipe" queryTableFieldId="15" dataDxfId="1642"/>
    <tableColumn id="17" xr3:uid="{9C4C010B-87D2-4C39-8121-6AA753037D74}" uniqueName="17" name="Gerente" queryTableFieldId="17" dataDxfId="1641"/>
    <tableColumn id="18" xr3:uid="{CD7511F7-C87A-4B5A-8DF1-56F7CCD96541}" uniqueName="18" name="@-Ativo" queryTableFieldId="18" dataDxfId="1640"/>
    <tableColumn id="19" xr3:uid="{1DBAFFDB-6E31-4BBD-9B6F-FCE168234EE6}" uniqueName="19" name="@-IV" queryTableFieldId="19" dataDxfId="1639"/>
    <tableColumn id="20" xr3:uid="{7213FEC9-54A0-4A4B-98B6-E2CF0D45182B}" uniqueName="20" name="Cota-BERINERT" queryTableFieldId="20" dataDxfId="1638"/>
    <tableColumn id="25" xr3:uid="{8530583B-77B5-49EB-90CF-7F7863909FFD}" uniqueName="25" name="Cota-BERIPLEX" queryTableFieldId="25" dataDxfId="1637"/>
    <tableColumn id="30" xr3:uid="{7DCB832F-0102-4D49-90BD-32619E3D6538}" uniqueName="30" name="Cota-HAEMO" queryTableFieldId="30" dataDxfId="1636"/>
    <tableColumn id="35" xr3:uid="{238EA9A9-07C4-4E91-BF20-4DBF3294C1B2}" uniqueName="35" name="Cota-HIZENTRA" queryTableFieldId="35" dataDxfId="1635"/>
    <tableColumn id="40" xr3:uid="{143E42C9-3EB4-438C-93F0-3963985129E8}" uniqueName="40" name="Cota-PRIVIGEN" queryTableFieldId="40" dataDxfId="1634"/>
    <tableColumn id="21" xr3:uid="{73877ECA-A37C-4297-BCFD-51BD06711631}" uniqueName="21" name="Demanda-BERINERT" queryTableFieldId="21" dataDxfId="1633"/>
    <tableColumn id="26" xr3:uid="{C39E59DF-41B2-46D3-9845-8D937EDBEB17}" uniqueName="26" name="Demanda-BERIPLEX" queryTableFieldId="26" dataDxfId="1632"/>
    <tableColumn id="31" xr3:uid="{1D10C1E7-A328-472E-94A0-334E13C6D14B}" uniqueName="31" name="Demanda-HAEMO" queryTableFieldId="31" dataDxfId="1631"/>
    <tableColumn id="36" xr3:uid="{8E55A4BC-3AD6-4A2C-A1C5-680671D3422E}" uniqueName="36" name="Demanda-HIZENTRA" queryTableFieldId="36" dataDxfId="1630"/>
    <tableColumn id="41" xr3:uid="{4AF16452-3166-4860-B598-1EC050446E17}" uniqueName="41" name="Demanda-PRIVIGEN" queryTableFieldId="41" dataDxfId="1629"/>
    <tableColumn id="22" xr3:uid="{11B8F7AB-54CB-4201-BB47-2A75A5DE845A}" uniqueName="22" name="Garantido-BERINERT" queryTableFieldId="22" dataDxfId="1628"/>
    <tableColumn id="27" xr3:uid="{BF0C77B6-C129-421F-839E-4D5F8D826D00}" uniqueName="27" name="Garantido-BERIPLEX" queryTableFieldId="27" dataDxfId="1627"/>
    <tableColumn id="32" xr3:uid="{03FF547D-55D9-491D-A598-854B1AAE6905}" uniqueName="32" name="Garantido-HAEMO" queryTableFieldId="32" dataDxfId="1626"/>
    <tableColumn id="37" xr3:uid="{3ACB1269-40F6-4573-878C-29A6C186A751}" uniqueName="37" name="Garantido-HIZENTRA" queryTableFieldId="37" dataDxfId="1625"/>
    <tableColumn id="42" xr3:uid="{9E28EA08-64D7-4877-BF87-8895571E3272}" uniqueName="42" name="Garantido-PRIVIGEN" queryTableFieldId="42" dataDxfId="1624"/>
    <tableColumn id="23" xr3:uid="{7303563C-3B9F-498A-9876-F84462438967}" uniqueName="23" name="Cobertura-BERINERT" queryTableFieldId="23" dataDxfId="1623" dataCellStyle="Porcentagem"/>
    <tableColumn id="28" xr3:uid="{FD6B839C-CEF4-4B0F-9F33-DFD29E255ECF}" uniqueName="28" name="Cobertura-BERIPLEX" queryTableFieldId="28" dataDxfId="1622" dataCellStyle="Porcentagem"/>
    <tableColumn id="33" xr3:uid="{925E1EC9-AFFB-47E3-82A7-FDB8E241C051}" uniqueName="33" name="Cobertura-HAEMO" queryTableFieldId="33" dataDxfId="1621" dataCellStyle="Porcentagem"/>
    <tableColumn id="38" xr3:uid="{3D0985D3-1B39-4A70-9CA0-B626972B3FB0}" uniqueName="38" name="Cobertura-HIZENTRA" queryTableFieldId="38" dataDxfId="1620" dataCellStyle="Porcentagem"/>
    <tableColumn id="43" xr3:uid="{2953A73D-AFCF-4622-9649-6E674F31D525}" uniqueName="43" name="Cobertura-PRIVIGEN" queryTableFieldId="43" dataDxfId="1619" dataCellStyle="Porcentagem"/>
    <tableColumn id="1" xr3:uid="{C82516A2-FB3D-40A1-820F-F8EE104C669E}" uniqueName="1" name="Peso-BERINERT" queryTableFieldId="55" dataDxfId="1618" dataCellStyle="Porcentagem"/>
    <tableColumn id="2" xr3:uid="{02BE1FFB-843D-4B9F-A7C4-B7487FF41A98}" uniqueName="2" name="Peso-BERIPLEX" queryTableFieldId="56" dataDxfId="1617" dataCellStyle="Porcentagem"/>
    <tableColumn id="6" xr3:uid="{1EBE5CD7-1696-4AB2-A334-7405EF9A7E4C}" uniqueName="6" name="Peso-HAEMO" queryTableFieldId="57" dataDxfId="1616" dataCellStyle="Porcentagem"/>
    <tableColumn id="7" xr3:uid="{74B8695F-37DD-4222-B729-6E520EA42556}" uniqueName="7" name="Peso-HIZENTRA" queryTableFieldId="58" dataDxfId="1615" dataCellStyle="Porcentagem"/>
    <tableColumn id="8" xr3:uid="{BC24B71C-8BBB-4D71-8BD1-C8AC32E8A15C}" uniqueName="8" name="Peso-PRIVIGEN" queryTableFieldId="59" dataDxfId="1614" dataCellStyle="Porcentagem"/>
    <tableColumn id="46" xr3:uid="{119600E8-6E42-4D32-B7E9-5FE899796E88}" uniqueName="46" name="Premio-BERINERT" queryTableFieldId="46" dataDxfId="1613">
      <calculatedColumnFormula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calculatedColumnFormula>
    </tableColumn>
    <tableColumn id="47" xr3:uid="{82F3202D-A41F-48DB-A693-5F571D1A7BD1}" uniqueName="47" name="Premio-BERIPLEX" queryTableFieldId="47" dataDxfId="1612">
      <calculatedColumnFormula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calculatedColumnFormula>
    </tableColumn>
    <tableColumn id="48" xr3:uid="{2BCB4A42-68E0-4BBF-84EB-746CB9018F28}" uniqueName="48" name="Premio-HAEMO" queryTableFieldId="48" dataDxfId="1611">
      <calculatedColumnFormula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calculatedColumnFormula>
    </tableColumn>
    <tableColumn id="49" xr3:uid="{FEB5A41B-61AD-4C0F-AC21-6804D09D307D}" uniqueName="49" name="Premio-HIZENTRA" queryTableFieldId="49" dataDxfId="1610">
      <calculatedColumnFormula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calculatedColumnFormula>
    </tableColumn>
    <tableColumn id="50" xr3:uid="{AD9F7D22-3BD6-470E-AE30-FB5EF7F1E85F}" uniqueName="50" name="Premio-PRIVIGEN" queryTableFieldId="50" dataDxfId="1609">
      <calculatedColumnFormula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calculatedColumnFormula>
    </tableColumn>
    <tableColumn id="9" xr3:uid="{B8D88914-1BA8-41E8-BCF5-AFDE1D4DC799}" uniqueName="9" name="Premio-Total" queryTableFieldId="80" dataDxfId="1608">
      <calculatedColumnFormula>SUM(VIEW_IV_2019_REP_CALCULO[[#This Row],[Premio-BERINERT]:[Premio-PRIVIGEN]])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6ABA3D-39BD-4387-9D46-BC6001A2778C}" name="VIEW_IV_2019_REP_CALCULO_TRI" displayName="VIEW_IV_2019_REP_CALCULO_TRI" ref="A5:AR85" tableType="queryTable" totalsRowShown="0" headerRowDxfId="1601" dataDxfId="1600">
  <autoFilter ref="A5:AR85" xr:uid="{C02A4E94-A8A2-461D-9ECE-FA9CB90B9C8B}"/>
  <tableColumns count="44">
    <tableColumn id="1" xr3:uid="{27E39DAF-5892-4624-9622-383300515A8C}" uniqueName="1" name="Ano-Fiscal" queryTableFieldId="1" dataDxfId="1599"/>
    <tableColumn id="3" xr3:uid="{AD6EEA50-AF90-4EB2-8702-8AA6650EB79D}" uniqueName="3" name="Tri-Fiscal" queryTableFieldId="3" dataDxfId="1598"/>
    <tableColumn id="4" xr3:uid="{C4AB793F-7617-452B-92F3-CECA6FE267DB}" uniqueName="4" name="#PK-Email" queryTableFieldId="4" dataDxfId="1597"/>
    <tableColumn id="5" xr3:uid="{363BFD4D-0257-4BEC-A72F-3E59D1559F54}" uniqueName="5" name="Nome" queryTableFieldId="5" dataDxfId="1596"/>
    <tableColumn id="6" xr3:uid="{9284E26E-C7BF-4C16-9D95-C29C5FD8BDD6}" uniqueName="6" name="Equipe" queryTableFieldId="6" dataDxfId="1595"/>
    <tableColumn id="7" xr3:uid="{165B439C-2081-4D51-8C1C-76823C326C7C}" uniqueName="7" name="Gerente" queryTableFieldId="7" dataDxfId="1594"/>
    <tableColumn id="8" xr3:uid="{1470084A-5D1C-4B21-84B9-DE6340E6B592}" uniqueName="8" name="@-Ativo" queryTableFieldId="8" dataDxfId="1593"/>
    <tableColumn id="9" xr3:uid="{30A8A2C4-2E21-4DF4-A92A-5A11DBEEB7F4}" uniqueName="9" name="@-IV" queryTableFieldId="9" dataDxfId="1592"/>
    <tableColumn id="10" xr3:uid="{583EFCD7-0F85-4925-9AF5-A9F9E4C8094E}" uniqueName="10" name="Cota-BERINERT" queryTableFieldId="10" dataDxfId="1591"/>
    <tableColumn id="11" xr3:uid="{1EAFFDFF-BB59-41A8-B56E-79187675C09D}" uniqueName="11" name="Cota-BERIPLEX" queryTableFieldId="11" dataDxfId="1590"/>
    <tableColumn id="12" xr3:uid="{CC92C638-4687-46F6-A4D1-1D1AB1F57B9C}" uniqueName="12" name="Cota-HAEMO" queryTableFieldId="12" dataDxfId="1589"/>
    <tableColumn id="13" xr3:uid="{6B80BC6E-BD2C-49F2-B789-CF8C82E08B08}" uniqueName="13" name="Cota-HIZENTRA" queryTableFieldId="13" dataDxfId="1588"/>
    <tableColumn id="14" xr3:uid="{BAF66581-2BED-4BF4-B866-F8AABE7C6342}" uniqueName="14" name="Cota-PRIVIGEN" queryTableFieldId="14" dataDxfId="1587"/>
    <tableColumn id="15" xr3:uid="{BE13A12A-410E-40BF-90C6-B106EA41B0BE}" uniqueName="15" name="Demanda-BERINERT" queryTableFieldId="15" dataDxfId="1586"/>
    <tableColumn id="16" xr3:uid="{45AB6449-C91A-4522-8C00-7F1FDD77938D}" uniqueName="16" name="Demanda-BERIPLEX" queryTableFieldId="16" dataDxfId="1585"/>
    <tableColumn id="17" xr3:uid="{6248E381-9680-4BFC-A9D8-454316A5F1AE}" uniqueName="17" name="Demanda-HAEMO" queryTableFieldId="17" dataDxfId="1584"/>
    <tableColumn id="18" xr3:uid="{60ED8C2E-C2F5-4A17-BF58-5925DAB6B636}" uniqueName="18" name="Demanda-HIZENTRA" queryTableFieldId="18" dataDxfId="1583"/>
    <tableColumn id="19" xr3:uid="{F46CBA18-08D6-4E28-90C5-4BBE6DAE7E71}" uniqueName="19" name="Demanda-PRIVIGEN" queryTableFieldId="19" dataDxfId="1582"/>
    <tableColumn id="30" xr3:uid="{39CD9BC8-CEB6-4CC9-A34A-AE80EE76A316}" uniqueName="30" name="Peso-BERINERT" queryTableFieldId="30" dataDxfId="1581"/>
    <tableColumn id="31" xr3:uid="{1954A8B7-D417-44FF-8EC6-DBD840C9874C}" uniqueName="31" name="Peso-BERIPLEX" queryTableFieldId="31" dataDxfId="1580"/>
    <tableColumn id="32" xr3:uid="{7BA88FD1-C786-4437-8AEC-172D491680F1}" uniqueName="32" name="Peso-HAEMO" queryTableFieldId="32" dataDxfId="1579"/>
    <tableColumn id="33" xr3:uid="{4525E74F-28E2-4E80-B64F-C410B8811B24}" uniqueName="33" name="Peso-HIZENTRA" queryTableFieldId="33" dataDxfId="1578"/>
    <tableColumn id="34" xr3:uid="{37ECFCBB-6EF6-4221-8F3E-256F124380A7}" uniqueName="34" name="Peso-PRIVIGEN" queryTableFieldId="34" dataDxfId="1577"/>
    <tableColumn id="35" xr3:uid="{6FF89C0A-E050-4EA4-BCC8-9C57E7938718}" uniqueName="35" name="Cobertura-BERINERT" queryTableFieldId="35" dataDxfId="1576">
      <calculatedColumnFormula>IFERROR(VIEW_IV_2019_REP_CALCULO_TRI[[#This Row],[Demanda-BERINERT]]/VIEW_IV_2019_REP_CALCULO_TRI[[#This Row],[Cota-BERINERT]],0)</calculatedColumnFormula>
    </tableColumn>
    <tableColumn id="36" xr3:uid="{85B06D80-BE47-4A48-8CEE-C046D84D64AF}" uniqueName="36" name="Cobertura-BERIPLEX" queryTableFieldId="36" dataDxfId="1575">
      <calculatedColumnFormula>IFERROR(VIEW_IV_2019_REP_CALCULO_TRI[[#This Row],[Demanda-BERIPLEX]]/VIEW_IV_2019_REP_CALCULO_TRI[[#This Row],[Cota-BERIPLEX]],0)</calculatedColumnFormula>
    </tableColumn>
    <tableColumn id="37" xr3:uid="{DC76D61C-2C1C-448F-A793-36F0E1D61186}" uniqueName="37" name="Cobertura-HAEMO" queryTableFieldId="37" dataDxfId="1574">
      <calculatedColumnFormula>IFERROR(VIEW_IV_2019_REP_CALCULO_TRI[[#This Row],[Demanda-HAEMO]]/VIEW_IV_2019_REP_CALCULO_TRI[[#This Row],[Cota-HAEMO]],0)</calculatedColumnFormula>
    </tableColumn>
    <tableColumn id="38" xr3:uid="{75FA5EB9-43FB-4CDC-A52B-3E2374C6FCCF}" uniqueName="38" name="Cobertura-HIZENTRA" queryTableFieldId="38" dataDxfId="1573">
      <calculatedColumnFormula>IFERROR(VIEW_IV_2019_REP_CALCULO_TRI[[#This Row],[Demanda-HIZENTRA]]/VIEW_IV_2019_REP_CALCULO_TRI[[#This Row],[Cota-HIZENTRA]],0)</calculatedColumnFormula>
    </tableColumn>
    <tableColumn id="39" xr3:uid="{43B9DDB8-7B10-4873-A9AC-8B4F88DC67A0}" uniqueName="39" name="Cobertura-PRIVIGEN" queryTableFieldId="39" dataDxfId="1572">
      <calculatedColumnFormula>IFERROR(VIEW_IV_2019_REP_CALCULO_TRI[[#This Row],[Demanda-PRIVIGEN]]/VIEW_IV_2019_REP_CALCULO_TRI[[#This Row],[Cota-PRIVIGEN]],0)</calculatedColumnFormula>
    </tableColumn>
    <tableColumn id="40" xr3:uid="{DD23AD20-13DF-47C4-874B-10DD4328614A}" uniqueName="40" name="Premio-BERINERT" queryTableFieldId="40" dataDxfId="1571">
      <calculatedColumnFormula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calculatedColumnFormula>
    </tableColumn>
    <tableColumn id="41" xr3:uid="{D1ED98A9-86B8-4705-91D3-0D79AF9ED764}" uniqueName="41" name="Premio-BERIPLEX" queryTableFieldId="41" dataDxfId="1570">
      <calculatedColumnFormula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calculatedColumnFormula>
    </tableColumn>
    <tableColumn id="42" xr3:uid="{529A2348-58A5-4DD2-A20E-FFB0B8A59152}" uniqueName="42" name="Premio-HAEMO" queryTableFieldId="42" dataDxfId="1569">
      <calculatedColumnFormula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calculatedColumnFormula>
    </tableColumn>
    <tableColumn id="43" xr3:uid="{E606E51E-6211-41C2-9DEE-12CF1310DCA8}" uniqueName="43" name="Premio-HIZENTRA" queryTableFieldId="43" dataDxfId="1568">
      <calculatedColumnFormula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calculatedColumnFormula>
    </tableColumn>
    <tableColumn id="44" xr3:uid="{578AEBBC-ED57-4647-A15A-FC1F9A76C3C4}" uniqueName="44" name="Premio-PRIVIGEN" queryTableFieldId="44" dataDxfId="1567">
      <calculatedColumnFormula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calculatedColumnFormula>
    </tableColumn>
    <tableColumn id="45" xr3:uid="{21D8EA90-29D4-42BB-8D08-5B278850F770}" uniqueName="45" name="Recebido-BERINERT" queryTableFieldId="45" dataDxfId="1566">
      <calculatedColumnFormula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6" xr3:uid="{D61C4D19-265B-4795-A80E-B72629592A9B}" uniqueName="46" name="Recebido-BERIPLEX" queryTableFieldId="46" dataDxfId="1565">
      <calculatedColumnFormula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7" xr3:uid="{C02629C5-DD26-41FB-9759-6D04A9712628}" uniqueName="47" name="Recebido-HAEMO" queryTableFieldId="47" dataDxfId="1564">
      <calculatedColumnFormula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8" xr3:uid="{05254220-A4E8-416E-A0F7-BECE05FB73CD}" uniqueName="48" name="Recebido-HIZENTRA" queryTableFieldId="48" dataDxfId="1563">
      <calculatedColumnFormula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49" xr3:uid="{47026DEA-1CC6-4867-A300-2B2F25B4B9CA}" uniqueName="49" name="Recebido-PRIVIGEN" queryTableFieldId="49" dataDxfId="1562">
      <calculatedColumnFormula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calculatedColumnFormula>
    </tableColumn>
    <tableColumn id="50" xr3:uid="{4053E07B-96DB-42B1-8826-C47C4E7766C2}" uniqueName="50" name="Recuperavel-BERINERT" queryTableFieldId="50" dataDxfId="1561">
      <calculatedColumnFormula>IF((VIEW_IV_2019_REP_CALCULO_TRI[[#This Row],[Premio-BERINERT]]-VIEW_IV_2019_REP_CALCULO_TRI[[#This Row],[Recebido-BERINERT]])&lt;=0,0,VIEW_IV_2019_REP_CALCULO_TRI[[#This Row],[Premio-BERINERT]]-VIEW_IV_2019_REP_CALCULO_TRI[[#This Row],[Recebido-BERINERT]])</calculatedColumnFormula>
    </tableColumn>
    <tableColumn id="51" xr3:uid="{BACFD548-CAA9-47E3-AE70-CA3E6A29ECE6}" uniqueName="51" name="Recuperavel-BERIPLEX" queryTableFieldId="51" dataDxfId="1560">
      <calculatedColumnFormula>IF((VIEW_IV_2019_REP_CALCULO_TRI[[#This Row],[Premio-BERIPLEX]]-VIEW_IV_2019_REP_CALCULO_TRI[[#This Row],[Recebido-BERIPLEX]])&lt;=0,0,VIEW_IV_2019_REP_CALCULO_TRI[[#This Row],[Premio-BERIPLEX]]-VIEW_IV_2019_REP_CALCULO_TRI[[#This Row],[Recebido-BERIPLEX]])</calculatedColumnFormula>
    </tableColumn>
    <tableColumn id="52" xr3:uid="{FF84B6F7-020B-4C01-9593-175973B0F0D4}" uniqueName="52" name="Recuperavel-HAEMO" queryTableFieldId="52" dataDxfId="1559">
      <calculatedColumnFormula>IF((VIEW_IV_2019_REP_CALCULO_TRI[[#This Row],[Premio-HAEMO]]-VIEW_IV_2019_REP_CALCULO_TRI[[#This Row],[Recebido-HAEMO]])&lt;=0,0,VIEW_IV_2019_REP_CALCULO_TRI[[#This Row],[Premio-HAEMO]]-VIEW_IV_2019_REP_CALCULO_TRI[[#This Row],[Recebido-HAEMO]])</calculatedColumnFormula>
    </tableColumn>
    <tableColumn id="53" xr3:uid="{2052AB26-7755-4C9B-8D35-9CBA1316B158}" uniqueName="53" name="Recuperavel-HIZENTRA" queryTableFieldId="53" dataDxfId="1558">
      <calculatedColumnFormula>IF((VIEW_IV_2019_REP_CALCULO_TRI[[#This Row],[Premio-HIZENTRA]]-VIEW_IV_2019_REP_CALCULO_TRI[[#This Row],[Recebido-HIZENTRA]])&lt;=0,0,VIEW_IV_2019_REP_CALCULO_TRI[[#This Row],[Premio-HIZENTRA]]-VIEW_IV_2019_REP_CALCULO_TRI[[#This Row],[Recebido-HIZENTRA]])</calculatedColumnFormula>
    </tableColumn>
    <tableColumn id="54" xr3:uid="{B0A68570-D5AE-4785-8CB5-CF6392ADF06B}" uniqueName="54" name="Recuperavel-PRIVIGEN" queryTableFieldId="54" dataDxfId="1557">
      <calculatedColumnFormula>IF((VIEW_IV_2019_REP_CALCULO_TRI[[#This Row],[Premio-PRIVIGEN]]-VIEW_IV_2019_REP_CALCULO_TRI[[#This Row],[Recebido-PRIVIGEN]])&lt;=0,0,VIEW_IV_2019_REP_CALCULO_TRI[[#This Row],[Premio-PRIVIGEN]]-VIEW_IV_2019_REP_CALCULO_TRI[[#This Row],[Recebido-PRIVIGEN]])</calculatedColumnFormula>
    </tableColumn>
    <tableColumn id="2" xr3:uid="{C9833445-BE2D-4C4E-8E06-233403E4AECA}" uniqueName="2" name="Recuperavel-Total" queryTableFieldId="55" dataDxfId="1556">
      <calculatedColumnFormula>SUM(VIEW_IV_2019_REP_CALCULO_TRI[[#This Row],[Recuperavel-BERINERT]:[Recuperavel-PRIVIGEN]])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CDB9C5A-9299-430A-937A-0CB1B09FF5D6}" name="VIEW_IV_2019_VISITAS_REP" displayName="VIEW_IV_2019_VISITAS_REP" ref="A5:R119" tableType="queryTable" totalsRowShown="0" headerRowDxfId="1553" dataDxfId="1552">
  <autoFilter ref="A5:R119" xr:uid="{86069856-EFFE-49ED-A403-C02D314AB3A5}"/>
  <tableColumns count="18">
    <tableColumn id="3" xr3:uid="{B8DE7AF9-DDD7-494C-AAB6-AB68261A6DD0}" uniqueName="3" name="Ano-Fiscal" queryTableFieldId="3" dataDxfId="1551"/>
    <tableColumn id="4" xr3:uid="{B349D56A-10B6-4CDF-B59F-CA3236063246}" uniqueName="4" name="Mes-Fiscal" queryTableFieldId="4" dataDxfId="1550"/>
    <tableColumn id="5" xr3:uid="{94B753CD-7EC2-494B-BB0D-DCCAD8FC97A1}" uniqueName="5" name="Tri-Fiscal" queryTableFieldId="5" dataDxfId="1549"/>
    <tableColumn id="11" xr3:uid="{14071676-1EB4-47DB-ADE9-6744904F237B}" uniqueName="11" name="#PK-Email" queryTableFieldId="11" dataDxfId="1548"/>
    <tableColumn id="12" xr3:uid="{1F17B03A-22BD-482B-A0D1-2BD48E4CC35B}" uniqueName="12" name="Nome" queryTableFieldId="12" dataDxfId="1547"/>
    <tableColumn id="16" xr3:uid="{70B7B329-2747-4CB4-AA01-8FCBC14D8D50}" uniqueName="16" name="Equipe" queryTableFieldId="16" dataDxfId="1546"/>
    <tableColumn id="17" xr3:uid="{8107708F-72C2-4A53-A671-AF023E7DCA10}" uniqueName="17" name="@-Ativo" queryTableFieldId="17" dataDxfId="1545"/>
    <tableColumn id="18" xr3:uid="{4E4B9311-7C88-496F-ABD2-262F48507EB0}" uniqueName="18" name="@-IV" queryTableFieldId="18" dataDxfId="1544"/>
    <tableColumn id="20" xr3:uid="{9CC8F1F5-3418-492D-9171-3310A07CAB50}" uniqueName="20" name="Gerente" queryTableFieldId="20" dataDxfId="1543"/>
    <tableColumn id="29" xr3:uid="{8C5069F4-7140-4541-BA7F-4B4DB20DDC0A}" uniqueName="29" name="Garantido" queryTableFieldId="29" dataDxfId="1542"/>
    <tableColumn id="21" xr3:uid="{724971C4-5237-4BFF-AAFC-660C0F04B832}" uniqueName="21" name="Dias-Uteis" queryTableFieldId="21" dataDxfId="1541"/>
    <tableColumn id="22" xr3:uid="{EA00159A-F4EA-46A9-9921-4E1AC4194B29}" uniqueName="22" name="Dias-Eventos" queryTableFieldId="22" dataDxfId="1540"/>
    <tableColumn id="23" xr3:uid="{C4014CA4-412F-458F-9440-457F1C886A9C}" uniqueName="23" name="Dias-Visita" queryTableFieldId="23" dataDxfId="1539"/>
    <tableColumn id="24" xr3:uid="{2D538F85-8282-4C45-B8AE-BCDBE01B83EB}" uniqueName="24" name="Visitas-Dia" queryTableFieldId="24" dataDxfId="1538"/>
    <tableColumn id="25" xr3:uid="{09F49035-D94D-4A70-BD7A-86B797EF3E03}" uniqueName="25" name="Visitas-Realizar" queryTableFieldId="25" dataDxfId="1537"/>
    <tableColumn id="26" xr3:uid="{AFEB9A24-3B2A-41AF-B30F-C20AA44840F5}" uniqueName="26" name="Visitas-Realizadas" queryTableFieldId="26" dataDxfId="1536"/>
    <tableColumn id="28" xr3:uid="{4B867CAE-56EA-4D9C-B5CD-1CEE7F3C9BAB}" uniqueName="28" name="Visitas-Cobertura" queryTableFieldId="28" dataDxfId="1535"/>
    <tableColumn id="30" xr3:uid="{BA588289-D1C6-41DF-83EA-50B4ACF55EDA}" uniqueName="30" name="Visitas-Premio" queryTableFieldId="32" dataDxfId="1534">
      <calculatedColumnFormula>(IF(VIEW_IV_2019_VISITAS_REP[[#This Row],[Visitas-Cobertura]]&lt;Cob_Min_REP,0,IF(VIEW_IV_2019_VISITAS_REP[[#This Row],[Visitas-Cobertura]]&gt;Cob_100_REP,Vlr_100_REP,VLOOKUP(VIEW_IV_2019_VISITAS_REP[[#This Row],[Visitas-Cobertura]],Tabela_Valores_REP,2,1)))*R$1)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0C130E-C44B-4821-AA50-5B0D94E3D5D2}" name="VIEW_IV_2019_DEMANDA_CONFIG_PESOS" displayName="VIEW_IV_2019_DEMANDA_CONFIG_PESOS" ref="A5:O45" tableType="queryTable" totalsRowShown="0" headerRowDxfId="1524" dataDxfId="1523">
  <autoFilter ref="A5:O45" xr:uid="{79E14787-E8FA-4787-8A3D-92E6D5A25E31}"/>
  <tableColumns count="15">
    <tableColumn id="1" xr3:uid="{0C849593-DABA-4D2A-A67E-3F6DCF91FD14}" uniqueName="1" name="#PK-Email" queryTableFieldId="1" dataDxfId="1522"/>
    <tableColumn id="2" xr3:uid="{86718CB9-A92D-4D66-B27D-851C772A9AFB}" uniqueName="2" name="Nome" queryTableFieldId="2" dataDxfId="1521"/>
    <tableColumn id="3" xr3:uid="{8D6325CF-33FC-45C3-BD07-6FE9EC7BC49D}" uniqueName="3" name="Perfil" queryTableFieldId="3" dataDxfId="1520"/>
    <tableColumn id="4" xr3:uid="{B0FFFBEF-4572-4CD4-A50B-57E7FE42EAED}" uniqueName="4" name="#FK-Cod-Equipe" queryTableFieldId="4" dataDxfId="1519"/>
    <tableColumn id="5" xr3:uid="{B88EC9D3-3553-400A-BF05-34E1E68A12EB}" uniqueName="5" name="Equipe" queryTableFieldId="5" dataDxfId="1518"/>
    <tableColumn id="13" xr3:uid="{043A9079-91BF-4350-BC59-9D77C9B61F2A}" uniqueName="13" name="#FK-Email-Gerente" queryTableFieldId="13" dataDxfId="1517"/>
    <tableColumn id="14" xr3:uid="{14D93221-9EDE-4AC2-9DE5-5DE1134812D9}" uniqueName="14" name="Gerente" queryTableFieldId="14" dataDxfId="1516"/>
    <tableColumn id="6" xr3:uid="{EF78C30A-861A-4A30-9548-7E442E67F6A6}" uniqueName="6" name="@-Ativo" queryTableFieldId="6" dataDxfId="1515"/>
    <tableColumn id="7" xr3:uid="{E7CB5719-919F-43E8-8BF3-93764BAD9AFB}" uniqueName="7" name="@-IV" queryTableFieldId="7" dataDxfId="1514"/>
    <tableColumn id="8" xr3:uid="{87C961A9-E7F8-4402-8AE7-82242749EB88}" uniqueName="8" name="%-BERINERT" queryTableFieldId="8" dataDxfId="1513" dataCellStyle="Porcentagem"/>
    <tableColumn id="9" xr3:uid="{C0BB2E0E-8BB0-42A5-A3DE-58B694B95BC4}" uniqueName="9" name="%-BERIPLEX" queryTableFieldId="9" dataDxfId="1512" dataCellStyle="Porcentagem"/>
    <tableColumn id="10" xr3:uid="{E5308EFC-22C3-4EF8-97C0-9026C29F2166}" uniqueName="10" name="%-HAEMO" queryTableFieldId="10" dataDxfId="1511" dataCellStyle="Porcentagem"/>
    <tableColumn id="11" xr3:uid="{33A7219B-1DFD-4CD7-85BB-7A03F2B8E219}" uniqueName="11" name="%-HIZENTRA" queryTableFieldId="11" dataDxfId="1510" dataCellStyle="Porcentagem"/>
    <tableColumn id="12" xr3:uid="{937874CB-C610-4C51-83A6-65BE7DD6C006}" uniqueName="12" name="%-PRIVIGEN" queryTableFieldId="12" dataDxfId="1509" dataCellStyle="Porcentagem"/>
    <tableColumn id="15" xr3:uid="{AD329EEB-BB5D-4F3B-AD7D-A52641D39FF9}" uniqueName="15" name="@-Configurado" queryTableFieldId="17" dataDxfId="1508" dataCellStyle="Porcentagem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35FC83-C88D-424D-BCA3-44EAC3F4A050}" name="VIEW_IV_2019_DEMANDA_SETORIZADA_REP" displayName="VIEW_IV_2019_DEMANDA_SETORIZADA_REP" ref="A5:S4416" tableType="queryTable" totalsRowShown="0" headerRowDxfId="1507" dataDxfId="1506">
  <autoFilter ref="A5:S4416" xr:uid="{31BE928C-27BF-4D10-ABEE-CC8E87A021DF}">
    <filterColumn colId="1">
      <filters>
        <filter val="05-Nov"/>
      </filters>
    </filterColumn>
    <filterColumn colId="9">
      <filters>
        <filter val="michele.moraes@cslbehring.com"/>
      </filters>
    </filterColumn>
    <filterColumn colId="18">
      <filters>
        <filter val="10"/>
        <filter val="100"/>
        <filter val="1000"/>
        <filter val="105"/>
        <filter val="1115"/>
        <filter val="115"/>
        <filter val="120"/>
        <filter val="1200"/>
        <filter val="1250"/>
        <filter val="130"/>
        <filter val="140"/>
        <filter val="14000"/>
        <filter val="145"/>
        <filter val="1485"/>
        <filter val="15"/>
        <filter val="1500"/>
        <filter val="160"/>
        <filter val="165"/>
        <filter val="170"/>
        <filter val="175"/>
        <filter val="1755"/>
        <filter val="180"/>
        <filter val="1840"/>
        <filter val="185"/>
        <filter val="190"/>
        <filter val="195"/>
        <filter val="20"/>
        <filter val="200"/>
        <filter val="205"/>
        <filter val="210"/>
        <filter val="215"/>
        <filter val="225"/>
        <filter val="235"/>
        <filter val="240"/>
        <filter val="245"/>
        <filter val="25"/>
        <filter val="250"/>
        <filter val="255"/>
        <filter val="265"/>
        <filter val="28"/>
        <filter val="280"/>
        <filter val="285"/>
        <filter val="290"/>
        <filter val="30"/>
        <filter val="300"/>
        <filter val="310"/>
        <filter val="315"/>
        <filter val="325"/>
        <filter val="330"/>
        <filter val="35"/>
        <filter val="350"/>
        <filter val="3500"/>
        <filter val="355"/>
        <filter val="375"/>
        <filter val="390"/>
        <filter val="40"/>
        <filter val="4000"/>
        <filter val="405"/>
        <filter val="415"/>
        <filter val="435"/>
        <filter val="4350"/>
        <filter val="45"/>
        <filter val="450"/>
        <filter val="4500"/>
        <filter val="50"/>
        <filter val="500"/>
        <filter val="5000"/>
        <filter val="515"/>
        <filter val="520"/>
        <filter val="55"/>
        <filter val="560"/>
        <filter val="60"/>
        <filter val="600"/>
        <filter val="630"/>
        <filter val="645"/>
        <filter val="660"/>
        <filter val="665"/>
        <filter val="70"/>
        <filter val="75"/>
        <filter val="750"/>
        <filter val="765"/>
        <filter val="80"/>
        <filter val="800"/>
        <filter val="90"/>
      </filters>
    </filterColumn>
  </autoFilter>
  <tableColumns count="19">
    <tableColumn id="29" xr3:uid="{2416DEEE-17FC-404D-81DC-260E8DB50433}" uniqueName="29" name="Ano-Fiscal" queryTableFieldId="29" dataDxfId="1505"/>
    <tableColumn id="30" xr3:uid="{4438666A-48FD-4F14-9AF3-991BE4E52884}" uniqueName="30" name="Mes-Fiscal" queryTableFieldId="30" dataDxfId="1504"/>
    <tableColumn id="31" xr3:uid="{FC891D70-5BEA-4E19-9D3F-D8BCB4902F11}" uniqueName="31" name="Tri-Fiscal" queryTableFieldId="31" dataDxfId="1503"/>
    <tableColumn id="1" xr3:uid="{EA702922-595C-4964-A359-D34A318067BB}" uniqueName="1" name="#FK-CNPJ" queryTableFieldId="1" dataDxfId="1502"/>
    <tableColumn id="2" xr3:uid="{89D05978-6016-40F9-BC27-1450CC665E8C}" uniqueName="2" name="Estabelecimento" queryTableFieldId="2" dataDxfId="1501"/>
    <tableColumn id="3" xr3:uid="{80266867-60CC-46B1-B180-A16DEAD442BE}" uniqueName="3" name="Cidade" queryTableFieldId="3" dataDxfId="1500"/>
    <tableColumn id="4" xr3:uid="{1CAC6EBF-56CE-4781-9FA1-AA6DAAF80C80}" uniqueName="4" name="UF" queryTableFieldId="4" dataDxfId="1499"/>
    <tableColumn id="5" xr3:uid="{9C351A71-2D2A-494F-99B4-6846C201F6D1}" uniqueName="5" name="Status" queryTableFieldId="5" dataDxfId="1498"/>
    <tableColumn id="6" xr3:uid="{BF20CE8F-11BC-478E-AFF7-01D4D33F54F7}" uniqueName="6" name="Qtd_REPS" queryTableFieldId="6" dataDxfId="1497"/>
    <tableColumn id="7" xr3:uid="{A4C1788C-77C7-4243-B68B-312674DD5D87}" uniqueName="7" name="Email-Representante" queryTableFieldId="7" dataDxfId="1496"/>
    <tableColumn id="8" xr3:uid="{4111252C-367F-4DDE-8479-DA65DEE7392A}" uniqueName="8" name="Representante" queryTableFieldId="8" dataDxfId="1495"/>
    <tableColumn id="11" xr3:uid="{B7494D48-F852-4B9D-88B0-9FBDEE4ACC54}" uniqueName="11" name="Equipe" queryTableFieldId="11" dataDxfId="1494"/>
    <tableColumn id="16" xr3:uid="{43AE88A0-2F1D-4C70-BD61-294DA6544087}" uniqueName="16" name="#FK-Email-Gerente" queryTableFieldId="50" dataDxfId="1493"/>
    <tableColumn id="13" xr3:uid="{976345D5-C7CD-433C-80C0-9AF6C7F857D4}" uniqueName="13" name="Gerente" queryTableFieldId="13" dataDxfId="1492"/>
    <tableColumn id="9" xr3:uid="{00192C16-470F-45BE-8225-939DF67904A6}" uniqueName="9" name="Demanda.BERINERT" queryTableFieldId="45" dataDxfId="1491"/>
    <tableColumn id="10" xr3:uid="{220CF4CA-6905-4A5F-B3D7-5BC0E7E007D3}" uniqueName="10" name="Demanda.BERIPLEX" queryTableFieldId="46" dataDxfId="1490"/>
    <tableColumn id="12" xr3:uid="{0818AEEC-A95F-4C60-B0BF-620850AEFE0E}" uniqueName="12" name="Demanda.HAEMO" queryTableFieldId="47" dataDxfId="1489"/>
    <tableColumn id="14" xr3:uid="{35B6A27E-F222-4E62-A577-3DA96D54EEF1}" uniqueName="14" name="Demanda.HIZENTRA" queryTableFieldId="48" dataDxfId="1488"/>
    <tableColumn id="15" xr3:uid="{4DF2AEC6-077E-4BA9-8D02-07DCBC5D44EE}" uniqueName="15" name="Demanda.PRIVIGEN" queryTableFieldId="49" dataDxfId="148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A88EFDE-00E7-4B1D-9D4F-7F3DEBBB0192}" name="VIEW_IV_2019_GR_COTA_DEMANDA_TRI" displayName="VIEW_IV_2019_GR_COTA_DEMANDA_TRI" ref="A5:AJ17" tableType="queryTable" totalsRowShown="0" headerRowDxfId="1482" dataDxfId="1481">
  <autoFilter ref="A5:AJ17" xr:uid="{DF750115-0DDD-46AC-A2E4-AC19B19B98D4}"/>
  <tableColumns count="36">
    <tableColumn id="1" xr3:uid="{3D6532BB-B8FA-40FD-934A-AB9D3F9B152D}" uniqueName="1" name="Tipo" queryTableFieldId="1" dataDxfId="1480"/>
    <tableColumn id="2" xr3:uid="{FAD34036-CFDE-44FF-B061-341C993EA6E8}" uniqueName="2" name="Ano-Fiscal" queryTableFieldId="2" dataDxfId="1479"/>
    <tableColumn id="25" xr3:uid="{3B4C8D73-1F8E-4AE9-9953-27FE6BF0BA16}" uniqueName="25" name="Tri-Fiscal" queryTableFieldId="25" dataDxfId="1478"/>
    <tableColumn id="3" xr3:uid="{86B9920A-CA9C-43FA-B14B-A277B66F8640}" uniqueName="3" name="#FK-Email-Gerente" queryTableFieldId="3" dataDxfId="1477"/>
    <tableColumn id="4" xr3:uid="{72E3A406-F4C8-49F9-A5AB-85C7C02D1C0D}" uniqueName="4" name="Gerente" queryTableFieldId="4" dataDxfId="1476"/>
    <tableColumn id="5" xr3:uid="{82400CCC-ED23-4E67-AD1D-438C90589862}" uniqueName="5" name="Cota.BERINERT" queryTableFieldId="5" dataDxfId="1475"/>
    <tableColumn id="6" xr3:uid="{15493040-3DDB-4C18-8680-7FCF7BFEC89F}" uniqueName="6" name="Cota.BERIPLEX" queryTableFieldId="6" dataDxfId="1474"/>
    <tableColumn id="7" xr3:uid="{9D54B16B-1E40-4563-B6DD-3EB88EE231EA}" uniqueName="7" name="Cota.HAEMO" queryTableFieldId="7" dataDxfId="1473"/>
    <tableColumn id="8" xr3:uid="{6616005D-B902-4809-AAEE-F25D2A3F2BD8}" uniqueName="8" name="Cota.HIZENTRA" queryTableFieldId="8" dataDxfId="1472"/>
    <tableColumn id="9" xr3:uid="{80F03879-619F-40CD-94D9-23D44FE19874}" uniqueName="9" name="Cota.PRIVIGEN" queryTableFieldId="9" dataDxfId="1471"/>
    <tableColumn id="10" xr3:uid="{9B438A81-F554-4130-8465-BB5570F37AF9}" uniqueName="10" name="Demanda.BERINERT" queryTableFieldId="10" dataDxfId="1470"/>
    <tableColumn id="11" xr3:uid="{B01E72A8-75F0-4093-8E6B-52B7A6688B59}" uniqueName="11" name="Demanda.BERIPLEX" queryTableFieldId="11" dataDxfId="1469"/>
    <tableColumn id="12" xr3:uid="{2F298F46-6720-42BB-8919-1C6EB31105FF}" uniqueName="12" name="Demanda.HAEMO" queryTableFieldId="12" dataDxfId="1468"/>
    <tableColumn id="13" xr3:uid="{12D3C77F-EE91-47B4-9206-C25A90A8D379}" uniqueName="13" name="Demanda.HIZENTRA" queryTableFieldId="13" dataDxfId="1467"/>
    <tableColumn id="14" xr3:uid="{69EC8A69-50F5-47DD-B1EA-3DE29E281478}" uniqueName="14" name="Demanda.PRIVIGEN" queryTableFieldId="14" dataDxfId="1466"/>
    <tableColumn id="15" xr3:uid="{E6137806-E27F-4B36-AFE4-33C9DCEEB32A}" uniqueName="15" name="Cobertura.BERINERT" queryTableFieldId="15" dataDxfId="1465">
      <calculatedColumnFormula>IFERROR(VIEW_IV_2019_GR_COTA_DEMANDA_TRI[[#This Row],[Demanda.BERINERT]]/VIEW_IV_2019_GR_COTA_DEMANDA_TRI[[#This Row],[Cota.BERINERT]],0)</calculatedColumnFormula>
    </tableColumn>
    <tableColumn id="16" xr3:uid="{D477B516-AF1F-4551-9F3F-3770C67E7CBD}" uniqueName="16" name="Cobertura.BERIPLEX" queryTableFieldId="16" dataDxfId="1464">
      <calculatedColumnFormula>IFERROR(VIEW_IV_2019_GR_COTA_DEMANDA_TRI[[#This Row],[Demanda.BERIPLEX]]/VIEW_IV_2019_GR_COTA_DEMANDA_TRI[[#This Row],[Cota.BERIPLEX]],0)</calculatedColumnFormula>
    </tableColumn>
    <tableColumn id="17" xr3:uid="{AFB30724-B486-41B3-99FF-D138B6931030}" uniqueName="17" name="Cobertura.HAEMO" queryTableFieldId="17" dataDxfId="1463">
      <calculatedColumnFormula>IFERROR(VIEW_IV_2019_GR_COTA_DEMANDA_TRI[[#This Row],[Demanda.HAEMO]]/VIEW_IV_2019_GR_COTA_DEMANDA_TRI[[#This Row],[Cota.HAEMO]],0)</calculatedColumnFormula>
    </tableColumn>
    <tableColumn id="18" xr3:uid="{7D4E9923-92EC-49CE-84DE-679B170E97B5}" uniqueName="18" name="Cobertura.HIZENTRA" queryTableFieldId="18" dataDxfId="1462">
      <calculatedColumnFormula>IFERROR(VIEW_IV_2019_GR_COTA_DEMANDA_TRI[[#This Row],[Demanda.HIZENTRA]]/VIEW_IV_2019_GR_COTA_DEMANDA_TRI[[#This Row],[Cota.HIZENTRA]],0)</calculatedColumnFormula>
    </tableColumn>
    <tableColumn id="19" xr3:uid="{37D3A400-17A1-4359-BF05-74C0BAA5872C}" uniqueName="19" name="Cobertura.PRIVIGEN" queryTableFieldId="19" dataDxfId="1461">
      <calculatedColumnFormula>IFERROR(VIEW_IV_2019_GR_COTA_DEMANDA_TRI[[#This Row],[Demanda.PRIVIGEN]]/VIEW_IV_2019_GR_COTA_DEMANDA_TRI[[#This Row],[Cota.PRIVIGEN]],0)</calculatedColumnFormula>
    </tableColumn>
    <tableColumn id="20" xr3:uid="{FADFE7C7-5D15-4E3F-AB5B-381052D0057F}" uniqueName="20" name="Premio.BERINERT" queryTableFieldId="20" dataDxfId="1460">
      <calculatedColumnFormula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calculatedColumnFormula>
    </tableColumn>
    <tableColumn id="21" xr3:uid="{463E8598-8E63-4126-997A-B7F262084C96}" uniqueName="21" name="Premio.BERIPLEX" queryTableFieldId="21" dataDxfId="1459">
      <calculatedColumnFormula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calculatedColumnFormula>
    </tableColumn>
    <tableColumn id="22" xr3:uid="{9A8C6B08-7E93-4E11-BCEC-AD1F146ECB97}" uniqueName="22" name="Premio.HAEMO" queryTableFieldId="22" dataDxfId="1458">
      <calculatedColumnFormula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calculatedColumnFormula>
    </tableColumn>
    <tableColumn id="23" xr3:uid="{EEEDBE5A-0704-4E5D-88D0-B6EF4ACE3B85}" uniqueName="23" name="Premio.HIZENTRA" queryTableFieldId="23" dataDxfId="1457">
      <calculatedColumnFormula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calculatedColumnFormula>
    </tableColumn>
    <tableColumn id="24" xr3:uid="{2408BA53-C797-41C0-83BC-5A07A62BC40C}" uniqueName="24" name="Premio.PRIVIGEN" queryTableFieldId="24" dataDxfId="1456">
      <calculatedColumnFormula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calculatedColumnFormula>
    </tableColumn>
    <tableColumn id="26" xr3:uid="{B65E1AA9-E7C4-4B35-8492-1213ED46BA8C}" uniqueName="26" name="Recebido.BERINERT" queryTableFieldId="27" dataDxfId="1455">
      <calculatedColumnFormula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7" xr3:uid="{6FDA2A35-4EB8-4C0F-B378-51F5DB398F8D}" uniqueName="27" name="Recebido.BERIPLEX" queryTableFieldId="28" dataDxfId="1454">
      <calculatedColumnFormula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8" xr3:uid="{AC49A198-508C-4F42-8DAB-A3FF0347E76E}" uniqueName="28" name="Recebido.HAEMO" queryTableFieldId="29" dataDxfId="1453">
      <calculatedColumnFormula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29" xr3:uid="{6AE32934-F4A3-4017-B5B8-ECF5A2742570}" uniqueName="29" name="Recebido.HIZENTRA" queryTableFieldId="30" dataDxfId="1452">
      <calculatedColumnFormula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30" xr3:uid="{4098CA1D-C0B3-4085-82AA-7C8B7FCB65A1}" uniqueName="30" name="Recebido.PRIVIGEN" queryTableFieldId="31" dataDxfId="1451">
      <calculatedColumnFormula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calculatedColumnFormula>
    </tableColumn>
    <tableColumn id="31" xr3:uid="{2F45DF78-D3FA-404A-BBB9-1BF38882565E}" uniqueName="31" name="Recuperavel.BERINERT" queryTableFieldId="32" dataDxfId="1450">
      <calculatedColumnFormula>IF(VIEW_IV_2019_GR_COTA_DEMANDA_TRI[[#This Row],[Premio.BERINERT]]-VIEW_IV_2019_GR_COTA_DEMANDA_TRI[[#This Row],[Recebido.BERINERT]]&lt;=0,0,VIEW_IV_2019_GR_COTA_DEMANDA_TRI[[#This Row],[Premio.BERINERT]]-VIEW_IV_2019_GR_COTA_DEMANDA_TRI[[#This Row],[Recebido.BERINERT]])</calculatedColumnFormula>
    </tableColumn>
    <tableColumn id="32" xr3:uid="{78A4FCDB-7395-4B1B-BEA0-963D60A2D3B9}" uniqueName="32" name="Recuperavel.BERIPLEX" queryTableFieldId="33" dataDxfId="1449">
      <calculatedColumnFormula>IF(VIEW_IV_2019_GR_COTA_DEMANDA_TRI[[#This Row],[Premio.BERIPLEX]]-VIEW_IV_2019_GR_COTA_DEMANDA_TRI[[#This Row],[Recebido.BERIPLEX]]&lt;=0,0,VIEW_IV_2019_GR_COTA_DEMANDA_TRI[[#This Row],[Premio.BERIPLEX]]-VIEW_IV_2019_GR_COTA_DEMANDA_TRI[[#This Row],[Recebido.BERIPLEX]])</calculatedColumnFormula>
    </tableColumn>
    <tableColumn id="33" xr3:uid="{C3194485-2FAA-4252-901A-9624476388B6}" uniqueName="33" name="Recuperavel.HAEMO" queryTableFieldId="34" dataDxfId="1448">
      <calculatedColumnFormula>IF(VIEW_IV_2019_GR_COTA_DEMANDA_TRI[[#This Row],[Premio.HAEMO]]-VIEW_IV_2019_GR_COTA_DEMANDA_TRI[[#This Row],[Recebido.HAEMO]]&lt;=0,0,VIEW_IV_2019_GR_COTA_DEMANDA_TRI[[#This Row],[Premio.HAEMO]]-VIEW_IV_2019_GR_COTA_DEMANDA_TRI[[#This Row],[Recebido.HAEMO]])</calculatedColumnFormula>
    </tableColumn>
    <tableColumn id="34" xr3:uid="{918DD2A2-5B12-478F-B8A2-10B6405167B3}" uniqueName="34" name="Recuperavel.HIZENTRA" queryTableFieldId="35" dataDxfId="1447">
      <calculatedColumnFormula>IF(VIEW_IV_2019_GR_COTA_DEMANDA_TRI[[#This Row],[Premio.HIZENTRA]]-VIEW_IV_2019_GR_COTA_DEMANDA_TRI[[#This Row],[Recebido.HIZENTRA]]&lt;=0,0,VIEW_IV_2019_GR_COTA_DEMANDA_TRI[[#This Row],[Premio.HIZENTRA]]-VIEW_IV_2019_GR_COTA_DEMANDA_TRI[[#This Row],[Recebido.HIZENTRA]])</calculatedColumnFormula>
    </tableColumn>
    <tableColumn id="35" xr3:uid="{D3DD56E5-DE09-4374-A6CE-F9091B9AE710}" uniqueName="35" name="Recuperavel.PRIVIGEN" queryTableFieldId="36" dataDxfId="1446">
      <calculatedColumnFormula>IF(VIEW_IV_2019_GR_COTA_DEMANDA_TRI[[#This Row],[Premio.PRIVIGEN]]-VIEW_IV_2019_GR_COTA_DEMANDA_TRI[[#This Row],[Recebido.PRIVIGEN]]&lt;=0,0,VIEW_IV_2019_GR_COTA_DEMANDA_TRI[[#This Row],[Premio.PRIVIGEN]]-VIEW_IV_2019_GR_COTA_DEMANDA_TRI[[#This Row],[Recebido.PRIVIGEN]])</calculatedColumnFormula>
    </tableColumn>
    <tableColumn id="36" xr3:uid="{E570BB07-E4B5-4F8F-8399-122F79D4FAB6}" uniqueName="36" name="Recuperavel-Total" queryTableFieldId="37" dataDxfId="1445">
      <calculatedColumnFormula>SUM(VIEW_IV_2019_GR_COTA_DEMANDA_TRI[[#This Row],[Recuperavel.BERINERT]:[Recuperavel.PRIVIGEN]])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6B08E0-D315-45E8-A4F7-CE1E6557DDBA}" name="VIEW_IV_2019_GR_COTA_DEMANDA" displayName="VIEW_IV_2019_GR_COTA_DEMANDA" ref="A5:AA41" tableType="queryTable" totalsRowShown="0" headerRowDxfId="1444" dataDxfId="1443">
  <autoFilter ref="A5:AA41" xr:uid="{3F514BE4-96BE-4CF5-97BC-95DF0B420783}">
    <filterColumn colId="2">
      <filters>
        <filter val="05-Nov"/>
      </filters>
    </filterColumn>
  </autoFilter>
  <tableColumns count="27">
    <tableColumn id="18" xr3:uid="{3D3CE370-223B-48D8-BC7C-EB840E37CBD6}" uniqueName="18" name="Tipo" queryTableFieldId="18" dataDxfId="1442"/>
    <tableColumn id="3" xr3:uid="{E29BB81C-0C33-4F74-90C0-D57FAFD088F2}" uniqueName="3" name="Ano-Fiscal" queryTableFieldId="3" dataDxfId="1441"/>
    <tableColumn id="4" xr3:uid="{F9938679-40C2-4C41-B3E5-EA5ACD928BDD}" uniqueName="4" name="Mes-Fiscal" queryTableFieldId="4" dataDxfId="1440"/>
    <tableColumn id="5" xr3:uid="{5EF3B1E5-2694-4035-A6A5-ECB8405C4466}" uniqueName="5" name="Tri-Fiscal" queryTableFieldId="5" dataDxfId="1439"/>
    <tableColumn id="11" xr3:uid="{A26BB7A0-C155-4384-8E6B-C41B6C2264B8}" uniqueName="11" name="#FK-Email-Gerente" queryTableFieldId="11" dataDxfId="1438"/>
    <tableColumn id="12" xr3:uid="{06FD3997-BE24-4101-9E60-AB195A0FD688}" uniqueName="12" name="Gerente" queryTableFieldId="12" dataDxfId="1437"/>
    <tableColumn id="19" xr3:uid="{710B0C1F-FEEF-4C34-ADDD-CB4AA906CC51}" uniqueName="19" name="Cota.BERINERT" queryTableFieldId="20" dataDxfId="1436"/>
    <tableColumn id="20" xr3:uid="{9290497E-86DF-4861-BCEE-55A44AC13978}" uniqueName="20" name="Cota.BERIPLEX" queryTableFieldId="21" dataDxfId="1435"/>
    <tableColumn id="21" xr3:uid="{50025F84-D825-4A01-BAC6-2FC37F52820C}" uniqueName="21" name="Cota.HAEMO" queryTableFieldId="22" dataDxfId="1434"/>
    <tableColumn id="22" xr3:uid="{107EF51B-3B07-476F-BD6A-07772045483A}" uniqueName="22" name="Cota.HIZENTRA" queryTableFieldId="23" dataDxfId="1433"/>
    <tableColumn id="23" xr3:uid="{6DF9BB81-795B-40A8-8E16-833FB8C97405}" uniqueName="23" name="Cota.PRIVIGEN" queryTableFieldId="24" dataDxfId="1432"/>
    <tableColumn id="24" xr3:uid="{801B140D-8C19-467B-8DAA-76DBF021DDFE}" uniqueName="24" name="Demanda.BERINERT" queryTableFieldId="25" dataDxfId="1431"/>
    <tableColumn id="25" xr3:uid="{35B2B19A-A061-4E71-996E-8DD780BE2444}" uniqueName="25" name="Demanda.BERIPLEX" queryTableFieldId="26" dataDxfId="1430"/>
    <tableColumn id="26" xr3:uid="{CC6AC185-684A-4BAE-9F30-ABFA6431208F}" uniqueName="26" name="Demanda.HAEMO" queryTableFieldId="27" dataDxfId="1429"/>
    <tableColumn id="27" xr3:uid="{343EC700-39EF-404F-92CA-D2E1E4DA0989}" uniqueName="27" name="Demanda.HIZENTRA" queryTableFieldId="28" dataDxfId="1428"/>
    <tableColumn id="28" xr3:uid="{A3626FC3-0539-465E-B43C-599B6E4B5DD7}" uniqueName="28" name="Demanda.PRIVIGEN" queryTableFieldId="29" dataDxfId="1427"/>
    <tableColumn id="29" xr3:uid="{7992F58F-4C7D-40F6-9F3C-CAF7FDA734FC}" uniqueName="29" name="Cobertura.BERINERT" queryTableFieldId="30" dataDxfId="1426" dataCellStyle="Porcentagem">
      <calculatedColumnFormula>IFERROR(VIEW_IV_2019_GR_COTA_DEMANDA[[#This Row],[Demanda.BERINERT]]/VIEW_IV_2019_GR_COTA_DEMANDA[[#This Row],[Cota.BERINERT]],0)</calculatedColumnFormula>
    </tableColumn>
    <tableColumn id="30" xr3:uid="{CDBD95FB-8CD8-498F-9401-EA30A68917F1}" uniqueName="30" name="Cobertura.BERIPLEX" queryTableFieldId="31" dataDxfId="1425" dataCellStyle="Porcentagem">
      <calculatedColumnFormula>IFERROR(VIEW_IV_2019_GR_COTA_DEMANDA[[#This Row],[Demanda.BERIPLEX]]/VIEW_IV_2019_GR_COTA_DEMANDA[[#This Row],[Cota.BERIPLEX]],0)</calculatedColumnFormula>
    </tableColumn>
    <tableColumn id="31" xr3:uid="{6E56C3D3-6D10-4137-9FB4-58F77083F942}" uniqueName="31" name="Cobertura.HAEMO" queryTableFieldId="32" dataDxfId="1424" dataCellStyle="Porcentagem">
      <calculatedColumnFormula>IFERROR(VIEW_IV_2019_GR_COTA_DEMANDA[[#This Row],[Demanda.HAEMO]]/VIEW_IV_2019_GR_COTA_DEMANDA[[#This Row],[Cota.HAEMO]],0)</calculatedColumnFormula>
    </tableColumn>
    <tableColumn id="32" xr3:uid="{8D3EB499-4967-47CD-8F7B-5BD5617986EB}" uniqueName="32" name="Cobertura.HIZENTRA" queryTableFieldId="33" dataDxfId="1423" dataCellStyle="Porcentagem">
      <calculatedColumnFormula>IFERROR(VIEW_IV_2019_GR_COTA_DEMANDA[[#This Row],[Demanda.HIZENTRA]]/VIEW_IV_2019_GR_COTA_DEMANDA[[#This Row],[Cota.HIZENTRA]],0)</calculatedColumnFormula>
    </tableColumn>
    <tableColumn id="33" xr3:uid="{7B79B6D4-868A-4497-B5F2-C04CD63D66DD}" uniqueName="33" name="Cobertura.PRIVIGEN" queryTableFieldId="34" dataDxfId="1422" dataCellStyle="Porcentagem">
      <calculatedColumnFormula>IFERROR(VIEW_IV_2019_GR_COTA_DEMANDA[[#This Row],[Demanda.PRIVIGEN]]/VIEW_IV_2019_GR_COTA_DEMANDA[[#This Row],[Cota.PRIVIGEN]],0)</calculatedColumnFormula>
    </tableColumn>
    <tableColumn id="34" xr3:uid="{370A8319-EC26-4951-B66F-6D72B8624C12}" uniqueName="34" name="Premio.BERINERT" queryTableFieldId="35" dataDxfId="1421" dataCellStyle="Porcentagem">
      <calculatedColumnFormula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calculatedColumnFormula>
    </tableColumn>
    <tableColumn id="35" xr3:uid="{4BBE4843-AD93-4EF5-98A8-B826FEAEE8EF}" uniqueName="35" name="Premio.BERIPLEX" queryTableFieldId="36" dataDxfId="1420" dataCellStyle="Porcentagem">
      <calculatedColumnFormula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calculatedColumnFormula>
    </tableColumn>
    <tableColumn id="36" xr3:uid="{B0E60B0C-65C8-4DDE-94F2-A5C068E36A94}" uniqueName="36" name="Premio.HAEMO" queryTableFieldId="37" dataDxfId="1419" dataCellStyle="Porcentagem">
      <calculatedColumnFormula>IF(VIEW_IV_2019_GR_COTA_DEMANDA[[#This Row],[Cobertura.HAEMO]]&lt;Cob_Min_GR,0,IF(VIEW_IV_2019_GR_COTA_DEMANDA[[#This Row],[Cobertura.HAEMO]]&gt;=Cob_Max_GR,(Vlr_Max_GR*X$1),(VLOOKUP(VIEW_IV_2019_GR_COTA_DEMANDA[[#This Row],[Cobertura.HAEMO]],Tabela_Valores_GR,2,1))*X$1))</calculatedColumnFormula>
    </tableColumn>
    <tableColumn id="37" xr3:uid="{C48B6B88-60A8-4302-BC2E-B9AC99ADC688}" uniqueName="37" name="Premio.HIZENTRA" queryTableFieldId="38" dataDxfId="1418" dataCellStyle="Porcentagem">
      <calculatedColumnFormula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calculatedColumnFormula>
    </tableColumn>
    <tableColumn id="38" xr3:uid="{B92A7BF0-701C-4163-8F66-3DBE78467154}" uniqueName="38" name="Premio.PRIVIGEN" queryTableFieldId="39" dataDxfId="1417" dataCellStyle="Porcentagem">
      <calculatedColumnFormula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calculatedColumnFormula>
    </tableColumn>
    <tableColumn id="1" xr3:uid="{C298F3C8-F90C-42FD-8B82-3810F661A8CC}" uniqueName="1" name="Premio.Total" queryTableFieldId="40" dataDxfId="1416" dataCellStyle="Porcentagem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745AA56-4B7C-4951-99F2-48BAD042309D}" name="VIEW_IV_2019_VISITAS_GR" displayName="VIEW_IV_2019_VISITAS_GR" ref="A5:I23" tableType="queryTable" totalsRowShown="0" headerRowDxfId="1415" dataDxfId="1414">
  <autoFilter ref="A5:I23" xr:uid="{030CC3E1-4C94-4744-A379-7EDCC71481A6}"/>
  <tableColumns count="9">
    <tableColumn id="3" xr3:uid="{E6791E9B-A3AF-403D-B659-90659497246D}" uniqueName="3" name="Ano-Fiscal" queryTableFieldId="3" dataDxfId="1413"/>
    <tableColumn id="4" xr3:uid="{80A6D0EE-2A8B-4F7A-8285-A57D5C729B80}" uniqueName="4" name="Mes-Fiscal" queryTableFieldId="4" dataDxfId="1412"/>
    <tableColumn id="5" xr3:uid="{9CBF8134-A86F-4B0F-BFFF-AE89A97330D9}" uniqueName="5" name="Tri-Fiscal" queryTableFieldId="5" dataDxfId="1411"/>
    <tableColumn id="11" xr3:uid="{F76F015B-2FBD-49C2-B4BA-83BB99C164F9}" uniqueName="11" name="#FK-Email-Gerente" queryTableFieldId="11" dataDxfId="1410"/>
    <tableColumn id="12" xr3:uid="{A048F8B7-1101-420D-AF92-313F2BAB0853}" uniqueName="12" name="Gerente" queryTableFieldId="12" dataDxfId="1409"/>
    <tableColumn id="13" xr3:uid="{022711F1-CA6E-4151-BB81-A924D1589F0C}" uniqueName="13" name="Visitas-Realizar" queryTableFieldId="13" dataDxfId="1408"/>
    <tableColumn id="14" xr3:uid="{775A4C15-1951-4BD2-B215-C135C8683A52}" uniqueName="14" name="Visitas-Realizadas" queryTableFieldId="14" dataDxfId="1407"/>
    <tableColumn id="15" xr3:uid="{33A5D457-BB99-4E29-88C8-E1E6BA1BF3DF}" uniqueName="15" name="Visitas-Cobertura" queryTableFieldId="15" dataDxfId="1406" dataCellStyle="Porcentagem">
      <calculatedColumnFormula>IFERROR(VIEW_IV_2019_VISITAS_GR[[#This Row],[Visitas-Realizadas]]/VIEW_IV_2019_VISITAS_GR[[#This Row],[Visitas-Realizar]],0)</calculatedColumnFormula>
    </tableColumn>
    <tableColumn id="16" xr3:uid="{6AAFF521-13C0-429C-B0E5-58B7C9CCC60D}" uniqueName="16" name="Visitas-Premio" queryTableFieldId="16" dataDxfId="1405">
      <calculatedColumnFormula>IF(VIEW_IV_2019_VISITAS_GR[[#This Row],[Visitas-Cobertura]]&lt;Cob_Min_GR,0,IF(VIEW_IV_2019_VISITAS_GR[[#This Row],[Visitas-Cobertura]]&gt;=Cob_100_GR,(Vlr_100_GR*I$1),(VLOOKUP(VIEW_IV_2019_VISITAS_GR[[#This Row],[Visitas-Cobertura]],Tabela_Valores_GR,2,1))*I$1))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1A696E-5FD2-40F6-8E4C-867609CE2109}" name="VIEW_IV_2019_DEMANDA_SETORIZADA_GR" displayName="VIEW_IV_2019_DEMANDA_SETORIZADA_GR" ref="A5:M3140" tableType="queryTable" totalsRowShown="0" headerRowDxfId="1404" dataDxfId="1403">
  <autoFilter ref="A5:M3140" xr:uid="{B4702A13-381B-4C19-A1C9-7B90AFB689A1}"/>
  <tableColumns count="13">
    <tableColumn id="3" xr3:uid="{EAB81966-144F-4551-BE67-5E7F718E86B4}" uniqueName="3" name="Ano-Fiscal" queryTableFieldId="3" dataDxfId="1402"/>
    <tableColumn id="4" xr3:uid="{96EAFA6F-5976-4E80-BCBB-C913D61DCC38}" uniqueName="4" name="Mes-Fiscal" queryTableFieldId="4" dataDxfId="1401"/>
    <tableColumn id="5" xr3:uid="{E99BC4FB-93F6-4E09-965D-0FBD50D37E81}" uniqueName="5" name="Tri-Fiscal" queryTableFieldId="5" dataDxfId="1400"/>
    <tableColumn id="10" xr3:uid="{D3375185-A75F-4CD3-9007-050E27BF5C77}" uniqueName="10" name="CNPJ" queryTableFieldId="10" dataDxfId="1399"/>
    <tableColumn id="11" xr3:uid="{94ADFA00-D9AA-490E-902C-3C610491F2F1}" uniqueName="11" name="Estabelecimento" queryTableFieldId="11" dataDxfId="1398"/>
    <tableColumn id="12" xr3:uid="{07CF2C53-AF7B-4C1A-8930-929A62CB994A}" uniqueName="12" name="Cidade" queryTableFieldId="12" dataDxfId="1397"/>
    <tableColumn id="13" xr3:uid="{E8C1BE46-BAC1-4CF0-94A0-D5600E899B4D}" uniqueName="13" name="UF" queryTableFieldId="13" dataDxfId="1396"/>
    <tableColumn id="17" xr3:uid="{FF2D9768-EDEE-4BA0-AA4F-8668E1EB62BD}" uniqueName="17" name="#FK-Email-Gerente" queryTableFieldId="17" dataDxfId="1395"/>
    <tableColumn id="18" xr3:uid="{D746A70B-B6D8-4845-ACC4-ACAD3861C3C6}" uniqueName="18" name="Gerente" queryTableFieldId="18" dataDxfId="1394"/>
    <tableColumn id="14" xr3:uid="{E5517A84-D617-4113-A37A-0E055C913F99}" uniqueName="14" name="Cod-Linha" queryTableFieldId="14" dataDxfId="1393"/>
    <tableColumn id="15" xr3:uid="{614DF146-2E87-4B7B-B972-77D3CF2C2055}" uniqueName="15" name="Linha" queryTableFieldId="15" dataDxfId="1392"/>
    <tableColumn id="1" xr3:uid="{6C19DD7B-027E-4260-95DA-C0A911276DAD}" uniqueName="1" name="Estabelecimento.1" queryTableFieldId="21" dataDxfId="1391"/>
    <tableColumn id="16" xr3:uid="{7E164D8C-507E-4A9C-98A4-859222275CBB}" uniqueName="16" name="EQ" queryTableFieldId="16" dataDxfId="139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B5FB6B-FD54-44FD-B69B-913B77AEEBEC}" name="VIEW_IV_2019_ESTABELECIMENTOS_SETORIZACAO_GR" displayName="VIEW_IV_2019_ESTABELECIMENTOS_SETORIZACAO_GR" ref="A5:F736" tableType="queryTable" totalsRowShown="0" headerRowDxfId="1389" dataDxfId="1388">
  <autoFilter ref="A5:F736" xr:uid="{C5C3EF0D-6BFB-4C78-9E91-17835DA4357F}"/>
  <tableColumns count="6">
    <tableColumn id="1" xr3:uid="{6DCFC684-B051-4731-8667-7EA24C67C7DC}" uniqueName="1" name="#FK-CNPJ" queryTableFieldId="1" dataDxfId="1387"/>
    <tableColumn id="2" xr3:uid="{FC4A3DB8-8D84-4ACE-8E49-FA5B2F4AB5AB}" uniqueName="2" name="Estabelecimento" queryTableFieldId="2" dataDxfId="1386"/>
    <tableColumn id="3" xr3:uid="{FF970E4C-2F36-4660-9EA2-30B56FB28730}" uniqueName="3" name="Cidade" queryTableFieldId="3" dataDxfId="1385"/>
    <tableColumn id="4" xr3:uid="{CD1B7D15-834C-456E-8EEC-584FA1ADBD27}" uniqueName="4" name="UF" queryTableFieldId="4" dataDxfId="1384"/>
    <tableColumn id="5" xr3:uid="{B9FC7C80-D1D2-4781-A0B0-F48591E829B1}" uniqueName="5" name="#FK-Email-Gerente" queryTableFieldId="5" dataDxfId="1383"/>
    <tableColumn id="6" xr3:uid="{74104D5F-1A39-47C1-8896-1459A4D704E8}" uniqueName="6" name="Gerente" queryTableFieldId="6" dataDxfId="138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1E38806-BD98-4B96-B138-9AA04CB27615}" name="VIEW_IV_2019_DEMANDA_DISTRIBUIDORES" displayName="VIEW_IV_2019_DEMANDA_DISTRIBUIDORES" ref="A5:S4053" tableType="queryTable" totalsRowShown="0" headerRowDxfId="73" dataDxfId="72">
  <autoFilter ref="A5:S4053" xr:uid="{3D2DFEE4-020E-416C-B8F1-E308692D8229}"/>
  <tableColumns count="19">
    <tableColumn id="1" xr3:uid="{E892B2C1-C939-444F-83B3-BAAE6A34D507}" uniqueName="1" name="Ano-Unv" queryTableFieldId="1" dataDxfId="71"/>
    <tableColumn id="2" xr3:uid="{7B0A6A84-4281-4B49-AA99-A6B05E9AC461}" uniqueName="2" name="Mes-Unv" queryTableFieldId="2" dataDxfId="70"/>
    <tableColumn id="3" xr3:uid="{8C4667EF-2133-416E-A06F-95A1CD120654}" uniqueName="3" name="Ano-Fiscal" queryTableFieldId="3" dataDxfId="69"/>
    <tableColumn id="4" xr3:uid="{30110D9B-B463-4D1A-8B91-766241120C55}" uniqueName="4" name="Mes-Fiscal" queryTableFieldId="4" dataDxfId="68"/>
    <tableColumn id="5" xr3:uid="{324B0276-F98B-4349-83AF-5D06B900CEE7}" uniqueName="5" name="Tri-Fiscal" queryTableFieldId="5" dataDxfId="67"/>
    <tableColumn id="6" xr3:uid="{7C288A63-7C23-4722-9E17-AC3710BDB26B}" uniqueName="6" name="Periodo-IV" queryTableFieldId="6" dataDxfId="66"/>
    <tableColumn id="7" xr3:uid="{71E3973E-D48F-4BC0-AB31-4384F3869A76}" uniqueName="7" name="Calculo-Mensal" queryTableFieldId="7" dataDxfId="65"/>
    <tableColumn id="8" xr3:uid="{7983872F-45A0-4E2C-9657-CB6631A04B20}" uniqueName="8" name="Calculo-Trimestral" queryTableFieldId="8" dataDxfId="64"/>
    <tableColumn id="9" xr3:uid="{39845A8B-7E75-40E3-B065-07EA78E1125B}" uniqueName="9" name="Calculo-Anual" queryTableFieldId="9" dataDxfId="63"/>
    <tableColumn id="10" xr3:uid="{978751F8-13BF-4600-95F4-DC5E324A9CE0}" uniqueName="10" name="Grupo-Distribuidor" queryTableFieldId="10" dataDxfId="62"/>
    <tableColumn id="11" xr3:uid="{A200FB61-FA57-4145-A86A-6C8C82389BBC}" uniqueName="11" name="CNPJ" queryTableFieldId="11" dataDxfId="61"/>
    <tableColumn id="12" xr3:uid="{289EF105-63DE-41FD-AFB4-6515E373AEB3}" uniqueName="12" name="Estabelecimento" queryTableFieldId="12" dataDxfId="60"/>
    <tableColumn id="13" xr3:uid="{DF31B5ED-DB3B-4ECA-A32E-CF917704F355}" uniqueName="13" name="CIDADE" queryTableFieldId="13" dataDxfId="59"/>
    <tableColumn id="14" xr3:uid="{33BFD6B5-32A6-4E7A-B5E8-18656A462291}" uniqueName="14" name="UF" queryTableFieldId="14" dataDxfId="58"/>
    <tableColumn id="15" xr3:uid="{01802A31-58AA-4B13-ADF6-B9F98C5AF24B}" uniqueName="15" name="Cod-Linha" queryTableFieldId="15" dataDxfId="57"/>
    <tableColumn id="16" xr3:uid="{111F5DD2-147F-43EA-BA46-7337B9C14B1D}" uniqueName="16" name="Linha" queryTableFieldId="16" dataDxfId="56"/>
    <tableColumn id="18" xr3:uid="{63D4FD7F-2D35-4D73-B77C-42AF8B000A95}" uniqueName="18" name="PRODUTO" queryTableFieldId="18" dataDxfId="55"/>
    <tableColumn id="17" xr3:uid="{C8C316DB-63CE-4302-AD96-A37D8021144F}" uniqueName="17" name="EQ" queryTableFieldId="17" dataDxfId="54"/>
    <tableColumn id="19" xr3:uid="{7EED1524-51B2-47F3-92A2-F98C8B25CE34}" uniqueName="19" name="UN" queryTableField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7FB76B-B523-4BBC-ABD0-2B4231EA6732}" name="VIEW_IV_2019_VENDA_DETALHADA" displayName="VIEW_IV_2019_VENDA_DETALHADA" ref="A5:G889" tableType="queryTable" totalsRowShown="0" headerRowDxfId="53" dataDxfId="52">
  <autoFilter ref="A5:G889" xr:uid="{2E20153E-4FEC-4A06-BA11-FC3809A8D449}">
    <filterColumn colId="1">
      <filters>
        <filter val="05-Nov"/>
      </filters>
    </filterColumn>
  </autoFilter>
  <tableColumns count="7">
    <tableColumn id="3" xr3:uid="{1E04C071-FF35-4221-9766-D5B1020AD751}" uniqueName="3" name="Ano-Fiscal" queryTableFieldId="3" dataDxfId="51"/>
    <tableColumn id="4" xr3:uid="{3E82D8BC-64EF-41CD-BB0D-AE6BFF67E6A6}" uniqueName="4" name="Mes-Fiscal" queryTableFieldId="4" dataDxfId="50"/>
    <tableColumn id="5" xr3:uid="{291F1961-0CAB-42B2-B25E-B9654A0E868E}" uniqueName="5" name="Tri-Fiscal" queryTableFieldId="5" dataDxfId="49"/>
    <tableColumn id="11" xr3:uid="{1A244881-274C-421B-A190-E711A8AC43F7}" uniqueName="11" name="CNPJ" queryTableFieldId="11" dataDxfId="48"/>
    <tableColumn id="12" xr3:uid="{D8E39B8B-4FF7-4633-B4DB-F45477794238}" uniqueName="12" name="Estabelecimento-Venda" queryTableFieldId="12" dataDxfId="47"/>
    <tableColumn id="13" xr3:uid="{F61C0CBB-DDB0-4D02-9D99-82AC89480AF2}" uniqueName="13" name="Grupo-Linha-IV-REP" queryTableFieldId="13" dataDxfId="46"/>
    <tableColumn id="14" xr3:uid="{D0793EB0-CAFE-4060-9630-1AA5E6A13B78}" uniqueName="14" name="BRL" queryTableFieldId="14" dataDxfId="4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07/relationships/slicer" Target="../slicers/slicer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11515-6485-41F9-A9C4-DB827DA18F8F}">
  <sheetPr codeName="Planilha2">
    <tabColor theme="9" tint="-0.249977111117893"/>
  </sheetPr>
  <dimension ref="A1:D28"/>
  <sheetViews>
    <sheetView showGridLines="0" workbookViewId="0">
      <pane ySplit="4" topLeftCell="A5" activePane="bottomLeft" state="frozen"/>
      <selection activeCell="C15" sqref="C15"/>
      <selection pane="bottomLeft" activeCell="G9" sqref="G9"/>
    </sheetView>
  </sheetViews>
  <sheetFormatPr defaultRowHeight="15" x14ac:dyDescent="0.25"/>
  <cols>
    <col min="1" max="1" width="7.85546875" style="87" customWidth="1"/>
    <col min="2" max="2" width="63.7109375" style="87" customWidth="1"/>
    <col min="3" max="3" width="9.140625" style="2"/>
    <col min="4" max="4" width="62.42578125" style="87" bestFit="1" customWidth="1"/>
    <col min="5" max="16384" width="9.140625" style="87"/>
  </cols>
  <sheetData>
    <row r="1" spans="1:4" ht="18.75" x14ac:dyDescent="0.25">
      <c r="A1" s="48" t="s">
        <v>434</v>
      </c>
    </row>
    <row r="3" spans="1:4" s="3" customFormat="1" ht="15.75" x14ac:dyDescent="0.25">
      <c r="A3" s="49" t="s">
        <v>528</v>
      </c>
      <c r="C3" s="6"/>
    </row>
    <row r="4" spans="1:4" s="3" customFormat="1" ht="12.75" x14ac:dyDescent="0.25">
      <c r="A4" s="165" t="s">
        <v>533</v>
      </c>
      <c r="B4" s="165" t="s">
        <v>532</v>
      </c>
      <c r="C4" s="165" t="s">
        <v>531</v>
      </c>
      <c r="D4" s="165" t="s">
        <v>401</v>
      </c>
    </row>
    <row r="5" spans="1:4" s="3" customFormat="1" ht="12.75" x14ac:dyDescent="0.25">
      <c r="A5" s="166" t="s">
        <v>1325</v>
      </c>
      <c r="B5" s="164" t="s">
        <v>535</v>
      </c>
      <c r="C5" s="163" t="s">
        <v>530</v>
      </c>
      <c r="D5" s="164"/>
    </row>
    <row r="6" spans="1:4" s="3" customFormat="1" ht="12.75" x14ac:dyDescent="0.25">
      <c r="A6" s="166">
        <v>2</v>
      </c>
      <c r="B6" s="164" t="s">
        <v>529</v>
      </c>
      <c r="C6" s="163" t="s">
        <v>530</v>
      </c>
      <c r="D6" s="164" t="s">
        <v>534</v>
      </c>
    </row>
    <row r="7" spans="1:4" s="3" customFormat="1" ht="12.75" x14ac:dyDescent="0.25">
      <c r="A7" s="166">
        <v>3</v>
      </c>
      <c r="B7" s="164" t="s">
        <v>537</v>
      </c>
      <c r="C7" s="163" t="s">
        <v>536</v>
      </c>
      <c r="D7" s="164"/>
    </row>
    <row r="8" spans="1:4" s="3" customFormat="1" ht="12.75" x14ac:dyDescent="0.25">
      <c r="A8" s="166"/>
      <c r="B8" s="164"/>
      <c r="C8" s="163"/>
      <c r="D8" s="164"/>
    </row>
    <row r="9" spans="1:4" s="3" customFormat="1" ht="12.75" x14ac:dyDescent="0.25">
      <c r="A9" s="166"/>
      <c r="B9" s="164"/>
      <c r="C9" s="163"/>
      <c r="D9" s="164"/>
    </row>
    <row r="10" spans="1:4" s="3" customFormat="1" ht="12.75" x14ac:dyDescent="0.25">
      <c r="A10" s="166"/>
      <c r="B10" s="164"/>
      <c r="C10" s="163"/>
      <c r="D10" s="164"/>
    </row>
    <row r="11" spans="1:4" s="3" customFormat="1" ht="12.75" x14ac:dyDescent="0.25">
      <c r="A11" s="166"/>
      <c r="B11" s="164"/>
      <c r="C11" s="163"/>
      <c r="D11" s="164"/>
    </row>
    <row r="12" spans="1:4" s="3" customFormat="1" ht="12.75" x14ac:dyDescent="0.25">
      <c r="A12" s="166"/>
      <c r="B12" s="164"/>
      <c r="C12" s="163"/>
      <c r="D12" s="164"/>
    </row>
    <row r="13" spans="1:4" s="3" customFormat="1" ht="12.75" x14ac:dyDescent="0.25">
      <c r="A13" s="166"/>
      <c r="B13" s="164"/>
      <c r="C13" s="163"/>
      <c r="D13" s="164"/>
    </row>
    <row r="14" spans="1:4" s="3" customFormat="1" ht="12.75" x14ac:dyDescent="0.25">
      <c r="A14" s="166"/>
      <c r="B14" s="164"/>
      <c r="C14" s="163"/>
      <c r="D14" s="164"/>
    </row>
    <row r="15" spans="1:4" s="3" customFormat="1" ht="12.75" x14ac:dyDescent="0.25">
      <c r="A15" s="166"/>
      <c r="B15" s="164"/>
      <c r="C15" s="163"/>
      <c r="D15" s="164"/>
    </row>
    <row r="16" spans="1:4" s="3" customFormat="1" ht="12.75" x14ac:dyDescent="0.25">
      <c r="A16" s="166"/>
      <c r="B16" s="164"/>
      <c r="C16" s="163"/>
      <c r="D16" s="164"/>
    </row>
    <row r="17" spans="3:3" s="3" customFormat="1" ht="12.75" x14ac:dyDescent="0.25">
      <c r="C17" s="6"/>
    </row>
    <row r="18" spans="3:3" s="3" customFormat="1" ht="12.75" x14ac:dyDescent="0.25">
      <c r="C18" s="6"/>
    </row>
    <row r="19" spans="3:3" s="3" customFormat="1" ht="12.75" x14ac:dyDescent="0.25">
      <c r="C19" s="6"/>
    </row>
    <row r="20" spans="3:3" s="3" customFormat="1" ht="12.75" x14ac:dyDescent="0.25">
      <c r="C20" s="6"/>
    </row>
    <row r="21" spans="3:3" s="3" customFormat="1" ht="12.75" x14ac:dyDescent="0.25">
      <c r="C21" s="6"/>
    </row>
    <row r="22" spans="3:3" s="3" customFormat="1" ht="12.75" x14ac:dyDescent="0.25">
      <c r="C22" s="6"/>
    </row>
    <row r="23" spans="3:3" s="3" customFormat="1" ht="12.75" x14ac:dyDescent="0.25">
      <c r="C23" s="6"/>
    </row>
    <row r="24" spans="3:3" s="3" customFormat="1" ht="12.75" x14ac:dyDescent="0.25">
      <c r="C24" s="6"/>
    </row>
    <row r="25" spans="3:3" s="3" customFormat="1" ht="12.75" x14ac:dyDescent="0.25">
      <c r="C25" s="6"/>
    </row>
    <row r="26" spans="3:3" s="3" customFormat="1" ht="12.75" x14ac:dyDescent="0.25">
      <c r="C26" s="6"/>
    </row>
    <row r="27" spans="3:3" s="3" customFormat="1" ht="12.75" x14ac:dyDescent="0.25">
      <c r="C27" s="6"/>
    </row>
    <row r="28" spans="3:3" s="3" customFormat="1" ht="12.75" x14ac:dyDescent="0.25">
      <c r="C28" s="6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8E153-1258-4D1D-891C-F221CB440D2E}">
  <sheetPr codeName="Planilha7">
    <tabColor rgb="FFFF9933"/>
  </sheetPr>
  <dimension ref="A1:W1330"/>
  <sheetViews>
    <sheetView showGridLines="0" workbookViewId="0">
      <pane xSplit="4" ySplit="5" topLeftCell="E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defaultRowHeight="12.75" x14ac:dyDescent="0.25"/>
  <cols>
    <col min="1" max="1" width="15.140625" style="3" bestFit="1" customWidth="1"/>
    <col min="2" max="2" width="81.140625" style="3" bestFit="1" customWidth="1"/>
    <col min="3" max="3" width="23.5703125" style="3" bestFit="1" customWidth="1"/>
    <col min="4" max="4" width="7.5703125" style="3" bestFit="1" customWidth="1"/>
    <col min="5" max="6" width="10.85546875" style="3" bestFit="1" customWidth="1"/>
    <col min="7" max="7" width="32.42578125" style="3" bestFit="1" customWidth="1"/>
    <col min="8" max="8" width="46.85546875" style="3" bestFit="1" customWidth="1"/>
    <col min="9" max="9" width="16.42578125" style="3" bestFit="1" customWidth="1"/>
    <col min="10" max="10" width="24.85546875" style="3" bestFit="1" customWidth="1"/>
    <col min="11" max="11" width="12.85546875" style="3" bestFit="1" customWidth="1"/>
    <col min="12" max="12" width="12.5703125" style="3" bestFit="1" customWidth="1"/>
    <col min="13" max="13" width="11.5703125" style="3" bestFit="1" customWidth="1"/>
    <col min="14" max="14" width="13.140625" style="14" bestFit="1" customWidth="1"/>
    <col min="15" max="15" width="12.85546875" style="14" bestFit="1" customWidth="1"/>
    <col min="16" max="16" width="11.5703125" style="3" bestFit="1" customWidth="1"/>
    <col min="17" max="17" width="13.140625" style="3" bestFit="1" customWidth="1"/>
    <col min="18" max="18" width="12.85546875" style="3" bestFit="1" customWidth="1"/>
    <col min="19" max="19" width="12.140625" style="3" bestFit="1" customWidth="1"/>
    <col min="20" max="20" width="11.5703125" style="3" bestFit="1" customWidth="1"/>
    <col min="21" max="21" width="11.140625" style="3" bestFit="1" customWidth="1"/>
    <col min="22" max="22" width="13.140625" style="3" bestFit="1" customWidth="1"/>
    <col min="23" max="23" width="15" style="12" bestFit="1" customWidth="1"/>
    <col min="24" max="24" width="12.85546875" style="3" bestFit="1" customWidth="1"/>
    <col min="25" max="25" width="12.42578125" style="3" bestFit="1" customWidth="1"/>
    <col min="26" max="16384" width="9.140625" style="3"/>
  </cols>
  <sheetData>
    <row r="1" spans="1:23" ht="15.75" x14ac:dyDescent="0.25">
      <c r="A1" s="49" t="s">
        <v>301</v>
      </c>
    </row>
    <row r="2" spans="1:23" x14ac:dyDescent="0.25">
      <c r="A2" s="64" t="s">
        <v>305</v>
      </c>
    </row>
    <row r="3" spans="1:23" x14ac:dyDescent="0.25">
      <c r="A3" s="64" t="s">
        <v>310</v>
      </c>
    </row>
    <row r="5" spans="1:23" x14ac:dyDescent="0.25">
      <c r="A5" s="3" t="s">
        <v>216</v>
      </c>
      <c r="B5" s="3" t="s">
        <v>10</v>
      </c>
      <c r="C5" s="3" t="s">
        <v>11</v>
      </c>
      <c r="D5" s="6" t="s">
        <v>12</v>
      </c>
      <c r="E5" s="3" t="s">
        <v>213</v>
      </c>
      <c r="F5" s="3" t="s">
        <v>214</v>
      </c>
      <c r="G5" s="3" t="s">
        <v>217</v>
      </c>
      <c r="H5" s="3" t="s">
        <v>146</v>
      </c>
      <c r="I5" s="3" t="s">
        <v>136</v>
      </c>
      <c r="J5" s="3" t="s">
        <v>204</v>
      </c>
      <c r="K5" s="3" t="s">
        <v>218</v>
      </c>
      <c r="L5" s="3" t="s">
        <v>219</v>
      </c>
      <c r="M5" s="3" t="s">
        <v>220</v>
      </c>
      <c r="N5" s="3" t="s">
        <v>221</v>
      </c>
      <c r="O5" s="3" t="s">
        <v>222</v>
      </c>
      <c r="W5" s="3"/>
    </row>
    <row r="6" spans="1:23" x14ac:dyDescent="0.25">
      <c r="A6" s="4">
        <v>23941593838</v>
      </c>
      <c r="B6" s="8" t="s">
        <v>555</v>
      </c>
      <c r="C6" s="8" t="s">
        <v>29</v>
      </c>
      <c r="D6" s="7" t="s">
        <v>19</v>
      </c>
      <c r="E6" s="7" t="s">
        <v>215</v>
      </c>
      <c r="F6" s="6">
        <v>2</v>
      </c>
      <c r="G6" s="8" t="s">
        <v>183</v>
      </c>
      <c r="H6" s="8" t="s">
        <v>184</v>
      </c>
      <c r="I6" s="109" t="s">
        <v>557</v>
      </c>
      <c r="J6" s="8" t="s">
        <v>208</v>
      </c>
      <c r="K6" s="14" t="b">
        <v>0</v>
      </c>
      <c r="L6" s="14" t="b">
        <v>1</v>
      </c>
      <c r="M6" s="14" t="b">
        <v>1</v>
      </c>
      <c r="N6" s="14" t="b">
        <v>0</v>
      </c>
      <c r="O6" s="14" t="b">
        <v>1</v>
      </c>
      <c r="W6" s="3"/>
    </row>
    <row r="7" spans="1:23" x14ac:dyDescent="0.25">
      <c r="A7" s="4">
        <v>23941593838</v>
      </c>
      <c r="B7" s="8" t="s">
        <v>555</v>
      </c>
      <c r="C7" s="8" t="s">
        <v>29</v>
      </c>
      <c r="D7" s="7" t="s">
        <v>19</v>
      </c>
      <c r="E7" s="7" t="s">
        <v>215</v>
      </c>
      <c r="F7" s="6">
        <v>2</v>
      </c>
      <c r="G7" s="8" t="s">
        <v>1355</v>
      </c>
      <c r="H7" s="8" t="s">
        <v>1356</v>
      </c>
      <c r="I7" s="109" t="s">
        <v>556</v>
      </c>
      <c r="J7" s="8" t="s">
        <v>208</v>
      </c>
      <c r="K7" s="14" t="b">
        <v>1</v>
      </c>
      <c r="L7" s="14" t="b">
        <v>0</v>
      </c>
      <c r="M7" s="14" t="b">
        <v>0</v>
      </c>
      <c r="N7" s="14" t="b">
        <v>1</v>
      </c>
      <c r="O7" s="14" t="b">
        <v>1</v>
      </c>
      <c r="W7" s="3"/>
    </row>
    <row r="8" spans="1:23" x14ac:dyDescent="0.25">
      <c r="A8" s="4">
        <v>461479001054</v>
      </c>
      <c r="B8" s="8" t="s">
        <v>558</v>
      </c>
      <c r="C8" s="8" t="s">
        <v>29</v>
      </c>
      <c r="D8" s="7" t="s">
        <v>19</v>
      </c>
      <c r="E8" s="7" t="s">
        <v>215</v>
      </c>
      <c r="F8" s="6">
        <v>2</v>
      </c>
      <c r="G8" s="8" t="s">
        <v>1355</v>
      </c>
      <c r="H8" s="8" t="s">
        <v>1356</v>
      </c>
      <c r="I8" s="109" t="s">
        <v>556</v>
      </c>
      <c r="J8" s="8" t="s">
        <v>208</v>
      </c>
      <c r="K8" s="14" t="b">
        <v>1</v>
      </c>
      <c r="L8" s="14" t="b">
        <v>0</v>
      </c>
      <c r="M8" s="14" t="b">
        <v>0</v>
      </c>
      <c r="N8" s="14" t="b">
        <v>1</v>
      </c>
      <c r="O8" s="14" t="b">
        <v>1</v>
      </c>
      <c r="W8" s="3"/>
    </row>
    <row r="9" spans="1:23" x14ac:dyDescent="0.25">
      <c r="A9" s="4">
        <v>461479001054</v>
      </c>
      <c r="B9" s="8" t="s">
        <v>558</v>
      </c>
      <c r="C9" s="8" t="s">
        <v>29</v>
      </c>
      <c r="D9" s="7" t="s">
        <v>19</v>
      </c>
      <c r="E9" s="7" t="s">
        <v>215</v>
      </c>
      <c r="F9" s="6">
        <v>2</v>
      </c>
      <c r="G9" s="8" t="s">
        <v>183</v>
      </c>
      <c r="H9" s="8" t="s">
        <v>184</v>
      </c>
      <c r="I9" s="109" t="s">
        <v>557</v>
      </c>
      <c r="J9" s="8" t="s">
        <v>208</v>
      </c>
      <c r="K9" s="14" t="b">
        <v>0</v>
      </c>
      <c r="L9" s="14" t="b">
        <v>1</v>
      </c>
      <c r="M9" s="14" t="b">
        <v>1</v>
      </c>
      <c r="N9" s="14" t="b">
        <v>0</v>
      </c>
      <c r="O9" s="14" t="b">
        <v>1</v>
      </c>
      <c r="W9" s="3"/>
    </row>
    <row r="10" spans="1:23" x14ac:dyDescent="0.25">
      <c r="A10" s="4">
        <v>461479001992</v>
      </c>
      <c r="B10" s="8" t="s">
        <v>559</v>
      </c>
      <c r="C10" s="8" t="s">
        <v>29</v>
      </c>
      <c r="D10" s="7" t="s">
        <v>19</v>
      </c>
      <c r="E10" s="7" t="s">
        <v>215</v>
      </c>
      <c r="F10" s="6">
        <v>2</v>
      </c>
      <c r="G10" s="8" t="s">
        <v>183</v>
      </c>
      <c r="H10" s="8" t="s">
        <v>184</v>
      </c>
      <c r="I10" s="109" t="s">
        <v>557</v>
      </c>
      <c r="J10" s="8" t="s">
        <v>208</v>
      </c>
      <c r="K10" s="14" t="b">
        <v>0</v>
      </c>
      <c r="L10" s="14" t="b">
        <v>1</v>
      </c>
      <c r="M10" s="14" t="b">
        <v>1</v>
      </c>
      <c r="N10" s="14" t="b">
        <v>0</v>
      </c>
      <c r="O10" s="14" t="b">
        <v>1</v>
      </c>
      <c r="W10" s="3"/>
    </row>
    <row r="11" spans="1:23" x14ac:dyDescent="0.25">
      <c r="A11" s="4">
        <v>461479001992</v>
      </c>
      <c r="B11" s="8" t="s">
        <v>559</v>
      </c>
      <c r="C11" s="8" t="s">
        <v>29</v>
      </c>
      <c r="D11" s="7" t="s">
        <v>19</v>
      </c>
      <c r="E11" s="7" t="s">
        <v>215</v>
      </c>
      <c r="F11" s="6">
        <v>2</v>
      </c>
      <c r="G11" s="8" t="s">
        <v>1355</v>
      </c>
      <c r="H11" s="8" t="s">
        <v>1356</v>
      </c>
      <c r="I11" s="109" t="s">
        <v>556</v>
      </c>
      <c r="J11" s="8" t="s">
        <v>208</v>
      </c>
      <c r="K11" s="14" t="b">
        <v>1</v>
      </c>
      <c r="L11" s="14" t="b">
        <v>0</v>
      </c>
      <c r="M11" s="14" t="b">
        <v>0</v>
      </c>
      <c r="N11" s="14" t="b">
        <v>1</v>
      </c>
      <c r="O11" s="14" t="b">
        <v>1</v>
      </c>
      <c r="W11" s="3"/>
    </row>
    <row r="12" spans="1:23" x14ac:dyDescent="0.25">
      <c r="A12" s="4">
        <v>461479004150</v>
      </c>
      <c r="B12" s="8" t="s">
        <v>1138</v>
      </c>
      <c r="C12" s="8" t="s">
        <v>29</v>
      </c>
      <c r="D12" s="7" t="s">
        <v>19</v>
      </c>
      <c r="E12" s="7" t="s">
        <v>215</v>
      </c>
      <c r="F12" s="6">
        <v>2</v>
      </c>
      <c r="G12" s="8" t="s">
        <v>1355</v>
      </c>
      <c r="H12" s="8" t="s">
        <v>1356</v>
      </c>
      <c r="I12" s="109" t="s">
        <v>556</v>
      </c>
      <c r="J12" s="8" t="s">
        <v>208</v>
      </c>
      <c r="K12" s="14" t="b">
        <v>1</v>
      </c>
      <c r="L12" s="14" t="b">
        <v>0</v>
      </c>
      <c r="M12" s="14" t="b">
        <v>0</v>
      </c>
      <c r="N12" s="14" t="b">
        <v>1</v>
      </c>
      <c r="O12" s="14" t="b">
        <v>1</v>
      </c>
      <c r="W12" s="3"/>
    </row>
    <row r="13" spans="1:23" x14ac:dyDescent="0.25">
      <c r="A13" s="4">
        <v>461479004150</v>
      </c>
      <c r="B13" s="8" t="s">
        <v>1138</v>
      </c>
      <c r="C13" s="8" t="s">
        <v>29</v>
      </c>
      <c r="D13" s="7" t="s">
        <v>19</v>
      </c>
      <c r="E13" s="7" t="s">
        <v>215</v>
      </c>
      <c r="F13" s="6">
        <v>2</v>
      </c>
      <c r="G13" s="8" t="s">
        <v>183</v>
      </c>
      <c r="H13" s="8" t="s">
        <v>184</v>
      </c>
      <c r="I13" s="109" t="s">
        <v>557</v>
      </c>
      <c r="J13" s="8" t="s">
        <v>208</v>
      </c>
      <c r="K13" s="14" t="b">
        <v>0</v>
      </c>
      <c r="L13" s="14" t="b">
        <v>1</v>
      </c>
      <c r="M13" s="14" t="b">
        <v>1</v>
      </c>
      <c r="N13" s="14" t="b">
        <v>0</v>
      </c>
      <c r="O13" s="14" t="b">
        <v>1</v>
      </c>
      <c r="W13" s="3"/>
    </row>
    <row r="14" spans="1:23" x14ac:dyDescent="0.25">
      <c r="A14" s="4">
        <v>461479004584</v>
      </c>
      <c r="B14" s="8" t="s">
        <v>560</v>
      </c>
      <c r="C14" s="8" t="s">
        <v>29</v>
      </c>
      <c r="D14" s="7" t="s">
        <v>19</v>
      </c>
      <c r="E14" s="7" t="s">
        <v>215</v>
      </c>
      <c r="F14" s="6">
        <v>2</v>
      </c>
      <c r="G14" s="8" t="s">
        <v>183</v>
      </c>
      <c r="H14" s="8" t="s">
        <v>184</v>
      </c>
      <c r="I14" s="109" t="s">
        <v>557</v>
      </c>
      <c r="J14" s="8" t="s">
        <v>208</v>
      </c>
      <c r="K14" s="14" t="b">
        <v>0</v>
      </c>
      <c r="L14" s="14" t="b">
        <v>1</v>
      </c>
      <c r="M14" s="14" t="b">
        <v>1</v>
      </c>
      <c r="N14" s="14" t="b">
        <v>0</v>
      </c>
      <c r="O14" s="14" t="b">
        <v>1</v>
      </c>
      <c r="W14" s="3"/>
    </row>
    <row r="15" spans="1:23" x14ac:dyDescent="0.25">
      <c r="A15" s="4">
        <v>461479004584</v>
      </c>
      <c r="B15" s="8" t="s">
        <v>560</v>
      </c>
      <c r="C15" s="8" t="s">
        <v>29</v>
      </c>
      <c r="D15" s="7" t="s">
        <v>19</v>
      </c>
      <c r="E15" s="7" t="s">
        <v>215</v>
      </c>
      <c r="F15" s="6">
        <v>2</v>
      </c>
      <c r="G15" s="8" t="s">
        <v>1355</v>
      </c>
      <c r="H15" s="8" t="s">
        <v>1356</v>
      </c>
      <c r="I15" s="109" t="s">
        <v>556</v>
      </c>
      <c r="J15" s="8" t="s">
        <v>208</v>
      </c>
      <c r="K15" s="14" t="b">
        <v>1</v>
      </c>
      <c r="L15" s="14" t="b">
        <v>0</v>
      </c>
      <c r="M15" s="14" t="b">
        <v>0</v>
      </c>
      <c r="N15" s="14" t="b">
        <v>1</v>
      </c>
      <c r="O15" s="14" t="b">
        <v>1</v>
      </c>
      <c r="W15" s="3"/>
    </row>
    <row r="16" spans="1:23" x14ac:dyDescent="0.25">
      <c r="A16" s="4">
        <v>461479005122</v>
      </c>
      <c r="B16" s="8" t="s">
        <v>1139</v>
      </c>
      <c r="C16" s="8" t="s">
        <v>29</v>
      </c>
      <c r="D16" s="7" t="s">
        <v>19</v>
      </c>
      <c r="E16" s="7" t="s">
        <v>215</v>
      </c>
      <c r="F16" s="6">
        <v>2</v>
      </c>
      <c r="G16" s="8" t="s">
        <v>1355</v>
      </c>
      <c r="H16" s="8" t="s">
        <v>1356</v>
      </c>
      <c r="I16" s="109" t="s">
        <v>556</v>
      </c>
      <c r="J16" s="8" t="s">
        <v>208</v>
      </c>
      <c r="K16" s="14" t="b">
        <v>1</v>
      </c>
      <c r="L16" s="14" t="b">
        <v>0</v>
      </c>
      <c r="M16" s="14" t="b">
        <v>0</v>
      </c>
      <c r="N16" s="14" t="b">
        <v>1</v>
      </c>
      <c r="O16" s="14" t="b">
        <v>1</v>
      </c>
      <c r="W16" s="3"/>
    </row>
    <row r="17" spans="1:23" x14ac:dyDescent="0.25">
      <c r="A17" s="4">
        <v>461479005122</v>
      </c>
      <c r="B17" s="8" t="s">
        <v>1139</v>
      </c>
      <c r="C17" s="8" t="s">
        <v>29</v>
      </c>
      <c r="D17" s="7" t="s">
        <v>19</v>
      </c>
      <c r="E17" s="7" t="s">
        <v>215</v>
      </c>
      <c r="F17" s="6">
        <v>2</v>
      </c>
      <c r="G17" s="8" t="s">
        <v>183</v>
      </c>
      <c r="H17" s="8" t="s">
        <v>184</v>
      </c>
      <c r="I17" s="109" t="s">
        <v>557</v>
      </c>
      <c r="J17" s="8" t="s">
        <v>208</v>
      </c>
      <c r="K17" s="14" t="b">
        <v>0</v>
      </c>
      <c r="L17" s="14" t="b">
        <v>1</v>
      </c>
      <c r="M17" s="14" t="b">
        <v>1</v>
      </c>
      <c r="N17" s="14" t="b">
        <v>0</v>
      </c>
      <c r="O17" s="14" t="b">
        <v>1</v>
      </c>
      <c r="W17" s="3"/>
    </row>
    <row r="18" spans="1:23" x14ac:dyDescent="0.25">
      <c r="A18" s="4">
        <v>461479007176</v>
      </c>
      <c r="B18" s="8" t="s">
        <v>1357</v>
      </c>
      <c r="C18" s="8" t="s">
        <v>29</v>
      </c>
      <c r="D18" s="7" t="s">
        <v>19</v>
      </c>
      <c r="E18" s="7" t="s">
        <v>215</v>
      </c>
      <c r="F18" s="6">
        <v>2</v>
      </c>
      <c r="G18" s="8" t="s">
        <v>183</v>
      </c>
      <c r="H18" s="8" t="s">
        <v>184</v>
      </c>
      <c r="I18" s="109" t="s">
        <v>557</v>
      </c>
      <c r="J18" s="8" t="s">
        <v>208</v>
      </c>
      <c r="K18" s="14" t="b">
        <v>0</v>
      </c>
      <c r="L18" s="14" t="b">
        <v>1</v>
      </c>
      <c r="M18" s="14" t="b">
        <v>1</v>
      </c>
      <c r="N18" s="14" t="b">
        <v>0</v>
      </c>
      <c r="O18" s="14" t="b">
        <v>1</v>
      </c>
      <c r="W18" s="3"/>
    </row>
    <row r="19" spans="1:23" x14ac:dyDescent="0.25">
      <c r="A19" s="4">
        <v>461479007176</v>
      </c>
      <c r="B19" s="8" t="s">
        <v>1357</v>
      </c>
      <c r="C19" s="8" t="s">
        <v>29</v>
      </c>
      <c r="D19" s="7" t="s">
        <v>19</v>
      </c>
      <c r="E19" s="7" t="s">
        <v>215</v>
      </c>
      <c r="F19" s="6">
        <v>2</v>
      </c>
      <c r="G19" s="8" t="s">
        <v>1355</v>
      </c>
      <c r="H19" s="8" t="s">
        <v>1356</v>
      </c>
      <c r="I19" s="109" t="s">
        <v>556</v>
      </c>
      <c r="J19" s="8" t="s">
        <v>208</v>
      </c>
      <c r="K19" s="14" t="b">
        <v>1</v>
      </c>
      <c r="L19" s="14" t="b">
        <v>0</v>
      </c>
      <c r="M19" s="14" t="b">
        <v>0</v>
      </c>
      <c r="N19" s="14" t="b">
        <v>1</v>
      </c>
      <c r="O19" s="14" t="b">
        <v>1</v>
      </c>
      <c r="W19" s="3"/>
    </row>
    <row r="20" spans="1:23" x14ac:dyDescent="0.25">
      <c r="A20" s="4">
        <v>603226000187</v>
      </c>
      <c r="B20" s="8" t="s">
        <v>561</v>
      </c>
      <c r="C20" s="8" t="s">
        <v>29</v>
      </c>
      <c r="D20" s="7" t="s">
        <v>19</v>
      </c>
      <c r="E20" s="7" t="s">
        <v>215</v>
      </c>
      <c r="F20" s="6">
        <v>2</v>
      </c>
      <c r="G20" s="8" t="s">
        <v>161</v>
      </c>
      <c r="H20" s="8" t="s">
        <v>162</v>
      </c>
      <c r="I20" s="109" t="s">
        <v>556</v>
      </c>
      <c r="J20" s="8" t="s">
        <v>208</v>
      </c>
      <c r="K20" s="14" t="b">
        <v>1</v>
      </c>
      <c r="L20" s="14" t="b">
        <v>0</v>
      </c>
      <c r="M20" s="14" t="b">
        <v>0</v>
      </c>
      <c r="N20" s="14" t="b">
        <v>1</v>
      </c>
      <c r="O20" s="14" t="b">
        <v>1</v>
      </c>
      <c r="W20" s="3"/>
    </row>
    <row r="21" spans="1:23" x14ac:dyDescent="0.25">
      <c r="A21" s="4">
        <v>603226000187</v>
      </c>
      <c r="B21" s="8" t="s">
        <v>561</v>
      </c>
      <c r="C21" s="8" t="s">
        <v>29</v>
      </c>
      <c r="D21" s="7" t="s">
        <v>19</v>
      </c>
      <c r="E21" s="7" t="s">
        <v>215</v>
      </c>
      <c r="F21" s="6">
        <v>2</v>
      </c>
      <c r="G21" s="8" t="s">
        <v>177</v>
      </c>
      <c r="H21" s="8" t="s">
        <v>178</v>
      </c>
      <c r="I21" s="109" t="s">
        <v>557</v>
      </c>
      <c r="J21" s="8" t="s">
        <v>208</v>
      </c>
      <c r="K21" s="14" t="b">
        <v>0</v>
      </c>
      <c r="L21" s="14" t="b">
        <v>1</v>
      </c>
      <c r="M21" s="14" t="b">
        <v>1</v>
      </c>
      <c r="N21" s="14" t="b">
        <v>0</v>
      </c>
      <c r="O21" s="14" t="b">
        <v>1</v>
      </c>
      <c r="W21" s="3"/>
    </row>
    <row r="22" spans="1:23" x14ac:dyDescent="0.25">
      <c r="A22" s="4">
        <v>2383508000494</v>
      </c>
      <c r="B22" s="8" t="s">
        <v>562</v>
      </c>
      <c r="C22" s="8" t="s">
        <v>29</v>
      </c>
      <c r="D22" s="7" t="s">
        <v>19</v>
      </c>
      <c r="E22" s="7" t="s">
        <v>215</v>
      </c>
      <c r="F22" s="6">
        <v>2</v>
      </c>
      <c r="G22" s="8" t="s">
        <v>147</v>
      </c>
      <c r="H22" s="8" t="s">
        <v>148</v>
      </c>
      <c r="I22" s="109" t="s">
        <v>557</v>
      </c>
      <c r="J22" s="8" t="s">
        <v>208</v>
      </c>
      <c r="K22" s="14" t="b">
        <v>0</v>
      </c>
      <c r="L22" s="14" t="b">
        <v>1</v>
      </c>
      <c r="M22" s="14" t="b">
        <v>1</v>
      </c>
      <c r="N22" s="14" t="b">
        <v>0</v>
      </c>
      <c r="O22" s="14" t="b">
        <v>1</v>
      </c>
      <c r="W22" s="3"/>
    </row>
    <row r="23" spans="1:23" x14ac:dyDescent="0.25">
      <c r="A23" s="4">
        <v>2383508000494</v>
      </c>
      <c r="B23" s="8" t="s">
        <v>562</v>
      </c>
      <c r="C23" s="8" t="s">
        <v>29</v>
      </c>
      <c r="D23" s="7" t="s">
        <v>19</v>
      </c>
      <c r="E23" s="7" t="s">
        <v>215</v>
      </c>
      <c r="F23" s="6">
        <v>2</v>
      </c>
      <c r="G23" s="8" t="s">
        <v>161</v>
      </c>
      <c r="H23" s="8" t="s">
        <v>162</v>
      </c>
      <c r="I23" s="109" t="s">
        <v>556</v>
      </c>
      <c r="J23" s="8" t="s">
        <v>208</v>
      </c>
      <c r="K23" s="14" t="b">
        <v>1</v>
      </c>
      <c r="L23" s="14" t="b">
        <v>0</v>
      </c>
      <c r="M23" s="14" t="b">
        <v>0</v>
      </c>
      <c r="N23" s="14" t="b">
        <v>1</v>
      </c>
      <c r="O23" s="14" t="b">
        <v>1</v>
      </c>
      <c r="W23" s="3"/>
    </row>
    <row r="24" spans="1:23" x14ac:dyDescent="0.25">
      <c r="A24" s="4">
        <v>2837922000183</v>
      </c>
      <c r="B24" s="8" t="s">
        <v>563</v>
      </c>
      <c r="C24" s="8" t="s">
        <v>29</v>
      </c>
      <c r="D24" s="7" t="s">
        <v>19</v>
      </c>
      <c r="E24" s="7" t="s">
        <v>215</v>
      </c>
      <c r="F24" s="6">
        <v>2</v>
      </c>
      <c r="G24" s="8" t="s">
        <v>147</v>
      </c>
      <c r="H24" s="8" t="s">
        <v>148</v>
      </c>
      <c r="I24" s="109" t="s">
        <v>557</v>
      </c>
      <c r="J24" s="8" t="s">
        <v>208</v>
      </c>
      <c r="K24" s="14" t="b">
        <v>0</v>
      </c>
      <c r="L24" s="14" t="b">
        <v>1</v>
      </c>
      <c r="M24" s="14" t="b">
        <v>1</v>
      </c>
      <c r="N24" s="14" t="b">
        <v>0</v>
      </c>
      <c r="O24" s="14" t="b">
        <v>1</v>
      </c>
      <c r="W24" s="3"/>
    </row>
    <row r="25" spans="1:23" x14ac:dyDescent="0.25">
      <c r="A25" s="4">
        <v>2837922000183</v>
      </c>
      <c r="B25" s="8" t="s">
        <v>563</v>
      </c>
      <c r="C25" s="8" t="s">
        <v>29</v>
      </c>
      <c r="D25" s="7" t="s">
        <v>19</v>
      </c>
      <c r="E25" s="7" t="s">
        <v>215</v>
      </c>
      <c r="F25" s="6">
        <v>2</v>
      </c>
      <c r="G25" s="8" t="s">
        <v>161</v>
      </c>
      <c r="H25" s="8" t="s">
        <v>162</v>
      </c>
      <c r="I25" s="109" t="s">
        <v>556</v>
      </c>
      <c r="J25" s="8" t="s">
        <v>208</v>
      </c>
      <c r="K25" s="14" t="b">
        <v>1</v>
      </c>
      <c r="L25" s="14" t="b">
        <v>0</v>
      </c>
      <c r="M25" s="14" t="b">
        <v>0</v>
      </c>
      <c r="N25" s="14" t="b">
        <v>1</v>
      </c>
      <c r="O25" s="14" t="b">
        <v>1</v>
      </c>
      <c r="W25" s="3"/>
    </row>
    <row r="26" spans="1:23" x14ac:dyDescent="0.25">
      <c r="A26" s="4">
        <v>3872790000193</v>
      </c>
      <c r="B26" s="8" t="s">
        <v>564</v>
      </c>
      <c r="C26" s="8" t="s">
        <v>29</v>
      </c>
      <c r="D26" s="7" t="s">
        <v>19</v>
      </c>
      <c r="E26" s="7" t="s">
        <v>215</v>
      </c>
      <c r="F26" s="6">
        <v>2</v>
      </c>
      <c r="G26" s="8" t="s">
        <v>161</v>
      </c>
      <c r="H26" s="8" t="s">
        <v>162</v>
      </c>
      <c r="I26" s="109" t="s">
        <v>556</v>
      </c>
      <c r="J26" s="8" t="s">
        <v>208</v>
      </c>
      <c r="K26" s="14" t="b">
        <v>1</v>
      </c>
      <c r="L26" s="14" t="b">
        <v>0</v>
      </c>
      <c r="M26" s="14" t="b">
        <v>0</v>
      </c>
      <c r="N26" s="14" t="b">
        <v>1</v>
      </c>
      <c r="O26" s="14" t="b">
        <v>1</v>
      </c>
      <c r="W26" s="3"/>
    </row>
    <row r="27" spans="1:23" x14ac:dyDescent="0.25">
      <c r="A27" s="4">
        <v>3872790000193</v>
      </c>
      <c r="B27" s="8" t="s">
        <v>564</v>
      </c>
      <c r="C27" s="8" t="s">
        <v>29</v>
      </c>
      <c r="D27" s="7" t="s">
        <v>19</v>
      </c>
      <c r="E27" s="7" t="s">
        <v>215</v>
      </c>
      <c r="F27" s="6">
        <v>2</v>
      </c>
      <c r="G27" s="8" t="s">
        <v>147</v>
      </c>
      <c r="H27" s="8" t="s">
        <v>148</v>
      </c>
      <c r="I27" s="109" t="s">
        <v>557</v>
      </c>
      <c r="J27" s="8" t="s">
        <v>208</v>
      </c>
      <c r="K27" s="14" t="b">
        <v>0</v>
      </c>
      <c r="L27" s="14" t="b">
        <v>1</v>
      </c>
      <c r="M27" s="14" t="b">
        <v>1</v>
      </c>
      <c r="N27" s="14" t="b">
        <v>0</v>
      </c>
      <c r="O27" s="14" t="b">
        <v>1</v>
      </c>
      <c r="W27" s="3"/>
    </row>
    <row r="28" spans="1:23" x14ac:dyDescent="0.25">
      <c r="A28" s="4">
        <v>4036348000190</v>
      </c>
      <c r="B28" s="8" t="s">
        <v>565</v>
      </c>
      <c r="C28" s="8" t="s">
        <v>29</v>
      </c>
      <c r="D28" s="7" t="s">
        <v>19</v>
      </c>
      <c r="E28" s="7" t="s">
        <v>215</v>
      </c>
      <c r="F28" s="6">
        <v>2</v>
      </c>
      <c r="G28" s="8" t="s">
        <v>1355</v>
      </c>
      <c r="H28" s="8" t="s">
        <v>1356</v>
      </c>
      <c r="I28" s="109" t="s">
        <v>556</v>
      </c>
      <c r="J28" s="8" t="s">
        <v>208</v>
      </c>
      <c r="K28" s="14" t="b">
        <v>1</v>
      </c>
      <c r="L28" s="14" t="b">
        <v>0</v>
      </c>
      <c r="M28" s="14" t="b">
        <v>0</v>
      </c>
      <c r="N28" s="14" t="b">
        <v>1</v>
      </c>
      <c r="O28" s="14" t="b">
        <v>1</v>
      </c>
      <c r="W28" s="3"/>
    </row>
    <row r="29" spans="1:23" x14ac:dyDescent="0.25">
      <c r="A29" s="4">
        <v>4036348000190</v>
      </c>
      <c r="B29" s="8" t="s">
        <v>565</v>
      </c>
      <c r="C29" s="8" t="s">
        <v>29</v>
      </c>
      <c r="D29" s="7" t="s">
        <v>19</v>
      </c>
      <c r="E29" s="7" t="s">
        <v>215</v>
      </c>
      <c r="F29" s="6">
        <v>2</v>
      </c>
      <c r="G29" s="8" t="s">
        <v>147</v>
      </c>
      <c r="H29" s="8" t="s">
        <v>148</v>
      </c>
      <c r="I29" s="109" t="s">
        <v>557</v>
      </c>
      <c r="J29" s="8" t="s">
        <v>208</v>
      </c>
      <c r="K29" s="14" t="b">
        <v>0</v>
      </c>
      <c r="L29" s="14" t="b">
        <v>1</v>
      </c>
      <c r="M29" s="14" t="b">
        <v>1</v>
      </c>
      <c r="N29" s="14" t="b">
        <v>0</v>
      </c>
      <c r="O29" s="14" t="b">
        <v>1</v>
      </c>
      <c r="W29" s="3"/>
    </row>
    <row r="30" spans="1:23" x14ac:dyDescent="0.25">
      <c r="A30" s="4">
        <v>4995603000121</v>
      </c>
      <c r="B30" s="8" t="s">
        <v>566</v>
      </c>
      <c r="C30" s="8" t="s">
        <v>29</v>
      </c>
      <c r="D30" s="7" t="s">
        <v>19</v>
      </c>
      <c r="E30" s="7" t="s">
        <v>215</v>
      </c>
      <c r="F30" s="6">
        <v>2</v>
      </c>
      <c r="G30" s="8" t="s">
        <v>183</v>
      </c>
      <c r="H30" s="8" t="s">
        <v>184</v>
      </c>
      <c r="I30" s="109" t="s">
        <v>557</v>
      </c>
      <c r="J30" s="8" t="s">
        <v>208</v>
      </c>
      <c r="K30" s="14" t="b">
        <v>0</v>
      </c>
      <c r="L30" s="14" t="b">
        <v>1</v>
      </c>
      <c r="M30" s="14" t="b">
        <v>1</v>
      </c>
      <c r="N30" s="14" t="b">
        <v>0</v>
      </c>
      <c r="O30" s="14" t="b">
        <v>1</v>
      </c>
      <c r="W30" s="3"/>
    </row>
    <row r="31" spans="1:23" x14ac:dyDescent="0.25">
      <c r="A31" s="4">
        <v>4995603000121</v>
      </c>
      <c r="B31" s="8" t="s">
        <v>566</v>
      </c>
      <c r="C31" s="8" t="s">
        <v>29</v>
      </c>
      <c r="D31" s="7" t="s">
        <v>19</v>
      </c>
      <c r="E31" s="7" t="s">
        <v>215</v>
      </c>
      <c r="F31" s="6">
        <v>2</v>
      </c>
      <c r="G31" s="8" t="s">
        <v>1355</v>
      </c>
      <c r="H31" s="8" t="s">
        <v>1356</v>
      </c>
      <c r="I31" s="109" t="s">
        <v>556</v>
      </c>
      <c r="J31" s="8" t="s">
        <v>208</v>
      </c>
      <c r="K31" s="14" t="b">
        <v>1</v>
      </c>
      <c r="L31" s="14" t="b">
        <v>0</v>
      </c>
      <c r="M31" s="14" t="b">
        <v>0</v>
      </c>
      <c r="N31" s="14" t="b">
        <v>1</v>
      </c>
      <c r="O31" s="14" t="b">
        <v>1</v>
      </c>
      <c r="W31" s="3"/>
    </row>
    <row r="32" spans="1:23" x14ac:dyDescent="0.25">
      <c r="A32" s="4">
        <v>5831510000124</v>
      </c>
      <c r="B32" s="8" t="s">
        <v>567</v>
      </c>
      <c r="C32" s="8" t="s">
        <v>29</v>
      </c>
      <c r="D32" s="7" t="s">
        <v>19</v>
      </c>
      <c r="E32" s="7" t="s">
        <v>215</v>
      </c>
      <c r="F32" s="6">
        <v>2</v>
      </c>
      <c r="G32" s="8" t="s">
        <v>161</v>
      </c>
      <c r="H32" s="8" t="s">
        <v>162</v>
      </c>
      <c r="I32" s="109" t="s">
        <v>556</v>
      </c>
      <c r="J32" s="8" t="s">
        <v>208</v>
      </c>
      <c r="K32" s="14" t="b">
        <v>1</v>
      </c>
      <c r="L32" s="14" t="b">
        <v>0</v>
      </c>
      <c r="M32" s="14" t="b">
        <v>0</v>
      </c>
      <c r="N32" s="14" t="b">
        <v>1</v>
      </c>
      <c r="O32" s="14" t="b">
        <v>1</v>
      </c>
      <c r="W32" s="3"/>
    </row>
    <row r="33" spans="1:23" x14ac:dyDescent="0.25">
      <c r="A33" s="4">
        <v>5831510000124</v>
      </c>
      <c r="B33" s="8" t="s">
        <v>567</v>
      </c>
      <c r="C33" s="8" t="s">
        <v>29</v>
      </c>
      <c r="D33" s="7" t="s">
        <v>19</v>
      </c>
      <c r="E33" s="7" t="s">
        <v>215</v>
      </c>
      <c r="F33" s="6">
        <v>2</v>
      </c>
      <c r="G33" s="8" t="s">
        <v>147</v>
      </c>
      <c r="H33" s="8" t="s">
        <v>148</v>
      </c>
      <c r="I33" s="109" t="s">
        <v>557</v>
      </c>
      <c r="J33" s="8" t="s">
        <v>208</v>
      </c>
      <c r="K33" s="14" t="b">
        <v>0</v>
      </c>
      <c r="L33" s="14" t="b">
        <v>1</v>
      </c>
      <c r="M33" s="14" t="b">
        <v>1</v>
      </c>
      <c r="N33" s="14" t="b">
        <v>0</v>
      </c>
      <c r="O33" s="14" t="b">
        <v>1</v>
      </c>
      <c r="W33" s="3"/>
    </row>
    <row r="34" spans="1:23" x14ac:dyDescent="0.25">
      <c r="A34" s="4">
        <v>6047087000139</v>
      </c>
      <c r="B34" s="8" t="s">
        <v>568</v>
      </c>
      <c r="C34" s="8" t="s">
        <v>29</v>
      </c>
      <c r="D34" s="7" t="s">
        <v>19</v>
      </c>
      <c r="E34" s="7" t="s">
        <v>215</v>
      </c>
      <c r="F34" s="6">
        <v>2</v>
      </c>
      <c r="G34" s="8" t="s">
        <v>147</v>
      </c>
      <c r="H34" s="8" t="s">
        <v>148</v>
      </c>
      <c r="I34" s="109" t="s">
        <v>557</v>
      </c>
      <c r="J34" s="8" t="s">
        <v>208</v>
      </c>
      <c r="K34" s="14" t="b">
        <v>0</v>
      </c>
      <c r="L34" s="14" t="b">
        <v>1</v>
      </c>
      <c r="M34" s="14" t="b">
        <v>1</v>
      </c>
      <c r="N34" s="14" t="b">
        <v>0</v>
      </c>
      <c r="O34" s="14" t="b">
        <v>1</v>
      </c>
      <c r="W34" s="3"/>
    </row>
    <row r="35" spans="1:23" x14ac:dyDescent="0.25">
      <c r="A35" s="4">
        <v>6047087000139</v>
      </c>
      <c r="B35" s="8" t="s">
        <v>568</v>
      </c>
      <c r="C35" s="8" t="s">
        <v>29</v>
      </c>
      <c r="D35" s="7" t="s">
        <v>19</v>
      </c>
      <c r="E35" s="7" t="s">
        <v>215</v>
      </c>
      <c r="F35" s="6">
        <v>2</v>
      </c>
      <c r="G35" s="8" t="s">
        <v>161</v>
      </c>
      <c r="H35" s="8" t="s">
        <v>162</v>
      </c>
      <c r="I35" s="109" t="s">
        <v>556</v>
      </c>
      <c r="J35" s="8" t="s">
        <v>208</v>
      </c>
      <c r="K35" s="14" t="b">
        <v>1</v>
      </c>
      <c r="L35" s="14" t="b">
        <v>0</v>
      </c>
      <c r="M35" s="14" t="b">
        <v>0</v>
      </c>
      <c r="N35" s="14" t="b">
        <v>1</v>
      </c>
      <c r="O35" s="14" t="b">
        <v>1</v>
      </c>
      <c r="W35" s="3"/>
    </row>
    <row r="36" spans="1:23" x14ac:dyDescent="0.25">
      <c r="A36" s="4">
        <v>6047087000210</v>
      </c>
      <c r="B36" s="8" t="s">
        <v>569</v>
      </c>
      <c r="C36" s="8" t="s">
        <v>29</v>
      </c>
      <c r="D36" s="7" t="s">
        <v>19</v>
      </c>
      <c r="E36" s="7" t="s">
        <v>215</v>
      </c>
      <c r="F36" s="6">
        <v>2</v>
      </c>
      <c r="G36" s="8" t="s">
        <v>161</v>
      </c>
      <c r="H36" s="8" t="s">
        <v>162</v>
      </c>
      <c r="I36" s="109" t="s">
        <v>556</v>
      </c>
      <c r="J36" s="8" t="s">
        <v>208</v>
      </c>
      <c r="K36" s="14" t="b">
        <v>1</v>
      </c>
      <c r="L36" s="14" t="b">
        <v>0</v>
      </c>
      <c r="M36" s="14" t="b">
        <v>0</v>
      </c>
      <c r="N36" s="14" t="b">
        <v>1</v>
      </c>
      <c r="O36" s="14" t="b">
        <v>1</v>
      </c>
      <c r="W36" s="3"/>
    </row>
    <row r="37" spans="1:23" x14ac:dyDescent="0.25">
      <c r="A37" s="4">
        <v>6047087000210</v>
      </c>
      <c r="B37" s="8" t="s">
        <v>569</v>
      </c>
      <c r="C37" s="8" t="s">
        <v>29</v>
      </c>
      <c r="D37" s="7" t="s">
        <v>19</v>
      </c>
      <c r="E37" s="7" t="s">
        <v>215</v>
      </c>
      <c r="F37" s="6">
        <v>2</v>
      </c>
      <c r="G37" s="8" t="s">
        <v>147</v>
      </c>
      <c r="H37" s="8" t="s">
        <v>148</v>
      </c>
      <c r="I37" s="109" t="s">
        <v>557</v>
      </c>
      <c r="J37" s="8" t="s">
        <v>208</v>
      </c>
      <c r="K37" s="14" t="b">
        <v>0</v>
      </c>
      <c r="L37" s="14" t="b">
        <v>1</v>
      </c>
      <c r="M37" s="14" t="b">
        <v>1</v>
      </c>
      <c r="N37" s="14" t="b">
        <v>0</v>
      </c>
      <c r="O37" s="14" t="b">
        <v>1</v>
      </c>
      <c r="W37" s="3"/>
    </row>
    <row r="38" spans="1:23" x14ac:dyDescent="0.25">
      <c r="A38" s="4">
        <v>6047087003820</v>
      </c>
      <c r="B38" s="8" t="s">
        <v>570</v>
      </c>
      <c r="C38" s="8" t="s">
        <v>29</v>
      </c>
      <c r="D38" s="7" t="s">
        <v>19</v>
      </c>
      <c r="E38" s="7" t="s">
        <v>215</v>
      </c>
      <c r="F38" s="6">
        <v>2</v>
      </c>
      <c r="G38" s="8" t="s">
        <v>147</v>
      </c>
      <c r="H38" s="8" t="s">
        <v>148</v>
      </c>
      <c r="I38" s="109" t="s">
        <v>557</v>
      </c>
      <c r="J38" s="8" t="s">
        <v>208</v>
      </c>
      <c r="K38" s="14" t="b">
        <v>0</v>
      </c>
      <c r="L38" s="14" t="b">
        <v>1</v>
      </c>
      <c r="M38" s="14" t="b">
        <v>1</v>
      </c>
      <c r="N38" s="14" t="b">
        <v>0</v>
      </c>
      <c r="O38" s="14" t="b">
        <v>1</v>
      </c>
      <c r="W38" s="3"/>
    </row>
    <row r="39" spans="1:23" x14ac:dyDescent="0.25">
      <c r="A39" s="4">
        <v>6047087003820</v>
      </c>
      <c r="B39" s="8" t="s">
        <v>570</v>
      </c>
      <c r="C39" s="8" t="s">
        <v>29</v>
      </c>
      <c r="D39" s="7" t="s">
        <v>19</v>
      </c>
      <c r="E39" s="7" t="s">
        <v>215</v>
      </c>
      <c r="F39" s="6">
        <v>2</v>
      </c>
      <c r="G39" s="8" t="s">
        <v>161</v>
      </c>
      <c r="H39" s="8" t="s">
        <v>162</v>
      </c>
      <c r="I39" s="109" t="s">
        <v>556</v>
      </c>
      <c r="J39" s="8" t="s">
        <v>208</v>
      </c>
      <c r="K39" s="14" t="b">
        <v>1</v>
      </c>
      <c r="L39" s="14" t="b">
        <v>0</v>
      </c>
      <c r="M39" s="14" t="b">
        <v>0</v>
      </c>
      <c r="N39" s="14" t="b">
        <v>1</v>
      </c>
      <c r="O39" s="14" t="b">
        <v>1</v>
      </c>
      <c r="W39" s="3"/>
    </row>
    <row r="40" spans="1:23" x14ac:dyDescent="0.25">
      <c r="A40" s="4">
        <v>7045325000130</v>
      </c>
      <c r="B40" s="8" t="s">
        <v>571</v>
      </c>
      <c r="C40" s="8" t="s">
        <v>29</v>
      </c>
      <c r="D40" s="7" t="s">
        <v>19</v>
      </c>
      <c r="E40" s="7" t="s">
        <v>215</v>
      </c>
      <c r="F40" s="6">
        <v>2</v>
      </c>
      <c r="G40" s="8" t="s">
        <v>161</v>
      </c>
      <c r="H40" s="8" t="s">
        <v>162</v>
      </c>
      <c r="I40" s="109" t="s">
        <v>556</v>
      </c>
      <c r="J40" s="8" t="s">
        <v>208</v>
      </c>
      <c r="K40" s="14" t="b">
        <v>1</v>
      </c>
      <c r="L40" s="14" t="b">
        <v>0</v>
      </c>
      <c r="M40" s="14" t="b">
        <v>0</v>
      </c>
      <c r="N40" s="14" t="b">
        <v>1</v>
      </c>
      <c r="O40" s="14" t="b">
        <v>1</v>
      </c>
      <c r="W40" s="3"/>
    </row>
    <row r="41" spans="1:23" x14ac:dyDescent="0.25">
      <c r="A41" s="4">
        <v>7045325000130</v>
      </c>
      <c r="B41" s="8" t="s">
        <v>571</v>
      </c>
      <c r="C41" s="8" t="s">
        <v>29</v>
      </c>
      <c r="D41" s="7" t="s">
        <v>19</v>
      </c>
      <c r="E41" s="7" t="s">
        <v>215</v>
      </c>
      <c r="F41" s="6">
        <v>2</v>
      </c>
      <c r="G41" s="8" t="s">
        <v>147</v>
      </c>
      <c r="H41" s="8" t="s">
        <v>148</v>
      </c>
      <c r="I41" s="109" t="s">
        <v>557</v>
      </c>
      <c r="J41" s="8" t="s">
        <v>208</v>
      </c>
      <c r="K41" s="14" t="b">
        <v>0</v>
      </c>
      <c r="L41" s="14" t="b">
        <v>1</v>
      </c>
      <c r="M41" s="14" t="b">
        <v>1</v>
      </c>
      <c r="N41" s="14" t="b">
        <v>0</v>
      </c>
      <c r="O41" s="14" t="b">
        <v>1</v>
      </c>
      <c r="W41" s="3"/>
    </row>
    <row r="42" spans="1:23" x14ac:dyDescent="0.25">
      <c r="A42" s="4">
        <v>8100676000592</v>
      </c>
      <c r="B42" s="8" t="s">
        <v>572</v>
      </c>
      <c r="C42" s="8" t="s">
        <v>29</v>
      </c>
      <c r="D42" s="7" t="s">
        <v>19</v>
      </c>
      <c r="E42" s="7" t="s">
        <v>215</v>
      </c>
      <c r="F42" s="6">
        <v>2</v>
      </c>
      <c r="G42" s="8" t="s">
        <v>183</v>
      </c>
      <c r="H42" s="8" t="s">
        <v>184</v>
      </c>
      <c r="I42" s="109" t="s">
        <v>557</v>
      </c>
      <c r="J42" s="8" t="s">
        <v>208</v>
      </c>
      <c r="K42" s="14" t="b">
        <v>0</v>
      </c>
      <c r="L42" s="14" t="b">
        <v>1</v>
      </c>
      <c r="M42" s="14" t="b">
        <v>1</v>
      </c>
      <c r="N42" s="14" t="b">
        <v>0</v>
      </c>
      <c r="O42" s="14" t="b">
        <v>1</v>
      </c>
      <c r="W42" s="3"/>
    </row>
    <row r="43" spans="1:23" x14ac:dyDescent="0.25">
      <c r="A43" s="4">
        <v>8100676000592</v>
      </c>
      <c r="B43" s="8" t="s">
        <v>572</v>
      </c>
      <c r="C43" s="8" t="s">
        <v>29</v>
      </c>
      <c r="D43" s="7" t="s">
        <v>19</v>
      </c>
      <c r="E43" s="7" t="s">
        <v>215</v>
      </c>
      <c r="F43" s="6">
        <v>2</v>
      </c>
      <c r="G43" s="8" t="s">
        <v>161</v>
      </c>
      <c r="H43" s="8" t="s">
        <v>162</v>
      </c>
      <c r="I43" s="109" t="s">
        <v>556</v>
      </c>
      <c r="J43" s="8" t="s">
        <v>208</v>
      </c>
      <c r="K43" s="14" t="b">
        <v>1</v>
      </c>
      <c r="L43" s="14" t="b">
        <v>0</v>
      </c>
      <c r="M43" s="14" t="b">
        <v>0</v>
      </c>
      <c r="N43" s="14" t="b">
        <v>1</v>
      </c>
      <c r="O43" s="14" t="b">
        <v>1</v>
      </c>
      <c r="W43" s="3"/>
    </row>
    <row r="44" spans="1:23" x14ac:dyDescent="0.25">
      <c r="A44" s="4">
        <v>8100676000673</v>
      </c>
      <c r="B44" s="8" t="s">
        <v>1155</v>
      </c>
      <c r="C44" s="8" t="s">
        <v>29</v>
      </c>
      <c r="D44" s="7" t="s">
        <v>19</v>
      </c>
      <c r="E44" s="7" t="s">
        <v>215</v>
      </c>
      <c r="F44" s="6">
        <v>2</v>
      </c>
      <c r="G44" s="8" t="s">
        <v>161</v>
      </c>
      <c r="H44" s="8" t="s">
        <v>162</v>
      </c>
      <c r="I44" s="109" t="s">
        <v>556</v>
      </c>
      <c r="J44" s="8" t="s">
        <v>208</v>
      </c>
      <c r="K44" s="14" t="b">
        <v>1</v>
      </c>
      <c r="L44" s="14" t="b">
        <v>0</v>
      </c>
      <c r="M44" s="14" t="b">
        <v>0</v>
      </c>
      <c r="N44" s="14" t="b">
        <v>1</v>
      </c>
      <c r="O44" s="14" t="b">
        <v>1</v>
      </c>
      <c r="W44" s="3"/>
    </row>
    <row r="45" spans="1:23" x14ac:dyDescent="0.25">
      <c r="A45" s="4">
        <v>8100676000673</v>
      </c>
      <c r="B45" s="8" t="s">
        <v>1155</v>
      </c>
      <c r="C45" s="8" t="s">
        <v>29</v>
      </c>
      <c r="D45" s="7" t="s">
        <v>19</v>
      </c>
      <c r="E45" s="7" t="s">
        <v>215</v>
      </c>
      <c r="F45" s="6">
        <v>2</v>
      </c>
      <c r="G45" s="8" t="s">
        <v>183</v>
      </c>
      <c r="H45" s="8" t="s">
        <v>184</v>
      </c>
      <c r="I45" s="109" t="s">
        <v>557</v>
      </c>
      <c r="J45" s="8" t="s">
        <v>208</v>
      </c>
      <c r="K45" s="14" t="b">
        <v>0</v>
      </c>
      <c r="L45" s="14" t="b">
        <v>1</v>
      </c>
      <c r="M45" s="14" t="b">
        <v>1</v>
      </c>
      <c r="N45" s="14" t="b">
        <v>0</v>
      </c>
      <c r="O45" s="14" t="b">
        <v>1</v>
      </c>
      <c r="W45" s="3"/>
    </row>
    <row r="46" spans="1:23" x14ac:dyDescent="0.25">
      <c r="A46" s="4">
        <v>8100676000835</v>
      </c>
      <c r="B46" s="8" t="s">
        <v>573</v>
      </c>
      <c r="C46" s="8" t="s">
        <v>29</v>
      </c>
      <c r="D46" s="7" t="s">
        <v>19</v>
      </c>
      <c r="E46" s="7" t="s">
        <v>215</v>
      </c>
      <c r="F46" s="6">
        <v>2</v>
      </c>
      <c r="G46" s="8" t="s">
        <v>183</v>
      </c>
      <c r="H46" s="8" t="s">
        <v>184</v>
      </c>
      <c r="I46" s="109" t="s">
        <v>557</v>
      </c>
      <c r="J46" s="8" t="s">
        <v>208</v>
      </c>
      <c r="K46" s="14" t="b">
        <v>0</v>
      </c>
      <c r="L46" s="14" t="b">
        <v>1</v>
      </c>
      <c r="M46" s="14" t="b">
        <v>1</v>
      </c>
      <c r="N46" s="14" t="b">
        <v>0</v>
      </c>
      <c r="O46" s="14" t="b">
        <v>1</v>
      </c>
      <c r="W46" s="3"/>
    </row>
    <row r="47" spans="1:23" x14ac:dyDescent="0.25">
      <c r="A47" s="4">
        <v>8100676000835</v>
      </c>
      <c r="B47" s="8" t="s">
        <v>573</v>
      </c>
      <c r="C47" s="8" t="s">
        <v>29</v>
      </c>
      <c r="D47" s="7" t="s">
        <v>19</v>
      </c>
      <c r="E47" s="7" t="s">
        <v>215</v>
      </c>
      <c r="F47" s="6">
        <v>2</v>
      </c>
      <c r="G47" s="8" t="s">
        <v>161</v>
      </c>
      <c r="H47" s="8" t="s">
        <v>162</v>
      </c>
      <c r="I47" s="109" t="s">
        <v>556</v>
      </c>
      <c r="J47" s="8" t="s">
        <v>208</v>
      </c>
      <c r="K47" s="14" t="b">
        <v>1</v>
      </c>
      <c r="L47" s="14" t="b">
        <v>0</v>
      </c>
      <c r="M47" s="14" t="b">
        <v>0</v>
      </c>
      <c r="N47" s="14" t="b">
        <v>1</v>
      </c>
      <c r="O47" s="14" t="b">
        <v>1</v>
      </c>
      <c r="W47" s="3"/>
    </row>
    <row r="48" spans="1:23" x14ac:dyDescent="0.25">
      <c r="A48" s="4">
        <v>8100676002455</v>
      </c>
      <c r="B48" s="8" t="s">
        <v>574</v>
      </c>
      <c r="C48" s="8" t="s">
        <v>29</v>
      </c>
      <c r="D48" s="7" t="s">
        <v>19</v>
      </c>
      <c r="E48" s="7" t="s">
        <v>215</v>
      </c>
      <c r="F48" s="6">
        <v>2</v>
      </c>
      <c r="G48" s="8" t="s">
        <v>183</v>
      </c>
      <c r="H48" s="8" t="s">
        <v>184</v>
      </c>
      <c r="I48" s="109" t="s">
        <v>557</v>
      </c>
      <c r="J48" s="8" t="s">
        <v>208</v>
      </c>
      <c r="K48" s="14" t="b">
        <v>0</v>
      </c>
      <c r="L48" s="14" t="b">
        <v>1</v>
      </c>
      <c r="M48" s="14" t="b">
        <v>1</v>
      </c>
      <c r="N48" s="14" t="b">
        <v>0</v>
      </c>
      <c r="O48" s="14" t="b">
        <v>1</v>
      </c>
      <c r="W48" s="3"/>
    </row>
    <row r="49" spans="1:23" x14ac:dyDescent="0.25">
      <c r="A49" s="4">
        <v>8100676002455</v>
      </c>
      <c r="B49" s="8" t="s">
        <v>574</v>
      </c>
      <c r="C49" s="8" t="s">
        <v>29</v>
      </c>
      <c r="D49" s="7" t="s">
        <v>19</v>
      </c>
      <c r="E49" s="7" t="s">
        <v>215</v>
      </c>
      <c r="F49" s="6">
        <v>2</v>
      </c>
      <c r="G49" s="8" t="s">
        <v>161</v>
      </c>
      <c r="H49" s="8" t="s">
        <v>162</v>
      </c>
      <c r="I49" s="109" t="s">
        <v>556</v>
      </c>
      <c r="J49" s="8" t="s">
        <v>208</v>
      </c>
      <c r="K49" s="14" t="b">
        <v>1</v>
      </c>
      <c r="L49" s="14" t="b">
        <v>0</v>
      </c>
      <c r="M49" s="14" t="b">
        <v>0</v>
      </c>
      <c r="N49" s="14" t="b">
        <v>1</v>
      </c>
      <c r="O49" s="14" t="b">
        <v>1</v>
      </c>
      <c r="W49" s="3"/>
    </row>
    <row r="50" spans="1:23" x14ac:dyDescent="0.25">
      <c r="A50" s="4">
        <v>8438844000392</v>
      </c>
      <c r="B50" s="8" t="s">
        <v>575</v>
      </c>
      <c r="C50" s="8" t="s">
        <v>29</v>
      </c>
      <c r="D50" s="7" t="s">
        <v>19</v>
      </c>
      <c r="E50" s="7" t="s">
        <v>215</v>
      </c>
      <c r="F50" s="6">
        <v>2</v>
      </c>
      <c r="G50" s="8" t="s">
        <v>183</v>
      </c>
      <c r="H50" s="8" t="s">
        <v>184</v>
      </c>
      <c r="I50" s="109" t="s">
        <v>557</v>
      </c>
      <c r="J50" s="8" t="s">
        <v>208</v>
      </c>
      <c r="K50" s="14" t="b">
        <v>0</v>
      </c>
      <c r="L50" s="14" t="b">
        <v>1</v>
      </c>
      <c r="M50" s="14" t="b">
        <v>1</v>
      </c>
      <c r="N50" s="14" t="b">
        <v>0</v>
      </c>
      <c r="O50" s="14" t="b">
        <v>1</v>
      </c>
      <c r="W50" s="3"/>
    </row>
    <row r="51" spans="1:23" x14ac:dyDescent="0.25">
      <c r="A51" s="4">
        <v>8438844000392</v>
      </c>
      <c r="B51" s="8" t="s">
        <v>575</v>
      </c>
      <c r="C51" s="8" t="s">
        <v>29</v>
      </c>
      <c r="D51" s="7" t="s">
        <v>19</v>
      </c>
      <c r="E51" s="7" t="s">
        <v>215</v>
      </c>
      <c r="F51" s="6">
        <v>2</v>
      </c>
      <c r="G51" s="8" t="s">
        <v>161</v>
      </c>
      <c r="H51" s="8" t="s">
        <v>162</v>
      </c>
      <c r="I51" s="109" t="s">
        <v>556</v>
      </c>
      <c r="J51" s="8" t="s">
        <v>208</v>
      </c>
      <c r="K51" s="14" t="b">
        <v>1</v>
      </c>
      <c r="L51" s="14" t="b">
        <v>0</v>
      </c>
      <c r="M51" s="14" t="b">
        <v>0</v>
      </c>
      <c r="N51" s="14" t="b">
        <v>1</v>
      </c>
      <c r="O51" s="14" t="b">
        <v>1</v>
      </c>
      <c r="W51" s="3"/>
    </row>
    <row r="52" spans="1:23" x14ac:dyDescent="0.25">
      <c r="A52" s="4">
        <v>8604105000161</v>
      </c>
      <c r="B52" s="8" t="s">
        <v>1358</v>
      </c>
      <c r="C52" s="8" t="s">
        <v>29</v>
      </c>
      <c r="D52" s="7" t="s">
        <v>19</v>
      </c>
      <c r="E52" s="7" t="s">
        <v>215</v>
      </c>
      <c r="F52" s="6">
        <v>2</v>
      </c>
      <c r="G52" s="8" t="s">
        <v>177</v>
      </c>
      <c r="H52" s="8" t="s">
        <v>178</v>
      </c>
      <c r="I52" s="109" t="s">
        <v>557</v>
      </c>
      <c r="J52" s="8" t="s">
        <v>208</v>
      </c>
      <c r="K52" s="14" t="b">
        <v>0</v>
      </c>
      <c r="L52" s="14" t="b">
        <v>1</v>
      </c>
      <c r="M52" s="14" t="b">
        <v>1</v>
      </c>
      <c r="N52" s="14" t="b">
        <v>0</v>
      </c>
      <c r="O52" s="14" t="b">
        <v>1</v>
      </c>
      <c r="W52" s="3"/>
    </row>
    <row r="53" spans="1:23" x14ac:dyDescent="0.25">
      <c r="A53" s="4">
        <v>8604105000161</v>
      </c>
      <c r="B53" s="8" t="s">
        <v>1358</v>
      </c>
      <c r="C53" s="8" t="s">
        <v>29</v>
      </c>
      <c r="D53" s="7" t="s">
        <v>19</v>
      </c>
      <c r="E53" s="7" t="s">
        <v>215</v>
      </c>
      <c r="F53" s="6">
        <v>2</v>
      </c>
      <c r="G53" s="8" t="s">
        <v>161</v>
      </c>
      <c r="H53" s="8" t="s">
        <v>162</v>
      </c>
      <c r="I53" s="109" t="s">
        <v>556</v>
      </c>
      <c r="J53" s="8" t="s">
        <v>208</v>
      </c>
      <c r="K53" s="14" t="b">
        <v>1</v>
      </c>
      <c r="L53" s="14" t="b">
        <v>0</v>
      </c>
      <c r="M53" s="14" t="b">
        <v>0</v>
      </c>
      <c r="N53" s="14" t="b">
        <v>1</v>
      </c>
      <c r="O53" s="14" t="b">
        <v>1</v>
      </c>
      <c r="W53" s="3"/>
    </row>
    <row r="54" spans="1:23" x14ac:dyDescent="0.25">
      <c r="A54" s="4">
        <v>8677327000104</v>
      </c>
      <c r="B54" s="8" t="s">
        <v>576</v>
      </c>
      <c r="C54" s="8" t="s">
        <v>29</v>
      </c>
      <c r="D54" s="7" t="s">
        <v>19</v>
      </c>
      <c r="E54" s="7" t="s">
        <v>215</v>
      </c>
      <c r="F54" s="6">
        <v>2</v>
      </c>
      <c r="G54" s="8" t="s">
        <v>161</v>
      </c>
      <c r="H54" s="8" t="s">
        <v>162</v>
      </c>
      <c r="I54" s="109" t="s">
        <v>556</v>
      </c>
      <c r="J54" s="8" t="s">
        <v>208</v>
      </c>
      <c r="K54" s="14" t="b">
        <v>1</v>
      </c>
      <c r="L54" s="14" t="b">
        <v>0</v>
      </c>
      <c r="M54" s="14" t="b">
        <v>0</v>
      </c>
      <c r="N54" s="14" t="b">
        <v>1</v>
      </c>
      <c r="O54" s="14" t="b">
        <v>1</v>
      </c>
      <c r="W54" s="3"/>
    </row>
    <row r="55" spans="1:23" x14ac:dyDescent="0.25">
      <c r="A55" s="4">
        <v>8677327000104</v>
      </c>
      <c r="B55" s="8" t="s">
        <v>576</v>
      </c>
      <c r="C55" s="8" t="s">
        <v>29</v>
      </c>
      <c r="D55" s="7" t="s">
        <v>19</v>
      </c>
      <c r="E55" s="7" t="s">
        <v>215</v>
      </c>
      <c r="F55" s="6">
        <v>2</v>
      </c>
      <c r="G55" s="8" t="s">
        <v>177</v>
      </c>
      <c r="H55" s="8" t="s">
        <v>178</v>
      </c>
      <c r="I55" s="109" t="s">
        <v>557</v>
      </c>
      <c r="J55" s="8" t="s">
        <v>208</v>
      </c>
      <c r="K55" s="14" t="b">
        <v>0</v>
      </c>
      <c r="L55" s="14" t="b">
        <v>1</v>
      </c>
      <c r="M55" s="14" t="b">
        <v>1</v>
      </c>
      <c r="N55" s="14" t="b">
        <v>0</v>
      </c>
      <c r="O55" s="14" t="b">
        <v>1</v>
      </c>
      <c r="W55" s="3"/>
    </row>
    <row r="56" spans="1:23" x14ac:dyDescent="0.25">
      <c r="A56" s="4">
        <v>8871521000126</v>
      </c>
      <c r="B56" s="8" t="s">
        <v>577</v>
      </c>
      <c r="C56" s="8" t="s">
        <v>29</v>
      </c>
      <c r="D56" s="7" t="s">
        <v>19</v>
      </c>
      <c r="E56" s="7" t="s">
        <v>215</v>
      </c>
      <c r="F56" s="6">
        <v>2</v>
      </c>
      <c r="G56" s="8" t="s">
        <v>1355</v>
      </c>
      <c r="H56" s="8" t="s">
        <v>1356</v>
      </c>
      <c r="I56" s="109" t="s">
        <v>556</v>
      </c>
      <c r="J56" s="8" t="s">
        <v>208</v>
      </c>
      <c r="K56" s="14" t="b">
        <v>1</v>
      </c>
      <c r="L56" s="14" t="b">
        <v>0</v>
      </c>
      <c r="M56" s="14" t="b">
        <v>0</v>
      </c>
      <c r="N56" s="14" t="b">
        <v>1</v>
      </c>
      <c r="O56" s="14" t="b">
        <v>1</v>
      </c>
      <c r="W56" s="3"/>
    </row>
    <row r="57" spans="1:23" x14ac:dyDescent="0.25">
      <c r="A57" s="4">
        <v>8871521000126</v>
      </c>
      <c r="B57" s="8" t="s">
        <v>577</v>
      </c>
      <c r="C57" s="8" t="s">
        <v>29</v>
      </c>
      <c r="D57" s="7" t="s">
        <v>19</v>
      </c>
      <c r="E57" s="7" t="s">
        <v>215</v>
      </c>
      <c r="F57" s="6">
        <v>2</v>
      </c>
      <c r="G57" s="8" t="s">
        <v>177</v>
      </c>
      <c r="H57" s="8" t="s">
        <v>178</v>
      </c>
      <c r="I57" s="109" t="s">
        <v>557</v>
      </c>
      <c r="J57" s="8" t="s">
        <v>208</v>
      </c>
      <c r="K57" s="14" t="b">
        <v>0</v>
      </c>
      <c r="L57" s="14" t="b">
        <v>1</v>
      </c>
      <c r="M57" s="14" t="b">
        <v>1</v>
      </c>
      <c r="N57" s="14" t="b">
        <v>0</v>
      </c>
      <c r="O57" s="14" t="b">
        <v>1</v>
      </c>
      <c r="W57" s="3"/>
    </row>
    <row r="58" spans="1:23" x14ac:dyDescent="0.25">
      <c r="A58" s="4">
        <v>9087150000159</v>
      </c>
      <c r="B58" s="8" t="s">
        <v>578</v>
      </c>
      <c r="C58" s="8" t="s">
        <v>29</v>
      </c>
      <c r="D58" s="7" t="s">
        <v>19</v>
      </c>
      <c r="E58" s="7" t="s">
        <v>215</v>
      </c>
      <c r="F58" s="6">
        <v>2</v>
      </c>
      <c r="G58" s="8" t="s">
        <v>1355</v>
      </c>
      <c r="H58" s="8" t="s">
        <v>1356</v>
      </c>
      <c r="I58" s="109" t="s">
        <v>556</v>
      </c>
      <c r="J58" s="8" t="s">
        <v>208</v>
      </c>
      <c r="K58" s="14" t="b">
        <v>1</v>
      </c>
      <c r="L58" s="14" t="b">
        <v>0</v>
      </c>
      <c r="M58" s="14" t="b">
        <v>0</v>
      </c>
      <c r="N58" s="14" t="b">
        <v>1</v>
      </c>
      <c r="O58" s="14" t="b">
        <v>1</v>
      </c>
      <c r="W58" s="3"/>
    </row>
    <row r="59" spans="1:23" x14ac:dyDescent="0.25">
      <c r="A59" s="4">
        <v>9087150000159</v>
      </c>
      <c r="B59" s="8" t="s">
        <v>578</v>
      </c>
      <c r="C59" s="8" t="s">
        <v>29</v>
      </c>
      <c r="D59" s="7" t="s">
        <v>19</v>
      </c>
      <c r="E59" s="7" t="s">
        <v>215</v>
      </c>
      <c r="F59" s="6">
        <v>2</v>
      </c>
      <c r="G59" s="8" t="s">
        <v>177</v>
      </c>
      <c r="H59" s="8" t="s">
        <v>178</v>
      </c>
      <c r="I59" s="109" t="s">
        <v>557</v>
      </c>
      <c r="J59" s="8" t="s">
        <v>208</v>
      </c>
      <c r="K59" s="14" t="b">
        <v>0</v>
      </c>
      <c r="L59" s="14" t="b">
        <v>1</v>
      </c>
      <c r="M59" s="14" t="b">
        <v>1</v>
      </c>
      <c r="N59" s="14" t="b">
        <v>0</v>
      </c>
      <c r="O59" s="14" t="b">
        <v>1</v>
      </c>
      <c r="W59" s="3"/>
    </row>
    <row r="60" spans="1:23" x14ac:dyDescent="0.25">
      <c r="A60" s="4">
        <v>10211939000230</v>
      </c>
      <c r="B60" s="8" t="s">
        <v>579</v>
      </c>
      <c r="C60" s="8" t="s">
        <v>29</v>
      </c>
      <c r="D60" s="7" t="s">
        <v>19</v>
      </c>
      <c r="E60" s="7" t="s">
        <v>215</v>
      </c>
      <c r="F60" s="6">
        <v>2</v>
      </c>
      <c r="G60" s="8" t="s">
        <v>1355</v>
      </c>
      <c r="H60" s="8" t="s">
        <v>1356</v>
      </c>
      <c r="I60" s="109" t="s">
        <v>556</v>
      </c>
      <c r="J60" s="8" t="s">
        <v>208</v>
      </c>
      <c r="K60" s="14" t="b">
        <v>1</v>
      </c>
      <c r="L60" s="14" t="b">
        <v>0</v>
      </c>
      <c r="M60" s="14" t="b">
        <v>0</v>
      </c>
      <c r="N60" s="14" t="b">
        <v>1</v>
      </c>
      <c r="O60" s="14" t="b">
        <v>1</v>
      </c>
      <c r="W60" s="3"/>
    </row>
    <row r="61" spans="1:23" x14ac:dyDescent="0.25">
      <c r="A61" s="4">
        <v>10211939000230</v>
      </c>
      <c r="B61" s="8" t="s">
        <v>579</v>
      </c>
      <c r="C61" s="8" t="s">
        <v>29</v>
      </c>
      <c r="D61" s="7" t="s">
        <v>19</v>
      </c>
      <c r="E61" s="7" t="s">
        <v>215</v>
      </c>
      <c r="F61" s="6">
        <v>2</v>
      </c>
      <c r="G61" s="8" t="s">
        <v>183</v>
      </c>
      <c r="H61" s="8" t="s">
        <v>184</v>
      </c>
      <c r="I61" s="109" t="s">
        <v>557</v>
      </c>
      <c r="J61" s="8" t="s">
        <v>208</v>
      </c>
      <c r="K61" s="14" t="b">
        <v>0</v>
      </c>
      <c r="L61" s="14" t="b">
        <v>1</v>
      </c>
      <c r="M61" s="14" t="b">
        <v>1</v>
      </c>
      <c r="N61" s="14" t="b">
        <v>0</v>
      </c>
      <c r="O61" s="14" t="b">
        <v>1</v>
      </c>
      <c r="W61" s="3"/>
    </row>
    <row r="62" spans="1:23" x14ac:dyDescent="0.25">
      <c r="A62" s="4">
        <v>10323381000101</v>
      </c>
      <c r="B62" s="8" t="s">
        <v>580</v>
      </c>
      <c r="C62" s="8" t="s">
        <v>29</v>
      </c>
      <c r="D62" s="7" t="s">
        <v>19</v>
      </c>
      <c r="E62" s="7" t="s">
        <v>215</v>
      </c>
      <c r="F62" s="6">
        <v>2</v>
      </c>
      <c r="G62" s="8" t="s">
        <v>147</v>
      </c>
      <c r="H62" s="8" t="s">
        <v>148</v>
      </c>
      <c r="I62" s="109" t="s">
        <v>557</v>
      </c>
      <c r="J62" s="8" t="s">
        <v>208</v>
      </c>
      <c r="K62" s="14" t="b">
        <v>0</v>
      </c>
      <c r="L62" s="14" t="b">
        <v>1</v>
      </c>
      <c r="M62" s="14" t="b">
        <v>1</v>
      </c>
      <c r="N62" s="14" t="b">
        <v>0</v>
      </c>
      <c r="O62" s="14" t="b">
        <v>1</v>
      </c>
      <c r="W62" s="3"/>
    </row>
    <row r="63" spans="1:23" x14ac:dyDescent="0.25">
      <c r="A63" s="4">
        <v>10323381000101</v>
      </c>
      <c r="B63" s="8" t="s">
        <v>580</v>
      </c>
      <c r="C63" s="8" t="s">
        <v>29</v>
      </c>
      <c r="D63" s="7" t="s">
        <v>19</v>
      </c>
      <c r="E63" s="7" t="s">
        <v>215</v>
      </c>
      <c r="F63" s="6">
        <v>2</v>
      </c>
      <c r="G63" s="8" t="s">
        <v>161</v>
      </c>
      <c r="H63" s="8" t="s">
        <v>162</v>
      </c>
      <c r="I63" s="109" t="s">
        <v>556</v>
      </c>
      <c r="J63" s="8" t="s">
        <v>208</v>
      </c>
      <c r="K63" s="14" t="b">
        <v>1</v>
      </c>
      <c r="L63" s="14" t="b">
        <v>0</v>
      </c>
      <c r="M63" s="14" t="b">
        <v>0</v>
      </c>
      <c r="N63" s="14" t="b">
        <v>1</v>
      </c>
      <c r="O63" s="14" t="b">
        <v>1</v>
      </c>
      <c r="W63" s="3"/>
    </row>
    <row r="64" spans="1:23" x14ac:dyDescent="0.25">
      <c r="A64" s="4">
        <v>10468341000140</v>
      </c>
      <c r="B64" s="8" t="s">
        <v>581</v>
      </c>
      <c r="C64" s="8" t="s">
        <v>29</v>
      </c>
      <c r="D64" s="7" t="s">
        <v>19</v>
      </c>
      <c r="E64" s="7" t="s">
        <v>215</v>
      </c>
      <c r="F64" s="6">
        <v>2</v>
      </c>
      <c r="G64" s="8" t="s">
        <v>161</v>
      </c>
      <c r="H64" s="8" t="s">
        <v>162</v>
      </c>
      <c r="I64" s="109" t="s">
        <v>556</v>
      </c>
      <c r="J64" s="8" t="s">
        <v>208</v>
      </c>
      <c r="K64" s="14" t="b">
        <v>1</v>
      </c>
      <c r="L64" s="14" t="b">
        <v>0</v>
      </c>
      <c r="M64" s="14" t="b">
        <v>0</v>
      </c>
      <c r="N64" s="14" t="b">
        <v>1</v>
      </c>
      <c r="O64" s="14" t="b">
        <v>1</v>
      </c>
      <c r="W64" s="3"/>
    </row>
    <row r="65" spans="1:23" x14ac:dyDescent="0.25">
      <c r="A65" s="4">
        <v>10468341000140</v>
      </c>
      <c r="B65" s="8" t="s">
        <v>581</v>
      </c>
      <c r="C65" s="8" t="s">
        <v>29</v>
      </c>
      <c r="D65" s="7" t="s">
        <v>19</v>
      </c>
      <c r="E65" s="7" t="s">
        <v>215</v>
      </c>
      <c r="F65" s="6">
        <v>2</v>
      </c>
      <c r="G65" s="8" t="s">
        <v>183</v>
      </c>
      <c r="H65" s="8" t="s">
        <v>184</v>
      </c>
      <c r="I65" s="109" t="s">
        <v>557</v>
      </c>
      <c r="J65" s="8" t="s">
        <v>208</v>
      </c>
      <c r="K65" s="14" t="b">
        <v>0</v>
      </c>
      <c r="L65" s="14" t="b">
        <v>1</v>
      </c>
      <c r="M65" s="14" t="b">
        <v>1</v>
      </c>
      <c r="N65" s="14" t="b">
        <v>0</v>
      </c>
      <c r="O65" s="14" t="b">
        <v>1</v>
      </c>
      <c r="W65" s="3"/>
    </row>
    <row r="66" spans="1:23" x14ac:dyDescent="0.25">
      <c r="A66" s="4">
        <v>10468341000220</v>
      </c>
      <c r="B66" s="8" t="s">
        <v>582</v>
      </c>
      <c r="C66" s="8" t="s">
        <v>29</v>
      </c>
      <c r="D66" s="7" t="s">
        <v>19</v>
      </c>
      <c r="E66" s="7" t="s">
        <v>215</v>
      </c>
      <c r="F66" s="6">
        <v>2</v>
      </c>
      <c r="G66" s="8" t="s">
        <v>183</v>
      </c>
      <c r="H66" s="8" t="s">
        <v>184</v>
      </c>
      <c r="I66" s="109" t="s">
        <v>557</v>
      </c>
      <c r="J66" s="8" t="s">
        <v>208</v>
      </c>
      <c r="K66" s="14" t="b">
        <v>0</v>
      </c>
      <c r="L66" s="14" t="b">
        <v>1</v>
      </c>
      <c r="M66" s="14" t="b">
        <v>1</v>
      </c>
      <c r="N66" s="14" t="b">
        <v>0</v>
      </c>
      <c r="O66" s="14" t="b">
        <v>1</v>
      </c>
      <c r="W66" s="3"/>
    </row>
    <row r="67" spans="1:23" x14ac:dyDescent="0.25">
      <c r="A67" s="4">
        <v>10468341000220</v>
      </c>
      <c r="B67" s="8" t="s">
        <v>582</v>
      </c>
      <c r="C67" s="8" t="s">
        <v>29</v>
      </c>
      <c r="D67" s="7" t="s">
        <v>19</v>
      </c>
      <c r="E67" s="7" t="s">
        <v>215</v>
      </c>
      <c r="F67" s="6">
        <v>2</v>
      </c>
      <c r="G67" s="8" t="s">
        <v>161</v>
      </c>
      <c r="H67" s="8" t="s">
        <v>162</v>
      </c>
      <c r="I67" s="109" t="s">
        <v>556</v>
      </c>
      <c r="J67" s="8" t="s">
        <v>208</v>
      </c>
      <c r="K67" s="14" t="b">
        <v>1</v>
      </c>
      <c r="L67" s="14" t="b">
        <v>0</v>
      </c>
      <c r="M67" s="14" t="b">
        <v>0</v>
      </c>
      <c r="N67" s="14" t="b">
        <v>1</v>
      </c>
      <c r="O67" s="14" t="b">
        <v>1</v>
      </c>
      <c r="W67" s="3"/>
    </row>
    <row r="68" spans="1:23" x14ac:dyDescent="0.25">
      <c r="A68" s="4">
        <v>10475230000160</v>
      </c>
      <c r="B68" s="8" t="s">
        <v>583</v>
      </c>
      <c r="C68" s="8" t="s">
        <v>29</v>
      </c>
      <c r="D68" s="7" t="s">
        <v>19</v>
      </c>
      <c r="E68" s="7" t="s">
        <v>215</v>
      </c>
      <c r="F68" s="6">
        <v>2</v>
      </c>
      <c r="G68" s="8" t="s">
        <v>161</v>
      </c>
      <c r="H68" s="8" t="s">
        <v>162</v>
      </c>
      <c r="I68" s="109" t="s">
        <v>556</v>
      </c>
      <c r="J68" s="8" t="s">
        <v>208</v>
      </c>
      <c r="K68" s="14" t="b">
        <v>1</v>
      </c>
      <c r="L68" s="14" t="b">
        <v>0</v>
      </c>
      <c r="M68" s="14" t="b">
        <v>0</v>
      </c>
      <c r="N68" s="14" t="b">
        <v>1</v>
      </c>
      <c r="O68" s="14" t="b">
        <v>1</v>
      </c>
      <c r="W68" s="3"/>
    </row>
    <row r="69" spans="1:23" x14ac:dyDescent="0.25">
      <c r="A69" s="4">
        <v>10475230000160</v>
      </c>
      <c r="B69" s="8" t="s">
        <v>583</v>
      </c>
      <c r="C69" s="8" t="s">
        <v>29</v>
      </c>
      <c r="D69" s="7" t="s">
        <v>19</v>
      </c>
      <c r="E69" s="7" t="s">
        <v>215</v>
      </c>
      <c r="F69" s="6">
        <v>2</v>
      </c>
      <c r="G69" s="8" t="s">
        <v>177</v>
      </c>
      <c r="H69" s="8" t="s">
        <v>178</v>
      </c>
      <c r="I69" s="109" t="s">
        <v>557</v>
      </c>
      <c r="J69" s="8" t="s">
        <v>208</v>
      </c>
      <c r="K69" s="14" t="b">
        <v>0</v>
      </c>
      <c r="L69" s="14" t="b">
        <v>1</v>
      </c>
      <c r="M69" s="14" t="b">
        <v>1</v>
      </c>
      <c r="N69" s="14" t="b">
        <v>0</v>
      </c>
      <c r="O69" s="14" t="b">
        <v>1</v>
      </c>
      <c r="W69" s="3"/>
    </row>
    <row r="70" spans="1:23" x14ac:dyDescent="0.25">
      <c r="A70" s="4">
        <v>13718999000150</v>
      </c>
      <c r="B70" s="8" t="s">
        <v>584</v>
      </c>
      <c r="C70" s="8" t="s">
        <v>29</v>
      </c>
      <c r="D70" s="7" t="s">
        <v>19</v>
      </c>
      <c r="E70" s="7" t="s">
        <v>215</v>
      </c>
      <c r="F70" s="6">
        <v>2</v>
      </c>
      <c r="G70" s="8" t="s">
        <v>161</v>
      </c>
      <c r="H70" s="8" t="s">
        <v>162</v>
      </c>
      <c r="I70" s="109" t="s">
        <v>556</v>
      </c>
      <c r="J70" s="8" t="s">
        <v>208</v>
      </c>
      <c r="K70" s="14" t="b">
        <v>1</v>
      </c>
      <c r="L70" s="14" t="b">
        <v>0</v>
      </c>
      <c r="M70" s="14" t="b">
        <v>0</v>
      </c>
      <c r="N70" s="14" t="b">
        <v>1</v>
      </c>
      <c r="O70" s="14" t="b">
        <v>1</v>
      </c>
      <c r="W70" s="3"/>
    </row>
    <row r="71" spans="1:23" x14ac:dyDescent="0.25">
      <c r="A71" s="4">
        <v>13718999000150</v>
      </c>
      <c r="B71" s="8" t="s">
        <v>584</v>
      </c>
      <c r="C71" s="8" t="s">
        <v>29</v>
      </c>
      <c r="D71" s="7" t="s">
        <v>19</v>
      </c>
      <c r="E71" s="7" t="s">
        <v>215</v>
      </c>
      <c r="F71" s="6">
        <v>2</v>
      </c>
      <c r="G71" s="8" t="s">
        <v>147</v>
      </c>
      <c r="H71" s="8" t="s">
        <v>148</v>
      </c>
      <c r="I71" s="109" t="s">
        <v>557</v>
      </c>
      <c r="J71" s="8" t="s">
        <v>208</v>
      </c>
      <c r="K71" s="14" t="b">
        <v>0</v>
      </c>
      <c r="L71" s="14" t="b">
        <v>1</v>
      </c>
      <c r="M71" s="14" t="b">
        <v>1</v>
      </c>
      <c r="N71" s="14" t="b">
        <v>0</v>
      </c>
      <c r="O71" s="14" t="b">
        <v>1</v>
      </c>
      <c r="W71" s="3"/>
    </row>
    <row r="72" spans="1:23" x14ac:dyDescent="0.25">
      <c r="A72" s="4">
        <v>15217814000150</v>
      </c>
      <c r="B72" s="8" t="s">
        <v>1167</v>
      </c>
      <c r="C72" s="8" t="s">
        <v>29</v>
      </c>
      <c r="D72" s="7" t="s">
        <v>19</v>
      </c>
      <c r="E72" s="7" t="s">
        <v>215</v>
      </c>
      <c r="F72" s="6">
        <v>2</v>
      </c>
      <c r="G72" s="8" t="s">
        <v>183</v>
      </c>
      <c r="H72" s="8" t="s">
        <v>184</v>
      </c>
      <c r="I72" s="109" t="s">
        <v>557</v>
      </c>
      <c r="J72" s="8" t="s">
        <v>208</v>
      </c>
      <c r="K72" s="14" t="b">
        <v>0</v>
      </c>
      <c r="L72" s="14" t="b">
        <v>1</v>
      </c>
      <c r="M72" s="14" t="b">
        <v>1</v>
      </c>
      <c r="N72" s="14" t="b">
        <v>0</v>
      </c>
      <c r="O72" s="14" t="b">
        <v>1</v>
      </c>
      <c r="W72" s="3"/>
    </row>
    <row r="73" spans="1:23" x14ac:dyDescent="0.25">
      <c r="A73" s="4">
        <v>15217814000150</v>
      </c>
      <c r="B73" s="8" t="s">
        <v>1167</v>
      </c>
      <c r="C73" s="8" t="s">
        <v>29</v>
      </c>
      <c r="D73" s="7" t="s">
        <v>19</v>
      </c>
      <c r="E73" s="7" t="s">
        <v>215</v>
      </c>
      <c r="F73" s="6">
        <v>2</v>
      </c>
      <c r="G73" s="8" t="s">
        <v>161</v>
      </c>
      <c r="H73" s="8" t="s">
        <v>162</v>
      </c>
      <c r="I73" s="109" t="s">
        <v>556</v>
      </c>
      <c r="J73" s="8" t="s">
        <v>208</v>
      </c>
      <c r="K73" s="14" t="b">
        <v>1</v>
      </c>
      <c r="L73" s="14" t="b">
        <v>0</v>
      </c>
      <c r="M73" s="14" t="b">
        <v>0</v>
      </c>
      <c r="N73" s="14" t="b">
        <v>1</v>
      </c>
      <c r="O73" s="14" t="b">
        <v>1</v>
      </c>
      <c r="W73" s="3"/>
    </row>
    <row r="74" spans="1:23" x14ac:dyDescent="0.25">
      <c r="A74" s="4">
        <v>18180008000142</v>
      </c>
      <c r="B74" s="8" t="s">
        <v>585</v>
      </c>
      <c r="C74" s="8" t="s">
        <v>29</v>
      </c>
      <c r="D74" s="7" t="s">
        <v>19</v>
      </c>
      <c r="E74" s="7" t="s">
        <v>215</v>
      </c>
      <c r="F74" s="6">
        <v>2</v>
      </c>
      <c r="G74" s="8" t="s">
        <v>177</v>
      </c>
      <c r="H74" s="8" t="s">
        <v>178</v>
      </c>
      <c r="I74" s="109" t="s">
        <v>557</v>
      </c>
      <c r="J74" s="8" t="s">
        <v>208</v>
      </c>
      <c r="K74" s="14" t="b">
        <v>0</v>
      </c>
      <c r="L74" s="14" t="b">
        <v>1</v>
      </c>
      <c r="M74" s="14" t="b">
        <v>1</v>
      </c>
      <c r="N74" s="14" t="b">
        <v>0</v>
      </c>
      <c r="O74" s="14" t="b">
        <v>1</v>
      </c>
      <c r="W74" s="3"/>
    </row>
    <row r="75" spans="1:23" x14ac:dyDescent="0.25">
      <c r="A75" s="4">
        <v>18180008000142</v>
      </c>
      <c r="B75" s="8" t="s">
        <v>585</v>
      </c>
      <c r="C75" s="8" t="s">
        <v>29</v>
      </c>
      <c r="D75" s="7" t="s">
        <v>19</v>
      </c>
      <c r="E75" s="7" t="s">
        <v>215</v>
      </c>
      <c r="F75" s="6">
        <v>2</v>
      </c>
      <c r="G75" s="8" t="s">
        <v>161</v>
      </c>
      <c r="H75" s="8" t="s">
        <v>162</v>
      </c>
      <c r="I75" s="109" t="s">
        <v>556</v>
      </c>
      <c r="J75" s="8" t="s">
        <v>208</v>
      </c>
      <c r="K75" s="14" t="b">
        <v>1</v>
      </c>
      <c r="L75" s="14" t="b">
        <v>0</v>
      </c>
      <c r="M75" s="14" t="b">
        <v>0</v>
      </c>
      <c r="N75" s="14" t="b">
        <v>1</v>
      </c>
      <c r="O75" s="14" t="b">
        <v>1</v>
      </c>
      <c r="W75" s="3"/>
    </row>
    <row r="76" spans="1:23" x14ac:dyDescent="0.25">
      <c r="A76" s="4">
        <v>19056055000141</v>
      </c>
      <c r="B76" s="8" t="s">
        <v>586</v>
      </c>
      <c r="C76" s="8" t="s">
        <v>29</v>
      </c>
      <c r="D76" s="7" t="s">
        <v>19</v>
      </c>
      <c r="E76" s="7" t="s">
        <v>215</v>
      </c>
      <c r="F76" s="6">
        <v>2</v>
      </c>
      <c r="G76" s="8" t="s">
        <v>161</v>
      </c>
      <c r="H76" s="8" t="s">
        <v>162</v>
      </c>
      <c r="I76" s="109" t="s">
        <v>556</v>
      </c>
      <c r="J76" s="8" t="s">
        <v>208</v>
      </c>
      <c r="K76" s="14" t="b">
        <v>1</v>
      </c>
      <c r="L76" s="14" t="b">
        <v>0</v>
      </c>
      <c r="M76" s="14" t="b">
        <v>0</v>
      </c>
      <c r="N76" s="14" t="b">
        <v>1</v>
      </c>
      <c r="O76" s="14" t="b">
        <v>1</v>
      </c>
      <c r="W76" s="3"/>
    </row>
    <row r="77" spans="1:23" x14ac:dyDescent="0.25">
      <c r="A77" s="4">
        <v>19056055000141</v>
      </c>
      <c r="B77" s="8" t="s">
        <v>586</v>
      </c>
      <c r="C77" s="8" t="s">
        <v>29</v>
      </c>
      <c r="D77" s="7" t="s">
        <v>19</v>
      </c>
      <c r="E77" s="7" t="s">
        <v>215</v>
      </c>
      <c r="F77" s="6">
        <v>2</v>
      </c>
      <c r="G77" s="8" t="s">
        <v>177</v>
      </c>
      <c r="H77" s="8" t="s">
        <v>178</v>
      </c>
      <c r="I77" s="109" t="s">
        <v>557</v>
      </c>
      <c r="J77" s="8" t="s">
        <v>208</v>
      </c>
      <c r="K77" s="14" t="b">
        <v>0</v>
      </c>
      <c r="L77" s="14" t="b">
        <v>1</v>
      </c>
      <c r="M77" s="14" t="b">
        <v>1</v>
      </c>
      <c r="N77" s="14" t="b">
        <v>0</v>
      </c>
      <c r="O77" s="14" t="b">
        <v>1</v>
      </c>
      <c r="W77" s="3"/>
    </row>
    <row r="78" spans="1:23" x14ac:dyDescent="0.25">
      <c r="A78" s="4">
        <v>19803199000114</v>
      </c>
      <c r="B78" s="8" t="s">
        <v>587</v>
      </c>
      <c r="C78" s="8" t="s">
        <v>29</v>
      </c>
      <c r="D78" s="7" t="s">
        <v>19</v>
      </c>
      <c r="E78" s="7" t="s">
        <v>215</v>
      </c>
      <c r="F78" s="6">
        <v>2</v>
      </c>
      <c r="G78" s="8" t="s">
        <v>161</v>
      </c>
      <c r="H78" s="8" t="s">
        <v>162</v>
      </c>
      <c r="I78" s="109" t="s">
        <v>556</v>
      </c>
      <c r="J78" s="8" t="s">
        <v>208</v>
      </c>
      <c r="K78" s="14" t="b">
        <v>1</v>
      </c>
      <c r="L78" s="14" t="b">
        <v>0</v>
      </c>
      <c r="M78" s="14" t="b">
        <v>0</v>
      </c>
      <c r="N78" s="14" t="b">
        <v>1</v>
      </c>
      <c r="O78" s="14" t="b">
        <v>1</v>
      </c>
      <c r="W78" s="3"/>
    </row>
    <row r="79" spans="1:23" x14ac:dyDescent="0.25">
      <c r="A79" s="4">
        <v>19803199000114</v>
      </c>
      <c r="B79" s="8" t="s">
        <v>587</v>
      </c>
      <c r="C79" s="8" t="s">
        <v>29</v>
      </c>
      <c r="D79" s="7" t="s">
        <v>19</v>
      </c>
      <c r="E79" s="7" t="s">
        <v>215</v>
      </c>
      <c r="F79" s="6">
        <v>2</v>
      </c>
      <c r="G79" s="8" t="s">
        <v>183</v>
      </c>
      <c r="H79" s="8" t="s">
        <v>184</v>
      </c>
      <c r="I79" s="109" t="s">
        <v>557</v>
      </c>
      <c r="J79" s="8" t="s">
        <v>208</v>
      </c>
      <c r="K79" s="14" t="b">
        <v>0</v>
      </c>
      <c r="L79" s="14" t="b">
        <v>1</v>
      </c>
      <c r="M79" s="14" t="b">
        <v>1</v>
      </c>
      <c r="N79" s="14" t="b">
        <v>0</v>
      </c>
      <c r="O79" s="14" t="b">
        <v>1</v>
      </c>
      <c r="W79" s="3"/>
    </row>
    <row r="80" spans="1:23" x14ac:dyDescent="0.25">
      <c r="A80" s="4">
        <v>20812223000241</v>
      </c>
      <c r="B80" s="8" t="s">
        <v>588</v>
      </c>
      <c r="C80" s="8" t="s">
        <v>29</v>
      </c>
      <c r="D80" s="7" t="s">
        <v>19</v>
      </c>
      <c r="E80" s="7" t="s">
        <v>215</v>
      </c>
      <c r="F80" s="6">
        <v>2</v>
      </c>
      <c r="G80" s="8" t="s">
        <v>161</v>
      </c>
      <c r="H80" s="8" t="s">
        <v>162</v>
      </c>
      <c r="I80" s="109" t="s">
        <v>556</v>
      </c>
      <c r="J80" s="8" t="s">
        <v>208</v>
      </c>
      <c r="K80" s="14" t="b">
        <v>1</v>
      </c>
      <c r="L80" s="14" t="b">
        <v>0</v>
      </c>
      <c r="M80" s="14" t="b">
        <v>0</v>
      </c>
      <c r="N80" s="14" t="b">
        <v>1</v>
      </c>
      <c r="O80" s="14" t="b">
        <v>1</v>
      </c>
      <c r="W80" s="3"/>
    </row>
    <row r="81" spans="1:23" x14ac:dyDescent="0.25">
      <c r="A81" s="4">
        <v>20812223000241</v>
      </c>
      <c r="B81" s="8" t="s">
        <v>588</v>
      </c>
      <c r="C81" s="8" t="s">
        <v>29</v>
      </c>
      <c r="D81" s="7" t="s">
        <v>19</v>
      </c>
      <c r="E81" s="7" t="s">
        <v>215</v>
      </c>
      <c r="F81" s="6">
        <v>2</v>
      </c>
      <c r="G81" s="8" t="s">
        <v>147</v>
      </c>
      <c r="H81" s="8" t="s">
        <v>148</v>
      </c>
      <c r="I81" s="109" t="s">
        <v>557</v>
      </c>
      <c r="J81" s="8" t="s">
        <v>208</v>
      </c>
      <c r="K81" s="14" t="b">
        <v>0</v>
      </c>
      <c r="L81" s="14" t="b">
        <v>1</v>
      </c>
      <c r="M81" s="14" t="b">
        <v>1</v>
      </c>
      <c r="N81" s="14" t="b">
        <v>0</v>
      </c>
      <c r="O81" s="14" t="b">
        <v>1</v>
      </c>
      <c r="W81" s="3"/>
    </row>
    <row r="82" spans="1:23" x14ac:dyDescent="0.25">
      <c r="A82" s="4">
        <v>20973216000140</v>
      </c>
      <c r="B82" s="8" t="s">
        <v>1359</v>
      </c>
      <c r="C82" s="8" t="s">
        <v>29</v>
      </c>
      <c r="D82" s="7" t="s">
        <v>19</v>
      </c>
      <c r="E82" s="7" t="s">
        <v>215</v>
      </c>
      <c r="F82" s="6">
        <v>2</v>
      </c>
      <c r="G82" s="8" t="s">
        <v>161</v>
      </c>
      <c r="H82" s="8" t="s">
        <v>162</v>
      </c>
      <c r="I82" s="109" t="s">
        <v>556</v>
      </c>
      <c r="J82" s="8" t="s">
        <v>208</v>
      </c>
      <c r="K82" s="14" t="b">
        <v>1</v>
      </c>
      <c r="L82" s="14" t="b">
        <v>0</v>
      </c>
      <c r="M82" s="14" t="b">
        <v>0</v>
      </c>
      <c r="N82" s="14" t="b">
        <v>1</v>
      </c>
      <c r="O82" s="14" t="b">
        <v>1</v>
      </c>
      <c r="W82" s="3"/>
    </row>
    <row r="83" spans="1:23" x14ac:dyDescent="0.25">
      <c r="A83" s="4">
        <v>20973216000140</v>
      </c>
      <c r="B83" s="8" t="s">
        <v>1359</v>
      </c>
      <c r="C83" s="8" t="s">
        <v>29</v>
      </c>
      <c r="D83" s="7" t="s">
        <v>19</v>
      </c>
      <c r="E83" s="7" t="s">
        <v>215</v>
      </c>
      <c r="F83" s="6">
        <v>2</v>
      </c>
      <c r="G83" s="8" t="s">
        <v>177</v>
      </c>
      <c r="H83" s="8" t="s">
        <v>178</v>
      </c>
      <c r="I83" s="109" t="s">
        <v>557</v>
      </c>
      <c r="J83" s="8" t="s">
        <v>208</v>
      </c>
      <c r="K83" s="14" t="b">
        <v>0</v>
      </c>
      <c r="L83" s="14" t="b">
        <v>1</v>
      </c>
      <c r="M83" s="14" t="b">
        <v>1</v>
      </c>
      <c r="N83" s="14" t="b">
        <v>0</v>
      </c>
      <c r="O83" s="14" t="b">
        <v>1</v>
      </c>
      <c r="W83" s="3"/>
    </row>
    <row r="84" spans="1:23" x14ac:dyDescent="0.25">
      <c r="A84" s="4">
        <v>21371777000132</v>
      </c>
      <c r="B84" s="8" t="s">
        <v>589</v>
      </c>
      <c r="C84" s="8" t="s">
        <v>29</v>
      </c>
      <c r="D84" s="7" t="s">
        <v>19</v>
      </c>
      <c r="E84" s="7" t="s">
        <v>215</v>
      </c>
      <c r="F84" s="6">
        <v>2</v>
      </c>
      <c r="G84" s="8" t="s">
        <v>161</v>
      </c>
      <c r="H84" s="8" t="s">
        <v>162</v>
      </c>
      <c r="I84" s="109" t="s">
        <v>556</v>
      </c>
      <c r="J84" s="8" t="s">
        <v>208</v>
      </c>
      <c r="K84" s="14" t="b">
        <v>1</v>
      </c>
      <c r="L84" s="14" t="b">
        <v>0</v>
      </c>
      <c r="M84" s="14" t="b">
        <v>0</v>
      </c>
      <c r="N84" s="14" t="b">
        <v>1</v>
      </c>
      <c r="O84" s="14" t="b">
        <v>1</v>
      </c>
      <c r="W84" s="3"/>
    </row>
    <row r="85" spans="1:23" x14ac:dyDescent="0.25">
      <c r="A85" s="4">
        <v>21371777000132</v>
      </c>
      <c r="B85" s="8" t="s">
        <v>589</v>
      </c>
      <c r="C85" s="8" t="s">
        <v>29</v>
      </c>
      <c r="D85" s="7" t="s">
        <v>19</v>
      </c>
      <c r="E85" s="7" t="s">
        <v>215</v>
      </c>
      <c r="F85" s="6">
        <v>2</v>
      </c>
      <c r="G85" s="8" t="s">
        <v>183</v>
      </c>
      <c r="H85" s="8" t="s">
        <v>184</v>
      </c>
      <c r="I85" s="109" t="s">
        <v>557</v>
      </c>
      <c r="J85" s="8" t="s">
        <v>208</v>
      </c>
      <c r="K85" s="14" t="b">
        <v>0</v>
      </c>
      <c r="L85" s="14" t="b">
        <v>1</v>
      </c>
      <c r="M85" s="14" t="b">
        <v>1</v>
      </c>
      <c r="N85" s="14" t="b">
        <v>0</v>
      </c>
      <c r="O85" s="14" t="b">
        <v>1</v>
      </c>
      <c r="W85" s="3"/>
    </row>
    <row r="86" spans="1:23" x14ac:dyDescent="0.25">
      <c r="A86" s="4">
        <v>22227973000109</v>
      </c>
      <c r="B86" s="8" t="s">
        <v>590</v>
      </c>
      <c r="C86" s="8" t="s">
        <v>29</v>
      </c>
      <c r="D86" s="7" t="s">
        <v>19</v>
      </c>
      <c r="E86" s="7" t="s">
        <v>215</v>
      </c>
      <c r="F86" s="6">
        <v>2</v>
      </c>
      <c r="G86" s="8" t="s">
        <v>161</v>
      </c>
      <c r="H86" s="8" t="s">
        <v>162</v>
      </c>
      <c r="I86" s="109" t="s">
        <v>556</v>
      </c>
      <c r="J86" s="8" t="s">
        <v>208</v>
      </c>
      <c r="K86" s="14" t="b">
        <v>1</v>
      </c>
      <c r="L86" s="14" t="b">
        <v>0</v>
      </c>
      <c r="M86" s="14" t="b">
        <v>0</v>
      </c>
      <c r="N86" s="14" t="b">
        <v>1</v>
      </c>
      <c r="O86" s="14" t="b">
        <v>1</v>
      </c>
      <c r="W86" s="3"/>
    </row>
    <row r="87" spans="1:23" x14ac:dyDescent="0.25">
      <c r="A87" s="4">
        <v>22227973000109</v>
      </c>
      <c r="B87" s="8" t="s">
        <v>590</v>
      </c>
      <c r="C87" s="8" t="s">
        <v>29</v>
      </c>
      <c r="D87" s="7" t="s">
        <v>19</v>
      </c>
      <c r="E87" s="7" t="s">
        <v>215</v>
      </c>
      <c r="F87" s="6">
        <v>2</v>
      </c>
      <c r="G87" s="8" t="s">
        <v>183</v>
      </c>
      <c r="H87" s="8" t="s">
        <v>184</v>
      </c>
      <c r="I87" s="109" t="s">
        <v>557</v>
      </c>
      <c r="J87" s="8" t="s">
        <v>208</v>
      </c>
      <c r="K87" s="14" t="b">
        <v>0</v>
      </c>
      <c r="L87" s="14" t="b">
        <v>1</v>
      </c>
      <c r="M87" s="14" t="b">
        <v>1</v>
      </c>
      <c r="N87" s="14" t="b">
        <v>0</v>
      </c>
      <c r="O87" s="14" t="b">
        <v>1</v>
      </c>
      <c r="W87" s="3"/>
    </row>
    <row r="88" spans="1:23" x14ac:dyDescent="0.25">
      <c r="A88" s="4">
        <v>28290788000137</v>
      </c>
      <c r="B88" s="8" t="s">
        <v>591</v>
      </c>
      <c r="C88" s="8" t="s">
        <v>29</v>
      </c>
      <c r="D88" s="7" t="s">
        <v>19</v>
      </c>
      <c r="E88" s="7" t="s">
        <v>215</v>
      </c>
      <c r="F88" s="6">
        <v>2</v>
      </c>
      <c r="G88" s="8" t="s">
        <v>161</v>
      </c>
      <c r="H88" s="8" t="s">
        <v>162</v>
      </c>
      <c r="I88" s="109" t="s">
        <v>556</v>
      </c>
      <c r="J88" s="8" t="s">
        <v>208</v>
      </c>
      <c r="K88" s="14" t="b">
        <v>1</v>
      </c>
      <c r="L88" s="14" t="b">
        <v>0</v>
      </c>
      <c r="M88" s="14" t="b">
        <v>0</v>
      </c>
      <c r="N88" s="14" t="b">
        <v>1</v>
      </c>
      <c r="O88" s="14" t="b">
        <v>1</v>
      </c>
      <c r="W88" s="3"/>
    </row>
    <row r="89" spans="1:23" x14ac:dyDescent="0.25">
      <c r="A89" s="4">
        <v>28290788000137</v>
      </c>
      <c r="B89" s="8" t="s">
        <v>591</v>
      </c>
      <c r="C89" s="8" t="s">
        <v>29</v>
      </c>
      <c r="D89" s="7" t="s">
        <v>19</v>
      </c>
      <c r="E89" s="7" t="s">
        <v>215</v>
      </c>
      <c r="F89" s="6">
        <v>2</v>
      </c>
      <c r="G89" s="8" t="s">
        <v>147</v>
      </c>
      <c r="H89" s="8" t="s">
        <v>148</v>
      </c>
      <c r="I89" s="109" t="s">
        <v>557</v>
      </c>
      <c r="J89" s="8" t="s">
        <v>208</v>
      </c>
      <c r="K89" s="14" t="b">
        <v>0</v>
      </c>
      <c r="L89" s="14" t="b">
        <v>1</v>
      </c>
      <c r="M89" s="14" t="b">
        <v>1</v>
      </c>
      <c r="N89" s="14" t="b">
        <v>0</v>
      </c>
      <c r="O89" s="14" t="b">
        <v>1</v>
      </c>
      <c r="W89" s="3"/>
    </row>
    <row r="90" spans="1:23" x14ac:dyDescent="0.25">
      <c r="A90" s="4">
        <v>28290788000307</v>
      </c>
      <c r="B90" s="8" t="s">
        <v>592</v>
      </c>
      <c r="C90" s="8" t="s">
        <v>29</v>
      </c>
      <c r="D90" s="7" t="s">
        <v>19</v>
      </c>
      <c r="E90" s="7" t="s">
        <v>215</v>
      </c>
      <c r="F90" s="6">
        <v>2</v>
      </c>
      <c r="G90" s="8" t="s">
        <v>147</v>
      </c>
      <c r="H90" s="8" t="s">
        <v>148</v>
      </c>
      <c r="I90" s="109" t="s">
        <v>557</v>
      </c>
      <c r="J90" s="8" t="s">
        <v>208</v>
      </c>
      <c r="K90" s="14" t="b">
        <v>0</v>
      </c>
      <c r="L90" s="14" t="b">
        <v>1</v>
      </c>
      <c r="M90" s="14" t="b">
        <v>1</v>
      </c>
      <c r="N90" s="14" t="b">
        <v>0</v>
      </c>
      <c r="O90" s="14" t="b">
        <v>1</v>
      </c>
      <c r="W90" s="3"/>
    </row>
    <row r="91" spans="1:23" x14ac:dyDescent="0.25">
      <c r="A91" s="4">
        <v>28290788000307</v>
      </c>
      <c r="B91" s="8" t="s">
        <v>592</v>
      </c>
      <c r="C91" s="8" t="s">
        <v>29</v>
      </c>
      <c r="D91" s="7" t="s">
        <v>19</v>
      </c>
      <c r="E91" s="7" t="s">
        <v>215</v>
      </c>
      <c r="F91" s="6">
        <v>2</v>
      </c>
      <c r="G91" s="8" t="s">
        <v>1355</v>
      </c>
      <c r="H91" s="8" t="s">
        <v>1356</v>
      </c>
      <c r="I91" s="109" t="s">
        <v>556</v>
      </c>
      <c r="J91" s="8" t="s">
        <v>208</v>
      </c>
      <c r="K91" s="14" t="b">
        <v>1</v>
      </c>
      <c r="L91" s="14" t="b">
        <v>0</v>
      </c>
      <c r="M91" s="14" t="b">
        <v>0</v>
      </c>
      <c r="N91" s="14" t="b">
        <v>1</v>
      </c>
      <c r="O91" s="14" t="b">
        <v>1</v>
      </c>
      <c r="W91" s="3"/>
    </row>
    <row r="92" spans="1:23" x14ac:dyDescent="0.25">
      <c r="A92" s="4">
        <v>29435005002687</v>
      </c>
      <c r="B92" s="8" t="s">
        <v>593</v>
      </c>
      <c r="C92" s="8" t="s">
        <v>29</v>
      </c>
      <c r="D92" s="7" t="s">
        <v>19</v>
      </c>
      <c r="E92" s="7" t="s">
        <v>215</v>
      </c>
      <c r="F92" s="6">
        <v>2</v>
      </c>
      <c r="G92" s="8" t="s">
        <v>161</v>
      </c>
      <c r="H92" s="8" t="s">
        <v>162</v>
      </c>
      <c r="I92" s="109" t="s">
        <v>556</v>
      </c>
      <c r="J92" s="8" t="s">
        <v>208</v>
      </c>
      <c r="K92" s="14" t="b">
        <v>1</v>
      </c>
      <c r="L92" s="14" t="b">
        <v>0</v>
      </c>
      <c r="M92" s="14" t="b">
        <v>0</v>
      </c>
      <c r="N92" s="14" t="b">
        <v>1</v>
      </c>
      <c r="O92" s="14" t="b">
        <v>1</v>
      </c>
      <c r="W92" s="3"/>
    </row>
    <row r="93" spans="1:23" x14ac:dyDescent="0.25">
      <c r="A93" s="4">
        <v>29435005002687</v>
      </c>
      <c r="B93" s="8" t="s">
        <v>593</v>
      </c>
      <c r="C93" s="8" t="s">
        <v>29</v>
      </c>
      <c r="D93" s="7" t="s">
        <v>19</v>
      </c>
      <c r="E93" s="7" t="s">
        <v>215</v>
      </c>
      <c r="F93" s="6">
        <v>2</v>
      </c>
      <c r="G93" s="8" t="s">
        <v>183</v>
      </c>
      <c r="H93" s="8" t="s">
        <v>184</v>
      </c>
      <c r="I93" s="109" t="s">
        <v>557</v>
      </c>
      <c r="J93" s="8" t="s">
        <v>208</v>
      </c>
      <c r="K93" s="14" t="b">
        <v>0</v>
      </c>
      <c r="L93" s="14" t="b">
        <v>1</v>
      </c>
      <c r="M93" s="14" t="b">
        <v>1</v>
      </c>
      <c r="N93" s="14" t="b">
        <v>0</v>
      </c>
      <c r="O93" s="14" t="b">
        <v>1</v>
      </c>
      <c r="W93" s="3"/>
    </row>
    <row r="94" spans="1:23" x14ac:dyDescent="0.25">
      <c r="A94" s="4">
        <v>29435005004540</v>
      </c>
      <c r="B94" s="8" t="s">
        <v>594</v>
      </c>
      <c r="C94" s="8" t="s">
        <v>29</v>
      </c>
      <c r="D94" s="7" t="s">
        <v>19</v>
      </c>
      <c r="E94" s="7" t="s">
        <v>215</v>
      </c>
      <c r="F94" s="6">
        <v>2</v>
      </c>
      <c r="G94" s="8" t="s">
        <v>183</v>
      </c>
      <c r="H94" s="8" t="s">
        <v>184</v>
      </c>
      <c r="I94" s="109" t="s">
        <v>557</v>
      </c>
      <c r="J94" s="8" t="s">
        <v>208</v>
      </c>
      <c r="K94" s="14" t="b">
        <v>0</v>
      </c>
      <c r="L94" s="14" t="b">
        <v>1</v>
      </c>
      <c r="M94" s="14" t="b">
        <v>1</v>
      </c>
      <c r="N94" s="14" t="b">
        <v>0</v>
      </c>
      <c r="O94" s="14" t="b">
        <v>1</v>
      </c>
      <c r="W94" s="3"/>
    </row>
    <row r="95" spans="1:23" x14ac:dyDescent="0.25">
      <c r="A95" s="4">
        <v>29435005004540</v>
      </c>
      <c r="B95" s="8" t="s">
        <v>594</v>
      </c>
      <c r="C95" s="8" t="s">
        <v>29</v>
      </c>
      <c r="D95" s="7" t="s">
        <v>19</v>
      </c>
      <c r="E95" s="7" t="s">
        <v>215</v>
      </c>
      <c r="F95" s="6">
        <v>2</v>
      </c>
      <c r="G95" s="8" t="s">
        <v>161</v>
      </c>
      <c r="H95" s="8" t="s">
        <v>162</v>
      </c>
      <c r="I95" s="109" t="s">
        <v>556</v>
      </c>
      <c r="J95" s="8" t="s">
        <v>208</v>
      </c>
      <c r="K95" s="14" t="b">
        <v>1</v>
      </c>
      <c r="L95" s="14" t="b">
        <v>0</v>
      </c>
      <c r="M95" s="14" t="b">
        <v>0</v>
      </c>
      <c r="N95" s="14" t="b">
        <v>1</v>
      </c>
      <c r="O95" s="14" t="b">
        <v>1</v>
      </c>
      <c r="W95" s="3"/>
    </row>
    <row r="96" spans="1:23" x14ac:dyDescent="0.25">
      <c r="A96" s="4">
        <v>29435005009932</v>
      </c>
      <c r="B96" s="8" t="s">
        <v>595</v>
      </c>
      <c r="C96" s="8" t="s">
        <v>29</v>
      </c>
      <c r="D96" s="7" t="s">
        <v>19</v>
      </c>
      <c r="E96" s="7" t="s">
        <v>215</v>
      </c>
      <c r="F96" s="6">
        <v>2</v>
      </c>
      <c r="G96" s="8" t="s">
        <v>1355</v>
      </c>
      <c r="H96" s="8" t="s">
        <v>1356</v>
      </c>
      <c r="I96" s="109" t="s">
        <v>556</v>
      </c>
      <c r="J96" s="8" t="s">
        <v>208</v>
      </c>
      <c r="K96" s="14" t="b">
        <v>1</v>
      </c>
      <c r="L96" s="14" t="b">
        <v>0</v>
      </c>
      <c r="M96" s="14" t="b">
        <v>0</v>
      </c>
      <c r="N96" s="14" t="b">
        <v>1</v>
      </c>
      <c r="O96" s="14" t="b">
        <v>1</v>
      </c>
      <c r="W96" s="3"/>
    </row>
    <row r="97" spans="1:23" x14ac:dyDescent="0.25">
      <c r="A97" s="4">
        <v>29435005009932</v>
      </c>
      <c r="B97" s="8" t="s">
        <v>595</v>
      </c>
      <c r="C97" s="8" t="s">
        <v>29</v>
      </c>
      <c r="D97" s="7" t="s">
        <v>19</v>
      </c>
      <c r="E97" s="7" t="s">
        <v>215</v>
      </c>
      <c r="F97" s="6">
        <v>2</v>
      </c>
      <c r="G97" s="8" t="s">
        <v>147</v>
      </c>
      <c r="H97" s="8" t="s">
        <v>148</v>
      </c>
      <c r="I97" s="109" t="s">
        <v>557</v>
      </c>
      <c r="J97" s="8" t="s">
        <v>208</v>
      </c>
      <c r="K97" s="14" t="b">
        <v>0</v>
      </c>
      <c r="L97" s="14" t="b">
        <v>1</v>
      </c>
      <c r="M97" s="14" t="b">
        <v>1</v>
      </c>
      <c r="N97" s="14" t="b">
        <v>0</v>
      </c>
      <c r="O97" s="14" t="b">
        <v>1</v>
      </c>
      <c r="W97" s="3"/>
    </row>
    <row r="98" spans="1:23" x14ac:dyDescent="0.25">
      <c r="A98" s="4">
        <v>43643139000409</v>
      </c>
      <c r="B98" s="8" t="s">
        <v>596</v>
      </c>
      <c r="C98" s="8" t="s">
        <v>29</v>
      </c>
      <c r="D98" s="7" t="s">
        <v>19</v>
      </c>
      <c r="E98" s="7" t="s">
        <v>215</v>
      </c>
      <c r="F98" s="6">
        <v>2</v>
      </c>
      <c r="G98" s="8" t="s">
        <v>147</v>
      </c>
      <c r="H98" s="8" t="s">
        <v>148</v>
      </c>
      <c r="I98" s="109" t="s">
        <v>557</v>
      </c>
      <c r="J98" s="8" t="s">
        <v>208</v>
      </c>
      <c r="K98" s="14" t="b">
        <v>0</v>
      </c>
      <c r="L98" s="14" t="b">
        <v>1</v>
      </c>
      <c r="M98" s="14" t="b">
        <v>1</v>
      </c>
      <c r="N98" s="14" t="b">
        <v>0</v>
      </c>
      <c r="O98" s="14" t="b">
        <v>1</v>
      </c>
      <c r="W98" s="3"/>
    </row>
    <row r="99" spans="1:23" x14ac:dyDescent="0.25">
      <c r="A99" s="4">
        <v>43643139000409</v>
      </c>
      <c r="B99" s="8" t="s">
        <v>596</v>
      </c>
      <c r="C99" s="8" t="s">
        <v>29</v>
      </c>
      <c r="D99" s="7" t="s">
        <v>19</v>
      </c>
      <c r="E99" s="7" t="s">
        <v>215</v>
      </c>
      <c r="F99" s="6">
        <v>2</v>
      </c>
      <c r="G99" s="8" t="s">
        <v>161</v>
      </c>
      <c r="H99" s="8" t="s">
        <v>162</v>
      </c>
      <c r="I99" s="109" t="s">
        <v>556</v>
      </c>
      <c r="J99" s="8" t="s">
        <v>208</v>
      </c>
      <c r="K99" s="14" t="b">
        <v>1</v>
      </c>
      <c r="L99" s="14" t="b">
        <v>0</v>
      </c>
      <c r="M99" s="14" t="b">
        <v>0</v>
      </c>
      <c r="N99" s="14" t="b">
        <v>1</v>
      </c>
      <c r="O99" s="14" t="b">
        <v>1</v>
      </c>
      <c r="W99" s="3"/>
    </row>
    <row r="100" spans="1:23" x14ac:dyDescent="0.25">
      <c r="A100" s="4">
        <v>43775956000178</v>
      </c>
      <c r="B100" s="8" t="s">
        <v>597</v>
      </c>
      <c r="C100" s="8" t="s">
        <v>29</v>
      </c>
      <c r="D100" s="7" t="s">
        <v>19</v>
      </c>
      <c r="E100" s="7" t="s">
        <v>215</v>
      </c>
      <c r="F100" s="6">
        <v>2</v>
      </c>
      <c r="G100" s="8" t="s">
        <v>1355</v>
      </c>
      <c r="H100" s="8" t="s">
        <v>1356</v>
      </c>
      <c r="I100" s="109" t="s">
        <v>556</v>
      </c>
      <c r="J100" s="8" t="s">
        <v>208</v>
      </c>
      <c r="K100" s="14" t="b">
        <v>1</v>
      </c>
      <c r="L100" s="14" t="b">
        <v>0</v>
      </c>
      <c r="M100" s="14" t="b">
        <v>0</v>
      </c>
      <c r="N100" s="14" t="b">
        <v>1</v>
      </c>
      <c r="O100" s="14" t="b">
        <v>1</v>
      </c>
      <c r="W100" s="3"/>
    </row>
    <row r="101" spans="1:23" x14ac:dyDescent="0.25">
      <c r="A101" s="4">
        <v>43775956000178</v>
      </c>
      <c r="B101" s="8" t="s">
        <v>597</v>
      </c>
      <c r="C101" s="8" t="s">
        <v>29</v>
      </c>
      <c r="D101" s="7" t="s">
        <v>19</v>
      </c>
      <c r="E101" s="7" t="s">
        <v>215</v>
      </c>
      <c r="F101" s="6">
        <v>2</v>
      </c>
      <c r="G101" s="8" t="s">
        <v>177</v>
      </c>
      <c r="H101" s="8" t="s">
        <v>178</v>
      </c>
      <c r="I101" s="109" t="s">
        <v>557</v>
      </c>
      <c r="J101" s="8" t="s">
        <v>208</v>
      </c>
      <c r="K101" s="14" t="b">
        <v>0</v>
      </c>
      <c r="L101" s="14" t="b">
        <v>1</v>
      </c>
      <c r="M101" s="14" t="b">
        <v>1</v>
      </c>
      <c r="N101" s="14" t="b">
        <v>0</v>
      </c>
      <c r="O101" s="14" t="b">
        <v>1</v>
      </c>
      <c r="W101" s="3"/>
    </row>
    <row r="102" spans="1:23" x14ac:dyDescent="0.25">
      <c r="A102" s="4">
        <v>44649812005520</v>
      </c>
      <c r="B102" s="8" t="s">
        <v>598</v>
      </c>
      <c r="C102" s="8" t="s">
        <v>29</v>
      </c>
      <c r="D102" s="7" t="s">
        <v>19</v>
      </c>
      <c r="E102" s="7" t="s">
        <v>215</v>
      </c>
      <c r="F102" s="6">
        <v>2</v>
      </c>
      <c r="G102" s="8" t="s">
        <v>147</v>
      </c>
      <c r="H102" s="8" t="s">
        <v>148</v>
      </c>
      <c r="I102" s="109" t="s">
        <v>557</v>
      </c>
      <c r="J102" s="8" t="s">
        <v>208</v>
      </c>
      <c r="K102" s="14" t="b">
        <v>0</v>
      </c>
      <c r="L102" s="14" t="b">
        <v>1</v>
      </c>
      <c r="M102" s="14" t="b">
        <v>1</v>
      </c>
      <c r="N102" s="14" t="b">
        <v>0</v>
      </c>
      <c r="O102" s="14" t="b">
        <v>1</v>
      </c>
      <c r="W102" s="3"/>
    </row>
    <row r="103" spans="1:23" x14ac:dyDescent="0.25">
      <c r="A103" s="4">
        <v>44649812005520</v>
      </c>
      <c r="B103" s="8" t="s">
        <v>598</v>
      </c>
      <c r="C103" s="8" t="s">
        <v>29</v>
      </c>
      <c r="D103" s="7" t="s">
        <v>19</v>
      </c>
      <c r="E103" s="7" t="s">
        <v>215</v>
      </c>
      <c r="F103" s="6">
        <v>2</v>
      </c>
      <c r="G103" s="8" t="s">
        <v>1355</v>
      </c>
      <c r="H103" s="8" t="s">
        <v>1356</v>
      </c>
      <c r="I103" s="109" t="s">
        <v>556</v>
      </c>
      <c r="J103" s="8" t="s">
        <v>208</v>
      </c>
      <c r="K103" s="14" t="b">
        <v>1</v>
      </c>
      <c r="L103" s="14" t="b">
        <v>0</v>
      </c>
      <c r="M103" s="14" t="b">
        <v>0</v>
      </c>
      <c r="N103" s="14" t="b">
        <v>1</v>
      </c>
      <c r="O103" s="14" t="b">
        <v>1</v>
      </c>
      <c r="W103" s="3"/>
    </row>
    <row r="104" spans="1:23" x14ac:dyDescent="0.25">
      <c r="A104" s="4">
        <v>44649812021216</v>
      </c>
      <c r="B104" s="8" t="s">
        <v>1360</v>
      </c>
      <c r="C104" s="8" t="s">
        <v>29</v>
      </c>
      <c r="D104" s="7" t="s">
        <v>19</v>
      </c>
      <c r="E104" s="7" t="s">
        <v>215</v>
      </c>
      <c r="F104" s="6">
        <v>2</v>
      </c>
      <c r="G104" s="8" t="s">
        <v>147</v>
      </c>
      <c r="H104" s="8" t="s">
        <v>148</v>
      </c>
      <c r="I104" s="109" t="s">
        <v>557</v>
      </c>
      <c r="J104" s="8" t="s">
        <v>208</v>
      </c>
      <c r="K104" s="14" t="b">
        <v>0</v>
      </c>
      <c r="L104" s="14" t="b">
        <v>1</v>
      </c>
      <c r="M104" s="14" t="b">
        <v>1</v>
      </c>
      <c r="N104" s="14" t="b">
        <v>0</v>
      </c>
      <c r="O104" s="14" t="b">
        <v>1</v>
      </c>
      <c r="W104" s="3"/>
    </row>
    <row r="105" spans="1:23" x14ac:dyDescent="0.25">
      <c r="A105" s="4">
        <v>44649812021216</v>
      </c>
      <c r="B105" s="8" t="s">
        <v>1360</v>
      </c>
      <c r="C105" s="8" t="s">
        <v>29</v>
      </c>
      <c r="D105" s="7" t="s">
        <v>19</v>
      </c>
      <c r="E105" s="7" t="s">
        <v>215</v>
      </c>
      <c r="F105" s="6">
        <v>2</v>
      </c>
      <c r="G105" s="8" t="s">
        <v>1355</v>
      </c>
      <c r="H105" s="8" t="s">
        <v>1356</v>
      </c>
      <c r="I105" s="109" t="s">
        <v>556</v>
      </c>
      <c r="J105" s="8" t="s">
        <v>208</v>
      </c>
      <c r="K105" s="14" t="b">
        <v>1</v>
      </c>
      <c r="L105" s="14" t="b">
        <v>0</v>
      </c>
      <c r="M105" s="14" t="b">
        <v>0</v>
      </c>
      <c r="N105" s="14" t="b">
        <v>1</v>
      </c>
      <c r="O105" s="14" t="b">
        <v>1</v>
      </c>
      <c r="W105" s="3"/>
    </row>
    <row r="106" spans="1:23" x14ac:dyDescent="0.25">
      <c r="A106" s="4">
        <v>45876208000107</v>
      </c>
      <c r="B106" s="8" t="s">
        <v>1361</v>
      </c>
      <c r="C106" s="8" t="s">
        <v>29</v>
      </c>
      <c r="D106" s="7" t="s">
        <v>19</v>
      </c>
      <c r="E106" s="7" t="s">
        <v>215</v>
      </c>
      <c r="F106" s="6">
        <v>2</v>
      </c>
      <c r="G106" s="8" t="s">
        <v>147</v>
      </c>
      <c r="H106" s="8" t="s">
        <v>148</v>
      </c>
      <c r="I106" s="109" t="s">
        <v>557</v>
      </c>
      <c r="J106" s="8" t="s">
        <v>208</v>
      </c>
      <c r="K106" s="14" t="b">
        <v>0</v>
      </c>
      <c r="L106" s="14" t="b">
        <v>1</v>
      </c>
      <c r="M106" s="14" t="b">
        <v>1</v>
      </c>
      <c r="N106" s="14" t="b">
        <v>0</v>
      </c>
      <c r="O106" s="14" t="b">
        <v>1</v>
      </c>
      <c r="W106" s="3"/>
    </row>
    <row r="107" spans="1:23" x14ac:dyDescent="0.25">
      <c r="A107" s="4">
        <v>45876208000107</v>
      </c>
      <c r="B107" s="8" t="s">
        <v>1361</v>
      </c>
      <c r="C107" s="8" t="s">
        <v>29</v>
      </c>
      <c r="D107" s="7" t="s">
        <v>19</v>
      </c>
      <c r="E107" s="7" t="s">
        <v>215</v>
      </c>
      <c r="F107" s="6">
        <v>2</v>
      </c>
      <c r="G107" s="8" t="s">
        <v>161</v>
      </c>
      <c r="H107" s="8" t="s">
        <v>162</v>
      </c>
      <c r="I107" s="109" t="s">
        <v>556</v>
      </c>
      <c r="J107" s="8" t="s">
        <v>208</v>
      </c>
      <c r="K107" s="14" t="b">
        <v>1</v>
      </c>
      <c r="L107" s="14" t="b">
        <v>0</v>
      </c>
      <c r="M107" s="14" t="b">
        <v>0</v>
      </c>
      <c r="N107" s="14" t="b">
        <v>1</v>
      </c>
      <c r="O107" s="14" t="b">
        <v>1</v>
      </c>
      <c r="W107" s="3"/>
    </row>
    <row r="108" spans="1:23" x14ac:dyDescent="0.25">
      <c r="A108" s="4">
        <v>46124624002670</v>
      </c>
      <c r="B108" s="8" t="s">
        <v>1226</v>
      </c>
      <c r="C108" s="8" t="s">
        <v>29</v>
      </c>
      <c r="D108" s="7" t="s">
        <v>19</v>
      </c>
      <c r="E108" s="7" t="s">
        <v>215</v>
      </c>
      <c r="F108" s="6">
        <v>2</v>
      </c>
      <c r="G108" s="8" t="s">
        <v>151</v>
      </c>
      <c r="H108" s="8" t="s">
        <v>152</v>
      </c>
      <c r="I108" s="109" t="s">
        <v>556</v>
      </c>
      <c r="J108" s="8" t="s">
        <v>208</v>
      </c>
      <c r="K108" s="14" t="b">
        <v>1</v>
      </c>
      <c r="L108" s="14" t="b">
        <v>0</v>
      </c>
      <c r="M108" s="14" t="b">
        <v>0</v>
      </c>
      <c r="N108" s="14" t="b">
        <v>1</v>
      </c>
      <c r="O108" s="14" t="b">
        <v>1</v>
      </c>
      <c r="W108" s="3"/>
    </row>
    <row r="109" spans="1:23" x14ac:dyDescent="0.25">
      <c r="A109" s="4">
        <v>46124624002670</v>
      </c>
      <c r="B109" s="8" t="s">
        <v>1226</v>
      </c>
      <c r="C109" s="8" t="s">
        <v>29</v>
      </c>
      <c r="D109" s="7" t="s">
        <v>19</v>
      </c>
      <c r="E109" s="7" t="s">
        <v>215</v>
      </c>
      <c r="F109" s="6">
        <v>2</v>
      </c>
      <c r="G109" s="8" t="s">
        <v>149</v>
      </c>
      <c r="H109" s="8" t="s">
        <v>150</v>
      </c>
      <c r="I109" s="109" t="s">
        <v>557</v>
      </c>
      <c r="J109" s="8" t="s">
        <v>208</v>
      </c>
      <c r="K109" s="14" t="b">
        <v>0</v>
      </c>
      <c r="L109" s="14" t="b">
        <v>1</v>
      </c>
      <c r="M109" s="14" t="b">
        <v>1</v>
      </c>
      <c r="N109" s="14" t="b">
        <v>0</v>
      </c>
      <c r="O109" s="14" t="b">
        <v>1</v>
      </c>
      <c r="W109" s="3"/>
    </row>
    <row r="110" spans="1:23" x14ac:dyDescent="0.25">
      <c r="A110" s="4">
        <v>46374500000941</v>
      </c>
      <c r="B110" s="8" t="s">
        <v>1227</v>
      </c>
      <c r="C110" s="8" t="s">
        <v>29</v>
      </c>
      <c r="D110" s="7" t="s">
        <v>19</v>
      </c>
      <c r="E110" s="7" t="s">
        <v>215</v>
      </c>
      <c r="F110" s="6">
        <v>2</v>
      </c>
      <c r="G110" s="8" t="s">
        <v>161</v>
      </c>
      <c r="H110" s="8" t="s">
        <v>162</v>
      </c>
      <c r="I110" s="109" t="s">
        <v>556</v>
      </c>
      <c r="J110" s="8" t="s">
        <v>208</v>
      </c>
      <c r="K110" s="14" t="b">
        <v>1</v>
      </c>
      <c r="L110" s="14" t="b">
        <v>0</v>
      </c>
      <c r="M110" s="14" t="b">
        <v>0</v>
      </c>
      <c r="N110" s="14" t="b">
        <v>1</v>
      </c>
      <c r="O110" s="14" t="b">
        <v>1</v>
      </c>
      <c r="W110" s="3"/>
    </row>
    <row r="111" spans="1:23" x14ac:dyDescent="0.25">
      <c r="A111" s="4">
        <v>46374500000941</v>
      </c>
      <c r="B111" s="8" t="s">
        <v>1227</v>
      </c>
      <c r="C111" s="8" t="s">
        <v>29</v>
      </c>
      <c r="D111" s="7" t="s">
        <v>19</v>
      </c>
      <c r="E111" s="7" t="s">
        <v>215</v>
      </c>
      <c r="F111" s="6">
        <v>2</v>
      </c>
      <c r="G111" s="8" t="s">
        <v>177</v>
      </c>
      <c r="H111" s="8" t="s">
        <v>178</v>
      </c>
      <c r="I111" s="109" t="s">
        <v>557</v>
      </c>
      <c r="J111" s="8" t="s">
        <v>208</v>
      </c>
      <c r="K111" s="14" t="b">
        <v>0</v>
      </c>
      <c r="L111" s="14" t="b">
        <v>1</v>
      </c>
      <c r="M111" s="14" t="b">
        <v>1</v>
      </c>
      <c r="N111" s="14" t="b">
        <v>0</v>
      </c>
      <c r="O111" s="14" t="b">
        <v>1</v>
      </c>
      <c r="W111" s="3"/>
    </row>
    <row r="112" spans="1:23" x14ac:dyDescent="0.25">
      <c r="A112" s="4">
        <v>46374500008845</v>
      </c>
      <c r="B112" s="8" t="s">
        <v>599</v>
      </c>
      <c r="C112" s="8" t="s">
        <v>29</v>
      </c>
      <c r="D112" s="7" t="s">
        <v>19</v>
      </c>
      <c r="E112" s="7" t="s">
        <v>215</v>
      </c>
      <c r="F112" s="6">
        <v>2</v>
      </c>
      <c r="G112" s="8" t="s">
        <v>161</v>
      </c>
      <c r="H112" s="8" t="s">
        <v>162</v>
      </c>
      <c r="I112" s="109" t="s">
        <v>556</v>
      </c>
      <c r="J112" s="8" t="s">
        <v>208</v>
      </c>
      <c r="K112" s="14" t="b">
        <v>1</v>
      </c>
      <c r="L112" s="14" t="b">
        <v>0</v>
      </c>
      <c r="M112" s="14" t="b">
        <v>0</v>
      </c>
      <c r="N112" s="14" t="b">
        <v>1</v>
      </c>
      <c r="O112" s="14" t="b">
        <v>1</v>
      </c>
      <c r="W112" s="3"/>
    </row>
    <row r="113" spans="1:23" x14ac:dyDescent="0.25">
      <c r="A113" s="4">
        <v>46374500008845</v>
      </c>
      <c r="B113" s="8" t="s">
        <v>599</v>
      </c>
      <c r="C113" s="8" t="s">
        <v>29</v>
      </c>
      <c r="D113" s="7" t="s">
        <v>19</v>
      </c>
      <c r="E113" s="7" t="s">
        <v>215</v>
      </c>
      <c r="F113" s="6">
        <v>2</v>
      </c>
      <c r="G113" s="16" t="s">
        <v>177</v>
      </c>
      <c r="H113" s="8" t="s">
        <v>178</v>
      </c>
      <c r="I113" s="109" t="s">
        <v>557</v>
      </c>
      <c r="J113" s="8" t="s">
        <v>208</v>
      </c>
      <c r="K113" s="14" t="b">
        <v>0</v>
      </c>
      <c r="L113" s="14" t="b">
        <v>1</v>
      </c>
      <c r="M113" s="14" t="b">
        <v>1</v>
      </c>
      <c r="N113" s="14" t="b">
        <v>0</v>
      </c>
      <c r="O113" s="14" t="b">
        <v>1</v>
      </c>
      <c r="W113" s="3"/>
    </row>
    <row r="114" spans="1:23" x14ac:dyDescent="0.25">
      <c r="A114" s="4">
        <v>46374500010823</v>
      </c>
      <c r="B114" s="8" t="s">
        <v>600</v>
      </c>
      <c r="C114" s="8" t="s">
        <v>29</v>
      </c>
      <c r="D114" s="7" t="s">
        <v>19</v>
      </c>
      <c r="E114" s="7" t="s">
        <v>215</v>
      </c>
      <c r="F114" s="6">
        <v>2</v>
      </c>
      <c r="G114" s="8" t="s">
        <v>147</v>
      </c>
      <c r="H114" s="8" t="s">
        <v>148</v>
      </c>
      <c r="I114" s="109" t="s">
        <v>557</v>
      </c>
      <c r="J114" s="8" t="s">
        <v>208</v>
      </c>
      <c r="K114" s="14" t="b">
        <v>0</v>
      </c>
      <c r="L114" s="14" t="b">
        <v>1</v>
      </c>
      <c r="M114" s="14" t="b">
        <v>1</v>
      </c>
      <c r="N114" s="14" t="b">
        <v>0</v>
      </c>
      <c r="O114" s="14" t="b">
        <v>1</v>
      </c>
      <c r="W114" s="3"/>
    </row>
    <row r="115" spans="1:23" x14ac:dyDescent="0.25">
      <c r="A115" s="4">
        <v>46374500010823</v>
      </c>
      <c r="B115" s="8" t="s">
        <v>600</v>
      </c>
      <c r="C115" s="8" t="s">
        <v>29</v>
      </c>
      <c r="D115" s="7" t="s">
        <v>19</v>
      </c>
      <c r="E115" s="7" t="s">
        <v>215</v>
      </c>
      <c r="F115" s="6">
        <v>2</v>
      </c>
      <c r="G115" s="8" t="s">
        <v>161</v>
      </c>
      <c r="H115" s="8" t="s">
        <v>162</v>
      </c>
      <c r="I115" s="109" t="s">
        <v>556</v>
      </c>
      <c r="J115" s="8" t="s">
        <v>208</v>
      </c>
      <c r="K115" s="14" t="b">
        <v>1</v>
      </c>
      <c r="L115" s="14" t="b">
        <v>0</v>
      </c>
      <c r="M115" s="14" t="b">
        <v>0</v>
      </c>
      <c r="N115" s="14" t="b">
        <v>1</v>
      </c>
      <c r="O115" s="14" t="b">
        <v>1</v>
      </c>
      <c r="W115" s="3"/>
    </row>
    <row r="116" spans="1:23" x14ac:dyDescent="0.25">
      <c r="A116" s="4">
        <v>46374500026231</v>
      </c>
      <c r="B116" s="8" t="s">
        <v>601</v>
      </c>
      <c r="C116" s="8" t="s">
        <v>29</v>
      </c>
      <c r="D116" s="7" t="s">
        <v>19</v>
      </c>
      <c r="E116" s="7" t="s">
        <v>215</v>
      </c>
      <c r="F116" s="6">
        <v>2</v>
      </c>
      <c r="G116" s="8" t="s">
        <v>177</v>
      </c>
      <c r="H116" s="8" t="s">
        <v>178</v>
      </c>
      <c r="I116" s="109" t="s">
        <v>557</v>
      </c>
      <c r="J116" s="8" t="s">
        <v>208</v>
      </c>
      <c r="K116" s="14" t="b">
        <v>0</v>
      </c>
      <c r="L116" s="14" t="b">
        <v>1</v>
      </c>
      <c r="M116" s="14" t="b">
        <v>1</v>
      </c>
      <c r="N116" s="14" t="b">
        <v>0</v>
      </c>
      <c r="O116" s="14" t="b">
        <v>1</v>
      </c>
      <c r="W116" s="3"/>
    </row>
    <row r="117" spans="1:23" x14ac:dyDescent="0.25">
      <c r="A117" s="4">
        <v>46374500026231</v>
      </c>
      <c r="B117" s="8" t="s">
        <v>601</v>
      </c>
      <c r="C117" s="8" t="s">
        <v>29</v>
      </c>
      <c r="D117" s="7" t="s">
        <v>19</v>
      </c>
      <c r="E117" s="7" t="s">
        <v>215</v>
      </c>
      <c r="F117" s="6">
        <v>2</v>
      </c>
      <c r="G117" s="8" t="s">
        <v>1355</v>
      </c>
      <c r="H117" s="8" t="s">
        <v>1356</v>
      </c>
      <c r="I117" s="109" t="s">
        <v>556</v>
      </c>
      <c r="J117" s="8" t="s">
        <v>208</v>
      </c>
      <c r="K117" s="14" t="b">
        <v>1</v>
      </c>
      <c r="L117" s="14" t="b">
        <v>0</v>
      </c>
      <c r="M117" s="14" t="b">
        <v>0</v>
      </c>
      <c r="N117" s="14" t="b">
        <v>1</v>
      </c>
      <c r="O117" s="14" t="b">
        <v>1</v>
      </c>
      <c r="W117" s="3"/>
    </row>
    <row r="118" spans="1:23" x14ac:dyDescent="0.25">
      <c r="A118" s="4">
        <v>51722957000506</v>
      </c>
      <c r="B118" s="8" t="s">
        <v>602</v>
      </c>
      <c r="C118" s="8" t="s">
        <v>29</v>
      </c>
      <c r="D118" s="7" t="s">
        <v>19</v>
      </c>
      <c r="E118" s="7" t="s">
        <v>215</v>
      </c>
      <c r="F118" s="6">
        <v>2</v>
      </c>
      <c r="G118" s="8" t="s">
        <v>161</v>
      </c>
      <c r="H118" s="8" t="s">
        <v>162</v>
      </c>
      <c r="I118" s="109" t="s">
        <v>556</v>
      </c>
      <c r="J118" s="8" t="s">
        <v>208</v>
      </c>
      <c r="K118" s="14" t="b">
        <v>1</v>
      </c>
      <c r="L118" s="14" t="b">
        <v>0</v>
      </c>
      <c r="M118" s="14" t="b">
        <v>0</v>
      </c>
      <c r="N118" s="14" t="b">
        <v>1</v>
      </c>
      <c r="O118" s="14" t="b">
        <v>1</v>
      </c>
      <c r="W118" s="3"/>
    </row>
    <row r="119" spans="1:23" x14ac:dyDescent="0.25">
      <c r="A119" s="4">
        <v>51722957000506</v>
      </c>
      <c r="B119" s="8" t="s">
        <v>602</v>
      </c>
      <c r="C119" s="8" t="s">
        <v>29</v>
      </c>
      <c r="D119" s="7" t="s">
        <v>19</v>
      </c>
      <c r="E119" s="7" t="s">
        <v>215</v>
      </c>
      <c r="F119" s="6">
        <v>2</v>
      </c>
      <c r="G119" s="8" t="s">
        <v>183</v>
      </c>
      <c r="H119" s="8" t="s">
        <v>184</v>
      </c>
      <c r="I119" s="109" t="s">
        <v>557</v>
      </c>
      <c r="J119" s="8" t="s">
        <v>208</v>
      </c>
      <c r="K119" s="14" t="b">
        <v>0</v>
      </c>
      <c r="L119" s="14" t="b">
        <v>1</v>
      </c>
      <c r="M119" s="14" t="b">
        <v>1</v>
      </c>
      <c r="N119" s="14" t="b">
        <v>0</v>
      </c>
      <c r="O119" s="14" t="b">
        <v>1</v>
      </c>
      <c r="W119" s="3"/>
    </row>
    <row r="120" spans="1:23" x14ac:dyDescent="0.25">
      <c r="A120" s="4">
        <v>51722957010226</v>
      </c>
      <c r="B120" s="8" t="s">
        <v>603</v>
      </c>
      <c r="C120" s="8" t="s">
        <v>29</v>
      </c>
      <c r="D120" s="7" t="s">
        <v>19</v>
      </c>
      <c r="E120" s="7" t="s">
        <v>215</v>
      </c>
      <c r="F120" s="6">
        <v>2</v>
      </c>
      <c r="G120" s="8" t="s">
        <v>183</v>
      </c>
      <c r="H120" s="8" t="s">
        <v>184</v>
      </c>
      <c r="I120" s="109" t="s">
        <v>557</v>
      </c>
      <c r="J120" s="8" t="s">
        <v>208</v>
      </c>
      <c r="K120" s="14" t="b">
        <v>0</v>
      </c>
      <c r="L120" s="14" t="b">
        <v>1</v>
      </c>
      <c r="M120" s="14" t="b">
        <v>1</v>
      </c>
      <c r="N120" s="14" t="b">
        <v>0</v>
      </c>
      <c r="O120" s="14" t="b">
        <v>1</v>
      </c>
      <c r="W120" s="3"/>
    </row>
    <row r="121" spans="1:23" x14ac:dyDescent="0.25">
      <c r="A121" s="4">
        <v>51722957010226</v>
      </c>
      <c r="B121" s="8" t="s">
        <v>603</v>
      </c>
      <c r="C121" s="8" t="s">
        <v>29</v>
      </c>
      <c r="D121" s="7" t="s">
        <v>19</v>
      </c>
      <c r="E121" s="7" t="s">
        <v>215</v>
      </c>
      <c r="F121" s="6">
        <v>2</v>
      </c>
      <c r="G121" s="8" t="s">
        <v>161</v>
      </c>
      <c r="H121" s="8" t="s">
        <v>162</v>
      </c>
      <c r="I121" s="109" t="s">
        <v>556</v>
      </c>
      <c r="J121" s="8" t="s">
        <v>208</v>
      </c>
      <c r="K121" s="14" t="b">
        <v>1</v>
      </c>
      <c r="L121" s="14" t="b">
        <v>0</v>
      </c>
      <c r="M121" s="14" t="b">
        <v>0</v>
      </c>
      <c r="N121" s="14" t="b">
        <v>1</v>
      </c>
      <c r="O121" s="14" t="b">
        <v>1</v>
      </c>
      <c r="W121" s="3"/>
    </row>
    <row r="122" spans="1:23" x14ac:dyDescent="0.25">
      <c r="A122" s="4">
        <v>51722957012512</v>
      </c>
      <c r="B122" s="8" t="s">
        <v>604</v>
      </c>
      <c r="C122" s="8" t="s">
        <v>29</v>
      </c>
      <c r="D122" s="7" t="s">
        <v>19</v>
      </c>
      <c r="E122" s="7" t="s">
        <v>215</v>
      </c>
      <c r="F122" s="6">
        <v>2</v>
      </c>
      <c r="G122" s="8" t="s">
        <v>161</v>
      </c>
      <c r="H122" s="8" t="s">
        <v>162</v>
      </c>
      <c r="I122" s="109" t="s">
        <v>556</v>
      </c>
      <c r="J122" s="8" t="s">
        <v>208</v>
      </c>
      <c r="K122" s="14" t="b">
        <v>1</v>
      </c>
      <c r="L122" s="14" t="b">
        <v>0</v>
      </c>
      <c r="M122" s="14" t="b">
        <v>0</v>
      </c>
      <c r="N122" s="14" t="b">
        <v>1</v>
      </c>
      <c r="O122" s="14" t="b">
        <v>1</v>
      </c>
      <c r="W122" s="3"/>
    </row>
    <row r="123" spans="1:23" x14ac:dyDescent="0.25">
      <c r="A123" s="4">
        <v>51722957012512</v>
      </c>
      <c r="B123" s="8" t="s">
        <v>604</v>
      </c>
      <c r="C123" s="8" t="s">
        <v>29</v>
      </c>
      <c r="D123" s="7" t="s">
        <v>19</v>
      </c>
      <c r="E123" s="7" t="s">
        <v>215</v>
      </c>
      <c r="F123" s="6">
        <v>2</v>
      </c>
      <c r="G123" s="8" t="s">
        <v>183</v>
      </c>
      <c r="H123" s="8" t="s">
        <v>184</v>
      </c>
      <c r="I123" s="109" t="s">
        <v>557</v>
      </c>
      <c r="J123" s="8" t="s">
        <v>208</v>
      </c>
      <c r="K123" s="14" t="b">
        <v>0</v>
      </c>
      <c r="L123" s="14" t="b">
        <v>1</v>
      </c>
      <c r="M123" s="14" t="b">
        <v>1</v>
      </c>
      <c r="N123" s="14" t="b">
        <v>0</v>
      </c>
      <c r="O123" s="14" t="b">
        <v>1</v>
      </c>
      <c r="W123" s="3"/>
    </row>
    <row r="124" spans="1:23" x14ac:dyDescent="0.25">
      <c r="A124" s="4">
        <v>56577059000100</v>
      </c>
      <c r="B124" s="8" t="s">
        <v>605</v>
      </c>
      <c r="C124" s="8" t="s">
        <v>29</v>
      </c>
      <c r="D124" s="7" t="s">
        <v>19</v>
      </c>
      <c r="E124" s="7" t="s">
        <v>215</v>
      </c>
      <c r="F124" s="6">
        <v>2</v>
      </c>
      <c r="G124" s="8" t="s">
        <v>1355</v>
      </c>
      <c r="H124" s="8" t="s">
        <v>1356</v>
      </c>
      <c r="I124" s="109" t="s">
        <v>556</v>
      </c>
      <c r="J124" s="8" t="s">
        <v>208</v>
      </c>
      <c r="K124" s="14" t="b">
        <v>1</v>
      </c>
      <c r="L124" s="14" t="b">
        <v>0</v>
      </c>
      <c r="M124" s="14" t="b">
        <v>0</v>
      </c>
      <c r="N124" s="14" t="b">
        <v>1</v>
      </c>
      <c r="O124" s="14" t="b">
        <v>1</v>
      </c>
      <c r="W124" s="3"/>
    </row>
    <row r="125" spans="1:23" x14ac:dyDescent="0.25">
      <c r="A125" s="4">
        <v>56577059000100</v>
      </c>
      <c r="B125" s="8" t="s">
        <v>605</v>
      </c>
      <c r="C125" s="8" t="s">
        <v>29</v>
      </c>
      <c r="D125" s="7" t="s">
        <v>19</v>
      </c>
      <c r="E125" s="7" t="s">
        <v>215</v>
      </c>
      <c r="F125" s="6">
        <v>2</v>
      </c>
      <c r="G125" s="8" t="s">
        <v>177</v>
      </c>
      <c r="H125" s="8" t="s">
        <v>178</v>
      </c>
      <c r="I125" s="109" t="s">
        <v>557</v>
      </c>
      <c r="J125" s="8" t="s">
        <v>208</v>
      </c>
      <c r="K125" s="14" t="b">
        <v>0</v>
      </c>
      <c r="L125" s="14" t="b">
        <v>1</v>
      </c>
      <c r="M125" s="14" t="b">
        <v>1</v>
      </c>
      <c r="N125" s="14" t="b">
        <v>0</v>
      </c>
      <c r="O125" s="14" t="b">
        <v>1</v>
      </c>
      <c r="W125" s="3"/>
    </row>
    <row r="126" spans="1:23" x14ac:dyDescent="0.25">
      <c r="A126" s="4">
        <v>56577059000606</v>
      </c>
      <c r="B126" s="8" t="s">
        <v>606</v>
      </c>
      <c r="C126" s="8" t="s">
        <v>29</v>
      </c>
      <c r="D126" s="7" t="s">
        <v>19</v>
      </c>
      <c r="E126" s="7" t="s">
        <v>215</v>
      </c>
      <c r="F126" s="6">
        <v>2</v>
      </c>
      <c r="G126" s="8" t="s">
        <v>177</v>
      </c>
      <c r="H126" s="8" t="s">
        <v>178</v>
      </c>
      <c r="I126" s="109" t="s">
        <v>557</v>
      </c>
      <c r="J126" s="8" t="s">
        <v>208</v>
      </c>
      <c r="K126" s="14" t="b">
        <v>0</v>
      </c>
      <c r="L126" s="14" t="b">
        <v>1</v>
      </c>
      <c r="M126" s="14" t="b">
        <v>1</v>
      </c>
      <c r="N126" s="14" t="b">
        <v>0</v>
      </c>
      <c r="O126" s="14" t="b">
        <v>1</v>
      </c>
      <c r="W126" s="3"/>
    </row>
    <row r="127" spans="1:23" x14ac:dyDescent="0.25">
      <c r="A127" s="4">
        <v>56577059000606</v>
      </c>
      <c r="B127" s="8" t="s">
        <v>606</v>
      </c>
      <c r="C127" s="8" t="s">
        <v>29</v>
      </c>
      <c r="D127" s="7" t="s">
        <v>19</v>
      </c>
      <c r="E127" s="7" t="s">
        <v>215</v>
      </c>
      <c r="F127" s="6">
        <v>2</v>
      </c>
      <c r="G127" s="8" t="s">
        <v>1355</v>
      </c>
      <c r="H127" s="8" t="s">
        <v>1356</v>
      </c>
      <c r="I127" s="109" t="s">
        <v>556</v>
      </c>
      <c r="J127" s="8" t="s">
        <v>208</v>
      </c>
      <c r="K127" s="14" t="b">
        <v>1</v>
      </c>
      <c r="L127" s="14" t="b">
        <v>0</v>
      </c>
      <c r="M127" s="14" t="b">
        <v>0</v>
      </c>
      <c r="N127" s="14" t="b">
        <v>1</v>
      </c>
      <c r="O127" s="14" t="b">
        <v>1</v>
      </c>
      <c r="W127" s="3"/>
    </row>
    <row r="128" spans="1:23" x14ac:dyDescent="0.25">
      <c r="A128" s="4">
        <v>57394710000160</v>
      </c>
      <c r="B128" s="8" t="s">
        <v>607</v>
      </c>
      <c r="C128" s="8" t="s">
        <v>29</v>
      </c>
      <c r="D128" s="7" t="s">
        <v>19</v>
      </c>
      <c r="E128" s="7" t="s">
        <v>215</v>
      </c>
      <c r="F128" s="6">
        <v>2</v>
      </c>
      <c r="G128" s="8" t="s">
        <v>161</v>
      </c>
      <c r="H128" s="8" t="s">
        <v>162</v>
      </c>
      <c r="I128" s="109" t="s">
        <v>556</v>
      </c>
      <c r="J128" s="8" t="s">
        <v>208</v>
      </c>
      <c r="K128" s="14" t="b">
        <v>1</v>
      </c>
      <c r="L128" s="14" t="b">
        <v>0</v>
      </c>
      <c r="M128" s="14" t="b">
        <v>0</v>
      </c>
      <c r="N128" s="14" t="b">
        <v>1</v>
      </c>
      <c r="O128" s="14" t="b">
        <v>1</v>
      </c>
      <c r="W128" s="3"/>
    </row>
    <row r="129" spans="1:23" x14ac:dyDescent="0.25">
      <c r="A129" s="4">
        <v>57394710000160</v>
      </c>
      <c r="B129" s="8" t="s">
        <v>607</v>
      </c>
      <c r="C129" s="8" t="s">
        <v>29</v>
      </c>
      <c r="D129" s="7" t="s">
        <v>19</v>
      </c>
      <c r="E129" s="7" t="s">
        <v>215</v>
      </c>
      <c r="F129" s="6">
        <v>2</v>
      </c>
      <c r="G129" s="8" t="s">
        <v>177</v>
      </c>
      <c r="H129" s="8" t="s">
        <v>178</v>
      </c>
      <c r="I129" s="109" t="s">
        <v>557</v>
      </c>
      <c r="J129" s="8" t="s">
        <v>208</v>
      </c>
      <c r="K129" s="14" t="b">
        <v>0</v>
      </c>
      <c r="L129" s="14" t="b">
        <v>1</v>
      </c>
      <c r="M129" s="14" t="b">
        <v>1</v>
      </c>
      <c r="N129" s="14" t="b">
        <v>0</v>
      </c>
      <c r="O129" s="14" t="b">
        <v>1</v>
      </c>
      <c r="W129" s="3"/>
    </row>
    <row r="130" spans="1:23" x14ac:dyDescent="0.25">
      <c r="A130" s="4">
        <v>59481028000130</v>
      </c>
      <c r="B130" s="8" t="s">
        <v>608</v>
      </c>
      <c r="C130" s="8" t="s">
        <v>29</v>
      </c>
      <c r="D130" s="7" t="s">
        <v>19</v>
      </c>
      <c r="E130" s="7" t="s">
        <v>215</v>
      </c>
      <c r="F130" s="6">
        <v>2</v>
      </c>
      <c r="G130" s="8" t="s">
        <v>147</v>
      </c>
      <c r="H130" s="8" t="s">
        <v>148</v>
      </c>
      <c r="I130" s="109" t="s">
        <v>557</v>
      </c>
      <c r="J130" s="8" t="s">
        <v>208</v>
      </c>
      <c r="K130" s="14" t="b">
        <v>0</v>
      </c>
      <c r="L130" s="14" t="b">
        <v>1</v>
      </c>
      <c r="M130" s="14" t="b">
        <v>1</v>
      </c>
      <c r="N130" s="14" t="b">
        <v>0</v>
      </c>
      <c r="O130" s="14" t="b">
        <v>1</v>
      </c>
      <c r="W130" s="3"/>
    </row>
    <row r="131" spans="1:23" x14ac:dyDescent="0.25">
      <c r="A131" s="4">
        <v>59481028000130</v>
      </c>
      <c r="B131" s="8" t="s">
        <v>608</v>
      </c>
      <c r="C131" s="8" t="s">
        <v>29</v>
      </c>
      <c r="D131" s="7" t="s">
        <v>19</v>
      </c>
      <c r="E131" s="7" t="s">
        <v>215</v>
      </c>
      <c r="F131" s="6">
        <v>2</v>
      </c>
      <c r="G131" s="8" t="s">
        <v>161</v>
      </c>
      <c r="H131" s="8" t="s">
        <v>162</v>
      </c>
      <c r="I131" s="109" t="s">
        <v>556</v>
      </c>
      <c r="J131" s="8" t="s">
        <v>208</v>
      </c>
      <c r="K131" s="14" t="b">
        <v>1</v>
      </c>
      <c r="L131" s="14" t="b">
        <v>0</v>
      </c>
      <c r="M131" s="14" t="b">
        <v>0</v>
      </c>
      <c r="N131" s="14" t="b">
        <v>1</v>
      </c>
      <c r="O131" s="14" t="b">
        <v>1</v>
      </c>
      <c r="W131" s="3"/>
    </row>
    <row r="132" spans="1:23" x14ac:dyDescent="0.25">
      <c r="A132" s="4">
        <v>60448040000122</v>
      </c>
      <c r="B132" s="8" t="s">
        <v>609</v>
      </c>
      <c r="C132" s="8" t="s">
        <v>29</v>
      </c>
      <c r="D132" s="7" t="s">
        <v>19</v>
      </c>
      <c r="E132" s="7" t="s">
        <v>215</v>
      </c>
      <c r="F132" s="6">
        <v>2</v>
      </c>
      <c r="G132" s="8" t="s">
        <v>177</v>
      </c>
      <c r="H132" s="8" t="s">
        <v>178</v>
      </c>
      <c r="I132" s="109" t="s">
        <v>557</v>
      </c>
      <c r="J132" s="8" t="s">
        <v>208</v>
      </c>
      <c r="K132" s="14" t="b">
        <v>0</v>
      </c>
      <c r="L132" s="14" t="b">
        <v>1</v>
      </c>
      <c r="M132" s="14" t="b">
        <v>1</v>
      </c>
      <c r="N132" s="14" t="b">
        <v>0</v>
      </c>
      <c r="O132" s="14" t="b">
        <v>1</v>
      </c>
      <c r="W132" s="3"/>
    </row>
    <row r="133" spans="1:23" x14ac:dyDescent="0.25">
      <c r="A133" s="4">
        <v>60448040000122</v>
      </c>
      <c r="B133" s="8" t="s">
        <v>609</v>
      </c>
      <c r="C133" s="8" t="s">
        <v>29</v>
      </c>
      <c r="D133" s="7" t="s">
        <v>19</v>
      </c>
      <c r="E133" s="7" t="s">
        <v>215</v>
      </c>
      <c r="F133" s="6">
        <v>2</v>
      </c>
      <c r="G133" s="8" t="s">
        <v>1355</v>
      </c>
      <c r="H133" s="8" t="s">
        <v>1356</v>
      </c>
      <c r="I133" s="109" t="s">
        <v>556</v>
      </c>
      <c r="J133" s="8" t="s">
        <v>208</v>
      </c>
      <c r="K133" s="14" t="b">
        <v>1</v>
      </c>
      <c r="L133" s="14" t="b">
        <v>0</v>
      </c>
      <c r="M133" s="14" t="b">
        <v>0</v>
      </c>
      <c r="N133" s="14" t="b">
        <v>1</v>
      </c>
      <c r="O133" s="14" t="b">
        <v>1</v>
      </c>
      <c r="W133" s="3"/>
    </row>
    <row r="134" spans="1:23" x14ac:dyDescent="0.25">
      <c r="A134" s="4">
        <v>60453024000390</v>
      </c>
      <c r="B134" s="8" t="s">
        <v>610</v>
      </c>
      <c r="C134" s="8" t="s">
        <v>29</v>
      </c>
      <c r="D134" s="7" t="s">
        <v>19</v>
      </c>
      <c r="E134" s="7" t="s">
        <v>215</v>
      </c>
      <c r="F134" s="6">
        <v>2</v>
      </c>
      <c r="G134" s="8" t="s">
        <v>177</v>
      </c>
      <c r="H134" s="8" t="s">
        <v>178</v>
      </c>
      <c r="I134" s="109" t="s">
        <v>557</v>
      </c>
      <c r="J134" s="8" t="s">
        <v>208</v>
      </c>
      <c r="K134" s="14" t="b">
        <v>0</v>
      </c>
      <c r="L134" s="14" t="b">
        <v>1</v>
      </c>
      <c r="M134" s="14" t="b">
        <v>1</v>
      </c>
      <c r="N134" s="14" t="b">
        <v>0</v>
      </c>
      <c r="O134" s="14" t="b">
        <v>1</v>
      </c>
      <c r="W134" s="3"/>
    </row>
    <row r="135" spans="1:23" x14ac:dyDescent="0.25">
      <c r="A135" s="4">
        <v>60453024000390</v>
      </c>
      <c r="B135" s="8" t="s">
        <v>610</v>
      </c>
      <c r="C135" s="8" t="s">
        <v>29</v>
      </c>
      <c r="D135" s="7" t="s">
        <v>19</v>
      </c>
      <c r="E135" s="7" t="s">
        <v>215</v>
      </c>
      <c r="F135" s="6">
        <v>2</v>
      </c>
      <c r="G135" s="8" t="s">
        <v>161</v>
      </c>
      <c r="H135" s="8" t="s">
        <v>162</v>
      </c>
      <c r="I135" s="109" t="s">
        <v>556</v>
      </c>
      <c r="J135" s="8" t="s">
        <v>208</v>
      </c>
      <c r="K135" s="14" t="b">
        <v>1</v>
      </c>
      <c r="L135" s="14" t="b">
        <v>0</v>
      </c>
      <c r="M135" s="14" t="b">
        <v>0</v>
      </c>
      <c r="N135" s="14" t="b">
        <v>1</v>
      </c>
      <c r="O135" s="14" t="b">
        <v>1</v>
      </c>
      <c r="W135" s="3"/>
    </row>
    <row r="136" spans="1:23" x14ac:dyDescent="0.25">
      <c r="A136" s="4">
        <v>60552098000111</v>
      </c>
      <c r="B136" s="8" t="s">
        <v>611</v>
      </c>
      <c r="C136" s="8" t="s">
        <v>29</v>
      </c>
      <c r="D136" s="7" t="s">
        <v>19</v>
      </c>
      <c r="E136" s="7" t="s">
        <v>215</v>
      </c>
      <c r="F136" s="6">
        <v>2</v>
      </c>
      <c r="G136" s="8" t="s">
        <v>161</v>
      </c>
      <c r="H136" s="8" t="s">
        <v>162</v>
      </c>
      <c r="I136" s="109" t="s">
        <v>556</v>
      </c>
      <c r="J136" s="8" t="s">
        <v>208</v>
      </c>
      <c r="K136" s="14" t="b">
        <v>1</v>
      </c>
      <c r="L136" s="14" t="b">
        <v>0</v>
      </c>
      <c r="M136" s="14" t="b">
        <v>0</v>
      </c>
      <c r="N136" s="14" t="b">
        <v>1</v>
      </c>
      <c r="O136" s="14" t="b">
        <v>1</v>
      </c>
      <c r="W136" s="3"/>
    </row>
    <row r="137" spans="1:23" x14ac:dyDescent="0.25">
      <c r="A137" s="4">
        <v>60552098000111</v>
      </c>
      <c r="B137" s="8" t="s">
        <v>611</v>
      </c>
      <c r="C137" s="8" t="s">
        <v>29</v>
      </c>
      <c r="D137" s="7" t="s">
        <v>19</v>
      </c>
      <c r="E137" s="7" t="s">
        <v>215</v>
      </c>
      <c r="F137" s="6">
        <v>2</v>
      </c>
      <c r="G137" s="8" t="s">
        <v>147</v>
      </c>
      <c r="H137" s="8" t="s">
        <v>148</v>
      </c>
      <c r="I137" s="109" t="s">
        <v>557</v>
      </c>
      <c r="J137" s="8" t="s">
        <v>208</v>
      </c>
      <c r="K137" s="14" t="b">
        <v>0</v>
      </c>
      <c r="L137" s="14" t="b">
        <v>1</v>
      </c>
      <c r="M137" s="14" t="b">
        <v>1</v>
      </c>
      <c r="N137" s="14" t="b">
        <v>0</v>
      </c>
      <c r="O137" s="14" t="b">
        <v>1</v>
      </c>
      <c r="W137" s="3"/>
    </row>
    <row r="138" spans="1:23" x14ac:dyDescent="0.25">
      <c r="A138" s="4">
        <v>60678604000113</v>
      </c>
      <c r="B138" s="8" t="s">
        <v>612</v>
      </c>
      <c r="C138" s="8" t="s">
        <v>29</v>
      </c>
      <c r="D138" s="7" t="s">
        <v>19</v>
      </c>
      <c r="E138" s="7" t="s">
        <v>215</v>
      </c>
      <c r="F138" s="6">
        <v>2</v>
      </c>
      <c r="G138" s="8" t="s">
        <v>147</v>
      </c>
      <c r="H138" s="8" t="s">
        <v>148</v>
      </c>
      <c r="I138" s="109" t="s">
        <v>557</v>
      </c>
      <c r="J138" s="8" t="s">
        <v>208</v>
      </c>
      <c r="K138" s="14" t="b">
        <v>0</v>
      </c>
      <c r="L138" s="14" t="b">
        <v>1</v>
      </c>
      <c r="M138" s="14" t="b">
        <v>1</v>
      </c>
      <c r="N138" s="14" t="b">
        <v>0</v>
      </c>
      <c r="O138" s="14" t="b">
        <v>1</v>
      </c>
      <c r="W138" s="3"/>
    </row>
    <row r="139" spans="1:23" x14ac:dyDescent="0.25">
      <c r="A139" s="4">
        <v>60678604000113</v>
      </c>
      <c r="B139" s="8" t="s">
        <v>612</v>
      </c>
      <c r="C139" s="8" t="s">
        <v>29</v>
      </c>
      <c r="D139" s="7" t="s">
        <v>19</v>
      </c>
      <c r="E139" s="7" t="s">
        <v>215</v>
      </c>
      <c r="F139" s="6">
        <v>2</v>
      </c>
      <c r="G139" s="8" t="s">
        <v>161</v>
      </c>
      <c r="H139" s="8" t="s">
        <v>162</v>
      </c>
      <c r="I139" s="109" t="s">
        <v>556</v>
      </c>
      <c r="J139" s="8" t="s">
        <v>208</v>
      </c>
      <c r="K139" s="14" t="b">
        <v>1</v>
      </c>
      <c r="L139" s="14" t="b">
        <v>0</v>
      </c>
      <c r="M139" s="14" t="b">
        <v>0</v>
      </c>
      <c r="N139" s="14" t="b">
        <v>1</v>
      </c>
      <c r="O139" s="14" t="b">
        <v>1</v>
      </c>
      <c r="W139" s="3"/>
    </row>
    <row r="140" spans="1:23" x14ac:dyDescent="0.25">
      <c r="A140" s="4">
        <v>60726502000126</v>
      </c>
      <c r="B140" s="8" t="s">
        <v>613</v>
      </c>
      <c r="C140" s="8" t="s">
        <v>29</v>
      </c>
      <c r="D140" s="7" t="s">
        <v>19</v>
      </c>
      <c r="E140" s="7" t="s">
        <v>215</v>
      </c>
      <c r="F140" s="6">
        <v>2</v>
      </c>
      <c r="G140" s="8" t="s">
        <v>183</v>
      </c>
      <c r="H140" s="8" t="s">
        <v>184</v>
      </c>
      <c r="I140" s="109" t="s">
        <v>557</v>
      </c>
      <c r="J140" s="8" t="s">
        <v>208</v>
      </c>
      <c r="K140" s="14" t="b">
        <v>0</v>
      </c>
      <c r="L140" s="14" t="b">
        <v>1</v>
      </c>
      <c r="M140" s="14" t="b">
        <v>1</v>
      </c>
      <c r="N140" s="14" t="b">
        <v>0</v>
      </c>
      <c r="O140" s="14" t="b">
        <v>1</v>
      </c>
      <c r="W140" s="3"/>
    </row>
    <row r="141" spans="1:23" x14ac:dyDescent="0.25">
      <c r="A141" s="4">
        <v>60726502000126</v>
      </c>
      <c r="B141" s="8" t="s">
        <v>613</v>
      </c>
      <c r="C141" s="8" t="s">
        <v>29</v>
      </c>
      <c r="D141" s="7" t="s">
        <v>19</v>
      </c>
      <c r="E141" s="7" t="s">
        <v>215</v>
      </c>
      <c r="F141" s="6">
        <v>2</v>
      </c>
      <c r="G141" s="8" t="s">
        <v>1355</v>
      </c>
      <c r="H141" s="8" t="s">
        <v>1356</v>
      </c>
      <c r="I141" s="109" t="s">
        <v>556</v>
      </c>
      <c r="J141" s="8" t="s">
        <v>208</v>
      </c>
      <c r="K141" s="14" t="b">
        <v>1</v>
      </c>
      <c r="L141" s="14" t="b">
        <v>0</v>
      </c>
      <c r="M141" s="14" t="b">
        <v>0</v>
      </c>
      <c r="N141" s="14" t="b">
        <v>1</v>
      </c>
      <c r="O141" s="14" t="b">
        <v>1</v>
      </c>
      <c r="W141" s="3"/>
    </row>
    <row r="142" spans="1:23" x14ac:dyDescent="0.25">
      <c r="A142" s="4">
        <v>60726502000711</v>
      </c>
      <c r="B142" s="8" t="s">
        <v>614</v>
      </c>
      <c r="C142" s="8" t="s">
        <v>29</v>
      </c>
      <c r="D142" s="7" t="s">
        <v>19</v>
      </c>
      <c r="E142" s="7" t="s">
        <v>215</v>
      </c>
      <c r="F142" s="6">
        <v>2</v>
      </c>
      <c r="G142" s="8" t="s">
        <v>1355</v>
      </c>
      <c r="H142" s="8" t="s">
        <v>1356</v>
      </c>
      <c r="I142" s="109" t="s">
        <v>556</v>
      </c>
      <c r="J142" s="8" t="s">
        <v>208</v>
      </c>
      <c r="K142" s="14" t="b">
        <v>1</v>
      </c>
      <c r="L142" s="14" t="b">
        <v>0</v>
      </c>
      <c r="M142" s="14" t="b">
        <v>0</v>
      </c>
      <c r="N142" s="14" t="b">
        <v>1</v>
      </c>
      <c r="O142" s="14" t="b">
        <v>1</v>
      </c>
      <c r="W142" s="3"/>
    </row>
    <row r="143" spans="1:23" x14ac:dyDescent="0.25">
      <c r="A143" s="4">
        <v>60726502000711</v>
      </c>
      <c r="B143" s="8" t="s">
        <v>614</v>
      </c>
      <c r="C143" s="8" t="s">
        <v>29</v>
      </c>
      <c r="D143" s="7" t="s">
        <v>19</v>
      </c>
      <c r="E143" s="7" t="s">
        <v>215</v>
      </c>
      <c r="F143" s="6">
        <v>2</v>
      </c>
      <c r="G143" s="8" t="s">
        <v>183</v>
      </c>
      <c r="H143" s="8" t="s">
        <v>184</v>
      </c>
      <c r="I143" s="109" t="s">
        <v>557</v>
      </c>
      <c r="J143" s="8" t="s">
        <v>208</v>
      </c>
      <c r="K143" s="14" t="b">
        <v>0</v>
      </c>
      <c r="L143" s="14" t="b">
        <v>1</v>
      </c>
      <c r="M143" s="14" t="b">
        <v>1</v>
      </c>
      <c r="N143" s="14" t="b">
        <v>0</v>
      </c>
      <c r="O143" s="14" t="b">
        <v>1</v>
      </c>
      <c r="W143" s="3"/>
    </row>
    <row r="144" spans="1:23" x14ac:dyDescent="0.25">
      <c r="A144" s="4">
        <v>60742616000160</v>
      </c>
      <c r="B144" s="8" t="s">
        <v>1362</v>
      </c>
      <c r="C144" s="8" t="s">
        <v>29</v>
      </c>
      <c r="D144" s="7" t="s">
        <v>19</v>
      </c>
      <c r="E144" s="7" t="s">
        <v>215</v>
      </c>
      <c r="F144" s="6">
        <v>2</v>
      </c>
      <c r="G144" s="8" t="s">
        <v>161</v>
      </c>
      <c r="H144" s="8" t="s">
        <v>162</v>
      </c>
      <c r="I144" s="109" t="s">
        <v>556</v>
      </c>
      <c r="J144" s="8" t="s">
        <v>208</v>
      </c>
      <c r="K144" s="14" t="b">
        <v>1</v>
      </c>
      <c r="L144" s="14" t="b">
        <v>0</v>
      </c>
      <c r="M144" s="14" t="b">
        <v>0</v>
      </c>
      <c r="N144" s="14" t="b">
        <v>1</v>
      </c>
      <c r="O144" s="14" t="b">
        <v>1</v>
      </c>
      <c r="W144" s="3"/>
    </row>
    <row r="145" spans="1:23" x14ac:dyDescent="0.25">
      <c r="A145" s="4">
        <v>60742616000160</v>
      </c>
      <c r="B145" s="8" t="s">
        <v>1362</v>
      </c>
      <c r="C145" s="8" t="s">
        <v>29</v>
      </c>
      <c r="D145" s="7" t="s">
        <v>19</v>
      </c>
      <c r="E145" s="7" t="s">
        <v>215</v>
      </c>
      <c r="F145" s="6">
        <v>2</v>
      </c>
      <c r="G145" s="8" t="s">
        <v>147</v>
      </c>
      <c r="H145" s="8" t="s">
        <v>148</v>
      </c>
      <c r="I145" s="109" t="s">
        <v>557</v>
      </c>
      <c r="J145" s="8" t="s">
        <v>208</v>
      </c>
      <c r="K145" s="14" t="b">
        <v>0</v>
      </c>
      <c r="L145" s="14" t="b">
        <v>1</v>
      </c>
      <c r="M145" s="14" t="b">
        <v>1</v>
      </c>
      <c r="N145" s="14" t="b">
        <v>0</v>
      </c>
      <c r="O145" s="14" t="b">
        <v>1</v>
      </c>
      <c r="W145" s="3"/>
    </row>
    <row r="146" spans="1:23" x14ac:dyDescent="0.25">
      <c r="A146" s="4">
        <v>60742616000674</v>
      </c>
      <c r="B146" s="8" t="s">
        <v>1363</v>
      </c>
      <c r="C146" s="8" t="s">
        <v>29</v>
      </c>
      <c r="D146" s="7" t="s">
        <v>19</v>
      </c>
      <c r="E146" s="7" t="s">
        <v>215</v>
      </c>
      <c r="F146" s="6">
        <v>2</v>
      </c>
      <c r="G146" s="8" t="s">
        <v>147</v>
      </c>
      <c r="H146" s="8" t="s">
        <v>148</v>
      </c>
      <c r="I146" s="109" t="s">
        <v>557</v>
      </c>
      <c r="J146" s="8" t="s">
        <v>208</v>
      </c>
      <c r="K146" s="14" t="b">
        <v>0</v>
      </c>
      <c r="L146" s="14" t="b">
        <v>1</v>
      </c>
      <c r="M146" s="14" t="b">
        <v>1</v>
      </c>
      <c r="N146" s="14" t="b">
        <v>0</v>
      </c>
      <c r="O146" s="14" t="b">
        <v>1</v>
      </c>
      <c r="W146" s="3"/>
    </row>
    <row r="147" spans="1:23" x14ac:dyDescent="0.25">
      <c r="A147" s="4">
        <v>60742616000674</v>
      </c>
      <c r="B147" s="8" t="s">
        <v>1363</v>
      </c>
      <c r="C147" s="8" t="s">
        <v>29</v>
      </c>
      <c r="D147" s="7" t="s">
        <v>19</v>
      </c>
      <c r="E147" s="7" t="s">
        <v>215</v>
      </c>
      <c r="F147" s="6">
        <v>2</v>
      </c>
      <c r="G147" s="8" t="s">
        <v>161</v>
      </c>
      <c r="H147" s="8" t="s">
        <v>162</v>
      </c>
      <c r="I147" s="109" t="s">
        <v>556</v>
      </c>
      <c r="J147" s="8" t="s">
        <v>208</v>
      </c>
      <c r="K147" s="14" t="b">
        <v>1</v>
      </c>
      <c r="L147" s="14" t="b">
        <v>0</v>
      </c>
      <c r="M147" s="14" t="b">
        <v>0</v>
      </c>
      <c r="N147" s="14" t="b">
        <v>1</v>
      </c>
      <c r="O147" s="14" t="b">
        <v>1</v>
      </c>
      <c r="W147" s="3"/>
    </row>
    <row r="148" spans="1:23" x14ac:dyDescent="0.25">
      <c r="A148" s="4">
        <v>60765823000130</v>
      </c>
      <c r="B148" s="8" t="s">
        <v>615</v>
      </c>
      <c r="C148" s="8" t="s">
        <v>29</v>
      </c>
      <c r="D148" s="7" t="s">
        <v>19</v>
      </c>
      <c r="E148" s="7" t="s">
        <v>215</v>
      </c>
      <c r="F148" s="6">
        <v>2</v>
      </c>
      <c r="G148" s="8" t="s">
        <v>147</v>
      </c>
      <c r="H148" s="8" t="s">
        <v>148</v>
      </c>
      <c r="I148" s="109" t="s">
        <v>557</v>
      </c>
      <c r="J148" s="8" t="s">
        <v>208</v>
      </c>
      <c r="K148" s="14" t="b">
        <v>0</v>
      </c>
      <c r="L148" s="14" t="b">
        <v>1</v>
      </c>
      <c r="M148" s="14" t="b">
        <v>1</v>
      </c>
      <c r="N148" s="14" t="b">
        <v>0</v>
      </c>
      <c r="O148" s="14" t="b">
        <v>1</v>
      </c>
      <c r="W148" s="3"/>
    </row>
    <row r="149" spans="1:23" x14ac:dyDescent="0.25">
      <c r="A149" s="4">
        <v>60765823000130</v>
      </c>
      <c r="B149" s="8" t="s">
        <v>615</v>
      </c>
      <c r="C149" s="8" t="s">
        <v>29</v>
      </c>
      <c r="D149" s="7" t="s">
        <v>19</v>
      </c>
      <c r="E149" s="7" t="s">
        <v>215</v>
      </c>
      <c r="F149" s="6">
        <v>2</v>
      </c>
      <c r="G149" s="8" t="s">
        <v>1355</v>
      </c>
      <c r="H149" s="8" t="s">
        <v>1356</v>
      </c>
      <c r="I149" s="109" t="s">
        <v>556</v>
      </c>
      <c r="J149" s="8" t="s">
        <v>208</v>
      </c>
      <c r="K149" s="14" t="b">
        <v>1</v>
      </c>
      <c r="L149" s="14" t="b">
        <v>0</v>
      </c>
      <c r="M149" s="14" t="b">
        <v>0</v>
      </c>
      <c r="N149" s="14" t="b">
        <v>1</v>
      </c>
      <c r="O149" s="14" t="b">
        <v>1</v>
      </c>
      <c r="W149" s="3"/>
    </row>
    <row r="150" spans="1:23" x14ac:dyDescent="0.25">
      <c r="A150" s="4">
        <v>60777901000116</v>
      </c>
      <c r="B150" s="8" t="s">
        <v>616</v>
      </c>
      <c r="C150" s="8" t="s">
        <v>29</v>
      </c>
      <c r="D150" s="7" t="s">
        <v>19</v>
      </c>
      <c r="E150" s="7" t="s">
        <v>215</v>
      </c>
      <c r="F150" s="6">
        <v>2</v>
      </c>
      <c r="G150" s="8" t="s">
        <v>183</v>
      </c>
      <c r="H150" s="8" t="s">
        <v>184</v>
      </c>
      <c r="I150" s="109" t="s">
        <v>557</v>
      </c>
      <c r="J150" s="8" t="s">
        <v>208</v>
      </c>
      <c r="K150" s="14" t="b">
        <v>0</v>
      </c>
      <c r="L150" s="14" t="b">
        <v>1</v>
      </c>
      <c r="M150" s="14" t="b">
        <v>1</v>
      </c>
      <c r="N150" s="14" t="b">
        <v>0</v>
      </c>
      <c r="O150" s="14" t="b">
        <v>1</v>
      </c>
      <c r="W150" s="3"/>
    </row>
    <row r="151" spans="1:23" x14ac:dyDescent="0.25">
      <c r="A151" s="4">
        <v>60777901000116</v>
      </c>
      <c r="B151" s="8" t="s">
        <v>616</v>
      </c>
      <c r="C151" s="8" t="s">
        <v>29</v>
      </c>
      <c r="D151" s="7" t="s">
        <v>19</v>
      </c>
      <c r="E151" s="7" t="s">
        <v>215</v>
      </c>
      <c r="F151" s="6">
        <v>2</v>
      </c>
      <c r="G151" s="8" t="s">
        <v>161</v>
      </c>
      <c r="H151" s="8" t="s">
        <v>162</v>
      </c>
      <c r="I151" s="109" t="s">
        <v>556</v>
      </c>
      <c r="J151" s="8" t="s">
        <v>208</v>
      </c>
      <c r="K151" s="14" t="b">
        <v>1</v>
      </c>
      <c r="L151" s="14" t="b">
        <v>0</v>
      </c>
      <c r="M151" s="14" t="b">
        <v>0</v>
      </c>
      <c r="N151" s="14" t="b">
        <v>1</v>
      </c>
      <c r="O151" s="14" t="b">
        <v>1</v>
      </c>
      <c r="W151" s="3"/>
    </row>
    <row r="152" spans="1:23" x14ac:dyDescent="0.25">
      <c r="A152" s="4">
        <v>60884855000316</v>
      </c>
      <c r="B152" s="8" t="s">
        <v>617</v>
      </c>
      <c r="C152" s="8" t="s">
        <v>29</v>
      </c>
      <c r="D152" s="7" t="s">
        <v>19</v>
      </c>
      <c r="E152" s="7" t="s">
        <v>215</v>
      </c>
      <c r="F152" s="6">
        <v>2</v>
      </c>
      <c r="G152" s="8" t="s">
        <v>183</v>
      </c>
      <c r="H152" s="8" t="s">
        <v>184</v>
      </c>
      <c r="I152" s="109" t="s">
        <v>557</v>
      </c>
      <c r="J152" s="8" t="s">
        <v>208</v>
      </c>
      <c r="K152" s="14" t="b">
        <v>0</v>
      </c>
      <c r="L152" s="14" t="b">
        <v>1</v>
      </c>
      <c r="M152" s="14" t="b">
        <v>1</v>
      </c>
      <c r="N152" s="14" t="b">
        <v>0</v>
      </c>
      <c r="O152" s="14" t="b">
        <v>1</v>
      </c>
      <c r="W152" s="3"/>
    </row>
    <row r="153" spans="1:23" x14ac:dyDescent="0.25">
      <c r="A153" s="4">
        <v>60884855000316</v>
      </c>
      <c r="B153" s="8" t="s">
        <v>617</v>
      </c>
      <c r="C153" s="8" t="s">
        <v>29</v>
      </c>
      <c r="D153" s="7" t="s">
        <v>19</v>
      </c>
      <c r="E153" s="7" t="s">
        <v>215</v>
      </c>
      <c r="F153" s="6">
        <v>2</v>
      </c>
      <c r="G153" s="8" t="s">
        <v>1355</v>
      </c>
      <c r="H153" s="8" t="s">
        <v>1356</v>
      </c>
      <c r="I153" s="109" t="s">
        <v>556</v>
      </c>
      <c r="J153" s="8" t="s">
        <v>208</v>
      </c>
      <c r="K153" s="14" t="b">
        <v>1</v>
      </c>
      <c r="L153" s="14" t="b">
        <v>0</v>
      </c>
      <c r="M153" s="14" t="b">
        <v>0</v>
      </c>
      <c r="N153" s="14" t="b">
        <v>1</v>
      </c>
      <c r="O153" s="14" t="b">
        <v>1</v>
      </c>
      <c r="W153" s="3"/>
    </row>
    <row r="154" spans="1:23" x14ac:dyDescent="0.25">
      <c r="A154" s="4">
        <v>60922168000771</v>
      </c>
      <c r="B154" s="8" t="s">
        <v>618</v>
      </c>
      <c r="C154" s="8" t="s">
        <v>29</v>
      </c>
      <c r="D154" s="7" t="s">
        <v>19</v>
      </c>
      <c r="E154" s="7" t="s">
        <v>215</v>
      </c>
      <c r="F154" s="6">
        <v>2</v>
      </c>
      <c r="G154" s="8" t="s">
        <v>147</v>
      </c>
      <c r="H154" s="8" t="s">
        <v>148</v>
      </c>
      <c r="I154" s="109" t="s">
        <v>557</v>
      </c>
      <c r="J154" s="8" t="s">
        <v>208</v>
      </c>
      <c r="K154" s="14" t="b">
        <v>0</v>
      </c>
      <c r="L154" s="14" t="b">
        <v>1</v>
      </c>
      <c r="M154" s="14" t="b">
        <v>1</v>
      </c>
      <c r="N154" s="14" t="b">
        <v>0</v>
      </c>
      <c r="O154" s="14" t="b">
        <v>1</v>
      </c>
      <c r="W154" s="3"/>
    </row>
    <row r="155" spans="1:23" x14ac:dyDescent="0.25">
      <c r="A155" s="4">
        <v>60922168000771</v>
      </c>
      <c r="B155" s="8" t="s">
        <v>618</v>
      </c>
      <c r="C155" s="8" t="s">
        <v>29</v>
      </c>
      <c r="D155" s="7" t="s">
        <v>19</v>
      </c>
      <c r="E155" s="7" t="s">
        <v>215</v>
      </c>
      <c r="F155" s="6">
        <v>2</v>
      </c>
      <c r="G155" s="8" t="s">
        <v>1355</v>
      </c>
      <c r="H155" s="8" t="s">
        <v>1356</v>
      </c>
      <c r="I155" s="109" t="s">
        <v>556</v>
      </c>
      <c r="J155" s="8" t="s">
        <v>208</v>
      </c>
      <c r="K155" s="14" t="b">
        <v>1</v>
      </c>
      <c r="L155" s="14" t="b">
        <v>0</v>
      </c>
      <c r="M155" s="14" t="b">
        <v>0</v>
      </c>
      <c r="N155" s="14" t="b">
        <v>1</v>
      </c>
      <c r="O155" s="14" t="b">
        <v>1</v>
      </c>
      <c r="W155" s="3"/>
    </row>
    <row r="156" spans="1:23" x14ac:dyDescent="0.25">
      <c r="A156" s="4">
        <v>60922168004335</v>
      </c>
      <c r="B156" s="8" t="s">
        <v>619</v>
      </c>
      <c r="C156" s="8" t="s">
        <v>29</v>
      </c>
      <c r="D156" s="7" t="s">
        <v>19</v>
      </c>
      <c r="E156" s="7" t="s">
        <v>215</v>
      </c>
      <c r="F156" s="6">
        <v>2</v>
      </c>
      <c r="G156" s="8" t="s">
        <v>183</v>
      </c>
      <c r="H156" s="8" t="s">
        <v>184</v>
      </c>
      <c r="I156" s="109" t="s">
        <v>557</v>
      </c>
      <c r="J156" s="8" t="s">
        <v>208</v>
      </c>
      <c r="K156" s="14" t="b">
        <v>0</v>
      </c>
      <c r="L156" s="14" t="b">
        <v>1</v>
      </c>
      <c r="M156" s="14" t="b">
        <v>1</v>
      </c>
      <c r="N156" s="14" t="b">
        <v>0</v>
      </c>
      <c r="O156" s="14" t="b">
        <v>1</v>
      </c>
      <c r="W156" s="3"/>
    </row>
    <row r="157" spans="1:23" x14ac:dyDescent="0.25">
      <c r="A157" s="4">
        <v>60922168004335</v>
      </c>
      <c r="B157" s="8" t="s">
        <v>619</v>
      </c>
      <c r="C157" s="8" t="s">
        <v>29</v>
      </c>
      <c r="D157" s="7" t="s">
        <v>19</v>
      </c>
      <c r="E157" s="7" t="s">
        <v>215</v>
      </c>
      <c r="F157" s="6">
        <v>2</v>
      </c>
      <c r="G157" s="8" t="s">
        <v>161</v>
      </c>
      <c r="H157" s="8" t="s">
        <v>162</v>
      </c>
      <c r="I157" s="109" t="s">
        <v>556</v>
      </c>
      <c r="J157" s="8" t="s">
        <v>208</v>
      </c>
      <c r="K157" s="14" t="b">
        <v>1</v>
      </c>
      <c r="L157" s="14" t="b">
        <v>0</v>
      </c>
      <c r="M157" s="14" t="b">
        <v>0</v>
      </c>
      <c r="N157" s="14" t="b">
        <v>1</v>
      </c>
      <c r="O157" s="14" t="b">
        <v>1</v>
      </c>
      <c r="W157" s="3"/>
    </row>
    <row r="158" spans="1:23" x14ac:dyDescent="0.25">
      <c r="A158" s="4">
        <v>60961422000155</v>
      </c>
      <c r="B158" s="8" t="s">
        <v>620</v>
      </c>
      <c r="C158" s="8" t="s">
        <v>29</v>
      </c>
      <c r="D158" s="7" t="s">
        <v>19</v>
      </c>
      <c r="E158" s="7" t="s">
        <v>215</v>
      </c>
      <c r="F158" s="6">
        <v>2</v>
      </c>
      <c r="G158" s="8" t="s">
        <v>161</v>
      </c>
      <c r="H158" s="8" t="s">
        <v>162</v>
      </c>
      <c r="I158" s="109" t="s">
        <v>556</v>
      </c>
      <c r="J158" s="8" t="s">
        <v>208</v>
      </c>
      <c r="K158" s="14" t="b">
        <v>1</v>
      </c>
      <c r="L158" s="14" t="b">
        <v>0</v>
      </c>
      <c r="M158" s="14" t="b">
        <v>0</v>
      </c>
      <c r="N158" s="14" t="b">
        <v>1</v>
      </c>
      <c r="O158" s="14" t="b">
        <v>1</v>
      </c>
      <c r="W158" s="3"/>
    </row>
    <row r="159" spans="1:23" x14ac:dyDescent="0.25">
      <c r="A159" s="4">
        <v>60961422000155</v>
      </c>
      <c r="B159" s="8" t="s">
        <v>620</v>
      </c>
      <c r="C159" s="8" t="s">
        <v>29</v>
      </c>
      <c r="D159" s="7" t="s">
        <v>19</v>
      </c>
      <c r="E159" s="7" t="s">
        <v>215</v>
      </c>
      <c r="F159" s="6">
        <v>2</v>
      </c>
      <c r="G159" s="8" t="s">
        <v>147</v>
      </c>
      <c r="H159" s="8" t="s">
        <v>148</v>
      </c>
      <c r="I159" s="109" t="s">
        <v>557</v>
      </c>
      <c r="J159" s="8" t="s">
        <v>208</v>
      </c>
      <c r="K159" s="14" t="b">
        <v>0</v>
      </c>
      <c r="L159" s="14" t="b">
        <v>1</v>
      </c>
      <c r="M159" s="14" t="b">
        <v>1</v>
      </c>
      <c r="N159" s="14" t="b">
        <v>0</v>
      </c>
      <c r="O159" s="14" t="b">
        <v>1</v>
      </c>
      <c r="W159" s="3"/>
    </row>
    <row r="160" spans="1:23" x14ac:dyDescent="0.25">
      <c r="A160" s="4">
        <v>60961968000106</v>
      </c>
      <c r="B160" s="8" t="s">
        <v>621</v>
      </c>
      <c r="C160" s="8" t="s">
        <v>29</v>
      </c>
      <c r="D160" s="7" t="s">
        <v>19</v>
      </c>
      <c r="E160" s="7" t="s">
        <v>215</v>
      </c>
      <c r="F160" s="6">
        <v>2</v>
      </c>
      <c r="G160" s="8" t="s">
        <v>1355</v>
      </c>
      <c r="H160" s="8" t="s">
        <v>1356</v>
      </c>
      <c r="I160" s="109" t="s">
        <v>556</v>
      </c>
      <c r="J160" s="8" t="s">
        <v>208</v>
      </c>
      <c r="K160" s="14" t="b">
        <v>1</v>
      </c>
      <c r="L160" s="14" t="b">
        <v>0</v>
      </c>
      <c r="M160" s="14" t="b">
        <v>0</v>
      </c>
      <c r="N160" s="14" t="b">
        <v>1</v>
      </c>
      <c r="O160" s="14" t="b">
        <v>1</v>
      </c>
      <c r="W160" s="3"/>
    </row>
    <row r="161" spans="1:23" x14ac:dyDescent="0.25">
      <c r="A161" s="4">
        <v>60961968000106</v>
      </c>
      <c r="B161" s="8" t="s">
        <v>621</v>
      </c>
      <c r="C161" s="8" t="s">
        <v>29</v>
      </c>
      <c r="D161" s="7" t="s">
        <v>19</v>
      </c>
      <c r="E161" s="7" t="s">
        <v>215</v>
      </c>
      <c r="F161" s="6">
        <v>2</v>
      </c>
      <c r="G161" s="8" t="s">
        <v>177</v>
      </c>
      <c r="H161" s="8" t="s">
        <v>178</v>
      </c>
      <c r="I161" s="109" t="s">
        <v>557</v>
      </c>
      <c r="J161" s="8" t="s">
        <v>208</v>
      </c>
      <c r="K161" s="14" t="b">
        <v>0</v>
      </c>
      <c r="L161" s="14" t="b">
        <v>1</v>
      </c>
      <c r="M161" s="14" t="b">
        <v>1</v>
      </c>
      <c r="N161" s="14" t="b">
        <v>0</v>
      </c>
      <c r="O161" s="14" t="b">
        <v>1</v>
      </c>
      <c r="W161" s="3"/>
    </row>
    <row r="162" spans="1:23" x14ac:dyDescent="0.25">
      <c r="A162" s="4">
        <v>60961968000459</v>
      </c>
      <c r="B162" s="8" t="s">
        <v>622</v>
      </c>
      <c r="C162" s="8" t="s">
        <v>29</v>
      </c>
      <c r="D162" s="7" t="s">
        <v>19</v>
      </c>
      <c r="E162" s="7" t="s">
        <v>215</v>
      </c>
      <c r="F162" s="6">
        <v>2</v>
      </c>
      <c r="G162" s="8" t="s">
        <v>177</v>
      </c>
      <c r="H162" s="8" t="s">
        <v>178</v>
      </c>
      <c r="I162" s="109" t="s">
        <v>557</v>
      </c>
      <c r="J162" s="8" t="s">
        <v>208</v>
      </c>
      <c r="K162" s="14" t="b">
        <v>0</v>
      </c>
      <c r="L162" s="14" t="b">
        <v>1</v>
      </c>
      <c r="M162" s="14" t="b">
        <v>1</v>
      </c>
      <c r="N162" s="14" t="b">
        <v>0</v>
      </c>
      <c r="O162" s="14" t="b">
        <v>1</v>
      </c>
      <c r="W162" s="3"/>
    </row>
    <row r="163" spans="1:23" x14ac:dyDescent="0.25">
      <c r="A163" s="4">
        <v>60961968000459</v>
      </c>
      <c r="B163" s="8" t="s">
        <v>622</v>
      </c>
      <c r="C163" s="8" t="s">
        <v>29</v>
      </c>
      <c r="D163" s="7" t="s">
        <v>19</v>
      </c>
      <c r="E163" s="7" t="s">
        <v>215</v>
      </c>
      <c r="F163" s="6">
        <v>2</v>
      </c>
      <c r="G163" s="8" t="s">
        <v>1355</v>
      </c>
      <c r="H163" s="8" t="s">
        <v>1356</v>
      </c>
      <c r="I163" s="109" t="s">
        <v>556</v>
      </c>
      <c r="J163" s="8" t="s">
        <v>208</v>
      </c>
      <c r="K163" s="14" t="b">
        <v>1</v>
      </c>
      <c r="L163" s="14" t="b">
        <v>0</v>
      </c>
      <c r="M163" s="14" t="b">
        <v>0</v>
      </c>
      <c r="N163" s="14" t="b">
        <v>1</v>
      </c>
      <c r="O163" s="14" t="b">
        <v>1</v>
      </c>
      <c r="W163" s="3"/>
    </row>
    <row r="164" spans="1:23" x14ac:dyDescent="0.25">
      <c r="A164" s="4">
        <v>60975174000363</v>
      </c>
      <c r="B164" s="8" t="s">
        <v>623</v>
      </c>
      <c r="C164" s="8" t="s">
        <v>29</v>
      </c>
      <c r="D164" s="7" t="s">
        <v>19</v>
      </c>
      <c r="E164" s="7" t="s">
        <v>215</v>
      </c>
      <c r="F164" s="6">
        <v>2</v>
      </c>
      <c r="G164" s="8" t="s">
        <v>147</v>
      </c>
      <c r="H164" s="8" t="s">
        <v>148</v>
      </c>
      <c r="I164" s="109" t="s">
        <v>557</v>
      </c>
      <c r="J164" s="8" t="s">
        <v>208</v>
      </c>
      <c r="K164" s="14" t="b">
        <v>0</v>
      </c>
      <c r="L164" s="14" t="b">
        <v>1</v>
      </c>
      <c r="M164" s="14" t="b">
        <v>1</v>
      </c>
      <c r="N164" s="14" t="b">
        <v>0</v>
      </c>
      <c r="O164" s="14" t="b">
        <v>1</v>
      </c>
      <c r="W164" s="3"/>
    </row>
    <row r="165" spans="1:23" x14ac:dyDescent="0.25">
      <c r="A165" s="4">
        <v>60975174000363</v>
      </c>
      <c r="B165" s="8" t="s">
        <v>623</v>
      </c>
      <c r="C165" s="8" t="s">
        <v>29</v>
      </c>
      <c r="D165" s="7" t="s">
        <v>19</v>
      </c>
      <c r="E165" s="7" t="s">
        <v>215</v>
      </c>
      <c r="F165" s="6">
        <v>2</v>
      </c>
      <c r="G165" s="8" t="s">
        <v>161</v>
      </c>
      <c r="H165" s="8" t="s">
        <v>162</v>
      </c>
      <c r="I165" s="109" t="s">
        <v>556</v>
      </c>
      <c r="J165" s="8" t="s">
        <v>208</v>
      </c>
      <c r="K165" s="14" t="b">
        <v>1</v>
      </c>
      <c r="L165" s="14" t="b">
        <v>0</v>
      </c>
      <c r="M165" s="14" t="b">
        <v>0</v>
      </c>
      <c r="N165" s="14" t="b">
        <v>1</v>
      </c>
      <c r="O165" s="14" t="b">
        <v>1</v>
      </c>
      <c r="W165" s="3"/>
    </row>
    <row r="166" spans="1:23" x14ac:dyDescent="0.25">
      <c r="A166" s="4">
        <v>60975737000232</v>
      </c>
      <c r="B166" s="8" t="s">
        <v>624</v>
      </c>
      <c r="C166" s="8" t="s">
        <v>29</v>
      </c>
      <c r="D166" s="7" t="s">
        <v>19</v>
      </c>
      <c r="E166" s="7" t="s">
        <v>215</v>
      </c>
      <c r="F166" s="6">
        <v>2</v>
      </c>
      <c r="G166" s="8" t="s">
        <v>161</v>
      </c>
      <c r="H166" s="8" t="s">
        <v>162</v>
      </c>
      <c r="I166" s="109" t="s">
        <v>556</v>
      </c>
      <c r="J166" s="8" t="s">
        <v>208</v>
      </c>
      <c r="K166" s="14" t="b">
        <v>1</v>
      </c>
      <c r="L166" s="14" t="b">
        <v>0</v>
      </c>
      <c r="M166" s="14" t="b">
        <v>0</v>
      </c>
      <c r="N166" s="14" t="b">
        <v>1</v>
      </c>
      <c r="O166" s="14" t="b">
        <v>1</v>
      </c>
      <c r="W166" s="3"/>
    </row>
    <row r="167" spans="1:23" x14ac:dyDescent="0.25">
      <c r="A167" s="4">
        <v>60975737000232</v>
      </c>
      <c r="B167" s="8" t="s">
        <v>624</v>
      </c>
      <c r="C167" s="8" t="s">
        <v>29</v>
      </c>
      <c r="D167" s="7" t="s">
        <v>19</v>
      </c>
      <c r="E167" s="7" t="s">
        <v>215</v>
      </c>
      <c r="F167" s="6">
        <v>2</v>
      </c>
      <c r="G167" s="8" t="s">
        <v>177</v>
      </c>
      <c r="H167" s="8" t="s">
        <v>178</v>
      </c>
      <c r="I167" s="109" t="s">
        <v>557</v>
      </c>
      <c r="J167" s="8" t="s">
        <v>208</v>
      </c>
      <c r="K167" s="14" t="b">
        <v>0</v>
      </c>
      <c r="L167" s="14" t="b">
        <v>1</v>
      </c>
      <c r="M167" s="14" t="b">
        <v>1</v>
      </c>
      <c r="N167" s="14" t="b">
        <v>0</v>
      </c>
      <c r="O167" s="14" t="b">
        <v>1</v>
      </c>
      <c r="W167" s="3"/>
    </row>
    <row r="168" spans="1:23" x14ac:dyDescent="0.25">
      <c r="A168" s="4">
        <v>60975737001204</v>
      </c>
      <c r="B168" s="8" t="s">
        <v>625</v>
      </c>
      <c r="C168" s="8" t="s">
        <v>29</v>
      </c>
      <c r="D168" s="7" t="s">
        <v>19</v>
      </c>
      <c r="E168" s="7" t="s">
        <v>215</v>
      </c>
      <c r="F168" s="6">
        <v>2</v>
      </c>
      <c r="G168" s="8" t="s">
        <v>177</v>
      </c>
      <c r="H168" s="8" t="s">
        <v>178</v>
      </c>
      <c r="I168" s="109" t="s">
        <v>557</v>
      </c>
      <c r="J168" s="8" t="s">
        <v>208</v>
      </c>
      <c r="K168" s="14" t="b">
        <v>0</v>
      </c>
      <c r="L168" s="14" t="b">
        <v>1</v>
      </c>
      <c r="M168" s="14" t="b">
        <v>1</v>
      </c>
      <c r="N168" s="14" t="b">
        <v>0</v>
      </c>
      <c r="O168" s="14" t="b">
        <v>1</v>
      </c>
      <c r="W168" s="3"/>
    </row>
    <row r="169" spans="1:23" x14ac:dyDescent="0.25">
      <c r="A169" s="4">
        <v>60975737001204</v>
      </c>
      <c r="B169" s="8" t="s">
        <v>625</v>
      </c>
      <c r="C169" s="8" t="s">
        <v>29</v>
      </c>
      <c r="D169" s="7" t="s">
        <v>19</v>
      </c>
      <c r="E169" s="7" t="s">
        <v>215</v>
      </c>
      <c r="F169" s="6">
        <v>2</v>
      </c>
      <c r="G169" s="8" t="s">
        <v>161</v>
      </c>
      <c r="H169" s="8" t="s">
        <v>162</v>
      </c>
      <c r="I169" s="109" t="s">
        <v>556</v>
      </c>
      <c r="J169" s="8" t="s">
        <v>208</v>
      </c>
      <c r="K169" s="14" t="b">
        <v>1</v>
      </c>
      <c r="L169" s="14" t="b">
        <v>0</v>
      </c>
      <c r="M169" s="14" t="b">
        <v>0</v>
      </c>
      <c r="N169" s="14" t="b">
        <v>1</v>
      </c>
      <c r="O169" s="14" t="b">
        <v>1</v>
      </c>
      <c r="W169" s="3"/>
    </row>
    <row r="170" spans="1:23" x14ac:dyDescent="0.25">
      <c r="A170" s="4">
        <v>60975737005110</v>
      </c>
      <c r="B170" s="8" t="s">
        <v>626</v>
      </c>
      <c r="C170" s="8" t="s">
        <v>29</v>
      </c>
      <c r="D170" s="7" t="s">
        <v>19</v>
      </c>
      <c r="E170" s="7" t="s">
        <v>215</v>
      </c>
      <c r="F170" s="6">
        <v>2</v>
      </c>
      <c r="G170" s="8" t="s">
        <v>177</v>
      </c>
      <c r="H170" s="8" t="s">
        <v>178</v>
      </c>
      <c r="I170" s="109" t="s">
        <v>557</v>
      </c>
      <c r="J170" s="8" t="s">
        <v>208</v>
      </c>
      <c r="K170" s="14" t="b">
        <v>0</v>
      </c>
      <c r="L170" s="14" t="b">
        <v>1</v>
      </c>
      <c r="M170" s="14" t="b">
        <v>1</v>
      </c>
      <c r="N170" s="14" t="b">
        <v>0</v>
      </c>
      <c r="O170" s="14" t="b">
        <v>1</v>
      </c>
      <c r="W170" s="3"/>
    </row>
    <row r="171" spans="1:23" x14ac:dyDescent="0.25">
      <c r="A171" s="4">
        <v>60975737005110</v>
      </c>
      <c r="B171" s="8" t="s">
        <v>626</v>
      </c>
      <c r="C171" s="8" t="s">
        <v>29</v>
      </c>
      <c r="D171" s="7" t="s">
        <v>19</v>
      </c>
      <c r="E171" s="7" t="s">
        <v>215</v>
      </c>
      <c r="F171" s="6">
        <v>2</v>
      </c>
      <c r="G171" s="8" t="s">
        <v>161</v>
      </c>
      <c r="H171" s="8" t="s">
        <v>162</v>
      </c>
      <c r="I171" s="109" t="s">
        <v>556</v>
      </c>
      <c r="J171" s="8" t="s">
        <v>208</v>
      </c>
      <c r="K171" s="14" t="b">
        <v>1</v>
      </c>
      <c r="L171" s="14" t="b">
        <v>0</v>
      </c>
      <c r="M171" s="14" t="b">
        <v>0</v>
      </c>
      <c r="N171" s="14" t="b">
        <v>1</v>
      </c>
      <c r="O171" s="14" t="b">
        <v>1</v>
      </c>
      <c r="W171" s="3"/>
    </row>
    <row r="172" spans="1:23" x14ac:dyDescent="0.25">
      <c r="A172" s="4">
        <v>60979457000111</v>
      </c>
      <c r="B172" s="8" t="s">
        <v>1232</v>
      </c>
      <c r="C172" s="8" t="s">
        <v>29</v>
      </c>
      <c r="D172" s="7" t="s">
        <v>19</v>
      </c>
      <c r="E172" s="7" t="s">
        <v>215</v>
      </c>
      <c r="F172" s="6">
        <v>2</v>
      </c>
      <c r="G172" s="8" t="s">
        <v>161</v>
      </c>
      <c r="H172" s="8" t="s">
        <v>162</v>
      </c>
      <c r="I172" s="109" t="s">
        <v>556</v>
      </c>
      <c r="J172" s="8" t="s">
        <v>208</v>
      </c>
      <c r="K172" s="14" t="b">
        <v>1</v>
      </c>
      <c r="L172" s="14" t="b">
        <v>0</v>
      </c>
      <c r="M172" s="14" t="b">
        <v>0</v>
      </c>
      <c r="N172" s="14" t="b">
        <v>1</v>
      </c>
      <c r="O172" s="14" t="b">
        <v>1</v>
      </c>
      <c r="W172" s="3"/>
    </row>
    <row r="173" spans="1:23" x14ac:dyDescent="0.25">
      <c r="A173" s="4">
        <v>60979457000111</v>
      </c>
      <c r="B173" s="8" t="s">
        <v>1232</v>
      </c>
      <c r="C173" s="8" t="s">
        <v>29</v>
      </c>
      <c r="D173" s="7" t="s">
        <v>19</v>
      </c>
      <c r="E173" s="7" t="s">
        <v>215</v>
      </c>
      <c r="F173" s="6">
        <v>2</v>
      </c>
      <c r="G173" s="8" t="s">
        <v>183</v>
      </c>
      <c r="H173" s="8" t="s">
        <v>184</v>
      </c>
      <c r="I173" s="109" t="s">
        <v>557</v>
      </c>
      <c r="J173" s="8" t="s">
        <v>208</v>
      </c>
      <c r="K173" s="14" t="b">
        <v>0</v>
      </c>
      <c r="L173" s="14" t="b">
        <v>1</v>
      </c>
      <c r="M173" s="14" t="b">
        <v>1</v>
      </c>
      <c r="N173" s="14" t="b">
        <v>0</v>
      </c>
      <c r="O173" s="14" t="b">
        <v>1</v>
      </c>
      <c r="W173" s="3"/>
    </row>
    <row r="174" spans="1:23" x14ac:dyDescent="0.25">
      <c r="A174" s="4">
        <v>60992427000650</v>
      </c>
      <c r="B174" s="8" t="s">
        <v>627</v>
      </c>
      <c r="C174" s="8" t="s">
        <v>29</v>
      </c>
      <c r="D174" s="7" t="s">
        <v>19</v>
      </c>
      <c r="E174" s="7" t="s">
        <v>215</v>
      </c>
      <c r="F174" s="6">
        <v>2</v>
      </c>
      <c r="G174" s="8" t="s">
        <v>1355</v>
      </c>
      <c r="H174" s="8" t="s">
        <v>1356</v>
      </c>
      <c r="I174" s="109" t="s">
        <v>556</v>
      </c>
      <c r="J174" s="8" t="s">
        <v>208</v>
      </c>
      <c r="K174" s="14" t="b">
        <v>1</v>
      </c>
      <c r="L174" s="14" t="b">
        <v>0</v>
      </c>
      <c r="M174" s="14" t="b">
        <v>0</v>
      </c>
      <c r="N174" s="14" t="b">
        <v>1</v>
      </c>
      <c r="O174" s="14" t="b">
        <v>1</v>
      </c>
      <c r="W174" s="3"/>
    </row>
    <row r="175" spans="1:23" x14ac:dyDescent="0.25">
      <c r="A175" s="4">
        <v>60992427000650</v>
      </c>
      <c r="B175" s="8" t="s">
        <v>627</v>
      </c>
      <c r="C175" s="8" t="s">
        <v>29</v>
      </c>
      <c r="D175" s="7" t="s">
        <v>19</v>
      </c>
      <c r="E175" s="7" t="s">
        <v>215</v>
      </c>
      <c r="F175" s="6">
        <v>2</v>
      </c>
      <c r="G175" s="8" t="s">
        <v>147</v>
      </c>
      <c r="H175" s="8" t="s">
        <v>148</v>
      </c>
      <c r="I175" s="109" t="s">
        <v>557</v>
      </c>
      <c r="J175" s="8" t="s">
        <v>208</v>
      </c>
      <c r="K175" s="14" t="b">
        <v>0</v>
      </c>
      <c r="L175" s="14" t="b">
        <v>1</v>
      </c>
      <c r="M175" s="14" t="b">
        <v>1</v>
      </c>
      <c r="N175" s="14" t="b">
        <v>0</v>
      </c>
      <c r="O175" s="14" t="b">
        <v>1</v>
      </c>
      <c r="W175" s="3"/>
    </row>
    <row r="176" spans="1:23" x14ac:dyDescent="0.25">
      <c r="A176" s="4">
        <v>61062212000198</v>
      </c>
      <c r="B176" s="8" t="s">
        <v>628</v>
      </c>
      <c r="C176" s="8" t="s">
        <v>29</v>
      </c>
      <c r="D176" s="7" t="s">
        <v>19</v>
      </c>
      <c r="E176" s="7" t="s">
        <v>215</v>
      </c>
      <c r="F176" s="6">
        <v>2</v>
      </c>
      <c r="G176" s="8" t="s">
        <v>1355</v>
      </c>
      <c r="H176" s="8" t="s">
        <v>1356</v>
      </c>
      <c r="I176" s="109" t="s">
        <v>556</v>
      </c>
      <c r="J176" s="8" t="s">
        <v>208</v>
      </c>
      <c r="K176" s="14" t="b">
        <v>1</v>
      </c>
      <c r="L176" s="14" t="b">
        <v>0</v>
      </c>
      <c r="M176" s="14" t="b">
        <v>0</v>
      </c>
      <c r="N176" s="14" t="b">
        <v>1</v>
      </c>
      <c r="O176" s="14" t="b">
        <v>1</v>
      </c>
      <c r="W176" s="3"/>
    </row>
    <row r="177" spans="1:23" x14ac:dyDescent="0.25">
      <c r="A177" s="4">
        <v>61062212000198</v>
      </c>
      <c r="B177" s="8" t="s">
        <v>628</v>
      </c>
      <c r="C177" s="8" t="s">
        <v>29</v>
      </c>
      <c r="D177" s="7" t="s">
        <v>19</v>
      </c>
      <c r="E177" s="7" t="s">
        <v>215</v>
      </c>
      <c r="F177" s="6">
        <v>2</v>
      </c>
      <c r="G177" s="8" t="s">
        <v>183</v>
      </c>
      <c r="H177" s="8" t="s">
        <v>184</v>
      </c>
      <c r="I177" s="109" t="s">
        <v>557</v>
      </c>
      <c r="J177" s="8" t="s">
        <v>208</v>
      </c>
      <c r="K177" s="14" t="b">
        <v>0</v>
      </c>
      <c r="L177" s="14" t="b">
        <v>1</v>
      </c>
      <c r="M177" s="14" t="b">
        <v>1</v>
      </c>
      <c r="N177" s="14" t="b">
        <v>0</v>
      </c>
      <c r="O177" s="14" t="b">
        <v>1</v>
      </c>
      <c r="W177" s="3"/>
    </row>
    <row r="178" spans="1:23" x14ac:dyDescent="0.25">
      <c r="A178" s="4">
        <v>61213674000240</v>
      </c>
      <c r="B178" s="8" t="s">
        <v>629</v>
      </c>
      <c r="C178" s="8" t="s">
        <v>29</v>
      </c>
      <c r="D178" s="7" t="s">
        <v>19</v>
      </c>
      <c r="E178" s="7" t="s">
        <v>215</v>
      </c>
      <c r="F178" s="6">
        <v>2</v>
      </c>
      <c r="G178" s="8" t="s">
        <v>1355</v>
      </c>
      <c r="H178" s="8" t="s">
        <v>1356</v>
      </c>
      <c r="I178" s="109" t="s">
        <v>556</v>
      </c>
      <c r="J178" s="8" t="s">
        <v>208</v>
      </c>
      <c r="K178" s="14" t="b">
        <v>1</v>
      </c>
      <c r="L178" s="14" t="b">
        <v>0</v>
      </c>
      <c r="M178" s="14" t="b">
        <v>0</v>
      </c>
      <c r="N178" s="14" t="b">
        <v>1</v>
      </c>
      <c r="O178" s="14" t="b">
        <v>1</v>
      </c>
      <c r="W178" s="3"/>
    </row>
    <row r="179" spans="1:23" x14ac:dyDescent="0.25">
      <c r="A179" s="4">
        <v>61213674000240</v>
      </c>
      <c r="B179" s="8" t="s">
        <v>629</v>
      </c>
      <c r="C179" s="8" t="s">
        <v>29</v>
      </c>
      <c r="D179" s="7" t="s">
        <v>19</v>
      </c>
      <c r="E179" s="7" t="s">
        <v>215</v>
      </c>
      <c r="F179" s="6">
        <v>2</v>
      </c>
      <c r="G179" s="8" t="s">
        <v>147</v>
      </c>
      <c r="H179" s="8" t="s">
        <v>148</v>
      </c>
      <c r="I179" s="109" t="s">
        <v>557</v>
      </c>
      <c r="J179" s="8" t="s">
        <v>208</v>
      </c>
      <c r="K179" s="14" t="b">
        <v>0</v>
      </c>
      <c r="L179" s="14" t="b">
        <v>1</v>
      </c>
      <c r="M179" s="14" t="b">
        <v>1</v>
      </c>
      <c r="N179" s="14" t="b">
        <v>0</v>
      </c>
      <c r="O179" s="14" t="b">
        <v>1</v>
      </c>
      <c r="W179" s="3"/>
    </row>
    <row r="180" spans="1:23" x14ac:dyDescent="0.25">
      <c r="A180" s="4">
        <v>61590410000124</v>
      </c>
      <c r="B180" s="8" t="s">
        <v>630</v>
      </c>
      <c r="C180" s="8" t="s">
        <v>29</v>
      </c>
      <c r="D180" s="7" t="s">
        <v>19</v>
      </c>
      <c r="E180" s="7" t="s">
        <v>215</v>
      </c>
      <c r="F180" s="6">
        <v>2</v>
      </c>
      <c r="G180" s="8" t="s">
        <v>1355</v>
      </c>
      <c r="H180" s="8" t="s">
        <v>1356</v>
      </c>
      <c r="I180" s="109" t="s">
        <v>556</v>
      </c>
      <c r="J180" s="8" t="s">
        <v>208</v>
      </c>
      <c r="K180" s="14" t="b">
        <v>1</v>
      </c>
      <c r="L180" s="14" t="b">
        <v>0</v>
      </c>
      <c r="M180" s="14" t="b">
        <v>0</v>
      </c>
      <c r="N180" s="14" t="b">
        <v>1</v>
      </c>
      <c r="O180" s="14" t="b">
        <v>1</v>
      </c>
      <c r="W180" s="3"/>
    </row>
    <row r="181" spans="1:23" x14ac:dyDescent="0.25">
      <c r="A181" s="4">
        <v>61590410000124</v>
      </c>
      <c r="B181" s="8" t="s">
        <v>630</v>
      </c>
      <c r="C181" s="8" t="s">
        <v>29</v>
      </c>
      <c r="D181" s="7" t="s">
        <v>19</v>
      </c>
      <c r="E181" s="7" t="s">
        <v>215</v>
      </c>
      <c r="F181" s="6">
        <v>2</v>
      </c>
      <c r="G181" s="8" t="s">
        <v>177</v>
      </c>
      <c r="H181" s="8" t="s">
        <v>178</v>
      </c>
      <c r="I181" s="109" t="s">
        <v>557</v>
      </c>
      <c r="J181" s="8" t="s">
        <v>208</v>
      </c>
      <c r="K181" s="14" t="b">
        <v>0</v>
      </c>
      <c r="L181" s="14" t="b">
        <v>1</v>
      </c>
      <c r="M181" s="14" t="b">
        <v>1</v>
      </c>
      <c r="N181" s="14" t="b">
        <v>0</v>
      </c>
      <c r="O181" s="14" t="b">
        <v>1</v>
      </c>
      <c r="W181" s="3"/>
    </row>
    <row r="182" spans="1:23" x14ac:dyDescent="0.25">
      <c r="A182" s="4">
        <v>61599908000158</v>
      </c>
      <c r="B182" s="8" t="s">
        <v>631</v>
      </c>
      <c r="C182" s="8" t="s">
        <v>29</v>
      </c>
      <c r="D182" s="7" t="s">
        <v>19</v>
      </c>
      <c r="E182" s="7" t="s">
        <v>215</v>
      </c>
      <c r="F182" s="6">
        <v>2</v>
      </c>
      <c r="G182" s="8" t="s">
        <v>183</v>
      </c>
      <c r="H182" s="8" t="s">
        <v>184</v>
      </c>
      <c r="I182" s="109" t="s">
        <v>557</v>
      </c>
      <c r="J182" s="8" t="s">
        <v>208</v>
      </c>
      <c r="K182" s="14" t="b">
        <v>0</v>
      </c>
      <c r="L182" s="14" t="b">
        <v>1</v>
      </c>
      <c r="M182" s="14" t="b">
        <v>1</v>
      </c>
      <c r="N182" s="14" t="b">
        <v>0</v>
      </c>
      <c r="O182" s="14" t="b">
        <v>1</v>
      </c>
      <c r="W182" s="3"/>
    </row>
    <row r="183" spans="1:23" x14ac:dyDescent="0.25">
      <c r="A183" s="4">
        <v>61599908000158</v>
      </c>
      <c r="B183" s="8" t="s">
        <v>631</v>
      </c>
      <c r="C183" s="8" t="s">
        <v>29</v>
      </c>
      <c r="D183" s="7" t="s">
        <v>19</v>
      </c>
      <c r="E183" s="7" t="s">
        <v>215</v>
      </c>
      <c r="F183" s="6">
        <v>2</v>
      </c>
      <c r="G183" s="8" t="s">
        <v>1355</v>
      </c>
      <c r="H183" s="8" t="s">
        <v>1356</v>
      </c>
      <c r="I183" s="109" t="s">
        <v>556</v>
      </c>
      <c r="J183" s="8" t="s">
        <v>208</v>
      </c>
      <c r="K183" s="14" t="b">
        <v>1</v>
      </c>
      <c r="L183" s="14" t="b">
        <v>0</v>
      </c>
      <c r="M183" s="14" t="b">
        <v>0</v>
      </c>
      <c r="N183" s="14" t="b">
        <v>1</v>
      </c>
      <c r="O183" s="14" t="b">
        <v>1</v>
      </c>
      <c r="W183" s="3"/>
    </row>
    <row r="184" spans="1:23" x14ac:dyDescent="0.25">
      <c r="A184" s="4">
        <v>61699567006204</v>
      </c>
      <c r="B184" s="8" t="s">
        <v>1364</v>
      </c>
      <c r="C184" s="8" t="s">
        <v>29</v>
      </c>
      <c r="D184" s="7" t="s">
        <v>19</v>
      </c>
      <c r="E184" s="7" t="s">
        <v>215</v>
      </c>
      <c r="F184" s="6">
        <v>2</v>
      </c>
      <c r="G184" s="8" t="s">
        <v>147</v>
      </c>
      <c r="H184" s="8" t="s">
        <v>148</v>
      </c>
      <c r="I184" s="109" t="s">
        <v>557</v>
      </c>
      <c r="J184" s="8" t="s">
        <v>208</v>
      </c>
      <c r="K184" s="14" t="b">
        <v>0</v>
      </c>
      <c r="L184" s="14" t="b">
        <v>1</v>
      </c>
      <c r="M184" s="14" t="b">
        <v>1</v>
      </c>
      <c r="N184" s="14" t="b">
        <v>0</v>
      </c>
      <c r="O184" s="14" t="b">
        <v>1</v>
      </c>
      <c r="W184" s="3"/>
    </row>
    <row r="185" spans="1:23" x14ac:dyDescent="0.25">
      <c r="A185" s="4">
        <v>61699567006204</v>
      </c>
      <c r="B185" s="8" t="s">
        <v>1364</v>
      </c>
      <c r="C185" s="8" t="s">
        <v>29</v>
      </c>
      <c r="D185" s="7" t="s">
        <v>19</v>
      </c>
      <c r="E185" s="7" t="s">
        <v>215</v>
      </c>
      <c r="F185" s="6">
        <v>2</v>
      </c>
      <c r="G185" s="8" t="s">
        <v>161</v>
      </c>
      <c r="H185" s="8" t="s">
        <v>162</v>
      </c>
      <c r="I185" s="109" t="s">
        <v>556</v>
      </c>
      <c r="J185" s="8" t="s">
        <v>208</v>
      </c>
      <c r="K185" s="14" t="b">
        <v>1</v>
      </c>
      <c r="L185" s="14" t="b">
        <v>0</v>
      </c>
      <c r="M185" s="14" t="b">
        <v>0</v>
      </c>
      <c r="N185" s="14" t="b">
        <v>1</v>
      </c>
      <c r="O185" s="14" t="b">
        <v>1</v>
      </c>
      <c r="W185" s="3"/>
    </row>
    <row r="186" spans="1:23" x14ac:dyDescent="0.25">
      <c r="A186" s="4">
        <v>61849980001087</v>
      </c>
      <c r="B186" s="8" t="s">
        <v>632</v>
      </c>
      <c r="C186" s="8" t="s">
        <v>29</v>
      </c>
      <c r="D186" s="7" t="s">
        <v>19</v>
      </c>
      <c r="E186" s="7" t="s">
        <v>215</v>
      </c>
      <c r="F186" s="6">
        <v>2</v>
      </c>
      <c r="G186" s="8" t="s">
        <v>147</v>
      </c>
      <c r="H186" s="8" t="s">
        <v>148</v>
      </c>
      <c r="I186" s="109" t="s">
        <v>557</v>
      </c>
      <c r="J186" s="8" t="s">
        <v>208</v>
      </c>
      <c r="K186" s="14" t="b">
        <v>0</v>
      </c>
      <c r="L186" s="14" t="b">
        <v>1</v>
      </c>
      <c r="M186" s="14" t="b">
        <v>1</v>
      </c>
      <c r="N186" s="14" t="b">
        <v>0</v>
      </c>
      <c r="O186" s="14" t="b">
        <v>1</v>
      </c>
      <c r="W186" s="3"/>
    </row>
    <row r="187" spans="1:23" x14ac:dyDescent="0.25">
      <c r="A187" s="4">
        <v>61849980001087</v>
      </c>
      <c r="B187" s="8" t="s">
        <v>632</v>
      </c>
      <c r="C187" s="8" t="s">
        <v>29</v>
      </c>
      <c r="D187" s="7" t="s">
        <v>19</v>
      </c>
      <c r="E187" s="7" t="s">
        <v>215</v>
      </c>
      <c r="F187" s="6">
        <v>2</v>
      </c>
      <c r="G187" s="8" t="s">
        <v>161</v>
      </c>
      <c r="H187" s="8" t="s">
        <v>162</v>
      </c>
      <c r="I187" s="109" t="s">
        <v>556</v>
      </c>
      <c r="J187" s="8" t="s">
        <v>208</v>
      </c>
      <c r="K187" s="14" t="b">
        <v>1</v>
      </c>
      <c r="L187" s="14" t="b">
        <v>0</v>
      </c>
      <c r="M187" s="14" t="b">
        <v>0</v>
      </c>
      <c r="N187" s="14" t="b">
        <v>1</v>
      </c>
      <c r="O187" s="14" t="b">
        <v>1</v>
      </c>
      <c r="W187" s="3"/>
    </row>
    <row r="188" spans="1:23" x14ac:dyDescent="0.25">
      <c r="A188" s="4">
        <v>62106505000192</v>
      </c>
      <c r="B188" s="8" t="s">
        <v>633</v>
      </c>
      <c r="C188" s="8" t="s">
        <v>29</v>
      </c>
      <c r="D188" s="7" t="s">
        <v>19</v>
      </c>
      <c r="E188" s="7" t="s">
        <v>215</v>
      </c>
      <c r="F188" s="6">
        <v>2</v>
      </c>
      <c r="G188" s="8" t="s">
        <v>161</v>
      </c>
      <c r="H188" s="8" t="s">
        <v>162</v>
      </c>
      <c r="I188" s="109" t="s">
        <v>556</v>
      </c>
      <c r="J188" s="8" t="s">
        <v>208</v>
      </c>
      <c r="K188" s="14" t="b">
        <v>1</v>
      </c>
      <c r="L188" s="14" t="b">
        <v>0</v>
      </c>
      <c r="M188" s="14" t="b">
        <v>0</v>
      </c>
      <c r="N188" s="14" t="b">
        <v>1</v>
      </c>
      <c r="O188" s="14" t="b">
        <v>1</v>
      </c>
      <c r="W188" s="3"/>
    </row>
    <row r="189" spans="1:23" x14ac:dyDescent="0.25">
      <c r="A189" s="4">
        <v>62106505000192</v>
      </c>
      <c r="B189" s="8" t="s">
        <v>633</v>
      </c>
      <c r="C189" s="8" t="s">
        <v>29</v>
      </c>
      <c r="D189" s="7" t="s">
        <v>19</v>
      </c>
      <c r="E189" s="7" t="s">
        <v>215</v>
      </c>
      <c r="F189" s="6">
        <v>2</v>
      </c>
      <c r="G189" s="8" t="s">
        <v>147</v>
      </c>
      <c r="H189" s="8" t="s">
        <v>148</v>
      </c>
      <c r="I189" s="109" t="s">
        <v>557</v>
      </c>
      <c r="J189" s="8" t="s">
        <v>208</v>
      </c>
      <c r="K189" s="14" t="b">
        <v>0</v>
      </c>
      <c r="L189" s="14" t="b">
        <v>1</v>
      </c>
      <c r="M189" s="14" t="b">
        <v>1</v>
      </c>
      <c r="N189" s="14" t="b">
        <v>0</v>
      </c>
      <c r="O189" s="14" t="b">
        <v>1</v>
      </c>
      <c r="W189" s="3"/>
    </row>
    <row r="190" spans="1:23" x14ac:dyDescent="0.25">
      <c r="A190" s="4">
        <v>62779145000190</v>
      </c>
      <c r="B190" s="8" t="s">
        <v>634</v>
      </c>
      <c r="C190" s="8" t="s">
        <v>29</v>
      </c>
      <c r="D190" s="7" t="s">
        <v>19</v>
      </c>
      <c r="E190" s="7" t="s">
        <v>215</v>
      </c>
      <c r="F190" s="6">
        <v>2</v>
      </c>
      <c r="G190" s="8" t="s">
        <v>161</v>
      </c>
      <c r="H190" s="8" t="s">
        <v>162</v>
      </c>
      <c r="I190" s="109" t="s">
        <v>556</v>
      </c>
      <c r="J190" s="8" t="s">
        <v>208</v>
      </c>
      <c r="K190" s="14" t="b">
        <v>1</v>
      </c>
      <c r="L190" s="14" t="b">
        <v>0</v>
      </c>
      <c r="M190" s="14" t="b">
        <v>0</v>
      </c>
      <c r="N190" s="14" t="b">
        <v>1</v>
      </c>
      <c r="O190" s="14" t="b">
        <v>1</v>
      </c>
      <c r="W190" s="3"/>
    </row>
    <row r="191" spans="1:23" x14ac:dyDescent="0.25">
      <c r="A191" s="4">
        <v>62779145000190</v>
      </c>
      <c r="B191" s="8" t="s">
        <v>634</v>
      </c>
      <c r="C191" s="8" t="s">
        <v>29</v>
      </c>
      <c r="D191" s="7" t="s">
        <v>19</v>
      </c>
      <c r="E191" s="7" t="s">
        <v>215</v>
      </c>
      <c r="F191" s="6">
        <v>2</v>
      </c>
      <c r="G191" s="8" t="s">
        <v>177</v>
      </c>
      <c r="H191" s="8" t="s">
        <v>178</v>
      </c>
      <c r="I191" s="109" t="s">
        <v>557</v>
      </c>
      <c r="J191" s="8" t="s">
        <v>208</v>
      </c>
      <c r="K191" s="14" t="b">
        <v>0</v>
      </c>
      <c r="L191" s="14" t="b">
        <v>1</v>
      </c>
      <c r="M191" s="14" t="b">
        <v>1</v>
      </c>
      <c r="N191" s="14" t="b">
        <v>0</v>
      </c>
      <c r="O191" s="14" t="b">
        <v>1</v>
      </c>
      <c r="W191" s="3"/>
    </row>
    <row r="192" spans="1:23" x14ac:dyDescent="0.25">
      <c r="A192" s="4">
        <v>67185694000150</v>
      </c>
      <c r="B192" s="8" t="s">
        <v>635</v>
      </c>
      <c r="C192" s="8" t="s">
        <v>29</v>
      </c>
      <c r="D192" s="7" t="s">
        <v>19</v>
      </c>
      <c r="E192" s="7" t="s">
        <v>215</v>
      </c>
      <c r="F192" s="6">
        <v>2</v>
      </c>
      <c r="G192" s="8" t="s">
        <v>147</v>
      </c>
      <c r="H192" s="8" t="s">
        <v>148</v>
      </c>
      <c r="I192" s="109" t="s">
        <v>557</v>
      </c>
      <c r="J192" s="8" t="s">
        <v>208</v>
      </c>
      <c r="K192" s="14" t="b">
        <v>0</v>
      </c>
      <c r="L192" s="14" t="b">
        <v>1</v>
      </c>
      <c r="M192" s="14" t="b">
        <v>1</v>
      </c>
      <c r="N192" s="14" t="b">
        <v>0</v>
      </c>
      <c r="O192" s="14" t="b">
        <v>1</v>
      </c>
      <c r="W192" s="3"/>
    </row>
    <row r="193" spans="1:23" x14ac:dyDescent="0.25">
      <c r="A193" s="4">
        <v>67185694000150</v>
      </c>
      <c r="B193" s="8" t="s">
        <v>635</v>
      </c>
      <c r="C193" s="8" t="s">
        <v>29</v>
      </c>
      <c r="D193" s="7" t="s">
        <v>19</v>
      </c>
      <c r="E193" s="7" t="s">
        <v>215</v>
      </c>
      <c r="F193" s="6">
        <v>2</v>
      </c>
      <c r="G193" s="8" t="s">
        <v>161</v>
      </c>
      <c r="H193" s="8" t="s">
        <v>162</v>
      </c>
      <c r="I193" s="109" t="s">
        <v>556</v>
      </c>
      <c r="J193" s="8" t="s">
        <v>208</v>
      </c>
      <c r="K193" s="14" t="b">
        <v>1</v>
      </c>
      <c r="L193" s="14" t="b">
        <v>0</v>
      </c>
      <c r="M193" s="14" t="b">
        <v>0</v>
      </c>
      <c r="N193" s="14" t="b">
        <v>1</v>
      </c>
      <c r="O193" s="14" t="b">
        <v>1</v>
      </c>
      <c r="W193" s="3"/>
    </row>
    <row r="194" spans="1:23" x14ac:dyDescent="0.25">
      <c r="A194" s="4">
        <v>72775745000133</v>
      </c>
      <c r="B194" s="8" t="s">
        <v>636</v>
      </c>
      <c r="C194" s="8" t="s">
        <v>29</v>
      </c>
      <c r="D194" s="7" t="s">
        <v>19</v>
      </c>
      <c r="E194" s="7" t="s">
        <v>215</v>
      </c>
      <c r="F194" s="6">
        <v>2</v>
      </c>
      <c r="G194" s="8" t="s">
        <v>161</v>
      </c>
      <c r="H194" s="8" t="s">
        <v>162</v>
      </c>
      <c r="I194" s="109" t="s">
        <v>556</v>
      </c>
      <c r="J194" s="8" t="s">
        <v>208</v>
      </c>
      <c r="K194" s="14" t="b">
        <v>1</v>
      </c>
      <c r="L194" s="14" t="b">
        <v>0</v>
      </c>
      <c r="M194" s="14" t="b">
        <v>0</v>
      </c>
      <c r="N194" s="14" t="b">
        <v>1</v>
      </c>
      <c r="O194" s="14" t="b">
        <v>1</v>
      </c>
      <c r="W194" s="3"/>
    </row>
    <row r="195" spans="1:23" x14ac:dyDescent="0.25">
      <c r="A195" s="4">
        <v>72775745000133</v>
      </c>
      <c r="B195" s="8" t="s">
        <v>636</v>
      </c>
      <c r="C195" s="8" t="s">
        <v>29</v>
      </c>
      <c r="D195" s="7" t="s">
        <v>19</v>
      </c>
      <c r="E195" s="7" t="s">
        <v>215</v>
      </c>
      <c r="F195" s="6">
        <v>2</v>
      </c>
      <c r="G195" s="8" t="s">
        <v>147</v>
      </c>
      <c r="H195" s="8" t="s">
        <v>148</v>
      </c>
      <c r="I195" s="109" t="s">
        <v>557</v>
      </c>
      <c r="J195" s="8" t="s">
        <v>208</v>
      </c>
      <c r="K195" s="14" t="b">
        <v>0</v>
      </c>
      <c r="L195" s="14" t="b">
        <v>1</v>
      </c>
      <c r="M195" s="14" t="b">
        <v>1</v>
      </c>
      <c r="N195" s="14" t="b">
        <v>0</v>
      </c>
      <c r="O195" s="14" t="b">
        <v>1</v>
      </c>
      <c r="W195" s="3"/>
    </row>
    <row r="196" spans="1:23" x14ac:dyDescent="0.25">
      <c r="A196" s="4">
        <v>6033403000113</v>
      </c>
      <c r="B196" s="8" t="s">
        <v>646</v>
      </c>
      <c r="C196" s="8" t="s">
        <v>647</v>
      </c>
      <c r="D196" s="7" t="s">
        <v>19</v>
      </c>
      <c r="E196" s="7" t="s">
        <v>215</v>
      </c>
      <c r="F196" s="6">
        <v>2</v>
      </c>
      <c r="G196" s="8" t="s">
        <v>147</v>
      </c>
      <c r="H196" s="8" t="s">
        <v>148</v>
      </c>
      <c r="I196" s="109" t="s">
        <v>557</v>
      </c>
      <c r="J196" s="8" t="s">
        <v>208</v>
      </c>
      <c r="K196" s="14" t="b">
        <v>0</v>
      </c>
      <c r="L196" s="14" t="b">
        <v>1</v>
      </c>
      <c r="M196" s="14" t="b">
        <v>1</v>
      </c>
      <c r="N196" s="14" t="b">
        <v>0</v>
      </c>
      <c r="O196" s="14" t="b">
        <v>1</v>
      </c>
      <c r="W196" s="3"/>
    </row>
    <row r="197" spans="1:23" x14ac:dyDescent="0.25">
      <c r="A197" s="4">
        <v>6033403000113</v>
      </c>
      <c r="B197" s="8" t="s">
        <v>646</v>
      </c>
      <c r="C197" s="8" t="s">
        <v>647</v>
      </c>
      <c r="D197" s="7" t="s">
        <v>19</v>
      </c>
      <c r="E197" s="7" t="s">
        <v>215</v>
      </c>
      <c r="F197" s="6">
        <v>2</v>
      </c>
      <c r="G197" s="8" t="s">
        <v>1355</v>
      </c>
      <c r="H197" s="8" t="s">
        <v>1356</v>
      </c>
      <c r="I197" s="109" t="s">
        <v>556</v>
      </c>
      <c r="J197" s="8" t="s">
        <v>208</v>
      </c>
      <c r="K197" s="14" t="b">
        <v>1</v>
      </c>
      <c r="L197" s="14" t="b">
        <v>0</v>
      </c>
      <c r="M197" s="14" t="b">
        <v>0</v>
      </c>
      <c r="N197" s="14" t="b">
        <v>1</v>
      </c>
      <c r="O197" s="14" t="b">
        <v>1</v>
      </c>
      <c r="W197" s="3"/>
    </row>
    <row r="198" spans="1:23" x14ac:dyDescent="0.25">
      <c r="A198" s="4">
        <v>6047087000724</v>
      </c>
      <c r="B198" s="8" t="s">
        <v>648</v>
      </c>
      <c r="C198" s="8" t="s">
        <v>647</v>
      </c>
      <c r="D198" s="7" t="s">
        <v>19</v>
      </c>
      <c r="E198" s="7" t="s">
        <v>215</v>
      </c>
      <c r="F198" s="6">
        <v>2</v>
      </c>
      <c r="G198" s="8" t="s">
        <v>147</v>
      </c>
      <c r="H198" s="8" t="s">
        <v>148</v>
      </c>
      <c r="I198" s="109" t="s">
        <v>557</v>
      </c>
      <c r="J198" s="8" t="s">
        <v>208</v>
      </c>
      <c r="K198" s="14" t="b">
        <v>0</v>
      </c>
      <c r="L198" s="14" t="b">
        <v>1</v>
      </c>
      <c r="M198" s="14" t="b">
        <v>1</v>
      </c>
      <c r="N198" s="14" t="b">
        <v>0</v>
      </c>
      <c r="O198" s="14" t="b">
        <v>1</v>
      </c>
      <c r="W198" s="3"/>
    </row>
    <row r="199" spans="1:23" x14ac:dyDescent="0.25">
      <c r="A199" s="4">
        <v>6047087000724</v>
      </c>
      <c r="B199" s="8" t="s">
        <v>648</v>
      </c>
      <c r="C199" s="8" t="s">
        <v>647</v>
      </c>
      <c r="D199" s="7" t="s">
        <v>19</v>
      </c>
      <c r="E199" s="7" t="s">
        <v>215</v>
      </c>
      <c r="F199" s="6">
        <v>2</v>
      </c>
      <c r="G199" s="8" t="s">
        <v>1355</v>
      </c>
      <c r="H199" s="8" t="s">
        <v>1356</v>
      </c>
      <c r="I199" s="109" t="s">
        <v>556</v>
      </c>
      <c r="J199" s="8" t="s">
        <v>208</v>
      </c>
      <c r="K199" s="14" t="b">
        <v>1</v>
      </c>
      <c r="L199" s="14" t="b">
        <v>0</v>
      </c>
      <c r="M199" s="14" t="b">
        <v>0</v>
      </c>
      <c r="N199" s="14" t="b">
        <v>1</v>
      </c>
      <c r="O199" s="14" t="b">
        <v>1</v>
      </c>
      <c r="W199" s="3"/>
    </row>
    <row r="200" spans="1:23" x14ac:dyDescent="0.25">
      <c r="A200" s="4">
        <v>6047087003073</v>
      </c>
      <c r="B200" s="8" t="s">
        <v>649</v>
      </c>
      <c r="C200" s="8" t="s">
        <v>650</v>
      </c>
      <c r="D200" s="7" t="s">
        <v>19</v>
      </c>
      <c r="E200" s="7" t="s">
        <v>215</v>
      </c>
      <c r="F200" s="6">
        <v>2</v>
      </c>
      <c r="G200" s="8" t="s">
        <v>183</v>
      </c>
      <c r="H200" s="8" t="s">
        <v>184</v>
      </c>
      <c r="I200" s="109" t="s">
        <v>557</v>
      </c>
      <c r="J200" s="8" t="s">
        <v>208</v>
      </c>
      <c r="K200" s="14" t="b">
        <v>0</v>
      </c>
      <c r="L200" s="14" t="b">
        <v>1</v>
      </c>
      <c r="M200" s="14" t="b">
        <v>1</v>
      </c>
      <c r="N200" s="14" t="b">
        <v>0</v>
      </c>
      <c r="O200" s="14" t="b">
        <v>1</v>
      </c>
      <c r="W200" s="3"/>
    </row>
    <row r="201" spans="1:23" x14ac:dyDescent="0.25">
      <c r="A201" s="4">
        <v>6047087003073</v>
      </c>
      <c r="B201" s="8" t="s">
        <v>649</v>
      </c>
      <c r="C201" s="8" t="s">
        <v>650</v>
      </c>
      <c r="D201" s="7" t="s">
        <v>19</v>
      </c>
      <c r="E201" s="7" t="s">
        <v>215</v>
      </c>
      <c r="F201" s="6">
        <v>2</v>
      </c>
      <c r="G201" s="8" t="s">
        <v>161</v>
      </c>
      <c r="H201" s="8" t="s">
        <v>162</v>
      </c>
      <c r="I201" s="109" t="s">
        <v>556</v>
      </c>
      <c r="J201" s="8" t="s">
        <v>208</v>
      </c>
      <c r="K201" s="14" t="b">
        <v>1</v>
      </c>
      <c r="L201" s="14" t="b">
        <v>0</v>
      </c>
      <c r="M201" s="14" t="b">
        <v>0</v>
      </c>
      <c r="N201" s="14" t="b">
        <v>1</v>
      </c>
      <c r="O201" s="14" t="b">
        <v>1</v>
      </c>
      <c r="W201" s="3"/>
    </row>
    <row r="202" spans="1:23" x14ac:dyDescent="0.25">
      <c r="A202" s="4">
        <v>6047087007656</v>
      </c>
      <c r="B202" s="8" t="s">
        <v>651</v>
      </c>
      <c r="C202" s="8" t="s">
        <v>32</v>
      </c>
      <c r="D202" s="7" t="s">
        <v>19</v>
      </c>
      <c r="E202" s="7" t="s">
        <v>215</v>
      </c>
      <c r="F202" s="6">
        <v>2</v>
      </c>
      <c r="G202" s="8" t="s">
        <v>161</v>
      </c>
      <c r="H202" s="8" t="s">
        <v>162</v>
      </c>
      <c r="I202" s="109" t="s">
        <v>556</v>
      </c>
      <c r="J202" s="8" t="s">
        <v>208</v>
      </c>
      <c r="K202" s="14" t="b">
        <v>1</v>
      </c>
      <c r="L202" s="14" t="b">
        <v>0</v>
      </c>
      <c r="M202" s="14" t="b">
        <v>0</v>
      </c>
      <c r="N202" s="14" t="b">
        <v>1</v>
      </c>
      <c r="O202" s="14" t="b">
        <v>1</v>
      </c>
      <c r="W202" s="3"/>
    </row>
    <row r="203" spans="1:23" x14ac:dyDescent="0.25">
      <c r="A203" s="4">
        <v>6047087007656</v>
      </c>
      <c r="B203" s="8" t="s">
        <v>651</v>
      </c>
      <c r="C203" s="8" t="s">
        <v>32</v>
      </c>
      <c r="D203" s="7" t="s">
        <v>19</v>
      </c>
      <c r="E203" s="7" t="s">
        <v>215</v>
      </c>
      <c r="F203" s="6">
        <v>2</v>
      </c>
      <c r="G203" s="8" t="s">
        <v>183</v>
      </c>
      <c r="H203" s="8" t="s">
        <v>184</v>
      </c>
      <c r="I203" s="109" t="s">
        <v>557</v>
      </c>
      <c r="J203" s="8" t="s">
        <v>208</v>
      </c>
      <c r="K203" s="14" t="b">
        <v>0</v>
      </c>
      <c r="L203" s="14" t="b">
        <v>1</v>
      </c>
      <c r="M203" s="14" t="b">
        <v>1</v>
      </c>
      <c r="N203" s="14" t="b">
        <v>0</v>
      </c>
      <c r="O203" s="14" t="b">
        <v>1</v>
      </c>
      <c r="W203" s="3"/>
    </row>
    <row r="204" spans="1:23" x14ac:dyDescent="0.25">
      <c r="A204" s="4">
        <v>6047087007907</v>
      </c>
      <c r="B204" s="8" t="s">
        <v>652</v>
      </c>
      <c r="C204" s="8" t="s">
        <v>647</v>
      </c>
      <c r="D204" s="7" t="s">
        <v>19</v>
      </c>
      <c r="E204" s="7" t="s">
        <v>215</v>
      </c>
      <c r="F204" s="6">
        <v>2</v>
      </c>
      <c r="G204" s="8" t="s">
        <v>1355</v>
      </c>
      <c r="H204" s="8" t="s">
        <v>1356</v>
      </c>
      <c r="I204" s="109" t="s">
        <v>556</v>
      </c>
      <c r="J204" s="8" t="s">
        <v>208</v>
      </c>
      <c r="K204" s="14" t="b">
        <v>1</v>
      </c>
      <c r="L204" s="14" t="b">
        <v>0</v>
      </c>
      <c r="M204" s="14" t="b">
        <v>0</v>
      </c>
      <c r="N204" s="14" t="b">
        <v>1</v>
      </c>
      <c r="O204" s="14" t="b">
        <v>1</v>
      </c>
      <c r="W204" s="3"/>
    </row>
    <row r="205" spans="1:23" x14ac:dyDescent="0.25">
      <c r="A205" s="4">
        <v>6047087007907</v>
      </c>
      <c r="B205" s="8" t="s">
        <v>652</v>
      </c>
      <c r="C205" s="8" t="s">
        <v>647</v>
      </c>
      <c r="D205" s="7" t="s">
        <v>19</v>
      </c>
      <c r="E205" s="7" t="s">
        <v>215</v>
      </c>
      <c r="F205" s="6">
        <v>2</v>
      </c>
      <c r="G205" s="8" t="s">
        <v>147</v>
      </c>
      <c r="H205" s="8" t="s">
        <v>148</v>
      </c>
      <c r="I205" s="109" t="s">
        <v>557</v>
      </c>
      <c r="J205" s="8" t="s">
        <v>208</v>
      </c>
      <c r="K205" s="14" t="b">
        <v>0</v>
      </c>
      <c r="L205" s="14" t="b">
        <v>1</v>
      </c>
      <c r="M205" s="14" t="b">
        <v>1</v>
      </c>
      <c r="N205" s="14" t="b">
        <v>0</v>
      </c>
      <c r="O205" s="14" t="b">
        <v>1</v>
      </c>
      <c r="W205" s="3"/>
    </row>
    <row r="206" spans="1:23" x14ac:dyDescent="0.25">
      <c r="A206" s="4">
        <v>8000609000172</v>
      </c>
      <c r="B206" s="8" t="s">
        <v>655</v>
      </c>
      <c r="C206" s="8" t="s">
        <v>542</v>
      </c>
      <c r="D206" s="7" t="s">
        <v>19</v>
      </c>
      <c r="E206" s="7" t="s">
        <v>215</v>
      </c>
      <c r="F206" s="6">
        <v>2</v>
      </c>
      <c r="G206" s="8" t="s">
        <v>183</v>
      </c>
      <c r="H206" s="8" t="s">
        <v>184</v>
      </c>
      <c r="I206" s="109" t="s">
        <v>557</v>
      </c>
      <c r="J206" s="8" t="s">
        <v>208</v>
      </c>
      <c r="K206" s="14" t="b">
        <v>0</v>
      </c>
      <c r="L206" s="14" t="b">
        <v>1</v>
      </c>
      <c r="M206" s="14" t="b">
        <v>1</v>
      </c>
      <c r="N206" s="14" t="b">
        <v>0</v>
      </c>
      <c r="O206" s="14" t="b">
        <v>1</v>
      </c>
      <c r="W206" s="3"/>
    </row>
    <row r="207" spans="1:23" x14ac:dyDescent="0.25">
      <c r="A207" s="4">
        <v>8000609000172</v>
      </c>
      <c r="B207" s="8" t="s">
        <v>655</v>
      </c>
      <c r="C207" s="8" t="s">
        <v>542</v>
      </c>
      <c r="D207" s="7" t="s">
        <v>19</v>
      </c>
      <c r="E207" s="7" t="s">
        <v>215</v>
      </c>
      <c r="F207" s="6">
        <v>2</v>
      </c>
      <c r="G207" s="8" t="s">
        <v>161</v>
      </c>
      <c r="H207" s="8" t="s">
        <v>162</v>
      </c>
      <c r="I207" s="109" t="s">
        <v>556</v>
      </c>
      <c r="J207" s="8" t="s">
        <v>208</v>
      </c>
      <c r="K207" s="14" t="b">
        <v>1</v>
      </c>
      <c r="L207" s="14" t="b">
        <v>0</v>
      </c>
      <c r="M207" s="14" t="b">
        <v>0</v>
      </c>
      <c r="N207" s="14" t="b">
        <v>1</v>
      </c>
      <c r="O207" s="14" t="b">
        <v>1</v>
      </c>
      <c r="W207" s="3"/>
    </row>
    <row r="208" spans="1:23" x14ac:dyDescent="0.25">
      <c r="A208" s="4">
        <v>8100676000401</v>
      </c>
      <c r="B208" s="8" t="s">
        <v>1365</v>
      </c>
      <c r="C208" s="8" t="s">
        <v>674</v>
      </c>
      <c r="D208" s="7" t="s">
        <v>19</v>
      </c>
      <c r="E208" s="7" t="s">
        <v>215</v>
      </c>
      <c r="F208" s="6">
        <v>2</v>
      </c>
      <c r="G208" s="8" t="s">
        <v>147</v>
      </c>
      <c r="H208" s="8" t="s">
        <v>148</v>
      </c>
      <c r="I208" s="109" t="s">
        <v>557</v>
      </c>
      <c r="J208" s="8" t="s">
        <v>208</v>
      </c>
      <c r="K208" s="14" t="b">
        <v>0</v>
      </c>
      <c r="L208" s="14" t="b">
        <v>1</v>
      </c>
      <c r="M208" s="14" t="b">
        <v>1</v>
      </c>
      <c r="N208" s="14" t="b">
        <v>0</v>
      </c>
      <c r="O208" s="14" t="b">
        <v>1</v>
      </c>
      <c r="W208" s="3"/>
    </row>
    <row r="209" spans="1:23" x14ac:dyDescent="0.25">
      <c r="A209" s="4">
        <v>8100676000401</v>
      </c>
      <c r="B209" s="8" t="s">
        <v>1365</v>
      </c>
      <c r="C209" s="8" t="s">
        <v>674</v>
      </c>
      <c r="D209" s="7" t="s">
        <v>19</v>
      </c>
      <c r="E209" s="7" t="s">
        <v>215</v>
      </c>
      <c r="F209" s="6">
        <v>2</v>
      </c>
      <c r="G209" s="8" t="s">
        <v>1355</v>
      </c>
      <c r="H209" s="8" t="s">
        <v>1356</v>
      </c>
      <c r="I209" s="109" t="s">
        <v>556</v>
      </c>
      <c r="J209" s="8" t="s">
        <v>208</v>
      </c>
      <c r="K209" s="14" t="b">
        <v>1</v>
      </c>
      <c r="L209" s="14" t="b">
        <v>0</v>
      </c>
      <c r="M209" s="14" t="b">
        <v>0</v>
      </c>
      <c r="N209" s="14" t="b">
        <v>1</v>
      </c>
      <c r="O209" s="14" t="b">
        <v>1</v>
      </c>
      <c r="W209" s="3"/>
    </row>
    <row r="210" spans="1:23" x14ac:dyDescent="0.25">
      <c r="A210" s="4">
        <v>10868295000176</v>
      </c>
      <c r="B210" s="8" t="s">
        <v>660</v>
      </c>
      <c r="C210" s="8" t="s">
        <v>35</v>
      </c>
      <c r="D210" s="7" t="s">
        <v>19</v>
      </c>
      <c r="E210" s="7" t="s">
        <v>215</v>
      </c>
      <c r="F210" s="6">
        <v>2</v>
      </c>
      <c r="G210" s="8" t="s">
        <v>1355</v>
      </c>
      <c r="H210" s="8" t="s">
        <v>1356</v>
      </c>
      <c r="I210" s="109" t="s">
        <v>556</v>
      </c>
      <c r="J210" s="8" t="s">
        <v>208</v>
      </c>
      <c r="K210" s="14" t="b">
        <v>1</v>
      </c>
      <c r="L210" s="14" t="b">
        <v>0</v>
      </c>
      <c r="M210" s="14" t="b">
        <v>0</v>
      </c>
      <c r="N210" s="14" t="b">
        <v>1</v>
      </c>
      <c r="O210" s="14" t="b">
        <v>1</v>
      </c>
      <c r="W210" s="3"/>
    </row>
    <row r="211" spans="1:23" x14ac:dyDescent="0.25">
      <c r="A211" s="4">
        <v>10868295000176</v>
      </c>
      <c r="B211" s="8" t="s">
        <v>660</v>
      </c>
      <c r="C211" s="8" t="s">
        <v>35</v>
      </c>
      <c r="D211" s="7" t="s">
        <v>19</v>
      </c>
      <c r="E211" s="7" t="s">
        <v>215</v>
      </c>
      <c r="F211" s="6">
        <v>2</v>
      </c>
      <c r="G211" s="8" t="s">
        <v>147</v>
      </c>
      <c r="H211" s="8" t="s">
        <v>148</v>
      </c>
      <c r="I211" s="109" t="s">
        <v>557</v>
      </c>
      <c r="J211" s="8" t="s">
        <v>208</v>
      </c>
      <c r="K211" s="14" t="b">
        <v>0</v>
      </c>
      <c r="L211" s="14" t="b">
        <v>1</v>
      </c>
      <c r="M211" s="14" t="b">
        <v>1</v>
      </c>
      <c r="N211" s="14" t="b">
        <v>0</v>
      </c>
      <c r="O211" s="14" t="b">
        <v>1</v>
      </c>
      <c r="W211" s="3"/>
    </row>
    <row r="212" spans="1:23" x14ac:dyDescent="0.25">
      <c r="A212" s="4">
        <v>13718999001041</v>
      </c>
      <c r="B212" s="8" t="s">
        <v>662</v>
      </c>
      <c r="C212" s="8" t="s">
        <v>647</v>
      </c>
      <c r="D212" s="7" t="s">
        <v>19</v>
      </c>
      <c r="E212" s="7" t="s">
        <v>215</v>
      </c>
      <c r="F212" s="6">
        <v>2</v>
      </c>
      <c r="G212" s="8" t="s">
        <v>147</v>
      </c>
      <c r="H212" s="8" t="s">
        <v>148</v>
      </c>
      <c r="I212" s="109" t="s">
        <v>557</v>
      </c>
      <c r="J212" s="8" t="s">
        <v>208</v>
      </c>
      <c r="K212" s="14" t="b">
        <v>0</v>
      </c>
      <c r="L212" s="14" t="b">
        <v>1</v>
      </c>
      <c r="M212" s="14" t="b">
        <v>1</v>
      </c>
      <c r="N212" s="14" t="b">
        <v>0</v>
      </c>
      <c r="O212" s="14" t="b">
        <v>1</v>
      </c>
      <c r="W212" s="3"/>
    </row>
    <row r="213" spans="1:23" x14ac:dyDescent="0.25">
      <c r="A213" s="4">
        <v>13718999001041</v>
      </c>
      <c r="B213" s="8" t="s">
        <v>662</v>
      </c>
      <c r="C213" s="8" t="s">
        <v>647</v>
      </c>
      <c r="D213" s="7" t="s">
        <v>19</v>
      </c>
      <c r="E213" s="7" t="s">
        <v>215</v>
      </c>
      <c r="F213" s="6">
        <v>2</v>
      </c>
      <c r="G213" s="8" t="s">
        <v>1355</v>
      </c>
      <c r="H213" s="8" t="s">
        <v>1356</v>
      </c>
      <c r="I213" s="109" t="s">
        <v>556</v>
      </c>
      <c r="J213" s="8" t="s">
        <v>208</v>
      </c>
      <c r="K213" s="14" t="b">
        <v>1</v>
      </c>
      <c r="L213" s="14" t="b">
        <v>0</v>
      </c>
      <c r="M213" s="14" t="b">
        <v>0</v>
      </c>
      <c r="N213" s="14" t="b">
        <v>1</v>
      </c>
      <c r="O213" s="14" t="b">
        <v>1</v>
      </c>
      <c r="W213" s="3"/>
    </row>
    <row r="214" spans="1:23" x14ac:dyDescent="0.25">
      <c r="A214" s="4">
        <v>18290268000170</v>
      </c>
      <c r="B214" s="8" t="s">
        <v>663</v>
      </c>
      <c r="C214" s="8" t="s">
        <v>35</v>
      </c>
      <c r="D214" s="7" t="s">
        <v>19</v>
      </c>
      <c r="E214" s="7" t="s">
        <v>215</v>
      </c>
      <c r="F214" s="6">
        <v>2</v>
      </c>
      <c r="G214" s="8" t="s">
        <v>147</v>
      </c>
      <c r="H214" s="8" t="s">
        <v>148</v>
      </c>
      <c r="I214" s="109" t="s">
        <v>557</v>
      </c>
      <c r="J214" s="8" t="s">
        <v>208</v>
      </c>
      <c r="K214" s="14" t="b">
        <v>0</v>
      </c>
      <c r="L214" s="14" t="b">
        <v>1</v>
      </c>
      <c r="M214" s="14" t="b">
        <v>1</v>
      </c>
      <c r="N214" s="14" t="b">
        <v>0</v>
      </c>
      <c r="O214" s="14" t="b">
        <v>1</v>
      </c>
      <c r="W214" s="3"/>
    </row>
    <row r="215" spans="1:23" x14ac:dyDescent="0.25">
      <c r="A215" s="4">
        <v>18290268000170</v>
      </c>
      <c r="B215" s="8" t="s">
        <v>663</v>
      </c>
      <c r="C215" s="8" t="s">
        <v>35</v>
      </c>
      <c r="D215" s="7" t="s">
        <v>19</v>
      </c>
      <c r="E215" s="7" t="s">
        <v>215</v>
      </c>
      <c r="F215" s="6">
        <v>2</v>
      </c>
      <c r="G215" s="8" t="s">
        <v>1355</v>
      </c>
      <c r="H215" s="8" t="s">
        <v>1356</v>
      </c>
      <c r="I215" s="109" t="s">
        <v>556</v>
      </c>
      <c r="J215" s="8" t="s">
        <v>208</v>
      </c>
      <c r="K215" s="14" t="b">
        <v>1</v>
      </c>
      <c r="L215" s="14" t="b">
        <v>0</v>
      </c>
      <c r="M215" s="14" t="b">
        <v>0</v>
      </c>
      <c r="N215" s="14" t="b">
        <v>1</v>
      </c>
      <c r="O215" s="14" t="b">
        <v>1</v>
      </c>
      <c r="W215" s="3"/>
    </row>
    <row r="216" spans="1:23" x14ac:dyDescent="0.25">
      <c r="A216" s="4">
        <v>18321477000134</v>
      </c>
      <c r="B216" s="8" t="s">
        <v>664</v>
      </c>
      <c r="C216" s="8" t="s">
        <v>650</v>
      </c>
      <c r="D216" s="7" t="s">
        <v>19</v>
      </c>
      <c r="E216" s="7" t="s">
        <v>215</v>
      </c>
      <c r="F216" s="6">
        <v>2</v>
      </c>
      <c r="G216" s="8" t="s">
        <v>183</v>
      </c>
      <c r="H216" s="8" t="s">
        <v>184</v>
      </c>
      <c r="I216" s="109" t="s">
        <v>557</v>
      </c>
      <c r="J216" s="8" t="s">
        <v>208</v>
      </c>
      <c r="K216" s="14" t="b">
        <v>0</v>
      </c>
      <c r="L216" s="14" t="b">
        <v>1</v>
      </c>
      <c r="M216" s="14" t="b">
        <v>1</v>
      </c>
      <c r="N216" s="14" t="b">
        <v>0</v>
      </c>
      <c r="O216" s="14" t="b">
        <v>1</v>
      </c>
      <c r="W216" s="3"/>
    </row>
    <row r="217" spans="1:23" x14ac:dyDescent="0.25">
      <c r="A217" s="4">
        <v>18321477000134</v>
      </c>
      <c r="B217" s="8" t="s">
        <v>664</v>
      </c>
      <c r="C217" s="8" t="s">
        <v>650</v>
      </c>
      <c r="D217" s="7" t="s">
        <v>19</v>
      </c>
      <c r="E217" s="7" t="s">
        <v>215</v>
      </c>
      <c r="F217" s="6">
        <v>2</v>
      </c>
      <c r="G217" s="8" t="s">
        <v>161</v>
      </c>
      <c r="H217" s="8" t="s">
        <v>162</v>
      </c>
      <c r="I217" s="109" t="s">
        <v>556</v>
      </c>
      <c r="J217" s="8" t="s">
        <v>208</v>
      </c>
      <c r="K217" s="14" t="b">
        <v>1</v>
      </c>
      <c r="L217" s="14" t="b">
        <v>0</v>
      </c>
      <c r="M217" s="14" t="b">
        <v>0</v>
      </c>
      <c r="N217" s="14" t="b">
        <v>1</v>
      </c>
      <c r="O217" s="14" t="b">
        <v>1</v>
      </c>
      <c r="W217" s="3"/>
    </row>
    <row r="218" spans="1:23" x14ac:dyDescent="0.25">
      <c r="A218" s="4">
        <v>26048123000196</v>
      </c>
      <c r="B218" s="8" t="s">
        <v>667</v>
      </c>
      <c r="C218" s="8" t="s">
        <v>42</v>
      </c>
      <c r="D218" s="7" t="s">
        <v>19</v>
      </c>
      <c r="E218" s="7" t="s">
        <v>215</v>
      </c>
      <c r="F218" s="6">
        <v>2</v>
      </c>
      <c r="G218" s="8" t="s">
        <v>183</v>
      </c>
      <c r="H218" s="8" t="s">
        <v>184</v>
      </c>
      <c r="I218" s="109" t="s">
        <v>557</v>
      </c>
      <c r="J218" s="8" t="s">
        <v>208</v>
      </c>
      <c r="K218" s="14" t="b">
        <v>0</v>
      </c>
      <c r="L218" s="14" t="b">
        <v>1</v>
      </c>
      <c r="M218" s="14" t="b">
        <v>1</v>
      </c>
      <c r="N218" s="14" t="b">
        <v>0</v>
      </c>
      <c r="O218" s="14" t="b">
        <v>1</v>
      </c>
      <c r="W218" s="3"/>
    </row>
    <row r="219" spans="1:23" x14ac:dyDescent="0.25">
      <c r="A219" s="4">
        <v>29435005008022</v>
      </c>
      <c r="B219" s="8" t="s">
        <v>668</v>
      </c>
      <c r="C219" s="8" t="s">
        <v>35</v>
      </c>
      <c r="D219" s="7" t="s">
        <v>19</v>
      </c>
      <c r="E219" s="7" t="s">
        <v>215</v>
      </c>
      <c r="F219" s="6">
        <v>2</v>
      </c>
      <c r="G219" s="8" t="s">
        <v>1355</v>
      </c>
      <c r="H219" s="8" t="s">
        <v>1356</v>
      </c>
      <c r="I219" s="109" t="s">
        <v>556</v>
      </c>
      <c r="J219" s="8" t="s">
        <v>208</v>
      </c>
      <c r="K219" s="14" t="b">
        <v>1</v>
      </c>
      <c r="L219" s="14" t="b">
        <v>0</v>
      </c>
      <c r="M219" s="14" t="b">
        <v>0</v>
      </c>
      <c r="N219" s="14" t="b">
        <v>1</v>
      </c>
      <c r="O219" s="14" t="b">
        <v>1</v>
      </c>
      <c r="W219" s="3"/>
    </row>
    <row r="220" spans="1:23" x14ac:dyDescent="0.25">
      <c r="A220" s="4">
        <v>29435005008022</v>
      </c>
      <c r="B220" s="8" t="s">
        <v>668</v>
      </c>
      <c r="C220" s="8" t="s">
        <v>35</v>
      </c>
      <c r="D220" s="7" t="s">
        <v>19</v>
      </c>
      <c r="E220" s="7" t="s">
        <v>215</v>
      </c>
      <c r="F220" s="6">
        <v>2</v>
      </c>
      <c r="G220" s="8" t="s">
        <v>147</v>
      </c>
      <c r="H220" s="8" t="s">
        <v>148</v>
      </c>
      <c r="I220" s="109" t="s">
        <v>557</v>
      </c>
      <c r="J220" s="8" t="s">
        <v>208</v>
      </c>
      <c r="K220" s="14" t="b">
        <v>0</v>
      </c>
      <c r="L220" s="14" t="b">
        <v>1</v>
      </c>
      <c r="M220" s="14" t="b">
        <v>1</v>
      </c>
      <c r="N220" s="14" t="b">
        <v>0</v>
      </c>
      <c r="O220" s="14" t="b">
        <v>1</v>
      </c>
      <c r="W220" s="3"/>
    </row>
    <row r="221" spans="1:23" x14ac:dyDescent="0.25">
      <c r="A221" s="4">
        <v>29435005008103</v>
      </c>
      <c r="B221" s="8" t="s">
        <v>669</v>
      </c>
      <c r="C221" s="8" t="s">
        <v>670</v>
      </c>
      <c r="D221" s="7" t="s">
        <v>19</v>
      </c>
      <c r="E221" s="7" t="s">
        <v>215</v>
      </c>
      <c r="F221" s="6">
        <v>2</v>
      </c>
      <c r="G221" s="8" t="s">
        <v>147</v>
      </c>
      <c r="H221" s="8" t="s">
        <v>148</v>
      </c>
      <c r="I221" s="109" t="s">
        <v>557</v>
      </c>
      <c r="J221" s="8" t="s">
        <v>208</v>
      </c>
      <c r="K221" s="14" t="b">
        <v>0</v>
      </c>
      <c r="L221" s="14" t="b">
        <v>1</v>
      </c>
      <c r="M221" s="14" t="b">
        <v>1</v>
      </c>
      <c r="N221" s="14" t="b">
        <v>0</v>
      </c>
      <c r="O221" s="14" t="b">
        <v>1</v>
      </c>
      <c r="W221" s="3"/>
    </row>
    <row r="222" spans="1:23" x14ac:dyDescent="0.25">
      <c r="A222" s="4">
        <v>29435005008103</v>
      </c>
      <c r="B222" s="8" t="s">
        <v>669</v>
      </c>
      <c r="C222" s="8" t="s">
        <v>670</v>
      </c>
      <c r="D222" s="7" t="s">
        <v>19</v>
      </c>
      <c r="E222" s="7" t="s">
        <v>215</v>
      </c>
      <c r="F222" s="6">
        <v>2</v>
      </c>
      <c r="G222" s="8" t="s">
        <v>1355</v>
      </c>
      <c r="H222" s="8" t="s">
        <v>1356</v>
      </c>
      <c r="I222" s="109" t="s">
        <v>556</v>
      </c>
      <c r="J222" s="8" t="s">
        <v>208</v>
      </c>
      <c r="K222" s="14" t="b">
        <v>1</v>
      </c>
      <c r="L222" s="14" t="b">
        <v>0</v>
      </c>
      <c r="M222" s="14" t="b">
        <v>0</v>
      </c>
      <c r="N222" s="14" t="b">
        <v>1</v>
      </c>
      <c r="O222" s="14" t="b">
        <v>1</v>
      </c>
      <c r="W222" s="3"/>
    </row>
    <row r="223" spans="1:23" x14ac:dyDescent="0.25">
      <c r="A223" s="4">
        <v>29435005008294</v>
      </c>
      <c r="B223" s="8" t="s">
        <v>671</v>
      </c>
      <c r="C223" s="8" t="s">
        <v>36</v>
      </c>
      <c r="D223" s="7" t="s">
        <v>19</v>
      </c>
      <c r="E223" s="7" t="s">
        <v>215</v>
      </c>
      <c r="F223" s="6">
        <v>2</v>
      </c>
      <c r="G223" s="8" t="s">
        <v>1355</v>
      </c>
      <c r="H223" s="8" t="s">
        <v>1356</v>
      </c>
      <c r="I223" s="109" t="s">
        <v>556</v>
      </c>
      <c r="J223" s="8" t="s">
        <v>208</v>
      </c>
      <c r="K223" s="14" t="b">
        <v>1</v>
      </c>
      <c r="L223" s="14" t="b">
        <v>0</v>
      </c>
      <c r="M223" s="14" t="b">
        <v>0</v>
      </c>
      <c r="N223" s="14" t="b">
        <v>1</v>
      </c>
      <c r="O223" s="14" t="b">
        <v>1</v>
      </c>
      <c r="W223" s="3"/>
    </row>
    <row r="224" spans="1:23" x14ac:dyDescent="0.25">
      <c r="A224" s="4">
        <v>29435005008294</v>
      </c>
      <c r="B224" s="8" t="s">
        <v>671</v>
      </c>
      <c r="C224" s="8" t="s">
        <v>36</v>
      </c>
      <c r="D224" s="7" t="s">
        <v>19</v>
      </c>
      <c r="E224" s="7" t="s">
        <v>215</v>
      </c>
      <c r="F224" s="6">
        <v>2</v>
      </c>
      <c r="G224" s="8" t="s">
        <v>147</v>
      </c>
      <c r="H224" s="8" t="s">
        <v>148</v>
      </c>
      <c r="I224" s="109" t="s">
        <v>557</v>
      </c>
      <c r="J224" s="8" t="s">
        <v>208</v>
      </c>
      <c r="K224" s="14" t="b">
        <v>0</v>
      </c>
      <c r="L224" s="14" t="b">
        <v>1</v>
      </c>
      <c r="M224" s="14" t="b">
        <v>1</v>
      </c>
      <c r="N224" s="14" t="b">
        <v>0</v>
      </c>
      <c r="O224" s="14" t="b">
        <v>1</v>
      </c>
      <c r="W224" s="3"/>
    </row>
    <row r="225" spans="1:23" x14ac:dyDescent="0.25">
      <c r="A225" s="4">
        <v>43293604002120</v>
      </c>
      <c r="B225" s="8" t="s">
        <v>673</v>
      </c>
      <c r="C225" s="8" t="s">
        <v>674</v>
      </c>
      <c r="D225" s="7" t="s">
        <v>19</v>
      </c>
      <c r="E225" s="7" t="s">
        <v>215</v>
      </c>
      <c r="F225" s="6">
        <v>2</v>
      </c>
      <c r="G225" s="8" t="s">
        <v>147</v>
      </c>
      <c r="H225" s="8" t="s">
        <v>148</v>
      </c>
      <c r="I225" s="109" t="s">
        <v>557</v>
      </c>
      <c r="J225" s="8" t="s">
        <v>208</v>
      </c>
      <c r="K225" s="14" t="b">
        <v>0</v>
      </c>
      <c r="L225" s="14" t="b">
        <v>1</v>
      </c>
      <c r="M225" s="14" t="b">
        <v>1</v>
      </c>
      <c r="N225" s="14" t="b">
        <v>0</v>
      </c>
      <c r="O225" s="14" t="b">
        <v>1</v>
      </c>
      <c r="W225" s="3"/>
    </row>
    <row r="226" spans="1:23" x14ac:dyDescent="0.25">
      <c r="A226" s="4">
        <v>43293604002120</v>
      </c>
      <c r="B226" s="8" t="s">
        <v>673</v>
      </c>
      <c r="C226" s="8" t="s">
        <v>674</v>
      </c>
      <c r="D226" s="7" t="s">
        <v>19</v>
      </c>
      <c r="E226" s="7" t="s">
        <v>215</v>
      </c>
      <c r="F226" s="6">
        <v>2</v>
      </c>
      <c r="G226" s="8" t="s">
        <v>1355</v>
      </c>
      <c r="H226" s="8" t="s">
        <v>1356</v>
      </c>
      <c r="I226" s="109" t="s">
        <v>556</v>
      </c>
      <c r="J226" s="8" t="s">
        <v>208</v>
      </c>
      <c r="K226" s="14" t="b">
        <v>1</v>
      </c>
      <c r="L226" s="14" t="b">
        <v>0</v>
      </c>
      <c r="M226" s="14" t="b">
        <v>0</v>
      </c>
      <c r="N226" s="14" t="b">
        <v>1</v>
      </c>
      <c r="O226" s="14" t="b">
        <v>1</v>
      </c>
      <c r="W226" s="3"/>
    </row>
    <row r="227" spans="1:23" x14ac:dyDescent="0.25">
      <c r="A227" s="4">
        <v>45184066000117</v>
      </c>
      <c r="B227" s="8" t="s">
        <v>684</v>
      </c>
      <c r="C227" s="8" t="s">
        <v>650</v>
      </c>
      <c r="D227" s="7" t="s">
        <v>19</v>
      </c>
      <c r="E227" s="7" t="s">
        <v>215</v>
      </c>
      <c r="F227" s="6">
        <v>2</v>
      </c>
      <c r="G227" s="8" t="s">
        <v>161</v>
      </c>
      <c r="H227" s="8" t="s">
        <v>162</v>
      </c>
      <c r="I227" s="109" t="s">
        <v>556</v>
      </c>
      <c r="J227" s="8" t="s">
        <v>208</v>
      </c>
      <c r="K227" s="14" t="b">
        <v>1</v>
      </c>
      <c r="L227" s="14" t="b">
        <v>0</v>
      </c>
      <c r="M227" s="14" t="b">
        <v>0</v>
      </c>
      <c r="N227" s="14" t="b">
        <v>1</v>
      </c>
      <c r="O227" s="14" t="b">
        <v>1</v>
      </c>
      <c r="W227" s="3"/>
    </row>
    <row r="228" spans="1:23" x14ac:dyDescent="0.25">
      <c r="A228" s="4">
        <v>45184066000117</v>
      </c>
      <c r="B228" s="8" t="s">
        <v>684</v>
      </c>
      <c r="C228" s="8" t="s">
        <v>650</v>
      </c>
      <c r="D228" s="7" t="s">
        <v>19</v>
      </c>
      <c r="E228" s="7" t="s">
        <v>215</v>
      </c>
      <c r="F228" s="6">
        <v>2</v>
      </c>
      <c r="G228" s="8" t="s">
        <v>183</v>
      </c>
      <c r="H228" s="8" t="s">
        <v>184</v>
      </c>
      <c r="I228" s="109" t="s">
        <v>557</v>
      </c>
      <c r="J228" s="8" t="s">
        <v>208</v>
      </c>
      <c r="K228" s="14" t="b">
        <v>0</v>
      </c>
      <c r="L228" s="14" t="b">
        <v>1</v>
      </c>
      <c r="M228" s="14" t="b">
        <v>1</v>
      </c>
      <c r="N228" s="14" t="b">
        <v>0</v>
      </c>
      <c r="O228" s="14" t="b">
        <v>1</v>
      </c>
      <c r="W228" s="3"/>
    </row>
    <row r="229" spans="1:23" x14ac:dyDescent="0.25">
      <c r="A229" s="4">
        <v>45399961000230</v>
      </c>
      <c r="B229" s="8" t="s">
        <v>688</v>
      </c>
      <c r="C229" s="8" t="s">
        <v>42</v>
      </c>
      <c r="D229" s="7" t="s">
        <v>19</v>
      </c>
      <c r="E229" s="7" t="s">
        <v>215</v>
      </c>
      <c r="F229" s="6">
        <v>2</v>
      </c>
      <c r="G229" s="8" t="s">
        <v>183</v>
      </c>
      <c r="H229" s="8" t="s">
        <v>184</v>
      </c>
      <c r="I229" s="109" t="s">
        <v>557</v>
      </c>
      <c r="J229" s="8" t="s">
        <v>208</v>
      </c>
      <c r="K229" s="14" t="b">
        <v>0</v>
      </c>
      <c r="L229" s="14" t="b">
        <v>1</v>
      </c>
      <c r="M229" s="14" t="b">
        <v>1</v>
      </c>
      <c r="N229" s="14" t="b">
        <v>0</v>
      </c>
      <c r="O229" s="14" t="b">
        <v>1</v>
      </c>
      <c r="W229" s="3"/>
    </row>
    <row r="230" spans="1:23" x14ac:dyDescent="0.25">
      <c r="A230" s="4">
        <v>46374500001670</v>
      </c>
      <c r="B230" s="8" t="s">
        <v>1366</v>
      </c>
      <c r="C230" s="8" t="s">
        <v>35</v>
      </c>
      <c r="D230" s="7" t="s">
        <v>19</v>
      </c>
      <c r="E230" s="7" t="s">
        <v>215</v>
      </c>
      <c r="F230" s="6">
        <v>2</v>
      </c>
      <c r="G230" s="8" t="s">
        <v>1355</v>
      </c>
      <c r="H230" s="8" t="s">
        <v>1356</v>
      </c>
      <c r="I230" s="109" t="s">
        <v>556</v>
      </c>
      <c r="J230" s="8" t="s">
        <v>208</v>
      </c>
      <c r="K230" s="14" t="b">
        <v>1</v>
      </c>
      <c r="L230" s="14" t="b">
        <v>0</v>
      </c>
      <c r="M230" s="14" t="b">
        <v>0</v>
      </c>
      <c r="N230" s="14" t="b">
        <v>1</v>
      </c>
      <c r="O230" s="14" t="b">
        <v>1</v>
      </c>
      <c r="W230" s="3"/>
    </row>
    <row r="231" spans="1:23" x14ac:dyDescent="0.25">
      <c r="A231" s="4">
        <v>46374500001670</v>
      </c>
      <c r="B231" s="8" t="s">
        <v>1366</v>
      </c>
      <c r="C231" s="8" t="s">
        <v>35</v>
      </c>
      <c r="D231" s="7" t="s">
        <v>19</v>
      </c>
      <c r="E231" s="7" t="s">
        <v>215</v>
      </c>
      <c r="F231" s="6">
        <v>2</v>
      </c>
      <c r="G231" s="8" t="s">
        <v>147</v>
      </c>
      <c r="H231" s="8" t="s">
        <v>148</v>
      </c>
      <c r="I231" s="109" t="s">
        <v>557</v>
      </c>
      <c r="J231" s="8" t="s">
        <v>208</v>
      </c>
      <c r="K231" s="14" t="b">
        <v>0</v>
      </c>
      <c r="L231" s="14" t="b">
        <v>1</v>
      </c>
      <c r="M231" s="14" t="b">
        <v>1</v>
      </c>
      <c r="N231" s="14" t="b">
        <v>0</v>
      </c>
      <c r="O231" s="14" t="b">
        <v>1</v>
      </c>
      <c r="W231" s="3"/>
    </row>
    <row r="232" spans="1:23" x14ac:dyDescent="0.25">
      <c r="A232" s="4">
        <v>46643466000106</v>
      </c>
      <c r="B232" s="8" t="s">
        <v>701</v>
      </c>
      <c r="C232" s="8" t="s">
        <v>650</v>
      </c>
      <c r="D232" s="7" t="s">
        <v>19</v>
      </c>
      <c r="E232" s="7" t="s">
        <v>215</v>
      </c>
      <c r="F232" s="6">
        <v>2</v>
      </c>
      <c r="G232" s="8" t="s">
        <v>183</v>
      </c>
      <c r="H232" s="8" t="s">
        <v>184</v>
      </c>
      <c r="I232" s="109" t="s">
        <v>557</v>
      </c>
      <c r="J232" s="8" t="s">
        <v>208</v>
      </c>
      <c r="K232" s="14" t="b">
        <v>0</v>
      </c>
      <c r="L232" s="14" t="b">
        <v>1</v>
      </c>
      <c r="M232" s="14" t="b">
        <v>1</v>
      </c>
      <c r="N232" s="14" t="b">
        <v>0</v>
      </c>
      <c r="O232" s="14" t="b">
        <v>1</v>
      </c>
      <c r="W232" s="3"/>
    </row>
    <row r="233" spans="1:23" x14ac:dyDescent="0.25">
      <c r="A233" s="4">
        <v>46643466000106</v>
      </c>
      <c r="B233" s="8" t="s">
        <v>701</v>
      </c>
      <c r="C233" s="8" t="s">
        <v>650</v>
      </c>
      <c r="D233" s="7" t="s">
        <v>19</v>
      </c>
      <c r="E233" s="7" t="s">
        <v>215</v>
      </c>
      <c r="F233" s="6">
        <v>2</v>
      </c>
      <c r="G233" s="8" t="s">
        <v>161</v>
      </c>
      <c r="H233" s="8" t="s">
        <v>162</v>
      </c>
      <c r="I233" s="109" t="s">
        <v>556</v>
      </c>
      <c r="J233" s="8" t="s">
        <v>208</v>
      </c>
      <c r="K233" s="14" t="b">
        <v>1</v>
      </c>
      <c r="L233" s="14" t="b">
        <v>0</v>
      </c>
      <c r="M233" s="14" t="b">
        <v>0</v>
      </c>
      <c r="N233" s="14" t="b">
        <v>1</v>
      </c>
      <c r="O233" s="14" t="b">
        <v>1</v>
      </c>
      <c r="W233" s="3"/>
    </row>
    <row r="234" spans="1:23" x14ac:dyDescent="0.25">
      <c r="A234" s="4">
        <v>48547806000120</v>
      </c>
      <c r="B234" s="8" t="s">
        <v>1367</v>
      </c>
      <c r="C234" s="8" t="s">
        <v>1368</v>
      </c>
      <c r="D234" s="7" t="s">
        <v>19</v>
      </c>
      <c r="E234" s="7" t="s">
        <v>215</v>
      </c>
      <c r="F234" s="6">
        <v>2</v>
      </c>
      <c r="G234" s="8" t="s">
        <v>161</v>
      </c>
      <c r="H234" s="8" t="s">
        <v>162</v>
      </c>
      <c r="I234" s="109" t="s">
        <v>556</v>
      </c>
      <c r="J234" s="8" t="s">
        <v>208</v>
      </c>
      <c r="K234" s="14" t="b">
        <v>1</v>
      </c>
      <c r="L234" s="14" t="b">
        <v>0</v>
      </c>
      <c r="M234" s="14" t="b">
        <v>0</v>
      </c>
      <c r="N234" s="14" t="b">
        <v>1</v>
      </c>
      <c r="O234" s="14" t="b">
        <v>1</v>
      </c>
      <c r="W234" s="3"/>
    </row>
    <row r="235" spans="1:23" x14ac:dyDescent="0.25">
      <c r="A235" s="4">
        <v>48547806000120</v>
      </c>
      <c r="B235" s="8" t="s">
        <v>1367</v>
      </c>
      <c r="C235" s="8" t="s">
        <v>1368</v>
      </c>
      <c r="D235" s="7" t="s">
        <v>19</v>
      </c>
      <c r="E235" s="7" t="s">
        <v>215</v>
      </c>
      <c r="F235" s="6">
        <v>2</v>
      </c>
      <c r="G235" s="8" t="s">
        <v>183</v>
      </c>
      <c r="H235" s="8" t="s">
        <v>184</v>
      </c>
      <c r="I235" s="109" t="s">
        <v>557</v>
      </c>
      <c r="J235" s="8" t="s">
        <v>208</v>
      </c>
      <c r="K235" s="14" t="b">
        <v>0</v>
      </c>
      <c r="L235" s="14" t="b">
        <v>1</v>
      </c>
      <c r="M235" s="14" t="b">
        <v>1</v>
      </c>
      <c r="N235" s="14" t="b">
        <v>0</v>
      </c>
      <c r="O235" s="14" t="b">
        <v>1</v>
      </c>
      <c r="W235" s="3"/>
    </row>
    <row r="236" spans="1:23" x14ac:dyDescent="0.25">
      <c r="A236" s="4">
        <v>51722957014302</v>
      </c>
      <c r="B236" s="8" t="s">
        <v>709</v>
      </c>
      <c r="C236" s="8" t="s">
        <v>710</v>
      </c>
      <c r="D236" s="7" t="s">
        <v>19</v>
      </c>
      <c r="E236" s="7" t="s">
        <v>215</v>
      </c>
      <c r="F236" s="6">
        <v>2</v>
      </c>
      <c r="G236" s="8" t="s">
        <v>183</v>
      </c>
      <c r="H236" s="8" t="s">
        <v>184</v>
      </c>
      <c r="I236" s="109" t="s">
        <v>557</v>
      </c>
      <c r="J236" s="8" t="s">
        <v>208</v>
      </c>
      <c r="K236" s="14" t="b">
        <v>0</v>
      </c>
      <c r="L236" s="14" t="b">
        <v>1</v>
      </c>
      <c r="M236" s="14" t="b">
        <v>1</v>
      </c>
      <c r="N236" s="14" t="b">
        <v>0</v>
      </c>
      <c r="O236" s="14" t="b">
        <v>1</v>
      </c>
      <c r="W236" s="3"/>
    </row>
    <row r="237" spans="1:23" x14ac:dyDescent="0.25">
      <c r="A237" s="4">
        <v>51722957014302</v>
      </c>
      <c r="B237" s="8" t="s">
        <v>709</v>
      </c>
      <c r="C237" s="8" t="s">
        <v>710</v>
      </c>
      <c r="D237" s="7" t="s">
        <v>19</v>
      </c>
      <c r="E237" s="7" t="s">
        <v>215</v>
      </c>
      <c r="F237" s="6">
        <v>2</v>
      </c>
      <c r="G237" s="8" t="s">
        <v>161</v>
      </c>
      <c r="H237" s="8" t="s">
        <v>162</v>
      </c>
      <c r="I237" s="109" t="s">
        <v>556</v>
      </c>
      <c r="J237" s="8" t="s">
        <v>208</v>
      </c>
      <c r="K237" s="14" t="b">
        <v>1</v>
      </c>
      <c r="L237" s="14" t="b">
        <v>0</v>
      </c>
      <c r="M237" s="14" t="b">
        <v>0</v>
      </c>
      <c r="N237" s="14" t="b">
        <v>1</v>
      </c>
      <c r="O237" s="14" t="b">
        <v>1</v>
      </c>
      <c r="W237" s="3"/>
    </row>
    <row r="238" spans="1:23" x14ac:dyDescent="0.25">
      <c r="A238" s="4">
        <v>57507402000102</v>
      </c>
      <c r="B238" s="8" t="s">
        <v>721</v>
      </c>
      <c r="C238" s="8" t="s">
        <v>647</v>
      </c>
      <c r="D238" s="7" t="s">
        <v>19</v>
      </c>
      <c r="E238" s="7" t="s">
        <v>215</v>
      </c>
      <c r="F238" s="6">
        <v>2</v>
      </c>
      <c r="G238" s="8" t="s">
        <v>1355</v>
      </c>
      <c r="H238" s="8" t="s">
        <v>1356</v>
      </c>
      <c r="I238" s="109" t="s">
        <v>556</v>
      </c>
      <c r="J238" s="8" t="s">
        <v>208</v>
      </c>
      <c r="K238" s="14" t="b">
        <v>1</v>
      </c>
      <c r="L238" s="14" t="b">
        <v>0</v>
      </c>
      <c r="M238" s="14" t="b">
        <v>0</v>
      </c>
      <c r="N238" s="14" t="b">
        <v>1</v>
      </c>
      <c r="O238" s="14" t="b">
        <v>1</v>
      </c>
      <c r="W238" s="3"/>
    </row>
    <row r="239" spans="1:23" x14ac:dyDescent="0.25">
      <c r="A239" s="4">
        <v>57507402000102</v>
      </c>
      <c r="B239" s="8" t="s">
        <v>721</v>
      </c>
      <c r="C239" s="8" t="s">
        <v>647</v>
      </c>
      <c r="D239" s="7" t="s">
        <v>19</v>
      </c>
      <c r="E239" s="7" t="s">
        <v>215</v>
      </c>
      <c r="F239" s="6">
        <v>2</v>
      </c>
      <c r="G239" s="8" t="s">
        <v>147</v>
      </c>
      <c r="H239" s="8" t="s">
        <v>148</v>
      </c>
      <c r="I239" s="109" t="s">
        <v>557</v>
      </c>
      <c r="J239" s="8" t="s">
        <v>208</v>
      </c>
      <c r="K239" s="14" t="b">
        <v>0</v>
      </c>
      <c r="L239" s="14" t="b">
        <v>1</v>
      </c>
      <c r="M239" s="14" t="b">
        <v>1</v>
      </c>
      <c r="N239" s="14" t="b">
        <v>0</v>
      </c>
      <c r="O239" s="14" t="b">
        <v>1</v>
      </c>
      <c r="W239" s="3"/>
    </row>
    <row r="240" spans="1:23" x14ac:dyDescent="0.25">
      <c r="A240" s="4">
        <v>58229691001070</v>
      </c>
      <c r="B240" s="8" t="s">
        <v>725</v>
      </c>
      <c r="C240" s="8" t="s">
        <v>35</v>
      </c>
      <c r="D240" s="7" t="s">
        <v>19</v>
      </c>
      <c r="E240" s="7" t="s">
        <v>215</v>
      </c>
      <c r="F240" s="6">
        <v>2</v>
      </c>
      <c r="G240" s="8" t="s">
        <v>147</v>
      </c>
      <c r="H240" s="8" t="s">
        <v>148</v>
      </c>
      <c r="I240" s="109" t="s">
        <v>557</v>
      </c>
      <c r="J240" s="8" t="s">
        <v>208</v>
      </c>
      <c r="K240" s="14" t="b">
        <v>0</v>
      </c>
      <c r="L240" s="14" t="b">
        <v>1</v>
      </c>
      <c r="M240" s="14" t="b">
        <v>1</v>
      </c>
      <c r="N240" s="14" t="b">
        <v>0</v>
      </c>
      <c r="O240" s="14" t="b">
        <v>1</v>
      </c>
      <c r="W240" s="3"/>
    </row>
    <row r="241" spans="1:23" x14ac:dyDescent="0.25">
      <c r="A241" s="4">
        <v>58229691001070</v>
      </c>
      <c r="B241" s="8" t="s">
        <v>725</v>
      </c>
      <c r="C241" s="8" t="s">
        <v>35</v>
      </c>
      <c r="D241" s="7" t="s">
        <v>19</v>
      </c>
      <c r="E241" s="7" t="s">
        <v>215</v>
      </c>
      <c r="F241" s="6">
        <v>2</v>
      </c>
      <c r="G241" s="8" t="s">
        <v>1355</v>
      </c>
      <c r="H241" s="8" t="s">
        <v>1356</v>
      </c>
      <c r="I241" s="109" t="s">
        <v>556</v>
      </c>
      <c r="J241" s="8" t="s">
        <v>208</v>
      </c>
      <c r="K241" s="14" t="b">
        <v>1</v>
      </c>
      <c r="L241" s="14" t="b">
        <v>0</v>
      </c>
      <c r="M241" s="14" t="b">
        <v>0</v>
      </c>
      <c r="N241" s="14" t="b">
        <v>1</v>
      </c>
      <c r="O241" s="14" t="b">
        <v>1</v>
      </c>
      <c r="W241" s="3"/>
    </row>
    <row r="242" spans="1:23" x14ac:dyDescent="0.25">
      <c r="A242" s="4">
        <v>58837188000298</v>
      </c>
      <c r="B242" s="8" t="s">
        <v>1369</v>
      </c>
      <c r="C242" s="8" t="s">
        <v>1370</v>
      </c>
      <c r="D242" s="7" t="s">
        <v>19</v>
      </c>
      <c r="E242" s="7" t="s">
        <v>215</v>
      </c>
      <c r="F242" s="6">
        <v>2</v>
      </c>
      <c r="G242" s="8" t="s">
        <v>183</v>
      </c>
      <c r="H242" s="8" t="s">
        <v>184</v>
      </c>
      <c r="I242" s="109" t="s">
        <v>557</v>
      </c>
      <c r="J242" s="8" t="s">
        <v>208</v>
      </c>
      <c r="K242" s="14" t="b">
        <v>0</v>
      </c>
      <c r="L242" s="14" t="b">
        <v>1</v>
      </c>
      <c r="M242" s="14" t="b">
        <v>1</v>
      </c>
      <c r="N242" s="14" t="b">
        <v>0</v>
      </c>
      <c r="O242" s="14" t="b">
        <v>1</v>
      </c>
      <c r="W242" s="3"/>
    </row>
    <row r="243" spans="1:23" x14ac:dyDescent="0.25">
      <c r="A243" s="4">
        <v>60214517000962</v>
      </c>
      <c r="B243" s="8" t="s">
        <v>729</v>
      </c>
      <c r="C243" s="8" t="s">
        <v>650</v>
      </c>
      <c r="D243" s="7" t="s">
        <v>19</v>
      </c>
      <c r="E243" s="7" t="s">
        <v>215</v>
      </c>
      <c r="F243" s="6">
        <v>2</v>
      </c>
      <c r="G243" s="8" t="s">
        <v>161</v>
      </c>
      <c r="H243" s="8" t="s">
        <v>162</v>
      </c>
      <c r="I243" s="109" t="s">
        <v>556</v>
      </c>
      <c r="J243" s="8" t="s">
        <v>208</v>
      </c>
      <c r="K243" s="14" t="b">
        <v>1</v>
      </c>
      <c r="L243" s="14" t="b">
        <v>0</v>
      </c>
      <c r="M243" s="14" t="b">
        <v>0</v>
      </c>
      <c r="N243" s="14" t="b">
        <v>1</v>
      </c>
      <c r="O243" s="14" t="b">
        <v>1</v>
      </c>
      <c r="W243" s="3"/>
    </row>
    <row r="244" spans="1:23" x14ac:dyDescent="0.25">
      <c r="A244" s="4">
        <v>60214517000962</v>
      </c>
      <c r="B244" s="8" t="s">
        <v>729</v>
      </c>
      <c r="C244" s="8" t="s">
        <v>650</v>
      </c>
      <c r="D244" s="7" t="s">
        <v>19</v>
      </c>
      <c r="E244" s="7" t="s">
        <v>215</v>
      </c>
      <c r="F244" s="6">
        <v>2</v>
      </c>
      <c r="G244" s="8" t="s">
        <v>183</v>
      </c>
      <c r="H244" s="8" t="s">
        <v>184</v>
      </c>
      <c r="I244" s="109" t="s">
        <v>557</v>
      </c>
      <c r="J244" s="8" t="s">
        <v>208</v>
      </c>
      <c r="K244" s="14" t="b">
        <v>0</v>
      </c>
      <c r="L244" s="14" t="b">
        <v>1</v>
      </c>
      <c r="M244" s="14" t="b">
        <v>1</v>
      </c>
      <c r="N244" s="14" t="b">
        <v>0</v>
      </c>
      <c r="O244" s="14" t="b">
        <v>1</v>
      </c>
      <c r="W244" s="3"/>
    </row>
    <row r="245" spans="1:23" x14ac:dyDescent="0.25">
      <c r="A245" s="4">
        <v>60214517001187</v>
      </c>
      <c r="B245" s="8" t="s">
        <v>730</v>
      </c>
      <c r="C245" s="8" t="s">
        <v>731</v>
      </c>
      <c r="D245" s="7" t="s">
        <v>19</v>
      </c>
      <c r="E245" s="7" t="s">
        <v>215</v>
      </c>
      <c r="F245" s="6">
        <v>2</v>
      </c>
      <c r="G245" s="8" t="s">
        <v>183</v>
      </c>
      <c r="H245" s="8" t="s">
        <v>184</v>
      </c>
      <c r="I245" s="109" t="s">
        <v>557</v>
      </c>
      <c r="J245" s="8" t="s">
        <v>208</v>
      </c>
      <c r="K245" s="14" t="b">
        <v>0</v>
      </c>
      <c r="L245" s="14" t="b">
        <v>1</v>
      </c>
      <c r="M245" s="14" t="b">
        <v>1</v>
      </c>
      <c r="N245" s="14" t="b">
        <v>0</v>
      </c>
      <c r="O245" s="14" t="b">
        <v>1</v>
      </c>
      <c r="W245" s="3"/>
    </row>
    <row r="246" spans="1:23" x14ac:dyDescent="0.25">
      <c r="A246" s="4">
        <v>60214517001187</v>
      </c>
      <c r="B246" s="8" t="s">
        <v>730</v>
      </c>
      <c r="C246" s="8" t="s">
        <v>731</v>
      </c>
      <c r="D246" s="7" t="s">
        <v>19</v>
      </c>
      <c r="E246" s="7" t="s">
        <v>215</v>
      </c>
      <c r="F246" s="6">
        <v>2</v>
      </c>
      <c r="G246" s="8" t="s">
        <v>161</v>
      </c>
      <c r="H246" s="8" t="s">
        <v>162</v>
      </c>
      <c r="I246" s="109" t="s">
        <v>556</v>
      </c>
      <c r="J246" s="8" t="s">
        <v>208</v>
      </c>
      <c r="K246" s="14" t="b">
        <v>1</v>
      </c>
      <c r="L246" s="14" t="b">
        <v>0</v>
      </c>
      <c r="M246" s="14" t="b">
        <v>0</v>
      </c>
      <c r="N246" s="14" t="b">
        <v>1</v>
      </c>
      <c r="O246" s="14" t="b">
        <v>1</v>
      </c>
      <c r="W246" s="3"/>
    </row>
    <row r="247" spans="1:23" x14ac:dyDescent="0.25">
      <c r="A247" s="4">
        <v>60214517001691</v>
      </c>
      <c r="B247" s="8" t="s">
        <v>732</v>
      </c>
      <c r="C247" s="8" t="s">
        <v>650</v>
      </c>
      <c r="D247" s="7" t="s">
        <v>19</v>
      </c>
      <c r="E247" s="7" t="s">
        <v>215</v>
      </c>
      <c r="F247" s="6">
        <v>2</v>
      </c>
      <c r="G247" s="8" t="s">
        <v>161</v>
      </c>
      <c r="H247" s="8" t="s">
        <v>162</v>
      </c>
      <c r="I247" s="109" t="s">
        <v>556</v>
      </c>
      <c r="J247" s="8" t="s">
        <v>208</v>
      </c>
      <c r="K247" s="14" t="b">
        <v>1</v>
      </c>
      <c r="L247" s="14" t="b">
        <v>0</v>
      </c>
      <c r="M247" s="14" t="b">
        <v>0</v>
      </c>
      <c r="N247" s="14" t="b">
        <v>1</v>
      </c>
      <c r="O247" s="14" t="b">
        <v>1</v>
      </c>
      <c r="W247" s="3"/>
    </row>
    <row r="248" spans="1:23" x14ac:dyDescent="0.25">
      <c r="A248" s="4">
        <v>60214517001691</v>
      </c>
      <c r="B248" s="8" t="s">
        <v>732</v>
      </c>
      <c r="C248" s="8" t="s">
        <v>650</v>
      </c>
      <c r="D248" s="7" t="s">
        <v>19</v>
      </c>
      <c r="E248" s="7" t="s">
        <v>215</v>
      </c>
      <c r="F248" s="6">
        <v>2</v>
      </c>
      <c r="G248" s="8" t="s">
        <v>183</v>
      </c>
      <c r="H248" s="8" t="s">
        <v>184</v>
      </c>
      <c r="I248" s="109" t="s">
        <v>557</v>
      </c>
      <c r="J248" s="8" t="s">
        <v>208</v>
      </c>
      <c r="K248" s="14" t="b">
        <v>0</v>
      </c>
      <c r="L248" s="14" t="b">
        <v>1</v>
      </c>
      <c r="M248" s="14" t="b">
        <v>1</v>
      </c>
      <c r="N248" s="14" t="b">
        <v>0</v>
      </c>
      <c r="O248" s="14" t="b">
        <v>1</v>
      </c>
      <c r="W248" s="3"/>
    </row>
    <row r="249" spans="1:23" x14ac:dyDescent="0.25">
      <c r="A249" s="4">
        <v>61699567000869</v>
      </c>
      <c r="B249" s="8" t="s">
        <v>1233</v>
      </c>
      <c r="C249" s="8" t="s">
        <v>710</v>
      </c>
      <c r="D249" s="7" t="s">
        <v>19</v>
      </c>
      <c r="E249" s="7" t="s">
        <v>215</v>
      </c>
      <c r="F249" s="6">
        <v>2</v>
      </c>
      <c r="G249" s="8" t="s">
        <v>161</v>
      </c>
      <c r="H249" s="8" t="s">
        <v>162</v>
      </c>
      <c r="I249" s="109" t="s">
        <v>556</v>
      </c>
      <c r="J249" s="8" t="s">
        <v>208</v>
      </c>
      <c r="K249" s="14" t="b">
        <v>1</v>
      </c>
      <c r="L249" s="14" t="b">
        <v>0</v>
      </c>
      <c r="M249" s="14" t="b">
        <v>0</v>
      </c>
      <c r="N249" s="14" t="b">
        <v>1</v>
      </c>
      <c r="O249" s="14" t="b">
        <v>1</v>
      </c>
      <c r="W249" s="3"/>
    </row>
    <row r="250" spans="1:23" x14ac:dyDescent="0.25">
      <c r="A250" s="4">
        <v>61699567000869</v>
      </c>
      <c r="B250" s="8" t="s">
        <v>1233</v>
      </c>
      <c r="C250" s="8" t="s">
        <v>710</v>
      </c>
      <c r="D250" s="7" t="s">
        <v>19</v>
      </c>
      <c r="E250" s="7" t="s">
        <v>215</v>
      </c>
      <c r="F250" s="6">
        <v>2</v>
      </c>
      <c r="G250" s="8" t="s">
        <v>147</v>
      </c>
      <c r="H250" s="8" t="s">
        <v>148</v>
      </c>
      <c r="I250" s="109" t="s">
        <v>557</v>
      </c>
      <c r="J250" s="8" t="s">
        <v>208</v>
      </c>
      <c r="K250" s="14" t="b">
        <v>0</v>
      </c>
      <c r="L250" s="14" t="b">
        <v>1</v>
      </c>
      <c r="M250" s="14" t="b">
        <v>1</v>
      </c>
      <c r="N250" s="14" t="b">
        <v>0</v>
      </c>
      <c r="O250" s="14" t="b">
        <v>1</v>
      </c>
      <c r="W250" s="3"/>
    </row>
    <row r="251" spans="1:23" x14ac:dyDescent="0.25">
      <c r="A251" s="4">
        <v>68029156000481</v>
      </c>
      <c r="B251" s="8" t="s">
        <v>1371</v>
      </c>
      <c r="C251" s="8" t="s">
        <v>1372</v>
      </c>
      <c r="D251" s="7" t="s">
        <v>19</v>
      </c>
      <c r="E251" s="7" t="s">
        <v>215</v>
      </c>
      <c r="F251" s="6">
        <v>2</v>
      </c>
      <c r="G251" s="8" t="s">
        <v>1355</v>
      </c>
      <c r="H251" s="8" t="s">
        <v>1356</v>
      </c>
      <c r="I251" s="109" t="s">
        <v>556</v>
      </c>
      <c r="J251" s="8" t="s">
        <v>208</v>
      </c>
      <c r="K251" s="14" t="b">
        <v>1</v>
      </c>
      <c r="L251" s="14" t="b">
        <v>0</v>
      </c>
      <c r="M251" s="14" t="b">
        <v>0</v>
      </c>
      <c r="N251" s="14" t="b">
        <v>1</v>
      </c>
      <c r="O251" s="14" t="b">
        <v>1</v>
      </c>
      <c r="W251" s="3"/>
    </row>
    <row r="252" spans="1:23" x14ac:dyDescent="0.25">
      <c r="A252" s="4">
        <v>68029156000481</v>
      </c>
      <c r="B252" s="8" t="s">
        <v>1371</v>
      </c>
      <c r="C252" s="8" t="s">
        <v>1372</v>
      </c>
      <c r="D252" s="7" t="s">
        <v>19</v>
      </c>
      <c r="E252" s="7" t="s">
        <v>215</v>
      </c>
      <c r="F252" s="6">
        <v>2</v>
      </c>
      <c r="G252" s="8" t="s">
        <v>183</v>
      </c>
      <c r="H252" s="8" t="s">
        <v>184</v>
      </c>
      <c r="I252" s="109" t="s">
        <v>557</v>
      </c>
      <c r="J252" s="8" t="s">
        <v>208</v>
      </c>
      <c r="K252" s="14" t="b">
        <v>0</v>
      </c>
      <c r="L252" s="14" t="b">
        <v>1</v>
      </c>
      <c r="M252" s="14" t="b">
        <v>1</v>
      </c>
      <c r="N252" s="14" t="b">
        <v>0</v>
      </c>
      <c r="O252" s="14" t="b">
        <v>1</v>
      </c>
      <c r="W252" s="3"/>
    </row>
    <row r="253" spans="1:23" x14ac:dyDescent="0.25">
      <c r="A253" s="4">
        <v>840048000450</v>
      </c>
      <c r="B253" s="8" t="s">
        <v>637</v>
      </c>
      <c r="C253" s="8" t="s">
        <v>30</v>
      </c>
      <c r="D253" s="7" t="s">
        <v>19</v>
      </c>
      <c r="E253" s="7" t="s">
        <v>215</v>
      </c>
      <c r="F253" s="6">
        <v>2</v>
      </c>
      <c r="G253" s="8" t="s">
        <v>149</v>
      </c>
      <c r="H253" s="8" t="s">
        <v>150</v>
      </c>
      <c r="I253" s="109" t="s">
        <v>557</v>
      </c>
      <c r="J253" s="8" t="s">
        <v>208</v>
      </c>
      <c r="K253" s="14" t="b">
        <v>0</v>
      </c>
      <c r="L253" s="14" t="b">
        <v>1</v>
      </c>
      <c r="M253" s="14" t="b">
        <v>1</v>
      </c>
      <c r="N253" s="14" t="b">
        <v>0</v>
      </c>
      <c r="O253" s="14" t="b">
        <v>1</v>
      </c>
      <c r="W253" s="3"/>
    </row>
    <row r="254" spans="1:23" x14ac:dyDescent="0.25">
      <c r="A254" s="4">
        <v>1613433006892</v>
      </c>
      <c r="B254" s="8" t="s">
        <v>638</v>
      </c>
      <c r="C254" s="8" t="s">
        <v>639</v>
      </c>
      <c r="D254" s="7" t="s">
        <v>19</v>
      </c>
      <c r="E254" s="7" t="s">
        <v>215</v>
      </c>
      <c r="F254" s="6">
        <v>2</v>
      </c>
      <c r="G254" s="8" t="s">
        <v>149</v>
      </c>
      <c r="H254" s="8" t="s">
        <v>150</v>
      </c>
      <c r="I254" s="109" t="s">
        <v>557</v>
      </c>
      <c r="J254" s="8" t="s">
        <v>208</v>
      </c>
      <c r="K254" s="14" t="b">
        <v>0</v>
      </c>
      <c r="L254" s="14" t="b">
        <v>1</v>
      </c>
      <c r="M254" s="14" t="b">
        <v>1</v>
      </c>
      <c r="N254" s="14" t="b">
        <v>0</v>
      </c>
      <c r="O254" s="14" t="b">
        <v>1</v>
      </c>
      <c r="W254" s="3"/>
    </row>
    <row r="255" spans="1:23" x14ac:dyDescent="0.25">
      <c r="A255" s="4">
        <v>1613433008089</v>
      </c>
      <c r="B255" s="8" t="s">
        <v>640</v>
      </c>
      <c r="C255" s="8" t="s">
        <v>47</v>
      </c>
      <c r="D255" s="7" t="s">
        <v>19</v>
      </c>
      <c r="E255" s="7" t="s">
        <v>215</v>
      </c>
      <c r="F255" s="6">
        <v>2</v>
      </c>
      <c r="G255" s="8" t="s">
        <v>149</v>
      </c>
      <c r="H255" s="8" t="s">
        <v>150</v>
      </c>
      <c r="I255" s="109" t="s">
        <v>557</v>
      </c>
      <c r="J255" s="8" t="s">
        <v>208</v>
      </c>
      <c r="K255" s="14" t="b">
        <v>0</v>
      </c>
      <c r="L255" s="14" t="b">
        <v>1</v>
      </c>
      <c r="M255" s="14" t="b">
        <v>1</v>
      </c>
      <c r="N255" s="14" t="b">
        <v>0</v>
      </c>
      <c r="O255" s="14" t="b">
        <v>1</v>
      </c>
      <c r="W255" s="3"/>
    </row>
    <row r="256" spans="1:23" x14ac:dyDescent="0.25">
      <c r="A256" s="4">
        <v>1613433010814</v>
      </c>
      <c r="B256" s="8" t="s">
        <v>641</v>
      </c>
      <c r="C256" s="8" t="s">
        <v>49</v>
      </c>
      <c r="D256" s="7" t="s">
        <v>19</v>
      </c>
      <c r="E256" s="7" t="s">
        <v>215</v>
      </c>
      <c r="F256" s="6">
        <v>2</v>
      </c>
      <c r="G256" s="8" t="s">
        <v>149</v>
      </c>
      <c r="H256" s="8" t="s">
        <v>150</v>
      </c>
      <c r="I256" s="109" t="s">
        <v>557</v>
      </c>
      <c r="J256" s="8" t="s">
        <v>208</v>
      </c>
      <c r="K256" s="14" t="b">
        <v>0</v>
      </c>
      <c r="L256" s="14" t="b">
        <v>1</v>
      </c>
      <c r="M256" s="14" t="b">
        <v>1</v>
      </c>
      <c r="N256" s="14" t="b">
        <v>0</v>
      </c>
      <c r="O256" s="14" t="b">
        <v>1</v>
      </c>
      <c r="W256" s="3"/>
    </row>
    <row r="257" spans="1:23" x14ac:dyDescent="0.25">
      <c r="A257" s="4">
        <v>1773319000201</v>
      </c>
      <c r="B257" s="8" t="s">
        <v>1373</v>
      </c>
      <c r="C257" s="8" t="s">
        <v>1374</v>
      </c>
      <c r="D257" s="7" t="s">
        <v>19</v>
      </c>
      <c r="E257" s="7" t="s">
        <v>215</v>
      </c>
      <c r="F257" s="6">
        <v>2</v>
      </c>
      <c r="G257" s="8" t="s">
        <v>149</v>
      </c>
      <c r="H257" s="8" t="s">
        <v>150</v>
      </c>
      <c r="I257" s="109" t="s">
        <v>557</v>
      </c>
      <c r="J257" s="8" t="s">
        <v>208</v>
      </c>
      <c r="K257" s="14" t="b">
        <v>0</v>
      </c>
      <c r="L257" s="14" t="b">
        <v>1</v>
      </c>
      <c r="M257" s="14" t="b">
        <v>1</v>
      </c>
      <c r="N257" s="14" t="b">
        <v>0</v>
      </c>
      <c r="O257" s="14" t="b">
        <v>1</v>
      </c>
      <c r="W257" s="3"/>
    </row>
    <row r="258" spans="1:23" x14ac:dyDescent="0.25">
      <c r="A258" s="4">
        <v>2643405000173</v>
      </c>
      <c r="B258" s="8" t="s">
        <v>642</v>
      </c>
      <c r="C258" s="8" t="s">
        <v>643</v>
      </c>
      <c r="D258" s="7" t="s">
        <v>19</v>
      </c>
      <c r="E258" s="7" t="s">
        <v>215</v>
      </c>
      <c r="F258" s="6">
        <v>2</v>
      </c>
      <c r="G258" s="8" t="s">
        <v>149</v>
      </c>
      <c r="H258" s="8" t="s">
        <v>150</v>
      </c>
      <c r="I258" s="109" t="s">
        <v>557</v>
      </c>
      <c r="J258" s="8" t="s">
        <v>208</v>
      </c>
      <c r="K258" s="14" t="b">
        <v>0</v>
      </c>
      <c r="L258" s="14" t="b">
        <v>1</v>
      </c>
      <c r="M258" s="14" t="b">
        <v>1</v>
      </c>
      <c r="N258" s="14" t="b">
        <v>0</v>
      </c>
      <c r="O258" s="14" t="b">
        <v>1</v>
      </c>
      <c r="W258" s="3"/>
    </row>
    <row r="259" spans="1:23" x14ac:dyDescent="0.25">
      <c r="A259" s="4">
        <v>4127483000140</v>
      </c>
      <c r="B259" s="8" t="s">
        <v>644</v>
      </c>
      <c r="C259" s="8" t="s">
        <v>639</v>
      </c>
      <c r="D259" s="7" t="s">
        <v>19</v>
      </c>
      <c r="E259" s="7" t="s">
        <v>215</v>
      </c>
      <c r="F259" s="6">
        <v>2</v>
      </c>
      <c r="G259" s="8" t="s">
        <v>149</v>
      </c>
      <c r="H259" s="8" t="s">
        <v>150</v>
      </c>
      <c r="I259" s="109" t="s">
        <v>557</v>
      </c>
      <c r="J259" s="8" t="s">
        <v>208</v>
      </c>
      <c r="K259" s="14" t="b">
        <v>0</v>
      </c>
      <c r="L259" s="14" t="b">
        <v>1</v>
      </c>
      <c r="M259" s="14" t="b">
        <v>1</v>
      </c>
      <c r="N259" s="14" t="b">
        <v>0</v>
      </c>
      <c r="O259" s="14" t="b">
        <v>1</v>
      </c>
      <c r="W259" s="3"/>
    </row>
    <row r="260" spans="1:23" x14ac:dyDescent="0.25">
      <c r="A260" s="4">
        <v>4275687000129</v>
      </c>
      <c r="B260" s="8" t="s">
        <v>645</v>
      </c>
      <c r="C260" s="8" t="s">
        <v>31</v>
      </c>
      <c r="D260" s="7" t="s">
        <v>19</v>
      </c>
      <c r="E260" s="7" t="s">
        <v>215</v>
      </c>
      <c r="F260" s="6">
        <v>2</v>
      </c>
      <c r="G260" s="8" t="s">
        <v>149</v>
      </c>
      <c r="H260" s="8" t="s">
        <v>150</v>
      </c>
      <c r="I260" s="109" t="s">
        <v>557</v>
      </c>
      <c r="J260" s="8" t="s">
        <v>208</v>
      </c>
      <c r="K260" s="14" t="b">
        <v>0</v>
      </c>
      <c r="L260" s="14" t="b">
        <v>1</v>
      </c>
      <c r="M260" s="14" t="b">
        <v>1</v>
      </c>
      <c r="N260" s="14" t="b">
        <v>0</v>
      </c>
      <c r="O260" s="14" t="b">
        <v>1</v>
      </c>
      <c r="W260" s="3"/>
    </row>
    <row r="261" spans="1:23" x14ac:dyDescent="0.25">
      <c r="A261" s="4">
        <v>6209132000104</v>
      </c>
      <c r="B261" s="8" t="s">
        <v>653</v>
      </c>
      <c r="C261" s="8" t="s">
        <v>654</v>
      </c>
      <c r="D261" s="7" t="s">
        <v>19</v>
      </c>
      <c r="E261" s="7" t="s">
        <v>215</v>
      </c>
      <c r="F261" s="6">
        <v>2</v>
      </c>
      <c r="G261" s="8" t="s">
        <v>149</v>
      </c>
      <c r="H261" s="8" t="s">
        <v>150</v>
      </c>
      <c r="I261" s="109" t="s">
        <v>557</v>
      </c>
      <c r="J261" s="8" t="s">
        <v>208</v>
      </c>
      <c r="K261" s="14" t="b">
        <v>0</v>
      </c>
      <c r="L261" s="14" t="b">
        <v>1</v>
      </c>
      <c r="M261" s="14" t="b">
        <v>1</v>
      </c>
      <c r="N261" s="14" t="b">
        <v>0</v>
      </c>
      <c r="O261" s="14" t="b">
        <v>1</v>
      </c>
      <c r="W261" s="3"/>
    </row>
    <row r="262" spans="1:23" x14ac:dyDescent="0.25">
      <c r="A262" s="4">
        <v>9528436000122</v>
      </c>
      <c r="B262" s="8" t="s">
        <v>656</v>
      </c>
      <c r="C262" s="8" t="s">
        <v>657</v>
      </c>
      <c r="D262" s="7" t="s">
        <v>19</v>
      </c>
      <c r="E262" s="7" t="s">
        <v>215</v>
      </c>
      <c r="F262" s="6">
        <v>2</v>
      </c>
      <c r="G262" s="8" t="s">
        <v>149</v>
      </c>
      <c r="H262" s="8" t="s">
        <v>150</v>
      </c>
      <c r="I262" s="109" t="s">
        <v>557</v>
      </c>
      <c r="J262" s="8" t="s">
        <v>208</v>
      </c>
      <c r="K262" s="14" t="b">
        <v>0</v>
      </c>
      <c r="L262" s="14" t="b">
        <v>1</v>
      </c>
      <c r="M262" s="14" t="b">
        <v>1</v>
      </c>
      <c r="N262" s="14" t="b">
        <v>0</v>
      </c>
      <c r="O262" s="14" t="b">
        <v>1</v>
      </c>
      <c r="W262" s="3"/>
    </row>
    <row r="263" spans="1:23" x14ac:dyDescent="0.25">
      <c r="A263" s="4">
        <v>10447300000177</v>
      </c>
      <c r="B263" s="8" t="s">
        <v>658</v>
      </c>
      <c r="C263" s="8" t="s">
        <v>33</v>
      </c>
      <c r="D263" s="7" t="s">
        <v>19</v>
      </c>
      <c r="E263" s="7" t="s">
        <v>215</v>
      </c>
      <c r="F263" s="6">
        <v>2</v>
      </c>
      <c r="G263" s="8" t="s">
        <v>149</v>
      </c>
      <c r="H263" s="8" t="s">
        <v>150</v>
      </c>
      <c r="I263" s="109" t="s">
        <v>557</v>
      </c>
      <c r="J263" s="8" t="s">
        <v>208</v>
      </c>
      <c r="K263" s="14" t="b">
        <v>0</v>
      </c>
      <c r="L263" s="14" t="b">
        <v>1</v>
      </c>
      <c r="M263" s="14" t="b">
        <v>1</v>
      </c>
      <c r="N263" s="14" t="b">
        <v>0</v>
      </c>
      <c r="O263" s="14" t="b">
        <v>1</v>
      </c>
      <c r="W263" s="3"/>
    </row>
    <row r="264" spans="1:23" x14ac:dyDescent="0.25">
      <c r="A264" s="4">
        <v>10576443000189</v>
      </c>
      <c r="B264" s="8" t="s">
        <v>659</v>
      </c>
      <c r="C264" s="8" t="s">
        <v>643</v>
      </c>
      <c r="D264" s="7" t="s">
        <v>19</v>
      </c>
      <c r="E264" s="7" t="s">
        <v>215</v>
      </c>
      <c r="F264" s="6">
        <v>2</v>
      </c>
      <c r="G264" s="8" t="s">
        <v>149</v>
      </c>
      <c r="H264" s="8" t="s">
        <v>150</v>
      </c>
      <c r="I264" s="109" t="s">
        <v>557</v>
      </c>
      <c r="J264" s="8" t="s">
        <v>208</v>
      </c>
      <c r="K264" s="14" t="b">
        <v>0</v>
      </c>
      <c r="L264" s="14" t="b">
        <v>1</v>
      </c>
      <c r="M264" s="14" t="b">
        <v>1</v>
      </c>
      <c r="N264" s="14" t="b">
        <v>0</v>
      </c>
      <c r="O264" s="14" t="b">
        <v>1</v>
      </c>
      <c r="W264" s="3"/>
    </row>
    <row r="265" spans="1:23" x14ac:dyDescent="0.25">
      <c r="A265" s="4">
        <v>12474705000120</v>
      </c>
      <c r="B265" s="8" t="s">
        <v>661</v>
      </c>
      <c r="C265" s="8" t="s">
        <v>48</v>
      </c>
      <c r="D265" s="7" t="s">
        <v>19</v>
      </c>
      <c r="E265" s="7" t="s">
        <v>215</v>
      </c>
      <c r="F265" s="6">
        <v>2</v>
      </c>
      <c r="G265" s="8" t="s">
        <v>149</v>
      </c>
      <c r="H265" s="8" t="s">
        <v>150</v>
      </c>
      <c r="I265" s="109" t="s">
        <v>557</v>
      </c>
      <c r="J265" s="8" t="s">
        <v>208</v>
      </c>
      <c r="K265" s="14" t="b">
        <v>0</v>
      </c>
      <c r="L265" s="14" t="b">
        <v>1</v>
      </c>
      <c r="M265" s="14" t="b">
        <v>1</v>
      </c>
      <c r="N265" s="14" t="b">
        <v>0</v>
      </c>
      <c r="O265" s="14" t="b">
        <v>1</v>
      </c>
      <c r="W265" s="3"/>
    </row>
    <row r="266" spans="1:23" x14ac:dyDescent="0.25">
      <c r="A266" s="4">
        <v>24082016000159</v>
      </c>
      <c r="B266" s="8" t="s">
        <v>665</v>
      </c>
      <c r="C266" s="8" t="s">
        <v>657</v>
      </c>
      <c r="D266" s="7" t="s">
        <v>19</v>
      </c>
      <c r="E266" s="7" t="s">
        <v>215</v>
      </c>
      <c r="F266" s="6">
        <v>2</v>
      </c>
      <c r="G266" s="8" t="s">
        <v>149</v>
      </c>
      <c r="H266" s="8" t="s">
        <v>150</v>
      </c>
      <c r="I266" s="109" t="s">
        <v>557</v>
      </c>
      <c r="J266" s="8" t="s">
        <v>208</v>
      </c>
      <c r="K266" s="14" t="b">
        <v>0</v>
      </c>
      <c r="L266" s="14" t="b">
        <v>1</v>
      </c>
      <c r="M266" s="14" t="b">
        <v>1</v>
      </c>
      <c r="N266" s="14" t="b">
        <v>0</v>
      </c>
      <c r="O266" s="14" t="b">
        <v>1</v>
      </c>
      <c r="W266" s="3"/>
    </row>
    <row r="267" spans="1:23" x14ac:dyDescent="0.25">
      <c r="A267" s="4">
        <v>25026561000190</v>
      </c>
      <c r="B267" s="8" t="s">
        <v>666</v>
      </c>
      <c r="C267" s="8" t="s">
        <v>34</v>
      </c>
      <c r="D267" s="7" t="s">
        <v>19</v>
      </c>
      <c r="E267" s="7" t="s">
        <v>215</v>
      </c>
      <c r="F267" s="6">
        <v>2</v>
      </c>
      <c r="G267" s="8" t="s">
        <v>149</v>
      </c>
      <c r="H267" s="8" t="s">
        <v>150</v>
      </c>
      <c r="I267" s="109" t="s">
        <v>557</v>
      </c>
      <c r="J267" s="8" t="s">
        <v>208</v>
      </c>
      <c r="K267" s="14" t="b">
        <v>0</v>
      </c>
      <c r="L267" s="14" t="b">
        <v>1</v>
      </c>
      <c r="M267" s="14" t="b">
        <v>1</v>
      </c>
      <c r="N267" s="14" t="b">
        <v>0</v>
      </c>
      <c r="O267" s="14" t="b">
        <v>1</v>
      </c>
      <c r="W267" s="3"/>
    </row>
    <row r="268" spans="1:23" x14ac:dyDescent="0.25">
      <c r="A268" s="4">
        <v>29435005008456</v>
      </c>
      <c r="B268" s="8" t="s">
        <v>672</v>
      </c>
      <c r="C268" s="8" t="s">
        <v>33</v>
      </c>
      <c r="D268" s="7" t="s">
        <v>19</v>
      </c>
      <c r="E268" s="7" t="s">
        <v>215</v>
      </c>
      <c r="F268" s="6">
        <v>2</v>
      </c>
      <c r="G268" s="8" t="s">
        <v>149</v>
      </c>
      <c r="H268" s="8" t="s">
        <v>150</v>
      </c>
      <c r="I268" s="109" t="s">
        <v>557</v>
      </c>
      <c r="J268" s="8" t="s">
        <v>208</v>
      </c>
      <c r="K268" s="14" t="b">
        <v>0</v>
      </c>
      <c r="L268" s="14" t="b">
        <v>1</v>
      </c>
      <c r="M268" s="14" t="b">
        <v>1</v>
      </c>
      <c r="N268" s="14" t="b">
        <v>0</v>
      </c>
      <c r="O268" s="14" t="b">
        <v>1</v>
      </c>
      <c r="W268" s="3"/>
    </row>
    <row r="269" spans="1:23" x14ac:dyDescent="0.25">
      <c r="A269" s="4">
        <v>29929600000110</v>
      </c>
      <c r="B269" s="8" t="s">
        <v>1212</v>
      </c>
      <c r="C269" s="8" t="s">
        <v>1213</v>
      </c>
      <c r="D269" s="7" t="s">
        <v>19</v>
      </c>
      <c r="E269" s="7" t="s">
        <v>215</v>
      </c>
      <c r="F269" s="6">
        <v>2</v>
      </c>
      <c r="G269" s="8" t="s">
        <v>149</v>
      </c>
      <c r="H269" s="8" t="s">
        <v>150</v>
      </c>
      <c r="I269" s="109" t="s">
        <v>557</v>
      </c>
      <c r="J269" s="8" t="s">
        <v>208</v>
      </c>
      <c r="K269" s="14" t="b">
        <v>0</v>
      </c>
      <c r="L269" s="14" t="b">
        <v>1</v>
      </c>
      <c r="M269" s="14" t="b">
        <v>1</v>
      </c>
      <c r="N269" s="14" t="b">
        <v>0</v>
      </c>
      <c r="O269" s="14" t="b">
        <v>1</v>
      </c>
      <c r="W269" s="3"/>
    </row>
    <row r="270" spans="1:23" x14ac:dyDescent="0.25">
      <c r="A270" s="4">
        <v>44456036000311</v>
      </c>
      <c r="B270" s="8" t="s">
        <v>675</v>
      </c>
      <c r="C270" s="8" t="s">
        <v>37</v>
      </c>
      <c r="D270" s="7" t="s">
        <v>19</v>
      </c>
      <c r="E270" s="7" t="s">
        <v>215</v>
      </c>
      <c r="F270" s="6">
        <v>2</v>
      </c>
      <c r="G270" s="8" t="s">
        <v>149</v>
      </c>
      <c r="H270" s="8" t="s">
        <v>150</v>
      </c>
      <c r="I270" s="109" t="s">
        <v>557</v>
      </c>
      <c r="J270" s="8" t="s">
        <v>208</v>
      </c>
      <c r="K270" s="14" t="b">
        <v>0</v>
      </c>
      <c r="L270" s="14" t="b">
        <v>1</v>
      </c>
      <c r="M270" s="14" t="b">
        <v>1</v>
      </c>
      <c r="N270" s="14" t="b">
        <v>0</v>
      </c>
      <c r="O270" s="14" t="b">
        <v>1</v>
      </c>
      <c r="W270" s="3"/>
    </row>
    <row r="271" spans="1:23" x14ac:dyDescent="0.25">
      <c r="A271" s="4">
        <v>44531788000138</v>
      </c>
      <c r="B271" s="8" t="s">
        <v>676</v>
      </c>
      <c r="C271" s="8" t="s">
        <v>38</v>
      </c>
      <c r="D271" s="7" t="s">
        <v>19</v>
      </c>
      <c r="E271" s="7" t="s">
        <v>215</v>
      </c>
      <c r="F271" s="6">
        <v>2</v>
      </c>
      <c r="G271" s="8" t="s">
        <v>149</v>
      </c>
      <c r="H271" s="8" t="s">
        <v>150</v>
      </c>
      <c r="I271" s="109" t="s">
        <v>557</v>
      </c>
      <c r="J271" s="8" t="s">
        <v>208</v>
      </c>
      <c r="K271" s="14" t="b">
        <v>0</v>
      </c>
      <c r="L271" s="14" t="b">
        <v>1</v>
      </c>
      <c r="M271" s="14" t="b">
        <v>1</v>
      </c>
      <c r="N271" s="14" t="b">
        <v>0</v>
      </c>
      <c r="O271" s="14" t="b">
        <v>1</v>
      </c>
      <c r="W271" s="3"/>
    </row>
    <row r="272" spans="1:23" x14ac:dyDescent="0.25">
      <c r="A272" s="4">
        <v>44595700000141</v>
      </c>
      <c r="B272" s="8" t="s">
        <v>1375</v>
      </c>
      <c r="C272" s="8" t="s">
        <v>33</v>
      </c>
      <c r="D272" s="7" t="s">
        <v>19</v>
      </c>
      <c r="E272" s="7" t="s">
        <v>215</v>
      </c>
      <c r="F272" s="6">
        <v>2</v>
      </c>
      <c r="G272" s="8" t="s">
        <v>149</v>
      </c>
      <c r="H272" s="8" t="s">
        <v>150</v>
      </c>
      <c r="I272" s="109" t="s">
        <v>557</v>
      </c>
      <c r="J272" s="8" t="s">
        <v>208</v>
      </c>
      <c r="K272" s="14" t="b">
        <v>0</v>
      </c>
      <c r="L272" s="14" t="b">
        <v>1</v>
      </c>
      <c r="M272" s="14" t="b">
        <v>1</v>
      </c>
      <c r="N272" s="14" t="b">
        <v>0</v>
      </c>
      <c r="O272" s="14" t="b">
        <v>1</v>
      </c>
      <c r="W272" s="3"/>
    </row>
    <row r="273" spans="1:23" x14ac:dyDescent="0.25">
      <c r="A273" s="4">
        <v>44649812001614</v>
      </c>
      <c r="B273" s="8" t="s">
        <v>677</v>
      </c>
      <c r="C273" s="8" t="s">
        <v>678</v>
      </c>
      <c r="D273" s="7" t="s">
        <v>19</v>
      </c>
      <c r="E273" s="7" t="s">
        <v>215</v>
      </c>
      <c r="F273" s="6">
        <v>2</v>
      </c>
      <c r="G273" s="8" t="s">
        <v>149</v>
      </c>
      <c r="H273" s="8" t="s">
        <v>150</v>
      </c>
      <c r="I273" s="109" t="s">
        <v>557</v>
      </c>
      <c r="J273" s="8" t="s">
        <v>208</v>
      </c>
      <c r="K273" s="14" t="b">
        <v>0</v>
      </c>
      <c r="L273" s="14" t="b">
        <v>1</v>
      </c>
      <c r="M273" s="14" t="b">
        <v>1</v>
      </c>
      <c r="N273" s="14" t="b">
        <v>0</v>
      </c>
      <c r="O273" s="14" t="b">
        <v>1</v>
      </c>
      <c r="W273" s="3"/>
    </row>
    <row r="274" spans="1:23" x14ac:dyDescent="0.25">
      <c r="A274" s="4">
        <v>44649812019238</v>
      </c>
      <c r="B274" s="8" t="s">
        <v>679</v>
      </c>
      <c r="C274" s="8" t="s">
        <v>33</v>
      </c>
      <c r="D274" s="7" t="s">
        <v>19</v>
      </c>
      <c r="E274" s="7" t="s">
        <v>215</v>
      </c>
      <c r="F274" s="6">
        <v>2</v>
      </c>
      <c r="G274" s="8" t="s">
        <v>149</v>
      </c>
      <c r="H274" s="8" t="s">
        <v>150</v>
      </c>
      <c r="I274" s="109" t="s">
        <v>557</v>
      </c>
      <c r="J274" s="8" t="s">
        <v>208</v>
      </c>
      <c r="K274" s="14" t="b">
        <v>0</v>
      </c>
      <c r="L274" s="14" t="b">
        <v>1</v>
      </c>
      <c r="M274" s="14" t="b">
        <v>1</v>
      </c>
      <c r="N274" s="14" t="b">
        <v>0</v>
      </c>
      <c r="O274" s="14" t="b">
        <v>1</v>
      </c>
      <c r="W274" s="3"/>
    </row>
    <row r="275" spans="1:23" x14ac:dyDescent="0.25">
      <c r="A275" s="4">
        <v>44663631000590</v>
      </c>
      <c r="B275" s="8" t="s">
        <v>680</v>
      </c>
      <c r="C275" s="8" t="s">
        <v>39</v>
      </c>
      <c r="D275" s="7" t="s">
        <v>19</v>
      </c>
      <c r="E275" s="7" t="s">
        <v>215</v>
      </c>
      <c r="F275" s="6">
        <v>2</v>
      </c>
      <c r="G275" s="8" t="s">
        <v>149</v>
      </c>
      <c r="H275" s="8" t="s">
        <v>150</v>
      </c>
      <c r="I275" s="109" t="s">
        <v>557</v>
      </c>
      <c r="J275" s="8" t="s">
        <v>208</v>
      </c>
      <c r="K275" s="14" t="b">
        <v>0</v>
      </c>
      <c r="L275" s="14" t="b">
        <v>1</v>
      </c>
      <c r="M275" s="14" t="b">
        <v>1</v>
      </c>
      <c r="N275" s="14" t="b">
        <v>0</v>
      </c>
      <c r="O275" s="14" t="b">
        <v>1</v>
      </c>
      <c r="W275" s="3"/>
    </row>
    <row r="276" spans="1:23" x14ac:dyDescent="0.25">
      <c r="A276" s="4">
        <v>44732469000190</v>
      </c>
      <c r="B276" s="8" t="s">
        <v>1224</v>
      </c>
      <c r="C276" s="8" t="s">
        <v>1225</v>
      </c>
      <c r="D276" s="7" t="s">
        <v>19</v>
      </c>
      <c r="E276" s="7" t="s">
        <v>215</v>
      </c>
      <c r="F276" s="6">
        <v>2</v>
      </c>
      <c r="G276" s="8" t="s">
        <v>149</v>
      </c>
      <c r="H276" s="8" t="s">
        <v>150</v>
      </c>
      <c r="I276" s="109" t="s">
        <v>557</v>
      </c>
      <c r="J276" s="8" t="s">
        <v>208</v>
      </c>
      <c r="K276" s="14" t="b">
        <v>0</v>
      </c>
      <c r="L276" s="14" t="b">
        <v>1</v>
      </c>
      <c r="M276" s="14" t="b">
        <v>1</v>
      </c>
      <c r="N276" s="14" t="b">
        <v>0</v>
      </c>
      <c r="O276" s="14" t="b">
        <v>1</v>
      </c>
      <c r="W276" s="3"/>
    </row>
    <row r="277" spans="1:23" x14ac:dyDescent="0.25">
      <c r="A277" s="4">
        <v>44803922000293</v>
      </c>
      <c r="B277" s="8" t="s">
        <v>681</v>
      </c>
      <c r="C277" s="8" t="s">
        <v>40</v>
      </c>
      <c r="D277" s="7" t="s">
        <v>19</v>
      </c>
      <c r="E277" s="7" t="s">
        <v>215</v>
      </c>
      <c r="F277" s="6">
        <v>2</v>
      </c>
      <c r="G277" s="8" t="s">
        <v>149</v>
      </c>
      <c r="H277" s="8" t="s">
        <v>150</v>
      </c>
      <c r="I277" s="109" t="s">
        <v>557</v>
      </c>
      <c r="J277" s="8" t="s">
        <v>208</v>
      </c>
      <c r="K277" s="14" t="b">
        <v>0</v>
      </c>
      <c r="L277" s="14" t="b">
        <v>1</v>
      </c>
      <c r="M277" s="14" t="b">
        <v>1</v>
      </c>
      <c r="N277" s="14" t="b">
        <v>0</v>
      </c>
      <c r="O277" s="14" t="b">
        <v>1</v>
      </c>
      <c r="W277" s="3"/>
    </row>
    <row r="278" spans="1:23" x14ac:dyDescent="0.25">
      <c r="A278" s="4">
        <v>44863959000126</v>
      </c>
      <c r="B278" s="8" t="s">
        <v>682</v>
      </c>
      <c r="C278" s="8" t="s">
        <v>544</v>
      </c>
      <c r="D278" s="7" t="s">
        <v>19</v>
      </c>
      <c r="E278" s="7" t="s">
        <v>215</v>
      </c>
      <c r="F278" s="6">
        <v>2</v>
      </c>
      <c r="G278" s="8" t="s">
        <v>149</v>
      </c>
      <c r="H278" s="8" t="s">
        <v>150</v>
      </c>
      <c r="I278" s="109" t="s">
        <v>557</v>
      </c>
      <c r="J278" s="8" t="s">
        <v>208</v>
      </c>
      <c r="K278" s="14" t="b">
        <v>0</v>
      </c>
      <c r="L278" s="14" t="b">
        <v>1</v>
      </c>
      <c r="M278" s="14" t="b">
        <v>1</v>
      </c>
      <c r="N278" s="14" t="b">
        <v>0</v>
      </c>
      <c r="O278" s="14" t="b">
        <v>1</v>
      </c>
      <c r="W278" s="3"/>
    </row>
    <row r="279" spans="1:23" x14ac:dyDescent="0.25">
      <c r="A279" s="4">
        <v>45118429001279</v>
      </c>
      <c r="B279" s="8" t="s">
        <v>683</v>
      </c>
      <c r="C279" s="8" t="s">
        <v>41</v>
      </c>
      <c r="D279" s="7" t="s">
        <v>19</v>
      </c>
      <c r="E279" s="7" t="s">
        <v>215</v>
      </c>
      <c r="F279" s="6">
        <v>2</v>
      </c>
      <c r="G279" s="8" t="s">
        <v>149</v>
      </c>
      <c r="H279" s="8" t="s">
        <v>150</v>
      </c>
      <c r="I279" s="109" t="s">
        <v>557</v>
      </c>
      <c r="J279" s="8" t="s">
        <v>208</v>
      </c>
      <c r="K279" s="14" t="b">
        <v>0</v>
      </c>
      <c r="L279" s="14" t="b">
        <v>1</v>
      </c>
      <c r="M279" s="14" t="b">
        <v>1</v>
      </c>
      <c r="N279" s="14" t="b">
        <v>0</v>
      </c>
      <c r="O279" s="14" t="b">
        <v>1</v>
      </c>
      <c r="W279" s="3"/>
    </row>
    <row r="280" spans="1:23" x14ac:dyDescent="0.25">
      <c r="A280" s="4">
        <v>45232246000550</v>
      </c>
      <c r="B280" s="8" t="s">
        <v>685</v>
      </c>
      <c r="C280" s="8" t="s">
        <v>639</v>
      </c>
      <c r="D280" s="7" t="s">
        <v>19</v>
      </c>
      <c r="E280" s="7" t="s">
        <v>215</v>
      </c>
      <c r="F280" s="6">
        <v>2</v>
      </c>
      <c r="G280" s="8" t="s">
        <v>149</v>
      </c>
      <c r="H280" s="8" t="s">
        <v>150</v>
      </c>
      <c r="I280" s="109" t="s">
        <v>557</v>
      </c>
      <c r="J280" s="8" t="s">
        <v>208</v>
      </c>
      <c r="K280" s="14" t="b">
        <v>0</v>
      </c>
      <c r="L280" s="14" t="b">
        <v>1</v>
      </c>
      <c r="M280" s="14" t="b">
        <v>1</v>
      </c>
      <c r="N280" s="14" t="b">
        <v>0</v>
      </c>
      <c r="O280" s="14" t="b">
        <v>1</v>
      </c>
      <c r="W280" s="3"/>
    </row>
    <row r="281" spans="1:23" x14ac:dyDescent="0.25">
      <c r="A281" s="4">
        <v>45359213000576</v>
      </c>
      <c r="B281" s="8" t="s">
        <v>686</v>
      </c>
      <c r="C281" s="8" t="s">
        <v>687</v>
      </c>
      <c r="D281" s="7" t="s">
        <v>19</v>
      </c>
      <c r="E281" s="7" t="s">
        <v>215</v>
      </c>
      <c r="F281" s="6">
        <v>2</v>
      </c>
      <c r="G281" s="8" t="s">
        <v>149</v>
      </c>
      <c r="H281" s="8" t="s">
        <v>150</v>
      </c>
      <c r="I281" s="109" t="s">
        <v>557</v>
      </c>
      <c r="J281" s="8" t="s">
        <v>208</v>
      </c>
      <c r="K281" s="14" t="b">
        <v>0</v>
      </c>
      <c r="L281" s="14" t="b">
        <v>1</v>
      </c>
      <c r="M281" s="14" t="b">
        <v>1</v>
      </c>
      <c r="N281" s="14" t="b">
        <v>0</v>
      </c>
      <c r="O281" s="14" t="b">
        <v>1</v>
      </c>
      <c r="W281" s="3"/>
    </row>
    <row r="282" spans="1:23" x14ac:dyDescent="0.25">
      <c r="A282" s="4">
        <v>45780103000150</v>
      </c>
      <c r="B282" s="8" t="s">
        <v>689</v>
      </c>
      <c r="C282" s="8" t="s">
        <v>678</v>
      </c>
      <c r="D282" s="7" t="s">
        <v>19</v>
      </c>
      <c r="E282" s="7" t="s">
        <v>215</v>
      </c>
      <c r="F282" s="6">
        <v>2</v>
      </c>
      <c r="G282" s="8" t="s">
        <v>149</v>
      </c>
      <c r="H282" s="8" t="s">
        <v>150</v>
      </c>
      <c r="I282" s="109" t="s">
        <v>557</v>
      </c>
      <c r="J282" s="8" t="s">
        <v>208</v>
      </c>
      <c r="K282" s="14" t="b">
        <v>0</v>
      </c>
      <c r="L282" s="14" t="b">
        <v>1</v>
      </c>
      <c r="M282" s="14" t="b">
        <v>1</v>
      </c>
      <c r="N282" s="14" t="b">
        <v>0</v>
      </c>
      <c r="O282" s="14" t="b">
        <v>1</v>
      </c>
      <c r="W282" s="3"/>
    </row>
    <row r="283" spans="1:23" x14ac:dyDescent="0.25">
      <c r="A283" s="4">
        <v>46009718000140</v>
      </c>
      <c r="B283" s="8" t="s">
        <v>690</v>
      </c>
      <c r="C283" s="8" t="s">
        <v>33</v>
      </c>
      <c r="D283" s="7" t="s">
        <v>19</v>
      </c>
      <c r="E283" s="7" t="s">
        <v>215</v>
      </c>
      <c r="F283" s="6">
        <v>2</v>
      </c>
      <c r="G283" s="8" t="s">
        <v>149</v>
      </c>
      <c r="H283" s="8" t="s">
        <v>150</v>
      </c>
      <c r="I283" s="109" t="s">
        <v>557</v>
      </c>
      <c r="J283" s="8" t="s">
        <v>208</v>
      </c>
      <c r="K283" s="14" t="b">
        <v>0</v>
      </c>
      <c r="L283" s="14" t="b">
        <v>1</v>
      </c>
      <c r="M283" s="14" t="b">
        <v>1</v>
      </c>
      <c r="N283" s="14" t="b">
        <v>0</v>
      </c>
      <c r="O283" s="14" t="b">
        <v>1</v>
      </c>
      <c r="W283" s="3"/>
    </row>
    <row r="284" spans="1:23" x14ac:dyDescent="0.25">
      <c r="A284" s="4">
        <v>46020301000269</v>
      </c>
      <c r="B284" s="8" t="s">
        <v>691</v>
      </c>
      <c r="C284" s="8" t="s">
        <v>33</v>
      </c>
      <c r="D284" s="7" t="s">
        <v>19</v>
      </c>
      <c r="E284" s="7" t="s">
        <v>215</v>
      </c>
      <c r="F284" s="6">
        <v>2</v>
      </c>
      <c r="G284" s="8" t="s">
        <v>149</v>
      </c>
      <c r="H284" s="8" t="s">
        <v>150</v>
      </c>
      <c r="I284" s="109" t="s">
        <v>557</v>
      </c>
      <c r="J284" s="8" t="s">
        <v>208</v>
      </c>
      <c r="K284" s="14" t="b">
        <v>0</v>
      </c>
      <c r="L284" s="14" t="b">
        <v>1</v>
      </c>
      <c r="M284" s="14" t="b">
        <v>1</v>
      </c>
      <c r="N284" s="14" t="b">
        <v>0</v>
      </c>
      <c r="O284" s="14" t="b">
        <v>1</v>
      </c>
      <c r="W284" s="3"/>
    </row>
    <row r="285" spans="1:23" x14ac:dyDescent="0.25">
      <c r="A285" s="4">
        <v>46068425000133</v>
      </c>
      <c r="B285" s="8" t="s">
        <v>692</v>
      </c>
      <c r="C285" s="8" t="s">
        <v>33</v>
      </c>
      <c r="D285" s="7" t="s">
        <v>19</v>
      </c>
      <c r="E285" s="7" t="s">
        <v>215</v>
      </c>
      <c r="F285" s="6">
        <v>2</v>
      </c>
      <c r="G285" s="8" t="s">
        <v>149</v>
      </c>
      <c r="H285" s="8" t="s">
        <v>150</v>
      </c>
      <c r="I285" s="109" t="s">
        <v>557</v>
      </c>
      <c r="J285" s="8" t="s">
        <v>208</v>
      </c>
      <c r="K285" s="14" t="b">
        <v>0</v>
      </c>
      <c r="L285" s="14" t="b">
        <v>1</v>
      </c>
      <c r="M285" s="14" t="b">
        <v>1</v>
      </c>
      <c r="N285" s="14" t="b">
        <v>0</v>
      </c>
      <c r="O285" s="14" t="b">
        <v>1</v>
      </c>
      <c r="W285" s="3"/>
    </row>
    <row r="286" spans="1:23" x14ac:dyDescent="0.25">
      <c r="A286" s="4">
        <v>46124624000111</v>
      </c>
      <c r="B286" s="8" t="s">
        <v>693</v>
      </c>
      <c r="C286" s="8" t="s">
        <v>33</v>
      </c>
      <c r="D286" s="7" t="s">
        <v>19</v>
      </c>
      <c r="E286" s="7" t="s">
        <v>215</v>
      </c>
      <c r="F286" s="6">
        <v>2</v>
      </c>
      <c r="G286" s="8" t="s">
        <v>149</v>
      </c>
      <c r="H286" s="8" t="s">
        <v>150</v>
      </c>
      <c r="I286" s="109" t="s">
        <v>557</v>
      </c>
      <c r="J286" s="8" t="s">
        <v>208</v>
      </c>
      <c r="K286" s="14" t="b">
        <v>0</v>
      </c>
      <c r="L286" s="14" t="b">
        <v>1</v>
      </c>
      <c r="M286" s="14" t="b">
        <v>1</v>
      </c>
      <c r="N286" s="14" t="b">
        <v>0</v>
      </c>
      <c r="O286" s="14" t="b">
        <v>1</v>
      </c>
      <c r="W286" s="3"/>
    </row>
    <row r="287" spans="1:23" x14ac:dyDescent="0.25">
      <c r="A287" s="4">
        <v>46124624002599</v>
      </c>
      <c r="B287" s="8" t="s">
        <v>694</v>
      </c>
      <c r="C287" s="8" t="s">
        <v>695</v>
      </c>
      <c r="D287" s="7" t="s">
        <v>19</v>
      </c>
      <c r="E287" s="7" t="s">
        <v>215</v>
      </c>
      <c r="F287" s="6">
        <v>2</v>
      </c>
      <c r="G287" s="8" t="s">
        <v>149</v>
      </c>
      <c r="H287" s="8" t="s">
        <v>150</v>
      </c>
      <c r="I287" s="109" t="s">
        <v>557</v>
      </c>
      <c r="J287" s="8" t="s">
        <v>208</v>
      </c>
      <c r="K287" s="14" t="b">
        <v>0</v>
      </c>
      <c r="L287" s="14" t="b">
        <v>1</v>
      </c>
      <c r="M287" s="14" t="b">
        <v>1</v>
      </c>
      <c r="N287" s="14" t="b">
        <v>0</v>
      </c>
      <c r="O287" s="14" t="b">
        <v>1</v>
      </c>
      <c r="W287" s="3"/>
    </row>
    <row r="288" spans="1:23" x14ac:dyDescent="0.25">
      <c r="A288" s="4">
        <v>46374500003533</v>
      </c>
      <c r="B288" s="8" t="s">
        <v>696</v>
      </c>
      <c r="C288" s="8" t="s">
        <v>639</v>
      </c>
      <c r="D288" s="7" t="s">
        <v>19</v>
      </c>
      <c r="E288" s="7" t="s">
        <v>215</v>
      </c>
      <c r="F288" s="6">
        <v>2</v>
      </c>
      <c r="G288" s="8" t="s">
        <v>149</v>
      </c>
      <c r="H288" s="8" t="s">
        <v>150</v>
      </c>
      <c r="I288" s="109" t="s">
        <v>557</v>
      </c>
      <c r="J288" s="8" t="s">
        <v>208</v>
      </c>
      <c r="K288" s="14" t="b">
        <v>0</v>
      </c>
      <c r="L288" s="14" t="b">
        <v>1</v>
      </c>
      <c r="M288" s="14" t="b">
        <v>1</v>
      </c>
      <c r="N288" s="14" t="b">
        <v>0</v>
      </c>
      <c r="O288" s="14" t="b">
        <v>1</v>
      </c>
      <c r="W288" s="3"/>
    </row>
    <row r="289" spans="1:23" x14ac:dyDescent="0.25">
      <c r="A289" s="4">
        <v>46374500003886</v>
      </c>
      <c r="B289" s="8" t="s">
        <v>697</v>
      </c>
      <c r="C289" s="8" t="s">
        <v>698</v>
      </c>
      <c r="D289" s="7" t="s">
        <v>19</v>
      </c>
      <c r="E289" s="7" t="s">
        <v>215</v>
      </c>
      <c r="F289" s="6">
        <v>2</v>
      </c>
      <c r="G289" s="8" t="s">
        <v>149</v>
      </c>
      <c r="H289" s="8" t="s">
        <v>150</v>
      </c>
      <c r="I289" s="109" t="s">
        <v>557</v>
      </c>
      <c r="J289" s="8" t="s">
        <v>208</v>
      </c>
      <c r="K289" s="14" t="b">
        <v>0</v>
      </c>
      <c r="L289" s="14" t="b">
        <v>1</v>
      </c>
      <c r="M289" s="14" t="b">
        <v>1</v>
      </c>
      <c r="N289" s="14" t="b">
        <v>0</v>
      </c>
      <c r="O289" s="14" t="b">
        <v>1</v>
      </c>
      <c r="W289" s="3"/>
    </row>
    <row r="290" spans="1:23" x14ac:dyDescent="0.25">
      <c r="A290" s="4">
        <v>46374500009060</v>
      </c>
      <c r="B290" s="8" t="s">
        <v>699</v>
      </c>
      <c r="C290" s="8" t="s">
        <v>40</v>
      </c>
      <c r="D290" s="7" t="s">
        <v>19</v>
      </c>
      <c r="E290" s="7" t="s">
        <v>215</v>
      </c>
      <c r="F290" s="6">
        <v>2</v>
      </c>
      <c r="G290" s="8" t="s">
        <v>149</v>
      </c>
      <c r="H290" s="8" t="s">
        <v>150</v>
      </c>
      <c r="I290" s="109" t="s">
        <v>557</v>
      </c>
      <c r="J290" s="8" t="s">
        <v>208</v>
      </c>
      <c r="K290" s="14" t="b">
        <v>0</v>
      </c>
      <c r="L290" s="14" t="b">
        <v>1</v>
      </c>
      <c r="M290" s="14" t="b">
        <v>1</v>
      </c>
      <c r="N290" s="14" t="b">
        <v>0</v>
      </c>
      <c r="O290" s="14" t="b">
        <v>1</v>
      </c>
      <c r="W290" s="3"/>
    </row>
    <row r="291" spans="1:23" x14ac:dyDescent="0.25">
      <c r="A291" s="4">
        <v>46374500009221</v>
      </c>
      <c r="B291" s="8" t="s">
        <v>700</v>
      </c>
      <c r="C291" s="8" t="s">
        <v>49</v>
      </c>
      <c r="D291" s="7" t="s">
        <v>19</v>
      </c>
      <c r="E291" s="7" t="s">
        <v>215</v>
      </c>
      <c r="F291" s="6">
        <v>2</v>
      </c>
      <c r="G291" s="8" t="s">
        <v>149</v>
      </c>
      <c r="H291" s="8" t="s">
        <v>150</v>
      </c>
      <c r="I291" s="109" t="s">
        <v>557</v>
      </c>
      <c r="J291" s="8" t="s">
        <v>208</v>
      </c>
      <c r="K291" s="14" t="b">
        <v>0</v>
      </c>
      <c r="L291" s="14" t="b">
        <v>1</v>
      </c>
      <c r="M291" s="14" t="b">
        <v>1</v>
      </c>
      <c r="N291" s="14" t="b">
        <v>0</v>
      </c>
      <c r="O291" s="14" t="b">
        <v>1</v>
      </c>
      <c r="W291" s="3"/>
    </row>
    <row r="292" spans="1:23" x14ac:dyDescent="0.25">
      <c r="A292" s="4">
        <v>47074851000819</v>
      </c>
      <c r="B292" s="8" t="s">
        <v>702</v>
      </c>
      <c r="C292" s="8" t="s">
        <v>41</v>
      </c>
      <c r="D292" s="7" t="s">
        <v>19</v>
      </c>
      <c r="E292" s="7" t="s">
        <v>215</v>
      </c>
      <c r="F292" s="6">
        <v>2</v>
      </c>
      <c r="G292" s="8" t="s">
        <v>149</v>
      </c>
      <c r="H292" s="8" t="s">
        <v>150</v>
      </c>
      <c r="I292" s="109" t="s">
        <v>557</v>
      </c>
      <c r="J292" s="8" t="s">
        <v>208</v>
      </c>
      <c r="K292" s="14" t="b">
        <v>0</v>
      </c>
      <c r="L292" s="14" t="b">
        <v>1</v>
      </c>
      <c r="M292" s="14" t="b">
        <v>1</v>
      </c>
      <c r="N292" s="14" t="b">
        <v>0</v>
      </c>
      <c r="O292" s="14" t="b">
        <v>1</v>
      </c>
      <c r="W292" s="3"/>
    </row>
    <row r="293" spans="1:23" x14ac:dyDescent="0.25">
      <c r="A293" s="4">
        <v>47565155000996</v>
      </c>
      <c r="B293" s="8" t="s">
        <v>703</v>
      </c>
      <c r="C293" s="8" t="s">
        <v>50</v>
      </c>
      <c r="D293" s="7" t="s">
        <v>19</v>
      </c>
      <c r="E293" s="7" t="s">
        <v>215</v>
      </c>
      <c r="F293" s="6">
        <v>2</v>
      </c>
      <c r="G293" s="8" t="s">
        <v>149</v>
      </c>
      <c r="H293" s="8" t="s">
        <v>150</v>
      </c>
      <c r="I293" s="109" t="s">
        <v>557</v>
      </c>
      <c r="J293" s="8" t="s">
        <v>208</v>
      </c>
      <c r="K293" s="14" t="b">
        <v>0</v>
      </c>
      <c r="L293" s="14" t="b">
        <v>1</v>
      </c>
      <c r="M293" s="14" t="b">
        <v>1</v>
      </c>
      <c r="N293" s="14" t="b">
        <v>0</v>
      </c>
      <c r="O293" s="14" t="b">
        <v>1</v>
      </c>
      <c r="W293" s="3"/>
    </row>
    <row r="294" spans="1:23" x14ac:dyDescent="0.25">
      <c r="A294" s="4">
        <v>48310098000100</v>
      </c>
      <c r="B294" s="8" t="s">
        <v>704</v>
      </c>
      <c r="C294" s="8" t="s">
        <v>643</v>
      </c>
      <c r="D294" s="7" t="s">
        <v>19</v>
      </c>
      <c r="E294" s="7" t="s">
        <v>215</v>
      </c>
      <c r="F294" s="6">
        <v>2</v>
      </c>
      <c r="G294" s="8" t="s">
        <v>149</v>
      </c>
      <c r="H294" s="8" t="s">
        <v>150</v>
      </c>
      <c r="I294" s="109" t="s">
        <v>557</v>
      </c>
      <c r="J294" s="8" t="s">
        <v>208</v>
      </c>
      <c r="K294" s="14" t="b">
        <v>0</v>
      </c>
      <c r="L294" s="14" t="b">
        <v>1</v>
      </c>
      <c r="M294" s="14" t="b">
        <v>1</v>
      </c>
      <c r="N294" s="14" t="b">
        <v>0</v>
      </c>
      <c r="O294" s="14" t="b">
        <v>1</v>
      </c>
      <c r="W294" s="3"/>
    </row>
    <row r="295" spans="1:23" x14ac:dyDescent="0.25">
      <c r="A295" s="4">
        <v>48468284000171</v>
      </c>
      <c r="B295" s="8" t="s">
        <v>705</v>
      </c>
      <c r="C295" s="8" t="s">
        <v>43</v>
      </c>
      <c r="D295" s="7" t="s">
        <v>19</v>
      </c>
      <c r="E295" s="7" t="s">
        <v>215</v>
      </c>
      <c r="F295" s="6">
        <v>2</v>
      </c>
      <c r="G295" s="8" t="s">
        <v>149</v>
      </c>
      <c r="H295" s="8" t="s">
        <v>150</v>
      </c>
      <c r="I295" s="109" t="s">
        <v>557</v>
      </c>
      <c r="J295" s="8" t="s">
        <v>208</v>
      </c>
      <c r="K295" s="14" t="b">
        <v>0</v>
      </c>
      <c r="L295" s="14" t="b">
        <v>1</v>
      </c>
      <c r="M295" s="14" t="b">
        <v>1</v>
      </c>
      <c r="N295" s="14" t="b">
        <v>0</v>
      </c>
      <c r="O295" s="14" t="b">
        <v>1</v>
      </c>
      <c r="W295" s="3"/>
    </row>
    <row r="296" spans="1:23" x14ac:dyDescent="0.25">
      <c r="A296" s="4">
        <v>48628366000721</v>
      </c>
      <c r="B296" s="8" t="s">
        <v>1376</v>
      </c>
      <c r="C296" s="8" t="s">
        <v>1377</v>
      </c>
      <c r="D296" s="7" t="s">
        <v>19</v>
      </c>
      <c r="E296" s="7" t="s">
        <v>215</v>
      </c>
      <c r="F296" s="6">
        <v>2</v>
      </c>
      <c r="G296" s="8" t="s">
        <v>149</v>
      </c>
      <c r="H296" s="8" t="s">
        <v>150</v>
      </c>
      <c r="I296" s="109" t="s">
        <v>557</v>
      </c>
      <c r="J296" s="8" t="s">
        <v>208</v>
      </c>
      <c r="K296" s="14" t="b">
        <v>0</v>
      </c>
      <c r="L296" s="14" t="b">
        <v>1</v>
      </c>
      <c r="M296" s="14" t="b">
        <v>1</v>
      </c>
      <c r="N296" s="14" t="b">
        <v>0</v>
      </c>
      <c r="O296" s="14" t="b">
        <v>1</v>
      </c>
      <c r="W296" s="3"/>
    </row>
    <row r="297" spans="1:23" x14ac:dyDescent="0.25">
      <c r="A297" s="4">
        <v>49150352000201</v>
      </c>
      <c r="B297" s="8" t="s">
        <v>1228</v>
      </c>
      <c r="C297" s="8" t="s">
        <v>1229</v>
      </c>
      <c r="D297" s="7" t="s">
        <v>19</v>
      </c>
      <c r="E297" s="7" t="s">
        <v>215</v>
      </c>
      <c r="F297" s="6">
        <v>2</v>
      </c>
      <c r="G297" s="8" t="s">
        <v>149</v>
      </c>
      <c r="H297" s="8" t="s">
        <v>150</v>
      </c>
      <c r="I297" s="109" t="s">
        <v>557</v>
      </c>
      <c r="J297" s="8" t="s">
        <v>208</v>
      </c>
      <c r="K297" s="14" t="b">
        <v>0</v>
      </c>
      <c r="L297" s="14" t="b">
        <v>1</v>
      </c>
      <c r="M297" s="14" t="b">
        <v>1</v>
      </c>
      <c r="N297" s="14" t="b">
        <v>0</v>
      </c>
      <c r="O297" s="14" t="b">
        <v>1</v>
      </c>
      <c r="W297" s="3"/>
    </row>
    <row r="298" spans="1:23" x14ac:dyDescent="0.25">
      <c r="A298" s="4">
        <v>50486026000160</v>
      </c>
      <c r="B298" s="8" t="s">
        <v>706</v>
      </c>
      <c r="C298" s="8" t="s">
        <v>44</v>
      </c>
      <c r="D298" s="7" t="s">
        <v>19</v>
      </c>
      <c r="E298" s="7" t="s">
        <v>215</v>
      </c>
      <c r="F298" s="6">
        <v>2</v>
      </c>
      <c r="G298" s="8" t="s">
        <v>149</v>
      </c>
      <c r="H298" s="8" t="s">
        <v>150</v>
      </c>
      <c r="I298" s="109" t="s">
        <v>557</v>
      </c>
      <c r="J298" s="8" t="s">
        <v>208</v>
      </c>
      <c r="K298" s="14" t="b">
        <v>0</v>
      </c>
      <c r="L298" s="14" t="b">
        <v>1</v>
      </c>
      <c r="M298" s="14" t="b">
        <v>1</v>
      </c>
      <c r="N298" s="14" t="b">
        <v>0</v>
      </c>
      <c r="O298" s="14" t="b">
        <v>1</v>
      </c>
      <c r="W298" s="3"/>
    </row>
    <row r="299" spans="1:23" x14ac:dyDescent="0.25">
      <c r="A299" s="4">
        <v>50944198000130</v>
      </c>
      <c r="B299" s="8" t="s">
        <v>707</v>
      </c>
      <c r="C299" s="8" t="s">
        <v>678</v>
      </c>
      <c r="D299" s="7" t="s">
        <v>19</v>
      </c>
      <c r="E299" s="7" t="s">
        <v>215</v>
      </c>
      <c r="F299" s="6">
        <v>2</v>
      </c>
      <c r="G299" s="8" t="s">
        <v>149</v>
      </c>
      <c r="H299" s="8" t="s">
        <v>150</v>
      </c>
      <c r="I299" s="109" t="s">
        <v>557</v>
      </c>
      <c r="J299" s="8" t="s">
        <v>208</v>
      </c>
      <c r="K299" s="14" t="b">
        <v>0</v>
      </c>
      <c r="L299" s="14" t="b">
        <v>1</v>
      </c>
      <c r="M299" s="14" t="b">
        <v>1</v>
      </c>
      <c r="N299" s="14" t="b">
        <v>0</v>
      </c>
      <c r="O299" s="14" t="b">
        <v>1</v>
      </c>
      <c r="W299" s="3"/>
    </row>
    <row r="300" spans="1:23" x14ac:dyDescent="0.25">
      <c r="A300" s="4">
        <v>51093193000456</v>
      </c>
      <c r="B300" s="8" t="s">
        <v>708</v>
      </c>
      <c r="C300" s="8" t="s">
        <v>698</v>
      </c>
      <c r="D300" s="7" t="s">
        <v>19</v>
      </c>
      <c r="E300" s="7" t="s">
        <v>215</v>
      </c>
      <c r="F300" s="6">
        <v>2</v>
      </c>
      <c r="G300" s="8" t="s">
        <v>149</v>
      </c>
      <c r="H300" s="8" t="s">
        <v>150</v>
      </c>
      <c r="I300" s="109" t="s">
        <v>557</v>
      </c>
      <c r="J300" s="8" t="s">
        <v>208</v>
      </c>
      <c r="K300" s="14" t="b">
        <v>0</v>
      </c>
      <c r="L300" s="14" t="b">
        <v>1</v>
      </c>
      <c r="M300" s="14" t="b">
        <v>1</v>
      </c>
      <c r="N300" s="14" t="b">
        <v>0</v>
      </c>
      <c r="O300" s="14" t="b">
        <v>1</v>
      </c>
      <c r="W300" s="3"/>
    </row>
    <row r="301" spans="1:23" x14ac:dyDescent="0.25">
      <c r="A301" s="4">
        <v>51877926000109</v>
      </c>
      <c r="B301" s="8" t="s">
        <v>711</v>
      </c>
      <c r="C301" s="8" t="s">
        <v>33</v>
      </c>
      <c r="D301" s="7" t="s">
        <v>19</v>
      </c>
      <c r="E301" s="7" t="s">
        <v>215</v>
      </c>
      <c r="F301" s="6">
        <v>2</v>
      </c>
      <c r="G301" s="8" t="s">
        <v>149</v>
      </c>
      <c r="H301" s="8" t="s">
        <v>150</v>
      </c>
      <c r="I301" s="109" t="s">
        <v>557</v>
      </c>
      <c r="J301" s="8" t="s">
        <v>208</v>
      </c>
      <c r="K301" s="14" t="b">
        <v>0</v>
      </c>
      <c r="L301" s="14" t="b">
        <v>1</v>
      </c>
      <c r="M301" s="14" t="b">
        <v>1</v>
      </c>
      <c r="N301" s="14" t="b">
        <v>0</v>
      </c>
      <c r="O301" s="14" t="b">
        <v>1</v>
      </c>
      <c r="W301" s="3"/>
    </row>
    <row r="302" spans="1:23" x14ac:dyDescent="0.25">
      <c r="A302" s="4">
        <v>51885242000140</v>
      </c>
      <c r="B302" s="8" t="s">
        <v>712</v>
      </c>
      <c r="C302" s="8" t="s">
        <v>33</v>
      </c>
      <c r="D302" s="7" t="s">
        <v>19</v>
      </c>
      <c r="E302" s="7" t="s">
        <v>215</v>
      </c>
      <c r="F302" s="6">
        <v>2</v>
      </c>
      <c r="G302" s="8" t="s">
        <v>149</v>
      </c>
      <c r="H302" s="8" t="s">
        <v>150</v>
      </c>
      <c r="I302" s="109" t="s">
        <v>557</v>
      </c>
      <c r="J302" s="8" t="s">
        <v>208</v>
      </c>
      <c r="K302" s="14" t="b">
        <v>0</v>
      </c>
      <c r="L302" s="14" t="b">
        <v>1</v>
      </c>
      <c r="M302" s="14" t="b">
        <v>1</v>
      </c>
      <c r="N302" s="14" t="b">
        <v>0</v>
      </c>
      <c r="O302" s="14" t="b">
        <v>1</v>
      </c>
      <c r="W302" s="3"/>
    </row>
    <row r="303" spans="1:23" x14ac:dyDescent="0.25">
      <c r="A303" s="4">
        <v>52852100000140</v>
      </c>
      <c r="B303" s="8" t="s">
        <v>713</v>
      </c>
      <c r="C303" s="8" t="s">
        <v>51</v>
      </c>
      <c r="D303" s="7" t="s">
        <v>19</v>
      </c>
      <c r="E303" s="7" t="s">
        <v>215</v>
      </c>
      <c r="F303" s="6">
        <v>2</v>
      </c>
      <c r="G303" s="8" t="s">
        <v>149</v>
      </c>
      <c r="H303" s="8" t="s">
        <v>150</v>
      </c>
      <c r="I303" s="109" t="s">
        <v>557</v>
      </c>
      <c r="J303" s="8" t="s">
        <v>208</v>
      </c>
      <c r="K303" s="14" t="b">
        <v>0</v>
      </c>
      <c r="L303" s="14" t="b">
        <v>1</v>
      </c>
      <c r="M303" s="14" t="b">
        <v>1</v>
      </c>
      <c r="N303" s="14" t="b">
        <v>0</v>
      </c>
      <c r="O303" s="14" t="b">
        <v>1</v>
      </c>
      <c r="W303" s="3"/>
    </row>
    <row r="304" spans="1:23" x14ac:dyDescent="0.25">
      <c r="A304" s="4">
        <v>53221255003247</v>
      </c>
      <c r="B304" s="8" t="s">
        <v>1378</v>
      </c>
      <c r="C304" s="8" t="s">
        <v>544</v>
      </c>
      <c r="D304" s="7" t="s">
        <v>19</v>
      </c>
      <c r="E304" s="7" t="s">
        <v>215</v>
      </c>
      <c r="F304" s="6">
        <v>2</v>
      </c>
      <c r="G304" s="8" t="s">
        <v>149</v>
      </c>
      <c r="H304" s="8" t="s">
        <v>150</v>
      </c>
      <c r="I304" s="109" t="s">
        <v>557</v>
      </c>
      <c r="J304" s="8" t="s">
        <v>208</v>
      </c>
      <c r="K304" s="14" t="b">
        <v>0</v>
      </c>
      <c r="L304" s="14" t="b">
        <v>1</v>
      </c>
      <c r="M304" s="14" t="b">
        <v>1</v>
      </c>
      <c r="N304" s="14" t="b">
        <v>0</v>
      </c>
      <c r="O304" s="14" t="b">
        <v>1</v>
      </c>
      <c r="W304" s="3"/>
    </row>
    <row r="305" spans="1:23" x14ac:dyDescent="0.25">
      <c r="A305" s="4">
        <v>53311999000156</v>
      </c>
      <c r="B305" s="8" t="s">
        <v>714</v>
      </c>
      <c r="C305" s="8" t="s">
        <v>715</v>
      </c>
      <c r="D305" s="7" t="s">
        <v>19</v>
      </c>
      <c r="E305" s="7" t="s">
        <v>215</v>
      </c>
      <c r="F305" s="6">
        <v>2</v>
      </c>
      <c r="G305" s="8" t="s">
        <v>149</v>
      </c>
      <c r="H305" s="8" t="s">
        <v>150</v>
      </c>
      <c r="I305" s="109" t="s">
        <v>557</v>
      </c>
      <c r="J305" s="8" t="s">
        <v>208</v>
      </c>
      <c r="K305" s="14" t="b">
        <v>0</v>
      </c>
      <c r="L305" s="14" t="b">
        <v>1</v>
      </c>
      <c r="M305" s="14" t="b">
        <v>1</v>
      </c>
      <c r="N305" s="14" t="b">
        <v>0</v>
      </c>
      <c r="O305" s="14" t="b">
        <v>1</v>
      </c>
      <c r="W305" s="3"/>
    </row>
    <row r="306" spans="1:23" x14ac:dyDescent="0.25">
      <c r="A306" s="4">
        <v>53678264000246</v>
      </c>
      <c r="B306" s="8" t="s">
        <v>716</v>
      </c>
      <c r="C306" s="8" t="s">
        <v>717</v>
      </c>
      <c r="D306" s="7" t="s">
        <v>19</v>
      </c>
      <c r="E306" s="7" t="s">
        <v>215</v>
      </c>
      <c r="F306" s="6">
        <v>2</v>
      </c>
      <c r="G306" s="8" t="s">
        <v>149</v>
      </c>
      <c r="H306" s="8" t="s">
        <v>150</v>
      </c>
      <c r="I306" s="109" t="s">
        <v>557</v>
      </c>
      <c r="J306" s="8" t="s">
        <v>208</v>
      </c>
      <c r="K306" s="14" t="b">
        <v>0</v>
      </c>
      <c r="L306" s="14" t="b">
        <v>1</v>
      </c>
      <c r="M306" s="14" t="b">
        <v>1</v>
      </c>
      <c r="N306" s="14" t="b">
        <v>0</v>
      </c>
      <c r="O306" s="14" t="b">
        <v>1</v>
      </c>
      <c r="W306" s="3"/>
    </row>
    <row r="307" spans="1:23" x14ac:dyDescent="0.25">
      <c r="A307" s="4">
        <v>54012406000385</v>
      </c>
      <c r="B307" s="8" t="s">
        <v>718</v>
      </c>
      <c r="C307" s="8" t="s">
        <v>45</v>
      </c>
      <c r="D307" s="7" t="s">
        <v>19</v>
      </c>
      <c r="E307" s="7" t="s">
        <v>215</v>
      </c>
      <c r="F307" s="6">
        <v>2</v>
      </c>
      <c r="G307" s="8" t="s">
        <v>149</v>
      </c>
      <c r="H307" s="8" t="s">
        <v>150</v>
      </c>
      <c r="I307" s="109" t="s">
        <v>557</v>
      </c>
      <c r="J307" s="8" t="s">
        <v>208</v>
      </c>
      <c r="K307" s="14" t="b">
        <v>0</v>
      </c>
      <c r="L307" s="14" t="b">
        <v>1</v>
      </c>
      <c r="M307" s="14" t="b">
        <v>1</v>
      </c>
      <c r="N307" s="14" t="b">
        <v>0</v>
      </c>
      <c r="O307" s="14" t="b">
        <v>1</v>
      </c>
      <c r="W307" s="3"/>
    </row>
    <row r="308" spans="1:23" x14ac:dyDescent="0.25">
      <c r="A308" s="4">
        <v>54370630000187</v>
      </c>
      <c r="B308" s="8" t="s">
        <v>719</v>
      </c>
      <c r="C308" s="8" t="s">
        <v>40</v>
      </c>
      <c r="D308" s="7" t="s">
        <v>19</v>
      </c>
      <c r="E308" s="7" t="s">
        <v>215</v>
      </c>
      <c r="F308" s="6">
        <v>2</v>
      </c>
      <c r="G308" s="8" t="s">
        <v>149</v>
      </c>
      <c r="H308" s="8" t="s">
        <v>150</v>
      </c>
      <c r="I308" s="109" t="s">
        <v>557</v>
      </c>
      <c r="J308" s="8" t="s">
        <v>208</v>
      </c>
      <c r="K308" s="14" t="b">
        <v>0</v>
      </c>
      <c r="L308" s="14" t="b">
        <v>1</v>
      </c>
      <c r="M308" s="14" t="b">
        <v>1</v>
      </c>
      <c r="N308" s="14" t="b">
        <v>0</v>
      </c>
      <c r="O308" s="14" t="b">
        <v>1</v>
      </c>
      <c r="W308" s="3"/>
    </row>
    <row r="309" spans="1:23" x14ac:dyDescent="0.25">
      <c r="A309" s="4">
        <v>55980148000121</v>
      </c>
      <c r="B309" s="8" t="s">
        <v>720</v>
      </c>
      <c r="C309" s="8" t="s">
        <v>639</v>
      </c>
      <c r="D309" s="7" t="s">
        <v>19</v>
      </c>
      <c r="E309" s="7" t="s">
        <v>215</v>
      </c>
      <c r="F309" s="6">
        <v>2</v>
      </c>
      <c r="G309" s="8" t="s">
        <v>149</v>
      </c>
      <c r="H309" s="8" t="s">
        <v>150</v>
      </c>
      <c r="I309" s="109" t="s">
        <v>557</v>
      </c>
      <c r="J309" s="8" t="s">
        <v>208</v>
      </c>
      <c r="K309" s="14" t="b">
        <v>0</v>
      </c>
      <c r="L309" s="14" t="b">
        <v>1</v>
      </c>
      <c r="M309" s="14" t="b">
        <v>1</v>
      </c>
      <c r="N309" s="14" t="b">
        <v>0</v>
      </c>
      <c r="O309" s="14" t="b">
        <v>1</v>
      </c>
      <c r="W309" s="3"/>
    </row>
    <row r="310" spans="1:23" x14ac:dyDescent="0.25">
      <c r="A310" s="4">
        <v>56023443000152</v>
      </c>
      <c r="B310" s="8" t="s">
        <v>1379</v>
      </c>
      <c r="C310" s="8" t="s">
        <v>639</v>
      </c>
      <c r="D310" s="7" t="s">
        <v>19</v>
      </c>
      <c r="E310" s="7" t="s">
        <v>215</v>
      </c>
      <c r="F310" s="6">
        <v>2</v>
      </c>
      <c r="G310" s="8" t="s">
        <v>149</v>
      </c>
      <c r="H310" s="8" t="s">
        <v>150</v>
      </c>
      <c r="I310" s="109" t="s">
        <v>557</v>
      </c>
      <c r="J310" s="8" t="s">
        <v>208</v>
      </c>
      <c r="K310" s="14" t="b">
        <v>0</v>
      </c>
      <c r="L310" s="14" t="b">
        <v>1</v>
      </c>
      <c r="M310" s="14" t="b">
        <v>1</v>
      </c>
      <c r="N310" s="14" t="b">
        <v>0</v>
      </c>
      <c r="O310" s="14" t="b">
        <v>1</v>
      </c>
      <c r="W310" s="3"/>
    </row>
    <row r="311" spans="1:23" x14ac:dyDescent="0.25">
      <c r="A311" s="4">
        <v>56727134001216</v>
      </c>
      <c r="B311" s="8" t="s">
        <v>1230</v>
      </c>
      <c r="C311" s="8" t="s">
        <v>678</v>
      </c>
      <c r="D311" s="7" t="s">
        <v>19</v>
      </c>
      <c r="E311" s="7" t="s">
        <v>215</v>
      </c>
      <c r="F311" s="6">
        <v>2</v>
      </c>
      <c r="G311" s="8" t="s">
        <v>149</v>
      </c>
      <c r="H311" s="8" t="s">
        <v>150</v>
      </c>
      <c r="I311" s="109" t="s">
        <v>557</v>
      </c>
      <c r="J311" s="8" t="s">
        <v>208</v>
      </c>
      <c r="K311" s="14" t="b">
        <v>0</v>
      </c>
      <c r="L311" s="14" t="b">
        <v>1</v>
      </c>
      <c r="M311" s="14" t="b">
        <v>1</v>
      </c>
      <c r="N311" s="14" t="b">
        <v>0</v>
      </c>
      <c r="O311" s="14" t="b">
        <v>1</v>
      </c>
      <c r="W311" s="3"/>
    </row>
    <row r="312" spans="1:23" x14ac:dyDescent="0.25">
      <c r="A312" s="4">
        <v>57722118000140</v>
      </c>
      <c r="B312" s="8" t="s">
        <v>722</v>
      </c>
      <c r="C312" s="8" t="s">
        <v>639</v>
      </c>
      <c r="D312" s="7" t="s">
        <v>19</v>
      </c>
      <c r="E312" s="7" t="s">
        <v>215</v>
      </c>
      <c r="F312" s="6">
        <v>2</v>
      </c>
      <c r="G312" s="8" t="s">
        <v>149</v>
      </c>
      <c r="H312" s="8" t="s">
        <v>150</v>
      </c>
      <c r="I312" s="109" t="s">
        <v>557</v>
      </c>
      <c r="J312" s="8" t="s">
        <v>208</v>
      </c>
      <c r="K312" s="14" t="b">
        <v>0</v>
      </c>
      <c r="L312" s="14" t="b">
        <v>1</v>
      </c>
      <c r="M312" s="14" t="b">
        <v>1</v>
      </c>
      <c r="N312" s="14" t="b">
        <v>0</v>
      </c>
      <c r="O312" s="14" t="b">
        <v>1</v>
      </c>
      <c r="W312" s="3"/>
    </row>
    <row r="313" spans="1:23" x14ac:dyDescent="0.25">
      <c r="A313" s="4">
        <v>57722118000302</v>
      </c>
      <c r="B313" s="8" t="s">
        <v>723</v>
      </c>
      <c r="C313" s="8" t="s">
        <v>639</v>
      </c>
      <c r="D313" s="7" t="s">
        <v>19</v>
      </c>
      <c r="E313" s="7" t="s">
        <v>215</v>
      </c>
      <c r="F313" s="6">
        <v>2</v>
      </c>
      <c r="G313" s="8" t="s">
        <v>149</v>
      </c>
      <c r="H313" s="8" t="s">
        <v>150</v>
      </c>
      <c r="I313" s="109" t="s">
        <v>557</v>
      </c>
      <c r="J313" s="8" t="s">
        <v>208</v>
      </c>
      <c r="K313" s="14" t="b">
        <v>0</v>
      </c>
      <c r="L313" s="14" t="b">
        <v>1</v>
      </c>
      <c r="M313" s="14" t="b">
        <v>1</v>
      </c>
      <c r="N313" s="14" t="b">
        <v>0</v>
      </c>
      <c r="O313" s="14" t="b">
        <v>1</v>
      </c>
      <c r="W313" s="3"/>
    </row>
    <row r="314" spans="1:23" x14ac:dyDescent="0.25">
      <c r="A314" s="4">
        <v>57723280000183</v>
      </c>
      <c r="B314" s="8" t="s">
        <v>724</v>
      </c>
      <c r="C314" s="8" t="s">
        <v>639</v>
      </c>
      <c r="D314" s="7" t="s">
        <v>19</v>
      </c>
      <c r="E314" s="7" t="s">
        <v>215</v>
      </c>
      <c r="F314" s="6">
        <v>2</v>
      </c>
      <c r="G314" s="8" t="s">
        <v>149</v>
      </c>
      <c r="H314" s="8" t="s">
        <v>150</v>
      </c>
      <c r="I314" s="109" t="s">
        <v>557</v>
      </c>
      <c r="J314" s="8" t="s">
        <v>208</v>
      </c>
      <c r="K314" s="14" t="b">
        <v>0</v>
      </c>
      <c r="L314" s="14" t="b">
        <v>1</v>
      </c>
      <c r="M314" s="14" t="b">
        <v>1</v>
      </c>
      <c r="N314" s="14" t="b">
        <v>0</v>
      </c>
      <c r="O314" s="14" t="b">
        <v>1</v>
      </c>
      <c r="W314" s="3"/>
    </row>
    <row r="315" spans="1:23" x14ac:dyDescent="0.25">
      <c r="A315" s="4">
        <v>59970947000178</v>
      </c>
      <c r="B315" s="8" t="s">
        <v>726</v>
      </c>
      <c r="C315" s="8" t="s">
        <v>643</v>
      </c>
      <c r="D315" s="7" t="s">
        <v>19</v>
      </c>
      <c r="E315" s="7" t="s">
        <v>215</v>
      </c>
      <c r="F315" s="6">
        <v>2</v>
      </c>
      <c r="G315" s="8" t="s">
        <v>149</v>
      </c>
      <c r="H315" s="8" t="s">
        <v>150</v>
      </c>
      <c r="I315" s="109" t="s">
        <v>557</v>
      </c>
      <c r="J315" s="8" t="s">
        <v>208</v>
      </c>
      <c r="K315" s="14" t="b">
        <v>0</v>
      </c>
      <c r="L315" s="14" t="b">
        <v>1</v>
      </c>
      <c r="M315" s="14" t="b">
        <v>1</v>
      </c>
      <c r="N315" s="14" t="b">
        <v>0</v>
      </c>
      <c r="O315" s="14" t="b">
        <v>1</v>
      </c>
      <c r="W315" s="3"/>
    </row>
    <row r="316" spans="1:23" x14ac:dyDescent="0.25">
      <c r="A316" s="4">
        <v>59972307000105</v>
      </c>
      <c r="B316" s="8" t="s">
        <v>727</v>
      </c>
      <c r="C316" s="8" t="s">
        <v>643</v>
      </c>
      <c r="D316" s="7" t="s">
        <v>19</v>
      </c>
      <c r="E316" s="7" t="s">
        <v>215</v>
      </c>
      <c r="F316" s="6">
        <v>2</v>
      </c>
      <c r="G316" s="8" t="s">
        <v>149</v>
      </c>
      <c r="H316" s="8" t="s">
        <v>150</v>
      </c>
      <c r="I316" s="109" t="s">
        <v>557</v>
      </c>
      <c r="J316" s="8" t="s">
        <v>208</v>
      </c>
      <c r="K316" s="14" t="b">
        <v>0</v>
      </c>
      <c r="L316" s="14" t="b">
        <v>1</v>
      </c>
      <c r="M316" s="14" t="b">
        <v>1</v>
      </c>
      <c r="N316" s="14" t="b">
        <v>0</v>
      </c>
      <c r="O316" s="14" t="b">
        <v>1</v>
      </c>
      <c r="W316" s="3"/>
    </row>
    <row r="317" spans="1:23" x14ac:dyDescent="0.25">
      <c r="A317" s="4">
        <v>60003761000129</v>
      </c>
      <c r="B317" s="8" t="s">
        <v>728</v>
      </c>
      <c r="C317" s="8" t="s">
        <v>643</v>
      </c>
      <c r="D317" s="7" t="s">
        <v>19</v>
      </c>
      <c r="E317" s="7" t="s">
        <v>215</v>
      </c>
      <c r="F317" s="6">
        <v>2</v>
      </c>
      <c r="G317" s="8" t="s">
        <v>149</v>
      </c>
      <c r="H317" s="8" t="s">
        <v>150</v>
      </c>
      <c r="I317" s="109" t="s">
        <v>557</v>
      </c>
      <c r="J317" s="8" t="s">
        <v>208</v>
      </c>
      <c r="K317" s="14" t="b">
        <v>0</v>
      </c>
      <c r="L317" s="14" t="b">
        <v>1</v>
      </c>
      <c r="M317" s="14" t="b">
        <v>1</v>
      </c>
      <c r="N317" s="14" t="b">
        <v>0</v>
      </c>
      <c r="O317" s="14" t="b">
        <v>1</v>
      </c>
      <c r="W317" s="3"/>
    </row>
    <row r="318" spans="1:23" x14ac:dyDescent="0.25">
      <c r="A318" s="4">
        <v>61699567008924</v>
      </c>
      <c r="B318" s="8" t="s">
        <v>1234</v>
      </c>
      <c r="C318" s="8" t="s">
        <v>1213</v>
      </c>
      <c r="D318" s="7" t="s">
        <v>19</v>
      </c>
      <c r="E318" s="7" t="s">
        <v>215</v>
      </c>
      <c r="F318" s="6">
        <v>2</v>
      </c>
      <c r="G318" s="8" t="s">
        <v>149</v>
      </c>
      <c r="H318" s="8" t="s">
        <v>150</v>
      </c>
      <c r="I318" s="109" t="s">
        <v>557</v>
      </c>
      <c r="J318" s="8" t="s">
        <v>208</v>
      </c>
      <c r="K318" s="14" t="b">
        <v>0</v>
      </c>
      <c r="L318" s="14" t="b">
        <v>1</v>
      </c>
      <c r="M318" s="14" t="b">
        <v>1</v>
      </c>
      <c r="N318" s="14" t="b">
        <v>0</v>
      </c>
      <c r="O318" s="14" t="b">
        <v>1</v>
      </c>
      <c r="W318" s="3"/>
    </row>
    <row r="319" spans="1:23" x14ac:dyDescent="0.25">
      <c r="A319" s="4">
        <v>63025530008270</v>
      </c>
      <c r="B319" s="8" t="s">
        <v>733</v>
      </c>
      <c r="C319" s="8" t="s">
        <v>37</v>
      </c>
      <c r="D319" s="7" t="s">
        <v>19</v>
      </c>
      <c r="E319" s="7" t="s">
        <v>215</v>
      </c>
      <c r="F319" s="6">
        <v>2</v>
      </c>
      <c r="G319" s="8" t="s">
        <v>149</v>
      </c>
      <c r="H319" s="8" t="s">
        <v>150</v>
      </c>
      <c r="I319" s="109" t="s">
        <v>557</v>
      </c>
      <c r="J319" s="8" t="s">
        <v>208</v>
      </c>
      <c r="K319" s="14" t="b">
        <v>0</v>
      </c>
      <c r="L319" s="14" t="b">
        <v>1</v>
      </c>
      <c r="M319" s="14" t="b">
        <v>1</v>
      </c>
      <c r="N319" s="14" t="b">
        <v>0</v>
      </c>
      <c r="O319" s="14" t="b">
        <v>1</v>
      </c>
      <c r="W319" s="3"/>
    </row>
    <row r="320" spans="1:23" x14ac:dyDescent="0.25">
      <c r="A320" s="4">
        <v>68204486000113</v>
      </c>
      <c r="B320" s="8" t="s">
        <v>734</v>
      </c>
      <c r="C320" s="8" t="s">
        <v>46</v>
      </c>
      <c r="D320" s="7" t="s">
        <v>19</v>
      </c>
      <c r="E320" s="7" t="s">
        <v>215</v>
      </c>
      <c r="F320" s="6">
        <v>2</v>
      </c>
      <c r="G320" s="8" t="s">
        <v>149</v>
      </c>
      <c r="H320" s="8" t="s">
        <v>150</v>
      </c>
      <c r="I320" s="109" t="s">
        <v>557</v>
      </c>
      <c r="J320" s="8" t="s">
        <v>208</v>
      </c>
      <c r="K320" s="14" t="b">
        <v>0</v>
      </c>
      <c r="L320" s="14" t="b">
        <v>1</v>
      </c>
      <c r="M320" s="14" t="b">
        <v>1</v>
      </c>
      <c r="N320" s="14" t="b">
        <v>0</v>
      </c>
      <c r="O320" s="14" t="b">
        <v>1</v>
      </c>
      <c r="W320" s="3"/>
    </row>
    <row r="321" spans="1:23" x14ac:dyDescent="0.25">
      <c r="A321" s="4">
        <v>840048000450</v>
      </c>
      <c r="B321" s="8" t="s">
        <v>637</v>
      </c>
      <c r="C321" s="8" t="s">
        <v>30</v>
      </c>
      <c r="D321" s="7" t="s">
        <v>19</v>
      </c>
      <c r="E321" s="7" t="s">
        <v>215</v>
      </c>
      <c r="F321" s="6">
        <v>2</v>
      </c>
      <c r="G321" s="8" t="s">
        <v>151</v>
      </c>
      <c r="H321" s="8" t="s">
        <v>152</v>
      </c>
      <c r="I321" s="109" t="s">
        <v>556</v>
      </c>
      <c r="J321" s="8" t="s">
        <v>208</v>
      </c>
      <c r="K321" s="14" t="b">
        <v>1</v>
      </c>
      <c r="L321" s="14" t="b">
        <v>0</v>
      </c>
      <c r="M321" s="14" t="b">
        <v>0</v>
      </c>
      <c r="N321" s="14" t="b">
        <v>1</v>
      </c>
      <c r="O321" s="14" t="b">
        <v>1</v>
      </c>
      <c r="W321" s="3"/>
    </row>
    <row r="322" spans="1:23" x14ac:dyDescent="0.25">
      <c r="A322" s="4">
        <v>1613433006892</v>
      </c>
      <c r="B322" s="8" t="s">
        <v>638</v>
      </c>
      <c r="C322" s="8" t="s">
        <v>639</v>
      </c>
      <c r="D322" s="7" t="s">
        <v>19</v>
      </c>
      <c r="E322" s="7" t="s">
        <v>215</v>
      </c>
      <c r="F322" s="6">
        <v>2</v>
      </c>
      <c r="G322" s="8" t="s">
        <v>151</v>
      </c>
      <c r="H322" s="8" t="s">
        <v>152</v>
      </c>
      <c r="I322" s="109" t="s">
        <v>556</v>
      </c>
      <c r="J322" s="8" t="s">
        <v>208</v>
      </c>
      <c r="K322" s="14" t="b">
        <v>1</v>
      </c>
      <c r="L322" s="14" t="b">
        <v>0</v>
      </c>
      <c r="M322" s="14" t="b">
        <v>0</v>
      </c>
      <c r="N322" s="14" t="b">
        <v>1</v>
      </c>
      <c r="O322" s="14" t="b">
        <v>1</v>
      </c>
      <c r="W322" s="3"/>
    </row>
    <row r="323" spans="1:23" x14ac:dyDescent="0.25">
      <c r="A323" s="4">
        <v>1613433008089</v>
      </c>
      <c r="B323" s="8" t="s">
        <v>640</v>
      </c>
      <c r="C323" s="8" t="s">
        <v>47</v>
      </c>
      <c r="D323" s="7" t="s">
        <v>19</v>
      </c>
      <c r="E323" s="7" t="s">
        <v>215</v>
      </c>
      <c r="F323" s="6">
        <v>2</v>
      </c>
      <c r="G323" s="8" t="s">
        <v>151</v>
      </c>
      <c r="H323" s="8" t="s">
        <v>152</v>
      </c>
      <c r="I323" s="109" t="s">
        <v>556</v>
      </c>
      <c r="J323" s="8" t="s">
        <v>208</v>
      </c>
      <c r="K323" s="14" t="b">
        <v>1</v>
      </c>
      <c r="L323" s="14" t="b">
        <v>0</v>
      </c>
      <c r="M323" s="14" t="b">
        <v>0</v>
      </c>
      <c r="N323" s="14" t="b">
        <v>1</v>
      </c>
      <c r="O323" s="14" t="b">
        <v>1</v>
      </c>
      <c r="W323" s="3"/>
    </row>
    <row r="324" spans="1:23" x14ac:dyDescent="0.25">
      <c r="A324" s="4">
        <v>1613433010814</v>
      </c>
      <c r="B324" s="8" t="s">
        <v>641</v>
      </c>
      <c r="C324" s="8" t="s">
        <v>49</v>
      </c>
      <c r="D324" s="7" t="s">
        <v>19</v>
      </c>
      <c r="E324" s="7" t="s">
        <v>215</v>
      </c>
      <c r="F324" s="6">
        <v>2</v>
      </c>
      <c r="G324" s="8" t="s">
        <v>151</v>
      </c>
      <c r="H324" s="8" t="s">
        <v>152</v>
      </c>
      <c r="I324" s="109" t="s">
        <v>556</v>
      </c>
      <c r="J324" s="8" t="s">
        <v>208</v>
      </c>
      <c r="K324" s="14" t="b">
        <v>1</v>
      </c>
      <c r="L324" s="14" t="b">
        <v>0</v>
      </c>
      <c r="M324" s="14" t="b">
        <v>0</v>
      </c>
      <c r="N324" s="14" t="b">
        <v>1</v>
      </c>
      <c r="O324" s="14" t="b">
        <v>1</v>
      </c>
      <c r="W324" s="3"/>
    </row>
    <row r="325" spans="1:23" x14ac:dyDescent="0.25">
      <c r="A325" s="4">
        <v>1773319000201</v>
      </c>
      <c r="B325" s="8" t="s">
        <v>1373</v>
      </c>
      <c r="C325" s="8" t="s">
        <v>1374</v>
      </c>
      <c r="D325" s="7" t="s">
        <v>19</v>
      </c>
      <c r="E325" s="7" t="s">
        <v>215</v>
      </c>
      <c r="F325" s="6">
        <v>2</v>
      </c>
      <c r="G325" s="8" t="s">
        <v>151</v>
      </c>
      <c r="H325" s="8" t="s">
        <v>152</v>
      </c>
      <c r="I325" s="109" t="s">
        <v>556</v>
      </c>
      <c r="J325" s="8" t="s">
        <v>208</v>
      </c>
      <c r="K325" s="14" t="b">
        <v>1</v>
      </c>
      <c r="L325" s="14" t="b">
        <v>0</v>
      </c>
      <c r="M325" s="14" t="b">
        <v>0</v>
      </c>
      <c r="N325" s="14" t="b">
        <v>1</v>
      </c>
      <c r="O325" s="14" t="b">
        <v>1</v>
      </c>
      <c r="W325" s="3"/>
    </row>
    <row r="326" spans="1:23" x14ac:dyDescent="0.25">
      <c r="A326" s="4">
        <v>2643405000173</v>
      </c>
      <c r="B326" s="8" t="s">
        <v>642</v>
      </c>
      <c r="C326" s="8" t="s">
        <v>643</v>
      </c>
      <c r="D326" s="7" t="s">
        <v>19</v>
      </c>
      <c r="E326" s="7" t="s">
        <v>215</v>
      </c>
      <c r="F326" s="6">
        <v>2</v>
      </c>
      <c r="G326" s="8" t="s">
        <v>151</v>
      </c>
      <c r="H326" s="8" t="s">
        <v>152</v>
      </c>
      <c r="I326" s="109" t="s">
        <v>556</v>
      </c>
      <c r="J326" s="8" t="s">
        <v>208</v>
      </c>
      <c r="K326" s="14" t="b">
        <v>1</v>
      </c>
      <c r="L326" s="14" t="b">
        <v>0</v>
      </c>
      <c r="M326" s="14" t="b">
        <v>0</v>
      </c>
      <c r="N326" s="14" t="b">
        <v>1</v>
      </c>
      <c r="O326" s="14" t="b">
        <v>1</v>
      </c>
      <c r="W326" s="3"/>
    </row>
    <row r="327" spans="1:23" x14ac:dyDescent="0.25">
      <c r="A327" s="4">
        <v>4127483000140</v>
      </c>
      <c r="B327" s="8" t="s">
        <v>644</v>
      </c>
      <c r="C327" s="8" t="s">
        <v>639</v>
      </c>
      <c r="D327" s="7" t="s">
        <v>19</v>
      </c>
      <c r="E327" s="7" t="s">
        <v>215</v>
      </c>
      <c r="F327" s="6">
        <v>2</v>
      </c>
      <c r="G327" s="8" t="s">
        <v>151</v>
      </c>
      <c r="H327" s="8" t="s">
        <v>152</v>
      </c>
      <c r="I327" s="109" t="s">
        <v>556</v>
      </c>
      <c r="J327" s="8" t="s">
        <v>208</v>
      </c>
      <c r="K327" s="14" t="b">
        <v>1</v>
      </c>
      <c r="L327" s="14" t="b">
        <v>0</v>
      </c>
      <c r="M327" s="14" t="b">
        <v>0</v>
      </c>
      <c r="N327" s="14" t="b">
        <v>1</v>
      </c>
      <c r="O327" s="14" t="b">
        <v>1</v>
      </c>
      <c r="W327" s="3"/>
    </row>
    <row r="328" spans="1:23" x14ac:dyDescent="0.25">
      <c r="A328" s="4">
        <v>4275687000129</v>
      </c>
      <c r="B328" s="8" t="s">
        <v>645</v>
      </c>
      <c r="C328" s="8" t="s">
        <v>31</v>
      </c>
      <c r="D328" s="7" t="s">
        <v>19</v>
      </c>
      <c r="E328" s="7" t="s">
        <v>215</v>
      </c>
      <c r="F328" s="6">
        <v>2</v>
      </c>
      <c r="G328" s="8" t="s">
        <v>151</v>
      </c>
      <c r="H328" s="8" t="s">
        <v>152</v>
      </c>
      <c r="I328" s="109" t="s">
        <v>556</v>
      </c>
      <c r="J328" s="8" t="s">
        <v>208</v>
      </c>
      <c r="K328" s="14" t="b">
        <v>1</v>
      </c>
      <c r="L328" s="14" t="b">
        <v>0</v>
      </c>
      <c r="M328" s="14" t="b">
        <v>0</v>
      </c>
      <c r="N328" s="14" t="b">
        <v>1</v>
      </c>
      <c r="O328" s="14" t="b">
        <v>1</v>
      </c>
      <c r="W328" s="3"/>
    </row>
    <row r="329" spans="1:23" x14ac:dyDescent="0.25">
      <c r="A329" s="4">
        <v>6209132000104</v>
      </c>
      <c r="B329" s="8" t="s">
        <v>653</v>
      </c>
      <c r="C329" s="8" t="s">
        <v>654</v>
      </c>
      <c r="D329" s="7" t="s">
        <v>19</v>
      </c>
      <c r="E329" s="7" t="s">
        <v>215</v>
      </c>
      <c r="F329" s="6">
        <v>2</v>
      </c>
      <c r="G329" s="8" t="s">
        <v>151</v>
      </c>
      <c r="H329" s="8" t="s">
        <v>152</v>
      </c>
      <c r="I329" s="109" t="s">
        <v>556</v>
      </c>
      <c r="J329" s="8" t="s">
        <v>208</v>
      </c>
      <c r="K329" s="14" t="b">
        <v>1</v>
      </c>
      <c r="L329" s="14" t="b">
        <v>0</v>
      </c>
      <c r="M329" s="14" t="b">
        <v>0</v>
      </c>
      <c r="N329" s="14" t="b">
        <v>1</v>
      </c>
      <c r="O329" s="14" t="b">
        <v>1</v>
      </c>
      <c r="W329" s="3"/>
    </row>
    <row r="330" spans="1:23" x14ac:dyDescent="0.25">
      <c r="A330" s="4">
        <v>9528436000122</v>
      </c>
      <c r="B330" s="8" t="s">
        <v>656</v>
      </c>
      <c r="C330" s="8" t="s">
        <v>657</v>
      </c>
      <c r="D330" s="7" t="s">
        <v>19</v>
      </c>
      <c r="E330" s="7" t="s">
        <v>215</v>
      </c>
      <c r="F330" s="6">
        <v>2</v>
      </c>
      <c r="G330" s="8" t="s">
        <v>151</v>
      </c>
      <c r="H330" s="8" t="s">
        <v>152</v>
      </c>
      <c r="I330" s="109" t="s">
        <v>556</v>
      </c>
      <c r="J330" s="8" t="s">
        <v>208</v>
      </c>
      <c r="K330" s="14" t="b">
        <v>1</v>
      </c>
      <c r="L330" s="14" t="b">
        <v>0</v>
      </c>
      <c r="M330" s="14" t="b">
        <v>0</v>
      </c>
      <c r="N330" s="14" t="b">
        <v>1</v>
      </c>
      <c r="O330" s="14" t="b">
        <v>1</v>
      </c>
      <c r="W330" s="3"/>
    </row>
    <row r="331" spans="1:23" x14ac:dyDescent="0.25">
      <c r="A331" s="4">
        <v>10447300000177</v>
      </c>
      <c r="B331" s="8" t="s">
        <v>658</v>
      </c>
      <c r="C331" s="8" t="s">
        <v>33</v>
      </c>
      <c r="D331" s="7" t="s">
        <v>19</v>
      </c>
      <c r="E331" s="7" t="s">
        <v>215</v>
      </c>
      <c r="F331" s="6">
        <v>2</v>
      </c>
      <c r="G331" s="8" t="s">
        <v>151</v>
      </c>
      <c r="H331" s="8" t="s">
        <v>152</v>
      </c>
      <c r="I331" s="109" t="s">
        <v>556</v>
      </c>
      <c r="J331" s="8" t="s">
        <v>208</v>
      </c>
      <c r="K331" s="14" t="b">
        <v>1</v>
      </c>
      <c r="L331" s="14" t="b">
        <v>0</v>
      </c>
      <c r="M331" s="14" t="b">
        <v>0</v>
      </c>
      <c r="N331" s="14" t="b">
        <v>1</v>
      </c>
      <c r="O331" s="14" t="b">
        <v>1</v>
      </c>
      <c r="W331" s="3"/>
    </row>
    <row r="332" spans="1:23" x14ac:dyDescent="0.25">
      <c r="A332" s="4">
        <v>10576443000189</v>
      </c>
      <c r="B332" s="8" t="s">
        <v>659</v>
      </c>
      <c r="C332" s="8" t="s">
        <v>643</v>
      </c>
      <c r="D332" s="7" t="s">
        <v>19</v>
      </c>
      <c r="E332" s="7" t="s">
        <v>215</v>
      </c>
      <c r="F332" s="6">
        <v>2</v>
      </c>
      <c r="G332" s="8" t="s">
        <v>151</v>
      </c>
      <c r="H332" s="8" t="s">
        <v>152</v>
      </c>
      <c r="I332" s="109" t="s">
        <v>556</v>
      </c>
      <c r="J332" s="8" t="s">
        <v>208</v>
      </c>
      <c r="K332" s="14" t="b">
        <v>1</v>
      </c>
      <c r="L332" s="14" t="b">
        <v>0</v>
      </c>
      <c r="M332" s="14" t="b">
        <v>0</v>
      </c>
      <c r="N332" s="14" t="b">
        <v>1</v>
      </c>
      <c r="O332" s="14" t="b">
        <v>1</v>
      </c>
      <c r="W332" s="3"/>
    </row>
    <row r="333" spans="1:23" x14ac:dyDescent="0.25">
      <c r="A333" s="4">
        <v>12474705000120</v>
      </c>
      <c r="B333" s="8" t="s">
        <v>661</v>
      </c>
      <c r="C333" s="8" t="s">
        <v>48</v>
      </c>
      <c r="D333" s="7" t="s">
        <v>19</v>
      </c>
      <c r="E333" s="7" t="s">
        <v>215</v>
      </c>
      <c r="F333" s="6">
        <v>2</v>
      </c>
      <c r="G333" s="8" t="s">
        <v>151</v>
      </c>
      <c r="H333" s="8" t="s">
        <v>152</v>
      </c>
      <c r="I333" s="109" t="s">
        <v>556</v>
      </c>
      <c r="J333" s="8" t="s">
        <v>208</v>
      </c>
      <c r="K333" s="14" t="b">
        <v>1</v>
      </c>
      <c r="L333" s="14" t="b">
        <v>0</v>
      </c>
      <c r="M333" s="14" t="b">
        <v>0</v>
      </c>
      <c r="N333" s="14" t="b">
        <v>1</v>
      </c>
      <c r="O333" s="14" t="b">
        <v>1</v>
      </c>
      <c r="W333" s="3"/>
    </row>
    <row r="334" spans="1:23" x14ac:dyDescent="0.25">
      <c r="A334" s="4">
        <v>24082016000159</v>
      </c>
      <c r="B334" s="8" t="s">
        <v>665</v>
      </c>
      <c r="C334" s="8" t="s">
        <v>657</v>
      </c>
      <c r="D334" s="7" t="s">
        <v>19</v>
      </c>
      <c r="E334" s="7" t="s">
        <v>215</v>
      </c>
      <c r="F334" s="6">
        <v>2</v>
      </c>
      <c r="G334" s="8" t="s">
        <v>151</v>
      </c>
      <c r="H334" s="8" t="s">
        <v>152</v>
      </c>
      <c r="I334" s="109" t="s">
        <v>556</v>
      </c>
      <c r="J334" s="8" t="s">
        <v>208</v>
      </c>
      <c r="K334" s="14" t="b">
        <v>1</v>
      </c>
      <c r="L334" s="14" t="b">
        <v>0</v>
      </c>
      <c r="M334" s="14" t="b">
        <v>0</v>
      </c>
      <c r="N334" s="14" t="b">
        <v>1</v>
      </c>
      <c r="O334" s="14" t="b">
        <v>1</v>
      </c>
      <c r="W334" s="3"/>
    </row>
    <row r="335" spans="1:23" x14ac:dyDescent="0.25">
      <c r="A335" s="4">
        <v>25026561000190</v>
      </c>
      <c r="B335" s="8" t="s">
        <v>666</v>
      </c>
      <c r="C335" s="8" t="s">
        <v>34</v>
      </c>
      <c r="D335" s="7" t="s">
        <v>19</v>
      </c>
      <c r="E335" s="7" t="s">
        <v>215</v>
      </c>
      <c r="F335" s="6">
        <v>2</v>
      </c>
      <c r="G335" s="8" t="s">
        <v>151</v>
      </c>
      <c r="H335" s="8" t="s">
        <v>152</v>
      </c>
      <c r="I335" s="109" t="s">
        <v>556</v>
      </c>
      <c r="J335" s="8" t="s">
        <v>208</v>
      </c>
      <c r="K335" s="14" t="b">
        <v>1</v>
      </c>
      <c r="L335" s="14" t="b">
        <v>0</v>
      </c>
      <c r="M335" s="14" t="b">
        <v>0</v>
      </c>
      <c r="N335" s="14" t="b">
        <v>1</v>
      </c>
      <c r="O335" s="14" t="b">
        <v>1</v>
      </c>
      <c r="W335" s="3"/>
    </row>
    <row r="336" spans="1:23" x14ac:dyDescent="0.25">
      <c r="A336" s="4">
        <v>26048123000196</v>
      </c>
      <c r="B336" s="8" t="s">
        <v>667</v>
      </c>
      <c r="C336" s="8" t="s">
        <v>42</v>
      </c>
      <c r="D336" s="7" t="s">
        <v>19</v>
      </c>
      <c r="E336" s="7" t="s">
        <v>215</v>
      </c>
      <c r="F336" s="6">
        <v>2</v>
      </c>
      <c r="G336" s="8" t="s">
        <v>151</v>
      </c>
      <c r="H336" s="8" t="s">
        <v>152</v>
      </c>
      <c r="I336" s="109" t="s">
        <v>556</v>
      </c>
      <c r="J336" s="8" t="s">
        <v>208</v>
      </c>
      <c r="K336" s="14" t="b">
        <v>1</v>
      </c>
      <c r="L336" s="14" t="b">
        <v>0</v>
      </c>
      <c r="M336" s="14" t="b">
        <v>0</v>
      </c>
      <c r="N336" s="14" t="b">
        <v>1</v>
      </c>
      <c r="O336" s="14" t="b">
        <v>1</v>
      </c>
      <c r="W336" s="3"/>
    </row>
    <row r="337" spans="1:23" x14ac:dyDescent="0.25">
      <c r="A337" s="4">
        <v>29435005008456</v>
      </c>
      <c r="B337" s="8" t="s">
        <v>672</v>
      </c>
      <c r="C337" s="8" t="s">
        <v>33</v>
      </c>
      <c r="D337" s="7" t="s">
        <v>19</v>
      </c>
      <c r="E337" s="7" t="s">
        <v>215</v>
      </c>
      <c r="F337" s="6">
        <v>2</v>
      </c>
      <c r="G337" s="8" t="s">
        <v>151</v>
      </c>
      <c r="H337" s="8" t="s">
        <v>152</v>
      </c>
      <c r="I337" s="109" t="s">
        <v>556</v>
      </c>
      <c r="J337" s="8" t="s">
        <v>208</v>
      </c>
      <c r="K337" s="14" t="b">
        <v>1</v>
      </c>
      <c r="L337" s="14" t="b">
        <v>0</v>
      </c>
      <c r="M337" s="14" t="b">
        <v>0</v>
      </c>
      <c r="N337" s="14" t="b">
        <v>1</v>
      </c>
      <c r="O337" s="14" t="b">
        <v>1</v>
      </c>
      <c r="W337" s="3"/>
    </row>
    <row r="338" spans="1:23" x14ac:dyDescent="0.25">
      <c r="A338" s="4">
        <v>29929600000110</v>
      </c>
      <c r="B338" s="8" t="s">
        <v>1212</v>
      </c>
      <c r="C338" s="8" t="s">
        <v>1213</v>
      </c>
      <c r="D338" s="7" t="s">
        <v>19</v>
      </c>
      <c r="E338" s="7" t="s">
        <v>215</v>
      </c>
      <c r="F338" s="6">
        <v>2</v>
      </c>
      <c r="G338" s="8" t="s">
        <v>151</v>
      </c>
      <c r="H338" s="8" t="s">
        <v>152</v>
      </c>
      <c r="I338" s="109" t="s">
        <v>556</v>
      </c>
      <c r="J338" s="8" t="s">
        <v>208</v>
      </c>
      <c r="K338" s="14" t="b">
        <v>1</v>
      </c>
      <c r="L338" s="14" t="b">
        <v>0</v>
      </c>
      <c r="M338" s="14" t="b">
        <v>0</v>
      </c>
      <c r="N338" s="14" t="b">
        <v>1</v>
      </c>
      <c r="O338" s="14" t="b">
        <v>1</v>
      </c>
      <c r="W338" s="3"/>
    </row>
    <row r="339" spans="1:23" x14ac:dyDescent="0.25">
      <c r="A339" s="4">
        <v>44456036000311</v>
      </c>
      <c r="B339" s="8" t="s">
        <v>675</v>
      </c>
      <c r="C339" s="8" t="s">
        <v>37</v>
      </c>
      <c r="D339" s="7" t="s">
        <v>19</v>
      </c>
      <c r="E339" s="7" t="s">
        <v>215</v>
      </c>
      <c r="F339" s="6">
        <v>2</v>
      </c>
      <c r="G339" s="8" t="s">
        <v>151</v>
      </c>
      <c r="H339" s="8" t="s">
        <v>152</v>
      </c>
      <c r="I339" s="109" t="s">
        <v>556</v>
      </c>
      <c r="J339" s="8" t="s">
        <v>208</v>
      </c>
      <c r="K339" s="14" t="b">
        <v>1</v>
      </c>
      <c r="L339" s="14" t="b">
        <v>0</v>
      </c>
      <c r="M339" s="14" t="b">
        <v>0</v>
      </c>
      <c r="N339" s="14" t="b">
        <v>1</v>
      </c>
      <c r="O339" s="14" t="b">
        <v>1</v>
      </c>
      <c r="W339" s="3"/>
    </row>
    <row r="340" spans="1:23" x14ac:dyDescent="0.25">
      <c r="A340" s="4">
        <v>44531788000138</v>
      </c>
      <c r="B340" s="8" t="s">
        <v>676</v>
      </c>
      <c r="C340" s="8" t="s">
        <v>38</v>
      </c>
      <c r="D340" s="7" t="s">
        <v>19</v>
      </c>
      <c r="E340" s="7" t="s">
        <v>215</v>
      </c>
      <c r="F340" s="6">
        <v>2</v>
      </c>
      <c r="G340" s="8" t="s">
        <v>151</v>
      </c>
      <c r="H340" s="8" t="s">
        <v>152</v>
      </c>
      <c r="I340" s="109" t="s">
        <v>556</v>
      </c>
      <c r="J340" s="8" t="s">
        <v>208</v>
      </c>
      <c r="K340" s="14" t="b">
        <v>1</v>
      </c>
      <c r="L340" s="14" t="b">
        <v>0</v>
      </c>
      <c r="M340" s="14" t="b">
        <v>0</v>
      </c>
      <c r="N340" s="14" t="b">
        <v>1</v>
      </c>
      <c r="O340" s="14" t="b">
        <v>1</v>
      </c>
      <c r="W340" s="3"/>
    </row>
    <row r="341" spans="1:23" x14ac:dyDescent="0.25">
      <c r="A341" s="4">
        <v>44595700000141</v>
      </c>
      <c r="B341" s="8" t="s">
        <v>1375</v>
      </c>
      <c r="C341" s="8" t="s">
        <v>33</v>
      </c>
      <c r="D341" s="7" t="s">
        <v>19</v>
      </c>
      <c r="E341" s="7" t="s">
        <v>215</v>
      </c>
      <c r="F341" s="6">
        <v>2</v>
      </c>
      <c r="G341" s="8" t="s">
        <v>151</v>
      </c>
      <c r="H341" s="8" t="s">
        <v>152</v>
      </c>
      <c r="I341" s="109" t="s">
        <v>556</v>
      </c>
      <c r="J341" s="8" t="s">
        <v>208</v>
      </c>
      <c r="K341" s="14" t="b">
        <v>1</v>
      </c>
      <c r="L341" s="14" t="b">
        <v>0</v>
      </c>
      <c r="M341" s="14" t="b">
        <v>0</v>
      </c>
      <c r="N341" s="14" t="b">
        <v>1</v>
      </c>
      <c r="O341" s="14" t="b">
        <v>1</v>
      </c>
      <c r="W341" s="3"/>
    </row>
    <row r="342" spans="1:23" x14ac:dyDescent="0.25">
      <c r="A342" s="4">
        <v>44649812001614</v>
      </c>
      <c r="B342" s="8" t="s">
        <v>677</v>
      </c>
      <c r="C342" s="8" t="s">
        <v>678</v>
      </c>
      <c r="D342" s="7" t="s">
        <v>19</v>
      </c>
      <c r="E342" s="7" t="s">
        <v>215</v>
      </c>
      <c r="F342" s="6">
        <v>2</v>
      </c>
      <c r="G342" s="8" t="s">
        <v>151</v>
      </c>
      <c r="H342" s="8" t="s">
        <v>152</v>
      </c>
      <c r="I342" s="109" t="s">
        <v>556</v>
      </c>
      <c r="J342" s="8" t="s">
        <v>208</v>
      </c>
      <c r="K342" s="14" t="b">
        <v>1</v>
      </c>
      <c r="L342" s="14" t="b">
        <v>0</v>
      </c>
      <c r="M342" s="14" t="b">
        <v>0</v>
      </c>
      <c r="N342" s="14" t="b">
        <v>1</v>
      </c>
      <c r="O342" s="14" t="b">
        <v>1</v>
      </c>
      <c r="W342" s="3"/>
    </row>
    <row r="343" spans="1:23" x14ac:dyDescent="0.25">
      <c r="A343" s="4">
        <v>44649812019238</v>
      </c>
      <c r="B343" s="8" t="s">
        <v>679</v>
      </c>
      <c r="C343" s="8" t="s">
        <v>33</v>
      </c>
      <c r="D343" s="7" t="s">
        <v>19</v>
      </c>
      <c r="E343" s="7" t="s">
        <v>215</v>
      </c>
      <c r="F343" s="6">
        <v>2</v>
      </c>
      <c r="G343" s="8" t="s">
        <v>151</v>
      </c>
      <c r="H343" s="8" t="s">
        <v>152</v>
      </c>
      <c r="I343" s="109" t="s">
        <v>556</v>
      </c>
      <c r="J343" s="8" t="s">
        <v>208</v>
      </c>
      <c r="K343" s="14" t="b">
        <v>1</v>
      </c>
      <c r="L343" s="14" t="b">
        <v>0</v>
      </c>
      <c r="M343" s="14" t="b">
        <v>0</v>
      </c>
      <c r="N343" s="14" t="b">
        <v>1</v>
      </c>
      <c r="O343" s="14" t="b">
        <v>1</v>
      </c>
      <c r="W343" s="3"/>
    </row>
    <row r="344" spans="1:23" x14ac:dyDescent="0.25">
      <c r="A344" s="4">
        <v>44663631000590</v>
      </c>
      <c r="B344" s="8" t="s">
        <v>680</v>
      </c>
      <c r="C344" s="8" t="s">
        <v>39</v>
      </c>
      <c r="D344" s="7" t="s">
        <v>19</v>
      </c>
      <c r="E344" s="7" t="s">
        <v>215</v>
      </c>
      <c r="F344" s="6">
        <v>2</v>
      </c>
      <c r="G344" s="8" t="s">
        <v>151</v>
      </c>
      <c r="H344" s="8" t="s">
        <v>152</v>
      </c>
      <c r="I344" s="109" t="s">
        <v>556</v>
      </c>
      <c r="J344" s="8" t="s">
        <v>208</v>
      </c>
      <c r="K344" s="14" t="b">
        <v>1</v>
      </c>
      <c r="L344" s="14" t="b">
        <v>0</v>
      </c>
      <c r="M344" s="14" t="b">
        <v>0</v>
      </c>
      <c r="N344" s="14" t="b">
        <v>1</v>
      </c>
      <c r="O344" s="14" t="b">
        <v>1</v>
      </c>
      <c r="W344" s="3"/>
    </row>
    <row r="345" spans="1:23" x14ac:dyDescent="0.25">
      <c r="A345" s="4">
        <v>44732469000190</v>
      </c>
      <c r="B345" s="8" t="s">
        <v>1224</v>
      </c>
      <c r="C345" s="8" t="s">
        <v>1225</v>
      </c>
      <c r="D345" s="7" t="s">
        <v>19</v>
      </c>
      <c r="E345" s="7" t="s">
        <v>215</v>
      </c>
      <c r="F345" s="6">
        <v>2</v>
      </c>
      <c r="G345" s="8" t="s">
        <v>151</v>
      </c>
      <c r="H345" s="8" t="s">
        <v>152</v>
      </c>
      <c r="I345" s="109" t="s">
        <v>556</v>
      </c>
      <c r="J345" s="8" t="s">
        <v>208</v>
      </c>
      <c r="K345" s="14" t="b">
        <v>1</v>
      </c>
      <c r="L345" s="14" t="b">
        <v>0</v>
      </c>
      <c r="M345" s="14" t="b">
        <v>0</v>
      </c>
      <c r="N345" s="14" t="b">
        <v>1</v>
      </c>
      <c r="O345" s="14" t="b">
        <v>1</v>
      </c>
      <c r="W345" s="3"/>
    </row>
    <row r="346" spans="1:23" x14ac:dyDescent="0.25">
      <c r="A346" s="4">
        <v>44803922000293</v>
      </c>
      <c r="B346" s="8" t="s">
        <v>681</v>
      </c>
      <c r="C346" s="8" t="s">
        <v>40</v>
      </c>
      <c r="D346" s="7" t="s">
        <v>19</v>
      </c>
      <c r="E346" s="7" t="s">
        <v>215</v>
      </c>
      <c r="F346" s="6">
        <v>2</v>
      </c>
      <c r="G346" s="8" t="s">
        <v>151</v>
      </c>
      <c r="H346" s="8" t="s">
        <v>152</v>
      </c>
      <c r="I346" s="109" t="s">
        <v>556</v>
      </c>
      <c r="J346" s="8" t="s">
        <v>208</v>
      </c>
      <c r="K346" s="14" t="b">
        <v>1</v>
      </c>
      <c r="L346" s="14" t="b">
        <v>0</v>
      </c>
      <c r="M346" s="14" t="b">
        <v>0</v>
      </c>
      <c r="N346" s="14" t="b">
        <v>1</v>
      </c>
      <c r="O346" s="14" t="b">
        <v>1</v>
      </c>
      <c r="W346" s="3"/>
    </row>
    <row r="347" spans="1:23" x14ac:dyDescent="0.25">
      <c r="A347" s="4">
        <v>44863959000126</v>
      </c>
      <c r="B347" s="8" t="s">
        <v>682</v>
      </c>
      <c r="C347" s="8" t="s">
        <v>544</v>
      </c>
      <c r="D347" s="7" t="s">
        <v>19</v>
      </c>
      <c r="E347" s="7" t="s">
        <v>215</v>
      </c>
      <c r="F347" s="6">
        <v>2</v>
      </c>
      <c r="G347" s="8" t="s">
        <v>151</v>
      </c>
      <c r="H347" s="8" t="s">
        <v>152</v>
      </c>
      <c r="I347" s="109" t="s">
        <v>556</v>
      </c>
      <c r="J347" s="8" t="s">
        <v>208</v>
      </c>
      <c r="K347" s="14" t="b">
        <v>1</v>
      </c>
      <c r="L347" s="14" t="b">
        <v>0</v>
      </c>
      <c r="M347" s="14" t="b">
        <v>0</v>
      </c>
      <c r="N347" s="14" t="b">
        <v>1</v>
      </c>
      <c r="O347" s="14" t="b">
        <v>1</v>
      </c>
      <c r="W347" s="3"/>
    </row>
    <row r="348" spans="1:23" x14ac:dyDescent="0.25">
      <c r="A348" s="4">
        <v>45118429001279</v>
      </c>
      <c r="B348" s="8" t="s">
        <v>683</v>
      </c>
      <c r="C348" s="8" t="s">
        <v>41</v>
      </c>
      <c r="D348" s="7" t="s">
        <v>19</v>
      </c>
      <c r="E348" s="7" t="s">
        <v>215</v>
      </c>
      <c r="F348" s="6">
        <v>2</v>
      </c>
      <c r="G348" s="8" t="s">
        <v>151</v>
      </c>
      <c r="H348" s="8" t="s">
        <v>152</v>
      </c>
      <c r="I348" s="109" t="s">
        <v>556</v>
      </c>
      <c r="J348" s="8" t="s">
        <v>208</v>
      </c>
      <c r="K348" s="14" t="b">
        <v>1</v>
      </c>
      <c r="L348" s="14" t="b">
        <v>0</v>
      </c>
      <c r="M348" s="14" t="b">
        <v>0</v>
      </c>
      <c r="N348" s="14" t="b">
        <v>1</v>
      </c>
      <c r="O348" s="14" t="b">
        <v>1</v>
      </c>
      <c r="W348" s="3"/>
    </row>
    <row r="349" spans="1:23" x14ac:dyDescent="0.25">
      <c r="A349" s="4">
        <v>45232246000550</v>
      </c>
      <c r="B349" s="8" t="s">
        <v>685</v>
      </c>
      <c r="C349" s="8" t="s">
        <v>639</v>
      </c>
      <c r="D349" s="7" t="s">
        <v>19</v>
      </c>
      <c r="E349" s="7" t="s">
        <v>215</v>
      </c>
      <c r="F349" s="6">
        <v>2</v>
      </c>
      <c r="G349" s="8" t="s">
        <v>151</v>
      </c>
      <c r="H349" s="8" t="s">
        <v>152</v>
      </c>
      <c r="I349" s="109" t="s">
        <v>556</v>
      </c>
      <c r="J349" s="8" t="s">
        <v>208</v>
      </c>
      <c r="K349" s="14" t="b">
        <v>1</v>
      </c>
      <c r="L349" s="14" t="b">
        <v>0</v>
      </c>
      <c r="M349" s="14" t="b">
        <v>0</v>
      </c>
      <c r="N349" s="14" t="b">
        <v>1</v>
      </c>
      <c r="O349" s="14" t="b">
        <v>1</v>
      </c>
      <c r="W349" s="3"/>
    </row>
    <row r="350" spans="1:23" x14ac:dyDescent="0.25">
      <c r="A350" s="4">
        <v>45359213000576</v>
      </c>
      <c r="B350" s="8" t="s">
        <v>686</v>
      </c>
      <c r="C350" s="8" t="s">
        <v>687</v>
      </c>
      <c r="D350" s="7" t="s">
        <v>19</v>
      </c>
      <c r="E350" s="7" t="s">
        <v>215</v>
      </c>
      <c r="F350" s="6">
        <v>2</v>
      </c>
      <c r="G350" s="16" t="s">
        <v>151</v>
      </c>
      <c r="H350" s="8" t="s">
        <v>152</v>
      </c>
      <c r="I350" s="109" t="s">
        <v>556</v>
      </c>
      <c r="J350" s="8" t="s">
        <v>208</v>
      </c>
      <c r="K350" s="14" t="b">
        <v>1</v>
      </c>
      <c r="L350" s="14" t="b">
        <v>0</v>
      </c>
      <c r="M350" s="14" t="b">
        <v>0</v>
      </c>
      <c r="N350" s="14" t="b">
        <v>1</v>
      </c>
      <c r="O350" s="14" t="b">
        <v>1</v>
      </c>
      <c r="W350" s="3"/>
    </row>
    <row r="351" spans="1:23" x14ac:dyDescent="0.25">
      <c r="A351" s="4">
        <v>45399961000230</v>
      </c>
      <c r="B351" s="8" t="s">
        <v>688</v>
      </c>
      <c r="C351" s="8" t="s">
        <v>42</v>
      </c>
      <c r="D351" s="7" t="s">
        <v>19</v>
      </c>
      <c r="E351" s="7" t="s">
        <v>215</v>
      </c>
      <c r="F351" s="6">
        <v>2</v>
      </c>
      <c r="G351" s="16" t="s">
        <v>151</v>
      </c>
      <c r="H351" s="8" t="s">
        <v>152</v>
      </c>
      <c r="I351" s="109" t="s">
        <v>556</v>
      </c>
      <c r="J351" s="8" t="s">
        <v>208</v>
      </c>
      <c r="K351" s="14" t="b">
        <v>1</v>
      </c>
      <c r="L351" s="14" t="b">
        <v>0</v>
      </c>
      <c r="M351" s="14" t="b">
        <v>0</v>
      </c>
      <c r="N351" s="14" t="b">
        <v>1</v>
      </c>
      <c r="O351" s="14" t="b">
        <v>1</v>
      </c>
      <c r="W351" s="3"/>
    </row>
    <row r="352" spans="1:23" x14ac:dyDescent="0.25">
      <c r="A352" s="4">
        <v>45780103000150</v>
      </c>
      <c r="B352" s="8" t="s">
        <v>689</v>
      </c>
      <c r="C352" s="8" t="s">
        <v>678</v>
      </c>
      <c r="D352" s="7" t="s">
        <v>19</v>
      </c>
      <c r="E352" s="7" t="s">
        <v>215</v>
      </c>
      <c r="F352" s="6">
        <v>2</v>
      </c>
      <c r="G352" s="8" t="s">
        <v>151</v>
      </c>
      <c r="H352" s="8" t="s">
        <v>152</v>
      </c>
      <c r="I352" s="109" t="s">
        <v>556</v>
      </c>
      <c r="J352" s="8" t="s">
        <v>208</v>
      </c>
      <c r="K352" s="14" t="b">
        <v>1</v>
      </c>
      <c r="L352" s="14" t="b">
        <v>0</v>
      </c>
      <c r="M352" s="14" t="b">
        <v>0</v>
      </c>
      <c r="N352" s="14" t="b">
        <v>1</v>
      </c>
      <c r="O352" s="14" t="b">
        <v>1</v>
      </c>
      <c r="W352" s="3"/>
    </row>
    <row r="353" spans="1:23" x14ac:dyDescent="0.25">
      <c r="A353" s="4">
        <v>46009718000140</v>
      </c>
      <c r="B353" s="8" t="s">
        <v>690</v>
      </c>
      <c r="C353" s="8" t="s">
        <v>33</v>
      </c>
      <c r="D353" s="7" t="s">
        <v>19</v>
      </c>
      <c r="E353" s="7" t="s">
        <v>215</v>
      </c>
      <c r="F353" s="6">
        <v>2</v>
      </c>
      <c r="G353" s="8" t="s">
        <v>151</v>
      </c>
      <c r="H353" s="8" t="s">
        <v>152</v>
      </c>
      <c r="I353" s="109" t="s">
        <v>556</v>
      </c>
      <c r="J353" s="8" t="s">
        <v>208</v>
      </c>
      <c r="K353" s="14" t="b">
        <v>1</v>
      </c>
      <c r="L353" s="14" t="b">
        <v>0</v>
      </c>
      <c r="M353" s="14" t="b">
        <v>0</v>
      </c>
      <c r="N353" s="14" t="b">
        <v>1</v>
      </c>
      <c r="O353" s="14" t="b">
        <v>1</v>
      </c>
      <c r="W353" s="3"/>
    </row>
    <row r="354" spans="1:23" x14ac:dyDescent="0.25">
      <c r="A354" s="4">
        <v>46020301000269</v>
      </c>
      <c r="B354" s="8" t="s">
        <v>691</v>
      </c>
      <c r="C354" s="8" t="s">
        <v>33</v>
      </c>
      <c r="D354" s="7" t="s">
        <v>19</v>
      </c>
      <c r="E354" s="7" t="s">
        <v>215</v>
      </c>
      <c r="F354" s="6">
        <v>2</v>
      </c>
      <c r="G354" s="8" t="s">
        <v>151</v>
      </c>
      <c r="H354" s="8" t="s">
        <v>152</v>
      </c>
      <c r="I354" s="109" t="s">
        <v>556</v>
      </c>
      <c r="J354" s="8" t="s">
        <v>208</v>
      </c>
      <c r="K354" s="14" t="b">
        <v>1</v>
      </c>
      <c r="L354" s="14" t="b">
        <v>0</v>
      </c>
      <c r="M354" s="14" t="b">
        <v>0</v>
      </c>
      <c r="N354" s="14" t="b">
        <v>1</v>
      </c>
      <c r="O354" s="14" t="b">
        <v>1</v>
      </c>
      <c r="W354" s="3"/>
    </row>
    <row r="355" spans="1:23" x14ac:dyDescent="0.25">
      <c r="A355" s="4">
        <v>46068425000133</v>
      </c>
      <c r="B355" s="8" t="s">
        <v>692</v>
      </c>
      <c r="C355" s="8" t="s">
        <v>33</v>
      </c>
      <c r="D355" s="7" t="s">
        <v>19</v>
      </c>
      <c r="E355" s="7" t="s">
        <v>215</v>
      </c>
      <c r="F355" s="6">
        <v>2</v>
      </c>
      <c r="G355" s="8" t="s">
        <v>151</v>
      </c>
      <c r="H355" s="8" t="s">
        <v>152</v>
      </c>
      <c r="I355" s="109" t="s">
        <v>556</v>
      </c>
      <c r="J355" s="8" t="s">
        <v>208</v>
      </c>
      <c r="K355" s="14" t="b">
        <v>1</v>
      </c>
      <c r="L355" s="14" t="b">
        <v>0</v>
      </c>
      <c r="M355" s="14" t="b">
        <v>0</v>
      </c>
      <c r="N355" s="14" t="b">
        <v>1</v>
      </c>
      <c r="O355" s="14" t="b">
        <v>1</v>
      </c>
      <c r="W355" s="3"/>
    </row>
    <row r="356" spans="1:23" x14ac:dyDescent="0.25">
      <c r="A356" s="4">
        <v>46124624000111</v>
      </c>
      <c r="B356" s="8" t="s">
        <v>693</v>
      </c>
      <c r="C356" s="8" t="s">
        <v>33</v>
      </c>
      <c r="D356" s="7" t="s">
        <v>19</v>
      </c>
      <c r="E356" s="7" t="s">
        <v>215</v>
      </c>
      <c r="F356" s="6">
        <v>2</v>
      </c>
      <c r="G356" s="8" t="s">
        <v>151</v>
      </c>
      <c r="H356" s="8" t="s">
        <v>152</v>
      </c>
      <c r="I356" s="109" t="s">
        <v>556</v>
      </c>
      <c r="J356" s="8" t="s">
        <v>208</v>
      </c>
      <c r="K356" s="14" t="b">
        <v>1</v>
      </c>
      <c r="L356" s="14" t="b">
        <v>0</v>
      </c>
      <c r="M356" s="14" t="b">
        <v>0</v>
      </c>
      <c r="N356" s="14" t="b">
        <v>1</v>
      </c>
      <c r="O356" s="14" t="b">
        <v>1</v>
      </c>
      <c r="W356" s="3"/>
    </row>
    <row r="357" spans="1:23" x14ac:dyDescent="0.25">
      <c r="A357" s="4">
        <v>46124624002599</v>
      </c>
      <c r="B357" s="8" t="s">
        <v>694</v>
      </c>
      <c r="C357" s="8" t="s">
        <v>695</v>
      </c>
      <c r="D357" s="7" t="s">
        <v>19</v>
      </c>
      <c r="E357" s="7" t="s">
        <v>215</v>
      </c>
      <c r="F357" s="6">
        <v>2</v>
      </c>
      <c r="G357" s="8" t="s">
        <v>151</v>
      </c>
      <c r="H357" s="8" t="s">
        <v>152</v>
      </c>
      <c r="I357" s="109" t="s">
        <v>556</v>
      </c>
      <c r="J357" s="8" t="s">
        <v>208</v>
      </c>
      <c r="K357" s="14" t="b">
        <v>1</v>
      </c>
      <c r="L357" s="14" t="b">
        <v>0</v>
      </c>
      <c r="M357" s="14" t="b">
        <v>0</v>
      </c>
      <c r="N357" s="14" t="b">
        <v>1</v>
      </c>
      <c r="O357" s="14" t="b">
        <v>1</v>
      </c>
      <c r="W357" s="3"/>
    </row>
    <row r="358" spans="1:23" x14ac:dyDescent="0.25">
      <c r="A358" s="4">
        <v>46374500003533</v>
      </c>
      <c r="B358" s="8" t="s">
        <v>696</v>
      </c>
      <c r="C358" s="8" t="s">
        <v>639</v>
      </c>
      <c r="D358" s="7" t="s">
        <v>19</v>
      </c>
      <c r="E358" s="7" t="s">
        <v>215</v>
      </c>
      <c r="F358" s="6">
        <v>2</v>
      </c>
      <c r="G358" s="8" t="s">
        <v>151</v>
      </c>
      <c r="H358" s="8" t="s">
        <v>152</v>
      </c>
      <c r="I358" s="109" t="s">
        <v>556</v>
      </c>
      <c r="J358" s="8" t="s">
        <v>208</v>
      </c>
      <c r="K358" s="14" t="b">
        <v>1</v>
      </c>
      <c r="L358" s="14" t="b">
        <v>0</v>
      </c>
      <c r="M358" s="14" t="b">
        <v>0</v>
      </c>
      <c r="N358" s="14" t="b">
        <v>1</v>
      </c>
      <c r="O358" s="14" t="b">
        <v>1</v>
      </c>
      <c r="W358" s="3"/>
    </row>
    <row r="359" spans="1:23" x14ac:dyDescent="0.25">
      <c r="A359" s="4">
        <v>46374500003886</v>
      </c>
      <c r="B359" s="8" t="s">
        <v>697</v>
      </c>
      <c r="C359" s="8" t="s">
        <v>698</v>
      </c>
      <c r="D359" s="7" t="s">
        <v>19</v>
      </c>
      <c r="E359" s="7" t="s">
        <v>215</v>
      </c>
      <c r="F359" s="6">
        <v>2</v>
      </c>
      <c r="G359" s="8" t="s">
        <v>151</v>
      </c>
      <c r="H359" s="8" t="s">
        <v>152</v>
      </c>
      <c r="I359" s="109" t="s">
        <v>556</v>
      </c>
      <c r="J359" s="8" t="s">
        <v>208</v>
      </c>
      <c r="K359" s="14" t="b">
        <v>1</v>
      </c>
      <c r="L359" s="14" t="b">
        <v>0</v>
      </c>
      <c r="M359" s="14" t="b">
        <v>0</v>
      </c>
      <c r="N359" s="14" t="b">
        <v>1</v>
      </c>
      <c r="O359" s="14" t="b">
        <v>1</v>
      </c>
      <c r="W359" s="3"/>
    </row>
    <row r="360" spans="1:23" x14ac:dyDescent="0.25">
      <c r="A360" s="4">
        <v>46374500009060</v>
      </c>
      <c r="B360" s="8" t="s">
        <v>699</v>
      </c>
      <c r="C360" s="8" t="s">
        <v>40</v>
      </c>
      <c r="D360" s="7" t="s">
        <v>19</v>
      </c>
      <c r="E360" s="7" t="s">
        <v>215</v>
      </c>
      <c r="F360" s="6">
        <v>2</v>
      </c>
      <c r="G360" s="8" t="s">
        <v>151</v>
      </c>
      <c r="H360" s="8" t="s">
        <v>152</v>
      </c>
      <c r="I360" s="109" t="s">
        <v>556</v>
      </c>
      <c r="J360" s="8" t="s">
        <v>208</v>
      </c>
      <c r="K360" s="14" t="b">
        <v>1</v>
      </c>
      <c r="L360" s="14" t="b">
        <v>0</v>
      </c>
      <c r="M360" s="14" t="b">
        <v>0</v>
      </c>
      <c r="N360" s="14" t="b">
        <v>1</v>
      </c>
      <c r="O360" s="14" t="b">
        <v>1</v>
      </c>
      <c r="W360" s="3"/>
    </row>
    <row r="361" spans="1:23" x14ac:dyDescent="0.25">
      <c r="A361" s="4">
        <v>46374500009221</v>
      </c>
      <c r="B361" s="8" t="s">
        <v>700</v>
      </c>
      <c r="C361" s="8" t="s">
        <v>49</v>
      </c>
      <c r="D361" s="7" t="s">
        <v>19</v>
      </c>
      <c r="E361" s="7" t="s">
        <v>215</v>
      </c>
      <c r="F361" s="6">
        <v>2</v>
      </c>
      <c r="G361" s="8" t="s">
        <v>151</v>
      </c>
      <c r="H361" s="8" t="s">
        <v>152</v>
      </c>
      <c r="I361" s="109" t="s">
        <v>556</v>
      </c>
      <c r="J361" s="8" t="s">
        <v>208</v>
      </c>
      <c r="K361" s="14" t="b">
        <v>1</v>
      </c>
      <c r="L361" s="14" t="b">
        <v>0</v>
      </c>
      <c r="M361" s="14" t="b">
        <v>0</v>
      </c>
      <c r="N361" s="14" t="b">
        <v>1</v>
      </c>
      <c r="O361" s="14" t="b">
        <v>1</v>
      </c>
      <c r="W361" s="3"/>
    </row>
    <row r="362" spans="1:23" x14ac:dyDescent="0.25">
      <c r="A362" s="4">
        <v>47074851000819</v>
      </c>
      <c r="B362" s="8" t="s">
        <v>702</v>
      </c>
      <c r="C362" s="8" t="s">
        <v>41</v>
      </c>
      <c r="D362" s="7" t="s">
        <v>19</v>
      </c>
      <c r="E362" s="7" t="s">
        <v>215</v>
      </c>
      <c r="F362" s="6">
        <v>2</v>
      </c>
      <c r="G362" s="8" t="s">
        <v>151</v>
      </c>
      <c r="H362" s="8" t="s">
        <v>152</v>
      </c>
      <c r="I362" s="109" t="s">
        <v>556</v>
      </c>
      <c r="J362" s="8" t="s">
        <v>208</v>
      </c>
      <c r="K362" s="14" t="b">
        <v>1</v>
      </c>
      <c r="L362" s="14" t="b">
        <v>0</v>
      </c>
      <c r="M362" s="14" t="b">
        <v>0</v>
      </c>
      <c r="N362" s="14" t="b">
        <v>1</v>
      </c>
      <c r="O362" s="14" t="b">
        <v>1</v>
      </c>
      <c r="W362" s="3"/>
    </row>
    <row r="363" spans="1:23" x14ac:dyDescent="0.25">
      <c r="A363" s="4">
        <v>47565155000996</v>
      </c>
      <c r="B363" s="8" t="s">
        <v>703</v>
      </c>
      <c r="C363" s="8" t="s">
        <v>50</v>
      </c>
      <c r="D363" s="7" t="s">
        <v>19</v>
      </c>
      <c r="E363" s="7" t="s">
        <v>215</v>
      </c>
      <c r="F363" s="6">
        <v>2</v>
      </c>
      <c r="G363" s="8" t="s">
        <v>151</v>
      </c>
      <c r="H363" s="8" t="s">
        <v>152</v>
      </c>
      <c r="I363" s="109" t="s">
        <v>556</v>
      </c>
      <c r="J363" s="8" t="s">
        <v>208</v>
      </c>
      <c r="K363" s="14" t="b">
        <v>1</v>
      </c>
      <c r="L363" s="14" t="b">
        <v>0</v>
      </c>
      <c r="M363" s="14" t="b">
        <v>0</v>
      </c>
      <c r="N363" s="14" t="b">
        <v>1</v>
      </c>
      <c r="O363" s="14" t="b">
        <v>1</v>
      </c>
      <c r="W363" s="3"/>
    </row>
    <row r="364" spans="1:23" x14ac:dyDescent="0.25">
      <c r="A364" s="4">
        <v>48310098000100</v>
      </c>
      <c r="B364" s="8" t="s">
        <v>704</v>
      </c>
      <c r="C364" s="8" t="s">
        <v>643</v>
      </c>
      <c r="D364" s="7" t="s">
        <v>19</v>
      </c>
      <c r="E364" s="7" t="s">
        <v>215</v>
      </c>
      <c r="F364" s="6">
        <v>2</v>
      </c>
      <c r="G364" s="8" t="s">
        <v>151</v>
      </c>
      <c r="H364" s="8" t="s">
        <v>152</v>
      </c>
      <c r="I364" s="109" t="s">
        <v>556</v>
      </c>
      <c r="J364" s="8" t="s">
        <v>208</v>
      </c>
      <c r="K364" s="14" t="b">
        <v>1</v>
      </c>
      <c r="L364" s="14" t="b">
        <v>0</v>
      </c>
      <c r="M364" s="14" t="b">
        <v>0</v>
      </c>
      <c r="N364" s="14" t="b">
        <v>1</v>
      </c>
      <c r="O364" s="14" t="b">
        <v>1</v>
      </c>
      <c r="W364" s="3"/>
    </row>
    <row r="365" spans="1:23" x14ac:dyDescent="0.25">
      <c r="A365" s="4">
        <v>48468284000171</v>
      </c>
      <c r="B365" s="8" t="s">
        <v>705</v>
      </c>
      <c r="C365" s="8" t="s">
        <v>43</v>
      </c>
      <c r="D365" s="7" t="s">
        <v>19</v>
      </c>
      <c r="E365" s="7" t="s">
        <v>215</v>
      </c>
      <c r="F365" s="6">
        <v>2</v>
      </c>
      <c r="G365" s="8" t="s">
        <v>151</v>
      </c>
      <c r="H365" s="8" t="s">
        <v>152</v>
      </c>
      <c r="I365" s="109" t="s">
        <v>556</v>
      </c>
      <c r="J365" s="8" t="s">
        <v>208</v>
      </c>
      <c r="K365" s="14" t="b">
        <v>1</v>
      </c>
      <c r="L365" s="14" t="b">
        <v>0</v>
      </c>
      <c r="M365" s="14" t="b">
        <v>0</v>
      </c>
      <c r="N365" s="14" t="b">
        <v>1</v>
      </c>
      <c r="O365" s="14" t="b">
        <v>1</v>
      </c>
      <c r="W365" s="3"/>
    </row>
    <row r="366" spans="1:23" x14ac:dyDescent="0.25">
      <c r="A366" s="4">
        <v>48628366000721</v>
      </c>
      <c r="B366" s="8" t="s">
        <v>1376</v>
      </c>
      <c r="C366" s="8" t="s">
        <v>1377</v>
      </c>
      <c r="D366" s="7" t="s">
        <v>19</v>
      </c>
      <c r="E366" s="7" t="s">
        <v>215</v>
      </c>
      <c r="F366" s="6">
        <v>2</v>
      </c>
      <c r="G366" s="8" t="s">
        <v>151</v>
      </c>
      <c r="H366" s="8" t="s">
        <v>152</v>
      </c>
      <c r="I366" s="109" t="s">
        <v>556</v>
      </c>
      <c r="J366" s="8" t="s">
        <v>208</v>
      </c>
      <c r="K366" s="14" t="b">
        <v>1</v>
      </c>
      <c r="L366" s="14" t="b">
        <v>0</v>
      </c>
      <c r="M366" s="14" t="b">
        <v>0</v>
      </c>
      <c r="N366" s="14" t="b">
        <v>1</v>
      </c>
      <c r="O366" s="14" t="b">
        <v>1</v>
      </c>
      <c r="W366" s="3"/>
    </row>
    <row r="367" spans="1:23" x14ac:dyDescent="0.25">
      <c r="A367" s="4">
        <v>49150352000201</v>
      </c>
      <c r="B367" s="8" t="s">
        <v>1228</v>
      </c>
      <c r="C367" s="8" t="s">
        <v>1229</v>
      </c>
      <c r="D367" s="7" t="s">
        <v>19</v>
      </c>
      <c r="E367" s="7" t="s">
        <v>215</v>
      </c>
      <c r="F367" s="6">
        <v>2</v>
      </c>
      <c r="G367" s="8" t="s">
        <v>151</v>
      </c>
      <c r="H367" s="8" t="s">
        <v>152</v>
      </c>
      <c r="I367" s="109" t="s">
        <v>556</v>
      </c>
      <c r="J367" s="8" t="s">
        <v>208</v>
      </c>
      <c r="K367" s="14" t="b">
        <v>1</v>
      </c>
      <c r="L367" s="14" t="b">
        <v>0</v>
      </c>
      <c r="M367" s="14" t="b">
        <v>0</v>
      </c>
      <c r="N367" s="14" t="b">
        <v>1</v>
      </c>
      <c r="O367" s="14" t="b">
        <v>1</v>
      </c>
      <c r="W367" s="3"/>
    </row>
    <row r="368" spans="1:23" x14ac:dyDescent="0.25">
      <c r="A368" s="4">
        <v>50486026000160</v>
      </c>
      <c r="B368" s="8" t="s">
        <v>706</v>
      </c>
      <c r="C368" s="8" t="s">
        <v>44</v>
      </c>
      <c r="D368" s="7" t="s">
        <v>19</v>
      </c>
      <c r="E368" s="7" t="s">
        <v>215</v>
      </c>
      <c r="F368" s="6">
        <v>2</v>
      </c>
      <c r="G368" s="8" t="s">
        <v>151</v>
      </c>
      <c r="H368" s="8" t="s">
        <v>152</v>
      </c>
      <c r="I368" s="109" t="s">
        <v>556</v>
      </c>
      <c r="J368" s="8" t="s">
        <v>208</v>
      </c>
      <c r="K368" s="14" t="b">
        <v>1</v>
      </c>
      <c r="L368" s="14" t="b">
        <v>0</v>
      </c>
      <c r="M368" s="14" t="b">
        <v>0</v>
      </c>
      <c r="N368" s="14" t="b">
        <v>1</v>
      </c>
      <c r="O368" s="14" t="b">
        <v>1</v>
      </c>
      <c r="W368" s="3"/>
    </row>
    <row r="369" spans="1:23" x14ac:dyDescent="0.25">
      <c r="A369" s="4">
        <v>50944198000130</v>
      </c>
      <c r="B369" s="8" t="s">
        <v>707</v>
      </c>
      <c r="C369" s="8" t="s">
        <v>678</v>
      </c>
      <c r="D369" s="7" t="s">
        <v>19</v>
      </c>
      <c r="E369" s="7" t="s">
        <v>215</v>
      </c>
      <c r="F369" s="6">
        <v>2</v>
      </c>
      <c r="G369" s="8" t="s">
        <v>151</v>
      </c>
      <c r="H369" s="8" t="s">
        <v>152</v>
      </c>
      <c r="I369" s="109" t="s">
        <v>556</v>
      </c>
      <c r="J369" s="8" t="s">
        <v>208</v>
      </c>
      <c r="K369" s="14" t="b">
        <v>1</v>
      </c>
      <c r="L369" s="14" t="b">
        <v>0</v>
      </c>
      <c r="M369" s="14" t="b">
        <v>0</v>
      </c>
      <c r="N369" s="14" t="b">
        <v>1</v>
      </c>
      <c r="O369" s="14" t="b">
        <v>1</v>
      </c>
      <c r="W369" s="3"/>
    </row>
    <row r="370" spans="1:23" x14ac:dyDescent="0.25">
      <c r="A370" s="4">
        <v>51093193000456</v>
      </c>
      <c r="B370" s="8" t="s">
        <v>708</v>
      </c>
      <c r="C370" s="8" t="s">
        <v>698</v>
      </c>
      <c r="D370" s="7" t="s">
        <v>19</v>
      </c>
      <c r="E370" s="7" t="s">
        <v>215</v>
      </c>
      <c r="F370" s="6">
        <v>2</v>
      </c>
      <c r="G370" s="8" t="s">
        <v>151</v>
      </c>
      <c r="H370" s="8" t="s">
        <v>152</v>
      </c>
      <c r="I370" s="109" t="s">
        <v>556</v>
      </c>
      <c r="J370" s="8" t="s">
        <v>208</v>
      </c>
      <c r="K370" s="14" t="b">
        <v>1</v>
      </c>
      <c r="L370" s="14" t="b">
        <v>0</v>
      </c>
      <c r="M370" s="14" t="b">
        <v>0</v>
      </c>
      <c r="N370" s="14" t="b">
        <v>1</v>
      </c>
      <c r="O370" s="14" t="b">
        <v>1</v>
      </c>
      <c r="W370" s="3"/>
    </row>
    <row r="371" spans="1:23" x14ac:dyDescent="0.25">
      <c r="A371" s="4">
        <v>51877926000109</v>
      </c>
      <c r="B371" s="8" t="s">
        <v>711</v>
      </c>
      <c r="C371" s="8" t="s">
        <v>33</v>
      </c>
      <c r="D371" s="7" t="s">
        <v>19</v>
      </c>
      <c r="E371" s="7" t="s">
        <v>215</v>
      </c>
      <c r="F371" s="6">
        <v>2</v>
      </c>
      <c r="G371" s="8" t="s">
        <v>151</v>
      </c>
      <c r="H371" s="8" t="s">
        <v>152</v>
      </c>
      <c r="I371" s="109" t="s">
        <v>556</v>
      </c>
      <c r="J371" s="8" t="s">
        <v>208</v>
      </c>
      <c r="K371" s="14" t="b">
        <v>1</v>
      </c>
      <c r="L371" s="14" t="b">
        <v>0</v>
      </c>
      <c r="M371" s="14" t="b">
        <v>0</v>
      </c>
      <c r="N371" s="14" t="b">
        <v>1</v>
      </c>
      <c r="O371" s="14" t="b">
        <v>1</v>
      </c>
      <c r="W371" s="3"/>
    </row>
    <row r="372" spans="1:23" x14ac:dyDescent="0.25">
      <c r="A372" s="4">
        <v>51885242000140</v>
      </c>
      <c r="B372" s="8" t="s">
        <v>712</v>
      </c>
      <c r="C372" s="8" t="s">
        <v>33</v>
      </c>
      <c r="D372" s="7" t="s">
        <v>19</v>
      </c>
      <c r="E372" s="7" t="s">
        <v>215</v>
      </c>
      <c r="F372" s="6">
        <v>2</v>
      </c>
      <c r="G372" s="8" t="s">
        <v>151</v>
      </c>
      <c r="H372" s="8" t="s">
        <v>152</v>
      </c>
      <c r="I372" s="109" t="s">
        <v>556</v>
      </c>
      <c r="J372" s="8" t="s">
        <v>208</v>
      </c>
      <c r="K372" s="14" t="b">
        <v>1</v>
      </c>
      <c r="L372" s="14" t="b">
        <v>0</v>
      </c>
      <c r="M372" s="14" t="b">
        <v>0</v>
      </c>
      <c r="N372" s="14" t="b">
        <v>1</v>
      </c>
      <c r="O372" s="14" t="b">
        <v>1</v>
      </c>
      <c r="W372" s="3"/>
    </row>
    <row r="373" spans="1:23" x14ac:dyDescent="0.25">
      <c r="A373" s="4">
        <v>52852100000140</v>
      </c>
      <c r="B373" s="8" t="s">
        <v>713</v>
      </c>
      <c r="C373" s="8" t="s">
        <v>51</v>
      </c>
      <c r="D373" s="7" t="s">
        <v>19</v>
      </c>
      <c r="E373" s="7" t="s">
        <v>215</v>
      </c>
      <c r="F373" s="6">
        <v>2</v>
      </c>
      <c r="G373" s="8" t="s">
        <v>151</v>
      </c>
      <c r="H373" s="8" t="s">
        <v>152</v>
      </c>
      <c r="I373" s="109" t="s">
        <v>556</v>
      </c>
      <c r="J373" s="8" t="s">
        <v>208</v>
      </c>
      <c r="K373" s="14" t="b">
        <v>1</v>
      </c>
      <c r="L373" s="14" t="b">
        <v>0</v>
      </c>
      <c r="M373" s="14" t="b">
        <v>0</v>
      </c>
      <c r="N373" s="14" t="b">
        <v>1</v>
      </c>
      <c r="O373" s="14" t="b">
        <v>1</v>
      </c>
      <c r="W373" s="3"/>
    </row>
    <row r="374" spans="1:23" x14ac:dyDescent="0.25">
      <c r="A374" s="4">
        <v>53221255003247</v>
      </c>
      <c r="B374" s="8" t="s">
        <v>1378</v>
      </c>
      <c r="C374" s="8" t="s">
        <v>544</v>
      </c>
      <c r="D374" s="7" t="s">
        <v>19</v>
      </c>
      <c r="E374" s="7" t="s">
        <v>215</v>
      </c>
      <c r="F374" s="6">
        <v>2</v>
      </c>
      <c r="G374" s="8" t="s">
        <v>151</v>
      </c>
      <c r="H374" s="8" t="s">
        <v>152</v>
      </c>
      <c r="I374" s="109" t="s">
        <v>556</v>
      </c>
      <c r="J374" s="8" t="s">
        <v>208</v>
      </c>
      <c r="K374" s="14" t="b">
        <v>1</v>
      </c>
      <c r="L374" s="14" t="b">
        <v>0</v>
      </c>
      <c r="M374" s="14" t="b">
        <v>0</v>
      </c>
      <c r="N374" s="14" t="b">
        <v>1</v>
      </c>
      <c r="O374" s="14" t="b">
        <v>1</v>
      </c>
      <c r="W374" s="3"/>
    </row>
    <row r="375" spans="1:23" x14ac:dyDescent="0.25">
      <c r="A375" s="4">
        <v>53311999000156</v>
      </c>
      <c r="B375" s="8" t="s">
        <v>714</v>
      </c>
      <c r="C375" s="8" t="s">
        <v>715</v>
      </c>
      <c r="D375" s="7" t="s">
        <v>19</v>
      </c>
      <c r="E375" s="7" t="s">
        <v>215</v>
      </c>
      <c r="F375" s="6">
        <v>2</v>
      </c>
      <c r="G375" s="8" t="s">
        <v>151</v>
      </c>
      <c r="H375" s="8" t="s">
        <v>152</v>
      </c>
      <c r="I375" s="109" t="s">
        <v>556</v>
      </c>
      <c r="J375" s="8" t="s">
        <v>208</v>
      </c>
      <c r="K375" s="14" t="b">
        <v>1</v>
      </c>
      <c r="L375" s="14" t="b">
        <v>0</v>
      </c>
      <c r="M375" s="14" t="b">
        <v>0</v>
      </c>
      <c r="N375" s="14" t="b">
        <v>1</v>
      </c>
      <c r="O375" s="14" t="b">
        <v>1</v>
      </c>
      <c r="W375" s="3"/>
    </row>
    <row r="376" spans="1:23" x14ac:dyDescent="0.25">
      <c r="A376" s="4">
        <v>53678264000246</v>
      </c>
      <c r="B376" s="8" t="s">
        <v>716</v>
      </c>
      <c r="C376" s="8" t="s">
        <v>717</v>
      </c>
      <c r="D376" s="7" t="s">
        <v>19</v>
      </c>
      <c r="E376" s="7" t="s">
        <v>215</v>
      </c>
      <c r="F376" s="6">
        <v>2</v>
      </c>
      <c r="G376" s="8" t="s">
        <v>151</v>
      </c>
      <c r="H376" s="8" t="s">
        <v>152</v>
      </c>
      <c r="I376" s="109" t="s">
        <v>556</v>
      </c>
      <c r="J376" s="8" t="s">
        <v>208</v>
      </c>
      <c r="K376" s="14" t="b">
        <v>1</v>
      </c>
      <c r="L376" s="14" t="b">
        <v>0</v>
      </c>
      <c r="M376" s="14" t="b">
        <v>0</v>
      </c>
      <c r="N376" s="14" t="b">
        <v>1</v>
      </c>
      <c r="O376" s="14" t="b">
        <v>1</v>
      </c>
      <c r="W376" s="3"/>
    </row>
    <row r="377" spans="1:23" x14ac:dyDescent="0.25">
      <c r="A377" s="4">
        <v>54012406000385</v>
      </c>
      <c r="B377" s="8" t="s">
        <v>718</v>
      </c>
      <c r="C377" s="8" t="s">
        <v>45</v>
      </c>
      <c r="D377" s="7" t="s">
        <v>19</v>
      </c>
      <c r="E377" s="7" t="s">
        <v>215</v>
      </c>
      <c r="F377" s="6">
        <v>2</v>
      </c>
      <c r="G377" s="8" t="s">
        <v>151</v>
      </c>
      <c r="H377" s="8" t="s">
        <v>152</v>
      </c>
      <c r="I377" s="109" t="s">
        <v>556</v>
      </c>
      <c r="J377" s="8" t="s">
        <v>208</v>
      </c>
      <c r="K377" s="14" t="b">
        <v>1</v>
      </c>
      <c r="L377" s="14" t="b">
        <v>0</v>
      </c>
      <c r="M377" s="14" t="b">
        <v>0</v>
      </c>
      <c r="N377" s="14" t="b">
        <v>1</v>
      </c>
      <c r="O377" s="14" t="b">
        <v>1</v>
      </c>
      <c r="W377" s="3"/>
    </row>
    <row r="378" spans="1:23" x14ac:dyDescent="0.25">
      <c r="A378" s="4">
        <v>54370630000187</v>
      </c>
      <c r="B378" s="8" t="s">
        <v>719</v>
      </c>
      <c r="C378" s="8" t="s">
        <v>40</v>
      </c>
      <c r="D378" s="7" t="s">
        <v>19</v>
      </c>
      <c r="E378" s="7" t="s">
        <v>215</v>
      </c>
      <c r="F378" s="6">
        <v>2</v>
      </c>
      <c r="G378" s="8" t="s">
        <v>151</v>
      </c>
      <c r="H378" s="8" t="s">
        <v>152</v>
      </c>
      <c r="I378" s="109" t="s">
        <v>556</v>
      </c>
      <c r="J378" s="8" t="s">
        <v>208</v>
      </c>
      <c r="K378" s="14" t="b">
        <v>1</v>
      </c>
      <c r="L378" s="14" t="b">
        <v>0</v>
      </c>
      <c r="M378" s="14" t="b">
        <v>0</v>
      </c>
      <c r="N378" s="14" t="b">
        <v>1</v>
      </c>
      <c r="O378" s="14" t="b">
        <v>1</v>
      </c>
      <c r="W378" s="3"/>
    </row>
    <row r="379" spans="1:23" x14ac:dyDescent="0.25">
      <c r="A379" s="4">
        <v>55980148000121</v>
      </c>
      <c r="B379" s="8" t="s">
        <v>720</v>
      </c>
      <c r="C379" s="8" t="s">
        <v>639</v>
      </c>
      <c r="D379" s="7" t="s">
        <v>19</v>
      </c>
      <c r="E379" s="7" t="s">
        <v>215</v>
      </c>
      <c r="F379" s="6">
        <v>2</v>
      </c>
      <c r="G379" s="8" t="s">
        <v>151</v>
      </c>
      <c r="H379" s="8" t="s">
        <v>152</v>
      </c>
      <c r="I379" s="109" t="s">
        <v>556</v>
      </c>
      <c r="J379" s="8" t="s">
        <v>208</v>
      </c>
      <c r="K379" s="14" t="b">
        <v>1</v>
      </c>
      <c r="L379" s="14" t="b">
        <v>0</v>
      </c>
      <c r="M379" s="14" t="b">
        <v>0</v>
      </c>
      <c r="N379" s="14" t="b">
        <v>1</v>
      </c>
      <c r="O379" s="14" t="b">
        <v>1</v>
      </c>
      <c r="W379" s="3"/>
    </row>
    <row r="380" spans="1:23" x14ac:dyDescent="0.25">
      <c r="A380" s="4">
        <v>56023443000152</v>
      </c>
      <c r="B380" s="8" t="s">
        <v>1379</v>
      </c>
      <c r="C380" s="8" t="s">
        <v>639</v>
      </c>
      <c r="D380" s="7" t="s">
        <v>19</v>
      </c>
      <c r="E380" s="7" t="s">
        <v>215</v>
      </c>
      <c r="F380" s="6">
        <v>2</v>
      </c>
      <c r="G380" s="8" t="s">
        <v>151</v>
      </c>
      <c r="H380" s="8" t="s">
        <v>152</v>
      </c>
      <c r="I380" s="109" t="s">
        <v>556</v>
      </c>
      <c r="J380" s="8" t="s">
        <v>208</v>
      </c>
      <c r="K380" s="14" t="b">
        <v>1</v>
      </c>
      <c r="L380" s="14" t="b">
        <v>0</v>
      </c>
      <c r="M380" s="14" t="b">
        <v>0</v>
      </c>
      <c r="N380" s="14" t="b">
        <v>1</v>
      </c>
      <c r="O380" s="14" t="b">
        <v>1</v>
      </c>
      <c r="W380" s="3"/>
    </row>
    <row r="381" spans="1:23" x14ac:dyDescent="0.25">
      <c r="A381" s="4">
        <v>56727134001216</v>
      </c>
      <c r="B381" s="8" t="s">
        <v>1230</v>
      </c>
      <c r="C381" s="8" t="s">
        <v>678</v>
      </c>
      <c r="D381" s="7" t="s">
        <v>19</v>
      </c>
      <c r="E381" s="7" t="s">
        <v>215</v>
      </c>
      <c r="F381" s="6">
        <v>2</v>
      </c>
      <c r="G381" s="8" t="s">
        <v>151</v>
      </c>
      <c r="H381" s="8" t="s">
        <v>152</v>
      </c>
      <c r="I381" s="109" t="s">
        <v>556</v>
      </c>
      <c r="J381" s="8" t="s">
        <v>208</v>
      </c>
      <c r="K381" s="14" t="b">
        <v>1</v>
      </c>
      <c r="L381" s="14" t="b">
        <v>0</v>
      </c>
      <c r="M381" s="14" t="b">
        <v>0</v>
      </c>
      <c r="N381" s="14" t="b">
        <v>1</v>
      </c>
      <c r="O381" s="14" t="b">
        <v>1</v>
      </c>
      <c r="W381" s="3"/>
    </row>
    <row r="382" spans="1:23" x14ac:dyDescent="0.25">
      <c r="A382" s="4">
        <v>57722118000140</v>
      </c>
      <c r="B382" s="8" t="s">
        <v>722</v>
      </c>
      <c r="C382" s="8" t="s">
        <v>639</v>
      </c>
      <c r="D382" s="7" t="s">
        <v>19</v>
      </c>
      <c r="E382" s="7" t="s">
        <v>215</v>
      </c>
      <c r="F382" s="6">
        <v>2</v>
      </c>
      <c r="G382" s="8" t="s">
        <v>151</v>
      </c>
      <c r="H382" s="8" t="s">
        <v>152</v>
      </c>
      <c r="I382" s="109" t="s">
        <v>556</v>
      </c>
      <c r="J382" s="8" t="s">
        <v>208</v>
      </c>
      <c r="K382" s="14" t="b">
        <v>1</v>
      </c>
      <c r="L382" s="14" t="b">
        <v>0</v>
      </c>
      <c r="M382" s="14" t="b">
        <v>0</v>
      </c>
      <c r="N382" s="14" t="b">
        <v>1</v>
      </c>
      <c r="O382" s="14" t="b">
        <v>1</v>
      </c>
      <c r="W382" s="3"/>
    </row>
    <row r="383" spans="1:23" x14ac:dyDescent="0.25">
      <c r="A383" s="4">
        <v>57722118000302</v>
      </c>
      <c r="B383" s="8" t="s">
        <v>723</v>
      </c>
      <c r="C383" s="8" t="s">
        <v>639</v>
      </c>
      <c r="D383" s="7" t="s">
        <v>19</v>
      </c>
      <c r="E383" s="7" t="s">
        <v>215</v>
      </c>
      <c r="F383" s="6">
        <v>2</v>
      </c>
      <c r="G383" s="8" t="s">
        <v>151</v>
      </c>
      <c r="H383" s="8" t="s">
        <v>152</v>
      </c>
      <c r="I383" s="109" t="s">
        <v>556</v>
      </c>
      <c r="J383" s="8" t="s">
        <v>208</v>
      </c>
      <c r="K383" s="14" t="b">
        <v>1</v>
      </c>
      <c r="L383" s="14" t="b">
        <v>0</v>
      </c>
      <c r="M383" s="14" t="b">
        <v>0</v>
      </c>
      <c r="N383" s="14" t="b">
        <v>1</v>
      </c>
      <c r="O383" s="14" t="b">
        <v>1</v>
      </c>
      <c r="W383" s="3"/>
    </row>
    <row r="384" spans="1:23" x14ac:dyDescent="0.25">
      <c r="A384" s="4">
        <v>57723280000183</v>
      </c>
      <c r="B384" s="8" t="s">
        <v>724</v>
      </c>
      <c r="C384" s="8" t="s">
        <v>639</v>
      </c>
      <c r="D384" s="7" t="s">
        <v>19</v>
      </c>
      <c r="E384" s="7" t="s">
        <v>215</v>
      </c>
      <c r="F384" s="6">
        <v>2</v>
      </c>
      <c r="G384" s="8" t="s">
        <v>151</v>
      </c>
      <c r="H384" s="8" t="s">
        <v>152</v>
      </c>
      <c r="I384" s="109" t="s">
        <v>556</v>
      </c>
      <c r="J384" s="8" t="s">
        <v>208</v>
      </c>
      <c r="K384" s="14" t="b">
        <v>1</v>
      </c>
      <c r="L384" s="14" t="b">
        <v>0</v>
      </c>
      <c r="M384" s="14" t="b">
        <v>0</v>
      </c>
      <c r="N384" s="14" t="b">
        <v>1</v>
      </c>
      <c r="O384" s="14" t="b">
        <v>1</v>
      </c>
      <c r="W384" s="3"/>
    </row>
    <row r="385" spans="1:23" x14ac:dyDescent="0.25">
      <c r="A385" s="4">
        <v>58837188000298</v>
      </c>
      <c r="B385" s="8" t="s">
        <v>1369</v>
      </c>
      <c r="C385" s="8" t="s">
        <v>1370</v>
      </c>
      <c r="D385" s="7" t="s">
        <v>19</v>
      </c>
      <c r="E385" s="7" t="s">
        <v>215</v>
      </c>
      <c r="F385" s="6">
        <v>2</v>
      </c>
      <c r="G385" s="8" t="s">
        <v>151</v>
      </c>
      <c r="H385" s="8" t="s">
        <v>152</v>
      </c>
      <c r="I385" s="109" t="s">
        <v>556</v>
      </c>
      <c r="J385" s="8" t="s">
        <v>208</v>
      </c>
      <c r="K385" s="14" t="b">
        <v>1</v>
      </c>
      <c r="L385" s="14" t="b">
        <v>0</v>
      </c>
      <c r="M385" s="14" t="b">
        <v>0</v>
      </c>
      <c r="N385" s="14" t="b">
        <v>1</v>
      </c>
      <c r="O385" s="14" t="b">
        <v>1</v>
      </c>
      <c r="W385" s="3"/>
    </row>
    <row r="386" spans="1:23" x14ac:dyDescent="0.25">
      <c r="A386" s="4">
        <v>59970947000178</v>
      </c>
      <c r="B386" s="8" t="s">
        <v>726</v>
      </c>
      <c r="C386" s="8" t="s">
        <v>643</v>
      </c>
      <c r="D386" s="7" t="s">
        <v>19</v>
      </c>
      <c r="E386" s="7" t="s">
        <v>215</v>
      </c>
      <c r="F386" s="6">
        <v>2</v>
      </c>
      <c r="G386" s="8" t="s">
        <v>151</v>
      </c>
      <c r="H386" s="8" t="s">
        <v>152</v>
      </c>
      <c r="I386" s="109" t="s">
        <v>556</v>
      </c>
      <c r="J386" s="8" t="s">
        <v>208</v>
      </c>
      <c r="K386" s="14" t="b">
        <v>1</v>
      </c>
      <c r="L386" s="14" t="b">
        <v>0</v>
      </c>
      <c r="M386" s="14" t="b">
        <v>0</v>
      </c>
      <c r="N386" s="14" t="b">
        <v>1</v>
      </c>
      <c r="O386" s="14" t="b">
        <v>1</v>
      </c>
      <c r="W386" s="3"/>
    </row>
    <row r="387" spans="1:23" x14ac:dyDescent="0.25">
      <c r="A387" s="4">
        <v>59972307000105</v>
      </c>
      <c r="B387" s="8" t="s">
        <v>727</v>
      </c>
      <c r="C387" s="8" t="s">
        <v>643</v>
      </c>
      <c r="D387" s="7" t="s">
        <v>19</v>
      </c>
      <c r="E387" s="7" t="s">
        <v>215</v>
      </c>
      <c r="F387" s="6">
        <v>2</v>
      </c>
      <c r="G387" s="8" t="s">
        <v>151</v>
      </c>
      <c r="H387" s="8" t="s">
        <v>152</v>
      </c>
      <c r="I387" s="109" t="s">
        <v>556</v>
      </c>
      <c r="J387" s="8" t="s">
        <v>208</v>
      </c>
      <c r="K387" s="14" t="b">
        <v>1</v>
      </c>
      <c r="L387" s="14" t="b">
        <v>0</v>
      </c>
      <c r="M387" s="14" t="b">
        <v>0</v>
      </c>
      <c r="N387" s="14" t="b">
        <v>1</v>
      </c>
      <c r="O387" s="14" t="b">
        <v>1</v>
      </c>
      <c r="W387" s="3"/>
    </row>
    <row r="388" spans="1:23" x14ac:dyDescent="0.25">
      <c r="A388" s="4">
        <v>60003761000129</v>
      </c>
      <c r="B388" s="8" t="s">
        <v>728</v>
      </c>
      <c r="C388" s="8" t="s">
        <v>643</v>
      </c>
      <c r="D388" s="7" t="s">
        <v>19</v>
      </c>
      <c r="E388" s="7" t="s">
        <v>215</v>
      </c>
      <c r="F388" s="6">
        <v>2</v>
      </c>
      <c r="G388" s="8" t="s">
        <v>151</v>
      </c>
      <c r="H388" s="8" t="s">
        <v>152</v>
      </c>
      <c r="I388" s="109" t="s">
        <v>556</v>
      </c>
      <c r="J388" s="8" t="s">
        <v>208</v>
      </c>
      <c r="K388" s="14" t="b">
        <v>1</v>
      </c>
      <c r="L388" s="14" t="b">
        <v>0</v>
      </c>
      <c r="M388" s="14" t="b">
        <v>0</v>
      </c>
      <c r="N388" s="14" t="b">
        <v>1</v>
      </c>
      <c r="O388" s="14" t="b">
        <v>1</v>
      </c>
      <c r="W388" s="3"/>
    </row>
    <row r="389" spans="1:23" x14ac:dyDescent="0.25">
      <c r="A389" s="4">
        <v>61699567008924</v>
      </c>
      <c r="B389" s="8" t="s">
        <v>1234</v>
      </c>
      <c r="C389" s="8" t="s">
        <v>1213</v>
      </c>
      <c r="D389" s="7" t="s">
        <v>19</v>
      </c>
      <c r="E389" s="7" t="s">
        <v>215</v>
      </c>
      <c r="F389" s="6">
        <v>2</v>
      </c>
      <c r="G389" s="8" t="s">
        <v>151</v>
      </c>
      <c r="H389" s="8" t="s">
        <v>152</v>
      </c>
      <c r="I389" s="109" t="s">
        <v>556</v>
      </c>
      <c r="J389" s="8" t="s">
        <v>208</v>
      </c>
      <c r="K389" s="14" t="b">
        <v>1</v>
      </c>
      <c r="L389" s="14" t="b">
        <v>0</v>
      </c>
      <c r="M389" s="14" t="b">
        <v>0</v>
      </c>
      <c r="N389" s="14" t="b">
        <v>1</v>
      </c>
      <c r="O389" s="14" t="b">
        <v>1</v>
      </c>
      <c r="W389" s="3"/>
    </row>
    <row r="390" spans="1:23" x14ac:dyDescent="0.25">
      <c r="A390" s="4">
        <v>63025530008270</v>
      </c>
      <c r="B390" s="8" t="s">
        <v>733</v>
      </c>
      <c r="C390" s="8" t="s">
        <v>37</v>
      </c>
      <c r="D390" s="7" t="s">
        <v>19</v>
      </c>
      <c r="E390" s="7" t="s">
        <v>215</v>
      </c>
      <c r="F390" s="6">
        <v>2</v>
      </c>
      <c r="G390" s="8" t="s">
        <v>151</v>
      </c>
      <c r="H390" s="8" t="s">
        <v>152</v>
      </c>
      <c r="I390" s="109" t="s">
        <v>556</v>
      </c>
      <c r="J390" s="8" t="s">
        <v>208</v>
      </c>
      <c r="K390" s="14" t="b">
        <v>1</v>
      </c>
      <c r="L390" s="14" t="b">
        <v>0</v>
      </c>
      <c r="M390" s="14" t="b">
        <v>0</v>
      </c>
      <c r="N390" s="14" t="b">
        <v>1</v>
      </c>
      <c r="O390" s="14" t="b">
        <v>1</v>
      </c>
      <c r="W390" s="3"/>
    </row>
    <row r="391" spans="1:23" x14ac:dyDescent="0.25">
      <c r="A391" s="4">
        <v>68204486000113</v>
      </c>
      <c r="B391" s="8" t="s">
        <v>734</v>
      </c>
      <c r="C391" s="8" t="s">
        <v>46</v>
      </c>
      <c r="D391" s="7" t="s">
        <v>19</v>
      </c>
      <c r="E391" s="7" t="s">
        <v>215</v>
      </c>
      <c r="F391" s="6">
        <v>2</v>
      </c>
      <c r="G391" s="8" t="s">
        <v>151</v>
      </c>
      <c r="H391" s="8" t="s">
        <v>152</v>
      </c>
      <c r="I391" s="109" t="s">
        <v>556</v>
      </c>
      <c r="J391" s="8" t="s">
        <v>208</v>
      </c>
      <c r="K391" s="14" t="b">
        <v>1</v>
      </c>
      <c r="L391" s="14" t="b">
        <v>0</v>
      </c>
      <c r="M391" s="14" t="b">
        <v>0</v>
      </c>
      <c r="N391" s="14" t="b">
        <v>1</v>
      </c>
      <c r="O391" s="14" t="b">
        <v>1</v>
      </c>
      <c r="W391" s="3"/>
    </row>
    <row r="392" spans="1:23" x14ac:dyDescent="0.25">
      <c r="A392" s="4">
        <v>394544000851</v>
      </c>
      <c r="B392" s="8" t="s">
        <v>1136</v>
      </c>
      <c r="C392" s="8" t="s">
        <v>739</v>
      </c>
      <c r="D392" s="7" t="s">
        <v>55</v>
      </c>
      <c r="E392" s="7" t="s">
        <v>215</v>
      </c>
      <c r="F392" s="6">
        <v>2</v>
      </c>
      <c r="G392" s="8" t="s">
        <v>1380</v>
      </c>
      <c r="H392" s="8" t="s">
        <v>1381</v>
      </c>
      <c r="I392" s="109"/>
      <c r="J392" s="8" t="s">
        <v>1382</v>
      </c>
      <c r="K392" s="14" t="b">
        <v>1</v>
      </c>
      <c r="L392" s="14" t="b">
        <v>0</v>
      </c>
      <c r="M392" s="14" t="b">
        <v>0</v>
      </c>
      <c r="N392" s="14" t="b">
        <v>1</v>
      </c>
      <c r="O392" s="14" t="b">
        <v>1</v>
      </c>
      <c r="W392" s="3"/>
    </row>
    <row r="393" spans="1:23" x14ac:dyDescent="0.25">
      <c r="A393" s="4">
        <v>394544000851</v>
      </c>
      <c r="B393" s="8" t="s">
        <v>1136</v>
      </c>
      <c r="C393" s="8" t="s">
        <v>739</v>
      </c>
      <c r="D393" s="7" t="s">
        <v>55</v>
      </c>
      <c r="E393" s="7" t="s">
        <v>215</v>
      </c>
      <c r="F393" s="6">
        <v>2</v>
      </c>
      <c r="G393" s="8" t="s">
        <v>1383</v>
      </c>
      <c r="H393" s="8" t="s">
        <v>1384</v>
      </c>
      <c r="I393" s="109"/>
      <c r="J393" s="8" t="s">
        <v>1382</v>
      </c>
      <c r="K393" s="14" t="b">
        <v>0</v>
      </c>
      <c r="L393" s="14" t="b">
        <v>1</v>
      </c>
      <c r="M393" s="14" t="b">
        <v>1</v>
      </c>
      <c r="N393" s="14" t="b">
        <v>0</v>
      </c>
      <c r="O393" s="14" t="b">
        <v>1</v>
      </c>
      <c r="W393" s="3"/>
    </row>
    <row r="394" spans="1:23" x14ac:dyDescent="0.25">
      <c r="A394" s="4">
        <v>700386513</v>
      </c>
      <c r="B394" s="8" t="s">
        <v>735</v>
      </c>
      <c r="C394" s="8" t="s">
        <v>736</v>
      </c>
      <c r="D394" s="7" t="s">
        <v>85</v>
      </c>
      <c r="E394" s="7" t="s">
        <v>215</v>
      </c>
      <c r="F394" s="6">
        <v>2</v>
      </c>
      <c r="G394" s="8" t="s">
        <v>167</v>
      </c>
      <c r="H394" s="8" t="s">
        <v>168</v>
      </c>
      <c r="I394" s="109" t="s">
        <v>557</v>
      </c>
      <c r="J394" s="8" t="s">
        <v>212</v>
      </c>
      <c r="K394" s="14" t="b">
        <v>0</v>
      </c>
      <c r="L394" s="14" t="b">
        <v>1</v>
      </c>
      <c r="M394" s="14" t="b">
        <v>1</v>
      </c>
      <c r="N394" s="14" t="b">
        <v>0</v>
      </c>
      <c r="O394" s="14" t="b">
        <v>1</v>
      </c>
      <c r="W394" s="3"/>
    </row>
    <row r="395" spans="1:23" x14ac:dyDescent="0.25">
      <c r="A395" s="4">
        <v>9324322559</v>
      </c>
      <c r="B395" s="8" t="s">
        <v>737</v>
      </c>
      <c r="C395" s="8" t="s">
        <v>75</v>
      </c>
      <c r="D395" s="7" t="s">
        <v>74</v>
      </c>
      <c r="E395" s="7" t="s">
        <v>215</v>
      </c>
      <c r="F395" s="6">
        <v>2</v>
      </c>
      <c r="G395" s="8" t="s">
        <v>167</v>
      </c>
      <c r="H395" s="8" t="s">
        <v>168</v>
      </c>
      <c r="I395" s="109" t="s">
        <v>557</v>
      </c>
      <c r="J395" s="8" t="s">
        <v>212</v>
      </c>
      <c r="K395" s="14" t="b">
        <v>0</v>
      </c>
      <c r="L395" s="14" t="b">
        <v>1</v>
      </c>
      <c r="M395" s="14" t="b">
        <v>1</v>
      </c>
      <c r="N395" s="14" t="b">
        <v>0</v>
      </c>
      <c r="O395" s="14" t="b">
        <v>1</v>
      </c>
      <c r="W395" s="3"/>
    </row>
    <row r="396" spans="1:23" x14ac:dyDescent="0.25">
      <c r="A396" s="4">
        <v>25841000153</v>
      </c>
      <c r="B396" s="8" t="s">
        <v>738</v>
      </c>
      <c r="C396" s="8" t="s">
        <v>739</v>
      </c>
      <c r="D396" s="7" t="s">
        <v>55</v>
      </c>
      <c r="E396" s="7" t="s">
        <v>215</v>
      </c>
      <c r="F396" s="6">
        <v>2</v>
      </c>
      <c r="G396" s="8" t="s">
        <v>201</v>
      </c>
      <c r="H396" s="8" t="s">
        <v>202</v>
      </c>
      <c r="I396" s="109" t="s">
        <v>740</v>
      </c>
      <c r="J396" s="8" t="s">
        <v>212</v>
      </c>
      <c r="K396" s="14" t="b">
        <v>1</v>
      </c>
      <c r="L396" s="14" t="b">
        <v>0</v>
      </c>
      <c r="M396" s="14" t="b">
        <v>0</v>
      </c>
      <c r="N396" s="14" t="b">
        <v>1</v>
      </c>
      <c r="O396" s="14" t="b">
        <v>1</v>
      </c>
      <c r="W396" s="3"/>
    </row>
    <row r="397" spans="1:23" x14ac:dyDescent="0.25">
      <c r="A397" s="4">
        <v>25841000153</v>
      </c>
      <c r="B397" s="8" t="s">
        <v>738</v>
      </c>
      <c r="C397" s="8" t="s">
        <v>739</v>
      </c>
      <c r="D397" s="7" t="s">
        <v>55</v>
      </c>
      <c r="E397" s="7" t="s">
        <v>215</v>
      </c>
      <c r="F397" s="6">
        <v>2</v>
      </c>
      <c r="G397" s="8" t="s">
        <v>163</v>
      </c>
      <c r="H397" s="8" t="s">
        <v>164</v>
      </c>
      <c r="I397" s="109" t="s">
        <v>557</v>
      </c>
      <c r="J397" s="8" t="s">
        <v>212</v>
      </c>
      <c r="K397" s="14" t="b">
        <v>0</v>
      </c>
      <c r="L397" s="14" t="b">
        <v>1</v>
      </c>
      <c r="M397" s="14" t="b">
        <v>1</v>
      </c>
      <c r="N397" s="14" t="b">
        <v>0</v>
      </c>
      <c r="O397" s="14" t="b">
        <v>1</v>
      </c>
      <c r="W397" s="3"/>
    </row>
    <row r="398" spans="1:23" x14ac:dyDescent="0.25">
      <c r="A398" s="4">
        <v>44482299472</v>
      </c>
      <c r="B398" s="8" t="s">
        <v>741</v>
      </c>
      <c r="C398" s="8" t="s">
        <v>742</v>
      </c>
      <c r="D398" s="7" t="s">
        <v>91</v>
      </c>
      <c r="E398" s="7" t="s">
        <v>215</v>
      </c>
      <c r="F398" s="6">
        <v>2</v>
      </c>
      <c r="G398" s="8" t="s">
        <v>167</v>
      </c>
      <c r="H398" s="8" t="s">
        <v>168</v>
      </c>
      <c r="I398" s="109" t="s">
        <v>557</v>
      </c>
      <c r="J398" s="8" t="s">
        <v>212</v>
      </c>
      <c r="K398" s="14" t="b">
        <v>0</v>
      </c>
      <c r="L398" s="14" t="b">
        <v>1</v>
      </c>
      <c r="M398" s="14" t="b">
        <v>1</v>
      </c>
      <c r="N398" s="14" t="b">
        <v>0</v>
      </c>
      <c r="O398" s="14" t="b">
        <v>1</v>
      </c>
      <c r="W398" s="3"/>
    </row>
    <row r="399" spans="1:23" x14ac:dyDescent="0.25">
      <c r="A399" s="4">
        <v>49791000144</v>
      </c>
      <c r="B399" s="8" t="s">
        <v>743</v>
      </c>
      <c r="C399" s="8" t="s">
        <v>739</v>
      </c>
      <c r="D399" s="7" t="s">
        <v>55</v>
      </c>
      <c r="E399" s="7" t="s">
        <v>215</v>
      </c>
      <c r="F399" s="6">
        <v>2</v>
      </c>
      <c r="G399" s="8" t="s">
        <v>163</v>
      </c>
      <c r="H399" s="8" t="s">
        <v>164</v>
      </c>
      <c r="I399" s="109" t="s">
        <v>557</v>
      </c>
      <c r="J399" s="8" t="s">
        <v>212</v>
      </c>
      <c r="K399" s="14" t="b">
        <v>0</v>
      </c>
      <c r="L399" s="14" t="b">
        <v>1</v>
      </c>
      <c r="M399" s="14" t="b">
        <v>1</v>
      </c>
      <c r="N399" s="14" t="b">
        <v>0</v>
      </c>
      <c r="O399" s="14" t="b">
        <v>1</v>
      </c>
      <c r="W399" s="3"/>
    </row>
    <row r="400" spans="1:23" x14ac:dyDescent="0.25">
      <c r="A400" s="4">
        <v>49791000144</v>
      </c>
      <c r="B400" s="8" t="s">
        <v>743</v>
      </c>
      <c r="C400" s="8" t="s">
        <v>739</v>
      </c>
      <c r="D400" s="7" t="s">
        <v>55</v>
      </c>
      <c r="E400" s="7" t="s">
        <v>215</v>
      </c>
      <c r="F400" s="6">
        <v>2</v>
      </c>
      <c r="G400" s="8" t="s">
        <v>201</v>
      </c>
      <c r="H400" s="8" t="s">
        <v>202</v>
      </c>
      <c r="I400" s="109" t="s">
        <v>740</v>
      </c>
      <c r="J400" s="8" t="s">
        <v>212</v>
      </c>
      <c r="K400" s="14" t="b">
        <v>1</v>
      </c>
      <c r="L400" s="14" t="b">
        <v>0</v>
      </c>
      <c r="M400" s="14" t="b">
        <v>0</v>
      </c>
      <c r="N400" s="14" t="b">
        <v>1</v>
      </c>
      <c r="O400" s="14" t="b">
        <v>1</v>
      </c>
      <c r="W400" s="3"/>
    </row>
    <row r="401" spans="1:23" x14ac:dyDescent="0.25">
      <c r="A401" s="4">
        <v>53629000108</v>
      </c>
      <c r="B401" s="8" t="s">
        <v>744</v>
      </c>
      <c r="C401" s="8" t="s">
        <v>745</v>
      </c>
      <c r="D401" s="7" t="s">
        <v>59</v>
      </c>
      <c r="E401" s="7" t="s">
        <v>215</v>
      </c>
      <c r="F401" s="6">
        <v>2</v>
      </c>
      <c r="G401" s="8" t="s">
        <v>187</v>
      </c>
      <c r="H401" s="8" t="s">
        <v>188</v>
      </c>
      <c r="I401" s="109" t="s">
        <v>556</v>
      </c>
      <c r="J401" s="8" t="s">
        <v>212</v>
      </c>
      <c r="K401" s="14" t="b">
        <v>1</v>
      </c>
      <c r="L401" s="14" t="b">
        <v>0</v>
      </c>
      <c r="M401" s="14" t="b">
        <v>0</v>
      </c>
      <c r="N401" s="14" t="b">
        <v>1</v>
      </c>
      <c r="O401" s="14" t="b">
        <v>1</v>
      </c>
      <c r="W401" s="3"/>
    </row>
    <row r="402" spans="1:23" x14ac:dyDescent="0.25">
      <c r="A402" s="4">
        <v>53629000108</v>
      </c>
      <c r="B402" s="8" t="s">
        <v>744</v>
      </c>
      <c r="C402" s="8" t="s">
        <v>745</v>
      </c>
      <c r="D402" s="7" t="s">
        <v>59</v>
      </c>
      <c r="E402" s="7" t="s">
        <v>215</v>
      </c>
      <c r="F402" s="6">
        <v>2</v>
      </c>
      <c r="G402" s="8" t="s">
        <v>163</v>
      </c>
      <c r="H402" s="8" t="s">
        <v>164</v>
      </c>
      <c r="I402" s="109" t="s">
        <v>557</v>
      </c>
      <c r="J402" s="8" t="s">
        <v>212</v>
      </c>
      <c r="K402" s="14" t="b">
        <v>0</v>
      </c>
      <c r="L402" s="14" t="b">
        <v>1</v>
      </c>
      <c r="M402" s="14" t="b">
        <v>1</v>
      </c>
      <c r="N402" s="14" t="b">
        <v>0</v>
      </c>
      <c r="O402" s="14" t="b">
        <v>1</v>
      </c>
      <c r="W402" s="3"/>
    </row>
    <row r="403" spans="1:23" x14ac:dyDescent="0.25">
      <c r="A403" s="4">
        <v>83925694404</v>
      </c>
      <c r="B403" s="8" t="s">
        <v>746</v>
      </c>
      <c r="C403" s="8" t="s">
        <v>747</v>
      </c>
      <c r="D403" s="7" t="s">
        <v>56</v>
      </c>
      <c r="E403" s="7" t="s">
        <v>215</v>
      </c>
      <c r="F403" s="6">
        <v>2</v>
      </c>
      <c r="G403" s="8" t="s">
        <v>169</v>
      </c>
      <c r="H403" s="8" t="s">
        <v>170</v>
      </c>
      <c r="I403" s="109" t="s">
        <v>557</v>
      </c>
      <c r="J403" s="8" t="s">
        <v>212</v>
      </c>
      <c r="K403" s="14" t="b">
        <v>0</v>
      </c>
      <c r="L403" s="14" t="b">
        <v>1</v>
      </c>
      <c r="M403" s="14" t="b">
        <v>1</v>
      </c>
      <c r="N403" s="14" t="b">
        <v>0</v>
      </c>
      <c r="O403" s="14" t="b">
        <v>1</v>
      </c>
      <c r="W403" s="3"/>
    </row>
    <row r="404" spans="1:23" x14ac:dyDescent="0.25">
      <c r="A404" s="4">
        <v>85465526149</v>
      </c>
      <c r="B404" s="8" t="s">
        <v>748</v>
      </c>
      <c r="C404" s="8" t="s">
        <v>739</v>
      </c>
      <c r="D404" s="7" t="s">
        <v>55</v>
      </c>
      <c r="E404" s="7" t="s">
        <v>215</v>
      </c>
      <c r="F404" s="6">
        <v>2</v>
      </c>
      <c r="G404" s="8" t="s">
        <v>201</v>
      </c>
      <c r="H404" s="8" t="s">
        <v>202</v>
      </c>
      <c r="I404" s="109" t="s">
        <v>740</v>
      </c>
      <c r="J404" s="8" t="s">
        <v>212</v>
      </c>
      <c r="K404" s="14" t="b">
        <v>1</v>
      </c>
      <c r="L404" s="14" t="b">
        <v>0</v>
      </c>
      <c r="M404" s="14" t="b">
        <v>0</v>
      </c>
      <c r="N404" s="14" t="b">
        <v>1</v>
      </c>
      <c r="O404" s="14" t="b">
        <v>1</v>
      </c>
      <c r="W404" s="3"/>
    </row>
    <row r="405" spans="1:23" x14ac:dyDescent="0.25">
      <c r="A405" s="4">
        <v>85465526149</v>
      </c>
      <c r="B405" s="8" t="s">
        <v>748</v>
      </c>
      <c r="C405" s="8" t="s">
        <v>739</v>
      </c>
      <c r="D405" s="7" t="s">
        <v>55</v>
      </c>
      <c r="E405" s="7" t="s">
        <v>215</v>
      </c>
      <c r="F405" s="6">
        <v>2</v>
      </c>
      <c r="G405" s="8" t="s">
        <v>163</v>
      </c>
      <c r="H405" s="8" t="s">
        <v>164</v>
      </c>
      <c r="I405" s="109" t="s">
        <v>557</v>
      </c>
      <c r="J405" s="8" t="s">
        <v>212</v>
      </c>
      <c r="K405" s="14" t="b">
        <v>0</v>
      </c>
      <c r="L405" s="14" t="b">
        <v>1</v>
      </c>
      <c r="M405" s="14" t="b">
        <v>1</v>
      </c>
      <c r="N405" s="14" t="b">
        <v>0</v>
      </c>
      <c r="O405" s="14" t="b">
        <v>1</v>
      </c>
      <c r="W405" s="3"/>
    </row>
    <row r="406" spans="1:23" x14ac:dyDescent="0.25">
      <c r="A406" s="4">
        <v>382069000127</v>
      </c>
      <c r="B406" s="8" t="s">
        <v>749</v>
      </c>
      <c r="C406" s="8" t="s">
        <v>739</v>
      </c>
      <c r="D406" s="7" t="s">
        <v>55</v>
      </c>
      <c r="E406" s="7" t="s">
        <v>215</v>
      </c>
      <c r="F406" s="6">
        <v>2</v>
      </c>
      <c r="G406" s="8" t="s">
        <v>201</v>
      </c>
      <c r="H406" s="8" t="s">
        <v>202</v>
      </c>
      <c r="I406" s="109" t="s">
        <v>740</v>
      </c>
      <c r="J406" s="8" t="s">
        <v>212</v>
      </c>
      <c r="K406" s="14" t="b">
        <v>1</v>
      </c>
      <c r="L406" s="14" t="b">
        <v>0</v>
      </c>
      <c r="M406" s="14" t="b">
        <v>0</v>
      </c>
      <c r="N406" s="14" t="b">
        <v>1</v>
      </c>
      <c r="O406" s="14" t="b">
        <v>1</v>
      </c>
      <c r="W406" s="3"/>
    </row>
    <row r="407" spans="1:23" x14ac:dyDescent="0.25">
      <c r="A407" s="4">
        <v>382069000127</v>
      </c>
      <c r="B407" s="8" t="s">
        <v>749</v>
      </c>
      <c r="C407" s="8" t="s">
        <v>739</v>
      </c>
      <c r="D407" s="7" t="s">
        <v>55</v>
      </c>
      <c r="E407" s="7" t="s">
        <v>215</v>
      </c>
      <c r="F407" s="6">
        <v>2</v>
      </c>
      <c r="G407" s="8" t="s">
        <v>163</v>
      </c>
      <c r="H407" s="8" t="s">
        <v>164</v>
      </c>
      <c r="I407" s="109" t="s">
        <v>557</v>
      </c>
      <c r="J407" s="8" t="s">
        <v>212</v>
      </c>
      <c r="K407" s="14" t="b">
        <v>0</v>
      </c>
      <c r="L407" s="14" t="b">
        <v>1</v>
      </c>
      <c r="M407" s="14" t="b">
        <v>1</v>
      </c>
      <c r="N407" s="14" t="b">
        <v>0</v>
      </c>
      <c r="O407" s="14" t="b">
        <v>1</v>
      </c>
      <c r="W407" s="3"/>
    </row>
    <row r="408" spans="1:23" x14ac:dyDescent="0.25">
      <c r="A408" s="4">
        <v>394429019391</v>
      </c>
      <c r="B408" s="8" t="s">
        <v>750</v>
      </c>
      <c r="C408" s="8" t="s">
        <v>70</v>
      </c>
      <c r="D408" s="7" t="s">
        <v>71</v>
      </c>
      <c r="E408" s="7" t="s">
        <v>215</v>
      </c>
      <c r="F408" s="6">
        <v>2</v>
      </c>
      <c r="G408" s="8" t="s">
        <v>169</v>
      </c>
      <c r="H408" s="8" t="s">
        <v>170</v>
      </c>
      <c r="I408" s="109" t="s">
        <v>557</v>
      </c>
      <c r="J408" s="8" t="s">
        <v>212</v>
      </c>
      <c r="K408" s="14" t="b">
        <v>0</v>
      </c>
      <c r="L408" s="14" t="b">
        <v>1</v>
      </c>
      <c r="M408" s="14" t="b">
        <v>1</v>
      </c>
      <c r="N408" s="14" t="b">
        <v>0</v>
      </c>
      <c r="O408" s="14" t="b">
        <v>1</v>
      </c>
      <c r="W408" s="3"/>
    </row>
    <row r="409" spans="1:23" x14ac:dyDescent="0.25">
      <c r="A409" s="4">
        <v>394502006770</v>
      </c>
      <c r="B409" s="8" t="s">
        <v>1385</v>
      </c>
      <c r="C409" s="8" t="s">
        <v>75</v>
      </c>
      <c r="D409" s="7" t="s">
        <v>74</v>
      </c>
      <c r="E409" s="7" t="s">
        <v>215</v>
      </c>
      <c r="F409" s="6">
        <v>2</v>
      </c>
      <c r="G409" s="8" t="s">
        <v>167</v>
      </c>
      <c r="H409" s="8" t="s">
        <v>168</v>
      </c>
      <c r="I409" s="109" t="s">
        <v>557</v>
      </c>
      <c r="J409" s="8" t="s">
        <v>212</v>
      </c>
      <c r="K409" s="14" t="b">
        <v>0</v>
      </c>
      <c r="L409" s="14" t="b">
        <v>1</v>
      </c>
      <c r="M409" s="14" t="b">
        <v>1</v>
      </c>
      <c r="N409" s="14" t="b">
        <v>0</v>
      </c>
      <c r="O409" s="14" t="b">
        <v>1</v>
      </c>
      <c r="W409" s="3"/>
    </row>
    <row r="410" spans="1:23" x14ac:dyDescent="0.25">
      <c r="A410" s="4">
        <v>418954000119</v>
      </c>
      <c r="B410" s="8" t="s">
        <v>751</v>
      </c>
      <c r="C410" s="8" t="s">
        <v>745</v>
      </c>
      <c r="D410" s="7" t="s">
        <v>59</v>
      </c>
      <c r="E410" s="7" t="s">
        <v>215</v>
      </c>
      <c r="F410" s="6">
        <v>2</v>
      </c>
      <c r="G410" s="8" t="s">
        <v>163</v>
      </c>
      <c r="H410" s="8" t="s">
        <v>164</v>
      </c>
      <c r="I410" s="109" t="s">
        <v>557</v>
      </c>
      <c r="J410" s="8" t="s">
        <v>212</v>
      </c>
      <c r="K410" s="14" t="b">
        <v>0</v>
      </c>
      <c r="L410" s="14" t="b">
        <v>1</v>
      </c>
      <c r="M410" s="14" t="b">
        <v>1</v>
      </c>
      <c r="N410" s="14" t="b">
        <v>0</v>
      </c>
      <c r="O410" s="14" t="b">
        <v>1</v>
      </c>
      <c r="W410" s="3"/>
    </row>
    <row r="411" spans="1:23" x14ac:dyDescent="0.25">
      <c r="A411" s="4">
        <v>418954000119</v>
      </c>
      <c r="B411" s="8" t="s">
        <v>751</v>
      </c>
      <c r="C411" s="8" t="s">
        <v>745</v>
      </c>
      <c r="D411" s="7" t="s">
        <v>59</v>
      </c>
      <c r="E411" s="7" t="s">
        <v>215</v>
      </c>
      <c r="F411" s="6">
        <v>2</v>
      </c>
      <c r="G411" s="8" t="s">
        <v>187</v>
      </c>
      <c r="H411" s="8" t="s">
        <v>188</v>
      </c>
      <c r="I411" s="109" t="s">
        <v>556</v>
      </c>
      <c r="J411" s="8" t="s">
        <v>212</v>
      </c>
      <c r="K411" s="14" t="b">
        <v>1</v>
      </c>
      <c r="L411" s="14" t="b">
        <v>0</v>
      </c>
      <c r="M411" s="14" t="b">
        <v>0</v>
      </c>
      <c r="N411" s="14" t="b">
        <v>1</v>
      </c>
      <c r="O411" s="14" t="b">
        <v>1</v>
      </c>
      <c r="W411" s="3"/>
    </row>
    <row r="412" spans="1:23" x14ac:dyDescent="0.25">
      <c r="A412" s="4">
        <v>418954000704</v>
      </c>
      <c r="B412" s="8" t="s">
        <v>752</v>
      </c>
      <c r="C412" s="8" t="s">
        <v>753</v>
      </c>
      <c r="D412" s="7" t="s">
        <v>59</v>
      </c>
      <c r="E412" s="7" t="s">
        <v>215</v>
      </c>
      <c r="F412" s="6">
        <v>2</v>
      </c>
      <c r="G412" s="8" t="s">
        <v>187</v>
      </c>
      <c r="H412" s="8" t="s">
        <v>188</v>
      </c>
      <c r="I412" s="109" t="s">
        <v>556</v>
      </c>
      <c r="J412" s="8" t="s">
        <v>212</v>
      </c>
      <c r="K412" s="14" t="b">
        <v>1</v>
      </c>
      <c r="L412" s="14" t="b">
        <v>0</v>
      </c>
      <c r="M412" s="14" t="b">
        <v>0</v>
      </c>
      <c r="N412" s="14" t="b">
        <v>1</v>
      </c>
      <c r="O412" s="14" t="b">
        <v>1</v>
      </c>
      <c r="W412" s="3"/>
    </row>
    <row r="413" spans="1:23" x14ac:dyDescent="0.25">
      <c r="A413" s="4">
        <v>418954000704</v>
      </c>
      <c r="B413" s="8" t="s">
        <v>752</v>
      </c>
      <c r="C413" s="8" t="s">
        <v>753</v>
      </c>
      <c r="D413" s="7" t="s">
        <v>59</v>
      </c>
      <c r="E413" s="7" t="s">
        <v>215</v>
      </c>
      <c r="F413" s="6">
        <v>2</v>
      </c>
      <c r="G413" s="8" t="s">
        <v>163</v>
      </c>
      <c r="H413" s="8" t="s">
        <v>164</v>
      </c>
      <c r="I413" s="109" t="s">
        <v>557</v>
      </c>
      <c r="J413" s="8" t="s">
        <v>212</v>
      </c>
      <c r="K413" s="14" t="b">
        <v>0</v>
      </c>
      <c r="L413" s="14" t="b">
        <v>1</v>
      </c>
      <c r="M413" s="14" t="b">
        <v>1</v>
      </c>
      <c r="N413" s="14" t="b">
        <v>0</v>
      </c>
      <c r="O413" s="14" t="b">
        <v>1</v>
      </c>
      <c r="W413" s="3"/>
    </row>
    <row r="414" spans="1:23" x14ac:dyDescent="0.25">
      <c r="A414" s="4">
        <v>511816000180</v>
      </c>
      <c r="B414" s="8" t="s">
        <v>754</v>
      </c>
      <c r="C414" s="8" t="s">
        <v>739</v>
      </c>
      <c r="D414" s="7" t="s">
        <v>55</v>
      </c>
      <c r="E414" s="7" t="s">
        <v>215</v>
      </c>
      <c r="F414" s="6">
        <v>2</v>
      </c>
      <c r="G414" s="8" t="s">
        <v>201</v>
      </c>
      <c r="H414" s="8" t="s">
        <v>202</v>
      </c>
      <c r="I414" s="109" t="s">
        <v>740</v>
      </c>
      <c r="J414" s="8" t="s">
        <v>212</v>
      </c>
      <c r="K414" s="14" t="b">
        <v>1</v>
      </c>
      <c r="L414" s="14" t="b">
        <v>0</v>
      </c>
      <c r="M414" s="14" t="b">
        <v>0</v>
      </c>
      <c r="N414" s="14" t="b">
        <v>1</v>
      </c>
      <c r="O414" s="14" t="b">
        <v>1</v>
      </c>
      <c r="W414" s="3"/>
    </row>
    <row r="415" spans="1:23" x14ac:dyDescent="0.25">
      <c r="A415" s="4">
        <v>511816000180</v>
      </c>
      <c r="B415" s="8" t="s">
        <v>754</v>
      </c>
      <c r="C415" s="8" t="s">
        <v>739</v>
      </c>
      <c r="D415" s="7" t="s">
        <v>55</v>
      </c>
      <c r="E415" s="7" t="s">
        <v>215</v>
      </c>
      <c r="F415" s="6">
        <v>2</v>
      </c>
      <c r="G415" s="8" t="s">
        <v>163</v>
      </c>
      <c r="H415" s="8" t="s">
        <v>164</v>
      </c>
      <c r="I415" s="109" t="s">
        <v>557</v>
      </c>
      <c r="J415" s="8" t="s">
        <v>212</v>
      </c>
      <c r="K415" s="14" t="b">
        <v>0</v>
      </c>
      <c r="L415" s="14" t="b">
        <v>1</v>
      </c>
      <c r="M415" s="14" t="b">
        <v>1</v>
      </c>
      <c r="N415" s="14" t="b">
        <v>0</v>
      </c>
      <c r="O415" s="14" t="b">
        <v>1</v>
      </c>
      <c r="W415" s="3"/>
    </row>
    <row r="416" spans="1:23" x14ac:dyDescent="0.25">
      <c r="A416" s="4">
        <v>520237000101</v>
      </c>
      <c r="B416" s="8" t="s">
        <v>755</v>
      </c>
      <c r="C416" s="8" t="s">
        <v>739</v>
      </c>
      <c r="D416" s="7" t="s">
        <v>55</v>
      </c>
      <c r="E416" s="7" t="s">
        <v>215</v>
      </c>
      <c r="F416" s="6">
        <v>2</v>
      </c>
      <c r="G416" s="8" t="s">
        <v>163</v>
      </c>
      <c r="H416" s="8" t="s">
        <v>164</v>
      </c>
      <c r="I416" s="109" t="s">
        <v>557</v>
      </c>
      <c r="J416" s="8" t="s">
        <v>212</v>
      </c>
      <c r="K416" s="14" t="b">
        <v>0</v>
      </c>
      <c r="L416" s="14" t="b">
        <v>1</v>
      </c>
      <c r="M416" s="14" t="b">
        <v>1</v>
      </c>
      <c r="N416" s="14" t="b">
        <v>0</v>
      </c>
      <c r="O416" s="14" t="b">
        <v>1</v>
      </c>
      <c r="W416" s="3"/>
    </row>
    <row r="417" spans="1:23" x14ac:dyDescent="0.25">
      <c r="A417" s="4">
        <v>520237000101</v>
      </c>
      <c r="B417" s="8" t="s">
        <v>755</v>
      </c>
      <c r="C417" s="8" t="s">
        <v>739</v>
      </c>
      <c r="D417" s="7" t="s">
        <v>55</v>
      </c>
      <c r="E417" s="7" t="s">
        <v>215</v>
      </c>
      <c r="F417" s="6">
        <v>2</v>
      </c>
      <c r="G417" s="8" t="s">
        <v>201</v>
      </c>
      <c r="H417" s="8" t="s">
        <v>202</v>
      </c>
      <c r="I417" s="109" t="s">
        <v>740</v>
      </c>
      <c r="J417" s="8" t="s">
        <v>212</v>
      </c>
      <c r="K417" s="14" t="b">
        <v>1</v>
      </c>
      <c r="L417" s="14" t="b">
        <v>0</v>
      </c>
      <c r="M417" s="14" t="b">
        <v>0</v>
      </c>
      <c r="N417" s="14" t="b">
        <v>1</v>
      </c>
      <c r="O417" s="14" t="b">
        <v>1</v>
      </c>
      <c r="W417" s="3"/>
    </row>
    <row r="418" spans="1:23" x14ac:dyDescent="0.25">
      <c r="A418" s="4">
        <v>610980000144</v>
      </c>
      <c r="B418" s="8" t="s">
        <v>756</v>
      </c>
      <c r="C418" s="8" t="s">
        <v>739</v>
      </c>
      <c r="D418" s="7" t="s">
        <v>55</v>
      </c>
      <c r="E418" s="7" t="s">
        <v>215</v>
      </c>
      <c r="F418" s="6">
        <v>2</v>
      </c>
      <c r="G418" s="8" t="s">
        <v>201</v>
      </c>
      <c r="H418" s="8" t="s">
        <v>202</v>
      </c>
      <c r="I418" s="109" t="s">
        <v>740</v>
      </c>
      <c r="J418" s="8" t="s">
        <v>212</v>
      </c>
      <c r="K418" s="14" t="b">
        <v>1</v>
      </c>
      <c r="L418" s="14" t="b">
        <v>0</v>
      </c>
      <c r="M418" s="14" t="b">
        <v>0</v>
      </c>
      <c r="N418" s="14" t="b">
        <v>1</v>
      </c>
      <c r="O418" s="14" t="b">
        <v>1</v>
      </c>
      <c r="W418" s="3"/>
    </row>
    <row r="419" spans="1:23" x14ac:dyDescent="0.25">
      <c r="A419" s="4">
        <v>610980000144</v>
      </c>
      <c r="B419" s="8" t="s">
        <v>756</v>
      </c>
      <c r="C419" s="8" t="s">
        <v>739</v>
      </c>
      <c r="D419" s="7" t="s">
        <v>55</v>
      </c>
      <c r="E419" s="7" t="s">
        <v>215</v>
      </c>
      <c r="F419" s="6">
        <v>2</v>
      </c>
      <c r="G419" s="8" t="s">
        <v>163</v>
      </c>
      <c r="H419" s="8" t="s">
        <v>164</v>
      </c>
      <c r="I419" s="109" t="s">
        <v>557</v>
      </c>
      <c r="J419" s="8" t="s">
        <v>212</v>
      </c>
      <c r="K419" s="14" t="b">
        <v>0</v>
      </c>
      <c r="L419" s="14" t="b">
        <v>1</v>
      </c>
      <c r="M419" s="14" t="b">
        <v>1</v>
      </c>
      <c r="N419" s="14" t="b">
        <v>0</v>
      </c>
      <c r="O419" s="14" t="b">
        <v>1</v>
      </c>
      <c r="W419" s="3"/>
    </row>
    <row r="420" spans="1:23" x14ac:dyDescent="0.25">
      <c r="A420" s="4">
        <v>820737000150</v>
      </c>
      <c r="B420" s="8" t="s">
        <v>757</v>
      </c>
      <c r="C420" s="8" t="s">
        <v>62</v>
      </c>
      <c r="D420" s="7" t="s">
        <v>63</v>
      </c>
      <c r="E420" s="7" t="s">
        <v>215</v>
      </c>
      <c r="F420" s="6">
        <v>2</v>
      </c>
      <c r="G420" s="8" t="s">
        <v>169</v>
      </c>
      <c r="H420" s="8" t="s">
        <v>170</v>
      </c>
      <c r="I420" s="109" t="s">
        <v>557</v>
      </c>
      <c r="J420" s="8" t="s">
        <v>212</v>
      </c>
      <c r="K420" s="14" t="b">
        <v>0</v>
      </c>
      <c r="L420" s="14" t="b">
        <v>1</v>
      </c>
      <c r="M420" s="14" t="b">
        <v>1</v>
      </c>
      <c r="N420" s="14" t="b">
        <v>0</v>
      </c>
      <c r="O420" s="14" t="b">
        <v>1</v>
      </c>
      <c r="W420" s="3"/>
    </row>
    <row r="421" spans="1:23" x14ac:dyDescent="0.25">
      <c r="A421" s="4">
        <v>860841000179</v>
      </c>
      <c r="B421" s="8" t="s">
        <v>758</v>
      </c>
      <c r="C421" s="8" t="s">
        <v>64</v>
      </c>
      <c r="D421" s="7" t="s">
        <v>65</v>
      </c>
      <c r="E421" s="7" t="s">
        <v>215</v>
      </c>
      <c r="F421" s="6">
        <v>2</v>
      </c>
      <c r="G421" s="8" t="s">
        <v>163</v>
      </c>
      <c r="H421" s="8" t="s">
        <v>164</v>
      </c>
      <c r="I421" s="109" t="s">
        <v>557</v>
      </c>
      <c r="J421" s="8" t="s">
        <v>212</v>
      </c>
      <c r="K421" s="14" t="b">
        <v>0</v>
      </c>
      <c r="L421" s="14" t="b">
        <v>1</v>
      </c>
      <c r="M421" s="14" t="b">
        <v>1</v>
      </c>
      <c r="N421" s="14" t="b">
        <v>0</v>
      </c>
      <c r="O421" s="14" t="b">
        <v>1</v>
      </c>
      <c r="W421" s="3"/>
    </row>
    <row r="422" spans="1:23" x14ac:dyDescent="0.25">
      <c r="A422" s="4">
        <v>860841000179</v>
      </c>
      <c r="B422" s="8" t="s">
        <v>758</v>
      </c>
      <c r="C422" s="8" t="s">
        <v>64</v>
      </c>
      <c r="D422" s="7" t="s">
        <v>65</v>
      </c>
      <c r="E422" s="7" t="s">
        <v>215</v>
      </c>
      <c r="F422" s="6">
        <v>2</v>
      </c>
      <c r="G422" s="8" t="s">
        <v>187</v>
      </c>
      <c r="H422" s="8" t="s">
        <v>188</v>
      </c>
      <c r="I422" s="109" t="s">
        <v>556</v>
      </c>
      <c r="J422" s="8" t="s">
        <v>212</v>
      </c>
      <c r="K422" s="14" t="b">
        <v>1</v>
      </c>
      <c r="L422" s="14" t="b">
        <v>0</v>
      </c>
      <c r="M422" s="14" t="b">
        <v>0</v>
      </c>
      <c r="N422" s="14" t="b">
        <v>1</v>
      </c>
      <c r="O422" s="14" t="b">
        <v>1</v>
      </c>
      <c r="W422" s="3"/>
    </row>
    <row r="423" spans="1:23" x14ac:dyDescent="0.25">
      <c r="A423" s="4">
        <v>1011865000116</v>
      </c>
      <c r="B423" s="8" t="s">
        <v>759</v>
      </c>
      <c r="C423" s="8" t="s">
        <v>745</v>
      </c>
      <c r="D423" s="7" t="s">
        <v>59</v>
      </c>
      <c r="E423" s="7" t="s">
        <v>215</v>
      </c>
      <c r="F423" s="6">
        <v>2</v>
      </c>
      <c r="G423" s="8" t="s">
        <v>163</v>
      </c>
      <c r="H423" s="8" t="s">
        <v>164</v>
      </c>
      <c r="I423" s="109" t="s">
        <v>557</v>
      </c>
      <c r="J423" s="8" t="s">
        <v>212</v>
      </c>
      <c r="K423" s="14" t="b">
        <v>0</v>
      </c>
      <c r="L423" s="14" t="b">
        <v>1</v>
      </c>
      <c r="M423" s="14" t="b">
        <v>1</v>
      </c>
      <c r="N423" s="14" t="b">
        <v>0</v>
      </c>
      <c r="O423" s="14" t="b">
        <v>1</v>
      </c>
      <c r="W423" s="3"/>
    </row>
    <row r="424" spans="1:23" x14ac:dyDescent="0.25">
      <c r="A424" s="4">
        <v>1011865000116</v>
      </c>
      <c r="B424" s="8" t="s">
        <v>759</v>
      </c>
      <c r="C424" s="8" t="s">
        <v>745</v>
      </c>
      <c r="D424" s="7" t="s">
        <v>59</v>
      </c>
      <c r="E424" s="7" t="s">
        <v>215</v>
      </c>
      <c r="F424" s="6">
        <v>2</v>
      </c>
      <c r="G424" s="8" t="s">
        <v>187</v>
      </c>
      <c r="H424" s="8" t="s">
        <v>188</v>
      </c>
      <c r="I424" s="109" t="s">
        <v>556</v>
      </c>
      <c r="J424" s="8" t="s">
        <v>212</v>
      </c>
      <c r="K424" s="14" t="b">
        <v>1</v>
      </c>
      <c r="L424" s="14" t="b">
        <v>0</v>
      </c>
      <c r="M424" s="14" t="b">
        <v>0</v>
      </c>
      <c r="N424" s="14" t="b">
        <v>1</v>
      </c>
      <c r="O424" s="14" t="b">
        <v>1</v>
      </c>
      <c r="W424" s="3"/>
    </row>
    <row r="425" spans="1:23" x14ac:dyDescent="0.25">
      <c r="A425" s="4">
        <v>1277573000120</v>
      </c>
      <c r="B425" s="8" t="s">
        <v>760</v>
      </c>
      <c r="C425" s="8" t="s">
        <v>745</v>
      </c>
      <c r="D425" s="7" t="s">
        <v>59</v>
      </c>
      <c r="E425" s="7" t="s">
        <v>215</v>
      </c>
      <c r="F425" s="6">
        <v>2</v>
      </c>
      <c r="G425" s="8" t="s">
        <v>163</v>
      </c>
      <c r="H425" s="8" t="s">
        <v>164</v>
      </c>
      <c r="I425" s="109" t="s">
        <v>557</v>
      </c>
      <c r="J425" s="8" t="s">
        <v>212</v>
      </c>
      <c r="K425" s="14" t="b">
        <v>0</v>
      </c>
      <c r="L425" s="14" t="b">
        <v>1</v>
      </c>
      <c r="M425" s="14" t="b">
        <v>1</v>
      </c>
      <c r="N425" s="14" t="b">
        <v>0</v>
      </c>
      <c r="O425" s="14" t="b">
        <v>1</v>
      </c>
      <c r="W425" s="3"/>
    </row>
    <row r="426" spans="1:23" x14ac:dyDescent="0.25">
      <c r="A426" s="4">
        <v>1277573000120</v>
      </c>
      <c r="B426" s="8" t="s">
        <v>760</v>
      </c>
      <c r="C426" s="8" t="s">
        <v>745</v>
      </c>
      <c r="D426" s="7" t="s">
        <v>59</v>
      </c>
      <c r="E426" s="7" t="s">
        <v>215</v>
      </c>
      <c r="F426" s="6">
        <v>2</v>
      </c>
      <c r="G426" s="8" t="s">
        <v>187</v>
      </c>
      <c r="H426" s="8" t="s">
        <v>188</v>
      </c>
      <c r="I426" s="109" t="s">
        <v>556</v>
      </c>
      <c r="J426" s="8" t="s">
        <v>212</v>
      </c>
      <c r="K426" s="14" t="b">
        <v>1</v>
      </c>
      <c r="L426" s="14" t="b">
        <v>0</v>
      </c>
      <c r="M426" s="14" t="b">
        <v>0</v>
      </c>
      <c r="N426" s="14" t="b">
        <v>1</v>
      </c>
      <c r="O426" s="14" t="b">
        <v>1</v>
      </c>
      <c r="W426" s="3"/>
    </row>
    <row r="427" spans="1:23" x14ac:dyDescent="0.25">
      <c r="A427" s="4">
        <v>1326206000179</v>
      </c>
      <c r="B427" s="8" t="s">
        <v>761</v>
      </c>
      <c r="C427" s="8" t="s">
        <v>762</v>
      </c>
      <c r="D427" s="7" t="s">
        <v>59</v>
      </c>
      <c r="E427" s="7" t="s">
        <v>215</v>
      </c>
      <c r="F427" s="6">
        <v>2</v>
      </c>
      <c r="G427" s="8" t="s">
        <v>187</v>
      </c>
      <c r="H427" s="8" t="s">
        <v>188</v>
      </c>
      <c r="I427" s="109" t="s">
        <v>556</v>
      </c>
      <c r="J427" s="8" t="s">
        <v>212</v>
      </c>
      <c r="K427" s="14" t="b">
        <v>1</v>
      </c>
      <c r="L427" s="14" t="b">
        <v>0</v>
      </c>
      <c r="M427" s="14" t="b">
        <v>0</v>
      </c>
      <c r="N427" s="14" t="b">
        <v>1</v>
      </c>
      <c r="O427" s="14" t="b">
        <v>1</v>
      </c>
      <c r="W427" s="3"/>
    </row>
    <row r="428" spans="1:23" x14ac:dyDescent="0.25">
      <c r="A428" s="4">
        <v>1326206000179</v>
      </c>
      <c r="B428" s="8" t="s">
        <v>761</v>
      </c>
      <c r="C428" s="8" t="s">
        <v>762</v>
      </c>
      <c r="D428" s="7" t="s">
        <v>59</v>
      </c>
      <c r="E428" s="7" t="s">
        <v>215</v>
      </c>
      <c r="F428" s="6">
        <v>2</v>
      </c>
      <c r="G428" s="8" t="s">
        <v>163</v>
      </c>
      <c r="H428" s="8" t="s">
        <v>164</v>
      </c>
      <c r="I428" s="109" t="s">
        <v>557</v>
      </c>
      <c r="J428" s="8" t="s">
        <v>212</v>
      </c>
      <c r="K428" s="14" t="b">
        <v>0</v>
      </c>
      <c r="L428" s="14" t="b">
        <v>1</v>
      </c>
      <c r="M428" s="14" t="b">
        <v>1</v>
      </c>
      <c r="N428" s="14" t="b">
        <v>0</v>
      </c>
      <c r="O428" s="14" t="b">
        <v>1</v>
      </c>
      <c r="W428" s="3"/>
    </row>
    <row r="429" spans="1:23" x14ac:dyDescent="0.25">
      <c r="A429" s="4">
        <v>1383835000130</v>
      </c>
      <c r="B429" s="8" t="s">
        <v>763</v>
      </c>
      <c r="C429" s="8" t="s">
        <v>114</v>
      </c>
      <c r="D429" s="7" t="s">
        <v>69</v>
      </c>
      <c r="E429" s="7" t="s">
        <v>215</v>
      </c>
      <c r="F429" s="6">
        <v>2</v>
      </c>
      <c r="G429" s="8" t="s">
        <v>163</v>
      </c>
      <c r="H429" s="8" t="s">
        <v>164</v>
      </c>
      <c r="I429" s="109" t="s">
        <v>557</v>
      </c>
      <c r="J429" s="8" t="s">
        <v>212</v>
      </c>
      <c r="K429" s="14" t="b">
        <v>0</v>
      </c>
      <c r="L429" s="14" t="b">
        <v>1</v>
      </c>
      <c r="M429" s="14" t="b">
        <v>1</v>
      </c>
      <c r="N429" s="14" t="b">
        <v>0</v>
      </c>
      <c r="O429" s="14" t="b">
        <v>1</v>
      </c>
      <c r="W429" s="3"/>
    </row>
    <row r="430" spans="1:23" x14ac:dyDescent="0.25">
      <c r="A430" s="4">
        <v>1383835000130</v>
      </c>
      <c r="B430" s="8" t="s">
        <v>763</v>
      </c>
      <c r="C430" s="8" t="s">
        <v>114</v>
      </c>
      <c r="D430" s="7" t="s">
        <v>69</v>
      </c>
      <c r="E430" s="7" t="s">
        <v>215</v>
      </c>
      <c r="F430" s="6">
        <v>2</v>
      </c>
      <c r="G430" s="8" t="s">
        <v>187</v>
      </c>
      <c r="H430" s="8" t="s">
        <v>188</v>
      </c>
      <c r="I430" s="109" t="s">
        <v>556</v>
      </c>
      <c r="J430" s="8" t="s">
        <v>212</v>
      </c>
      <c r="K430" s="14" t="b">
        <v>1</v>
      </c>
      <c r="L430" s="14" t="b">
        <v>0</v>
      </c>
      <c r="M430" s="14" t="b">
        <v>0</v>
      </c>
      <c r="N430" s="14" t="b">
        <v>1</v>
      </c>
      <c r="O430" s="14" t="b">
        <v>1</v>
      </c>
      <c r="W430" s="3"/>
    </row>
    <row r="431" spans="1:23" x14ac:dyDescent="0.25">
      <c r="A431" s="4">
        <v>1454407000151</v>
      </c>
      <c r="B431" s="8" t="s">
        <v>764</v>
      </c>
      <c r="C431" s="8" t="s">
        <v>742</v>
      </c>
      <c r="D431" s="7" t="s">
        <v>91</v>
      </c>
      <c r="E431" s="7" t="s">
        <v>215</v>
      </c>
      <c r="F431" s="6">
        <v>2</v>
      </c>
      <c r="G431" s="8" t="s">
        <v>167</v>
      </c>
      <c r="H431" s="8" t="s">
        <v>168</v>
      </c>
      <c r="I431" s="109" t="s">
        <v>557</v>
      </c>
      <c r="J431" s="8" t="s">
        <v>212</v>
      </c>
      <c r="K431" s="14" t="b">
        <v>0</v>
      </c>
      <c r="L431" s="14" t="b">
        <v>1</v>
      </c>
      <c r="M431" s="14" t="b">
        <v>1</v>
      </c>
      <c r="N431" s="14" t="b">
        <v>0</v>
      </c>
      <c r="O431" s="14" t="b">
        <v>1</v>
      </c>
      <c r="W431" s="3"/>
    </row>
    <row r="432" spans="1:23" x14ac:dyDescent="0.25">
      <c r="A432" s="4">
        <v>1507901000137</v>
      </c>
      <c r="B432" s="8" t="s">
        <v>765</v>
      </c>
      <c r="C432" s="8" t="s">
        <v>62</v>
      </c>
      <c r="D432" s="7" t="s">
        <v>63</v>
      </c>
      <c r="E432" s="7" t="s">
        <v>215</v>
      </c>
      <c r="F432" s="6">
        <v>2</v>
      </c>
      <c r="G432" s="8" t="s">
        <v>169</v>
      </c>
      <c r="H432" s="8" t="s">
        <v>170</v>
      </c>
      <c r="I432" s="109" t="s">
        <v>557</v>
      </c>
      <c r="J432" s="8" t="s">
        <v>212</v>
      </c>
      <c r="K432" s="14" t="b">
        <v>0</v>
      </c>
      <c r="L432" s="14" t="b">
        <v>1</v>
      </c>
      <c r="M432" s="14" t="b">
        <v>1</v>
      </c>
      <c r="N432" s="14" t="b">
        <v>0</v>
      </c>
      <c r="O432" s="14" t="b">
        <v>1</v>
      </c>
      <c r="W432" s="3"/>
    </row>
    <row r="433" spans="1:23" x14ac:dyDescent="0.25">
      <c r="A433" s="4">
        <v>1545649000150</v>
      </c>
      <c r="B433" s="8" t="s">
        <v>1386</v>
      </c>
      <c r="C433" s="8" t="s">
        <v>745</v>
      </c>
      <c r="D433" s="7" t="s">
        <v>59</v>
      </c>
      <c r="E433" s="7" t="s">
        <v>215</v>
      </c>
      <c r="F433" s="6">
        <v>2</v>
      </c>
      <c r="G433" s="8" t="s">
        <v>163</v>
      </c>
      <c r="H433" s="8" t="s">
        <v>164</v>
      </c>
      <c r="I433" s="109" t="s">
        <v>557</v>
      </c>
      <c r="J433" s="8" t="s">
        <v>212</v>
      </c>
      <c r="K433" s="14" t="b">
        <v>0</v>
      </c>
      <c r="L433" s="14" t="b">
        <v>1</v>
      </c>
      <c r="M433" s="14" t="b">
        <v>1</v>
      </c>
      <c r="N433" s="14" t="b">
        <v>0</v>
      </c>
      <c r="O433" s="14" t="b">
        <v>1</v>
      </c>
      <c r="W433" s="3"/>
    </row>
    <row r="434" spans="1:23" x14ac:dyDescent="0.25">
      <c r="A434" s="4">
        <v>1545649000150</v>
      </c>
      <c r="B434" s="8" t="s">
        <v>1386</v>
      </c>
      <c r="C434" s="8" t="s">
        <v>745</v>
      </c>
      <c r="D434" s="7" t="s">
        <v>59</v>
      </c>
      <c r="E434" s="7" t="s">
        <v>215</v>
      </c>
      <c r="F434" s="6">
        <v>2</v>
      </c>
      <c r="G434" s="8" t="s">
        <v>187</v>
      </c>
      <c r="H434" s="8" t="s">
        <v>188</v>
      </c>
      <c r="I434" s="109" t="s">
        <v>556</v>
      </c>
      <c r="J434" s="8" t="s">
        <v>212</v>
      </c>
      <c r="K434" s="14" t="b">
        <v>1</v>
      </c>
      <c r="L434" s="14" t="b">
        <v>0</v>
      </c>
      <c r="M434" s="14" t="b">
        <v>0</v>
      </c>
      <c r="N434" s="14" t="b">
        <v>1</v>
      </c>
      <c r="O434" s="14" t="b">
        <v>1</v>
      </c>
      <c r="W434" s="3"/>
    </row>
    <row r="435" spans="1:23" x14ac:dyDescent="0.25">
      <c r="A435" s="4">
        <v>1570589000126</v>
      </c>
      <c r="B435" s="8" t="s">
        <v>766</v>
      </c>
      <c r="C435" s="8" t="s">
        <v>745</v>
      </c>
      <c r="D435" s="7" t="s">
        <v>59</v>
      </c>
      <c r="E435" s="7" t="s">
        <v>215</v>
      </c>
      <c r="F435" s="6">
        <v>2</v>
      </c>
      <c r="G435" s="8" t="s">
        <v>187</v>
      </c>
      <c r="H435" s="8" t="s">
        <v>188</v>
      </c>
      <c r="I435" s="109" t="s">
        <v>556</v>
      </c>
      <c r="J435" s="8" t="s">
        <v>212</v>
      </c>
      <c r="K435" s="14" t="b">
        <v>1</v>
      </c>
      <c r="L435" s="14" t="b">
        <v>0</v>
      </c>
      <c r="M435" s="14" t="b">
        <v>0</v>
      </c>
      <c r="N435" s="14" t="b">
        <v>1</v>
      </c>
      <c r="O435" s="14" t="b">
        <v>1</v>
      </c>
      <c r="W435" s="3"/>
    </row>
    <row r="436" spans="1:23" x14ac:dyDescent="0.25">
      <c r="A436" s="4">
        <v>1570589000126</v>
      </c>
      <c r="B436" s="8" t="s">
        <v>766</v>
      </c>
      <c r="C436" s="8" t="s">
        <v>745</v>
      </c>
      <c r="D436" s="7" t="s">
        <v>59</v>
      </c>
      <c r="E436" s="7" t="s">
        <v>215</v>
      </c>
      <c r="F436" s="6">
        <v>2</v>
      </c>
      <c r="G436" s="8" t="s">
        <v>163</v>
      </c>
      <c r="H436" s="8" t="s">
        <v>164</v>
      </c>
      <c r="I436" s="109" t="s">
        <v>557</v>
      </c>
      <c r="J436" s="8" t="s">
        <v>212</v>
      </c>
      <c r="K436" s="14" t="b">
        <v>0</v>
      </c>
      <c r="L436" s="14" t="b">
        <v>1</v>
      </c>
      <c r="M436" s="14" t="b">
        <v>1</v>
      </c>
      <c r="N436" s="14" t="b">
        <v>0</v>
      </c>
      <c r="O436" s="14" t="b">
        <v>1</v>
      </c>
      <c r="W436" s="3"/>
    </row>
    <row r="437" spans="1:23" x14ac:dyDescent="0.25">
      <c r="A437" s="4">
        <v>1602408000104</v>
      </c>
      <c r="B437" s="8" t="s">
        <v>767</v>
      </c>
      <c r="C437" s="8" t="s">
        <v>739</v>
      </c>
      <c r="D437" s="7" t="s">
        <v>55</v>
      </c>
      <c r="E437" s="7" t="s">
        <v>215</v>
      </c>
      <c r="F437" s="6">
        <v>2</v>
      </c>
      <c r="G437" s="8" t="s">
        <v>201</v>
      </c>
      <c r="H437" s="8" t="s">
        <v>202</v>
      </c>
      <c r="I437" s="109" t="s">
        <v>740</v>
      </c>
      <c r="J437" s="8" t="s">
        <v>212</v>
      </c>
      <c r="K437" s="14" t="b">
        <v>1</v>
      </c>
      <c r="L437" s="14" t="b">
        <v>0</v>
      </c>
      <c r="M437" s="14" t="b">
        <v>0</v>
      </c>
      <c r="N437" s="14" t="b">
        <v>1</v>
      </c>
      <c r="O437" s="14" t="b">
        <v>1</v>
      </c>
      <c r="W437" s="3"/>
    </row>
    <row r="438" spans="1:23" x14ac:dyDescent="0.25">
      <c r="A438" s="4">
        <v>1602408000104</v>
      </c>
      <c r="B438" s="8" t="s">
        <v>767</v>
      </c>
      <c r="C438" s="8" t="s">
        <v>739</v>
      </c>
      <c r="D438" s="7" t="s">
        <v>55</v>
      </c>
      <c r="E438" s="7" t="s">
        <v>215</v>
      </c>
      <c r="F438" s="6">
        <v>2</v>
      </c>
      <c r="G438" s="8" t="s">
        <v>163</v>
      </c>
      <c r="H438" s="8" t="s">
        <v>164</v>
      </c>
      <c r="I438" s="109" t="s">
        <v>557</v>
      </c>
      <c r="J438" s="8" t="s">
        <v>212</v>
      </c>
      <c r="K438" s="14" t="b">
        <v>0</v>
      </c>
      <c r="L438" s="14" t="b">
        <v>1</v>
      </c>
      <c r="M438" s="14" t="b">
        <v>1</v>
      </c>
      <c r="N438" s="14" t="b">
        <v>0</v>
      </c>
      <c r="O438" s="14" t="b">
        <v>1</v>
      </c>
      <c r="W438" s="3"/>
    </row>
    <row r="439" spans="1:23" x14ac:dyDescent="0.25">
      <c r="A439" s="4">
        <v>1656123000148</v>
      </c>
      <c r="B439" s="8" t="s">
        <v>768</v>
      </c>
      <c r="C439" s="8" t="s">
        <v>745</v>
      </c>
      <c r="D439" s="7" t="s">
        <v>59</v>
      </c>
      <c r="E439" s="7" t="s">
        <v>215</v>
      </c>
      <c r="F439" s="6">
        <v>2</v>
      </c>
      <c r="G439" s="8" t="s">
        <v>163</v>
      </c>
      <c r="H439" s="8" t="s">
        <v>164</v>
      </c>
      <c r="I439" s="109" t="s">
        <v>557</v>
      </c>
      <c r="J439" s="8" t="s">
        <v>212</v>
      </c>
      <c r="K439" s="14" t="b">
        <v>0</v>
      </c>
      <c r="L439" s="14" t="b">
        <v>1</v>
      </c>
      <c r="M439" s="14" t="b">
        <v>1</v>
      </c>
      <c r="N439" s="14" t="b">
        <v>0</v>
      </c>
      <c r="O439" s="14" t="b">
        <v>1</v>
      </c>
      <c r="W439" s="3"/>
    </row>
    <row r="440" spans="1:23" x14ac:dyDescent="0.25">
      <c r="A440" s="4">
        <v>1656123000148</v>
      </c>
      <c r="B440" s="8" t="s">
        <v>768</v>
      </c>
      <c r="C440" s="8" t="s">
        <v>745</v>
      </c>
      <c r="D440" s="7" t="s">
        <v>59</v>
      </c>
      <c r="E440" s="7" t="s">
        <v>215</v>
      </c>
      <c r="F440" s="6">
        <v>2</v>
      </c>
      <c r="G440" s="8" t="s">
        <v>187</v>
      </c>
      <c r="H440" s="8" t="s">
        <v>188</v>
      </c>
      <c r="I440" s="109" t="s">
        <v>556</v>
      </c>
      <c r="J440" s="8" t="s">
        <v>212</v>
      </c>
      <c r="K440" s="14" t="b">
        <v>1</v>
      </c>
      <c r="L440" s="14" t="b">
        <v>0</v>
      </c>
      <c r="M440" s="14" t="b">
        <v>0</v>
      </c>
      <c r="N440" s="14" t="b">
        <v>1</v>
      </c>
      <c r="O440" s="14" t="b">
        <v>1</v>
      </c>
      <c r="W440" s="3"/>
    </row>
    <row r="441" spans="1:23" x14ac:dyDescent="0.25">
      <c r="A441" s="4">
        <v>1682668000129</v>
      </c>
      <c r="B441" s="8" t="s">
        <v>769</v>
      </c>
      <c r="C441" s="8" t="s">
        <v>739</v>
      </c>
      <c r="D441" s="7" t="s">
        <v>55</v>
      </c>
      <c r="E441" s="7" t="s">
        <v>215</v>
      </c>
      <c r="F441" s="6">
        <v>2</v>
      </c>
      <c r="G441" s="8" t="s">
        <v>201</v>
      </c>
      <c r="H441" s="8" t="s">
        <v>202</v>
      </c>
      <c r="I441" s="109" t="s">
        <v>740</v>
      </c>
      <c r="J441" s="8" t="s">
        <v>212</v>
      </c>
      <c r="K441" s="14" t="b">
        <v>1</v>
      </c>
      <c r="L441" s="14" t="b">
        <v>0</v>
      </c>
      <c r="M441" s="14" t="b">
        <v>0</v>
      </c>
      <c r="N441" s="14" t="b">
        <v>1</v>
      </c>
      <c r="O441" s="14" t="b">
        <v>1</v>
      </c>
      <c r="W441" s="3"/>
    </row>
    <row r="442" spans="1:23" x14ac:dyDescent="0.25">
      <c r="A442" s="4">
        <v>1682668000129</v>
      </c>
      <c r="B442" s="8" t="s">
        <v>769</v>
      </c>
      <c r="C442" s="8" t="s">
        <v>739</v>
      </c>
      <c r="D442" s="7" t="s">
        <v>55</v>
      </c>
      <c r="E442" s="7" t="s">
        <v>215</v>
      </c>
      <c r="F442" s="6">
        <v>2</v>
      </c>
      <c r="G442" s="8" t="s">
        <v>163</v>
      </c>
      <c r="H442" s="8" t="s">
        <v>164</v>
      </c>
      <c r="I442" s="109" t="s">
        <v>557</v>
      </c>
      <c r="J442" s="8" t="s">
        <v>212</v>
      </c>
      <c r="K442" s="14" t="b">
        <v>0</v>
      </c>
      <c r="L442" s="14" t="b">
        <v>1</v>
      </c>
      <c r="M442" s="14" t="b">
        <v>1</v>
      </c>
      <c r="N442" s="14" t="b">
        <v>0</v>
      </c>
      <c r="O442" s="14" t="b">
        <v>1</v>
      </c>
      <c r="W442" s="3"/>
    </row>
    <row r="443" spans="1:23" x14ac:dyDescent="0.25">
      <c r="A443" s="4">
        <v>1722424000122</v>
      </c>
      <c r="B443" s="8" t="s">
        <v>770</v>
      </c>
      <c r="C443" s="8" t="s">
        <v>742</v>
      </c>
      <c r="D443" s="7" t="s">
        <v>91</v>
      </c>
      <c r="E443" s="7" t="s">
        <v>215</v>
      </c>
      <c r="F443" s="6">
        <v>2</v>
      </c>
      <c r="G443" s="8" t="s">
        <v>167</v>
      </c>
      <c r="H443" s="8" t="s">
        <v>168</v>
      </c>
      <c r="I443" s="109" t="s">
        <v>557</v>
      </c>
      <c r="J443" s="8" t="s">
        <v>212</v>
      </c>
      <c r="K443" s="14" t="b">
        <v>0</v>
      </c>
      <c r="L443" s="14" t="b">
        <v>1</v>
      </c>
      <c r="M443" s="14" t="b">
        <v>1</v>
      </c>
      <c r="N443" s="14" t="b">
        <v>0</v>
      </c>
      <c r="O443" s="14" t="b">
        <v>1</v>
      </c>
      <c r="W443" s="3"/>
    </row>
    <row r="444" spans="1:23" x14ac:dyDescent="0.25">
      <c r="A444" s="4">
        <v>1757351000104</v>
      </c>
      <c r="B444" s="8" t="s">
        <v>771</v>
      </c>
      <c r="C444" s="8" t="s">
        <v>772</v>
      </c>
      <c r="D444" s="7" t="s">
        <v>69</v>
      </c>
      <c r="E444" s="7" t="s">
        <v>215</v>
      </c>
      <c r="F444" s="6">
        <v>2</v>
      </c>
      <c r="G444" s="8" t="s">
        <v>187</v>
      </c>
      <c r="H444" s="8" t="s">
        <v>188</v>
      </c>
      <c r="I444" s="109" t="s">
        <v>556</v>
      </c>
      <c r="J444" s="8" t="s">
        <v>212</v>
      </c>
      <c r="K444" s="14" t="b">
        <v>1</v>
      </c>
      <c r="L444" s="14" t="b">
        <v>0</v>
      </c>
      <c r="M444" s="14" t="b">
        <v>0</v>
      </c>
      <c r="N444" s="14" t="b">
        <v>1</v>
      </c>
      <c r="O444" s="14" t="b">
        <v>1</v>
      </c>
      <c r="W444" s="3"/>
    </row>
    <row r="445" spans="1:23" x14ac:dyDescent="0.25">
      <c r="A445" s="4">
        <v>1757351000104</v>
      </c>
      <c r="B445" s="8" t="s">
        <v>771</v>
      </c>
      <c r="C445" s="8" t="s">
        <v>772</v>
      </c>
      <c r="D445" s="7" t="s">
        <v>69</v>
      </c>
      <c r="E445" s="7" t="s">
        <v>215</v>
      </c>
      <c r="F445" s="6">
        <v>2</v>
      </c>
      <c r="G445" s="8" t="s">
        <v>163</v>
      </c>
      <c r="H445" s="8" t="s">
        <v>164</v>
      </c>
      <c r="I445" s="109" t="s">
        <v>557</v>
      </c>
      <c r="J445" s="8" t="s">
        <v>212</v>
      </c>
      <c r="K445" s="14" t="b">
        <v>0</v>
      </c>
      <c r="L445" s="14" t="b">
        <v>1</v>
      </c>
      <c r="M445" s="14" t="b">
        <v>1</v>
      </c>
      <c r="N445" s="14" t="b">
        <v>0</v>
      </c>
      <c r="O445" s="14" t="b">
        <v>1</v>
      </c>
      <c r="W445" s="3"/>
    </row>
    <row r="446" spans="1:23" x14ac:dyDescent="0.25">
      <c r="A446" s="4">
        <v>1837492000137</v>
      </c>
      <c r="B446" s="8" t="s">
        <v>1387</v>
      </c>
      <c r="C446" s="8" t="s">
        <v>75</v>
      </c>
      <c r="D446" s="7" t="s">
        <v>74</v>
      </c>
      <c r="E446" s="7" t="s">
        <v>215</v>
      </c>
      <c r="F446" s="6">
        <v>2</v>
      </c>
      <c r="G446" s="8" t="s">
        <v>167</v>
      </c>
      <c r="H446" s="8" t="s">
        <v>168</v>
      </c>
      <c r="I446" s="109" t="s">
        <v>557</v>
      </c>
      <c r="J446" s="8" t="s">
        <v>212</v>
      </c>
      <c r="K446" s="14" t="b">
        <v>0</v>
      </c>
      <c r="L446" s="14" t="b">
        <v>1</v>
      </c>
      <c r="M446" s="14" t="b">
        <v>1</v>
      </c>
      <c r="N446" s="14" t="b">
        <v>0</v>
      </c>
      <c r="O446" s="14" t="b">
        <v>1</v>
      </c>
      <c r="W446" s="3"/>
    </row>
    <row r="447" spans="1:23" x14ac:dyDescent="0.25">
      <c r="A447" s="4">
        <v>2109397000180</v>
      </c>
      <c r="B447" s="8" t="s">
        <v>773</v>
      </c>
      <c r="C447" s="8" t="s">
        <v>62</v>
      </c>
      <c r="D447" s="7" t="s">
        <v>63</v>
      </c>
      <c r="E447" s="7" t="s">
        <v>215</v>
      </c>
      <c r="F447" s="6">
        <v>2</v>
      </c>
      <c r="G447" s="8" t="s">
        <v>169</v>
      </c>
      <c r="H447" s="8" t="s">
        <v>170</v>
      </c>
      <c r="I447" s="109" t="s">
        <v>557</v>
      </c>
      <c r="J447" s="8" t="s">
        <v>212</v>
      </c>
      <c r="K447" s="14" t="b">
        <v>0</v>
      </c>
      <c r="L447" s="14" t="b">
        <v>1</v>
      </c>
      <c r="M447" s="14" t="b">
        <v>1</v>
      </c>
      <c r="N447" s="14" t="b">
        <v>0</v>
      </c>
      <c r="O447" s="14" t="b">
        <v>1</v>
      </c>
      <c r="W447" s="3"/>
    </row>
    <row r="448" spans="1:23" x14ac:dyDescent="0.25">
      <c r="A448" s="4">
        <v>2284062000106</v>
      </c>
      <c r="B448" s="8" t="s">
        <v>774</v>
      </c>
      <c r="C448" s="8" t="s">
        <v>70</v>
      </c>
      <c r="D448" s="7" t="s">
        <v>71</v>
      </c>
      <c r="E448" s="7" t="s">
        <v>215</v>
      </c>
      <c r="F448" s="6">
        <v>2</v>
      </c>
      <c r="G448" s="8" t="s">
        <v>169</v>
      </c>
      <c r="H448" s="8" t="s">
        <v>170</v>
      </c>
      <c r="I448" s="109" t="s">
        <v>557</v>
      </c>
      <c r="J448" s="8" t="s">
        <v>212</v>
      </c>
      <c r="K448" s="14" t="b">
        <v>0</v>
      </c>
      <c r="L448" s="14" t="b">
        <v>1</v>
      </c>
      <c r="M448" s="14" t="b">
        <v>1</v>
      </c>
      <c r="N448" s="14" t="b">
        <v>0</v>
      </c>
      <c r="O448" s="14" t="b">
        <v>1</v>
      </c>
      <c r="W448" s="3"/>
    </row>
    <row r="449" spans="1:23" x14ac:dyDescent="0.25">
      <c r="A449" s="4">
        <v>2284062000440</v>
      </c>
      <c r="B449" s="8" t="s">
        <v>775</v>
      </c>
      <c r="C449" s="8" t="s">
        <v>70</v>
      </c>
      <c r="D449" s="7" t="s">
        <v>71</v>
      </c>
      <c r="E449" s="7" t="s">
        <v>215</v>
      </c>
      <c r="F449" s="6">
        <v>2</v>
      </c>
      <c r="G449" s="8" t="s">
        <v>169</v>
      </c>
      <c r="H449" s="8" t="s">
        <v>170</v>
      </c>
      <c r="I449" s="109" t="s">
        <v>557</v>
      </c>
      <c r="J449" s="8" t="s">
        <v>212</v>
      </c>
      <c r="K449" s="14" t="b">
        <v>0</v>
      </c>
      <c r="L449" s="14" t="b">
        <v>1</v>
      </c>
      <c r="M449" s="14" t="b">
        <v>1</v>
      </c>
      <c r="N449" s="14" t="b">
        <v>0</v>
      </c>
      <c r="O449" s="14" t="b">
        <v>1</v>
      </c>
      <c r="W449" s="3"/>
    </row>
    <row r="450" spans="1:23" x14ac:dyDescent="0.25">
      <c r="A450" s="4">
        <v>2284062001170</v>
      </c>
      <c r="B450" s="8" t="s">
        <v>776</v>
      </c>
      <c r="C450" s="8" t="s">
        <v>777</v>
      </c>
      <c r="D450" s="7" t="s">
        <v>72</v>
      </c>
      <c r="E450" s="7" t="s">
        <v>215</v>
      </c>
      <c r="F450" s="6">
        <v>2</v>
      </c>
      <c r="G450" s="8" t="s">
        <v>165</v>
      </c>
      <c r="H450" s="8" t="s">
        <v>166</v>
      </c>
      <c r="I450" s="109" t="s">
        <v>557</v>
      </c>
      <c r="J450" s="8" t="s">
        <v>212</v>
      </c>
      <c r="K450" s="14" t="b">
        <v>0</v>
      </c>
      <c r="L450" s="14" t="b">
        <v>1</v>
      </c>
      <c r="M450" s="14" t="b">
        <v>1</v>
      </c>
      <c r="N450" s="14" t="b">
        <v>0</v>
      </c>
      <c r="O450" s="14" t="b">
        <v>1</v>
      </c>
      <c r="W450" s="3"/>
    </row>
    <row r="451" spans="1:23" x14ac:dyDescent="0.25">
      <c r="A451" s="4">
        <v>2284062001170</v>
      </c>
      <c r="B451" s="8" t="s">
        <v>776</v>
      </c>
      <c r="C451" s="8" t="s">
        <v>777</v>
      </c>
      <c r="D451" s="7" t="s">
        <v>72</v>
      </c>
      <c r="E451" s="7" t="s">
        <v>215</v>
      </c>
      <c r="F451" s="6">
        <v>2</v>
      </c>
      <c r="G451" s="8" t="s">
        <v>201</v>
      </c>
      <c r="H451" s="8" t="s">
        <v>202</v>
      </c>
      <c r="I451" s="109" t="s">
        <v>740</v>
      </c>
      <c r="J451" s="8" t="s">
        <v>212</v>
      </c>
      <c r="K451" s="14" t="b">
        <v>1</v>
      </c>
      <c r="L451" s="14" t="b">
        <v>0</v>
      </c>
      <c r="M451" s="14" t="b">
        <v>0</v>
      </c>
      <c r="N451" s="14" t="b">
        <v>1</v>
      </c>
      <c r="O451" s="14" t="b">
        <v>1</v>
      </c>
      <c r="W451" s="3"/>
    </row>
    <row r="452" spans="1:23" x14ac:dyDescent="0.25">
      <c r="A452" s="4">
        <v>2476067000122</v>
      </c>
      <c r="B452" s="8" t="s">
        <v>778</v>
      </c>
      <c r="C452" s="8" t="s">
        <v>745</v>
      </c>
      <c r="D452" s="7" t="s">
        <v>59</v>
      </c>
      <c r="E452" s="7" t="s">
        <v>215</v>
      </c>
      <c r="F452" s="6">
        <v>2</v>
      </c>
      <c r="G452" s="8" t="s">
        <v>163</v>
      </c>
      <c r="H452" s="8" t="s">
        <v>164</v>
      </c>
      <c r="I452" s="109" t="s">
        <v>557</v>
      </c>
      <c r="J452" s="8" t="s">
        <v>212</v>
      </c>
      <c r="K452" s="14" t="b">
        <v>0</v>
      </c>
      <c r="L452" s="14" t="b">
        <v>1</v>
      </c>
      <c r="M452" s="14" t="b">
        <v>1</v>
      </c>
      <c r="N452" s="14" t="b">
        <v>0</v>
      </c>
      <c r="O452" s="14" t="b">
        <v>1</v>
      </c>
      <c r="W452" s="3"/>
    </row>
    <row r="453" spans="1:23" x14ac:dyDescent="0.25">
      <c r="A453" s="4">
        <v>2476067000122</v>
      </c>
      <c r="B453" s="8" t="s">
        <v>778</v>
      </c>
      <c r="C453" s="8" t="s">
        <v>745</v>
      </c>
      <c r="D453" s="7" t="s">
        <v>59</v>
      </c>
      <c r="E453" s="7" t="s">
        <v>215</v>
      </c>
      <c r="F453" s="6">
        <v>2</v>
      </c>
      <c r="G453" s="8" t="s">
        <v>187</v>
      </c>
      <c r="H453" s="8" t="s">
        <v>188</v>
      </c>
      <c r="I453" s="109" t="s">
        <v>556</v>
      </c>
      <c r="J453" s="8" t="s">
        <v>212</v>
      </c>
      <c r="K453" s="14" t="b">
        <v>1</v>
      </c>
      <c r="L453" s="14" t="b">
        <v>0</v>
      </c>
      <c r="M453" s="14" t="b">
        <v>0</v>
      </c>
      <c r="N453" s="14" t="b">
        <v>1</v>
      </c>
      <c r="O453" s="14" t="b">
        <v>1</v>
      </c>
      <c r="W453" s="3"/>
    </row>
    <row r="454" spans="1:23" x14ac:dyDescent="0.25">
      <c r="A454" s="4">
        <v>2476067000203</v>
      </c>
      <c r="B454" s="8" t="s">
        <v>779</v>
      </c>
      <c r="C454" s="8" t="s">
        <v>745</v>
      </c>
      <c r="D454" s="7" t="s">
        <v>59</v>
      </c>
      <c r="E454" s="7" t="s">
        <v>215</v>
      </c>
      <c r="F454" s="6">
        <v>2</v>
      </c>
      <c r="G454" s="8" t="s">
        <v>187</v>
      </c>
      <c r="H454" s="8" t="s">
        <v>188</v>
      </c>
      <c r="I454" s="109" t="s">
        <v>556</v>
      </c>
      <c r="J454" s="8" t="s">
        <v>212</v>
      </c>
      <c r="K454" s="14" t="b">
        <v>1</v>
      </c>
      <c r="L454" s="14" t="b">
        <v>0</v>
      </c>
      <c r="M454" s="14" t="b">
        <v>0</v>
      </c>
      <c r="N454" s="14" t="b">
        <v>1</v>
      </c>
      <c r="O454" s="14" t="b">
        <v>1</v>
      </c>
      <c r="W454" s="3"/>
    </row>
    <row r="455" spans="1:23" x14ac:dyDescent="0.25">
      <c r="A455" s="4">
        <v>2476067000203</v>
      </c>
      <c r="B455" s="8" t="s">
        <v>779</v>
      </c>
      <c r="C455" s="8" t="s">
        <v>745</v>
      </c>
      <c r="D455" s="7" t="s">
        <v>59</v>
      </c>
      <c r="E455" s="7" t="s">
        <v>215</v>
      </c>
      <c r="F455" s="6">
        <v>2</v>
      </c>
      <c r="G455" s="8" t="s">
        <v>163</v>
      </c>
      <c r="H455" s="8" t="s">
        <v>164</v>
      </c>
      <c r="I455" s="109" t="s">
        <v>557</v>
      </c>
      <c r="J455" s="8" t="s">
        <v>212</v>
      </c>
      <c r="K455" s="14" t="b">
        <v>0</v>
      </c>
      <c r="L455" s="14" t="b">
        <v>1</v>
      </c>
      <c r="M455" s="14" t="b">
        <v>1</v>
      </c>
      <c r="N455" s="14" t="b">
        <v>0</v>
      </c>
      <c r="O455" s="14" t="b">
        <v>1</v>
      </c>
      <c r="W455" s="3"/>
    </row>
    <row r="456" spans="1:23" x14ac:dyDescent="0.25">
      <c r="A456" s="4">
        <v>2476067000394</v>
      </c>
      <c r="B456" s="8" t="s">
        <v>780</v>
      </c>
      <c r="C456" s="8" t="s">
        <v>745</v>
      </c>
      <c r="D456" s="7" t="s">
        <v>59</v>
      </c>
      <c r="E456" s="7" t="s">
        <v>215</v>
      </c>
      <c r="F456" s="6">
        <v>2</v>
      </c>
      <c r="G456" s="8" t="s">
        <v>163</v>
      </c>
      <c r="H456" s="8" t="s">
        <v>164</v>
      </c>
      <c r="I456" s="109" t="s">
        <v>557</v>
      </c>
      <c r="J456" s="8" t="s">
        <v>212</v>
      </c>
      <c r="K456" s="14" t="b">
        <v>0</v>
      </c>
      <c r="L456" s="14" t="b">
        <v>1</v>
      </c>
      <c r="M456" s="14" t="b">
        <v>1</v>
      </c>
      <c r="N456" s="14" t="b">
        <v>0</v>
      </c>
      <c r="O456" s="14" t="b">
        <v>1</v>
      </c>
      <c r="W456" s="3"/>
    </row>
    <row r="457" spans="1:23" x14ac:dyDescent="0.25">
      <c r="A457" s="4">
        <v>2476067000394</v>
      </c>
      <c r="B457" s="8" t="s">
        <v>780</v>
      </c>
      <c r="C457" s="8" t="s">
        <v>745</v>
      </c>
      <c r="D457" s="7" t="s">
        <v>59</v>
      </c>
      <c r="E457" s="7" t="s">
        <v>215</v>
      </c>
      <c r="F457" s="6">
        <v>2</v>
      </c>
      <c r="G457" s="8" t="s">
        <v>187</v>
      </c>
      <c r="H457" s="8" t="s">
        <v>188</v>
      </c>
      <c r="I457" s="109" t="s">
        <v>556</v>
      </c>
      <c r="J457" s="8" t="s">
        <v>212</v>
      </c>
      <c r="K457" s="14" t="b">
        <v>1</v>
      </c>
      <c r="L457" s="14" t="b">
        <v>0</v>
      </c>
      <c r="M457" s="14" t="b">
        <v>0</v>
      </c>
      <c r="N457" s="14" t="b">
        <v>1</v>
      </c>
      <c r="O457" s="14" t="b">
        <v>1</v>
      </c>
      <c r="W457" s="3"/>
    </row>
    <row r="458" spans="1:23" x14ac:dyDescent="0.25">
      <c r="A458" s="4">
        <v>2560878000107</v>
      </c>
      <c r="B458" s="8" t="s">
        <v>781</v>
      </c>
      <c r="C458" s="8" t="s">
        <v>739</v>
      </c>
      <c r="D458" s="7" t="s">
        <v>55</v>
      </c>
      <c r="E458" s="7" t="s">
        <v>215</v>
      </c>
      <c r="F458" s="6">
        <v>2</v>
      </c>
      <c r="G458" s="8" t="s">
        <v>201</v>
      </c>
      <c r="H458" s="8" t="s">
        <v>202</v>
      </c>
      <c r="I458" s="109" t="s">
        <v>740</v>
      </c>
      <c r="J458" s="8" t="s">
        <v>212</v>
      </c>
      <c r="K458" s="14" t="b">
        <v>1</v>
      </c>
      <c r="L458" s="14" t="b">
        <v>0</v>
      </c>
      <c r="M458" s="14" t="b">
        <v>0</v>
      </c>
      <c r="N458" s="14" t="b">
        <v>1</v>
      </c>
      <c r="O458" s="14" t="b">
        <v>1</v>
      </c>
      <c r="W458" s="3"/>
    </row>
    <row r="459" spans="1:23" x14ac:dyDescent="0.25">
      <c r="A459" s="4">
        <v>2560878000107</v>
      </c>
      <c r="B459" s="8" t="s">
        <v>781</v>
      </c>
      <c r="C459" s="8" t="s">
        <v>739</v>
      </c>
      <c r="D459" s="7" t="s">
        <v>55</v>
      </c>
      <c r="E459" s="7" t="s">
        <v>215</v>
      </c>
      <c r="F459" s="6">
        <v>2</v>
      </c>
      <c r="G459" s="8" t="s">
        <v>163</v>
      </c>
      <c r="H459" s="8" t="s">
        <v>164</v>
      </c>
      <c r="I459" s="109" t="s">
        <v>557</v>
      </c>
      <c r="J459" s="8" t="s">
        <v>212</v>
      </c>
      <c r="K459" s="14" t="b">
        <v>0</v>
      </c>
      <c r="L459" s="14" t="b">
        <v>1</v>
      </c>
      <c r="M459" s="14" t="b">
        <v>1</v>
      </c>
      <c r="N459" s="14" t="b">
        <v>0</v>
      </c>
      <c r="O459" s="14" t="b">
        <v>1</v>
      </c>
      <c r="W459" s="3"/>
    </row>
    <row r="460" spans="1:23" x14ac:dyDescent="0.25">
      <c r="A460" s="4">
        <v>3091003000176</v>
      </c>
      <c r="B460" s="8" t="s">
        <v>782</v>
      </c>
      <c r="C460" s="8" t="s">
        <v>84</v>
      </c>
      <c r="D460" s="7" t="s">
        <v>85</v>
      </c>
      <c r="E460" s="7" t="s">
        <v>215</v>
      </c>
      <c r="F460" s="6">
        <v>2</v>
      </c>
      <c r="G460" s="8" t="s">
        <v>167</v>
      </c>
      <c r="H460" s="8" t="s">
        <v>168</v>
      </c>
      <c r="I460" s="109" t="s">
        <v>557</v>
      </c>
      <c r="J460" s="8" t="s">
        <v>212</v>
      </c>
      <c r="K460" s="14" t="b">
        <v>0</v>
      </c>
      <c r="L460" s="14" t="b">
        <v>1</v>
      </c>
      <c r="M460" s="14" t="b">
        <v>1</v>
      </c>
      <c r="N460" s="14" t="b">
        <v>0</v>
      </c>
      <c r="O460" s="14" t="b">
        <v>1</v>
      </c>
      <c r="W460" s="3"/>
    </row>
    <row r="461" spans="1:23" x14ac:dyDescent="0.25">
      <c r="A461" s="4">
        <v>3210872000172</v>
      </c>
      <c r="B461" s="8" t="s">
        <v>783</v>
      </c>
      <c r="C461" s="8" t="s">
        <v>122</v>
      </c>
      <c r="D461" s="7" t="s">
        <v>72</v>
      </c>
      <c r="E461" s="7" t="s">
        <v>215</v>
      </c>
      <c r="F461" s="6">
        <v>2</v>
      </c>
      <c r="G461" s="8" t="s">
        <v>165</v>
      </c>
      <c r="H461" s="8" t="s">
        <v>166</v>
      </c>
      <c r="I461" s="109" t="s">
        <v>557</v>
      </c>
      <c r="J461" s="8" t="s">
        <v>212</v>
      </c>
      <c r="K461" s="14" t="b">
        <v>0</v>
      </c>
      <c r="L461" s="14" t="b">
        <v>1</v>
      </c>
      <c r="M461" s="14" t="b">
        <v>1</v>
      </c>
      <c r="N461" s="14" t="b">
        <v>0</v>
      </c>
      <c r="O461" s="14" t="b">
        <v>1</v>
      </c>
      <c r="W461" s="3"/>
    </row>
    <row r="462" spans="1:23" x14ac:dyDescent="0.25">
      <c r="A462" s="4">
        <v>3210872000172</v>
      </c>
      <c r="B462" s="8" t="s">
        <v>783</v>
      </c>
      <c r="C462" s="8" t="s">
        <v>122</v>
      </c>
      <c r="D462" s="7" t="s">
        <v>72</v>
      </c>
      <c r="E462" s="7" t="s">
        <v>215</v>
      </c>
      <c r="F462" s="6">
        <v>2</v>
      </c>
      <c r="G462" s="8" t="s">
        <v>201</v>
      </c>
      <c r="H462" s="8" t="s">
        <v>202</v>
      </c>
      <c r="I462" s="109" t="s">
        <v>740</v>
      </c>
      <c r="J462" s="8" t="s">
        <v>212</v>
      </c>
      <c r="K462" s="14" t="b">
        <v>1</v>
      </c>
      <c r="L462" s="14" t="b">
        <v>0</v>
      </c>
      <c r="M462" s="14" t="b">
        <v>0</v>
      </c>
      <c r="N462" s="14" t="b">
        <v>1</v>
      </c>
      <c r="O462" s="14" t="b">
        <v>1</v>
      </c>
      <c r="W462" s="3"/>
    </row>
    <row r="463" spans="1:23" x14ac:dyDescent="0.25">
      <c r="A463" s="4">
        <v>3222051000156</v>
      </c>
      <c r="B463" s="8" t="s">
        <v>784</v>
      </c>
      <c r="C463" s="8" t="s">
        <v>84</v>
      </c>
      <c r="D463" s="7" t="s">
        <v>85</v>
      </c>
      <c r="E463" s="7" t="s">
        <v>215</v>
      </c>
      <c r="F463" s="6">
        <v>2</v>
      </c>
      <c r="G463" s="8" t="s">
        <v>167</v>
      </c>
      <c r="H463" s="8" t="s">
        <v>168</v>
      </c>
      <c r="I463" s="109" t="s">
        <v>557</v>
      </c>
      <c r="J463" s="8" t="s">
        <v>212</v>
      </c>
      <c r="K463" s="14" t="b">
        <v>0</v>
      </c>
      <c r="L463" s="14" t="b">
        <v>1</v>
      </c>
      <c r="M463" s="14" t="b">
        <v>1</v>
      </c>
      <c r="N463" s="14" t="b">
        <v>0</v>
      </c>
      <c r="O463" s="14" t="b">
        <v>1</v>
      </c>
      <c r="W463" s="3"/>
    </row>
    <row r="464" spans="1:23" x14ac:dyDescent="0.25">
      <c r="A464" s="4">
        <v>3315918000541</v>
      </c>
      <c r="B464" s="8" t="s">
        <v>785</v>
      </c>
      <c r="C464" s="8" t="s">
        <v>64</v>
      </c>
      <c r="D464" s="7" t="s">
        <v>65</v>
      </c>
      <c r="E464" s="7" t="s">
        <v>215</v>
      </c>
      <c r="F464" s="6">
        <v>2</v>
      </c>
      <c r="G464" s="8" t="s">
        <v>187</v>
      </c>
      <c r="H464" s="8" t="s">
        <v>188</v>
      </c>
      <c r="I464" s="109" t="s">
        <v>556</v>
      </c>
      <c r="J464" s="8" t="s">
        <v>212</v>
      </c>
      <c r="K464" s="14" t="b">
        <v>1</v>
      </c>
      <c r="L464" s="14" t="b">
        <v>0</v>
      </c>
      <c r="M464" s="14" t="b">
        <v>0</v>
      </c>
      <c r="N464" s="14" t="b">
        <v>1</v>
      </c>
      <c r="O464" s="14" t="b">
        <v>1</v>
      </c>
      <c r="W464" s="3"/>
    </row>
    <row r="465" spans="1:23" x14ac:dyDescent="0.25">
      <c r="A465" s="4">
        <v>3315918000541</v>
      </c>
      <c r="B465" s="8" t="s">
        <v>785</v>
      </c>
      <c r="C465" s="8" t="s">
        <v>64</v>
      </c>
      <c r="D465" s="7" t="s">
        <v>65</v>
      </c>
      <c r="E465" s="7" t="s">
        <v>215</v>
      </c>
      <c r="F465" s="6">
        <v>2</v>
      </c>
      <c r="G465" s="8" t="s">
        <v>163</v>
      </c>
      <c r="H465" s="8" t="s">
        <v>164</v>
      </c>
      <c r="I465" s="109" t="s">
        <v>557</v>
      </c>
      <c r="J465" s="8" t="s">
        <v>212</v>
      </c>
      <c r="K465" s="14" t="b">
        <v>0</v>
      </c>
      <c r="L465" s="14" t="b">
        <v>1</v>
      </c>
      <c r="M465" s="14" t="b">
        <v>1</v>
      </c>
      <c r="N465" s="14" t="b">
        <v>0</v>
      </c>
      <c r="O465" s="14" t="b">
        <v>1</v>
      </c>
      <c r="W465" s="3"/>
    </row>
    <row r="466" spans="1:23" x14ac:dyDescent="0.25">
      <c r="A466" s="4">
        <v>3376102000102</v>
      </c>
      <c r="B466" s="8" t="s">
        <v>786</v>
      </c>
      <c r="C466" s="8" t="s">
        <v>75</v>
      </c>
      <c r="D466" s="7" t="s">
        <v>74</v>
      </c>
      <c r="E466" s="7" t="s">
        <v>215</v>
      </c>
      <c r="F466" s="6">
        <v>2</v>
      </c>
      <c r="G466" s="8" t="s">
        <v>167</v>
      </c>
      <c r="H466" s="8" t="s">
        <v>168</v>
      </c>
      <c r="I466" s="109" t="s">
        <v>557</v>
      </c>
      <c r="J466" s="8" t="s">
        <v>212</v>
      </c>
      <c r="K466" s="14" t="b">
        <v>0</v>
      </c>
      <c r="L466" s="14" t="b">
        <v>1</v>
      </c>
      <c r="M466" s="14" t="b">
        <v>1</v>
      </c>
      <c r="N466" s="14" t="b">
        <v>0</v>
      </c>
      <c r="O466" s="14" t="b">
        <v>1</v>
      </c>
      <c r="W466" s="3"/>
    </row>
    <row r="467" spans="1:23" x14ac:dyDescent="0.25">
      <c r="A467" s="4">
        <v>3533726000773</v>
      </c>
      <c r="B467" s="8" t="s">
        <v>787</v>
      </c>
      <c r="C467" s="8" t="s">
        <v>772</v>
      </c>
      <c r="D467" s="7" t="s">
        <v>69</v>
      </c>
      <c r="E467" s="7" t="s">
        <v>215</v>
      </c>
      <c r="F467" s="6">
        <v>2</v>
      </c>
      <c r="G467" s="8" t="s">
        <v>187</v>
      </c>
      <c r="H467" s="8" t="s">
        <v>188</v>
      </c>
      <c r="I467" s="109" t="s">
        <v>556</v>
      </c>
      <c r="J467" s="8" t="s">
        <v>212</v>
      </c>
      <c r="K467" s="14" t="b">
        <v>1</v>
      </c>
      <c r="L467" s="14" t="b">
        <v>0</v>
      </c>
      <c r="M467" s="14" t="b">
        <v>0</v>
      </c>
      <c r="N467" s="14" t="b">
        <v>1</v>
      </c>
      <c r="O467" s="14" t="b">
        <v>1</v>
      </c>
      <c r="W467" s="3"/>
    </row>
    <row r="468" spans="1:23" x14ac:dyDescent="0.25">
      <c r="A468" s="4">
        <v>3533726000773</v>
      </c>
      <c r="B468" s="8" t="s">
        <v>787</v>
      </c>
      <c r="C468" s="8" t="s">
        <v>772</v>
      </c>
      <c r="D468" s="7" t="s">
        <v>69</v>
      </c>
      <c r="E468" s="7" t="s">
        <v>215</v>
      </c>
      <c r="F468" s="6">
        <v>2</v>
      </c>
      <c r="G468" s="8" t="s">
        <v>163</v>
      </c>
      <c r="H468" s="8" t="s">
        <v>164</v>
      </c>
      <c r="I468" s="109" t="s">
        <v>557</v>
      </c>
      <c r="J468" s="8" t="s">
        <v>212</v>
      </c>
      <c r="K468" s="14" t="b">
        <v>0</v>
      </c>
      <c r="L468" s="14" t="b">
        <v>1</v>
      </c>
      <c r="M468" s="14" t="b">
        <v>1</v>
      </c>
      <c r="N468" s="14" t="b">
        <v>0</v>
      </c>
      <c r="O468" s="14" t="b">
        <v>1</v>
      </c>
      <c r="W468" s="3"/>
    </row>
    <row r="469" spans="1:23" x14ac:dyDescent="0.25">
      <c r="A469" s="4">
        <v>3533726001583</v>
      </c>
      <c r="B469" s="8" t="s">
        <v>788</v>
      </c>
      <c r="C469" s="8" t="s">
        <v>789</v>
      </c>
      <c r="D469" s="7" t="s">
        <v>69</v>
      </c>
      <c r="E469" s="7" t="s">
        <v>215</v>
      </c>
      <c r="F469" s="6">
        <v>2</v>
      </c>
      <c r="G469" s="8" t="s">
        <v>163</v>
      </c>
      <c r="H469" s="8" t="s">
        <v>164</v>
      </c>
      <c r="I469" s="109" t="s">
        <v>557</v>
      </c>
      <c r="J469" s="8" t="s">
        <v>212</v>
      </c>
      <c r="K469" s="14" t="b">
        <v>0</v>
      </c>
      <c r="L469" s="14" t="b">
        <v>1</v>
      </c>
      <c r="M469" s="14" t="b">
        <v>1</v>
      </c>
      <c r="N469" s="14" t="b">
        <v>0</v>
      </c>
      <c r="O469" s="14" t="b">
        <v>1</v>
      </c>
      <c r="W469" s="3"/>
    </row>
    <row r="470" spans="1:23" x14ac:dyDescent="0.25">
      <c r="A470" s="4">
        <v>3533726001583</v>
      </c>
      <c r="B470" s="8" t="s">
        <v>788</v>
      </c>
      <c r="C470" s="8" t="s">
        <v>789</v>
      </c>
      <c r="D470" s="7" t="s">
        <v>69</v>
      </c>
      <c r="E470" s="7" t="s">
        <v>215</v>
      </c>
      <c r="F470" s="6">
        <v>2</v>
      </c>
      <c r="G470" s="8" t="s">
        <v>187</v>
      </c>
      <c r="H470" s="8" t="s">
        <v>188</v>
      </c>
      <c r="I470" s="109" t="s">
        <v>556</v>
      </c>
      <c r="J470" s="8" t="s">
        <v>212</v>
      </c>
      <c r="K470" s="14" t="b">
        <v>1</v>
      </c>
      <c r="L470" s="14" t="b">
        <v>0</v>
      </c>
      <c r="M470" s="14" t="b">
        <v>0</v>
      </c>
      <c r="N470" s="14" t="b">
        <v>1</v>
      </c>
      <c r="O470" s="14" t="b">
        <v>1</v>
      </c>
      <c r="W470" s="3"/>
    </row>
    <row r="471" spans="1:23" x14ac:dyDescent="0.25">
      <c r="A471" s="4">
        <v>3568867000136</v>
      </c>
      <c r="B471" s="8" t="s">
        <v>790</v>
      </c>
      <c r="C471" s="8" t="s">
        <v>739</v>
      </c>
      <c r="D471" s="7" t="s">
        <v>55</v>
      </c>
      <c r="E471" s="7" t="s">
        <v>215</v>
      </c>
      <c r="F471" s="6">
        <v>2</v>
      </c>
      <c r="G471" s="8" t="s">
        <v>201</v>
      </c>
      <c r="H471" s="8" t="s">
        <v>202</v>
      </c>
      <c r="I471" s="109" t="s">
        <v>740</v>
      </c>
      <c r="J471" s="8" t="s">
        <v>212</v>
      </c>
      <c r="K471" s="14" t="b">
        <v>1</v>
      </c>
      <c r="L471" s="14" t="b">
        <v>0</v>
      </c>
      <c r="M471" s="14" t="b">
        <v>0</v>
      </c>
      <c r="N471" s="14" t="b">
        <v>1</v>
      </c>
      <c r="O471" s="14" t="b">
        <v>1</v>
      </c>
      <c r="W471" s="3"/>
    </row>
    <row r="472" spans="1:23" x14ac:dyDescent="0.25">
      <c r="A472" s="4">
        <v>3568867000136</v>
      </c>
      <c r="B472" s="8" t="s">
        <v>790</v>
      </c>
      <c r="C472" s="8" t="s">
        <v>739</v>
      </c>
      <c r="D472" s="7" t="s">
        <v>55</v>
      </c>
      <c r="E472" s="7" t="s">
        <v>215</v>
      </c>
      <c r="F472" s="6">
        <v>2</v>
      </c>
      <c r="G472" s="8" t="s">
        <v>163</v>
      </c>
      <c r="H472" s="8" t="s">
        <v>164</v>
      </c>
      <c r="I472" s="109" t="s">
        <v>557</v>
      </c>
      <c r="J472" s="8" t="s">
        <v>212</v>
      </c>
      <c r="K472" s="14" t="b">
        <v>0</v>
      </c>
      <c r="L472" s="14" t="b">
        <v>1</v>
      </c>
      <c r="M472" s="14" t="b">
        <v>1</v>
      </c>
      <c r="N472" s="14" t="b">
        <v>0</v>
      </c>
      <c r="O472" s="14" t="b">
        <v>1</v>
      </c>
      <c r="W472" s="3"/>
    </row>
    <row r="473" spans="1:23" x14ac:dyDescent="0.25">
      <c r="A473" s="4">
        <v>3858924000111</v>
      </c>
      <c r="B473" s="8" t="s">
        <v>791</v>
      </c>
      <c r="C473" s="8" t="s">
        <v>115</v>
      </c>
      <c r="D473" s="7" t="s">
        <v>71</v>
      </c>
      <c r="E473" s="7" t="s">
        <v>215</v>
      </c>
      <c r="F473" s="6">
        <v>2</v>
      </c>
      <c r="G473" s="8" t="s">
        <v>169</v>
      </c>
      <c r="H473" s="8" t="s">
        <v>170</v>
      </c>
      <c r="I473" s="109" t="s">
        <v>557</v>
      </c>
      <c r="J473" s="8" t="s">
        <v>212</v>
      </c>
      <c r="K473" s="14" t="b">
        <v>0</v>
      </c>
      <c r="L473" s="14" t="b">
        <v>1</v>
      </c>
      <c r="M473" s="14" t="b">
        <v>1</v>
      </c>
      <c r="N473" s="14" t="b">
        <v>0</v>
      </c>
      <c r="O473" s="14" t="b">
        <v>1</v>
      </c>
      <c r="W473" s="3"/>
    </row>
    <row r="474" spans="1:23" x14ac:dyDescent="0.25">
      <c r="A474" s="4">
        <v>3866223000124</v>
      </c>
      <c r="B474" s="8" t="s">
        <v>792</v>
      </c>
      <c r="C474" s="8" t="s">
        <v>742</v>
      </c>
      <c r="D474" s="7" t="s">
        <v>91</v>
      </c>
      <c r="E474" s="7" t="s">
        <v>215</v>
      </c>
      <c r="F474" s="6">
        <v>2</v>
      </c>
      <c r="G474" s="8" t="s">
        <v>167</v>
      </c>
      <c r="H474" s="8" t="s">
        <v>168</v>
      </c>
      <c r="I474" s="109" t="s">
        <v>557</v>
      </c>
      <c r="J474" s="8" t="s">
        <v>212</v>
      </c>
      <c r="K474" s="14" t="b">
        <v>0</v>
      </c>
      <c r="L474" s="14" t="b">
        <v>1</v>
      </c>
      <c r="M474" s="14" t="b">
        <v>1</v>
      </c>
      <c r="N474" s="14" t="b">
        <v>0</v>
      </c>
      <c r="O474" s="14" t="b">
        <v>1</v>
      </c>
      <c r="W474" s="3"/>
    </row>
    <row r="475" spans="1:23" x14ac:dyDescent="0.25">
      <c r="A475" s="4">
        <v>3904395000145</v>
      </c>
      <c r="B475" s="8" t="s">
        <v>793</v>
      </c>
      <c r="C475" s="8" t="s">
        <v>794</v>
      </c>
      <c r="D475" s="7" t="s">
        <v>71</v>
      </c>
      <c r="E475" s="7" t="s">
        <v>215</v>
      </c>
      <c r="F475" s="6">
        <v>2</v>
      </c>
      <c r="G475" s="8" t="s">
        <v>169</v>
      </c>
      <c r="H475" s="8" t="s">
        <v>170</v>
      </c>
      <c r="I475" s="109" t="s">
        <v>557</v>
      </c>
      <c r="J475" s="8" t="s">
        <v>212</v>
      </c>
      <c r="K475" s="14" t="b">
        <v>0</v>
      </c>
      <c r="L475" s="14" t="b">
        <v>1</v>
      </c>
      <c r="M475" s="14" t="b">
        <v>1</v>
      </c>
      <c r="N475" s="14" t="b">
        <v>0</v>
      </c>
      <c r="O475" s="14" t="b">
        <v>1</v>
      </c>
      <c r="W475" s="3"/>
    </row>
    <row r="476" spans="1:23" x14ac:dyDescent="0.25">
      <c r="A476" s="4">
        <v>3925419000142</v>
      </c>
      <c r="B476" s="8" t="s">
        <v>795</v>
      </c>
      <c r="C476" s="8" t="s">
        <v>772</v>
      </c>
      <c r="D476" s="7" t="s">
        <v>69</v>
      </c>
      <c r="E476" s="7" t="s">
        <v>215</v>
      </c>
      <c r="F476" s="6">
        <v>2</v>
      </c>
      <c r="G476" s="8" t="s">
        <v>187</v>
      </c>
      <c r="H476" s="8" t="s">
        <v>188</v>
      </c>
      <c r="I476" s="109" t="s">
        <v>556</v>
      </c>
      <c r="J476" s="8" t="s">
        <v>212</v>
      </c>
      <c r="K476" s="14" t="b">
        <v>1</v>
      </c>
      <c r="L476" s="14" t="b">
        <v>0</v>
      </c>
      <c r="M476" s="14" t="b">
        <v>0</v>
      </c>
      <c r="N476" s="14" t="b">
        <v>1</v>
      </c>
      <c r="O476" s="14" t="b">
        <v>1</v>
      </c>
      <c r="W476" s="3"/>
    </row>
    <row r="477" spans="1:23" x14ac:dyDescent="0.25">
      <c r="A477" s="4">
        <v>3925419000142</v>
      </c>
      <c r="B477" s="8" t="s">
        <v>795</v>
      </c>
      <c r="C477" s="8" t="s">
        <v>772</v>
      </c>
      <c r="D477" s="7" t="s">
        <v>69</v>
      </c>
      <c r="E477" s="7" t="s">
        <v>215</v>
      </c>
      <c r="F477" s="6">
        <v>2</v>
      </c>
      <c r="G477" s="8" t="s">
        <v>163</v>
      </c>
      <c r="H477" s="8" t="s">
        <v>164</v>
      </c>
      <c r="I477" s="109" t="s">
        <v>557</v>
      </c>
      <c r="J477" s="8" t="s">
        <v>212</v>
      </c>
      <c r="K477" s="14" t="b">
        <v>0</v>
      </c>
      <c r="L477" s="14" t="b">
        <v>1</v>
      </c>
      <c r="M477" s="14" t="b">
        <v>1</v>
      </c>
      <c r="N477" s="14" t="b">
        <v>0</v>
      </c>
      <c r="O477" s="14" t="b">
        <v>1</v>
      </c>
      <c r="W477" s="3"/>
    </row>
    <row r="478" spans="1:23" x14ac:dyDescent="0.25">
      <c r="A478" s="4">
        <v>3989821000190</v>
      </c>
      <c r="B478" s="8" t="s">
        <v>796</v>
      </c>
      <c r="C478" s="8" t="s">
        <v>739</v>
      </c>
      <c r="D478" s="7" t="s">
        <v>55</v>
      </c>
      <c r="E478" s="7" t="s">
        <v>215</v>
      </c>
      <c r="F478" s="6">
        <v>2</v>
      </c>
      <c r="G478" s="8" t="s">
        <v>163</v>
      </c>
      <c r="H478" s="8" t="s">
        <v>164</v>
      </c>
      <c r="I478" s="109" t="s">
        <v>557</v>
      </c>
      <c r="J478" s="8" t="s">
        <v>212</v>
      </c>
      <c r="K478" s="14" t="b">
        <v>0</v>
      </c>
      <c r="L478" s="14" t="b">
        <v>1</v>
      </c>
      <c r="M478" s="14" t="b">
        <v>1</v>
      </c>
      <c r="N478" s="14" t="b">
        <v>0</v>
      </c>
      <c r="O478" s="14" t="b">
        <v>1</v>
      </c>
      <c r="W478" s="3"/>
    </row>
    <row r="479" spans="1:23" x14ac:dyDescent="0.25">
      <c r="A479" s="4">
        <v>3989821000190</v>
      </c>
      <c r="B479" s="8" t="s">
        <v>796</v>
      </c>
      <c r="C479" s="8" t="s">
        <v>739</v>
      </c>
      <c r="D479" s="7" t="s">
        <v>55</v>
      </c>
      <c r="E479" s="7" t="s">
        <v>215</v>
      </c>
      <c r="F479" s="6">
        <v>2</v>
      </c>
      <c r="G479" s="8" t="s">
        <v>201</v>
      </c>
      <c r="H479" s="8" t="s">
        <v>202</v>
      </c>
      <c r="I479" s="109" t="s">
        <v>740</v>
      </c>
      <c r="J479" s="8" t="s">
        <v>212</v>
      </c>
      <c r="K479" s="14" t="b">
        <v>1</v>
      </c>
      <c r="L479" s="14" t="b">
        <v>0</v>
      </c>
      <c r="M479" s="14" t="b">
        <v>0</v>
      </c>
      <c r="N479" s="14" t="b">
        <v>1</v>
      </c>
      <c r="O479" s="14" t="b">
        <v>1</v>
      </c>
      <c r="W479" s="3"/>
    </row>
    <row r="480" spans="1:23" x14ac:dyDescent="0.25">
      <c r="A480" s="4">
        <v>4602792000125</v>
      </c>
      <c r="B480" s="8" t="s">
        <v>797</v>
      </c>
      <c r="C480" s="8" t="s">
        <v>73</v>
      </c>
      <c r="D480" s="7" t="s">
        <v>74</v>
      </c>
      <c r="E480" s="7" t="s">
        <v>215</v>
      </c>
      <c r="F480" s="6">
        <v>2</v>
      </c>
      <c r="G480" s="8" t="s">
        <v>167</v>
      </c>
      <c r="H480" s="8" t="s">
        <v>168</v>
      </c>
      <c r="I480" s="109" t="s">
        <v>557</v>
      </c>
      <c r="J480" s="8" t="s">
        <v>212</v>
      </c>
      <c r="K480" s="14" t="b">
        <v>0</v>
      </c>
      <c r="L480" s="14" t="b">
        <v>1</v>
      </c>
      <c r="M480" s="14" t="b">
        <v>1</v>
      </c>
      <c r="N480" s="14" t="b">
        <v>0</v>
      </c>
      <c r="O480" s="14" t="b">
        <v>1</v>
      </c>
      <c r="W480" s="3"/>
    </row>
    <row r="481" spans="1:23" x14ac:dyDescent="0.25">
      <c r="A481" s="4">
        <v>5055128000257</v>
      </c>
      <c r="B481" s="8" t="s">
        <v>798</v>
      </c>
      <c r="C481" s="8" t="s">
        <v>130</v>
      </c>
      <c r="D481" s="7" t="s">
        <v>56</v>
      </c>
      <c r="E481" s="7" t="s">
        <v>215</v>
      </c>
      <c r="F481" s="6">
        <v>2</v>
      </c>
      <c r="G481" s="8" t="s">
        <v>169</v>
      </c>
      <c r="H481" s="8" t="s">
        <v>170</v>
      </c>
      <c r="I481" s="109" t="s">
        <v>557</v>
      </c>
      <c r="J481" s="8" t="s">
        <v>212</v>
      </c>
      <c r="K481" s="14" t="b">
        <v>0</v>
      </c>
      <c r="L481" s="14" t="b">
        <v>1</v>
      </c>
      <c r="M481" s="14" t="b">
        <v>1</v>
      </c>
      <c r="N481" s="14" t="b">
        <v>0</v>
      </c>
      <c r="O481" s="14" t="b">
        <v>1</v>
      </c>
      <c r="W481" s="3"/>
    </row>
    <row r="482" spans="1:23" x14ac:dyDescent="0.25">
      <c r="A482" s="4">
        <v>5430118000173</v>
      </c>
      <c r="B482" s="8" t="s">
        <v>1295</v>
      </c>
      <c r="C482" s="8" t="s">
        <v>1296</v>
      </c>
      <c r="D482" s="7" t="s">
        <v>74</v>
      </c>
      <c r="E482" s="7" t="s">
        <v>215</v>
      </c>
      <c r="F482" s="6">
        <v>2</v>
      </c>
      <c r="G482" s="8" t="s">
        <v>167</v>
      </c>
      <c r="H482" s="8" t="s">
        <v>168</v>
      </c>
      <c r="I482" s="109" t="s">
        <v>557</v>
      </c>
      <c r="J482" s="8" t="s">
        <v>212</v>
      </c>
      <c r="K482" s="14" t="b">
        <v>0</v>
      </c>
      <c r="L482" s="14" t="b">
        <v>1</v>
      </c>
      <c r="M482" s="14" t="b">
        <v>1</v>
      </c>
      <c r="N482" s="14" t="b">
        <v>0</v>
      </c>
      <c r="O482" s="14" t="b">
        <v>1</v>
      </c>
      <c r="W482" s="3"/>
    </row>
    <row r="483" spans="1:23" x14ac:dyDescent="0.25">
      <c r="A483" s="4">
        <v>5469172000122</v>
      </c>
      <c r="B483" s="8" t="s">
        <v>799</v>
      </c>
      <c r="C483" s="8" t="s">
        <v>75</v>
      </c>
      <c r="D483" s="7" t="s">
        <v>74</v>
      </c>
      <c r="E483" s="7" t="s">
        <v>215</v>
      </c>
      <c r="F483" s="6">
        <v>2</v>
      </c>
      <c r="G483" s="8" t="s">
        <v>167</v>
      </c>
      <c r="H483" s="8" t="s">
        <v>168</v>
      </c>
      <c r="I483" s="109" t="s">
        <v>557</v>
      </c>
      <c r="J483" s="8" t="s">
        <v>212</v>
      </c>
      <c r="K483" s="14" t="b">
        <v>0</v>
      </c>
      <c r="L483" s="14" t="b">
        <v>1</v>
      </c>
      <c r="M483" s="14" t="b">
        <v>1</v>
      </c>
      <c r="N483" s="14" t="b">
        <v>0</v>
      </c>
      <c r="O483" s="14" t="b">
        <v>1</v>
      </c>
      <c r="W483" s="3"/>
    </row>
    <row r="484" spans="1:23" x14ac:dyDescent="0.25">
      <c r="A484" s="4">
        <v>5562645000131</v>
      </c>
      <c r="B484" s="8" t="s">
        <v>1388</v>
      </c>
      <c r="C484" s="8" t="s">
        <v>745</v>
      </c>
      <c r="D484" s="7" t="s">
        <v>59</v>
      </c>
      <c r="E484" s="7" t="s">
        <v>215</v>
      </c>
      <c r="F484" s="6">
        <v>2</v>
      </c>
      <c r="G484" s="8" t="s">
        <v>163</v>
      </c>
      <c r="H484" s="8" t="s">
        <v>164</v>
      </c>
      <c r="I484" s="109" t="s">
        <v>557</v>
      </c>
      <c r="J484" s="8" t="s">
        <v>212</v>
      </c>
      <c r="K484" s="14" t="b">
        <v>0</v>
      </c>
      <c r="L484" s="14" t="b">
        <v>1</v>
      </c>
      <c r="M484" s="14" t="b">
        <v>1</v>
      </c>
      <c r="N484" s="14" t="b">
        <v>0</v>
      </c>
      <c r="O484" s="14" t="b">
        <v>1</v>
      </c>
      <c r="W484" s="3"/>
    </row>
    <row r="485" spans="1:23" x14ac:dyDescent="0.25">
      <c r="A485" s="4">
        <v>5562645000131</v>
      </c>
      <c r="B485" s="8" t="s">
        <v>1388</v>
      </c>
      <c r="C485" s="8" t="s">
        <v>745</v>
      </c>
      <c r="D485" s="7" t="s">
        <v>59</v>
      </c>
      <c r="E485" s="7" t="s">
        <v>215</v>
      </c>
      <c r="F485" s="6">
        <v>2</v>
      </c>
      <c r="G485" s="8" t="s">
        <v>187</v>
      </c>
      <c r="H485" s="8" t="s">
        <v>188</v>
      </c>
      <c r="I485" s="109" t="s">
        <v>556</v>
      </c>
      <c r="J485" s="8" t="s">
        <v>212</v>
      </c>
      <c r="K485" s="14" t="b">
        <v>1</v>
      </c>
      <c r="L485" s="14" t="b">
        <v>0</v>
      </c>
      <c r="M485" s="14" t="b">
        <v>0</v>
      </c>
      <c r="N485" s="14" t="b">
        <v>1</v>
      </c>
      <c r="O485" s="14" t="b">
        <v>1</v>
      </c>
      <c r="W485" s="3"/>
    </row>
    <row r="486" spans="1:23" x14ac:dyDescent="0.25">
      <c r="A486" s="4">
        <v>5612725000154</v>
      </c>
      <c r="B486" s="8" t="s">
        <v>800</v>
      </c>
      <c r="C486" s="8" t="s">
        <v>742</v>
      </c>
      <c r="D486" s="7" t="s">
        <v>91</v>
      </c>
      <c r="E486" s="7" t="s">
        <v>215</v>
      </c>
      <c r="F486" s="6">
        <v>2</v>
      </c>
      <c r="G486" s="8" t="s">
        <v>167</v>
      </c>
      <c r="H486" s="8" t="s">
        <v>168</v>
      </c>
      <c r="I486" s="109" t="s">
        <v>557</v>
      </c>
      <c r="J486" s="8" t="s">
        <v>212</v>
      </c>
      <c r="K486" s="14" t="b">
        <v>0</v>
      </c>
      <c r="L486" s="14" t="b">
        <v>1</v>
      </c>
      <c r="M486" s="14" t="b">
        <v>1</v>
      </c>
      <c r="N486" s="14" t="b">
        <v>0</v>
      </c>
      <c r="O486" s="14" t="b">
        <v>1</v>
      </c>
      <c r="W486" s="3"/>
    </row>
    <row r="487" spans="1:23" x14ac:dyDescent="0.25">
      <c r="A487" s="4">
        <v>5652543000107</v>
      </c>
      <c r="B487" s="8" t="s">
        <v>801</v>
      </c>
      <c r="C487" s="8" t="s">
        <v>802</v>
      </c>
      <c r="D487" s="7" t="s">
        <v>74</v>
      </c>
      <c r="E487" s="7" t="s">
        <v>215</v>
      </c>
      <c r="F487" s="6">
        <v>2</v>
      </c>
      <c r="G487" s="8" t="s">
        <v>167</v>
      </c>
      <c r="H487" s="8" t="s">
        <v>168</v>
      </c>
      <c r="I487" s="109" t="s">
        <v>557</v>
      </c>
      <c r="J487" s="8" t="s">
        <v>212</v>
      </c>
      <c r="K487" s="14" t="b">
        <v>0</v>
      </c>
      <c r="L487" s="14" t="b">
        <v>1</v>
      </c>
      <c r="M487" s="14" t="b">
        <v>1</v>
      </c>
      <c r="N487" s="14" t="b">
        <v>0</v>
      </c>
      <c r="O487" s="14" t="b">
        <v>1</v>
      </c>
      <c r="W487" s="3"/>
    </row>
    <row r="488" spans="1:23" x14ac:dyDescent="0.25">
      <c r="A488" s="4">
        <v>5816630000152</v>
      </c>
      <c r="B488" s="8" t="s">
        <v>803</v>
      </c>
      <c r="C488" s="8" t="s">
        <v>75</v>
      </c>
      <c r="D488" s="7" t="s">
        <v>74</v>
      </c>
      <c r="E488" s="7" t="s">
        <v>215</v>
      </c>
      <c r="F488" s="6">
        <v>2</v>
      </c>
      <c r="G488" s="8" t="s">
        <v>167</v>
      </c>
      <c r="H488" s="8" t="s">
        <v>168</v>
      </c>
      <c r="I488" s="109" t="s">
        <v>557</v>
      </c>
      <c r="J488" s="8" t="s">
        <v>212</v>
      </c>
      <c r="K488" s="14" t="b">
        <v>0</v>
      </c>
      <c r="L488" s="14" t="b">
        <v>1</v>
      </c>
      <c r="M488" s="14" t="b">
        <v>1</v>
      </c>
      <c r="N488" s="14" t="b">
        <v>0</v>
      </c>
      <c r="O488" s="14" t="b">
        <v>1</v>
      </c>
      <c r="W488" s="3"/>
    </row>
    <row r="489" spans="1:23" x14ac:dyDescent="0.25">
      <c r="A489" s="4">
        <v>5867015000175</v>
      </c>
      <c r="B489" s="8" t="s">
        <v>804</v>
      </c>
      <c r="C489" s="8" t="s">
        <v>76</v>
      </c>
      <c r="D489" s="7" t="s">
        <v>77</v>
      </c>
      <c r="E489" s="7" t="s">
        <v>215</v>
      </c>
      <c r="F489" s="6">
        <v>2</v>
      </c>
      <c r="G489" s="8" t="s">
        <v>165</v>
      </c>
      <c r="H489" s="8" t="s">
        <v>166</v>
      </c>
      <c r="I489" s="109" t="s">
        <v>557</v>
      </c>
      <c r="J489" s="8" t="s">
        <v>212</v>
      </c>
      <c r="K489" s="14" t="b">
        <v>0</v>
      </c>
      <c r="L489" s="14" t="b">
        <v>1</v>
      </c>
      <c r="M489" s="14" t="b">
        <v>1</v>
      </c>
      <c r="N489" s="14" t="b">
        <v>0</v>
      </c>
      <c r="O489" s="14" t="b">
        <v>1</v>
      </c>
      <c r="W489" s="3"/>
    </row>
    <row r="490" spans="1:23" x14ac:dyDescent="0.25">
      <c r="A490" s="4">
        <v>5868278000280</v>
      </c>
      <c r="B490" s="8" t="s">
        <v>805</v>
      </c>
      <c r="C490" s="8" t="s">
        <v>76</v>
      </c>
      <c r="D490" s="7" t="s">
        <v>77</v>
      </c>
      <c r="E490" s="7" t="s">
        <v>215</v>
      </c>
      <c r="F490" s="6">
        <v>2</v>
      </c>
      <c r="G490" s="8" t="s">
        <v>165</v>
      </c>
      <c r="H490" s="8" t="s">
        <v>166</v>
      </c>
      <c r="I490" s="109" t="s">
        <v>557</v>
      </c>
      <c r="J490" s="8" t="s">
        <v>212</v>
      </c>
      <c r="K490" s="14" t="b">
        <v>0</v>
      </c>
      <c r="L490" s="14" t="b">
        <v>1</v>
      </c>
      <c r="M490" s="14" t="b">
        <v>1</v>
      </c>
      <c r="N490" s="14" t="b">
        <v>0</v>
      </c>
      <c r="O490" s="14" t="b">
        <v>1</v>
      </c>
      <c r="W490" s="3"/>
    </row>
    <row r="491" spans="1:23" x14ac:dyDescent="0.25">
      <c r="A491" s="4">
        <v>5874946000109</v>
      </c>
      <c r="B491" s="8" t="s">
        <v>806</v>
      </c>
      <c r="C491" s="8" t="s">
        <v>76</v>
      </c>
      <c r="D491" s="7" t="s">
        <v>77</v>
      </c>
      <c r="E491" s="7" t="s">
        <v>215</v>
      </c>
      <c r="F491" s="6">
        <v>2</v>
      </c>
      <c r="G491" s="8" t="s">
        <v>165</v>
      </c>
      <c r="H491" s="8" t="s">
        <v>166</v>
      </c>
      <c r="I491" s="109" t="s">
        <v>557</v>
      </c>
      <c r="J491" s="8" t="s">
        <v>212</v>
      </c>
      <c r="K491" s="14" t="b">
        <v>0</v>
      </c>
      <c r="L491" s="14" t="b">
        <v>1</v>
      </c>
      <c r="M491" s="14" t="b">
        <v>1</v>
      </c>
      <c r="N491" s="14" t="b">
        <v>0</v>
      </c>
      <c r="O491" s="14" t="b">
        <v>1</v>
      </c>
      <c r="W491" s="3"/>
    </row>
    <row r="492" spans="1:23" x14ac:dyDescent="0.25">
      <c r="A492" s="4">
        <v>5874946000281</v>
      </c>
      <c r="B492" s="8" t="s">
        <v>807</v>
      </c>
      <c r="C492" s="8" t="s">
        <v>76</v>
      </c>
      <c r="D492" s="7" t="s">
        <v>77</v>
      </c>
      <c r="E492" s="7" t="s">
        <v>215</v>
      </c>
      <c r="F492" s="6">
        <v>2</v>
      </c>
      <c r="G492" s="8" t="s">
        <v>165</v>
      </c>
      <c r="H492" s="8" t="s">
        <v>166</v>
      </c>
      <c r="I492" s="109" t="s">
        <v>557</v>
      </c>
      <c r="J492" s="8" t="s">
        <v>212</v>
      </c>
      <c r="K492" s="14" t="b">
        <v>0</v>
      </c>
      <c r="L492" s="14" t="b">
        <v>1</v>
      </c>
      <c r="M492" s="14" t="b">
        <v>1</v>
      </c>
      <c r="N492" s="14" t="b">
        <v>0</v>
      </c>
      <c r="O492" s="14" t="b">
        <v>1</v>
      </c>
      <c r="W492" s="3"/>
    </row>
    <row r="493" spans="1:23" x14ac:dyDescent="0.25">
      <c r="A493" s="4">
        <v>5919720000179</v>
      </c>
      <c r="B493" s="8" t="s">
        <v>808</v>
      </c>
      <c r="C493" s="8" t="s">
        <v>745</v>
      </c>
      <c r="D493" s="7" t="s">
        <v>59</v>
      </c>
      <c r="E493" s="7" t="s">
        <v>215</v>
      </c>
      <c r="F493" s="6">
        <v>2</v>
      </c>
      <c r="G493" s="8" t="s">
        <v>187</v>
      </c>
      <c r="H493" s="8" t="s">
        <v>188</v>
      </c>
      <c r="I493" s="109" t="s">
        <v>556</v>
      </c>
      <c r="J493" s="8" t="s">
        <v>212</v>
      </c>
      <c r="K493" s="14" t="b">
        <v>1</v>
      </c>
      <c r="L493" s="14" t="b">
        <v>0</v>
      </c>
      <c r="M493" s="14" t="b">
        <v>0</v>
      </c>
      <c r="N493" s="14" t="b">
        <v>1</v>
      </c>
      <c r="O493" s="14" t="b">
        <v>1</v>
      </c>
      <c r="W493" s="3"/>
    </row>
    <row r="494" spans="1:23" x14ac:dyDescent="0.25">
      <c r="A494" s="4">
        <v>5919720000179</v>
      </c>
      <c r="B494" s="8" t="s">
        <v>808</v>
      </c>
      <c r="C494" s="8" t="s">
        <v>745</v>
      </c>
      <c r="D494" s="7" t="s">
        <v>59</v>
      </c>
      <c r="E494" s="7" t="s">
        <v>215</v>
      </c>
      <c r="F494" s="6">
        <v>2</v>
      </c>
      <c r="G494" s="8" t="s">
        <v>163</v>
      </c>
      <c r="H494" s="8" t="s">
        <v>164</v>
      </c>
      <c r="I494" s="109" t="s">
        <v>557</v>
      </c>
      <c r="J494" s="8" t="s">
        <v>212</v>
      </c>
      <c r="K494" s="14" t="b">
        <v>0</v>
      </c>
      <c r="L494" s="14" t="b">
        <v>1</v>
      </c>
      <c r="M494" s="14" t="b">
        <v>1</v>
      </c>
      <c r="N494" s="14" t="b">
        <v>0</v>
      </c>
      <c r="O494" s="14" t="b">
        <v>1</v>
      </c>
      <c r="W494" s="3"/>
    </row>
    <row r="495" spans="1:23" x14ac:dyDescent="0.25">
      <c r="A495" s="4">
        <v>6047087001291</v>
      </c>
      <c r="B495" s="8" t="s">
        <v>809</v>
      </c>
      <c r="C495" s="8" t="s">
        <v>107</v>
      </c>
      <c r="D495" s="7" t="s">
        <v>71</v>
      </c>
      <c r="E495" s="7" t="s">
        <v>215</v>
      </c>
      <c r="F495" s="6">
        <v>2</v>
      </c>
      <c r="G495" s="8" t="s">
        <v>169</v>
      </c>
      <c r="H495" s="8" t="s">
        <v>170</v>
      </c>
      <c r="I495" s="109" t="s">
        <v>557</v>
      </c>
      <c r="J495" s="8" t="s">
        <v>212</v>
      </c>
      <c r="K495" s="14" t="b">
        <v>0</v>
      </c>
      <c r="L495" s="14" t="b">
        <v>1</v>
      </c>
      <c r="M495" s="14" t="b">
        <v>1</v>
      </c>
      <c r="N495" s="14" t="b">
        <v>0</v>
      </c>
      <c r="O495" s="14" t="b">
        <v>1</v>
      </c>
      <c r="W495" s="3"/>
    </row>
    <row r="496" spans="1:23" x14ac:dyDescent="0.25">
      <c r="A496" s="4">
        <v>6047087004126</v>
      </c>
      <c r="B496" s="8" t="s">
        <v>810</v>
      </c>
      <c r="C496" s="8" t="s">
        <v>739</v>
      </c>
      <c r="D496" s="7" t="s">
        <v>55</v>
      </c>
      <c r="E496" s="7" t="s">
        <v>215</v>
      </c>
      <c r="F496" s="6">
        <v>2</v>
      </c>
      <c r="G496" s="8" t="s">
        <v>163</v>
      </c>
      <c r="H496" s="8" t="s">
        <v>164</v>
      </c>
      <c r="I496" s="109" t="s">
        <v>557</v>
      </c>
      <c r="J496" s="8" t="s">
        <v>212</v>
      </c>
      <c r="K496" s="14" t="b">
        <v>0</v>
      </c>
      <c r="L496" s="14" t="b">
        <v>1</v>
      </c>
      <c r="M496" s="14" t="b">
        <v>1</v>
      </c>
      <c r="N496" s="14" t="b">
        <v>0</v>
      </c>
      <c r="O496" s="14" t="b">
        <v>1</v>
      </c>
      <c r="W496" s="3"/>
    </row>
    <row r="497" spans="1:23" x14ac:dyDescent="0.25">
      <c r="A497" s="4">
        <v>6047087004126</v>
      </c>
      <c r="B497" s="8" t="s">
        <v>810</v>
      </c>
      <c r="C497" s="8" t="s">
        <v>739</v>
      </c>
      <c r="D497" s="7" t="s">
        <v>55</v>
      </c>
      <c r="E497" s="7" t="s">
        <v>215</v>
      </c>
      <c r="F497" s="6">
        <v>2</v>
      </c>
      <c r="G497" s="8" t="s">
        <v>201</v>
      </c>
      <c r="H497" s="8" t="s">
        <v>202</v>
      </c>
      <c r="I497" s="109" t="s">
        <v>740</v>
      </c>
      <c r="J497" s="8" t="s">
        <v>212</v>
      </c>
      <c r="K497" s="14" t="b">
        <v>1</v>
      </c>
      <c r="L497" s="14" t="b">
        <v>0</v>
      </c>
      <c r="M497" s="14" t="b">
        <v>0</v>
      </c>
      <c r="N497" s="14" t="b">
        <v>1</v>
      </c>
      <c r="O497" s="14" t="b">
        <v>1</v>
      </c>
      <c r="W497" s="3"/>
    </row>
    <row r="498" spans="1:23" x14ac:dyDescent="0.25">
      <c r="A498" s="4">
        <v>6047087004207</v>
      </c>
      <c r="B498" s="8" t="s">
        <v>811</v>
      </c>
      <c r="C498" s="8" t="s">
        <v>739</v>
      </c>
      <c r="D498" s="7" t="s">
        <v>55</v>
      </c>
      <c r="E498" s="7" t="s">
        <v>215</v>
      </c>
      <c r="F498" s="6">
        <v>2</v>
      </c>
      <c r="G498" s="8" t="s">
        <v>201</v>
      </c>
      <c r="H498" s="8" t="s">
        <v>202</v>
      </c>
      <c r="I498" s="109" t="s">
        <v>740</v>
      </c>
      <c r="J498" s="8" t="s">
        <v>212</v>
      </c>
      <c r="K498" s="14" t="b">
        <v>1</v>
      </c>
      <c r="L498" s="14" t="b">
        <v>0</v>
      </c>
      <c r="M498" s="14" t="b">
        <v>0</v>
      </c>
      <c r="N498" s="14" t="b">
        <v>1</v>
      </c>
      <c r="O498" s="14" t="b">
        <v>1</v>
      </c>
      <c r="W498" s="3"/>
    </row>
    <row r="499" spans="1:23" x14ac:dyDescent="0.25">
      <c r="A499" s="4">
        <v>6047087004207</v>
      </c>
      <c r="B499" s="8" t="s">
        <v>811</v>
      </c>
      <c r="C499" s="8" t="s">
        <v>739</v>
      </c>
      <c r="D499" s="7" t="s">
        <v>55</v>
      </c>
      <c r="E499" s="7" t="s">
        <v>215</v>
      </c>
      <c r="F499" s="6">
        <v>2</v>
      </c>
      <c r="G499" s="8" t="s">
        <v>163</v>
      </c>
      <c r="H499" s="8" t="s">
        <v>164</v>
      </c>
      <c r="I499" s="109" t="s">
        <v>557</v>
      </c>
      <c r="J499" s="8" t="s">
        <v>212</v>
      </c>
      <c r="K499" s="14" t="b">
        <v>0</v>
      </c>
      <c r="L499" s="14" t="b">
        <v>1</v>
      </c>
      <c r="M499" s="14" t="b">
        <v>1</v>
      </c>
      <c r="N499" s="14" t="b">
        <v>0</v>
      </c>
      <c r="O499" s="14" t="b">
        <v>1</v>
      </c>
      <c r="W499" s="3"/>
    </row>
    <row r="500" spans="1:23" x14ac:dyDescent="0.25">
      <c r="A500" s="4">
        <v>6047087009276</v>
      </c>
      <c r="B500" s="8" t="s">
        <v>812</v>
      </c>
      <c r="C500" s="8" t="s">
        <v>70</v>
      </c>
      <c r="D500" s="7" t="s">
        <v>71</v>
      </c>
      <c r="E500" s="7" t="s">
        <v>215</v>
      </c>
      <c r="F500" s="6">
        <v>2</v>
      </c>
      <c r="G500" s="8" t="s">
        <v>169</v>
      </c>
      <c r="H500" s="8" t="s">
        <v>170</v>
      </c>
      <c r="I500" s="109" t="s">
        <v>557</v>
      </c>
      <c r="J500" s="8" t="s">
        <v>212</v>
      </c>
      <c r="K500" s="14" t="b">
        <v>0</v>
      </c>
      <c r="L500" s="14" t="b">
        <v>1</v>
      </c>
      <c r="M500" s="14" t="b">
        <v>1</v>
      </c>
      <c r="N500" s="14" t="b">
        <v>0</v>
      </c>
      <c r="O500" s="14" t="b">
        <v>1</v>
      </c>
      <c r="W500" s="3"/>
    </row>
    <row r="501" spans="1:23" x14ac:dyDescent="0.25">
      <c r="A501" s="4">
        <v>6190522000180</v>
      </c>
      <c r="B501" s="8" t="s">
        <v>813</v>
      </c>
      <c r="C501" s="8" t="s">
        <v>80</v>
      </c>
      <c r="D501" s="7" t="s">
        <v>59</v>
      </c>
      <c r="E501" s="7" t="s">
        <v>215</v>
      </c>
      <c r="F501" s="6">
        <v>2</v>
      </c>
      <c r="G501" s="8" t="s">
        <v>187</v>
      </c>
      <c r="H501" s="8" t="s">
        <v>188</v>
      </c>
      <c r="I501" s="109" t="s">
        <v>556</v>
      </c>
      <c r="J501" s="8" t="s">
        <v>212</v>
      </c>
      <c r="K501" s="14" t="b">
        <v>1</v>
      </c>
      <c r="L501" s="14" t="b">
        <v>0</v>
      </c>
      <c r="M501" s="14" t="b">
        <v>0</v>
      </c>
      <c r="N501" s="14" t="b">
        <v>1</v>
      </c>
      <c r="O501" s="14" t="b">
        <v>1</v>
      </c>
      <c r="W501" s="3"/>
    </row>
    <row r="502" spans="1:23" x14ac:dyDescent="0.25">
      <c r="A502" s="4">
        <v>6190522000180</v>
      </c>
      <c r="B502" s="8" t="s">
        <v>813</v>
      </c>
      <c r="C502" s="8" t="s">
        <v>80</v>
      </c>
      <c r="D502" s="7" t="s">
        <v>59</v>
      </c>
      <c r="E502" s="7" t="s">
        <v>215</v>
      </c>
      <c r="F502" s="6">
        <v>2</v>
      </c>
      <c r="G502" s="8" t="s">
        <v>163</v>
      </c>
      <c r="H502" s="8" t="s">
        <v>164</v>
      </c>
      <c r="I502" s="109" t="s">
        <v>557</v>
      </c>
      <c r="J502" s="8" t="s">
        <v>212</v>
      </c>
      <c r="K502" s="14" t="b">
        <v>0</v>
      </c>
      <c r="L502" s="14" t="b">
        <v>1</v>
      </c>
      <c r="M502" s="14" t="b">
        <v>1</v>
      </c>
      <c r="N502" s="14" t="b">
        <v>0</v>
      </c>
      <c r="O502" s="14" t="b">
        <v>1</v>
      </c>
      <c r="W502" s="3"/>
    </row>
    <row r="503" spans="1:23" x14ac:dyDescent="0.25">
      <c r="A503" s="4">
        <v>6337035000105</v>
      </c>
      <c r="B503" s="8" t="s">
        <v>814</v>
      </c>
      <c r="C503" s="8" t="s">
        <v>745</v>
      </c>
      <c r="D503" s="7" t="s">
        <v>59</v>
      </c>
      <c r="E503" s="7" t="s">
        <v>215</v>
      </c>
      <c r="F503" s="6">
        <v>2</v>
      </c>
      <c r="G503" s="8" t="s">
        <v>163</v>
      </c>
      <c r="H503" s="8" t="s">
        <v>164</v>
      </c>
      <c r="I503" s="109" t="s">
        <v>557</v>
      </c>
      <c r="J503" s="8" t="s">
        <v>212</v>
      </c>
      <c r="K503" s="14" t="b">
        <v>0</v>
      </c>
      <c r="L503" s="14" t="b">
        <v>1</v>
      </c>
      <c r="M503" s="14" t="b">
        <v>1</v>
      </c>
      <c r="N503" s="14" t="b">
        <v>0</v>
      </c>
      <c r="O503" s="14" t="b">
        <v>1</v>
      </c>
      <c r="W503" s="3"/>
    </row>
    <row r="504" spans="1:23" x14ac:dyDescent="0.25">
      <c r="A504" s="4">
        <v>6337035000105</v>
      </c>
      <c r="B504" s="8" t="s">
        <v>814</v>
      </c>
      <c r="C504" s="8" t="s">
        <v>745</v>
      </c>
      <c r="D504" s="7" t="s">
        <v>59</v>
      </c>
      <c r="E504" s="7" t="s">
        <v>215</v>
      </c>
      <c r="F504" s="6">
        <v>2</v>
      </c>
      <c r="G504" s="8" t="s">
        <v>187</v>
      </c>
      <c r="H504" s="8" t="s">
        <v>188</v>
      </c>
      <c r="I504" s="109" t="s">
        <v>556</v>
      </c>
      <c r="J504" s="8" t="s">
        <v>212</v>
      </c>
      <c r="K504" s="14" t="b">
        <v>1</v>
      </c>
      <c r="L504" s="14" t="b">
        <v>0</v>
      </c>
      <c r="M504" s="14" t="b">
        <v>0</v>
      </c>
      <c r="N504" s="14" t="b">
        <v>1</v>
      </c>
      <c r="O504" s="14" t="b">
        <v>1</v>
      </c>
      <c r="W504" s="3"/>
    </row>
    <row r="505" spans="1:23" x14ac:dyDescent="0.25">
      <c r="A505" s="4">
        <v>6553564000138</v>
      </c>
      <c r="B505" s="8" t="s">
        <v>1152</v>
      </c>
      <c r="C505" s="8" t="s">
        <v>81</v>
      </c>
      <c r="D505" s="7" t="s">
        <v>82</v>
      </c>
      <c r="E505" s="7" t="s">
        <v>215</v>
      </c>
      <c r="F505" s="6">
        <v>2</v>
      </c>
      <c r="G505" s="8" t="s">
        <v>165</v>
      </c>
      <c r="H505" s="8" t="s">
        <v>166</v>
      </c>
      <c r="I505" s="109" t="s">
        <v>557</v>
      </c>
      <c r="J505" s="8" t="s">
        <v>212</v>
      </c>
      <c r="K505" s="14" t="b">
        <v>0</v>
      </c>
      <c r="L505" s="14" t="b">
        <v>1</v>
      </c>
      <c r="M505" s="14" t="b">
        <v>1</v>
      </c>
      <c r="N505" s="14" t="b">
        <v>0</v>
      </c>
      <c r="O505" s="14" t="b">
        <v>1</v>
      </c>
      <c r="W505" s="3"/>
    </row>
    <row r="506" spans="1:23" x14ac:dyDescent="0.25">
      <c r="A506" s="4">
        <v>6555031000276</v>
      </c>
      <c r="B506" s="8" t="s">
        <v>815</v>
      </c>
      <c r="C506" s="8" t="s">
        <v>81</v>
      </c>
      <c r="D506" s="7" t="s">
        <v>82</v>
      </c>
      <c r="E506" s="7" t="s">
        <v>215</v>
      </c>
      <c r="F506" s="6">
        <v>2</v>
      </c>
      <c r="G506" s="8" t="s">
        <v>165</v>
      </c>
      <c r="H506" s="8" t="s">
        <v>166</v>
      </c>
      <c r="I506" s="109" t="s">
        <v>557</v>
      </c>
      <c r="J506" s="8" t="s">
        <v>212</v>
      </c>
      <c r="K506" s="14" t="b">
        <v>0</v>
      </c>
      <c r="L506" s="14" t="b">
        <v>1</v>
      </c>
      <c r="M506" s="14" t="b">
        <v>1</v>
      </c>
      <c r="N506" s="14" t="b">
        <v>0</v>
      </c>
      <c r="O506" s="14" t="b">
        <v>1</v>
      </c>
      <c r="W506" s="3"/>
    </row>
    <row r="507" spans="1:23" x14ac:dyDescent="0.25">
      <c r="A507" s="4">
        <v>6833917000153</v>
      </c>
      <c r="B507" s="8" t="s">
        <v>1389</v>
      </c>
      <c r="C507" s="8" t="s">
        <v>81</v>
      </c>
      <c r="D507" s="7" t="s">
        <v>82</v>
      </c>
      <c r="E507" s="7" t="s">
        <v>215</v>
      </c>
      <c r="F507" s="6">
        <v>2</v>
      </c>
      <c r="G507" s="8" t="s">
        <v>165</v>
      </c>
      <c r="H507" s="8" t="s">
        <v>166</v>
      </c>
      <c r="I507" s="109" t="s">
        <v>557</v>
      </c>
      <c r="J507" s="8" t="s">
        <v>212</v>
      </c>
      <c r="K507" s="14" t="b">
        <v>0</v>
      </c>
      <c r="L507" s="14" t="b">
        <v>1</v>
      </c>
      <c r="M507" s="14" t="b">
        <v>1</v>
      </c>
      <c r="N507" s="14" t="b">
        <v>0</v>
      </c>
      <c r="O507" s="14" t="b">
        <v>1</v>
      </c>
      <c r="W507" s="3"/>
    </row>
    <row r="508" spans="1:23" x14ac:dyDescent="0.25">
      <c r="A508" s="4">
        <v>7245269000187</v>
      </c>
      <c r="B508" s="8" t="s">
        <v>816</v>
      </c>
      <c r="C508" s="8" t="s">
        <v>76</v>
      </c>
      <c r="D508" s="7" t="s">
        <v>77</v>
      </c>
      <c r="E508" s="7" t="s">
        <v>215</v>
      </c>
      <c r="F508" s="6">
        <v>2</v>
      </c>
      <c r="G508" s="8" t="s">
        <v>165</v>
      </c>
      <c r="H508" s="8" t="s">
        <v>166</v>
      </c>
      <c r="I508" s="109" t="s">
        <v>557</v>
      </c>
      <c r="J508" s="8" t="s">
        <v>212</v>
      </c>
      <c r="K508" s="14" t="b">
        <v>0</v>
      </c>
      <c r="L508" s="14" t="b">
        <v>1</v>
      </c>
      <c r="M508" s="14" t="b">
        <v>1</v>
      </c>
      <c r="N508" s="14" t="b">
        <v>0</v>
      </c>
      <c r="O508" s="14" t="b">
        <v>1</v>
      </c>
      <c r="W508" s="3"/>
    </row>
    <row r="509" spans="1:23" x14ac:dyDescent="0.25">
      <c r="A509" s="4">
        <v>7272404000183</v>
      </c>
      <c r="B509" s="8" t="s">
        <v>817</v>
      </c>
      <c r="C509" s="8" t="s">
        <v>76</v>
      </c>
      <c r="D509" s="7" t="s">
        <v>77</v>
      </c>
      <c r="E509" s="7" t="s">
        <v>215</v>
      </c>
      <c r="F509" s="6">
        <v>2</v>
      </c>
      <c r="G509" s="8" t="s">
        <v>165</v>
      </c>
      <c r="H509" s="8" t="s">
        <v>166</v>
      </c>
      <c r="I509" s="109" t="s">
        <v>557</v>
      </c>
      <c r="J509" s="8" t="s">
        <v>212</v>
      </c>
      <c r="K509" s="14" t="b">
        <v>0</v>
      </c>
      <c r="L509" s="14" t="b">
        <v>1</v>
      </c>
      <c r="M509" s="14" t="b">
        <v>1</v>
      </c>
      <c r="N509" s="14" t="b">
        <v>0</v>
      </c>
      <c r="O509" s="14" t="b">
        <v>1</v>
      </c>
      <c r="W509" s="3"/>
    </row>
    <row r="510" spans="1:23" x14ac:dyDescent="0.25">
      <c r="A510" s="4">
        <v>7272636000212</v>
      </c>
      <c r="B510" s="8" t="s">
        <v>818</v>
      </c>
      <c r="C510" s="8" t="s">
        <v>76</v>
      </c>
      <c r="D510" s="7" t="s">
        <v>77</v>
      </c>
      <c r="E510" s="7" t="s">
        <v>215</v>
      </c>
      <c r="F510" s="6">
        <v>2</v>
      </c>
      <c r="G510" s="8" t="s">
        <v>165</v>
      </c>
      <c r="H510" s="8" t="s">
        <v>166</v>
      </c>
      <c r="I510" s="109" t="s">
        <v>557</v>
      </c>
      <c r="J510" s="8" t="s">
        <v>212</v>
      </c>
      <c r="K510" s="14" t="b">
        <v>0</v>
      </c>
      <c r="L510" s="14" t="b">
        <v>1</v>
      </c>
      <c r="M510" s="14" t="b">
        <v>1</v>
      </c>
      <c r="N510" s="14" t="b">
        <v>0</v>
      </c>
      <c r="O510" s="14" t="b">
        <v>1</v>
      </c>
      <c r="W510" s="3"/>
    </row>
    <row r="511" spans="1:23" x14ac:dyDescent="0.25">
      <c r="A511" s="4">
        <v>7750144000104</v>
      </c>
      <c r="B511" s="8" t="s">
        <v>819</v>
      </c>
      <c r="C511" s="8" t="s">
        <v>777</v>
      </c>
      <c r="D511" s="7" t="s">
        <v>72</v>
      </c>
      <c r="E511" s="7" t="s">
        <v>215</v>
      </c>
      <c r="F511" s="6">
        <v>2</v>
      </c>
      <c r="G511" s="8" t="s">
        <v>165</v>
      </c>
      <c r="H511" s="8" t="s">
        <v>166</v>
      </c>
      <c r="I511" s="109" t="s">
        <v>557</v>
      </c>
      <c r="J511" s="8" t="s">
        <v>212</v>
      </c>
      <c r="K511" s="14" t="b">
        <v>0</v>
      </c>
      <c r="L511" s="14" t="b">
        <v>1</v>
      </c>
      <c r="M511" s="14" t="b">
        <v>1</v>
      </c>
      <c r="N511" s="14" t="b">
        <v>0</v>
      </c>
      <c r="O511" s="14" t="b">
        <v>1</v>
      </c>
      <c r="W511" s="3"/>
    </row>
    <row r="512" spans="1:23" x14ac:dyDescent="0.25">
      <c r="A512" s="4">
        <v>7750144000104</v>
      </c>
      <c r="B512" s="8" t="s">
        <v>819</v>
      </c>
      <c r="C512" s="8" t="s">
        <v>777</v>
      </c>
      <c r="D512" s="7" t="s">
        <v>72</v>
      </c>
      <c r="E512" s="7" t="s">
        <v>215</v>
      </c>
      <c r="F512" s="6">
        <v>2</v>
      </c>
      <c r="G512" s="8" t="s">
        <v>201</v>
      </c>
      <c r="H512" s="8" t="s">
        <v>202</v>
      </c>
      <c r="I512" s="109" t="s">
        <v>740</v>
      </c>
      <c r="J512" s="8" t="s">
        <v>212</v>
      </c>
      <c r="K512" s="14" t="b">
        <v>1</v>
      </c>
      <c r="L512" s="14" t="b">
        <v>0</v>
      </c>
      <c r="M512" s="14" t="b">
        <v>0</v>
      </c>
      <c r="N512" s="14" t="b">
        <v>1</v>
      </c>
      <c r="O512" s="14" t="b">
        <v>1</v>
      </c>
      <c r="W512" s="3"/>
    </row>
    <row r="513" spans="1:23" x14ac:dyDescent="0.25">
      <c r="A513" s="4">
        <v>7775847000278</v>
      </c>
      <c r="B513" s="8" t="s">
        <v>820</v>
      </c>
      <c r="C513" s="8" t="s">
        <v>123</v>
      </c>
      <c r="D513" s="7" t="s">
        <v>65</v>
      </c>
      <c r="E513" s="7" t="s">
        <v>215</v>
      </c>
      <c r="F513" s="6">
        <v>2</v>
      </c>
      <c r="G513" s="8" t="s">
        <v>187</v>
      </c>
      <c r="H513" s="8" t="s">
        <v>188</v>
      </c>
      <c r="I513" s="109" t="s">
        <v>556</v>
      </c>
      <c r="J513" s="8" t="s">
        <v>212</v>
      </c>
      <c r="K513" s="14" t="b">
        <v>1</v>
      </c>
      <c r="L513" s="14" t="b">
        <v>0</v>
      </c>
      <c r="M513" s="14" t="b">
        <v>0</v>
      </c>
      <c r="N513" s="14" t="b">
        <v>1</v>
      </c>
      <c r="O513" s="14" t="b">
        <v>1</v>
      </c>
      <c r="W513" s="3"/>
    </row>
    <row r="514" spans="1:23" x14ac:dyDescent="0.25">
      <c r="A514" s="4">
        <v>7775847000278</v>
      </c>
      <c r="B514" s="8" t="s">
        <v>820</v>
      </c>
      <c r="C514" s="8" t="s">
        <v>123</v>
      </c>
      <c r="D514" s="7" t="s">
        <v>65</v>
      </c>
      <c r="E514" s="7" t="s">
        <v>215</v>
      </c>
      <c r="F514" s="6">
        <v>2</v>
      </c>
      <c r="G514" s="8" t="s">
        <v>163</v>
      </c>
      <c r="H514" s="8" t="s">
        <v>164</v>
      </c>
      <c r="I514" s="109" t="s">
        <v>557</v>
      </c>
      <c r="J514" s="8" t="s">
        <v>212</v>
      </c>
      <c r="K514" s="14" t="b">
        <v>0</v>
      </c>
      <c r="L514" s="14" t="b">
        <v>1</v>
      </c>
      <c r="M514" s="14" t="b">
        <v>1</v>
      </c>
      <c r="N514" s="14" t="b">
        <v>0</v>
      </c>
      <c r="O514" s="14" t="b">
        <v>1</v>
      </c>
      <c r="W514" s="3"/>
    </row>
    <row r="515" spans="1:23" x14ac:dyDescent="0.25">
      <c r="A515" s="4">
        <v>7794623005191</v>
      </c>
      <c r="B515" s="8" t="s">
        <v>821</v>
      </c>
      <c r="C515" s="8" t="s">
        <v>739</v>
      </c>
      <c r="D515" s="7" t="s">
        <v>55</v>
      </c>
      <c r="E515" s="7" t="s">
        <v>215</v>
      </c>
      <c r="F515" s="6">
        <v>2</v>
      </c>
      <c r="G515" s="8" t="s">
        <v>201</v>
      </c>
      <c r="H515" s="8" t="s">
        <v>202</v>
      </c>
      <c r="I515" s="109" t="s">
        <v>740</v>
      </c>
      <c r="J515" s="8" t="s">
        <v>212</v>
      </c>
      <c r="K515" s="14" t="b">
        <v>1</v>
      </c>
      <c r="L515" s="14" t="b">
        <v>0</v>
      </c>
      <c r="M515" s="14" t="b">
        <v>0</v>
      </c>
      <c r="N515" s="14" t="b">
        <v>1</v>
      </c>
      <c r="O515" s="14" t="b">
        <v>1</v>
      </c>
      <c r="W515" s="3"/>
    </row>
    <row r="516" spans="1:23" x14ac:dyDescent="0.25">
      <c r="A516" s="4">
        <v>7794623005191</v>
      </c>
      <c r="B516" s="8" t="s">
        <v>821</v>
      </c>
      <c r="C516" s="8" t="s">
        <v>739</v>
      </c>
      <c r="D516" s="7" t="s">
        <v>55</v>
      </c>
      <c r="E516" s="7" t="s">
        <v>215</v>
      </c>
      <c r="F516" s="6">
        <v>2</v>
      </c>
      <c r="G516" s="8" t="s">
        <v>163</v>
      </c>
      <c r="H516" s="8" t="s">
        <v>164</v>
      </c>
      <c r="I516" s="109" t="s">
        <v>557</v>
      </c>
      <c r="J516" s="8" t="s">
        <v>212</v>
      </c>
      <c r="K516" s="14" t="b">
        <v>0</v>
      </c>
      <c r="L516" s="14" t="b">
        <v>1</v>
      </c>
      <c r="M516" s="14" t="b">
        <v>1</v>
      </c>
      <c r="N516" s="14" t="b">
        <v>0</v>
      </c>
      <c r="O516" s="14" t="b">
        <v>1</v>
      </c>
      <c r="W516" s="3"/>
    </row>
    <row r="517" spans="1:23" x14ac:dyDescent="0.25">
      <c r="A517" s="4">
        <v>7835044000180</v>
      </c>
      <c r="B517" s="8" t="s">
        <v>822</v>
      </c>
      <c r="C517" s="8" t="s">
        <v>76</v>
      </c>
      <c r="D517" s="7" t="s">
        <v>77</v>
      </c>
      <c r="E517" s="7" t="s">
        <v>215</v>
      </c>
      <c r="F517" s="6">
        <v>2</v>
      </c>
      <c r="G517" s="8" t="s">
        <v>165</v>
      </c>
      <c r="H517" s="8" t="s">
        <v>166</v>
      </c>
      <c r="I517" s="109" t="s">
        <v>557</v>
      </c>
      <c r="J517" s="8" t="s">
        <v>212</v>
      </c>
      <c r="K517" s="14" t="b">
        <v>0</v>
      </c>
      <c r="L517" s="14" t="b">
        <v>1</v>
      </c>
      <c r="M517" s="14" t="b">
        <v>1</v>
      </c>
      <c r="N517" s="14" t="b">
        <v>0</v>
      </c>
      <c r="O517" s="14" t="b">
        <v>1</v>
      </c>
      <c r="W517" s="3"/>
    </row>
    <row r="518" spans="1:23" x14ac:dyDescent="0.25">
      <c r="A518" s="4">
        <v>8319329000121</v>
      </c>
      <c r="B518" s="8" t="s">
        <v>823</v>
      </c>
      <c r="C518" s="8" t="s">
        <v>62</v>
      </c>
      <c r="D518" s="7" t="s">
        <v>63</v>
      </c>
      <c r="E518" s="7" t="s">
        <v>215</v>
      </c>
      <c r="F518" s="6">
        <v>2</v>
      </c>
      <c r="G518" s="8" t="s">
        <v>169</v>
      </c>
      <c r="H518" s="8" t="s">
        <v>170</v>
      </c>
      <c r="I518" s="109" t="s">
        <v>557</v>
      </c>
      <c r="J518" s="8" t="s">
        <v>212</v>
      </c>
      <c r="K518" s="14" t="b">
        <v>0</v>
      </c>
      <c r="L518" s="14" t="b">
        <v>1</v>
      </c>
      <c r="M518" s="14" t="b">
        <v>1</v>
      </c>
      <c r="N518" s="14" t="b">
        <v>0</v>
      </c>
      <c r="O518" s="14" t="b">
        <v>1</v>
      </c>
      <c r="W518" s="3"/>
    </row>
    <row r="519" spans="1:23" x14ac:dyDescent="0.25">
      <c r="A519" s="4">
        <v>8337586000196</v>
      </c>
      <c r="B519" s="8" t="s">
        <v>824</v>
      </c>
      <c r="C519" s="8" t="s">
        <v>62</v>
      </c>
      <c r="D519" s="7" t="s">
        <v>63</v>
      </c>
      <c r="E519" s="7" t="s">
        <v>215</v>
      </c>
      <c r="F519" s="6">
        <v>2</v>
      </c>
      <c r="G519" s="8" t="s">
        <v>169</v>
      </c>
      <c r="H519" s="8" t="s">
        <v>170</v>
      </c>
      <c r="I519" s="109" t="s">
        <v>557</v>
      </c>
      <c r="J519" s="8" t="s">
        <v>212</v>
      </c>
      <c r="K519" s="14" t="b">
        <v>0</v>
      </c>
      <c r="L519" s="14" t="b">
        <v>1</v>
      </c>
      <c r="M519" s="14" t="b">
        <v>1</v>
      </c>
      <c r="N519" s="14" t="b">
        <v>0</v>
      </c>
      <c r="O519" s="14" t="b">
        <v>1</v>
      </c>
      <c r="W519" s="3"/>
    </row>
    <row r="520" spans="1:23" x14ac:dyDescent="0.25">
      <c r="A520" s="4">
        <v>8380701000610</v>
      </c>
      <c r="B520" s="8" t="s">
        <v>825</v>
      </c>
      <c r="C520" s="8" t="s">
        <v>62</v>
      </c>
      <c r="D520" s="7" t="s">
        <v>63</v>
      </c>
      <c r="E520" s="7" t="s">
        <v>215</v>
      </c>
      <c r="F520" s="6">
        <v>2</v>
      </c>
      <c r="G520" s="8" t="s">
        <v>169</v>
      </c>
      <c r="H520" s="8" t="s">
        <v>170</v>
      </c>
      <c r="I520" s="109" t="s">
        <v>557</v>
      </c>
      <c r="J520" s="8" t="s">
        <v>212</v>
      </c>
      <c r="K520" s="14" t="b">
        <v>0</v>
      </c>
      <c r="L520" s="14" t="b">
        <v>1</v>
      </c>
      <c r="M520" s="14" t="b">
        <v>1</v>
      </c>
      <c r="N520" s="14" t="b">
        <v>0</v>
      </c>
      <c r="O520" s="14" t="b">
        <v>1</v>
      </c>
      <c r="W520" s="3"/>
    </row>
    <row r="521" spans="1:23" x14ac:dyDescent="0.25">
      <c r="A521" s="4">
        <v>8380701001772</v>
      </c>
      <c r="B521" s="8" t="s">
        <v>826</v>
      </c>
      <c r="C521" s="8" t="s">
        <v>62</v>
      </c>
      <c r="D521" s="7" t="s">
        <v>63</v>
      </c>
      <c r="E521" s="7" t="s">
        <v>215</v>
      </c>
      <c r="F521" s="6">
        <v>2</v>
      </c>
      <c r="G521" s="8" t="s">
        <v>169</v>
      </c>
      <c r="H521" s="8" t="s">
        <v>170</v>
      </c>
      <c r="I521" s="109" t="s">
        <v>557</v>
      </c>
      <c r="J521" s="8" t="s">
        <v>212</v>
      </c>
      <c r="K521" s="14" t="b">
        <v>0</v>
      </c>
      <c r="L521" s="14" t="b">
        <v>1</v>
      </c>
      <c r="M521" s="14" t="b">
        <v>1</v>
      </c>
      <c r="N521" s="14" t="b">
        <v>0</v>
      </c>
      <c r="O521" s="14" t="b">
        <v>1</v>
      </c>
      <c r="W521" s="3"/>
    </row>
    <row r="522" spans="1:23" x14ac:dyDescent="0.25">
      <c r="A522" s="4">
        <v>8680639000681</v>
      </c>
      <c r="B522" s="8" t="s">
        <v>827</v>
      </c>
      <c r="C522" s="8" t="s">
        <v>747</v>
      </c>
      <c r="D522" s="7" t="s">
        <v>56</v>
      </c>
      <c r="E522" s="7" t="s">
        <v>215</v>
      </c>
      <c r="F522" s="6">
        <v>2</v>
      </c>
      <c r="G522" s="8" t="s">
        <v>169</v>
      </c>
      <c r="H522" s="8" t="s">
        <v>170</v>
      </c>
      <c r="I522" s="109" t="s">
        <v>557</v>
      </c>
      <c r="J522" s="8" t="s">
        <v>212</v>
      </c>
      <c r="K522" s="14" t="b">
        <v>0</v>
      </c>
      <c r="L522" s="14" t="b">
        <v>1</v>
      </c>
      <c r="M522" s="14" t="b">
        <v>1</v>
      </c>
      <c r="N522" s="14" t="b">
        <v>0</v>
      </c>
      <c r="O522" s="14" t="b">
        <v>1</v>
      </c>
      <c r="W522" s="3"/>
    </row>
    <row r="523" spans="1:23" x14ac:dyDescent="0.25">
      <c r="A523" s="4">
        <v>8711085000128</v>
      </c>
      <c r="B523" s="8" t="s">
        <v>828</v>
      </c>
      <c r="C523" s="8" t="s">
        <v>76</v>
      </c>
      <c r="D523" s="7" t="s">
        <v>77</v>
      </c>
      <c r="E523" s="7" t="s">
        <v>215</v>
      </c>
      <c r="F523" s="6">
        <v>2</v>
      </c>
      <c r="G523" s="8" t="s">
        <v>165</v>
      </c>
      <c r="H523" s="8" t="s">
        <v>166</v>
      </c>
      <c r="I523" s="109" t="s">
        <v>557</v>
      </c>
      <c r="J523" s="8" t="s">
        <v>212</v>
      </c>
      <c r="K523" s="14" t="b">
        <v>0</v>
      </c>
      <c r="L523" s="14" t="b">
        <v>1</v>
      </c>
      <c r="M523" s="14" t="b">
        <v>1</v>
      </c>
      <c r="N523" s="14" t="b">
        <v>0</v>
      </c>
      <c r="O523" s="14" t="b">
        <v>1</v>
      </c>
      <c r="W523" s="3"/>
    </row>
    <row r="524" spans="1:23" x14ac:dyDescent="0.25">
      <c r="A524" s="4">
        <v>9039744000275</v>
      </c>
      <c r="B524" s="8" t="s">
        <v>829</v>
      </c>
      <c r="C524" s="8" t="s">
        <v>99</v>
      </c>
      <c r="D524" s="7" t="s">
        <v>71</v>
      </c>
      <c r="E524" s="7" t="s">
        <v>215</v>
      </c>
      <c r="F524" s="6">
        <v>2</v>
      </c>
      <c r="G524" s="8" t="s">
        <v>169</v>
      </c>
      <c r="H524" s="8" t="s">
        <v>170</v>
      </c>
      <c r="I524" s="109" t="s">
        <v>557</v>
      </c>
      <c r="J524" s="8" t="s">
        <v>212</v>
      </c>
      <c r="K524" s="14" t="b">
        <v>0</v>
      </c>
      <c r="L524" s="14" t="b">
        <v>1</v>
      </c>
      <c r="M524" s="14" t="b">
        <v>1</v>
      </c>
      <c r="N524" s="14" t="b">
        <v>0</v>
      </c>
      <c r="O524" s="14" t="b">
        <v>1</v>
      </c>
      <c r="W524" s="3"/>
    </row>
    <row r="525" spans="1:23" x14ac:dyDescent="0.25">
      <c r="A525" s="4">
        <v>9104513000974</v>
      </c>
      <c r="B525" s="8" t="s">
        <v>830</v>
      </c>
      <c r="C525" s="8" t="s">
        <v>739</v>
      </c>
      <c r="D525" s="7" t="s">
        <v>55</v>
      </c>
      <c r="E525" s="7" t="s">
        <v>215</v>
      </c>
      <c r="F525" s="6">
        <v>2</v>
      </c>
      <c r="G525" s="8" t="s">
        <v>163</v>
      </c>
      <c r="H525" s="8" t="s">
        <v>164</v>
      </c>
      <c r="I525" s="109" t="s">
        <v>557</v>
      </c>
      <c r="J525" s="8" t="s">
        <v>212</v>
      </c>
      <c r="K525" s="14" t="b">
        <v>0</v>
      </c>
      <c r="L525" s="14" t="b">
        <v>1</v>
      </c>
      <c r="M525" s="14" t="b">
        <v>1</v>
      </c>
      <c r="N525" s="14" t="b">
        <v>0</v>
      </c>
      <c r="O525" s="14" t="b">
        <v>1</v>
      </c>
      <c r="W525" s="3"/>
    </row>
    <row r="526" spans="1:23" x14ac:dyDescent="0.25">
      <c r="A526" s="4">
        <v>9104513000974</v>
      </c>
      <c r="B526" s="8" t="s">
        <v>830</v>
      </c>
      <c r="C526" s="8" t="s">
        <v>739</v>
      </c>
      <c r="D526" s="7" t="s">
        <v>55</v>
      </c>
      <c r="E526" s="7" t="s">
        <v>215</v>
      </c>
      <c r="F526" s="6">
        <v>2</v>
      </c>
      <c r="G526" s="8" t="s">
        <v>201</v>
      </c>
      <c r="H526" s="8" t="s">
        <v>202</v>
      </c>
      <c r="I526" s="109" t="s">
        <v>740</v>
      </c>
      <c r="J526" s="8" t="s">
        <v>212</v>
      </c>
      <c r="K526" s="14" t="b">
        <v>1</v>
      </c>
      <c r="L526" s="14" t="b">
        <v>0</v>
      </c>
      <c r="M526" s="14" t="b">
        <v>0</v>
      </c>
      <c r="N526" s="14" t="b">
        <v>1</v>
      </c>
      <c r="O526" s="14" t="b">
        <v>1</v>
      </c>
      <c r="W526" s="3"/>
    </row>
    <row r="527" spans="1:23" x14ac:dyDescent="0.25">
      <c r="A527" s="4">
        <v>9192098000109</v>
      </c>
      <c r="B527" s="8" t="s">
        <v>831</v>
      </c>
      <c r="C527" s="8" t="s">
        <v>832</v>
      </c>
      <c r="D527" s="7" t="s">
        <v>72</v>
      </c>
      <c r="E527" s="7" t="s">
        <v>215</v>
      </c>
      <c r="F527" s="6">
        <v>2</v>
      </c>
      <c r="G527" s="8" t="s">
        <v>201</v>
      </c>
      <c r="H527" s="8" t="s">
        <v>202</v>
      </c>
      <c r="I527" s="109" t="s">
        <v>740</v>
      </c>
      <c r="J527" s="8" t="s">
        <v>212</v>
      </c>
      <c r="K527" s="14" t="b">
        <v>1</v>
      </c>
      <c r="L527" s="14" t="b">
        <v>0</v>
      </c>
      <c r="M527" s="14" t="b">
        <v>0</v>
      </c>
      <c r="N527" s="14" t="b">
        <v>1</v>
      </c>
      <c r="O527" s="14" t="b">
        <v>1</v>
      </c>
      <c r="W527" s="3"/>
    </row>
    <row r="528" spans="1:23" x14ac:dyDescent="0.25">
      <c r="A528" s="4">
        <v>9192098000109</v>
      </c>
      <c r="B528" s="8" t="s">
        <v>831</v>
      </c>
      <c r="C528" s="8" t="s">
        <v>832</v>
      </c>
      <c r="D528" s="7" t="s">
        <v>72</v>
      </c>
      <c r="E528" s="7" t="s">
        <v>215</v>
      </c>
      <c r="F528" s="6">
        <v>2</v>
      </c>
      <c r="G528" s="8" t="s">
        <v>165</v>
      </c>
      <c r="H528" s="8" t="s">
        <v>166</v>
      </c>
      <c r="I528" s="109" t="s">
        <v>557</v>
      </c>
      <c r="J528" s="8" t="s">
        <v>212</v>
      </c>
      <c r="K528" s="14" t="b">
        <v>0</v>
      </c>
      <c r="L528" s="14" t="b">
        <v>1</v>
      </c>
      <c r="M528" s="14" t="b">
        <v>1</v>
      </c>
      <c r="N528" s="14" t="b">
        <v>0</v>
      </c>
      <c r="O528" s="14" t="b">
        <v>1</v>
      </c>
      <c r="W528" s="3"/>
    </row>
    <row r="529" spans="1:23" x14ac:dyDescent="0.25">
      <c r="A529" s="4">
        <v>9577422000280</v>
      </c>
      <c r="B529" s="8" t="s">
        <v>1390</v>
      </c>
      <c r="C529" s="8" t="s">
        <v>70</v>
      </c>
      <c r="D529" s="7" t="s">
        <v>71</v>
      </c>
      <c r="E529" s="7" t="s">
        <v>215</v>
      </c>
      <c r="F529" s="6">
        <v>2</v>
      </c>
      <c r="G529" s="8" t="s">
        <v>169</v>
      </c>
      <c r="H529" s="8" t="s">
        <v>170</v>
      </c>
      <c r="I529" s="109" t="s">
        <v>557</v>
      </c>
      <c r="J529" s="8" t="s">
        <v>212</v>
      </c>
      <c r="K529" s="14" t="b">
        <v>0</v>
      </c>
      <c r="L529" s="14" t="b">
        <v>1</v>
      </c>
      <c r="M529" s="14" t="b">
        <v>1</v>
      </c>
      <c r="N529" s="14" t="b">
        <v>0</v>
      </c>
      <c r="O529" s="14" t="b">
        <v>1</v>
      </c>
      <c r="W529" s="3"/>
    </row>
    <row r="530" spans="1:23" x14ac:dyDescent="0.25">
      <c r="A530" s="4">
        <v>10572048000209</v>
      </c>
      <c r="B530" s="8" t="s">
        <v>833</v>
      </c>
      <c r="C530" s="8" t="s">
        <v>70</v>
      </c>
      <c r="D530" s="7" t="s">
        <v>71</v>
      </c>
      <c r="E530" s="7" t="s">
        <v>215</v>
      </c>
      <c r="F530" s="6">
        <v>2</v>
      </c>
      <c r="G530" s="8" t="s">
        <v>169</v>
      </c>
      <c r="H530" s="8" t="s">
        <v>170</v>
      </c>
      <c r="I530" s="109" t="s">
        <v>557</v>
      </c>
      <c r="J530" s="8" t="s">
        <v>212</v>
      </c>
      <c r="K530" s="14" t="b">
        <v>0</v>
      </c>
      <c r="L530" s="14" t="b">
        <v>1</v>
      </c>
      <c r="M530" s="14" t="b">
        <v>1</v>
      </c>
      <c r="N530" s="14" t="b">
        <v>0</v>
      </c>
      <c r="O530" s="14" t="b">
        <v>1</v>
      </c>
      <c r="W530" s="3"/>
    </row>
    <row r="531" spans="1:23" x14ac:dyDescent="0.25">
      <c r="A531" s="4">
        <v>10839561000132</v>
      </c>
      <c r="B531" s="8" t="s">
        <v>834</v>
      </c>
      <c r="C531" s="8" t="s">
        <v>70</v>
      </c>
      <c r="D531" s="7" t="s">
        <v>71</v>
      </c>
      <c r="E531" s="7" t="s">
        <v>215</v>
      </c>
      <c r="F531" s="6">
        <v>2</v>
      </c>
      <c r="G531" s="8" t="s">
        <v>169</v>
      </c>
      <c r="H531" s="8" t="s">
        <v>170</v>
      </c>
      <c r="I531" s="109" t="s">
        <v>557</v>
      </c>
      <c r="J531" s="8" t="s">
        <v>212</v>
      </c>
      <c r="K531" s="14" t="b">
        <v>0</v>
      </c>
      <c r="L531" s="14" t="b">
        <v>1</v>
      </c>
      <c r="M531" s="14" t="b">
        <v>1</v>
      </c>
      <c r="N531" s="14" t="b">
        <v>0</v>
      </c>
      <c r="O531" s="14" t="b">
        <v>1</v>
      </c>
      <c r="W531" s="3"/>
    </row>
    <row r="532" spans="1:23" x14ac:dyDescent="0.25">
      <c r="A532" s="4">
        <v>10892164000124</v>
      </c>
      <c r="B532" s="8" t="s">
        <v>835</v>
      </c>
      <c r="C532" s="8" t="s">
        <v>70</v>
      </c>
      <c r="D532" s="7" t="s">
        <v>71</v>
      </c>
      <c r="E532" s="7" t="s">
        <v>215</v>
      </c>
      <c r="F532" s="6">
        <v>2</v>
      </c>
      <c r="G532" s="8" t="s">
        <v>169</v>
      </c>
      <c r="H532" s="8" t="s">
        <v>170</v>
      </c>
      <c r="I532" s="109" t="s">
        <v>557</v>
      </c>
      <c r="J532" s="8" t="s">
        <v>212</v>
      </c>
      <c r="K532" s="14" t="b">
        <v>0</v>
      </c>
      <c r="L532" s="14" t="b">
        <v>1</v>
      </c>
      <c r="M532" s="14" t="b">
        <v>1</v>
      </c>
      <c r="N532" s="14" t="b">
        <v>0</v>
      </c>
      <c r="O532" s="14" t="b">
        <v>1</v>
      </c>
      <c r="W532" s="3"/>
    </row>
    <row r="533" spans="1:23" x14ac:dyDescent="0.25">
      <c r="A533" s="4">
        <v>10942995000163</v>
      </c>
      <c r="B533" s="8" t="s">
        <v>836</v>
      </c>
      <c r="C533" s="8" t="s">
        <v>739</v>
      </c>
      <c r="D533" s="7" t="s">
        <v>55</v>
      </c>
      <c r="E533" s="7" t="s">
        <v>215</v>
      </c>
      <c r="F533" s="6">
        <v>2</v>
      </c>
      <c r="G533" s="8" t="s">
        <v>163</v>
      </c>
      <c r="H533" s="8" t="s">
        <v>164</v>
      </c>
      <c r="I533" s="109" t="s">
        <v>557</v>
      </c>
      <c r="J533" s="8" t="s">
        <v>212</v>
      </c>
      <c r="K533" s="14" t="b">
        <v>0</v>
      </c>
      <c r="L533" s="14" t="b">
        <v>1</v>
      </c>
      <c r="M533" s="14" t="b">
        <v>1</v>
      </c>
      <c r="N533" s="14" t="b">
        <v>0</v>
      </c>
      <c r="O533" s="14" t="b">
        <v>1</v>
      </c>
      <c r="W533" s="3"/>
    </row>
    <row r="534" spans="1:23" x14ac:dyDescent="0.25">
      <c r="A534" s="4">
        <v>10942995000163</v>
      </c>
      <c r="B534" s="8" t="s">
        <v>836</v>
      </c>
      <c r="C534" s="8" t="s">
        <v>739</v>
      </c>
      <c r="D534" s="7" t="s">
        <v>55</v>
      </c>
      <c r="E534" s="7" t="s">
        <v>215</v>
      </c>
      <c r="F534" s="6">
        <v>2</v>
      </c>
      <c r="G534" s="8" t="s">
        <v>201</v>
      </c>
      <c r="H534" s="8" t="s">
        <v>202</v>
      </c>
      <c r="I534" s="109" t="s">
        <v>740</v>
      </c>
      <c r="J534" s="8" t="s">
        <v>212</v>
      </c>
      <c r="K534" s="14" t="b">
        <v>1</v>
      </c>
      <c r="L534" s="14" t="b">
        <v>0</v>
      </c>
      <c r="M534" s="14" t="b">
        <v>0</v>
      </c>
      <c r="N534" s="14" t="b">
        <v>1</v>
      </c>
      <c r="O534" s="14" t="b">
        <v>1</v>
      </c>
      <c r="W534" s="3"/>
    </row>
    <row r="535" spans="1:23" x14ac:dyDescent="0.25">
      <c r="A535" s="4">
        <v>10988301000129</v>
      </c>
      <c r="B535" s="8" t="s">
        <v>837</v>
      </c>
      <c r="C535" s="8" t="s">
        <v>70</v>
      </c>
      <c r="D535" s="7" t="s">
        <v>71</v>
      </c>
      <c r="E535" s="7" t="s">
        <v>215</v>
      </c>
      <c r="F535" s="6">
        <v>2</v>
      </c>
      <c r="G535" s="8" t="s">
        <v>169</v>
      </c>
      <c r="H535" s="8" t="s">
        <v>170</v>
      </c>
      <c r="I535" s="109" t="s">
        <v>557</v>
      </c>
      <c r="J535" s="8" t="s">
        <v>212</v>
      </c>
      <c r="K535" s="14" t="b">
        <v>0</v>
      </c>
      <c r="L535" s="14" t="b">
        <v>1</v>
      </c>
      <c r="M535" s="14" t="b">
        <v>1</v>
      </c>
      <c r="N535" s="14" t="b">
        <v>0</v>
      </c>
      <c r="O535" s="14" t="b">
        <v>1</v>
      </c>
      <c r="W535" s="3"/>
    </row>
    <row r="536" spans="1:23" x14ac:dyDescent="0.25">
      <c r="A536" s="4">
        <v>11006293000130</v>
      </c>
      <c r="B536" s="8" t="s">
        <v>838</v>
      </c>
      <c r="C536" s="8" t="s">
        <v>777</v>
      </c>
      <c r="D536" s="7" t="s">
        <v>72</v>
      </c>
      <c r="E536" s="7" t="s">
        <v>215</v>
      </c>
      <c r="F536" s="6">
        <v>2</v>
      </c>
      <c r="G536" s="8" t="s">
        <v>165</v>
      </c>
      <c r="H536" s="8" t="s">
        <v>166</v>
      </c>
      <c r="I536" s="109" t="s">
        <v>557</v>
      </c>
      <c r="J536" s="8" t="s">
        <v>212</v>
      </c>
      <c r="K536" s="14" t="b">
        <v>0</v>
      </c>
      <c r="L536" s="14" t="b">
        <v>1</v>
      </c>
      <c r="M536" s="14" t="b">
        <v>1</v>
      </c>
      <c r="N536" s="14" t="b">
        <v>0</v>
      </c>
      <c r="O536" s="14" t="b">
        <v>1</v>
      </c>
      <c r="W536" s="3"/>
    </row>
    <row r="537" spans="1:23" x14ac:dyDescent="0.25">
      <c r="A537" s="4">
        <v>11006293000130</v>
      </c>
      <c r="B537" s="8" t="s">
        <v>838</v>
      </c>
      <c r="C537" s="8" t="s">
        <v>777</v>
      </c>
      <c r="D537" s="7" t="s">
        <v>72</v>
      </c>
      <c r="E537" s="7" t="s">
        <v>215</v>
      </c>
      <c r="F537" s="6">
        <v>2</v>
      </c>
      <c r="G537" s="8" t="s">
        <v>201</v>
      </c>
      <c r="H537" s="8" t="s">
        <v>202</v>
      </c>
      <c r="I537" s="109" t="s">
        <v>740</v>
      </c>
      <c r="J537" s="8" t="s">
        <v>212</v>
      </c>
      <c r="K537" s="14" t="b">
        <v>1</v>
      </c>
      <c r="L537" s="14" t="b">
        <v>0</v>
      </c>
      <c r="M537" s="14" t="b">
        <v>0</v>
      </c>
      <c r="N537" s="14" t="b">
        <v>1</v>
      </c>
      <c r="O537" s="14" t="b">
        <v>1</v>
      </c>
      <c r="W537" s="3"/>
    </row>
    <row r="538" spans="1:23" x14ac:dyDescent="0.25">
      <c r="A538" s="4">
        <v>11022597001325</v>
      </c>
      <c r="B538" s="8" t="s">
        <v>839</v>
      </c>
      <c r="C538" s="8" t="s">
        <v>70</v>
      </c>
      <c r="D538" s="7" t="s">
        <v>71</v>
      </c>
      <c r="E538" s="7" t="s">
        <v>215</v>
      </c>
      <c r="F538" s="6">
        <v>2</v>
      </c>
      <c r="G538" s="8" t="s">
        <v>169</v>
      </c>
      <c r="H538" s="8" t="s">
        <v>170</v>
      </c>
      <c r="I538" s="109" t="s">
        <v>557</v>
      </c>
      <c r="J538" s="8" t="s">
        <v>212</v>
      </c>
      <c r="K538" s="14" t="b">
        <v>0</v>
      </c>
      <c r="L538" s="14" t="b">
        <v>1</v>
      </c>
      <c r="M538" s="14" t="b">
        <v>1</v>
      </c>
      <c r="N538" s="14" t="b">
        <v>0</v>
      </c>
      <c r="O538" s="14" t="b">
        <v>1</v>
      </c>
      <c r="W538" s="3"/>
    </row>
    <row r="539" spans="1:23" x14ac:dyDescent="0.25">
      <c r="A539" s="4">
        <v>11022597001597</v>
      </c>
      <c r="B539" s="8" t="s">
        <v>840</v>
      </c>
      <c r="C539" s="8" t="s">
        <v>70</v>
      </c>
      <c r="D539" s="7" t="s">
        <v>71</v>
      </c>
      <c r="E539" s="7" t="s">
        <v>215</v>
      </c>
      <c r="F539" s="6">
        <v>2</v>
      </c>
      <c r="G539" s="8" t="s">
        <v>169</v>
      </c>
      <c r="H539" s="8" t="s">
        <v>170</v>
      </c>
      <c r="I539" s="109" t="s">
        <v>557</v>
      </c>
      <c r="J539" s="8" t="s">
        <v>212</v>
      </c>
      <c r="K539" s="14" t="b">
        <v>0</v>
      </c>
      <c r="L539" s="14" t="b">
        <v>1</v>
      </c>
      <c r="M539" s="14" t="b">
        <v>1</v>
      </c>
      <c r="N539" s="14" t="b">
        <v>0</v>
      </c>
      <c r="O539" s="14" t="b">
        <v>1</v>
      </c>
      <c r="W539" s="3"/>
    </row>
    <row r="540" spans="1:23" x14ac:dyDescent="0.25">
      <c r="A540" s="4">
        <v>11214624000470</v>
      </c>
      <c r="B540" s="8" t="s">
        <v>841</v>
      </c>
      <c r="C540" s="8" t="s">
        <v>70</v>
      </c>
      <c r="D540" s="7" t="s">
        <v>71</v>
      </c>
      <c r="E540" s="7" t="s">
        <v>215</v>
      </c>
      <c r="F540" s="6">
        <v>2</v>
      </c>
      <c r="G540" s="8" t="s">
        <v>169</v>
      </c>
      <c r="H540" s="8" t="s">
        <v>170</v>
      </c>
      <c r="I540" s="109" t="s">
        <v>557</v>
      </c>
      <c r="J540" s="8" t="s">
        <v>212</v>
      </c>
      <c r="K540" s="14" t="b">
        <v>0</v>
      </c>
      <c r="L540" s="14" t="b">
        <v>1</v>
      </c>
      <c r="M540" s="14" t="b">
        <v>1</v>
      </c>
      <c r="N540" s="14" t="b">
        <v>0</v>
      </c>
      <c r="O540" s="14" t="b">
        <v>1</v>
      </c>
      <c r="W540" s="3"/>
    </row>
    <row r="541" spans="1:23" x14ac:dyDescent="0.25">
      <c r="A541" s="4">
        <v>11214624001957</v>
      </c>
      <c r="B541" s="8" t="s">
        <v>842</v>
      </c>
      <c r="C541" s="8" t="s">
        <v>70</v>
      </c>
      <c r="D541" s="7" t="s">
        <v>71</v>
      </c>
      <c r="E541" s="7" t="s">
        <v>215</v>
      </c>
      <c r="F541" s="6">
        <v>2</v>
      </c>
      <c r="G541" s="8" t="s">
        <v>169</v>
      </c>
      <c r="H541" s="8" t="s">
        <v>170</v>
      </c>
      <c r="I541" s="109" t="s">
        <v>557</v>
      </c>
      <c r="J541" s="8" t="s">
        <v>212</v>
      </c>
      <c r="K541" s="14" t="b">
        <v>0</v>
      </c>
      <c r="L541" s="14" t="b">
        <v>1</v>
      </c>
      <c r="M541" s="14" t="b">
        <v>1</v>
      </c>
      <c r="N541" s="14" t="b">
        <v>0</v>
      </c>
      <c r="O541" s="14" t="b">
        <v>1</v>
      </c>
      <c r="W541" s="3"/>
    </row>
    <row r="542" spans="1:23" x14ac:dyDescent="0.25">
      <c r="A542" s="4">
        <v>11273170000166</v>
      </c>
      <c r="B542" s="8" t="s">
        <v>843</v>
      </c>
      <c r="C542" s="8" t="s">
        <v>81</v>
      </c>
      <c r="D542" s="7" t="s">
        <v>82</v>
      </c>
      <c r="E542" s="7" t="s">
        <v>215</v>
      </c>
      <c r="F542" s="6">
        <v>2</v>
      </c>
      <c r="G542" s="8" t="s">
        <v>165</v>
      </c>
      <c r="H542" s="8" t="s">
        <v>166</v>
      </c>
      <c r="I542" s="109" t="s">
        <v>557</v>
      </c>
      <c r="J542" s="8" t="s">
        <v>212</v>
      </c>
      <c r="K542" s="14" t="b">
        <v>0</v>
      </c>
      <c r="L542" s="14" t="b">
        <v>1</v>
      </c>
      <c r="M542" s="14" t="b">
        <v>1</v>
      </c>
      <c r="N542" s="14" t="b">
        <v>0</v>
      </c>
      <c r="O542" s="14" t="b">
        <v>1</v>
      </c>
      <c r="W542" s="3"/>
    </row>
    <row r="543" spans="1:23" x14ac:dyDescent="0.25">
      <c r="A543" s="4">
        <v>11452240000143</v>
      </c>
      <c r="B543" s="8" t="s">
        <v>844</v>
      </c>
      <c r="C543" s="8" t="s">
        <v>70</v>
      </c>
      <c r="D543" s="7" t="s">
        <v>71</v>
      </c>
      <c r="E543" s="7" t="s">
        <v>215</v>
      </c>
      <c r="F543" s="6">
        <v>2</v>
      </c>
      <c r="G543" s="8" t="s">
        <v>169</v>
      </c>
      <c r="H543" s="8" t="s">
        <v>170</v>
      </c>
      <c r="I543" s="109" t="s">
        <v>557</v>
      </c>
      <c r="J543" s="8" t="s">
        <v>212</v>
      </c>
      <c r="K543" s="14" t="b">
        <v>0</v>
      </c>
      <c r="L543" s="14" t="b">
        <v>1</v>
      </c>
      <c r="M543" s="14" t="b">
        <v>1</v>
      </c>
      <c r="N543" s="14" t="b">
        <v>0</v>
      </c>
      <c r="O543" s="14" t="b">
        <v>1</v>
      </c>
      <c r="W543" s="3"/>
    </row>
    <row r="544" spans="1:23" x14ac:dyDescent="0.25">
      <c r="A544" s="4">
        <v>11794674000121</v>
      </c>
      <c r="B544" s="8" t="s">
        <v>845</v>
      </c>
      <c r="C544" s="8" t="s">
        <v>76</v>
      </c>
      <c r="D544" s="7" t="s">
        <v>77</v>
      </c>
      <c r="E544" s="7" t="s">
        <v>215</v>
      </c>
      <c r="F544" s="6">
        <v>2</v>
      </c>
      <c r="G544" s="8" t="s">
        <v>165</v>
      </c>
      <c r="H544" s="8" t="s">
        <v>166</v>
      </c>
      <c r="I544" s="109" t="s">
        <v>557</v>
      </c>
      <c r="J544" s="8" t="s">
        <v>212</v>
      </c>
      <c r="K544" s="14" t="b">
        <v>0</v>
      </c>
      <c r="L544" s="14" t="b">
        <v>1</v>
      </c>
      <c r="M544" s="14" t="b">
        <v>1</v>
      </c>
      <c r="N544" s="14" t="b">
        <v>0</v>
      </c>
      <c r="O544" s="14" t="b">
        <v>1</v>
      </c>
      <c r="W544" s="3"/>
    </row>
    <row r="545" spans="1:23" x14ac:dyDescent="0.25">
      <c r="A545" s="4">
        <v>11836436000131</v>
      </c>
      <c r="B545" s="8" t="s">
        <v>1297</v>
      </c>
      <c r="C545" s="8" t="s">
        <v>907</v>
      </c>
      <c r="D545" s="7" t="s">
        <v>69</v>
      </c>
      <c r="E545" s="7" t="s">
        <v>215</v>
      </c>
      <c r="F545" s="6">
        <v>2</v>
      </c>
      <c r="G545" s="8" t="s">
        <v>187</v>
      </c>
      <c r="H545" s="8" t="s">
        <v>188</v>
      </c>
      <c r="I545" s="109" t="s">
        <v>556</v>
      </c>
      <c r="J545" s="8" t="s">
        <v>212</v>
      </c>
      <c r="K545" s="14" t="b">
        <v>1</v>
      </c>
      <c r="L545" s="14" t="b">
        <v>0</v>
      </c>
      <c r="M545" s="14" t="b">
        <v>0</v>
      </c>
      <c r="N545" s="14" t="b">
        <v>1</v>
      </c>
      <c r="O545" s="14" t="b">
        <v>1</v>
      </c>
      <c r="W545" s="3"/>
    </row>
    <row r="546" spans="1:23" x14ac:dyDescent="0.25">
      <c r="A546" s="4">
        <v>11836436000131</v>
      </c>
      <c r="B546" s="8" t="s">
        <v>1297</v>
      </c>
      <c r="C546" s="8" t="s">
        <v>907</v>
      </c>
      <c r="D546" s="7" t="s">
        <v>69</v>
      </c>
      <c r="E546" s="7" t="s">
        <v>215</v>
      </c>
      <c r="F546" s="6">
        <v>2</v>
      </c>
      <c r="G546" s="8" t="s">
        <v>163</v>
      </c>
      <c r="H546" s="8" t="s">
        <v>164</v>
      </c>
      <c r="I546" s="109" t="s">
        <v>557</v>
      </c>
      <c r="J546" s="8" t="s">
        <v>212</v>
      </c>
      <c r="K546" s="14" t="b">
        <v>0</v>
      </c>
      <c r="L546" s="14" t="b">
        <v>1</v>
      </c>
      <c r="M546" s="14" t="b">
        <v>1</v>
      </c>
      <c r="N546" s="14" t="b">
        <v>0</v>
      </c>
      <c r="O546" s="14" t="b">
        <v>1</v>
      </c>
      <c r="W546" s="3"/>
    </row>
    <row r="547" spans="1:23" x14ac:dyDescent="0.25">
      <c r="A547" s="4">
        <v>11859927000106</v>
      </c>
      <c r="B547" s="8" t="s">
        <v>846</v>
      </c>
      <c r="C547" s="8" t="s">
        <v>739</v>
      </c>
      <c r="D547" s="7" t="s">
        <v>55</v>
      </c>
      <c r="E547" s="7" t="s">
        <v>215</v>
      </c>
      <c r="F547" s="6">
        <v>2</v>
      </c>
      <c r="G547" s="8" t="s">
        <v>163</v>
      </c>
      <c r="H547" s="8" t="s">
        <v>164</v>
      </c>
      <c r="I547" s="109" t="s">
        <v>557</v>
      </c>
      <c r="J547" s="8" t="s">
        <v>212</v>
      </c>
      <c r="K547" s="14" t="b">
        <v>0</v>
      </c>
      <c r="L547" s="14" t="b">
        <v>1</v>
      </c>
      <c r="M547" s="14" t="b">
        <v>1</v>
      </c>
      <c r="N547" s="14" t="b">
        <v>0</v>
      </c>
      <c r="O547" s="14" t="b">
        <v>1</v>
      </c>
      <c r="W547" s="3"/>
    </row>
    <row r="548" spans="1:23" x14ac:dyDescent="0.25">
      <c r="A548" s="4">
        <v>11859927000106</v>
      </c>
      <c r="B548" s="8" t="s">
        <v>846</v>
      </c>
      <c r="C548" s="8" t="s">
        <v>739</v>
      </c>
      <c r="D548" s="7" t="s">
        <v>55</v>
      </c>
      <c r="E548" s="7" t="s">
        <v>215</v>
      </c>
      <c r="F548" s="6">
        <v>2</v>
      </c>
      <c r="G548" s="8" t="s">
        <v>201</v>
      </c>
      <c r="H548" s="8" t="s">
        <v>202</v>
      </c>
      <c r="I548" s="109" t="s">
        <v>740</v>
      </c>
      <c r="J548" s="8" t="s">
        <v>212</v>
      </c>
      <c r="K548" s="14" t="b">
        <v>1</v>
      </c>
      <c r="L548" s="14" t="b">
        <v>0</v>
      </c>
      <c r="M548" s="14" t="b">
        <v>0</v>
      </c>
      <c r="N548" s="14" t="b">
        <v>1</v>
      </c>
      <c r="O548" s="14" t="b">
        <v>1</v>
      </c>
      <c r="W548" s="3"/>
    </row>
    <row r="549" spans="1:23" x14ac:dyDescent="0.25">
      <c r="A549" s="4">
        <v>11943553000102</v>
      </c>
      <c r="B549" s="8" t="s">
        <v>847</v>
      </c>
      <c r="C549" s="8" t="s">
        <v>75</v>
      </c>
      <c r="D549" s="7" t="s">
        <v>74</v>
      </c>
      <c r="E549" s="7" t="s">
        <v>215</v>
      </c>
      <c r="F549" s="6">
        <v>2</v>
      </c>
      <c r="G549" s="8" t="s">
        <v>167</v>
      </c>
      <c r="H549" s="8" t="s">
        <v>168</v>
      </c>
      <c r="I549" s="109" t="s">
        <v>557</v>
      </c>
      <c r="J549" s="8" t="s">
        <v>212</v>
      </c>
      <c r="K549" s="14" t="b">
        <v>0</v>
      </c>
      <c r="L549" s="14" t="b">
        <v>1</v>
      </c>
      <c r="M549" s="14" t="b">
        <v>1</v>
      </c>
      <c r="N549" s="14" t="b">
        <v>0</v>
      </c>
      <c r="O549" s="14" t="b">
        <v>1</v>
      </c>
      <c r="W549" s="3"/>
    </row>
    <row r="550" spans="1:23" x14ac:dyDescent="0.25">
      <c r="A550" s="4">
        <v>12282163000193</v>
      </c>
      <c r="B550" s="8" t="s">
        <v>1391</v>
      </c>
      <c r="C550" s="8" t="s">
        <v>84</v>
      </c>
      <c r="D550" s="7" t="s">
        <v>85</v>
      </c>
      <c r="E550" s="7" t="s">
        <v>215</v>
      </c>
      <c r="F550" s="6">
        <v>2</v>
      </c>
      <c r="G550" s="8" t="s">
        <v>167</v>
      </c>
      <c r="H550" s="8" t="s">
        <v>168</v>
      </c>
      <c r="I550" s="109" t="s">
        <v>557</v>
      </c>
      <c r="J550" s="8" t="s">
        <v>212</v>
      </c>
      <c r="K550" s="14" t="b">
        <v>0</v>
      </c>
      <c r="L550" s="14" t="b">
        <v>1</v>
      </c>
      <c r="M550" s="14" t="b">
        <v>1</v>
      </c>
      <c r="N550" s="14" t="b">
        <v>0</v>
      </c>
      <c r="O550" s="14" t="b">
        <v>1</v>
      </c>
      <c r="W550" s="3"/>
    </row>
    <row r="551" spans="1:23" x14ac:dyDescent="0.25">
      <c r="A551" s="4">
        <v>12307187000150</v>
      </c>
      <c r="B551" s="8" t="s">
        <v>848</v>
      </c>
      <c r="C551" s="8" t="s">
        <v>742</v>
      </c>
      <c r="D551" s="7" t="s">
        <v>91</v>
      </c>
      <c r="E551" s="7" t="s">
        <v>215</v>
      </c>
      <c r="F551" s="6">
        <v>2</v>
      </c>
      <c r="G551" s="8" t="s">
        <v>167</v>
      </c>
      <c r="H551" s="8" t="s">
        <v>168</v>
      </c>
      <c r="I551" s="109" t="s">
        <v>557</v>
      </c>
      <c r="J551" s="8" t="s">
        <v>212</v>
      </c>
      <c r="K551" s="14" t="b">
        <v>0</v>
      </c>
      <c r="L551" s="14" t="b">
        <v>1</v>
      </c>
      <c r="M551" s="14" t="b">
        <v>1</v>
      </c>
      <c r="N551" s="14" t="b">
        <v>0</v>
      </c>
      <c r="O551" s="14" t="b">
        <v>1</v>
      </c>
      <c r="W551" s="3"/>
    </row>
    <row r="552" spans="1:23" x14ac:dyDescent="0.25">
      <c r="A552" s="4">
        <v>12361267000517</v>
      </c>
      <c r="B552" s="8" t="s">
        <v>849</v>
      </c>
      <c r="C552" s="8" t="s">
        <v>84</v>
      </c>
      <c r="D552" s="7" t="s">
        <v>85</v>
      </c>
      <c r="E552" s="7" t="s">
        <v>215</v>
      </c>
      <c r="F552" s="6">
        <v>2</v>
      </c>
      <c r="G552" s="8" t="s">
        <v>167</v>
      </c>
      <c r="H552" s="8" t="s">
        <v>168</v>
      </c>
      <c r="I552" s="109" t="s">
        <v>557</v>
      </c>
      <c r="J552" s="8" t="s">
        <v>212</v>
      </c>
      <c r="K552" s="14" t="b">
        <v>0</v>
      </c>
      <c r="L552" s="14" t="b">
        <v>1</v>
      </c>
      <c r="M552" s="14" t="b">
        <v>1</v>
      </c>
      <c r="N552" s="14" t="b">
        <v>0</v>
      </c>
      <c r="O552" s="14" t="b">
        <v>1</v>
      </c>
      <c r="W552" s="3"/>
    </row>
    <row r="553" spans="1:23" x14ac:dyDescent="0.25">
      <c r="A553" s="4">
        <v>12361267000789</v>
      </c>
      <c r="B553" s="8" t="s">
        <v>850</v>
      </c>
      <c r="C553" s="8" t="s">
        <v>777</v>
      </c>
      <c r="D553" s="7" t="s">
        <v>72</v>
      </c>
      <c r="E553" s="7" t="s">
        <v>215</v>
      </c>
      <c r="F553" s="6">
        <v>2</v>
      </c>
      <c r="G553" s="8" t="s">
        <v>165</v>
      </c>
      <c r="H553" s="8" t="s">
        <v>166</v>
      </c>
      <c r="I553" s="109" t="s">
        <v>557</v>
      </c>
      <c r="J553" s="8" t="s">
        <v>212</v>
      </c>
      <c r="K553" s="14" t="b">
        <v>0</v>
      </c>
      <c r="L553" s="14" t="b">
        <v>1</v>
      </c>
      <c r="M553" s="14" t="b">
        <v>1</v>
      </c>
      <c r="N553" s="14" t="b">
        <v>0</v>
      </c>
      <c r="O553" s="14" t="b">
        <v>1</v>
      </c>
      <c r="W553" s="3"/>
    </row>
    <row r="554" spans="1:23" x14ac:dyDescent="0.25">
      <c r="A554" s="4">
        <v>12361267000789</v>
      </c>
      <c r="B554" s="8" t="s">
        <v>850</v>
      </c>
      <c r="C554" s="8" t="s">
        <v>777</v>
      </c>
      <c r="D554" s="7" t="s">
        <v>72</v>
      </c>
      <c r="E554" s="7" t="s">
        <v>215</v>
      </c>
      <c r="F554" s="6">
        <v>2</v>
      </c>
      <c r="G554" s="8" t="s">
        <v>201</v>
      </c>
      <c r="H554" s="8" t="s">
        <v>202</v>
      </c>
      <c r="I554" s="109" t="s">
        <v>740</v>
      </c>
      <c r="J554" s="8" t="s">
        <v>212</v>
      </c>
      <c r="K554" s="14" t="b">
        <v>1</v>
      </c>
      <c r="L554" s="14" t="b">
        <v>0</v>
      </c>
      <c r="M554" s="14" t="b">
        <v>0</v>
      </c>
      <c r="N554" s="14" t="b">
        <v>1</v>
      </c>
      <c r="O554" s="14" t="b">
        <v>1</v>
      </c>
      <c r="W554" s="3"/>
    </row>
    <row r="555" spans="1:23" x14ac:dyDescent="0.25">
      <c r="A555" s="4">
        <v>12361267000860</v>
      </c>
      <c r="B555" s="8" t="s">
        <v>851</v>
      </c>
      <c r="C555" s="8" t="s">
        <v>742</v>
      </c>
      <c r="D555" s="7" t="s">
        <v>91</v>
      </c>
      <c r="E555" s="7" t="s">
        <v>215</v>
      </c>
      <c r="F555" s="6">
        <v>2</v>
      </c>
      <c r="G555" s="8" t="s">
        <v>167</v>
      </c>
      <c r="H555" s="8" t="s">
        <v>168</v>
      </c>
      <c r="I555" s="109" t="s">
        <v>557</v>
      </c>
      <c r="J555" s="8" t="s">
        <v>212</v>
      </c>
      <c r="K555" s="14" t="b">
        <v>0</v>
      </c>
      <c r="L555" s="14" t="b">
        <v>1</v>
      </c>
      <c r="M555" s="14" t="b">
        <v>1</v>
      </c>
      <c r="N555" s="14" t="b">
        <v>0</v>
      </c>
      <c r="O555" s="14" t="b">
        <v>1</v>
      </c>
      <c r="W555" s="3"/>
    </row>
    <row r="556" spans="1:23" x14ac:dyDescent="0.25">
      <c r="A556" s="4">
        <v>12361267004008</v>
      </c>
      <c r="B556" s="8" t="s">
        <v>852</v>
      </c>
      <c r="C556" s="8" t="s">
        <v>81</v>
      </c>
      <c r="D556" s="7" t="s">
        <v>82</v>
      </c>
      <c r="E556" s="7" t="s">
        <v>215</v>
      </c>
      <c r="F556" s="6">
        <v>2</v>
      </c>
      <c r="G556" s="8" t="s">
        <v>165</v>
      </c>
      <c r="H556" s="8" t="s">
        <v>166</v>
      </c>
      <c r="I556" s="109" t="s">
        <v>557</v>
      </c>
      <c r="J556" s="8" t="s">
        <v>212</v>
      </c>
      <c r="K556" s="14" t="b">
        <v>0</v>
      </c>
      <c r="L556" s="14" t="b">
        <v>1</v>
      </c>
      <c r="M556" s="14" t="b">
        <v>1</v>
      </c>
      <c r="N556" s="14" t="b">
        <v>0</v>
      </c>
      <c r="O556" s="14" t="b">
        <v>1</v>
      </c>
      <c r="W556" s="3"/>
    </row>
    <row r="557" spans="1:23" x14ac:dyDescent="0.25">
      <c r="A557" s="4">
        <v>12361267005748</v>
      </c>
      <c r="B557" s="8" t="s">
        <v>1299</v>
      </c>
      <c r="C557" s="8" t="s">
        <v>794</v>
      </c>
      <c r="D557" s="7" t="s">
        <v>71</v>
      </c>
      <c r="E557" s="7" t="s">
        <v>215</v>
      </c>
      <c r="F557" s="6">
        <v>2</v>
      </c>
      <c r="G557" s="8" t="s">
        <v>169</v>
      </c>
      <c r="H557" s="8" t="s">
        <v>170</v>
      </c>
      <c r="I557" s="109" t="s">
        <v>557</v>
      </c>
      <c r="J557" s="8" t="s">
        <v>212</v>
      </c>
      <c r="K557" s="14" t="b">
        <v>0</v>
      </c>
      <c r="L557" s="14" t="b">
        <v>1</v>
      </c>
      <c r="M557" s="14" t="b">
        <v>1</v>
      </c>
      <c r="N557" s="14" t="b">
        <v>0</v>
      </c>
      <c r="O557" s="14" t="b">
        <v>1</v>
      </c>
      <c r="W557" s="3"/>
    </row>
    <row r="558" spans="1:23" x14ac:dyDescent="0.25">
      <c r="A558" s="4">
        <v>12361267007287</v>
      </c>
      <c r="B558" s="8" t="s">
        <v>853</v>
      </c>
      <c r="C558" s="8" t="s">
        <v>70</v>
      </c>
      <c r="D558" s="7" t="s">
        <v>71</v>
      </c>
      <c r="E558" s="7" t="s">
        <v>215</v>
      </c>
      <c r="F558" s="6">
        <v>2</v>
      </c>
      <c r="G558" s="8" t="s">
        <v>169</v>
      </c>
      <c r="H558" s="8" t="s">
        <v>170</v>
      </c>
      <c r="I558" s="109" t="s">
        <v>557</v>
      </c>
      <c r="J558" s="8" t="s">
        <v>212</v>
      </c>
      <c r="K558" s="14" t="b">
        <v>0</v>
      </c>
      <c r="L558" s="14" t="b">
        <v>1</v>
      </c>
      <c r="M558" s="14" t="b">
        <v>1</v>
      </c>
      <c r="N558" s="14" t="b">
        <v>0</v>
      </c>
      <c r="O558" s="14" t="b">
        <v>1</v>
      </c>
      <c r="W558" s="3"/>
    </row>
    <row r="559" spans="1:23" x14ac:dyDescent="0.25">
      <c r="A559" s="4">
        <v>12361267008410</v>
      </c>
      <c r="B559" s="8" t="s">
        <v>854</v>
      </c>
      <c r="C559" s="8" t="s">
        <v>855</v>
      </c>
      <c r="D559" s="7" t="s">
        <v>77</v>
      </c>
      <c r="E559" s="7" t="s">
        <v>215</v>
      </c>
      <c r="F559" s="6">
        <v>2</v>
      </c>
      <c r="G559" s="8" t="s">
        <v>165</v>
      </c>
      <c r="H559" s="8" t="s">
        <v>166</v>
      </c>
      <c r="I559" s="109" t="s">
        <v>557</v>
      </c>
      <c r="J559" s="8" t="s">
        <v>212</v>
      </c>
      <c r="K559" s="14" t="b">
        <v>0</v>
      </c>
      <c r="L559" s="14" t="b">
        <v>1</v>
      </c>
      <c r="M559" s="14" t="b">
        <v>1</v>
      </c>
      <c r="N559" s="14" t="b">
        <v>0</v>
      </c>
      <c r="O559" s="14" t="b">
        <v>1</v>
      </c>
      <c r="W559" s="3"/>
    </row>
    <row r="560" spans="1:23" x14ac:dyDescent="0.25">
      <c r="A560" s="4">
        <v>12361267008844</v>
      </c>
      <c r="B560" s="8" t="s">
        <v>856</v>
      </c>
      <c r="C560" s="8" t="s">
        <v>857</v>
      </c>
      <c r="D560" s="7" t="s">
        <v>56</v>
      </c>
      <c r="E560" s="7" t="s">
        <v>215</v>
      </c>
      <c r="F560" s="6">
        <v>2</v>
      </c>
      <c r="G560" s="8" t="s">
        <v>169</v>
      </c>
      <c r="H560" s="8" t="s">
        <v>170</v>
      </c>
      <c r="I560" s="109" t="s">
        <v>557</v>
      </c>
      <c r="J560" s="8" t="s">
        <v>212</v>
      </c>
      <c r="K560" s="14" t="b">
        <v>0</v>
      </c>
      <c r="L560" s="14" t="b">
        <v>1</v>
      </c>
      <c r="M560" s="14" t="b">
        <v>1</v>
      </c>
      <c r="N560" s="14" t="b">
        <v>0</v>
      </c>
      <c r="O560" s="14" t="b">
        <v>1</v>
      </c>
      <c r="W560" s="3"/>
    </row>
    <row r="561" spans="1:23" x14ac:dyDescent="0.25">
      <c r="A561" s="4">
        <v>12361267009140</v>
      </c>
      <c r="B561" s="8" t="s">
        <v>858</v>
      </c>
      <c r="C561" s="8" t="s">
        <v>859</v>
      </c>
      <c r="D561" s="7" t="s">
        <v>63</v>
      </c>
      <c r="E561" s="7" t="s">
        <v>215</v>
      </c>
      <c r="F561" s="6">
        <v>2</v>
      </c>
      <c r="G561" s="8" t="s">
        <v>169</v>
      </c>
      <c r="H561" s="8" t="s">
        <v>170</v>
      </c>
      <c r="I561" s="109" t="s">
        <v>557</v>
      </c>
      <c r="J561" s="8" t="s">
        <v>212</v>
      </c>
      <c r="K561" s="14" t="b">
        <v>0</v>
      </c>
      <c r="L561" s="14" t="b">
        <v>1</v>
      </c>
      <c r="M561" s="14" t="b">
        <v>1</v>
      </c>
      <c r="N561" s="14" t="b">
        <v>0</v>
      </c>
      <c r="O561" s="14" t="b">
        <v>1</v>
      </c>
      <c r="W561" s="3"/>
    </row>
    <row r="562" spans="1:23" x14ac:dyDescent="0.25">
      <c r="A562" s="4">
        <v>12361267009654</v>
      </c>
      <c r="B562" s="8" t="s">
        <v>860</v>
      </c>
      <c r="C562" s="8" t="s">
        <v>62</v>
      </c>
      <c r="D562" s="7" t="s">
        <v>63</v>
      </c>
      <c r="E562" s="7" t="s">
        <v>215</v>
      </c>
      <c r="F562" s="6">
        <v>2</v>
      </c>
      <c r="G562" s="8" t="s">
        <v>169</v>
      </c>
      <c r="H562" s="8" t="s">
        <v>170</v>
      </c>
      <c r="I562" s="109" t="s">
        <v>557</v>
      </c>
      <c r="J562" s="8" t="s">
        <v>212</v>
      </c>
      <c r="K562" s="14" t="b">
        <v>0</v>
      </c>
      <c r="L562" s="14" t="b">
        <v>1</v>
      </c>
      <c r="M562" s="14" t="b">
        <v>1</v>
      </c>
      <c r="N562" s="14" t="b">
        <v>0</v>
      </c>
      <c r="O562" s="14" t="b">
        <v>1</v>
      </c>
      <c r="W562" s="3"/>
    </row>
    <row r="563" spans="1:23" x14ac:dyDescent="0.25">
      <c r="A563" s="4">
        <v>12361267010318</v>
      </c>
      <c r="B563" s="8" t="s">
        <v>861</v>
      </c>
      <c r="C563" s="8" t="s">
        <v>75</v>
      </c>
      <c r="D563" s="7" t="s">
        <v>74</v>
      </c>
      <c r="E563" s="7" t="s">
        <v>215</v>
      </c>
      <c r="F563" s="6">
        <v>2</v>
      </c>
      <c r="G563" s="8" t="s">
        <v>167</v>
      </c>
      <c r="H563" s="8" t="s">
        <v>168</v>
      </c>
      <c r="I563" s="109" t="s">
        <v>557</v>
      </c>
      <c r="J563" s="8" t="s">
        <v>212</v>
      </c>
      <c r="K563" s="14" t="b">
        <v>0</v>
      </c>
      <c r="L563" s="14" t="b">
        <v>1</v>
      </c>
      <c r="M563" s="14" t="b">
        <v>1</v>
      </c>
      <c r="N563" s="14" t="b">
        <v>0</v>
      </c>
      <c r="O563" s="14" t="b">
        <v>1</v>
      </c>
      <c r="W563" s="3"/>
    </row>
    <row r="564" spans="1:23" x14ac:dyDescent="0.25">
      <c r="A564" s="4">
        <v>12361267010407</v>
      </c>
      <c r="B564" s="8" t="s">
        <v>862</v>
      </c>
      <c r="C564" s="8" t="s">
        <v>86</v>
      </c>
      <c r="D564" s="7" t="s">
        <v>74</v>
      </c>
      <c r="E564" s="7" t="s">
        <v>215</v>
      </c>
      <c r="F564" s="6">
        <v>2</v>
      </c>
      <c r="G564" s="8" t="s">
        <v>167</v>
      </c>
      <c r="H564" s="8" t="s">
        <v>168</v>
      </c>
      <c r="I564" s="109" t="s">
        <v>557</v>
      </c>
      <c r="J564" s="8" t="s">
        <v>212</v>
      </c>
      <c r="K564" s="14" t="b">
        <v>0</v>
      </c>
      <c r="L564" s="14" t="b">
        <v>1</v>
      </c>
      <c r="M564" s="14" t="b">
        <v>1</v>
      </c>
      <c r="N564" s="14" t="b">
        <v>0</v>
      </c>
      <c r="O564" s="14" t="b">
        <v>1</v>
      </c>
      <c r="W564" s="3"/>
    </row>
    <row r="565" spans="1:23" x14ac:dyDescent="0.25">
      <c r="A565" s="4">
        <v>12361267011802</v>
      </c>
      <c r="B565" s="8" t="s">
        <v>863</v>
      </c>
      <c r="C565" s="8" t="s">
        <v>76</v>
      </c>
      <c r="D565" s="7" t="s">
        <v>77</v>
      </c>
      <c r="E565" s="7" t="s">
        <v>215</v>
      </c>
      <c r="F565" s="6">
        <v>2</v>
      </c>
      <c r="G565" s="8" t="s">
        <v>165</v>
      </c>
      <c r="H565" s="8" t="s">
        <v>166</v>
      </c>
      <c r="I565" s="109" t="s">
        <v>557</v>
      </c>
      <c r="J565" s="8" t="s">
        <v>212</v>
      </c>
      <c r="K565" s="14" t="b">
        <v>0</v>
      </c>
      <c r="L565" s="14" t="b">
        <v>1</v>
      </c>
      <c r="M565" s="14" t="b">
        <v>1</v>
      </c>
      <c r="N565" s="14" t="b">
        <v>0</v>
      </c>
      <c r="O565" s="14" t="b">
        <v>1</v>
      </c>
      <c r="W565" s="3"/>
    </row>
    <row r="566" spans="1:23" x14ac:dyDescent="0.25">
      <c r="A566" s="4">
        <v>12361267014739</v>
      </c>
      <c r="B566" s="8" t="s">
        <v>864</v>
      </c>
      <c r="C566" s="8" t="s">
        <v>75</v>
      </c>
      <c r="D566" s="7" t="s">
        <v>74</v>
      </c>
      <c r="E566" s="7" t="s">
        <v>215</v>
      </c>
      <c r="F566" s="6">
        <v>2</v>
      </c>
      <c r="G566" s="8" t="s">
        <v>167</v>
      </c>
      <c r="H566" s="8" t="s">
        <v>168</v>
      </c>
      <c r="I566" s="109" t="s">
        <v>557</v>
      </c>
      <c r="J566" s="8" t="s">
        <v>212</v>
      </c>
      <c r="K566" s="14" t="b">
        <v>0</v>
      </c>
      <c r="L566" s="14" t="b">
        <v>1</v>
      </c>
      <c r="M566" s="14" t="b">
        <v>1</v>
      </c>
      <c r="N566" s="14" t="b">
        <v>0</v>
      </c>
      <c r="O566" s="14" t="b">
        <v>1</v>
      </c>
      <c r="W566" s="3"/>
    </row>
    <row r="567" spans="1:23" x14ac:dyDescent="0.25">
      <c r="A567" s="4">
        <v>12442737000496</v>
      </c>
      <c r="B567" s="8" t="s">
        <v>865</v>
      </c>
      <c r="C567" s="8" t="s">
        <v>742</v>
      </c>
      <c r="D567" s="7" t="s">
        <v>91</v>
      </c>
      <c r="E567" s="7" t="s">
        <v>215</v>
      </c>
      <c r="F567" s="6">
        <v>2</v>
      </c>
      <c r="G567" s="8" t="s">
        <v>167</v>
      </c>
      <c r="H567" s="8" t="s">
        <v>168</v>
      </c>
      <c r="I567" s="109" t="s">
        <v>557</v>
      </c>
      <c r="J567" s="8" t="s">
        <v>212</v>
      </c>
      <c r="K567" s="14" t="b">
        <v>0</v>
      </c>
      <c r="L567" s="14" t="b">
        <v>1</v>
      </c>
      <c r="M567" s="14" t="b">
        <v>1</v>
      </c>
      <c r="N567" s="14" t="b">
        <v>0</v>
      </c>
      <c r="O567" s="14" t="b">
        <v>1</v>
      </c>
      <c r="W567" s="3"/>
    </row>
    <row r="568" spans="1:23" x14ac:dyDescent="0.25">
      <c r="A568" s="4">
        <v>12568570000161</v>
      </c>
      <c r="B568" s="8" t="s">
        <v>866</v>
      </c>
      <c r="C568" s="8" t="s">
        <v>76</v>
      </c>
      <c r="D568" s="7" t="s">
        <v>77</v>
      </c>
      <c r="E568" s="7" t="s">
        <v>215</v>
      </c>
      <c r="F568" s="6">
        <v>2</v>
      </c>
      <c r="G568" s="8" t="s">
        <v>165</v>
      </c>
      <c r="H568" s="8" t="s">
        <v>166</v>
      </c>
      <c r="I568" s="109" t="s">
        <v>557</v>
      </c>
      <c r="J568" s="8" t="s">
        <v>212</v>
      </c>
      <c r="K568" s="14" t="b">
        <v>0</v>
      </c>
      <c r="L568" s="14" t="b">
        <v>1</v>
      </c>
      <c r="M568" s="14" t="b">
        <v>1</v>
      </c>
      <c r="N568" s="14" t="b">
        <v>0</v>
      </c>
      <c r="O568" s="14" t="b">
        <v>1</v>
      </c>
      <c r="W568" s="3"/>
    </row>
    <row r="569" spans="1:23" x14ac:dyDescent="0.25">
      <c r="A569" s="4">
        <v>13016092000140</v>
      </c>
      <c r="B569" s="8" t="s">
        <v>867</v>
      </c>
      <c r="C569" s="8" t="s">
        <v>75</v>
      </c>
      <c r="D569" s="7" t="s">
        <v>74</v>
      </c>
      <c r="E569" s="7" t="s">
        <v>215</v>
      </c>
      <c r="F569" s="6">
        <v>2</v>
      </c>
      <c r="G569" s="8" t="s">
        <v>167</v>
      </c>
      <c r="H569" s="8" t="s">
        <v>168</v>
      </c>
      <c r="I569" s="109" t="s">
        <v>557</v>
      </c>
      <c r="J569" s="8" t="s">
        <v>212</v>
      </c>
      <c r="K569" s="14" t="b">
        <v>0</v>
      </c>
      <c r="L569" s="14" t="b">
        <v>1</v>
      </c>
      <c r="M569" s="14" t="b">
        <v>1</v>
      </c>
      <c r="N569" s="14" t="b">
        <v>0</v>
      </c>
      <c r="O569" s="14" t="b">
        <v>1</v>
      </c>
      <c r="W569" s="3"/>
    </row>
    <row r="570" spans="1:23" x14ac:dyDescent="0.25">
      <c r="A570" s="4">
        <v>13016332000106</v>
      </c>
      <c r="B570" s="8" t="s">
        <v>868</v>
      </c>
      <c r="C570" s="8" t="s">
        <v>84</v>
      </c>
      <c r="D570" s="7" t="s">
        <v>85</v>
      </c>
      <c r="E570" s="7" t="s">
        <v>215</v>
      </c>
      <c r="F570" s="6">
        <v>2</v>
      </c>
      <c r="G570" s="8" t="s">
        <v>167</v>
      </c>
      <c r="H570" s="8" t="s">
        <v>168</v>
      </c>
      <c r="I570" s="109" t="s">
        <v>557</v>
      </c>
      <c r="J570" s="8" t="s">
        <v>212</v>
      </c>
      <c r="K570" s="14" t="b">
        <v>0</v>
      </c>
      <c r="L570" s="14" t="b">
        <v>1</v>
      </c>
      <c r="M570" s="14" t="b">
        <v>1</v>
      </c>
      <c r="N570" s="14" t="b">
        <v>0</v>
      </c>
      <c r="O570" s="14" t="b">
        <v>1</v>
      </c>
      <c r="W570" s="3"/>
    </row>
    <row r="571" spans="1:23" x14ac:dyDescent="0.25">
      <c r="A571" s="4">
        <v>13086053000119</v>
      </c>
      <c r="B571" s="8" t="s">
        <v>869</v>
      </c>
      <c r="C571" s="8" t="s">
        <v>84</v>
      </c>
      <c r="D571" s="7" t="s">
        <v>85</v>
      </c>
      <c r="E571" s="7" t="s">
        <v>215</v>
      </c>
      <c r="F571" s="6">
        <v>2</v>
      </c>
      <c r="G571" s="8" t="s">
        <v>167</v>
      </c>
      <c r="H571" s="8" t="s">
        <v>168</v>
      </c>
      <c r="I571" s="109" t="s">
        <v>557</v>
      </c>
      <c r="J571" s="8" t="s">
        <v>212</v>
      </c>
      <c r="K571" s="14" t="b">
        <v>0</v>
      </c>
      <c r="L571" s="14" t="b">
        <v>1</v>
      </c>
      <c r="M571" s="14" t="b">
        <v>1</v>
      </c>
      <c r="N571" s="14" t="b">
        <v>0</v>
      </c>
      <c r="O571" s="14" t="b">
        <v>1</v>
      </c>
      <c r="W571" s="3"/>
    </row>
    <row r="572" spans="1:23" x14ac:dyDescent="0.25">
      <c r="A572" s="4">
        <v>13131370000100</v>
      </c>
      <c r="B572" s="8" t="s">
        <v>870</v>
      </c>
      <c r="C572" s="8" t="s">
        <v>84</v>
      </c>
      <c r="D572" s="7" t="s">
        <v>85</v>
      </c>
      <c r="E572" s="7" t="s">
        <v>215</v>
      </c>
      <c r="F572" s="6">
        <v>2</v>
      </c>
      <c r="G572" s="8" t="s">
        <v>167</v>
      </c>
      <c r="H572" s="8" t="s">
        <v>168</v>
      </c>
      <c r="I572" s="109" t="s">
        <v>557</v>
      </c>
      <c r="J572" s="8" t="s">
        <v>212</v>
      </c>
      <c r="K572" s="14" t="b">
        <v>0</v>
      </c>
      <c r="L572" s="14" t="b">
        <v>1</v>
      </c>
      <c r="M572" s="14" t="b">
        <v>1</v>
      </c>
      <c r="N572" s="14" t="b">
        <v>0</v>
      </c>
      <c r="O572" s="14" t="b">
        <v>1</v>
      </c>
      <c r="W572" s="3"/>
    </row>
    <row r="573" spans="1:23" x14ac:dyDescent="0.25">
      <c r="A573" s="4">
        <v>13262578000168</v>
      </c>
      <c r="B573" s="8" t="s">
        <v>871</v>
      </c>
      <c r="C573" s="8" t="s">
        <v>62</v>
      </c>
      <c r="D573" s="7" t="s">
        <v>63</v>
      </c>
      <c r="E573" s="7" t="s">
        <v>215</v>
      </c>
      <c r="F573" s="6">
        <v>2</v>
      </c>
      <c r="G573" s="8" t="s">
        <v>169</v>
      </c>
      <c r="H573" s="8" t="s">
        <v>170</v>
      </c>
      <c r="I573" s="109" t="s">
        <v>557</v>
      </c>
      <c r="J573" s="8" t="s">
        <v>212</v>
      </c>
      <c r="K573" s="14" t="b">
        <v>0</v>
      </c>
      <c r="L573" s="14" t="b">
        <v>1</v>
      </c>
      <c r="M573" s="14" t="b">
        <v>1</v>
      </c>
      <c r="N573" s="14" t="b">
        <v>0</v>
      </c>
      <c r="O573" s="14" t="b">
        <v>1</v>
      </c>
      <c r="W573" s="3"/>
    </row>
    <row r="574" spans="1:23" x14ac:dyDescent="0.25">
      <c r="A574" s="4">
        <v>13284872000170</v>
      </c>
      <c r="B574" s="8" t="s">
        <v>872</v>
      </c>
      <c r="C574" s="8" t="s">
        <v>873</v>
      </c>
      <c r="D574" s="7" t="s">
        <v>74</v>
      </c>
      <c r="E574" s="7" t="s">
        <v>215</v>
      </c>
      <c r="F574" s="6">
        <v>2</v>
      </c>
      <c r="G574" s="8" t="s">
        <v>167</v>
      </c>
      <c r="H574" s="8" t="s">
        <v>168</v>
      </c>
      <c r="I574" s="109" t="s">
        <v>557</v>
      </c>
      <c r="J574" s="8" t="s">
        <v>212</v>
      </c>
      <c r="K574" s="14" t="b">
        <v>0</v>
      </c>
      <c r="L574" s="14" t="b">
        <v>1</v>
      </c>
      <c r="M574" s="14" t="b">
        <v>1</v>
      </c>
      <c r="N574" s="14" t="b">
        <v>0</v>
      </c>
      <c r="O574" s="14" t="b">
        <v>1</v>
      </c>
      <c r="W574" s="3"/>
    </row>
    <row r="575" spans="1:23" x14ac:dyDescent="0.25">
      <c r="A575" s="4">
        <v>13356779000124</v>
      </c>
      <c r="B575" s="8" t="s">
        <v>874</v>
      </c>
      <c r="C575" s="8" t="s">
        <v>84</v>
      </c>
      <c r="D575" s="7" t="s">
        <v>85</v>
      </c>
      <c r="E575" s="7" t="s">
        <v>215</v>
      </c>
      <c r="F575" s="6">
        <v>2</v>
      </c>
      <c r="G575" s="8" t="s">
        <v>167</v>
      </c>
      <c r="H575" s="8" t="s">
        <v>168</v>
      </c>
      <c r="I575" s="109" t="s">
        <v>557</v>
      </c>
      <c r="J575" s="8" t="s">
        <v>212</v>
      </c>
      <c r="K575" s="14" t="b">
        <v>0</v>
      </c>
      <c r="L575" s="14" t="b">
        <v>1</v>
      </c>
      <c r="M575" s="14" t="b">
        <v>1</v>
      </c>
      <c r="N575" s="14" t="b">
        <v>0</v>
      </c>
      <c r="O575" s="14" t="b">
        <v>1</v>
      </c>
      <c r="W575" s="3"/>
    </row>
    <row r="576" spans="1:23" x14ac:dyDescent="0.25">
      <c r="A576" s="4">
        <v>13808803000119</v>
      </c>
      <c r="B576" s="8" t="s">
        <v>1392</v>
      </c>
      <c r="C576" s="8" t="s">
        <v>75</v>
      </c>
      <c r="D576" s="7" t="s">
        <v>74</v>
      </c>
      <c r="E576" s="7" t="s">
        <v>215</v>
      </c>
      <c r="F576" s="6">
        <v>2</v>
      </c>
      <c r="G576" s="8" t="s">
        <v>167</v>
      </c>
      <c r="H576" s="8" t="s">
        <v>168</v>
      </c>
      <c r="I576" s="109" t="s">
        <v>557</v>
      </c>
      <c r="J576" s="8" t="s">
        <v>212</v>
      </c>
      <c r="K576" s="14" t="b">
        <v>0</v>
      </c>
      <c r="L576" s="14" t="b">
        <v>1</v>
      </c>
      <c r="M576" s="14" t="b">
        <v>1</v>
      </c>
      <c r="N576" s="14" t="b">
        <v>0</v>
      </c>
      <c r="O576" s="14" t="b">
        <v>1</v>
      </c>
      <c r="W576" s="3"/>
    </row>
    <row r="577" spans="1:23" x14ac:dyDescent="0.25">
      <c r="A577" s="4">
        <v>13952064000134</v>
      </c>
      <c r="B577" s="8" t="s">
        <v>875</v>
      </c>
      <c r="C577" s="8" t="s">
        <v>75</v>
      </c>
      <c r="D577" s="7" t="s">
        <v>74</v>
      </c>
      <c r="E577" s="7" t="s">
        <v>215</v>
      </c>
      <c r="F577" s="6">
        <v>2</v>
      </c>
      <c r="G577" s="8" t="s">
        <v>167</v>
      </c>
      <c r="H577" s="8" t="s">
        <v>168</v>
      </c>
      <c r="I577" s="109" t="s">
        <v>557</v>
      </c>
      <c r="J577" s="8" t="s">
        <v>212</v>
      </c>
      <c r="K577" s="14" t="b">
        <v>0</v>
      </c>
      <c r="L577" s="14" t="b">
        <v>1</v>
      </c>
      <c r="M577" s="14" t="b">
        <v>1</v>
      </c>
      <c r="N577" s="14" t="b">
        <v>0</v>
      </c>
      <c r="O577" s="14" t="b">
        <v>1</v>
      </c>
      <c r="W577" s="3"/>
    </row>
    <row r="578" spans="1:23" x14ac:dyDescent="0.25">
      <c r="A578" s="4">
        <v>13969621000120</v>
      </c>
      <c r="B578" s="8" t="s">
        <v>1393</v>
      </c>
      <c r="C578" s="8" t="s">
        <v>86</v>
      </c>
      <c r="D578" s="7" t="s">
        <v>74</v>
      </c>
      <c r="E578" s="7" t="s">
        <v>215</v>
      </c>
      <c r="F578" s="6">
        <v>2</v>
      </c>
      <c r="G578" s="8" t="s">
        <v>167</v>
      </c>
      <c r="H578" s="8" t="s">
        <v>168</v>
      </c>
      <c r="I578" s="109" t="s">
        <v>557</v>
      </c>
      <c r="J578" s="8" t="s">
        <v>212</v>
      </c>
      <c r="K578" s="14" t="b">
        <v>0</v>
      </c>
      <c r="L578" s="14" t="b">
        <v>1</v>
      </c>
      <c r="M578" s="14" t="b">
        <v>1</v>
      </c>
      <c r="N578" s="14" t="b">
        <v>0</v>
      </c>
      <c r="O578" s="14" t="b">
        <v>1</v>
      </c>
      <c r="W578" s="3"/>
    </row>
    <row r="579" spans="1:23" x14ac:dyDescent="0.25">
      <c r="A579" s="4">
        <v>14074546000100</v>
      </c>
      <c r="B579" s="8" t="s">
        <v>876</v>
      </c>
      <c r="C579" s="8" t="s">
        <v>86</v>
      </c>
      <c r="D579" s="7" t="s">
        <v>74</v>
      </c>
      <c r="E579" s="7" t="s">
        <v>215</v>
      </c>
      <c r="F579" s="6">
        <v>2</v>
      </c>
      <c r="G579" s="8" t="s">
        <v>167</v>
      </c>
      <c r="H579" s="8" t="s">
        <v>168</v>
      </c>
      <c r="I579" s="109" t="s">
        <v>557</v>
      </c>
      <c r="J579" s="8" t="s">
        <v>212</v>
      </c>
      <c r="K579" s="14" t="b">
        <v>0</v>
      </c>
      <c r="L579" s="14" t="b">
        <v>1</v>
      </c>
      <c r="M579" s="14" t="b">
        <v>1</v>
      </c>
      <c r="N579" s="14" t="b">
        <v>0</v>
      </c>
      <c r="O579" s="14" t="b">
        <v>1</v>
      </c>
      <c r="W579" s="3"/>
    </row>
    <row r="580" spans="1:23" x14ac:dyDescent="0.25">
      <c r="A580" s="4">
        <v>15016827000160</v>
      </c>
      <c r="B580" s="8" t="s">
        <v>877</v>
      </c>
      <c r="C580" s="8" t="s">
        <v>772</v>
      </c>
      <c r="D580" s="7" t="s">
        <v>69</v>
      </c>
      <c r="E580" s="7" t="s">
        <v>215</v>
      </c>
      <c r="F580" s="6">
        <v>2</v>
      </c>
      <c r="G580" s="8" t="s">
        <v>163</v>
      </c>
      <c r="H580" s="8" t="s">
        <v>164</v>
      </c>
      <c r="I580" s="109" t="s">
        <v>557</v>
      </c>
      <c r="J580" s="8" t="s">
        <v>212</v>
      </c>
      <c r="K580" s="14" t="b">
        <v>0</v>
      </c>
      <c r="L580" s="14" t="b">
        <v>1</v>
      </c>
      <c r="M580" s="14" t="b">
        <v>1</v>
      </c>
      <c r="N580" s="14" t="b">
        <v>0</v>
      </c>
      <c r="O580" s="14" t="b">
        <v>1</v>
      </c>
      <c r="W580" s="3"/>
    </row>
    <row r="581" spans="1:23" x14ac:dyDescent="0.25">
      <c r="A581" s="4">
        <v>15016827000160</v>
      </c>
      <c r="B581" s="8" t="s">
        <v>877</v>
      </c>
      <c r="C581" s="8" t="s">
        <v>772</v>
      </c>
      <c r="D581" s="7" t="s">
        <v>69</v>
      </c>
      <c r="E581" s="7" t="s">
        <v>215</v>
      </c>
      <c r="F581" s="6">
        <v>2</v>
      </c>
      <c r="G581" s="8" t="s">
        <v>187</v>
      </c>
      <c r="H581" s="8" t="s">
        <v>188</v>
      </c>
      <c r="I581" s="109" t="s">
        <v>556</v>
      </c>
      <c r="J581" s="8" t="s">
        <v>212</v>
      </c>
      <c r="K581" s="14" t="b">
        <v>1</v>
      </c>
      <c r="L581" s="14" t="b">
        <v>0</v>
      </c>
      <c r="M581" s="14" t="b">
        <v>0</v>
      </c>
      <c r="N581" s="14" t="b">
        <v>1</v>
      </c>
      <c r="O581" s="14" t="b">
        <v>1</v>
      </c>
      <c r="W581" s="3"/>
    </row>
    <row r="582" spans="1:23" x14ac:dyDescent="0.25">
      <c r="A582" s="4">
        <v>15126437000224</v>
      </c>
      <c r="B582" s="8" t="s">
        <v>878</v>
      </c>
      <c r="C582" s="8" t="s">
        <v>81</v>
      </c>
      <c r="D582" s="7" t="s">
        <v>82</v>
      </c>
      <c r="E582" s="7" t="s">
        <v>215</v>
      </c>
      <c r="F582" s="6">
        <v>2</v>
      </c>
      <c r="G582" s="8" t="s">
        <v>165</v>
      </c>
      <c r="H582" s="8" t="s">
        <v>166</v>
      </c>
      <c r="I582" s="109" t="s">
        <v>557</v>
      </c>
      <c r="J582" s="8" t="s">
        <v>212</v>
      </c>
      <c r="K582" s="14" t="b">
        <v>0</v>
      </c>
      <c r="L582" s="14" t="b">
        <v>1</v>
      </c>
      <c r="M582" s="14" t="b">
        <v>1</v>
      </c>
      <c r="N582" s="14" t="b">
        <v>0</v>
      </c>
      <c r="O582" s="14" t="b">
        <v>1</v>
      </c>
      <c r="W582" s="3"/>
    </row>
    <row r="583" spans="1:23" x14ac:dyDescent="0.25">
      <c r="A583" s="4">
        <v>15126437000305</v>
      </c>
      <c r="B583" s="8" t="s">
        <v>879</v>
      </c>
      <c r="C583" s="8" t="s">
        <v>739</v>
      </c>
      <c r="D583" s="7" t="s">
        <v>55</v>
      </c>
      <c r="E583" s="7" t="s">
        <v>215</v>
      </c>
      <c r="F583" s="6">
        <v>2</v>
      </c>
      <c r="G583" s="8" t="s">
        <v>201</v>
      </c>
      <c r="H583" s="8" t="s">
        <v>202</v>
      </c>
      <c r="I583" s="109" t="s">
        <v>740</v>
      </c>
      <c r="J583" s="8" t="s">
        <v>212</v>
      </c>
      <c r="K583" s="14" t="b">
        <v>1</v>
      </c>
      <c r="L583" s="14" t="b">
        <v>0</v>
      </c>
      <c r="M583" s="14" t="b">
        <v>0</v>
      </c>
      <c r="N583" s="14" t="b">
        <v>1</v>
      </c>
      <c r="O583" s="14" t="b">
        <v>1</v>
      </c>
      <c r="W583" s="3"/>
    </row>
    <row r="584" spans="1:23" x14ac:dyDescent="0.25">
      <c r="A584" s="4">
        <v>15126437000305</v>
      </c>
      <c r="B584" s="8" t="s">
        <v>879</v>
      </c>
      <c r="C584" s="8" t="s">
        <v>739</v>
      </c>
      <c r="D584" s="7" t="s">
        <v>55</v>
      </c>
      <c r="E584" s="7" t="s">
        <v>215</v>
      </c>
      <c r="F584" s="6">
        <v>2</v>
      </c>
      <c r="G584" s="8" t="s">
        <v>163</v>
      </c>
      <c r="H584" s="8" t="s">
        <v>164</v>
      </c>
      <c r="I584" s="109" t="s">
        <v>557</v>
      </c>
      <c r="J584" s="8" t="s">
        <v>212</v>
      </c>
      <c r="K584" s="14" t="b">
        <v>0</v>
      </c>
      <c r="L584" s="14" t="b">
        <v>1</v>
      </c>
      <c r="M584" s="14" t="b">
        <v>1</v>
      </c>
      <c r="N584" s="14" t="b">
        <v>0</v>
      </c>
      <c r="O584" s="14" t="b">
        <v>1</v>
      </c>
      <c r="W584" s="3"/>
    </row>
    <row r="585" spans="1:23" x14ac:dyDescent="0.25">
      <c r="A585" s="4">
        <v>15126437000496</v>
      </c>
      <c r="B585" s="8" t="s">
        <v>880</v>
      </c>
      <c r="C585" s="8" t="s">
        <v>777</v>
      </c>
      <c r="D585" s="7" t="s">
        <v>72</v>
      </c>
      <c r="E585" s="7" t="s">
        <v>215</v>
      </c>
      <c r="F585" s="6">
        <v>2</v>
      </c>
      <c r="G585" s="8" t="s">
        <v>201</v>
      </c>
      <c r="H585" s="8" t="s">
        <v>202</v>
      </c>
      <c r="I585" s="109" t="s">
        <v>740</v>
      </c>
      <c r="J585" s="8" t="s">
        <v>212</v>
      </c>
      <c r="K585" s="14" t="b">
        <v>1</v>
      </c>
      <c r="L585" s="14" t="b">
        <v>0</v>
      </c>
      <c r="M585" s="14" t="b">
        <v>0</v>
      </c>
      <c r="N585" s="14" t="b">
        <v>1</v>
      </c>
      <c r="O585" s="14" t="b">
        <v>1</v>
      </c>
      <c r="W585" s="3"/>
    </row>
    <row r="586" spans="1:23" x14ac:dyDescent="0.25">
      <c r="A586" s="4">
        <v>15126437000496</v>
      </c>
      <c r="B586" s="8" t="s">
        <v>880</v>
      </c>
      <c r="C586" s="8" t="s">
        <v>777</v>
      </c>
      <c r="D586" s="7" t="s">
        <v>72</v>
      </c>
      <c r="E586" s="7" t="s">
        <v>215</v>
      </c>
      <c r="F586" s="6">
        <v>2</v>
      </c>
      <c r="G586" s="8" t="s">
        <v>165</v>
      </c>
      <c r="H586" s="8" t="s">
        <v>166</v>
      </c>
      <c r="I586" s="109" t="s">
        <v>557</v>
      </c>
      <c r="J586" s="8" t="s">
        <v>212</v>
      </c>
      <c r="K586" s="14" t="b">
        <v>0</v>
      </c>
      <c r="L586" s="14" t="b">
        <v>1</v>
      </c>
      <c r="M586" s="14" t="b">
        <v>1</v>
      </c>
      <c r="N586" s="14" t="b">
        <v>0</v>
      </c>
      <c r="O586" s="14" t="b">
        <v>1</v>
      </c>
      <c r="W586" s="3"/>
    </row>
    <row r="587" spans="1:23" x14ac:dyDescent="0.25">
      <c r="A587" s="4">
        <v>15126437000739</v>
      </c>
      <c r="B587" s="8" t="s">
        <v>881</v>
      </c>
      <c r="C587" s="8" t="s">
        <v>62</v>
      </c>
      <c r="D587" s="7" t="s">
        <v>63</v>
      </c>
      <c r="E587" s="7" t="s">
        <v>215</v>
      </c>
      <c r="F587" s="6">
        <v>2</v>
      </c>
      <c r="G587" s="8" t="s">
        <v>169</v>
      </c>
      <c r="H587" s="8" t="s">
        <v>170</v>
      </c>
      <c r="I587" s="109" t="s">
        <v>557</v>
      </c>
      <c r="J587" s="8" t="s">
        <v>212</v>
      </c>
      <c r="K587" s="14" t="b">
        <v>0</v>
      </c>
      <c r="L587" s="14" t="b">
        <v>1</v>
      </c>
      <c r="M587" s="14" t="b">
        <v>1</v>
      </c>
      <c r="N587" s="14" t="b">
        <v>0</v>
      </c>
      <c r="O587" s="14" t="b">
        <v>1</v>
      </c>
      <c r="W587" s="3"/>
    </row>
    <row r="588" spans="1:23" x14ac:dyDescent="0.25">
      <c r="A588" s="4">
        <v>15126437001204</v>
      </c>
      <c r="B588" s="8" t="s">
        <v>882</v>
      </c>
      <c r="C588" s="8" t="s">
        <v>772</v>
      </c>
      <c r="D588" s="7" t="s">
        <v>69</v>
      </c>
      <c r="E588" s="7" t="s">
        <v>215</v>
      </c>
      <c r="F588" s="6">
        <v>2</v>
      </c>
      <c r="G588" s="8" t="s">
        <v>187</v>
      </c>
      <c r="H588" s="8" t="s">
        <v>188</v>
      </c>
      <c r="I588" s="109" t="s">
        <v>556</v>
      </c>
      <c r="J588" s="8" t="s">
        <v>212</v>
      </c>
      <c r="K588" s="14" t="b">
        <v>1</v>
      </c>
      <c r="L588" s="14" t="b">
        <v>0</v>
      </c>
      <c r="M588" s="14" t="b">
        <v>0</v>
      </c>
      <c r="N588" s="14" t="b">
        <v>1</v>
      </c>
      <c r="O588" s="14" t="b">
        <v>1</v>
      </c>
      <c r="W588" s="3"/>
    </row>
    <row r="589" spans="1:23" x14ac:dyDescent="0.25">
      <c r="A589" s="4">
        <v>15126437001204</v>
      </c>
      <c r="B589" s="8" t="s">
        <v>882</v>
      </c>
      <c r="C589" s="8" t="s">
        <v>772</v>
      </c>
      <c r="D589" s="7" t="s">
        <v>69</v>
      </c>
      <c r="E589" s="7" t="s">
        <v>215</v>
      </c>
      <c r="F589" s="6">
        <v>2</v>
      </c>
      <c r="G589" s="8" t="s">
        <v>163</v>
      </c>
      <c r="H589" s="8" t="s">
        <v>164</v>
      </c>
      <c r="I589" s="109" t="s">
        <v>557</v>
      </c>
      <c r="J589" s="8" t="s">
        <v>212</v>
      </c>
      <c r="K589" s="14" t="b">
        <v>0</v>
      </c>
      <c r="L589" s="14" t="b">
        <v>1</v>
      </c>
      <c r="M589" s="14" t="b">
        <v>1</v>
      </c>
      <c r="N589" s="14" t="b">
        <v>0</v>
      </c>
      <c r="O589" s="14" t="b">
        <v>1</v>
      </c>
      <c r="W589" s="3"/>
    </row>
    <row r="590" spans="1:23" x14ac:dyDescent="0.25">
      <c r="A590" s="4">
        <v>15126437001468</v>
      </c>
      <c r="B590" s="8" t="s">
        <v>883</v>
      </c>
      <c r="C590" s="8" t="s">
        <v>76</v>
      </c>
      <c r="D590" s="7" t="s">
        <v>77</v>
      </c>
      <c r="E590" s="7" t="s">
        <v>215</v>
      </c>
      <c r="F590" s="6">
        <v>2</v>
      </c>
      <c r="G590" s="8" t="s">
        <v>165</v>
      </c>
      <c r="H590" s="8" t="s">
        <v>166</v>
      </c>
      <c r="I590" s="109" t="s">
        <v>557</v>
      </c>
      <c r="J590" s="8" t="s">
        <v>212</v>
      </c>
      <c r="K590" s="14" t="b">
        <v>0</v>
      </c>
      <c r="L590" s="14" t="b">
        <v>1</v>
      </c>
      <c r="M590" s="14" t="b">
        <v>1</v>
      </c>
      <c r="N590" s="14" t="b">
        <v>0</v>
      </c>
      <c r="O590" s="14" t="b">
        <v>1</v>
      </c>
      <c r="W590" s="3"/>
    </row>
    <row r="591" spans="1:23" x14ac:dyDescent="0.25">
      <c r="A591" s="4">
        <v>15126437002863</v>
      </c>
      <c r="B591" s="8" t="s">
        <v>884</v>
      </c>
      <c r="C591" s="8" t="s">
        <v>75</v>
      </c>
      <c r="D591" s="7" t="s">
        <v>74</v>
      </c>
      <c r="E591" s="7" t="s">
        <v>215</v>
      </c>
      <c r="F591" s="6">
        <v>2</v>
      </c>
      <c r="G591" s="8" t="s">
        <v>167</v>
      </c>
      <c r="H591" s="8" t="s">
        <v>168</v>
      </c>
      <c r="I591" s="109" t="s">
        <v>557</v>
      </c>
      <c r="J591" s="8" t="s">
        <v>212</v>
      </c>
      <c r="K591" s="14" t="b">
        <v>0</v>
      </c>
      <c r="L591" s="14" t="b">
        <v>1</v>
      </c>
      <c r="M591" s="14" t="b">
        <v>1</v>
      </c>
      <c r="N591" s="14" t="b">
        <v>0</v>
      </c>
      <c r="O591" s="14" t="b">
        <v>1</v>
      </c>
      <c r="W591" s="3"/>
    </row>
    <row r="592" spans="1:23" x14ac:dyDescent="0.25">
      <c r="A592" s="4">
        <v>15126437003240</v>
      </c>
      <c r="B592" s="8" t="s">
        <v>885</v>
      </c>
      <c r="C592" s="8" t="s">
        <v>130</v>
      </c>
      <c r="D592" s="7" t="s">
        <v>56</v>
      </c>
      <c r="E592" s="7" t="s">
        <v>215</v>
      </c>
      <c r="F592" s="6">
        <v>2</v>
      </c>
      <c r="G592" s="8" t="s">
        <v>169</v>
      </c>
      <c r="H592" s="8" t="s">
        <v>170</v>
      </c>
      <c r="I592" s="109" t="s">
        <v>557</v>
      </c>
      <c r="J592" s="8" t="s">
        <v>212</v>
      </c>
      <c r="K592" s="14" t="b">
        <v>0</v>
      </c>
      <c r="L592" s="14" t="b">
        <v>1</v>
      </c>
      <c r="M592" s="14" t="b">
        <v>1</v>
      </c>
      <c r="N592" s="14" t="b">
        <v>0</v>
      </c>
      <c r="O592" s="14" t="b">
        <v>1</v>
      </c>
      <c r="W592" s="3"/>
    </row>
    <row r="593" spans="1:23" x14ac:dyDescent="0.25">
      <c r="A593" s="4">
        <v>15140254000182</v>
      </c>
      <c r="B593" s="8" t="s">
        <v>886</v>
      </c>
      <c r="C593" s="8" t="s">
        <v>75</v>
      </c>
      <c r="D593" s="7" t="s">
        <v>74</v>
      </c>
      <c r="E593" s="7" t="s">
        <v>215</v>
      </c>
      <c r="F593" s="6">
        <v>2</v>
      </c>
      <c r="G593" s="8" t="s">
        <v>167</v>
      </c>
      <c r="H593" s="8" t="s">
        <v>168</v>
      </c>
      <c r="I593" s="109" t="s">
        <v>557</v>
      </c>
      <c r="J593" s="8" t="s">
        <v>212</v>
      </c>
      <c r="K593" s="14" t="b">
        <v>0</v>
      </c>
      <c r="L593" s="14" t="b">
        <v>1</v>
      </c>
      <c r="M593" s="14" t="b">
        <v>1</v>
      </c>
      <c r="N593" s="14" t="b">
        <v>0</v>
      </c>
      <c r="O593" s="14" t="b">
        <v>1</v>
      </c>
      <c r="W593" s="3"/>
    </row>
    <row r="594" spans="1:23" x14ac:dyDescent="0.25">
      <c r="A594" s="4">
        <v>15153745000249</v>
      </c>
      <c r="B594" s="8" t="s">
        <v>887</v>
      </c>
      <c r="C594" s="8" t="s">
        <v>75</v>
      </c>
      <c r="D594" s="7" t="s">
        <v>74</v>
      </c>
      <c r="E594" s="7" t="s">
        <v>215</v>
      </c>
      <c r="F594" s="6">
        <v>2</v>
      </c>
      <c r="G594" s="8" t="s">
        <v>167</v>
      </c>
      <c r="H594" s="8" t="s">
        <v>168</v>
      </c>
      <c r="I594" s="109" t="s">
        <v>557</v>
      </c>
      <c r="J594" s="8" t="s">
        <v>212</v>
      </c>
      <c r="K594" s="14" t="b">
        <v>0</v>
      </c>
      <c r="L594" s="14" t="b">
        <v>1</v>
      </c>
      <c r="M594" s="14" t="b">
        <v>1</v>
      </c>
      <c r="N594" s="14" t="b">
        <v>0</v>
      </c>
      <c r="O594" s="14" t="b">
        <v>1</v>
      </c>
      <c r="W594" s="3"/>
    </row>
    <row r="595" spans="1:23" x14ac:dyDescent="0.25">
      <c r="A595" s="4">
        <v>15153745002705</v>
      </c>
      <c r="B595" s="8" t="s">
        <v>888</v>
      </c>
      <c r="C595" s="8" t="s">
        <v>75</v>
      </c>
      <c r="D595" s="7" t="s">
        <v>74</v>
      </c>
      <c r="E595" s="7" t="s">
        <v>215</v>
      </c>
      <c r="F595" s="6">
        <v>2</v>
      </c>
      <c r="G595" s="8" t="s">
        <v>167</v>
      </c>
      <c r="H595" s="8" t="s">
        <v>168</v>
      </c>
      <c r="I595" s="109" t="s">
        <v>557</v>
      </c>
      <c r="J595" s="8" t="s">
        <v>212</v>
      </c>
      <c r="K595" s="14" t="b">
        <v>0</v>
      </c>
      <c r="L595" s="14" t="b">
        <v>1</v>
      </c>
      <c r="M595" s="14" t="b">
        <v>1</v>
      </c>
      <c r="N595" s="14" t="b">
        <v>0</v>
      </c>
      <c r="O595" s="14" t="b">
        <v>1</v>
      </c>
      <c r="W595" s="3"/>
    </row>
    <row r="596" spans="1:23" x14ac:dyDescent="0.25">
      <c r="A596" s="4">
        <v>15166416000151</v>
      </c>
      <c r="B596" s="8" t="s">
        <v>889</v>
      </c>
      <c r="C596" s="8" t="s">
        <v>75</v>
      </c>
      <c r="D596" s="7" t="s">
        <v>74</v>
      </c>
      <c r="E596" s="7" t="s">
        <v>215</v>
      </c>
      <c r="F596" s="6">
        <v>2</v>
      </c>
      <c r="G596" s="8" t="s">
        <v>167</v>
      </c>
      <c r="H596" s="8" t="s">
        <v>168</v>
      </c>
      <c r="I596" s="109" t="s">
        <v>557</v>
      </c>
      <c r="J596" s="8" t="s">
        <v>212</v>
      </c>
      <c r="K596" s="14" t="b">
        <v>0</v>
      </c>
      <c r="L596" s="14" t="b">
        <v>1</v>
      </c>
      <c r="M596" s="14" t="b">
        <v>1</v>
      </c>
      <c r="N596" s="14" t="b">
        <v>0</v>
      </c>
      <c r="O596" s="14" t="b">
        <v>1</v>
      </c>
      <c r="W596" s="3"/>
    </row>
    <row r="597" spans="1:23" x14ac:dyDescent="0.25">
      <c r="A597" s="4">
        <v>15170723000106</v>
      </c>
      <c r="B597" s="8" t="s">
        <v>890</v>
      </c>
      <c r="C597" s="8" t="s">
        <v>75</v>
      </c>
      <c r="D597" s="7" t="s">
        <v>74</v>
      </c>
      <c r="E597" s="7" t="s">
        <v>215</v>
      </c>
      <c r="F597" s="6">
        <v>2</v>
      </c>
      <c r="G597" s="8" t="s">
        <v>167</v>
      </c>
      <c r="H597" s="8" t="s">
        <v>168</v>
      </c>
      <c r="I597" s="109" t="s">
        <v>557</v>
      </c>
      <c r="J597" s="8" t="s">
        <v>212</v>
      </c>
      <c r="K597" s="14" t="b">
        <v>0</v>
      </c>
      <c r="L597" s="14" t="b">
        <v>1</v>
      </c>
      <c r="M597" s="14" t="b">
        <v>1</v>
      </c>
      <c r="N597" s="14" t="b">
        <v>0</v>
      </c>
      <c r="O597" s="14" t="b">
        <v>1</v>
      </c>
      <c r="W597" s="3"/>
    </row>
    <row r="598" spans="1:23" x14ac:dyDescent="0.25">
      <c r="A598" s="4">
        <v>15170723000530</v>
      </c>
      <c r="B598" s="8" t="s">
        <v>891</v>
      </c>
      <c r="C598" s="8" t="s">
        <v>86</v>
      </c>
      <c r="D598" s="7" t="s">
        <v>74</v>
      </c>
      <c r="E598" s="7" t="s">
        <v>215</v>
      </c>
      <c r="F598" s="6">
        <v>2</v>
      </c>
      <c r="G598" s="8" t="s">
        <v>167</v>
      </c>
      <c r="H598" s="8" t="s">
        <v>168</v>
      </c>
      <c r="I598" s="109" t="s">
        <v>557</v>
      </c>
      <c r="J598" s="8" t="s">
        <v>212</v>
      </c>
      <c r="K598" s="14" t="b">
        <v>0</v>
      </c>
      <c r="L598" s="14" t="b">
        <v>1</v>
      </c>
      <c r="M598" s="14" t="b">
        <v>1</v>
      </c>
      <c r="N598" s="14" t="b">
        <v>0</v>
      </c>
      <c r="O598" s="14" t="b">
        <v>1</v>
      </c>
      <c r="W598" s="3"/>
    </row>
    <row r="599" spans="1:23" x14ac:dyDescent="0.25">
      <c r="A599" s="4">
        <v>15180714000287</v>
      </c>
      <c r="B599" s="8" t="s">
        <v>892</v>
      </c>
      <c r="C599" s="8" t="s">
        <v>75</v>
      </c>
      <c r="D599" s="7" t="s">
        <v>74</v>
      </c>
      <c r="E599" s="7" t="s">
        <v>215</v>
      </c>
      <c r="F599" s="6">
        <v>2</v>
      </c>
      <c r="G599" s="8" t="s">
        <v>167</v>
      </c>
      <c r="H599" s="8" t="s">
        <v>168</v>
      </c>
      <c r="I599" s="109" t="s">
        <v>557</v>
      </c>
      <c r="J599" s="8" t="s">
        <v>212</v>
      </c>
      <c r="K599" s="14" t="b">
        <v>0</v>
      </c>
      <c r="L599" s="14" t="b">
        <v>1</v>
      </c>
      <c r="M599" s="14" t="b">
        <v>1</v>
      </c>
      <c r="N599" s="14" t="b">
        <v>0</v>
      </c>
      <c r="O599" s="14" t="b">
        <v>1</v>
      </c>
      <c r="W599" s="3"/>
    </row>
    <row r="600" spans="1:23" x14ac:dyDescent="0.25">
      <c r="A600" s="4">
        <v>15180714000368</v>
      </c>
      <c r="B600" s="8" t="s">
        <v>893</v>
      </c>
      <c r="C600" s="8" t="s">
        <v>75</v>
      </c>
      <c r="D600" s="7" t="s">
        <v>74</v>
      </c>
      <c r="E600" s="7" t="s">
        <v>215</v>
      </c>
      <c r="F600" s="6">
        <v>2</v>
      </c>
      <c r="G600" s="8" t="s">
        <v>167</v>
      </c>
      <c r="H600" s="8" t="s">
        <v>168</v>
      </c>
      <c r="I600" s="109" t="s">
        <v>557</v>
      </c>
      <c r="J600" s="8" t="s">
        <v>212</v>
      </c>
      <c r="K600" s="14" t="b">
        <v>0</v>
      </c>
      <c r="L600" s="14" t="b">
        <v>1</v>
      </c>
      <c r="M600" s="14" t="b">
        <v>1</v>
      </c>
      <c r="N600" s="14" t="b">
        <v>0</v>
      </c>
      <c r="O600" s="14" t="b">
        <v>1</v>
      </c>
      <c r="W600" s="3"/>
    </row>
    <row r="601" spans="1:23" x14ac:dyDescent="0.25">
      <c r="A601" s="4">
        <v>15180714000520</v>
      </c>
      <c r="B601" s="8" t="s">
        <v>894</v>
      </c>
      <c r="C601" s="8" t="s">
        <v>75</v>
      </c>
      <c r="D601" s="7" t="s">
        <v>74</v>
      </c>
      <c r="E601" s="7" t="s">
        <v>215</v>
      </c>
      <c r="F601" s="6">
        <v>2</v>
      </c>
      <c r="G601" s="8" t="s">
        <v>167</v>
      </c>
      <c r="H601" s="8" t="s">
        <v>168</v>
      </c>
      <c r="I601" s="109" t="s">
        <v>557</v>
      </c>
      <c r="J601" s="8" t="s">
        <v>212</v>
      </c>
      <c r="K601" s="14" t="b">
        <v>0</v>
      </c>
      <c r="L601" s="14" t="b">
        <v>1</v>
      </c>
      <c r="M601" s="14" t="b">
        <v>1</v>
      </c>
      <c r="N601" s="14" t="b">
        <v>0</v>
      </c>
      <c r="O601" s="14" t="b">
        <v>1</v>
      </c>
      <c r="W601" s="3"/>
    </row>
    <row r="602" spans="1:23" x14ac:dyDescent="0.25">
      <c r="A602" s="4">
        <v>15194004000125</v>
      </c>
      <c r="B602" s="8" t="s">
        <v>895</v>
      </c>
      <c r="C602" s="8" t="s">
        <v>75</v>
      </c>
      <c r="D602" s="7" t="s">
        <v>74</v>
      </c>
      <c r="E602" s="7" t="s">
        <v>215</v>
      </c>
      <c r="F602" s="6">
        <v>2</v>
      </c>
      <c r="G602" s="8" t="s">
        <v>167</v>
      </c>
      <c r="H602" s="8" t="s">
        <v>168</v>
      </c>
      <c r="I602" s="109" t="s">
        <v>557</v>
      </c>
      <c r="J602" s="8" t="s">
        <v>212</v>
      </c>
      <c r="K602" s="14" t="b">
        <v>0</v>
      </c>
      <c r="L602" s="14" t="b">
        <v>1</v>
      </c>
      <c r="M602" s="14" t="b">
        <v>1</v>
      </c>
      <c r="N602" s="14" t="b">
        <v>0</v>
      </c>
      <c r="O602" s="14" t="b">
        <v>1</v>
      </c>
      <c r="W602" s="3"/>
    </row>
    <row r="603" spans="1:23" x14ac:dyDescent="0.25">
      <c r="A603" s="4">
        <v>15242761000127</v>
      </c>
      <c r="B603" s="8" t="s">
        <v>896</v>
      </c>
      <c r="C603" s="8" t="s">
        <v>75</v>
      </c>
      <c r="D603" s="7" t="s">
        <v>74</v>
      </c>
      <c r="E603" s="7" t="s">
        <v>215</v>
      </c>
      <c r="F603" s="6">
        <v>2</v>
      </c>
      <c r="G603" s="8" t="s">
        <v>167</v>
      </c>
      <c r="H603" s="8" t="s">
        <v>168</v>
      </c>
      <c r="I603" s="109" t="s">
        <v>557</v>
      </c>
      <c r="J603" s="8" t="s">
        <v>212</v>
      </c>
      <c r="K603" s="14" t="b">
        <v>0</v>
      </c>
      <c r="L603" s="14" t="b">
        <v>1</v>
      </c>
      <c r="M603" s="14" t="b">
        <v>1</v>
      </c>
      <c r="N603" s="14" t="b">
        <v>0</v>
      </c>
      <c r="O603" s="14" t="b">
        <v>1</v>
      </c>
      <c r="W603" s="3"/>
    </row>
    <row r="604" spans="1:23" x14ac:dyDescent="0.25">
      <c r="A604" s="4">
        <v>15592785000106</v>
      </c>
      <c r="B604" s="8" t="s">
        <v>897</v>
      </c>
      <c r="C604" s="8" t="s">
        <v>84</v>
      </c>
      <c r="D604" s="7" t="s">
        <v>85</v>
      </c>
      <c r="E604" s="7" t="s">
        <v>215</v>
      </c>
      <c r="F604" s="6">
        <v>2</v>
      </c>
      <c r="G604" s="8" t="s">
        <v>167</v>
      </c>
      <c r="H604" s="8" t="s">
        <v>168</v>
      </c>
      <c r="I604" s="109" t="s">
        <v>557</v>
      </c>
      <c r="J604" s="8" t="s">
        <v>212</v>
      </c>
      <c r="K604" s="14" t="b">
        <v>0</v>
      </c>
      <c r="L604" s="14" t="b">
        <v>1</v>
      </c>
      <c r="M604" s="14" t="b">
        <v>1</v>
      </c>
      <c r="N604" s="14" t="b">
        <v>0</v>
      </c>
      <c r="O604" s="14" t="b">
        <v>1</v>
      </c>
      <c r="W604" s="3"/>
    </row>
    <row r="605" spans="1:23" x14ac:dyDescent="0.25">
      <c r="A605" s="4">
        <v>16064313000577</v>
      </c>
      <c r="B605" s="8" t="s">
        <v>898</v>
      </c>
      <c r="C605" s="8" t="s">
        <v>84</v>
      </c>
      <c r="D605" s="7" t="s">
        <v>85</v>
      </c>
      <c r="E605" s="7" t="s">
        <v>215</v>
      </c>
      <c r="F605" s="6">
        <v>2</v>
      </c>
      <c r="G605" s="8" t="s">
        <v>167</v>
      </c>
      <c r="H605" s="8" t="s">
        <v>168</v>
      </c>
      <c r="I605" s="109" t="s">
        <v>557</v>
      </c>
      <c r="J605" s="8" t="s">
        <v>212</v>
      </c>
      <c r="K605" s="14" t="b">
        <v>0</v>
      </c>
      <c r="L605" s="14" t="b">
        <v>1</v>
      </c>
      <c r="M605" s="14" t="b">
        <v>1</v>
      </c>
      <c r="N605" s="14" t="b">
        <v>0</v>
      </c>
      <c r="O605" s="14" t="b">
        <v>1</v>
      </c>
      <c r="W605" s="3"/>
    </row>
    <row r="606" spans="1:23" x14ac:dyDescent="0.25">
      <c r="A606" s="4">
        <v>16475154000250</v>
      </c>
      <c r="B606" s="8" t="s">
        <v>899</v>
      </c>
      <c r="C606" s="8" t="s">
        <v>75</v>
      </c>
      <c r="D606" s="7" t="s">
        <v>74</v>
      </c>
      <c r="E606" s="7" t="s">
        <v>215</v>
      </c>
      <c r="F606" s="6">
        <v>2</v>
      </c>
      <c r="G606" s="8" t="s">
        <v>167</v>
      </c>
      <c r="H606" s="8" t="s">
        <v>168</v>
      </c>
      <c r="I606" s="109" t="s">
        <v>557</v>
      </c>
      <c r="J606" s="8" t="s">
        <v>212</v>
      </c>
      <c r="K606" s="14" t="b">
        <v>0</v>
      </c>
      <c r="L606" s="14" t="b">
        <v>1</v>
      </c>
      <c r="M606" s="14" t="b">
        <v>1</v>
      </c>
      <c r="N606" s="14" t="b">
        <v>0</v>
      </c>
      <c r="O606" s="14" t="b">
        <v>1</v>
      </c>
      <c r="W606" s="3"/>
    </row>
    <row r="607" spans="1:23" x14ac:dyDescent="0.25">
      <c r="A607" s="4">
        <v>16739984000167</v>
      </c>
      <c r="B607" s="8" t="s">
        <v>900</v>
      </c>
      <c r="C607" s="8" t="s">
        <v>739</v>
      </c>
      <c r="D607" s="7" t="s">
        <v>55</v>
      </c>
      <c r="E607" s="7" t="s">
        <v>215</v>
      </c>
      <c r="F607" s="6">
        <v>2</v>
      </c>
      <c r="G607" s="8" t="s">
        <v>163</v>
      </c>
      <c r="H607" s="8" t="s">
        <v>164</v>
      </c>
      <c r="I607" s="109" t="s">
        <v>557</v>
      </c>
      <c r="J607" s="8" t="s">
        <v>212</v>
      </c>
      <c r="K607" s="14" t="b">
        <v>0</v>
      </c>
      <c r="L607" s="14" t="b">
        <v>1</v>
      </c>
      <c r="M607" s="14" t="b">
        <v>1</v>
      </c>
      <c r="N607" s="14" t="b">
        <v>0</v>
      </c>
      <c r="O607" s="14" t="b">
        <v>1</v>
      </c>
      <c r="W607" s="3"/>
    </row>
    <row r="608" spans="1:23" x14ac:dyDescent="0.25">
      <c r="A608" s="4">
        <v>16739984000167</v>
      </c>
      <c r="B608" s="8" t="s">
        <v>900</v>
      </c>
      <c r="C608" s="8" t="s">
        <v>739</v>
      </c>
      <c r="D608" s="7" t="s">
        <v>55</v>
      </c>
      <c r="E608" s="7" t="s">
        <v>215</v>
      </c>
      <c r="F608" s="6">
        <v>2</v>
      </c>
      <c r="G608" s="8" t="s">
        <v>201</v>
      </c>
      <c r="H608" s="8" t="s">
        <v>202</v>
      </c>
      <c r="I608" s="109" t="s">
        <v>740</v>
      </c>
      <c r="J608" s="8" t="s">
        <v>212</v>
      </c>
      <c r="K608" s="14" t="b">
        <v>1</v>
      </c>
      <c r="L608" s="14" t="b">
        <v>0</v>
      </c>
      <c r="M608" s="14" t="b">
        <v>0</v>
      </c>
      <c r="N608" s="14" t="b">
        <v>1</v>
      </c>
      <c r="O608" s="14" t="b">
        <v>1</v>
      </c>
      <c r="W608" s="3"/>
    </row>
    <row r="609" spans="1:23" x14ac:dyDescent="0.25">
      <c r="A609" s="4">
        <v>17239624000169</v>
      </c>
      <c r="B609" s="8" t="s">
        <v>1394</v>
      </c>
      <c r="C609" s="8" t="s">
        <v>1395</v>
      </c>
      <c r="D609" s="7" t="s">
        <v>59</v>
      </c>
      <c r="E609" s="7" t="s">
        <v>215</v>
      </c>
      <c r="F609" s="6">
        <v>2</v>
      </c>
      <c r="G609" s="8" t="s">
        <v>163</v>
      </c>
      <c r="H609" s="8" t="s">
        <v>164</v>
      </c>
      <c r="I609" s="109" t="s">
        <v>557</v>
      </c>
      <c r="J609" s="8" t="s">
        <v>212</v>
      </c>
      <c r="K609" s="14" t="b">
        <v>0</v>
      </c>
      <c r="L609" s="14" t="b">
        <v>1</v>
      </c>
      <c r="M609" s="14" t="b">
        <v>1</v>
      </c>
      <c r="N609" s="14" t="b">
        <v>0</v>
      </c>
      <c r="O609" s="14" t="b">
        <v>1</v>
      </c>
      <c r="W609" s="3"/>
    </row>
    <row r="610" spans="1:23" x14ac:dyDescent="0.25">
      <c r="A610" s="4">
        <v>17239624000169</v>
      </c>
      <c r="B610" s="8" t="s">
        <v>1394</v>
      </c>
      <c r="C610" s="8" t="s">
        <v>1395</v>
      </c>
      <c r="D610" s="7" t="s">
        <v>59</v>
      </c>
      <c r="E610" s="7" t="s">
        <v>215</v>
      </c>
      <c r="F610" s="6">
        <v>2</v>
      </c>
      <c r="G610" s="8" t="s">
        <v>187</v>
      </c>
      <c r="H610" s="8" t="s">
        <v>188</v>
      </c>
      <c r="I610" s="109" t="s">
        <v>556</v>
      </c>
      <c r="J610" s="8" t="s">
        <v>212</v>
      </c>
      <c r="K610" s="14" t="b">
        <v>1</v>
      </c>
      <c r="L610" s="14" t="b">
        <v>0</v>
      </c>
      <c r="M610" s="14" t="b">
        <v>0</v>
      </c>
      <c r="N610" s="14" t="b">
        <v>1</v>
      </c>
      <c r="O610" s="14" t="b">
        <v>1</v>
      </c>
      <c r="W610" s="3"/>
    </row>
    <row r="611" spans="1:23" x14ac:dyDescent="0.25">
      <c r="A611" s="4">
        <v>18034143000180</v>
      </c>
      <c r="B611" s="8" t="s">
        <v>1396</v>
      </c>
      <c r="C611" s="8" t="s">
        <v>753</v>
      </c>
      <c r="D611" s="7" t="s">
        <v>59</v>
      </c>
      <c r="E611" s="7" t="s">
        <v>215</v>
      </c>
      <c r="F611" s="6">
        <v>2</v>
      </c>
      <c r="G611" s="8" t="s">
        <v>163</v>
      </c>
      <c r="H611" s="8" t="s">
        <v>164</v>
      </c>
      <c r="I611" s="109" t="s">
        <v>557</v>
      </c>
      <c r="J611" s="8" t="s">
        <v>212</v>
      </c>
      <c r="K611" s="14" t="b">
        <v>0</v>
      </c>
      <c r="L611" s="14" t="b">
        <v>1</v>
      </c>
      <c r="M611" s="14" t="b">
        <v>1</v>
      </c>
      <c r="N611" s="14" t="b">
        <v>0</v>
      </c>
      <c r="O611" s="14" t="b">
        <v>1</v>
      </c>
      <c r="W611" s="3"/>
    </row>
    <row r="612" spans="1:23" x14ac:dyDescent="0.25">
      <c r="A612" s="4">
        <v>18034143000180</v>
      </c>
      <c r="B612" s="8" t="s">
        <v>1396</v>
      </c>
      <c r="C612" s="8" t="s">
        <v>753</v>
      </c>
      <c r="D612" s="7" t="s">
        <v>59</v>
      </c>
      <c r="E612" s="7" t="s">
        <v>215</v>
      </c>
      <c r="F612" s="6">
        <v>2</v>
      </c>
      <c r="G612" s="8" t="s">
        <v>187</v>
      </c>
      <c r="H612" s="8" t="s">
        <v>188</v>
      </c>
      <c r="I612" s="109" t="s">
        <v>556</v>
      </c>
      <c r="J612" s="8" t="s">
        <v>212</v>
      </c>
      <c r="K612" s="14" t="b">
        <v>1</v>
      </c>
      <c r="L612" s="14" t="b">
        <v>0</v>
      </c>
      <c r="M612" s="14" t="b">
        <v>0</v>
      </c>
      <c r="N612" s="14" t="b">
        <v>1</v>
      </c>
      <c r="O612" s="14" t="b">
        <v>1</v>
      </c>
      <c r="W612" s="3"/>
    </row>
    <row r="613" spans="1:23" x14ac:dyDescent="0.25">
      <c r="A613" s="4">
        <v>21155621000114</v>
      </c>
      <c r="B613" s="8" t="s">
        <v>901</v>
      </c>
      <c r="C613" s="8" t="s">
        <v>902</v>
      </c>
      <c r="D613" s="7" t="s">
        <v>59</v>
      </c>
      <c r="E613" s="7" t="s">
        <v>215</v>
      </c>
      <c r="F613" s="6">
        <v>2</v>
      </c>
      <c r="G613" s="8" t="s">
        <v>187</v>
      </c>
      <c r="H613" s="8" t="s">
        <v>188</v>
      </c>
      <c r="I613" s="109" t="s">
        <v>556</v>
      </c>
      <c r="J613" s="8" t="s">
        <v>212</v>
      </c>
      <c r="K613" s="14" t="b">
        <v>1</v>
      </c>
      <c r="L613" s="14" t="b">
        <v>0</v>
      </c>
      <c r="M613" s="14" t="b">
        <v>0</v>
      </c>
      <c r="N613" s="14" t="b">
        <v>1</v>
      </c>
      <c r="O613" s="14" t="b">
        <v>1</v>
      </c>
      <c r="W613" s="3"/>
    </row>
    <row r="614" spans="1:23" x14ac:dyDescent="0.25">
      <c r="A614" s="4">
        <v>21155621000114</v>
      </c>
      <c r="B614" s="8" t="s">
        <v>901</v>
      </c>
      <c r="C614" s="8" t="s">
        <v>902</v>
      </c>
      <c r="D614" s="7" t="s">
        <v>59</v>
      </c>
      <c r="E614" s="7" t="s">
        <v>215</v>
      </c>
      <c r="F614" s="6">
        <v>2</v>
      </c>
      <c r="G614" s="8" t="s">
        <v>163</v>
      </c>
      <c r="H614" s="8" t="s">
        <v>164</v>
      </c>
      <c r="I614" s="109" t="s">
        <v>557</v>
      </c>
      <c r="J614" s="8" t="s">
        <v>212</v>
      </c>
      <c r="K614" s="14" t="b">
        <v>0</v>
      </c>
      <c r="L614" s="14" t="b">
        <v>1</v>
      </c>
      <c r="M614" s="14" t="b">
        <v>1</v>
      </c>
      <c r="N614" s="14" t="b">
        <v>0</v>
      </c>
      <c r="O614" s="14" t="b">
        <v>1</v>
      </c>
      <c r="W614" s="3"/>
    </row>
    <row r="615" spans="1:23" x14ac:dyDescent="0.25">
      <c r="A615" s="4">
        <v>23443518000103</v>
      </c>
      <c r="B615" s="8" t="s">
        <v>903</v>
      </c>
      <c r="C615" s="8" t="s">
        <v>76</v>
      </c>
      <c r="D615" s="7" t="s">
        <v>77</v>
      </c>
      <c r="E615" s="7" t="s">
        <v>215</v>
      </c>
      <c r="F615" s="6">
        <v>2</v>
      </c>
      <c r="G615" s="8" t="s">
        <v>165</v>
      </c>
      <c r="H615" s="8" t="s">
        <v>166</v>
      </c>
      <c r="I615" s="109" t="s">
        <v>557</v>
      </c>
      <c r="J615" s="8" t="s">
        <v>212</v>
      </c>
      <c r="K615" s="14" t="b">
        <v>0</v>
      </c>
      <c r="L615" s="14" t="b">
        <v>1</v>
      </c>
      <c r="M615" s="14" t="b">
        <v>1</v>
      </c>
      <c r="N615" s="14" t="b">
        <v>0</v>
      </c>
      <c r="O615" s="14" t="b">
        <v>1</v>
      </c>
      <c r="W615" s="3"/>
    </row>
    <row r="616" spans="1:23" x14ac:dyDescent="0.25">
      <c r="A616" s="4">
        <v>23813270000117</v>
      </c>
      <c r="B616" s="8" t="s">
        <v>904</v>
      </c>
      <c r="C616" s="8" t="s">
        <v>777</v>
      </c>
      <c r="D616" s="7" t="s">
        <v>72</v>
      </c>
      <c r="E616" s="7" t="s">
        <v>215</v>
      </c>
      <c r="F616" s="6">
        <v>2</v>
      </c>
      <c r="G616" s="8" t="s">
        <v>201</v>
      </c>
      <c r="H616" s="8" t="s">
        <v>202</v>
      </c>
      <c r="I616" s="109" t="s">
        <v>740</v>
      </c>
      <c r="J616" s="8" t="s">
        <v>212</v>
      </c>
      <c r="K616" s="14" t="b">
        <v>1</v>
      </c>
      <c r="L616" s="14" t="b">
        <v>0</v>
      </c>
      <c r="M616" s="14" t="b">
        <v>0</v>
      </c>
      <c r="N616" s="14" t="b">
        <v>1</v>
      </c>
      <c r="O616" s="14" t="b">
        <v>1</v>
      </c>
      <c r="W616" s="3"/>
    </row>
    <row r="617" spans="1:23" x14ac:dyDescent="0.25">
      <c r="A617" s="4">
        <v>23813270000117</v>
      </c>
      <c r="B617" s="8" t="s">
        <v>904</v>
      </c>
      <c r="C617" s="8" t="s">
        <v>777</v>
      </c>
      <c r="D617" s="7" t="s">
        <v>72</v>
      </c>
      <c r="E617" s="7" t="s">
        <v>215</v>
      </c>
      <c r="F617" s="6">
        <v>2</v>
      </c>
      <c r="G617" s="8" t="s">
        <v>165</v>
      </c>
      <c r="H617" s="8" t="s">
        <v>166</v>
      </c>
      <c r="I617" s="109" t="s">
        <v>557</v>
      </c>
      <c r="J617" s="8" t="s">
        <v>212</v>
      </c>
      <c r="K617" s="14" t="b">
        <v>0</v>
      </c>
      <c r="L617" s="14" t="b">
        <v>1</v>
      </c>
      <c r="M617" s="14" t="b">
        <v>1</v>
      </c>
      <c r="N617" s="14" t="b">
        <v>0</v>
      </c>
      <c r="O617" s="14" t="b">
        <v>1</v>
      </c>
      <c r="W617" s="3"/>
    </row>
    <row r="618" spans="1:23" x14ac:dyDescent="0.25">
      <c r="A618" s="4">
        <v>24464109000229</v>
      </c>
      <c r="B618" s="8" t="s">
        <v>905</v>
      </c>
      <c r="C618" s="8" t="s">
        <v>742</v>
      </c>
      <c r="D618" s="7" t="s">
        <v>91</v>
      </c>
      <c r="E618" s="7" t="s">
        <v>215</v>
      </c>
      <c r="F618" s="6">
        <v>2</v>
      </c>
      <c r="G618" s="8" t="s">
        <v>167</v>
      </c>
      <c r="H618" s="8" t="s">
        <v>168</v>
      </c>
      <c r="I618" s="109" t="s">
        <v>557</v>
      </c>
      <c r="J618" s="8" t="s">
        <v>212</v>
      </c>
      <c r="K618" s="14" t="b">
        <v>0</v>
      </c>
      <c r="L618" s="14" t="b">
        <v>1</v>
      </c>
      <c r="M618" s="14" t="b">
        <v>1</v>
      </c>
      <c r="N618" s="14" t="b">
        <v>0</v>
      </c>
      <c r="O618" s="14" t="b">
        <v>1</v>
      </c>
      <c r="W618" s="3"/>
    </row>
    <row r="619" spans="1:23" x14ac:dyDescent="0.25">
      <c r="A619" s="4">
        <v>24676884000752</v>
      </c>
      <c r="B619" s="8" t="s">
        <v>906</v>
      </c>
      <c r="C619" s="8" t="s">
        <v>907</v>
      </c>
      <c r="D619" s="7" t="s">
        <v>69</v>
      </c>
      <c r="E619" s="7" t="s">
        <v>215</v>
      </c>
      <c r="F619" s="6">
        <v>2</v>
      </c>
      <c r="G619" s="8" t="s">
        <v>187</v>
      </c>
      <c r="H619" s="8" t="s">
        <v>188</v>
      </c>
      <c r="I619" s="109" t="s">
        <v>556</v>
      </c>
      <c r="J619" s="8" t="s">
        <v>212</v>
      </c>
      <c r="K619" s="14" t="b">
        <v>1</v>
      </c>
      <c r="L619" s="14" t="b">
        <v>0</v>
      </c>
      <c r="M619" s="14" t="b">
        <v>0</v>
      </c>
      <c r="N619" s="14" t="b">
        <v>1</v>
      </c>
      <c r="O619" s="14" t="b">
        <v>1</v>
      </c>
      <c r="W619" s="3"/>
    </row>
    <row r="620" spans="1:23" x14ac:dyDescent="0.25">
      <c r="A620" s="4">
        <v>24676884000752</v>
      </c>
      <c r="B620" s="8" t="s">
        <v>906</v>
      </c>
      <c r="C620" s="8" t="s">
        <v>907</v>
      </c>
      <c r="D620" s="7" t="s">
        <v>69</v>
      </c>
      <c r="E620" s="7" t="s">
        <v>215</v>
      </c>
      <c r="F620" s="6">
        <v>2</v>
      </c>
      <c r="G620" s="8" t="s">
        <v>163</v>
      </c>
      <c r="H620" s="8" t="s">
        <v>164</v>
      </c>
      <c r="I620" s="109" t="s">
        <v>557</v>
      </c>
      <c r="J620" s="8" t="s">
        <v>212</v>
      </c>
      <c r="K620" s="14" t="b">
        <v>0</v>
      </c>
      <c r="L620" s="14" t="b">
        <v>1</v>
      </c>
      <c r="M620" s="14" t="b">
        <v>1</v>
      </c>
      <c r="N620" s="14" t="b">
        <v>0</v>
      </c>
      <c r="O620" s="14" t="b">
        <v>1</v>
      </c>
      <c r="W620" s="3"/>
    </row>
    <row r="621" spans="1:23" x14ac:dyDescent="0.25">
      <c r="A621" s="4">
        <v>27372066000169</v>
      </c>
      <c r="B621" s="8" t="s">
        <v>908</v>
      </c>
      <c r="C621" s="8" t="s">
        <v>75</v>
      </c>
      <c r="D621" s="7" t="s">
        <v>74</v>
      </c>
      <c r="E621" s="7" t="s">
        <v>215</v>
      </c>
      <c r="F621" s="6">
        <v>2</v>
      </c>
      <c r="G621" s="8" t="s">
        <v>167</v>
      </c>
      <c r="H621" s="8" t="s">
        <v>168</v>
      </c>
      <c r="I621" s="109" t="s">
        <v>557</v>
      </c>
      <c r="J621" s="8" t="s">
        <v>212</v>
      </c>
      <c r="K621" s="14" t="b">
        <v>0</v>
      </c>
      <c r="L621" s="14" t="b">
        <v>1</v>
      </c>
      <c r="M621" s="14" t="b">
        <v>1</v>
      </c>
      <c r="N621" s="14" t="b">
        <v>0</v>
      </c>
      <c r="O621" s="14" t="b">
        <v>1</v>
      </c>
      <c r="W621" s="3"/>
    </row>
    <row r="622" spans="1:23" x14ac:dyDescent="0.25">
      <c r="A622" s="4">
        <v>27456372000183</v>
      </c>
      <c r="B622" s="8" t="s">
        <v>909</v>
      </c>
      <c r="C622" s="8" t="s">
        <v>745</v>
      </c>
      <c r="D622" s="7" t="s">
        <v>59</v>
      </c>
      <c r="E622" s="7" t="s">
        <v>215</v>
      </c>
      <c r="F622" s="6">
        <v>2</v>
      </c>
      <c r="G622" s="8" t="s">
        <v>187</v>
      </c>
      <c r="H622" s="8" t="s">
        <v>188</v>
      </c>
      <c r="I622" s="109" t="s">
        <v>556</v>
      </c>
      <c r="J622" s="8" t="s">
        <v>212</v>
      </c>
      <c r="K622" s="14" t="b">
        <v>1</v>
      </c>
      <c r="L622" s="14" t="b">
        <v>0</v>
      </c>
      <c r="M622" s="14" t="b">
        <v>0</v>
      </c>
      <c r="N622" s="14" t="b">
        <v>1</v>
      </c>
      <c r="O622" s="14" t="b">
        <v>1</v>
      </c>
      <c r="W622" s="3"/>
    </row>
    <row r="623" spans="1:23" x14ac:dyDescent="0.25">
      <c r="A623" s="4">
        <v>27456372000183</v>
      </c>
      <c r="B623" s="8" t="s">
        <v>909</v>
      </c>
      <c r="C623" s="8" t="s">
        <v>745</v>
      </c>
      <c r="D623" s="7" t="s">
        <v>59</v>
      </c>
      <c r="E623" s="7" t="s">
        <v>215</v>
      </c>
      <c r="F623" s="6">
        <v>2</v>
      </c>
      <c r="G623" s="8" t="s">
        <v>163</v>
      </c>
      <c r="H623" s="8" t="s">
        <v>164</v>
      </c>
      <c r="I623" s="109" t="s">
        <v>557</v>
      </c>
      <c r="J623" s="8" t="s">
        <v>212</v>
      </c>
      <c r="K623" s="14" t="b">
        <v>0</v>
      </c>
      <c r="L623" s="14" t="b">
        <v>1</v>
      </c>
      <c r="M623" s="14" t="b">
        <v>1</v>
      </c>
      <c r="N623" s="14" t="b">
        <v>0</v>
      </c>
      <c r="O623" s="14" t="b">
        <v>1</v>
      </c>
      <c r="W623" s="3"/>
    </row>
    <row r="624" spans="1:23" x14ac:dyDescent="0.25">
      <c r="A624" s="4">
        <v>28481233000172</v>
      </c>
      <c r="B624" s="8" t="s">
        <v>910</v>
      </c>
      <c r="C624" s="8" t="s">
        <v>739</v>
      </c>
      <c r="D624" s="7" t="s">
        <v>55</v>
      </c>
      <c r="E624" s="7" t="s">
        <v>215</v>
      </c>
      <c r="F624" s="6">
        <v>2</v>
      </c>
      <c r="G624" s="8" t="s">
        <v>201</v>
      </c>
      <c r="H624" s="8" t="s">
        <v>202</v>
      </c>
      <c r="I624" s="109" t="s">
        <v>740</v>
      </c>
      <c r="J624" s="8" t="s">
        <v>212</v>
      </c>
      <c r="K624" s="14" t="b">
        <v>1</v>
      </c>
      <c r="L624" s="14" t="b">
        <v>0</v>
      </c>
      <c r="M624" s="14" t="b">
        <v>0</v>
      </c>
      <c r="N624" s="14" t="b">
        <v>1</v>
      </c>
      <c r="O624" s="14" t="b">
        <v>1</v>
      </c>
      <c r="W624" s="3"/>
    </row>
    <row r="625" spans="1:23" x14ac:dyDescent="0.25">
      <c r="A625" s="4">
        <v>28481233000172</v>
      </c>
      <c r="B625" s="8" t="s">
        <v>910</v>
      </c>
      <c r="C625" s="8" t="s">
        <v>739</v>
      </c>
      <c r="D625" s="7" t="s">
        <v>55</v>
      </c>
      <c r="E625" s="7" t="s">
        <v>215</v>
      </c>
      <c r="F625" s="6">
        <v>2</v>
      </c>
      <c r="G625" s="8" t="s">
        <v>163</v>
      </c>
      <c r="H625" s="8" t="s">
        <v>164</v>
      </c>
      <c r="I625" s="109" t="s">
        <v>557</v>
      </c>
      <c r="J625" s="8" t="s">
        <v>212</v>
      </c>
      <c r="K625" s="14" t="b">
        <v>0</v>
      </c>
      <c r="L625" s="14" t="b">
        <v>1</v>
      </c>
      <c r="M625" s="14" t="b">
        <v>1</v>
      </c>
      <c r="N625" s="14" t="b">
        <v>0</v>
      </c>
      <c r="O625" s="14" t="b">
        <v>1</v>
      </c>
      <c r="W625" s="3"/>
    </row>
    <row r="626" spans="1:23" x14ac:dyDescent="0.25">
      <c r="A626" s="4">
        <v>29435005004620</v>
      </c>
      <c r="B626" s="8" t="s">
        <v>911</v>
      </c>
      <c r="C626" s="8" t="s">
        <v>739</v>
      </c>
      <c r="D626" s="7" t="s">
        <v>55</v>
      </c>
      <c r="E626" s="7" t="s">
        <v>215</v>
      </c>
      <c r="F626" s="6">
        <v>2</v>
      </c>
      <c r="G626" s="8" t="s">
        <v>163</v>
      </c>
      <c r="H626" s="8" t="s">
        <v>164</v>
      </c>
      <c r="I626" s="109" t="s">
        <v>557</v>
      </c>
      <c r="J626" s="8" t="s">
        <v>212</v>
      </c>
      <c r="K626" s="14" t="b">
        <v>0</v>
      </c>
      <c r="L626" s="14" t="b">
        <v>1</v>
      </c>
      <c r="M626" s="14" t="b">
        <v>1</v>
      </c>
      <c r="N626" s="14" t="b">
        <v>0</v>
      </c>
      <c r="O626" s="14" t="b">
        <v>1</v>
      </c>
      <c r="W626" s="3"/>
    </row>
    <row r="627" spans="1:23" x14ac:dyDescent="0.25">
      <c r="A627" s="4">
        <v>29435005004620</v>
      </c>
      <c r="B627" s="8" t="s">
        <v>911</v>
      </c>
      <c r="C627" s="8" t="s">
        <v>739</v>
      </c>
      <c r="D627" s="7" t="s">
        <v>55</v>
      </c>
      <c r="E627" s="7" t="s">
        <v>215</v>
      </c>
      <c r="F627" s="6">
        <v>2</v>
      </c>
      <c r="G627" s="8" t="s">
        <v>201</v>
      </c>
      <c r="H627" s="8" t="s">
        <v>202</v>
      </c>
      <c r="I627" s="109" t="s">
        <v>740</v>
      </c>
      <c r="J627" s="8" t="s">
        <v>212</v>
      </c>
      <c r="K627" s="14" t="b">
        <v>1</v>
      </c>
      <c r="L627" s="14" t="b">
        <v>0</v>
      </c>
      <c r="M627" s="14" t="b">
        <v>0</v>
      </c>
      <c r="N627" s="14" t="b">
        <v>1</v>
      </c>
      <c r="O627" s="14" t="b">
        <v>1</v>
      </c>
      <c r="W627" s="3"/>
    </row>
    <row r="628" spans="1:23" x14ac:dyDescent="0.25">
      <c r="A628" s="4">
        <v>29435005007484</v>
      </c>
      <c r="B628" s="8" t="s">
        <v>912</v>
      </c>
      <c r="C628" s="8" t="s">
        <v>76</v>
      </c>
      <c r="D628" s="7" t="s">
        <v>77</v>
      </c>
      <c r="E628" s="7" t="s">
        <v>215</v>
      </c>
      <c r="F628" s="6">
        <v>2</v>
      </c>
      <c r="G628" s="8" t="s">
        <v>165</v>
      </c>
      <c r="H628" s="8" t="s">
        <v>166</v>
      </c>
      <c r="I628" s="109" t="s">
        <v>557</v>
      </c>
      <c r="J628" s="8" t="s">
        <v>212</v>
      </c>
      <c r="K628" s="14" t="b">
        <v>0</v>
      </c>
      <c r="L628" s="14" t="b">
        <v>1</v>
      </c>
      <c r="M628" s="14" t="b">
        <v>1</v>
      </c>
      <c r="N628" s="14" t="b">
        <v>0</v>
      </c>
      <c r="O628" s="14" t="b">
        <v>1</v>
      </c>
      <c r="W628" s="3"/>
    </row>
    <row r="629" spans="1:23" x14ac:dyDescent="0.25">
      <c r="A629" s="4">
        <v>29435005009851</v>
      </c>
      <c r="B629" s="8" t="s">
        <v>913</v>
      </c>
      <c r="C629" s="8" t="s">
        <v>62</v>
      </c>
      <c r="D629" s="7" t="s">
        <v>63</v>
      </c>
      <c r="E629" s="7" t="s">
        <v>215</v>
      </c>
      <c r="F629" s="6">
        <v>2</v>
      </c>
      <c r="G629" s="8" t="s">
        <v>169</v>
      </c>
      <c r="H629" s="8" t="s">
        <v>170</v>
      </c>
      <c r="I629" s="109" t="s">
        <v>557</v>
      </c>
      <c r="J629" s="8" t="s">
        <v>212</v>
      </c>
      <c r="K629" s="14" t="b">
        <v>0</v>
      </c>
      <c r="L629" s="14" t="b">
        <v>1</v>
      </c>
      <c r="M629" s="14" t="b">
        <v>1</v>
      </c>
      <c r="N629" s="14" t="b">
        <v>0</v>
      </c>
      <c r="O629" s="14" t="b">
        <v>1</v>
      </c>
      <c r="W629" s="3"/>
    </row>
    <row r="630" spans="1:23" x14ac:dyDescent="0.25">
      <c r="A630" s="4">
        <v>30135335000188</v>
      </c>
      <c r="B630" s="8" t="s">
        <v>914</v>
      </c>
      <c r="C630" s="8" t="s">
        <v>739</v>
      </c>
      <c r="D630" s="7" t="s">
        <v>55</v>
      </c>
      <c r="E630" s="7" t="s">
        <v>215</v>
      </c>
      <c r="F630" s="6">
        <v>2</v>
      </c>
      <c r="G630" s="8" t="s">
        <v>163</v>
      </c>
      <c r="H630" s="8" t="s">
        <v>164</v>
      </c>
      <c r="I630" s="109" t="s">
        <v>557</v>
      </c>
      <c r="J630" s="8" t="s">
        <v>212</v>
      </c>
      <c r="K630" s="14" t="b">
        <v>0</v>
      </c>
      <c r="L630" s="14" t="b">
        <v>1</v>
      </c>
      <c r="M630" s="14" t="b">
        <v>1</v>
      </c>
      <c r="N630" s="14" t="b">
        <v>0</v>
      </c>
      <c r="O630" s="14" t="b">
        <v>1</v>
      </c>
      <c r="W630" s="3"/>
    </row>
    <row r="631" spans="1:23" x14ac:dyDescent="0.25">
      <c r="A631" s="4">
        <v>30135335000188</v>
      </c>
      <c r="B631" s="8" t="s">
        <v>914</v>
      </c>
      <c r="C631" s="8" t="s">
        <v>739</v>
      </c>
      <c r="D631" s="7" t="s">
        <v>55</v>
      </c>
      <c r="E631" s="7" t="s">
        <v>215</v>
      </c>
      <c r="F631" s="6">
        <v>2</v>
      </c>
      <c r="G631" s="8" t="s">
        <v>201</v>
      </c>
      <c r="H631" s="8" t="s">
        <v>202</v>
      </c>
      <c r="I631" s="109" t="s">
        <v>740</v>
      </c>
      <c r="J631" s="8" t="s">
        <v>212</v>
      </c>
      <c r="K631" s="14" t="b">
        <v>1</v>
      </c>
      <c r="L631" s="14" t="b">
        <v>0</v>
      </c>
      <c r="M631" s="14" t="b">
        <v>0</v>
      </c>
      <c r="N631" s="14" t="b">
        <v>1</v>
      </c>
      <c r="O631" s="14" t="b">
        <v>1</v>
      </c>
      <c r="W631" s="3"/>
    </row>
    <row r="632" spans="1:23" x14ac:dyDescent="0.25">
      <c r="A632" s="4">
        <v>33000167002155</v>
      </c>
      <c r="B632" s="8" t="s">
        <v>915</v>
      </c>
      <c r="C632" s="8" t="s">
        <v>128</v>
      </c>
      <c r="D632" s="7" t="s">
        <v>59</v>
      </c>
      <c r="E632" s="7" t="s">
        <v>215</v>
      </c>
      <c r="F632" s="6">
        <v>2</v>
      </c>
      <c r="G632" s="8" t="s">
        <v>163</v>
      </c>
      <c r="H632" s="8" t="s">
        <v>164</v>
      </c>
      <c r="I632" s="109" t="s">
        <v>557</v>
      </c>
      <c r="J632" s="8" t="s">
        <v>212</v>
      </c>
      <c r="K632" s="14" t="b">
        <v>0</v>
      </c>
      <c r="L632" s="14" t="b">
        <v>1</v>
      </c>
      <c r="M632" s="14" t="b">
        <v>1</v>
      </c>
      <c r="N632" s="14" t="b">
        <v>0</v>
      </c>
      <c r="O632" s="14" t="b">
        <v>1</v>
      </c>
      <c r="W632" s="3"/>
    </row>
    <row r="633" spans="1:23" x14ac:dyDescent="0.25">
      <c r="A633" s="4">
        <v>33000167002155</v>
      </c>
      <c r="B633" s="8" t="s">
        <v>915</v>
      </c>
      <c r="C633" s="8" t="s">
        <v>128</v>
      </c>
      <c r="D633" s="7" t="s">
        <v>59</v>
      </c>
      <c r="E633" s="7" t="s">
        <v>215</v>
      </c>
      <c r="F633" s="6">
        <v>2</v>
      </c>
      <c r="G633" s="8" t="s">
        <v>187</v>
      </c>
      <c r="H633" s="8" t="s">
        <v>188</v>
      </c>
      <c r="I633" s="109" t="s">
        <v>556</v>
      </c>
      <c r="J633" s="8" t="s">
        <v>212</v>
      </c>
      <c r="K633" s="14" t="b">
        <v>1</v>
      </c>
      <c r="L633" s="14" t="b">
        <v>0</v>
      </c>
      <c r="M633" s="14" t="b">
        <v>0</v>
      </c>
      <c r="N633" s="14" t="b">
        <v>1</v>
      </c>
      <c r="O633" s="14" t="b">
        <v>1</v>
      </c>
      <c r="W633" s="3"/>
    </row>
    <row r="634" spans="1:23" x14ac:dyDescent="0.25">
      <c r="A634" s="4">
        <v>37108388000159</v>
      </c>
      <c r="B634" s="8" t="s">
        <v>916</v>
      </c>
      <c r="C634" s="8" t="s">
        <v>739</v>
      </c>
      <c r="D634" s="7" t="s">
        <v>55</v>
      </c>
      <c r="E634" s="7" t="s">
        <v>215</v>
      </c>
      <c r="F634" s="6">
        <v>2</v>
      </c>
      <c r="G634" s="8" t="s">
        <v>163</v>
      </c>
      <c r="H634" s="8" t="s">
        <v>164</v>
      </c>
      <c r="I634" s="109" t="s">
        <v>557</v>
      </c>
      <c r="J634" s="8" t="s">
        <v>212</v>
      </c>
      <c r="K634" s="14" t="b">
        <v>0</v>
      </c>
      <c r="L634" s="14" t="b">
        <v>1</v>
      </c>
      <c r="M634" s="14" t="b">
        <v>1</v>
      </c>
      <c r="N634" s="14" t="b">
        <v>0</v>
      </c>
      <c r="O634" s="14" t="b">
        <v>1</v>
      </c>
      <c r="W634" s="3"/>
    </row>
    <row r="635" spans="1:23" x14ac:dyDescent="0.25">
      <c r="A635" s="4">
        <v>37108388000159</v>
      </c>
      <c r="B635" s="8" t="s">
        <v>916</v>
      </c>
      <c r="C635" s="8" t="s">
        <v>739</v>
      </c>
      <c r="D635" s="7" t="s">
        <v>55</v>
      </c>
      <c r="E635" s="7" t="s">
        <v>215</v>
      </c>
      <c r="F635" s="6">
        <v>2</v>
      </c>
      <c r="G635" s="8" t="s">
        <v>201</v>
      </c>
      <c r="H635" s="8" t="s">
        <v>202</v>
      </c>
      <c r="I635" s="109" t="s">
        <v>740</v>
      </c>
      <c r="J635" s="8" t="s">
        <v>212</v>
      </c>
      <c r="K635" s="14" t="b">
        <v>1</v>
      </c>
      <c r="L635" s="14" t="b">
        <v>0</v>
      </c>
      <c r="M635" s="14" t="b">
        <v>0</v>
      </c>
      <c r="N635" s="14" t="b">
        <v>1</v>
      </c>
      <c r="O635" s="14" t="b">
        <v>1</v>
      </c>
      <c r="W635" s="3"/>
    </row>
    <row r="636" spans="1:23" x14ac:dyDescent="0.25">
      <c r="A636" s="4">
        <v>38000485000196</v>
      </c>
      <c r="B636" s="8" t="s">
        <v>917</v>
      </c>
      <c r="C636" s="8" t="s">
        <v>739</v>
      </c>
      <c r="D636" s="7" t="s">
        <v>55</v>
      </c>
      <c r="E636" s="7" t="s">
        <v>215</v>
      </c>
      <c r="F636" s="6">
        <v>2</v>
      </c>
      <c r="G636" s="8" t="s">
        <v>201</v>
      </c>
      <c r="H636" s="8" t="s">
        <v>202</v>
      </c>
      <c r="I636" s="109" t="s">
        <v>740</v>
      </c>
      <c r="J636" s="8" t="s">
        <v>212</v>
      </c>
      <c r="K636" s="14" t="b">
        <v>1</v>
      </c>
      <c r="L636" s="14" t="b">
        <v>0</v>
      </c>
      <c r="M636" s="14" t="b">
        <v>0</v>
      </c>
      <c r="N636" s="14" t="b">
        <v>1</v>
      </c>
      <c r="O636" s="14" t="b">
        <v>1</v>
      </c>
      <c r="W636" s="3"/>
    </row>
    <row r="637" spans="1:23" x14ac:dyDescent="0.25">
      <c r="A637" s="4">
        <v>38000485000196</v>
      </c>
      <c r="B637" s="8" t="s">
        <v>917</v>
      </c>
      <c r="C637" s="8" t="s">
        <v>739</v>
      </c>
      <c r="D637" s="7" t="s">
        <v>55</v>
      </c>
      <c r="E637" s="7" t="s">
        <v>215</v>
      </c>
      <c r="F637" s="6">
        <v>2</v>
      </c>
      <c r="G637" s="8" t="s">
        <v>163</v>
      </c>
      <c r="H637" s="8" t="s">
        <v>164</v>
      </c>
      <c r="I637" s="109" t="s">
        <v>557</v>
      </c>
      <c r="J637" s="8" t="s">
        <v>212</v>
      </c>
      <c r="K637" s="14" t="b">
        <v>0</v>
      </c>
      <c r="L637" s="14" t="b">
        <v>1</v>
      </c>
      <c r="M637" s="14" t="b">
        <v>1</v>
      </c>
      <c r="N637" s="14" t="b">
        <v>0</v>
      </c>
      <c r="O637" s="14" t="b">
        <v>1</v>
      </c>
      <c r="W637" s="3"/>
    </row>
    <row r="638" spans="1:23" x14ac:dyDescent="0.25">
      <c r="A638" s="4">
        <v>41580077000165</v>
      </c>
      <c r="B638" s="8" t="s">
        <v>918</v>
      </c>
      <c r="C638" s="8" t="s">
        <v>76</v>
      </c>
      <c r="D638" s="7" t="s">
        <v>77</v>
      </c>
      <c r="E638" s="7" t="s">
        <v>215</v>
      </c>
      <c r="F638" s="6">
        <v>2</v>
      </c>
      <c r="G638" s="8" t="s">
        <v>165</v>
      </c>
      <c r="H638" s="8" t="s">
        <v>166</v>
      </c>
      <c r="I638" s="109" t="s">
        <v>557</v>
      </c>
      <c r="J638" s="8" t="s">
        <v>212</v>
      </c>
      <c r="K638" s="14" t="b">
        <v>0</v>
      </c>
      <c r="L638" s="14" t="b">
        <v>1</v>
      </c>
      <c r="M638" s="14" t="b">
        <v>1</v>
      </c>
      <c r="N638" s="14" t="b">
        <v>0</v>
      </c>
      <c r="O638" s="14" t="b">
        <v>1</v>
      </c>
      <c r="W638" s="3"/>
    </row>
    <row r="639" spans="1:23" x14ac:dyDescent="0.25">
      <c r="A639" s="4">
        <v>60884855001983</v>
      </c>
      <c r="B639" s="8" t="s">
        <v>919</v>
      </c>
      <c r="C639" s="8" t="s">
        <v>739</v>
      </c>
      <c r="D639" s="7" t="s">
        <v>55</v>
      </c>
      <c r="E639" s="7" t="s">
        <v>215</v>
      </c>
      <c r="F639" s="6">
        <v>2</v>
      </c>
      <c r="G639" s="8" t="s">
        <v>201</v>
      </c>
      <c r="H639" s="8" t="s">
        <v>202</v>
      </c>
      <c r="I639" s="109" t="s">
        <v>740</v>
      </c>
      <c r="J639" s="8" t="s">
        <v>212</v>
      </c>
      <c r="K639" s="14" t="b">
        <v>1</v>
      </c>
      <c r="L639" s="14" t="b">
        <v>0</v>
      </c>
      <c r="M639" s="14" t="b">
        <v>0</v>
      </c>
      <c r="N639" s="14" t="b">
        <v>1</v>
      </c>
      <c r="O639" s="14" t="b">
        <v>1</v>
      </c>
      <c r="W639" s="3"/>
    </row>
    <row r="640" spans="1:23" x14ac:dyDescent="0.25">
      <c r="A640" s="4">
        <v>60884855001983</v>
      </c>
      <c r="B640" s="8" t="s">
        <v>919</v>
      </c>
      <c r="C640" s="8" t="s">
        <v>739</v>
      </c>
      <c r="D640" s="7" t="s">
        <v>55</v>
      </c>
      <c r="E640" s="7" t="s">
        <v>215</v>
      </c>
      <c r="F640" s="6">
        <v>2</v>
      </c>
      <c r="G640" s="8" t="s">
        <v>163</v>
      </c>
      <c r="H640" s="8" t="s">
        <v>164</v>
      </c>
      <c r="I640" s="109" t="s">
        <v>557</v>
      </c>
      <c r="J640" s="8" t="s">
        <v>212</v>
      </c>
      <c r="K640" s="14" t="b">
        <v>0</v>
      </c>
      <c r="L640" s="14" t="b">
        <v>1</v>
      </c>
      <c r="M640" s="14" t="b">
        <v>1</v>
      </c>
      <c r="N640" s="14" t="b">
        <v>0</v>
      </c>
      <c r="O640" s="14" t="b">
        <v>1</v>
      </c>
      <c r="W640" s="3"/>
    </row>
    <row r="641" spans="1:23" x14ac:dyDescent="0.25">
      <c r="A641" s="4">
        <v>60884855002289</v>
      </c>
      <c r="B641" s="8" t="s">
        <v>920</v>
      </c>
      <c r="C641" s="8" t="s">
        <v>739</v>
      </c>
      <c r="D641" s="7" t="s">
        <v>55</v>
      </c>
      <c r="E641" s="7" t="s">
        <v>215</v>
      </c>
      <c r="F641" s="6">
        <v>2</v>
      </c>
      <c r="G641" s="8" t="s">
        <v>163</v>
      </c>
      <c r="H641" s="8" t="s">
        <v>164</v>
      </c>
      <c r="I641" s="109" t="s">
        <v>557</v>
      </c>
      <c r="J641" s="8" t="s">
        <v>212</v>
      </c>
      <c r="K641" s="14" t="b">
        <v>0</v>
      </c>
      <c r="L641" s="14" t="b">
        <v>1</v>
      </c>
      <c r="M641" s="14" t="b">
        <v>1</v>
      </c>
      <c r="N641" s="14" t="b">
        <v>0</v>
      </c>
      <c r="O641" s="14" t="b">
        <v>1</v>
      </c>
      <c r="W641" s="3"/>
    </row>
    <row r="642" spans="1:23" x14ac:dyDescent="0.25">
      <c r="A642" s="4">
        <v>60884855002289</v>
      </c>
      <c r="B642" s="8" t="s">
        <v>920</v>
      </c>
      <c r="C642" s="8" t="s">
        <v>739</v>
      </c>
      <c r="D642" s="7" t="s">
        <v>55</v>
      </c>
      <c r="E642" s="7" t="s">
        <v>215</v>
      </c>
      <c r="F642" s="6">
        <v>2</v>
      </c>
      <c r="G642" s="8" t="s">
        <v>201</v>
      </c>
      <c r="H642" s="8" t="s">
        <v>202</v>
      </c>
      <c r="I642" s="109" t="s">
        <v>740</v>
      </c>
      <c r="J642" s="8" t="s">
        <v>212</v>
      </c>
      <c r="K642" s="14" t="b">
        <v>1</v>
      </c>
      <c r="L642" s="14" t="b">
        <v>0</v>
      </c>
      <c r="M642" s="14" t="b">
        <v>0</v>
      </c>
      <c r="N642" s="14" t="b">
        <v>1</v>
      </c>
      <c r="O642" s="14" t="b">
        <v>1</v>
      </c>
      <c r="W642" s="3"/>
    </row>
    <row r="643" spans="1:23" x14ac:dyDescent="0.25">
      <c r="A643" s="4">
        <v>60975737003509</v>
      </c>
      <c r="B643" s="8" t="s">
        <v>921</v>
      </c>
      <c r="C643" s="8" t="s">
        <v>76</v>
      </c>
      <c r="D643" s="7" t="s">
        <v>77</v>
      </c>
      <c r="E643" s="7" t="s">
        <v>215</v>
      </c>
      <c r="F643" s="6">
        <v>2</v>
      </c>
      <c r="G643" s="8" t="s">
        <v>165</v>
      </c>
      <c r="H643" s="8" t="s">
        <v>166</v>
      </c>
      <c r="I643" s="109" t="s">
        <v>557</v>
      </c>
      <c r="J643" s="8" t="s">
        <v>212</v>
      </c>
      <c r="K643" s="14" t="b">
        <v>0</v>
      </c>
      <c r="L643" s="14" t="b">
        <v>1</v>
      </c>
      <c r="M643" s="14" t="b">
        <v>1</v>
      </c>
      <c r="N643" s="14" t="b">
        <v>0</v>
      </c>
      <c r="O643" s="14" t="b">
        <v>1</v>
      </c>
      <c r="W643" s="3"/>
    </row>
    <row r="644" spans="1:23" x14ac:dyDescent="0.25">
      <c r="A644" s="4">
        <v>61590410000558</v>
      </c>
      <c r="B644" s="8" t="s">
        <v>922</v>
      </c>
      <c r="C644" s="8" t="s">
        <v>739</v>
      </c>
      <c r="D644" s="7" t="s">
        <v>55</v>
      </c>
      <c r="E644" s="7" t="s">
        <v>215</v>
      </c>
      <c r="F644" s="6">
        <v>2</v>
      </c>
      <c r="G644" s="8" t="s">
        <v>201</v>
      </c>
      <c r="H644" s="8" t="s">
        <v>202</v>
      </c>
      <c r="I644" s="109" t="s">
        <v>740</v>
      </c>
      <c r="J644" s="8" t="s">
        <v>212</v>
      </c>
      <c r="K644" s="14" t="b">
        <v>1</v>
      </c>
      <c r="L644" s="14" t="b">
        <v>0</v>
      </c>
      <c r="M644" s="14" t="b">
        <v>0</v>
      </c>
      <c r="N644" s="14" t="b">
        <v>1</v>
      </c>
      <c r="O644" s="14" t="b">
        <v>1</v>
      </c>
      <c r="W644" s="3"/>
    </row>
    <row r="645" spans="1:23" x14ac:dyDescent="0.25">
      <c r="A645" s="4">
        <v>61590410000558</v>
      </c>
      <c r="B645" s="8" t="s">
        <v>922</v>
      </c>
      <c r="C645" s="8" t="s">
        <v>739</v>
      </c>
      <c r="D645" s="7" t="s">
        <v>55</v>
      </c>
      <c r="E645" s="7" t="s">
        <v>215</v>
      </c>
      <c r="F645" s="6">
        <v>2</v>
      </c>
      <c r="G645" s="8" t="s">
        <v>163</v>
      </c>
      <c r="H645" s="8" t="s">
        <v>164</v>
      </c>
      <c r="I645" s="109" t="s">
        <v>557</v>
      </c>
      <c r="J645" s="8" t="s">
        <v>212</v>
      </c>
      <c r="K645" s="14" t="b">
        <v>0</v>
      </c>
      <c r="L645" s="14" t="b">
        <v>1</v>
      </c>
      <c r="M645" s="14" t="b">
        <v>1</v>
      </c>
      <c r="N645" s="14" t="b">
        <v>0</v>
      </c>
      <c r="O645" s="14" t="b">
        <v>1</v>
      </c>
      <c r="W645" s="3"/>
    </row>
    <row r="646" spans="1:23" x14ac:dyDescent="0.25">
      <c r="A646" s="4">
        <v>61590410001287</v>
      </c>
      <c r="B646" s="8" t="s">
        <v>923</v>
      </c>
      <c r="C646" s="8" t="s">
        <v>739</v>
      </c>
      <c r="D646" s="7" t="s">
        <v>55</v>
      </c>
      <c r="E646" s="7" t="s">
        <v>215</v>
      </c>
      <c r="F646" s="6">
        <v>2</v>
      </c>
      <c r="G646" s="8" t="s">
        <v>163</v>
      </c>
      <c r="H646" s="8" t="s">
        <v>164</v>
      </c>
      <c r="I646" s="109" t="s">
        <v>557</v>
      </c>
      <c r="J646" s="8" t="s">
        <v>212</v>
      </c>
      <c r="K646" s="14" t="b">
        <v>0</v>
      </c>
      <c r="L646" s="14" t="b">
        <v>1</v>
      </c>
      <c r="M646" s="14" t="b">
        <v>1</v>
      </c>
      <c r="N646" s="14" t="b">
        <v>0</v>
      </c>
      <c r="O646" s="14" t="b">
        <v>1</v>
      </c>
      <c r="W646" s="3"/>
    </row>
    <row r="647" spans="1:23" x14ac:dyDescent="0.25">
      <c r="A647" s="4">
        <v>61590410001287</v>
      </c>
      <c r="B647" s="8" t="s">
        <v>923</v>
      </c>
      <c r="C647" s="8" t="s">
        <v>739</v>
      </c>
      <c r="D647" s="7" t="s">
        <v>55</v>
      </c>
      <c r="E647" s="7" t="s">
        <v>215</v>
      </c>
      <c r="F647" s="6">
        <v>2</v>
      </c>
      <c r="G647" s="8" t="s">
        <v>201</v>
      </c>
      <c r="H647" s="8" t="s">
        <v>202</v>
      </c>
      <c r="I647" s="109" t="s">
        <v>740</v>
      </c>
      <c r="J647" s="8" t="s">
        <v>212</v>
      </c>
      <c r="K647" s="14" t="b">
        <v>1</v>
      </c>
      <c r="L647" s="14" t="b">
        <v>0</v>
      </c>
      <c r="M647" s="14" t="b">
        <v>0</v>
      </c>
      <c r="N647" s="14" t="b">
        <v>1</v>
      </c>
      <c r="O647" s="14" t="b">
        <v>1</v>
      </c>
      <c r="W647" s="3"/>
    </row>
    <row r="648" spans="1:23" x14ac:dyDescent="0.25">
      <c r="A648" s="4">
        <v>63326243000487</v>
      </c>
      <c r="B648" s="8" t="s">
        <v>924</v>
      </c>
      <c r="C648" s="8" t="s">
        <v>81</v>
      </c>
      <c r="D648" s="7" t="s">
        <v>82</v>
      </c>
      <c r="E648" s="7" t="s">
        <v>215</v>
      </c>
      <c r="F648" s="6">
        <v>2</v>
      </c>
      <c r="G648" s="8" t="s">
        <v>165</v>
      </c>
      <c r="H648" s="8" t="s">
        <v>166</v>
      </c>
      <c r="I648" s="109" t="s">
        <v>557</v>
      </c>
      <c r="J648" s="8" t="s">
        <v>212</v>
      </c>
      <c r="K648" s="14" t="b">
        <v>0</v>
      </c>
      <c r="L648" s="14" t="b">
        <v>1</v>
      </c>
      <c r="M648" s="14" t="b">
        <v>1</v>
      </c>
      <c r="N648" s="14" t="b">
        <v>0</v>
      </c>
      <c r="O648" s="14" t="b">
        <v>1</v>
      </c>
      <c r="W648" s="3"/>
    </row>
    <row r="649" spans="1:23" x14ac:dyDescent="0.25">
      <c r="A649" s="4">
        <v>70524145000177</v>
      </c>
      <c r="B649" s="8" t="s">
        <v>925</v>
      </c>
      <c r="C649" s="8" t="s">
        <v>772</v>
      </c>
      <c r="D649" s="7" t="s">
        <v>69</v>
      </c>
      <c r="E649" s="7" t="s">
        <v>215</v>
      </c>
      <c r="F649" s="6">
        <v>2</v>
      </c>
      <c r="G649" s="8" t="s">
        <v>187</v>
      </c>
      <c r="H649" s="8" t="s">
        <v>188</v>
      </c>
      <c r="I649" s="109" t="s">
        <v>556</v>
      </c>
      <c r="J649" s="8" t="s">
        <v>212</v>
      </c>
      <c r="K649" s="14" t="b">
        <v>1</v>
      </c>
      <c r="L649" s="14" t="b">
        <v>0</v>
      </c>
      <c r="M649" s="14" t="b">
        <v>0</v>
      </c>
      <c r="N649" s="14" t="b">
        <v>1</v>
      </c>
      <c r="O649" s="14" t="b">
        <v>1</v>
      </c>
      <c r="W649" s="3"/>
    </row>
    <row r="650" spans="1:23" x14ac:dyDescent="0.25">
      <c r="A650" s="4">
        <v>70524145000177</v>
      </c>
      <c r="B650" s="8" t="s">
        <v>925</v>
      </c>
      <c r="C650" s="8" t="s">
        <v>772</v>
      </c>
      <c r="D650" s="7" t="s">
        <v>69</v>
      </c>
      <c r="E650" s="7" t="s">
        <v>215</v>
      </c>
      <c r="F650" s="6">
        <v>2</v>
      </c>
      <c r="G650" s="8" t="s">
        <v>163</v>
      </c>
      <c r="H650" s="8" t="s">
        <v>164</v>
      </c>
      <c r="I650" s="109" t="s">
        <v>557</v>
      </c>
      <c r="J650" s="8" t="s">
        <v>212</v>
      </c>
      <c r="K650" s="14" t="b">
        <v>0</v>
      </c>
      <c r="L650" s="14" t="b">
        <v>1</v>
      </c>
      <c r="M650" s="14" t="b">
        <v>1</v>
      </c>
      <c r="N650" s="14" t="b">
        <v>0</v>
      </c>
      <c r="O650" s="14" t="b">
        <v>1</v>
      </c>
      <c r="W650" s="3"/>
    </row>
    <row r="651" spans="1:23" x14ac:dyDescent="0.25">
      <c r="A651" s="4">
        <v>72576143000157</v>
      </c>
      <c r="B651" s="8" t="s">
        <v>1235</v>
      </c>
      <c r="C651" s="8" t="s">
        <v>739</v>
      </c>
      <c r="D651" s="7" t="s">
        <v>55</v>
      </c>
      <c r="E651" s="7" t="s">
        <v>215</v>
      </c>
      <c r="F651" s="6">
        <v>2</v>
      </c>
      <c r="G651" s="8" t="s">
        <v>201</v>
      </c>
      <c r="H651" s="8" t="s">
        <v>202</v>
      </c>
      <c r="I651" s="109" t="s">
        <v>740</v>
      </c>
      <c r="J651" s="8" t="s">
        <v>212</v>
      </c>
      <c r="K651" s="14" t="b">
        <v>1</v>
      </c>
      <c r="L651" s="14" t="b">
        <v>0</v>
      </c>
      <c r="M651" s="14" t="b">
        <v>0</v>
      </c>
      <c r="N651" s="14" t="b">
        <v>1</v>
      </c>
      <c r="O651" s="14" t="b">
        <v>1</v>
      </c>
      <c r="W651" s="3"/>
    </row>
    <row r="652" spans="1:23" x14ac:dyDescent="0.25">
      <c r="A652" s="4">
        <v>72576143000157</v>
      </c>
      <c r="B652" s="8" t="s">
        <v>1235</v>
      </c>
      <c r="C652" s="8" t="s">
        <v>739</v>
      </c>
      <c r="D652" s="7" t="s">
        <v>55</v>
      </c>
      <c r="E652" s="7" t="s">
        <v>215</v>
      </c>
      <c r="F652" s="6">
        <v>2</v>
      </c>
      <c r="G652" s="8" t="s">
        <v>163</v>
      </c>
      <c r="H652" s="8" t="s">
        <v>164</v>
      </c>
      <c r="I652" s="109" t="s">
        <v>557</v>
      </c>
      <c r="J652" s="8" t="s">
        <v>212</v>
      </c>
      <c r="K652" s="14" t="b">
        <v>0</v>
      </c>
      <c r="L652" s="14" t="b">
        <v>1</v>
      </c>
      <c r="M652" s="14" t="b">
        <v>1</v>
      </c>
      <c r="N652" s="14" t="b">
        <v>0</v>
      </c>
      <c r="O652" s="14" t="b">
        <v>1</v>
      </c>
      <c r="W652" s="3"/>
    </row>
    <row r="653" spans="1:23" x14ac:dyDescent="0.25">
      <c r="A653" s="4">
        <v>74031865000151</v>
      </c>
      <c r="B653" s="8" t="s">
        <v>926</v>
      </c>
      <c r="C653" s="8" t="s">
        <v>76</v>
      </c>
      <c r="D653" s="7" t="s">
        <v>77</v>
      </c>
      <c r="E653" s="7" t="s">
        <v>215</v>
      </c>
      <c r="F653" s="6">
        <v>2</v>
      </c>
      <c r="G653" s="8" t="s">
        <v>165</v>
      </c>
      <c r="H653" s="8" t="s">
        <v>166</v>
      </c>
      <c r="I653" s="109" t="s">
        <v>557</v>
      </c>
      <c r="J653" s="8" t="s">
        <v>212</v>
      </c>
      <c r="K653" s="14" t="b">
        <v>0</v>
      </c>
      <c r="L653" s="14" t="b">
        <v>1</v>
      </c>
      <c r="M653" s="14" t="b">
        <v>1</v>
      </c>
      <c r="N653" s="14" t="b">
        <v>0</v>
      </c>
      <c r="O653" s="14" t="b">
        <v>1</v>
      </c>
      <c r="W653" s="3"/>
    </row>
    <row r="654" spans="1:23" x14ac:dyDescent="0.25">
      <c r="A654" s="4">
        <v>92898550000600</v>
      </c>
      <c r="B654" s="8" t="s">
        <v>927</v>
      </c>
      <c r="C654" s="8" t="s">
        <v>739</v>
      </c>
      <c r="D654" s="7" t="s">
        <v>55</v>
      </c>
      <c r="E654" s="7" t="s">
        <v>215</v>
      </c>
      <c r="F654" s="6">
        <v>2</v>
      </c>
      <c r="G654" s="8" t="s">
        <v>163</v>
      </c>
      <c r="H654" s="8" t="s">
        <v>164</v>
      </c>
      <c r="I654" s="109" t="s">
        <v>557</v>
      </c>
      <c r="J654" s="8" t="s">
        <v>212</v>
      </c>
      <c r="K654" s="14" t="b">
        <v>0</v>
      </c>
      <c r="L654" s="14" t="b">
        <v>1</v>
      </c>
      <c r="M654" s="14" t="b">
        <v>1</v>
      </c>
      <c r="N654" s="14" t="b">
        <v>0</v>
      </c>
      <c r="O654" s="14" t="b">
        <v>1</v>
      </c>
      <c r="W654" s="3"/>
    </row>
    <row r="655" spans="1:23" x14ac:dyDescent="0.25">
      <c r="A655" s="4">
        <v>92898550000600</v>
      </c>
      <c r="B655" s="8" t="s">
        <v>927</v>
      </c>
      <c r="C655" s="8" t="s">
        <v>739</v>
      </c>
      <c r="D655" s="7" t="s">
        <v>55</v>
      </c>
      <c r="E655" s="7" t="s">
        <v>215</v>
      </c>
      <c r="F655" s="6">
        <v>2</v>
      </c>
      <c r="G655" s="8" t="s">
        <v>201</v>
      </c>
      <c r="H655" s="8" t="s">
        <v>202</v>
      </c>
      <c r="I655" s="109" t="s">
        <v>740</v>
      </c>
      <c r="J655" s="8" t="s">
        <v>212</v>
      </c>
      <c r="K655" s="14" t="b">
        <v>1</v>
      </c>
      <c r="L655" s="14" t="b">
        <v>0</v>
      </c>
      <c r="M655" s="14" t="b">
        <v>0</v>
      </c>
      <c r="N655" s="14" t="b">
        <v>1</v>
      </c>
      <c r="O655" s="14" t="b">
        <v>1</v>
      </c>
      <c r="W655" s="3"/>
    </row>
    <row r="656" spans="1:23" x14ac:dyDescent="0.25">
      <c r="A656" s="4">
        <v>97397848000138</v>
      </c>
      <c r="B656" s="8" t="s">
        <v>928</v>
      </c>
      <c r="C656" s="8" t="s">
        <v>75</v>
      </c>
      <c r="D656" s="7" t="s">
        <v>74</v>
      </c>
      <c r="E656" s="7" t="s">
        <v>215</v>
      </c>
      <c r="F656" s="6">
        <v>2</v>
      </c>
      <c r="G656" s="8" t="s">
        <v>167</v>
      </c>
      <c r="H656" s="8" t="s">
        <v>168</v>
      </c>
      <c r="I656" s="109" t="s">
        <v>557</v>
      </c>
      <c r="J656" s="8" t="s">
        <v>212</v>
      </c>
      <c r="K656" s="14" t="b">
        <v>0</v>
      </c>
      <c r="L656" s="14" t="b">
        <v>1</v>
      </c>
      <c r="M656" s="14" t="b">
        <v>1</v>
      </c>
      <c r="N656" s="14" t="b">
        <v>0</v>
      </c>
      <c r="O656" s="14" t="b">
        <v>1</v>
      </c>
      <c r="W656" s="3"/>
    </row>
    <row r="657" spans="1:23" x14ac:dyDescent="0.25">
      <c r="A657" s="4">
        <v>700386513</v>
      </c>
      <c r="B657" s="8" t="s">
        <v>735</v>
      </c>
      <c r="C657" s="8" t="s">
        <v>736</v>
      </c>
      <c r="D657" s="7" t="s">
        <v>85</v>
      </c>
      <c r="E657" s="7" t="s">
        <v>215</v>
      </c>
      <c r="F657" s="6">
        <v>2</v>
      </c>
      <c r="G657" s="8" t="s">
        <v>199</v>
      </c>
      <c r="H657" s="8" t="s">
        <v>200</v>
      </c>
      <c r="I657" s="109" t="s">
        <v>556</v>
      </c>
      <c r="J657" s="8" t="s">
        <v>212</v>
      </c>
      <c r="K657" s="14" t="b">
        <v>1</v>
      </c>
      <c r="L657" s="14" t="b">
        <v>0</v>
      </c>
      <c r="M657" s="14" t="b">
        <v>0</v>
      </c>
      <c r="N657" s="14" t="b">
        <v>1</v>
      </c>
      <c r="O657" s="14" t="b">
        <v>1</v>
      </c>
      <c r="W657" s="3"/>
    </row>
    <row r="658" spans="1:23" x14ac:dyDescent="0.25">
      <c r="A658" s="4">
        <v>9324322559</v>
      </c>
      <c r="B658" s="8" t="s">
        <v>737</v>
      </c>
      <c r="C658" s="8" t="s">
        <v>75</v>
      </c>
      <c r="D658" s="7" t="s">
        <v>74</v>
      </c>
      <c r="E658" s="7" t="s">
        <v>215</v>
      </c>
      <c r="F658" s="6">
        <v>2</v>
      </c>
      <c r="G658" s="8" t="s">
        <v>199</v>
      </c>
      <c r="H658" s="8" t="s">
        <v>200</v>
      </c>
      <c r="I658" s="109" t="s">
        <v>556</v>
      </c>
      <c r="J658" s="8" t="s">
        <v>212</v>
      </c>
      <c r="K658" s="14" t="b">
        <v>1</v>
      </c>
      <c r="L658" s="14" t="b">
        <v>0</v>
      </c>
      <c r="M658" s="14" t="b">
        <v>0</v>
      </c>
      <c r="N658" s="14" t="b">
        <v>1</v>
      </c>
      <c r="O658" s="14" t="b">
        <v>1</v>
      </c>
      <c r="W658" s="3"/>
    </row>
    <row r="659" spans="1:23" x14ac:dyDescent="0.25">
      <c r="A659" s="4">
        <v>44482299472</v>
      </c>
      <c r="B659" s="8" t="s">
        <v>741</v>
      </c>
      <c r="C659" s="8" t="s">
        <v>742</v>
      </c>
      <c r="D659" s="7" t="s">
        <v>91</v>
      </c>
      <c r="E659" s="7" t="s">
        <v>215</v>
      </c>
      <c r="F659" s="6">
        <v>2</v>
      </c>
      <c r="G659" s="8" t="s">
        <v>199</v>
      </c>
      <c r="H659" s="8" t="s">
        <v>200</v>
      </c>
      <c r="I659" s="109" t="s">
        <v>556</v>
      </c>
      <c r="J659" s="8" t="s">
        <v>212</v>
      </c>
      <c r="K659" s="14" t="b">
        <v>1</v>
      </c>
      <c r="L659" s="14" t="b">
        <v>0</v>
      </c>
      <c r="M659" s="14" t="b">
        <v>0</v>
      </c>
      <c r="N659" s="14" t="b">
        <v>1</v>
      </c>
      <c r="O659" s="14" t="b">
        <v>1</v>
      </c>
      <c r="W659" s="3"/>
    </row>
    <row r="660" spans="1:23" x14ac:dyDescent="0.25">
      <c r="A660" s="4">
        <v>83925694404</v>
      </c>
      <c r="B660" s="8" t="s">
        <v>746</v>
      </c>
      <c r="C660" s="8" t="s">
        <v>747</v>
      </c>
      <c r="D660" s="7" t="s">
        <v>56</v>
      </c>
      <c r="E660" s="7" t="s">
        <v>215</v>
      </c>
      <c r="F660" s="6">
        <v>2</v>
      </c>
      <c r="G660" s="8" t="s">
        <v>199</v>
      </c>
      <c r="H660" s="8" t="s">
        <v>200</v>
      </c>
      <c r="I660" s="109" t="s">
        <v>556</v>
      </c>
      <c r="J660" s="8" t="s">
        <v>212</v>
      </c>
      <c r="K660" s="14" t="b">
        <v>1</v>
      </c>
      <c r="L660" s="14" t="b">
        <v>0</v>
      </c>
      <c r="M660" s="14" t="b">
        <v>0</v>
      </c>
      <c r="N660" s="14" t="b">
        <v>1</v>
      </c>
      <c r="O660" s="14" t="b">
        <v>1</v>
      </c>
      <c r="W660" s="3"/>
    </row>
    <row r="661" spans="1:23" x14ac:dyDescent="0.25">
      <c r="A661" s="4">
        <v>394429019391</v>
      </c>
      <c r="B661" s="8" t="s">
        <v>750</v>
      </c>
      <c r="C661" s="8" t="s">
        <v>70</v>
      </c>
      <c r="D661" s="7" t="s">
        <v>71</v>
      </c>
      <c r="E661" s="7" t="s">
        <v>215</v>
      </c>
      <c r="F661" s="6">
        <v>2</v>
      </c>
      <c r="G661" s="8" t="s">
        <v>199</v>
      </c>
      <c r="H661" s="8" t="s">
        <v>200</v>
      </c>
      <c r="I661" s="109" t="s">
        <v>556</v>
      </c>
      <c r="J661" s="8" t="s">
        <v>212</v>
      </c>
      <c r="K661" s="14" t="b">
        <v>1</v>
      </c>
      <c r="L661" s="14" t="b">
        <v>0</v>
      </c>
      <c r="M661" s="14" t="b">
        <v>0</v>
      </c>
      <c r="N661" s="14" t="b">
        <v>1</v>
      </c>
      <c r="O661" s="14" t="b">
        <v>1</v>
      </c>
      <c r="W661" s="3"/>
    </row>
    <row r="662" spans="1:23" x14ac:dyDescent="0.25">
      <c r="A662" s="4">
        <v>394502006770</v>
      </c>
      <c r="B662" s="8" t="s">
        <v>1385</v>
      </c>
      <c r="C662" s="8" t="s">
        <v>75</v>
      </c>
      <c r="D662" s="7" t="s">
        <v>74</v>
      </c>
      <c r="E662" s="7" t="s">
        <v>215</v>
      </c>
      <c r="F662" s="6">
        <v>2</v>
      </c>
      <c r="G662" s="8" t="s">
        <v>199</v>
      </c>
      <c r="H662" s="8" t="s">
        <v>200</v>
      </c>
      <c r="I662" s="109" t="s">
        <v>556</v>
      </c>
      <c r="J662" s="8" t="s">
        <v>212</v>
      </c>
      <c r="K662" s="14" t="b">
        <v>1</v>
      </c>
      <c r="L662" s="14" t="b">
        <v>0</v>
      </c>
      <c r="M662" s="14" t="b">
        <v>0</v>
      </c>
      <c r="N662" s="14" t="b">
        <v>1</v>
      </c>
      <c r="O662" s="14" t="b">
        <v>1</v>
      </c>
      <c r="W662" s="3"/>
    </row>
    <row r="663" spans="1:23" x14ac:dyDescent="0.25">
      <c r="A663" s="4">
        <v>820737000150</v>
      </c>
      <c r="B663" s="8" t="s">
        <v>757</v>
      </c>
      <c r="C663" s="8" t="s">
        <v>62</v>
      </c>
      <c r="D663" s="7" t="s">
        <v>63</v>
      </c>
      <c r="E663" s="7" t="s">
        <v>215</v>
      </c>
      <c r="F663" s="6">
        <v>2</v>
      </c>
      <c r="G663" s="8" t="s">
        <v>199</v>
      </c>
      <c r="H663" s="8" t="s">
        <v>200</v>
      </c>
      <c r="I663" s="109" t="s">
        <v>556</v>
      </c>
      <c r="J663" s="8" t="s">
        <v>212</v>
      </c>
      <c r="K663" s="14" t="b">
        <v>1</v>
      </c>
      <c r="L663" s="14" t="b">
        <v>0</v>
      </c>
      <c r="M663" s="14" t="b">
        <v>0</v>
      </c>
      <c r="N663" s="14" t="b">
        <v>1</v>
      </c>
      <c r="O663" s="14" t="b">
        <v>1</v>
      </c>
      <c r="W663" s="3"/>
    </row>
    <row r="664" spans="1:23" x14ac:dyDescent="0.25">
      <c r="A664" s="4">
        <v>1454407000151</v>
      </c>
      <c r="B664" s="8" t="s">
        <v>764</v>
      </c>
      <c r="C664" s="8" t="s">
        <v>742</v>
      </c>
      <c r="D664" s="7" t="s">
        <v>91</v>
      </c>
      <c r="E664" s="7" t="s">
        <v>215</v>
      </c>
      <c r="F664" s="6">
        <v>2</v>
      </c>
      <c r="G664" s="8" t="s">
        <v>199</v>
      </c>
      <c r="H664" s="8" t="s">
        <v>200</v>
      </c>
      <c r="I664" s="109" t="s">
        <v>556</v>
      </c>
      <c r="J664" s="8" t="s">
        <v>212</v>
      </c>
      <c r="K664" s="14" t="b">
        <v>1</v>
      </c>
      <c r="L664" s="14" t="b">
        <v>0</v>
      </c>
      <c r="M664" s="14" t="b">
        <v>0</v>
      </c>
      <c r="N664" s="14" t="b">
        <v>1</v>
      </c>
      <c r="O664" s="14" t="b">
        <v>1</v>
      </c>
      <c r="W664" s="3"/>
    </row>
    <row r="665" spans="1:23" x14ac:dyDescent="0.25">
      <c r="A665" s="4">
        <v>1507901000137</v>
      </c>
      <c r="B665" s="8" t="s">
        <v>765</v>
      </c>
      <c r="C665" s="8" t="s">
        <v>62</v>
      </c>
      <c r="D665" s="7" t="s">
        <v>63</v>
      </c>
      <c r="E665" s="7" t="s">
        <v>215</v>
      </c>
      <c r="F665" s="6">
        <v>2</v>
      </c>
      <c r="G665" s="8" t="s">
        <v>199</v>
      </c>
      <c r="H665" s="8" t="s">
        <v>200</v>
      </c>
      <c r="I665" s="109" t="s">
        <v>556</v>
      </c>
      <c r="J665" s="8" t="s">
        <v>212</v>
      </c>
      <c r="K665" s="14" t="b">
        <v>1</v>
      </c>
      <c r="L665" s="14" t="b">
        <v>0</v>
      </c>
      <c r="M665" s="14" t="b">
        <v>0</v>
      </c>
      <c r="N665" s="14" t="b">
        <v>1</v>
      </c>
      <c r="O665" s="14" t="b">
        <v>1</v>
      </c>
      <c r="W665" s="3"/>
    </row>
    <row r="666" spans="1:23" x14ac:dyDescent="0.25">
      <c r="A666" s="4">
        <v>1722424000122</v>
      </c>
      <c r="B666" s="8" t="s">
        <v>770</v>
      </c>
      <c r="C666" s="8" t="s">
        <v>742</v>
      </c>
      <c r="D666" s="7" t="s">
        <v>91</v>
      </c>
      <c r="E666" s="7" t="s">
        <v>215</v>
      </c>
      <c r="F666" s="6">
        <v>2</v>
      </c>
      <c r="G666" s="8" t="s">
        <v>199</v>
      </c>
      <c r="H666" s="8" t="s">
        <v>200</v>
      </c>
      <c r="I666" s="109" t="s">
        <v>556</v>
      </c>
      <c r="J666" s="8" t="s">
        <v>212</v>
      </c>
      <c r="K666" s="14" t="b">
        <v>1</v>
      </c>
      <c r="L666" s="14" t="b">
        <v>0</v>
      </c>
      <c r="M666" s="14" t="b">
        <v>0</v>
      </c>
      <c r="N666" s="14" t="b">
        <v>1</v>
      </c>
      <c r="O666" s="14" t="b">
        <v>1</v>
      </c>
      <c r="W666" s="3"/>
    </row>
    <row r="667" spans="1:23" x14ac:dyDescent="0.25">
      <c r="A667" s="4">
        <v>1837492000137</v>
      </c>
      <c r="B667" s="8" t="s">
        <v>1387</v>
      </c>
      <c r="C667" s="8" t="s">
        <v>75</v>
      </c>
      <c r="D667" s="7" t="s">
        <v>74</v>
      </c>
      <c r="E667" s="7" t="s">
        <v>215</v>
      </c>
      <c r="F667" s="6">
        <v>2</v>
      </c>
      <c r="G667" s="8" t="s">
        <v>199</v>
      </c>
      <c r="H667" s="8" t="s">
        <v>200</v>
      </c>
      <c r="I667" s="109" t="s">
        <v>556</v>
      </c>
      <c r="J667" s="8" t="s">
        <v>212</v>
      </c>
      <c r="K667" s="14" t="b">
        <v>1</v>
      </c>
      <c r="L667" s="14" t="b">
        <v>0</v>
      </c>
      <c r="M667" s="14" t="b">
        <v>0</v>
      </c>
      <c r="N667" s="14" t="b">
        <v>1</v>
      </c>
      <c r="O667" s="14" t="b">
        <v>1</v>
      </c>
      <c r="W667" s="3"/>
    </row>
    <row r="668" spans="1:23" x14ac:dyDescent="0.25">
      <c r="A668" s="4">
        <v>2109397000180</v>
      </c>
      <c r="B668" s="8" t="s">
        <v>773</v>
      </c>
      <c r="C668" s="8" t="s">
        <v>62</v>
      </c>
      <c r="D668" s="7" t="s">
        <v>63</v>
      </c>
      <c r="E668" s="7" t="s">
        <v>215</v>
      </c>
      <c r="F668" s="6">
        <v>2</v>
      </c>
      <c r="G668" s="8" t="s">
        <v>199</v>
      </c>
      <c r="H668" s="8" t="s">
        <v>200</v>
      </c>
      <c r="I668" s="109" t="s">
        <v>556</v>
      </c>
      <c r="J668" s="8" t="s">
        <v>212</v>
      </c>
      <c r="K668" s="14" t="b">
        <v>1</v>
      </c>
      <c r="L668" s="14" t="b">
        <v>0</v>
      </c>
      <c r="M668" s="14" t="b">
        <v>0</v>
      </c>
      <c r="N668" s="14" t="b">
        <v>1</v>
      </c>
      <c r="O668" s="14" t="b">
        <v>1</v>
      </c>
      <c r="W668" s="3"/>
    </row>
    <row r="669" spans="1:23" x14ac:dyDescent="0.25">
      <c r="A669" s="4">
        <v>2284062000106</v>
      </c>
      <c r="B669" s="8" t="s">
        <v>774</v>
      </c>
      <c r="C669" s="8" t="s">
        <v>70</v>
      </c>
      <c r="D669" s="7" t="s">
        <v>71</v>
      </c>
      <c r="E669" s="7" t="s">
        <v>215</v>
      </c>
      <c r="F669" s="6">
        <v>2</v>
      </c>
      <c r="G669" s="8" t="s">
        <v>199</v>
      </c>
      <c r="H669" s="8" t="s">
        <v>200</v>
      </c>
      <c r="I669" s="109" t="s">
        <v>556</v>
      </c>
      <c r="J669" s="8" t="s">
        <v>212</v>
      </c>
      <c r="K669" s="14" t="b">
        <v>1</v>
      </c>
      <c r="L669" s="14" t="b">
        <v>0</v>
      </c>
      <c r="M669" s="14" t="b">
        <v>0</v>
      </c>
      <c r="N669" s="14" t="b">
        <v>1</v>
      </c>
      <c r="O669" s="14" t="b">
        <v>1</v>
      </c>
      <c r="W669" s="3"/>
    </row>
    <row r="670" spans="1:23" x14ac:dyDescent="0.25">
      <c r="A670" s="4">
        <v>2284062000440</v>
      </c>
      <c r="B670" s="8" t="s">
        <v>775</v>
      </c>
      <c r="C670" s="8" t="s">
        <v>70</v>
      </c>
      <c r="D670" s="7" t="s">
        <v>71</v>
      </c>
      <c r="E670" s="7" t="s">
        <v>215</v>
      </c>
      <c r="F670" s="6">
        <v>2</v>
      </c>
      <c r="G670" s="8" t="s">
        <v>199</v>
      </c>
      <c r="H670" s="8" t="s">
        <v>200</v>
      </c>
      <c r="I670" s="109" t="s">
        <v>556</v>
      </c>
      <c r="J670" s="8" t="s">
        <v>212</v>
      </c>
      <c r="K670" s="14" t="b">
        <v>1</v>
      </c>
      <c r="L670" s="14" t="b">
        <v>0</v>
      </c>
      <c r="M670" s="14" t="b">
        <v>0</v>
      </c>
      <c r="N670" s="14" t="b">
        <v>1</v>
      </c>
      <c r="O670" s="14" t="b">
        <v>1</v>
      </c>
      <c r="W670" s="3"/>
    </row>
    <row r="671" spans="1:23" x14ac:dyDescent="0.25">
      <c r="A671" s="4">
        <v>3091003000176</v>
      </c>
      <c r="B671" s="8" t="s">
        <v>782</v>
      </c>
      <c r="C671" s="8" t="s">
        <v>84</v>
      </c>
      <c r="D671" s="7" t="s">
        <v>85</v>
      </c>
      <c r="E671" s="7" t="s">
        <v>215</v>
      </c>
      <c r="F671" s="6">
        <v>2</v>
      </c>
      <c r="G671" s="8" t="s">
        <v>199</v>
      </c>
      <c r="H671" s="8" t="s">
        <v>200</v>
      </c>
      <c r="I671" s="109" t="s">
        <v>556</v>
      </c>
      <c r="J671" s="8" t="s">
        <v>212</v>
      </c>
      <c r="K671" s="14" t="b">
        <v>1</v>
      </c>
      <c r="L671" s="14" t="b">
        <v>0</v>
      </c>
      <c r="M671" s="14" t="b">
        <v>0</v>
      </c>
      <c r="N671" s="14" t="b">
        <v>1</v>
      </c>
      <c r="O671" s="14" t="b">
        <v>1</v>
      </c>
      <c r="W671" s="3"/>
    </row>
    <row r="672" spans="1:23" x14ac:dyDescent="0.25">
      <c r="A672" s="4">
        <v>3222051000156</v>
      </c>
      <c r="B672" s="8" t="s">
        <v>784</v>
      </c>
      <c r="C672" s="8" t="s">
        <v>84</v>
      </c>
      <c r="D672" s="7" t="s">
        <v>85</v>
      </c>
      <c r="E672" s="7" t="s">
        <v>215</v>
      </c>
      <c r="F672" s="6">
        <v>2</v>
      </c>
      <c r="G672" s="8" t="s">
        <v>199</v>
      </c>
      <c r="H672" s="8" t="s">
        <v>200</v>
      </c>
      <c r="I672" s="109" t="s">
        <v>556</v>
      </c>
      <c r="J672" s="8" t="s">
        <v>212</v>
      </c>
      <c r="K672" s="14" t="b">
        <v>1</v>
      </c>
      <c r="L672" s="14" t="b">
        <v>0</v>
      </c>
      <c r="M672" s="14" t="b">
        <v>0</v>
      </c>
      <c r="N672" s="14" t="b">
        <v>1</v>
      </c>
      <c r="O672" s="14" t="b">
        <v>1</v>
      </c>
      <c r="W672" s="3"/>
    </row>
    <row r="673" spans="1:23" x14ac:dyDescent="0.25">
      <c r="A673" s="4">
        <v>3376102000102</v>
      </c>
      <c r="B673" s="8" t="s">
        <v>786</v>
      </c>
      <c r="C673" s="8" t="s">
        <v>75</v>
      </c>
      <c r="D673" s="7" t="s">
        <v>74</v>
      </c>
      <c r="E673" s="7" t="s">
        <v>215</v>
      </c>
      <c r="F673" s="6">
        <v>2</v>
      </c>
      <c r="G673" s="8" t="s">
        <v>199</v>
      </c>
      <c r="H673" s="8" t="s">
        <v>200</v>
      </c>
      <c r="I673" s="109" t="s">
        <v>556</v>
      </c>
      <c r="J673" s="8" t="s">
        <v>212</v>
      </c>
      <c r="K673" s="14" t="b">
        <v>1</v>
      </c>
      <c r="L673" s="14" t="b">
        <v>0</v>
      </c>
      <c r="M673" s="14" t="b">
        <v>0</v>
      </c>
      <c r="N673" s="14" t="b">
        <v>1</v>
      </c>
      <c r="O673" s="14" t="b">
        <v>1</v>
      </c>
      <c r="W673" s="3"/>
    </row>
    <row r="674" spans="1:23" x14ac:dyDescent="0.25">
      <c r="A674" s="4">
        <v>3858924000111</v>
      </c>
      <c r="B674" s="8" t="s">
        <v>791</v>
      </c>
      <c r="C674" s="8" t="s">
        <v>115</v>
      </c>
      <c r="D674" s="7" t="s">
        <v>71</v>
      </c>
      <c r="E674" s="7" t="s">
        <v>215</v>
      </c>
      <c r="F674" s="6">
        <v>2</v>
      </c>
      <c r="G674" s="8" t="s">
        <v>199</v>
      </c>
      <c r="H674" s="8" t="s">
        <v>200</v>
      </c>
      <c r="I674" s="109" t="s">
        <v>556</v>
      </c>
      <c r="J674" s="8" t="s">
        <v>212</v>
      </c>
      <c r="K674" s="14" t="b">
        <v>1</v>
      </c>
      <c r="L674" s="14" t="b">
        <v>0</v>
      </c>
      <c r="M674" s="14" t="b">
        <v>0</v>
      </c>
      <c r="N674" s="14" t="b">
        <v>1</v>
      </c>
      <c r="O674" s="14" t="b">
        <v>1</v>
      </c>
      <c r="W674" s="3"/>
    </row>
    <row r="675" spans="1:23" x14ac:dyDescent="0.25">
      <c r="A675" s="4">
        <v>3866223000124</v>
      </c>
      <c r="B675" s="8" t="s">
        <v>792</v>
      </c>
      <c r="C675" s="8" t="s">
        <v>742</v>
      </c>
      <c r="D675" s="7" t="s">
        <v>91</v>
      </c>
      <c r="E675" s="7" t="s">
        <v>215</v>
      </c>
      <c r="F675" s="6">
        <v>2</v>
      </c>
      <c r="G675" s="8" t="s">
        <v>199</v>
      </c>
      <c r="H675" s="8" t="s">
        <v>200</v>
      </c>
      <c r="I675" s="109" t="s">
        <v>556</v>
      </c>
      <c r="J675" s="8" t="s">
        <v>212</v>
      </c>
      <c r="K675" s="14" t="b">
        <v>1</v>
      </c>
      <c r="L675" s="14" t="b">
        <v>0</v>
      </c>
      <c r="M675" s="14" t="b">
        <v>0</v>
      </c>
      <c r="N675" s="14" t="b">
        <v>1</v>
      </c>
      <c r="O675" s="14" t="b">
        <v>1</v>
      </c>
      <c r="W675" s="3"/>
    </row>
    <row r="676" spans="1:23" x14ac:dyDescent="0.25">
      <c r="A676" s="4">
        <v>3904395000145</v>
      </c>
      <c r="B676" s="8" t="s">
        <v>793</v>
      </c>
      <c r="C676" s="8" t="s">
        <v>794</v>
      </c>
      <c r="D676" s="7" t="s">
        <v>71</v>
      </c>
      <c r="E676" s="7" t="s">
        <v>215</v>
      </c>
      <c r="F676" s="6">
        <v>2</v>
      </c>
      <c r="G676" s="8" t="s">
        <v>199</v>
      </c>
      <c r="H676" s="8" t="s">
        <v>200</v>
      </c>
      <c r="I676" s="109" t="s">
        <v>556</v>
      </c>
      <c r="J676" s="8" t="s">
        <v>212</v>
      </c>
      <c r="K676" s="14" t="b">
        <v>1</v>
      </c>
      <c r="L676" s="14" t="b">
        <v>0</v>
      </c>
      <c r="M676" s="14" t="b">
        <v>0</v>
      </c>
      <c r="N676" s="14" t="b">
        <v>1</v>
      </c>
      <c r="O676" s="14" t="b">
        <v>1</v>
      </c>
      <c r="W676" s="3"/>
    </row>
    <row r="677" spans="1:23" x14ac:dyDescent="0.25">
      <c r="A677" s="4">
        <v>4602792000125</v>
      </c>
      <c r="B677" s="8" t="s">
        <v>797</v>
      </c>
      <c r="C677" s="8" t="s">
        <v>73</v>
      </c>
      <c r="D677" s="7" t="s">
        <v>74</v>
      </c>
      <c r="E677" s="7" t="s">
        <v>215</v>
      </c>
      <c r="F677" s="6">
        <v>2</v>
      </c>
      <c r="G677" s="8" t="s">
        <v>199</v>
      </c>
      <c r="H677" s="8" t="s">
        <v>200</v>
      </c>
      <c r="I677" s="109" t="s">
        <v>556</v>
      </c>
      <c r="J677" s="8" t="s">
        <v>212</v>
      </c>
      <c r="K677" s="14" t="b">
        <v>1</v>
      </c>
      <c r="L677" s="14" t="b">
        <v>0</v>
      </c>
      <c r="M677" s="14" t="b">
        <v>0</v>
      </c>
      <c r="N677" s="14" t="b">
        <v>1</v>
      </c>
      <c r="O677" s="14" t="b">
        <v>1</v>
      </c>
      <c r="W677" s="3"/>
    </row>
    <row r="678" spans="1:23" x14ac:dyDescent="0.25">
      <c r="A678" s="4">
        <v>5055128000257</v>
      </c>
      <c r="B678" s="8" t="s">
        <v>798</v>
      </c>
      <c r="C678" s="8" t="s">
        <v>130</v>
      </c>
      <c r="D678" s="7" t="s">
        <v>56</v>
      </c>
      <c r="E678" s="7" t="s">
        <v>215</v>
      </c>
      <c r="F678" s="6">
        <v>2</v>
      </c>
      <c r="G678" s="8" t="s">
        <v>199</v>
      </c>
      <c r="H678" s="8" t="s">
        <v>200</v>
      </c>
      <c r="I678" s="109" t="s">
        <v>556</v>
      </c>
      <c r="J678" s="8" t="s">
        <v>212</v>
      </c>
      <c r="K678" s="14" t="b">
        <v>1</v>
      </c>
      <c r="L678" s="14" t="b">
        <v>0</v>
      </c>
      <c r="M678" s="14" t="b">
        <v>0</v>
      </c>
      <c r="N678" s="14" t="b">
        <v>1</v>
      </c>
      <c r="O678" s="14" t="b">
        <v>1</v>
      </c>
      <c r="W678" s="3"/>
    </row>
    <row r="679" spans="1:23" x14ac:dyDescent="0.25">
      <c r="A679" s="4">
        <v>5430118000173</v>
      </c>
      <c r="B679" s="8" t="s">
        <v>1295</v>
      </c>
      <c r="C679" s="8" t="s">
        <v>1296</v>
      </c>
      <c r="D679" s="7" t="s">
        <v>74</v>
      </c>
      <c r="E679" s="7" t="s">
        <v>215</v>
      </c>
      <c r="F679" s="6">
        <v>2</v>
      </c>
      <c r="G679" s="8" t="s">
        <v>199</v>
      </c>
      <c r="H679" s="8" t="s">
        <v>200</v>
      </c>
      <c r="I679" s="109" t="s">
        <v>556</v>
      </c>
      <c r="J679" s="8" t="s">
        <v>212</v>
      </c>
      <c r="K679" s="14" t="b">
        <v>1</v>
      </c>
      <c r="L679" s="14" t="b">
        <v>0</v>
      </c>
      <c r="M679" s="14" t="b">
        <v>0</v>
      </c>
      <c r="N679" s="14" t="b">
        <v>1</v>
      </c>
      <c r="O679" s="14" t="b">
        <v>1</v>
      </c>
      <c r="W679" s="3"/>
    </row>
    <row r="680" spans="1:23" x14ac:dyDescent="0.25">
      <c r="A680" s="4">
        <v>5469172000122</v>
      </c>
      <c r="B680" s="8" t="s">
        <v>799</v>
      </c>
      <c r="C680" s="8" t="s">
        <v>75</v>
      </c>
      <c r="D680" s="7" t="s">
        <v>74</v>
      </c>
      <c r="E680" s="7" t="s">
        <v>215</v>
      </c>
      <c r="F680" s="6">
        <v>2</v>
      </c>
      <c r="G680" s="8" t="s">
        <v>199</v>
      </c>
      <c r="H680" s="8" t="s">
        <v>200</v>
      </c>
      <c r="I680" s="109" t="s">
        <v>556</v>
      </c>
      <c r="J680" s="8" t="s">
        <v>212</v>
      </c>
      <c r="K680" s="14" t="b">
        <v>1</v>
      </c>
      <c r="L680" s="14" t="b">
        <v>0</v>
      </c>
      <c r="M680" s="14" t="b">
        <v>0</v>
      </c>
      <c r="N680" s="14" t="b">
        <v>1</v>
      </c>
      <c r="O680" s="14" t="b">
        <v>1</v>
      </c>
      <c r="W680" s="3"/>
    </row>
    <row r="681" spans="1:23" x14ac:dyDescent="0.25">
      <c r="A681" s="4">
        <v>5612725000154</v>
      </c>
      <c r="B681" s="8" t="s">
        <v>800</v>
      </c>
      <c r="C681" s="8" t="s">
        <v>742</v>
      </c>
      <c r="D681" s="7" t="s">
        <v>91</v>
      </c>
      <c r="E681" s="7" t="s">
        <v>215</v>
      </c>
      <c r="F681" s="6">
        <v>2</v>
      </c>
      <c r="G681" s="8" t="s">
        <v>199</v>
      </c>
      <c r="H681" s="8" t="s">
        <v>200</v>
      </c>
      <c r="I681" s="109" t="s">
        <v>556</v>
      </c>
      <c r="J681" s="8" t="s">
        <v>212</v>
      </c>
      <c r="K681" s="14" t="b">
        <v>1</v>
      </c>
      <c r="L681" s="14" t="b">
        <v>0</v>
      </c>
      <c r="M681" s="14" t="b">
        <v>0</v>
      </c>
      <c r="N681" s="14" t="b">
        <v>1</v>
      </c>
      <c r="O681" s="14" t="b">
        <v>1</v>
      </c>
      <c r="W681" s="3"/>
    </row>
    <row r="682" spans="1:23" x14ac:dyDescent="0.25">
      <c r="A682" s="4">
        <v>5652543000107</v>
      </c>
      <c r="B682" s="8" t="s">
        <v>801</v>
      </c>
      <c r="C682" s="8" t="s">
        <v>802</v>
      </c>
      <c r="D682" s="7" t="s">
        <v>74</v>
      </c>
      <c r="E682" s="7" t="s">
        <v>215</v>
      </c>
      <c r="F682" s="6">
        <v>2</v>
      </c>
      <c r="G682" s="8" t="s">
        <v>199</v>
      </c>
      <c r="H682" s="8" t="s">
        <v>200</v>
      </c>
      <c r="I682" s="109" t="s">
        <v>556</v>
      </c>
      <c r="J682" s="8" t="s">
        <v>212</v>
      </c>
      <c r="K682" s="14" t="b">
        <v>1</v>
      </c>
      <c r="L682" s="14" t="b">
        <v>0</v>
      </c>
      <c r="M682" s="14" t="b">
        <v>0</v>
      </c>
      <c r="N682" s="14" t="b">
        <v>1</v>
      </c>
      <c r="O682" s="14" t="b">
        <v>1</v>
      </c>
      <c r="W682" s="3"/>
    </row>
    <row r="683" spans="1:23" x14ac:dyDescent="0.25">
      <c r="A683" s="4">
        <v>5816630000152</v>
      </c>
      <c r="B683" s="8" t="s">
        <v>803</v>
      </c>
      <c r="C683" s="8" t="s">
        <v>75</v>
      </c>
      <c r="D683" s="7" t="s">
        <v>74</v>
      </c>
      <c r="E683" s="7" t="s">
        <v>215</v>
      </c>
      <c r="F683" s="6">
        <v>2</v>
      </c>
      <c r="G683" s="8" t="s">
        <v>199</v>
      </c>
      <c r="H683" s="8" t="s">
        <v>200</v>
      </c>
      <c r="I683" s="109" t="s">
        <v>556</v>
      </c>
      <c r="J683" s="8" t="s">
        <v>212</v>
      </c>
      <c r="K683" s="14" t="b">
        <v>1</v>
      </c>
      <c r="L683" s="14" t="b">
        <v>0</v>
      </c>
      <c r="M683" s="14" t="b">
        <v>0</v>
      </c>
      <c r="N683" s="14" t="b">
        <v>1</v>
      </c>
      <c r="O683" s="14" t="b">
        <v>1</v>
      </c>
      <c r="W683" s="3"/>
    </row>
    <row r="684" spans="1:23" x14ac:dyDescent="0.25">
      <c r="A684" s="4">
        <v>5867015000175</v>
      </c>
      <c r="B684" s="8" t="s">
        <v>804</v>
      </c>
      <c r="C684" s="8" t="s">
        <v>76</v>
      </c>
      <c r="D684" s="7" t="s">
        <v>77</v>
      </c>
      <c r="E684" s="7" t="s">
        <v>215</v>
      </c>
      <c r="F684" s="6">
        <v>2</v>
      </c>
      <c r="G684" s="8" t="s">
        <v>199</v>
      </c>
      <c r="H684" s="8" t="s">
        <v>200</v>
      </c>
      <c r="I684" s="109" t="s">
        <v>556</v>
      </c>
      <c r="J684" s="8" t="s">
        <v>212</v>
      </c>
      <c r="K684" s="14" t="b">
        <v>1</v>
      </c>
      <c r="L684" s="14" t="b">
        <v>0</v>
      </c>
      <c r="M684" s="14" t="b">
        <v>0</v>
      </c>
      <c r="N684" s="14" t="b">
        <v>1</v>
      </c>
      <c r="O684" s="14" t="b">
        <v>1</v>
      </c>
      <c r="W684" s="3"/>
    </row>
    <row r="685" spans="1:23" x14ac:dyDescent="0.25">
      <c r="A685" s="4">
        <v>5868278000280</v>
      </c>
      <c r="B685" s="8" t="s">
        <v>805</v>
      </c>
      <c r="C685" s="8" t="s">
        <v>76</v>
      </c>
      <c r="D685" s="7" t="s">
        <v>77</v>
      </c>
      <c r="E685" s="7" t="s">
        <v>215</v>
      </c>
      <c r="F685" s="6">
        <v>2</v>
      </c>
      <c r="G685" s="8" t="s">
        <v>199</v>
      </c>
      <c r="H685" s="8" t="s">
        <v>200</v>
      </c>
      <c r="I685" s="109" t="s">
        <v>556</v>
      </c>
      <c r="J685" s="8" t="s">
        <v>212</v>
      </c>
      <c r="K685" s="14" t="b">
        <v>1</v>
      </c>
      <c r="L685" s="14" t="b">
        <v>0</v>
      </c>
      <c r="M685" s="14" t="b">
        <v>0</v>
      </c>
      <c r="N685" s="14" t="b">
        <v>1</v>
      </c>
      <c r="O685" s="14" t="b">
        <v>1</v>
      </c>
      <c r="W685" s="3"/>
    </row>
    <row r="686" spans="1:23" x14ac:dyDescent="0.25">
      <c r="A686" s="4">
        <v>5874946000109</v>
      </c>
      <c r="B686" s="8" t="s">
        <v>806</v>
      </c>
      <c r="C686" s="8" t="s">
        <v>76</v>
      </c>
      <c r="D686" s="7" t="s">
        <v>77</v>
      </c>
      <c r="E686" s="7" t="s">
        <v>215</v>
      </c>
      <c r="F686" s="6">
        <v>2</v>
      </c>
      <c r="G686" s="8" t="s">
        <v>199</v>
      </c>
      <c r="H686" s="8" t="s">
        <v>200</v>
      </c>
      <c r="I686" s="109" t="s">
        <v>556</v>
      </c>
      <c r="J686" s="8" t="s">
        <v>212</v>
      </c>
      <c r="K686" s="14" t="b">
        <v>1</v>
      </c>
      <c r="L686" s="14" t="b">
        <v>0</v>
      </c>
      <c r="M686" s="14" t="b">
        <v>0</v>
      </c>
      <c r="N686" s="14" t="b">
        <v>1</v>
      </c>
      <c r="O686" s="14" t="b">
        <v>1</v>
      </c>
      <c r="W686" s="3"/>
    </row>
    <row r="687" spans="1:23" x14ac:dyDescent="0.25">
      <c r="A687" s="4">
        <v>5874946000281</v>
      </c>
      <c r="B687" s="8" t="s">
        <v>807</v>
      </c>
      <c r="C687" s="8" t="s">
        <v>76</v>
      </c>
      <c r="D687" s="7" t="s">
        <v>77</v>
      </c>
      <c r="E687" s="7" t="s">
        <v>215</v>
      </c>
      <c r="F687" s="6">
        <v>2</v>
      </c>
      <c r="G687" s="8" t="s">
        <v>199</v>
      </c>
      <c r="H687" s="8" t="s">
        <v>200</v>
      </c>
      <c r="I687" s="109" t="s">
        <v>556</v>
      </c>
      <c r="J687" s="8" t="s">
        <v>212</v>
      </c>
      <c r="K687" s="14" t="b">
        <v>1</v>
      </c>
      <c r="L687" s="14" t="b">
        <v>0</v>
      </c>
      <c r="M687" s="14" t="b">
        <v>0</v>
      </c>
      <c r="N687" s="14" t="b">
        <v>1</v>
      </c>
      <c r="O687" s="14" t="b">
        <v>1</v>
      </c>
      <c r="W687" s="3"/>
    </row>
    <row r="688" spans="1:23" x14ac:dyDescent="0.25">
      <c r="A688" s="4">
        <v>6047087001291</v>
      </c>
      <c r="B688" s="8" t="s">
        <v>809</v>
      </c>
      <c r="C688" s="8" t="s">
        <v>107</v>
      </c>
      <c r="D688" s="7" t="s">
        <v>71</v>
      </c>
      <c r="E688" s="7" t="s">
        <v>215</v>
      </c>
      <c r="F688" s="6">
        <v>2</v>
      </c>
      <c r="G688" s="8" t="s">
        <v>199</v>
      </c>
      <c r="H688" s="8" t="s">
        <v>200</v>
      </c>
      <c r="I688" s="109" t="s">
        <v>556</v>
      </c>
      <c r="J688" s="8" t="s">
        <v>212</v>
      </c>
      <c r="K688" s="14" t="b">
        <v>1</v>
      </c>
      <c r="L688" s="14" t="b">
        <v>0</v>
      </c>
      <c r="M688" s="14" t="b">
        <v>0</v>
      </c>
      <c r="N688" s="14" t="b">
        <v>1</v>
      </c>
      <c r="O688" s="14" t="b">
        <v>1</v>
      </c>
      <c r="W688" s="3"/>
    </row>
    <row r="689" spans="1:23" x14ac:dyDescent="0.25">
      <c r="A689" s="4">
        <v>6047087009276</v>
      </c>
      <c r="B689" s="8" t="s">
        <v>812</v>
      </c>
      <c r="C689" s="8" t="s">
        <v>70</v>
      </c>
      <c r="D689" s="7" t="s">
        <v>71</v>
      </c>
      <c r="E689" s="7" t="s">
        <v>215</v>
      </c>
      <c r="F689" s="6">
        <v>2</v>
      </c>
      <c r="G689" s="8" t="s">
        <v>199</v>
      </c>
      <c r="H689" s="8" t="s">
        <v>200</v>
      </c>
      <c r="I689" s="109" t="s">
        <v>556</v>
      </c>
      <c r="J689" s="8" t="s">
        <v>212</v>
      </c>
      <c r="K689" s="14" t="b">
        <v>1</v>
      </c>
      <c r="L689" s="14" t="b">
        <v>0</v>
      </c>
      <c r="M689" s="14" t="b">
        <v>0</v>
      </c>
      <c r="N689" s="14" t="b">
        <v>1</v>
      </c>
      <c r="O689" s="14" t="b">
        <v>1</v>
      </c>
      <c r="W689" s="3"/>
    </row>
    <row r="690" spans="1:23" x14ac:dyDescent="0.25">
      <c r="A690" s="4">
        <v>6553564000138</v>
      </c>
      <c r="B690" s="8" t="s">
        <v>1152</v>
      </c>
      <c r="C690" s="8" t="s">
        <v>81</v>
      </c>
      <c r="D690" s="7" t="s">
        <v>82</v>
      </c>
      <c r="E690" s="7" t="s">
        <v>215</v>
      </c>
      <c r="F690" s="6">
        <v>2</v>
      </c>
      <c r="G690" s="8" t="s">
        <v>199</v>
      </c>
      <c r="H690" s="8" t="s">
        <v>200</v>
      </c>
      <c r="I690" s="109" t="s">
        <v>556</v>
      </c>
      <c r="J690" s="8" t="s">
        <v>212</v>
      </c>
      <c r="K690" s="14" t="b">
        <v>1</v>
      </c>
      <c r="L690" s="14" t="b">
        <v>0</v>
      </c>
      <c r="M690" s="14" t="b">
        <v>0</v>
      </c>
      <c r="N690" s="14" t="b">
        <v>1</v>
      </c>
      <c r="O690" s="14" t="b">
        <v>1</v>
      </c>
      <c r="W690" s="3"/>
    </row>
    <row r="691" spans="1:23" x14ac:dyDescent="0.25">
      <c r="A691" s="4">
        <v>6555031000276</v>
      </c>
      <c r="B691" s="8" t="s">
        <v>815</v>
      </c>
      <c r="C691" s="8" t="s">
        <v>81</v>
      </c>
      <c r="D691" s="7" t="s">
        <v>82</v>
      </c>
      <c r="E691" s="7" t="s">
        <v>215</v>
      </c>
      <c r="F691" s="6">
        <v>2</v>
      </c>
      <c r="G691" s="8" t="s">
        <v>199</v>
      </c>
      <c r="H691" s="8" t="s">
        <v>200</v>
      </c>
      <c r="I691" s="109" t="s">
        <v>556</v>
      </c>
      <c r="J691" s="8" t="s">
        <v>212</v>
      </c>
      <c r="K691" s="14" t="b">
        <v>1</v>
      </c>
      <c r="L691" s="14" t="b">
        <v>0</v>
      </c>
      <c r="M691" s="14" t="b">
        <v>0</v>
      </c>
      <c r="N691" s="14" t="b">
        <v>1</v>
      </c>
      <c r="O691" s="14" t="b">
        <v>1</v>
      </c>
      <c r="W691" s="3"/>
    </row>
    <row r="692" spans="1:23" x14ac:dyDescent="0.25">
      <c r="A692" s="4">
        <v>6833917000153</v>
      </c>
      <c r="B692" s="8" t="s">
        <v>1389</v>
      </c>
      <c r="C692" s="8" t="s">
        <v>81</v>
      </c>
      <c r="D692" s="7" t="s">
        <v>82</v>
      </c>
      <c r="E692" s="7" t="s">
        <v>215</v>
      </c>
      <c r="F692" s="6">
        <v>2</v>
      </c>
      <c r="G692" s="8" t="s">
        <v>199</v>
      </c>
      <c r="H692" s="8" t="s">
        <v>200</v>
      </c>
      <c r="I692" s="109" t="s">
        <v>556</v>
      </c>
      <c r="J692" s="8" t="s">
        <v>212</v>
      </c>
      <c r="K692" s="14" t="b">
        <v>1</v>
      </c>
      <c r="L692" s="14" t="b">
        <v>0</v>
      </c>
      <c r="M692" s="14" t="b">
        <v>0</v>
      </c>
      <c r="N692" s="14" t="b">
        <v>1</v>
      </c>
      <c r="O692" s="14" t="b">
        <v>1</v>
      </c>
      <c r="W692" s="3"/>
    </row>
    <row r="693" spans="1:23" x14ac:dyDescent="0.25">
      <c r="A693" s="4">
        <v>7245269000187</v>
      </c>
      <c r="B693" s="8" t="s">
        <v>816</v>
      </c>
      <c r="C693" s="8" t="s">
        <v>76</v>
      </c>
      <c r="D693" s="7" t="s">
        <v>77</v>
      </c>
      <c r="E693" s="7" t="s">
        <v>215</v>
      </c>
      <c r="F693" s="6">
        <v>2</v>
      </c>
      <c r="G693" s="8" t="s">
        <v>199</v>
      </c>
      <c r="H693" s="8" t="s">
        <v>200</v>
      </c>
      <c r="I693" s="109" t="s">
        <v>556</v>
      </c>
      <c r="J693" s="8" t="s">
        <v>212</v>
      </c>
      <c r="K693" s="14" t="b">
        <v>1</v>
      </c>
      <c r="L693" s="14" t="b">
        <v>0</v>
      </c>
      <c r="M693" s="14" t="b">
        <v>0</v>
      </c>
      <c r="N693" s="14" t="b">
        <v>1</v>
      </c>
      <c r="O693" s="14" t="b">
        <v>1</v>
      </c>
      <c r="W693" s="3"/>
    </row>
    <row r="694" spans="1:23" x14ac:dyDescent="0.25">
      <c r="A694" s="4">
        <v>7272404000183</v>
      </c>
      <c r="B694" s="8" t="s">
        <v>817</v>
      </c>
      <c r="C694" s="8" t="s">
        <v>76</v>
      </c>
      <c r="D694" s="7" t="s">
        <v>77</v>
      </c>
      <c r="E694" s="7" t="s">
        <v>215</v>
      </c>
      <c r="F694" s="6">
        <v>2</v>
      </c>
      <c r="G694" s="8" t="s">
        <v>199</v>
      </c>
      <c r="H694" s="8" t="s">
        <v>200</v>
      </c>
      <c r="I694" s="109" t="s">
        <v>556</v>
      </c>
      <c r="J694" s="8" t="s">
        <v>212</v>
      </c>
      <c r="K694" s="14" t="b">
        <v>1</v>
      </c>
      <c r="L694" s="14" t="b">
        <v>0</v>
      </c>
      <c r="M694" s="14" t="b">
        <v>0</v>
      </c>
      <c r="N694" s="14" t="b">
        <v>1</v>
      </c>
      <c r="O694" s="14" t="b">
        <v>1</v>
      </c>
      <c r="W694" s="3"/>
    </row>
    <row r="695" spans="1:23" x14ac:dyDescent="0.25">
      <c r="A695" s="4">
        <v>7272636000212</v>
      </c>
      <c r="B695" s="8" t="s">
        <v>818</v>
      </c>
      <c r="C695" s="8" t="s">
        <v>76</v>
      </c>
      <c r="D695" s="7" t="s">
        <v>77</v>
      </c>
      <c r="E695" s="7" t="s">
        <v>215</v>
      </c>
      <c r="F695" s="6">
        <v>2</v>
      </c>
      <c r="G695" s="8" t="s">
        <v>199</v>
      </c>
      <c r="H695" s="8" t="s">
        <v>200</v>
      </c>
      <c r="I695" s="109" t="s">
        <v>556</v>
      </c>
      <c r="J695" s="8" t="s">
        <v>212</v>
      </c>
      <c r="K695" s="14" t="b">
        <v>1</v>
      </c>
      <c r="L695" s="14" t="b">
        <v>0</v>
      </c>
      <c r="M695" s="14" t="b">
        <v>0</v>
      </c>
      <c r="N695" s="14" t="b">
        <v>1</v>
      </c>
      <c r="O695" s="14" t="b">
        <v>1</v>
      </c>
      <c r="W695" s="3"/>
    </row>
    <row r="696" spans="1:23" x14ac:dyDescent="0.25">
      <c r="A696" s="4">
        <v>7835044000180</v>
      </c>
      <c r="B696" s="8" t="s">
        <v>822</v>
      </c>
      <c r="C696" s="8" t="s">
        <v>76</v>
      </c>
      <c r="D696" s="7" t="s">
        <v>77</v>
      </c>
      <c r="E696" s="7" t="s">
        <v>215</v>
      </c>
      <c r="F696" s="6">
        <v>2</v>
      </c>
      <c r="G696" s="8" t="s">
        <v>199</v>
      </c>
      <c r="H696" s="8" t="s">
        <v>200</v>
      </c>
      <c r="I696" s="109" t="s">
        <v>556</v>
      </c>
      <c r="J696" s="8" t="s">
        <v>212</v>
      </c>
      <c r="K696" s="14" t="b">
        <v>1</v>
      </c>
      <c r="L696" s="14" t="b">
        <v>0</v>
      </c>
      <c r="M696" s="14" t="b">
        <v>0</v>
      </c>
      <c r="N696" s="14" t="b">
        <v>1</v>
      </c>
      <c r="O696" s="14" t="b">
        <v>1</v>
      </c>
      <c r="W696" s="3"/>
    </row>
    <row r="697" spans="1:23" x14ac:dyDescent="0.25">
      <c r="A697" s="4">
        <v>8319329000121</v>
      </c>
      <c r="B697" s="8" t="s">
        <v>823</v>
      </c>
      <c r="C697" s="8" t="s">
        <v>62</v>
      </c>
      <c r="D697" s="7" t="s">
        <v>63</v>
      </c>
      <c r="E697" s="7" t="s">
        <v>215</v>
      </c>
      <c r="F697" s="6">
        <v>2</v>
      </c>
      <c r="G697" s="8" t="s">
        <v>199</v>
      </c>
      <c r="H697" s="8" t="s">
        <v>200</v>
      </c>
      <c r="I697" s="109" t="s">
        <v>556</v>
      </c>
      <c r="J697" s="8" t="s">
        <v>212</v>
      </c>
      <c r="K697" s="14" t="b">
        <v>1</v>
      </c>
      <c r="L697" s="14" t="b">
        <v>0</v>
      </c>
      <c r="M697" s="14" t="b">
        <v>0</v>
      </c>
      <c r="N697" s="14" t="b">
        <v>1</v>
      </c>
      <c r="O697" s="14" t="b">
        <v>1</v>
      </c>
      <c r="W697" s="3"/>
    </row>
    <row r="698" spans="1:23" x14ac:dyDescent="0.25">
      <c r="A698" s="4">
        <v>8337586000196</v>
      </c>
      <c r="B698" s="8" t="s">
        <v>824</v>
      </c>
      <c r="C698" s="8" t="s">
        <v>62</v>
      </c>
      <c r="D698" s="7" t="s">
        <v>63</v>
      </c>
      <c r="E698" s="7" t="s">
        <v>215</v>
      </c>
      <c r="F698" s="6">
        <v>2</v>
      </c>
      <c r="G698" s="8" t="s">
        <v>199</v>
      </c>
      <c r="H698" s="8" t="s">
        <v>200</v>
      </c>
      <c r="I698" s="109" t="s">
        <v>556</v>
      </c>
      <c r="J698" s="8" t="s">
        <v>212</v>
      </c>
      <c r="K698" s="14" t="b">
        <v>1</v>
      </c>
      <c r="L698" s="14" t="b">
        <v>0</v>
      </c>
      <c r="M698" s="14" t="b">
        <v>0</v>
      </c>
      <c r="N698" s="14" t="b">
        <v>1</v>
      </c>
      <c r="O698" s="14" t="b">
        <v>1</v>
      </c>
      <c r="W698" s="3"/>
    </row>
    <row r="699" spans="1:23" x14ac:dyDescent="0.25">
      <c r="A699" s="4">
        <v>8380701000610</v>
      </c>
      <c r="B699" s="8" t="s">
        <v>825</v>
      </c>
      <c r="C699" s="8" t="s">
        <v>62</v>
      </c>
      <c r="D699" s="7" t="s">
        <v>63</v>
      </c>
      <c r="E699" s="7" t="s">
        <v>215</v>
      </c>
      <c r="F699" s="6">
        <v>2</v>
      </c>
      <c r="G699" s="8" t="s">
        <v>199</v>
      </c>
      <c r="H699" s="8" t="s">
        <v>200</v>
      </c>
      <c r="I699" s="109" t="s">
        <v>556</v>
      </c>
      <c r="J699" s="8" t="s">
        <v>212</v>
      </c>
      <c r="K699" s="14" t="b">
        <v>1</v>
      </c>
      <c r="L699" s="14" t="b">
        <v>0</v>
      </c>
      <c r="M699" s="14" t="b">
        <v>0</v>
      </c>
      <c r="N699" s="14" t="b">
        <v>1</v>
      </c>
      <c r="O699" s="14" t="b">
        <v>1</v>
      </c>
      <c r="W699" s="3"/>
    </row>
    <row r="700" spans="1:23" x14ac:dyDescent="0.25">
      <c r="A700" s="4">
        <v>8380701001772</v>
      </c>
      <c r="B700" s="8" t="s">
        <v>826</v>
      </c>
      <c r="C700" s="8" t="s">
        <v>62</v>
      </c>
      <c r="D700" s="7" t="s">
        <v>63</v>
      </c>
      <c r="E700" s="7" t="s">
        <v>215</v>
      </c>
      <c r="F700" s="6">
        <v>2</v>
      </c>
      <c r="G700" s="8" t="s">
        <v>199</v>
      </c>
      <c r="H700" s="8" t="s">
        <v>200</v>
      </c>
      <c r="I700" s="109" t="s">
        <v>556</v>
      </c>
      <c r="J700" s="8" t="s">
        <v>212</v>
      </c>
      <c r="K700" s="14" t="b">
        <v>1</v>
      </c>
      <c r="L700" s="14" t="b">
        <v>0</v>
      </c>
      <c r="M700" s="14" t="b">
        <v>0</v>
      </c>
      <c r="N700" s="14" t="b">
        <v>1</v>
      </c>
      <c r="O700" s="14" t="b">
        <v>1</v>
      </c>
      <c r="W700" s="3"/>
    </row>
    <row r="701" spans="1:23" x14ac:dyDescent="0.25">
      <c r="A701" s="4">
        <v>8680639000681</v>
      </c>
      <c r="B701" s="8" t="s">
        <v>827</v>
      </c>
      <c r="C701" s="8" t="s">
        <v>747</v>
      </c>
      <c r="D701" s="7" t="s">
        <v>56</v>
      </c>
      <c r="E701" s="7" t="s">
        <v>215</v>
      </c>
      <c r="F701" s="6">
        <v>2</v>
      </c>
      <c r="G701" s="8" t="s">
        <v>199</v>
      </c>
      <c r="H701" s="8" t="s">
        <v>200</v>
      </c>
      <c r="I701" s="109" t="s">
        <v>556</v>
      </c>
      <c r="J701" s="8" t="s">
        <v>212</v>
      </c>
      <c r="K701" s="14" t="b">
        <v>1</v>
      </c>
      <c r="L701" s="14" t="b">
        <v>0</v>
      </c>
      <c r="M701" s="14" t="b">
        <v>0</v>
      </c>
      <c r="N701" s="14" t="b">
        <v>1</v>
      </c>
      <c r="O701" s="14" t="b">
        <v>1</v>
      </c>
      <c r="W701" s="3"/>
    </row>
    <row r="702" spans="1:23" x14ac:dyDescent="0.25">
      <c r="A702" s="4">
        <v>8711085000128</v>
      </c>
      <c r="B702" s="8" t="s">
        <v>828</v>
      </c>
      <c r="C702" s="8" t="s">
        <v>76</v>
      </c>
      <c r="D702" s="7" t="s">
        <v>77</v>
      </c>
      <c r="E702" s="7" t="s">
        <v>215</v>
      </c>
      <c r="F702" s="6">
        <v>2</v>
      </c>
      <c r="G702" s="8" t="s">
        <v>199</v>
      </c>
      <c r="H702" s="8" t="s">
        <v>200</v>
      </c>
      <c r="I702" s="109" t="s">
        <v>556</v>
      </c>
      <c r="J702" s="8" t="s">
        <v>212</v>
      </c>
      <c r="K702" s="14" t="b">
        <v>1</v>
      </c>
      <c r="L702" s="14" t="b">
        <v>0</v>
      </c>
      <c r="M702" s="14" t="b">
        <v>0</v>
      </c>
      <c r="N702" s="14" t="b">
        <v>1</v>
      </c>
      <c r="O702" s="14" t="b">
        <v>1</v>
      </c>
      <c r="W702" s="3"/>
    </row>
    <row r="703" spans="1:23" x14ac:dyDescent="0.25">
      <c r="A703" s="4">
        <v>9039744000275</v>
      </c>
      <c r="B703" s="8" t="s">
        <v>829</v>
      </c>
      <c r="C703" s="8" t="s">
        <v>99</v>
      </c>
      <c r="D703" s="7" t="s">
        <v>71</v>
      </c>
      <c r="E703" s="7" t="s">
        <v>215</v>
      </c>
      <c r="F703" s="6">
        <v>2</v>
      </c>
      <c r="G703" s="8" t="s">
        <v>199</v>
      </c>
      <c r="H703" s="8" t="s">
        <v>200</v>
      </c>
      <c r="I703" s="109" t="s">
        <v>556</v>
      </c>
      <c r="J703" s="8" t="s">
        <v>212</v>
      </c>
      <c r="K703" s="14" t="b">
        <v>1</v>
      </c>
      <c r="L703" s="14" t="b">
        <v>0</v>
      </c>
      <c r="M703" s="14" t="b">
        <v>0</v>
      </c>
      <c r="N703" s="14" t="b">
        <v>1</v>
      </c>
      <c r="O703" s="14" t="b">
        <v>1</v>
      </c>
      <c r="W703" s="3"/>
    </row>
    <row r="704" spans="1:23" x14ac:dyDescent="0.25">
      <c r="A704" s="4">
        <v>9577422000280</v>
      </c>
      <c r="B704" s="8" t="s">
        <v>1390</v>
      </c>
      <c r="C704" s="8" t="s">
        <v>70</v>
      </c>
      <c r="D704" s="7" t="s">
        <v>71</v>
      </c>
      <c r="E704" s="7" t="s">
        <v>215</v>
      </c>
      <c r="F704" s="6">
        <v>2</v>
      </c>
      <c r="G704" s="8" t="s">
        <v>199</v>
      </c>
      <c r="H704" s="8" t="s">
        <v>200</v>
      </c>
      <c r="I704" s="109" t="s">
        <v>556</v>
      </c>
      <c r="J704" s="8" t="s">
        <v>212</v>
      </c>
      <c r="K704" s="14" t="b">
        <v>1</v>
      </c>
      <c r="L704" s="14" t="b">
        <v>0</v>
      </c>
      <c r="M704" s="14" t="b">
        <v>0</v>
      </c>
      <c r="N704" s="14" t="b">
        <v>1</v>
      </c>
      <c r="O704" s="14" t="b">
        <v>1</v>
      </c>
      <c r="W704" s="3"/>
    </row>
    <row r="705" spans="1:23" x14ac:dyDescent="0.25">
      <c r="A705" s="4">
        <v>10572048000209</v>
      </c>
      <c r="B705" s="8" t="s">
        <v>833</v>
      </c>
      <c r="C705" s="8" t="s">
        <v>70</v>
      </c>
      <c r="D705" s="7" t="s">
        <v>71</v>
      </c>
      <c r="E705" s="7" t="s">
        <v>215</v>
      </c>
      <c r="F705" s="6">
        <v>2</v>
      </c>
      <c r="G705" s="8" t="s">
        <v>199</v>
      </c>
      <c r="H705" s="8" t="s">
        <v>200</v>
      </c>
      <c r="I705" s="109" t="s">
        <v>556</v>
      </c>
      <c r="J705" s="8" t="s">
        <v>212</v>
      </c>
      <c r="K705" s="14" t="b">
        <v>1</v>
      </c>
      <c r="L705" s="14" t="b">
        <v>0</v>
      </c>
      <c r="M705" s="14" t="b">
        <v>0</v>
      </c>
      <c r="N705" s="14" t="b">
        <v>1</v>
      </c>
      <c r="O705" s="14" t="b">
        <v>1</v>
      </c>
      <c r="W705" s="3"/>
    </row>
    <row r="706" spans="1:23" x14ac:dyDescent="0.25">
      <c r="A706" s="4">
        <v>10839561000132</v>
      </c>
      <c r="B706" s="8" t="s">
        <v>834</v>
      </c>
      <c r="C706" s="8" t="s">
        <v>70</v>
      </c>
      <c r="D706" s="7" t="s">
        <v>71</v>
      </c>
      <c r="E706" s="7" t="s">
        <v>215</v>
      </c>
      <c r="F706" s="6">
        <v>2</v>
      </c>
      <c r="G706" s="8" t="s">
        <v>199</v>
      </c>
      <c r="H706" s="8" t="s">
        <v>200</v>
      </c>
      <c r="I706" s="109" t="s">
        <v>556</v>
      </c>
      <c r="J706" s="8" t="s">
        <v>212</v>
      </c>
      <c r="K706" s="14" t="b">
        <v>1</v>
      </c>
      <c r="L706" s="14" t="b">
        <v>0</v>
      </c>
      <c r="M706" s="14" t="b">
        <v>0</v>
      </c>
      <c r="N706" s="14" t="b">
        <v>1</v>
      </c>
      <c r="O706" s="14" t="b">
        <v>1</v>
      </c>
      <c r="W706" s="3"/>
    </row>
    <row r="707" spans="1:23" x14ac:dyDescent="0.25">
      <c r="A707" s="4">
        <v>10892164000124</v>
      </c>
      <c r="B707" s="8" t="s">
        <v>835</v>
      </c>
      <c r="C707" s="8" t="s">
        <v>70</v>
      </c>
      <c r="D707" s="7" t="s">
        <v>71</v>
      </c>
      <c r="E707" s="7" t="s">
        <v>215</v>
      </c>
      <c r="F707" s="6">
        <v>2</v>
      </c>
      <c r="G707" s="8" t="s">
        <v>199</v>
      </c>
      <c r="H707" s="8" t="s">
        <v>200</v>
      </c>
      <c r="I707" s="109" t="s">
        <v>556</v>
      </c>
      <c r="J707" s="8" t="s">
        <v>212</v>
      </c>
      <c r="K707" s="14" t="b">
        <v>1</v>
      </c>
      <c r="L707" s="14" t="b">
        <v>0</v>
      </c>
      <c r="M707" s="14" t="b">
        <v>0</v>
      </c>
      <c r="N707" s="14" t="b">
        <v>1</v>
      </c>
      <c r="O707" s="14" t="b">
        <v>1</v>
      </c>
      <c r="W707" s="3"/>
    </row>
    <row r="708" spans="1:23" x14ac:dyDescent="0.25">
      <c r="A708" s="4">
        <v>10988301000129</v>
      </c>
      <c r="B708" s="8" t="s">
        <v>837</v>
      </c>
      <c r="C708" s="8" t="s">
        <v>70</v>
      </c>
      <c r="D708" s="7" t="s">
        <v>71</v>
      </c>
      <c r="E708" s="7" t="s">
        <v>215</v>
      </c>
      <c r="F708" s="6">
        <v>2</v>
      </c>
      <c r="G708" s="8" t="s">
        <v>199</v>
      </c>
      <c r="H708" s="8" t="s">
        <v>200</v>
      </c>
      <c r="I708" s="109" t="s">
        <v>556</v>
      </c>
      <c r="J708" s="8" t="s">
        <v>212</v>
      </c>
      <c r="K708" s="14" t="b">
        <v>1</v>
      </c>
      <c r="L708" s="14" t="b">
        <v>0</v>
      </c>
      <c r="M708" s="14" t="b">
        <v>0</v>
      </c>
      <c r="N708" s="14" t="b">
        <v>1</v>
      </c>
      <c r="O708" s="14" t="b">
        <v>1</v>
      </c>
      <c r="W708" s="3"/>
    </row>
    <row r="709" spans="1:23" x14ac:dyDescent="0.25">
      <c r="A709" s="4">
        <v>11022597001325</v>
      </c>
      <c r="B709" s="8" t="s">
        <v>839</v>
      </c>
      <c r="C709" s="8" t="s">
        <v>70</v>
      </c>
      <c r="D709" s="7" t="s">
        <v>71</v>
      </c>
      <c r="E709" s="7" t="s">
        <v>215</v>
      </c>
      <c r="F709" s="6">
        <v>2</v>
      </c>
      <c r="G709" s="8" t="s">
        <v>199</v>
      </c>
      <c r="H709" s="8" t="s">
        <v>200</v>
      </c>
      <c r="I709" s="109" t="s">
        <v>556</v>
      </c>
      <c r="J709" s="8" t="s">
        <v>212</v>
      </c>
      <c r="K709" s="14" t="b">
        <v>1</v>
      </c>
      <c r="L709" s="14" t="b">
        <v>0</v>
      </c>
      <c r="M709" s="14" t="b">
        <v>0</v>
      </c>
      <c r="N709" s="14" t="b">
        <v>1</v>
      </c>
      <c r="O709" s="14" t="b">
        <v>1</v>
      </c>
      <c r="W709" s="3"/>
    </row>
    <row r="710" spans="1:23" x14ac:dyDescent="0.25">
      <c r="A710" s="4">
        <v>11022597001597</v>
      </c>
      <c r="B710" s="8" t="s">
        <v>840</v>
      </c>
      <c r="C710" s="8" t="s">
        <v>70</v>
      </c>
      <c r="D710" s="7" t="s">
        <v>71</v>
      </c>
      <c r="E710" s="7" t="s">
        <v>215</v>
      </c>
      <c r="F710" s="6">
        <v>2</v>
      </c>
      <c r="G710" s="8" t="s">
        <v>199</v>
      </c>
      <c r="H710" s="8" t="s">
        <v>200</v>
      </c>
      <c r="I710" s="109" t="s">
        <v>556</v>
      </c>
      <c r="J710" s="8" t="s">
        <v>212</v>
      </c>
      <c r="K710" s="14" t="b">
        <v>1</v>
      </c>
      <c r="L710" s="14" t="b">
        <v>0</v>
      </c>
      <c r="M710" s="14" t="b">
        <v>0</v>
      </c>
      <c r="N710" s="14" t="b">
        <v>1</v>
      </c>
      <c r="O710" s="14" t="b">
        <v>1</v>
      </c>
      <c r="W710" s="3"/>
    </row>
    <row r="711" spans="1:23" x14ac:dyDescent="0.25">
      <c r="A711" s="4">
        <v>11214624000470</v>
      </c>
      <c r="B711" s="8" t="s">
        <v>841</v>
      </c>
      <c r="C711" s="8" t="s">
        <v>70</v>
      </c>
      <c r="D711" s="7" t="s">
        <v>71</v>
      </c>
      <c r="E711" s="7" t="s">
        <v>215</v>
      </c>
      <c r="F711" s="6">
        <v>2</v>
      </c>
      <c r="G711" s="8" t="s">
        <v>199</v>
      </c>
      <c r="H711" s="8" t="s">
        <v>200</v>
      </c>
      <c r="I711" s="109" t="s">
        <v>556</v>
      </c>
      <c r="J711" s="8" t="s">
        <v>212</v>
      </c>
      <c r="K711" s="14" t="b">
        <v>1</v>
      </c>
      <c r="L711" s="14" t="b">
        <v>0</v>
      </c>
      <c r="M711" s="14" t="b">
        <v>0</v>
      </c>
      <c r="N711" s="14" t="b">
        <v>1</v>
      </c>
      <c r="O711" s="14" t="b">
        <v>1</v>
      </c>
      <c r="W711" s="3"/>
    </row>
    <row r="712" spans="1:23" x14ac:dyDescent="0.25">
      <c r="A712" s="4">
        <v>11214624001957</v>
      </c>
      <c r="B712" s="8" t="s">
        <v>842</v>
      </c>
      <c r="C712" s="8" t="s">
        <v>70</v>
      </c>
      <c r="D712" s="7" t="s">
        <v>71</v>
      </c>
      <c r="E712" s="7" t="s">
        <v>215</v>
      </c>
      <c r="F712" s="6">
        <v>2</v>
      </c>
      <c r="G712" s="8" t="s">
        <v>199</v>
      </c>
      <c r="H712" s="8" t="s">
        <v>200</v>
      </c>
      <c r="I712" s="109" t="s">
        <v>556</v>
      </c>
      <c r="J712" s="8" t="s">
        <v>212</v>
      </c>
      <c r="K712" s="14" t="b">
        <v>1</v>
      </c>
      <c r="L712" s="14" t="b">
        <v>0</v>
      </c>
      <c r="M712" s="14" t="b">
        <v>0</v>
      </c>
      <c r="N712" s="14" t="b">
        <v>1</v>
      </c>
      <c r="O712" s="14" t="b">
        <v>1</v>
      </c>
      <c r="W712" s="3"/>
    </row>
    <row r="713" spans="1:23" x14ac:dyDescent="0.25">
      <c r="A713" s="4">
        <v>11273170000166</v>
      </c>
      <c r="B713" s="8" t="s">
        <v>843</v>
      </c>
      <c r="C713" s="8" t="s">
        <v>81</v>
      </c>
      <c r="D713" s="7" t="s">
        <v>82</v>
      </c>
      <c r="E713" s="7" t="s">
        <v>215</v>
      </c>
      <c r="F713" s="6">
        <v>2</v>
      </c>
      <c r="G713" s="8" t="s">
        <v>199</v>
      </c>
      <c r="H713" s="8" t="s">
        <v>200</v>
      </c>
      <c r="I713" s="109" t="s">
        <v>556</v>
      </c>
      <c r="J713" s="8" t="s">
        <v>212</v>
      </c>
      <c r="K713" s="14" t="b">
        <v>1</v>
      </c>
      <c r="L713" s="14" t="b">
        <v>0</v>
      </c>
      <c r="M713" s="14" t="b">
        <v>0</v>
      </c>
      <c r="N713" s="14" t="b">
        <v>1</v>
      </c>
      <c r="O713" s="14" t="b">
        <v>1</v>
      </c>
      <c r="W713" s="3"/>
    </row>
    <row r="714" spans="1:23" x14ac:dyDescent="0.25">
      <c r="A714" s="4">
        <v>11452240000143</v>
      </c>
      <c r="B714" s="8" t="s">
        <v>844</v>
      </c>
      <c r="C714" s="8" t="s">
        <v>70</v>
      </c>
      <c r="D714" s="7" t="s">
        <v>71</v>
      </c>
      <c r="E714" s="7" t="s">
        <v>215</v>
      </c>
      <c r="F714" s="6">
        <v>2</v>
      </c>
      <c r="G714" s="8" t="s">
        <v>199</v>
      </c>
      <c r="H714" s="8" t="s">
        <v>200</v>
      </c>
      <c r="I714" s="109" t="s">
        <v>556</v>
      </c>
      <c r="J714" s="8" t="s">
        <v>212</v>
      </c>
      <c r="K714" s="14" t="b">
        <v>1</v>
      </c>
      <c r="L714" s="14" t="b">
        <v>0</v>
      </c>
      <c r="M714" s="14" t="b">
        <v>0</v>
      </c>
      <c r="N714" s="14" t="b">
        <v>1</v>
      </c>
      <c r="O714" s="14" t="b">
        <v>1</v>
      </c>
      <c r="W714" s="3"/>
    </row>
    <row r="715" spans="1:23" x14ac:dyDescent="0.25">
      <c r="A715" s="4">
        <v>11794674000121</v>
      </c>
      <c r="B715" s="8" t="s">
        <v>845</v>
      </c>
      <c r="C715" s="8" t="s">
        <v>76</v>
      </c>
      <c r="D715" s="7" t="s">
        <v>77</v>
      </c>
      <c r="E715" s="7" t="s">
        <v>215</v>
      </c>
      <c r="F715" s="6">
        <v>2</v>
      </c>
      <c r="G715" s="8" t="s">
        <v>199</v>
      </c>
      <c r="H715" s="8" t="s">
        <v>200</v>
      </c>
      <c r="I715" s="109" t="s">
        <v>556</v>
      </c>
      <c r="J715" s="8" t="s">
        <v>212</v>
      </c>
      <c r="K715" s="14" t="b">
        <v>1</v>
      </c>
      <c r="L715" s="14" t="b">
        <v>0</v>
      </c>
      <c r="M715" s="14" t="b">
        <v>0</v>
      </c>
      <c r="N715" s="14" t="b">
        <v>1</v>
      </c>
      <c r="O715" s="14" t="b">
        <v>1</v>
      </c>
      <c r="W715" s="3"/>
    </row>
    <row r="716" spans="1:23" x14ac:dyDescent="0.25">
      <c r="A716" s="4">
        <v>11943553000102</v>
      </c>
      <c r="B716" s="8" t="s">
        <v>847</v>
      </c>
      <c r="C716" s="8" t="s">
        <v>75</v>
      </c>
      <c r="D716" s="7" t="s">
        <v>74</v>
      </c>
      <c r="E716" s="7" t="s">
        <v>215</v>
      </c>
      <c r="F716" s="6">
        <v>2</v>
      </c>
      <c r="G716" s="8" t="s">
        <v>199</v>
      </c>
      <c r="H716" s="8" t="s">
        <v>200</v>
      </c>
      <c r="I716" s="109" t="s">
        <v>556</v>
      </c>
      <c r="J716" s="8" t="s">
        <v>212</v>
      </c>
      <c r="K716" s="14" t="b">
        <v>1</v>
      </c>
      <c r="L716" s="14" t="b">
        <v>0</v>
      </c>
      <c r="M716" s="14" t="b">
        <v>0</v>
      </c>
      <c r="N716" s="14" t="b">
        <v>1</v>
      </c>
      <c r="O716" s="14" t="b">
        <v>1</v>
      </c>
      <c r="W716" s="3"/>
    </row>
    <row r="717" spans="1:23" x14ac:dyDescent="0.25">
      <c r="A717" s="4">
        <v>12282163000193</v>
      </c>
      <c r="B717" s="8" t="s">
        <v>1391</v>
      </c>
      <c r="C717" s="8" t="s">
        <v>84</v>
      </c>
      <c r="D717" s="7" t="s">
        <v>85</v>
      </c>
      <c r="E717" s="7" t="s">
        <v>215</v>
      </c>
      <c r="F717" s="6">
        <v>2</v>
      </c>
      <c r="G717" s="8" t="s">
        <v>199</v>
      </c>
      <c r="H717" s="8" t="s">
        <v>200</v>
      </c>
      <c r="I717" s="109" t="s">
        <v>556</v>
      </c>
      <c r="J717" s="8" t="s">
        <v>212</v>
      </c>
      <c r="K717" s="14" t="b">
        <v>1</v>
      </c>
      <c r="L717" s="14" t="b">
        <v>0</v>
      </c>
      <c r="M717" s="14" t="b">
        <v>0</v>
      </c>
      <c r="N717" s="14" t="b">
        <v>1</v>
      </c>
      <c r="O717" s="14" t="b">
        <v>1</v>
      </c>
      <c r="W717" s="3"/>
    </row>
    <row r="718" spans="1:23" x14ac:dyDescent="0.25">
      <c r="A718" s="4">
        <v>12307187000150</v>
      </c>
      <c r="B718" s="8" t="s">
        <v>848</v>
      </c>
      <c r="C718" s="8" t="s">
        <v>742</v>
      </c>
      <c r="D718" s="7" t="s">
        <v>91</v>
      </c>
      <c r="E718" s="7" t="s">
        <v>215</v>
      </c>
      <c r="F718" s="6">
        <v>2</v>
      </c>
      <c r="G718" s="8" t="s">
        <v>199</v>
      </c>
      <c r="H718" s="8" t="s">
        <v>200</v>
      </c>
      <c r="I718" s="109" t="s">
        <v>556</v>
      </c>
      <c r="J718" s="8" t="s">
        <v>212</v>
      </c>
      <c r="K718" s="14" t="b">
        <v>1</v>
      </c>
      <c r="L718" s="14" t="b">
        <v>0</v>
      </c>
      <c r="M718" s="14" t="b">
        <v>0</v>
      </c>
      <c r="N718" s="14" t="b">
        <v>1</v>
      </c>
      <c r="O718" s="14" t="b">
        <v>1</v>
      </c>
      <c r="W718" s="3"/>
    </row>
    <row r="719" spans="1:23" x14ac:dyDescent="0.25">
      <c r="A719" s="4">
        <v>12361267000517</v>
      </c>
      <c r="B719" s="8" t="s">
        <v>849</v>
      </c>
      <c r="C719" s="8" t="s">
        <v>84</v>
      </c>
      <c r="D719" s="7" t="s">
        <v>85</v>
      </c>
      <c r="E719" s="7" t="s">
        <v>215</v>
      </c>
      <c r="F719" s="6">
        <v>2</v>
      </c>
      <c r="G719" s="8" t="s">
        <v>199</v>
      </c>
      <c r="H719" s="8" t="s">
        <v>200</v>
      </c>
      <c r="I719" s="109" t="s">
        <v>556</v>
      </c>
      <c r="J719" s="8" t="s">
        <v>212</v>
      </c>
      <c r="K719" s="14" t="b">
        <v>1</v>
      </c>
      <c r="L719" s="14" t="b">
        <v>0</v>
      </c>
      <c r="M719" s="14" t="b">
        <v>0</v>
      </c>
      <c r="N719" s="14" t="b">
        <v>1</v>
      </c>
      <c r="O719" s="14" t="b">
        <v>1</v>
      </c>
      <c r="W719" s="3"/>
    </row>
    <row r="720" spans="1:23" x14ac:dyDescent="0.25">
      <c r="A720" s="4">
        <v>12361267000860</v>
      </c>
      <c r="B720" s="8" t="s">
        <v>851</v>
      </c>
      <c r="C720" s="8" t="s">
        <v>742</v>
      </c>
      <c r="D720" s="7" t="s">
        <v>91</v>
      </c>
      <c r="E720" s="7" t="s">
        <v>215</v>
      </c>
      <c r="F720" s="6">
        <v>2</v>
      </c>
      <c r="G720" s="8" t="s">
        <v>199</v>
      </c>
      <c r="H720" s="8" t="s">
        <v>200</v>
      </c>
      <c r="I720" s="109" t="s">
        <v>556</v>
      </c>
      <c r="J720" s="8" t="s">
        <v>212</v>
      </c>
      <c r="K720" s="14" t="b">
        <v>1</v>
      </c>
      <c r="L720" s="14" t="b">
        <v>0</v>
      </c>
      <c r="M720" s="14" t="b">
        <v>0</v>
      </c>
      <c r="N720" s="14" t="b">
        <v>1</v>
      </c>
      <c r="O720" s="14" t="b">
        <v>1</v>
      </c>
      <c r="W720" s="3"/>
    </row>
    <row r="721" spans="1:23" x14ac:dyDescent="0.25">
      <c r="A721" s="4">
        <v>12361267004008</v>
      </c>
      <c r="B721" s="8" t="s">
        <v>852</v>
      </c>
      <c r="C721" s="8" t="s">
        <v>81</v>
      </c>
      <c r="D721" s="7" t="s">
        <v>82</v>
      </c>
      <c r="E721" s="7" t="s">
        <v>215</v>
      </c>
      <c r="F721" s="6">
        <v>2</v>
      </c>
      <c r="G721" s="8" t="s">
        <v>199</v>
      </c>
      <c r="H721" s="8" t="s">
        <v>200</v>
      </c>
      <c r="I721" s="109" t="s">
        <v>556</v>
      </c>
      <c r="J721" s="8" t="s">
        <v>212</v>
      </c>
      <c r="K721" s="14" t="b">
        <v>1</v>
      </c>
      <c r="L721" s="14" t="b">
        <v>0</v>
      </c>
      <c r="M721" s="14" t="b">
        <v>0</v>
      </c>
      <c r="N721" s="14" t="b">
        <v>1</v>
      </c>
      <c r="O721" s="14" t="b">
        <v>1</v>
      </c>
      <c r="W721" s="3"/>
    </row>
    <row r="722" spans="1:23" x14ac:dyDescent="0.25">
      <c r="A722" s="4">
        <v>12361267005748</v>
      </c>
      <c r="B722" s="8" t="s">
        <v>1299</v>
      </c>
      <c r="C722" s="8" t="s">
        <v>794</v>
      </c>
      <c r="D722" s="7" t="s">
        <v>71</v>
      </c>
      <c r="E722" s="7" t="s">
        <v>215</v>
      </c>
      <c r="F722" s="6">
        <v>2</v>
      </c>
      <c r="G722" s="8" t="s">
        <v>199</v>
      </c>
      <c r="H722" s="8" t="s">
        <v>200</v>
      </c>
      <c r="I722" s="109" t="s">
        <v>556</v>
      </c>
      <c r="J722" s="8" t="s">
        <v>212</v>
      </c>
      <c r="K722" s="14" t="b">
        <v>1</v>
      </c>
      <c r="L722" s="14" t="b">
        <v>0</v>
      </c>
      <c r="M722" s="14" t="b">
        <v>0</v>
      </c>
      <c r="N722" s="14" t="b">
        <v>1</v>
      </c>
      <c r="O722" s="14" t="b">
        <v>1</v>
      </c>
      <c r="W722" s="3"/>
    </row>
    <row r="723" spans="1:23" x14ac:dyDescent="0.25">
      <c r="A723" s="4">
        <v>12361267007287</v>
      </c>
      <c r="B723" s="8" t="s">
        <v>853</v>
      </c>
      <c r="C723" s="8" t="s">
        <v>70</v>
      </c>
      <c r="D723" s="7" t="s">
        <v>71</v>
      </c>
      <c r="E723" s="7" t="s">
        <v>215</v>
      </c>
      <c r="F723" s="6">
        <v>2</v>
      </c>
      <c r="G723" s="8" t="s">
        <v>199</v>
      </c>
      <c r="H723" s="8" t="s">
        <v>200</v>
      </c>
      <c r="I723" s="109" t="s">
        <v>556</v>
      </c>
      <c r="J723" s="8" t="s">
        <v>212</v>
      </c>
      <c r="K723" s="14" t="b">
        <v>1</v>
      </c>
      <c r="L723" s="14" t="b">
        <v>0</v>
      </c>
      <c r="M723" s="14" t="b">
        <v>0</v>
      </c>
      <c r="N723" s="14" t="b">
        <v>1</v>
      </c>
      <c r="O723" s="14" t="b">
        <v>1</v>
      </c>
      <c r="W723" s="3"/>
    </row>
    <row r="724" spans="1:23" x14ac:dyDescent="0.25">
      <c r="A724" s="4">
        <v>12361267008410</v>
      </c>
      <c r="B724" s="8" t="s">
        <v>854</v>
      </c>
      <c r="C724" s="8" t="s">
        <v>855</v>
      </c>
      <c r="D724" s="7" t="s">
        <v>77</v>
      </c>
      <c r="E724" s="7" t="s">
        <v>215</v>
      </c>
      <c r="F724" s="6">
        <v>2</v>
      </c>
      <c r="G724" s="8" t="s">
        <v>199</v>
      </c>
      <c r="H724" s="8" t="s">
        <v>200</v>
      </c>
      <c r="I724" s="109" t="s">
        <v>556</v>
      </c>
      <c r="J724" s="8" t="s">
        <v>212</v>
      </c>
      <c r="K724" s="14" t="b">
        <v>1</v>
      </c>
      <c r="L724" s="14" t="b">
        <v>0</v>
      </c>
      <c r="M724" s="14" t="b">
        <v>0</v>
      </c>
      <c r="N724" s="14" t="b">
        <v>1</v>
      </c>
      <c r="O724" s="14" t="b">
        <v>1</v>
      </c>
      <c r="W724" s="3"/>
    </row>
    <row r="725" spans="1:23" x14ac:dyDescent="0.25">
      <c r="A725" s="4">
        <v>12361267008844</v>
      </c>
      <c r="B725" s="8" t="s">
        <v>856</v>
      </c>
      <c r="C725" s="8" t="s">
        <v>857</v>
      </c>
      <c r="D725" s="7" t="s">
        <v>56</v>
      </c>
      <c r="E725" s="7" t="s">
        <v>215</v>
      </c>
      <c r="F725" s="6">
        <v>2</v>
      </c>
      <c r="G725" s="8" t="s">
        <v>199</v>
      </c>
      <c r="H725" s="8" t="s">
        <v>200</v>
      </c>
      <c r="I725" s="109" t="s">
        <v>556</v>
      </c>
      <c r="J725" s="8" t="s">
        <v>212</v>
      </c>
      <c r="K725" s="14" t="b">
        <v>1</v>
      </c>
      <c r="L725" s="14" t="b">
        <v>0</v>
      </c>
      <c r="M725" s="14" t="b">
        <v>0</v>
      </c>
      <c r="N725" s="14" t="b">
        <v>1</v>
      </c>
      <c r="O725" s="14" t="b">
        <v>1</v>
      </c>
      <c r="W725" s="3"/>
    </row>
    <row r="726" spans="1:23" x14ac:dyDescent="0.25">
      <c r="A726" s="4">
        <v>12361267009140</v>
      </c>
      <c r="B726" s="8" t="s">
        <v>858</v>
      </c>
      <c r="C726" s="8" t="s">
        <v>859</v>
      </c>
      <c r="D726" s="7" t="s">
        <v>63</v>
      </c>
      <c r="E726" s="7" t="s">
        <v>215</v>
      </c>
      <c r="F726" s="6">
        <v>2</v>
      </c>
      <c r="G726" s="8" t="s">
        <v>199</v>
      </c>
      <c r="H726" s="8" t="s">
        <v>200</v>
      </c>
      <c r="I726" s="109" t="s">
        <v>556</v>
      </c>
      <c r="J726" s="8" t="s">
        <v>212</v>
      </c>
      <c r="K726" s="14" t="b">
        <v>1</v>
      </c>
      <c r="L726" s="14" t="b">
        <v>0</v>
      </c>
      <c r="M726" s="14" t="b">
        <v>0</v>
      </c>
      <c r="N726" s="14" t="b">
        <v>1</v>
      </c>
      <c r="O726" s="14" t="b">
        <v>1</v>
      </c>
      <c r="W726" s="3"/>
    </row>
    <row r="727" spans="1:23" x14ac:dyDescent="0.25">
      <c r="A727" s="4">
        <v>12361267009654</v>
      </c>
      <c r="B727" s="8" t="s">
        <v>860</v>
      </c>
      <c r="C727" s="8" t="s">
        <v>62</v>
      </c>
      <c r="D727" s="7" t="s">
        <v>63</v>
      </c>
      <c r="E727" s="7" t="s">
        <v>215</v>
      </c>
      <c r="F727" s="6">
        <v>2</v>
      </c>
      <c r="G727" s="8" t="s">
        <v>199</v>
      </c>
      <c r="H727" s="8" t="s">
        <v>200</v>
      </c>
      <c r="I727" s="109" t="s">
        <v>556</v>
      </c>
      <c r="J727" s="8" t="s">
        <v>212</v>
      </c>
      <c r="K727" s="14" t="b">
        <v>1</v>
      </c>
      <c r="L727" s="14" t="b">
        <v>0</v>
      </c>
      <c r="M727" s="14" t="b">
        <v>0</v>
      </c>
      <c r="N727" s="14" t="b">
        <v>1</v>
      </c>
      <c r="O727" s="14" t="b">
        <v>1</v>
      </c>
      <c r="W727" s="3"/>
    </row>
    <row r="728" spans="1:23" x14ac:dyDescent="0.25">
      <c r="A728" s="4">
        <v>12361267010318</v>
      </c>
      <c r="B728" s="8" t="s">
        <v>861</v>
      </c>
      <c r="C728" s="8" t="s">
        <v>75</v>
      </c>
      <c r="D728" s="7" t="s">
        <v>74</v>
      </c>
      <c r="E728" s="7" t="s">
        <v>215</v>
      </c>
      <c r="F728" s="6">
        <v>2</v>
      </c>
      <c r="G728" s="8" t="s">
        <v>199</v>
      </c>
      <c r="H728" s="8" t="s">
        <v>200</v>
      </c>
      <c r="I728" s="109" t="s">
        <v>556</v>
      </c>
      <c r="J728" s="8" t="s">
        <v>212</v>
      </c>
      <c r="K728" s="14" t="b">
        <v>1</v>
      </c>
      <c r="L728" s="14" t="b">
        <v>0</v>
      </c>
      <c r="M728" s="14" t="b">
        <v>0</v>
      </c>
      <c r="N728" s="14" t="b">
        <v>1</v>
      </c>
      <c r="O728" s="14" t="b">
        <v>1</v>
      </c>
      <c r="W728" s="3"/>
    </row>
    <row r="729" spans="1:23" x14ac:dyDescent="0.25">
      <c r="A729" s="4">
        <v>12361267010407</v>
      </c>
      <c r="B729" s="8" t="s">
        <v>862</v>
      </c>
      <c r="C729" s="8" t="s">
        <v>86</v>
      </c>
      <c r="D729" s="7" t="s">
        <v>74</v>
      </c>
      <c r="E729" s="7" t="s">
        <v>215</v>
      </c>
      <c r="F729" s="6">
        <v>2</v>
      </c>
      <c r="G729" s="8" t="s">
        <v>199</v>
      </c>
      <c r="H729" s="8" t="s">
        <v>200</v>
      </c>
      <c r="I729" s="109" t="s">
        <v>556</v>
      </c>
      <c r="J729" s="8" t="s">
        <v>212</v>
      </c>
      <c r="K729" s="14" t="b">
        <v>1</v>
      </c>
      <c r="L729" s="14" t="b">
        <v>0</v>
      </c>
      <c r="M729" s="14" t="b">
        <v>0</v>
      </c>
      <c r="N729" s="14" t="b">
        <v>1</v>
      </c>
      <c r="O729" s="14" t="b">
        <v>1</v>
      </c>
      <c r="W729" s="3"/>
    </row>
    <row r="730" spans="1:23" x14ac:dyDescent="0.25">
      <c r="A730" s="4">
        <v>12361267011802</v>
      </c>
      <c r="B730" s="8" t="s">
        <v>863</v>
      </c>
      <c r="C730" s="8" t="s">
        <v>76</v>
      </c>
      <c r="D730" s="7" t="s">
        <v>77</v>
      </c>
      <c r="E730" s="7" t="s">
        <v>215</v>
      </c>
      <c r="F730" s="6">
        <v>2</v>
      </c>
      <c r="G730" s="8" t="s">
        <v>199</v>
      </c>
      <c r="H730" s="8" t="s">
        <v>200</v>
      </c>
      <c r="I730" s="109" t="s">
        <v>556</v>
      </c>
      <c r="J730" s="8" t="s">
        <v>212</v>
      </c>
      <c r="K730" s="14" t="b">
        <v>1</v>
      </c>
      <c r="L730" s="14" t="b">
        <v>0</v>
      </c>
      <c r="M730" s="14" t="b">
        <v>0</v>
      </c>
      <c r="N730" s="14" t="b">
        <v>1</v>
      </c>
      <c r="O730" s="14" t="b">
        <v>1</v>
      </c>
      <c r="W730" s="3"/>
    </row>
    <row r="731" spans="1:23" x14ac:dyDescent="0.25">
      <c r="A731" s="4">
        <v>12361267014739</v>
      </c>
      <c r="B731" s="8" t="s">
        <v>864</v>
      </c>
      <c r="C731" s="8" t="s">
        <v>75</v>
      </c>
      <c r="D731" s="7" t="s">
        <v>74</v>
      </c>
      <c r="E731" s="7" t="s">
        <v>215</v>
      </c>
      <c r="F731" s="6">
        <v>2</v>
      </c>
      <c r="G731" s="8" t="s">
        <v>199</v>
      </c>
      <c r="H731" s="8" t="s">
        <v>200</v>
      </c>
      <c r="I731" s="109" t="s">
        <v>556</v>
      </c>
      <c r="J731" s="8" t="s">
        <v>212</v>
      </c>
      <c r="K731" s="14" t="b">
        <v>1</v>
      </c>
      <c r="L731" s="14" t="b">
        <v>0</v>
      </c>
      <c r="M731" s="14" t="b">
        <v>0</v>
      </c>
      <c r="N731" s="14" t="b">
        <v>1</v>
      </c>
      <c r="O731" s="14" t="b">
        <v>1</v>
      </c>
      <c r="W731" s="3"/>
    </row>
    <row r="732" spans="1:23" x14ac:dyDescent="0.25">
      <c r="A732" s="4">
        <v>12442737000496</v>
      </c>
      <c r="B732" s="8" t="s">
        <v>865</v>
      </c>
      <c r="C732" s="8" t="s">
        <v>742</v>
      </c>
      <c r="D732" s="7" t="s">
        <v>91</v>
      </c>
      <c r="E732" s="7" t="s">
        <v>215</v>
      </c>
      <c r="F732" s="6">
        <v>2</v>
      </c>
      <c r="G732" s="8" t="s">
        <v>199</v>
      </c>
      <c r="H732" s="8" t="s">
        <v>200</v>
      </c>
      <c r="I732" s="109" t="s">
        <v>556</v>
      </c>
      <c r="J732" s="8" t="s">
        <v>212</v>
      </c>
      <c r="K732" s="14" t="b">
        <v>1</v>
      </c>
      <c r="L732" s="14" t="b">
        <v>0</v>
      </c>
      <c r="M732" s="14" t="b">
        <v>0</v>
      </c>
      <c r="N732" s="14" t="b">
        <v>1</v>
      </c>
      <c r="O732" s="14" t="b">
        <v>1</v>
      </c>
      <c r="W732" s="3"/>
    </row>
    <row r="733" spans="1:23" x14ac:dyDescent="0.25">
      <c r="A733" s="4">
        <v>12568570000161</v>
      </c>
      <c r="B733" s="8" t="s">
        <v>866</v>
      </c>
      <c r="C733" s="8" t="s">
        <v>76</v>
      </c>
      <c r="D733" s="7" t="s">
        <v>77</v>
      </c>
      <c r="E733" s="7" t="s">
        <v>215</v>
      </c>
      <c r="F733" s="6">
        <v>2</v>
      </c>
      <c r="G733" s="8" t="s">
        <v>199</v>
      </c>
      <c r="H733" s="8" t="s">
        <v>200</v>
      </c>
      <c r="I733" s="109" t="s">
        <v>556</v>
      </c>
      <c r="J733" s="8" t="s">
        <v>212</v>
      </c>
      <c r="K733" s="14" t="b">
        <v>1</v>
      </c>
      <c r="L733" s="14" t="b">
        <v>0</v>
      </c>
      <c r="M733" s="14" t="b">
        <v>0</v>
      </c>
      <c r="N733" s="14" t="b">
        <v>1</v>
      </c>
      <c r="O733" s="14" t="b">
        <v>1</v>
      </c>
      <c r="W733" s="3"/>
    </row>
    <row r="734" spans="1:23" x14ac:dyDescent="0.25">
      <c r="A734" s="4">
        <v>13016092000140</v>
      </c>
      <c r="B734" s="8" t="s">
        <v>867</v>
      </c>
      <c r="C734" s="8" t="s">
        <v>75</v>
      </c>
      <c r="D734" s="7" t="s">
        <v>74</v>
      </c>
      <c r="E734" s="7" t="s">
        <v>215</v>
      </c>
      <c r="F734" s="6">
        <v>2</v>
      </c>
      <c r="G734" s="8" t="s">
        <v>199</v>
      </c>
      <c r="H734" s="8" t="s">
        <v>200</v>
      </c>
      <c r="I734" s="109" t="s">
        <v>556</v>
      </c>
      <c r="J734" s="8" t="s">
        <v>212</v>
      </c>
      <c r="K734" s="14" t="b">
        <v>1</v>
      </c>
      <c r="L734" s="14" t="b">
        <v>0</v>
      </c>
      <c r="M734" s="14" t="b">
        <v>0</v>
      </c>
      <c r="N734" s="14" t="b">
        <v>1</v>
      </c>
      <c r="O734" s="14" t="b">
        <v>1</v>
      </c>
      <c r="W734" s="3"/>
    </row>
    <row r="735" spans="1:23" x14ac:dyDescent="0.25">
      <c r="A735" s="4">
        <v>13016332000106</v>
      </c>
      <c r="B735" s="8" t="s">
        <v>868</v>
      </c>
      <c r="C735" s="8" t="s">
        <v>84</v>
      </c>
      <c r="D735" s="7" t="s">
        <v>85</v>
      </c>
      <c r="E735" s="7" t="s">
        <v>215</v>
      </c>
      <c r="F735" s="6">
        <v>2</v>
      </c>
      <c r="G735" s="8" t="s">
        <v>199</v>
      </c>
      <c r="H735" s="8" t="s">
        <v>200</v>
      </c>
      <c r="I735" s="109" t="s">
        <v>556</v>
      </c>
      <c r="J735" s="8" t="s">
        <v>212</v>
      </c>
      <c r="K735" s="14" t="b">
        <v>1</v>
      </c>
      <c r="L735" s="14" t="b">
        <v>0</v>
      </c>
      <c r="M735" s="14" t="b">
        <v>0</v>
      </c>
      <c r="N735" s="14" t="b">
        <v>1</v>
      </c>
      <c r="O735" s="14" t="b">
        <v>1</v>
      </c>
      <c r="W735" s="3"/>
    </row>
    <row r="736" spans="1:23" x14ac:dyDescent="0.25">
      <c r="A736" s="4">
        <v>13086053000119</v>
      </c>
      <c r="B736" s="8" t="s">
        <v>869</v>
      </c>
      <c r="C736" s="8" t="s">
        <v>84</v>
      </c>
      <c r="D736" s="7" t="s">
        <v>85</v>
      </c>
      <c r="E736" s="7" t="s">
        <v>215</v>
      </c>
      <c r="F736" s="6">
        <v>2</v>
      </c>
      <c r="G736" s="8" t="s">
        <v>199</v>
      </c>
      <c r="H736" s="8" t="s">
        <v>200</v>
      </c>
      <c r="I736" s="109" t="s">
        <v>556</v>
      </c>
      <c r="J736" s="8" t="s">
        <v>212</v>
      </c>
      <c r="K736" s="14" t="b">
        <v>1</v>
      </c>
      <c r="L736" s="14" t="b">
        <v>0</v>
      </c>
      <c r="M736" s="14" t="b">
        <v>0</v>
      </c>
      <c r="N736" s="14" t="b">
        <v>1</v>
      </c>
      <c r="O736" s="14" t="b">
        <v>1</v>
      </c>
      <c r="W736" s="3"/>
    </row>
    <row r="737" spans="1:23" x14ac:dyDescent="0.25">
      <c r="A737" s="4">
        <v>13131370000100</v>
      </c>
      <c r="B737" s="8" t="s">
        <v>870</v>
      </c>
      <c r="C737" s="8" t="s">
        <v>84</v>
      </c>
      <c r="D737" s="7" t="s">
        <v>85</v>
      </c>
      <c r="E737" s="7" t="s">
        <v>215</v>
      </c>
      <c r="F737" s="6">
        <v>2</v>
      </c>
      <c r="G737" s="8" t="s">
        <v>199</v>
      </c>
      <c r="H737" s="8" t="s">
        <v>200</v>
      </c>
      <c r="I737" s="109" t="s">
        <v>556</v>
      </c>
      <c r="J737" s="8" t="s">
        <v>212</v>
      </c>
      <c r="K737" s="14" t="b">
        <v>1</v>
      </c>
      <c r="L737" s="14" t="b">
        <v>0</v>
      </c>
      <c r="M737" s="14" t="b">
        <v>0</v>
      </c>
      <c r="N737" s="14" t="b">
        <v>1</v>
      </c>
      <c r="O737" s="14" t="b">
        <v>1</v>
      </c>
      <c r="W737" s="3"/>
    </row>
    <row r="738" spans="1:23" x14ac:dyDescent="0.25">
      <c r="A738" s="4">
        <v>13262578000168</v>
      </c>
      <c r="B738" s="8" t="s">
        <v>871</v>
      </c>
      <c r="C738" s="8" t="s">
        <v>62</v>
      </c>
      <c r="D738" s="7" t="s">
        <v>63</v>
      </c>
      <c r="E738" s="7" t="s">
        <v>215</v>
      </c>
      <c r="F738" s="6">
        <v>2</v>
      </c>
      <c r="G738" s="8" t="s">
        <v>199</v>
      </c>
      <c r="H738" s="8" t="s">
        <v>200</v>
      </c>
      <c r="I738" s="109" t="s">
        <v>556</v>
      </c>
      <c r="J738" s="8" t="s">
        <v>212</v>
      </c>
      <c r="K738" s="14" t="b">
        <v>1</v>
      </c>
      <c r="L738" s="14" t="b">
        <v>0</v>
      </c>
      <c r="M738" s="14" t="b">
        <v>0</v>
      </c>
      <c r="N738" s="14" t="b">
        <v>1</v>
      </c>
      <c r="O738" s="14" t="b">
        <v>1</v>
      </c>
      <c r="W738" s="3"/>
    </row>
    <row r="739" spans="1:23" x14ac:dyDescent="0.25">
      <c r="A739" s="4">
        <v>13284872000170</v>
      </c>
      <c r="B739" s="8" t="s">
        <v>872</v>
      </c>
      <c r="C739" s="8" t="s">
        <v>873</v>
      </c>
      <c r="D739" s="7" t="s">
        <v>74</v>
      </c>
      <c r="E739" s="7" t="s">
        <v>215</v>
      </c>
      <c r="F739" s="6">
        <v>2</v>
      </c>
      <c r="G739" s="8" t="s">
        <v>199</v>
      </c>
      <c r="H739" s="8" t="s">
        <v>200</v>
      </c>
      <c r="I739" s="109" t="s">
        <v>556</v>
      </c>
      <c r="J739" s="8" t="s">
        <v>212</v>
      </c>
      <c r="K739" s="14" t="b">
        <v>1</v>
      </c>
      <c r="L739" s="14" t="b">
        <v>0</v>
      </c>
      <c r="M739" s="14" t="b">
        <v>0</v>
      </c>
      <c r="N739" s="14" t="b">
        <v>1</v>
      </c>
      <c r="O739" s="14" t="b">
        <v>1</v>
      </c>
      <c r="W739" s="3"/>
    </row>
    <row r="740" spans="1:23" x14ac:dyDescent="0.25">
      <c r="A740" s="4">
        <v>13356779000124</v>
      </c>
      <c r="B740" s="8" t="s">
        <v>874</v>
      </c>
      <c r="C740" s="8" t="s">
        <v>84</v>
      </c>
      <c r="D740" s="7" t="s">
        <v>85</v>
      </c>
      <c r="E740" s="7" t="s">
        <v>215</v>
      </c>
      <c r="F740" s="6">
        <v>2</v>
      </c>
      <c r="G740" s="8" t="s">
        <v>199</v>
      </c>
      <c r="H740" s="8" t="s">
        <v>200</v>
      </c>
      <c r="I740" s="109" t="s">
        <v>556</v>
      </c>
      <c r="J740" s="8" t="s">
        <v>212</v>
      </c>
      <c r="K740" s="14" t="b">
        <v>1</v>
      </c>
      <c r="L740" s="14" t="b">
        <v>0</v>
      </c>
      <c r="M740" s="14" t="b">
        <v>0</v>
      </c>
      <c r="N740" s="14" t="b">
        <v>1</v>
      </c>
      <c r="O740" s="14" t="b">
        <v>1</v>
      </c>
      <c r="W740" s="3"/>
    </row>
    <row r="741" spans="1:23" x14ac:dyDescent="0.25">
      <c r="A741" s="4">
        <v>13808803000119</v>
      </c>
      <c r="B741" s="8" t="s">
        <v>1392</v>
      </c>
      <c r="C741" s="8" t="s">
        <v>75</v>
      </c>
      <c r="D741" s="7" t="s">
        <v>74</v>
      </c>
      <c r="E741" s="7" t="s">
        <v>215</v>
      </c>
      <c r="F741" s="6">
        <v>2</v>
      </c>
      <c r="G741" s="8" t="s">
        <v>199</v>
      </c>
      <c r="H741" s="8" t="s">
        <v>200</v>
      </c>
      <c r="I741" s="109" t="s">
        <v>556</v>
      </c>
      <c r="J741" s="8" t="s">
        <v>212</v>
      </c>
      <c r="K741" s="14" t="b">
        <v>1</v>
      </c>
      <c r="L741" s="14" t="b">
        <v>0</v>
      </c>
      <c r="M741" s="14" t="b">
        <v>0</v>
      </c>
      <c r="N741" s="14" t="b">
        <v>1</v>
      </c>
      <c r="O741" s="14" t="b">
        <v>1</v>
      </c>
      <c r="W741" s="3"/>
    </row>
    <row r="742" spans="1:23" x14ac:dyDescent="0.25">
      <c r="A742" s="4">
        <v>13952064000134</v>
      </c>
      <c r="B742" s="8" t="s">
        <v>875</v>
      </c>
      <c r="C742" s="8" t="s">
        <v>75</v>
      </c>
      <c r="D742" s="7" t="s">
        <v>74</v>
      </c>
      <c r="E742" s="7" t="s">
        <v>215</v>
      </c>
      <c r="F742" s="6">
        <v>2</v>
      </c>
      <c r="G742" s="8" t="s">
        <v>199</v>
      </c>
      <c r="H742" s="8" t="s">
        <v>200</v>
      </c>
      <c r="I742" s="109" t="s">
        <v>556</v>
      </c>
      <c r="J742" s="8" t="s">
        <v>212</v>
      </c>
      <c r="K742" s="14" t="b">
        <v>1</v>
      </c>
      <c r="L742" s="14" t="b">
        <v>0</v>
      </c>
      <c r="M742" s="14" t="b">
        <v>0</v>
      </c>
      <c r="N742" s="14" t="b">
        <v>1</v>
      </c>
      <c r="O742" s="14" t="b">
        <v>1</v>
      </c>
      <c r="W742" s="3"/>
    </row>
    <row r="743" spans="1:23" x14ac:dyDescent="0.25">
      <c r="A743" s="4">
        <v>13969621000120</v>
      </c>
      <c r="B743" s="8" t="s">
        <v>1393</v>
      </c>
      <c r="C743" s="8" t="s">
        <v>86</v>
      </c>
      <c r="D743" s="7" t="s">
        <v>74</v>
      </c>
      <c r="E743" s="7" t="s">
        <v>215</v>
      </c>
      <c r="F743" s="6">
        <v>2</v>
      </c>
      <c r="G743" s="8" t="s">
        <v>199</v>
      </c>
      <c r="H743" s="8" t="s">
        <v>200</v>
      </c>
      <c r="I743" s="109" t="s">
        <v>556</v>
      </c>
      <c r="J743" s="8" t="s">
        <v>212</v>
      </c>
      <c r="K743" s="14" t="b">
        <v>1</v>
      </c>
      <c r="L743" s="14" t="b">
        <v>0</v>
      </c>
      <c r="M743" s="14" t="b">
        <v>0</v>
      </c>
      <c r="N743" s="14" t="b">
        <v>1</v>
      </c>
      <c r="O743" s="14" t="b">
        <v>1</v>
      </c>
      <c r="W743" s="3"/>
    </row>
    <row r="744" spans="1:23" x14ac:dyDescent="0.25">
      <c r="A744" s="4">
        <v>14074546000100</v>
      </c>
      <c r="B744" s="8" t="s">
        <v>876</v>
      </c>
      <c r="C744" s="8" t="s">
        <v>86</v>
      </c>
      <c r="D744" s="7" t="s">
        <v>74</v>
      </c>
      <c r="E744" s="7" t="s">
        <v>215</v>
      </c>
      <c r="F744" s="6">
        <v>2</v>
      </c>
      <c r="G744" s="8" t="s">
        <v>199</v>
      </c>
      <c r="H744" s="8" t="s">
        <v>200</v>
      </c>
      <c r="I744" s="109" t="s">
        <v>556</v>
      </c>
      <c r="J744" s="8" t="s">
        <v>212</v>
      </c>
      <c r="K744" s="14" t="b">
        <v>1</v>
      </c>
      <c r="L744" s="14" t="b">
        <v>0</v>
      </c>
      <c r="M744" s="14" t="b">
        <v>0</v>
      </c>
      <c r="N744" s="14" t="b">
        <v>1</v>
      </c>
      <c r="O744" s="14" t="b">
        <v>1</v>
      </c>
      <c r="W744" s="3"/>
    </row>
    <row r="745" spans="1:23" x14ac:dyDescent="0.25">
      <c r="A745" s="4">
        <v>15126437000224</v>
      </c>
      <c r="B745" s="8" t="s">
        <v>878</v>
      </c>
      <c r="C745" s="8" t="s">
        <v>81</v>
      </c>
      <c r="D745" s="7" t="s">
        <v>82</v>
      </c>
      <c r="E745" s="7" t="s">
        <v>215</v>
      </c>
      <c r="F745" s="6">
        <v>2</v>
      </c>
      <c r="G745" s="8" t="s">
        <v>199</v>
      </c>
      <c r="H745" s="8" t="s">
        <v>200</v>
      </c>
      <c r="I745" s="109" t="s">
        <v>556</v>
      </c>
      <c r="J745" s="8" t="s">
        <v>212</v>
      </c>
      <c r="K745" s="14" t="b">
        <v>1</v>
      </c>
      <c r="L745" s="14" t="b">
        <v>0</v>
      </c>
      <c r="M745" s="14" t="b">
        <v>0</v>
      </c>
      <c r="N745" s="14" t="b">
        <v>1</v>
      </c>
      <c r="O745" s="14" t="b">
        <v>1</v>
      </c>
      <c r="W745" s="3"/>
    </row>
    <row r="746" spans="1:23" x14ac:dyDescent="0.25">
      <c r="A746" s="4">
        <v>15126437000739</v>
      </c>
      <c r="B746" s="8" t="s">
        <v>881</v>
      </c>
      <c r="C746" s="8" t="s">
        <v>62</v>
      </c>
      <c r="D746" s="7" t="s">
        <v>63</v>
      </c>
      <c r="E746" s="7" t="s">
        <v>215</v>
      </c>
      <c r="F746" s="6">
        <v>2</v>
      </c>
      <c r="G746" s="8" t="s">
        <v>199</v>
      </c>
      <c r="H746" s="8" t="s">
        <v>200</v>
      </c>
      <c r="I746" s="109" t="s">
        <v>556</v>
      </c>
      <c r="J746" s="8" t="s">
        <v>212</v>
      </c>
      <c r="K746" s="14" t="b">
        <v>1</v>
      </c>
      <c r="L746" s="14" t="b">
        <v>0</v>
      </c>
      <c r="M746" s="14" t="b">
        <v>0</v>
      </c>
      <c r="N746" s="14" t="b">
        <v>1</v>
      </c>
      <c r="O746" s="14" t="b">
        <v>1</v>
      </c>
      <c r="W746" s="3"/>
    </row>
    <row r="747" spans="1:23" x14ac:dyDescent="0.25">
      <c r="A747" s="4">
        <v>15126437001468</v>
      </c>
      <c r="B747" s="8" t="s">
        <v>883</v>
      </c>
      <c r="C747" s="8" t="s">
        <v>76</v>
      </c>
      <c r="D747" s="7" t="s">
        <v>77</v>
      </c>
      <c r="E747" s="7" t="s">
        <v>215</v>
      </c>
      <c r="F747" s="6">
        <v>2</v>
      </c>
      <c r="G747" s="8" t="s">
        <v>199</v>
      </c>
      <c r="H747" s="8" t="s">
        <v>200</v>
      </c>
      <c r="I747" s="109" t="s">
        <v>556</v>
      </c>
      <c r="J747" s="8" t="s">
        <v>212</v>
      </c>
      <c r="K747" s="14" t="b">
        <v>1</v>
      </c>
      <c r="L747" s="14" t="b">
        <v>0</v>
      </c>
      <c r="M747" s="14" t="b">
        <v>0</v>
      </c>
      <c r="N747" s="14" t="b">
        <v>1</v>
      </c>
      <c r="O747" s="14" t="b">
        <v>1</v>
      </c>
      <c r="W747" s="3"/>
    </row>
    <row r="748" spans="1:23" x14ac:dyDescent="0.25">
      <c r="A748" s="4">
        <v>15126437002863</v>
      </c>
      <c r="B748" s="8" t="s">
        <v>884</v>
      </c>
      <c r="C748" s="8" t="s">
        <v>75</v>
      </c>
      <c r="D748" s="7" t="s">
        <v>74</v>
      </c>
      <c r="E748" s="7" t="s">
        <v>215</v>
      </c>
      <c r="F748" s="6">
        <v>2</v>
      </c>
      <c r="G748" s="8" t="s">
        <v>199</v>
      </c>
      <c r="H748" s="8" t="s">
        <v>200</v>
      </c>
      <c r="I748" s="109" t="s">
        <v>556</v>
      </c>
      <c r="J748" s="8" t="s">
        <v>212</v>
      </c>
      <c r="K748" s="14" t="b">
        <v>1</v>
      </c>
      <c r="L748" s="14" t="b">
        <v>0</v>
      </c>
      <c r="M748" s="14" t="b">
        <v>0</v>
      </c>
      <c r="N748" s="14" t="b">
        <v>1</v>
      </c>
      <c r="O748" s="14" t="b">
        <v>1</v>
      </c>
      <c r="W748" s="3"/>
    </row>
    <row r="749" spans="1:23" x14ac:dyDescent="0.25">
      <c r="A749" s="4">
        <v>15126437003240</v>
      </c>
      <c r="B749" s="8" t="s">
        <v>885</v>
      </c>
      <c r="C749" s="8" t="s">
        <v>130</v>
      </c>
      <c r="D749" s="7" t="s">
        <v>56</v>
      </c>
      <c r="E749" s="7" t="s">
        <v>215</v>
      </c>
      <c r="F749" s="6">
        <v>2</v>
      </c>
      <c r="G749" s="8" t="s">
        <v>199</v>
      </c>
      <c r="H749" s="8" t="s">
        <v>200</v>
      </c>
      <c r="I749" s="109" t="s">
        <v>556</v>
      </c>
      <c r="J749" s="8" t="s">
        <v>212</v>
      </c>
      <c r="K749" s="14" t="b">
        <v>1</v>
      </c>
      <c r="L749" s="14" t="b">
        <v>0</v>
      </c>
      <c r="M749" s="14" t="b">
        <v>0</v>
      </c>
      <c r="N749" s="14" t="b">
        <v>1</v>
      </c>
      <c r="O749" s="14" t="b">
        <v>1</v>
      </c>
      <c r="W749" s="3"/>
    </row>
    <row r="750" spans="1:23" x14ac:dyDescent="0.25">
      <c r="A750" s="4">
        <v>15140254000182</v>
      </c>
      <c r="B750" s="8" t="s">
        <v>886</v>
      </c>
      <c r="C750" s="8" t="s">
        <v>75</v>
      </c>
      <c r="D750" s="7" t="s">
        <v>74</v>
      </c>
      <c r="E750" s="7" t="s">
        <v>215</v>
      </c>
      <c r="F750" s="6">
        <v>2</v>
      </c>
      <c r="G750" s="8" t="s">
        <v>199</v>
      </c>
      <c r="H750" s="8" t="s">
        <v>200</v>
      </c>
      <c r="I750" s="109" t="s">
        <v>556</v>
      </c>
      <c r="J750" s="8" t="s">
        <v>212</v>
      </c>
      <c r="K750" s="14" t="b">
        <v>1</v>
      </c>
      <c r="L750" s="14" t="b">
        <v>0</v>
      </c>
      <c r="M750" s="14" t="b">
        <v>0</v>
      </c>
      <c r="N750" s="14" t="b">
        <v>1</v>
      </c>
      <c r="O750" s="14" t="b">
        <v>1</v>
      </c>
      <c r="W750" s="3"/>
    </row>
    <row r="751" spans="1:23" x14ac:dyDescent="0.25">
      <c r="A751" s="4">
        <v>15153745000249</v>
      </c>
      <c r="B751" s="8" t="s">
        <v>887</v>
      </c>
      <c r="C751" s="8" t="s">
        <v>75</v>
      </c>
      <c r="D751" s="7" t="s">
        <v>74</v>
      </c>
      <c r="E751" s="7" t="s">
        <v>215</v>
      </c>
      <c r="F751" s="6">
        <v>2</v>
      </c>
      <c r="G751" s="8" t="s">
        <v>199</v>
      </c>
      <c r="H751" s="8" t="s">
        <v>200</v>
      </c>
      <c r="I751" s="109" t="s">
        <v>556</v>
      </c>
      <c r="J751" s="8" t="s">
        <v>212</v>
      </c>
      <c r="K751" s="14" t="b">
        <v>1</v>
      </c>
      <c r="L751" s="14" t="b">
        <v>0</v>
      </c>
      <c r="M751" s="14" t="b">
        <v>0</v>
      </c>
      <c r="N751" s="14" t="b">
        <v>1</v>
      </c>
      <c r="O751" s="14" t="b">
        <v>1</v>
      </c>
      <c r="W751" s="3"/>
    </row>
    <row r="752" spans="1:23" x14ac:dyDescent="0.25">
      <c r="A752" s="4">
        <v>15153745002705</v>
      </c>
      <c r="B752" s="8" t="s">
        <v>888</v>
      </c>
      <c r="C752" s="8" t="s">
        <v>75</v>
      </c>
      <c r="D752" s="7" t="s">
        <v>74</v>
      </c>
      <c r="E752" s="7" t="s">
        <v>215</v>
      </c>
      <c r="F752" s="6">
        <v>2</v>
      </c>
      <c r="G752" s="8" t="s">
        <v>199</v>
      </c>
      <c r="H752" s="8" t="s">
        <v>200</v>
      </c>
      <c r="I752" s="109" t="s">
        <v>556</v>
      </c>
      <c r="J752" s="8" t="s">
        <v>212</v>
      </c>
      <c r="K752" s="14" t="b">
        <v>1</v>
      </c>
      <c r="L752" s="14" t="b">
        <v>0</v>
      </c>
      <c r="M752" s="14" t="b">
        <v>0</v>
      </c>
      <c r="N752" s="14" t="b">
        <v>1</v>
      </c>
      <c r="O752" s="14" t="b">
        <v>1</v>
      </c>
      <c r="W752" s="3"/>
    </row>
    <row r="753" spans="1:23" x14ac:dyDescent="0.25">
      <c r="A753" s="4">
        <v>15166416000151</v>
      </c>
      <c r="B753" s="8" t="s">
        <v>889</v>
      </c>
      <c r="C753" s="8" t="s">
        <v>75</v>
      </c>
      <c r="D753" s="7" t="s">
        <v>74</v>
      </c>
      <c r="E753" s="7" t="s">
        <v>215</v>
      </c>
      <c r="F753" s="6">
        <v>2</v>
      </c>
      <c r="G753" s="8" t="s">
        <v>199</v>
      </c>
      <c r="H753" s="8" t="s">
        <v>200</v>
      </c>
      <c r="I753" s="109" t="s">
        <v>556</v>
      </c>
      <c r="J753" s="8" t="s">
        <v>212</v>
      </c>
      <c r="K753" s="14" t="b">
        <v>1</v>
      </c>
      <c r="L753" s="14" t="b">
        <v>0</v>
      </c>
      <c r="M753" s="14" t="b">
        <v>0</v>
      </c>
      <c r="N753" s="14" t="b">
        <v>1</v>
      </c>
      <c r="O753" s="14" t="b">
        <v>1</v>
      </c>
      <c r="W753" s="3"/>
    </row>
    <row r="754" spans="1:23" x14ac:dyDescent="0.25">
      <c r="A754" s="4">
        <v>15170723000106</v>
      </c>
      <c r="B754" s="8" t="s">
        <v>890</v>
      </c>
      <c r="C754" s="8" t="s">
        <v>75</v>
      </c>
      <c r="D754" s="7" t="s">
        <v>74</v>
      </c>
      <c r="E754" s="7" t="s">
        <v>215</v>
      </c>
      <c r="F754" s="6">
        <v>2</v>
      </c>
      <c r="G754" s="8" t="s">
        <v>199</v>
      </c>
      <c r="H754" s="8" t="s">
        <v>200</v>
      </c>
      <c r="I754" s="109" t="s">
        <v>556</v>
      </c>
      <c r="J754" s="8" t="s">
        <v>212</v>
      </c>
      <c r="K754" s="14" t="b">
        <v>1</v>
      </c>
      <c r="L754" s="14" t="b">
        <v>0</v>
      </c>
      <c r="M754" s="14" t="b">
        <v>0</v>
      </c>
      <c r="N754" s="14" t="b">
        <v>1</v>
      </c>
      <c r="O754" s="14" t="b">
        <v>1</v>
      </c>
      <c r="W754" s="3"/>
    </row>
    <row r="755" spans="1:23" x14ac:dyDescent="0.25">
      <c r="A755" s="4">
        <v>15170723000530</v>
      </c>
      <c r="B755" s="8" t="s">
        <v>891</v>
      </c>
      <c r="C755" s="8" t="s">
        <v>86</v>
      </c>
      <c r="D755" s="7" t="s">
        <v>74</v>
      </c>
      <c r="E755" s="7" t="s">
        <v>215</v>
      </c>
      <c r="F755" s="6">
        <v>2</v>
      </c>
      <c r="G755" s="8" t="s">
        <v>199</v>
      </c>
      <c r="H755" s="8" t="s">
        <v>200</v>
      </c>
      <c r="I755" s="109" t="s">
        <v>556</v>
      </c>
      <c r="J755" s="8" t="s">
        <v>212</v>
      </c>
      <c r="K755" s="14" t="b">
        <v>1</v>
      </c>
      <c r="L755" s="14" t="b">
        <v>0</v>
      </c>
      <c r="M755" s="14" t="b">
        <v>0</v>
      </c>
      <c r="N755" s="14" t="b">
        <v>1</v>
      </c>
      <c r="O755" s="14" t="b">
        <v>1</v>
      </c>
      <c r="W755" s="3"/>
    </row>
    <row r="756" spans="1:23" x14ac:dyDescent="0.25">
      <c r="A756" s="4">
        <v>15180714000287</v>
      </c>
      <c r="B756" s="8" t="s">
        <v>892</v>
      </c>
      <c r="C756" s="8" t="s">
        <v>75</v>
      </c>
      <c r="D756" s="7" t="s">
        <v>74</v>
      </c>
      <c r="E756" s="7" t="s">
        <v>215</v>
      </c>
      <c r="F756" s="6">
        <v>2</v>
      </c>
      <c r="G756" s="8" t="s">
        <v>199</v>
      </c>
      <c r="H756" s="8" t="s">
        <v>200</v>
      </c>
      <c r="I756" s="109" t="s">
        <v>556</v>
      </c>
      <c r="J756" s="8" t="s">
        <v>212</v>
      </c>
      <c r="K756" s="14" t="b">
        <v>1</v>
      </c>
      <c r="L756" s="14" t="b">
        <v>0</v>
      </c>
      <c r="M756" s="14" t="b">
        <v>0</v>
      </c>
      <c r="N756" s="14" t="b">
        <v>1</v>
      </c>
      <c r="O756" s="14" t="b">
        <v>1</v>
      </c>
      <c r="W756" s="3"/>
    </row>
    <row r="757" spans="1:23" x14ac:dyDescent="0.25">
      <c r="A757" s="4">
        <v>15180714000368</v>
      </c>
      <c r="B757" s="8" t="s">
        <v>893</v>
      </c>
      <c r="C757" s="8" t="s">
        <v>75</v>
      </c>
      <c r="D757" s="7" t="s">
        <v>74</v>
      </c>
      <c r="E757" s="7" t="s">
        <v>215</v>
      </c>
      <c r="F757" s="6">
        <v>2</v>
      </c>
      <c r="G757" s="8" t="s">
        <v>199</v>
      </c>
      <c r="H757" s="8" t="s">
        <v>200</v>
      </c>
      <c r="I757" s="109" t="s">
        <v>556</v>
      </c>
      <c r="J757" s="8" t="s">
        <v>212</v>
      </c>
      <c r="K757" s="14" t="b">
        <v>1</v>
      </c>
      <c r="L757" s="14" t="b">
        <v>0</v>
      </c>
      <c r="M757" s="14" t="b">
        <v>0</v>
      </c>
      <c r="N757" s="14" t="b">
        <v>1</v>
      </c>
      <c r="O757" s="14" t="b">
        <v>1</v>
      </c>
      <c r="W757" s="3"/>
    </row>
    <row r="758" spans="1:23" x14ac:dyDescent="0.25">
      <c r="A758" s="4">
        <v>15180714000520</v>
      </c>
      <c r="B758" s="8" t="s">
        <v>894</v>
      </c>
      <c r="C758" s="8" t="s">
        <v>75</v>
      </c>
      <c r="D758" s="7" t="s">
        <v>74</v>
      </c>
      <c r="E758" s="7" t="s">
        <v>215</v>
      </c>
      <c r="F758" s="6">
        <v>2</v>
      </c>
      <c r="G758" s="8" t="s">
        <v>199</v>
      </c>
      <c r="H758" s="8" t="s">
        <v>200</v>
      </c>
      <c r="I758" s="109" t="s">
        <v>556</v>
      </c>
      <c r="J758" s="8" t="s">
        <v>212</v>
      </c>
      <c r="K758" s="14" t="b">
        <v>1</v>
      </c>
      <c r="L758" s="14" t="b">
        <v>0</v>
      </c>
      <c r="M758" s="14" t="b">
        <v>0</v>
      </c>
      <c r="N758" s="14" t="b">
        <v>1</v>
      </c>
      <c r="O758" s="14" t="b">
        <v>1</v>
      </c>
      <c r="W758" s="3"/>
    </row>
    <row r="759" spans="1:23" x14ac:dyDescent="0.25">
      <c r="A759" s="4">
        <v>15194004000125</v>
      </c>
      <c r="B759" s="8" t="s">
        <v>895</v>
      </c>
      <c r="C759" s="8" t="s">
        <v>75</v>
      </c>
      <c r="D759" s="7" t="s">
        <v>74</v>
      </c>
      <c r="E759" s="7" t="s">
        <v>215</v>
      </c>
      <c r="F759" s="6">
        <v>2</v>
      </c>
      <c r="G759" s="8" t="s">
        <v>199</v>
      </c>
      <c r="H759" s="8" t="s">
        <v>200</v>
      </c>
      <c r="I759" s="109" t="s">
        <v>556</v>
      </c>
      <c r="J759" s="8" t="s">
        <v>212</v>
      </c>
      <c r="K759" s="14" t="b">
        <v>1</v>
      </c>
      <c r="L759" s="14" t="b">
        <v>0</v>
      </c>
      <c r="M759" s="14" t="b">
        <v>0</v>
      </c>
      <c r="N759" s="14" t="b">
        <v>1</v>
      </c>
      <c r="O759" s="14" t="b">
        <v>1</v>
      </c>
      <c r="W759" s="3"/>
    </row>
    <row r="760" spans="1:23" x14ac:dyDescent="0.25">
      <c r="A760" s="4">
        <v>15242761000127</v>
      </c>
      <c r="B760" s="8" t="s">
        <v>896</v>
      </c>
      <c r="C760" s="8" t="s">
        <v>75</v>
      </c>
      <c r="D760" s="7" t="s">
        <v>74</v>
      </c>
      <c r="E760" s="7" t="s">
        <v>215</v>
      </c>
      <c r="F760" s="6">
        <v>2</v>
      </c>
      <c r="G760" s="8" t="s">
        <v>199</v>
      </c>
      <c r="H760" s="8" t="s">
        <v>200</v>
      </c>
      <c r="I760" s="109" t="s">
        <v>556</v>
      </c>
      <c r="J760" s="8" t="s">
        <v>212</v>
      </c>
      <c r="K760" s="14" t="b">
        <v>1</v>
      </c>
      <c r="L760" s="14" t="b">
        <v>0</v>
      </c>
      <c r="M760" s="14" t="b">
        <v>0</v>
      </c>
      <c r="N760" s="14" t="b">
        <v>1</v>
      </c>
      <c r="O760" s="14" t="b">
        <v>1</v>
      </c>
      <c r="W760" s="3"/>
    </row>
    <row r="761" spans="1:23" x14ac:dyDescent="0.25">
      <c r="A761" s="4">
        <v>15592785000106</v>
      </c>
      <c r="B761" s="8" t="s">
        <v>897</v>
      </c>
      <c r="C761" s="8" t="s">
        <v>84</v>
      </c>
      <c r="D761" s="7" t="s">
        <v>85</v>
      </c>
      <c r="E761" s="7" t="s">
        <v>215</v>
      </c>
      <c r="F761" s="6">
        <v>2</v>
      </c>
      <c r="G761" s="8" t="s">
        <v>199</v>
      </c>
      <c r="H761" s="8" t="s">
        <v>200</v>
      </c>
      <c r="I761" s="109" t="s">
        <v>556</v>
      </c>
      <c r="J761" s="8" t="s">
        <v>212</v>
      </c>
      <c r="K761" s="14" t="b">
        <v>1</v>
      </c>
      <c r="L761" s="14" t="b">
        <v>0</v>
      </c>
      <c r="M761" s="14" t="b">
        <v>0</v>
      </c>
      <c r="N761" s="14" t="b">
        <v>1</v>
      </c>
      <c r="O761" s="14" t="b">
        <v>1</v>
      </c>
      <c r="W761" s="3"/>
    </row>
    <row r="762" spans="1:23" x14ac:dyDescent="0.25">
      <c r="A762" s="4">
        <v>16064313000577</v>
      </c>
      <c r="B762" s="8" t="s">
        <v>898</v>
      </c>
      <c r="C762" s="8" t="s">
        <v>84</v>
      </c>
      <c r="D762" s="7" t="s">
        <v>85</v>
      </c>
      <c r="E762" s="7" t="s">
        <v>215</v>
      </c>
      <c r="F762" s="6">
        <v>2</v>
      </c>
      <c r="G762" s="8" t="s">
        <v>199</v>
      </c>
      <c r="H762" s="8" t="s">
        <v>200</v>
      </c>
      <c r="I762" s="109" t="s">
        <v>556</v>
      </c>
      <c r="J762" s="8" t="s">
        <v>212</v>
      </c>
      <c r="K762" s="14" t="b">
        <v>1</v>
      </c>
      <c r="L762" s="14" t="b">
        <v>0</v>
      </c>
      <c r="M762" s="14" t="b">
        <v>0</v>
      </c>
      <c r="N762" s="14" t="b">
        <v>1</v>
      </c>
      <c r="O762" s="14" t="b">
        <v>1</v>
      </c>
      <c r="W762" s="3"/>
    </row>
    <row r="763" spans="1:23" x14ac:dyDescent="0.25">
      <c r="A763" s="4">
        <v>16475154000250</v>
      </c>
      <c r="B763" s="8" t="s">
        <v>899</v>
      </c>
      <c r="C763" s="8" t="s">
        <v>75</v>
      </c>
      <c r="D763" s="7" t="s">
        <v>74</v>
      </c>
      <c r="E763" s="7" t="s">
        <v>215</v>
      </c>
      <c r="F763" s="6">
        <v>2</v>
      </c>
      <c r="G763" s="8" t="s">
        <v>199</v>
      </c>
      <c r="H763" s="8" t="s">
        <v>200</v>
      </c>
      <c r="I763" s="109" t="s">
        <v>556</v>
      </c>
      <c r="J763" s="8" t="s">
        <v>212</v>
      </c>
      <c r="K763" s="14" t="b">
        <v>1</v>
      </c>
      <c r="L763" s="14" t="b">
        <v>0</v>
      </c>
      <c r="M763" s="14" t="b">
        <v>0</v>
      </c>
      <c r="N763" s="14" t="b">
        <v>1</v>
      </c>
      <c r="O763" s="14" t="b">
        <v>1</v>
      </c>
      <c r="W763" s="3"/>
    </row>
    <row r="764" spans="1:23" x14ac:dyDescent="0.25">
      <c r="A764" s="4">
        <v>23443518000103</v>
      </c>
      <c r="B764" s="8" t="s">
        <v>903</v>
      </c>
      <c r="C764" s="8" t="s">
        <v>76</v>
      </c>
      <c r="D764" s="7" t="s">
        <v>77</v>
      </c>
      <c r="E764" s="7" t="s">
        <v>215</v>
      </c>
      <c r="F764" s="6">
        <v>2</v>
      </c>
      <c r="G764" s="8" t="s">
        <v>199</v>
      </c>
      <c r="H764" s="8" t="s">
        <v>200</v>
      </c>
      <c r="I764" s="109" t="s">
        <v>556</v>
      </c>
      <c r="J764" s="8" t="s">
        <v>212</v>
      </c>
      <c r="K764" s="14" t="b">
        <v>1</v>
      </c>
      <c r="L764" s="14" t="b">
        <v>0</v>
      </c>
      <c r="M764" s="14" t="b">
        <v>0</v>
      </c>
      <c r="N764" s="14" t="b">
        <v>1</v>
      </c>
      <c r="O764" s="14" t="b">
        <v>1</v>
      </c>
      <c r="W764" s="3"/>
    </row>
    <row r="765" spans="1:23" x14ac:dyDescent="0.25">
      <c r="A765" s="4">
        <v>24464109000229</v>
      </c>
      <c r="B765" s="8" t="s">
        <v>905</v>
      </c>
      <c r="C765" s="8" t="s">
        <v>742</v>
      </c>
      <c r="D765" s="7" t="s">
        <v>91</v>
      </c>
      <c r="E765" s="7" t="s">
        <v>215</v>
      </c>
      <c r="F765" s="6">
        <v>2</v>
      </c>
      <c r="G765" s="8" t="s">
        <v>199</v>
      </c>
      <c r="H765" s="8" t="s">
        <v>200</v>
      </c>
      <c r="I765" s="109" t="s">
        <v>556</v>
      </c>
      <c r="J765" s="8" t="s">
        <v>212</v>
      </c>
      <c r="K765" s="14" t="b">
        <v>1</v>
      </c>
      <c r="L765" s="14" t="b">
        <v>0</v>
      </c>
      <c r="M765" s="14" t="b">
        <v>0</v>
      </c>
      <c r="N765" s="14" t="b">
        <v>1</v>
      </c>
      <c r="O765" s="14" t="b">
        <v>1</v>
      </c>
      <c r="W765" s="3"/>
    </row>
    <row r="766" spans="1:23" x14ac:dyDescent="0.25">
      <c r="A766" s="4">
        <v>27372066000169</v>
      </c>
      <c r="B766" s="8" t="s">
        <v>908</v>
      </c>
      <c r="C766" s="8" t="s">
        <v>75</v>
      </c>
      <c r="D766" s="7" t="s">
        <v>74</v>
      </c>
      <c r="E766" s="7" t="s">
        <v>215</v>
      </c>
      <c r="F766" s="6">
        <v>2</v>
      </c>
      <c r="G766" s="8" t="s">
        <v>199</v>
      </c>
      <c r="H766" s="8" t="s">
        <v>200</v>
      </c>
      <c r="I766" s="109" t="s">
        <v>556</v>
      </c>
      <c r="J766" s="8" t="s">
        <v>212</v>
      </c>
      <c r="K766" s="14" t="b">
        <v>1</v>
      </c>
      <c r="L766" s="14" t="b">
        <v>0</v>
      </c>
      <c r="M766" s="14" t="b">
        <v>0</v>
      </c>
      <c r="N766" s="14" t="b">
        <v>1</v>
      </c>
      <c r="O766" s="14" t="b">
        <v>1</v>
      </c>
      <c r="W766" s="3"/>
    </row>
    <row r="767" spans="1:23" x14ac:dyDescent="0.25">
      <c r="A767" s="4">
        <v>29435005007484</v>
      </c>
      <c r="B767" s="8" t="s">
        <v>912</v>
      </c>
      <c r="C767" s="8" t="s">
        <v>76</v>
      </c>
      <c r="D767" s="7" t="s">
        <v>77</v>
      </c>
      <c r="E767" s="7" t="s">
        <v>215</v>
      </c>
      <c r="F767" s="6">
        <v>2</v>
      </c>
      <c r="G767" s="8" t="s">
        <v>199</v>
      </c>
      <c r="H767" s="8" t="s">
        <v>200</v>
      </c>
      <c r="I767" s="109" t="s">
        <v>556</v>
      </c>
      <c r="J767" s="8" t="s">
        <v>212</v>
      </c>
      <c r="K767" s="14" t="b">
        <v>1</v>
      </c>
      <c r="L767" s="14" t="b">
        <v>0</v>
      </c>
      <c r="M767" s="14" t="b">
        <v>0</v>
      </c>
      <c r="N767" s="14" t="b">
        <v>1</v>
      </c>
      <c r="O767" s="14" t="b">
        <v>1</v>
      </c>
      <c r="W767" s="3"/>
    </row>
    <row r="768" spans="1:23" x14ac:dyDescent="0.25">
      <c r="A768" s="4">
        <v>29435005009851</v>
      </c>
      <c r="B768" s="8" t="s">
        <v>913</v>
      </c>
      <c r="C768" s="8" t="s">
        <v>62</v>
      </c>
      <c r="D768" s="7" t="s">
        <v>63</v>
      </c>
      <c r="E768" s="7" t="s">
        <v>215</v>
      </c>
      <c r="F768" s="6">
        <v>2</v>
      </c>
      <c r="G768" s="8" t="s">
        <v>199</v>
      </c>
      <c r="H768" s="8" t="s">
        <v>200</v>
      </c>
      <c r="I768" s="109" t="s">
        <v>556</v>
      </c>
      <c r="J768" s="8" t="s">
        <v>212</v>
      </c>
      <c r="K768" s="14" t="b">
        <v>1</v>
      </c>
      <c r="L768" s="14" t="b">
        <v>0</v>
      </c>
      <c r="M768" s="14" t="b">
        <v>0</v>
      </c>
      <c r="N768" s="14" t="b">
        <v>1</v>
      </c>
      <c r="O768" s="14" t="b">
        <v>1</v>
      </c>
      <c r="W768" s="3"/>
    </row>
    <row r="769" spans="1:23" x14ac:dyDescent="0.25">
      <c r="A769" s="4">
        <v>41580077000165</v>
      </c>
      <c r="B769" s="8" t="s">
        <v>918</v>
      </c>
      <c r="C769" s="8" t="s">
        <v>76</v>
      </c>
      <c r="D769" s="7" t="s">
        <v>77</v>
      </c>
      <c r="E769" s="7" t="s">
        <v>215</v>
      </c>
      <c r="F769" s="6">
        <v>2</v>
      </c>
      <c r="G769" s="8" t="s">
        <v>199</v>
      </c>
      <c r="H769" s="8" t="s">
        <v>200</v>
      </c>
      <c r="I769" s="109" t="s">
        <v>556</v>
      </c>
      <c r="J769" s="8" t="s">
        <v>212</v>
      </c>
      <c r="K769" s="14" t="b">
        <v>1</v>
      </c>
      <c r="L769" s="14" t="b">
        <v>0</v>
      </c>
      <c r="M769" s="14" t="b">
        <v>0</v>
      </c>
      <c r="N769" s="14" t="b">
        <v>1</v>
      </c>
      <c r="O769" s="14" t="b">
        <v>1</v>
      </c>
      <c r="W769" s="3"/>
    </row>
    <row r="770" spans="1:23" x14ac:dyDescent="0.25">
      <c r="A770" s="4">
        <v>60975737003509</v>
      </c>
      <c r="B770" s="8" t="s">
        <v>921</v>
      </c>
      <c r="C770" s="8" t="s">
        <v>76</v>
      </c>
      <c r="D770" s="7" t="s">
        <v>77</v>
      </c>
      <c r="E770" s="7" t="s">
        <v>215</v>
      </c>
      <c r="F770" s="6">
        <v>2</v>
      </c>
      <c r="G770" s="8" t="s">
        <v>199</v>
      </c>
      <c r="H770" s="8" t="s">
        <v>200</v>
      </c>
      <c r="I770" s="109" t="s">
        <v>556</v>
      </c>
      <c r="J770" s="8" t="s">
        <v>212</v>
      </c>
      <c r="K770" s="14" t="b">
        <v>1</v>
      </c>
      <c r="L770" s="14" t="b">
        <v>0</v>
      </c>
      <c r="M770" s="14" t="b">
        <v>0</v>
      </c>
      <c r="N770" s="14" t="b">
        <v>1</v>
      </c>
      <c r="O770" s="14" t="b">
        <v>1</v>
      </c>
      <c r="W770" s="3"/>
    </row>
    <row r="771" spans="1:23" x14ac:dyDescent="0.25">
      <c r="A771" s="4">
        <v>63326243000487</v>
      </c>
      <c r="B771" s="8" t="s">
        <v>924</v>
      </c>
      <c r="C771" s="8" t="s">
        <v>81</v>
      </c>
      <c r="D771" s="7" t="s">
        <v>82</v>
      </c>
      <c r="E771" s="7" t="s">
        <v>215</v>
      </c>
      <c r="F771" s="6">
        <v>2</v>
      </c>
      <c r="G771" s="8" t="s">
        <v>199</v>
      </c>
      <c r="H771" s="8" t="s">
        <v>200</v>
      </c>
      <c r="I771" s="109" t="s">
        <v>556</v>
      </c>
      <c r="J771" s="8" t="s">
        <v>212</v>
      </c>
      <c r="K771" s="14" t="b">
        <v>1</v>
      </c>
      <c r="L771" s="14" t="b">
        <v>0</v>
      </c>
      <c r="M771" s="14" t="b">
        <v>0</v>
      </c>
      <c r="N771" s="14" t="b">
        <v>1</v>
      </c>
      <c r="O771" s="14" t="b">
        <v>1</v>
      </c>
      <c r="W771" s="3"/>
    </row>
    <row r="772" spans="1:23" x14ac:dyDescent="0.25">
      <c r="A772" s="4">
        <v>74031865000151</v>
      </c>
      <c r="B772" s="8" t="s">
        <v>926</v>
      </c>
      <c r="C772" s="8" t="s">
        <v>76</v>
      </c>
      <c r="D772" s="7" t="s">
        <v>77</v>
      </c>
      <c r="E772" s="7" t="s">
        <v>215</v>
      </c>
      <c r="F772" s="6">
        <v>2</v>
      </c>
      <c r="G772" s="8" t="s">
        <v>199</v>
      </c>
      <c r="H772" s="8" t="s">
        <v>200</v>
      </c>
      <c r="I772" s="109" t="s">
        <v>556</v>
      </c>
      <c r="J772" s="8" t="s">
        <v>212</v>
      </c>
      <c r="K772" s="14" t="b">
        <v>1</v>
      </c>
      <c r="L772" s="14" t="b">
        <v>0</v>
      </c>
      <c r="M772" s="14" t="b">
        <v>0</v>
      </c>
      <c r="N772" s="14" t="b">
        <v>1</v>
      </c>
      <c r="O772" s="14" t="b">
        <v>1</v>
      </c>
      <c r="W772" s="3"/>
    </row>
    <row r="773" spans="1:23" x14ac:dyDescent="0.25">
      <c r="A773" s="4">
        <v>97397848000138</v>
      </c>
      <c r="B773" s="8" t="s">
        <v>928</v>
      </c>
      <c r="C773" s="8" t="s">
        <v>75</v>
      </c>
      <c r="D773" s="7" t="s">
        <v>74</v>
      </c>
      <c r="E773" s="7" t="s">
        <v>215</v>
      </c>
      <c r="F773" s="6">
        <v>2</v>
      </c>
      <c r="G773" s="8" t="s">
        <v>199</v>
      </c>
      <c r="H773" s="8" t="s">
        <v>200</v>
      </c>
      <c r="I773" s="109" t="s">
        <v>556</v>
      </c>
      <c r="J773" s="8" t="s">
        <v>212</v>
      </c>
      <c r="K773" s="14" t="b">
        <v>1</v>
      </c>
      <c r="L773" s="14" t="b">
        <v>0</v>
      </c>
      <c r="M773" s="14" t="b">
        <v>0</v>
      </c>
      <c r="N773" s="14" t="b">
        <v>1</v>
      </c>
      <c r="O773" s="14" t="b">
        <v>1</v>
      </c>
      <c r="W773" s="3"/>
    </row>
    <row r="774" spans="1:23" x14ac:dyDescent="0.25">
      <c r="A774" s="4">
        <v>48063983904</v>
      </c>
      <c r="B774" s="8" t="s">
        <v>929</v>
      </c>
      <c r="C774" s="8" t="s">
        <v>930</v>
      </c>
      <c r="D774" s="7" t="s">
        <v>68</v>
      </c>
      <c r="E774" s="7" t="s">
        <v>215</v>
      </c>
      <c r="F774" s="6">
        <v>2</v>
      </c>
      <c r="G774" s="8" t="s">
        <v>175</v>
      </c>
      <c r="H774" s="8" t="s">
        <v>176</v>
      </c>
      <c r="I774" s="109" t="s">
        <v>556</v>
      </c>
      <c r="J774" s="8" t="s">
        <v>206</v>
      </c>
      <c r="K774" s="14" t="b">
        <v>1</v>
      </c>
      <c r="L774" s="14" t="b">
        <v>0</v>
      </c>
      <c r="M774" s="14" t="b">
        <v>0</v>
      </c>
      <c r="N774" s="14" t="b">
        <v>1</v>
      </c>
      <c r="O774" s="14" t="b">
        <v>1</v>
      </c>
      <c r="W774" s="3"/>
    </row>
    <row r="775" spans="1:23" x14ac:dyDescent="0.25">
      <c r="A775" s="4">
        <v>82854246004</v>
      </c>
      <c r="B775" s="8" t="s">
        <v>931</v>
      </c>
      <c r="C775" s="8" t="s">
        <v>83</v>
      </c>
      <c r="D775" s="7" t="s">
        <v>67</v>
      </c>
      <c r="E775" s="7" t="s">
        <v>215</v>
      </c>
      <c r="F775" s="6">
        <v>2</v>
      </c>
      <c r="G775" s="8" t="s">
        <v>175</v>
      </c>
      <c r="H775" s="8" t="s">
        <v>176</v>
      </c>
      <c r="I775" s="109" t="s">
        <v>556</v>
      </c>
      <c r="J775" s="8" t="s">
        <v>206</v>
      </c>
      <c r="K775" s="14" t="b">
        <v>1</v>
      </c>
      <c r="L775" s="14" t="b">
        <v>0</v>
      </c>
      <c r="M775" s="14" t="b">
        <v>0</v>
      </c>
      <c r="N775" s="14" t="b">
        <v>1</v>
      </c>
      <c r="O775" s="14" t="b">
        <v>1</v>
      </c>
      <c r="W775" s="3"/>
    </row>
    <row r="776" spans="1:23" x14ac:dyDescent="0.25">
      <c r="A776" s="4">
        <v>304148000110</v>
      </c>
      <c r="B776" s="8" t="s">
        <v>932</v>
      </c>
      <c r="C776" s="8" t="s">
        <v>933</v>
      </c>
      <c r="D776" s="7" t="s">
        <v>57</v>
      </c>
      <c r="E776" s="7" t="s">
        <v>215</v>
      </c>
      <c r="F776" s="6">
        <v>2</v>
      </c>
      <c r="G776" s="8" t="s">
        <v>175</v>
      </c>
      <c r="H776" s="8" t="s">
        <v>176</v>
      </c>
      <c r="I776" s="109" t="s">
        <v>556</v>
      </c>
      <c r="J776" s="8" t="s">
        <v>206</v>
      </c>
      <c r="K776" s="14" t="b">
        <v>1</v>
      </c>
      <c r="L776" s="14" t="b">
        <v>0</v>
      </c>
      <c r="M776" s="14" t="b">
        <v>0</v>
      </c>
      <c r="N776" s="14" t="b">
        <v>1</v>
      </c>
      <c r="O776" s="14" t="b">
        <v>1</v>
      </c>
      <c r="W776" s="3"/>
    </row>
    <row r="777" spans="1:23" x14ac:dyDescent="0.25">
      <c r="A777" s="4">
        <v>773639000100</v>
      </c>
      <c r="B777" s="8" t="s">
        <v>1397</v>
      </c>
      <c r="C777" s="8" t="s">
        <v>83</v>
      </c>
      <c r="D777" s="7" t="s">
        <v>67</v>
      </c>
      <c r="E777" s="7" t="s">
        <v>215</v>
      </c>
      <c r="F777" s="6">
        <v>2</v>
      </c>
      <c r="G777" s="8" t="s">
        <v>175</v>
      </c>
      <c r="H777" s="8" t="s">
        <v>176</v>
      </c>
      <c r="I777" s="109" t="s">
        <v>556</v>
      </c>
      <c r="J777" s="8" t="s">
        <v>206</v>
      </c>
      <c r="K777" s="14" t="b">
        <v>1</v>
      </c>
      <c r="L777" s="14" t="b">
        <v>0</v>
      </c>
      <c r="M777" s="14" t="b">
        <v>0</v>
      </c>
      <c r="N777" s="14" t="b">
        <v>1</v>
      </c>
      <c r="O777" s="14" t="b">
        <v>1</v>
      </c>
      <c r="W777" s="3"/>
    </row>
    <row r="778" spans="1:23" x14ac:dyDescent="0.25">
      <c r="A778" s="4">
        <v>942063000167</v>
      </c>
      <c r="B778" s="8" t="s">
        <v>934</v>
      </c>
      <c r="C778" s="8" t="s">
        <v>94</v>
      </c>
      <c r="D778" s="7" t="s">
        <v>57</v>
      </c>
      <c r="E778" s="7" t="s">
        <v>215</v>
      </c>
      <c r="F778" s="6">
        <v>2</v>
      </c>
      <c r="G778" s="8" t="s">
        <v>175</v>
      </c>
      <c r="H778" s="8" t="s">
        <v>176</v>
      </c>
      <c r="I778" s="109" t="s">
        <v>556</v>
      </c>
      <c r="J778" s="8" t="s">
        <v>206</v>
      </c>
      <c r="K778" s="14" t="b">
        <v>1</v>
      </c>
      <c r="L778" s="14" t="b">
        <v>0</v>
      </c>
      <c r="M778" s="14" t="b">
        <v>0</v>
      </c>
      <c r="N778" s="14" t="b">
        <v>1</v>
      </c>
      <c r="O778" s="14" t="b">
        <v>1</v>
      </c>
      <c r="W778" s="3"/>
    </row>
    <row r="779" spans="1:23" x14ac:dyDescent="0.25">
      <c r="A779" s="4">
        <v>1125832000105</v>
      </c>
      <c r="B779" s="8" t="s">
        <v>935</v>
      </c>
      <c r="C779" s="8" t="s">
        <v>930</v>
      </c>
      <c r="D779" s="7" t="s">
        <v>68</v>
      </c>
      <c r="E779" s="7" t="s">
        <v>215</v>
      </c>
      <c r="F779" s="6">
        <v>2</v>
      </c>
      <c r="G779" s="8" t="s">
        <v>175</v>
      </c>
      <c r="H779" s="8" t="s">
        <v>176</v>
      </c>
      <c r="I779" s="109" t="s">
        <v>556</v>
      </c>
      <c r="J779" s="8" t="s">
        <v>206</v>
      </c>
      <c r="K779" s="14" t="b">
        <v>1</v>
      </c>
      <c r="L779" s="14" t="b">
        <v>0</v>
      </c>
      <c r="M779" s="14" t="b">
        <v>0</v>
      </c>
      <c r="N779" s="14" t="b">
        <v>1</v>
      </c>
      <c r="O779" s="14" t="b">
        <v>1</v>
      </c>
      <c r="W779" s="3"/>
    </row>
    <row r="780" spans="1:23" x14ac:dyDescent="0.25">
      <c r="A780" s="4">
        <v>1140803000104</v>
      </c>
      <c r="B780" s="8" t="s">
        <v>936</v>
      </c>
      <c r="C780" s="8" t="s">
        <v>66</v>
      </c>
      <c r="D780" s="7" t="s">
        <v>67</v>
      </c>
      <c r="E780" s="7" t="s">
        <v>215</v>
      </c>
      <c r="F780" s="6">
        <v>2</v>
      </c>
      <c r="G780" s="8" t="s">
        <v>175</v>
      </c>
      <c r="H780" s="8" t="s">
        <v>176</v>
      </c>
      <c r="I780" s="109" t="s">
        <v>556</v>
      </c>
      <c r="J780" s="8" t="s">
        <v>206</v>
      </c>
      <c r="K780" s="14" t="b">
        <v>1</v>
      </c>
      <c r="L780" s="14" t="b">
        <v>0</v>
      </c>
      <c r="M780" s="14" t="b">
        <v>0</v>
      </c>
      <c r="N780" s="14" t="b">
        <v>1</v>
      </c>
      <c r="O780" s="14" t="b">
        <v>1</v>
      </c>
      <c r="W780" s="3"/>
    </row>
    <row r="781" spans="1:23" x14ac:dyDescent="0.25">
      <c r="A781" s="4">
        <v>1269903000135</v>
      </c>
      <c r="B781" s="8" t="s">
        <v>1398</v>
      </c>
      <c r="C781" s="8" t="s">
        <v>94</v>
      </c>
      <c r="D781" s="7" t="s">
        <v>57</v>
      </c>
      <c r="E781" s="7" t="s">
        <v>215</v>
      </c>
      <c r="F781" s="6">
        <v>2</v>
      </c>
      <c r="G781" s="8" t="s">
        <v>175</v>
      </c>
      <c r="H781" s="8" t="s">
        <v>176</v>
      </c>
      <c r="I781" s="109" t="s">
        <v>556</v>
      </c>
      <c r="J781" s="8" t="s">
        <v>206</v>
      </c>
      <c r="K781" s="14" t="b">
        <v>1</v>
      </c>
      <c r="L781" s="14" t="b">
        <v>0</v>
      </c>
      <c r="M781" s="14" t="b">
        <v>0</v>
      </c>
      <c r="N781" s="14" t="b">
        <v>1</v>
      </c>
      <c r="O781" s="14" t="b">
        <v>1</v>
      </c>
      <c r="W781" s="3"/>
    </row>
    <row r="782" spans="1:23" x14ac:dyDescent="0.25">
      <c r="A782" s="4">
        <v>1517626000132</v>
      </c>
      <c r="B782" s="8" t="s">
        <v>937</v>
      </c>
      <c r="C782" s="8" t="s">
        <v>938</v>
      </c>
      <c r="D782" s="7" t="s">
        <v>68</v>
      </c>
      <c r="E782" s="7" t="s">
        <v>215</v>
      </c>
      <c r="F782" s="6">
        <v>2</v>
      </c>
      <c r="G782" s="8" t="s">
        <v>175</v>
      </c>
      <c r="H782" s="8" t="s">
        <v>176</v>
      </c>
      <c r="I782" s="109" t="s">
        <v>556</v>
      </c>
      <c r="J782" s="8" t="s">
        <v>206</v>
      </c>
      <c r="K782" s="14" t="b">
        <v>1</v>
      </c>
      <c r="L782" s="14" t="b">
        <v>0</v>
      </c>
      <c r="M782" s="14" t="b">
        <v>0</v>
      </c>
      <c r="N782" s="14" t="b">
        <v>1</v>
      </c>
      <c r="O782" s="14" t="b">
        <v>1</v>
      </c>
      <c r="W782" s="3"/>
    </row>
    <row r="783" spans="1:23" x14ac:dyDescent="0.25">
      <c r="A783" s="4">
        <v>1554266000149</v>
      </c>
      <c r="B783" s="8" t="s">
        <v>939</v>
      </c>
      <c r="C783" s="8" t="s">
        <v>113</v>
      </c>
      <c r="D783" s="7" t="s">
        <v>68</v>
      </c>
      <c r="E783" s="7" t="s">
        <v>215</v>
      </c>
      <c r="F783" s="6">
        <v>2</v>
      </c>
      <c r="G783" s="8" t="s">
        <v>175</v>
      </c>
      <c r="H783" s="8" t="s">
        <v>176</v>
      </c>
      <c r="I783" s="109" t="s">
        <v>556</v>
      </c>
      <c r="J783" s="8" t="s">
        <v>206</v>
      </c>
      <c r="K783" s="14" t="b">
        <v>1</v>
      </c>
      <c r="L783" s="14" t="b">
        <v>0</v>
      </c>
      <c r="M783" s="14" t="b">
        <v>0</v>
      </c>
      <c r="N783" s="14" t="b">
        <v>1</v>
      </c>
      <c r="O783" s="14" t="b">
        <v>1</v>
      </c>
      <c r="W783" s="3"/>
    </row>
    <row r="784" spans="1:23" x14ac:dyDescent="0.25">
      <c r="A784" s="4">
        <v>1554266000300</v>
      </c>
      <c r="B784" s="8" t="s">
        <v>940</v>
      </c>
      <c r="C784" s="8" t="s">
        <v>113</v>
      </c>
      <c r="D784" s="7" t="s">
        <v>68</v>
      </c>
      <c r="E784" s="7" t="s">
        <v>215</v>
      </c>
      <c r="F784" s="6">
        <v>2</v>
      </c>
      <c r="G784" s="8" t="s">
        <v>175</v>
      </c>
      <c r="H784" s="8" t="s">
        <v>176</v>
      </c>
      <c r="I784" s="109" t="s">
        <v>556</v>
      </c>
      <c r="J784" s="8" t="s">
        <v>206</v>
      </c>
      <c r="K784" s="14" t="b">
        <v>1</v>
      </c>
      <c r="L784" s="14" t="b">
        <v>0</v>
      </c>
      <c r="M784" s="14" t="b">
        <v>0</v>
      </c>
      <c r="N784" s="14" t="b">
        <v>1</v>
      </c>
      <c r="O784" s="14" t="b">
        <v>1</v>
      </c>
      <c r="W784" s="3"/>
    </row>
    <row r="785" spans="1:23" x14ac:dyDescent="0.25">
      <c r="A785" s="4">
        <v>1595799000179</v>
      </c>
      <c r="B785" s="8" t="s">
        <v>1399</v>
      </c>
      <c r="C785" s="8" t="s">
        <v>998</v>
      </c>
      <c r="D785" s="7" t="s">
        <v>68</v>
      </c>
      <c r="E785" s="7" t="s">
        <v>215</v>
      </c>
      <c r="F785" s="6">
        <v>2</v>
      </c>
      <c r="G785" s="8" t="s">
        <v>175</v>
      </c>
      <c r="H785" s="8" t="s">
        <v>176</v>
      </c>
      <c r="I785" s="109" t="s">
        <v>556</v>
      </c>
      <c r="J785" s="8" t="s">
        <v>206</v>
      </c>
      <c r="K785" s="14" t="b">
        <v>1</v>
      </c>
      <c r="L785" s="14" t="b">
        <v>0</v>
      </c>
      <c r="M785" s="14" t="b">
        <v>0</v>
      </c>
      <c r="N785" s="14" t="b">
        <v>1</v>
      </c>
      <c r="O785" s="14" t="b">
        <v>1</v>
      </c>
      <c r="W785" s="3"/>
    </row>
    <row r="786" spans="1:23" x14ac:dyDescent="0.25">
      <c r="A786" s="4">
        <v>1880344000103</v>
      </c>
      <c r="B786" s="8" t="s">
        <v>941</v>
      </c>
      <c r="C786" s="8" t="s">
        <v>93</v>
      </c>
      <c r="D786" s="7" t="s">
        <v>68</v>
      </c>
      <c r="E786" s="7" t="s">
        <v>215</v>
      </c>
      <c r="F786" s="6">
        <v>2</v>
      </c>
      <c r="G786" s="8" t="s">
        <v>175</v>
      </c>
      <c r="H786" s="8" t="s">
        <v>176</v>
      </c>
      <c r="I786" s="109" t="s">
        <v>556</v>
      </c>
      <c r="J786" s="8" t="s">
        <v>206</v>
      </c>
      <c r="K786" s="14" t="b">
        <v>1</v>
      </c>
      <c r="L786" s="14" t="b">
        <v>0</v>
      </c>
      <c r="M786" s="14" t="b">
        <v>0</v>
      </c>
      <c r="N786" s="14" t="b">
        <v>1</v>
      </c>
      <c r="O786" s="14" t="b">
        <v>1</v>
      </c>
      <c r="W786" s="3"/>
    </row>
    <row r="787" spans="1:23" x14ac:dyDescent="0.25">
      <c r="A787" s="4">
        <v>2862447000286</v>
      </c>
      <c r="B787" s="8" t="s">
        <v>942</v>
      </c>
      <c r="C787" s="8" t="s">
        <v>94</v>
      </c>
      <c r="D787" s="7" t="s">
        <v>57</v>
      </c>
      <c r="E787" s="7" t="s">
        <v>215</v>
      </c>
      <c r="F787" s="6">
        <v>2</v>
      </c>
      <c r="G787" s="8" t="s">
        <v>175</v>
      </c>
      <c r="H787" s="8" t="s">
        <v>176</v>
      </c>
      <c r="I787" s="109" t="s">
        <v>556</v>
      </c>
      <c r="J787" s="8" t="s">
        <v>206</v>
      </c>
      <c r="K787" s="14" t="b">
        <v>1</v>
      </c>
      <c r="L787" s="14" t="b">
        <v>0</v>
      </c>
      <c r="M787" s="14" t="b">
        <v>0</v>
      </c>
      <c r="N787" s="14" t="b">
        <v>1</v>
      </c>
      <c r="O787" s="14" t="b">
        <v>1</v>
      </c>
      <c r="W787" s="3"/>
    </row>
    <row r="788" spans="1:23" x14ac:dyDescent="0.25">
      <c r="A788" s="4">
        <v>3123393000208</v>
      </c>
      <c r="B788" s="8" t="s">
        <v>943</v>
      </c>
      <c r="C788" s="8" t="s">
        <v>541</v>
      </c>
      <c r="D788" s="7" t="s">
        <v>67</v>
      </c>
      <c r="E788" s="7" t="s">
        <v>215</v>
      </c>
      <c r="F788" s="6">
        <v>2</v>
      </c>
      <c r="G788" s="8" t="s">
        <v>175</v>
      </c>
      <c r="H788" s="8" t="s">
        <v>176</v>
      </c>
      <c r="I788" s="109" t="s">
        <v>556</v>
      </c>
      <c r="J788" s="8" t="s">
        <v>206</v>
      </c>
      <c r="K788" s="14" t="b">
        <v>1</v>
      </c>
      <c r="L788" s="14" t="b">
        <v>0</v>
      </c>
      <c r="M788" s="14" t="b">
        <v>0</v>
      </c>
      <c r="N788" s="14" t="b">
        <v>1</v>
      </c>
      <c r="O788" s="14" t="b">
        <v>1</v>
      </c>
      <c r="W788" s="3"/>
    </row>
    <row r="789" spans="1:23" x14ac:dyDescent="0.25">
      <c r="A789" s="4">
        <v>3354642000187</v>
      </c>
      <c r="B789" s="8" t="s">
        <v>1143</v>
      </c>
      <c r="C789" s="8" t="s">
        <v>93</v>
      </c>
      <c r="D789" s="7" t="s">
        <v>68</v>
      </c>
      <c r="E789" s="7" t="s">
        <v>215</v>
      </c>
      <c r="F789" s="6">
        <v>2</v>
      </c>
      <c r="G789" s="8" t="s">
        <v>175</v>
      </c>
      <c r="H789" s="8" t="s">
        <v>176</v>
      </c>
      <c r="I789" s="109" t="s">
        <v>556</v>
      </c>
      <c r="J789" s="8" t="s">
        <v>206</v>
      </c>
      <c r="K789" s="14" t="b">
        <v>1</v>
      </c>
      <c r="L789" s="14" t="b">
        <v>0</v>
      </c>
      <c r="M789" s="14" t="b">
        <v>0</v>
      </c>
      <c r="N789" s="14" t="b">
        <v>1</v>
      </c>
      <c r="O789" s="14" t="b">
        <v>1</v>
      </c>
      <c r="W789" s="3"/>
    </row>
    <row r="790" spans="1:23" x14ac:dyDescent="0.25">
      <c r="A790" s="4">
        <v>3824198000116</v>
      </c>
      <c r="B790" s="8" t="s">
        <v>944</v>
      </c>
      <c r="C790" s="8" t="s">
        <v>94</v>
      </c>
      <c r="D790" s="7" t="s">
        <v>57</v>
      </c>
      <c r="E790" s="7" t="s">
        <v>215</v>
      </c>
      <c r="F790" s="6">
        <v>2</v>
      </c>
      <c r="G790" s="8" t="s">
        <v>175</v>
      </c>
      <c r="H790" s="8" t="s">
        <v>176</v>
      </c>
      <c r="I790" s="109" t="s">
        <v>556</v>
      </c>
      <c r="J790" s="8" t="s">
        <v>206</v>
      </c>
      <c r="K790" s="14" t="b">
        <v>1</v>
      </c>
      <c r="L790" s="14" t="b">
        <v>0</v>
      </c>
      <c r="M790" s="14" t="b">
        <v>0</v>
      </c>
      <c r="N790" s="14" t="b">
        <v>1</v>
      </c>
      <c r="O790" s="14" t="b">
        <v>1</v>
      </c>
      <c r="W790" s="3"/>
    </row>
    <row r="791" spans="1:23" x14ac:dyDescent="0.25">
      <c r="A791" s="4">
        <v>3850913000195</v>
      </c>
      <c r="B791" s="8" t="s">
        <v>945</v>
      </c>
      <c r="C791" s="8" t="s">
        <v>94</v>
      </c>
      <c r="D791" s="7" t="s">
        <v>57</v>
      </c>
      <c r="E791" s="7" t="s">
        <v>215</v>
      </c>
      <c r="F791" s="6">
        <v>2</v>
      </c>
      <c r="G791" s="8" t="s">
        <v>175</v>
      </c>
      <c r="H791" s="8" t="s">
        <v>176</v>
      </c>
      <c r="I791" s="109" t="s">
        <v>556</v>
      </c>
      <c r="J791" s="8" t="s">
        <v>206</v>
      </c>
      <c r="K791" s="14" t="b">
        <v>1</v>
      </c>
      <c r="L791" s="14" t="b">
        <v>0</v>
      </c>
      <c r="M791" s="14" t="b">
        <v>0</v>
      </c>
      <c r="N791" s="14" t="b">
        <v>1</v>
      </c>
      <c r="O791" s="14" t="b">
        <v>1</v>
      </c>
      <c r="W791" s="3"/>
    </row>
    <row r="792" spans="1:23" x14ac:dyDescent="0.25">
      <c r="A792" s="4">
        <v>3855214000219</v>
      </c>
      <c r="B792" s="8" t="s">
        <v>946</v>
      </c>
      <c r="C792" s="8" t="s">
        <v>947</v>
      </c>
      <c r="D792" s="7" t="s">
        <v>68</v>
      </c>
      <c r="E792" s="7" t="s">
        <v>215</v>
      </c>
      <c r="F792" s="6">
        <v>2</v>
      </c>
      <c r="G792" s="8" t="s">
        <v>175</v>
      </c>
      <c r="H792" s="8" t="s">
        <v>176</v>
      </c>
      <c r="I792" s="109" t="s">
        <v>556</v>
      </c>
      <c r="J792" s="8" t="s">
        <v>206</v>
      </c>
      <c r="K792" s="14" t="b">
        <v>1</v>
      </c>
      <c r="L792" s="14" t="b">
        <v>0</v>
      </c>
      <c r="M792" s="14" t="b">
        <v>0</v>
      </c>
      <c r="N792" s="14" t="b">
        <v>1</v>
      </c>
      <c r="O792" s="14" t="b">
        <v>1</v>
      </c>
      <c r="W792" s="3"/>
    </row>
    <row r="793" spans="1:23" x14ac:dyDescent="0.25">
      <c r="A793" s="4">
        <v>4378502000101</v>
      </c>
      <c r="B793" s="8" t="s">
        <v>948</v>
      </c>
      <c r="C793" s="8" t="s">
        <v>94</v>
      </c>
      <c r="D793" s="7" t="s">
        <v>57</v>
      </c>
      <c r="E793" s="7" t="s">
        <v>215</v>
      </c>
      <c r="F793" s="6">
        <v>2</v>
      </c>
      <c r="G793" s="8" t="s">
        <v>175</v>
      </c>
      <c r="H793" s="8" t="s">
        <v>176</v>
      </c>
      <c r="I793" s="109" t="s">
        <v>556</v>
      </c>
      <c r="J793" s="8" t="s">
        <v>206</v>
      </c>
      <c r="K793" s="14" t="b">
        <v>1</v>
      </c>
      <c r="L793" s="14" t="b">
        <v>0</v>
      </c>
      <c r="M793" s="14" t="b">
        <v>0</v>
      </c>
      <c r="N793" s="14" t="b">
        <v>1</v>
      </c>
      <c r="O793" s="14" t="b">
        <v>1</v>
      </c>
      <c r="W793" s="3"/>
    </row>
    <row r="794" spans="1:23" x14ac:dyDescent="0.25">
      <c r="A794" s="4">
        <v>4670913000176</v>
      </c>
      <c r="B794" s="8" t="s">
        <v>949</v>
      </c>
      <c r="C794" s="8" t="s">
        <v>930</v>
      </c>
      <c r="D794" s="7" t="s">
        <v>68</v>
      </c>
      <c r="E794" s="7" t="s">
        <v>215</v>
      </c>
      <c r="F794" s="6">
        <v>2</v>
      </c>
      <c r="G794" s="8" t="s">
        <v>175</v>
      </c>
      <c r="H794" s="8" t="s">
        <v>176</v>
      </c>
      <c r="I794" s="109" t="s">
        <v>556</v>
      </c>
      <c r="J794" s="8" t="s">
        <v>206</v>
      </c>
      <c r="K794" s="14" t="b">
        <v>1</v>
      </c>
      <c r="L794" s="14" t="b">
        <v>0</v>
      </c>
      <c r="M794" s="14" t="b">
        <v>0</v>
      </c>
      <c r="N794" s="14" t="b">
        <v>1</v>
      </c>
      <c r="O794" s="14" t="b">
        <v>1</v>
      </c>
      <c r="W794" s="3"/>
    </row>
    <row r="795" spans="1:23" x14ac:dyDescent="0.25">
      <c r="A795" s="4">
        <v>4762301000103</v>
      </c>
      <c r="B795" s="8" t="s">
        <v>950</v>
      </c>
      <c r="C795" s="8" t="s">
        <v>121</v>
      </c>
      <c r="D795" s="7" t="s">
        <v>57</v>
      </c>
      <c r="E795" s="7" t="s">
        <v>215</v>
      </c>
      <c r="F795" s="6">
        <v>2</v>
      </c>
      <c r="G795" s="8" t="s">
        <v>175</v>
      </c>
      <c r="H795" s="8" t="s">
        <v>176</v>
      </c>
      <c r="I795" s="109" t="s">
        <v>556</v>
      </c>
      <c r="J795" s="8" t="s">
        <v>206</v>
      </c>
      <c r="K795" s="14" t="b">
        <v>1</v>
      </c>
      <c r="L795" s="14" t="b">
        <v>0</v>
      </c>
      <c r="M795" s="14" t="b">
        <v>0</v>
      </c>
      <c r="N795" s="14" t="b">
        <v>1</v>
      </c>
      <c r="O795" s="14" t="b">
        <v>1</v>
      </c>
      <c r="W795" s="3"/>
    </row>
    <row r="796" spans="1:23" x14ac:dyDescent="0.25">
      <c r="A796" s="4">
        <v>5503803000182</v>
      </c>
      <c r="B796" s="8" t="s">
        <v>1400</v>
      </c>
      <c r="C796" s="8" t="s">
        <v>94</v>
      </c>
      <c r="D796" s="7" t="s">
        <v>57</v>
      </c>
      <c r="E796" s="7" t="s">
        <v>215</v>
      </c>
      <c r="F796" s="6">
        <v>2</v>
      </c>
      <c r="G796" s="8" t="s">
        <v>175</v>
      </c>
      <c r="H796" s="8" t="s">
        <v>176</v>
      </c>
      <c r="I796" s="109" t="s">
        <v>556</v>
      </c>
      <c r="J796" s="8" t="s">
        <v>206</v>
      </c>
      <c r="K796" s="14" t="b">
        <v>1</v>
      </c>
      <c r="L796" s="14" t="b">
        <v>0</v>
      </c>
      <c r="M796" s="14" t="b">
        <v>0</v>
      </c>
      <c r="N796" s="14" t="b">
        <v>1</v>
      </c>
      <c r="O796" s="14" t="b">
        <v>1</v>
      </c>
      <c r="W796" s="3"/>
    </row>
    <row r="797" spans="1:23" x14ac:dyDescent="0.25">
      <c r="A797" s="4">
        <v>7088017000191</v>
      </c>
      <c r="B797" s="8" t="s">
        <v>952</v>
      </c>
      <c r="C797" s="8" t="s">
        <v>117</v>
      </c>
      <c r="D797" s="7" t="s">
        <v>57</v>
      </c>
      <c r="E797" s="7" t="s">
        <v>215</v>
      </c>
      <c r="F797" s="6">
        <v>2</v>
      </c>
      <c r="G797" s="8" t="s">
        <v>175</v>
      </c>
      <c r="H797" s="8" t="s">
        <v>176</v>
      </c>
      <c r="I797" s="109" t="s">
        <v>556</v>
      </c>
      <c r="J797" s="8" t="s">
        <v>206</v>
      </c>
      <c r="K797" s="14" t="b">
        <v>1</v>
      </c>
      <c r="L797" s="14" t="b">
        <v>0</v>
      </c>
      <c r="M797" s="14" t="b">
        <v>0</v>
      </c>
      <c r="N797" s="14" t="b">
        <v>1</v>
      </c>
      <c r="O797" s="14" t="b">
        <v>1</v>
      </c>
      <c r="W797" s="3"/>
    </row>
    <row r="798" spans="1:23" x14ac:dyDescent="0.25">
      <c r="A798" s="4">
        <v>7404052000172</v>
      </c>
      <c r="B798" s="8" t="s">
        <v>953</v>
      </c>
      <c r="C798" s="8" t="s">
        <v>94</v>
      </c>
      <c r="D798" s="7" t="s">
        <v>57</v>
      </c>
      <c r="E798" s="7" t="s">
        <v>215</v>
      </c>
      <c r="F798" s="6">
        <v>2</v>
      </c>
      <c r="G798" s="8" t="s">
        <v>175</v>
      </c>
      <c r="H798" s="8" t="s">
        <v>176</v>
      </c>
      <c r="I798" s="109" t="s">
        <v>556</v>
      </c>
      <c r="J798" s="8" t="s">
        <v>206</v>
      </c>
      <c r="K798" s="14" t="b">
        <v>1</v>
      </c>
      <c r="L798" s="14" t="b">
        <v>0</v>
      </c>
      <c r="M798" s="14" t="b">
        <v>0</v>
      </c>
      <c r="N798" s="14" t="b">
        <v>1</v>
      </c>
      <c r="O798" s="14" t="b">
        <v>1</v>
      </c>
      <c r="W798" s="3"/>
    </row>
    <row r="799" spans="1:23" x14ac:dyDescent="0.25">
      <c r="A799" s="4">
        <v>7734165000136</v>
      </c>
      <c r="B799" s="8" t="s">
        <v>954</v>
      </c>
      <c r="C799" s="8" t="s">
        <v>94</v>
      </c>
      <c r="D799" s="7" t="s">
        <v>57</v>
      </c>
      <c r="E799" s="7" t="s">
        <v>215</v>
      </c>
      <c r="F799" s="6">
        <v>2</v>
      </c>
      <c r="G799" s="8" t="s">
        <v>175</v>
      </c>
      <c r="H799" s="8" t="s">
        <v>176</v>
      </c>
      <c r="I799" s="109" t="s">
        <v>556</v>
      </c>
      <c r="J799" s="8" t="s">
        <v>206</v>
      </c>
      <c r="K799" s="14" t="b">
        <v>1</v>
      </c>
      <c r="L799" s="14" t="b">
        <v>0</v>
      </c>
      <c r="M799" s="14" t="b">
        <v>0</v>
      </c>
      <c r="N799" s="14" t="b">
        <v>1</v>
      </c>
      <c r="O799" s="14" t="b">
        <v>1</v>
      </c>
      <c r="W799" s="3"/>
    </row>
    <row r="800" spans="1:23" x14ac:dyDescent="0.25">
      <c r="A800" s="4">
        <v>7794623002257</v>
      </c>
      <c r="B800" s="8" t="s">
        <v>955</v>
      </c>
      <c r="C800" s="8" t="s">
        <v>956</v>
      </c>
      <c r="D800" s="7" t="s">
        <v>57</v>
      </c>
      <c r="E800" s="7" t="s">
        <v>215</v>
      </c>
      <c r="F800" s="6">
        <v>2</v>
      </c>
      <c r="G800" s="8" t="s">
        <v>175</v>
      </c>
      <c r="H800" s="8" t="s">
        <v>176</v>
      </c>
      <c r="I800" s="109" t="s">
        <v>556</v>
      </c>
      <c r="J800" s="8" t="s">
        <v>206</v>
      </c>
      <c r="K800" s="14" t="b">
        <v>1</v>
      </c>
      <c r="L800" s="14" t="b">
        <v>0</v>
      </c>
      <c r="M800" s="14" t="b">
        <v>0</v>
      </c>
      <c r="N800" s="14" t="b">
        <v>1</v>
      </c>
      <c r="O800" s="14" t="b">
        <v>1</v>
      </c>
      <c r="W800" s="3"/>
    </row>
    <row r="801" spans="1:23" x14ac:dyDescent="0.25">
      <c r="A801" s="4">
        <v>8579164000127</v>
      </c>
      <c r="B801" s="8" t="s">
        <v>1401</v>
      </c>
      <c r="C801" s="8" t="s">
        <v>1402</v>
      </c>
      <c r="D801" s="7" t="s">
        <v>67</v>
      </c>
      <c r="E801" s="7" t="s">
        <v>215</v>
      </c>
      <c r="F801" s="6">
        <v>2</v>
      </c>
      <c r="G801" s="8" t="s">
        <v>175</v>
      </c>
      <c r="H801" s="8" t="s">
        <v>176</v>
      </c>
      <c r="I801" s="109" t="s">
        <v>556</v>
      </c>
      <c r="J801" s="8" t="s">
        <v>206</v>
      </c>
      <c r="K801" s="14" t="b">
        <v>1</v>
      </c>
      <c r="L801" s="14" t="b">
        <v>0</v>
      </c>
      <c r="M801" s="14" t="b">
        <v>0</v>
      </c>
      <c r="N801" s="14" t="b">
        <v>1</v>
      </c>
      <c r="O801" s="14" t="b">
        <v>1</v>
      </c>
      <c r="W801" s="3"/>
    </row>
    <row r="802" spans="1:23" x14ac:dyDescent="0.25">
      <c r="A802" s="4">
        <v>8597121000174</v>
      </c>
      <c r="B802" s="8" t="s">
        <v>957</v>
      </c>
      <c r="C802" s="8" t="s">
        <v>94</v>
      </c>
      <c r="D802" s="7" t="s">
        <v>57</v>
      </c>
      <c r="E802" s="7" t="s">
        <v>215</v>
      </c>
      <c r="F802" s="6">
        <v>2</v>
      </c>
      <c r="G802" s="8" t="s">
        <v>175</v>
      </c>
      <c r="H802" s="8" t="s">
        <v>176</v>
      </c>
      <c r="I802" s="109" t="s">
        <v>556</v>
      </c>
      <c r="J802" s="8" t="s">
        <v>206</v>
      </c>
      <c r="K802" s="14" t="b">
        <v>1</v>
      </c>
      <c r="L802" s="14" t="b">
        <v>0</v>
      </c>
      <c r="M802" s="14" t="b">
        <v>0</v>
      </c>
      <c r="N802" s="14" t="b">
        <v>1</v>
      </c>
      <c r="O802" s="14" t="b">
        <v>1</v>
      </c>
      <c r="W802" s="3"/>
    </row>
    <row r="803" spans="1:23" x14ac:dyDescent="0.25">
      <c r="A803" s="4">
        <v>9087150000230</v>
      </c>
      <c r="B803" s="8" t="s">
        <v>958</v>
      </c>
      <c r="C803" s="8" t="s">
        <v>83</v>
      </c>
      <c r="D803" s="7" t="s">
        <v>67</v>
      </c>
      <c r="E803" s="7" t="s">
        <v>215</v>
      </c>
      <c r="F803" s="6">
        <v>2</v>
      </c>
      <c r="G803" s="8" t="s">
        <v>175</v>
      </c>
      <c r="H803" s="8" t="s">
        <v>176</v>
      </c>
      <c r="I803" s="109" t="s">
        <v>556</v>
      </c>
      <c r="J803" s="8" t="s">
        <v>206</v>
      </c>
      <c r="K803" s="14" t="b">
        <v>1</v>
      </c>
      <c r="L803" s="14" t="b">
        <v>0</v>
      </c>
      <c r="M803" s="14" t="b">
        <v>0</v>
      </c>
      <c r="N803" s="14" t="b">
        <v>1</v>
      </c>
      <c r="O803" s="14" t="b">
        <v>1</v>
      </c>
      <c r="W803" s="3"/>
    </row>
    <row r="804" spans="1:23" x14ac:dyDescent="0.25">
      <c r="A804" s="4">
        <v>9549061000268</v>
      </c>
      <c r="B804" s="8" t="s">
        <v>959</v>
      </c>
      <c r="C804" s="8" t="s">
        <v>100</v>
      </c>
      <c r="D804" s="7" t="s">
        <v>67</v>
      </c>
      <c r="E804" s="7" t="s">
        <v>215</v>
      </c>
      <c r="F804" s="6">
        <v>2</v>
      </c>
      <c r="G804" s="8" t="s">
        <v>175</v>
      </c>
      <c r="H804" s="8" t="s">
        <v>176</v>
      </c>
      <c r="I804" s="109" t="s">
        <v>556</v>
      </c>
      <c r="J804" s="8" t="s">
        <v>206</v>
      </c>
      <c r="K804" s="14" t="b">
        <v>1</v>
      </c>
      <c r="L804" s="14" t="b">
        <v>0</v>
      </c>
      <c r="M804" s="14" t="b">
        <v>0</v>
      </c>
      <c r="N804" s="14" t="b">
        <v>1</v>
      </c>
      <c r="O804" s="14" t="b">
        <v>1</v>
      </c>
      <c r="W804" s="3"/>
    </row>
    <row r="805" spans="1:23" x14ac:dyDescent="0.25">
      <c r="A805" s="4">
        <v>9572216000287</v>
      </c>
      <c r="B805" s="8" t="s">
        <v>960</v>
      </c>
      <c r="C805" s="8" t="s">
        <v>118</v>
      </c>
      <c r="D805" s="7" t="s">
        <v>67</v>
      </c>
      <c r="E805" s="7" t="s">
        <v>215</v>
      </c>
      <c r="F805" s="6">
        <v>2</v>
      </c>
      <c r="G805" s="8" t="s">
        <v>175</v>
      </c>
      <c r="H805" s="8" t="s">
        <v>176</v>
      </c>
      <c r="I805" s="109" t="s">
        <v>556</v>
      </c>
      <c r="J805" s="8" t="s">
        <v>206</v>
      </c>
      <c r="K805" s="14" t="b">
        <v>1</v>
      </c>
      <c r="L805" s="14" t="b">
        <v>0</v>
      </c>
      <c r="M805" s="14" t="b">
        <v>0</v>
      </c>
      <c r="N805" s="14" t="b">
        <v>1</v>
      </c>
      <c r="O805" s="14" t="b">
        <v>1</v>
      </c>
      <c r="W805" s="3"/>
    </row>
    <row r="806" spans="1:23" x14ac:dyDescent="0.25">
      <c r="A806" s="4">
        <v>9579964000291</v>
      </c>
      <c r="B806" s="8" t="s">
        <v>961</v>
      </c>
      <c r="C806" s="8" t="s">
        <v>94</v>
      </c>
      <c r="D806" s="7" t="s">
        <v>57</v>
      </c>
      <c r="E806" s="7" t="s">
        <v>215</v>
      </c>
      <c r="F806" s="6">
        <v>2</v>
      </c>
      <c r="G806" s="8" t="s">
        <v>175</v>
      </c>
      <c r="H806" s="8" t="s">
        <v>176</v>
      </c>
      <c r="I806" s="109" t="s">
        <v>556</v>
      </c>
      <c r="J806" s="8" t="s">
        <v>206</v>
      </c>
      <c r="K806" s="14" t="b">
        <v>1</v>
      </c>
      <c r="L806" s="14" t="b">
        <v>0</v>
      </c>
      <c r="M806" s="14" t="b">
        <v>0</v>
      </c>
      <c r="N806" s="14" t="b">
        <v>1</v>
      </c>
      <c r="O806" s="14" t="b">
        <v>1</v>
      </c>
      <c r="W806" s="3"/>
    </row>
    <row r="807" spans="1:23" x14ac:dyDescent="0.25">
      <c r="A807" s="4">
        <v>9605231000284</v>
      </c>
      <c r="B807" s="8" t="s">
        <v>962</v>
      </c>
      <c r="C807" s="8" t="s">
        <v>87</v>
      </c>
      <c r="D807" s="7" t="s">
        <v>67</v>
      </c>
      <c r="E807" s="7" t="s">
        <v>215</v>
      </c>
      <c r="F807" s="6">
        <v>2</v>
      </c>
      <c r="G807" s="8" t="s">
        <v>175</v>
      </c>
      <c r="H807" s="8" t="s">
        <v>176</v>
      </c>
      <c r="I807" s="109" t="s">
        <v>556</v>
      </c>
      <c r="J807" s="8" t="s">
        <v>206</v>
      </c>
      <c r="K807" s="14" t="b">
        <v>1</v>
      </c>
      <c r="L807" s="14" t="b">
        <v>0</v>
      </c>
      <c r="M807" s="14" t="b">
        <v>0</v>
      </c>
      <c r="N807" s="14" t="b">
        <v>1</v>
      </c>
      <c r="O807" s="14" t="b">
        <v>1</v>
      </c>
      <c r="W807" s="3"/>
    </row>
    <row r="808" spans="1:23" x14ac:dyDescent="0.25">
      <c r="A808" s="4">
        <v>11055682000156</v>
      </c>
      <c r="B808" s="8" t="s">
        <v>963</v>
      </c>
      <c r="C808" s="8" t="s">
        <v>124</v>
      </c>
      <c r="D808" s="7" t="s">
        <v>67</v>
      </c>
      <c r="E808" s="7" t="s">
        <v>215</v>
      </c>
      <c r="F808" s="6">
        <v>2</v>
      </c>
      <c r="G808" s="8" t="s">
        <v>175</v>
      </c>
      <c r="H808" s="8" t="s">
        <v>176</v>
      </c>
      <c r="I808" s="109" t="s">
        <v>556</v>
      </c>
      <c r="J808" s="8" t="s">
        <v>206</v>
      </c>
      <c r="K808" s="14" t="b">
        <v>1</v>
      </c>
      <c r="L808" s="14" t="b">
        <v>0</v>
      </c>
      <c r="M808" s="14" t="b">
        <v>0</v>
      </c>
      <c r="N808" s="14" t="b">
        <v>1</v>
      </c>
      <c r="O808" s="14" t="b">
        <v>1</v>
      </c>
      <c r="W808" s="3"/>
    </row>
    <row r="809" spans="1:23" x14ac:dyDescent="0.25">
      <c r="A809" s="4">
        <v>12361267004261</v>
      </c>
      <c r="B809" s="8" t="s">
        <v>964</v>
      </c>
      <c r="C809" s="8" t="s">
        <v>125</v>
      </c>
      <c r="D809" s="7" t="s">
        <v>68</v>
      </c>
      <c r="E809" s="7" t="s">
        <v>215</v>
      </c>
      <c r="F809" s="6">
        <v>2</v>
      </c>
      <c r="G809" s="8" t="s">
        <v>175</v>
      </c>
      <c r="H809" s="8" t="s">
        <v>176</v>
      </c>
      <c r="I809" s="109" t="s">
        <v>556</v>
      </c>
      <c r="J809" s="8" t="s">
        <v>206</v>
      </c>
      <c r="K809" s="14" t="b">
        <v>1</v>
      </c>
      <c r="L809" s="14" t="b">
        <v>0</v>
      </c>
      <c r="M809" s="14" t="b">
        <v>0</v>
      </c>
      <c r="N809" s="14" t="b">
        <v>1</v>
      </c>
      <c r="O809" s="14" t="b">
        <v>1</v>
      </c>
      <c r="W809" s="3"/>
    </row>
    <row r="810" spans="1:23" x14ac:dyDescent="0.25">
      <c r="A810" s="4">
        <v>12508728000108</v>
      </c>
      <c r="B810" s="8" t="s">
        <v>965</v>
      </c>
      <c r="C810" s="8" t="s">
        <v>87</v>
      </c>
      <c r="D810" s="7" t="s">
        <v>67</v>
      </c>
      <c r="E810" s="7" t="s">
        <v>215</v>
      </c>
      <c r="F810" s="6">
        <v>2</v>
      </c>
      <c r="G810" s="8" t="s">
        <v>175</v>
      </c>
      <c r="H810" s="8" t="s">
        <v>176</v>
      </c>
      <c r="I810" s="109" t="s">
        <v>556</v>
      </c>
      <c r="J810" s="8" t="s">
        <v>206</v>
      </c>
      <c r="K810" s="14" t="b">
        <v>1</v>
      </c>
      <c r="L810" s="14" t="b">
        <v>0</v>
      </c>
      <c r="M810" s="14" t="b">
        <v>0</v>
      </c>
      <c r="N810" s="14" t="b">
        <v>1</v>
      </c>
      <c r="O810" s="14" t="b">
        <v>1</v>
      </c>
      <c r="W810" s="3"/>
    </row>
    <row r="811" spans="1:23" x14ac:dyDescent="0.25">
      <c r="A811" s="4">
        <v>15126437001972</v>
      </c>
      <c r="B811" s="8" t="s">
        <v>966</v>
      </c>
      <c r="C811" s="8" t="s">
        <v>87</v>
      </c>
      <c r="D811" s="7" t="s">
        <v>67</v>
      </c>
      <c r="E811" s="7" t="s">
        <v>215</v>
      </c>
      <c r="F811" s="6">
        <v>2</v>
      </c>
      <c r="G811" s="8" t="s">
        <v>175</v>
      </c>
      <c r="H811" s="8" t="s">
        <v>176</v>
      </c>
      <c r="I811" s="109" t="s">
        <v>556</v>
      </c>
      <c r="J811" s="8" t="s">
        <v>206</v>
      </c>
      <c r="K811" s="14" t="b">
        <v>1</v>
      </c>
      <c r="L811" s="14" t="b">
        <v>0</v>
      </c>
      <c r="M811" s="14" t="b">
        <v>0</v>
      </c>
      <c r="N811" s="14" t="b">
        <v>1</v>
      </c>
      <c r="O811" s="14" t="b">
        <v>1</v>
      </c>
      <c r="W811" s="3"/>
    </row>
    <row r="812" spans="1:23" x14ac:dyDescent="0.25">
      <c r="A812" s="4">
        <v>15126437003401</v>
      </c>
      <c r="B812" s="8" t="s">
        <v>967</v>
      </c>
      <c r="C812" s="8" t="s">
        <v>95</v>
      </c>
      <c r="D812" s="7" t="s">
        <v>68</v>
      </c>
      <c r="E812" s="7" t="s">
        <v>215</v>
      </c>
      <c r="F812" s="6">
        <v>2</v>
      </c>
      <c r="G812" s="8" t="s">
        <v>175</v>
      </c>
      <c r="H812" s="8" t="s">
        <v>176</v>
      </c>
      <c r="I812" s="109" t="s">
        <v>556</v>
      </c>
      <c r="J812" s="8" t="s">
        <v>206</v>
      </c>
      <c r="K812" s="14" t="b">
        <v>1</v>
      </c>
      <c r="L812" s="14" t="b">
        <v>0</v>
      </c>
      <c r="M812" s="14" t="b">
        <v>0</v>
      </c>
      <c r="N812" s="14" t="b">
        <v>1</v>
      </c>
      <c r="O812" s="14" t="b">
        <v>1</v>
      </c>
      <c r="W812" s="3"/>
    </row>
    <row r="813" spans="1:23" x14ac:dyDescent="0.25">
      <c r="A813" s="4">
        <v>17034086000176</v>
      </c>
      <c r="B813" s="8" t="s">
        <v>968</v>
      </c>
      <c r="C813" s="8" t="s">
        <v>969</v>
      </c>
      <c r="D813" s="7" t="s">
        <v>68</v>
      </c>
      <c r="E813" s="7" t="s">
        <v>215</v>
      </c>
      <c r="F813" s="6">
        <v>2</v>
      </c>
      <c r="G813" s="8" t="s">
        <v>175</v>
      </c>
      <c r="H813" s="8" t="s">
        <v>176</v>
      </c>
      <c r="I813" s="109" t="s">
        <v>556</v>
      </c>
      <c r="J813" s="8" t="s">
        <v>206</v>
      </c>
      <c r="K813" s="14" t="b">
        <v>1</v>
      </c>
      <c r="L813" s="14" t="b">
        <v>0</v>
      </c>
      <c r="M813" s="14" t="b">
        <v>0</v>
      </c>
      <c r="N813" s="14" t="b">
        <v>1</v>
      </c>
      <c r="O813" s="14" t="b">
        <v>1</v>
      </c>
      <c r="W813" s="3"/>
    </row>
    <row r="814" spans="1:23" x14ac:dyDescent="0.25">
      <c r="A814" s="4">
        <v>17864888000103</v>
      </c>
      <c r="B814" s="8" t="s">
        <v>970</v>
      </c>
      <c r="C814" s="8" t="s">
        <v>112</v>
      </c>
      <c r="D814" s="7" t="s">
        <v>57</v>
      </c>
      <c r="E814" s="7" t="s">
        <v>215</v>
      </c>
      <c r="F814" s="6">
        <v>2</v>
      </c>
      <c r="G814" s="8" t="s">
        <v>175</v>
      </c>
      <c r="H814" s="8" t="s">
        <v>176</v>
      </c>
      <c r="I814" s="109" t="s">
        <v>556</v>
      </c>
      <c r="J814" s="8" t="s">
        <v>206</v>
      </c>
      <c r="K814" s="14" t="b">
        <v>1</v>
      </c>
      <c r="L814" s="14" t="b">
        <v>0</v>
      </c>
      <c r="M814" s="14" t="b">
        <v>0</v>
      </c>
      <c r="N814" s="14" t="b">
        <v>1</v>
      </c>
      <c r="O814" s="14" t="b">
        <v>1</v>
      </c>
      <c r="W814" s="3"/>
    </row>
    <row r="815" spans="1:23" x14ac:dyDescent="0.25">
      <c r="A815" s="4">
        <v>21998635000108</v>
      </c>
      <c r="B815" s="8" t="s">
        <v>971</v>
      </c>
      <c r="C815" s="8" t="s">
        <v>112</v>
      </c>
      <c r="D815" s="7" t="s">
        <v>57</v>
      </c>
      <c r="E815" s="7" t="s">
        <v>215</v>
      </c>
      <c r="F815" s="6">
        <v>2</v>
      </c>
      <c r="G815" s="8" t="s">
        <v>175</v>
      </c>
      <c r="H815" s="8" t="s">
        <v>176</v>
      </c>
      <c r="I815" s="109" t="s">
        <v>556</v>
      </c>
      <c r="J815" s="8" t="s">
        <v>206</v>
      </c>
      <c r="K815" s="14" t="b">
        <v>1</v>
      </c>
      <c r="L815" s="14" t="b">
        <v>0</v>
      </c>
      <c r="M815" s="14" t="b">
        <v>0</v>
      </c>
      <c r="N815" s="14" t="b">
        <v>1</v>
      </c>
      <c r="O815" s="14" t="b">
        <v>1</v>
      </c>
      <c r="W815" s="3"/>
    </row>
    <row r="816" spans="1:23" x14ac:dyDescent="0.25">
      <c r="A816" s="4">
        <v>23982118000168</v>
      </c>
      <c r="B816" s="8" t="s">
        <v>972</v>
      </c>
      <c r="C816" s="8" t="s">
        <v>930</v>
      </c>
      <c r="D816" s="7" t="s">
        <v>68</v>
      </c>
      <c r="E816" s="7" t="s">
        <v>215</v>
      </c>
      <c r="F816" s="6">
        <v>2</v>
      </c>
      <c r="G816" s="8" t="s">
        <v>175</v>
      </c>
      <c r="H816" s="8" t="s">
        <v>176</v>
      </c>
      <c r="I816" s="109" t="s">
        <v>556</v>
      </c>
      <c r="J816" s="8" t="s">
        <v>206</v>
      </c>
      <c r="K816" s="14" t="b">
        <v>1</v>
      </c>
      <c r="L816" s="14" t="b">
        <v>0</v>
      </c>
      <c r="M816" s="14" t="b">
        <v>0</v>
      </c>
      <c r="N816" s="14" t="b">
        <v>1</v>
      </c>
      <c r="O816" s="14" t="b">
        <v>1</v>
      </c>
      <c r="W816" s="3"/>
    </row>
    <row r="817" spans="1:23" x14ac:dyDescent="0.25">
      <c r="A817" s="4">
        <v>26947257000149</v>
      </c>
      <c r="B817" s="8" t="s">
        <v>973</v>
      </c>
      <c r="C817" s="8" t="s">
        <v>83</v>
      </c>
      <c r="D817" s="7" t="s">
        <v>67</v>
      </c>
      <c r="E817" s="7" t="s">
        <v>215</v>
      </c>
      <c r="F817" s="6">
        <v>2</v>
      </c>
      <c r="G817" s="8" t="s">
        <v>175</v>
      </c>
      <c r="H817" s="8" t="s">
        <v>176</v>
      </c>
      <c r="I817" s="109" t="s">
        <v>556</v>
      </c>
      <c r="J817" s="8" t="s">
        <v>206</v>
      </c>
      <c r="K817" s="14" t="b">
        <v>1</v>
      </c>
      <c r="L817" s="14" t="b">
        <v>0</v>
      </c>
      <c r="M817" s="14" t="b">
        <v>0</v>
      </c>
      <c r="N817" s="14" t="b">
        <v>1</v>
      </c>
      <c r="O817" s="14" t="b">
        <v>1</v>
      </c>
      <c r="W817" s="3"/>
    </row>
    <row r="818" spans="1:23" x14ac:dyDescent="0.25">
      <c r="A818" s="4">
        <v>29435005005600</v>
      </c>
      <c r="B818" s="8" t="s">
        <v>974</v>
      </c>
      <c r="C818" s="8" t="s">
        <v>94</v>
      </c>
      <c r="D818" s="7" t="s">
        <v>57</v>
      </c>
      <c r="E818" s="7" t="s">
        <v>215</v>
      </c>
      <c r="F818" s="6">
        <v>2</v>
      </c>
      <c r="G818" s="8" t="s">
        <v>175</v>
      </c>
      <c r="H818" s="8" t="s">
        <v>176</v>
      </c>
      <c r="I818" s="109" t="s">
        <v>556</v>
      </c>
      <c r="J818" s="8" t="s">
        <v>206</v>
      </c>
      <c r="K818" s="14" t="b">
        <v>1</v>
      </c>
      <c r="L818" s="14" t="b">
        <v>0</v>
      </c>
      <c r="M818" s="14" t="b">
        <v>0</v>
      </c>
      <c r="N818" s="14" t="b">
        <v>1</v>
      </c>
      <c r="O818" s="14" t="b">
        <v>1</v>
      </c>
      <c r="W818" s="3"/>
    </row>
    <row r="819" spans="1:23" x14ac:dyDescent="0.25">
      <c r="A819" s="4">
        <v>29908956000178</v>
      </c>
      <c r="B819" s="8" t="s">
        <v>975</v>
      </c>
      <c r="C819" s="8" t="s">
        <v>104</v>
      </c>
      <c r="D819" s="7" t="s">
        <v>67</v>
      </c>
      <c r="E819" s="7" t="s">
        <v>215</v>
      </c>
      <c r="F819" s="6">
        <v>2</v>
      </c>
      <c r="G819" s="8" t="s">
        <v>175</v>
      </c>
      <c r="H819" s="8" t="s">
        <v>176</v>
      </c>
      <c r="I819" s="109" t="s">
        <v>556</v>
      </c>
      <c r="J819" s="8" t="s">
        <v>206</v>
      </c>
      <c r="K819" s="14" t="b">
        <v>1</v>
      </c>
      <c r="L819" s="14" t="b">
        <v>0</v>
      </c>
      <c r="M819" s="14" t="b">
        <v>0</v>
      </c>
      <c r="N819" s="14" t="b">
        <v>1</v>
      </c>
      <c r="O819" s="14" t="b">
        <v>1</v>
      </c>
      <c r="W819" s="3"/>
    </row>
    <row r="820" spans="1:23" x14ac:dyDescent="0.25">
      <c r="A820" s="4">
        <v>30117769000155</v>
      </c>
      <c r="B820" s="8" t="s">
        <v>976</v>
      </c>
      <c r="C820" s="8" t="s">
        <v>94</v>
      </c>
      <c r="D820" s="7" t="s">
        <v>57</v>
      </c>
      <c r="E820" s="7" t="s">
        <v>215</v>
      </c>
      <c r="F820" s="6">
        <v>2</v>
      </c>
      <c r="G820" s="8" t="s">
        <v>175</v>
      </c>
      <c r="H820" s="8" t="s">
        <v>176</v>
      </c>
      <c r="I820" s="109" t="s">
        <v>556</v>
      </c>
      <c r="J820" s="8" t="s">
        <v>206</v>
      </c>
      <c r="K820" s="14" t="b">
        <v>1</v>
      </c>
      <c r="L820" s="14" t="b">
        <v>0</v>
      </c>
      <c r="M820" s="14" t="b">
        <v>0</v>
      </c>
      <c r="N820" s="14" t="b">
        <v>1</v>
      </c>
      <c r="O820" s="14" t="b">
        <v>1</v>
      </c>
      <c r="W820" s="3"/>
    </row>
    <row r="821" spans="1:23" x14ac:dyDescent="0.25">
      <c r="A821" s="4">
        <v>31824062000141</v>
      </c>
      <c r="B821" s="8" t="s">
        <v>1403</v>
      </c>
      <c r="C821" s="8" t="s">
        <v>94</v>
      </c>
      <c r="D821" s="7" t="s">
        <v>57</v>
      </c>
      <c r="E821" s="7" t="s">
        <v>215</v>
      </c>
      <c r="F821" s="6">
        <v>2</v>
      </c>
      <c r="G821" s="8" t="s">
        <v>175</v>
      </c>
      <c r="H821" s="8" t="s">
        <v>176</v>
      </c>
      <c r="I821" s="109" t="s">
        <v>556</v>
      </c>
      <c r="J821" s="8" t="s">
        <v>206</v>
      </c>
      <c r="K821" s="14" t="b">
        <v>1</v>
      </c>
      <c r="L821" s="14" t="b">
        <v>0</v>
      </c>
      <c r="M821" s="14" t="b">
        <v>0</v>
      </c>
      <c r="N821" s="14" t="b">
        <v>1</v>
      </c>
      <c r="O821" s="14" t="b">
        <v>1</v>
      </c>
      <c r="W821" s="3"/>
    </row>
    <row r="822" spans="1:23" x14ac:dyDescent="0.25">
      <c r="A822" s="4">
        <v>60922168005226</v>
      </c>
      <c r="B822" s="8" t="s">
        <v>977</v>
      </c>
      <c r="C822" s="8" t="s">
        <v>93</v>
      </c>
      <c r="D822" s="7" t="s">
        <v>68</v>
      </c>
      <c r="E822" s="7" t="s">
        <v>215</v>
      </c>
      <c r="F822" s="6">
        <v>2</v>
      </c>
      <c r="G822" s="8" t="s">
        <v>175</v>
      </c>
      <c r="H822" s="8" t="s">
        <v>176</v>
      </c>
      <c r="I822" s="109" t="s">
        <v>556</v>
      </c>
      <c r="J822" s="8" t="s">
        <v>206</v>
      </c>
      <c r="K822" s="14" t="b">
        <v>1</v>
      </c>
      <c r="L822" s="14" t="b">
        <v>0</v>
      </c>
      <c r="M822" s="14" t="b">
        <v>0</v>
      </c>
      <c r="N822" s="14" t="b">
        <v>1</v>
      </c>
      <c r="O822" s="14" t="b">
        <v>1</v>
      </c>
      <c r="W822" s="3"/>
    </row>
    <row r="823" spans="1:23" x14ac:dyDescent="0.25">
      <c r="A823" s="4">
        <v>73863342000109</v>
      </c>
      <c r="B823" s="8" t="s">
        <v>978</v>
      </c>
      <c r="C823" s="8" t="s">
        <v>121</v>
      </c>
      <c r="D823" s="7" t="s">
        <v>57</v>
      </c>
      <c r="E823" s="7" t="s">
        <v>215</v>
      </c>
      <c r="F823" s="6">
        <v>2</v>
      </c>
      <c r="G823" s="8" t="s">
        <v>175</v>
      </c>
      <c r="H823" s="8" t="s">
        <v>176</v>
      </c>
      <c r="I823" s="109" t="s">
        <v>556</v>
      </c>
      <c r="J823" s="8" t="s">
        <v>206</v>
      </c>
      <c r="K823" s="14" t="b">
        <v>1</v>
      </c>
      <c r="L823" s="14" t="b">
        <v>0</v>
      </c>
      <c r="M823" s="14" t="b">
        <v>0</v>
      </c>
      <c r="N823" s="14" t="b">
        <v>1</v>
      </c>
      <c r="O823" s="14" t="b">
        <v>1</v>
      </c>
      <c r="W823" s="3"/>
    </row>
    <row r="824" spans="1:23" x14ac:dyDescent="0.25">
      <c r="A824" s="4">
        <v>75055772002254</v>
      </c>
      <c r="B824" s="8" t="s">
        <v>979</v>
      </c>
      <c r="C824" s="8" t="s">
        <v>94</v>
      </c>
      <c r="D824" s="7" t="s">
        <v>57</v>
      </c>
      <c r="E824" s="7" t="s">
        <v>215</v>
      </c>
      <c r="F824" s="6">
        <v>2</v>
      </c>
      <c r="G824" s="8" t="s">
        <v>175</v>
      </c>
      <c r="H824" s="8" t="s">
        <v>176</v>
      </c>
      <c r="I824" s="109" t="s">
        <v>556</v>
      </c>
      <c r="J824" s="8" t="s">
        <v>206</v>
      </c>
      <c r="K824" s="14" t="b">
        <v>1</v>
      </c>
      <c r="L824" s="14" t="b">
        <v>0</v>
      </c>
      <c r="M824" s="14" t="b">
        <v>0</v>
      </c>
      <c r="N824" s="14" t="b">
        <v>1</v>
      </c>
      <c r="O824" s="14" t="b">
        <v>1</v>
      </c>
      <c r="W824" s="3"/>
    </row>
    <row r="825" spans="1:23" x14ac:dyDescent="0.25">
      <c r="A825" s="4">
        <v>75095679000220</v>
      </c>
      <c r="B825" s="8" t="s">
        <v>980</v>
      </c>
      <c r="C825" s="8" t="s">
        <v>94</v>
      </c>
      <c r="D825" s="7" t="s">
        <v>57</v>
      </c>
      <c r="E825" s="7" t="s">
        <v>215</v>
      </c>
      <c r="F825" s="6">
        <v>2</v>
      </c>
      <c r="G825" s="8" t="s">
        <v>175</v>
      </c>
      <c r="H825" s="8" t="s">
        <v>176</v>
      </c>
      <c r="I825" s="109" t="s">
        <v>556</v>
      </c>
      <c r="J825" s="8" t="s">
        <v>206</v>
      </c>
      <c r="K825" s="14" t="b">
        <v>1</v>
      </c>
      <c r="L825" s="14" t="b">
        <v>0</v>
      </c>
      <c r="M825" s="14" t="b">
        <v>0</v>
      </c>
      <c r="N825" s="14" t="b">
        <v>1</v>
      </c>
      <c r="O825" s="14" t="b">
        <v>1</v>
      </c>
      <c r="W825" s="3"/>
    </row>
    <row r="826" spans="1:23" x14ac:dyDescent="0.25">
      <c r="A826" s="4">
        <v>75222224001895</v>
      </c>
      <c r="B826" s="8" t="s">
        <v>981</v>
      </c>
      <c r="C826" s="8" t="s">
        <v>121</v>
      </c>
      <c r="D826" s="7" t="s">
        <v>57</v>
      </c>
      <c r="E826" s="7" t="s">
        <v>215</v>
      </c>
      <c r="F826" s="6">
        <v>2</v>
      </c>
      <c r="G826" s="8" t="s">
        <v>175</v>
      </c>
      <c r="H826" s="8" t="s">
        <v>176</v>
      </c>
      <c r="I826" s="109" t="s">
        <v>556</v>
      </c>
      <c r="J826" s="8" t="s">
        <v>206</v>
      </c>
      <c r="K826" s="14" t="b">
        <v>1</v>
      </c>
      <c r="L826" s="14" t="b">
        <v>0</v>
      </c>
      <c r="M826" s="14" t="b">
        <v>0</v>
      </c>
      <c r="N826" s="14" t="b">
        <v>1</v>
      </c>
      <c r="O826" s="14" t="b">
        <v>1</v>
      </c>
      <c r="W826" s="3"/>
    </row>
    <row r="827" spans="1:23" x14ac:dyDescent="0.25">
      <c r="A827" s="4">
        <v>76081892000164</v>
      </c>
      <c r="B827" s="8" t="s">
        <v>1347</v>
      </c>
      <c r="C827" s="8" t="s">
        <v>112</v>
      </c>
      <c r="D827" s="7" t="s">
        <v>57</v>
      </c>
      <c r="E827" s="7" t="s">
        <v>215</v>
      </c>
      <c r="F827" s="6">
        <v>2</v>
      </c>
      <c r="G827" s="8" t="s">
        <v>175</v>
      </c>
      <c r="H827" s="8" t="s">
        <v>176</v>
      </c>
      <c r="I827" s="109" t="s">
        <v>556</v>
      </c>
      <c r="J827" s="8" t="s">
        <v>206</v>
      </c>
      <c r="K827" s="14" t="b">
        <v>1</v>
      </c>
      <c r="L827" s="14" t="b">
        <v>0</v>
      </c>
      <c r="M827" s="14" t="b">
        <v>0</v>
      </c>
      <c r="N827" s="14" t="b">
        <v>1</v>
      </c>
      <c r="O827" s="14" t="b">
        <v>1</v>
      </c>
      <c r="W827" s="3"/>
    </row>
    <row r="828" spans="1:23" x14ac:dyDescent="0.25">
      <c r="A828" s="4">
        <v>76498013000102</v>
      </c>
      <c r="B828" s="8" t="s">
        <v>982</v>
      </c>
      <c r="C828" s="8" t="s">
        <v>94</v>
      </c>
      <c r="D828" s="7" t="s">
        <v>57</v>
      </c>
      <c r="E828" s="7" t="s">
        <v>215</v>
      </c>
      <c r="F828" s="6">
        <v>2</v>
      </c>
      <c r="G828" s="8" t="s">
        <v>175</v>
      </c>
      <c r="H828" s="8" t="s">
        <v>176</v>
      </c>
      <c r="I828" s="109" t="s">
        <v>556</v>
      </c>
      <c r="J828" s="8" t="s">
        <v>206</v>
      </c>
      <c r="K828" s="14" t="b">
        <v>1</v>
      </c>
      <c r="L828" s="14" t="b">
        <v>0</v>
      </c>
      <c r="M828" s="14" t="b">
        <v>0</v>
      </c>
      <c r="N828" s="14" t="b">
        <v>1</v>
      </c>
      <c r="O828" s="14" t="b">
        <v>1</v>
      </c>
      <c r="W828" s="3"/>
    </row>
    <row r="829" spans="1:23" x14ac:dyDescent="0.25">
      <c r="A829" s="4">
        <v>76555069000143</v>
      </c>
      <c r="B829" s="8" t="s">
        <v>983</v>
      </c>
      <c r="C829" s="8" t="s">
        <v>94</v>
      </c>
      <c r="D829" s="7" t="s">
        <v>57</v>
      </c>
      <c r="E829" s="7" t="s">
        <v>215</v>
      </c>
      <c r="F829" s="6">
        <v>2</v>
      </c>
      <c r="G829" s="8" t="s">
        <v>175</v>
      </c>
      <c r="H829" s="8" t="s">
        <v>176</v>
      </c>
      <c r="I829" s="109" t="s">
        <v>556</v>
      </c>
      <c r="J829" s="8" t="s">
        <v>206</v>
      </c>
      <c r="K829" s="14" t="b">
        <v>1</v>
      </c>
      <c r="L829" s="14" t="b">
        <v>0</v>
      </c>
      <c r="M829" s="14" t="b">
        <v>0</v>
      </c>
      <c r="N829" s="14" t="b">
        <v>1</v>
      </c>
      <c r="O829" s="14" t="b">
        <v>1</v>
      </c>
      <c r="W829" s="3"/>
    </row>
    <row r="830" spans="1:23" x14ac:dyDescent="0.25">
      <c r="A830" s="4">
        <v>76562198000169</v>
      </c>
      <c r="B830" s="8" t="s">
        <v>984</v>
      </c>
      <c r="C830" s="8" t="s">
        <v>94</v>
      </c>
      <c r="D830" s="7" t="s">
        <v>57</v>
      </c>
      <c r="E830" s="7" t="s">
        <v>215</v>
      </c>
      <c r="F830" s="6">
        <v>2</v>
      </c>
      <c r="G830" s="8" t="s">
        <v>175</v>
      </c>
      <c r="H830" s="8" t="s">
        <v>176</v>
      </c>
      <c r="I830" s="109" t="s">
        <v>556</v>
      </c>
      <c r="J830" s="8" t="s">
        <v>206</v>
      </c>
      <c r="K830" s="14" t="b">
        <v>1</v>
      </c>
      <c r="L830" s="14" t="b">
        <v>0</v>
      </c>
      <c r="M830" s="14" t="b">
        <v>0</v>
      </c>
      <c r="N830" s="14" t="b">
        <v>1</v>
      </c>
      <c r="O830" s="14" t="b">
        <v>1</v>
      </c>
      <c r="W830" s="3"/>
    </row>
    <row r="831" spans="1:23" x14ac:dyDescent="0.25">
      <c r="A831" s="4">
        <v>76591569000130</v>
      </c>
      <c r="B831" s="8" t="s">
        <v>985</v>
      </c>
      <c r="C831" s="8" t="s">
        <v>94</v>
      </c>
      <c r="D831" s="7" t="s">
        <v>57</v>
      </c>
      <c r="E831" s="7" t="s">
        <v>215</v>
      </c>
      <c r="F831" s="6">
        <v>2</v>
      </c>
      <c r="G831" s="8" t="s">
        <v>175</v>
      </c>
      <c r="H831" s="8" t="s">
        <v>176</v>
      </c>
      <c r="I831" s="109" t="s">
        <v>556</v>
      </c>
      <c r="J831" s="8" t="s">
        <v>206</v>
      </c>
      <c r="K831" s="14" t="b">
        <v>1</v>
      </c>
      <c r="L831" s="14" t="b">
        <v>0</v>
      </c>
      <c r="M831" s="14" t="b">
        <v>0</v>
      </c>
      <c r="N831" s="14" t="b">
        <v>1</v>
      </c>
      <c r="O831" s="14" t="b">
        <v>1</v>
      </c>
      <c r="W831" s="3"/>
    </row>
    <row r="832" spans="1:23" x14ac:dyDescent="0.25">
      <c r="A832" s="4">
        <v>76659820002367</v>
      </c>
      <c r="B832" s="8" t="s">
        <v>986</v>
      </c>
      <c r="C832" s="8" t="s">
        <v>94</v>
      </c>
      <c r="D832" s="7" t="s">
        <v>57</v>
      </c>
      <c r="E832" s="7" t="s">
        <v>215</v>
      </c>
      <c r="F832" s="6">
        <v>2</v>
      </c>
      <c r="G832" s="8" t="s">
        <v>175</v>
      </c>
      <c r="H832" s="8" t="s">
        <v>176</v>
      </c>
      <c r="I832" s="109" t="s">
        <v>556</v>
      </c>
      <c r="J832" s="8" t="s">
        <v>206</v>
      </c>
      <c r="K832" s="14" t="b">
        <v>1</v>
      </c>
      <c r="L832" s="14" t="b">
        <v>0</v>
      </c>
      <c r="M832" s="14" t="b">
        <v>0</v>
      </c>
      <c r="N832" s="14" t="b">
        <v>1</v>
      </c>
      <c r="O832" s="14" t="b">
        <v>1</v>
      </c>
      <c r="W832" s="3"/>
    </row>
    <row r="833" spans="1:23" x14ac:dyDescent="0.25">
      <c r="A833" s="4">
        <v>77265361000194</v>
      </c>
      <c r="B833" s="8" t="s">
        <v>987</v>
      </c>
      <c r="C833" s="8" t="s">
        <v>988</v>
      </c>
      <c r="D833" s="7" t="s">
        <v>57</v>
      </c>
      <c r="E833" s="7" t="s">
        <v>215</v>
      </c>
      <c r="F833" s="6">
        <v>2</v>
      </c>
      <c r="G833" s="8" t="s">
        <v>175</v>
      </c>
      <c r="H833" s="8" t="s">
        <v>176</v>
      </c>
      <c r="I833" s="109" t="s">
        <v>556</v>
      </c>
      <c r="J833" s="8" t="s">
        <v>206</v>
      </c>
      <c r="K833" s="14" t="b">
        <v>1</v>
      </c>
      <c r="L833" s="14" t="b">
        <v>0</v>
      </c>
      <c r="M833" s="14" t="b">
        <v>0</v>
      </c>
      <c r="N833" s="14" t="b">
        <v>1</v>
      </c>
      <c r="O833" s="14" t="b">
        <v>1</v>
      </c>
      <c r="W833" s="3"/>
    </row>
    <row r="834" spans="1:23" x14ac:dyDescent="0.25">
      <c r="A834" s="4">
        <v>77781706000243</v>
      </c>
      <c r="B834" s="8" t="s">
        <v>989</v>
      </c>
      <c r="C834" s="8" t="s">
        <v>990</v>
      </c>
      <c r="D834" s="7" t="s">
        <v>57</v>
      </c>
      <c r="E834" s="7" t="s">
        <v>215</v>
      </c>
      <c r="F834" s="6">
        <v>2</v>
      </c>
      <c r="G834" s="8" t="s">
        <v>175</v>
      </c>
      <c r="H834" s="8" t="s">
        <v>176</v>
      </c>
      <c r="I834" s="109" t="s">
        <v>556</v>
      </c>
      <c r="J834" s="8" t="s">
        <v>206</v>
      </c>
      <c r="K834" s="14" t="b">
        <v>1</v>
      </c>
      <c r="L834" s="14" t="b">
        <v>0</v>
      </c>
      <c r="M834" s="14" t="b">
        <v>0</v>
      </c>
      <c r="N834" s="14" t="b">
        <v>1</v>
      </c>
      <c r="O834" s="14" t="b">
        <v>1</v>
      </c>
      <c r="W834" s="3"/>
    </row>
    <row r="835" spans="1:23" x14ac:dyDescent="0.25">
      <c r="A835" s="4">
        <v>77858611001414</v>
      </c>
      <c r="B835" s="8" t="s">
        <v>991</v>
      </c>
      <c r="C835" s="8" t="s">
        <v>969</v>
      </c>
      <c r="D835" s="7" t="s">
        <v>68</v>
      </c>
      <c r="E835" s="7" t="s">
        <v>215</v>
      </c>
      <c r="F835" s="6">
        <v>2</v>
      </c>
      <c r="G835" s="8" t="s">
        <v>175</v>
      </c>
      <c r="H835" s="8" t="s">
        <v>176</v>
      </c>
      <c r="I835" s="109" t="s">
        <v>556</v>
      </c>
      <c r="J835" s="8" t="s">
        <v>206</v>
      </c>
      <c r="K835" s="14" t="b">
        <v>1</v>
      </c>
      <c r="L835" s="14" t="b">
        <v>0</v>
      </c>
      <c r="M835" s="14" t="b">
        <v>0</v>
      </c>
      <c r="N835" s="14" t="b">
        <v>1</v>
      </c>
      <c r="O835" s="14" t="b">
        <v>1</v>
      </c>
      <c r="W835" s="3"/>
    </row>
    <row r="836" spans="1:23" x14ac:dyDescent="0.25">
      <c r="A836" s="4">
        <v>78044815000240</v>
      </c>
      <c r="B836" s="8" t="s">
        <v>992</v>
      </c>
      <c r="C836" s="8" t="s">
        <v>993</v>
      </c>
      <c r="D836" s="7" t="s">
        <v>57</v>
      </c>
      <c r="E836" s="7" t="s">
        <v>215</v>
      </c>
      <c r="F836" s="6">
        <v>2</v>
      </c>
      <c r="G836" s="8" t="s">
        <v>175</v>
      </c>
      <c r="H836" s="8" t="s">
        <v>176</v>
      </c>
      <c r="I836" s="109" t="s">
        <v>556</v>
      </c>
      <c r="J836" s="8" t="s">
        <v>206</v>
      </c>
      <c r="K836" s="14" t="b">
        <v>1</v>
      </c>
      <c r="L836" s="14" t="b">
        <v>0</v>
      </c>
      <c r="M836" s="14" t="b">
        <v>0</v>
      </c>
      <c r="N836" s="14" t="b">
        <v>1</v>
      </c>
      <c r="O836" s="14" t="b">
        <v>1</v>
      </c>
      <c r="W836" s="3"/>
    </row>
    <row r="837" spans="1:23" x14ac:dyDescent="0.25">
      <c r="A837" s="4">
        <v>78614971000119</v>
      </c>
      <c r="B837" s="8" t="s">
        <v>994</v>
      </c>
      <c r="C837" s="8" t="s">
        <v>121</v>
      </c>
      <c r="D837" s="7" t="s">
        <v>57</v>
      </c>
      <c r="E837" s="7" t="s">
        <v>215</v>
      </c>
      <c r="F837" s="6">
        <v>2</v>
      </c>
      <c r="G837" s="8" t="s">
        <v>175</v>
      </c>
      <c r="H837" s="8" t="s">
        <v>176</v>
      </c>
      <c r="I837" s="109" t="s">
        <v>556</v>
      </c>
      <c r="J837" s="8" t="s">
        <v>206</v>
      </c>
      <c r="K837" s="14" t="b">
        <v>1</v>
      </c>
      <c r="L837" s="14" t="b">
        <v>0</v>
      </c>
      <c r="M837" s="14" t="b">
        <v>0</v>
      </c>
      <c r="N837" s="14" t="b">
        <v>1</v>
      </c>
      <c r="O837" s="14" t="b">
        <v>1</v>
      </c>
      <c r="W837" s="3"/>
    </row>
    <row r="838" spans="1:23" x14ac:dyDescent="0.25">
      <c r="A838" s="4">
        <v>78633088000176</v>
      </c>
      <c r="B838" s="8" t="s">
        <v>995</v>
      </c>
      <c r="C838" s="8" t="s">
        <v>121</v>
      </c>
      <c r="D838" s="7" t="s">
        <v>57</v>
      </c>
      <c r="E838" s="7" t="s">
        <v>215</v>
      </c>
      <c r="F838" s="6">
        <v>2</v>
      </c>
      <c r="G838" s="8" t="s">
        <v>175</v>
      </c>
      <c r="H838" s="8" t="s">
        <v>176</v>
      </c>
      <c r="I838" s="109" t="s">
        <v>556</v>
      </c>
      <c r="J838" s="8" t="s">
        <v>206</v>
      </c>
      <c r="K838" s="14" t="b">
        <v>1</v>
      </c>
      <c r="L838" s="14" t="b">
        <v>0</v>
      </c>
      <c r="M838" s="14" t="b">
        <v>0</v>
      </c>
      <c r="N838" s="14" t="b">
        <v>1</v>
      </c>
      <c r="O838" s="14" t="b">
        <v>1</v>
      </c>
      <c r="W838" s="3"/>
    </row>
    <row r="839" spans="1:23" x14ac:dyDescent="0.25">
      <c r="A839" s="4">
        <v>79115762000193</v>
      </c>
      <c r="B839" s="8" t="s">
        <v>996</v>
      </c>
      <c r="C839" s="8" t="s">
        <v>988</v>
      </c>
      <c r="D839" s="7" t="s">
        <v>57</v>
      </c>
      <c r="E839" s="7" t="s">
        <v>215</v>
      </c>
      <c r="F839" s="6">
        <v>2</v>
      </c>
      <c r="G839" s="8" t="s">
        <v>175</v>
      </c>
      <c r="H839" s="8" t="s">
        <v>176</v>
      </c>
      <c r="I839" s="109" t="s">
        <v>556</v>
      </c>
      <c r="J839" s="8" t="s">
        <v>206</v>
      </c>
      <c r="K839" s="14" t="b">
        <v>1</v>
      </c>
      <c r="L839" s="14" t="b">
        <v>0</v>
      </c>
      <c r="M839" s="14" t="b">
        <v>0</v>
      </c>
      <c r="N839" s="14" t="b">
        <v>1</v>
      </c>
      <c r="O839" s="14" t="b">
        <v>1</v>
      </c>
      <c r="W839" s="3"/>
    </row>
    <row r="840" spans="1:23" x14ac:dyDescent="0.25">
      <c r="A840" s="4">
        <v>80490618000116</v>
      </c>
      <c r="B840" s="8" t="s">
        <v>997</v>
      </c>
      <c r="C840" s="8" t="s">
        <v>998</v>
      </c>
      <c r="D840" s="7" t="s">
        <v>68</v>
      </c>
      <c r="E840" s="7" t="s">
        <v>215</v>
      </c>
      <c r="F840" s="6">
        <v>2</v>
      </c>
      <c r="G840" s="8" t="s">
        <v>175</v>
      </c>
      <c r="H840" s="8" t="s">
        <v>176</v>
      </c>
      <c r="I840" s="109" t="s">
        <v>556</v>
      </c>
      <c r="J840" s="8" t="s">
        <v>206</v>
      </c>
      <c r="K840" s="14" t="b">
        <v>1</v>
      </c>
      <c r="L840" s="14" t="b">
        <v>0</v>
      </c>
      <c r="M840" s="14" t="b">
        <v>0</v>
      </c>
      <c r="N840" s="14" t="b">
        <v>1</v>
      </c>
      <c r="O840" s="14" t="b">
        <v>1</v>
      </c>
      <c r="W840" s="3"/>
    </row>
    <row r="841" spans="1:23" x14ac:dyDescent="0.25">
      <c r="A841" s="4">
        <v>80673411000187</v>
      </c>
      <c r="B841" s="8" t="s">
        <v>999</v>
      </c>
      <c r="C841" s="8" t="s">
        <v>930</v>
      </c>
      <c r="D841" s="7" t="s">
        <v>68</v>
      </c>
      <c r="E841" s="7" t="s">
        <v>215</v>
      </c>
      <c r="F841" s="6">
        <v>2</v>
      </c>
      <c r="G841" s="8" t="s">
        <v>175</v>
      </c>
      <c r="H841" s="8" t="s">
        <v>176</v>
      </c>
      <c r="I841" s="109" t="s">
        <v>556</v>
      </c>
      <c r="J841" s="8" t="s">
        <v>206</v>
      </c>
      <c r="K841" s="14" t="b">
        <v>1</v>
      </c>
      <c r="L841" s="14" t="b">
        <v>0</v>
      </c>
      <c r="M841" s="14" t="b">
        <v>0</v>
      </c>
      <c r="N841" s="14" t="b">
        <v>1</v>
      </c>
      <c r="O841" s="14" t="b">
        <v>1</v>
      </c>
      <c r="W841" s="3"/>
    </row>
    <row r="842" spans="1:23" x14ac:dyDescent="0.25">
      <c r="A842" s="4">
        <v>81170003000256</v>
      </c>
      <c r="B842" s="8" t="s">
        <v>1000</v>
      </c>
      <c r="C842" s="8" t="s">
        <v>112</v>
      </c>
      <c r="D842" s="7" t="s">
        <v>57</v>
      </c>
      <c r="E842" s="7" t="s">
        <v>215</v>
      </c>
      <c r="F842" s="6">
        <v>2</v>
      </c>
      <c r="G842" s="8" t="s">
        <v>175</v>
      </c>
      <c r="H842" s="8" t="s">
        <v>176</v>
      </c>
      <c r="I842" s="109" t="s">
        <v>556</v>
      </c>
      <c r="J842" s="8" t="s">
        <v>206</v>
      </c>
      <c r="K842" s="14" t="b">
        <v>1</v>
      </c>
      <c r="L842" s="14" t="b">
        <v>0</v>
      </c>
      <c r="M842" s="14" t="b">
        <v>0</v>
      </c>
      <c r="N842" s="14" t="b">
        <v>1</v>
      </c>
      <c r="O842" s="14" t="b">
        <v>1</v>
      </c>
      <c r="W842" s="3"/>
    </row>
    <row r="843" spans="1:23" x14ac:dyDescent="0.25">
      <c r="A843" s="4">
        <v>81270548000153</v>
      </c>
      <c r="B843" s="8" t="s">
        <v>1002</v>
      </c>
      <c r="C843" s="8" t="s">
        <v>112</v>
      </c>
      <c r="D843" s="7" t="s">
        <v>57</v>
      </c>
      <c r="E843" s="7" t="s">
        <v>215</v>
      </c>
      <c r="F843" s="6">
        <v>2</v>
      </c>
      <c r="G843" s="8" t="s">
        <v>175</v>
      </c>
      <c r="H843" s="8" t="s">
        <v>176</v>
      </c>
      <c r="I843" s="109" t="s">
        <v>556</v>
      </c>
      <c r="J843" s="8" t="s">
        <v>206</v>
      </c>
      <c r="K843" s="14" t="b">
        <v>1</v>
      </c>
      <c r="L843" s="14" t="b">
        <v>0</v>
      </c>
      <c r="M843" s="14" t="b">
        <v>0</v>
      </c>
      <c r="N843" s="14" t="b">
        <v>1</v>
      </c>
      <c r="O843" s="14" t="b">
        <v>1</v>
      </c>
      <c r="W843" s="3"/>
    </row>
    <row r="844" spans="1:23" x14ac:dyDescent="0.25">
      <c r="A844" s="4">
        <v>81715716000410</v>
      </c>
      <c r="B844" s="8" t="s">
        <v>1003</v>
      </c>
      <c r="C844" s="8" t="s">
        <v>1004</v>
      </c>
      <c r="D844" s="7" t="s">
        <v>57</v>
      </c>
      <c r="E844" s="7" t="s">
        <v>215</v>
      </c>
      <c r="F844" s="6">
        <v>2</v>
      </c>
      <c r="G844" s="8" t="s">
        <v>175</v>
      </c>
      <c r="H844" s="8" t="s">
        <v>176</v>
      </c>
      <c r="I844" s="109" t="s">
        <v>556</v>
      </c>
      <c r="J844" s="8" t="s">
        <v>206</v>
      </c>
      <c r="K844" s="14" t="b">
        <v>1</v>
      </c>
      <c r="L844" s="14" t="b">
        <v>0</v>
      </c>
      <c r="M844" s="14" t="b">
        <v>0</v>
      </c>
      <c r="N844" s="14" t="b">
        <v>1</v>
      </c>
      <c r="O844" s="14" t="b">
        <v>1</v>
      </c>
      <c r="W844" s="3"/>
    </row>
    <row r="845" spans="1:23" x14ac:dyDescent="0.25">
      <c r="A845" s="4">
        <v>81733115000197</v>
      </c>
      <c r="B845" s="8" t="s">
        <v>1005</v>
      </c>
      <c r="C845" s="8" t="s">
        <v>1006</v>
      </c>
      <c r="D845" s="7" t="s">
        <v>57</v>
      </c>
      <c r="E845" s="7" t="s">
        <v>215</v>
      </c>
      <c r="F845" s="6">
        <v>2</v>
      </c>
      <c r="G845" s="8" t="s">
        <v>175</v>
      </c>
      <c r="H845" s="8" t="s">
        <v>176</v>
      </c>
      <c r="I845" s="109" t="s">
        <v>556</v>
      </c>
      <c r="J845" s="8" t="s">
        <v>206</v>
      </c>
      <c r="K845" s="14" t="b">
        <v>1</v>
      </c>
      <c r="L845" s="14" t="b">
        <v>0</v>
      </c>
      <c r="M845" s="14" t="b">
        <v>0</v>
      </c>
      <c r="N845" s="14" t="b">
        <v>1</v>
      </c>
      <c r="O845" s="14" t="b">
        <v>1</v>
      </c>
      <c r="W845" s="3"/>
    </row>
    <row r="846" spans="1:23" x14ac:dyDescent="0.25">
      <c r="A846" s="4">
        <v>82602327000360</v>
      </c>
      <c r="B846" s="8" t="s">
        <v>1236</v>
      </c>
      <c r="C846" s="8" t="s">
        <v>125</v>
      </c>
      <c r="D846" s="7" t="s">
        <v>68</v>
      </c>
      <c r="E846" s="7" t="s">
        <v>215</v>
      </c>
      <c r="F846" s="6">
        <v>2</v>
      </c>
      <c r="G846" s="8" t="s">
        <v>175</v>
      </c>
      <c r="H846" s="8" t="s">
        <v>176</v>
      </c>
      <c r="I846" s="109" t="s">
        <v>556</v>
      </c>
      <c r="J846" s="8" t="s">
        <v>206</v>
      </c>
      <c r="K846" s="14" t="b">
        <v>1</v>
      </c>
      <c r="L846" s="14" t="b">
        <v>0</v>
      </c>
      <c r="M846" s="14" t="b">
        <v>0</v>
      </c>
      <c r="N846" s="14" t="b">
        <v>1</v>
      </c>
      <c r="O846" s="14" t="b">
        <v>1</v>
      </c>
      <c r="W846" s="3"/>
    </row>
    <row r="847" spans="1:23" x14ac:dyDescent="0.25">
      <c r="A847" s="4">
        <v>82624776000651</v>
      </c>
      <c r="B847" s="8" t="s">
        <v>1007</v>
      </c>
      <c r="C847" s="8" t="s">
        <v>93</v>
      </c>
      <c r="D847" s="7" t="s">
        <v>68</v>
      </c>
      <c r="E847" s="7" t="s">
        <v>215</v>
      </c>
      <c r="F847" s="6">
        <v>2</v>
      </c>
      <c r="G847" s="8" t="s">
        <v>175</v>
      </c>
      <c r="H847" s="8" t="s">
        <v>176</v>
      </c>
      <c r="I847" s="109" t="s">
        <v>556</v>
      </c>
      <c r="J847" s="8" t="s">
        <v>206</v>
      </c>
      <c r="K847" s="14" t="b">
        <v>1</v>
      </c>
      <c r="L847" s="14" t="b">
        <v>0</v>
      </c>
      <c r="M847" s="14" t="b">
        <v>0</v>
      </c>
      <c r="N847" s="14" t="b">
        <v>1</v>
      </c>
      <c r="O847" s="14" t="b">
        <v>1</v>
      </c>
      <c r="W847" s="3"/>
    </row>
    <row r="848" spans="1:23" x14ac:dyDescent="0.25">
      <c r="A848" s="4">
        <v>82654088000120</v>
      </c>
      <c r="B848" s="8" t="s">
        <v>1008</v>
      </c>
      <c r="C848" s="8" t="s">
        <v>93</v>
      </c>
      <c r="D848" s="7" t="s">
        <v>68</v>
      </c>
      <c r="E848" s="7" t="s">
        <v>215</v>
      </c>
      <c r="F848" s="6">
        <v>2</v>
      </c>
      <c r="G848" s="8" t="s">
        <v>175</v>
      </c>
      <c r="H848" s="8" t="s">
        <v>176</v>
      </c>
      <c r="I848" s="109" t="s">
        <v>556</v>
      </c>
      <c r="J848" s="8" t="s">
        <v>206</v>
      </c>
      <c r="K848" s="14" t="b">
        <v>1</v>
      </c>
      <c r="L848" s="14" t="b">
        <v>0</v>
      </c>
      <c r="M848" s="14" t="b">
        <v>0</v>
      </c>
      <c r="N848" s="14" t="b">
        <v>1</v>
      </c>
      <c r="O848" s="14" t="b">
        <v>1</v>
      </c>
      <c r="W848" s="3"/>
    </row>
    <row r="849" spans="1:23" x14ac:dyDescent="0.25">
      <c r="A849" s="4">
        <v>83884999000106</v>
      </c>
      <c r="B849" s="8" t="s">
        <v>1009</v>
      </c>
      <c r="C849" s="8" t="s">
        <v>930</v>
      </c>
      <c r="D849" s="7" t="s">
        <v>68</v>
      </c>
      <c r="E849" s="7" t="s">
        <v>215</v>
      </c>
      <c r="F849" s="6">
        <v>2</v>
      </c>
      <c r="G849" s="8" t="s">
        <v>175</v>
      </c>
      <c r="H849" s="8" t="s">
        <v>176</v>
      </c>
      <c r="I849" s="109" t="s">
        <v>556</v>
      </c>
      <c r="J849" s="8" t="s">
        <v>206</v>
      </c>
      <c r="K849" s="14" t="b">
        <v>1</v>
      </c>
      <c r="L849" s="14" t="b">
        <v>0</v>
      </c>
      <c r="M849" s="14" t="b">
        <v>0</v>
      </c>
      <c r="N849" s="14" t="b">
        <v>1</v>
      </c>
      <c r="O849" s="14" t="b">
        <v>1</v>
      </c>
      <c r="W849" s="3"/>
    </row>
    <row r="850" spans="1:23" x14ac:dyDescent="0.25">
      <c r="A850" s="4">
        <v>83899526000425</v>
      </c>
      <c r="B850" s="8" t="s">
        <v>1010</v>
      </c>
      <c r="C850" s="8" t="s">
        <v>930</v>
      </c>
      <c r="D850" s="7" t="s">
        <v>68</v>
      </c>
      <c r="E850" s="7" t="s">
        <v>215</v>
      </c>
      <c r="F850" s="6">
        <v>2</v>
      </c>
      <c r="G850" s="8" t="s">
        <v>175</v>
      </c>
      <c r="H850" s="8" t="s">
        <v>176</v>
      </c>
      <c r="I850" s="109" t="s">
        <v>556</v>
      </c>
      <c r="J850" s="8" t="s">
        <v>206</v>
      </c>
      <c r="K850" s="14" t="b">
        <v>1</v>
      </c>
      <c r="L850" s="14" t="b">
        <v>0</v>
      </c>
      <c r="M850" s="14" t="b">
        <v>0</v>
      </c>
      <c r="N850" s="14" t="b">
        <v>1</v>
      </c>
      <c r="O850" s="14" t="b">
        <v>1</v>
      </c>
      <c r="W850" s="3"/>
    </row>
    <row r="851" spans="1:23" x14ac:dyDescent="0.25">
      <c r="A851" s="4">
        <v>85241339000809</v>
      </c>
      <c r="B851" s="8" t="s">
        <v>1011</v>
      </c>
      <c r="C851" s="8" t="s">
        <v>998</v>
      </c>
      <c r="D851" s="7" t="s">
        <v>68</v>
      </c>
      <c r="E851" s="7" t="s">
        <v>215</v>
      </c>
      <c r="F851" s="6">
        <v>2</v>
      </c>
      <c r="G851" s="8" t="s">
        <v>175</v>
      </c>
      <c r="H851" s="8" t="s">
        <v>176</v>
      </c>
      <c r="I851" s="109" t="s">
        <v>556</v>
      </c>
      <c r="J851" s="8" t="s">
        <v>206</v>
      </c>
      <c r="K851" s="14" t="b">
        <v>1</v>
      </c>
      <c r="L851" s="14" t="b">
        <v>0</v>
      </c>
      <c r="M851" s="14" t="b">
        <v>0</v>
      </c>
      <c r="N851" s="14" t="b">
        <v>1</v>
      </c>
      <c r="O851" s="14" t="b">
        <v>1</v>
      </c>
      <c r="W851" s="3"/>
    </row>
    <row r="852" spans="1:23" x14ac:dyDescent="0.25">
      <c r="A852" s="4">
        <v>85377174000392</v>
      </c>
      <c r="B852" s="8" t="s">
        <v>1012</v>
      </c>
      <c r="C852" s="8" t="s">
        <v>938</v>
      </c>
      <c r="D852" s="7" t="s">
        <v>68</v>
      </c>
      <c r="E852" s="7" t="s">
        <v>215</v>
      </c>
      <c r="F852" s="6">
        <v>2</v>
      </c>
      <c r="G852" s="8" t="s">
        <v>175</v>
      </c>
      <c r="H852" s="8" t="s">
        <v>176</v>
      </c>
      <c r="I852" s="109" t="s">
        <v>556</v>
      </c>
      <c r="J852" s="8" t="s">
        <v>206</v>
      </c>
      <c r="K852" s="14" t="b">
        <v>1</v>
      </c>
      <c r="L852" s="14" t="b">
        <v>0</v>
      </c>
      <c r="M852" s="14" t="b">
        <v>0</v>
      </c>
      <c r="N852" s="14" t="b">
        <v>1</v>
      </c>
      <c r="O852" s="14" t="b">
        <v>1</v>
      </c>
      <c r="W852" s="3"/>
    </row>
    <row r="853" spans="1:23" x14ac:dyDescent="0.25">
      <c r="A853" s="4">
        <v>87020517000120</v>
      </c>
      <c r="B853" s="8" t="s">
        <v>1013</v>
      </c>
      <c r="C853" s="8" t="s">
        <v>83</v>
      </c>
      <c r="D853" s="7" t="s">
        <v>67</v>
      </c>
      <c r="E853" s="7" t="s">
        <v>215</v>
      </c>
      <c r="F853" s="6">
        <v>2</v>
      </c>
      <c r="G853" s="8" t="s">
        <v>175</v>
      </c>
      <c r="H853" s="8" t="s">
        <v>176</v>
      </c>
      <c r="I853" s="109" t="s">
        <v>556</v>
      </c>
      <c r="J853" s="8" t="s">
        <v>206</v>
      </c>
      <c r="K853" s="14" t="b">
        <v>1</v>
      </c>
      <c r="L853" s="14" t="b">
        <v>0</v>
      </c>
      <c r="M853" s="14" t="b">
        <v>0</v>
      </c>
      <c r="N853" s="14" t="b">
        <v>1</v>
      </c>
      <c r="O853" s="14" t="b">
        <v>1</v>
      </c>
      <c r="W853" s="3"/>
    </row>
    <row r="854" spans="1:23" x14ac:dyDescent="0.25">
      <c r="A854" s="4">
        <v>87096616003101</v>
      </c>
      <c r="B854" s="8" t="s">
        <v>1014</v>
      </c>
      <c r="C854" s="8" t="s">
        <v>83</v>
      </c>
      <c r="D854" s="7" t="s">
        <v>67</v>
      </c>
      <c r="E854" s="7" t="s">
        <v>215</v>
      </c>
      <c r="F854" s="6">
        <v>2</v>
      </c>
      <c r="G854" s="8" t="s">
        <v>175</v>
      </c>
      <c r="H854" s="8" t="s">
        <v>176</v>
      </c>
      <c r="I854" s="109" t="s">
        <v>556</v>
      </c>
      <c r="J854" s="8" t="s">
        <v>206</v>
      </c>
      <c r="K854" s="14" t="b">
        <v>1</v>
      </c>
      <c r="L854" s="14" t="b">
        <v>0</v>
      </c>
      <c r="M854" s="14" t="b">
        <v>0</v>
      </c>
      <c r="N854" s="14" t="b">
        <v>1</v>
      </c>
      <c r="O854" s="14" t="b">
        <v>1</v>
      </c>
      <c r="W854" s="3"/>
    </row>
    <row r="855" spans="1:23" x14ac:dyDescent="0.25">
      <c r="A855" s="4">
        <v>87317764001084</v>
      </c>
      <c r="B855" s="8" t="s">
        <v>1015</v>
      </c>
      <c r="C855" s="8" t="s">
        <v>83</v>
      </c>
      <c r="D855" s="7" t="s">
        <v>67</v>
      </c>
      <c r="E855" s="7" t="s">
        <v>215</v>
      </c>
      <c r="F855" s="6">
        <v>2</v>
      </c>
      <c r="G855" s="8" t="s">
        <v>175</v>
      </c>
      <c r="H855" s="8" t="s">
        <v>176</v>
      </c>
      <c r="I855" s="109" t="s">
        <v>556</v>
      </c>
      <c r="J855" s="8" t="s">
        <v>206</v>
      </c>
      <c r="K855" s="14" t="b">
        <v>1</v>
      </c>
      <c r="L855" s="14" t="b">
        <v>0</v>
      </c>
      <c r="M855" s="14" t="b">
        <v>0</v>
      </c>
      <c r="N855" s="14" t="b">
        <v>1</v>
      </c>
      <c r="O855" s="14" t="b">
        <v>1</v>
      </c>
      <c r="W855" s="3"/>
    </row>
    <row r="856" spans="1:23" x14ac:dyDescent="0.25">
      <c r="A856" s="4">
        <v>87317764001165</v>
      </c>
      <c r="B856" s="8" t="s">
        <v>1016</v>
      </c>
      <c r="C856" s="8" t="s">
        <v>541</v>
      </c>
      <c r="D856" s="7" t="s">
        <v>67</v>
      </c>
      <c r="E856" s="7" t="s">
        <v>215</v>
      </c>
      <c r="F856" s="6">
        <v>2</v>
      </c>
      <c r="G856" s="8" t="s">
        <v>175</v>
      </c>
      <c r="H856" s="8" t="s">
        <v>176</v>
      </c>
      <c r="I856" s="109" t="s">
        <v>556</v>
      </c>
      <c r="J856" s="8" t="s">
        <v>206</v>
      </c>
      <c r="K856" s="14" t="b">
        <v>1</v>
      </c>
      <c r="L856" s="14" t="b">
        <v>0</v>
      </c>
      <c r="M856" s="14" t="b">
        <v>0</v>
      </c>
      <c r="N856" s="14" t="b">
        <v>1</v>
      </c>
      <c r="O856" s="14" t="b">
        <v>1</v>
      </c>
      <c r="W856" s="3"/>
    </row>
    <row r="857" spans="1:23" x14ac:dyDescent="0.25">
      <c r="A857" s="4">
        <v>87547444000120</v>
      </c>
      <c r="B857" s="8" t="s">
        <v>1017</v>
      </c>
      <c r="C857" s="8" t="s">
        <v>1018</v>
      </c>
      <c r="D857" s="7" t="s">
        <v>67</v>
      </c>
      <c r="E857" s="7" t="s">
        <v>215</v>
      </c>
      <c r="F857" s="6">
        <v>2</v>
      </c>
      <c r="G857" s="8" t="s">
        <v>175</v>
      </c>
      <c r="H857" s="8" t="s">
        <v>176</v>
      </c>
      <c r="I857" s="109" t="s">
        <v>556</v>
      </c>
      <c r="J857" s="8" t="s">
        <v>206</v>
      </c>
      <c r="K857" s="14" t="b">
        <v>1</v>
      </c>
      <c r="L857" s="14" t="b">
        <v>0</v>
      </c>
      <c r="M857" s="14" t="b">
        <v>0</v>
      </c>
      <c r="N857" s="14" t="b">
        <v>1</v>
      </c>
      <c r="O857" s="14" t="b">
        <v>1</v>
      </c>
      <c r="W857" s="3"/>
    </row>
    <row r="858" spans="1:23" x14ac:dyDescent="0.25">
      <c r="A858" s="4">
        <v>87607149000626</v>
      </c>
      <c r="B858" s="8" t="s">
        <v>1019</v>
      </c>
      <c r="C858" s="8" t="s">
        <v>96</v>
      </c>
      <c r="D858" s="7" t="s">
        <v>67</v>
      </c>
      <c r="E858" s="7" t="s">
        <v>215</v>
      </c>
      <c r="F858" s="6">
        <v>2</v>
      </c>
      <c r="G858" s="8" t="s">
        <v>175</v>
      </c>
      <c r="H858" s="8" t="s">
        <v>176</v>
      </c>
      <c r="I858" s="109" t="s">
        <v>556</v>
      </c>
      <c r="J858" s="8" t="s">
        <v>206</v>
      </c>
      <c r="K858" s="14" t="b">
        <v>1</v>
      </c>
      <c r="L858" s="14" t="b">
        <v>0</v>
      </c>
      <c r="M858" s="14" t="b">
        <v>0</v>
      </c>
      <c r="N858" s="14" t="b">
        <v>1</v>
      </c>
      <c r="O858" s="14" t="b">
        <v>1</v>
      </c>
      <c r="W858" s="3"/>
    </row>
    <row r="859" spans="1:23" x14ac:dyDescent="0.25">
      <c r="A859" s="4">
        <v>87638334000505</v>
      </c>
      <c r="B859" s="8" t="s">
        <v>1020</v>
      </c>
      <c r="C859" s="8" t="s">
        <v>129</v>
      </c>
      <c r="D859" s="7" t="s">
        <v>67</v>
      </c>
      <c r="E859" s="7" t="s">
        <v>215</v>
      </c>
      <c r="F859" s="6">
        <v>2</v>
      </c>
      <c r="G859" s="8" t="s">
        <v>175</v>
      </c>
      <c r="H859" s="8" t="s">
        <v>176</v>
      </c>
      <c r="I859" s="109" t="s">
        <v>556</v>
      </c>
      <c r="J859" s="8" t="s">
        <v>206</v>
      </c>
      <c r="K859" s="14" t="b">
        <v>1</v>
      </c>
      <c r="L859" s="14" t="b">
        <v>0</v>
      </c>
      <c r="M859" s="14" t="b">
        <v>0</v>
      </c>
      <c r="N859" s="14" t="b">
        <v>1</v>
      </c>
      <c r="O859" s="14" t="b">
        <v>1</v>
      </c>
      <c r="W859" s="3"/>
    </row>
    <row r="860" spans="1:23" x14ac:dyDescent="0.25">
      <c r="A860" s="4">
        <v>87827689002405</v>
      </c>
      <c r="B860" s="8" t="s">
        <v>1021</v>
      </c>
      <c r="C860" s="8" t="s">
        <v>66</v>
      </c>
      <c r="D860" s="7" t="s">
        <v>67</v>
      </c>
      <c r="E860" s="7" t="s">
        <v>215</v>
      </c>
      <c r="F860" s="6">
        <v>2</v>
      </c>
      <c r="G860" s="8" t="s">
        <v>175</v>
      </c>
      <c r="H860" s="8" t="s">
        <v>176</v>
      </c>
      <c r="I860" s="109" t="s">
        <v>556</v>
      </c>
      <c r="J860" s="8" t="s">
        <v>206</v>
      </c>
      <c r="K860" s="14" t="b">
        <v>1</v>
      </c>
      <c r="L860" s="14" t="b">
        <v>0</v>
      </c>
      <c r="M860" s="14" t="b">
        <v>0</v>
      </c>
      <c r="N860" s="14" t="b">
        <v>1</v>
      </c>
      <c r="O860" s="14" t="b">
        <v>1</v>
      </c>
      <c r="W860" s="3"/>
    </row>
    <row r="861" spans="1:23" x14ac:dyDescent="0.25">
      <c r="A861" s="4">
        <v>87958625000149</v>
      </c>
      <c r="B861" s="8" t="s">
        <v>1022</v>
      </c>
      <c r="C861" s="8" t="s">
        <v>83</v>
      </c>
      <c r="D861" s="7" t="s">
        <v>67</v>
      </c>
      <c r="E861" s="7" t="s">
        <v>215</v>
      </c>
      <c r="F861" s="6">
        <v>2</v>
      </c>
      <c r="G861" s="8" t="s">
        <v>175</v>
      </c>
      <c r="H861" s="8" t="s">
        <v>176</v>
      </c>
      <c r="I861" s="109" t="s">
        <v>556</v>
      </c>
      <c r="J861" s="8" t="s">
        <v>206</v>
      </c>
      <c r="K861" s="14" t="b">
        <v>1</v>
      </c>
      <c r="L861" s="14" t="b">
        <v>0</v>
      </c>
      <c r="M861" s="14" t="b">
        <v>0</v>
      </c>
      <c r="N861" s="14" t="b">
        <v>1</v>
      </c>
      <c r="O861" s="14" t="b">
        <v>1</v>
      </c>
      <c r="W861" s="3"/>
    </row>
    <row r="862" spans="1:23" x14ac:dyDescent="0.25">
      <c r="A862" s="4">
        <v>88625686002443</v>
      </c>
      <c r="B862" s="8" t="s">
        <v>1023</v>
      </c>
      <c r="C862" s="8" t="s">
        <v>83</v>
      </c>
      <c r="D862" s="7" t="s">
        <v>67</v>
      </c>
      <c r="E862" s="7" t="s">
        <v>215</v>
      </c>
      <c r="F862" s="6">
        <v>2</v>
      </c>
      <c r="G862" s="8" t="s">
        <v>175</v>
      </c>
      <c r="H862" s="8" t="s">
        <v>176</v>
      </c>
      <c r="I862" s="109" t="s">
        <v>556</v>
      </c>
      <c r="J862" s="8" t="s">
        <v>206</v>
      </c>
      <c r="K862" s="14" t="b">
        <v>1</v>
      </c>
      <c r="L862" s="14" t="b">
        <v>0</v>
      </c>
      <c r="M862" s="14" t="b">
        <v>0</v>
      </c>
      <c r="N862" s="14" t="b">
        <v>1</v>
      </c>
      <c r="O862" s="14" t="b">
        <v>1</v>
      </c>
      <c r="W862" s="3"/>
    </row>
    <row r="863" spans="1:23" x14ac:dyDescent="0.25">
      <c r="A863" s="4">
        <v>88630413000796</v>
      </c>
      <c r="B863" s="8" t="s">
        <v>1024</v>
      </c>
      <c r="C863" s="8" t="s">
        <v>83</v>
      </c>
      <c r="D863" s="7" t="s">
        <v>67</v>
      </c>
      <c r="E863" s="7" t="s">
        <v>215</v>
      </c>
      <c r="F863" s="6">
        <v>2</v>
      </c>
      <c r="G863" s="8" t="s">
        <v>175</v>
      </c>
      <c r="H863" s="8" t="s">
        <v>176</v>
      </c>
      <c r="I863" s="109" t="s">
        <v>556</v>
      </c>
      <c r="J863" s="8" t="s">
        <v>206</v>
      </c>
      <c r="K863" s="14" t="b">
        <v>1</v>
      </c>
      <c r="L863" s="14" t="b">
        <v>0</v>
      </c>
      <c r="M863" s="14" t="b">
        <v>0</v>
      </c>
      <c r="N863" s="14" t="b">
        <v>1</v>
      </c>
      <c r="O863" s="14" t="b">
        <v>1</v>
      </c>
      <c r="W863" s="3"/>
    </row>
    <row r="864" spans="1:23" x14ac:dyDescent="0.25">
      <c r="A864" s="4">
        <v>88645403001372</v>
      </c>
      <c r="B864" s="8" t="s">
        <v>1025</v>
      </c>
      <c r="C864" s="8" t="s">
        <v>66</v>
      </c>
      <c r="D864" s="7" t="s">
        <v>67</v>
      </c>
      <c r="E864" s="7" t="s">
        <v>215</v>
      </c>
      <c r="F864" s="6">
        <v>2</v>
      </c>
      <c r="G864" s="8" t="s">
        <v>175</v>
      </c>
      <c r="H864" s="8" t="s">
        <v>176</v>
      </c>
      <c r="I864" s="109" t="s">
        <v>556</v>
      </c>
      <c r="J864" s="8" t="s">
        <v>206</v>
      </c>
      <c r="K864" s="14" t="b">
        <v>1</v>
      </c>
      <c r="L864" s="14" t="b">
        <v>0</v>
      </c>
      <c r="M864" s="14" t="b">
        <v>0</v>
      </c>
      <c r="N864" s="14" t="b">
        <v>1</v>
      </c>
      <c r="O864" s="14" t="b">
        <v>1</v>
      </c>
      <c r="W864" s="3"/>
    </row>
    <row r="865" spans="1:23" x14ac:dyDescent="0.25">
      <c r="A865" s="4">
        <v>88830609000139</v>
      </c>
      <c r="B865" s="8" t="s">
        <v>1026</v>
      </c>
      <c r="C865" s="8" t="s">
        <v>66</v>
      </c>
      <c r="D865" s="7" t="s">
        <v>67</v>
      </c>
      <c r="E865" s="7" t="s">
        <v>215</v>
      </c>
      <c r="F865" s="6">
        <v>2</v>
      </c>
      <c r="G865" s="8" t="s">
        <v>175</v>
      </c>
      <c r="H865" s="8" t="s">
        <v>176</v>
      </c>
      <c r="I865" s="109" t="s">
        <v>556</v>
      </c>
      <c r="J865" s="8" t="s">
        <v>206</v>
      </c>
      <c r="K865" s="14" t="b">
        <v>1</v>
      </c>
      <c r="L865" s="14" t="b">
        <v>0</v>
      </c>
      <c r="M865" s="14" t="b">
        <v>0</v>
      </c>
      <c r="N865" s="14" t="b">
        <v>1</v>
      </c>
      <c r="O865" s="14" t="b">
        <v>1</v>
      </c>
      <c r="W865" s="3"/>
    </row>
    <row r="866" spans="1:23" x14ac:dyDescent="0.25">
      <c r="A866" s="4">
        <v>92021062000360</v>
      </c>
      <c r="B866" s="8" t="s">
        <v>1027</v>
      </c>
      <c r="C866" s="8" t="s">
        <v>96</v>
      </c>
      <c r="D866" s="7" t="s">
        <v>67</v>
      </c>
      <c r="E866" s="7" t="s">
        <v>215</v>
      </c>
      <c r="F866" s="6">
        <v>2</v>
      </c>
      <c r="G866" s="8" t="s">
        <v>175</v>
      </c>
      <c r="H866" s="8" t="s">
        <v>176</v>
      </c>
      <c r="I866" s="109" t="s">
        <v>556</v>
      </c>
      <c r="J866" s="8" t="s">
        <v>206</v>
      </c>
      <c r="K866" s="14" t="b">
        <v>1</v>
      </c>
      <c r="L866" s="14" t="b">
        <v>0</v>
      </c>
      <c r="M866" s="14" t="b">
        <v>0</v>
      </c>
      <c r="N866" s="14" t="b">
        <v>1</v>
      </c>
      <c r="O866" s="14" t="b">
        <v>1</v>
      </c>
      <c r="W866" s="3"/>
    </row>
    <row r="867" spans="1:23" x14ac:dyDescent="0.25">
      <c r="A867" s="4">
        <v>92404789000164</v>
      </c>
      <c r="B867" s="8" t="s">
        <v>1028</v>
      </c>
      <c r="C867" s="8" t="s">
        <v>106</v>
      </c>
      <c r="D867" s="7" t="s">
        <v>67</v>
      </c>
      <c r="E867" s="7" t="s">
        <v>215</v>
      </c>
      <c r="F867" s="6">
        <v>2</v>
      </c>
      <c r="G867" s="8" t="s">
        <v>175</v>
      </c>
      <c r="H867" s="8" t="s">
        <v>176</v>
      </c>
      <c r="I867" s="109" t="s">
        <v>556</v>
      </c>
      <c r="J867" s="8" t="s">
        <v>206</v>
      </c>
      <c r="K867" s="14" t="b">
        <v>1</v>
      </c>
      <c r="L867" s="14" t="b">
        <v>0</v>
      </c>
      <c r="M867" s="14" t="b">
        <v>0</v>
      </c>
      <c r="N867" s="14" t="b">
        <v>1</v>
      </c>
      <c r="O867" s="14" t="b">
        <v>1</v>
      </c>
      <c r="W867" s="3"/>
    </row>
    <row r="868" spans="1:23" x14ac:dyDescent="0.25">
      <c r="A868" s="4">
        <v>92685833000151</v>
      </c>
      <c r="B868" s="8" t="s">
        <v>1029</v>
      </c>
      <c r="C868" s="8" t="s">
        <v>83</v>
      </c>
      <c r="D868" s="7" t="s">
        <v>67</v>
      </c>
      <c r="E868" s="7" t="s">
        <v>215</v>
      </c>
      <c r="F868" s="6">
        <v>2</v>
      </c>
      <c r="G868" s="8" t="s">
        <v>175</v>
      </c>
      <c r="H868" s="8" t="s">
        <v>176</v>
      </c>
      <c r="I868" s="109" t="s">
        <v>556</v>
      </c>
      <c r="J868" s="8" t="s">
        <v>206</v>
      </c>
      <c r="K868" s="14" t="b">
        <v>1</v>
      </c>
      <c r="L868" s="14" t="b">
        <v>0</v>
      </c>
      <c r="M868" s="14" t="b">
        <v>0</v>
      </c>
      <c r="N868" s="14" t="b">
        <v>1</v>
      </c>
      <c r="O868" s="14" t="b">
        <v>1</v>
      </c>
      <c r="W868" s="3"/>
    </row>
    <row r="869" spans="1:23" x14ac:dyDescent="0.25">
      <c r="A869" s="4">
        <v>92741016000254</v>
      </c>
      <c r="B869" s="8" t="s">
        <v>1030</v>
      </c>
      <c r="C869" s="8" t="s">
        <v>83</v>
      </c>
      <c r="D869" s="7" t="s">
        <v>67</v>
      </c>
      <c r="E869" s="7" t="s">
        <v>215</v>
      </c>
      <c r="F869" s="6">
        <v>2</v>
      </c>
      <c r="G869" s="8" t="s">
        <v>175</v>
      </c>
      <c r="H869" s="8" t="s">
        <v>176</v>
      </c>
      <c r="I869" s="109" t="s">
        <v>556</v>
      </c>
      <c r="J869" s="8" t="s">
        <v>206</v>
      </c>
      <c r="K869" s="14" t="b">
        <v>1</v>
      </c>
      <c r="L869" s="14" t="b">
        <v>0</v>
      </c>
      <c r="M869" s="14" t="b">
        <v>0</v>
      </c>
      <c r="N869" s="14" t="b">
        <v>1</v>
      </c>
      <c r="O869" s="14" t="b">
        <v>1</v>
      </c>
      <c r="W869" s="3"/>
    </row>
    <row r="870" spans="1:23" x14ac:dyDescent="0.25">
      <c r="A870" s="4">
        <v>92787118000120</v>
      </c>
      <c r="B870" s="8" t="s">
        <v>1031</v>
      </c>
      <c r="C870" s="8" t="s">
        <v>83</v>
      </c>
      <c r="D870" s="7" t="s">
        <v>67</v>
      </c>
      <c r="E870" s="7" t="s">
        <v>215</v>
      </c>
      <c r="F870" s="6">
        <v>2</v>
      </c>
      <c r="G870" s="8" t="s">
        <v>175</v>
      </c>
      <c r="H870" s="8" t="s">
        <v>176</v>
      </c>
      <c r="I870" s="109" t="s">
        <v>556</v>
      </c>
      <c r="J870" s="8" t="s">
        <v>206</v>
      </c>
      <c r="K870" s="14" t="b">
        <v>1</v>
      </c>
      <c r="L870" s="14" t="b">
        <v>0</v>
      </c>
      <c r="M870" s="14" t="b">
        <v>0</v>
      </c>
      <c r="N870" s="14" t="b">
        <v>1</v>
      </c>
      <c r="O870" s="14" t="b">
        <v>1</v>
      </c>
      <c r="W870" s="3"/>
    </row>
    <row r="871" spans="1:23" x14ac:dyDescent="0.25">
      <c r="A871" s="4">
        <v>92787118000391</v>
      </c>
      <c r="B871" s="8" t="s">
        <v>1032</v>
      </c>
      <c r="C871" s="8" t="s">
        <v>83</v>
      </c>
      <c r="D871" s="7" t="s">
        <v>67</v>
      </c>
      <c r="E871" s="7" t="s">
        <v>215</v>
      </c>
      <c r="F871" s="6">
        <v>2</v>
      </c>
      <c r="G871" s="8" t="s">
        <v>175</v>
      </c>
      <c r="H871" s="8" t="s">
        <v>176</v>
      </c>
      <c r="I871" s="109" t="s">
        <v>556</v>
      </c>
      <c r="J871" s="8" t="s">
        <v>206</v>
      </c>
      <c r="K871" s="14" t="b">
        <v>1</v>
      </c>
      <c r="L871" s="14" t="b">
        <v>0</v>
      </c>
      <c r="M871" s="14" t="b">
        <v>0</v>
      </c>
      <c r="N871" s="14" t="b">
        <v>1</v>
      </c>
      <c r="O871" s="14" t="b">
        <v>1</v>
      </c>
      <c r="W871" s="3"/>
    </row>
    <row r="872" spans="1:23" x14ac:dyDescent="0.25">
      <c r="A872" s="4">
        <v>92815000000168</v>
      </c>
      <c r="B872" s="8" t="s">
        <v>1033</v>
      </c>
      <c r="C872" s="8" t="s">
        <v>83</v>
      </c>
      <c r="D872" s="7" t="s">
        <v>67</v>
      </c>
      <c r="E872" s="7" t="s">
        <v>215</v>
      </c>
      <c r="F872" s="6">
        <v>2</v>
      </c>
      <c r="G872" s="8" t="s">
        <v>175</v>
      </c>
      <c r="H872" s="8" t="s">
        <v>176</v>
      </c>
      <c r="I872" s="109" t="s">
        <v>556</v>
      </c>
      <c r="J872" s="8" t="s">
        <v>206</v>
      </c>
      <c r="K872" s="14" t="b">
        <v>1</v>
      </c>
      <c r="L872" s="14" t="b">
        <v>0</v>
      </c>
      <c r="M872" s="14" t="b">
        <v>0</v>
      </c>
      <c r="N872" s="14" t="b">
        <v>1</v>
      </c>
      <c r="O872" s="14" t="b">
        <v>1</v>
      </c>
      <c r="W872" s="3"/>
    </row>
    <row r="873" spans="1:23" x14ac:dyDescent="0.25">
      <c r="A873" s="4">
        <v>92898550000198</v>
      </c>
      <c r="B873" s="8" t="s">
        <v>1034</v>
      </c>
      <c r="C873" s="8" t="s">
        <v>83</v>
      </c>
      <c r="D873" s="7" t="s">
        <v>67</v>
      </c>
      <c r="E873" s="7" t="s">
        <v>215</v>
      </c>
      <c r="F873" s="6">
        <v>2</v>
      </c>
      <c r="G873" s="8" t="s">
        <v>175</v>
      </c>
      <c r="H873" s="8" t="s">
        <v>176</v>
      </c>
      <c r="I873" s="109" t="s">
        <v>556</v>
      </c>
      <c r="J873" s="8" t="s">
        <v>206</v>
      </c>
      <c r="K873" s="14" t="b">
        <v>1</v>
      </c>
      <c r="L873" s="14" t="b">
        <v>0</v>
      </c>
      <c r="M873" s="14" t="b">
        <v>0</v>
      </c>
      <c r="N873" s="14" t="b">
        <v>1</v>
      </c>
      <c r="O873" s="14" t="b">
        <v>1</v>
      </c>
      <c r="W873" s="3"/>
    </row>
    <row r="874" spans="1:23" x14ac:dyDescent="0.25">
      <c r="A874" s="4">
        <v>92963560000160</v>
      </c>
      <c r="B874" s="8" t="s">
        <v>1035</v>
      </c>
      <c r="C874" s="8" t="s">
        <v>83</v>
      </c>
      <c r="D874" s="7" t="s">
        <v>67</v>
      </c>
      <c r="E874" s="7" t="s">
        <v>215</v>
      </c>
      <c r="F874" s="6">
        <v>2</v>
      </c>
      <c r="G874" s="8" t="s">
        <v>175</v>
      </c>
      <c r="H874" s="8" t="s">
        <v>176</v>
      </c>
      <c r="I874" s="109" t="s">
        <v>556</v>
      </c>
      <c r="J874" s="8" t="s">
        <v>206</v>
      </c>
      <c r="K874" s="14" t="b">
        <v>1</v>
      </c>
      <c r="L874" s="14" t="b">
        <v>0</v>
      </c>
      <c r="M874" s="14" t="b">
        <v>0</v>
      </c>
      <c r="N874" s="14" t="b">
        <v>1</v>
      </c>
      <c r="O874" s="14" t="b">
        <v>1</v>
      </c>
      <c r="W874" s="3"/>
    </row>
    <row r="875" spans="1:23" x14ac:dyDescent="0.25">
      <c r="A875" s="4">
        <v>94831294000147</v>
      </c>
      <c r="B875" s="8" t="s">
        <v>1036</v>
      </c>
      <c r="C875" s="8" t="s">
        <v>83</v>
      </c>
      <c r="D875" s="7" t="s">
        <v>67</v>
      </c>
      <c r="E875" s="7" t="s">
        <v>215</v>
      </c>
      <c r="F875" s="6">
        <v>2</v>
      </c>
      <c r="G875" s="8" t="s">
        <v>175</v>
      </c>
      <c r="H875" s="8" t="s">
        <v>176</v>
      </c>
      <c r="I875" s="109" t="s">
        <v>556</v>
      </c>
      <c r="J875" s="8" t="s">
        <v>206</v>
      </c>
      <c r="K875" s="14" t="b">
        <v>1</v>
      </c>
      <c r="L875" s="14" t="b">
        <v>0</v>
      </c>
      <c r="M875" s="14" t="b">
        <v>0</v>
      </c>
      <c r="N875" s="14" t="b">
        <v>1</v>
      </c>
      <c r="O875" s="14" t="b">
        <v>1</v>
      </c>
      <c r="W875" s="3"/>
    </row>
    <row r="876" spans="1:23" x14ac:dyDescent="0.25">
      <c r="A876" s="4">
        <v>95610887000146</v>
      </c>
      <c r="B876" s="8" t="s">
        <v>1037</v>
      </c>
      <c r="C876" s="8" t="s">
        <v>87</v>
      </c>
      <c r="D876" s="7" t="s">
        <v>67</v>
      </c>
      <c r="E876" s="7" t="s">
        <v>215</v>
      </c>
      <c r="F876" s="6">
        <v>2</v>
      </c>
      <c r="G876" s="8" t="s">
        <v>175</v>
      </c>
      <c r="H876" s="8" t="s">
        <v>176</v>
      </c>
      <c r="I876" s="109" t="s">
        <v>556</v>
      </c>
      <c r="J876" s="8" t="s">
        <v>206</v>
      </c>
      <c r="K876" s="14" t="b">
        <v>1</v>
      </c>
      <c r="L876" s="14" t="b">
        <v>0</v>
      </c>
      <c r="M876" s="14" t="b">
        <v>0</v>
      </c>
      <c r="N876" s="14" t="b">
        <v>1</v>
      </c>
      <c r="O876" s="14" t="b">
        <v>1</v>
      </c>
      <c r="W876" s="3"/>
    </row>
    <row r="877" spans="1:23" x14ac:dyDescent="0.25">
      <c r="A877" s="4">
        <v>48063983904</v>
      </c>
      <c r="B877" s="8" t="s">
        <v>929</v>
      </c>
      <c r="C877" s="8" t="s">
        <v>930</v>
      </c>
      <c r="D877" s="7" t="s">
        <v>68</v>
      </c>
      <c r="E877" s="7" t="s">
        <v>215</v>
      </c>
      <c r="F877" s="6">
        <v>2</v>
      </c>
      <c r="G877" s="8" t="s">
        <v>157</v>
      </c>
      <c r="H877" s="8" t="s">
        <v>158</v>
      </c>
      <c r="I877" s="109" t="s">
        <v>557</v>
      </c>
      <c r="J877" s="8" t="s">
        <v>206</v>
      </c>
      <c r="K877" s="14" t="b">
        <v>0</v>
      </c>
      <c r="L877" s="14" t="b">
        <v>1</v>
      </c>
      <c r="M877" s="14" t="b">
        <v>1</v>
      </c>
      <c r="N877" s="14" t="b">
        <v>0</v>
      </c>
      <c r="O877" s="14" t="b">
        <v>1</v>
      </c>
      <c r="W877" s="3"/>
    </row>
    <row r="878" spans="1:23" x14ac:dyDescent="0.25">
      <c r="A878" s="4">
        <v>304148000110</v>
      </c>
      <c r="B878" s="8" t="s">
        <v>932</v>
      </c>
      <c r="C878" s="8" t="s">
        <v>933</v>
      </c>
      <c r="D878" s="7" t="s">
        <v>57</v>
      </c>
      <c r="E878" s="7" t="s">
        <v>215</v>
      </c>
      <c r="F878" s="6">
        <v>2</v>
      </c>
      <c r="G878" s="8" t="s">
        <v>157</v>
      </c>
      <c r="H878" s="8" t="s">
        <v>158</v>
      </c>
      <c r="I878" s="109" t="s">
        <v>557</v>
      </c>
      <c r="J878" s="8" t="s">
        <v>206</v>
      </c>
      <c r="K878" s="14" t="b">
        <v>0</v>
      </c>
      <c r="L878" s="14" t="b">
        <v>1</v>
      </c>
      <c r="M878" s="14" t="b">
        <v>1</v>
      </c>
      <c r="N878" s="14" t="b">
        <v>0</v>
      </c>
      <c r="O878" s="14" t="b">
        <v>1</v>
      </c>
      <c r="W878" s="3"/>
    </row>
    <row r="879" spans="1:23" x14ac:dyDescent="0.25">
      <c r="A879" s="4">
        <v>942063000167</v>
      </c>
      <c r="B879" s="8" t="s">
        <v>934</v>
      </c>
      <c r="C879" s="8" t="s">
        <v>94</v>
      </c>
      <c r="D879" s="7" t="s">
        <v>57</v>
      </c>
      <c r="E879" s="7" t="s">
        <v>215</v>
      </c>
      <c r="F879" s="6">
        <v>2</v>
      </c>
      <c r="G879" s="8" t="s">
        <v>157</v>
      </c>
      <c r="H879" s="8" t="s">
        <v>158</v>
      </c>
      <c r="I879" s="109" t="s">
        <v>557</v>
      </c>
      <c r="J879" s="8" t="s">
        <v>206</v>
      </c>
      <c r="K879" s="14" t="b">
        <v>0</v>
      </c>
      <c r="L879" s="14" t="b">
        <v>1</v>
      </c>
      <c r="M879" s="14" t="b">
        <v>1</v>
      </c>
      <c r="N879" s="14" t="b">
        <v>0</v>
      </c>
      <c r="O879" s="14" t="b">
        <v>1</v>
      </c>
      <c r="W879" s="3"/>
    </row>
    <row r="880" spans="1:23" x14ac:dyDescent="0.25">
      <c r="A880" s="4">
        <v>1125832000105</v>
      </c>
      <c r="B880" s="8" t="s">
        <v>935</v>
      </c>
      <c r="C880" s="8" t="s">
        <v>930</v>
      </c>
      <c r="D880" s="7" t="s">
        <v>68</v>
      </c>
      <c r="E880" s="7" t="s">
        <v>215</v>
      </c>
      <c r="F880" s="6">
        <v>2</v>
      </c>
      <c r="G880" s="8" t="s">
        <v>157</v>
      </c>
      <c r="H880" s="8" t="s">
        <v>158</v>
      </c>
      <c r="I880" s="109" t="s">
        <v>557</v>
      </c>
      <c r="J880" s="8" t="s">
        <v>206</v>
      </c>
      <c r="K880" s="14" t="b">
        <v>0</v>
      </c>
      <c r="L880" s="14" t="b">
        <v>1</v>
      </c>
      <c r="M880" s="14" t="b">
        <v>1</v>
      </c>
      <c r="N880" s="14" t="b">
        <v>0</v>
      </c>
      <c r="O880" s="14" t="b">
        <v>1</v>
      </c>
      <c r="W880" s="3"/>
    </row>
    <row r="881" spans="1:23" x14ac:dyDescent="0.25">
      <c r="A881" s="4">
        <v>1269903000135</v>
      </c>
      <c r="B881" s="8" t="s">
        <v>1398</v>
      </c>
      <c r="C881" s="8" t="s">
        <v>94</v>
      </c>
      <c r="D881" s="7" t="s">
        <v>57</v>
      </c>
      <c r="E881" s="7" t="s">
        <v>215</v>
      </c>
      <c r="F881" s="6">
        <v>2</v>
      </c>
      <c r="G881" s="8" t="s">
        <v>157</v>
      </c>
      <c r="H881" s="8" t="s">
        <v>158</v>
      </c>
      <c r="I881" s="109" t="s">
        <v>557</v>
      </c>
      <c r="J881" s="8" t="s">
        <v>206</v>
      </c>
      <c r="K881" s="14" t="b">
        <v>0</v>
      </c>
      <c r="L881" s="14" t="b">
        <v>1</v>
      </c>
      <c r="M881" s="14" t="b">
        <v>1</v>
      </c>
      <c r="N881" s="14" t="b">
        <v>0</v>
      </c>
      <c r="O881" s="14" t="b">
        <v>1</v>
      </c>
      <c r="W881" s="3"/>
    </row>
    <row r="882" spans="1:23" x14ac:dyDescent="0.25">
      <c r="A882" s="4">
        <v>1517626000132</v>
      </c>
      <c r="B882" s="8" t="s">
        <v>937</v>
      </c>
      <c r="C882" s="8" t="s">
        <v>938</v>
      </c>
      <c r="D882" s="7" t="s">
        <v>68</v>
      </c>
      <c r="E882" s="7" t="s">
        <v>215</v>
      </c>
      <c r="F882" s="6">
        <v>2</v>
      </c>
      <c r="G882" s="8" t="s">
        <v>157</v>
      </c>
      <c r="H882" s="8" t="s">
        <v>158</v>
      </c>
      <c r="I882" s="109" t="s">
        <v>557</v>
      </c>
      <c r="J882" s="8" t="s">
        <v>206</v>
      </c>
      <c r="K882" s="14" t="b">
        <v>0</v>
      </c>
      <c r="L882" s="14" t="b">
        <v>1</v>
      </c>
      <c r="M882" s="14" t="b">
        <v>1</v>
      </c>
      <c r="N882" s="14" t="b">
        <v>0</v>
      </c>
      <c r="O882" s="14" t="b">
        <v>1</v>
      </c>
      <c r="W882" s="3"/>
    </row>
    <row r="883" spans="1:23" x14ac:dyDescent="0.25">
      <c r="A883" s="4">
        <v>1554266000149</v>
      </c>
      <c r="B883" s="8" t="s">
        <v>939</v>
      </c>
      <c r="C883" s="8" t="s">
        <v>113</v>
      </c>
      <c r="D883" s="7" t="s">
        <v>68</v>
      </c>
      <c r="E883" s="7" t="s">
        <v>215</v>
      </c>
      <c r="F883" s="6">
        <v>2</v>
      </c>
      <c r="G883" s="8" t="s">
        <v>157</v>
      </c>
      <c r="H883" s="8" t="s">
        <v>158</v>
      </c>
      <c r="I883" s="109" t="s">
        <v>557</v>
      </c>
      <c r="J883" s="8" t="s">
        <v>206</v>
      </c>
      <c r="K883" s="14" t="b">
        <v>0</v>
      </c>
      <c r="L883" s="14" t="b">
        <v>1</v>
      </c>
      <c r="M883" s="14" t="b">
        <v>1</v>
      </c>
      <c r="N883" s="14" t="b">
        <v>0</v>
      </c>
      <c r="O883" s="14" t="b">
        <v>1</v>
      </c>
      <c r="W883" s="3"/>
    </row>
    <row r="884" spans="1:23" x14ac:dyDescent="0.25">
      <c r="A884" s="4">
        <v>1554266000300</v>
      </c>
      <c r="B884" s="8" t="s">
        <v>940</v>
      </c>
      <c r="C884" s="8" t="s">
        <v>113</v>
      </c>
      <c r="D884" s="7" t="s">
        <v>68</v>
      </c>
      <c r="E884" s="7" t="s">
        <v>215</v>
      </c>
      <c r="F884" s="6">
        <v>2</v>
      </c>
      <c r="G884" s="8" t="s">
        <v>157</v>
      </c>
      <c r="H884" s="8" t="s">
        <v>158</v>
      </c>
      <c r="I884" s="109" t="s">
        <v>557</v>
      </c>
      <c r="J884" s="8" t="s">
        <v>206</v>
      </c>
      <c r="K884" s="14" t="b">
        <v>0</v>
      </c>
      <c r="L884" s="14" t="b">
        <v>1</v>
      </c>
      <c r="M884" s="14" t="b">
        <v>1</v>
      </c>
      <c r="N884" s="14" t="b">
        <v>0</v>
      </c>
      <c r="O884" s="14" t="b">
        <v>1</v>
      </c>
      <c r="W884" s="3"/>
    </row>
    <row r="885" spans="1:23" x14ac:dyDescent="0.25">
      <c r="A885" s="4">
        <v>1595799000179</v>
      </c>
      <c r="B885" s="8" t="s">
        <v>1399</v>
      </c>
      <c r="C885" s="8" t="s">
        <v>998</v>
      </c>
      <c r="D885" s="7" t="s">
        <v>68</v>
      </c>
      <c r="E885" s="7" t="s">
        <v>215</v>
      </c>
      <c r="F885" s="6">
        <v>2</v>
      </c>
      <c r="G885" s="8" t="s">
        <v>157</v>
      </c>
      <c r="H885" s="8" t="s">
        <v>158</v>
      </c>
      <c r="I885" s="109" t="s">
        <v>557</v>
      </c>
      <c r="J885" s="8" t="s">
        <v>206</v>
      </c>
      <c r="K885" s="14" t="b">
        <v>0</v>
      </c>
      <c r="L885" s="14" t="b">
        <v>1</v>
      </c>
      <c r="M885" s="14" t="b">
        <v>1</v>
      </c>
      <c r="N885" s="14" t="b">
        <v>0</v>
      </c>
      <c r="O885" s="14" t="b">
        <v>1</v>
      </c>
      <c r="W885" s="3"/>
    </row>
    <row r="886" spans="1:23" x14ac:dyDescent="0.25">
      <c r="A886" s="4">
        <v>1880344000103</v>
      </c>
      <c r="B886" s="8" t="s">
        <v>941</v>
      </c>
      <c r="C886" s="8" t="s">
        <v>93</v>
      </c>
      <c r="D886" s="7" t="s">
        <v>68</v>
      </c>
      <c r="E886" s="7" t="s">
        <v>215</v>
      </c>
      <c r="F886" s="6">
        <v>2</v>
      </c>
      <c r="G886" s="8" t="s">
        <v>157</v>
      </c>
      <c r="H886" s="8" t="s">
        <v>158</v>
      </c>
      <c r="I886" s="109" t="s">
        <v>557</v>
      </c>
      <c r="J886" s="8" t="s">
        <v>206</v>
      </c>
      <c r="K886" s="14" t="b">
        <v>0</v>
      </c>
      <c r="L886" s="14" t="b">
        <v>1</v>
      </c>
      <c r="M886" s="14" t="b">
        <v>1</v>
      </c>
      <c r="N886" s="14" t="b">
        <v>0</v>
      </c>
      <c r="O886" s="14" t="b">
        <v>1</v>
      </c>
      <c r="W886" s="3"/>
    </row>
    <row r="887" spans="1:23" x14ac:dyDescent="0.25">
      <c r="A887" s="4">
        <v>2862447000286</v>
      </c>
      <c r="B887" s="8" t="s">
        <v>942</v>
      </c>
      <c r="C887" s="8" t="s">
        <v>94</v>
      </c>
      <c r="D887" s="7" t="s">
        <v>57</v>
      </c>
      <c r="E887" s="7" t="s">
        <v>215</v>
      </c>
      <c r="F887" s="6">
        <v>2</v>
      </c>
      <c r="G887" s="8" t="s">
        <v>157</v>
      </c>
      <c r="H887" s="8" t="s">
        <v>158</v>
      </c>
      <c r="I887" s="109" t="s">
        <v>557</v>
      </c>
      <c r="J887" s="8" t="s">
        <v>206</v>
      </c>
      <c r="K887" s="14" t="b">
        <v>0</v>
      </c>
      <c r="L887" s="14" t="b">
        <v>1</v>
      </c>
      <c r="M887" s="14" t="b">
        <v>1</v>
      </c>
      <c r="N887" s="14" t="b">
        <v>0</v>
      </c>
      <c r="O887" s="14" t="b">
        <v>1</v>
      </c>
      <c r="W887" s="3"/>
    </row>
    <row r="888" spans="1:23" x14ac:dyDescent="0.25">
      <c r="A888" s="4">
        <v>3354642000187</v>
      </c>
      <c r="B888" s="8" t="s">
        <v>1143</v>
      </c>
      <c r="C888" s="8" t="s">
        <v>93</v>
      </c>
      <c r="D888" s="7" t="s">
        <v>68</v>
      </c>
      <c r="E888" s="7" t="s">
        <v>215</v>
      </c>
      <c r="F888" s="6">
        <v>2</v>
      </c>
      <c r="G888" s="8" t="s">
        <v>157</v>
      </c>
      <c r="H888" s="8" t="s">
        <v>158</v>
      </c>
      <c r="I888" s="109" t="s">
        <v>557</v>
      </c>
      <c r="J888" s="8" t="s">
        <v>206</v>
      </c>
      <c r="K888" s="14" t="b">
        <v>0</v>
      </c>
      <c r="L888" s="14" t="b">
        <v>1</v>
      </c>
      <c r="M888" s="14" t="b">
        <v>1</v>
      </c>
      <c r="N888" s="14" t="b">
        <v>0</v>
      </c>
      <c r="O888" s="14" t="b">
        <v>1</v>
      </c>
      <c r="W888" s="3"/>
    </row>
    <row r="889" spans="1:23" x14ac:dyDescent="0.25">
      <c r="A889" s="4">
        <v>3824198000116</v>
      </c>
      <c r="B889" s="8" t="s">
        <v>944</v>
      </c>
      <c r="C889" s="8" t="s">
        <v>94</v>
      </c>
      <c r="D889" s="7" t="s">
        <v>57</v>
      </c>
      <c r="E889" s="7" t="s">
        <v>215</v>
      </c>
      <c r="F889" s="6">
        <v>2</v>
      </c>
      <c r="G889" s="8" t="s">
        <v>157</v>
      </c>
      <c r="H889" s="8" t="s">
        <v>158</v>
      </c>
      <c r="I889" s="109" t="s">
        <v>557</v>
      </c>
      <c r="J889" s="8" t="s">
        <v>206</v>
      </c>
      <c r="K889" s="14" t="b">
        <v>0</v>
      </c>
      <c r="L889" s="14" t="b">
        <v>1</v>
      </c>
      <c r="M889" s="14" t="b">
        <v>1</v>
      </c>
      <c r="N889" s="14" t="b">
        <v>0</v>
      </c>
      <c r="O889" s="14" t="b">
        <v>1</v>
      </c>
      <c r="W889" s="3"/>
    </row>
    <row r="890" spans="1:23" x14ac:dyDescent="0.25">
      <c r="A890" s="4">
        <v>3850913000195</v>
      </c>
      <c r="B890" s="8" t="s">
        <v>945</v>
      </c>
      <c r="C890" s="8" t="s">
        <v>94</v>
      </c>
      <c r="D890" s="7" t="s">
        <v>57</v>
      </c>
      <c r="E890" s="7" t="s">
        <v>215</v>
      </c>
      <c r="F890" s="6">
        <v>2</v>
      </c>
      <c r="G890" s="8" t="s">
        <v>157</v>
      </c>
      <c r="H890" s="8" t="s">
        <v>158</v>
      </c>
      <c r="I890" s="109" t="s">
        <v>557</v>
      </c>
      <c r="J890" s="8" t="s">
        <v>206</v>
      </c>
      <c r="K890" s="14" t="b">
        <v>0</v>
      </c>
      <c r="L890" s="14" t="b">
        <v>1</v>
      </c>
      <c r="M890" s="14" t="b">
        <v>1</v>
      </c>
      <c r="N890" s="14" t="b">
        <v>0</v>
      </c>
      <c r="O890" s="14" t="b">
        <v>1</v>
      </c>
      <c r="W890" s="3"/>
    </row>
    <row r="891" spans="1:23" x14ac:dyDescent="0.25">
      <c r="A891" s="4">
        <v>3855214000219</v>
      </c>
      <c r="B891" s="8" t="s">
        <v>946</v>
      </c>
      <c r="C891" s="8" t="s">
        <v>947</v>
      </c>
      <c r="D891" s="7" t="s">
        <v>68</v>
      </c>
      <c r="E891" s="7" t="s">
        <v>215</v>
      </c>
      <c r="F891" s="6">
        <v>2</v>
      </c>
      <c r="G891" s="8" t="s">
        <v>157</v>
      </c>
      <c r="H891" s="8" t="s">
        <v>158</v>
      </c>
      <c r="I891" s="109" t="s">
        <v>557</v>
      </c>
      <c r="J891" s="8" t="s">
        <v>206</v>
      </c>
      <c r="K891" s="14" t="b">
        <v>0</v>
      </c>
      <c r="L891" s="14" t="b">
        <v>1</v>
      </c>
      <c r="M891" s="14" t="b">
        <v>1</v>
      </c>
      <c r="N891" s="14" t="b">
        <v>0</v>
      </c>
      <c r="O891" s="14" t="b">
        <v>1</v>
      </c>
      <c r="W891" s="3"/>
    </row>
    <row r="892" spans="1:23" x14ac:dyDescent="0.25">
      <c r="A892" s="4">
        <v>4378502000101</v>
      </c>
      <c r="B892" s="8" t="s">
        <v>948</v>
      </c>
      <c r="C892" s="8" t="s">
        <v>94</v>
      </c>
      <c r="D892" s="7" t="s">
        <v>57</v>
      </c>
      <c r="E892" s="7" t="s">
        <v>215</v>
      </c>
      <c r="F892" s="6">
        <v>2</v>
      </c>
      <c r="G892" s="8" t="s">
        <v>157</v>
      </c>
      <c r="H892" s="8" t="s">
        <v>158</v>
      </c>
      <c r="I892" s="109" t="s">
        <v>557</v>
      </c>
      <c r="J892" s="8" t="s">
        <v>206</v>
      </c>
      <c r="K892" s="14" t="b">
        <v>0</v>
      </c>
      <c r="L892" s="14" t="b">
        <v>1</v>
      </c>
      <c r="M892" s="14" t="b">
        <v>1</v>
      </c>
      <c r="N892" s="14" t="b">
        <v>0</v>
      </c>
      <c r="O892" s="14" t="b">
        <v>1</v>
      </c>
      <c r="W892" s="3"/>
    </row>
    <row r="893" spans="1:23" x14ac:dyDescent="0.25">
      <c r="A893" s="4">
        <v>4670913000176</v>
      </c>
      <c r="B893" s="8" t="s">
        <v>949</v>
      </c>
      <c r="C893" s="8" t="s">
        <v>930</v>
      </c>
      <c r="D893" s="7" t="s">
        <v>68</v>
      </c>
      <c r="E893" s="7" t="s">
        <v>215</v>
      </c>
      <c r="F893" s="6">
        <v>2</v>
      </c>
      <c r="G893" s="8" t="s">
        <v>157</v>
      </c>
      <c r="H893" s="8" t="s">
        <v>158</v>
      </c>
      <c r="I893" s="109" t="s">
        <v>557</v>
      </c>
      <c r="J893" s="8" t="s">
        <v>206</v>
      </c>
      <c r="K893" s="14" t="b">
        <v>0</v>
      </c>
      <c r="L893" s="14" t="b">
        <v>1</v>
      </c>
      <c r="M893" s="14" t="b">
        <v>1</v>
      </c>
      <c r="N893" s="14" t="b">
        <v>0</v>
      </c>
      <c r="O893" s="14" t="b">
        <v>1</v>
      </c>
      <c r="W893" s="3"/>
    </row>
    <row r="894" spans="1:23" x14ac:dyDescent="0.25">
      <c r="A894" s="4">
        <v>4762301000103</v>
      </c>
      <c r="B894" s="8" t="s">
        <v>950</v>
      </c>
      <c r="C894" s="8" t="s">
        <v>121</v>
      </c>
      <c r="D894" s="7" t="s">
        <v>57</v>
      </c>
      <c r="E894" s="7" t="s">
        <v>215</v>
      </c>
      <c r="F894" s="6">
        <v>2</v>
      </c>
      <c r="G894" s="8" t="s">
        <v>157</v>
      </c>
      <c r="H894" s="8" t="s">
        <v>158</v>
      </c>
      <c r="I894" s="109" t="s">
        <v>557</v>
      </c>
      <c r="J894" s="8" t="s">
        <v>206</v>
      </c>
      <c r="K894" s="14" t="b">
        <v>0</v>
      </c>
      <c r="L894" s="14" t="b">
        <v>1</v>
      </c>
      <c r="M894" s="14" t="b">
        <v>1</v>
      </c>
      <c r="N894" s="14" t="b">
        <v>0</v>
      </c>
      <c r="O894" s="14" t="b">
        <v>1</v>
      </c>
      <c r="W894" s="3"/>
    </row>
    <row r="895" spans="1:23" x14ac:dyDescent="0.25">
      <c r="A895" s="4">
        <v>5503803000182</v>
      </c>
      <c r="B895" s="8" t="s">
        <v>1400</v>
      </c>
      <c r="C895" s="8" t="s">
        <v>94</v>
      </c>
      <c r="D895" s="7" t="s">
        <v>57</v>
      </c>
      <c r="E895" s="7" t="s">
        <v>215</v>
      </c>
      <c r="F895" s="6">
        <v>2</v>
      </c>
      <c r="G895" s="8" t="s">
        <v>157</v>
      </c>
      <c r="H895" s="8" t="s">
        <v>158</v>
      </c>
      <c r="I895" s="109" t="s">
        <v>557</v>
      </c>
      <c r="J895" s="8" t="s">
        <v>206</v>
      </c>
      <c r="K895" s="14" t="b">
        <v>0</v>
      </c>
      <c r="L895" s="14" t="b">
        <v>1</v>
      </c>
      <c r="M895" s="14" t="b">
        <v>1</v>
      </c>
      <c r="N895" s="14" t="b">
        <v>0</v>
      </c>
      <c r="O895" s="14" t="b">
        <v>1</v>
      </c>
      <c r="W895" s="3"/>
    </row>
    <row r="896" spans="1:23" x14ac:dyDescent="0.25">
      <c r="A896" s="4">
        <v>7088017000191</v>
      </c>
      <c r="B896" s="8" t="s">
        <v>952</v>
      </c>
      <c r="C896" s="8" t="s">
        <v>117</v>
      </c>
      <c r="D896" s="7" t="s">
        <v>57</v>
      </c>
      <c r="E896" s="7" t="s">
        <v>215</v>
      </c>
      <c r="F896" s="6">
        <v>2</v>
      </c>
      <c r="G896" s="8" t="s">
        <v>157</v>
      </c>
      <c r="H896" s="8" t="s">
        <v>158</v>
      </c>
      <c r="I896" s="109" t="s">
        <v>557</v>
      </c>
      <c r="J896" s="8" t="s">
        <v>206</v>
      </c>
      <c r="K896" s="14" t="b">
        <v>0</v>
      </c>
      <c r="L896" s="14" t="b">
        <v>1</v>
      </c>
      <c r="M896" s="14" t="b">
        <v>1</v>
      </c>
      <c r="N896" s="14" t="b">
        <v>0</v>
      </c>
      <c r="O896" s="14" t="b">
        <v>1</v>
      </c>
      <c r="W896" s="3"/>
    </row>
    <row r="897" spans="1:23" x14ac:dyDescent="0.25">
      <c r="A897" s="4">
        <v>7404052000172</v>
      </c>
      <c r="B897" s="8" t="s">
        <v>953</v>
      </c>
      <c r="C897" s="8" t="s">
        <v>94</v>
      </c>
      <c r="D897" s="7" t="s">
        <v>57</v>
      </c>
      <c r="E897" s="7" t="s">
        <v>215</v>
      </c>
      <c r="F897" s="6">
        <v>2</v>
      </c>
      <c r="G897" s="8" t="s">
        <v>157</v>
      </c>
      <c r="H897" s="8" t="s">
        <v>158</v>
      </c>
      <c r="I897" s="109" t="s">
        <v>557</v>
      </c>
      <c r="J897" s="8" t="s">
        <v>206</v>
      </c>
      <c r="K897" s="14" t="b">
        <v>0</v>
      </c>
      <c r="L897" s="14" t="b">
        <v>1</v>
      </c>
      <c r="M897" s="14" t="b">
        <v>1</v>
      </c>
      <c r="N897" s="14" t="b">
        <v>0</v>
      </c>
      <c r="O897" s="14" t="b">
        <v>1</v>
      </c>
      <c r="W897" s="3"/>
    </row>
    <row r="898" spans="1:23" x14ac:dyDescent="0.25">
      <c r="A898" s="4">
        <v>7734165000136</v>
      </c>
      <c r="B898" s="8" t="s">
        <v>954</v>
      </c>
      <c r="C898" s="8" t="s">
        <v>94</v>
      </c>
      <c r="D898" s="7" t="s">
        <v>57</v>
      </c>
      <c r="E898" s="7" t="s">
        <v>215</v>
      </c>
      <c r="F898" s="6">
        <v>2</v>
      </c>
      <c r="G898" s="8" t="s">
        <v>157</v>
      </c>
      <c r="H898" s="8" t="s">
        <v>158</v>
      </c>
      <c r="I898" s="109" t="s">
        <v>557</v>
      </c>
      <c r="J898" s="8" t="s">
        <v>206</v>
      </c>
      <c r="K898" s="14" t="b">
        <v>0</v>
      </c>
      <c r="L898" s="14" t="b">
        <v>1</v>
      </c>
      <c r="M898" s="14" t="b">
        <v>1</v>
      </c>
      <c r="N898" s="14" t="b">
        <v>0</v>
      </c>
      <c r="O898" s="14" t="b">
        <v>1</v>
      </c>
      <c r="W898" s="3"/>
    </row>
    <row r="899" spans="1:23" x14ac:dyDescent="0.25">
      <c r="A899" s="4">
        <v>7794623002257</v>
      </c>
      <c r="B899" s="8" t="s">
        <v>955</v>
      </c>
      <c r="C899" s="8" t="s">
        <v>956</v>
      </c>
      <c r="D899" s="7" t="s">
        <v>57</v>
      </c>
      <c r="E899" s="7" t="s">
        <v>215</v>
      </c>
      <c r="F899" s="6">
        <v>2</v>
      </c>
      <c r="G899" s="8" t="s">
        <v>157</v>
      </c>
      <c r="H899" s="8" t="s">
        <v>158</v>
      </c>
      <c r="I899" s="109" t="s">
        <v>557</v>
      </c>
      <c r="J899" s="8" t="s">
        <v>206</v>
      </c>
      <c r="K899" s="14" t="b">
        <v>0</v>
      </c>
      <c r="L899" s="14" t="b">
        <v>1</v>
      </c>
      <c r="M899" s="14" t="b">
        <v>1</v>
      </c>
      <c r="N899" s="14" t="b">
        <v>0</v>
      </c>
      <c r="O899" s="14" t="b">
        <v>1</v>
      </c>
      <c r="W899" s="3"/>
    </row>
    <row r="900" spans="1:23" x14ac:dyDescent="0.25">
      <c r="A900" s="4">
        <v>8597121000174</v>
      </c>
      <c r="B900" s="8" t="s">
        <v>957</v>
      </c>
      <c r="C900" s="8" t="s">
        <v>94</v>
      </c>
      <c r="D900" s="7" t="s">
        <v>57</v>
      </c>
      <c r="E900" s="7" t="s">
        <v>215</v>
      </c>
      <c r="F900" s="6">
        <v>2</v>
      </c>
      <c r="G900" s="8" t="s">
        <v>157</v>
      </c>
      <c r="H900" s="8" t="s">
        <v>158</v>
      </c>
      <c r="I900" s="109" t="s">
        <v>557</v>
      </c>
      <c r="J900" s="8" t="s">
        <v>206</v>
      </c>
      <c r="K900" s="14" t="b">
        <v>0</v>
      </c>
      <c r="L900" s="14" t="b">
        <v>1</v>
      </c>
      <c r="M900" s="14" t="b">
        <v>1</v>
      </c>
      <c r="N900" s="14" t="b">
        <v>0</v>
      </c>
      <c r="O900" s="14" t="b">
        <v>1</v>
      </c>
      <c r="W900" s="3"/>
    </row>
    <row r="901" spans="1:23" x14ac:dyDescent="0.25">
      <c r="A901" s="4">
        <v>9579964000291</v>
      </c>
      <c r="B901" s="8" t="s">
        <v>961</v>
      </c>
      <c r="C901" s="8" t="s">
        <v>94</v>
      </c>
      <c r="D901" s="7" t="s">
        <v>57</v>
      </c>
      <c r="E901" s="7" t="s">
        <v>215</v>
      </c>
      <c r="F901" s="6">
        <v>2</v>
      </c>
      <c r="G901" s="8" t="s">
        <v>157</v>
      </c>
      <c r="H901" s="8" t="s">
        <v>158</v>
      </c>
      <c r="I901" s="109" t="s">
        <v>557</v>
      </c>
      <c r="J901" s="8" t="s">
        <v>206</v>
      </c>
      <c r="K901" s="14" t="b">
        <v>0</v>
      </c>
      <c r="L901" s="14" t="b">
        <v>1</v>
      </c>
      <c r="M901" s="14" t="b">
        <v>1</v>
      </c>
      <c r="N901" s="14" t="b">
        <v>0</v>
      </c>
      <c r="O901" s="14" t="b">
        <v>1</v>
      </c>
      <c r="W901" s="3"/>
    </row>
    <row r="902" spans="1:23" x14ac:dyDescent="0.25">
      <c r="A902" s="4">
        <v>12361267004261</v>
      </c>
      <c r="B902" s="8" t="s">
        <v>964</v>
      </c>
      <c r="C902" s="8" t="s">
        <v>125</v>
      </c>
      <c r="D902" s="7" t="s">
        <v>68</v>
      </c>
      <c r="E902" s="7" t="s">
        <v>215</v>
      </c>
      <c r="F902" s="6">
        <v>2</v>
      </c>
      <c r="G902" s="8" t="s">
        <v>157</v>
      </c>
      <c r="H902" s="8" t="s">
        <v>158</v>
      </c>
      <c r="I902" s="109" t="s">
        <v>557</v>
      </c>
      <c r="J902" s="8" t="s">
        <v>206</v>
      </c>
      <c r="K902" s="14" t="b">
        <v>0</v>
      </c>
      <c r="L902" s="14" t="b">
        <v>1</v>
      </c>
      <c r="M902" s="14" t="b">
        <v>1</v>
      </c>
      <c r="N902" s="14" t="b">
        <v>0</v>
      </c>
      <c r="O902" s="14" t="b">
        <v>1</v>
      </c>
      <c r="W902" s="3"/>
    </row>
    <row r="903" spans="1:23" x14ac:dyDescent="0.25">
      <c r="A903" s="4">
        <v>15126437003401</v>
      </c>
      <c r="B903" s="8" t="s">
        <v>967</v>
      </c>
      <c r="C903" s="8" t="s">
        <v>95</v>
      </c>
      <c r="D903" s="7" t="s">
        <v>68</v>
      </c>
      <c r="E903" s="7" t="s">
        <v>215</v>
      </c>
      <c r="F903" s="6">
        <v>2</v>
      </c>
      <c r="G903" s="8" t="s">
        <v>157</v>
      </c>
      <c r="H903" s="8" t="s">
        <v>158</v>
      </c>
      <c r="I903" s="109" t="s">
        <v>557</v>
      </c>
      <c r="J903" s="8" t="s">
        <v>206</v>
      </c>
      <c r="K903" s="14" t="b">
        <v>0</v>
      </c>
      <c r="L903" s="14" t="b">
        <v>1</v>
      </c>
      <c r="M903" s="14" t="b">
        <v>1</v>
      </c>
      <c r="N903" s="14" t="b">
        <v>0</v>
      </c>
      <c r="O903" s="14" t="b">
        <v>1</v>
      </c>
      <c r="W903" s="3"/>
    </row>
    <row r="904" spans="1:23" x14ac:dyDescent="0.25">
      <c r="A904" s="4">
        <v>17034086000176</v>
      </c>
      <c r="B904" s="8" t="s">
        <v>968</v>
      </c>
      <c r="C904" s="8" t="s">
        <v>969</v>
      </c>
      <c r="D904" s="7" t="s">
        <v>68</v>
      </c>
      <c r="E904" s="7" t="s">
        <v>215</v>
      </c>
      <c r="F904" s="6">
        <v>2</v>
      </c>
      <c r="G904" s="8" t="s">
        <v>157</v>
      </c>
      <c r="H904" s="8" t="s">
        <v>158</v>
      </c>
      <c r="I904" s="109" t="s">
        <v>557</v>
      </c>
      <c r="J904" s="8" t="s">
        <v>206</v>
      </c>
      <c r="K904" s="14" t="b">
        <v>0</v>
      </c>
      <c r="L904" s="14" t="b">
        <v>1</v>
      </c>
      <c r="M904" s="14" t="b">
        <v>1</v>
      </c>
      <c r="N904" s="14" t="b">
        <v>0</v>
      </c>
      <c r="O904" s="14" t="b">
        <v>1</v>
      </c>
      <c r="W904" s="3"/>
    </row>
    <row r="905" spans="1:23" x14ac:dyDescent="0.25">
      <c r="A905" s="4">
        <v>17864888000103</v>
      </c>
      <c r="B905" s="8" t="s">
        <v>970</v>
      </c>
      <c r="C905" s="8" t="s">
        <v>112</v>
      </c>
      <c r="D905" s="7" t="s">
        <v>57</v>
      </c>
      <c r="E905" s="7" t="s">
        <v>215</v>
      </c>
      <c r="F905" s="6">
        <v>2</v>
      </c>
      <c r="G905" s="8" t="s">
        <v>157</v>
      </c>
      <c r="H905" s="8" t="s">
        <v>158</v>
      </c>
      <c r="I905" s="109" t="s">
        <v>557</v>
      </c>
      <c r="J905" s="8" t="s">
        <v>206</v>
      </c>
      <c r="K905" s="14" t="b">
        <v>0</v>
      </c>
      <c r="L905" s="14" t="b">
        <v>1</v>
      </c>
      <c r="M905" s="14" t="b">
        <v>1</v>
      </c>
      <c r="N905" s="14" t="b">
        <v>0</v>
      </c>
      <c r="O905" s="14" t="b">
        <v>1</v>
      </c>
      <c r="W905" s="3"/>
    </row>
    <row r="906" spans="1:23" x14ac:dyDescent="0.25">
      <c r="A906" s="4">
        <v>21998635000108</v>
      </c>
      <c r="B906" s="8" t="s">
        <v>971</v>
      </c>
      <c r="C906" s="8" t="s">
        <v>112</v>
      </c>
      <c r="D906" s="7" t="s">
        <v>57</v>
      </c>
      <c r="E906" s="7" t="s">
        <v>215</v>
      </c>
      <c r="F906" s="6">
        <v>2</v>
      </c>
      <c r="G906" s="8" t="s">
        <v>157</v>
      </c>
      <c r="H906" s="8" t="s">
        <v>158</v>
      </c>
      <c r="I906" s="109" t="s">
        <v>557</v>
      </c>
      <c r="J906" s="8" t="s">
        <v>206</v>
      </c>
      <c r="K906" s="14" t="b">
        <v>0</v>
      </c>
      <c r="L906" s="14" t="b">
        <v>1</v>
      </c>
      <c r="M906" s="14" t="b">
        <v>1</v>
      </c>
      <c r="N906" s="14" t="b">
        <v>0</v>
      </c>
      <c r="O906" s="14" t="b">
        <v>1</v>
      </c>
      <c r="W906" s="3"/>
    </row>
    <row r="907" spans="1:23" x14ac:dyDescent="0.25">
      <c r="A907" s="4">
        <v>23982118000168</v>
      </c>
      <c r="B907" s="8" t="s">
        <v>972</v>
      </c>
      <c r="C907" s="8" t="s">
        <v>930</v>
      </c>
      <c r="D907" s="7" t="s">
        <v>68</v>
      </c>
      <c r="E907" s="7" t="s">
        <v>215</v>
      </c>
      <c r="F907" s="6">
        <v>2</v>
      </c>
      <c r="G907" s="8" t="s">
        <v>157</v>
      </c>
      <c r="H907" s="8" t="s">
        <v>158</v>
      </c>
      <c r="I907" s="109" t="s">
        <v>557</v>
      </c>
      <c r="J907" s="8" t="s">
        <v>206</v>
      </c>
      <c r="K907" s="14" t="b">
        <v>0</v>
      </c>
      <c r="L907" s="14" t="b">
        <v>1</v>
      </c>
      <c r="M907" s="14" t="b">
        <v>1</v>
      </c>
      <c r="N907" s="14" t="b">
        <v>0</v>
      </c>
      <c r="O907" s="14" t="b">
        <v>1</v>
      </c>
      <c r="W907" s="3"/>
    </row>
    <row r="908" spans="1:23" x14ac:dyDescent="0.25">
      <c r="A908" s="4">
        <v>29435005005600</v>
      </c>
      <c r="B908" s="8" t="s">
        <v>974</v>
      </c>
      <c r="C908" s="8" t="s">
        <v>94</v>
      </c>
      <c r="D908" s="7" t="s">
        <v>57</v>
      </c>
      <c r="E908" s="7" t="s">
        <v>215</v>
      </c>
      <c r="F908" s="6">
        <v>2</v>
      </c>
      <c r="G908" s="8" t="s">
        <v>157</v>
      </c>
      <c r="H908" s="8" t="s">
        <v>158</v>
      </c>
      <c r="I908" s="109" t="s">
        <v>557</v>
      </c>
      <c r="J908" s="8" t="s">
        <v>206</v>
      </c>
      <c r="K908" s="14" t="b">
        <v>0</v>
      </c>
      <c r="L908" s="14" t="b">
        <v>1</v>
      </c>
      <c r="M908" s="14" t="b">
        <v>1</v>
      </c>
      <c r="N908" s="14" t="b">
        <v>0</v>
      </c>
      <c r="O908" s="14" t="b">
        <v>1</v>
      </c>
      <c r="W908" s="3"/>
    </row>
    <row r="909" spans="1:23" x14ac:dyDescent="0.25">
      <c r="A909" s="4">
        <v>30117769000155</v>
      </c>
      <c r="B909" s="8" t="s">
        <v>976</v>
      </c>
      <c r="C909" s="8" t="s">
        <v>94</v>
      </c>
      <c r="D909" s="7" t="s">
        <v>57</v>
      </c>
      <c r="E909" s="7" t="s">
        <v>215</v>
      </c>
      <c r="F909" s="6">
        <v>2</v>
      </c>
      <c r="G909" s="8" t="s">
        <v>157</v>
      </c>
      <c r="H909" s="8" t="s">
        <v>158</v>
      </c>
      <c r="I909" s="109" t="s">
        <v>557</v>
      </c>
      <c r="J909" s="8" t="s">
        <v>206</v>
      </c>
      <c r="K909" s="14" t="b">
        <v>0</v>
      </c>
      <c r="L909" s="14" t="b">
        <v>1</v>
      </c>
      <c r="M909" s="14" t="b">
        <v>1</v>
      </c>
      <c r="N909" s="14" t="b">
        <v>0</v>
      </c>
      <c r="O909" s="14" t="b">
        <v>1</v>
      </c>
      <c r="W909" s="3"/>
    </row>
    <row r="910" spans="1:23" x14ac:dyDescent="0.25">
      <c r="A910" s="4">
        <v>31824062000141</v>
      </c>
      <c r="B910" s="8" t="s">
        <v>1403</v>
      </c>
      <c r="C910" s="8" t="s">
        <v>94</v>
      </c>
      <c r="D910" s="7" t="s">
        <v>57</v>
      </c>
      <c r="E910" s="7" t="s">
        <v>215</v>
      </c>
      <c r="F910" s="6">
        <v>2</v>
      </c>
      <c r="G910" s="8" t="s">
        <v>157</v>
      </c>
      <c r="H910" s="8" t="s">
        <v>158</v>
      </c>
      <c r="I910" s="109" t="s">
        <v>557</v>
      </c>
      <c r="J910" s="8" t="s">
        <v>206</v>
      </c>
      <c r="K910" s="14" t="b">
        <v>0</v>
      </c>
      <c r="L910" s="14" t="b">
        <v>1</v>
      </c>
      <c r="M910" s="14" t="b">
        <v>1</v>
      </c>
      <c r="N910" s="14" t="b">
        <v>0</v>
      </c>
      <c r="O910" s="14" t="b">
        <v>1</v>
      </c>
      <c r="W910" s="3"/>
    </row>
    <row r="911" spans="1:23" x14ac:dyDescent="0.25">
      <c r="A911" s="4">
        <v>60922168005226</v>
      </c>
      <c r="B911" s="8" t="s">
        <v>977</v>
      </c>
      <c r="C911" s="8" t="s">
        <v>93</v>
      </c>
      <c r="D911" s="7" t="s">
        <v>68</v>
      </c>
      <c r="E911" s="7" t="s">
        <v>215</v>
      </c>
      <c r="F911" s="6">
        <v>2</v>
      </c>
      <c r="G911" s="8" t="s">
        <v>157</v>
      </c>
      <c r="H911" s="8" t="s">
        <v>158</v>
      </c>
      <c r="I911" s="109" t="s">
        <v>557</v>
      </c>
      <c r="J911" s="8" t="s">
        <v>206</v>
      </c>
      <c r="K911" s="14" t="b">
        <v>0</v>
      </c>
      <c r="L911" s="14" t="b">
        <v>1</v>
      </c>
      <c r="M911" s="14" t="b">
        <v>1</v>
      </c>
      <c r="N911" s="14" t="b">
        <v>0</v>
      </c>
      <c r="O911" s="14" t="b">
        <v>1</v>
      </c>
      <c r="W911" s="3"/>
    </row>
    <row r="912" spans="1:23" x14ac:dyDescent="0.25">
      <c r="A912" s="4">
        <v>73863342000109</v>
      </c>
      <c r="B912" s="8" t="s">
        <v>978</v>
      </c>
      <c r="C912" s="8" t="s">
        <v>121</v>
      </c>
      <c r="D912" s="7" t="s">
        <v>57</v>
      </c>
      <c r="E912" s="7" t="s">
        <v>215</v>
      </c>
      <c r="F912" s="6">
        <v>2</v>
      </c>
      <c r="G912" s="8" t="s">
        <v>157</v>
      </c>
      <c r="H912" s="8" t="s">
        <v>158</v>
      </c>
      <c r="I912" s="109" t="s">
        <v>557</v>
      </c>
      <c r="J912" s="8" t="s">
        <v>206</v>
      </c>
      <c r="K912" s="14" t="b">
        <v>0</v>
      </c>
      <c r="L912" s="14" t="b">
        <v>1</v>
      </c>
      <c r="M912" s="14" t="b">
        <v>1</v>
      </c>
      <c r="N912" s="14" t="b">
        <v>0</v>
      </c>
      <c r="O912" s="14" t="b">
        <v>1</v>
      </c>
      <c r="W912" s="3"/>
    </row>
    <row r="913" spans="1:23" x14ac:dyDescent="0.25">
      <c r="A913" s="4">
        <v>75055772002254</v>
      </c>
      <c r="B913" s="8" t="s">
        <v>979</v>
      </c>
      <c r="C913" s="8" t="s">
        <v>94</v>
      </c>
      <c r="D913" s="7" t="s">
        <v>57</v>
      </c>
      <c r="E913" s="7" t="s">
        <v>215</v>
      </c>
      <c r="F913" s="6">
        <v>2</v>
      </c>
      <c r="G913" s="8" t="s">
        <v>157</v>
      </c>
      <c r="H913" s="8" t="s">
        <v>158</v>
      </c>
      <c r="I913" s="109" t="s">
        <v>557</v>
      </c>
      <c r="J913" s="8" t="s">
        <v>206</v>
      </c>
      <c r="K913" s="14" t="b">
        <v>0</v>
      </c>
      <c r="L913" s="14" t="b">
        <v>1</v>
      </c>
      <c r="M913" s="14" t="b">
        <v>1</v>
      </c>
      <c r="N913" s="14" t="b">
        <v>0</v>
      </c>
      <c r="O913" s="14" t="b">
        <v>1</v>
      </c>
      <c r="W913" s="3"/>
    </row>
    <row r="914" spans="1:23" x14ac:dyDescent="0.25">
      <c r="A914" s="4">
        <v>75095679000220</v>
      </c>
      <c r="B914" s="8" t="s">
        <v>980</v>
      </c>
      <c r="C914" s="8" t="s">
        <v>94</v>
      </c>
      <c r="D914" s="7" t="s">
        <v>57</v>
      </c>
      <c r="E914" s="7" t="s">
        <v>215</v>
      </c>
      <c r="F914" s="6">
        <v>2</v>
      </c>
      <c r="G914" s="8" t="s">
        <v>157</v>
      </c>
      <c r="H914" s="8" t="s">
        <v>158</v>
      </c>
      <c r="I914" s="109" t="s">
        <v>557</v>
      </c>
      <c r="J914" s="8" t="s">
        <v>206</v>
      </c>
      <c r="K914" s="14" t="b">
        <v>0</v>
      </c>
      <c r="L914" s="14" t="b">
        <v>1</v>
      </c>
      <c r="M914" s="14" t="b">
        <v>1</v>
      </c>
      <c r="N914" s="14" t="b">
        <v>0</v>
      </c>
      <c r="O914" s="14" t="b">
        <v>1</v>
      </c>
      <c r="W914" s="3"/>
    </row>
    <row r="915" spans="1:23" x14ac:dyDescent="0.25">
      <c r="A915" s="4">
        <v>75222224001895</v>
      </c>
      <c r="B915" s="8" t="s">
        <v>981</v>
      </c>
      <c r="C915" s="8" t="s">
        <v>121</v>
      </c>
      <c r="D915" s="7" t="s">
        <v>57</v>
      </c>
      <c r="E915" s="7" t="s">
        <v>215</v>
      </c>
      <c r="F915" s="6">
        <v>2</v>
      </c>
      <c r="G915" s="8" t="s">
        <v>157</v>
      </c>
      <c r="H915" s="8" t="s">
        <v>158</v>
      </c>
      <c r="I915" s="109" t="s">
        <v>557</v>
      </c>
      <c r="J915" s="8" t="s">
        <v>206</v>
      </c>
      <c r="K915" s="14" t="b">
        <v>0</v>
      </c>
      <c r="L915" s="14" t="b">
        <v>1</v>
      </c>
      <c r="M915" s="14" t="b">
        <v>1</v>
      </c>
      <c r="N915" s="14" t="b">
        <v>0</v>
      </c>
      <c r="O915" s="14" t="b">
        <v>1</v>
      </c>
      <c r="W915" s="3"/>
    </row>
    <row r="916" spans="1:23" x14ac:dyDescent="0.25">
      <c r="A916" s="4">
        <v>76081892000164</v>
      </c>
      <c r="B916" s="8" t="s">
        <v>1347</v>
      </c>
      <c r="C916" s="8" t="s">
        <v>112</v>
      </c>
      <c r="D916" s="7" t="s">
        <v>57</v>
      </c>
      <c r="E916" s="7" t="s">
        <v>215</v>
      </c>
      <c r="F916" s="6">
        <v>2</v>
      </c>
      <c r="G916" s="8" t="s">
        <v>157</v>
      </c>
      <c r="H916" s="8" t="s">
        <v>158</v>
      </c>
      <c r="I916" s="109" t="s">
        <v>557</v>
      </c>
      <c r="J916" s="8" t="s">
        <v>206</v>
      </c>
      <c r="K916" s="14" t="b">
        <v>0</v>
      </c>
      <c r="L916" s="14" t="b">
        <v>1</v>
      </c>
      <c r="M916" s="14" t="b">
        <v>1</v>
      </c>
      <c r="N916" s="14" t="b">
        <v>0</v>
      </c>
      <c r="O916" s="14" t="b">
        <v>1</v>
      </c>
      <c r="W916" s="3"/>
    </row>
    <row r="917" spans="1:23" x14ac:dyDescent="0.25">
      <c r="A917" s="4">
        <v>76498013000102</v>
      </c>
      <c r="B917" s="8" t="s">
        <v>982</v>
      </c>
      <c r="C917" s="8" t="s">
        <v>94</v>
      </c>
      <c r="D917" s="7" t="s">
        <v>57</v>
      </c>
      <c r="E917" s="7" t="s">
        <v>215</v>
      </c>
      <c r="F917" s="6">
        <v>2</v>
      </c>
      <c r="G917" s="8" t="s">
        <v>157</v>
      </c>
      <c r="H917" s="8" t="s">
        <v>158</v>
      </c>
      <c r="I917" s="109" t="s">
        <v>557</v>
      </c>
      <c r="J917" s="8" t="s">
        <v>206</v>
      </c>
      <c r="K917" s="14" t="b">
        <v>0</v>
      </c>
      <c r="L917" s="14" t="b">
        <v>1</v>
      </c>
      <c r="M917" s="14" t="b">
        <v>1</v>
      </c>
      <c r="N917" s="14" t="b">
        <v>0</v>
      </c>
      <c r="O917" s="14" t="b">
        <v>1</v>
      </c>
      <c r="W917" s="3"/>
    </row>
    <row r="918" spans="1:23" x14ac:dyDescent="0.25">
      <c r="A918" s="4">
        <v>76555069000143</v>
      </c>
      <c r="B918" s="8" t="s">
        <v>983</v>
      </c>
      <c r="C918" s="8" t="s">
        <v>94</v>
      </c>
      <c r="D918" s="7" t="s">
        <v>57</v>
      </c>
      <c r="E918" s="7" t="s">
        <v>215</v>
      </c>
      <c r="F918" s="6">
        <v>2</v>
      </c>
      <c r="G918" s="8" t="s">
        <v>157</v>
      </c>
      <c r="H918" s="8" t="s">
        <v>158</v>
      </c>
      <c r="I918" s="109" t="s">
        <v>557</v>
      </c>
      <c r="J918" s="8" t="s">
        <v>206</v>
      </c>
      <c r="K918" s="14" t="b">
        <v>0</v>
      </c>
      <c r="L918" s="14" t="b">
        <v>1</v>
      </c>
      <c r="M918" s="14" t="b">
        <v>1</v>
      </c>
      <c r="N918" s="14" t="b">
        <v>0</v>
      </c>
      <c r="O918" s="14" t="b">
        <v>1</v>
      </c>
      <c r="W918" s="3"/>
    </row>
    <row r="919" spans="1:23" x14ac:dyDescent="0.25">
      <c r="A919" s="4">
        <v>76562198000169</v>
      </c>
      <c r="B919" s="8" t="s">
        <v>984</v>
      </c>
      <c r="C919" s="8" t="s">
        <v>94</v>
      </c>
      <c r="D919" s="7" t="s">
        <v>57</v>
      </c>
      <c r="E919" s="7" t="s">
        <v>215</v>
      </c>
      <c r="F919" s="6">
        <v>2</v>
      </c>
      <c r="G919" s="8" t="s">
        <v>157</v>
      </c>
      <c r="H919" s="8" t="s">
        <v>158</v>
      </c>
      <c r="I919" s="109" t="s">
        <v>557</v>
      </c>
      <c r="J919" s="8" t="s">
        <v>206</v>
      </c>
      <c r="K919" s="14" t="b">
        <v>0</v>
      </c>
      <c r="L919" s="14" t="b">
        <v>1</v>
      </c>
      <c r="M919" s="14" t="b">
        <v>1</v>
      </c>
      <c r="N919" s="14" t="b">
        <v>0</v>
      </c>
      <c r="O919" s="14" t="b">
        <v>1</v>
      </c>
      <c r="W919" s="3"/>
    </row>
    <row r="920" spans="1:23" x14ac:dyDescent="0.25">
      <c r="A920" s="4">
        <v>76591569000130</v>
      </c>
      <c r="B920" s="8" t="s">
        <v>985</v>
      </c>
      <c r="C920" s="8" t="s">
        <v>94</v>
      </c>
      <c r="D920" s="7" t="s">
        <v>57</v>
      </c>
      <c r="E920" s="7" t="s">
        <v>215</v>
      </c>
      <c r="F920" s="6">
        <v>2</v>
      </c>
      <c r="G920" s="8" t="s">
        <v>157</v>
      </c>
      <c r="H920" s="8" t="s">
        <v>158</v>
      </c>
      <c r="I920" s="109" t="s">
        <v>557</v>
      </c>
      <c r="J920" s="8" t="s">
        <v>206</v>
      </c>
      <c r="K920" s="14" t="b">
        <v>0</v>
      </c>
      <c r="L920" s="14" t="b">
        <v>1</v>
      </c>
      <c r="M920" s="14" t="b">
        <v>1</v>
      </c>
      <c r="N920" s="14" t="b">
        <v>0</v>
      </c>
      <c r="O920" s="14" t="b">
        <v>1</v>
      </c>
      <c r="W920" s="3"/>
    </row>
    <row r="921" spans="1:23" x14ac:dyDescent="0.25">
      <c r="A921" s="4">
        <v>76659820002367</v>
      </c>
      <c r="B921" s="8" t="s">
        <v>986</v>
      </c>
      <c r="C921" s="8" t="s">
        <v>94</v>
      </c>
      <c r="D921" s="7" t="s">
        <v>57</v>
      </c>
      <c r="E921" s="7" t="s">
        <v>215</v>
      </c>
      <c r="F921" s="6">
        <v>2</v>
      </c>
      <c r="G921" s="8" t="s">
        <v>157</v>
      </c>
      <c r="H921" s="8" t="s">
        <v>158</v>
      </c>
      <c r="I921" s="109" t="s">
        <v>557</v>
      </c>
      <c r="J921" s="8" t="s">
        <v>206</v>
      </c>
      <c r="K921" s="14" t="b">
        <v>0</v>
      </c>
      <c r="L921" s="14" t="b">
        <v>1</v>
      </c>
      <c r="M921" s="14" t="b">
        <v>1</v>
      </c>
      <c r="N921" s="14" t="b">
        <v>0</v>
      </c>
      <c r="O921" s="14" t="b">
        <v>1</v>
      </c>
      <c r="W921" s="3"/>
    </row>
    <row r="922" spans="1:23" x14ac:dyDescent="0.25">
      <c r="A922" s="4">
        <v>77265361000194</v>
      </c>
      <c r="B922" s="8" t="s">
        <v>987</v>
      </c>
      <c r="C922" s="8" t="s">
        <v>988</v>
      </c>
      <c r="D922" s="7" t="s">
        <v>57</v>
      </c>
      <c r="E922" s="7" t="s">
        <v>215</v>
      </c>
      <c r="F922" s="6">
        <v>2</v>
      </c>
      <c r="G922" s="8" t="s">
        <v>157</v>
      </c>
      <c r="H922" s="8" t="s">
        <v>158</v>
      </c>
      <c r="I922" s="109" t="s">
        <v>557</v>
      </c>
      <c r="J922" s="8" t="s">
        <v>206</v>
      </c>
      <c r="K922" s="14" t="b">
        <v>0</v>
      </c>
      <c r="L922" s="14" t="b">
        <v>1</v>
      </c>
      <c r="M922" s="14" t="b">
        <v>1</v>
      </c>
      <c r="N922" s="14" t="b">
        <v>0</v>
      </c>
      <c r="O922" s="14" t="b">
        <v>1</v>
      </c>
      <c r="W922" s="3"/>
    </row>
    <row r="923" spans="1:23" x14ac:dyDescent="0.25">
      <c r="A923" s="4">
        <v>77781706000243</v>
      </c>
      <c r="B923" s="8" t="s">
        <v>989</v>
      </c>
      <c r="C923" s="8" t="s">
        <v>990</v>
      </c>
      <c r="D923" s="7" t="s">
        <v>57</v>
      </c>
      <c r="E923" s="7" t="s">
        <v>215</v>
      </c>
      <c r="F923" s="6">
        <v>2</v>
      </c>
      <c r="G923" s="8" t="s">
        <v>157</v>
      </c>
      <c r="H923" s="8" t="s">
        <v>158</v>
      </c>
      <c r="I923" s="109" t="s">
        <v>557</v>
      </c>
      <c r="J923" s="8" t="s">
        <v>206</v>
      </c>
      <c r="K923" s="14" t="b">
        <v>0</v>
      </c>
      <c r="L923" s="14" t="b">
        <v>1</v>
      </c>
      <c r="M923" s="14" t="b">
        <v>1</v>
      </c>
      <c r="N923" s="14" t="b">
        <v>0</v>
      </c>
      <c r="O923" s="14" t="b">
        <v>1</v>
      </c>
      <c r="W923" s="3"/>
    </row>
    <row r="924" spans="1:23" x14ac:dyDescent="0.25">
      <c r="A924" s="4">
        <v>77858611001414</v>
      </c>
      <c r="B924" s="8" t="s">
        <v>991</v>
      </c>
      <c r="C924" s="8" t="s">
        <v>969</v>
      </c>
      <c r="D924" s="7" t="s">
        <v>68</v>
      </c>
      <c r="E924" s="7" t="s">
        <v>215</v>
      </c>
      <c r="F924" s="6">
        <v>2</v>
      </c>
      <c r="G924" s="8" t="s">
        <v>157</v>
      </c>
      <c r="H924" s="8" t="s">
        <v>158</v>
      </c>
      <c r="I924" s="109" t="s">
        <v>557</v>
      </c>
      <c r="J924" s="8" t="s">
        <v>206</v>
      </c>
      <c r="K924" s="14" t="b">
        <v>0</v>
      </c>
      <c r="L924" s="14" t="b">
        <v>1</v>
      </c>
      <c r="M924" s="14" t="b">
        <v>1</v>
      </c>
      <c r="N924" s="14" t="b">
        <v>0</v>
      </c>
      <c r="O924" s="14" t="b">
        <v>1</v>
      </c>
      <c r="W924" s="3"/>
    </row>
    <row r="925" spans="1:23" x14ac:dyDescent="0.25">
      <c r="A925" s="4">
        <v>78044815000240</v>
      </c>
      <c r="B925" s="8" t="s">
        <v>992</v>
      </c>
      <c r="C925" s="8" t="s">
        <v>993</v>
      </c>
      <c r="D925" s="7" t="s">
        <v>57</v>
      </c>
      <c r="E925" s="7" t="s">
        <v>215</v>
      </c>
      <c r="F925" s="6">
        <v>2</v>
      </c>
      <c r="G925" s="8" t="s">
        <v>157</v>
      </c>
      <c r="H925" s="8" t="s">
        <v>158</v>
      </c>
      <c r="I925" s="109" t="s">
        <v>557</v>
      </c>
      <c r="J925" s="8" t="s">
        <v>206</v>
      </c>
      <c r="K925" s="14" t="b">
        <v>0</v>
      </c>
      <c r="L925" s="14" t="b">
        <v>1</v>
      </c>
      <c r="M925" s="14" t="b">
        <v>1</v>
      </c>
      <c r="N925" s="14" t="b">
        <v>0</v>
      </c>
      <c r="O925" s="14" t="b">
        <v>1</v>
      </c>
      <c r="W925" s="3"/>
    </row>
    <row r="926" spans="1:23" x14ac:dyDescent="0.25">
      <c r="A926" s="4">
        <v>78614971000119</v>
      </c>
      <c r="B926" s="8" t="s">
        <v>994</v>
      </c>
      <c r="C926" s="8" t="s">
        <v>121</v>
      </c>
      <c r="D926" s="7" t="s">
        <v>57</v>
      </c>
      <c r="E926" s="7" t="s">
        <v>215</v>
      </c>
      <c r="F926" s="6">
        <v>2</v>
      </c>
      <c r="G926" s="8" t="s">
        <v>157</v>
      </c>
      <c r="H926" s="8" t="s">
        <v>158</v>
      </c>
      <c r="I926" s="109" t="s">
        <v>557</v>
      </c>
      <c r="J926" s="8" t="s">
        <v>206</v>
      </c>
      <c r="K926" s="14" t="b">
        <v>0</v>
      </c>
      <c r="L926" s="14" t="b">
        <v>1</v>
      </c>
      <c r="M926" s="14" t="b">
        <v>1</v>
      </c>
      <c r="N926" s="14" t="b">
        <v>0</v>
      </c>
      <c r="O926" s="14" t="b">
        <v>1</v>
      </c>
      <c r="W926" s="3"/>
    </row>
    <row r="927" spans="1:23" x14ac:dyDescent="0.25">
      <c r="A927" s="4">
        <v>78633088000176</v>
      </c>
      <c r="B927" s="8" t="s">
        <v>995</v>
      </c>
      <c r="C927" s="8" t="s">
        <v>121</v>
      </c>
      <c r="D927" s="7" t="s">
        <v>57</v>
      </c>
      <c r="E927" s="7" t="s">
        <v>215</v>
      </c>
      <c r="F927" s="6">
        <v>2</v>
      </c>
      <c r="G927" s="8" t="s">
        <v>157</v>
      </c>
      <c r="H927" s="8" t="s">
        <v>158</v>
      </c>
      <c r="I927" s="109" t="s">
        <v>557</v>
      </c>
      <c r="J927" s="8" t="s">
        <v>206</v>
      </c>
      <c r="K927" s="14" t="b">
        <v>0</v>
      </c>
      <c r="L927" s="14" t="b">
        <v>1</v>
      </c>
      <c r="M927" s="14" t="b">
        <v>1</v>
      </c>
      <c r="N927" s="14" t="b">
        <v>0</v>
      </c>
      <c r="O927" s="14" t="b">
        <v>1</v>
      </c>
      <c r="W927" s="3"/>
    </row>
    <row r="928" spans="1:23" x14ac:dyDescent="0.25">
      <c r="A928" s="4">
        <v>79115762000193</v>
      </c>
      <c r="B928" s="8" t="s">
        <v>996</v>
      </c>
      <c r="C928" s="8" t="s">
        <v>988</v>
      </c>
      <c r="D928" s="7" t="s">
        <v>57</v>
      </c>
      <c r="E928" s="7" t="s">
        <v>215</v>
      </c>
      <c r="F928" s="6">
        <v>2</v>
      </c>
      <c r="G928" s="8" t="s">
        <v>157</v>
      </c>
      <c r="H928" s="8" t="s">
        <v>158</v>
      </c>
      <c r="I928" s="109" t="s">
        <v>557</v>
      </c>
      <c r="J928" s="8" t="s">
        <v>206</v>
      </c>
      <c r="K928" s="14" t="b">
        <v>0</v>
      </c>
      <c r="L928" s="14" t="b">
        <v>1</v>
      </c>
      <c r="M928" s="14" t="b">
        <v>1</v>
      </c>
      <c r="N928" s="14" t="b">
        <v>0</v>
      </c>
      <c r="O928" s="14" t="b">
        <v>1</v>
      </c>
      <c r="W928" s="3"/>
    </row>
    <row r="929" spans="1:23" x14ac:dyDescent="0.25">
      <c r="A929" s="4">
        <v>80490618000116</v>
      </c>
      <c r="B929" s="8" t="s">
        <v>997</v>
      </c>
      <c r="C929" s="8" t="s">
        <v>998</v>
      </c>
      <c r="D929" s="7" t="s">
        <v>68</v>
      </c>
      <c r="E929" s="7" t="s">
        <v>215</v>
      </c>
      <c r="F929" s="6">
        <v>2</v>
      </c>
      <c r="G929" s="8" t="s">
        <v>157</v>
      </c>
      <c r="H929" s="8" t="s">
        <v>158</v>
      </c>
      <c r="I929" s="109" t="s">
        <v>557</v>
      </c>
      <c r="J929" s="8" t="s">
        <v>206</v>
      </c>
      <c r="K929" s="14" t="b">
        <v>0</v>
      </c>
      <c r="L929" s="14" t="b">
        <v>1</v>
      </c>
      <c r="M929" s="14" t="b">
        <v>1</v>
      </c>
      <c r="N929" s="14" t="b">
        <v>0</v>
      </c>
      <c r="O929" s="14" t="b">
        <v>1</v>
      </c>
      <c r="W929" s="3"/>
    </row>
    <row r="930" spans="1:23" x14ac:dyDescent="0.25">
      <c r="A930" s="4">
        <v>80673411000187</v>
      </c>
      <c r="B930" s="8" t="s">
        <v>999</v>
      </c>
      <c r="C930" s="8" t="s">
        <v>930</v>
      </c>
      <c r="D930" s="7" t="s">
        <v>68</v>
      </c>
      <c r="E930" s="7" t="s">
        <v>215</v>
      </c>
      <c r="F930" s="6">
        <v>2</v>
      </c>
      <c r="G930" s="8" t="s">
        <v>157</v>
      </c>
      <c r="H930" s="8" t="s">
        <v>158</v>
      </c>
      <c r="I930" s="109" t="s">
        <v>557</v>
      </c>
      <c r="J930" s="8" t="s">
        <v>206</v>
      </c>
      <c r="K930" s="14" t="b">
        <v>0</v>
      </c>
      <c r="L930" s="14" t="b">
        <v>1</v>
      </c>
      <c r="M930" s="14" t="b">
        <v>1</v>
      </c>
      <c r="N930" s="14" t="b">
        <v>0</v>
      </c>
      <c r="O930" s="14" t="b">
        <v>1</v>
      </c>
      <c r="W930" s="3"/>
    </row>
    <row r="931" spans="1:23" x14ac:dyDescent="0.25">
      <c r="A931" s="4">
        <v>81170003000256</v>
      </c>
      <c r="B931" s="8" t="s">
        <v>1000</v>
      </c>
      <c r="C931" s="8" t="s">
        <v>112</v>
      </c>
      <c r="D931" s="7" t="s">
        <v>57</v>
      </c>
      <c r="E931" s="7" t="s">
        <v>215</v>
      </c>
      <c r="F931" s="6">
        <v>2</v>
      </c>
      <c r="G931" s="8" t="s">
        <v>157</v>
      </c>
      <c r="H931" s="8" t="s">
        <v>158</v>
      </c>
      <c r="I931" s="109" t="s">
        <v>557</v>
      </c>
      <c r="J931" s="8" t="s">
        <v>206</v>
      </c>
      <c r="K931" s="14" t="b">
        <v>0</v>
      </c>
      <c r="L931" s="14" t="b">
        <v>1</v>
      </c>
      <c r="M931" s="14" t="b">
        <v>1</v>
      </c>
      <c r="N931" s="14" t="b">
        <v>0</v>
      </c>
      <c r="O931" s="14" t="b">
        <v>1</v>
      </c>
      <c r="W931" s="3"/>
    </row>
    <row r="932" spans="1:23" x14ac:dyDescent="0.25">
      <c r="A932" s="4">
        <v>81270548000153</v>
      </c>
      <c r="B932" s="8" t="s">
        <v>1002</v>
      </c>
      <c r="C932" s="8" t="s">
        <v>112</v>
      </c>
      <c r="D932" s="7" t="s">
        <v>57</v>
      </c>
      <c r="E932" s="7" t="s">
        <v>215</v>
      </c>
      <c r="F932" s="6">
        <v>2</v>
      </c>
      <c r="G932" s="8" t="s">
        <v>157</v>
      </c>
      <c r="H932" s="8" t="s">
        <v>158</v>
      </c>
      <c r="I932" s="109" t="s">
        <v>557</v>
      </c>
      <c r="J932" s="8" t="s">
        <v>206</v>
      </c>
      <c r="K932" s="14" t="b">
        <v>0</v>
      </c>
      <c r="L932" s="14" t="b">
        <v>1</v>
      </c>
      <c r="M932" s="14" t="b">
        <v>1</v>
      </c>
      <c r="N932" s="14" t="b">
        <v>0</v>
      </c>
      <c r="O932" s="14" t="b">
        <v>1</v>
      </c>
      <c r="W932" s="3"/>
    </row>
    <row r="933" spans="1:23" x14ac:dyDescent="0.25">
      <c r="A933" s="4">
        <v>81715716000410</v>
      </c>
      <c r="B933" s="8" t="s">
        <v>1003</v>
      </c>
      <c r="C933" s="8" t="s">
        <v>1004</v>
      </c>
      <c r="D933" s="7" t="s">
        <v>57</v>
      </c>
      <c r="E933" s="7" t="s">
        <v>215</v>
      </c>
      <c r="F933" s="6">
        <v>2</v>
      </c>
      <c r="G933" s="8" t="s">
        <v>157</v>
      </c>
      <c r="H933" s="8" t="s">
        <v>158</v>
      </c>
      <c r="I933" s="109" t="s">
        <v>557</v>
      </c>
      <c r="J933" s="8" t="s">
        <v>206</v>
      </c>
      <c r="K933" s="14" t="b">
        <v>0</v>
      </c>
      <c r="L933" s="14" t="b">
        <v>1</v>
      </c>
      <c r="M933" s="14" t="b">
        <v>1</v>
      </c>
      <c r="N933" s="14" t="b">
        <v>0</v>
      </c>
      <c r="O933" s="14" t="b">
        <v>1</v>
      </c>
      <c r="W933" s="3"/>
    </row>
    <row r="934" spans="1:23" x14ac:dyDescent="0.25">
      <c r="A934" s="4">
        <v>81733115000197</v>
      </c>
      <c r="B934" s="8" t="s">
        <v>1005</v>
      </c>
      <c r="C934" s="8" t="s">
        <v>1006</v>
      </c>
      <c r="D934" s="7" t="s">
        <v>57</v>
      </c>
      <c r="E934" s="7" t="s">
        <v>215</v>
      </c>
      <c r="F934" s="6">
        <v>2</v>
      </c>
      <c r="G934" s="8" t="s">
        <v>157</v>
      </c>
      <c r="H934" s="8" t="s">
        <v>158</v>
      </c>
      <c r="I934" s="109" t="s">
        <v>557</v>
      </c>
      <c r="J934" s="8" t="s">
        <v>206</v>
      </c>
      <c r="K934" s="14" t="b">
        <v>0</v>
      </c>
      <c r="L934" s="14" t="b">
        <v>1</v>
      </c>
      <c r="M934" s="14" t="b">
        <v>1</v>
      </c>
      <c r="N934" s="14" t="b">
        <v>0</v>
      </c>
      <c r="O934" s="14" t="b">
        <v>1</v>
      </c>
      <c r="W934" s="3"/>
    </row>
    <row r="935" spans="1:23" x14ac:dyDescent="0.25">
      <c r="A935" s="4">
        <v>82602327000360</v>
      </c>
      <c r="B935" s="8" t="s">
        <v>1236</v>
      </c>
      <c r="C935" s="8" t="s">
        <v>125</v>
      </c>
      <c r="D935" s="7" t="s">
        <v>68</v>
      </c>
      <c r="E935" s="7" t="s">
        <v>215</v>
      </c>
      <c r="F935" s="6">
        <v>2</v>
      </c>
      <c r="G935" s="8" t="s">
        <v>157</v>
      </c>
      <c r="H935" s="8" t="s">
        <v>158</v>
      </c>
      <c r="I935" s="109" t="s">
        <v>557</v>
      </c>
      <c r="J935" s="8" t="s">
        <v>206</v>
      </c>
      <c r="K935" s="14" t="b">
        <v>0</v>
      </c>
      <c r="L935" s="14" t="b">
        <v>1</v>
      </c>
      <c r="M935" s="14" t="b">
        <v>1</v>
      </c>
      <c r="N935" s="14" t="b">
        <v>0</v>
      </c>
      <c r="O935" s="14" t="b">
        <v>1</v>
      </c>
      <c r="W935" s="3"/>
    </row>
    <row r="936" spans="1:23" x14ac:dyDescent="0.25">
      <c r="A936" s="4">
        <v>82624776000651</v>
      </c>
      <c r="B936" s="8" t="s">
        <v>1007</v>
      </c>
      <c r="C936" s="8" t="s">
        <v>93</v>
      </c>
      <c r="D936" s="7" t="s">
        <v>68</v>
      </c>
      <c r="E936" s="7" t="s">
        <v>215</v>
      </c>
      <c r="F936" s="6">
        <v>2</v>
      </c>
      <c r="G936" s="8" t="s">
        <v>157</v>
      </c>
      <c r="H936" s="8" t="s">
        <v>158</v>
      </c>
      <c r="I936" s="109" t="s">
        <v>557</v>
      </c>
      <c r="J936" s="8" t="s">
        <v>206</v>
      </c>
      <c r="K936" s="14" t="b">
        <v>0</v>
      </c>
      <c r="L936" s="14" t="b">
        <v>1</v>
      </c>
      <c r="M936" s="14" t="b">
        <v>1</v>
      </c>
      <c r="N936" s="14" t="b">
        <v>0</v>
      </c>
      <c r="O936" s="14" t="b">
        <v>1</v>
      </c>
      <c r="W936" s="3"/>
    </row>
    <row r="937" spans="1:23" x14ac:dyDescent="0.25">
      <c r="A937" s="4">
        <v>82654088000120</v>
      </c>
      <c r="B937" s="8" t="s">
        <v>1008</v>
      </c>
      <c r="C937" s="8" t="s">
        <v>93</v>
      </c>
      <c r="D937" s="7" t="s">
        <v>68</v>
      </c>
      <c r="E937" s="7" t="s">
        <v>215</v>
      </c>
      <c r="F937" s="6">
        <v>2</v>
      </c>
      <c r="G937" s="8" t="s">
        <v>157</v>
      </c>
      <c r="H937" s="8" t="s">
        <v>158</v>
      </c>
      <c r="I937" s="109" t="s">
        <v>557</v>
      </c>
      <c r="J937" s="8" t="s">
        <v>206</v>
      </c>
      <c r="K937" s="14" t="b">
        <v>0</v>
      </c>
      <c r="L937" s="14" t="b">
        <v>1</v>
      </c>
      <c r="M937" s="14" t="b">
        <v>1</v>
      </c>
      <c r="N937" s="14" t="b">
        <v>0</v>
      </c>
      <c r="O937" s="14" t="b">
        <v>1</v>
      </c>
      <c r="W937" s="3"/>
    </row>
    <row r="938" spans="1:23" x14ac:dyDescent="0.25">
      <c r="A938" s="4">
        <v>83884999000106</v>
      </c>
      <c r="B938" s="8" t="s">
        <v>1009</v>
      </c>
      <c r="C938" s="8" t="s">
        <v>930</v>
      </c>
      <c r="D938" s="7" t="s">
        <v>68</v>
      </c>
      <c r="E938" s="7" t="s">
        <v>215</v>
      </c>
      <c r="F938" s="6">
        <v>2</v>
      </c>
      <c r="G938" s="8" t="s">
        <v>157</v>
      </c>
      <c r="H938" s="8" t="s">
        <v>158</v>
      </c>
      <c r="I938" s="109" t="s">
        <v>557</v>
      </c>
      <c r="J938" s="8" t="s">
        <v>206</v>
      </c>
      <c r="K938" s="14" t="b">
        <v>0</v>
      </c>
      <c r="L938" s="14" t="b">
        <v>1</v>
      </c>
      <c r="M938" s="14" t="b">
        <v>1</v>
      </c>
      <c r="N938" s="14" t="b">
        <v>0</v>
      </c>
      <c r="O938" s="14" t="b">
        <v>1</v>
      </c>
      <c r="W938" s="3"/>
    </row>
    <row r="939" spans="1:23" x14ac:dyDescent="0.25">
      <c r="A939" s="4">
        <v>83899526000425</v>
      </c>
      <c r="B939" s="8" t="s">
        <v>1010</v>
      </c>
      <c r="C939" s="8" t="s">
        <v>930</v>
      </c>
      <c r="D939" s="7" t="s">
        <v>68</v>
      </c>
      <c r="E939" s="7" t="s">
        <v>215</v>
      </c>
      <c r="F939" s="6">
        <v>2</v>
      </c>
      <c r="G939" s="8" t="s">
        <v>157</v>
      </c>
      <c r="H939" s="8" t="s">
        <v>158</v>
      </c>
      <c r="I939" s="109" t="s">
        <v>557</v>
      </c>
      <c r="J939" s="8" t="s">
        <v>206</v>
      </c>
      <c r="K939" s="14" t="b">
        <v>0</v>
      </c>
      <c r="L939" s="14" t="b">
        <v>1</v>
      </c>
      <c r="M939" s="14" t="b">
        <v>1</v>
      </c>
      <c r="N939" s="14" t="b">
        <v>0</v>
      </c>
      <c r="O939" s="14" t="b">
        <v>1</v>
      </c>
      <c r="W939" s="3"/>
    </row>
    <row r="940" spans="1:23" x14ac:dyDescent="0.25">
      <c r="A940" s="4">
        <v>85241339000809</v>
      </c>
      <c r="B940" s="8" t="s">
        <v>1011</v>
      </c>
      <c r="C940" s="8" t="s">
        <v>998</v>
      </c>
      <c r="D940" s="7" t="s">
        <v>68</v>
      </c>
      <c r="E940" s="7" t="s">
        <v>215</v>
      </c>
      <c r="F940" s="6">
        <v>2</v>
      </c>
      <c r="G940" s="8" t="s">
        <v>157</v>
      </c>
      <c r="H940" s="8" t="s">
        <v>158</v>
      </c>
      <c r="I940" s="109" t="s">
        <v>557</v>
      </c>
      <c r="J940" s="8" t="s">
        <v>206</v>
      </c>
      <c r="K940" s="14" t="b">
        <v>0</v>
      </c>
      <c r="L940" s="14" t="b">
        <v>1</v>
      </c>
      <c r="M940" s="14" t="b">
        <v>1</v>
      </c>
      <c r="N940" s="14" t="b">
        <v>0</v>
      </c>
      <c r="O940" s="14" t="b">
        <v>1</v>
      </c>
      <c r="W940" s="3"/>
    </row>
    <row r="941" spans="1:23" x14ac:dyDescent="0.25">
      <c r="A941" s="4">
        <v>85377174000392</v>
      </c>
      <c r="B941" s="8" t="s">
        <v>1012</v>
      </c>
      <c r="C941" s="8" t="s">
        <v>938</v>
      </c>
      <c r="D941" s="7" t="s">
        <v>68</v>
      </c>
      <c r="E941" s="7" t="s">
        <v>215</v>
      </c>
      <c r="F941" s="6">
        <v>2</v>
      </c>
      <c r="G941" s="8" t="s">
        <v>157</v>
      </c>
      <c r="H941" s="8" t="s">
        <v>158</v>
      </c>
      <c r="I941" s="109" t="s">
        <v>557</v>
      </c>
      <c r="J941" s="8" t="s">
        <v>206</v>
      </c>
      <c r="K941" s="14" t="b">
        <v>0</v>
      </c>
      <c r="L941" s="14" t="b">
        <v>1</v>
      </c>
      <c r="M941" s="14" t="b">
        <v>1</v>
      </c>
      <c r="N941" s="14" t="b">
        <v>0</v>
      </c>
      <c r="O941" s="14" t="b">
        <v>1</v>
      </c>
      <c r="W941" s="3"/>
    </row>
    <row r="942" spans="1:23" x14ac:dyDescent="0.25">
      <c r="A942" s="4">
        <v>82854246004</v>
      </c>
      <c r="B942" s="8" t="s">
        <v>931</v>
      </c>
      <c r="C942" s="8" t="s">
        <v>83</v>
      </c>
      <c r="D942" s="7" t="s">
        <v>67</v>
      </c>
      <c r="E942" s="7" t="s">
        <v>215</v>
      </c>
      <c r="F942" s="6">
        <v>2</v>
      </c>
      <c r="G942" s="8" t="s">
        <v>144</v>
      </c>
      <c r="H942" s="8" t="s">
        <v>145</v>
      </c>
      <c r="I942" s="109" t="s">
        <v>557</v>
      </c>
      <c r="J942" s="8" t="s">
        <v>206</v>
      </c>
      <c r="K942" s="14" t="b">
        <v>0</v>
      </c>
      <c r="L942" s="14" t="b">
        <v>1</v>
      </c>
      <c r="M942" s="14" t="b">
        <v>1</v>
      </c>
      <c r="N942" s="14" t="b">
        <v>0</v>
      </c>
      <c r="O942" s="14" t="b">
        <v>1</v>
      </c>
      <c r="W942" s="3"/>
    </row>
    <row r="943" spans="1:23" x14ac:dyDescent="0.25">
      <c r="A943" s="4">
        <v>437007000175</v>
      </c>
      <c r="B943" s="8" t="s">
        <v>1038</v>
      </c>
      <c r="C943" s="8" t="s">
        <v>1039</v>
      </c>
      <c r="D943" s="7" t="s">
        <v>61</v>
      </c>
      <c r="E943" s="7" t="s">
        <v>215</v>
      </c>
      <c r="F943" s="6">
        <v>2</v>
      </c>
      <c r="G943" s="8" t="s">
        <v>155</v>
      </c>
      <c r="H943" s="8" t="s">
        <v>156</v>
      </c>
      <c r="I943" s="109" t="s">
        <v>556</v>
      </c>
      <c r="J943" s="8" t="s">
        <v>206</v>
      </c>
      <c r="K943" s="14" t="b">
        <v>1</v>
      </c>
      <c r="L943" s="14" t="b">
        <v>0</v>
      </c>
      <c r="M943" s="14" t="b">
        <v>0</v>
      </c>
      <c r="N943" s="14" t="b">
        <v>1</v>
      </c>
      <c r="O943" s="14" t="b">
        <v>1</v>
      </c>
      <c r="W943" s="3"/>
    </row>
    <row r="944" spans="1:23" x14ac:dyDescent="0.25">
      <c r="A944" s="4">
        <v>437007000175</v>
      </c>
      <c r="B944" s="8" t="s">
        <v>1038</v>
      </c>
      <c r="C944" s="8" t="s">
        <v>1039</v>
      </c>
      <c r="D944" s="7" t="s">
        <v>61</v>
      </c>
      <c r="E944" s="7" t="s">
        <v>215</v>
      </c>
      <c r="F944" s="6">
        <v>2</v>
      </c>
      <c r="G944" s="8" t="s">
        <v>181</v>
      </c>
      <c r="H944" s="8" t="s">
        <v>182</v>
      </c>
      <c r="I944" s="109" t="s">
        <v>557</v>
      </c>
      <c r="J944" s="8" t="s">
        <v>206</v>
      </c>
      <c r="K944" s="14" t="b">
        <v>0</v>
      </c>
      <c r="L944" s="14" t="b">
        <v>1</v>
      </c>
      <c r="M944" s="14" t="b">
        <v>1</v>
      </c>
      <c r="N944" s="14" t="b">
        <v>0</v>
      </c>
      <c r="O944" s="14" t="b">
        <v>1</v>
      </c>
      <c r="W944" s="3"/>
    </row>
    <row r="945" spans="1:23" x14ac:dyDescent="0.25">
      <c r="A945" s="4">
        <v>521197000104</v>
      </c>
      <c r="B945" s="8" t="s">
        <v>1040</v>
      </c>
      <c r="C945" s="8" t="s">
        <v>1039</v>
      </c>
      <c r="D945" s="7" t="s">
        <v>61</v>
      </c>
      <c r="E945" s="7" t="s">
        <v>215</v>
      </c>
      <c r="F945" s="6">
        <v>2</v>
      </c>
      <c r="G945" s="8" t="s">
        <v>173</v>
      </c>
      <c r="H945" s="8" t="s">
        <v>174</v>
      </c>
      <c r="I945" s="109" t="s">
        <v>557</v>
      </c>
      <c r="J945" s="8" t="s">
        <v>206</v>
      </c>
      <c r="K945" s="14" t="b">
        <v>0</v>
      </c>
      <c r="L945" s="14" t="b">
        <v>1</v>
      </c>
      <c r="M945" s="14" t="b">
        <v>1</v>
      </c>
      <c r="N945" s="14" t="b">
        <v>0</v>
      </c>
      <c r="O945" s="14" t="b">
        <v>1</v>
      </c>
      <c r="W945" s="3"/>
    </row>
    <row r="946" spans="1:23" x14ac:dyDescent="0.25">
      <c r="A946" s="4">
        <v>521197000104</v>
      </c>
      <c r="B946" s="8" t="s">
        <v>1040</v>
      </c>
      <c r="C946" s="8" t="s">
        <v>1039</v>
      </c>
      <c r="D946" s="7" t="s">
        <v>61</v>
      </c>
      <c r="E946" s="7" t="s">
        <v>215</v>
      </c>
      <c r="F946" s="6">
        <v>2</v>
      </c>
      <c r="G946" s="8" t="s">
        <v>155</v>
      </c>
      <c r="H946" s="8" t="s">
        <v>156</v>
      </c>
      <c r="I946" s="109" t="s">
        <v>556</v>
      </c>
      <c r="J946" s="8" t="s">
        <v>206</v>
      </c>
      <c r="K946" s="14" t="b">
        <v>1</v>
      </c>
      <c r="L946" s="14" t="b">
        <v>0</v>
      </c>
      <c r="M946" s="14" t="b">
        <v>0</v>
      </c>
      <c r="N946" s="14" t="b">
        <v>1</v>
      </c>
      <c r="O946" s="14" t="b">
        <v>1</v>
      </c>
      <c r="W946" s="3"/>
    </row>
    <row r="947" spans="1:23" x14ac:dyDescent="0.25">
      <c r="A947" s="4">
        <v>773639000100</v>
      </c>
      <c r="B947" s="8" t="s">
        <v>1397</v>
      </c>
      <c r="C947" s="8" t="s">
        <v>83</v>
      </c>
      <c r="D947" s="7" t="s">
        <v>67</v>
      </c>
      <c r="E947" s="7" t="s">
        <v>215</v>
      </c>
      <c r="F947" s="6">
        <v>2</v>
      </c>
      <c r="G947" s="8" t="s">
        <v>144</v>
      </c>
      <c r="H947" s="8" t="s">
        <v>145</v>
      </c>
      <c r="I947" s="109" t="s">
        <v>557</v>
      </c>
      <c r="J947" s="8" t="s">
        <v>206</v>
      </c>
      <c r="K947" s="14" t="b">
        <v>0</v>
      </c>
      <c r="L947" s="14" t="b">
        <v>1</v>
      </c>
      <c r="M947" s="14" t="b">
        <v>1</v>
      </c>
      <c r="N947" s="14" t="b">
        <v>0</v>
      </c>
      <c r="O947" s="14" t="b">
        <v>1</v>
      </c>
      <c r="W947" s="3"/>
    </row>
    <row r="948" spans="1:23" x14ac:dyDescent="0.25">
      <c r="A948" s="4">
        <v>1140803000104</v>
      </c>
      <c r="B948" s="8" t="s">
        <v>936</v>
      </c>
      <c r="C948" s="8" t="s">
        <v>66</v>
      </c>
      <c r="D948" s="7" t="s">
        <v>67</v>
      </c>
      <c r="E948" s="7" t="s">
        <v>215</v>
      </c>
      <c r="F948" s="6">
        <v>2</v>
      </c>
      <c r="G948" s="8" t="s">
        <v>144</v>
      </c>
      <c r="H948" s="8" t="s">
        <v>145</v>
      </c>
      <c r="I948" s="109" t="s">
        <v>557</v>
      </c>
      <c r="J948" s="8" t="s">
        <v>206</v>
      </c>
      <c r="K948" s="14" t="b">
        <v>0</v>
      </c>
      <c r="L948" s="14" t="b">
        <v>1</v>
      </c>
      <c r="M948" s="14" t="b">
        <v>1</v>
      </c>
      <c r="N948" s="14" t="b">
        <v>0</v>
      </c>
      <c r="O948" s="14" t="b">
        <v>1</v>
      </c>
      <c r="W948" s="3"/>
    </row>
    <row r="949" spans="1:23" x14ac:dyDescent="0.25">
      <c r="A949" s="4">
        <v>3123393000208</v>
      </c>
      <c r="B949" s="8" t="s">
        <v>943</v>
      </c>
      <c r="C949" s="8" t="s">
        <v>541</v>
      </c>
      <c r="D949" s="7" t="s">
        <v>67</v>
      </c>
      <c r="E949" s="7" t="s">
        <v>215</v>
      </c>
      <c r="F949" s="6">
        <v>2</v>
      </c>
      <c r="G949" s="8" t="s">
        <v>144</v>
      </c>
      <c r="H949" s="8" t="s">
        <v>145</v>
      </c>
      <c r="I949" s="109" t="s">
        <v>557</v>
      </c>
      <c r="J949" s="8" t="s">
        <v>206</v>
      </c>
      <c r="K949" s="14" t="b">
        <v>0</v>
      </c>
      <c r="L949" s="14" t="b">
        <v>1</v>
      </c>
      <c r="M949" s="14" t="b">
        <v>1</v>
      </c>
      <c r="N949" s="14" t="b">
        <v>0</v>
      </c>
      <c r="O949" s="14" t="b">
        <v>1</v>
      </c>
      <c r="W949" s="3"/>
    </row>
    <row r="950" spans="1:23" x14ac:dyDescent="0.25">
      <c r="A950" s="4">
        <v>4703117000192</v>
      </c>
      <c r="B950" s="8" t="s">
        <v>1404</v>
      </c>
      <c r="C950" s="8" t="s">
        <v>1405</v>
      </c>
      <c r="D950" s="7" t="s">
        <v>61</v>
      </c>
      <c r="E950" s="7" t="s">
        <v>215</v>
      </c>
      <c r="F950" s="6">
        <v>2</v>
      </c>
      <c r="G950" s="8" t="s">
        <v>155</v>
      </c>
      <c r="H950" s="8" t="s">
        <v>156</v>
      </c>
      <c r="I950" s="109" t="s">
        <v>556</v>
      </c>
      <c r="J950" s="8" t="s">
        <v>206</v>
      </c>
      <c r="K950" s="14" t="b">
        <v>1</v>
      </c>
      <c r="L950" s="14" t="b">
        <v>0</v>
      </c>
      <c r="M950" s="14" t="b">
        <v>0</v>
      </c>
      <c r="N950" s="14" t="b">
        <v>1</v>
      </c>
      <c r="O950" s="14" t="b">
        <v>1</v>
      </c>
      <c r="W950" s="3"/>
    </row>
    <row r="951" spans="1:23" x14ac:dyDescent="0.25">
      <c r="A951" s="4">
        <v>4703117000192</v>
      </c>
      <c r="B951" s="8" t="s">
        <v>1404</v>
      </c>
      <c r="C951" s="8" t="s">
        <v>1405</v>
      </c>
      <c r="D951" s="7" t="s">
        <v>61</v>
      </c>
      <c r="E951" s="7" t="s">
        <v>215</v>
      </c>
      <c r="F951" s="6">
        <v>2</v>
      </c>
      <c r="G951" s="8" t="s">
        <v>173</v>
      </c>
      <c r="H951" s="8" t="s">
        <v>174</v>
      </c>
      <c r="I951" s="109" t="s">
        <v>557</v>
      </c>
      <c r="J951" s="8" t="s">
        <v>206</v>
      </c>
      <c r="K951" s="14" t="b">
        <v>0</v>
      </c>
      <c r="L951" s="14" t="b">
        <v>1</v>
      </c>
      <c r="M951" s="14" t="b">
        <v>1</v>
      </c>
      <c r="N951" s="14" t="b">
        <v>0</v>
      </c>
      <c r="O951" s="14" t="b">
        <v>1</v>
      </c>
      <c r="W951" s="3"/>
    </row>
    <row r="952" spans="1:23" x14ac:dyDescent="0.25">
      <c r="A952" s="4">
        <v>6047087001372</v>
      </c>
      <c r="B952" s="8" t="s">
        <v>1041</v>
      </c>
      <c r="C952" s="8" t="s">
        <v>78</v>
      </c>
      <c r="D952" s="7" t="s">
        <v>61</v>
      </c>
      <c r="E952" s="7" t="s">
        <v>215</v>
      </c>
      <c r="F952" s="6">
        <v>2</v>
      </c>
      <c r="G952" s="8" t="s">
        <v>181</v>
      </c>
      <c r="H952" s="8" t="s">
        <v>182</v>
      </c>
      <c r="I952" s="109" t="s">
        <v>557</v>
      </c>
      <c r="J952" s="8" t="s">
        <v>206</v>
      </c>
      <c r="K952" s="14" t="b">
        <v>0</v>
      </c>
      <c r="L952" s="14" t="b">
        <v>1</v>
      </c>
      <c r="M952" s="14" t="b">
        <v>1</v>
      </c>
      <c r="N952" s="14" t="b">
        <v>0</v>
      </c>
      <c r="O952" s="14" t="b">
        <v>1</v>
      </c>
      <c r="W952" s="3"/>
    </row>
    <row r="953" spans="1:23" x14ac:dyDescent="0.25">
      <c r="A953" s="4">
        <v>6047087001372</v>
      </c>
      <c r="B953" s="8" t="s">
        <v>1041</v>
      </c>
      <c r="C953" s="8" t="s">
        <v>78</v>
      </c>
      <c r="D953" s="7" t="s">
        <v>61</v>
      </c>
      <c r="E953" s="7" t="s">
        <v>215</v>
      </c>
      <c r="F953" s="6">
        <v>2</v>
      </c>
      <c r="G953" s="8" t="s">
        <v>155</v>
      </c>
      <c r="H953" s="8" t="s">
        <v>156</v>
      </c>
      <c r="I953" s="109" t="s">
        <v>556</v>
      </c>
      <c r="J953" s="8" t="s">
        <v>206</v>
      </c>
      <c r="K953" s="14" t="b">
        <v>1</v>
      </c>
      <c r="L953" s="14" t="b">
        <v>0</v>
      </c>
      <c r="M953" s="14" t="b">
        <v>0</v>
      </c>
      <c r="N953" s="14" t="b">
        <v>1</v>
      </c>
      <c r="O953" s="14" t="b">
        <v>1</v>
      </c>
      <c r="W953" s="3"/>
    </row>
    <row r="954" spans="1:23" x14ac:dyDescent="0.25">
      <c r="A954" s="4">
        <v>7794623001528</v>
      </c>
      <c r="B954" s="8" t="s">
        <v>1042</v>
      </c>
      <c r="C954" s="8" t="s">
        <v>1043</v>
      </c>
      <c r="D954" s="7" t="s">
        <v>61</v>
      </c>
      <c r="E954" s="7" t="s">
        <v>215</v>
      </c>
      <c r="F954" s="6">
        <v>2</v>
      </c>
      <c r="G954" s="8" t="s">
        <v>155</v>
      </c>
      <c r="H954" s="8" t="s">
        <v>156</v>
      </c>
      <c r="I954" s="109" t="s">
        <v>556</v>
      </c>
      <c r="J954" s="8" t="s">
        <v>206</v>
      </c>
      <c r="K954" s="14" t="b">
        <v>1</v>
      </c>
      <c r="L954" s="14" t="b">
        <v>0</v>
      </c>
      <c r="M954" s="14" t="b">
        <v>0</v>
      </c>
      <c r="N954" s="14" t="b">
        <v>1</v>
      </c>
      <c r="O954" s="14" t="b">
        <v>1</v>
      </c>
      <c r="W954" s="3"/>
    </row>
    <row r="955" spans="1:23" x14ac:dyDescent="0.25">
      <c r="A955" s="4">
        <v>7794623001528</v>
      </c>
      <c r="B955" s="8" t="s">
        <v>1042</v>
      </c>
      <c r="C955" s="8" t="s">
        <v>1043</v>
      </c>
      <c r="D955" s="7" t="s">
        <v>61</v>
      </c>
      <c r="E955" s="7" t="s">
        <v>215</v>
      </c>
      <c r="F955" s="6">
        <v>2</v>
      </c>
      <c r="G955" s="8" t="s">
        <v>181</v>
      </c>
      <c r="H955" s="8" t="s">
        <v>182</v>
      </c>
      <c r="I955" s="109" t="s">
        <v>557</v>
      </c>
      <c r="J955" s="8" t="s">
        <v>206</v>
      </c>
      <c r="K955" s="14" t="b">
        <v>0</v>
      </c>
      <c r="L955" s="14" t="b">
        <v>1</v>
      </c>
      <c r="M955" s="14" t="b">
        <v>1</v>
      </c>
      <c r="N955" s="14" t="b">
        <v>0</v>
      </c>
      <c r="O955" s="14" t="b">
        <v>1</v>
      </c>
      <c r="W955" s="3"/>
    </row>
    <row r="956" spans="1:23" x14ac:dyDescent="0.25">
      <c r="A956" s="4">
        <v>8562523000133</v>
      </c>
      <c r="B956" s="8" t="s">
        <v>1044</v>
      </c>
      <c r="C956" s="8" t="s">
        <v>78</v>
      </c>
      <c r="D956" s="7" t="s">
        <v>61</v>
      </c>
      <c r="E956" s="7" t="s">
        <v>215</v>
      </c>
      <c r="F956" s="6">
        <v>2</v>
      </c>
      <c r="G956" s="8" t="s">
        <v>155</v>
      </c>
      <c r="H956" s="8" t="s">
        <v>156</v>
      </c>
      <c r="I956" s="109" t="s">
        <v>556</v>
      </c>
      <c r="J956" s="8" t="s">
        <v>206</v>
      </c>
      <c r="K956" s="14" t="b">
        <v>1</v>
      </c>
      <c r="L956" s="14" t="b">
        <v>0</v>
      </c>
      <c r="M956" s="14" t="b">
        <v>0</v>
      </c>
      <c r="N956" s="14" t="b">
        <v>1</v>
      </c>
      <c r="O956" s="14" t="b">
        <v>1</v>
      </c>
      <c r="W956" s="3"/>
    </row>
    <row r="957" spans="1:23" x14ac:dyDescent="0.25">
      <c r="A957" s="4">
        <v>8562523000133</v>
      </c>
      <c r="B957" s="8" t="s">
        <v>1044</v>
      </c>
      <c r="C957" s="8" t="s">
        <v>78</v>
      </c>
      <c r="D957" s="7" t="s">
        <v>61</v>
      </c>
      <c r="E957" s="7" t="s">
        <v>215</v>
      </c>
      <c r="F957" s="6">
        <v>2</v>
      </c>
      <c r="G957" s="8" t="s">
        <v>173</v>
      </c>
      <c r="H957" s="8" t="s">
        <v>174</v>
      </c>
      <c r="I957" s="109" t="s">
        <v>557</v>
      </c>
      <c r="J957" s="8" t="s">
        <v>206</v>
      </c>
      <c r="K957" s="14" t="b">
        <v>0</v>
      </c>
      <c r="L957" s="14" t="b">
        <v>1</v>
      </c>
      <c r="M957" s="14" t="b">
        <v>1</v>
      </c>
      <c r="N957" s="14" t="b">
        <v>0</v>
      </c>
      <c r="O957" s="14" t="b">
        <v>1</v>
      </c>
      <c r="W957" s="3"/>
    </row>
    <row r="958" spans="1:23" x14ac:dyDescent="0.25">
      <c r="A958" s="4">
        <v>8579164000127</v>
      </c>
      <c r="B958" s="8" t="s">
        <v>1401</v>
      </c>
      <c r="C958" s="8" t="s">
        <v>1402</v>
      </c>
      <c r="D958" s="7" t="s">
        <v>67</v>
      </c>
      <c r="E958" s="7" t="s">
        <v>215</v>
      </c>
      <c r="F958" s="6">
        <v>2</v>
      </c>
      <c r="G958" s="8" t="s">
        <v>144</v>
      </c>
      <c r="H958" s="8" t="s">
        <v>145</v>
      </c>
      <c r="I958" s="109" t="s">
        <v>557</v>
      </c>
      <c r="J958" s="8" t="s">
        <v>206</v>
      </c>
      <c r="K958" s="14" t="b">
        <v>0</v>
      </c>
      <c r="L958" s="14" t="b">
        <v>1</v>
      </c>
      <c r="M958" s="14" t="b">
        <v>1</v>
      </c>
      <c r="N958" s="14" t="b">
        <v>0</v>
      </c>
      <c r="O958" s="14" t="b">
        <v>1</v>
      </c>
      <c r="W958" s="3"/>
    </row>
    <row r="959" spans="1:23" x14ac:dyDescent="0.25">
      <c r="A959" s="4">
        <v>9087150000230</v>
      </c>
      <c r="B959" s="8" t="s">
        <v>958</v>
      </c>
      <c r="C959" s="8" t="s">
        <v>83</v>
      </c>
      <c r="D959" s="7" t="s">
        <v>67</v>
      </c>
      <c r="E959" s="7" t="s">
        <v>215</v>
      </c>
      <c r="F959" s="6">
        <v>2</v>
      </c>
      <c r="G959" s="8" t="s">
        <v>144</v>
      </c>
      <c r="H959" s="8" t="s">
        <v>145</v>
      </c>
      <c r="I959" s="109" t="s">
        <v>557</v>
      </c>
      <c r="J959" s="8" t="s">
        <v>206</v>
      </c>
      <c r="K959" s="14" t="b">
        <v>0</v>
      </c>
      <c r="L959" s="14" t="b">
        <v>1</v>
      </c>
      <c r="M959" s="14" t="b">
        <v>1</v>
      </c>
      <c r="N959" s="14" t="b">
        <v>0</v>
      </c>
      <c r="O959" s="14" t="b">
        <v>1</v>
      </c>
      <c r="W959" s="3"/>
    </row>
    <row r="960" spans="1:23" x14ac:dyDescent="0.25">
      <c r="A960" s="4">
        <v>9549061000268</v>
      </c>
      <c r="B960" s="8" t="s">
        <v>959</v>
      </c>
      <c r="C960" s="8" t="s">
        <v>100</v>
      </c>
      <c r="D960" s="7" t="s">
        <v>67</v>
      </c>
      <c r="E960" s="7" t="s">
        <v>215</v>
      </c>
      <c r="F960" s="6">
        <v>2</v>
      </c>
      <c r="G960" s="8" t="s">
        <v>144</v>
      </c>
      <c r="H960" s="8" t="s">
        <v>145</v>
      </c>
      <c r="I960" s="109" t="s">
        <v>557</v>
      </c>
      <c r="J960" s="8" t="s">
        <v>206</v>
      </c>
      <c r="K960" s="14" t="b">
        <v>0</v>
      </c>
      <c r="L960" s="14" t="b">
        <v>1</v>
      </c>
      <c r="M960" s="14" t="b">
        <v>1</v>
      </c>
      <c r="N960" s="14" t="b">
        <v>0</v>
      </c>
      <c r="O960" s="14" t="b">
        <v>1</v>
      </c>
      <c r="W960" s="3"/>
    </row>
    <row r="961" spans="1:23" x14ac:dyDescent="0.25">
      <c r="A961" s="4">
        <v>9572216000287</v>
      </c>
      <c r="B961" s="8" t="s">
        <v>960</v>
      </c>
      <c r="C961" s="8" t="s">
        <v>118</v>
      </c>
      <c r="D961" s="7" t="s">
        <v>67</v>
      </c>
      <c r="E961" s="7" t="s">
        <v>215</v>
      </c>
      <c r="F961" s="6">
        <v>2</v>
      </c>
      <c r="G961" s="8" t="s">
        <v>144</v>
      </c>
      <c r="H961" s="8" t="s">
        <v>145</v>
      </c>
      <c r="I961" s="109" t="s">
        <v>557</v>
      </c>
      <c r="J961" s="8" t="s">
        <v>206</v>
      </c>
      <c r="K961" s="14" t="b">
        <v>0</v>
      </c>
      <c r="L961" s="14" t="b">
        <v>1</v>
      </c>
      <c r="M961" s="14" t="b">
        <v>1</v>
      </c>
      <c r="N961" s="14" t="b">
        <v>0</v>
      </c>
      <c r="O961" s="14" t="b">
        <v>1</v>
      </c>
      <c r="W961" s="3"/>
    </row>
    <row r="962" spans="1:23" x14ac:dyDescent="0.25">
      <c r="A962" s="4">
        <v>9605231000284</v>
      </c>
      <c r="B962" s="8" t="s">
        <v>962</v>
      </c>
      <c r="C962" s="8" t="s">
        <v>87</v>
      </c>
      <c r="D962" s="7" t="s">
        <v>67</v>
      </c>
      <c r="E962" s="7" t="s">
        <v>215</v>
      </c>
      <c r="F962" s="6">
        <v>2</v>
      </c>
      <c r="G962" s="8" t="s">
        <v>144</v>
      </c>
      <c r="H962" s="8" t="s">
        <v>145</v>
      </c>
      <c r="I962" s="109" t="s">
        <v>557</v>
      </c>
      <c r="J962" s="8" t="s">
        <v>206</v>
      </c>
      <c r="K962" s="14" t="b">
        <v>0</v>
      </c>
      <c r="L962" s="14" t="b">
        <v>1</v>
      </c>
      <c r="M962" s="14" t="b">
        <v>1</v>
      </c>
      <c r="N962" s="14" t="b">
        <v>0</v>
      </c>
      <c r="O962" s="14" t="b">
        <v>1</v>
      </c>
      <c r="W962" s="3"/>
    </row>
    <row r="963" spans="1:23" x14ac:dyDescent="0.25">
      <c r="A963" s="4">
        <v>10558548000105</v>
      </c>
      <c r="B963" s="8" t="s">
        <v>1045</v>
      </c>
      <c r="C963" s="8" t="s">
        <v>108</v>
      </c>
      <c r="D963" s="7" t="s">
        <v>61</v>
      </c>
      <c r="E963" s="7" t="s">
        <v>215</v>
      </c>
      <c r="F963" s="6">
        <v>2</v>
      </c>
      <c r="G963" s="8" t="s">
        <v>173</v>
      </c>
      <c r="H963" s="8" t="s">
        <v>174</v>
      </c>
      <c r="I963" s="109" t="s">
        <v>557</v>
      </c>
      <c r="J963" s="8" t="s">
        <v>206</v>
      </c>
      <c r="K963" s="14" t="b">
        <v>0</v>
      </c>
      <c r="L963" s="14" t="b">
        <v>1</v>
      </c>
      <c r="M963" s="14" t="b">
        <v>1</v>
      </c>
      <c r="N963" s="14" t="b">
        <v>0</v>
      </c>
      <c r="O963" s="14" t="b">
        <v>1</v>
      </c>
      <c r="W963" s="3"/>
    </row>
    <row r="964" spans="1:23" x14ac:dyDescent="0.25">
      <c r="A964" s="4">
        <v>10558548000105</v>
      </c>
      <c r="B964" s="8" t="s">
        <v>1045</v>
      </c>
      <c r="C964" s="8" t="s">
        <v>108</v>
      </c>
      <c r="D964" s="7" t="s">
        <v>61</v>
      </c>
      <c r="E964" s="7" t="s">
        <v>215</v>
      </c>
      <c r="F964" s="6">
        <v>2</v>
      </c>
      <c r="G964" s="8" t="s">
        <v>155</v>
      </c>
      <c r="H964" s="8" t="s">
        <v>156</v>
      </c>
      <c r="I964" s="109" t="s">
        <v>556</v>
      </c>
      <c r="J964" s="8" t="s">
        <v>206</v>
      </c>
      <c r="K964" s="14" t="b">
        <v>1</v>
      </c>
      <c r="L964" s="14" t="b">
        <v>0</v>
      </c>
      <c r="M964" s="14" t="b">
        <v>0</v>
      </c>
      <c r="N964" s="14" t="b">
        <v>1</v>
      </c>
      <c r="O964" s="14" t="b">
        <v>1</v>
      </c>
      <c r="W964" s="3"/>
    </row>
    <row r="965" spans="1:23" x14ac:dyDescent="0.25">
      <c r="A965" s="4">
        <v>10562003000172</v>
      </c>
      <c r="B965" s="8" t="s">
        <v>1046</v>
      </c>
      <c r="C965" s="8" t="s">
        <v>105</v>
      </c>
      <c r="D965" s="7" t="s">
        <v>61</v>
      </c>
      <c r="E965" s="7" t="s">
        <v>215</v>
      </c>
      <c r="F965" s="6">
        <v>2</v>
      </c>
      <c r="G965" s="8" t="s">
        <v>155</v>
      </c>
      <c r="H965" s="8" t="s">
        <v>156</v>
      </c>
      <c r="I965" s="109" t="s">
        <v>556</v>
      </c>
      <c r="J965" s="8" t="s">
        <v>206</v>
      </c>
      <c r="K965" s="14" t="b">
        <v>1</v>
      </c>
      <c r="L965" s="14" t="b">
        <v>0</v>
      </c>
      <c r="M965" s="14" t="b">
        <v>0</v>
      </c>
      <c r="N965" s="14" t="b">
        <v>1</v>
      </c>
      <c r="O965" s="14" t="b">
        <v>1</v>
      </c>
      <c r="W965" s="3"/>
    </row>
    <row r="966" spans="1:23" x14ac:dyDescent="0.25">
      <c r="A966" s="4">
        <v>10562003000172</v>
      </c>
      <c r="B966" s="8" t="s">
        <v>1046</v>
      </c>
      <c r="C966" s="8" t="s">
        <v>105</v>
      </c>
      <c r="D966" s="7" t="s">
        <v>61</v>
      </c>
      <c r="E966" s="7" t="s">
        <v>215</v>
      </c>
      <c r="F966" s="6">
        <v>2</v>
      </c>
      <c r="G966" s="8" t="s">
        <v>173</v>
      </c>
      <c r="H966" s="8" t="s">
        <v>174</v>
      </c>
      <c r="I966" s="109" t="s">
        <v>557</v>
      </c>
      <c r="J966" s="8" t="s">
        <v>206</v>
      </c>
      <c r="K966" s="14" t="b">
        <v>0</v>
      </c>
      <c r="L966" s="14" t="b">
        <v>1</v>
      </c>
      <c r="M966" s="14" t="b">
        <v>1</v>
      </c>
      <c r="N966" s="14" t="b">
        <v>0</v>
      </c>
      <c r="O966" s="14" t="b">
        <v>1</v>
      </c>
      <c r="W966" s="3"/>
    </row>
    <row r="967" spans="1:23" x14ac:dyDescent="0.25">
      <c r="A967" s="4">
        <v>11055682000156</v>
      </c>
      <c r="B967" s="8" t="s">
        <v>963</v>
      </c>
      <c r="C967" s="8" t="s">
        <v>124</v>
      </c>
      <c r="D967" s="7" t="s">
        <v>67</v>
      </c>
      <c r="E967" s="7" t="s">
        <v>215</v>
      </c>
      <c r="F967" s="6">
        <v>2</v>
      </c>
      <c r="G967" s="8" t="s">
        <v>144</v>
      </c>
      <c r="H967" s="8" t="s">
        <v>145</v>
      </c>
      <c r="I967" s="109" t="s">
        <v>557</v>
      </c>
      <c r="J967" s="8" t="s">
        <v>206</v>
      </c>
      <c r="K967" s="14" t="b">
        <v>0</v>
      </c>
      <c r="L967" s="14" t="b">
        <v>1</v>
      </c>
      <c r="M967" s="14" t="b">
        <v>1</v>
      </c>
      <c r="N967" s="14" t="b">
        <v>0</v>
      </c>
      <c r="O967" s="14" t="b">
        <v>1</v>
      </c>
      <c r="W967" s="3"/>
    </row>
    <row r="968" spans="1:23" x14ac:dyDescent="0.25">
      <c r="A968" s="4">
        <v>12508728000108</v>
      </c>
      <c r="B968" s="8" t="s">
        <v>965</v>
      </c>
      <c r="C968" s="8" t="s">
        <v>87</v>
      </c>
      <c r="D968" s="7" t="s">
        <v>67</v>
      </c>
      <c r="E968" s="7" t="s">
        <v>215</v>
      </c>
      <c r="F968" s="6">
        <v>2</v>
      </c>
      <c r="G968" s="8" t="s">
        <v>144</v>
      </c>
      <c r="H968" s="8" t="s">
        <v>145</v>
      </c>
      <c r="I968" s="109" t="s">
        <v>557</v>
      </c>
      <c r="J968" s="8" t="s">
        <v>206</v>
      </c>
      <c r="K968" s="14" t="b">
        <v>0</v>
      </c>
      <c r="L968" s="14" t="b">
        <v>1</v>
      </c>
      <c r="M968" s="14" t="b">
        <v>1</v>
      </c>
      <c r="N968" s="14" t="b">
        <v>0</v>
      </c>
      <c r="O968" s="14" t="b">
        <v>1</v>
      </c>
      <c r="W968" s="3"/>
    </row>
    <row r="969" spans="1:23" x14ac:dyDescent="0.25">
      <c r="A969" s="4">
        <v>15126437001972</v>
      </c>
      <c r="B969" s="8" t="s">
        <v>966</v>
      </c>
      <c r="C969" s="8" t="s">
        <v>87</v>
      </c>
      <c r="D969" s="7" t="s">
        <v>67</v>
      </c>
      <c r="E969" s="7" t="s">
        <v>215</v>
      </c>
      <c r="F969" s="6">
        <v>2</v>
      </c>
      <c r="G969" s="8" t="s">
        <v>144</v>
      </c>
      <c r="H969" s="8" t="s">
        <v>145</v>
      </c>
      <c r="I969" s="109" t="s">
        <v>557</v>
      </c>
      <c r="J969" s="8" t="s">
        <v>206</v>
      </c>
      <c r="K969" s="14" t="b">
        <v>0</v>
      </c>
      <c r="L969" s="14" t="b">
        <v>1</v>
      </c>
      <c r="M969" s="14" t="b">
        <v>1</v>
      </c>
      <c r="N969" s="14" t="b">
        <v>0</v>
      </c>
      <c r="O969" s="14" t="b">
        <v>1</v>
      </c>
      <c r="W969" s="3"/>
    </row>
    <row r="970" spans="1:23" x14ac:dyDescent="0.25">
      <c r="A970" s="4">
        <v>15126437003673</v>
      </c>
      <c r="B970" s="8" t="s">
        <v>1166</v>
      </c>
      <c r="C970" s="8" t="s">
        <v>60</v>
      </c>
      <c r="D970" s="7" t="s">
        <v>61</v>
      </c>
      <c r="E970" s="7" t="s">
        <v>215</v>
      </c>
      <c r="F970" s="6">
        <v>2</v>
      </c>
      <c r="G970" s="8" t="s">
        <v>155</v>
      </c>
      <c r="H970" s="8" t="s">
        <v>156</v>
      </c>
      <c r="I970" s="109" t="s">
        <v>556</v>
      </c>
      <c r="J970" s="8" t="s">
        <v>206</v>
      </c>
      <c r="K970" s="14" t="b">
        <v>1</v>
      </c>
      <c r="L970" s="14" t="b">
        <v>0</v>
      </c>
      <c r="M970" s="14" t="b">
        <v>0</v>
      </c>
      <c r="N970" s="14" t="b">
        <v>1</v>
      </c>
      <c r="O970" s="14" t="b">
        <v>1</v>
      </c>
      <c r="W970" s="3"/>
    </row>
    <row r="971" spans="1:23" x14ac:dyDescent="0.25">
      <c r="A971" s="4">
        <v>15126437003673</v>
      </c>
      <c r="B971" s="8" t="s">
        <v>1166</v>
      </c>
      <c r="C971" s="8" t="s">
        <v>60</v>
      </c>
      <c r="D971" s="7" t="s">
        <v>61</v>
      </c>
      <c r="E971" s="7" t="s">
        <v>215</v>
      </c>
      <c r="F971" s="6">
        <v>2</v>
      </c>
      <c r="G971" s="8" t="s">
        <v>181</v>
      </c>
      <c r="H971" s="8" t="s">
        <v>182</v>
      </c>
      <c r="I971" s="109" t="s">
        <v>557</v>
      </c>
      <c r="J971" s="8" t="s">
        <v>206</v>
      </c>
      <c r="K971" s="14" t="b">
        <v>0</v>
      </c>
      <c r="L971" s="14" t="b">
        <v>1</v>
      </c>
      <c r="M971" s="14" t="b">
        <v>1</v>
      </c>
      <c r="N971" s="14" t="b">
        <v>0</v>
      </c>
      <c r="O971" s="14" t="b">
        <v>1</v>
      </c>
      <c r="W971" s="3"/>
    </row>
    <row r="972" spans="1:23" x14ac:dyDescent="0.25">
      <c r="A972" s="4">
        <v>25308058000128</v>
      </c>
      <c r="B972" s="8" t="s">
        <v>1047</v>
      </c>
      <c r="C972" s="8" t="s">
        <v>1048</v>
      </c>
      <c r="D972" s="7" t="s">
        <v>61</v>
      </c>
      <c r="E972" s="7" t="s">
        <v>215</v>
      </c>
      <c r="F972" s="6">
        <v>2</v>
      </c>
      <c r="G972" s="8" t="s">
        <v>155</v>
      </c>
      <c r="H972" s="8" t="s">
        <v>156</v>
      </c>
      <c r="I972" s="109" t="s">
        <v>556</v>
      </c>
      <c r="J972" s="8" t="s">
        <v>206</v>
      </c>
      <c r="K972" s="14" t="b">
        <v>1</v>
      </c>
      <c r="L972" s="14" t="b">
        <v>0</v>
      </c>
      <c r="M972" s="14" t="b">
        <v>0</v>
      </c>
      <c r="N972" s="14" t="b">
        <v>1</v>
      </c>
      <c r="O972" s="14" t="b">
        <v>1</v>
      </c>
      <c r="W972" s="3"/>
    </row>
    <row r="973" spans="1:23" x14ac:dyDescent="0.25">
      <c r="A973" s="4">
        <v>25308058000128</v>
      </c>
      <c r="B973" s="8" t="s">
        <v>1047</v>
      </c>
      <c r="C973" s="8" t="s">
        <v>1048</v>
      </c>
      <c r="D973" s="7" t="s">
        <v>61</v>
      </c>
      <c r="E973" s="7" t="s">
        <v>215</v>
      </c>
      <c r="F973" s="6">
        <v>2</v>
      </c>
      <c r="G973" s="8" t="s">
        <v>173</v>
      </c>
      <c r="H973" s="8" t="s">
        <v>174</v>
      </c>
      <c r="I973" s="109" t="s">
        <v>557</v>
      </c>
      <c r="J973" s="8" t="s">
        <v>206</v>
      </c>
      <c r="K973" s="14" t="b">
        <v>0</v>
      </c>
      <c r="L973" s="14" t="b">
        <v>1</v>
      </c>
      <c r="M973" s="14" t="b">
        <v>1</v>
      </c>
      <c r="N973" s="14" t="b">
        <v>0</v>
      </c>
      <c r="O973" s="14" t="b">
        <v>1</v>
      </c>
      <c r="W973" s="3"/>
    </row>
    <row r="974" spans="1:23" x14ac:dyDescent="0.25">
      <c r="A974" s="4">
        <v>26947257000149</v>
      </c>
      <c r="B974" s="8" t="s">
        <v>973</v>
      </c>
      <c r="C974" s="8" t="s">
        <v>83</v>
      </c>
      <c r="D974" s="7" t="s">
        <v>67</v>
      </c>
      <c r="E974" s="7" t="s">
        <v>215</v>
      </c>
      <c r="F974" s="6">
        <v>2</v>
      </c>
      <c r="G974" s="8" t="s">
        <v>144</v>
      </c>
      <c r="H974" s="8" t="s">
        <v>145</v>
      </c>
      <c r="I974" s="109" t="s">
        <v>557</v>
      </c>
      <c r="J974" s="8" t="s">
        <v>206</v>
      </c>
      <c r="K974" s="14" t="b">
        <v>0</v>
      </c>
      <c r="L974" s="14" t="b">
        <v>1</v>
      </c>
      <c r="M974" s="14" t="b">
        <v>1</v>
      </c>
      <c r="N974" s="14" t="b">
        <v>0</v>
      </c>
      <c r="O974" s="14" t="b">
        <v>1</v>
      </c>
      <c r="W974" s="3"/>
    </row>
    <row r="975" spans="1:23" x14ac:dyDescent="0.25">
      <c r="A975" s="4">
        <v>28523215000378</v>
      </c>
      <c r="B975" s="8" t="s">
        <v>1049</v>
      </c>
      <c r="C975" s="8" t="s">
        <v>1039</v>
      </c>
      <c r="D975" s="7" t="s">
        <v>61</v>
      </c>
      <c r="E975" s="7" t="s">
        <v>215</v>
      </c>
      <c r="F975" s="6">
        <v>2</v>
      </c>
      <c r="G975" s="8" t="s">
        <v>155</v>
      </c>
      <c r="H975" s="8" t="s">
        <v>156</v>
      </c>
      <c r="I975" s="109" t="s">
        <v>556</v>
      </c>
      <c r="J975" s="8" t="s">
        <v>206</v>
      </c>
      <c r="K975" s="14" t="b">
        <v>1</v>
      </c>
      <c r="L975" s="14" t="b">
        <v>0</v>
      </c>
      <c r="M975" s="14" t="b">
        <v>0</v>
      </c>
      <c r="N975" s="14" t="b">
        <v>1</v>
      </c>
      <c r="O975" s="14" t="b">
        <v>1</v>
      </c>
      <c r="W975" s="3"/>
    </row>
    <row r="976" spans="1:23" x14ac:dyDescent="0.25">
      <c r="A976" s="4">
        <v>28523215000378</v>
      </c>
      <c r="B976" s="8" t="s">
        <v>1049</v>
      </c>
      <c r="C976" s="8" t="s">
        <v>1039</v>
      </c>
      <c r="D976" s="7" t="s">
        <v>61</v>
      </c>
      <c r="E976" s="7" t="s">
        <v>215</v>
      </c>
      <c r="F976" s="6">
        <v>2</v>
      </c>
      <c r="G976" s="8" t="s">
        <v>181</v>
      </c>
      <c r="H976" s="8" t="s">
        <v>182</v>
      </c>
      <c r="I976" s="109" t="s">
        <v>557</v>
      </c>
      <c r="J976" s="8" t="s">
        <v>206</v>
      </c>
      <c r="K976" s="14" t="b">
        <v>0</v>
      </c>
      <c r="L976" s="14" t="b">
        <v>1</v>
      </c>
      <c r="M976" s="14" t="b">
        <v>1</v>
      </c>
      <c r="N976" s="14" t="b">
        <v>0</v>
      </c>
      <c r="O976" s="14" t="b">
        <v>1</v>
      </c>
      <c r="W976" s="3"/>
    </row>
    <row r="977" spans="1:23" x14ac:dyDescent="0.25">
      <c r="A977" s="4">
        <v>28806545000532</v>
      </c>
      <c r="B977" s="8" t="s">
        <v>1050</v>
      </c>
      <c r="C977" s="8" t="s">
        <v>1051</v>
      </c>
      <c r="D977" s="7" t="s">
        <v>61</v>
      </c>
      <c r="E977" s="7" t="s">
        <v>215</v>
      </c>
      <c r="F977" s="6">
        <v>2</v>
      </c>
      <c r="G977" s="8" t="s">
        <v>155</v>
      </c>
      <c r="H977" s="8" t="s">
        <v>156</v>
      </c>
      <c r="I977" s="109" t="s">
        <v>556</v>
      </c>
      <c r="J977" s="8" t="s">
        <v>206</v>
      </c>
      <c r="K977" s="14" t="b">
        <v>1</v>
      </c>
      <c r="L977" s="14" t="b">
        <v>0</v>
      </c>
      <c r="M977" s="14" t="b">
        <v>0</v>
      </c>
      <c r="N977" s="14" t="b">
        <v>1</v>
      </c>
      <c r="O977" s="14" t="b">
        <v>1</v>
      </c>
      <c r="W977" s="3"/>
    </row>
    <row r="978" spans="1:23" x14ac:dyDescent="0.25">
      <c r="A978" s="4">
        <v>28806545000532</v>
      </c>
      <c r="B978" s="8" t="s">
        <v>1050</v>
      </c>
      <c r="C978" s="8" t="s">
        <v>1051</v>
      </c>
      <c r="D978" s="7" t="s">
        <v>61</v>
      </c>
      <c r="E978" s="7" t="s">
        <v>215</v>
      </c>
      <c r="F978" s="6">
        <v>2</v>
      </c>
      <c r="G978" s="8" t="s">
        <v>173</v>
      </c>
      <c r="H978" s="8" t="s">
        <v>174</v>
      </c>
      <c r="I978" s="109" t="s">
        <v>557</v>
      </c>
      <c r="J978" s="8" t="s">
        <v>206</v>
      </c>
      <c r="K978" s="14" t="b">
        <v>0</v>
      </c>
      <c r="L978" s="14" t="b">
        <v>1</v>
      </c>
      <c r="M978" s="14" t="b">
        <v>1</v>
      </c>
      <c r="N978" s="14" t="b">
        <v>0</v>
      </c>
      <c r="O978" s="14" t="b">
        <v>1</v>
      </c>
      <c r="W978" s="3"/>
    </row>
    <row r="979" spans="1:23" x14ac:dyDescent="0.25">
      <c r="A979" s="4">
        <v>29072642000188</v>
      </c>
      <c r="B979" s="8" t="s">
        <v>1052</v>
      </c>
      <c r="C979" s="8" t="s">
        <v>92</v>
      </c>
      <c r="D979" s="7" t="s">
        <v>61</v>
      </c>
      <c r="E979" s="7" t="s">
        <v>215</v>
      </c>
      <c r="F979" s="6">
        <v>2</v>
      </c>
      <c r="G979" s="8" t="s">
        <v>173</v>
      </c>
      <c r="H979" s="8" t="s">
        <v>174</v>
      </c>
      <c r="I979" s="109" t="s">
        <v>557</v>
      </c>
      <c r="J979" s="8" t="s">
        <v>206</v>
      </c>
      <c r="K979" s="14" t="b">
        <v>0</v>
      </c>
      <c r="L979" s="14" t="b">
        <v>1</v>
      </c>
      <c r="M979" s="14" t="b">
        <v>1</v>
      </c>
      <c r="N979" s="14" t="b">
        <v>0</v>
      </c>
      <c r="O979" s="14" t="b">
        <v>1</v>
      </c>
      <c r="W979" s="3"/>
    </row>
    <row r="980" spans="1:23" x14ac:dyDescent="0.25">
      <c r="A980" s="4">
        <v>29072642000188</v>
      </c>
      <c r="B980" s="8" t="s">
        <v>1052</v>
      </c>
      <c r="C980" s="8" t="s">
        <v>92</v>
      </c>
      <c r="D980" s="7" t="s">
        <v>61</v>
      </c>
      <c r="E980" s="7" t="s">
        <v>215</v>
      </c>
      <c r="F980" s="6">
        <v>2</v>
      </c>
      <c r="G980" s="8" t="s">
        <v>155</v>
      </c>
      <c r="H980" s="8" t="s">
        <v>156</v>
      </c>
      <c r="I980" s="109" t="s">
        <v>556</v>
      </c>
      <c r="J980" s="8" t="s">
        <v>206</v>
      </c>
      <c r="K980" s="14" t="b">
        <v>1</v>
      </c>
      <c r="L980" s="14" t="b">
        <v>0</v>
      </c>
      <c r="M980" s="14" t="b">
        <v>0</v>
      </c>
      <c r="N980" s="14" t="b">
        <v>1</v>
      </c>
      <c r="O980" s="14" t="b">
        <v>1</v>
      </c>
      <c r="W980" s="3"/>
    </row>
    <row r="981" spans="1:23" x14ac:dyDescent="0.25">
      <c r="A981" s="4">
        <v>29135795000208</v>
      </c>
      <c r="B981" s="8" t="s">
        <v>1053</v>
      </c>
      <c r="C981" s="8" t="s">
        <v>120</v>
      </c>
      <c r="D981" s="7" t="s">
        <v>61</v>
      </c>
      <c r="E981" s="7" t="s">
        <v>215</v>
      </c>
      <c r="F981" s="6">
        <v>2</v>
      </c>
      <c r="G981" s="8" t="s">
        <v>155</v>
      </c>
      <c r="H981" s="8" t="s">
        <v>156</v>
      </c>
      <c r="I981" s="109" t="s">
        <v>556</v>
      </c>
      <c r="J981" s="8" t="s">
        <v>206</v>
      </c>
      <c r="K981" s="14" t="b">
        <v>1</v>
      </c>
      <c r="L981" s="14" t="b">
        <v>0</v>
      </c>
      <c r="M981" s="14" t="b">
        <v>0</v>
      </c>
      <c r="N981" s="14" t="b">
        <v>1</v>
      </c>
      <c r="O981" s="14" t="b">
        <v>1</v>
      </c>
      <c r="W981" s="3"/>
    </row>
    <row r="982" spans="1:23" x14ac:dyDescent="0.25">
      <c r="A982" s="4">
        <v>29135795000208</v>
      </c>
      <c r="B982" s="8" t="s">
        <v>1053</v>
      </c>
      <c r="C982" s="8" t="s">
        <v>120</v>
      </c>
      <c r="D982" s="7" t="s">
        <v>61</v>
      </c>
      <c r="E982" s="7" t="s">
        <v>215</v>
      </c>
      <c r="F982" s="6">
        <v>2</v>
      </c>
      <c r="G982" s="8" t="s">
        <v>173</v>
      </c>
      <c r="H982" s="8" t="s">
        <v>174</v>
      </c>
      <c r="I982" s="109" t="s">
        <v>557</v>
      </c>
      <c r="J982" s="8" t="s">
        <v>206</v>
      </c>
      <c r="K982" s="14" t="b">
        <v>0</v>
      </c>
      <c r="L982" s="14" t="b">
        <v>1</v>
      </c>
      <c r="M982" s="14" t="b">
        <v>1</v>
      </c>
      <c r="N982" s="14" t="b">
        <v>0</v>
      </c>
      <c r="O982" s="14" t="b">
        <v>1</v>
      </c>
      <c r="W982" s="3"/>
    </row>
    <row r="983" spans="1:23" x14ac:dyDescent="0.25">
      <c r="A983" s="4">
        <v>29435005003497</v>
      </c>
      <c r="B983" s="8" t="s">
        <v>1054</v>
      </c>
      <c r="C983" s="8" t="s">
        <v>78</v>
      </c>
      <c r="D983" s="7" t="s">
        <v>61</v>
      </c>
      <c r="E983" s="7" t="s">
        <v>215</v>
      </c>
      <c r="F983" s="6">
        <v>2</v>
      </c>
      <c r="G983" s="8" t="s">
        <v>173</v>
      </c>
      <c r="H983" s="8" t="s">
        <v>174</v>
      </c>
      <c r="I983" s="109" t="s">
        <v>557</v>
      </c>
      <c r="J983" s="8" t="s">
        <v>206</v>
      </c>
      <c r="K983" s="14" t="b">
        <v>0</v>
      </c>
      <c r="L983" s="14" t="b">
        <v>1</v>
      </c>
      <c r="M983" s="14" t="b">
        <v>1</v>
      </c>
      <c r="N983" s="14" t="b">
        <v>0</v>
      </c>
      <c r="O983" s="14" t="b">
        <v>1</v>
      </c>
      <c r="W983" s="3"/>
    </row>
    <row r="984" spans="1:23" x14ac:dyDescent="0.25">
      <c r="A984" s="4">
        <v>29435005003497</v>
      </c>
      <c r="B984" s="8" t="s">
        <v>1054</v>
      </c>
      <c r="C984" s="8" t="s">
        <v>78</v>
      </c>
      <c r="D984" s="7" t="s">
        <v>61</v>
      </c>
      <c r="E984" s="7" t="s">
        <v>215</v>
      </c>
      <c r="F984" s="6">
        <v>2</v>
      </c>
      <c r="G984" s="8" t="s">
        <v>155</v>
      </c>
      <c r="H984" s="8" t="s">
        <v>156</v>
      </c>
      <c r="I984" s="109" t="s">
        <v>556</v>
      </c>
      <c r="J984" s="8" t="s">
        <v>206</v>
      </c>
      <c r="K984" s="14" t="b">
        <v>1</v>
      </c>
      <c r="L984" s="14" t="b">
        <v>0</v>
      </c>
      <c r="M984" s="14" t="b">
        <v>0</v>
      </c>
      <c r="N984" s="14" t="b">
        <v>1</v>
      </c>
      <c r="O984" s="14" t="b">
        <v>1</v>
      </c>
      <c r="W984" s="3"/>
    </row>
    <row r="985" spans="1:23" x14ac:dyDescent="0.25">
      <c r="A985" s="4">
        <v>29640612000120</v>
      </c>
      <c r="B985" s="8" t="s">
        <v>1055</v>
      </c>
      <c r="C985" s="8" t="s">
        <v>103</v>
      </c>
      <c r="D985" s="7" t="s">
        <v>61</v>
      </c>
      <c r="E985" s="7" t="s">
        <v>215</v>
      </c>
      <c r="F985" s="6">
        <v>2</v>
      </c>
      <c r="G985" s="8" t="s">
        <v>155</v>
      </c>
      <c r="H985" s="8" t="s">
        <v>156</v>
      </c>
      <c r="I985" s="109" t="s">
        <v>556</v>
      </c>
      <c r="J985" s="8" t="s">
        <v>206</v>
      </c>
      <c r="K985" s="14" t="b">
        <v>1</v>
      </c>
      <c r="L985" s="14" t="b">
        <v>0</v>
      </c>
      <c r="M985" s="14" t="b">
        <v>0</v>
      </c>
      <c r="N985" s="14" t="b">
        <v>1</v>
      </c>
      <c r="O985" s="14" t="b">
        <v>1</v>
      </c>
      <c r="W985" s="3"/>
    </row>
    <row r="986" spans="1:23" x14ac:dyDescent="0.25">
      <c r="A986" s="4">
        <v>29640612000120</v>
      </c>
      <c r="B986" s="8" t="s">
        <v>1055</v>
      </c>
      <c r="C986" s="8" t="s">
        <v>103</v>
      </c>
      <c r="D986" s="7" t="s">
        <v>61</v>
      </c>
      <c r="E986" s="7" t="s">
        <v>215</v>
      </c>
      <c r="F986" s="6">
        <v>2</v>
      </c>
      <c r="G986" s="8" t="s">
        <v>173</v>
      </c>
      <c r="H986" s="8" t="s">
        <v>174</v>
      </c>
      <c r="I986" s="109" t="s">
        <v>557</v>
      </c>
      <c r="J986" s="8" t="s">
        <v>206</v>
      </c>
      <c r="K986" s="14" t="b">
        <v>0</v>
      </c>
      <c r="L986" s="14" t="b">
        <v>1</v>
      </c>
      <c r="M986" s="14" t="b">
        <v>1</v>
      </c>
      <c r="N986" s="14" t="b">
        <v>0</v>
      </c>
      <c r="O986" s="14" t="b">
        <v>1</v>
      </c>
      <c r="W986" s="3"/>
    </row>
    <row r="987" spans="1:23" x14ac:dyDescent="0.25">
      <c r="A987" s="4">
        <v>29908956000178</v>
      </c>
      <c r="B987" s="8" t="s">
        <v>975</v>
      </c>
      <c r="C987" s="8" t="s">
        <v>104</v>
      </c>
      <c r="D987" s="7" t="s">
        <v>67</v>
      </c>
      <c r="E987" s="7" t="s">
        <v>215</v>
      </c>
      <c r="F987" s="6">
        <v>2</v>
      </c>
      <c r="G987" s="8" t="s">
        <v>144</v>
      </c>
      <c r="H987" s="8" t="s">
        <v>145</v>
      </c>
      <c r="I987" s="109" t="s">
        <v>557</v>
      </c>
      <c r="J987" s="8" t="s">
        <v>206</v>
      </c>
      <c r="K987" s="14" t="b">
        <v>0</v>
      </c>
      <c r="L987" s="14" t="b">
        <v>1</v>
      </c>
      <c r="M987" s="14" t="b">
        <v>1</v>
      </c>
      <c r="N987" s="14" t="b">
        <v>0</v>
      </c>
      <c r="O987" s="14" t="b">
        <v>1</v>
      </c>
      <c r="W987" s="3"/>
    </row>
    <row r="988" spans="1:23" x14ac:dyDescent="0.25">
      <c r="A988" s="4">
        <v>30079461000162</v>
      </c>
      <c r="B988" s="8" t="s">
        <v>1056</v>
      </c>
      <c r="C988" s="8" t="s">
        <v>1039</v>
      </c>
      <c r="D988" s="7" t="s">
        <v>61</v>
      </c>
      <c r="E988" s="7" t="s">
        <v>215</v>
      </c>
      <c r="F988" s="6">
        <v>2</v>
      </c>
      <c r="G988" s="8" t="s">
        <v>155</v>
      </c>
      <c r="H988" s="8" t="s">
        <v>156</v>
      </c>
      <c r="I988" s="109" t="s">
        <v>556</v>
      </c>
      <c r="J988" s="8" t="s">
        <v>206</v>
      </c>
      <c r="K988" s="14" t="b">
        <v>1</v>
      </c>
      <c r="L988" s="14" t="b">
        <v>0</v>
      </c>
      <c r="M988" s="14" t="b">
        <v>0</v>
      </c>
      <c r="N988" s="14" t="b">
        <v>1</v>
      </c>
      <c r="O988" s="14" t="b">
        <v>1</v>
      </c>
      <c r="W988" s="3"/>
    </row>
    <row r="989" spans="1:23" x14ac:dyDescent="0.25">
      <c r="A989" s="4">
        <v>30079461000162</v>
      </c>
      <c r="B989" s="8" t="s">
        <v>1056</v>
      </c>
      <c r="C989" s="8" t="s">
        <v>1039</v>
      </c>
      <c r="D989" s="7" t="s">
        <v>61</v>
      </c>
      <c r="E989" s="7" t="s">
        <v>215</v>
      </c>
      <c r="F989" s="6">
        <v>2</v>
      </c>
      <c r="G989" s="8" t="s">
        <v>181</v>
      </c>
      <c r="H989" s="8" t="s">
        <v>182</v>
      </c>
      <c r="I989" s="109" t="s">
        <v>557</v>
      </c>
      <c r="J989" s="8" t="s">
        <v>206</v>
      </c>
      <c r="K989" s="14" t="b">
        <v>0</v>
      </c>
      <c r="L989" s="14" t="b">
        <v>1</v>
      </c>
      <c r="M989" s="14" t="b">
        <v>1</v>
      </c>
      <c r="N989" s="14" t="b">
        <v>0</v>
      </c>
      <c r="O989" s="14" t="b">
        <v>1</v>
      </c>
      <c r="W989" s="3"/>
    </row>
    <row r="990" spans="1:23" x14ac:dyDescent="0.25">
      <c r="A990" s="4">
        <v>30145502000171</v>
      </c>
      <c r="B990" s="8" t="s">
        <v>1057</v>
      </c>
      <c r="C990" s="8" t="s">
        <v>1039</v>
      </c>
      <c r="D990" s="7" t="s">
        <v>61</v>
      </c>
      <c r="E990" s="7" t="s">
        <v>215</v>
      </c>
      <c r="F990" s="6">
        <v>2</v>
      </c>
      <c r="G990" s="8" t="s">
        <v>181</v>
      </c>
      <c r="H990" s="8" t="s">
        <v>182</v>
      </c>
      <c r="I990" s="109" t="s">
        <v>557</v>
      </c>
      <c r="J990" s="8" t="s">
        <v>206</v>
      </c>
      <c r="K990" s="14" t="b">
        <v>0</v>
      </c>
      <c r="L990" s="14" t="b">
        <v>1</v>
      </c>
      <c r="M990" s="14" t="b">
        <v>1</v>
      </c>
      <c r="N990" s="14" t="b">
        <v>0</v>
      </c>
      <c r="O990" s="14" t="b">
        <v>1</v>
      </c>
      <c r="W990" s="3"/>
    </row>
    <row r="991" spans="1:23" x14ac:dyDescent="0.25">
      <c r="A991" s="4">
        <v>30145502000171</v>
      </c>
      <c r="B991" s="8" t="s">
        <v>1057</v>
      </c>
      <c r="C991" s="8" t="s">
        <v>1039</v>
      </c>
      <c r="D991" s="7" t="s">
        <v>61</v>
      </c>
      <c r="E991" s="7" t="s">
        <v>215</v>
      </c>
      <c r="F991" s="6">
        <v>2</v>
      </c>
      <c r="G991" s="8" t="s">
        <v>155</v>
      </c>
      <c r="H991" s="8" t="s">
        <v>156</v>
      </c>
      <c r="I991" s="109" t="s">
        <v>556</v>
      </c>
      <c r="J991" s="8" t="s">
        <v>206</v>
      </c>
      <c r="K991" s="14" t="b">
        <v>1</v>
      </c>
      <c r="L991" s="14" t="b">
        <v>0</v>
      </c>
      <c r="M991" s="14" t="b">
        <v>0</v>
      </c>
      <c r="N991" s="14" t="b">
        <v>1</v>
      </c>
      <c r="O991" s="14" t="b">
        <v>1</v>
      </c>
      <c r="W991" s="3"/>
    </row>
    <row r="992" spans="1:23" x14ac:dyDescent="0.25">
      <c r="A992" s="4">
        <v>30325856000106</v>
      </c>
      <c r="B992" s="8" t="s">
        <v>1406</v>
      </c>
      <c r="C992" s="8" t="s">
        <v>1064</v>
      </c>
      <c r="D992" s="7" t="s">
        <v>61</v>
      </c>
      <c r="E992" s="7" t="s">
        <v>215</v>
      </c>
      <c r="F992" s="6">
        <v>2</v>
      </c>
      <c r="G992" s="8" t="s">
        <v>155</v>
      </c>
      <c r="H992" s="8" t="s">
        <v>156</v>
      </c>
      <c r="I992" s="109" t="s">
        <v>556</v>
      </c>
      <c r="J992" s="8" t="s">
        <v>206</v>
      </c>
      <c r="K992" s="14" t="b">
        <v>1</v>
      </c>
      <c r="L992" s="14" t="b">
        <v>0</v>
      </c>
      <c r="M992" s="14" t="b">
        <v>0</v>
      </c>
      <c r="N992" s="14" t="b">
        <v>1</v>
      </c>
      <c r="O992" s="14" t="b">
        <v>1</v>
      </c>
      <c r="W992" s="3"/>
    </row>
    <row r="993" spans="1:23" x14ac:dyDescent="0.25">
      <c r="A993" s="4">
        <v>30325856000106</v>
      </c>
      <c r="B993" s="8" t="s">
        <v>1406</v>
      </c>
      <c r="C993" s="8" t="s">
        <v>1064</v>
      </c>
      <c r="D993" s="7" t="s">
        <v>61</v>
      </c>
      <c r="E993" s="7" t="s">
        <v>215</v>
      </c>
      <c r="F993" s="6">
        <v>2</v>
      </c>
      <c r="G993" s="8" t="s">
        <v>181</v>
      </c>
      <c r="H993" s="8" t="s">
        <v>182</v>
      </c>
      <c r="I993" s="109" t="s">
        <v>557</v>
      </c>
      <c r="J993" s="8" t="s">
        <v>206</v>
      </c>
      <c r="K993" s="14" t="b">
        <v>0</v>
      </c>
      <c r="L993" s="14" t="b">
        <v>1</v>
      </c>
      <c r="M993" s="14" t="b">
        <v>1</v>
      </c>
      <c r="N993" s="14" t="b">
        <v>0</v>
      </c>
      <c r="O993" s="14" t="b">
        <v>1</v>
      </c>
      <c r="W993" s="3"/>
    </row>
    <row r="994" spans="1:23" x14ac:dyDescent="0.25">
      <c r="A994" s="4">
        <v>30358881000188</v>
      </c>
      <c r="B994" s="8" t="s">
        <v>1407</v>
      </c>
      <c r="C994" s="8" t="s">
        <v>1215</v>
      </c>
      <c r="D994" s="7" t="s">
        <v>61</v>
      </c>
      <c r="E994" s="7" t="s">
        <v>215</v>
      </c>
      <c r="F994" s="6">
        <v>2</v>
      </c>
      <c r="G994" s="8" t="s">
        <v>173</v>
      </c>
      <c r="H994" s="8" t="s">
        <v>174</v>
      </c>
      <c r="I994" s="109" t="s">
        <v>557</v>
      </c>
      <c r="J994" s="8" t="s">
        <v>206</v>
      </c>
      <c r="K994" s="14" t="b">
        <v>0</v>
      </c>
      <c r="L994" s="14" t="b">
        <v>1</v>
      </c>
      <c r="M994" s="14" t="b">
        <v>1</v>
      </c>
      <c r="N994" s="14" t="b">
        <v>0</v>
      </c>
      <c r="O994" s="14" t="b">
        <v>1</v>
      </c>
      <c r="W994" s="3"/>
    </row>
    <row r="995" spans="1:23" x14ac:dyDescent="0.25">
      <c r="A995" s="4">
        <v>30358881000188</v>
      </c>
      <c r="B995" s="8" t="s">
        <v>1407</v>
      </c>
      <c r="C995" s="8" t="s">
        <v>1215</v>
      </c>
      <c r="D995" s="7" t="s">
        <v>61</v>
      </c>
      <c r="E995" s="7" t="s">
        <v>215</v>
      </c>
      <c r="F995" s="6">
        <v>2</v>
      </c>
      <c r="G995" s="8" t="s">
        <v>155</v>
      </c>
      <c r="H995" s="8" t="s">
        <v>156</v>
      </c>
      <c r="I995" s="109" t="s">
        <v>556</v>
      </c>
      <c r="J995" s="8" t="s">
        <v>206</v>
      </c>
      <c r="K995" s="14" t="b">
        <v>1</v>
      </c>
      <c r="L995" s="14" t="b">
        <v>0</v>
      </c>
      <c r="M995" s="14" t="b">
        <v>0</v>
      </c>
      <c r="N995" s="14" t="b">
        <v>1</v>
      </c>
      <c r="O995" s="14" t="b">
        <v>1</v>
      </c>
      <c r="W995" s="3"/>
    </row>
    <row r="996" spans="1:23" x14ac:dyDescent="0.25">
      <c r="A996" s="4">
        <v>30537740000122</v>
      </c>
      <c r="B996" s="8" t="s">
        <v>1058</v>
      </c>
      <c r="C996" s="8" t="s">
        <v>120</v>
      </c>
      <c r="D996" s="7" t="s">
        <v>61</v>
      </c>
      <c r="E996" s="7" t="s">
        <v>215</v>
      </c>
      <c r="F996" s="6">
        <v>2</v>
      </c>
      <c r="G996" s="8" t="s">
        <v>155</v>
      </c>
      <c r="H996" s="8" t="s">
        <v>156</v>
      </c>
      <c r="I996" s="109" t="s">
        <v>556</v>
      </c>
      <c r="J996" s="8" t="s">
        <v>206</v>
      </c>
      <c r="K996" s="14" t="b">
        <v>1</v>
      </c>
      <c r="L996" s="14" t="b">
        <v>0</v>
      </c>
      <c r="M996" s="14" t="b">
        <v>0</v>
      </c>
      <c r="N996" s="14" t="b">
        <v>1</v>
      </c>
      <c r="O996" s="14" t="b">
        <v>1</v>
      </c>
      <c r="T996" s="12"/>
      <c r="W996" s="3"/>
    </row>
    <row r="997" spans="1:23" x14ac:dyDescent="0.25">
      <c r="A997" s="4">
        <v>30537740000122</v>
      </c>
      <c r="B997" s="8" t="s">
        <v>1058</v>
      </c>
      <c r="C997" s="8" t="s">
        <v>120</v>
      </c>
      <c r="D997" s="7" t="s">
        <v>61</v>
      </c>
      <c r="E997" s="7" t="s">
        <v>215</v>
      </c>
      <c r="F997" s="6">
        <v>2</v>
      </c>
      <c r="G997" s="8" t="s">
        <v>173</v>
      </c>
      <c r="H997" s="8" t="s">
        <v>174</v>
      </c>
      <c r="I997" s="109" t="s">
        <v>557</v>
      </c>
      <c r="J997" s="8" t="s">
        <v>206</v>
      </c>
      <c r="K997" s="14" t="b">
        <v>0</v>
      </c>
      <c r="L997" s="14" t="b">
        <v>1</v>
      </c>
      <c r="M997" s="14" t="b">
        <v>1</v>
      </c>
      <c r="N997" s="14" t="b">
        <v>0</v>
      </c>
      <c r="O997" s="14" t="b">
        <v>1</v>
      </c>
    </row>
    <row r="998" spans="1:23" x14ac:dyDescent="0.25">
      <c r="A998" s="4">
        <v>30638381000108</v>
      </c>
      <c r="B998" s="8" t="s">
        <v>1059</v>
      </c>
      <c r="C998" s="8" t="s">
        <v>1051</v>
      </c>
      <c r="D998" s="7" t="s">
        <v>61</v>
      </c>
      <c r="E998" s="7" t="s">
        <v>215</v>
      </c>
      <c r="F998" s="6">
        <v>2</v>
      </c>
      <c r="G998" s="8" t="s">
        <v>173</v>
      </c>
      <c r="H998" s="8" t="s">
        <v>174</v>
      </c>
      <c r="I998" s="109" t="s">
        <v>557</v>
      </c>
      <c r="J998" s="8" t="s">
        <v>206</v>
      </c>
      <c r="K998" s="14" t="b">
        <v>0</v>
      </c>
      <c r="L998" s="14" t="b">
        <v>1</v>
      </c>
      <c r="M998" s="14" t="b">
        <v>1</v>
      </c>
      <c r="N998" s="14" t="b">
        <v>0</v>
      </c>
      <c r="O998" s="14" t="b">
        <v>1</v>
      </c>
    </row>
    <row r="999" spans="1:23" x14ac:dyDescent="0.25">
      <c r="A999" s="4">
        <v>30638381000108</v>
      </c>
      <c r="B999" s="8" t="s">
        <v>1059</v>
      </c>
      <c r="C999" s="8" t="s">
        <v>1051</v>
      </c>
      <c r="D999" s="7" t="s">
        <v>61</v>
      </c>
      <c r="E999" s="7" t="s">
        <v>215</v>
      </c>
      <c r="F999" s="6">
        <v>2</v>
      </c>
      <c r="G999" s="8" t="s">
        <v>155</v>
      </c>
      <c r="H999" s="8" t="s">
        <v>156</v>
      </c>
      <c r="I999" s="109" t="s">
        <v>556</v>
      </c>
      <c r="J999" s="8" t="s">
        <v>206</v>
      </c>
      <c r="K999" s="14" t="b">
        <v>1</v>
      </c>
      <c r="L999" s="14" t="b">
        <v>0</v>
      </c>
      <c r="M999" s="14" t="b">
        <v>0</v>
      </c>
      <c r="N999" s="14" t="b">
        <v>1</v>
      </c>
      <c r="O999" s="14" t="b">
        <v>1</v>
      </c>
    </row>
    <row r="1000" spans="1:23" x14ac:dyDescent="0.25">
      <c r="A1000" s="4">
        <v>31671480000146</v>
      </c>
      <c r="B1000" s="8" t="s">
        <v>1214</v>
      </c>
      <c r="C1000" s="8" t="s">
        <v>1215</v>
      </c>
      <c r="D1000" s="7" t="s">
        <v>61</v>
      </c>
      <c r="E1000" s="7" t="s">
        <v>215</v>
      </c>
      <c r="F1000" s="6">
        <v>2</v>
      </c>
      <c r="G1000" s="8" t="s">
        <v>155</v>
      </c>
      <c r="H1000" s="8" t="s">
        <v>156</v>
      </c>
      <c r="I1000" s="109" t="s">
        <v>556</v>
      </c>
      <c r="J1000" s="8" t="s">
        <v>206</v>
      </c>
      <c r="K1000" s="14" t="b">
        <v>1</v>
      </c>
      <c r="L1000" s="14" t="b">
        <v>0</v>
      </c>
      <c r="M1000" s="14" t="b">
        <v>0</v>
      </c>
      <c r="N1000" s="14" t="b">
        <v>1</v>
      </c>
      <c r="O1000" s="14" t="b">
        <v>1</v>
      </c>
    </row>
    <row r="1001" spans="1:23" x14ac:dyDescent="0.25">
      <c r="A1001" s="4">
        <v>31671480000146</v>
      </c>
      <c r="B1001" s="8" t="s">
        <v>1214</v>
      </c>
      <c r="C1001" s="8" t="s">
        <v>1215</v>
      </c>
      <c r="D1001" s="7" t="s">
        <v>61</v>
      </c>
      <c r="E1001" s="7" t="s">
        <v>215</v>
      </c>
      <c r="F1001" s="6">
        <v>2</v>
      </c>
      <c r="G1001" s="8" t="s">
        <v>181</v>
      </c>
      <c r="H1001" s="8" t="s">
        <v>182</v>
      </c>
      <c r="I1001" s="109" t="s">
        <v>557</v>
      </c>
      <c r="J1001" s="8" t="s">
        <v>206</v>
      </c>
      <c r="K1001" s="14" t="b">
        <v>0</v>
      </c>
      <c r="L1001" s="14" t="b">
        <v>1</v>
      </c>
      <c r="M1001" s="14" t="b">
        <v>1</v>
      </c>
      <c r="N1001" s="14" t="b">
        <v>0</v>
      </c>
      <c r="O1001" s="14" t="b">
        <v>1</v>
      </c>
    </row>
    <row r="1002" spans="1:23" x14ac:dyDescent="0.25">
      <c r="A1002" s="4">
        <v>31671480000308</v>
      </c>
      <c r="B1002" s="8" t="s">
        <v>1216</v>
      </c>
      <c r="C1002" s="8" t="s">
        <v>1039</v>
      </c>
      <c r="D1002" s="7" t="s">
        <v>61</v>
      </c>
      <c r="E1002" s="7" t="s">
        <v>215</v>
      </c>
      <c r="F1002" s="6">
        <v>2</v>
      </c>
      <c r="G1002" s="8" t="s">
        <v>181</v>
      </c>
      <c r="H1002" s="8" t="s">
        <v>182</v>
      </c>
      <c r="I1002" s="109" t="s">
        <v>557</v>
      </c>
      <c r="J1002" s="8" t="s">
        <v>206</v>
      </c>
      <c r="K1002" s="14" t="b">
        <v>0</v>
      </c>
      <c r="L1002" s="14" t="b">
        <v>1</v>
      </c>
      <c r="M1002" s="14" t="b">
        <v>1</v>
      </c>
      <c r="N1002" s="14" t="b">
        <v>0</v>
      </c>
      <c r="O1002" s="14" t="b">
        <v>1</v>
      </c>
    </row>
    <row r="1003" spans="1:23" x14ac:dyDescent="0.25">
      <c r="A1003" s="4">
        <v>31671480000308</v>
      </c>
      <c r="B1003" s="8" t="s">
        <v>1216</v>
      </c>
      <c r="C1003" s="8" t="s">
        <v>1039</v>
      </c>
      <c r="D1003" s="7" t="s">
        <v>61</v>
      </c>
      <c r="E1003" s="7" t="s">
        <v>215</v>
      </c>
      <c r="F1003" s="6">
        <v>2</v>
      </c>
      <c r="G1003" s="8" t="s">
        <v>155</v>
      </c>
      <c r="H1003" s="8" t="s">
        <v>156</v>
      </c>
      <c r="I1003" s="109" t="s">
        <v>556</v>
      </c>
      <c r="J1003" s="8" t="s">
        <v>206</v>
      </c>
      <c r="K1003" s="14" t="b">
        <v>1</v>
      </c>
      <c r="L1003" s="14" t="b">
        <v>0</v>
      </c>
      <c r="M1003" s="14" t="b">
        <v>0</v>
      </c>
      <c r="N1003" s="14" t="b">
        <v>1</v>
      </c>
      <c r="O1003" s="14" t="b">
        <v>1</v>
      </c>
    </row>
    <row r="1004" spans="1:23" x14ac:dyDescent="0.25">
      <c r="A1004" s="4">
        <v>31684384000132</v>
      </c>
      <c r="B1004" s="8" t="s">
        <v>1408</v>
      </c>
      <c r="C1004" s="8" t="s">
        <v>1215</v>
      </c>
      <c r="D1004" s="7" t="s">
        <v>61</v>
      </c>
      <c r="E1004" s="7" t="s">
        <v>215</v>
      </c>
      <c r="F1004" s="6">
        <v>2</v>
      </c>
      <c r="G1004" s="8" t="s">
        <v>155</v>
      </c>
      <c r="H1004" s="8" t="s">
        <v>156</v>
      </c>
      <c r="I1004" s="109" t="s">
        <v>556</v>
      </c>
      <c r="J1004" s="8" t="s">
        <v>206</v>
      </c>
      <c r="K1004" s="14" t="b">
        <v>1</v>
      </c>
      <c r="L1004" s="14" t="b">
        <v>0</v>
      </c>
      <c r="M1004" s="14" t="b">
        <v>0</v>
      </c>
      <c r="N1004" s="14" t="b">
        <v>1</v>
      </c>
      <c r="O1004" s="14" t="b">
        <v>1</v>
      </c>
    </row>
    <row r="1005" spans="1:23" x14ac:dyDescent="0.25">
      <c r="A1005" s="4">
        <v>31684384000132</v>
      </c>
      <c r="B1005" s="8" t="s">
        <v>1408</v>
      </c>
      <c r="C1005" s="8" t="s">
        <v>1215</v>
      </c>
      <c r="D1005" s="7" t="s">
        <v>61</v>
      </c>
      <c r="E1005" s="7" t="s">
        <v>215</v>
      </c>
      <c r="F1005" s="6">
        <v>2</v>
      </c>
      <c r="G1005" s="8" t="s">
        <v>173</v>
      </c>
      <c r="H1005" s="8" t="s">
        <v>174</v>
      </c>
      <c r="I1005" s="109" t="s">
        <v>557</v>
      </c>
      <c r="J1005" s="8" t="s">
        <v>206</v>
      </c>
      <c r="K1005" s="14" t="b">
        <v>0</v>
      </c>
      <c r="L1005" s="14" t="b">
        <v>1</v>
      </c>
      <c r="M1005" s="14" t="b">
        <v>1</v>
      </c>
      <c r="N1005" s="14" t="b">
        <v>0</v>
      </c>
      <c r="O1005" s="14" t="b">
        <v>1</v>
      </c>
    </row>
    <row r="1006" spans="1:23" x14ac:dyDescent="0.25">
      <c r="A1006" s="4">
        <v>33092116000157</v>
      </c>
      <c r="B1006" s="8" t="s">
        <v>1409</v>
      </c>
      <c r="C1006" s="8" t="s">
        <v>78</v>
      </c>
      <c r="D1006" s="7" t="s">
        <v>61</v>
      </c>
      <c r="E1006" s="7" t="s">
        <v>215</v>
      </c>
      <c r="F1006" s="6">
        <v>2</v>
      </c>
      <c r="G1006" s="8" t="s">
        <v>173</v>
      </c>
      <c r="H1006" s="8" t="s">
        <v>174</v>
      </c>
      <c r="I1006" s="109" t="s">
        <v>557</v>
      </c>
      <c r="J1006" s="8" t="s">
        <v>206</v>
      </c>
      <c r="K1006" s="14" t="b">
        <v>0</v>
      </c>
      <c r="L1006" s="14" t="b">
        <v>1</v>
      </c>
      <c r="M1006" s="14" t="b">
        <v>1</v>
      </c>
      <c r="N1006" s="14" t="b">
        <v>0</v>
      </c>
      <c r="O1006" s="14" t="b">
        <v>1</v>
      </c>
    </row>
    <row r="1007" spans="1:23" x14ac:dyDescent="0.25">
      <c r="A1007" s="4">
        <v>33092116000157</v>
      </c>
      <c r="B1007" s="8" t="s">
        <v>1409</v>
      </c>
      <c r="C1007" s="8" t="s">
        <v>78</v>
      </c>
      <c r="D1007" s="7" t="s">
        <v>61</v>
      </c>
      <c r="E1007" s="7" t="s">
        <v>215</v>
      </c>
      <c r="F1007" s="6">
        <v>2</v>
      </c>
      <c r="G1007" s="8" t="s">
        <v>155</v>
      </c>
      <c r="H1007" s="8" t="s">
        <v>156</v>
      </c>
      <c r="I1007" s="109" t="s">
        <v>556</v>
      </c>
      <c r="J1007" s="8" t="s">
        <v>206</v>
      </c>
      <c r="K1007" s="14" t="b">
        <v>1</v>
      </c>
      <c r="L1007" s="14" t="b">
        <v>0</v>
      </c>
      <c r="M1007" s="14" t="b">
        <v>0</v>
      </c>
      <c r="N1007" s="14" t="b">
        <v>1</v>
      </c>
      <c r="O1007" s="14" t="b">
        <v>1</v>
      </c>
    </row>
    <row r="1008" spans="1:23" x14ac:dyDescent="0.25">
      <c r="A1008" s="4">
        <v>35830868000446</v>
      </c>
      <c r="B1008" s="8" t="s">
        <v>1060</v>
      </c>
      <c r="C1008" s="8" t="s">
        <v>1061</v>
      </c>
      <c r="D1008" s="7" t="s">
        <v>61</v>
      </c>
      <c r="E1008" s="7" t="s">
        <v>215</v>
      </c>
      <c r="F1008" s="6">
        <v>2</v>
      </c>
      <c r="G1008" s="8" t="s">
        <v>173</v>
      </c>
      <c r="H1008" s="8" t="s">
        <v>174</v>
      </c>
      <c r="I1008" s="109" t="s">
        <v>557</v>
      </c>
      <c r="J1008" s="8" t="s">
        <v>206</v>
      </c>
      <c r="K1008" s="14" t="b">
        <v>0</v>
      </c>
      <c r="L1008" s="14" t="b">
        <v>1</v>
      </c>
      <c r="M1008" s="14" t="b">
        <v>1</v>
      </c>
      <c r="N1008" s="14" t="b">
        <v>0</v>
      </c>
      <c r="O1008" s="14" t="b">
        <v>1</v>
      </c>
    </row>
    <row r="1009" spans="1:15" x14ac:dyDescent="0.25">
      <c r="A1009" s="4">
        <v>35830868000446</v>
      </c>
      <c r="B1009" s="8" t="s">
        <v>1060</v>
      </c>
      <c r="C1009" s="8" t="s">
        <v>1061</v>
      </c>
      <c r="D1009" s="7" t="s">
        <v>61</v>
      </c>
      <c r="E1009" s="7" t="s">
        <v>215</v>
      </c>
      <c r="F1009" s="6">
        <v>2</v>
      </c>
      <c r="G1009" s="8" t="s">
        <v>155</v>
      </c>
      <c r="H1009" s="8" t="s">
        <v>156</v>
      </c>
      <c r="I1009" s="109" t="s">
        <v>556</v>
      </c>
      <c r="J1009" s="8" t="s">
        <v>206</v>
      </c>
      <c r="K1009" s="14" t="b">
        <v>1</v>
      </c>
      <c r="L1009" s="14" t="b">
        <v>0</v>
      </c>
      <c r="M1009" s="14" t="b">
        <v>0</v>
      </c>
      <c r="N1009" s="14" t="b">
        <v>1</v>
      </c>
      <c r="O1009" s="14" t="b">
        <v>1</v>
      </c>
    </row>
    <row r="1010" spans="1:15" x14ac:dyDescent="0.25">
      <c r="A1010" s="4">
        <v>35917970000726</v>
      </c>
      <c r="B1010" s="8" t="s">
        <v>1062</v>
      </c>
      <c r="C1010" s="8" t="s">
        <v>105</v>
      </c>
      <c r="D1010" s="7" t="s">
        <v>61</v>
      </c>
      <c r="E1010" s="7" t="s">
        <v>215</v>
      </c>
      <c r="F1010" s="6">
        <v>2</v>
      </c>
      <c r="G1010" s="8" t="s">
        <v>155</v>
      </c>
      <c r="H1010" s="8" t="s">
        <v>156</v>
      </c>
      <c r="I1010" s="109" t="s">
        <v>556</v>
      </c>
      <c r="J1010" s="8" t="s">
        <v>206</v>
      </c>
      <c r="K1010" s="14" t="b">
        <v>1</v>
      </c>
      <c r="L1010" s="14" t="b">
        <v>0</v>
      </c>
      <c r="M1010" s="14" t="b">
        <v>0</v>
      </c>
      <c r="N1010" s="14" t="b">
        <v>1</v>
      </c>
      <c r="O1010" s="14" t="b">
        <v>1</v>
      </c>
    </row>
    <row r="1011" spans="1:15" x14ac:dyDescent="0.25">
      <c r="A1011" s="4">
        <v>35917970000726</v>
      </c>
      <c r="B1011" s="8" t="s">
        <v>1062</v>
      </c>
      <c r="C1011" s="8" t="s">
        <v>105</v>
      </c>
      <c r="D1011" s="7" t="s">
        <v>61</v>
      </c>
      <c r="E1011" s="7" t="s">
        <v>215</v>
      </c>
      <c r="F1011" s="6">
        <v>2</v>
      </c>
      <c r="G1011" s="8" t="s">
        <v>173</v>
      </c>
      <c r="H1011" s="8" t="s">
        <v>174</v>
      </c>
      <c r="I1011" s="109" t="s">
        <v>557</v>
      </c>
      <c r="J1011" s="8" t="s">
        <v>206</v>
      </c>
      <c r="K1011" s="14" t="b">
        <v>0</v>
      </c>
      <c r="L1011" s="14" t="b">
        <v>1</v>
      </c>
      <c r="M1011" s="14" t="b">
        <v>1</v>
      </c>
      <c r="N1011" s="14" t="b">
        <v>0</v>
      </c>
      <c r="O1011" s="14" t="b">
        <v>1</v>
      </c>
    </row>
    <row r="1012" spans="1:15" x14ac:dyDescent="0.25">
      <c r="A1012" s="4">
        <v>36238913000198</v>
      </c>
      <c r="B1012" s="8" t="s">
        <v>1063</v>
      </c>
      <c r="C1012" s="8" t="s">
        <v>1064</v>
      </c>
      <c r="D1012" s="7" t="s">
        <v>61</v>
      </c>
      <c r="E1012" s="7" t="s">
        <v>215</v>
      </c>
      <c r="F1012" s="6">
        <v>2</v>
      </c>
      <c r="G1012" s="8" t="s">
        <v>173</v>
      </c>
      <c r="H1012" s="8" t="s">
        <v>174</v>
      </c>
      <c r="I1012" s="109" t="s">
        <v>557</v>
      </c>
      <c r="J1012" s="8" t="s">
        <v>206</v>
      </c>
      <c r="K1012" s="14" t="b">
        <v>0</v>
      </c>
      <c r="L1012" s="14" t="b">
        <v>1</v>
      </c>
      <c r="M1012" s="14" t="b">
        <v>1</v>
      </c>
      <c r="N1012" s="14" t="b">
        <v>0</v>
      </c>
      <c r="O1012" s="14" t="b">
        <v>1</v>
      </c>
    </row>
    <row r="1013" spans="1:15" x14ac:dyDescent="0.25">
      <c r="A1013" s="4">
        <v>36238913000198</v>
      </c>
      <c r="B1013" s="8" t="s">
        <v>1063</v>
      </c>
      <c r="C1013" s="8" t="s">
        <v>1064</v>
      </c>
      <c r="D1013" s="7" t="s">
        <v>61</v>
      </c>
      <c r="E1013" s="7" t="s">
        <v>215</v>
      </c>
      <c r="F1013" s="6">
        <v>2</v>
      </c>
      <c r="G1013" s="8" t="s">
        <v>155</v>
      </c>
      <c r="H1013" s="8" t="s">
        <v>156</v>
      </c>
      <c r="I1013" s="109" t="s">
        <v>556</v>
      </c>
      <c r="J1013" s="8" t="s">
        <v>206</v>
      </c>
      <c r="K1013" s="14" t="b">
        <v>1</v>
      </c>
      <c r="L1013" s="14" t="b">
        <v>0</v>
      </c>
      <c r="M1013" s="14" t="b">
        <v>0</v>
      </c>
      <c r="N1013" s="14" t="b">
        <v>1</v>
      </c>
      <c r="O1013" s="14" t="b">
        <v>1</v>
      </c>
    </row>
    <row r="1014" spans="1:15" x14ac:dyDescent="0.25">
      <c r="A1014" s="4">
        <v>60884855001207</v>
      </c>
      <c r="B1014" s="8" t="s">
        <v>1065</v>
      </c>
      <c r="C1014" s="8" t="s">
        <v>1039</v>
      </c>
      <c r="D1014" s="7" t="s">
        <v>61</v>
      </c>
      <c r="E1014" s="7" t="s">
        <v>215</v>
      </c>
      <c r="F1014" s="6">
        <v>2</v>
      </c>
      <c r="G1014" s="8" t="s">
        <v>181</v>
      </c>
      <c r="H1014" s="8" t="s">
        <v>182</v>
      </c>
      <c r="I1014" s="109" t="s">
        <v>557</v>
      </c>
      <c r="J1014" s="8" t="s">
        <v>206</v>
      </c>
      <c r="K1014" s="14" t="b">
        <v>0</v>
      </c>
      <c r="L1014" s="14" t="b">
        <v>1</v>
      </c>
      <c r="M1014" s="14" t="b">
        <v>1</v>
      </c>
      <c r="N1014" s="14" t="b">
        <v>0</v>
      </c>
      <c r="O1014" s="14" t="b">
        <v>1</v>
      </c>
    </row>
    <row r="1015" spans="1:15" x14ac:dyDescent="0.25">
      <c r="A1015" s="4">
        <v>60884855001207</v>
      </c>
      <c r="B1015" s="8" t="s">
        <v>1065</v>
      </c>
      <c r="C1015" s="8" t="s">
        <v>1039</v>
      </c>
      <c r="D1015" s="7" t="s">
        <v>61</v>
      </c>
      <c r="E1015" s="7" t="s">
        <v>215</v>
      </c>
      <c r="F1015" s="6">
        <v>2</v>
      </c>
      <c r="G1015" s="8" t="s">
        <v>155</v>
      </c>
      <c r="H1015" s="8" t="s">
        <v>156</v>
      </c>
      <c r="I1015" s="109" t="s">
        <v>556</v>
      </c>
      <c r="J1015" s="8" t="s">
        <v>206</v>
      </c>
      <c r="K1015" s="14" t="b">
        <v>1</v>
      </c>
      <c r="L1015" s="14" t="b">
        <v>0</v>
      </c>
      <c r="M1015" s="14" t="b">
        <v>0</v>
      </c>
      <c r="N1015" s="14" t="b">
        <v>1</v>
      </c>
      <c r="O1015" s="14" t="b">
        <v>1</v>
      </c>
    </row>
    <row r="1016" spans="1:15" x14ac:dyDescent="0.25">
      <c r="A1016" s="4">
        <v>68709211000212</v>
      </c>
      <c r="B1016" s="8" t="s">
        <v>1066</v>
      </c>
      <c r="C1016" s="8" t="s">
        <v>92</v>
      </c>
      <c r="D1016" s="7" t="s">
        <v>61</v>
      </c>
      <c r="E1016" s="7" t="s">
        <v>215</v>
      </c>
      <c r="F1016" s="6">
        <v>2</v>
      </c>
      <c r="G1016" s="8" t="s">
        <v>155</v>
      </c>
      <c r="H1016" s="8" t="s">
        <v>156</v>
      </c>
      <c r="I1016" s="109" t="s">
        <v>556</v>
      </c>
      <c r="J1016" s="8" t="s">
        <v>206</v>
      </c>
      <c r="K1016" s="14" t="b">
        <v>1</v>
      </c>
      <c r="L1016" s="14" t="b">
        <v>0</v>
      </c>
      <c r="M1016" s="14" t="b">
        <v>0</v>
      </c>
      <c r="N1016" s="14" t="b">
        <v>1</v>
      </c>
      <c r="O1016" s="14" t="b">
        <v>1</v>
      </c>
    </row>
    <row r="1017" spans="1:15" x14ac:dyDescent="0.25">
      <c r="A1017" s="4">
        <v>68709211000212</v>
      </c>
      <c r="B1017" s="8" t="s">
        <v>1066</v>
      </c>
      <c r="C1017" s="8" t="s">
        <v>92</v>
      </c>
      <c r="D1017" s="7" t="s">
        <v>61</v>
      </c>
      <c r="E1017" s="7" t="s">
        <v>215</v>
      </c>
      <c r="F1017" s="6">
        <v>2</v>
      </c>
      <c r="G1017" s="8" t="s">
        <v>173</v>
      </c>
      <c r="H1017" s="8" t="s">
        <v>174</v>
      </c>
      <c r="I1017" s="109" t="s">
        <v>557</v>
      </c>
      <c r="J1017" s="8" t="s">
        <v>206</v>
      </c>
      <c r="K1017" s="14" t="b">
        <v>0</v>
      </c>
      <c r="L1017" s="14" t="b">
        <v>1</v>
      </c>
      <c r="M1017" s="14" t="b">
        <v>1</v>
      </c>
      <c r="N1017" s="14" t="b">
        <v>0</v>
      </c>
      <c r="O1017" s="14" t="b">
        <v>1</v>
      </c>
    </row>
    <row r="1018" spans="1:15" x14ac:dyDescent="0.25">
      <c r="A1018" s="4">
        <v>87020517000120</v>
      </c>
      <c r="B1018" s="8" t="s">
        <v>1013</v>
      </c>
      <c r="C1018" s="8" t="s">
        <v>83</v>
      </c>
      <c r="D1018" s="7" t="s">
        <v>67</v>
      </c>
      <c r="E1018" s="7" t="s">
        <v>215</v>
      </c>
      <c r="F1018" s="6">
        <v>2</v>
      </c>
      <c r="G1018" s="8" t="s">
        <v>144</v>
      </c>
      <c r="H1018" s="8" t="s">
        <v>145</v>
      </c>
      <c r="I1018" s="109" t="s">
        <v>557</v>
      </c>
      <c r="J1018" s="8" t="s">
        <v>206</v>
      </c>
      <c r="K1018" s="14" t="b">
        <v>0</v>
      </c>
      <c r="L1018" s="14" t="b">
        <v>1</v>
      </c>
      <c r="M1018" s="14" t="b">
        <v>1</v>
      </c>
      <c r="N1018" s="14" t="b">
        <v>0</v>
      </c>
      <c r="O1018" s="14" t="b">
        <v>1</v>
      </c>
    </row>
    <row r="1019" spans="1:15" x14ac:dyDescent="0.25">
      <c r="A1019" s="4">
        <v>87096616003101</v>
      </c>
      <c r="B1019" s="8" t="s">
        <v>1014</v>
      </c>
      <c r="C1019" s="8" t="s">
        <v>83</v>
      </c>
      <c r="D1019" s="7" t="s">
        <v>67</v>
      </c>
      <c r="E1019" s="7" t="s">
        <v>215</v>
      </c>
      <c r="F1019" s="6">
        <v>2</v>
      </c>
      <c r="G1019" s="8" t="s">
        <v>144</v>
      </c>
      <c r="H1019" s="8" t="s">
        <v>145</v>
      </c>
      <c r="I1019" s="109" t="s">
        <v>557</v>
      </c>
      <c r="J1019" s="8" t="s">
        <v>206</v>
      </c>
      <c r="K1019" s="14" t="b">
        <v>0</v>
      </c>
      <c r="L1019" s="14" t="b">
        <v>1</v>
      </c>
      <c r="M1019" s="14" t="b">
        <v>1</v>
      </c>
      <c r="N1019" s="14" t="b">
        <v>0</v>
      </c>
      <c r="O1019" s="14" t="b">
        <v>1</v>
      </c>
    </row>
    <row r="1020" spans="1:15" x14ac:dyDescent="0.25">
      <c r="A1020" s="4">
        <v>87317764001084</v>
      </c>
      <c r="B1020" s="8" t="s">
        <v>1015</v>
      </c>
      <c r="C1020" s="8" t="s">
        <v>83</v>
      </c>
      <c r="D1020" s="7" t="s">
        <v>67</v>
      </c>
      <c r="E1020" s="7" t="s">
        <v>215</v>
      </c>
      <c r="F1020" s="6">
        <v>2</v>
      </c>
      <c r="G1020" s="8" t="s">
        <v>144</v>
      </c>
      <c r="H1020" s="8" t="s">
        <v>145</v>
      </c>
      <c r="I1020" s="109" t="s">
        <v>557</v>
      </c>
      <c r="J1020" s="8" t="s">
        <v>206</v>
      </c>
      <c r="K1020" s="14" t="b">
        <v>0</v>
      </c>
      <c r="L1020" s="14" t="b">
        <v>1</v>
      </c>
      <c r="M1020" s="14" t="b">
        <v>1</v>
      </c>
      <c r="N1020" s="14" t="b">
        <v>0</v>
      </c>
      <c r="O1020" s="14" t="b">
        <v>1</v>
      </c>
    </row>
    <row r="1021" spans="1:15" x14ac:dyDescent="0.25">
      <c r="A1021" s="4">
        <v>87317764001165</v>
      </c>
      <c r="B1021" s="8" t="s">
        <v>1016</v>
      </c>
      <c r="C1021" s="8" t="s">
        <v>541</v>
      </c>
      <c r="D1021" s="7" t="s">
        <v>67</v>
      </c>
      <c r="E1021" s="7" t="s">
        <v>215</v>
      </c>
      <c r="F1021" s="6">
        <v>2</v>
      </c>
      <c r="G1021" s="8" t="s">
        <v>144</v>
      </c>
      <c r="H1021" s="8" t="s">
        <v>145</v>
      </c>
      <c r="I1021" s="109" t="s">
        <v>557</v>
      </c>
      <c r="J1021" s="8" t="s">
        <v>206</v>
      </c>
      <c r="K1021" s="14" t="b">
        <v>0</v>
      </c>
      <c r="L1021" s="14" t="b">
        <v>1</v>
      </c>
      <c r="M1021" s="14" t="b">
        <v>1</v>
      </c>
      <c r="N1021" s="14" t="b">
        <v>0</v>
      </c>
      <c r="O1021" s="14" t="b">
        <v>1</v>
      </c>
    </row>
    <row r="1022" spans="1:15" x14ac:dyDescent="0.25">
      <c r="A1022" s="4">
        <v>87547444000120</v>
      </c>
      <c r="B1022" s="8" t="s">
        <v>1017</v>
      </c>
      <c r="C1022" s="8" t="s">
        <v>1018</v>
      </c>
      <c r="D1022" s="7" t="s">
        <v>67</v>
      </c>
      <c r="E1022" s="7" t="s">
        <v>215</v>
      </c>
      <c r="F1022" s="6">
        <v>2</v>
      </c>
      <c r="G1022" s="8" t="s">
        <v>144</v>
      </c>
      <c r="H1022" s="8" t="s">
        <v>145</v>
      </c>
      <c r="I1022" s="109" t="s">
        <v>557</v>
      </c>
      <c r="J1022" s="8" t="s">
        <v>206</v>
      </c>
      <c r="K1022" s="14" t="b">
        <v>0</v>
      </c>
      <c r="L1022" s="14" t="b">
        <v>1</v>
      </c>
      <c r="M1022" s="14" t="b">
        <v>1</v>
      </c>
      <c r="N1022" s="14" t="b">
        <v>0</v>
      </c>
      <c r="O1022" s="14" t="b">
        <v>1</v>
      </c>
    </row>
    <row r="1023" spans="1:15" x14ac:dyDescent="0.25">
      <c r="A1023" s="4">
        <v>87607149000626</v>
      </c>
      <c r="B1023" s="8" t="s">
        <v>1019</v>
      </c>
      <c r="C1023" s="8" t="s">
        <v>96</v>
      </c>
      <c r="D1023" s="7" t="s">
        <v>67</v>
      </c>
      <c r="E1023" s="7" t="s">
        <v>215</v>
      </c>
      <c r="F1023" s="6">
        <v>2</v>
      </c>
      <c r="G1023" s="8" t="s">
        <v>144</v>
      </c>
      <c r="H1023" s="8" t="s">
        <v>145</v>
      </c>
      <c r="I1023" s="109" t="s">
        <v>557</v>
      </c>
      <c r="J1023" s="8" t="s">
        <v>206</v>
      </c>
      <c r="K1023" s="14" t="b">
        <v>0</v>
      </c>
      <c r="L1023" s="14" t="b">
        <v>1</v>
      </c>
      <c r="M1023" s="14" t="b">
        <v>1</v>
      </c>
      <c r="N1023" s="14" t="b">
        <v>0</v>
      </c>
      <c r="O1023" s="14" t="b">
        <v>1</v>
      </c>
    </row>
    <row r="1024" spans="1:15" x14ac:dyDescent="0.25">
      <c r="A1024" s="4">
        <v>87638334000505</v>
      </c>
      <c r="B1024" s="8" t="s">
        <v>1020</v>
      </c>
      <c r="C1024" s="8" t="s">
        <v>129</v>
      </c>
      <c r="D1024" s="7" t="s">
        <v>67</v>
      </c>
      <c r="E1024" s="7" t="s">
        <v>215</v>
      </c>
      <c r="F1024" s="6">
        <v>2</v>
      </c>
      <c r="G1024" s="8" t="s">
        <v>144</v>
      </c>
      <c r="H1024" s="8" t="s">
        <v>145</v>
      </c>
      <c r="I1024" s="109" t="s">
        <v>557</v>
      </c>
      <c r="J1024" s="8" t="s">
        <v>206</v>
      </c>
      <c r="K1024" s="14" t="b">
        <v>0</v>
      </c>
      <c r="L1024" s="14" t="b">
        <v>1</v>
      </c>
      <c r="M1024" s="14" t="b">
        <v>1</v>
      </c>
      <c r="N1024" s="14" t="b">
        <v>0</v>
      </c>
      <c r="O1024" s="14" t="b">
        <v>1</v>
      </c>
    </row>
    <row r="1025" spans="1:15" x14ac:dyDescent="0.25">
      <c r="A1025" s="4">
        <v>87827689002405</v>
      </c>
      <c r="B1025" s="8" t="s">
        <v>1021</v>
      </c>
      <c r="C1025" s="8" t="s">
        <v>66</v>
      </c>
      <c r="D1025" s="7" t="s">
        <v>67</v>
      </c>
      <c r="E1025" s="7" t="s">
        <v>215</v>
      </c>
      <c r="F1025" s="6">
        <v>2</v>
      </c>
      <c r="G1025" s="8" t="s">
        <v>144</v>
      </c>
      <c r="H1025" s="8" t="s">
        <v>145</v>
      </c>
      <c r="I1025" s="109" t="s">
        <v>557</v>
      </c>
      <c r="J1025" s="8" t="s">
        <v>206</v>
      </c>
      <c r="K1025" s="14" t="b">
        <v>0</v>
      </c>
      <c r="L1025" s="14" t="b">
        <v>1</v>
      </c>
      <c r="M1025" s="14" t="b">
        <v>1</v>
      </c>
      <c r="N1025" s="14" t="b">
        <v>0</v>
      </c>
      <c r="O1025" s="14" t="b">
        <v>1</v>
      </c>
    </row>
    <row r="1026" spans="1:15" x14ac:dyDescent="0.25">
      <c r="A1026" s="4">
        <v>87958625000149</v>
      </c>
      <c r="B1026" s="8" t="s">
        <v>1022</v>
      </c>
      <c r="C1026" s="8" t="s">
        <v>83</v>
      </c>
      <c r="D1026" s="7" t="s">
        <v>67</v>
      </c>
      <c r="E1026" s="7" t="s">
        <v>215</v>
      </c>
      <c r="F1026" s="6">
        <v>2</v>
      </c>
      <c r="G1026" s="8" t="s">
        <v>144</v>
      </c>
      <c r="H1026" s="8" t="s">
        <v>145</v>
      </c>
      <c r="I1026" s="109" t="s">
        <v>557</v>
      </c>
      <c r="J1026" s="8" t="s">
        <v>206</v>
      </c>
      <c r="K1026" s="14" t="b">
        <v>0</v>
      </c>
      <c r="L1026" s="14" t="b">
        <v>1</v>
      </c>
      <c r="M1026" s="14" t="b">
        <v>1</v>
      </c>
      <c r="N1026" s="14" t="b">
        <v>0</v>
      </c>
      <c r="O1026" s="14" t="b">
        <v>1</v>
      </c>
    </row>
    <row r="1027" spans="1:15" x14ac:dyDescent="0.25">
      <c r="A1027" s="4">
        <v>88625686002443</v>
      </c>
      <c r="B1027" s="8" t="s">
        <v>1023</v>
      </c>
      <c r="C1027" s="8" t="s">
        <v>83</v>
      </c>
      <c r="D1027" s="7" t="s">
        <v>67</v>
      </c>
      <c r="E1027" s="7" t="s">
        <v>215</v>
      </c>
      <c r="F1027" s="6">
        <v>2</v>
      </c>
      <c r="G1027" s="8" t="s">
        <v>144</v>
      </c>
      <c r="H1027" s="8" t="s">
        <v>145</v>
      </c>
      <c r="I1027" s="109" t="s">
        <v>557</v>
      </c>
      <c r="J1027" s="8" t="s">
        <v>206</v>
      </c>
      <c r="K1027" s="14" t="b">
        <v>0</v>
      </c>
      <c r="L1027" s="14" t="b">
        <v>1</v>
      </c>
      <c r="M1027" s="14" t="b">
        <v>1</v>
      </c>
      <c r="N1027" s="14" t="b">
        <v>0</v>
      </c>
      <c r="O1027" s="14" t="b">
        <v>1</v>
      </c>
    </row>
    <row r="1028" spans="1:15" x14ac:dyDescent="0.25">
      <c r="A1028" s="4">
        <v>88630413000796</v>
      </c>
      <c r="B1028" s="8" t="s">
        <v>1024</v>
      </c>
      <c r="C1028" s="8" t="s">
        <v>83</v>
      </c>
      <c r="D1028" s="7" t="s">
        <v>67</v>
      </c>
      <c r="E1028" s="7" t="s">
        <v>215</v>
      </c>
      <c r="F1028" s="6">
        <v>2</v>
      </c>
      <c r="G1028" s="8" t="s">
        <v>144</v>
      </c>
      <c r="H1028" s="8" t="s">
        <v>145</v>
      </c>
      <c r="I1028" s="109" t="s">
        <v>557</v>
      </c>
      <c r="J1028" s="8" t="s">
        <v>206</v>
      </c>
      <c r="K1028" s="14" t="b">
        <v>0</v>
      </c>
      <c r="L1028" s="14" t="b">
        <v>1</v>
      </c>
      <c r="M1028" s="14" t="b">
        <v>1</v>
      </c>
      <c r="N1028" s="14" t="b">
        <v>0</v>
      </c>
      <c r="O1028" s="14" t="b">
        <v>1</v>
      </c>
    </row>
    <row r="1029" spans="1:15" x14ac:dyDescent="0.25">
      <c r="A1029" s="4">
        <v>88645403001372</v>
      </c>
      <c r="B1029" s="8" t="s">
        <v>1025</v>
      </c>
      <c r="C1029" s="8" t="s">
        <v>66</v>
      </c>
      <c r="D1029" s="7" t="s">
        <v>67</v>
      </c>
      <c r="E1029" s="7" t="s">
        <v>215</v>
      </c>
      <c r="F1029" s="6">
        <v>2</v>
      </c>
      <c r="G1029" s="8" t="s">
        <v>144</v>
      </c>
      <c r="H1029" s="8" t="s">
        <v>145</v>
      </c>
      <c r="I1029" s="109" t="s">
        <v>557</v>
      </c>
      <c r="J1029" s="8" t="s">
        <v>206</v>
      </c>
      <c r="K1029" s="14" t="b">
        <v>0</v>
      </c>
      <c r="L1029" s="14" t="b">
        <v>1</v>
      </c>
      <c r="M1029" s="14" t="b">
        <v>1</v>
      </c>
      <c r="N1029" s="14" t="b">
        <v>0</v>
      </c>
      <c r="O1029" s="14" t="b">
        <v>1</v>
      </c>
    </row>
    <row r="1030" spans="1:15" x14ac:dyDescent="0.25">
      <c r="A1030" s="4">
        <v>88830609000139</v>
      </c>
      <c r="B1030" s="8" t="s">
        <v>1026</v>
      </c>
      <c r="C1030" s="8" t="s">
        <v>66</v>
      </c>
      <c r="D1030" s="7" t="s">
        <v>67</v>
      </c>
      <c r="E1030" s="7" t="s">
        <v>215</v>
      </c>
      <c r="F1030" s="6">
        <v>2</v>
      </c>
      <c r="G1030" s="8" t="s">
        <v>144</v>
      </c>
      <c r="H1030" s="8" t="s">
        <v>145</v>
      </c>
      <c r="I1030" s="109" t="s">
        <v>557</v>
      </c>
      <c r="J1030" s="8" t="s">
        <v>206</v>
      </c>
      <c r="K1030" s="14" t="b">
        <v>0</v>
      </c>
      <c r="L1030" s="14" t="b">
        <v>1</v>
      </c>
      <c r="M1030" s="14" t="b">
        <v>1</v>
      </c>
      <c r="N1030" s="14" t="b">
        <v>0</v>
      </c>
      <c r="O1030" s="14" t="b">
        <v>1</v>
      </c>
    </row>
    <row r="1031" spans="1:15" x14ac:dyDescent="0.25">
      <c r="A1031" s="4">
        <v>92021062000360</v>
      </c>
      <c r="B1031" s="8" t="s">
        <v>1027</v>
      </c>
      <c r="C1031" s="8" t="s">
        <v>96</v>
      </c>
      <c r="D1031" s="7" t="s">
        <v>67</v>
      </c>
      <c r="E1031" s="7" t="s">
        <v>215</v>
      </c>
      <c r="F1031" s="6">
        <v>2</v>
      </c>
      <c r="G1031" s="8" t="s">
        <v>144</v>
      </c>
      <c r="H1031" s="8" t="s">
        <v>145</v>
      </c>
      <c r="I1031" s="109" t="s">
        <v>557</v>
      </c>
      <c r="J1031" s="8" t="s">
        <v>206</v>
      </c>
      <c r="K1031" s="14" t="b">
        <v>0</v>
      </c>
      <c r="L1031" s="14" t="b">
        <v>1</v>
      </c>
      <c r="M1031" s="14" t="b">
        <v>1</v>
      </c>
      <c r="N1031" s="14" t="b">
        <v>0</v>
      </c>
      <c r="O1031" s="14" t="b">
        <v>1</v>
      </c>
    </row>
    <row r="1032" spans="1:15" x14ac:dyDescent="0.25">
      <c r="A1032" s="4">
        <v>92404789000164</v>
      </c>
      <c r="B1032" s="8" t="s">
        <v>1028</v>
      </c>
      <c r="C1032" s="8" t="s">
        <v>106</v>
      </c>
      <c r="D1032" s="7" t="s">
        <v>67</v>
      </c>
      <c r="E1032" s="7" t="s">
        <v>215</v>
      </c>
      <c r="F1032" s="6">
        <v>2</v>
      </c>
      <c r="G1032" s="8" t="s">
        <v>144</v>
      </c>
      <c r="H1032" s="8" t="s">
        <v>145</v>
      </c>
      <c r="I1032" s="109" t="s">
        <v>557</v>
      </c>
      <c r="J1032" s="8" t="s">
        <v>206</v>
      </c>
      <c r="K1032" s="14" t="b">
        <v>0</v>
      </c>
      <c r="L1032" s="14" t="b">
        <v>1</v>
      </c>
      <c r="M1032" s="14" t="b">
        <v>1</v>
      </c>
      <c r="N1032" s="14" t="b">
        <v>0</v>
      </c>
      <c r="O1032" s="14" t="b">
        <v>1</v>
      </c>
    </row>
    <row r="1033" spans="1:15" x14ac:dyDescent="0.25">
      <c r="A1033" s="4">
        <v>92685833000151</v>
      </c>
      <c r="B1033" s="8" t="s">
        <v>1029</v>
      </c>
      <c r="C1033" s="8" t="s">
        <v>83</v>
      </c>
      <c r="D1033" s="7" t="s">
        <v>67</v>
      </c>
      <c r="E1033" s="7" t="s">
        <v>215</v>
      </c>
      <c r="F1033" s="6">
        <v>2</v>
      </c>
      <c r="G1033" s="8" t="s">
        <v>144</v>
      </c>
      <c r="H1033" s="8" t="s">
        <v>145</v>
      </c>
      <c r="I1033" s="109" t="s">
        <v>557</v>
      </c>
      <c r="J1033" s="8" t="s">
        <v>206</v>
      </c>
      <c r="K1033" s="14" t="b">
        <v>0</v>
      </c>
      <c r="L1033" s="14" t="b">
        <v>1</v>
      </c>
      <c r="M1033" s="14" t="b">
        <v>1</v>
      </c>
      <c r="N1033" s="14" t="b">
        <v>0</v>
      </c>
      <c r="O1033" s="14" t="b">
        <v>1</v>
      </c>
    </row>
    <row r="1034" spans="1:15" x14ac:dyDescent="0.25">
      <c r="A1034" s="4">
        <v>92741016000254</v>
      </c>
      <c r="B1034" s="8" t="s">
        <v>1030</v>
      </c>
      <c r="C1034" s="8" t="s">
        <v>83</v>
      </c>
      <c r="D1034" s="7" t="s">
        <v>67</v>
      </c>
      <c r="E1034" s="7" t="s">
        <v>215</v>
      </c>
      <c r="F1034" s="6">
        <v>2</v>
      </c>
      <c r="G1034" s="8" t="s">
        <v>144</v>
      </c>
      <c r="H1034" s="8" t="s">
        <v>145</v>
      </c>
      <c r="I1034" s="109" t="s">
        <v>557</v>
      </c>
      <c r="J1034" s="8" t="s">
        <v>206</v>
      </c>
      <c r="K1034" s="14" t="b">
        <v>0</v>
      </c>
      <c r="L1034" s="14" t="b">
        <v>1</v>
      </c>
      <c r="M1034" s="14" t="b">
        <v>1</v>
      </c>
      <c r="N1034" s="14" t="b">
        <v>0</v>
      </c>
      <c r="O1034" s="14" t="b">
        <v>1</v>
      </c>
    </row>
    <row r="1035" spans="1:15" x14ac:dyDescent="0.25">
      <c r="A1035" s="4">
        <v>92787118000120</v>
      </c>
      <c r="B1035" s="8" t="s">
        <v>1031</v>
      </c>
      <c r="C1035" s="8" t="s">
        <v>83</v>
      </c>
      <c r="D1035" s="7" t="s">
        <v>67</v>
      </c>
      <c r="E1035" s="7" t="s">
        <v>215</v>
      </c>
      <c r="F1035" s="6">
        <v>2</v>
      </c>
      <c r="G1035" s="8" t="s">
        <v>144</v>
      </c>
      <c r="H1035" s="8" t="s">
        <v>145</v>
      </c>
      <c r="I1035" s="109" t="s">
        <v>557</v>
      </c>
      <c r="J1035" s="8" t="s">
        <v>206</v>
      </c>
      <c r="K1035" s="14" t="b">
        <v>0</v>
      </c>
      <c r="L1035" s="14" t="b">
        <v>1</v>
      </c>
      <c r="M1035" s="14" t="b">
        <v>1</v>
      </c>
      <c r="N1035" s="14" t="b">
        <v>0</v>
      </c>
      <c r="O1035" s="14" t="b">
        <v>1</v>
      </c>
    </row>
    <row r="1036" spans="1:15" x14ac:dyDescent="0.25">
      <c r="A1036" s="4">
        <v>92787118000391</v>
      </c>
      <c r="B1036" s="8" t="s">
        <v>1032</v>
      </c>
      <c r="C1036" s="8" t="s">
        <v>83</v>
      </c>
      <c r="D1036" s="7" t="s">
        <v>67</v>
      </c>
      <c r="E1036" s="7" t="s">
        <v>215</v>
      </c>
      <c r="F1036" s="6">
        <v>2</v>
      </c>
      <c r="G1036" s="8" t="s">
        <v>144</v>
      </c>
      <c r="H1036" s="8" t="s">
        <v>145</v>
      </c>
      <c r="I1036" s="109" t="s">
        <v>557</v>
      </c>
      <c r="J1036" s="8" t="s">
        <v>206</v>
      </c>
      <c r="K1036" s="14" t="b">
        <v>0</v>
      </c>
      <c r="L1036" s="14" t="b">
        <v>1</v>
      </c>
      <c r="M1036" s="14" t="b">
        <v>1</v>
      </c>
      <c r="N1036" s="14" t="b">
        <v>0</v>
      </c>
      <c r="O1036" s="14" t="b">
        <v>1</v>
      </c>
    </row>
    <row r="1037" spans="1:15" x14ac:dyDescent="0.25">
      <c r="A1037" s="4">
        <v>92815000000168</v>
      </c>
      <c r="B1037" s="8" t="s">
        <v>1033</v>
      </c>
      <c r="C1037" s="8" t="s">
        <v>83</v>
      </c>
      <c r="D1037" s="7" t="s">
        <v>67</v>
      </c>
      <c r="E1037" s="7" t="s">
        <v>215</v>
      </c>
      <c r="F1037" s="6">
        <v>2</v>
      </c>
      <c r="G1037" s="8" t="s">
        <v>144</v>
      </c>
      <c r="H1037" s="8" t="s">
        <v>145</v>
      </c>
      <c r="I1037" s="109" t="s">
        <v>557</v>
      </c>
      <c r="J1037" s="8" t="s">
        <v>206</v>
      </c>
      <c r="K1037" s="14" t="b">
        <v>0</v>
      </c>
      <c r="L1037" s="14" t="b">
        <v>1</v>
      </c>
      <c r="M1037" s="14" t="b">
        <v>1</v>
      </c>
      <c r="N1037" s="14" t="b">
        <v>0</v>
      </c>
      <c r="O1037" s="14" t="b">
        <v>1</v>
      </c>
    </row>
    <row r="1038" spans="1:15" x14ac:dyDescent="0.25">
      <c r="A1038" s="4">
        <v>92898550000198</v>
      </c>
      <c r="B1038" s="8" t="s">
        <v>1034</v>
      </c>
      <c r="C1038" s="8" t="s">
        <v>83</v>
      </c>
      <c r="D1038" s="7" t="s">
        <v>67</v>
      </c>
      <c r="E1038" s="7" t="s">
        <v>215</v>
      </c>
      <c r="F1038" s="6">
        <v>2</v>
      </c>
      <c r="G1038" s="8" t="s">
        <v>144</v>
      </c>
      <c r="H1038" s="8" t="s">
        <v>145</v>
      </c>
      <c r="I1038" s="109" t="s">
        <v>557</v>
      </c>
      <c r="J1038" s="8" t="s">
        <v>206</v>
      </c>
      <c r="K1038" s="14" t="b">
        <v>0</v>
      </c>
      <c r="L1038" s="14" t="b">
        <v>1</v>
      </c>
      <c r="M1038" s="14" t="b">
        <v>1</v>
      </c>
      <c r="N1038" s="14" t="b">
        <v>0</v>
      </c>
      <c r="O1038" s="14" t="b">
        <v>1</v>
      </c>
    </row>
    <row r="1039" spans="1:15" x14ac:dyDescent="0.25">
      <c r="A1039" s="4">
        <v>92963560000160</v>
      </c>
      <c r="B1039" s="8" t="s">
        <v>1035</v>
      </c>
      <c r="C1039" s="8" t="s">
        <v>83</v>
      </c>
      <c r="D1039" s="7" t="s">
        <v>67</v>
      </c>
      <c r="E1039" s="7" t="s">
        <v>215</v>
      </c>
      <c r="F1039" s="6">
        <v>2</v>
      </c>
      <c r="G1039" s="8" t="s">
        <v>144</v>
      </c>
      <c r="H1039" s="8" t="s">
        <v>145</v>
      </c>
      <c r="I1039" s="109" t="s">
        <v>557</v>
      </c>
      <c r="J1039" s="8" t="s">
        <v>206</v>
      </c>
      <c r="K1039" s="14" t="b">
        <v>0</v>
      </c>
      <c r="L1039" s="14" t="b">
        <v>1</v>
      </c>
      <c r="M1039" s="14" t="b">
        <v>1</v>
      </c>
      <c r="N1039" s="14" t="b">
        <v>0</v>
      </c>
      <c r="O1039" s="14" t="b">
        <v>1</v>
      </c>
    </row>
    <row r="1040" spans="1:15" x14ac:dyDescent="0.25">
      <c r="A1040" s="4">
        <v>94831294000147</v>
      </c>
      <c r="B1040" s="8" t="s">
        <v>1036</v>
      </c>
      <c r="C1040" s="8" t="s">
        <v>83</v>
      </c>
      <c r="D1040" s="7" t="s">
        <v>67</v>
      </c>
      <c r="E1040" s="7" t="s">
        <v>215</v>
      </c>
      <c r="F1040" s="6">
        <v>2</v>
      </c>
      <c r="G1040" s="8" t="s">
        <v>144</v>
      </c>
      <c r="H1040" s="8" t="s">
        <v>145</v>
      </c>
      <c r="I1040" s="109" t="s">
        <v>557</v>
      </c>
      <c r="J1040" s="8" t="s">
        <v>206</v>
      </c>
      <c r="K1040" s="14" t="b">
        <v>0</v>
      </c>
      <c r="L1040" s="14" t="b">
        <v>1</v>
      </c>
      <c r="M1040" s="14" t="b">
        <v>1</v>
      </c>
      <c r="N1040" s="14" t="b">
        <v>0</v>
      </c>
      <c r="O1040" s="14" t="b">
        <v>1</v>
      </c>
    </row>
    <row r="1041" spans="1:15" x14ac:dyDescent="0.25">
      <c r="A1041" s="4">
        <v>95610887000146</v>
      </c>
      <c r="B1041" s="8" t="s">
        <v>1037</v>
      </c>
      <c r="C1041" s="8" t="s">
        <v>87</v>
      </c>
      <c r="D1041" s="7" t="s">
        <v>67</v>
      </c>
      <c r="E1041" s="7" t="s">
        <v>215</v>
      </c>
      <c r="F1041" s="6">
        <v>2</v>
      </c>
      <c r="G1041" s="8" t="s">
        <v>144</v>
      </c>
      <c r="H1041" s="8" t="s">
        <v>145</v>
      </c>
      <c r="I1041" s="109" t="s">
        <v>557</v>
      </c>
      <c r="J1041" s="8" t="s">
        <v>206</v>
      </c>
      <c r="K1041" s="14" t="b">
        <v>0</v>
      </c>
      <c r="L1041" s="14" t="b">
        <v>1</v>
      </c>
      <c r="M1041" s="14" t="b">
        <v>1</v>
      </c>
      <c r="N1041" s="14" t="b">
        <v>0</v>
      </c>
      <c r="O1041" s="14" t="b">
        <v>1</v>
      </c>
    </row>
    <row r="1042" spans="1:15" x14ac:dyDescent="0.25">
      <c r="A1042" s="4">
        <v>320465020</v>
      </c>
      <c r="B1042" s="8" t="s">
        <v>1067</v>
      </c>
      <c r="C1042" s="8" t="s">
        <v>131</v>
      </c>
      <c r="D1042" s="7" t="s">
        <v>61</v>
      </c>
      <c r="E1042" s="7" t="s">
        <v>215</v>
      </c>
      <c r="F1042" s="6">
        <v>2</v>
      </c>
      <c r="G1042" s="8" t="s">
        <v>181</v>
      </c>
      <c r="H1042" s="8" t="s">
        <v>182</v>
      </c>
      <c r="I1042" s="109" t="s">
        <v>557</v>
      </c>
      <c r="J1042" s="8" t="s">
        <v>206</v>
      </c>
      <c r="K1042" s="14" t="b">
        <v>0</v>
      </c>
      <c r="L1042" s="14" t="b">
        <v>1</v>
      </c>
      <c r="M1042" s="14" t="b">
        <v>1</v>
      </c>
      <c r="N1042" s="14" t="b">
        <v>0</v>
      </c>
      <c r="O1042" s="14" t="b">
        <v>1</v>
      </c>
    </row>
    <row r="1043" spans="1:15" x14ac:dyDescent="0.25">
      <c r="A1043" s="4">
        <v>5371944796</v>
      </c>
      <c r="B1043" s="8" t="s">
        <v>1068</v>
      </c>
      <c r="C1043" s="8" t="s">
        <v>131</v>
      </c>
      <c r="D1043" s="7" t="s">
        <v>61</v>
      </c>
      <c r="E1043" s="7" t="s">
        <v>215</v>
      </c>
      <c r="F1043" s="6">
        <v>2</v>
      </c>
      <c r="G1043" s="8" t="s">
        <v>173</v>
      </c>
      <c r="H1043" s="8" t="s">
        <v>174</v>
      </c>
      <c r="I1043" s="109" t="s">
        <v>557</v>
      </c>
      <c r="J1043" s="8" t="s">
        <v>206</v>
      </c>
      <c r="K1043" s="14" t="b">
        <v>0</v>
      </c>
      <c r="L1043" s="14" t="b">
        <v>1</v>
      </c>
      <c r="M1043" s="14" t="b">
        <v>1</v>
      </c>
      <c r="N1043" s="14" t="b">
        <v>0</v>
      </c>
      <c r="O1043" s="14" t="b">
        <v>1</v>
      </c>
    </row>
    <row r="1044" spans="1:15" x14ac:dyDescent="0.25">
      <c r="A1044" s="4">
        <v>11114987760</v>
      </c>
      <c r="B1044" s="8" t="s">
        <v>1069</v>
      </c>
      <c r="C1044" s="8" t="s">
        <v>131</v>
      </c>
      <c r="D1044" s="7" t="s">
        <v>61</v>
      </c>
      <c r="E1044" s="7" t="s">
        <v>215</v>
      </c>
      <c r="F1044" s="6">
        <v>2</v>
      </c>
      <c r="G1044" s="8" t="s">
        <v>173</v>
      </c>
      <c r="H1044" s="8" t="s">
        <v>174</v>
      </c>
      <c r="I1044" s="109" t="s">
        <v>557</v>
      </c>
      <c r="J1044" s="8" t="s">
        <v>206</v>
      </c>
      <c r="K1044" s="14" t="b">
        <v>0</v>
      </c>
      <c r="L1044" s="14" t="b">
        <v>1</v>
      </c>
      <c r="M1044" s="14" t="b">
        <v>1</v>
      </c>
      <c r="N1044" s="14" t="b">
        <v>0</v>
      </c>
      <c r="O1044" s="14" t="b">
        <v>1</v>
      </c>
    </row>
    <row r="1045" spans="1:15" x14ac:dyDescent="0.25">
      <c r="A1045" s="4">
        <v>92929000198</v>
      </c>
      <c r="B1045" s="8" t="s">
        <v>1327</v>
      </c>
      <c r="C1045" s="8" t="s">
        <v>131</v>
      </c>
      <c r="D1045" s="7" t="s">
        <v>61</v>
      </c>
      <c r="E1045" s="7" t="s">
        <v>215</v>
      </c>
      <c r="F1045" s="6">
        <v>2</v>
      </c>
      <c r="G1045" s="8" t="s">
        <v>181</v>
      </c>
      <c r="H1045" s="8" t="s">
        <v>182</v>
      </c>
      <c r="I1045" s="109" t="s">
        <v>557</v>
      </c>
      <c r="J1045" s="8" t="s">
        <v>206</v>
      </c>
      <c r="K1045" s="14" t="b">
        <v>0</v>
      </c>
      <c r="L1045" s="14" t="b">
        <v>1</v>
      </c>
      <c r="M1045" s="14" t="b">
        <v>1</v>
      </c>
      <c r="N1045" s="14" t="b">
        <v>0</v>
      </c>
      <c r="O1045" s="14" t="b">
        <v>1</v>
      </c>
    </row>
    <row r="1046" spans="1:15" x14ac:dyDescent="0.25">
      <c r="A1046" s="4">
        <v>394429017429</v>
      </c>
      <c r="B1046" s="8" t="s">
        <v>1410</v>
      </c>
      <c r="C1046" s="8" t="s">
        <v>131</v>
      </c>
      <c r="D1046" s="7" t="s">
        <v>61</v>
      </c>
      <c r="E1046" s="7" t="s">
        <v>215</v>
      </c>
      <c r="F1046" s="6">
        <v>2</v>
      </c>
      <c r="G1046" s="8" t="s">
        <v>173</v>
      </c>
      <c r="H1046" s="8" t="s">
        <v>174</v>
      </c>
      <c r="I1046" s="109" t="s">
        <v>557</v>
      </c>
      <c r="J1046" s="8" t="s">
        <v>206</v>
      </c>
      <c r="K1046" s="14" t="b">
        <v>0</v>
      </c>
      <c r="L1046" s="14" t="b">
        <v>1</v>
      </c>
      <c r="M1046" s="14" t="b">
        <v>1</v>
      </c>
      <c r="N1046" s="14" t="b">
        <v>0</v>
      </c>
      <c r="O1046" s="14" t="b">
        <v>1</v>
      </c>
    </row>
    <row r="1047" spans="1:15" x14ac:dyDescent="0.25">
      <c r="A1047" s="4">
        <v>394502014870</v>
      </c>
      <c r="B1047" s="8" t="s">
        <v>1070</v>
      </c>
      <c r="C1047" s="8" t="s">
        <v>131</v>
      </c>
      <c r="D1047" s="7" t="s">
        <v>61</v>
      </c>
      <c r="E1047" s="7" t="s">
        <v>215</v>
      </c>
      <c r="F1047" s="6">
        <v>2</v>
      </c>
      <c r="G1047" s="8" t="s">
        <v>173</v>
      </c>
      <c r="H1047" s="8" t="s">
        <v>174</v>
      </c>
      <c r="I1047" s="109" t="s">
        <v>557</v>
      </c>
      <c r="J1047" s="8" t="s">
        <v>206</v>
      </c>
      <c r="K1047" s="14" t="b">
        <v>0</v>
      </c>
      <c r="L1047" s="14" t="b">
        <v>1</v>
      </c>
      <c r="M1047" s="14" t="b">
        <v>1</v>
      </c>
      <c r="N1047" s="14" t="b">
        <v>0</v>
      </c>
      <c r="O1047" s="14" t="b">
        <v>1</v>
      </c>
    </row>
    <row r="1048" spans="1:15" x14ac:dyDescent="0.25">
      <c r="A1048" s="4">
        <v>394544017150</v>
      </c>
      <c r="B1048" s="8" t="s">
        <v>1071</v>
      </c>
      <c r="C1048" s="8" t="s">
        <v>131</v>
      </c>
      <c r="D1048" s="7" t="s">
        <v>61</v>
      </c>
      <c r="E1048" s="7" t="s">
        <v>215</v>
      </c>
      <c r="F1048" s="6">
        <v>2</v>
      </c>
      <c r="G1048" s="8" t="s">
        <v>173</v>
      </c>
      <c r="H1048" s="8" t="s">
        <v>174</v>
      </c>
      <c r="I1048" s="109" t="s">
        <v>557</v>
      </c>
      <c r="J1048" s="8" t="s">
        <v>206</v>
      </c>
      <c r="K1048" s="14" t="b">
        <v>0</v>
      </c>
      <c r="L1048" s="14" t="b">
        <v>1</v>
      </c>
      <c r="M1048" s="14" t="b">
        <v>1</v>
      </c>
      <c r="N1048" s="14" t="b">
        <v>0</v>
      </c>
      <c r="O1048" s="14" t="b">
        <v>1</v>
      </c>
    </row>
    <row r="1049" spans="1:15" x14ac:dyDescent="0.25">
      <c r="A1049" s="4">
        <v>394544020291</v>
      </c>
      <c r="B1049" s="8" t="s">
        <v>1072</v>
      </c>
      <c r="C1049" s="8" t="s">
        <v>131</v>
      </c>
      <c r="D1049" s="7" t="s">
        <v>61</v>
      </c>
      <c r="E1049" s="7" t="s">
        <v>215</v>
      </c>
      <c r="F1049" s="6">
        <v>2</v>
      </c>
      <c r="G1049" s="8" t="s">
        <v>173</v>
      </c>
      <c r="H1049" s="8" t="s">
        <v>174</v>
      </c>
      <c r="I1049" s="109" t="s">
        <v>557</v>
      </c>
      <c r="J1049" s="8" t="s">
        <v>206</v>
      </c>
      <c r="K1049" s="14" t="b">
        <v>0</v>
      </c>
      <c r="L1049" s="14" t="b">
        <v>1</v>
      </c>
      <c r="M1049" s="14" t="b">
        <v>1</v>
      </c>
      <c r="N1049" s="14" t="b">
        <v>0</v>
      </c>
      <c r="O1049" s="14" t="b">
        <v>1</v>
      </c>
    </row>
    <row r="1050" spans="1:15" x14ac:dyDescent="0.25">
      <c r="A1050" s="4">
        <v>394544020372</v>
      </c>
      <c r="B1050" s="8" t="s">
        <v>1073</v>
      </c>
      <c r="C1050" s="8" t="s">
        <v>131</v>
      </c>
      <c r="D1050" s="7" t="s">
        <v>61</v>
      </c>
      <c r="E1050" s="7" t="s">
        <v>215</v>
      </c>
      <c r="F1050" s="6">
        <v>2</v>
      </c>
      <c r="G1050" s="8" t="s">
        <v>181</v>
      </c>
      <c r="H1050" s="8" t="s">
        <v>182</v>
      </c>
      <c r="I1050" s="109" t="s">
        <v>557</v>
      </c>
      <c r="J1050" s="8" t="s">
        <v>206</v>
      </c>
      <c r="K1050" s="14" t="b">
        <v>0</v>
      </c>
      <c r="L1050" s="14" t="b">
        <v>1</v>
      </c>
      <c r="M1050" s="14" t="b">
        <v>1</v>
      </c>
      <c r="N1050" s="14" t="b">
        <v>0</v>
      </c>
      <c r="O1050" s="14" t="b">
        <v>1</v>
      </c>
    </row>
    <row r="1051" spans="1:15" x14ac:dyDescent="0.25">
      <c r="A1051" s="4">
        <v>394544020453</v>
      </c>
      <c r="B1051" s="8" t="s">
        <v>1074</v>
      </c>
      <c r="C1051" s="8" t="s">
        <v>131</v>
      </c>
      <c r="D1051" s="7" t="s">
        <v>61</v>
      </c>
      <c r="E1051" s="7" t="s">
        <v>215</v>
      </c>
      <c r="F1051" s="6">
        <v>2</v>
      </c>
      <c r="G1051" s="8" t="s">
        <v>181</v>
      </c>
      <c r="H1051" s="8" t="s">
        <v>182</v>
      </c>
      <c r="I1051" s="109" t="s">
        <v>557</v>
      </c>
      <c r="J1051" s="8" t="s">
        <v>206</v>
      </c>
      <c r="K1051" s="14" t="b">
        <v>0</v>
      </c>
      <c r="L1051" s="14" t="b">
        <v>1</v>
      </c>
      <c r="M1051" s="14" t="b">
        <v>1</v>
      </c>
      <c r="N1051" s="14" t="b">
        <v>0</v>
      </c>
      <c r="O1051" s="14" t="b">
        <v>1</v>
      </c>
    </row>
    <row r="1052" spans="1:15" x14ac:dyDescent="0.25">
      <c r="A1052" s="4">
        <v>394544021000</v>
      </c>
      <c r="B1052" s="8" t="s">
        <v>1075</v>
      </c>
      <c r="C1052" s="8" t="s">
        <v>131</v>
      </c>
      <c r="D1052" s="7" t="s">
        <v>61</v>
      </c>
      <c r="E1052" s="7" t="s">
        <v>215</v>
      </c>
      <c r="F1052" s="6">
        <v>2</v>
      </c>
      <c r="G1052" s="8" t="s">
        <v>181</v>
      </c>
      <c r="H1052" s="8" t="s">
        <v>182</v>
      </c>
      <c r="I1052" s="109" t="s">
        <v>557</v>
      </c>
      <c r="J1052" s="8" t="s">
        <v>206</v>
      </c>
      <c r="K1052" s="14" t="b">
        <v>0</v>
      </c>
      <c r="L1052" s="14" t="b">
        <v>1</v>
      </c>
      <c r="M1052" s="14" t="b">
        <v>1</v>
      </c>
      <c r="N1052" s="14" t="b">
        <v>0</v>
      </c>
      <c r="O1052" s="14" t="b">
        <v>1</v>
      </c>
    </row>
    <row r="1053" spans="1:15" x14ac:dyDescent="0.25">
      <c r="A1053" s="4">
        <v>394544021344</v>
      </c>
      <c r="B1053" s="8" t="s">
        <v>1076</v>
      </c>
      <c r="C1053" s="8" t="s">
        <v>131</v>
      </c>
      <c r="D1053" s="7" t="s">
        <v>61</v>
      </c>
      <c r="E1053" s="7" t="s">
        <v>215</v>
      </c>
      <c r="F1053" s="6">
        <v>2</v>
      </c>
      <c r="G1053" s="8" t="s">
        <v>181</v>
      </c>
      <c r="H1053" s="8" t="s">
        <v>182</v>
      </c>
      <c r="I1053" s="109" t="s">
        <v>557</v>
      </c>
      <c r="J1053" s="8" t="s">
        <v>206</v>
      </c>
      <c r="K1053" s="14" t="b">
        <v>0</v>
      </c>
      <c r="L1053" s="14" t="b">
        <v>1</v>
      </c>
      <c r="M1053" s="14" t="b">
        <v>1</v>
      </c>
      <c r="N1053" s="14" t="b">
        <v>0</v>
      </c>
      <c r="O1053" s="14" t="b">
        <v>1</v>
      </c>
    </row>
    <row r="1054" spans="1:15" x14ac:dyDescent="0.25">
      <c r="A1054" s="4">
        <v>2284062000521</v>
      </c>
      <c r="B1054" s="8" t="s">
        <v>1077</v>
      </c>
      <c r="C1054" s="8" t="s">
        <v>131</v>
      </c>
      <c r="D1054" s="7" t="s">
        <v>61</v>
      </c>
      <c r="E1054" s="7" t="s">
        <v>215</v>
      </c>
      <c r="F1054" s="6">
        <v>2</v>
      </c>
      <c r="G1054" s="8" t="s">
        <v>173</v>
      </c>
      <c r="H1054" s="8" t="s">
        <v>174</v>
      </c>
      <c r="I1054" s="109" t="s">
        <v>557</v>
      </c>
      <c r="J1054" s="8" t="s">
        <v>206</v>
      </c>
      <c r="K1054" s="14" t="b">
        <v>0</v>
      </c>
      <c r="L1054" s="14" t="b">
        <v>1</v>
      </c>
      <c r="M1054" s="14" t="b">
        <v>1</v>
      </c>
      <c r="N1054" s="14" t="b">
        <v>0</v>
      </c>
      <c r="O1054" s="14" t="b">
        <v>1</v>
      </c>
    </row>
    <row r="1055" spans="1:15" x14ac:dyDescent="0.25">
      <c r="A1055" s="4">
        <v>2864097000106</v>
      </c>
      <c r="B1055" s="8" t="s">
        <v>1078</v>
      </c>
      <c r="C1055" s="8" t="s">
        <v>131</v>
      </c>
      <c r="D1055" s="7" t="s">
        <v>61</v>
      </c>
      <c r="E1055" s="7" t="s">
        <v>215</v>
      </c>
      <c r="F1055" s="6">
        <v>2</v>
      </c>
      <c r="G1055" s="8" t="s">
        <v>181</v>
      </c>
      <c r="H1055" s="8" t="s">
        <v>182</v>
      </c>
      <c r="I1055" s="109" t="s">
        <v>557</v>
      </c>
      <c r="J1055" s="8" t="s">
        <v>206</v>
      </c>
      <c r="K1055" s="14" t="b">
        <v>0</v>
      </c>
      <c r="L1055" s="14" t="b">
        <v>1</v>
      </c>
      <c r="M1055" s="14" t="b">
        <v>1</v>
      </c>
      <c r="N1055" s="14" t="b">
        <v>0</v>
      </c>
      <c r="O1055" s="14" t="b">
        <v>1</v>
      </c>
    </row>
    <row r="1056" spans="1:15" x14ac:dyDescent="0.25">
      <c r="A1056" s="4">
        <v>2880648000125</v>
      </c>
      <c r="B1056" s="8" t="s">
        <v>1411</v>
      </c>
      <c r="C1056" s="8" t="s">
        <v>131</v>
      </c>
      <c r="D1056" s="7" t="s">
        <v>61</v>
      </c>
      <c r="E1056" s="7" t="s">
        <v>215</v>
      </c>
      <c r="F1056" s="6">
        <v>2</v>
      </c>
      <c r="G1056" s="8" t="s">
        <v>181</v>
      </c>
      <c r="H1056" s="8" t="s">
        <v>182</v>
      </c>
      <c r="I1056" s="109" t="s">
        <v>557</v>
      </c>
      <c r="J1056" s="8" t="s">
        <v>206</v>
      </c>
      <c r="K1056" s="14" t="b">
        <v>0</v>
      </c>
      <c r="L1056" s="14" t="b">
        <v>1</v>
      </c>
      <c r="M1056" s="14" t="b">
        <v>1</v>
      </c>
      <c r="N1056" s="14" t="b">
        <v>0</v>
      </c>
      <c r="O1056" s="14" t="b">
        <v>1</v>
      </c>
    </row>
    <row r="1057" spans="1:15" x14ac:dyDescent="0.25">
      <c r="A1057" s="4">
        <v>4779685002382</v>
      </c>
      <c r="B1057" s="8" t="s">
        <v>1079</v>
      </c>
      <c r="C1057" s="8" t="s">
        <v>131</v>
      </c>
      <c r="D1057" s="7" t="s">
        <v>61</v>
      </c>
      <c r="E1057" s="7" t="s">
        <v>215</v>
      </c>
      <c r="F1057" s="6">
        <v>2</v>
      </c>
      <c r="G1057" s="8" t="s">
        <v>181</v>
      </c>
      <c r="H1057" s="8" t="s">
        <v>182</v>
      </c>
      <c r="I1057" s="109" t="s">
        <v>557</v>
      </c>
      <c r="J1057" s="8" t="s">
        <v>206</v>
      </c>
      <c r="K1057" s="14" t="b">
        <v>0</v>
      </c>
      <c r="L1057" s="14" t="b">
        <v>1</v>
      </c>
      <c r="M1057" s="14" t="b">
        <v>1</v>
      </c>
      <c r="N1057" s="14" t="b">
        <v>0</v>
      </c>
      <c r="O1057" s="14" t="b">
        <v>1</v>
      </c>
    </row>
    <row r="1058" spans="1:15" x14ac:dyDescent="0.25">
      <c r="A1058" s="4">
        <v>6047087000996</v>
      </c>
      <c r="B1058" s="8" t="s">
        <v>1080</v>
      </c>
      <c r="C1058" s="8" t="s">
        <v>131</v>
      </c>
      <c r="D1058" s="7" t="s">
        <v>61</v>
      </c>
      <c r="E1058" s="7" t="s">
        <v>215</v>
      </c>
      <c r="F1058" s="6">
        <v>2</v>
      </c>
      <c r="G1058" s="8" t="s">
        <v>181</v>
      </c>
      <c r="H1058" s="8" t="s">
        <v>182</v>
      </c>
      <c r="I1058" s="109" t="s">
        <v>557</v>
      </c>
      <c r="J1058" s="8" t="s">
        <v>206</v>
      </c>
      <c r="K1058" s="14" t="b">
        <v>0</v>
      </c>
      <c r="L1058" s="14" t="b">
        <v>1</v>
      </c>
      <c r="M1058" s="14" t="b">
        <v>1</v>
      </c>
      <c r="N1058" s="14" t="b">
        <v>0</v>
      </c>
      <c r="O1058" s="14" t="b">
        <v>1</v>
      </c>
    </row>
    <row r="1059" spans="1:15" x14ac:dyDescent="0.25">
      <c r="A1059" s="4">
        <v>6047087001020</v>
      </c>
      <c r="B1059" s="8" t="s">
        <v>1081</v>
      </c>
      <c r="C1059" s="8" t="s">
        <v>131</v>
      </c>
      <c r="D1059" s="7" t="s">
        <v>61</v>
      </c>
      <c r="E1059" s="7" t="s">
        <v>215</v>
      </c>
      <c r="F1059" s="6">
        <v>2</v>
      </c>
      <c r="G1059" s="8" t="s">
        <v>181</v>
      </c>
      <c r="H1059" s="8" t="s">
        <v>182</v>
      </c>
      <c r="I1059" s="109" t="s">
        <v>557</v>
      </c>
      <c r="J1059" s="8" t="s">
        <v>206</v>
      </c>
      <c r="K1059" s="14" t="b">
        <v>0</v>
      </c>
      <c r="L1059" s="14" t="b">
        <v>1</v>
      </c>
      <c r="M1059" s="14" t="b">
        <v>1</v>
      </c>
      <c r="N1059" s="14" t="b">
        <v>0</v>
      </c>
      <c r="O1059" s="14" t="b">
        <v>1</v>
      </c>
    </row>
    <row r="1060" spans="1:15" x14ac:dyDescent="0.25">
      <c r="A1060" s="4">
        <v>6047087002697</v>
      </c>
      <c r="B1060" s="8" t="s">
        <v>1082</v>
      </c>
      <c r="C1060" s="8" t="s">
        <v>131</v>
      </c>
      <c r="D1060" s="7" t="s">
        <v>61</v>
      </c>
      <c r="E1060" s="7" t="s">
        <v>215</v>
      </c>
      <c r="F1060" s="6">
        <v>2</v>
      </c>
      <c r="G1060" s="8" t="s">
        <v>181</v>
      </c>
      <c r="H1060" s="8" t="s">
        <v>182</v>
      </c>
      <c r="I1060" s="109" t="s">
        <v>557</v>
      </c>
      <c r="J1060" s="8" t="s">
        <v>206</v>
      </c>
      <c r="K1060" s="14" t="b">
        <v>0</v>
      </c>
      <c r="L1060" s="14" t="b">
        <v>1</v>
      </c>
      <c r="M1060" s="14" t="b">
        <v>1</v>
      </c>
      <c r="N1060" s="14" t="b">
        <v>0</v>
      </c>
      <c r="O1060" s="14" t="b">
        <v>1</v>
      </c>
    </row>
    <row r="1061" spans="1:15" x14ac:dyDescent="0.25">
      <c r="A1061" s="4">
        <v>6047087003316</v>
      </c>
      <c r="B1061" s="8" t="s">
        <v>1083</v>
      </c>
      <c r="C1061" s="8" t="s">
        <v>131</v>
      </c>
      <c r="D1061" s="7" t="s">
        <v>61</v>
      </c>
      <c r="E1061" s="7" t="s">
        <v>215</v>
      </c>
      <c r="F1061" s="6">
        <v>2</v>
      </c>
      <c r="G1061" s="8" t="s">
        <v>181</v>
      </c>
      <c r="H1061" s="8" t="s">
        <v>182</v>
      </c>
      <c r="I1061" s="109" t="s">
        <v>557</v>
      </c>
      <c r="J1061" s="8" t="s">
        <v>206</v>
      </c>
      <c r="K1061" s="14" t="b">
        <v>0</v>
      </c>
      <c r="L1061" s="14" t="b">
        <v>1</v>
      </c>
      <c r="M1061" s="14" t="b">
        <v>1</v>
      </c>
      <c r="N1061" s="14" t="b">
        <v>0</v>
      </c>
      <c r="O1061" s="14" t="b">
        <v>1</v>
      </c>
    </row>
    <row r="1062" spans="1:15" x14ac:dyDescent="0.25">
      <c r="A1062" s="4">
        <v>7794623004896</v>
      </c>
      <c r="B1062" s="8" t="s">
        <v>1084</v>
      </c>
      <c r="C1062" s="8" t="s">
        <v>131</v>
      </c>
      <c r="D1062" s="7" t="s">
        <v>61</v>
      </c>
      <c r="E1062" s="7" t="s">
        <v>215</v>
      </c>
      <c r="F1062" s="6">
        <v>2</v>
      </c>
      <c r="G1062" s="8" t="s">
        <v>181</v>
      </c>
      <c r="H1062" s="8" t="s">
        <v>182</v>
      </c>
      <c r="I1062" s="109" t="s">
        <v>557</v>
      </c>
      <c r="J1062" s="8" t="s">
        <v>206</v>
      </c>
      <c r="K1062" s="14" t="b">
        <v>0</v>
      </c>
      <c r="L1062" s="14" t="b">
        <v>1</v>
      </c>
      <c r="M1062" s="14" t="b">
        <v>1</v>
      </c>
      <c r="N1062" s="14" t="b">
        <v>0</v>
      </c>
      <c r="O1062" s="14" t="b">
        <v>1</v>
      </c>
    </row>
    <row r="1063" spans="1:15" x14ac:dyDescent="0.25">
      <c r="A1063" s="4">
        <v>8100676002102</v>
      </c>
      <c r="B1063" s="8" t="s">
        <v>1085</v>
      </c>
      <c r="C1063" s="8" t="s">
        <v>131</v>
      </c>
      <c r="D1063" s="7" t="s">
        <v>61</v>
      </c>
      <c r="E1063" s="7" t="s">
        <v>215</v>
      </c>
      <c r="F1063" s="6">
        <v>2</v>
      </c>
      <c r="G1063" s="8" t="s">
        <v>181</v>
      </c>
      <c r="H1063" s="8" t="s">
        <v>182</v>
      </c>
      <c r="I1063" s="109" t="s">
        <v>557</v>
      </c>
      <c r="J1063" s="8" t="s">
        <v>206</v>
      </c>
      <c r="K1063" s="14" t="b">
        <v>0</v>
      </c>
      <c r="L1063" s="14" t="b">
        <v>1</v>
      </c>
      <c r="M1063" s="14" t="b">
        <v>1</v>
      </c>
      <c r="N1063" s="14" t="b">
        <v>0</v>
      </c>
      <c r="O1063" s="14" t="b">
        <v>1</v>
      </c>
    </row>
    <row r="1064" spans="1:15" x14ac:dyDescent="0.25">
      <c r="A1064" s="4">
        <v>8850962000222</v>
      </c>
      <c r="B1064" s="8" t="s">
        <v>1086</v>
      </c>
      <c r="C1064" s="8" t="s">
        <v>131</v>
      </c>
      <c r="D1064" s="7" t="s">
        <v>61</v>
      </c>
      <c r="E1064" s="7" t="s">
        <v>215</v>
      </c>
      <c r="F1064" s="6">
        <v>2</v>
      </c>
      <c r="G1064" s="8" t="s">
        <v>181</v>
      </c>
      <c r="H1064" s="8" t="s">
        <v>182</v>
      </c>
      <c r="I1064" s="109" t="s">
        <v>557</v>
      </c>
      <c r="J1064" s="8" t="s">
        <v>206</v>
      </c>
      <c r="K1064" s="14" t="b">
        <v>0</v>
      </c>
      <c r="L1064" s="14" t="b">
        <v>1</v>
      </c>
      <c r="M1064" s="14" t="b">
        <v>1</v>
      </c>
      <c r="N1064" s="14" t="b">
        <v>0</v>
      </c>
      <c r="O1064" s="14" t="b">
        <v>1</v>
      </c>
    </row>
    <row r="1065" spans="1:15" x14ac:dyDescent="0.25">
      <c r="A1065" s="4">
        <v>9219138000401</v>
      </c>
      <c r="B1065" s="8" t="s">
        <v>1087</v>
      </c>
      <c r="C1065" s="8" t="s">
        <v>131</v>
      </c>
      <c r="D1065" s="7" t="s">
        <v>61</v>
      </c>
      <c r="E1065" s="7" t="s">
        <v>215</v>
      </c>
      <c r="F1065" s="6">
        <v>2</v>
      </c>
      <c r="G1065" s="8" t="s">
        <v>181</v>
      </c>
      <c r="H1065" s="8" t="s">
        <v>182</v>
      </c>
      <c r="I1065" s="109" t="s">
        <v>557</v>
      </c>
      <c r="J1065" s="8" t="s">
        <v>206</v>
      </c>
      <c r="K1065" s="14" t="b">
        <v>0</v>
      </c>
      <c r="L1065" s="14" t="b">
        <v>1</v>
      </c>
      <c r="M1065" s="14" t="b">
        <v>1</v>
      </c>
      <c r="N1065" s="14" t="b">
        <v>0</v>
      </c>
      <c r="O1065" s="14" t="b">
        <v>1</v>
      </c>
    </row>
    <row r="1066" spans="1:15" x14ac:dyDescent="0.25">
      <c r="A1066" s="4">
        <v>9219138000584</v>
      </c>
      <c r="B1066" s="8" t="s">
        <v>1088</v>
      </c>
      <c r="C1066" s="8" t="s">
        <v>131</v>
      </c>
      <c r="D1066" s="7" t="s">
        <v>61</v>
      </c>
      <c r="E1066" s="7" t="s">
        <v>215</v>
      </c>
      <c r="F1066" s="6">
        <v>2</v>
      </c>
      <c r="G1066" s="8" t="s">
        <v>173</v>
      </c>
      <c r="H1066" s="8" t="s">
        <v>174</v>
      </c>
      <c r="I1066" s="109" t="s">
        <v>557</v>
      </c>
      <c r="J1066" s="8" t="s">
        <v>206</v>
      </c>
      <c r="K1066" s="14" t="b">
        <v>0</v>
      </c>
      <c r="L1066" s="14" t="b">
        <v>1</v>
      </c>
      <c r="M1066" s="14" t="b">
        <v>1</v>
      </c>
      <c r="N1066" s="14" t="b">
        <v>0</v>
      </c>
      <c r="O1066" s="14" t="b">
        <v>1</v>
      </c>
    </row>
    <row r="1067" spans="1:15" x14ac:dyDescent="0.25">
      <c r="A1067" s="4">
        <v>9578217000158</v>
      </c>
      <c r="B1067" s="8" t="s">
        <v>1089</v>
      </c>
      <c r="C1067" s="8" t="s">
        <v>131</v>
      </c>
      <c r="D1067" s="7" t="s">
        <v>61</v>
      </c>
      <c r="E1067" s="7" t="s">
        <v>215</v>
      </c>
      <c r="F1067" s="6">
        <v>2</v>
      </c>
      <c r="G1067" s="8" t="s">
        <v>181</v>
      </c>
      <c r="H1067" s="8" t="s">
        <v>182</v>
      </c>
      <c r="I1067" s="109" t="s">
        <v>557</v>
      </c>
      <c r="J1067" s="8" t="s">
        <v>206</v>
      </c>
      <c r="K1067" s="14" t="b">
        <v>0</v>
      </c>
      <c r="L1067" s="14" t="b">
        <v>1</v>
      </c>
      <c r="M1067" s="14" t="b">
        <v>1</v>
      </c>
      <c r="N1067" s="14" t="b">
        <v>0</v>
      </c>
      <c r="O1067" s="14" t="b">
        <v>1</v>
      </c>
    </row>
    <row r="1068" spans="1:15" x14ac:dyDescent="0.25">
      <c r="A1068" s="4">
        <v>9609235000230</v>
      </c>
      <c r="B1068" s="8" t="s">
        <v>1090</v>
      </c>
      <c r="C1068" s="8" t="s">
        <v>131</v>
      </c>
      <c r="D1068" s="7" t="s">
        <v>61</v>
      </c>
      <c r="E1068" s="7" t="s">
        <v>215</v>
      </c>
      <c r="F1068" s="6">
        <v>2</v>
      </c>
      <c r="G1068" s="8" t="s">
        <v>173</v>
      </c>
      <c r="H1068" s="8" t="s">
        <v>174</v>
      </c>
      <c r="I1068" s="109" t="s">
        <v>557</v>
      </c>
      <c r="J1068" s="8" t="s">
        <v>206</v>
      </c>
      <c r="K1068" s="14" t="b">
        <v>0</v>
      </c>
      <c r="L1068" s="14" t="b">
        <v>1</v>
      </c>
      <c r="M1068" s="14" t="b">
        <v>1</v>
      </c>
      <c r="N1068" s="14" t="b">
        <v>0</v>
      </c>
      <c r="O1068" s="14" t="b">
        <v>1</v>
      </c>
    </row>
    <row r="1069" spans="1:15" x14ac:dyDescent="0.25">
      <c r="A1069" s="4">
        <v>10834118000179</v>
      </c>
      <c r="B1069" s="8" t="s">
        <v>1328</v>
      </c>
      <c r="C1069" s="8" t="s">
        <v>131</v>
      </c>
      <c r="D1069" s="7" t="s">
        <v>61</v>
      </c>
      <c r="E1069" s="7" t="s">
        <v>215</v>
      </c>
      <c r="F1069" s="6">
        <v>2</v>
      </c>
      <c r="G1069" s="8" t="s">
        <v>173</v>
      </c>
      <c r="H1069" s="8" t="s">
        <v>174</v>
      </c>
      <c r="I1069" s="109" t="s">
        <v>557</v>
      </c>
      <c r="J1069" s="8" t="s">
        <v>206</v>
      </c>
      <c r="K1069" s="14" t="b">
        <v>0</v>
      </c>
      <c r="L1069" s="14" t="b">
        <v>1</v>
      </c>
      <c r="M1069" s="14" t="b">
        <v>1</v>
      </c>
      <c r="N1069" s="14" t="b">
        <v>0</v>
      </c>
      <c r="O1069" s="14" t="b">
        <v>1</v>
      </c>
    </row>
    <row r="1070" spans="1:15" x14ac:dyDescent="0.25">
      <c r="A1070" s="4">
        <v>10922058000146</v>
      </c>
      <c r="B1070" s="8" t="s">
        <v>1158</v>
      </c>
      <c r="C1070" s="8" t="s">
        <v>131</v>
      </c>
      <c r="D1070" s="7" t="s">
        <v>61</v>
      </c>
      <c r="E1070" s="7" t="s">
        <v>215</v>
      </c>
      <c r="F1070" s="6">
        <v>2</v>
      </c>
      <c r="G1070" s="8" t="s">
        <v>181</v>
      </c>
      <c r="H1070" s="8" t="s">
        <v>182</v>
      </c>
      <c r="I1070" s="109" t="s">
        <v>557</v>
      </c>
      <c r="J1070" s="8" t="s">
        <v>206</v>
      </c>
      <c r="K1070" s="14" t="b">
        <v>0</v>
      </c>
      <c r="L1070" s="14" t="b">
        <v>1</v>
      </c>
      <c r="M1070" s="14" t="b">
        <v>1</v>
      </c>
      <c r="N1070" s="14" t="b">
        <v>0</v>
      </c>
      <c r="O1070" s="14" t="b">
        <v>1</v>
      </c>
    </row>
    <row r="1071" spans="1:15" x14ac:dyDescent="0.25">
      <c r="A1071" s="4">
        <v>11279865000155</v>
      </c>
      <c r="B1071" s="8" t="s">
        <v>1091</v>
      </c>
      <c r="C1071" s="8" t="s">
        <v>131</v>
      </c>
      <c r="D1071" s="7" t="s">
        <v>61</v>
      </c>
      <c r="E1071" s="7" t="s">
        <v>215</v>
      </c>
      <c r="F1071" s="6">
        <v>2</v>
      </c>
      <c r="G1071" s="8" t="s">
        <v>173</v>
      </c>
      <c r="H1071" s="8" t="s">
        <v>174</v>
      </c>
      <c r="I1071" s="109" t="s">
        <v>557</v>
      </c>
      <c r="J1071" s="8" t="s">
        <v>206</v>
      </c>
      <c r="K1071" s="14" t="b">
        <v>0</v>
      </c>
      <c r="L1071" s="14" t="b">
        <v>1</v>
      </c>
      <c r="M1071" s="14" t="b">
        <v>1</v>
      </c>
      <c r="N1071" s="14" t="b">
        <v>0</v>
      </c>
      <c r="O1071" s="14" t="b">
        <v>1</v>
      </c>
    </row>
    <row r="1072" spans="1:15" x14ac:dyDescent="0.25">
      <c r="A1072" s="4">
        <v>18010750000100</v>
      </c>
      <c r="B1072" s="8" t="s">
        <v>1092</v>
      </c>
      <c r="C1072" s="8" t="s">
        <v>131</v>
      </c>
      <c r="D1072" s="7" t="s">
        <v>61</v>
      </c>
      <c r="E1072" s="7" t="s">
        <v>215</v>
      </c>
      <c r="F1072" s="6">
        <v>2</v>
      </c>
      <c r="G1072" s="8" t="s">
        <v>173</v>
      </c>
      <c r="H1072" s="8" t="s">
        <v>174</v>
      </c>
      <c r="I1072" s="109" t="s">
        <v>557</v>
      </c>
      <c r="J1072" s="8" t="s">
        <v>206</v>
      </c>
      <c r="K1072" s="14" t="b">
        <v>0</v>
      </c>
      <c r="L1072" s="14" t="b">
        <v>1</v>
      </c>
      <c r="M1072" s="14" t="b">
        <v>1</v>
      </c>
      <c r="N1072" s="14" t="b">
        <v>0</v>
      </c>
      <c r="O1072" s="14" t="b">
        <v>1</v>
      </c>
    </row>
    <row r="1073" spans="1:15" x14ac:dyDescent="0.25">
      <c r="A1073" s="4">
        <v>21109731000140</v>
      </c>
      <c r="B1073" s="8" t="s">
        <v>1093</v>
      </c>
      <c r="C1073" s="8" t="s">
        <v>131</v>
      </c>
      <c r="D1073" s="7" t="s">
        <v>61</v>
      </c>
      <c r="E1073" s="7" t="s">
        <v>215</v>
      </c>
      <c r="F1073" s="6">
        <v>2</v>
      </c>
      <c r="G1073" s="8" t="s">
        <v>181</v>
      </c>
      <c r="H1073" s="8" t="s">
        <v>182</v>
      </c>
      <c r="I1073" s="109" t="s">
        <v>557</v>
      </c>
      <c r="J1073" s="8" t="s">
        <v>206</v>
      </c>
      <c r="K1073" s="14" t="b">
        <v>0</v>
      </c>
      <c r="L1073" s="14" t="b">
        <v>1</v>
      </c>
      <c r="M1073" s="14" t="b">
        <v>1</v>
      </c>
      <c r="N1073" s="14" t="b">
        <v>0</v>
      </c>
      <c r="O1073" s="14" t="b">
        <v>1</v>
      </c>
    </row>
    <row r="1074" spans="1:15" x14ac:dyDescent="0.25">
      <c r="A1074" s="4">
        <v>21265360000195</v>
      </c>
      <c r="B1074" s="8" t="s">
        <v>1094</v>
      </c>
      <c r="C1074" s="8" t="s">
        <v>131</v>
      </c>
      <c r="D1074" s="7" t="s">
        <v>61</v>
      </c>
      <c r="E1074" s="7" t="s">
        <v>215</v>
      </c>
      <c r="F1074" s="6">
        <v>2</v>
      </c>
      <c r="G1074" s="8" t="s">
        <v>173</v>
      </c>
      <c r="H1074" s="8" t="s">
        <v>174</v>
      </c>
      <c r="I1074" s="109" t="s">
        <v>557</v>
      </c>
      <c r="J1074" s="8" t="s">
        <v>206</v>
      </c>
      <c r="K1074" s="14" t="b">
        <v>0</v>
      </c>
      <c r="L1074" s="14" t="b">
        <v>1</v>
      </c>
      <c r="M1074" s="14" t="b">
        <v>1</v>
      </c>
      <c r="N1074" s="14" t="b">
        <v>0</v>
      </c>
      <c r="O1074" s="14" t="b">
        <v>1</v>
      </c>
    </row>
    <row r="1075" spans="1:15" x14ac:dyDescent="0.25">
      <c r="A1075" s="4">
        <v>22233557000105</v>
      </c>
      <c r="B1075" s="8" t="s">
        <v>1095</v>
      </c>
      <c r="C1075" s="8" t="s">
        <v>131</v>
      </c>
      <c r="D1075" s="7" t="s">
        <v>61</v>
      </c>
      <c r="E1075" s="7" t="s">
        <v>215</v>
      </c>
      <c r="F1075" s="6">
        <v>2</v>
      </c>
      <c r="G1075" s="8" t="s">
        <v>181</v>
      </c>
      <c r="H1075" s="8" t="s">
        <v>182</v>
      </c>
      <c r="I1075" s="109" t="s">
        <v>557</v>
      </c>
      <c r="J1075" s="8" t="s">
        <v>206</v>
      </c>
      <c r="K1075" s="14" t="b">
        <v>0</v>
      </c>
      <c r="L1075" s="14" t="b">
        <v>1</v>
      </c>
      <c r="M1075" s="14" t="b">
        <v>1</v>
      </c>
      <c r="N1075" s="14" t="b">
        <v>0</v>
      </c>
      <c r="O1075" s="14" t="b">
        <v>1</v>
      </c>
    </row>
    <row r="1076" spans="1:15" x14ac:dyDescent="0.25">
      <c r="A1076" s="4">
        <v>22400856000197</v>
      </c>
      <c r="B1076" s="8" t="s">
        <v>1096</v>
      </c>
      <c r="C1076" s="8" t="s">
        <v>131</v>
      </c>
      <c r="D1076" s="7" t="s">
        <v>61</v>
      </c>
      <c r="E1076" s="7" t="s">
        <v>215</v>
      </c>
      <c r="F1076" s="6">
        <v>2</v>
      </c>
      <c r="G1076" s="8" t="s">
        <v>173</v>
      </c>
      <c r="H1076" s="8" t="s">
        <v>174</v>
      </c>
      <c r="I1076" s="109" t="s">
        <v>557</v>
      </c>
      <c r="J1076" s="8" t="s">
        <v>206</v>
      </c>
      <c r="K1076" s="14" t="b">
        <v>0</v>
      </c>
      <c r="L1076" s="14" t="b">
        <v>1</v>
      </c>
      <c r="M1076" s="14" t="b">
        <v>1</v>
      </c>
      <c r="N1076" s="14" t="b">
        <v>0</v>
      </c>
      <c r="O1076" s="14" t="b">
        <v>1</v>
      </c>
    </row>
    <row r="1077" spans="1:15" x14ac:dyDescent="0.25">
      <c r="A1077" s="4">
        <v>24217779000160</v>
      </c>
      <c r="B1077" s="8" t="s">
        <v>1097</v>
      </c>
      <c r="C1077" s="8" t="s">
        <v>131</v>
      </c>
      <c r="D1077" s="7" t="s">
        <v>61</v>
      </c>
      <c r="E1077" s="7" t="s">
        <v>215</v>
      </c>
      <c r="F1077" s="6">
        <v>2</v>
      </c>
      <c r="G1077" s="8" t="s">
        <v>173</v>
      </c>
      <c r="H1077" s="8" t="s">
        <v>174</v>
      </c>
      <c r="I1077" s="109" t="s">
        <v>557</v>
      </c>
      <c r="J1077" s="8" t="s">
        <v>206</v>
      </c>
      <c r="K1077" s="14" t="b">
        <v>0</v>
      </c>
      <c r="L1077" s="14" t="b">
        <v>1</v>
      </c>
      <c r="M1077" s="14" t="b">
        <v>1</v>
      </c>
      <c r="N1077" s="14" t="b">
        <v>0</v>
      </c>
      <c r="O1077" s="14" t="b">
        <v>1</v>
      </c>
    </row>
    <row r="1078" spans="1:15" x14ac:dyDescent="0.25">
      <c r="A1078" s="4">
        <v>27901222000131</v>
      </c>
      <c r="B1078" s="8" t="s">
        <v>1098</v>
      </c>
      <c r="C1078" s="8" t="s">
        <v>131</v>
      </c>
      <c r="D1078" s="7" t="s">
        <v>61</v>
      </c>
      <c r="E1078" s="7" t="s">
        <v>215</v>
      </c>
      <c r="F1078" s="6">
        <v>2</v>
      </c>
      <c r="G1078" s="8" t="s">
        <v>181</v>
      </c>
      <c r="H1078" s="8" t="s">
        <v>182</v>
      </c>
      <c r="I1078" s="109" t="s">
        <v>557</v>
      </c>
      <c r="J1078" s="8" t="s">
        <v>206</v>
      </c>
      <c r="K1078" s="14" t="b">
        <v>0</v>
      </c>
      <c r="L1078" s="14" t="b">
        <v>1</v>
      </c>
      <c r="M1078" s="14" t="b">
        <v>1</v>
      </c>
      <c r="N1078" s="14" t="b">
        <v>0</v>
      </c>
      <c r="O1078" s="14" t="b">
        <v>1</v>
      </c>
    </row>
    <row r="1079" spans="1:15" x14ac:dyDescent="0.25">
      <c r="A1079" s="4">
        <v>28000107000159</v>
      </c>
      <c r="B1079" s="8" t="s">
        <v>1099</v>
      </c>
      <c r="C1079" s="8" t="s">
        <v>131</v>
      </c>
      <c r="D1079" s="7" t="s">
        <v>61</v>
      </c>
      <c r="E1079" s="7" t="s">
        <v>215</v>
      </c>
      <c r="F1079" s="6">
        <v>2</v>
      </c>
      <c r="G1079" s="8" t="s">
        <v>181</v>
      </c>
      <c r="H1079" s="8" t="s">
        <v>182</v>
      </c>
      <c r="I1079" s="109" t="s">
        <v>557</v>
      </c>
      <c r="J1079" s="8" t="s">
        <v>206</v>
      </c>
      <c r="K1079" s="14" t="b">
        <v>0</v>
      </c>
      <c r="L1079" s="14" t="b">
        <v>1</v>
      </c>
      <c r="M1079" s="14" t="b">
        <v>1</v>
      </c>
      <c r="N1079" s="14" t="b">
        <v>0</v>
      </c>
      <c r="O1079" s="14" t="b">
        <v>1</v>
      </c>
    </row>
    <row r="1080" spans="1:15" x14ac:dyDescent="0.25">
      <c r="A1080" s="4">
        <v>28602407000108</v>
      </c>
      <c r="B1080" s="8" t="s">
        <v>1100</v>
      </c>
      <c r="C1080" s="8" t="s">
        <v>131</v>
      </c>
      <c r="D1080" s="7" t="s">
        <v>61</v>
      </c>
      <c r="E1080" s="7" t="s">
        <v>215</v>
      </c>
      <c r="F1080" s="6">
        <v>2</v>
      </c>
      <c r="G1080" s="8" t="s">
        <v>181</v>
      </c>
      <c r="H1080" s="8" t="s">
        <v>182</v>
      </c>
      <c r="I1080" s="109" t="s">
        <v>557</v>
      </c>
      <c r="J1080" s="8" t="s">
        <v>206</v>
      </c>
      <c r="K1080" s="14" t="b">
        <v>0</v>
      </c>
      <c r="L1080" s="14" t="b">
        <v>1</v>
      </c>
      <c r="M1080" s="14" t="b">
        <v>1</v>
      </c>
      <c r="N1080" s="14" t="b">
        <v>0</v>
      </c>
      <c r="O1080" s="14" t="b">
        <v>1</v>
      </c>
    </row>
    <row r="1081" spans="1:15" x14ac:dyDescent="0.25">
      <c r="A1081" s="4">
        <v>29259736000403</v>
      </c>
      <c r="B1081" s="8" t="s">
        <v>1101</v>
      </c>
      <c r="C1081" s="8" t="s">
        <v>131</v>
      </c>
      <c r="D1081" s="7" t="s">
        <v>61</v>
      </c>
      <c r="E1081" s="7" t="s">
        <v>215</v>
      </c>
      <c r="F1081" s="6">
        <v>2</v>
      </c>
      <c r="G1081" s="8" t="s">
        <v>181</v>
      </c>
      <c r="H1081" s="8" t="s">
        <v>182</v>
      </c>
      <c r="I1081" s="109" t="s">
        <v>557</v>
      </c>
      <c r="J1081" s="8" t="s">
        <v>206</v>
      </c>
      <c r="K1081" s="14" t="b">
        <v>0</v>
      </c>
      <c r="L1081" s="14" t="b">
        <v>1</v>
      </c>
      <c r="M1081" s="14" t="b">
        <v>1</v>
      </c>
      <c r="N1081" s="14" t="b">
        <v>0</v>
      </c>
      <c r="O1081" s="14" t="b">
        <v>1</v>
      </c>
    </row>
    <row r="1082" spans="1:15" x14ac:dyDescent="0.25">
      <c r="A1082" s="4">
        <v>29435005005198</v>
      </c>
      <c r="B1082" s="8" t="s">
        <v>1102</v>
      </c>
      <c r="C1082" s="8" t="s">
        <v>131</v>
      </c>
      <c r="D1082" s="7" t="s">
        <v>61</v>
      </c>
      <c r="E1082" s="7" t="s">
        <v>215</v>
      </c>
      <c r="F1082" s="6">
        <v>2</v>
      </c>
      <c r="G1082" s="8" t="s">
        <v>181</v>
      </c>
      <c r="H1082" s="8" t="s">
        <v>182</v>
      </c>
      <c r="I1082" s="109" t="s">
        <v>557</v>
      </c>
      <c r="J1082" s="8" t="s">
        <v>206</v>
      </c>
      <c r="K1082" s="14" t="b">
        <v>0</v>
      </c>
      <c r="L1082" s="14" t="b">
        <v>1</v>
      </c>
      <c r="M1082" s="14" t="b">
        <v>1</v>
      </c>
      <c r="N1082" s="14" t="b">
        <v>0</v>
      </c>
      <c r="O1082" s="14" t="b">
        <v>1</v>
      </c>
    </row>
    <row r="1083" spans="1:15" x14ac:dyDescent="0.25">
      <c r="A1083" s="4">
        <v>29435005005279</v>
      </c>
      <c r="B1083" s="8" t="s">
        <v>1103</v>
      </c>
      <c r="C1083" s="8" t="s">
        <v>131</v>
      </c>
      <c r="D1083" s="7" t="s">
        <v>61</v>
      </c>
      <c r="E1083" s="7" t="s">
        <v>215</v>
      </c>
      <c r="F1083" s="6">
        <v>2</v>
      </c>
      <c r="G1083" s="8" t="s">
        <v>181</v>
      </c>
      <c r="H1083" s="8" t="s">
        <v>182</v>
      </c>
      <c r="I1083" s="109" t="s">
        <v>557</v>
      </c>
      <c r="J1083" s="8" t="s">
        <v>206</v>
      </c>
      <c r="K1083" s="14" t="b">
        <v>0</v>
      </c>
      <c r="L1083" s="14" t="b">
        <v>1</v>
      </c>
      <c r="M1083" s="14" t="b">
        <v>1</v>
      </c>
      <c r="N1083" s="14" t="b">
        <v>0</v>
      </c>
      <c r="O1083" s="14" t="b">
        <v>1</v>
      </c>
    </row>
    <row r="1084" spans="1:15" x14ac:dyDescent="0.25">
      <c r="A1084" s="4">
        <v>29435005005783</v>
      </c>
      <c r="B1084" s="8" t="s">
        <v>1104</v>
      </c>
      <c r="C1084" s="8" t="s">
        <v>131</v>
      </c>
      <c r="D1084" s="7" t="s">
        <v>61</v>
      </c>
      <c r="E1084" s="7" t="s">
        <v>215</v>
      </c>
      <c r="F1084" s="6">
        <v>2</v>
      </c>
      <c r="G1084" s="8" t="s">
        <v>173</v>
      </c>
      <c r="H1084" s="8" t="s">
        <v>174</v>
      </c>
      <c r="I1084" s="109" t="s">
        <v>557</v>
      </c>
      <c r="J1084" s="8" t="s">
        <v>206</v>
      </c>
      <c r="K1084" s="14" t="b">
        <v>0</v>
      </c>
      <c r="L1084" s="14" t="b">
        <v>1</v>
      </c>
      <c r="M1084" s="14" t="b">
        <v>1</v>
      </c>
      <c r="N1084" s="14" t="b">
        <v>0</v>
      </c>
      <c r="O1084" s="14" t="b">
        <v>1</v>
      </c>
    </row>
    <row r="1085" spans="1:15" x14ac:dyDescent="0.25">
      <c r="A1085" s="4">
        <v>29435005006160</v>
      </c>
      <c r="B1085" s="8" t="s">
        <v>1105</v>
      </c>
      <c r="C1085" s="8" t="s">
        <v>131</v>
      </c>
      <c r="D1085" s="7" t="s">
        <v>61</v>
      </c>
      <c r="E1085" s="7" t="s">
        <v>215</v>
      </c>
      <c r="F1085" s="6">
        <v>2</v>
      </c>
      <c r="G1085" s="8" t="s">
        <v>181</v>
      </c>
      <c r="H1085" s="8" t="s">
        <v>182</v>
      </c>
      <c r="I1085" s="109" t="s">
        <v>557</v>
      </c>
      <c r="J1085" s="8" t="s">
        <v>206</v>
      </c>
      <c r="K1085" s="14" t="b">
        <v>0</v>
      </c>
      <c r="L1085" s="14" t="b">
        <v>1</v>
      </c>
      <c r="M1085" s="14" t="b">
        <v>1</v>
      </c>
      <c r="N1085" s="14" t="b">
        <v>0</v>
      </c>
      <c r="O1085" s="14" t="b">
        <v>1</v>
      </c>
    </row>
    <row r="1086" spans="1:15" x14ac:dyDescent="0.25">
      <c r="A1086" s="4">
        <v>31635857000101</v>
      </c>
      <c r="B1086" s="8" t="s">
        <v>1106</v>
      </c>
      <c r="C1086" s="8" t="s">
        <v>131</v>
      </c>
      <c r="D1086" s="7" t="s">
        <v>61</v>
      </c>
      <c r="E1086" s="7" t="s">
        <v>215</v>
      </c>
      <c r="F1086" s="6">
        <v>2</v>
      </c>
      <c r="G1086" s="8" t="s">
        <v>173</v>
      </c>
      <c r="H1086" s="8" t="s">
        <v>174</v>
      </c>
      <c r="I1086" s="109" t="s">
        <v>557</v>
      </c>
      <c r="J1086" s="8" t="s">
        <v>206</v>
      </c>
      <c r="K1086" s="14" t="b">
        <v>0</v>
      </c>
      <c r="L1086" s="14" t="b">
        <v>1</v>
      </c>
      <c r="M1086" s="14" t="b">
        <v>1</v>
      </c>
      <c r="N1086" s="14" t="b">
        <v>0</v>
      </c>
      <c r="O1086" s="14" t="b">
        <v>1</v>
      </c>
    </row>
    <row r="1087" spans="1:15" x14ac:dyDescent="0.25">
      <c r="A1087" s="4">
        <v>31635857000292</v>
      </c>
      <c r="B1087" s="8" t="s">
        <v>1107</v>
      </c>
      <c r="C1087" s="8" t="s">
        <v>131</v>
      </c>
      <c r="D1087" s="7" t="s">
        <v>61</v>
      </c>
      <c r="E1087" s="7" t="s">
        <v>215</v>
      </c>
      <c r="F1087" s="6">
        <v>2</v>
      </c>
      <c r="G1087" s="8" t="s">
        <v>181</v>
      </c>
      <c r="H1087" s="8" t="s">
        <v>182</v>
      </c>
      <c r="I1087" s="109" t="s">
        <v>557</v>
      </c>
      <c r="J1087" s="8" t="s">
        <v>206</v>
      </c>
      <c r="K1087" s="14" t="b">
        <v>0</v>
      </c>
      <c r="L1087" s="14" t="b">
        <v>1</v>
      </c>
      <c r="M1087" s="14" t="b">
        <v>1</v>
      </c>
      <c r="N1087" s="14" t="b">
        <v>0</v>
      </c>
      <c r="O1087" s="14" t="b">
        <v>1</v>
      </c>
    </row>
    <row r="1088" spans="1:15" x14ac:dyDescent="0.25">
      <c r="A1088" s="4">
        <v>31925548000176</v>
      </c>
      <c r="B1088" s="8" t="s">
        <v>1108</v>
      </c>
      <c r="C1088" s="8" t="s">
        <v>131</v>
      </c>
      <c r="D1088" s="7" t="s">
        <v>61</v>
      </c>
      <c r="E1088" s="7" t="s">
        <v>215</v>
      </c>
      <c r="F1088" s="6">
        <v>2</v>
      </c>
      <c r="G1088" s="8" t="s">
        <v>173</v>
      </c>
      <c r="H1088" s="8" t="s">
        <v>174</v>
      </c>
      <c r="I1088" s="109" t="s">
        <v>557</v>
      </c>
      <c r="J1088" s="8" t="s">
        <v>206</v>
      </c>
      <c r="K1088" s="14" t="b">
        <v>0</v>
      </c>
      <c r="L1088" s="14" t="b">
        <v>1</v>
      </c>
      <c r="M1088" s="14" t="b">
        <v>1</v>
      </c>
      <c r="N1088" s="14" t="b">
        <v>0</v>
      </c>
      <c r="O1088" s="14" t="b">
        <v>1</v>
      </c>
    </row>
    <row r="1089" spans="1:15" x14ac:dyDescent="0.25">
      <c r="A1089" s="4">
        <v>32154700000127</v>
      </c>
      <c r="B1089" s="8" t="s">
        <v>1109</v>
      </c>
      <c r="C1089" s="8" t="s">
        <v>131</v>
      </c>
      <c r="D1089" s="7" t="s">
        <v>61</v>
      </c>
      <c r="E1089" s="7" t="s">
        <v>215</v>
      </c>
      <c r="F1089" s="6">
        <v>2</v>
      </c>
      <c r="G1089" s="8" t="s">
        <v>181</v>
      </c>
      <c r="H1089" s="8" t="s">
        <v>182</v>
      </c>
      <c r="I1089" s="109" t="s">
        <v>557</v>
      </c>
      <c r="J1089" s="8" t="s">
        <v>206</v>
      </c>
      <c r="K1089" s="14" t="b">
        <v>0</v>
      </c>
      <c r="L1089" s="14" t="b">
        <v>1</v>
      </c>
      <c r="M1089" s="14" t="b">
        <v>1</v>
      </c>
      <c r="N1089" s="14" t="b">
        <v>0</v>
      </c>
      <c r="O1089" s="14" t="b">
        <v>1</v>
      </c>
    </row>
    <row r="1090" spans="1:15" x14ac:dyDescent="0.25">
      <c r="A1090" s="4">
        <v>33000167000101</v>
      </c>
      <c r="B1090" s="8" t="s">
        <v>1110</v>
      </c>
      <c r="C1090" s="8" t="s">
        <v>131</v>
      </c>
      <c r="D1090" s="7" t="s">
        <v>61</v>
      </c>
      <c r="E1090" s="7" t="s">
        <v>215</v>
      </c>
      <c r="F1090" s="6">
        <v>2</v>
      </c>
      <c r="G1090" s="8" t="s">
        <v>181</v>
      </c>
      <c r="H1090" s="8" t="s">
        <v>182</v>
      </c>
      <c r="I1090" s="109" t="s">
        <v>557</v>
      </c>
      <c r="J1090" s="8" t="s">
        <v>206</v>
      </c>
      <c r="K1090" s="14" t="b">
        <v>0</v>
      </c>
      <c r="L1090" s="14" t="b">
        <v>1</v>
      </c>
      <c r="M1090" s="14" t="b">
        <v>1</v>
      </c>
      <c r="N1090" s="14" t="b">
        <v>0</v>
      </c>
      <c r="O1090" s="14" t="b">
        <v>1</v>
      </c>
    </row>
    <row r="1091" spans="1:15" x14ac:dyDescent="0.25">
      <c r="A1091" s="4">
        <v>33419482000259</v>
      </c>
      <c r="B1091" s="8" t="s">
        <v>1111</v>
      </c>
      <c r="C1091" s="8" t="s">
        <v>131</v>
      </c>
      <c r="D1091" s="7" t="s">
        <v>61</v>
      </c>
      <c r="E1091" s="7" t="s">
        <v>215</v>
      </c>
      <c r="F1091" s="6">
        <v>2</v>
      </c>
      <c r="G1091" s="8" t="s">
        <v>181</v>
      </c>
      <c r="H1091" s="8" t="s">
        <v>182</v>
      </c>
      <c r="I1091" s="109" t="s">
        <v>557</v>
      </c>
      <c r="J1091" s="8" t="s">
        <v>206</v>
      </c>
      <c r="K1091" s="14" t="b">
        <v>0</v>
      </c>
      <c r="L1091" s="14" t="b">
        <v>1</v>
      </c>
      <c r="M1091" s="14" t="b">
        <v>1</v>
      </c>
      <c r="N1091" s="14" t="b">
        <v>0</v>
      </c>
      <c r="O1091" s="14" t="b">
        <v>1</v>
      </c>
    </row>
    <row r="1092" spans="1:15" x14ac:dyDescent="0.25">
      <c r="A1092" s="4">
        <v>33476482000100</v>
      </c>
      <c r="B1092" s="8" t="s">
        <v>1412</v>
      </c>
      <c r="C1092" s="8" t="s">
        <v>131</v>
      </c>
      <c r="D1092" s="7" t="s">
        <v>61</v>
      </c>
      <c r="E1092" s="7" t="s">
        <v>215</v>
      </c>
      <c r="F1092" s="6">
        <v>2</v>
      </c>
      <c r="G1092" s="8" t="s">
        <v>181</v>
      </c>
      <c r="H1092" s="8" t="s">
        <v>182</v>
      </c>
      <c r="I1092" s="109" t="s">
        <v>557</v>
      </c>
      <c r="J1092" s="8" t="s">
        <v>206</v>
      </c>
      <c r="K1092" s="14" t="b">
        <v>0</v>
      </c>
      <c r="L1092" s="14" t="b">
        <v>1</v>
      </c>
      <c r="M1092" s="14" t="b">
        <v>1</v>
      </c>
      <c r="N1092" s="14" t="b">
        <v>0</v>
      </c>
      <c r="O1092" s="14" t="b">
        <v>1</v>
      </c>
    </row>
    <row r="1093" spans="1:15" x14ac:dyDescent="0.25">
      <c r="A1093" s="4">
        <v>33540014000157</v>
      </c>
      <c r="B1093" s="8" t="s">
        <v>1112</v>
      </c>
      <c r="C1093" s="8" t="s">
        <v>131</v>
      </c>
      <c r="D1093" s="7" t="s">
        <v>61</v>
      </c>
      <c r="E1093" s="7" t="s">
        <v>215</v>
      </c>
      <c r="F1093" s="6">
        <v>2</v>
      </c>
      <c r="G1093" s="8" t="s">
        <v>181</v>
      </c>
      <c r="H1093" s="8" t="s">
        <v>182</v>
      </c>
      <c r="I1093" s="109" t="s">
        <v>557</v>
      </c>
      <c r="J1093" s="8" t="s">
        <v>206</v>
      </c>
      <c r="K1093" s="14" t="b">
        <v>0</v>
      </c>
      <c r="L1093" s="14" t="b">
        <v>1</v>
      </c>
      <c r="M1093" s="14" t="b">
        <v>1</v>
      </c>
      <c r="N1093" s="14" t="b">
        <v>0</v>
      </c>
      <c r="O1093" s="14" t="b">
        <v>1</v>
      </c>
    </row>
    <row r="1094" spans="1:15" x14ac:dyDescent="0.25">
      <c r="A1094" s="4">
        <v>33575127000600</v>
      </c>
      <c r="B1094" s="8" t="s">
        <v>1217</v>
      </c>
      <c r="C1094" s="8" t="s">
        <v>131</v>
      </c>
      <c r="D1094" s="7" t="s">
        <v>61</v>
      </c>
      <c r="E1094" s="7" t="s">
        <v>215</v>
      </c>
      <c r="F1094" s="6">
        <v>2</v>
      </c>
      <c r="G1094" s="8" t="s">
        <v>181</v>
      </c>
      <c r="H1094" s="8" t="s">
        <v>182</v>
      </c>
      <c r="I1094" s="109" t="s">
        <v>557</v>
      </c>
      <c r="J1094" s="8" t="s">
        <v>206</v>
      </c>
      <c r="K1094" s="14" t="b">
        <v>0</v>
      </c>
      <c r="L1094" s="14" t="b">
        <v>1</v>
      </c>
      <c r="M1094" s="14" t="b">
        <v>1</v>
      </c>
      <c r="N1094" s="14" t="b">
        <v>0</v>
      </c>
      <c r="O1094" s="14" t="b">
        <v>1</v>
      </c>
    </row>
    <row r="1095" spans="1:15" x14ac:dyDescent="0.25">
      <c r="A1095" s="4">
        <v>33663683002674</v>
      </c>
      <c r="B1095" s="8" t="s">
        <v>1113</v>
      </c>
      <c r="C1095" s="8" t="s">
        <v>131</v>
      </c>
      <c r="D1095" s="7" t="s">
        <v>61</v>
      </c>
      <c r="E1095" s="7" t="s">
        <v>215</v>
      </c>
      <c r="F1095" s="6">
        <v>2</v>
      </c>
      <c r="G1095" s="8" t="s">
        <v>181</v>
      </c>
      <c r="H1095" s="8" t="s">
        <v>182</v>
      </c>
      <c r="I1095" s="109" t="s">
        <v>557</v>
      </c>
      <c r="J1095" s="8" t="s">
        <v>206</v>
      </c>
      <c r="K1095" s="14" t="b">
        <v>0</v>
      </c>
      <c r="L1095" s="14" t="b">
        <v>1</v>
      </c>
      <c r="M1095" s="14" t="b">
        <v>1</v>
      </c>
      <c r="N1095" s="14" t="b">
        <v>0</v>
      </c>
      <c r="O1095" s="14" t="b">
        <v>1</v>
      </c>
    </row>
    <row r="1096" spans="1:15" x14ac:dyDescent="0.25">
      <c r="A1096" s="4">
        <v>33663683005347</v>
      </c>
      <c r="B1096" s="8" t="s">
        <v>1114</v>
      </c>
      <c r="C1096" s="8" t="s">
        <v>131</v>
      </c>
      <c r="D1096" s="7" t="s">
        <v>61</v>
      </c>
      <c r="E1096" s="7" t="s">
        <v>215</v>
      </c>
      <c r="F1096" s="6">
        <v>2</v>
      </c>
      <c r="G1096" s="8" t="s">
        <v>173</v>
      </c>
      <c r="H1096" s="8" t="s">
        <v>174</v>
      </c>
      <c r="I1096" s="109" t="s">
        <v>557</v>
      </c>
      <c r="J1096" s="8" t="s">
        <v>206</v>
      </c>
      <c r="K1096" s="14" t="b">
        <v>0</v>
      </c>
      <c r="L1096" s="14" t="b">
        <v>1</v>
      </c>
      <c r="M1096" s="14" t="b">
        <v>1</v>
      </c>
      <c r="N1096" s="14" t="b">
        <v>0</v>
      </c>
      <c r="O1096" s="14" t="b">
        <v>1</v>
      </c>
    </row>
    <row r="1097" spans="1:15" x14ac:dyDescent="0.25">
      <c r="A1097" s="4">
        <v>33705849000543</v>
      </c>
      <c r="B1097" s="8" t="s">
        <v>1329</v>
      </c>
      <c r="C1097" s="8" t="s">
        <v>131</v>
      </c>
      <c r="D1097" s="7" t="s">
        <v>61</v>
      </c>
      <c r="E1097" s="7" t="s">
        <v>215</v>
      </c>
      <c r="F1097" s="6">
        <v>2</v>
      </c>
      <c r="G1097" s="8" t="s">
        <v>173</v>
      </c>
      <c r="H1097" s="8" t="s">
        <v>174</v>
      </c>
      <c r="I1097" s="109" t="s">
        <v>557</v>
      </c>
      <c r="J1097" s="8" t="s">
        <v>206</v>
      </c>
      <c r="K1097" s="14" t="b">
        <v>0</v>
      </c>
      <c r="L1097" s="14" t="b">
        <v>1</v>
      </c>
      <c r="M1097" s="14" t="b">
        <v>1</v>
      </c>
      <c r="N1097" s="14" t="b">
        <v>0</v>
      </c>
      <c r="O1097" s="14" t="b">
        <v>1</v>
      </c>
    </row>
    <row r="1098" spans="1:15" x14ac:dyDescent="0.25">
      <c r="A1098" s="4">
        <v>33722224000166</v>
      </c>
      <c r="B1098" s="8" t="s">
        <v>1115</v>
      </c>
      <c r="C1098" s="8" t="s">
        <v>131</v>
      </c>
      <c r="D1098" s="7" t="s">
        <v>61</v>
      </c>
      <c r="E1098" s="7" t="s">
        <v>215</v>
      </c>
      <c r="F1098" s="6">
        <v>2</v>
      </c>
      <c r="G1098" s="8" t="s">
        <v>181</v>
      </c>
      <c r="H1098" s="8" t="s">
        <v>182</v>
      </c>
      <c r="I1098" s="109" t="s">
        <v>557</v>
      </c>
      <c r="J1098" s="8" t="s">
        <v>206</v>
      </c>
      <c r="K1098" s="14" t="b">
        <v>0</v>
      </c>
      <c r="L1098" s="14" t="b">
        <v>1</v>
      </c>
      <c r="M1098" s="14" t="b">
        <v>1</v>
      </c>
      <c r="N1098" s="14" t="b">
        <v>0</v>
      </c>
      <c r="O1098" s="14" t="b">
        <v>1</v>
      </c>
    </row>
    <row r="1099" spans="1:15" x14ac:dyDescent="0.25">
      <c r="A1099" s="4">
        <v>33781055000216</v>
      </c>
      <c r="B1099" s="8" t="s">
        <v>1116</v>
      </c>
      <c r="C1099" s="8" t="s">
        <v>131</v>
      </c>
      <c r="D1099" s="7" t="s">
        <v>61</v>
      </c>
      <c r="E1099" s="7" t="s">
        <v>215</v>
      </c>
      <c r="F1099" s="6">
        <v>2</v>
      </c>
      <c r="G1099" s="8" t="s">
        <v>181</v>
      </c>
      <c r="H1099" s="8" t="s">
        <v>182</v>
      </c>
      <c r="I1099" s="109" t="s">
        <v>557</v>
      </c>
      <c r="J1099" s="8" t="s">
        <v>206</v>
      </c>
      <c r="K1099" s="14" t="b">
        <v>0</v>
      </c>
      <c r="L1099" s="14" t="b">
        <v>1</v>
      </c>
      <c r="M1099" s="14" t="b">
        <v>1</v>
      </c>
      <c r="N1099" s="14" t="b">
        <v>0</v>
      </c>
      <c r="O1099" s="14" t="b">
        <v>1</v>
      </c>
    </row>
    <row r="1100" spans="1:15" x14ac:dyDescent="0.25">
      <c r="A1100" s="4">
        <v>33804212000180</v>
      </c>
      <c r="B1100" s="8" t="s">
        <v>1413</v>
      </c>
      <c r="C1100" s="8" t="s">
        <v>131</v>
      </c>
      <c r="D1100" s="7" t="s">
        <v>61</v>
      </c>
      <c r="E1100" s="7" t="s">
        <v>215</v>
      </c>
      <c r="F1100" s="6">
        <v>2</v>
      </c>
      <c r="G1100" s="8" t="s">
        <v>181</v>
      </c>
      <c r="H1100" s="8" t="s">
        <v>182</v>
      </c>
      <c r="I1100" s="109" t="s">
        <v>557</v>
      </c>
      <c r="J1100" s="8" t="s">
        <v>206</v>
      </c>
      <c r="K1100" s="14" t="b">
        <v>0</v>
      </c>
      <c r="L1100" s="14" t="b">
        <v>1</v>
      </c>
      <c r="M1100" s="14" t="b">
        <v>1</v>
      </c>
      <c r="N1100" s="14" t="b">
        <v>0</v>
      </c>
      <c r="O1100" s="14" t="b">
        <v>1</v>
      </c>
    </row>
    <row r="1101" spans="1:15" x14ac:dyDescent="0.25">
      <c r="A1101" s="4">
        <v>33927377000140</v>
      </c>
      <c r="B1101" s="8" t="s">
        <v>1117</v>
      </c>
      <c r="C1101" s="8" t="s">
        <v>131</v>
      </c>
      <c r="D1101" s="7" t="s">
        <v>61</v>
      </c>
      <c r="E1101" s="7" t="s">
        <v>215</v>
      </c>
      <c r="F1101" s="6">
        <v>2</v>
      </c>
      <c r="G1101" s="8" t="s">
        <v>181</v>
      </c>
      <c r="H1101" s="8" t="s">
        <v>182</v>
      </c>
      <c r="I1101" s="109" t="s">
        <v>557</v>
      </c>
      <c r="J1101" s="8" t="s">
        <v>206</v>
      </c>
      <c r="K1101" s="14" t="b">
        <v>0</v>
      </c>
      <c r="L1101" s="14" t="b">
        <v>1</v>
      </c>
      <c r="M1101" s="14" t="b">
        <v>1</v>
      </c>
      <c r="N1101" s="14" t="b">
        <v>0</v>
      </c>
      <c r="O1101" s="14" t="b">
        <v>1</v>
      </c>
    </row>
    <row r="1102" spans="1:15" x14ac:dyDescent="0.25">
      <c r="A1102" s="4">
        <v>34058123000103</v>
      </c>
      <c r="B1102" s="8" t="s">
        <v>1118</v>
      </c>
      <c r="C1102" s="8" t="s">
        <v>131</v>
      </c>
      <c r="D1102" s="7" t="s">
        <v>61</v>
      </c>
      <c r="E1102" s="7" t="s">
        <v>215</v>
      </c>
      <c r="F1102" s="6">
        <v>2</v>
      </c>
      <c r="G1102" s="8" t="s">
        <v>181</v>
      </c>
      <c r="H1102" s="8" t="s">
        <v>182</v>
      </c>
      <c r="I1102" s="109" t="s">
        <v>557</v>
      </c>
      <c r="J1102" s="8" t="s">
        <v>206</v>
      </c>
      <c r="K1102" s="14" t="b">
        <v>0</v>
      </c>
      <c r="L1102" s="14" t="b">
        <v>1</v>
      </c>
      <c r="M1102" s="14" t="b">
        <v>1</v>
      </c>
      <c r="N1102" s="14" t="b">
        <v>0</v>
      </c>
      <c r="O1102" s="14" t="b">
        <v>1</v>
      </c>
    </row>
    <row r="1103" spans="1:15" x14ac:dyDescent="0.25">
      <c r="A1103" s="4">
        <v>39086160000130</v>
      </c>
      <c r="B1103" s="8" t="s">
        <v>1119</v>
      </c>
      <c r="C1103" s="8" t="s">
        <v>131</v>
      </c>
      <c r="D1103" s="7" t="s">
        <v>61</v>
      </c>
      <c r="E1103" s="7" t="s">
        <v>215</v>
      </c>
      <c r="F1103" s="6">
        <v>2</v>
      </c>
      <c r="G1103" s="8" t="s">
        <v>181</v>
      </c>
      <c r="H1103" s="8" t="s">
        <v>182</v>
      </c>
      <c r="I1103" s="109" t="s">
        <v>557</v>
      </c>
      <c r="J1103" s="8" t="s">
        <v>206</v>
      </c>
      <c r="K1103" s="14" t="b">
        <v>0</v>
      </c>
      <c r="L1103" s="14" t="b">
        <v>1</v>
      </c>
      <c r="M1103" s="14" t="b">
        <v>1</v>
      </c>
      <c r="N1103" s="14" t="b">
        <v>0</v>
      </c>
      <c r="O1103" s="14" t="b">
        <v>1</v>
      </c>
    </row>
    <row r="1104" spans="1:15" x14ac:dyDescent="0.25">
      <c r="A1104" s="4">
        <v>40226946000276</v>
      </c>
      <c r="B1104" s="8" t="s">
        <v>1120</v>
      </c>
      <c r="C1104" s="8" t="s">
        <v>131</v>
      </c>
      <c r="D1104" s="7" t="s">
        <v>61</v>
      </c>
      <c r="E1104" s="7" t="s">
        <v>215</v>
      </c>
      <c r="F1104" s="6">
        <v>2</v>
      </c>
      <c r="G1104" s="8" t="s">
        <v>181</v>
      </c>
      <c r="H1104" s="8" t="s">
        <v>182</v>
      </c>
      <c r="I1104" s="109" t="s">
        <v>557</v>
      </c>
      <c r="J1104" s="8" t="s">
        <v>206</v>
      </c>
      <c r="K1104" s="14" t="b">
        <v>0</v>
      </c>
      <c r="L1104" s="14" t="b">
        <v>1</v>
      </c>
      <c r="M1104" s="14" t="b">
        <v>1</v>
      </c>
      <c r="N1104" s="14" t="b">
        <v>0</v>
      </c>
      <c r="O1104" s="14" t="b">
        <v>1</v>
      </c>
    </row>
    <row r="1105" spans="1:15" x14ac:dyDescent="0.25">
      <c r="A1105" s="4">
        <v>40320103000153</v>
      </c>
      <c r="B1105" s="8" t="s">
        <v>1121</v>
      </c>
      <c r="C1105" s="8" t="s">
        <v>131</v>
      </c>
      <c r="D1105" s="7" t="s">
        <v>61</v>
      </c>
      <c r="E1105" s="7" t="s">
        <v>215</v>
      </c>
      <c r="F1105" s="6">
        <v>2</v>
      </c>
      <c r="G1105" s="8" t="s">
        <v>173</v>
      </c>
      <c r="H1105" s="8" t="s">
        <v>174</v>
      </c>
      <c r="I1105" s="109" t="s">
        <v>557</v>
      </c>
      <c r="J1105" s="8" t="s">
        <v>206</v>
      </c>
      <c r="K1105" s="14" t="b">
        <v>0</v>
      </c>
      <c r="L1105" s="14" t="b">
        <v>1</v>
      </c>
      <c r="M1105" s="14" t="b">
        <v>1</v>
      </c>
      <c r="N1105" s="14" t="b">
        <v>0</v>
      </c>
      <c r="O1105" s="14" t="b">
        <v>1</v>
      </c>
    </row>
    <row r="1106" spans="1:15" x14ac:dyDescent="0.25">
      <c r="A1106" s="4">
        <v>42297507000107</v>
      </c>
      <c r="B1106" s="8" t="s">
        <v>1122</v>
      </c>
      <c r="C1106" s="8" t="s">
        <v>131</v>
      </c>
      <c r="D1106" s="7" t="s">
        <v>61</v>
      </c>
      <c r="E1106" s="7" t="s">
        <v>215</v>
      </c>
      <c r="F1106" s="6">
        <v>2</v>
      </c>
      <c r="G1106" s="8" t="s">
        <v>181</v>
      </c>
      <c r="H1106" s="8" t="s">
        <v>182</v>
      </c>
      <c r="I1106" s="109" t="s">
        <v>557</v>
      </c>
      <c r="J1106" s="8" t="s">
        <v>206</v>
      </c>
      <c r="K1106" s="14" t="b">
        <v>0</v>
      </c>
      <c r="L1106" s="14" t="b">
        <v>1</v>
      </c>
      <c r="M1106" s="14" t="b">
        <v>1</v>
      </c>
      <c r="N1106" s="14" t="b">
        <v>0</v>
      </c>
      <c r="O1106" s="14" t="b">
        <v>1</v>
      </c>
    </row>
    <row r="1107" spans="1:15" x14ac:dyDescent="0.25">
      <c r="A1107" s="4">
        <v>42498733000148</v>
      </c>
      <c r="B1107" s="8" t="s">
        <v>1221</v>
      </c>
      <c r="C1107" s="8" t="s">
        <v>131</v>
      </c>
      <c r="D1107" s="7" t="s">
        <v>61</v>
      </c>
      <c r="E1107" s="7" t="s">
        <v>215</v>
      </c>
      <c r="F1107" s="6">
        <v>2</v>
      </c>
      <c r="G1107" s="8" t="s">
        <v>181</v>
      </c>
      <c r="H1107" s="8" t="s">
        <v>182</v>
      </c>
      <c r="I1107" s="109" t="s">
        <v>557</v>
      </c>
      <c r="J1107" s="8" t="s">
        <v>206</v>
      </c>
      <c r="K1107" s="14" t="b">
        <v>0</v>
      </c>
      <c r="L1107" s="14" t="b">
        <v>1</v>
      </c>
      <c r="M1107" s="14" t="b">
        <v>1</v>
      </c>
      <c r="N1107" s="14" t="b">
        <v>0</v>
      </c>
      <c r="O1107" s="14" t="b">
        <v>1</v>
      </c>
    </row>
    <row r="1108" spans="1:15" x14ac:dyDescent="0.25">
      <c r="A1108" s="4">
        <v>53221255004995</v>
      </c>
      <c r="B1108" s="8" t="s">
        <v>1123</v>
      </c>
      <c r="C1108" s="8" t="s">
        <v>131</v>
      </c>
      <c r="D1108" s="7" t="s">
        <v>61</v>
      </c>
      <c r="E1108" s="7" t="s">
        <v>215</v>
      </c>
      <c r="F1108" s="6">
        <v>2</v>
      </c>
      <c r="G1108" s="8" t="s">
        <v>181</v>
      </c>
      <c r="H1108" s="8" t="s">
        <v>182</v>
      </c>
      <c r="I1108" s="109" t="s">
        <v>557</v>
      </c>
      <c r="J1108" s="8" t="s">
        <v>206</v>
      </c>
      <c r="K1108" s="14" t="b">
        <v>0</v>
      </c>
      <c r="L1108" s="14" t="b">
        <v>1</v>
      </c>
      <c r="M1108" s="14" t="b">
        <v>1</v>
      </c>
      <c r="N1108" s="14" t="b">
        <v>0</v>
      </c>
      <c r="O1108" s="14" t="b">
        <v>1</v>
      </c>
    </row>
    <row r="1109" spans="1:15" x14ac:dyDescent="0.25">
      <c r="A1109" s="4">
        <v>60884855001630</v>
      </c>
      <c r="B1109" s="8" t="s">
        <v>1124</v>
      </c>
      <c r="C1109" s="8" t="s">
        <v>131</v>
      </c>
      <c r="D1109" s="7" t="s">
        <v>61</v>
      </c>
      <c r="E1109" s="7" t="s">
        <v>215</v>
      </c>
      <c r="F1109" s="6">
        <v>2</v>
      </c>
      <c r="G1109" s="8" t="s">
        <v>173</v>
      </c>
      <c r="H1109" s="8" t="s">
        <v>174</v>
      </c>
      <c r="I1109" s="109" t="s">
        <v>557</v>
      </c>
      <c r="J1109" s="8" t="s">
        <v>206</v>
      </c>
      <c r="K1109" s="14" t="b">
        <v>0</v>
      </c>
      <c r="L1109" s="14" t="b">
        <v>1</v>
      </c>
      <c r="M1109" s="14" t="b">
        <v>1</v>
      </c>
      <c r="N1109" s="14" t="b">
        <v>0</v>
      </c>
      <c r="O1109" s="14" t="b">
        <v>1</v>
      </c>
    </row>
    <row r="1110" spans="1:15" x14ac:dyDescent="0.25">
      <c r="A1110" s="4">
        <v>60922168000348</v>
      </c>
      <c r="B1110" s="8" t="s">
        <v>1125</v>
      </c>
      <c r="C1110" s="8" t="s">
        <v>131</v>
      </c>
      <c r="D1110" s="7" t="s">
        <v>61</v>
      </c>
      <c r="E1110" s="7" t="s">
        <v>215</v>
      </c>
      <c r="F1110" s="6">
        <v>2</v>
      </c>
      <c r="G1110" s="8" t="s">
        <v>181</v>
      </c>
      <c r="H1110" s="8" t="s">
        <v>182</v>
      </c>
      <c r="I1110" s="109" t="s">
        <v>557</v>
      </c>
      <c r="J1110" s="8" t="s">
        <v>206</v>
      </c>
      <c r="K1110" s="14" t="b">
        <v>0</v>
      </c>
      <c r="L1110" s="14" t="b">
        <v>1</v>
      </c>
      <c r="M1110" s="14" t="b">
        <v>1</v>
      </c>
      <c r="N1110" s="14" t="b">
        <v>0</v>
      </c>
      <c r="O1110" s="14" t="b">
        <v>1</v>
      </c>
    </row>
    <row r="1111" spans="1:15" x14ac:dyDescent="0.25">
      <c r="A1111" s="4">
        <v>72101124000506</v>
      </c>
      <c r="B1111" s="8" t="s">
        <v>1126</v>
      </c>
      <c r="C1111" s="8" t="s">
        <v>131</v>
      </c>
      <c r="D1111" s="7" t="s">
        <v>61</v>
      </c>
      <c r="E1111" s="7" t="s">
        <v>215</v>
      </c>
      <c r="F1111" s="6">
        <v>2</v>
      </c>
      <c r="G1111" s="8" t="s">
        <v>181</v>
      </c>
      <c r="H1111" s="8" t="s">
        <v>182</v>
      </c>
      <c r="I1111" s="109" t="s">
        <v>557</v>
      </c>
      <c r="J1111" s="8" t="s">
        <v>206</v>
      </c>
      <c r="K1111" s="14" t="b">
        <v>0</v>
      </c>
      <c r="L1111" s="14" t="b">
        <v>1</v>
      </c>
      <c r="M1111" s="14" t="b">
        <v>1</v>
      </c>
      <c r="N1111" s="14" t="b">
        <v>0</v>
      </c>
      <c r="O1111" s="14" t="b">
        <v>1</v>
      </c>
    </row>
    <row r="1112" spans="1:15" x14ac:dyDescent="0.25">
      <c r="A1112" s="4">
        <v>73696718000219</v>
      </c>
      <c r="B1112" s="8" t="s">
        <v>1127</v>
      </c>
      <c r="C1112" s="8" t="s">
        <v>131</v>
      </c>
      <c r="D1112" s="7" t="s">
        <v>61</v>
      </c>
      <c r="E1112" s="7" t="s">
        <v>215</v>
      </c>
      <c r="F1112" s="6">
        <v>2</v>
      </c>
      <c r="G1112" s="8" t="s">
        <v>173</v>
      </c>
      <c r="H1112" s="8" t="s">
        <v>174</v>
      </c>
      <c r="I1112" s="109" t="s">
        <v>557</v>
      </c>
      <c r="J1112" s="8" t="s">
        <v>206</v>
      </c>
      <c r="K1112" s="14" t="b">
        <v>0</v>
      </c>
      <c r="L1112" s="14" t="b">
        <v>1</v>
      </c>
      <c r="M1112" s="14" t="b">
        <v>1</v>
      </c>
      <c r="N1112" s="14" t="b">
        <v>0</v>
      </c>
      <c r="O1112" s="14" t="b">
        <v>1</v>
      </c>
    </row>
    <row r="1113" spans="1:15" x14ac:dyDescent="0.25">
      <c r="A1113" s="4">
        <v>320465020</v>
      </c>
      <c r="B1113" s="8" t="s">
        <v>1067</v>
      </c>
      <c r="C1113" s="8" t="s">
        <v>131</v>
      </c>
      <c r="D1113" s="7" t="s">
        <v>61</v>
      </c>
      <c r="E1113" s="7" t="s">
        <v>215</v>
      </c>
      <c r="F1113" s="6">
        <v>2</v>
      </c>
      <c r="G1113" s="8" t="s">
        <v>155</v>
      </c>
      <c r="H1113" s="8" t="s">
        <v>156</v>
      </c>
      <c r="I1113" s="109" t="s">
        <v>556</v>
      </c>
      <c r="J1113" s="8" t="s">
        <v>206</v>
      </c>
      <c r="K1113" s="14" t="b">
        <v>1</v>
      </c>
      <c r="L1113" s="14" t="b">
        <v>0</v>
      </c>
      <c r="M1113" s="14" t="b">
        <v>0</v>
      </c>
      <c r="N1113" s="14" t="b">
        <v>1</v>
      </c>
      <c r="O1113" s="14" t="b">
        <v>1</v>
      </c>
    </row>
    <row r="1114" spans="1:15" x14ac:dyDescent="0.25">
      <c r="A1114" s="4">
        <v>5371944796</v>
      </c>
      <c r="B1114" s="8" t="s">
        <v>1068</v>
      </c>
      <c r="C1114" s="8" t="s">
        <v>131</v>
      </c>
      <c r="D1114" s="7" t="s">
        <v>61</v>
      </c>
      <c r="E1114" s="7" t="s">
        <v>215</v>
      </c>
      <c r="F1114" s="6">
        <v>2</v>
      </c>
      <c r="G1114" s="8" t="s">
        <v>155</v>
      </c>
      <c r="H1114" s="8" t="s">
        <v>156</v>
      </c>
      <c r="I1114" s="109" t="s">
        <v>556</v>
      </c>
      <c r="J1114" s="8" t="s">
        <v>206</v>
      </c>
      <c r="K1114" s="14" t="b">
        <v>1</v>
      </c>
      <c r="L1114" s="14" t="b">
        <v>0</v>
      </c>
      <c r="M1114" s="14" t="b">
        <v>0</v>
      </c>
      <c r="N1114" s="14" t="b">
        <v>1</v>
      </c>
      <c r="O1114" s="14" t="b">
        <v>1</v>
      </c>
    </row>
    <row r="1115" spans="1:15" x14ac:dyDescent="0.25">
      <c r="A1115" s="4">
        <v>11114987760</v>
      </c>
      <c r="B1115" s="8" t="s">
        <v>1069</v>
      </c>
      <c r="C1115" s="8" t="s">
        <v>131</v>
      </c>
      <c r="D1115" s="7" t="s">
        <v>61</v>
      </c>
      <c r="E1115" s="7" t="s">
        <v>215</v>
      </c>
      <c r="F1115" s="6">
        <v>2</v>
      </c>
      <c r="G1115" s="8" t="s">
        <v>155</v>
      </c>
      <c r="H1115" s="8" t="s">
        <v>156</v>
      </c>
      <c r="I1115" s="109" t="s">
        <v>556</v>
      </c>
      <c r="J1115" s="8" t="s">
        <v>206</v>
      </c>
      <c r="K1115" s="14" t="b">
        <v>1</v>
      </c>
      <c r="L1115" s="14" t="b">
        <v>0</v>
      </c>
      <c r="M1115" s="14" t="b">
        <v>0</v>
      </c>
      <c r="N1115" s="14" t="b">
        <v>1</v>
      </c>
      <c r="O1115" s="14" t="b">
        <v>1</v>
      </c>
    </row>
    <row r="1116" spans="1:15" x14ac:dyDescent="0.25">
      <c r="A1116" s="4">
        <v>92929000198</v>
      </c>
      <c r="B1116" s="8" t="s">
        <v>1327</v>
      </c>
      <c r="C1116" s="8" t="s">
        <v>131</v>
      </c>
      <c r="D1116" s="7" t="s">
        <v>61</v>
      </c>
      <c r="E1116" s="7" t="s">
        <v>215</v>
      </c>
      <c r="F1116" s="6">
        <v>2</v>
      </c>
      <c r="G1116" s="8" t="s">
        <v>155</v>
      </c>
      <c r="H1116" s="8" t="s">
        <v>156</v>
      </c>
      <c r="I1116" s="109" t="s">
        <v>556</v>
      </c>
      <c r="J1116" s="8" t="s">
        <v>206</v>
      </c>
      <c r="K1116" s="14" t="b">
        <v>1</v>
      </c>
      <c r="L1116" s="14" t="b">
        <v>0</v>
      </c>
      <c r="M1116" s="14" t="b">
        <v>0</v>
      </c>
      <c r="N1116" s="14" t="b">
        <v>1</v>
      </c>
      <c r="O1116" s="14" t="b">
        <v>1</v>
      </c>
    </row>
    <row r="1117" spans="1:15" x14ac:dyDescent="0.25">
      <c r="A1117" s="4">
        <v>394429017429</v>
      </c>
      <c r="B1117" s="8" t="s">
        <v>1410</v>
      </c>
      <c r="C1117" s="8" t="s">
        <v>131</v>
      </c>
      <c r="D1117" s="7" t="s">
        <v>61</v>
      </c>
      <c r="E1117" s="7" t="s">
        <v>215</v>
      </c>
      <c r="F1117" s="6">
        <v>2</v>
      </c>
      <c r="G1117" s="8" t="s">
        <v>155</v>
      </c>
      <c r="H1117" s="8" t="s">
        <v>156</v>
      </c>
      <c r="I1117" s="109" t="s">
        <v>556</v>
      </c>
      <c r="J1117" s="8" t="s">
        <v>206</v>
      </c>
      <c r="K1117" s="14" t="b">
        <v>1</v>
      </c>
      <c r="L1117" s="14" t="b">
        <v>0</v>
      </c>
      <c r="M1117" s="14" t="b">
        <v>0</v>
      </c>
      <c r="N1117" s="14" t="b">
        <v>1</v>
      </c>
      <c r="O1117" s="14" t="b">
        <v>1</v>
      </c>
    </row>
    <row r="1118" spans="1:15" x14ac:dyDescent="0.25">
      <c r="A1118" s="4">
        <v>394502014870</v>
      </c>
      <c r="B1118" s="8" t="s">
        <v>1070</v>
      </c>
      <c r="C1118" s="8" t="s">
        <v>131</v>
      </c>
      <c r="D1118" s="7" t="s">
        <v>61</v>
      </c>
      <c r="E1118" s="7" t="s">
        <v>215</v>
      </c>
      <c r="F1118" s="6">
        <v>2</v>
      </c>
      <c r="G1118" s="8" t="s">
        <v>155</v>
      </c>
      <c r="H1118" s="8" t="s">
        <v>156</v>
      </c>
      <c r="I1118" s="109" t="s">
        <v>556</v>
      </c>
      <c r="J1118" s="8" t="s">
        <v>206</v>
      </c>
      <c r="K1118" s="14" t="b">
        <v>1</v>
      </c>
      <c r="L1118" s="14" t="b">
        <v>0</v>
      </c>
      <c r="M1118" s="14" t="b">
        <v>0</v>
      </c>
      <c r="N1118" s="14" t="b">
        <v>1</v>
      </c>
      <c r="O1118" s="14" t="b">
        <v>1</v>
      </c>
    </row>
    <row r="1119" spans="1:15" x14ac:dyDescent="0.25">
      <c r="A1119" s="4">
        <v>394544017150</v>
      </c>
      <c r="B1119" s="8" t="s">
        <v>1071</v>
      </c>
      <c r="C1119" s="8" t="s">
        <v>131</v>
      </c>
      <c r="D1119" s="7" t="s">
        <v>61</v>
      </c>
      <c r="E1119" s="7" t="s">
        <v>215</v>
      </c>
      <c r="F1119" s="6">
        <v>2</v>
      </c>
      <c r="G1119" s="8" t="s">
        <v>155</v>
      </c>
      <c r="H1119" s="8" t="s">
        <v>156</v>
      </c>
      <c r="I1119" s="109" t="s">
        <v>556</v>
      </c>
      <c r="J1119" s="8" t="s">
        <v>206</v>
      </c>
      <c r="K1119" s="14" t="b">
        <v>1</v>
      </c>
      <c r="L1119" s="14" t="b">
        <v>0</v>
      </c>
      <c r="M1119" s="14" t="b">
        <v>0</v>
      </c>
      <c r="N1119" s="14" t="b">
        <v>1</v>
      </c>
      <c r="O1119" s="14" t="b">
        <v>1</v>
      </c>
    </row>
    <row r="1120" spans="1:15" x14ac:dyDescent="0.25">
      <c r="A1120" s="4">
        <v>394544020291</v>
      </c>
      <c r="B1120" s="8" t="s">
        <v>1072</v>
      </c>
      <c r="C1120" s="8" t="s">
        <v>131</v>
      </c>
      <c r="D1120" s="7" t="s">
        <v>61</v>
      </c>
      <c r="E1120" s="7" t="s">
        <v>215</v>
      </c>
      <c r="F1120" s="6">
        <v>2</v>
      </c>
      <c r="G1120" s="8" t="s">
        <v>155</v>
      </c>
      <c r="H1120" s="8" t="s">
        <v>156</v>
      </c>
      <c r="I1120" s="109" t="s">
        <v>556</v>
      </c>
      <c r="J1120" s="8" t="s">
        <v>206</v>
      </c>
      <c r="K1120" s="14" t="b">
        <v>1</v>
      </c>
      <c r="L1120" s="14" t="b">
        <v>0</v>
      </c>
      <c r="M1120" s="14" t="b">
        <v>0</v>
      </c>
      <c r="N1120" s="14" t="b">
        <v>1</v>
      </c>
      <c r="O1120" s="14" t="b">
        <v>1</v>
      </c>
    </row>
    <row r="1121" spans="1:15" x14ac:dyDescent="0.25">
      <c r="A1121" s="4">
        <v>394544020372</v>
      </c>
      <c r="B1121" s="8" t="s">
        <v>1073</v>
      </c>
      <c r="C1121" s="8" t="s">
        <v>131</v>
      </c>
      <c r="D1121" s="7" t="s">
        <v>61</v>
      </c>
      <c r="E1121" s="7" t="s">
        <v>215</v>
      </c>
      <c r="F1121" s="6">
        <v>2</v>
      </c>
      <c r="G1121" s="8" t="s">
        <v>155</v>
      </c>
      <c r="H1121" s="8" t="s">
        <v>156</v>
      </c>
      <c r="I1121" s="109" t="s">
        <v>556</v>
      </c>
      <c r="J1121" s="8" t="s">
        <v>206</v>
      </c>
      <c r="K1121" s="14" t="b">
        <v>1</v>
      </c>
      <c r="L1121" s="14" t="b">
        <v>0</v>
      </c>
      <c r="M1121" s="14" t="b">
        <v>0</v>
      </c>
      <c r="N1121" s="14" t="b">
        <v>1</v>
      </c>
      <c r="O1121" s="14" t="b">
        <v>1</v>
      </c>
    </row>
    <row r="1122" spans="1:15" x14ac:dyDescent="0.25">
      <c r="A1122" s="4">
        <v>394544020453</v>
      </c>
      <c r="B1122" s="8" t="s">
        <v>1074</v>
      </c>
      <c r="C1122" s="8" t="s">
        <v>131</v>
      </c>
      <c r="D1122" s="7" t="s">
        <v>61</v>
      </c>
      <c r="E1122" s="7" t="s">
        <v>215</v>
      </c>
      <c r="F1122" s="6">
        <v>2</v>
      </c>
      <c r="G1122" s="8" t="s">
        <v>155</v>
      </c>
      <c r="H1122" s="8" t="s">
        <v>156</v>
      </c>
      <c r="I1122" s="109" t="s">
        <v>556</v>
      </c>
      <c r="J1122" s="8" t="s">
        <v>206</v>
      </c>
      <c r="K1122" s="14" t="b">
        <v>1</v>
      </c>
      <c r="L1122" s="14" t="b">
        <v>0</v>
      </c>
      <c r="M1122" s="14" t="b">
        <v>0</v>
      </c>
      <c r="N1122" s="14" t="b">
        <v>1</v>
      </c>
      <c r="O1122" s="14" t="b">
        <v>1</v>
      </c>
    </row>
    <row r="1123" spans="1:15" x14ac:dyDescent="0.25">
      <c r="A1123" s="4">
        <v>394544021000</v>
      </c>
      <c r="B1123" s="8" t="s">
        <v>1075</v>
      </c>
      <c r="C1123" s="8" t="s">
        <v>131</v>
      </c>
      <c r="D1123" s="7" t="s">
        <v>61</v>
      </c>
      <c r="E1123" s="7" t="s">
        <v>215</v>
      </c>
      <c r="F1123" s="6">
        <v>2</v>
      </c>
      <c r="G1123" s="8" t="s">
        <v>155</v>
      </c>
      <c r="H1123" s="8" t="s">
        <v>156</v>
      </c>
      <c r="I1123" s="109" t="s">
        <v>556</v>
      </c>
      <c r="J1123" s="8" t="s">
        <v>206</v>
      </c>
      <c r="K1123" s="14" t="b">
        <v>1</v>
      </c>
      <c r="L1123" s="14" t="b">
        <v>0</v>
      </c>
      <c r="M1123" s="14" t="b">
        <v>0</v>
      </c>
      <c r="N1123" s="14" t="b">
        <v>1</v>
      </c>
      <c r="O1123" s="14" t="b">
        <v>1</v>
      </c>
    </row>
    <row r="1124" spans="1:15" x14ac:dyDescent="0.25">
      <c r="A1124" s="4">
        <v>394544021344</v>
      </c>
      <c r="B1124" s="8" t="s">
        <v>1076</v>
      </c>
      <c r="C1124" s="8" t="s">
        <v>131</v>
      </c>
      <c r="D1124" s="7" t="s">
        <v>61</v>
      </c>
      <c r="E1124" s="7" t="s">
        <v>215</v>
      </c>
      <c r="F1124" s="6">
        <v>2</v>
      </c>
      <c r="G1124" s="8" t="s">
        <v>155</v>
      </c>
      <c r="H1124" s="8" t="s">
        <v>156</v>
      </c>
      <c r="I1124" s="109" t="s">
        <v>556</v>
      </c>
      <c r="J1124" s="8" t="s">
        <v>206</v>
      </c>
      <c r="K1124" s="14" t="b">
        <v>1</v>
      </c>
      <c r="L1124" s="14" t="b">
        <v>0</v>
      </c>
      <c r="M1124" s="14" t="b">
        <v>0</v>
      </c>
      <c r="N1124" s="14" t="b">
        <v>1</v>
      </c>
      <c r="O1124" s="14" t="b">
        <v>1</v>
      </c>
    </row>
    <row r="1125" spans="1:15" x14ac:dyDescent="0.25">
      <c r="A1125" s="4">
        <v>2284062000521</v>
      </c>
      <c r="B1125" s="8" t="s">
        <v>1077</v>
      </c>
      <c r="C1125" s="8" t="s">
        <v>131</v>
      </c>
      <c r="D1125" s="7" t="s">
        <v>61</v>
      </c>
      <c r="E1125" s="7" t="s">
        <v>215</v>
      </c>
      <c r="F1125" s="6">
        <v>2</v>
      </c>
      <c r="G1125" s="8" t="s">
        <v>155</v>
      </c>
      <c r="H1125" s="8" t="s">
        <v>156</v>
      </c>
      <c r="I1125" s="109" t="s">
        <v>556</v>
      </c>
      <c r="J1125" s="8" t="s">
        <v>206</v>
      </c>
      <c r="K1125" s="14" t="b">
        <v>1</v>
      </c>
      <c r="L1125" s="14" t="b">
        <v>0</v>
      </c>
      <c r="M1125" s="14" t="b">
        <v>0</v>
      </c>
      <c r="N1125" s="14" t="b">
        <v>1</v>
      </c>
      <c r="O1125" s="14" t="b">
        <v>1</v>
      </c>
    </row>
    <row r="1126" spans="1:15" x14ac:dyDescent="0.25">
      <c r="A1126" s="4">
        <v>2864097000106</v>
      </c>
      <c r="B1126" s="8" t="s">
        <v>1078</v>
      </c>
      <c r="C1126" s="8" t="s">
        <v>131</v>
      </c>
      <c r="D1126" s="7" t="s">
        <v>61</v>
      </c>
      <c r="E1126" s="7" t="s">
        <v>215</v>
      </c>
      <c r="F1126" s="6">
        <v>2</v>
      </c>
      <c r="G1126" s="8" t="s">
        <v>155</v>
      </c>
      <c r="H1126" s="8" t="s">
        <v>156</v>
      </c>
      <c r="I1126" s="109" t="s">
        <v>556</v>
      </c>
      <c r="J1126" s="8" t="s">
        <v>206</v>
      </c>
      <c r="K1126" s="14" t="b">
        <v>1</v>
      </c>
      <c r="L1126" s="14" t="b">
        <v>0</v>
      </c>
      <c r="M1126" s="14" t="b">
        <v>0</v>
      </c>
      <c r="N1126" s="14" t="b">
        <v>1</v>
      </c>
      <c r="O1126" s="14" t="b">
        <v>1</v>
      </c>
    </row>
    <row r="1127" spans="1:15" x14ac:dyDescent="0.25">
      <c r="A1127" s="4">
        <v>2880648000125</v>
      </c>
      <c r="B1127" s="8" t="s">
        <v>1411</v>
      </c>
      <c r="C1127" s="8" t="s">
        <v>131</v>
      </c>
      <c r="D1127" s="7" t="s">
        <v>61</v>
      </c>
      <c r="E1127" s="7" t="s">
        <v>215</v>
      </c>
      <c r="F1127" s="6">
        <v>2</v>
      </c>
      <c r="G1127" s="8" t="s">
        <v>155</v>
      </c>
      <c r="H1127" s="8" t="s">
        <v>156</v>
      </c>
      <c r="I1127" s="109" t="s">
        <v>556</v>
      </c>
      <c r="J1127" s="8" t="s">
        <v>206</v>
      </c>
      <c r="K1127" s="14" t="b">
        <v>1</v>
      </c>
      <c r="L1127" s="14" t="b">
        <v>0</v>
      </c>
      <c r="M1127" s="14" t="b">
        <v>0</v>
      </c>
      <c r="N1127" s="14" t="b">
        <v>1</v>
      </c>
      <c r="O1127" s="14" t="b">
        <v>1</v>
      </c>
    </row>
    <row r="1128" spans="1:15" x14ac:dyDescent="0.25">
      <c r="A1128" s="4">
        <v>4779685002382</v>
      </c>
      <c r="B1128" s="8" t="s">
        <v>1079</v>
      </c>
      <c r="C1128" s="8" t="s">
        <v>131</v>
      </c>
      <c r="D1128" s="7" t="s">
        <v>61</v>
      </c>
      <c r="E1128" s="7" t="s">
        <v>215</v>
      </c>
      <c r="F1128" s="6">
        <v>2</v>
      </c>
      <c r="G1128" s="8" t="s">
        <v>155</v>
      </c>
      <c r="H1128" s="8" t="s">
        <v>156</v>
      </c>
      <c r="I1128" s="109" t="s">
        <v>556</v>
      </c>
      <c r="J1128" s="8" t="s">
        <v>206</v>
      </c>
      <c r="K1128" s="14" t="b">
        <v>1</v>
      </c>
      <c r="L1128" s="14" t="b">
        <v>0</v>
      </c>
      <c r="M1128" s="14" t="b">
        <v>0</v>
      </c>
      <c r="N1128" s="14" t="b">
        <v>1</v>
      </c>
      <c r="O1128" s="14" t="b">
        <v>1</v>
      </c>
    </row>
    <row r="1129" spans="1:15" x14ac:dyDescent="0.25">
      <c r="A1129" s="4">
        <v>6047087000996</v>
      </c>
      <c r="B1129" s="8" t="s">
        <v>1080</v>
      </c>
      <c r="C1129" s="8" t="s">
        <v>131</v>
      </c>
      <c r="D1129" s="7" t="s">
        <v>61</v>
      </c>
      <c r="E1129" s="7" t="s">
        <v>215</v>
      </c>
      <c r="F1129" s="6">
        <v>2</v>
      </c>
      <c r="G1129" s="8" t="s">
        <v>155</v>
      </c>
      <c r="H1129" s="8" t="s">
        <v>156</v>
      </c>
      <c r="I1129" s="109" t="s">
        <v>556</v>
      </c>
      <c r="J1129" s="8" t="s">
        <v>206</v>
      </c>
      <c r="K1129" s="14" t="b">
        <v>1</v>
      </c>
      <c r="L1129" s="14" t="b">
        <v>0</v>
      </c>
      <c r="M1129" s="14" t="b">
        <v>0</v>
      </c>
      <c r="N1129" s="14" t="b">
        <v>1</v>
      </c>
      <c r="O1129" s="14" t="b">
        <v>1</v>
      </c>
    </row>
    <row r="1130" spans="1:15" x14ac:dyDescent="0.25">
      <c r="A1130" s="4">
        <v>6047087001020</v>
      </c>
      <c r="B1130" s="8" t="s">
        <v>1081</v>
      </c>
      <c r="C1130" s="8" t="s">
        <v>131</v>
      </c>
      <c r="D1130" s="7" t="s">
        <v>61</v>
      </c>
      <c r="E1130" s="7" t="s">
        <v>215</v>
      </c>
      <c r="F1130" s="6">
        <v>2</v>
      </c>
      <c r="G1130" s="8" t="s">
        <v>155</v>
      </c>
      <c r="H1130" s="8" t="s">
        <v>156</v>
      </c>
      <c r="I1130" s="109" t="s">
        <v>556</v>
      </c>
      <c r="J1130" s="8" t="s">
        <v>206</v>
      </c>
      <c r="K1130" s="14" t="b">
        <v>1</v>
      </c>
      <c r="L1130" s="14" t="b">
        <v>0</v>
      </c>
      <c r="M1130" s="14" t="b">
        <v>0</v>
      </c>
      <c r="N1130" s="14" t="b">
        <v>1</v>
      </c>
      <c r="O1130" s="14" t="b">
        <v>1</v>
      </c>
    </row>
    <row r="1131" spans="1:15" x14ac:dyDescent="0.25">
      <c r="A1131" s="4">
        <v>6047087002697</v>
      </c>
      <c r="B1131" s="8" t="s">
        <v>1082</v>
      </c>
      <c r="C1131" s="8" t="s">
        <v>131</v>
      </c>
      <c r="D1131" s="7" t="s">
        <v>61</v>
      </c>
      <c r="E1131" s="7" t="s">
        <v>215</v>
      </c>
      <c r="F1131" s="6">
        <v>2</v>
      </c>
      <c r="G1131" s="8" t="s">
        <v>155</v>
      </c>
      <c r="H1131" s="8" t="s">
        <v>156</v>
      </c>
      <c r="I1131" s="109" t="s">
        <v>556</v>
      </c>
      <c r="J1131" s="8" t="s">
        <v>206</v>
      </c>
      <c r="K1131" s="14" t="b">
        <v>1</v>
      </c>
      <c r="L1131" s="14" t="b">
        <v>0</v>
      </c>
      <c r="M1131" s="14" t="b">
        <v>0</v>
      </c>
      <c r="N1131" s="14" t="b">
        <v>1</v>
      </c>
      <c r="O1131" s="14" t="b">
        <v>1</v>
      </c>
    </row>
    <row r="1132" spans="1:15" x14ac:dyDescent="0.25">
      <c r="A1132" s="4">
        <v>6047087003316</v>
      </c>
      <c r="B1132" s="8" t="s">
        <v>1083</v>
      </c>
      <c r="C1132" s="8" t="s">
        <v>131</v>
      </c>
      <c r="D1132" s="7" t="s">
        <v>61</v>
      </c>
      <c r="E1132" s="7" t="s">
        <v>215</v>
      </c>
      <c r="F1132" s="6">
        <v>2</v>
      </c>
      <c r="G1132" s="8" t="s">
        <v>155</v>
      </c>
      <c r="H1132" s="8" t="s">
        <v>156</v>
      </c>
      <c r="I1132" s="109" t="s">
        <v>556</v>
      </c>
      <c r="J1132" s="8" t="s">
        <v>206</v>
      </c>
      <c r="K1132" s="14" t="b">
        <v>1</v>
      </c>
      <c r="L1132" s="14" t="b">
        <v>0</v>
      </c>
      <c r="M1132" s="14" t="b">
        <v>0</v>
      </c>
      <c r="N1132" s="14" t="b">
        <v>1</v>
      </c>
      <c r="O1132" s="14" t="b">
        <v>1</v>
      </c>
    </row>
    <row r="1133" spans="1:15" x14ac:dyDescent="0.25">
      <c r="A1133" s="4">
        <v>7794623004896</v>
      </c>
      <c r="B1133" s="8" t="s">
        <v>1084</v>
      </c>
      <c r="C1133" s="8" t="s">
        <v>131</v>
      </c>
      <c r="D1133" s="7" t="s">
        <v>61</v>
      </c>
      <c r="E1133" s="7" t="s">
        <v>215</v>
      </c>
      <c r="F1133" s="6">
        <v>2</v>
      </c>
      <c r="G1133" s="8" t="s">
        <v>155</v>
      </c>
      <c r="H1133" s="8" t="s">
        <v>156</v>
      </c>
      <c r="I1133" s="109" t="s">
        <v>556</v>
      </c>
      <c r="J1133" s="8" t="s">
        <v>206</v>
      </c>
      <c r="K1133" s="14" t="b">
        <v>1</v>
      </c>
      <c r="L1133" s="14" t="b">
        <v>0</v>
      </c>
      <c r="M1133" s="14" t="b">
        <v>0</v>
      </c>
      <c r="N1133" s="14" t="b">
        <v>1</v>
      </c>
      <c r="O1133" s="14" t="b">
        <v>1</v>
      </c>
    </row>
    <row r="1134" spans="1:15" x14ac:dyDescent="0.25">
      <c r="A1134" s="4">
        <v>8100676002102</v>
      </c>
      <c r="B1134" s="8" t="s">
        <v>1085</v>
      </c>
      <c r="C1134" s="8" t="s">
        <v>131</v>
      </c>
      <c r="D1134" s="7" t="s">
        <v>61</v>
      </c>
      <c r="E1134" s="7" t="s">
        <v>215</v>
      </c>
      <c r="F1134" s="6">
        <v>2</v>
      </c>
      <c r="G1134" s="8" t="s">
        <v>155</v>
      </c>
      <c r="H1134" s="8" t="s">
        <v>156</v>
      </c>
      <c r="I1134" s="109" t="s">
        <v>556</v>
      </c>
      <c r="J1134" s="8" t="s">
        <v>206</v>
      </c>
      <c r="K1134" s="14" t="b">
        <v>1</v>
      </c>
      <c r="L1134" s="14" t="b">
        <v>0</v>
      </c>
      <c r="M1134" s="14" t="b">
        <v>0</v>
      </c>
      <c r="N1134" s="14" t="b">
        <v>1</v>
      </c>
      <c r="O1134" s="14" t="b">
        <v>1</v>
      </c>
    </row>
    <row r="1135" spans="1:15" x14ac:dyDescent="0.25">
      <c r="A1135" s="4">
        <v>8850962000222</v>
      </c>
      <c r="B1135" s="8" t="s">
        <v>1086</v>
      </c>
      <c r="C1135" s="8" t="s">
        <v>131</v>
      </c>
      <c r="D1135" s="7" t="s">
        <v>61</v>
      </c>
      <c r="E1135" s="7" t="s">
        <v>215</v>
      </c>
      <c r="F1135" s="6">
        <v>2</v>
      </c>
      <c r="G1135" s="8" t="s">
        <v>155</v>
      </c>
      <c r="H1135" s="8" t="s">
        <v>156</v>
      </c>
      <c r="I1135" s="109" t="s">
        <v>556</v>
      </c>
      <c r="J1135" s="8" t="s">
        <v>206</v>
      </c>
      <c r="K1135" s="14" t="b">
        <v>1</v>
      </c>
      <c r="L1135" s="14" t="b">
        <v>0</v>
      </c>
      <c r="M1135" s="14" t="b">
        <v>0</v>
      </c>
      <c r="N1135" s="14" t="b">
        <v>1</v>
      </c>
      <c r="O1135" s="14" t="b">
        <v>1</v>
      </c>
    </row>
    <row r="1136" spans="1:15" x14ac:dyDescent="0.25">
      <c r="A1136" s="4">
        <v>9219138000401</v>
      </c>
      <c r="B1136" s="8" t="s">
        <v>1087</v>
      </c>
      <c r="C1136" s="8" t="s">
        <v>131</v>
      </c>
      <c r="D1136" s="7" t="s">
        <v>61</v>
      </c>
      <c r="E1136" s="7" t="s">
        <v>215</v>
      </c>
      <c r="F1136" s="6">
        <v>2</v>
      </c>
      <c r="G1136" s="8" t="s">
        <v>155</v>
      </c>
      <c r="H1136" s="8" t="s">
        <v>156</v>
      </c>
      <c r="I1136" s="109" t="s">
        <v>556</v>
      </c>
      <c r="J1136" s="8" t="s">
        <v>206</v>
      </c>
      <c r="K1136" s="14" t="b">
        <v>1</v>
      </c>
      <c r="L1136" s="14" t="b">
        <v>0</v>
      </c>
      <c r="M1136" s="14" t="b">
        <v>0</v>
      </c>
      <c r="N1136" s="14" t="b">
        <v>1</v>
      </c>
      <c r="O1136" s="14" t="b">
        <v>1</v>
      </c>
    </row>
    <row r="1137" spans="1:15" x14ac:dyDescent="0.25">
      <c r="A1137" s="4">
        <v>9219138000584</v>
      </c>
      <c r="B1137" s="8" t="s">
        <v>1088</v>
      </c>
      <c r="C1137" s="8" t="s">
        <v>131</v>
      </c>
      <c r="D1137" s="7" t="s">
        <v>61</v>
      </c>
      <c r="E1137" s="7" t="s">
        <v>215</v>
      </c>
      <c r="F1137" s="6">
        <v>2</v>
      </c>
      <c r="G1137" s="8" t="s">
        <v>155</v>
      </c>
      <c r="H1137" s="8" t="s">
        <v>156</v>
      </c>
      <c r="I1137" s="109" t="s">
        <v>556</v>
      </c>
      <c r="J1137" s="8" t="s">
        <v>206</v>
      </c>
      <c r="K1137" s="14" t="b">
        <v>1</v>
      </c>
      <c r="L1137" s="14" t="b">
        <v>0</v>
      </c>
      <c r="M1137" s="14" t="b">
        <v>0</v>
      </c>
      <c r="N1137" s="14" t="b">
        <v>1</v>
      </c>
      <c r="O1137" s="14" t="b">
        <v>1</v>
      </c>
    </row>
    <row r="1138" spans="1:15" x14ac:dyDescent="0.25">
      <c r="A1138" s="4">
        <v>9578217000158</v>
      </c>
      <c r="B1138" s="8" t="s">
        <v>1089</v>
      </c>
      <c r="C1138" s="8" t="s">
        <v>131</v>
      </c>
      <c r="D1138" s="7" t="s">
        <v>61</v>
      </c>
      <c r="E1138" s="7" t="s">
        <v>215</v>
      </c>
      <c r="F1138" s="6">
        <v>2</v>
      </c>
      <c r="G1138" s="8" t="s">
        <v>155</v>
      </c>
      <c r="H1138" s="8" t="s">
        <v>156</v>
      </c>
      <c r="I1138" s="109" t="s">
        <v>556</v>
      </c>
      <c r="J1138" s="8" t="s">
        <v>206</v>
      </c>
      <c r="K1138" s="14" t="b">
        <v>1</v>
      </c>
      <c r="L1138" s="14" t="b">
        <v>0</v>
      </c>
      <c r="M1138" s="14" t="b">
        <v>0</v>
      </c>
      <c r="N1138" s="14" t="b">
        <v>1</v>
      </c>
      <c r="O1138" s="14" t="b">
        <v>1</v>
      </c>
    </row>
    <row r="1139" spans="1:15" x14ac:dyDescent="0.25">
      <c r="A1139" s="4">
        <v>9609235000230</v>
      </c>
      <c r="B1139" s="8" t="s">
        <v>1090</v>
      </c>
      <c r="C1139" s="8" t="s">
        <v>131</v>
      </c>
      <c r="D1139" s="7" t="s">
        <v>61</v>
      </c>
      <c r="E1139" s="7" t="s">
        <v>215</v>
      </c>
      <c r="F1139" s="6">
        <v>2</v>
      </c>
      <c r="G1139" s="8" t="s">
        <v>155</v>
      </c>
      <c r="H1139" s="8" t="s">
        <v>156</v>
      </c>
      <c r="I1139" s="109" t="s">
        <v>556</v>
      </c>
      <c r="J1139" s="8" t="s">
        <v>206</v>
      </c>
      <c r="K1139" s="14" t="b">
        <v>1</v>
      </c>
      <c r="L1139" s="14" t="b">
        <v>0</v>
      </c>
      <c r="M1139" s="14" t="b">
        <v>0</v>
      </c>
      <c r="N1139" s="14" t="b">
        <v>1</v>
      </c>
      <c r="O1139" s="14" t="b">
        <v>1</v>
      </c>
    </row>
    <row r="1140" spans="1:15" x14ac:dyDescent="0.25">
      <c r="A1140" s="4">
        <v>10834118000179</v>
      </c>
      <c r="B1140" s="8" t="s">
        <v>1328</v>
      </c>
      <c r="C1140" s="8" t="s">
        <v>131</v>
      </c>
      <c r="D1140" s="7" t="s">
        <v>61</v>
      </c>
      <c r="E1140" s="7" t="s">
        <v>215</v>
      </c>
      <c r="F1140" s="6">
        <v>2</v>
      </c>
      <c r="G1140" s="8" t="s">
        <v>155</v>
      </c>
      <c r="H1140" s="8" t="s">
        <v>156</v>
      </c>
      <c r="I1140" s="109" t="s">
        <v>556</v>
      </c>
      <c r="J1140" s="8" t="s">
        <v>206</v>
      </c>
      <c r="K1140" s="14" t="b">
        <v>1</v>
      </c>
      <c r="L1140" s="14" t="b">
        <v>0</v>
      </c>
      <c r="M1140" s="14" t="b">
        <v>0</v>
      </c>
      <c r="N1140" s="14" t="b">
        <v>1</v>
      </c>
      <c r="O1140" s="14" t="b">
        <v>1</v>
      </c>
    </row>
    <row r="1141" spans="1:15" x14ac:dyDescent="0.25">
      <c r="A1141" s="4">
        <v>10922058000146</v>
      </c>
      <c r="B1141" s="8" t="s">
        <v>1158</v>
      </c>
      <c r="C1141" s="8" t="s">
        <v>131</v>
      </c>
      <c r="D1141" s="7" t="s">
        <v>61</v>
      </c>
      <c r="E1141" s="7" t="s">
        <v>215</v>
      </c>
      <c r="F1141" s="6">
        <v>2</v>
      </c>
      <c r="G1141" s="8" t="s">
        <v>155</v>
      </c>
      <c r="H1141" s="8" t="s">
        <v>156</v>
      </c>
      <c r="I1141" s="109" t="s">
        <v>556</v>
      </c>
      <c r="J1141" s="8" t="s">
        <v>206</v>
      </c>
      <c r="K1141" s="14" t="b">
        <v>1</v>
      </c>
      <c r="L1141" s="14" t="b">
        <v>0</v>
      </c>
      <c r="M1141" s="14" t="b">
        <v>0</v>
      </c>
      <c r="N1141" s="14" t="b">
        <v>1</v>
      </c>
      <c r="O1141" s="14" t="b">
        <v>1</v>
      </c>
    </row>
    <row r="1142" spans="1:15" x14ac:dyDescent="0.25">
      <c r="A1142" s="4">
        <v>11279865000155</v>
      </c>
      <c r="B1142" s="8" t="s">
        <v>1091</v>
      </c>
      <c r="C1142" s="8" t="s">
        <v>131</v>
      </c>
      <c r="D1142" s="7" t="s">
        <v>61</v>
      </c>
      <c r="E1142" s="7" t="s">
        <v>215</v>
      </c>
      <c r="F1142" s="6">
        <v>2</v>
      </c>
      <c r="G1142" s="8" t="s">
        <v>155</v>
      </c>
      <c r="H1142" s="8" t="s">
        <v>156</v>
      </c>
      <c r="I1142" s="109" t="s">
        <v>556</v>
      </c>
      <c r="J1142" s="8" t="s">
        <v>206</v>
      </c>
      <c r="K1142" s="14" t="b">
        <v>1</v>
      </c>
      <c r="L1142" s="14" t="b">
        <v>0</v>
      </c>
      <c r="M1142" s="14" t="b">
        <v>0</v>
      </c>
      <c r="N1142" s="14" t="b">
        <v>1</v>
      </c>
      <c r="O1142" s="14" t="b">
        <v>1</v>
      </c>
    </row>
    <row r="1143" spans="1:15" x14ac:dyDescent="0.25">
      <c r="A1143" s="4">
        <v>18010750000100</v>
      </c>
      <c r="B1143" s="8" t="s">
        <v>1092</v>
      </c>
      <c r="C1143" s="8" t="s">
        <v>131</v>
      </c>
      <c r="D1143" s="7" t="s">
        <v>61</v>
      </c>
      <c r="E1143" s="7" t="s">
        <v>215</v>
      </c>
      <c r="F1143" s="6">
        <v>2</v>
      </c>
      <c r="G1143" s="8" t="s">
        <v>155</v>
      </c>
      <c r="H1143" s="8" t="s">
        <v>156</v>
      </c>
      <c r="I1143" s="109" t="s">
        <v>556</v>
      </c>
      <c r="J1143" s="8" t="s">
        <v>206</v>
      </c>
      <c r="K1143" s="14" t="b">
        <v>1</v>
      </c>
      <c r="L1143" s="14" t="b">
        <v>0</v>
      </c>
      <c r="M1143" s="14" t="b">
        <v>0</v>
      </c>
      <c r="N1143" s="14" t="b">
        <v>1</v>
      </c>
      <c r="O1143" s="14" t="b">
        <v>1</v>
      </c>
    </row>
    <row r="1144" spans="1:15" x14ac:dyDescent="0.25">
      <c r="A1144" s="4">
        <v>21109731000140</v>
      </c>
      <c r="B1144" s="8" t="s">
        <v>1093</v>
      </c>
      <c r="C1144" s="8" t="s">
        <v>131</v>
      </c>
      <c r="D1144" s="7" t="s">
        <v>61</v>
      </c>
      <c r="E1144" s="7" t="s">
        <v>215</v>
      </c>
      <c r="F1144" s="6">
        <v>2</v>
      </c>
      <c r="G1144" s="8" t="s">
        <v>155</v>
      </c>
      <c r="H1144" s="8" t="s">
        <v>156</v>
      </c>
      <c r="I1144" s="109" t="s">
        <v>556</v>
      </c>
      <c r="J1144" s="8" t="s">
        <v>206</v>
      </c>
      <c r="K1144" s="14" t="b">
        <v>1</v>
      </c>
      <c r="L1144" s="14" t="b">
        <v>0</v>
      </c>
      <c r="M1144" s="14" t="b">
        <v>0</v>
      </c>
      <c r="N1144" s="14" t="b">
        <v>1</v>
      </c>
      <c r="O1144" s="14" t="b">
        <v>1</v>
      </c>
    </row>
    <row r="1145" spans="1:15" x14ac:dyDescent="0.25">
      <c r="A1145" s="4">
        <v>21265360000195</v>
      </c>
      <c r="B1145" s="8" t="s">
        <v>1094</v>
      </c>
      <c r="C1145" s="8" t="s">
        <v>131</v>
      </c>
      <c r="D1145" s="7" t="s">
        <v>61</v>
      </c>
      <c r="E1145" s="7" t="s">
        <v>215</v>
      </c>
      <c r="F1145" s="6">
        <v>2</v>
      </c>
      <c r="G1145" s="8" t="s">
        <v>155</v>
      </c>
      <c r="H1145" s="8" t="s">
        <v>156</v>
      </c>
      <c r="I1145" s="109" t="s">
        <v>556</v>
      </c>
      <c r="J1145" s="8" t="s">
        <v>206</v>
      </c>
      <c r="K1145" s="14" t="b">
        <v>1</v>
      </c>
      <c r="L1145" s="14" t="b">
        <v>0</v>
      </c>
      <c r="M1145" s="14" t="b">
        <v>0</v>
      </c>
      <c r="N1145" s="14" t="b">
        <v>1</v>
      </c>
      <c r="O1145" s="14" t="b">
        <v>1</v>
      </c>
    </row>
    <row r="1146" spans="1:15" x14ac:dyDescent="0.25">
      <c r="A1146" s="4">
        <v>22233557000105</v>
      </c>
      <c r="B1146" s="8" t="s">
        <v>1095</v>
      </c>
      <c r="C1146" s="8" t="s">
        <v>131</v>
      </c>
      <c r="D1146" s="7" t="s">
        <v>61</v>
      </c>
      <c r="E1146" s="7" t="s">
        <v>215</v>
      </c>
      <c r="F1146" s="6">
        <v>2</v>
      </c>
      <c r="G1146" s="8" t="s">
        <v>155</v>
      </c>
      <c r="H1146" s="8" t="s">
        <v>156</v>
      </c>
      <c r="I1146" s="109" t="s">
        <v>556</v>
      </c>
      <c r="J1146" s="8" t="s">
        <v>206</v>
      </c>
      <c r="K1146" s="14" t="b">
        <v>1</v>
      </c>
      <c r="L1146" s="14" t="b">
        <v>0</v>
      </c>
      <c r="M1146" s="14" t="b">
        <v>0</v>
      </c>
      <c r="N1146" s="14" t="b">
        <v>1</v>
      </c>
      <c r="O1146" s="14" t="b">
        <v>1</v>
      </c>
    </row>
    <row r="1147" spans="1:15" x14ac:dyDescent="0.25">
      <c r="A1147" s="4">
        <v>22400856000197</v>
      </c>
      <c r="B1147" s="8" t="s">
        <v>1096</v>
      </c>
      <c r="C1147" s="8" t="s">
        <v>131</v>
      </c>
      <c r="D1147" s="7" t="s">
        <v>61</v>
      </c>
      <c r="E1147" s="7" t="s">
        <v>215</v>
      </c>
      <c r="F1147" s="6">
        <v>2</v>
      </c>
      <c r="G1147" s="8" t="s">
        <v>155</v>
      </c>
      <c r="H1147" s="8" t="s">
        <v>156</v>
      </c>
      <c r="I1147" s="109" t="s">
        <v>556</v>
      </c>
      <c r="J1147" s="8" t="s">
        <v>206</v>
      </c>
      <c r="K1147" s="14" t="b">
        <v>1</v>
      </c>
      <c r="L1147" s="14" t="b">
        <v>0</v>
      </c>
      <c r="M1147" s="14" t="b">
        <v>0</v>
      </c>
      <c r="N1147" s="14" t="b">
        <v>1</v>
      </c>
      <c r="O1147" s="14" t="b">
        <v>1</v>
      </c>
    </row>
    <row r="1148" spans="1:15" x14ac:dyDescent="0.25">
      <c r="A1148" s="4">
        <v>24217779000160</v>
      </c>
      <c r="B1148" s="8" t="s">
        <v>1097</v>
      </c>
      <c r="C1148" s="8" t="s">
        <v>131</v>
      </c>
      <c r="D1148" s="7" t="s">
        <v>61</v>
      </c>
      <c r="E1148" s="7" t="s">
        <v>215</v>
      </c>
      <c r="F1148" s="6">
        <v>2</v>
      </c>
      <c r="G1148" s="8" t="s">
        <v>155</v>
      </c>
      <c r="H1148" s="8" t="s">
        <v>156</v>
      </c>
      <c r="I1148" s="109" t="s">
        <v>556</v>
      </c>
      <c r="J1148" s="8" t="s">
        <v>206</v>
      </c>
      <c r="K1148" s="14" t="b">
        <v>1</v>
      </c>
      <c r="L1148" s="14" t="b">
        <v>0</v>
      </c>
      <c r="M1148" s="14" t="b">
        <v>0</v>
      </c>
      <c r="N1148" s="14" t="b">
        <v>1</v>
      </c>
      <c r="O1148" s="14" t="b">
        <v>1</v>
      </c>
    </row>
    <row r="1149" spans="1:15" x14ac:dyDescent="0.25">
      <c r="A1149" s="4">
        <v>27901222000131</v>
      </c>
      <c r="B1149" s="8" t="s">
        <v>1098</v>
      </c>
      <c r="C1149" s="8" t="s">
        <v>131</v>
      </c>
      <c r="D1149" s="7" t="s">
        <v>61</v>
      </c>
      <c r="E1149" s="7" t="s">
        <v>215</v>
      </c>
      <c r="F1149" s="6">
        <v>2</v>
      </c>
      <c r="G1149" s="8" t="s">
        <v>155</v>
      </c>
      <c r="H1149" s="8" t="s">
        <v>156</v>
      </c>
      <c r="I1149" s="109" t="s">
        <v>556</v>
      </c>
      <c r="J1149" s="8" t="s">
        <v>206</v>
      </c>
      <c r="K1149" s="14" t="b">
        <v>1</v>
      </c>
      <c r="L1149" s="14" t="b">
        <v>0</v>
      </c>
      <c r="M1149" s="14" t="b">
        <v>0</v>
      </c>
      <c r="N1149" s="14" t="b">
        <v>1</v>
      </c>
      <c r="O1149" s="14" t="b">
        <v>1</v>
      </c>
    </row>
    <row r="1150" spans="1:15" x14ac:dyDescent="0.25">
      <c r="A1150" s="4">
        <v>28000107000159</v>
      </c>
      <c r="B1150" s="8" t="s">
        <v>1099</v>
      </c>
      <c r="C1150" s="8" t="s">
        <v>131</v>
      </c>
      <c r="D1150" s="7" t="s">
        <v>61</v>
      </c>
      <c r="E1150" s="7" t="s">
        <v>215</v>
      </c>
      <c r="F1150" s="6">
        <v>2</v>
      </c>
      <c r="G1150" s="8" t="s">
        <v>155</v>
      </c>
      <c r="H1150" s="8" t="s">
        <v>156</v>
      </c>
      <c r="I1150" s="109" t="s">
        <v>556</v>
      </c>
      <c r="J1150" s="8" t="s">
        <v>206</v>
      </c>
      <c r="K1150" s="14" t="b">
        <v>1</v>
      </c>
      <c r="L1150" s="14" t="b">
        <v>0</v>
      </c>
      <c r="M1150" s="14" t="b">
        <v>0</v>
      </c>
      <c r="N1150" s="14" t="b">
        <v>1</v>
      </c>
      <c r="O1150" s="14" t="b">
        <v>1</v>
      </c>
    </row>
    <row r="1151" spans="1:15" x14ac:dyDescent="0.25">
      <c r="A1151" s="4">
        <v>28602407000108</v>
      </c>
      <c r="B1151" s="8" t="s">
        <v>1100</v>
      </c>
      <c r="C1151" s="8" t="s">
        <v>131</v>
      </c>
      <c r="D1151" s="7" t="s">
        <v>61</v>
      </c>
      <c r="E1151" s="7" t="s">
        <v>215</v>
      </c>
      <c r="F1151" s="6">
        <v>2</v>
      </c>
      <c r="G1151" s="8" t="s">
        <v>155</v>
      </c>
      <c r="H1151" s="8" t="s">
        <v>156</v>
      </c>
      <c r="I1151" s="109" t="s">
        <v>556</v>
      </c>
      <c r="J1151" s="8" t="s">
        <v>206</v>
      </c>
      <c r="K1151" s="14" t="b">
        <v>1</v>
      </c>
      <c r="L1151" s="14" t="b">
        <v>0</v>
      </c>
      <c r="M1151" s="14" t="b">
        <v>0</v>
      </c>
      <c r="N1151" s="14" t="b">
        <v>1</v>
      </c>
      <c r="O1151" s="14" t="b">
        <v>1</v>
      </c>
    </row>
    <row r="1152" spans="1:15" x14ac:dyDescent="0.25">
      <c r="A1152" s="4">
        <v>29259736000403</v>
      </c>
      <c r="B1152" s="8" t="s">
        <v>1101</v>
      </c>
      <c r="C1152" s="8" t="s">
        <v>131</v>
      </c>
      <c r="D1152" s="7" t="s">
        <v>61</v>
      </c>
      <c r="E1152" s="7" t="s">
        <v>215</v>
      </c>
      <c r="F1152" s="6">
        <v>2</v>
      </c>
      <c r="G1152" s="8" t="s">
        <v>155</v>
      </c>
      <c r="H1152" s="8" t="s">
        <v>156</v>
      </c>
      <c r="I1152" s="109" t="s">
        <v>556</v>
      </c>
      <c r="J1152" s="8" t="s">
        <v>206</v>
      </c>
      <c r="K1152" s="14" t="b">
        <v>1</v>
      </c>
      <c r="L1152" s="14" t="b">
        <v>0</v>
      </c>
      <c r="M1152" s="14" t="b">
        <v>0</v>
      </c>
      <c r="N1152" s="14" t="b">
        <v>1</v>
      </c>
      <c r="O1152" s="14" t="b">
        <v>1</v>
      </c>
    </row>
    <row r="1153" spans="1:15" x14ac:dyDescent="0.25">
      <c r="A1153" s="4">
        <v>29435005005198</v>
      </c>
      <c r="B1153" s="8" t="s">
        <v>1102</v>
      </c>
      <c r="C1153" s="8" t="s">
        <v>131</v>
      </c>
      <c r="D1153" s="7" t="s">
        <v>61</v>
      </c>
      <c r="E1153" s="7" t="s">
        <v>215</v>
      </c>
      <c r="F1153" s="6">
        <v>2</v>
      </c>
      <c r="G1153" s="8" t="s">
        <v>155</v>
      </c>
      <c r="H1153" s="8" t="s">
        <v>156</v>
      </c>
      <c r="I1153" s="109" t="s">
        <v>556</v>
      </c>
      <c r="J1153" s="8" t="s">
        <v>206</v>
      </c>
      <c r="K1153" s="14" t="b">
        <v>1</v>
      </c>
      <c r="L1153" s="14" t="b">
        <v>0</v>
      </c>
      <c r="M1153" s="14" t="b">
        <v>0</v>
      </c>
      <c r="N1153" s="14" t="b">
        <v>1</v>
      </c>
      <c r="O1153" s="14" t="b">
        <v>1</v>
      </c>
    </row>
    <row r="1154" spans="1:15" x14ac:dyDescent="0.25">
      <c r="A1154" s="4">
        <v>29435005005279</v>
      </c>
      <c r="B1154" s="8" t="s">
        <v>1103</v>
      </c>
      <c r="C1154" s="8" t="s">
        <v>131</v>
      </c>
      <c r="D1154" s="7" t="s">
        <v>61</v>
      </c>
      <c r="E1154" s="7" t="s">
        <v>215</v>
      </c>
      <c r="F1154" s="6">
        <v>2</v>
      </c>
      <c r="G1154" s="8" t="s">
        <v>155</v>
      </c>
      <c r="H1154" s="8" t="s">
        <v>156</v>
      </c>
      <c r="I1154" s="109" t="s">
        <v>556</v>
      </c>
      <c r="J1154" s="8" t="s">
        <v>206</v>
      </c>
      <c r="K1154" s="14" t="b">
        <v>1</v>
      </c>
      <c r="L1154" s="14" t="b">
        <v>0</v>
      </c>
      <c r="M1154" s="14" t="b">
        <v>0</v>
      </c>
      <c r="N1154" s="14" t="b">
        <v>1</v>
      </c>
      <c r="O1154" s="14" t="b">
        <v>1</v>
      </c>
    </row>
    <row r="1155" spans="1:15" x14ac:dyDescent="0.25">
      <c r="A1155" s="4">
        <v>29435005005783</v>
      </c>
      <c r="B1155" s="8" t="s">
        <v>1104</v>
      </c>
      <c r="C1155" s="8" t="s">
        <v>131</v>
      </c>
      <c r="D1155" s="7" t="s">
        <v>61</v>
      </c>
      <c r="E1155" s="7" t="s">
        <v>215</v>
      </c>
      <c r="F1155" s="6">
        <v>2</v>
      </c>
      <c r="G1155" s="8" t="s">
        <v>155</v>
      </c>
      <c r="H1155" s="8" t="s">
        <v>156</v>
      </c>
      <c r="I1155" s="109" t="s">
        <v>556</v>
      </c>
      <c r="J1155" s="8" t="s">
        <v>206</v>
      </c>
      <c r="K1155" s="14" t="b">
        <v>1</v>
      </c>
      <c r="L1155" s="14" t="b">
        <v>0</v>
      </c>
      <c r="M1155" s="14" t="b">
        <v>0</v>
      </c>
      <c r="N1155" s="14" t="b">
        <v>1</v>
      </c>
      <c r="O1155" s="14" t="b">
        <v>1</v>
      </c>
    </row>
    <row r="1156" spans="1:15" x14ac:dyDescent="0.25">
      <c r="A1156" s="4">
        <v>29435005006160</v>
      </c>
      <c r="B1156" s="8" t="s">
        <v>1105</v>
      </c>
      <c r="C1156" s="8" t="s">
        <v>131</v>
      </c>
      <c r="D1156" s="7" t="s">
        <v>61</v>
      </c>
      <c r="E1156" s="7" t="s">
        <v>215</v>
      </c>
      <c r="F1156" s="6">
        <v>2</v>
      </c>
      <c r="G1156" s="8" t="s">
        <v>155</v>
      </c>
      <c r="H1156" s="8" t="s">
        <v>156</v>
      </c>
      <c r="I1156" s="109" t="s">
        <v>556</v>
      </c>
      <c r="J1156" s="8" t="s">
        <v>206</v>
      </c>
      <c r="K1156" s="14" t="b">
        <v>1</v>
      </c>
      <c r="L1156" s="14" t="b">
        <v>0</v>
      </c>
      <c r="M1156" s="14" t="b">
        <v>0</v>
      </c>
      <c r="N1156" s="14" t="b">
        <v>1</v>
      </c>
      <c r="O1156" s="14" t="b">
        <v>1</v>
      </c>
    </row>
    <row r="1157" spans="1:15" x14ac:dyDescent="0.25">
      <c r="A1157" s="4">
        <v>31635857000101</v>
      </c>
      <c r="B1157" s="8" t="s">
        <v>1106</v>
      </c>
      <c r="C1157" s="8" t="s">
        <v>131</v>
      </c>
      <c r="D1157" s="7" t="s">
        <v>61</v>
      </c>
      <c r="E1157" s="7" t="s">
        <v>215</v>
      </c>
      <c r="F1157" s="6">
        <v>2</v>
      </c>
      <c r="G1157" s="8" t="s">
        <v>155</v>
      </c>
      <c r="H1157" s="8" t="s">
        <v>156</v>
      </c>
      <c r="I1157" s="109" t="s">
        <v>556</v>
      </c>
      <c r="J1157" s="8" t="s">
        <v>206</v>
      </c>
      <c r="K1157" s="14" t="b">
        <v>1</v>
      </c>
      <c r="L1157" s="14" t="b">
        <v>0</v>
      </c>
      <c r="M1157" s="14" t="b">
        <v>0</v>
      </c>
      <c r="N1157" s="14" t="b">
        <v>1</v>
      </c>
      <c r="O1157" s="14" t="b">
        <v>1</v>
      </c>
    </row>
    <row r="1158" spans="1:15" x14ac:dyDescent="0.25">
      <c r="A1158" s="4">
        <v>31635857000292</v>
      </c>
      <c r="B1158" s="8" t="s">
        <v>1107</v>
      </c>
      <c r="C1158" s="8" t="s">
        <v>131</v>
      </c>
      <c r="D1158" s="7" t="s">
        <v>61</v>
      </c>
      <c r="E1158" s="7" t="s">
        <v>215</v>
      </c>
      <c r="F1158" s="6">
        <v>2</v>
      </c>
      <c r="G1158" s="8" t="s">
        <v>155</v>
      </c>
      <c r="H1158" s="8" t="s">
        <v>156</v>
      </c>
      <c r="I1158" s="109" t="s">
        <v>556</v>
      </c>
      <c r="J1158" s="8" t="s">
        <v>206</v>
      </c>
      <c r="K1158" s="14" t="b">
        <v>1</v>
      </c>
      <c r="L1158" s="14" t="b">
        <v>0</v>
      </c>
      <c r="M1158" s="14" t="b">
        <v>0</v>
      </c>
      <c r="N1158" s="14" t="b">
        <v>1</v>
      </c>
      <c r="O1158" s="14" t="b">
        <v>1</v>
      </c>
    </row>
    <row r="1159" spans="1:15" x14ac:dyDescent="0.25">
      <c r="A1159" s="4">
        <v>31925548000176</v>
      </c>
      <c r="B1159" s="8" t="s">
        <v>1108</v>
      </c>
      <c r="C1159" s="8" t="s">
        <v>131</v>
      </c>
      <c r="D1159" s="7" t="s">
        <v>61</v>
      </c>
      <c r="E1159" s="7" t="s">
        <v>215</v>
      </c>
      <c r="F1159" s="6">
        <v>2</v>
      </c>
      <c r="G1159" s="8" t="s">
        <v>155</v>
      </c>
      <c r="H1159" s="8" t="s">
        <v>156</v>
      </c>
      <c r="I1159" s="109" t="s">
        <v>556</v>
      </c>
      <c r="J1159" s="8" t="s">
        <v>206</v>
      </c>
      <c r="K1159" s="14" t="b">
        <v>1</v>
      </c>
      <c r="L1159" s="14" t="b">
        <v>0</v>
      </c>
      <c r="M1159" s="14" t="b">
        <v>0</v>
      </c>
      <c r="N1159" s="14" t="b">
        <v>1</v>
      </c>
      <c r="O1159" s="14" t="b">
        <v>1</v>
      </c>
    </row>
    <row r="1160" spans="1:15" x14ac:dyDescent="0.25">
      <c r="A1160" s="4">
        <v>32154700000127</v>
      </c>
      <c r="B1160" s="8" t="s">
        <v>1109</v>
      </c>
      <c r="C1160" s="8" t="s">
        <v>131</v>
      </c>
      <c r="D1160" s="7" t="s">
        <v>61</v>
      </c>
      <c r="E1160" s="7" t="s">
        <v>215</v>
      </c>
      <c r="F1160" s="6">
        <v>2</v>
      </c>
      <c r="G1160" s="8" t="s">
        <v>155</v>
      </c>
      <c r="H1160" s="8" t="s">
        <v>156</v>
      </c>
      <c r="I1160" s="109" t="s">
        <v>556</v>
      </c>
      <c r="J1160" s="8" t="s">
        <v>206</v>
      </c>
      <c r="K1160" s="14" t="b">
        <v>1</v>
      </c>
      <c r="L1160" s="14" t="b">
        <v>0</v>
      </c>
      <c r="M1160" s="14" t="b">
        <v>0</v>
      </c>
      <c r="N1160" s="14" t="b">
        <v>1</v>
      </c>
      <c r="O1160" s="14" t="b">
        <v>1</v>
      </c>
    </row>
    <row r="1161" spans="1:15" x14ac:dyDescent="0.25">
      <c r="A1161" s="4">
        <v>33000167000101</v>
      </c>
      <c r="B1161" s="8" t="s">
        <v>1110</v>
      </c>
      <c r="C1161" s="8" t="s">
        <v>131</v>
      </c>
      <c r="D1161" s="7" t="s">
        <v>61</v>
      </c>
      <c r="E1161" s="7" t="s">
        <v>215</v>
      </c>
      <c r="F1161" s="6">
        <v>2</v>
      </c>
      <c r="G1161" s="8" t="s">
        <v>155</v>
      </c>
      <c r="H1161" s="8" t="s">
        <v>156</v>
      </c>
      <c r="I1161" s="109" t="s">
        <v>556</v>
      </c>
      <c r="J1161" s="8" t="s">
        <v>206</v>
      </c>
      <c r="K1161" s="14" t="b">
        <v>1</v>
      </c>
      <c r="L1161" s="14" t="b">
        <v>0</v>
      </c>
      <c r="M1161" s="14" t="b">
        <v>0</v>
      </c>
      <c r="N1161" s="14" t="b">
        <v>1</v>
      </c>
      <c r="O1161" s="14" t="b">
        <v>1</v>
      </c>
    </row>
    <row r="1162" spans="1:15" x14ac:dyDescent="0.25">
      <c r="A1162" s="4">
        <v>33419482000259</v>
      </c>
      <c r="B1162" s="8" t="s">
        <v>1111</v>
      </c>
      <c r="C1162" s="8" t="s">
        <v>131</v>
      </c>
      <c r="D1162" s="7" t="s">
        <v>61</v>
      </c>
      <c r="E1162" s="7" t="s">
        <v>215</v>
      </c>
      <c r="F1162" s="6">
        <v>2</v>
      </c>
      <c r="G1162" s="8" t="s">
        <v>155</v>
      </c>
      <c r="H1162" s="8" t="s">
        <v>156</v>
      </c>
      <c r="I1162" s="109" t="s">
        <v>556</v>
      </c>
      <c r="J1162" s="8" t="s">
        <v>206</v>
      </c>
      <c r="K1162" s="14" t="b">
        <v>1</v>
      </c>
      <c r="L1162" s="14" t="b">
        <v>0</v>
      </c>
      <c r="M1162" s="14" t="b">
        <v>0</v>
      </c>
      <c r="N1162" s="14" t="b">
        <v>1</v>
      </c>
      <c r="O1162" s="14" t="b">
        <v>1</v>
      </c>
    </row>
    <row r="1163" spans="1:15" x14ac:dyDescent="0.25">
      <c r="A1163" s="4">
        <v>33476482000100</v>
      </c>
      <c r="B1163" s="8" t="s">
        <v>1412</v>
      </c>
      <c r="C1163" s="8" t="s">
        <v>131</v>
      </c>
      <c r="D1163" s="7" t="s">
        <v>61</v>
      </c>
      <c r="E1163" s="7" t="s">
        <v>215</v>
      </c>
      <c r="F1163" s="6">
        <v>2</v>
      </c>
      <c r="G1163" s="8" t="s">
        <v>155</v>
      </c>
      <c r="H1163" s="8" t="s">
        <v>156</v>
      </c>
      <c r="I1163" s="109" t="s">
        <v>556</v>
      </c>
      <c r="J1163" s="8" t="s">
        <v>206</v>
      </c>
      <c r="K1163" s="14" t="b">
        <v>1</v>
      </c>
      <c r="L1163" s="14" t="b">
        <v>0</v>
      </c>
      <c r="M1163" s="14" t="b">
        <v>0</v>
      </c>
      <c r="N1163" s="14" t="b">
        <v>1</v>
      </c>
      <c r="O1163" s="14" t="b">
        <v>1</v>
      </c>
    </row>
    <row r="1164" spans="1:15" x14ac:dyDescent="0.25">
      <c r="A1164" s="4">
        <v>33540014000157</v>
      </c>
      <c r="B1164" s="8" t="s">
        <v>1112</v>
      </c>
      <c r="C1164" s="8" t="s">
        <v>131</v>
      </c>
      <c r="D1164" s="7" t="s">
        <v>61</v>
      </c>
      <c r="E1164" s="7" t="s">
        <v>215</v>
      </c>
      <c r="F1164" s="6">
        <v>2</v>
      </c>
      <c r="G1164" s="8" t="s">
        <v>155</v>
      </c>
      <c r="H1164" s="8" t="s">
        <v>156</v>
      </c>
      <c r="I1164" s="109" t="s">
        <v>556</v>
      </c>
      <c r="J1164" s="8" t="s">
        <v>206</v>
      </c>
      <c r="K1164" s="14" t="b">
        <v>1</v>
      </c>
      <c r="L1164" s="14" t="b">
        <v>0</v>
      </c>
      <c r="M1164" s="14" t="b">
        <v>0</v>
      </c>
      <c r="N1164" s="14" t="b">
        <v>1</v>
      </c>
      <c r="O1164" s="14" t="b">
        <v>1</v>
      </c>
    </row>
    <row r="1165" spans="1:15" x14ac:dyDescent="0.25">
      <c r="A1165" s="4">
        <v>33575127000600</v>
      </c>
      <c r="B1165" s="8" t="s">
        <v>1217</v>
      </c>
      <c r="C1165" s="8" t="s">
        <v>131</v>
      </c>
      <c r="D1165" s="7" t="s">
        <v>61</v>
      </c>
      <c r="E1165" s="7" t="s">
        <v>215</v>
      </c>
      <c r="F1165" s="6">
        <v>2</v>
      </c>
      <c r="G1165" s="8" t="s">
        <v>155</v>
      </c>
      <c r="H1165" s="8" t="s">
        <v>156</v>
      </c>
      <c r="I1165" s="109" t="s">
        <v>556</v>
      </c>
      <c r="J1165" s="8" t="s">
        <v>206</v>
      </c>
      <c r="K1165" s="14" t="b">
        <v>1</v>
      </c>
      <c r="L1165" s="14" t="b">
        <v>0</v>
      </c>
      <c r="M1165" s="14" t="b">
        <v>0</v>
      </c>
      <c r="N1165" s="14" t="b">
        <v>1</v>
      </c>
      <c r="O1165" s="14" t="b">
        <v>1</v>
      </c>
    </row>
    <row r="1166" spans="1:15" x14ac:dyDescent="0.25">
      <c r="A1166" s="4">
        <v>33663683002674</v>
      </c>
      <c r="B1166" s="8" t="s">
        <v>1113</v>
      </c>
      <c r="C1166" s="8" t="s">
        <v>131</v>
      </c>
      <c r="D1166" s="7" t="s">
        <v>61</v>
      </c>
      <c r="E1166" s="7" t="s">
        <v>215</v>
      </c>
      <c r="F1166" s="6">
        <v>2</v>
      </c>
      <c r="G1166" s="8" t="s">
        <v>155</v>
      </c>
      <c r="H1166" s="8" t="s">
        <v>156</v>
      </c>
      <c r="I1166" s="109" t="s">
        <v>556</v>
      </c>
      <c r="J1166" s="8" t="s">
        <v>206</v>
      </c>
      <c r="K1166" s="14" t="b">
        <v>1</v>
      </c>
      <c r="L1166" s="14" t="b">
        <v>0</v>
      </c>
      <c r="M1166" s="14" t="b">
        <v>0</v>
      </c>
      <c r="N1166" s="14" t="b">
        <v>1</v>
      </c>
      <c r="O1166" s="14" t="b">
        <v>1</v>
      </c>
    </row>
    <row r="1167" spans="1:15" x14ac:dyDescent="0.25">
      <c r="A1167" s="4">
        <v>33663683005347</v>
      </c>
      <c r="B1167" s="8" t="s">
        <v>1114</v>
      </c>
      <c r="C1167" s="8" t="s">
        <v>131</v>
      </c>
      <c r="D1167" s="7" t="s">
        <v>61</v>
      </c>
      <c r="E1167" s="7" t="s">
        <v>215</v>
      </c>
      <c r="F1167" s="6">
        <v>2</v>
      </c>
      <c r="G1167" s="8" t="s">
        <v>155</v>
      </c>
      <c r="H1167" s="8" t="s">
        <v>156</v>
      </c>
      <c r="I1167" s="109" t="s">
        <v>556</v>
      </c>
      <c r="J1167" s="8" t="s">
        <v>206</v>
      </c>
      <c r="K1167" s="14" t="b">
        <v>1</v>
      </c>
      <c r="L1167" s="14" t="b">
        <v>0</v>
      </c>
      <c r="M1167" s="14" t="b">
        <v>0</v>
      </c>
      <c r="N1167" s="14" t="b">
        <v>1</v>
      </c>
      <c r="O1167" s="14" t="b">
        <v>1</v>
      </c>
    </row>
    <row r="1168" spans="1:15" x14ac:dyDescent="0.25">
      <c r="A1168" s="4">
        <v>33705849000543</v>
      </c>
      <c r="B1168" s="8" t="s">
        <v>1329</v>
      </c>
      <c r="C1168" s="8" t="s">
        <v>131</v>
      </c>
      <c r="D1168" s="7" t="s">
        <v>61</v>
      </c>
      <c r="E1168" s="7" t="s">
        <v>215</v>
      </c>
      <c r="F1168" s="6">
        <v>2</v>
      </c>
      <c r="G1168" s="8" t="s">
        <v>155</v>
      </c>
      <c r="H1168" s="8" t="s">
        <v>156</v>
      </c>
      <c r="I1168" s="109" t="s">
        <v>556</v>
      </c>
      <c r="J1168" s="8" t="s">
        <v>206</v>
      </c>
      <c r="K1168" s="14" t="b">
        <v>1</v>
      </c>
      <c r="L1168" s="14" t="b">
        <v>0</v>
      </c>
      <c r="M1168" s="14" t="b">
        <v>0</v>
      </c>
      <c r="N1168" s="14" t="b">
        <v>1</v>
      </c>
      <c r="O1168" s="14" t="b">
        <v>1</v>
      </c>
    </row>
    <row r="1169" spans="1:15" x14ac:dyDescent="0.25">
      <c r="A1169" s="4">
        <v>33722224000166</v>
      </c>
      <c r="B1169" s="8" t="s">
        <v>1115</v>
      </c>
      <c r="C1169" s="8" t="s">
        <v>131</v>
      </c>
      <c r="D1169" s="7" t="s">
        <v>61</v>
      </c>
      <c r="E1169" s="7" t="s">
        <v>215</v>
      </c>
      <c r="F1169" s="6">
        <v>2</v>
      </c>
      <c r="G1169" s="8" t="s">
        <v>155</v>
      </c>
      <c r="H1169" s="8" t="s">
        <v>156</v>
      </c>
      <c r="I1169" s="109" t="s">
        <v>556</v>
      </c>
      <c r="J1169" s="8" t="s">
        <v>206</v>
      </c>
      <c r="K1169" s="14" t="b">
        <v>1</v>
      </c>
      <c r="L1169" s="14" t="b">
        <v>0</v>
      </c>
      <c r="M1169" s="14" t="b">
        <v>0</v>
      </c>
      <c r="N1169" s="14" t="b">
        <v>1</v>
      </c>
      <c r="O1169" s="14" t="b">
        <v>1</v>
      </c>
    </row>
    <row r="1170" spans="1:15" x14ac:dyDescent="0.25">
      <c r="A1170" s="4">
        <v>33781055000216</v>
      </c>
      <c r="B1170" s="8" t="s">
        <v>1116</v>
      </c>
      <c r="C1170" s="8" t="s">
        <v>131</v>
      </c>
      <c r="D1170" s="7" t="s">
        <v>61</v>
      </c>
      <c r="E1170" s="7" t="s">
        <v>215</v>
      </c>
      <c r="F1170" s="6">
        <v>2</v>
      </c>
      <c r="G1170" s="8" t="s">
        <v>155</v>
      </c>
      <c r="H1170" s="8" t="s">
        <v>156</v>
      </c>
      <c r="I1170" s="109" t="s">
        <v>556</v>
      </c>
      <c r="J1170" s="8" t="s">
        <v>206</v>
      </c>
      <c r="K1170" s="14" t="b">
        <v>1</v>
      </c>
      <c r="L1170" s="14" t="b">
        <v>0</v>
      </c>
      <c r="M1170" s="14" t="b">
        <v>0</v>
      </c>
      <c r="N1170" s="14" t="b">
        <v>1</v>
      </c>
      <c r="O1170" s="14" t="b">
        <v>1</v>
      </c>
    </row>
    <row r="1171" spans="1:15" x14ac:dyDescent="0.25">
      <c r="A1171" s="4">
        <v>33804212000180</v>
      </c>
      <c r="B1171" s="8" t="s">
        <v>1413</v>
      </c>
      <c r="C1171" s="8" t="s">
        <v>131</v>
      </c>
      <c r="D1171" s="7" t="s">
        <v>61</v>
      </c>
      <c r="E1171" s="7" t="s">
        <v>215</v>
      </c>
      <c r="F1171" s="6">
        <v>2</v>
      </c>
      <c r="G1171" s="8" t="s">
        <v>155</v>
      </c>
      <c r="H1171" s="8" t="s">
        <v>156</v>
      </c>
      <c r="I1171" s="109" t="s">
        <v>556</v>
      </c>
      <c r="J1171" s="8" t="s">
        <v>206</v>
      </c>
      <c r="K1171" s="14" t="b">
        <v>1</v>
      </c>
      <c r="L1171" s="14" t="b">
        <v>0</v>
      </c>
      <c r="M1171" s="14" t="b">
        <v>0</v>
      </c>
      <c r="N1171" s="14" t="b">
        <v>1</v>
      </c>
      <c r="O1171" s="14" t="b">
        <v>1</v>
      </c>
    </row>
    <row r="1172" spans="1:15" x14ac:dyDescent="0.25">
      <c r="A1172" s="4">
        <v>33927377000140</v>
      </c>
      <c r="B1172" s="8" t="s">
        <v>1117</v>
      </c>
      <c r="C1172" s="8" t="s">
        <v>131</v>
      </c>
      <c r="D1172" s="7" t="s">
        <v>61</v>
      </c>
      <c r="E1172" s="7" t="s">
        <v>215</v>
      </c>
      <c r="F1172" s="6">
        <v>2</v>
      </c>
      <c r="G1172" s="8" t="s">
        <v>155</v>
      </c>
      <c r="H1172" s="8" t="s">
        <v>156</v>
      </c>
      <c r="I1172" s="109" t="s">
        <v>556</v>
      </c>
      <c r="J1172" s="8" t="s">
        <v>206</v>
      </c>
      <c r="K1172" s="14" t="b">
        <v>1</v>
      </c>
      <c r="L1172" s="14" t="b">
        <v>0</v>
      </c>
      <c r="M1172" s="14" t="b">
        <v>0</v>
      </c>
      <c r="N1172" s="14" t="b">
        <v>1</v>
      </c>
      <c r="O1172" s="14" t="b">
        <v>1</v>
      </c>
    </row>
    <row r="1173" spans="1:15" x14ac:dyDescent="0.25">
      <c r="A1173" s="4">
        <v>34058123000103</v>
      </c>
      <c r="B1173" s="8" t="s">
        <v>1118</v>
      </c>
      <c r="C1173" s="8" t="s">
        <v>131</v>
      </c>
      <c r="D1173" s="7" t="s">
        <v>61</v>
      </c>
      <c r="E1173" s="7" t="s">
        <v>215</v>
      </c>
      <c r="F1173" s="6">
        <v>2</v>
      </c>
      <c r="G1173" s="8" t="s">
        <v>155</v>
      </c>
      <c r="H1173" s="8" t="s">
        <v>156</v>
      </c>
      <c r="I1173" s="109" t="s">
        <v>556</v>
      </c>
      <c r="J1173" s="8" t="s">
        <v>206</v>
      </c>
      <c r="K1173" s="14" t="b">
        <v>1</v>
      </c>
      <c r="L1173" s="14" t="b">
        <v>0</v>
      </c>
      <c r="M1173" s="14" t="b">
        <v>0</v>
      </c>
      <c r="N1173" s="14" t="b">
        <v>1</v>
      </c>
      <c r="O1173" s="14" t="b">
        <v>1</v>
      </c>
    </row>
    <row r="1174" spans="1:15" x14ac:dyDescent="0.25">
      <c r="A1174" s="4">
        <v>39086160000130</v>
      </c>
      <c r="B1174" s="8" t="s">
        <v>1119</v>
      </c>
      <c r="C1174" s="8" t="s">
        <v>131</v>
      </c>
      <c r="D1174" s="7" t="s">
        <v>61</v>
      </c>
      <c r="E1174" s="7" t="s">
        <v>215</v>
      </c>
      <c r="F1174" s="6">
        <v>2</v>
      </c>
      <c r="G1174" s="8" t="s">
        <v>155</v>
      </c>
      <c r="H1174" s="8" t="s">
        <v>156</v>
      </c>
      <c r="I1174" s="109" t="s">
        <v>556</v>
      </c>
      <c r="J1174" s="8" t="s">
        <v>206</v>
      </c>
      <c r="K1174" s="14" t="b">
        <v>1</v>
      </c>
      <c r="L1174" s="14" t="b">
        <v>0</v>
      </c>
      <c r="M1174" s="14" t="b">
        <v>0</v>
      </c>
      <c r="N1174" s="14" t="b">
        <v>1</v>
      </c>
      <c r="O1174" s="14" t="b">
        <v>1</v>
      </c>
    </row>
    <row r="1175" spans="1:15" x14ac:dyDescent="0.25">
      <c r="A1175" s="4">
        <v>40226946000276</v>
      </c>
      <c r="B1175" s="8" t="s">
        <v>1120</v>
      </c>
      <c r="C1175" s="8" t="s">
        <v>131</v>
      </c>
      <c r="D1175" s="7" t="s">
        <v>61</v>
      </c>
      <c r="E1175" s="7" t="s">
        <v>215</v>
      </c>
      <c r="F1175" s="6">
        <v>2</v>
      </c>
      <c r="G1175" s="8" t="s">
        <v>155</v>
      </c>
      <c r="H1175" s="8" t="s">
        <v>156</v>
      </c>
      <c r="I1175" s="109" t="s">
        <v>556</v>
      </c>
      <c r="J1175" s="8" t="s">
        <v>206</v>
      </c>
      <c r="K1175" s="14" t="b">
        <v>1</v>
      </c>
      <c r="L1175" s="14" t="b">
        <v>0</v>
      </c>
      <c r="M1175" s="14" t="b">
        <v>0</v>
      </c>
      <c r="N1175" s="14" t="b">
        <v>1</v>
      </c>
      <c r="O1175" s="14" t="b">
        <v>1</v>
      </c>
    </row>
    <row r="1176" spans="1:15" x14ac:dyDescent="0.25">
      <c r="A1176" s="4">
        <v>40320103000153</v>
      </c>
      <c r="B1176" s="8" t="s">
        <v>1121</v>
      </c>
      <c r="C1176" s="8" t="s">
        <v>131</v>
      </c>
      <c r="D1176" s="7" t="s">
        <v>61</v>
      </c>
      <c r="E1176" s="7" t="s">
        <v>215</v>
      </c>
      <c r="F1176" s="6">
        <v>2</v>
      </c>
      <c r="G1176" s="8" t="s">
        <v>155</v>
      </c>
      <c r="H1176" s="8" t="s">
        <v>156</v>
      </c>
      <c r="I1176" s="109" t="s">
        <v>556</v>
      </c>
      <c r="J1176" s="8" t="s">
        <v>206</v>
      </c>
      <c r="K1176" s="14" t="b">
        <v>1</v>
      </c>
      <c r="L1176" s="14" t="b">
        <v>0</v>
      </c>
      <c r="M1176" s="14" t="b">
        <v>0</v>
      </c>
      <c r="N1176" s="14" t="b">
        <v>1</v>
      </c>
      <c r="O1176" s="14" t="b">
        <v>1</v>
      </c>
    </row>
    <row r="1177" spans="1:15" x14ac:dyDescent="0.25">
      <c r="A1177" s="4">
        <v>42297507000107</v>
      </c>
      <c r="B1177" s="8" t="s">
        <v>1122</v>
      </c>
      <c r="C1177" s="8" t="s">
        <v>131</v>
      </c>
      <c r="D1177" s="7" t="s">
        <v>61</v>
      </c>
      <c r="E1177" s="7" t="s">
        <v>215</v>
      </c>
      <c r="F1177" s="6">
        <v>2</v>
      </c>
      <c r="G1177" s="8" t="s">
        <v>155</v>
      </c>
      <c r="H1177" s="8" t="s">
        <v>156</v>
      </c>
      <c r="I1177" s="109" t="s">
        <v>556</v>
      </c>
      <c r="J1177" s="8" t="s">
        <v>206</v>
      </c>
      <c r="K1177" s="14" t="b">
        <v>1</v>
      </c>
      <c r="L1177" s="14" t="b">
        <v>0</v>
      </c>
      <c r="M1177" s="14" t="b">
        <v>0</v>
      </c>
      <c r="N1177" s="14" t="b">
        <v>1</v>
      </c>
      <c r="O1177" s="14" t="b">
        <v>1</v>
      </c>
    </row>
    <row r="1178" spans="1:15" x14ac:dyDescent="0.25">
      <c r="A1178" s="4">
        <v>42498733000148</v>
      </c>
      <c r="B1178" s="8" t="s">
        <v>1221</v>
      </c>
      <c r="C1178" s="8" t="s">
        <v>131</v>
      </c>
      <c r="D1178" s="7" t="s">
        <v>61</v>
      </c>
      <c r="E1178" s="7" t="s">
        <v>215</v>
      </c>
      <c r="F1178" s="6">
        <v>2</v>
      </c>
      <c r="G1178" s="8" t="s">
        <v>155</v>
      </c>
      <c r="H1178" s="8" t="s">
        <v>156</v>
      </c>
      <c r="I1178" s="109" t="s">
        <v>556</v>
      </c>
      <c r="J1178" s="8" t="s">
        <v>206</v>
      </c>
      <c r="K1178" s="14" t="b">
        <v>1</v>
      </c>
      <c r="L1178" s="14" t="b">
        <v>0</v>
      </c>
      <c r="M1178" s="14" t="b">
        <v>0</v>
      </c>
      <c r="N1178" s="14" t="b">
        <v>1</v>
      </c>
      <c r="O1178" s="14" t="b">
        <v>1</v>
      </c>
    </row>
    <row r="1179" spans="1:15" x14ac:dyDescent="0.25">
      <c r="A1179" s="4">
        <v>53221255004995</v>
      </c>
      <c r="B1179" s="8" t="s">
        <v>1123</v>
      </c>
      <c r="C1179" s="8" t="s">
        <v>131</v>
      </c>
      <c r="D1179" s="7" t="s">
        <v>61</v>
      </c>
      <c r="E1179" s="7" t="s">
        <v>215</v>
      </c>
      <c r="F1179" s="6">
        <v>2</v>
      </c>
      <c r="G1179" s="8" t="s">
        <v>155</v>
      </c>
      <c r="H1179" s="8" t="s">
        <v>156</v>
      </c>
      <c r="I1179" s="109" t="s">
        <v>556</v>
      </c>
      <c r="J1179" s="8" t="s">
        <v>206</v>
      </c>
      <c r="K1179" s="14" t="b">
        <v>1</v>
      </c>
      <c r="L1179" s="14" t="b">
        <v>0</v>
      </c>
      <c r="M1179" s="14" t="b">
        <v>0</v>
      </c>
      <c r="N1179" s="14" t="b">
        <v>1</v>
      </c>
      <c r="O1179" s="14" t="b">
        <v>1</v>
      </c>
    </row>
    <row r="1180" spans="1:15" x14ac:dyDescent="0.25">
      <c r="A1180" s="4">
        <v>60884855001630</v>
      </c>
      <c r="B1180" s="8" t="s">
        <v>1124</v>
      </c>
      <c r="C1180" s="8" t="s">
        <v>131</v>
      </c>
      <c r="D1180" s="7" t="s">
        <v>61</v>
      </c>
      <c r="E1180" s="7" t="s">
        <v>215</v>
      </c>
      <c r="F1180" s="6">
        <v>2</v>
      </c>
      <c r="G1180" s="8" t="s">
        <v>155</v>
      </c>
      <c r="H1180" s="8" t="s">
        <v>156</v>
      </c>
      <c r="I1180" s="109" t="s">
        <v>556</v>
      </c>
      <c r="J1180" s="8" t="s">
        <v>206</v>
      </c>
      <c r="K1180" s="14" t="b">
        <v>1</v>
      </c>
      <c r="L1180" s="14" t="b">
        <v>0</v>
      </c>
      <c r="M1180" s="14" t="b">
        <v>0</v>
      </c>
      <c r="N1180" s="14" t="b">
        <v>1</v>
      </c>
      <c r="O1180" s="14" t="b">
        <v>1</v>
      </c>
    </row>
    <row r="1181" spans="1:15" x14ac:dyDescent="0.25">
      <c r="A1181" s="4">
        <v>60922168000348</v>
      </c>
      <c r="B1181" s="8" t="s">
        <v>1125</v>
      </c>
      <c r="C1181" s="8" t="s">
        <v>131</v>
      </c>
      <c r="D1181" s="7" t="s">
        <v>61</v>
      </c>
      <c r="E1181" s="7" t="s">
        <v>215</v>
      </c>
      <c r="F1181" s="6">
        <v>2</v>
      </c>
      <c r="G1181" s="8" t="s">
        <v>155</v>
      </c>
      <c r="H1181" s="8" t="s">
        <v>156</v>
      </c>
      <c r="I1181" s="109" t="s">
        <v>556</v>
      </c>
      <c r="J1181" s="8" t="s">
        <v>206</v>
      </c>
      <c r="K1181" s="14" t="b">
        <v>1</v>
      </c>
      <c r="L1181" s="14" t="b">
        <v>0</v>
      </c>
      <c r="M1181" s="14" t="b">
        <v>0</v>
      </c>
      <c r="N1181" s="14" t="b">
        <v>1</v>
      </c>
      <c r="O1181" s="14" t="b">
        <v>1</v>
      </c>
    </row>
    <row r="1182" spans="1:15" x14ac:dyDescent="0.25">
      <c r="A1182" s="4">
        <v>72101124000506</v>
      </c>
      <c r="B1182" s="8" t="s">
        <v>1126</v>
      </c>
      <c r="C1182" s="8" t="s">
        <v>131</v>
      </c>
      <c r="D1182" s="7" t="s">
        <v>61</v>
      </c>
      <c r="E1182" s="7" t="s">
        <v>215</v>
      </c>
      <c r="F1182" s="6">
        <v>2</v>
      </c>
      <c r="G1182" s="8" t="s">
        <v>155</v>
      </c>
      <c r="H1182" s="8" t="s">
        <v>156</v>
      </c>
      <c r="I1182" s="109" t="s">
        <v>556</v>
      </c>
      <c r="J1182" s="8" t="s">
        <v>206</v>
      </c>
      <c r="K1182" s="14" t="b">
        <v>1</v>
      </c>
      <c r="L1182" s="14" t="b">
        <v>0</v>
      </c>
      <c r="M1182" s="14" t="b">
        <v>0</v>
      </c>
      <c r="N1182" s="14" t="b">
        <v>1</v>
      </c>
      <c r="O1182" s="14" t="b">
        <v>1</v>
      </c>
    </row>
    <row r="1183" spans="1:15" x14ac:dyDescent="0.25">
      <c r="A1183" s="4">
        <v>73696718000219</v>
      </c>
      <c r="B1183" s="8" t="s">
        <v>1127</v>
      </c>
      <c r="C1183" s="8" t="s">
        <v>131</v>
      </c>
      <c r="D1183" s="7" t="s">
        <v>61</v>
      </c>
      <c r="E1183" s="7" t="s">
        <v>215</v>
      </c>
      <c r="F1183" s="6">
        <v>2</v>
      </c>
      <c r="G1183" s="8" t="s">
        <v>155</v>
      </c>
      <c r="H1183" s="8" t="s">
        <v>156</v>
      </c>
      <c r="I1183" s="109" t="s">
        <v>556</v>
      </c>
      <c r="J1183" s="8" t="s">
        <v>206</v>
      </c>
      <c r="K1183" s="14" t="b">
        <v>1</v>
      </c>
      <c r="L1183" s="14" t="b">
        <v>0</v>
      </c>
      <c r="M1183" s="14" t="b">
        <v>0</v>
      </c>
      <c r="N1183" s="14" t="b">
        <v>1</v>
      </c>
      <c r="O1183" s="14" t="b">
        <v>1</v>
      </c>
    </row>
    <row r="1184" spans="1:15" x14ac:dyDescent="0.25">
      <c r="A1184" s="4">
        <v>10364254602</v>
      </c>
      <c r="B1184" s="8" t="s">
        <v>1414</v>
      </c>
      <c r="C1184" s="8" t="s">
        <v>1415</v>
      </c>
      <c r="D1184" s="7" t="s">
        <v>54</v>
      </c>
      <c r="E1184" s="7" t="s">
        <v>215</v>
      </c>
      <c r="F1184" s="6">
        <v>1</v>
      </c>
      <c r="G1184" s="8" t="s">
        <v>159</v>
      </c>
      <c r="H1184" s="8" t="s">
        <v>160</v>
      </c>
      <c r="I1184" s="109" t="s">
        <v>740</v>
      </c>
      <c r="J1184" s="8" t="s">
        <v>206</v>
      </c>
      <c r="K1184" s="14" t="b">
        <v>1</v>
      </c>
      <c r="L1184" s="14" t="b">
        <v>1</v>
      </c>
      <c r="M1184" s="14" t="b">
        <v>1</v>
      </c>
      <c r="N1184" s="14" t="b">
        <v>1</v>
      </c>
      <c r="O1184" s="14" t="b">
        <v>1</v>
      </c>
    </row>
    <row r="1185" spans="1:15" x14ac:dyDescent="0.25">
      <c r="A1185" s="4">
        <v>17376968601</v>
      </c>
      <c r="B1185" s="8" t="s">
        <v>1130</v>
      </c>
      <c r="C1185" s="8" t="s">
        <v>53</v>
      </c>
      <c r="D1185" s="7" t="s">
        <v>54</v>
      </c>
      <c r="E1185" s="7" t="s">
        <v>215</v>
      </c>
      <c r="F1185" s="6">
        <v>1</v>
      </c>
      <c r="G1185" s="8" t="s">
        <v>159</v>
      </c>
      <c r="H1185" s="8" t="s">
        <v>160</v>
      </c>
      <c r="I1185" s="109" t="s">
        <v>740</v>
      </c>
      <c r="J1185" s="8" t="s">
        <v>206</v>
      </c>
      <c r="K1185" s="14" t="b">
        <v>1</v>
      </c>
      <c r="L1185" s="14" t="b">
        <v>1</v>
      </c>
      <c r="M1185" s="14" t="b">
        <v>1</v>
      </c>
      <c r="N1185" s="14" t="b">
        <v>1</v>
      </c>
      <c r="O1185" s="14" t="b">
        <v>1</v>
      </c>
    </row>
    <row r="1186" spans="1:15" x14ac:dyDescent="0.25">
      <c r="A1186" s="4">
        <v>70306453673</v>
      </c>
      <c r="B1186" s="8" t="s">
        <v>1131</v>
      </c>
      <c r="C1186" s="8" t="s">
        <v>1132</v>
      </c>
      <c r="D1186" s="7" t="s">
        <v>54</v>
      </c>
      <c r="E1186" s="7" t="s">
        <v>215</v>
      </c>
      <c r="F1186" s="6">
        <v>1</v>
      </c>
      <c r="G1186" s="8" t="s">
        <v>159</v>
      </c>
      <c r="H1186" s="8" t="s">
        <v>160</v>
      </c>
      <c r="I1186" s="109" t="s">
        <v>740</v>
      </c>
      <c r="J1186" s="8" t="s">
        <v>206</v>
      </c>
      <c r="K1186" s="14" t="b">
        <v>1</v>
      </c>
      <c r="L1186" s="14" t="b">
        <v>1</v>
      </c>
      <c r="M1186" s="14" t="b">
        <v>1</v>
      </c>
      <c r="N1186" s="14" t="b">
        <v>1</v>
      </c>
      <c r="O1186" s="14" t="b">
        <v>1</v>
      </c>
    </row>
    <row r="1187" spans="1:15" x14ac:dyDescent="0.25">
      <c r="A1187" s="4">
        <v>132229000180</v>
      </c>
      <c r="B1187" s="8" t="s">
        <v>1135</v>
      </c>
      <c r="C1187" s="8" t="s">
        <v>1415</v>
      </c>
      <c r="D1187" s="7" t="s">
        <v>54</v>
      </c>
      <c r="E1187" s="7" t="s">
        <v>215</v>
      </c>
      <c r="F1187" s="6">
        <v>1</v>
      </c>
      <c r="G1187" s="8" t="s">
        <v>159</v>
      </c>
      <c r="H1187" s="8" t="s">
        <v>160</v>
      </c>
      <c r="I1187" s="109" t="s">
        <v>740</v>
      </c>
      <c r="J1187" s="8" t="s">
        <v>206</v>
      </c>
      <c r="K1187" s="14" t="b">
        <v>1</v>
      </c>
      <c r="L1187" s="14" t="b">
        <v>1</v>
      </c>
      <c r="M1187" s="14" t="b">
        <v>1</v>
      </c>
      <c r="N1187" s="14" t="b">
        <v>1</v>
      </c>
      <c r="O1187" s="14" t="b">
        <v>1</v>
      </c>
    </row>
    <row r="1188" spans="1:15" x14ac:dyDescent="0.25">
      <c r="A1188" s="4">
        <v>410960000120</v>
      </c>
      <c r="B1188" s="8" t="s">
        <v>1137</v>
      </c>
      <c r="C1188" s="8" t="s">
        <v>1415</v>
      </c>
      <c r="D1188" s="7" t="s">
        <v>54</v>
      </c>
      <c r="E1188" s="7" t="s">
        <v>215</v>
      </c>
      <c r="F1188" s="6">
        <v>1</v>
      </c>
      <c r="G1188" s="8" t="s">
        <v>159</v>
      </c>
      <c r="H1188" s="8" t="s">
        <v>160</v>
      </c>
      <c r="I1188" s="109" t="s">
        <v>740</v>
      </c>
      <c r="J1188" s="8" t="s">
        <v>206</v>
      </c>
      <c r="K1188" s="14" t="b">
        <v>1</v>
      </c>
      <c r="L1188" s="14" t="b">
        <v>1</v>
      </c>
      <c r="M1188" s="14" t="b">
        <v>1</v>
      </c>
      <c r="N1188" s="14" t="b">
        <v>1</v>
      </c>
      <c r="O1188" s="14" t="b">
        <v>1</v>
      </c>
    </row>
    <row r="1189" spans="1:15" x14ac:dyDescent="0.25">
      <c r="A1189" s="4">
        <v>1396804000114</v>
      </c>
      <c r="B1189" s="8" t="s">
        <v>1140</v>
      </c>
      <c r="C1189" s="8" t="s">
        <v>97</v>
      </c>
      <c r="D1189" s="7" t="s">
        <v>98</v>
      </c>
      <c r="E1189" s="7" t="s">
        <v>215</v>
      </c>
      <c r="F1189" s="6">
        <v>1</v>
      </c>
      <c r="G1189" s="8" t="s">
        <v>159</v>
      </c>
      <c r="H1189" s="8" t="s">
        <v>160</v>
      </c>
      <c r="I1189" s="109" t="s">
        <v>740</v>
      </c>
      <c r="J1189" s="8" t="s">
        <v>206</v>
      </c>
      <c r="K1189" s="14" t="b">
        <v>1</v>
      </c>
      <c r="L1189" s="14" t="b">
        <v>1</v>
      </c>
      <c r="M1189" s="14" t="b">
        <v>1</v>
      </c>
      <c r="N1189" s="14" t="b">
        <v>1</v>
      </c>
      <c r="O1189" s="14" t="b">
        <v>1</v>
      </c>
    </row>
    <row r="1190" spans="1:15" x14ac:dyDescent="0.25">
      <c r="A1190" s="4">
        <v>1444455000169</v>
      </c>
      <c r="B1190" s="8" t="s">
        <v>1141</v>
      </c>
      <c r="C1190" s="8" t="s">
        <v>1415</v>
      </c>
      <c r="D1190" s="7" t="s">
        <v>54</v>
      </c>
      <c r="E1190" s="7" t="s">
        <v>215</v>
      </c>
      <c r="F1190" s="6">
        <v>1</v>
      </c>
      <c r="G1190" s="8" t="s">
        <v>159</v>
      </c>
      <c r="H1190" s="8" t="s">
        <v>160</v>
      </c>
      <c r="I1190" s="109" t="s">
        <v>740</v>
      </c>
      <c r="J1190" s="8" t="s">
        <v>206</v>
      </c>
      <c r="K1190" s="14" t="b">
        <v>1</v>
      </c>
      <c r="L1190" s="14" t="b">
        <v>1</v>
      </c>
      <c r="M1190" s="14" t="b">
        <v>1</v>
      </c>
      <c r="N1190" s="14" t="b">
        <v>1</v>
      </c>
      <c r="O1190" s="14" t="b">
        <v>1</v>
      </c>
    </row>
    <row r="1191" spans="1:15" x14ac:dyDescent="0.25">
      <c r="A1191" s="4">
        <v>2623693000102</v>
      </c>
      <c r="B1191" s="8" t="s">
        <v>1142</v>
      </c>
      <c r="C1191" s="8" t="s">
        <v>1415</v>
      </c>
      <c r="D1191" s="7" t="s">
        <v>54</v>
      </c>
      <c r="E1191" s="7" t="s">
        <v>215</v>
      </c>
      <c r="F1191" s="6">
        <v>1</v>
      </c>
      <c r="G1191" s="8" t="s">
        <v>159</v>
      </c>
      <c r="H1191" s="8" t="s">
        <v>160</v>
      </c>
      <c r="I1191" s="109" t="s">
        <v>740</v>
      </c>
      <c r="J1191" s="8" t="s">
        <v>206</v>
      </c>
      <c r="K1191" s="14" t="b">
        <v>1</v>
      </c>
      <c r="L1191" s="14" t="b">
        <v>1</v>
      </c>
      <c r="M1191" s="14" t="b">
        <v>1</v>
      </c>
      <c r="N1191" s="14" t="b">
        <v>1</v>
      </c>
      <c r="O1191" s="14" t="b">
        <v>1</v>
      </c>
    </row>
    <row r="1192" spans="1:15" x14ac:dyDescent="0.25">
      <c r="A1192" s="4">
        <v>4786490000154</v>
      </c>
      <c r="B1192" s="8" t="s">
        <v>1146</v>
      </c>
      <c r="C1192" s="8" t="s">
        <v>97</v>
      </c>
      <c r="D1192" s="7" t="s">
        <v>98</v>
      </c>
      <c r="E1192" s="7" t="s">
        <v>215</v>
      </c>
      <c r="F1192" s="6">
        <v>1</v>
      </c>
      <c r="G1192" s="8" t="s">
        <v>159</v>
      </c>
      <c r="H1192" s="8" t="s">
        <v>160</v>
      </c>
      <c r="I1192" s="109" t="s">
        <v>740</v>
      </c>
      <c r="J1192" s="8" t="s">
        <v>206</v>
      </c>
      <c r="K1192" s="14" t="b">
        <v>1</v>
      </c>
      <c r="L1192" s="14" t="b">
        <v>1</v>
      </c>
      <c r="M1192" s="14" t="b">
        <v>1</v>
      </c>
      <c r="N1192" s="14" t="b">
        <v>1</v>
      </c>
      <c r="O1192" s="14" t="b">
        <v>1</v>
      </c>
    </row>
    <row r="1193" spans="1:15" x14ac:dyDescent="0.25">
      <c r="A1193" s="4">
        <v>7039651000134</v>
      </c>
      <c r="B1193" s="8" t="s">
        <v>1153</v>
      </c>
      <c r="C1193" s="8" t="s">
        <v>116</v>
      </c>
      <c r="D1193" s="7" t="s">
        <v>98</v>
      </c>
      <c r="E1193" s="7" t="s">
        <v>215</v>
      </c>
      <c r="F1193" s="6">
        <v>1</v>
      </c>
      <c r="G1193" s="8" t="s">
        <v>159</v>
      </c>
      <c r="H1193" s="8" t="s">
        <v>160</v>
      </c>
      <c r="I1193" s="109" t="s">
        <v>740</v>
      </c>
      <c r="J1193" s="8" t="s">
        <v>206</v>
      </c>
      <c r="K1193" s="14" t="b">
        <v>1</v>
      </c>
      <c r="L1193" s="14" t="b">
        <v>1</v>
      </c>
      <c r="M1193" s="14" t="b">
        <v>1</v>
      </c>
      <c r="N1193" s="14" t="b">
        <v>1</v>
      </c>
      <c r="O1193" s="14" t="b">
        <v>1</v>
      </c>
    </row>
    <row r="1194" spans="1:15" x14ac:dyDescent="0.25">
      <c r="A1194" s="4">
        <v>7457902000109</v>
      </c>
      <c r="B1194" s="8" t="s">
        <v>1154</v>
      </c>
      <c r="C1194" s="8" t="s">
        <v>88</v>
      </c>
      <c r="D1194" s="7" t="s">
        <v>54</v>
      </c>
      <c r="E1194" s="7" t="s">
        <v>215</v>
      </c>
      <c r="F1194" s="6">
        <v>1</v>
      </c>
      <c r="G1194" s="8" t="s">
        <v>159</v>
      </c>
      <c r="H1194" s="8" t="s">
        <v>160</v>
      </c>
      <c r="I1194" s="109" t="s">
        <v>740</v>
      </c>
      <c r="J1194" s="8" t="s">
        <v>206</v>
      </c>
      <c r="K1194" s="14" t="b">
        <v>1</v>
      </c>
      <c r="L1194" s="14" t="b">
        <v>1</v>
      </c>
      <c r="M1194" s="14" t="b">
        <v>1</v>
      </c>
      <c r="N1194" s="14" t="b">
        <v>1</v>
      </c>
      <c r="O1194" s="14" t="b">
        <v>1</v>
      </c>
    </row>
    <row r="1195" spans="1:15" x14ac:dyDescent="0.25">
      <c r="A1195" s="4">
        <v>10586940000168</v>
      </c>
      <c r="B1195" s="8" t="s">
        <v>1156</v>
      </c>
      <c r="C1195" s="8" t="s">
        <v>1157</v>
      </c>
      <c r="D1195" s="7" t="s">
        <v>98</v>
      </c>
      <c r="E1195" s="7" t="s">
        <v>215</v>
      </c>
      <c r="F1195" s="6">
        <v>1</v>
      </c>
      <c r="G1195" s="8" t="s">
        <v>159</v>
      </c>
      <c r="H1195" s="8" t="s">
        <v>160</v>
      </c>
      <c r="I1195" s="109" t="s">
        <v>740</v>
      </c>
      <c r="J1195" s="8" t="s">
        <v>206</v>
      </c>
      <c r="K1195" s="14" t="b">
        <v>1</v>
      </c>
      <c r="L1195" s="14" t="b">
        <v>1</v>
      </c>
      <c r="M1195" s="14" t="b">
        <v>1</v>
      </c>
      <c r="N1195" s="14" t="b">
        <v>1</v>
      </c>
      <c r="O1195" s="14" t="b">
        <v>1</v>
      </c>
    </row>
    <row r="1196" spans="1:15" x14ac:dyDescent="0.25">
      <c r="A1196" s="4">
        <v>13631170000116</v>
      </c>
      <c r="B1196" s="8" t="s">
        <v>1416</v>
      </c>
      <c r="C1196" s="8" t="s">
        <v>1415</v>
      </c>
      <c r="D1196" s="7" t="s">
        <v>54</v>
      </c>
      <c r="E1196" s="7" t="s">
        <v>215</v>
      </c>
      <c r="F1196" s="6">
        <v>1</v>
      </c>
      <c r="G1196" s="8" t="s">
        <v>159</v>
      </c>
      <c r="H1196" s="8" t="s">
        <v>160</v>
      </c>
      <c r="I1196" s="109" t="s">
        <v>740</v>
      </c>
      <c r="J1196" s="8" t="s">
        <v>206</v>
      </c>
      <c r="K1196" s="14" t="b">
        <v>1</v>
      </c>
      <c r="L1196" s="14" t="b">
        <v>1</v>
      </c>
      <c r="M1196" s="14" t="b">
        <v>1</v>
      </c>
      <c r="N1196" s="14" t="b">
        <v>1</v>
      </c>
      <c r="O1196" s="14" t="b">
        <v>1</v>
      </c>
    </row>
    <row r="1197" spans="1:15" x14ac:dyDescent="0.25">
      <c r="A1197" s="4">
        <v>14408631000159</v>
      </c>
      <c r="B1197" s="8" t="s">
        <v>1163</v>
      </c>
      <c r="C1197" s="8" t="s">
        <v>1164</v>
      </c>
      <c r="D1197" s="7" t="s">
        <v>54</v>
      </c>
      <c r="E1197" s="7" t="s">
        <v>215</v>
      </c>
      <c r="F1197" s="6">
        <v>1</v>
      </c>
      <c r="G1197" s="8" t="s">
        <v>159</v>
      </c>
      <c r="H1197" s="8" t="s">
        <v>160</v>
      </c>
      <c r="I1197" s="109" t="s">
        <v>740</v>
      </c>
      <c r="J1197" s="8" t="s">
        <v>206</v>
      </c>
      <c r="K1197" s="14" t="b">
        <v>1</v>
      </c>
      <c r="L1197" s="14" t="b">
        <v>1</v>
      </c>
      <c r="M1197" s="14" t="b">
        <v>1</v>
      </c>
      <c r="N1197" s="14" t="b">
        <v>1</v>
      </c>
      <c r="O1197" s="14" t="b">
        <v>1</v>
      </c>
    </row>
    <row r="1198" spans="1:15" x14ac:dyDescent="0.25">
      <c r="A1198" s="4">
        <v>15126437000577</v>
      </c>
      <c r="B1198" s="8" t="s">
        <v>1165</v>
      </c>
      <c r="C1198" s="8" t="s">
        <v>126</v>
      </c>
      <c r="D1198" s="7" t="s">
        <v>54</v>
      </c>
      <c r="E1198" s="7" t="s">
        <v>215</v>
      </c>
      <c r="F1198" s="6">
        <v>1</v>
      </c>
      <c r="G1198" s="8" t="s">
        <v>159</v>
      </c>
      <c r="H1198" s="8" t="s">
        <v>160</v>
      </c>
      <c r="I1198" s="109" t="s">
        <v>740</v>
      </c>
      <c r="J1198" s="8" t="s">
        <v>206</v>
      </c>
      <c r="K1198" s="14" t="b">
        <v>1</v>
      </c>
      <c r="L1198" s="14" t="b">
        <v>1</v>
      </c>
      <c r="M1198" s="14" t="b">
        <v>1</v>
      </c>
      <c r="N1198" s="14" t="b">
        <v>1</v>
      </c>
      <c r="O1198" s="14" t="b">
        <v>1</v>
      </c>
    </row>
    <row r="1199" spans="1:15" x14ac:dyDescent="0.25">
      <c r="A1199" s="4">
        <v>16676520000159</v>
      </c>
      <c r="B1199" s="8" t="s">
        <v>1168</v>
      </c>
      <c r="C1199" s="8" t="s">
        <v>1415</v>
      </c>
      <c r="D1199" s="7" t="s">
        <v>54</v>
      </c>
      <c r="E1199" s="7" t="s">
        <v>215</v>
      </c>
      <c r="F1199" s="6">
        <v>1</v>
      </c>
      <c r="G1199" s="8" t="s">
        <v>159</v>
      </c>
      <c r="H1199" s="8" t="s">
        <v>160</v>
      </c>
      <c r="I1199" s="109" t="s">
        <v>740</v>
      </c>
      <c r="J1199" s="8" t="s">
        <v>206</v>
      </c>
      <c r="K1199" s="14" t="b">
        <v>1</v>
      </c>
      <c r="L1199" s="14" t="b">
        <v>1</v>
      </c>
      <c r="M1199" s="14" t="b">
        <v>1</v>
      </c>
      <c r="N1199" s="14" t="b">
        <v>1</v>
      </c>
      <c r="O1199" s="14" t="b">
        <v>1</v>
      </c>
    </row>
    <row r="1200" spans="1:15" x14ac:dyDescent="0.25">
      <c r="A1200" s="4">
        <v>16676520000582</v>
      </c>
      <c r="B1200" s="8" t="s">
        <v>1169</v>
      </c>
      <c r="C1200" s="8" t="s">
        <v>1415</v>
      </c>
      <c r="D1200" s="7" t="s">
        <v>54</v>
      </c>
      <c r="E1200" s="7" t="s">
        <v>215</v>
      </c>
      <c r="F1200" s="6">
        <v>1</v>
      </c>
      <c r="G1200" s="8" t="s">
        <v>159</v>
      </c>
      <c r="H1200" s="8" t="s">
        <v>160</v>
      </c>
      <c r="I1200" s="109" t="s">
        <v>740</v>
      </c>
      <c r="J1200" s="8" t="s">
        <v>206</v>
      </c>
      <c r="K1200" s="14" t="b">
        <v>1</v>
      </c>
      <c r="L1200" s="14" t="b">
        <v>1</v>
      </c>
      <c r="M1200" s="14" t="b">
        <v>1</v>
      </c>
      <c r="N1200" s="14" t="b">
        <v>1</v>
      </c>
      <c r="O1200" s="14" t="b">
        <v>1</v>
      </c>
    </row>
    <row r="1201" spans="1:15" x14ac:dyDescent="0.25">
      <c r="A1201" s="4">
        <v>16695025000197</v>
      </c>
      <c r="B1201" s="8" t="s">
        <v>1417</v>
      </c>
      <c r="C1201" s="8" t="s">
        <v>1415</v>
      </c>
      <c r="D1201" s="7" t="s">
        <v>54</v>
      </c>
      <c r="E1201" s="7" t="s">
        <v>215</v>
      </c>
      <c r="F1201" s="6">
        <v>1</v>
      </c>
      <c r="G1201" s="8" t="s">
        <v>159</v>
      </c>
      <c r="H1201" s="8" t="s">
        <v>160</v>
      </c>
      <c r="I1201" s="109" t="s">
        <v>740</v>
      </c>
      <c r="J1201" s="8" t="s">
        <v>206</v>
      </c>
      <c r="K1201" s="14" t="b">
        <v>1</v>
      </c>
      <c r="L1201" s="14" t="b">
        <v>1</v>
      </c>
      <c r="M1201" s="14" t="b">
        <v>1</v>
      </c>
      <c r="N1201" s="14" t="b">
        <v>1</v>
      </c>
      <c r="O1201" s="14" t="b">
        <v>1</v>
      </c>
    </row>
    <row r="1202" spans="1:15" x14ac:dyDescent="0.25">
      <c r="A1202" s="4">
        <v>17087591000189</v>
      </c>
      <c r="B1202" s="8" t="s">
        <v>1170</v>
      </c>
      <c r="C1202" s="8" t="s">
        <v>1171</v>
      </c>
      <c r="D1202" s="7" t="s">
        <v>54</v>
      </c>
      <c r="E1202" s="7" t="s">
        <v>215</v>
      </c>
      <c r="F1202" s="6">
        <v>1</v>
      </c>
      <c r="G1202" s="8" t="s">
        <v>159</v>
      </c>
      <c r="H1202" s="8" t="s">
        <v>160</v>
      </c>
      <c r="I1202" s="109" t="s">
        <v>740</v>
      </c>
      <c r="J1202" s="8" t="s">
        <v>206</v>
      </c>
      <c r="K1202" s="14" t="b">
        <v>1</v>
      </c>
      <c r="L1202" s="14" t="b">
        <v>1</v>
      </c>
      <c r="M1202" s="14" t="b">
        <v>1</v>
      </c>
      <c r="N1202" s="14" t="b">
        <v>1</v>
      </c>
      <c r="O1202" s="14" t="b">
        <v>1</v>
      </c>
    </row>
    <row r="1203" spans="1:15" x14ac:dyDescent="0.25">
      <c r="A1203" s="4">
        <v>17214149000176</v>
      </c>
      <c r="B1203" s="8" t="s">
        <v>1172</v>
      </c>
      <c r="C1203" s="8" t="s">
        <v>1415</v>
      </c>
      <c r="D1203" s="7" t="s">
        <v>54</v>
      </c>
      <c r="E1203" s="7" t="s">
        <v>215</v>
      </c>
      <c r="F1203" s="6">
        <v>1</v>
      </c>
      <c r="G1203" s="8" t="s">
        <v>159</v>
      </c>
      <c r="H1203" s="8" t="s">
        <v>160</v>
      </c>
      <c r="I1203" s="109" t="s">
        <v>740</v>
      </c>
      <c r="J1203" s="8" t="s">
        <v>206</v>
      </c>
      <c r="K1203" s="14" t="b">
        <v>1</v>
      </c>
      <c r="L1203" s="14" t="b">
        <v>1</v>
      </c>
      <c r="M1203" s="14" t="b">
        <v>1</v>
      </c>
      <c r="N1203" s="14" t="b">
        <v>1</v>
      </c>
      <c r="O1203" s="14" t="b">
        <v>1</v>
      </c>
    </row>
    <row r="1204" spans="1:15" x14ac:dyDescent="0.25">
      <c r="A1204" s="4">
        <v>17217332003906</v>
      </c>
      <c r="B1204" s="8" t="s">
        <v>1173</v>
      </c>
      <c r="C1204" s="8" t="s">
        <v>1415</v>
      </c>
      <c r="D1204" s="7" t="s">
        <v>54</v>
      </c>
      <c r="E1204" s="7" t="s">
        <v>215</v>
      </c>
      <c r="F1204" s="6">
        <v>1</v>
      </c>
      <c r="G1204" s="8" t="s">
        <v>159</v>
      </c>
      <c r="H1204" s="8" t="s">
        <v>160</v>
      </c>
      <c r="I1204" s="109" t="s">
        <v>740</v>
      </c>
      <c r="J1204" s="8" t="s">
        <v>206</v>
      </c>
      <c r="K1204" s="14" t="b">
        <v>1</v>
      </c>
      <c r="L1204" s="14" t="b">
        <v>1</v>
      </c>
      <c r="M1204" s="14" t="b">
        <v>1</v>
      </c>
      <c r="N1204" s="14" t="b">
        <v>1</v>
      </c>
      <c r="O1204" s="14" t="b">
        <v>1</v>
      </c>
    </row>
    <row r="1205" spans="1:15" x14ac:dyDescent="0.25">
      <c r="A1205" s="4">
        <v>17312612000112</v>
      </c>
      <c r="B1205" s="8" t="s">
        <v>1418</v>
      </c>
      <c r="C1205" s="8" t="s">
        <v>1415</v>
      </c>
      <c r="D1205" s="7" t="s">
        <v>54</v>
      </c>
      <c r="E1205" s="7" t="s">
        <v>215</v>
      </c>
      <c r="F1205" s="6">
        <v>1</v>
      </c>
      <c r="G1205" s="8" t="s">
        <v>159</v>
      </c>
      <c r="H1205" s="8" t="s">
        <v>160</v>
      </c>
      <c r="I1205" s="109" t="s">
        <v>740</v>
      </c>
      <c r="J1205" s="8" t="s">
        <v>206</v>
      </c>
      <c r="K1205" s="14" t="b">
        <v>1</v>
      </c>
      <c r="L1205" s="14" t="b">
        <v>1</v>
      </c>
      <c r="M1205" s="14" t="b">
        <v>1</v>
      </c>
      <c r="N1205" s="14" t="b">
        <v>1</v>
      </c>
      <c r="O1205" s="14" t="b">
        <v>1</v>
      </c>
    </row>
    <row r="1206" spans="1:15" x14ac:dyDescent="0.25">
      <c r="A1206" s="4">
        <v>17689407000928</v>
      </c>
      <c r="B1206" s="8" t="s">
        <v>1174</v>
      </c>
      <c r="C1206" s="8" t="s">
        <v>88</v>
      </c>
      <c r="D1206" s="7" t="s">
        <v>54</v>
      </c>
      <c r="E1206" s="7" t="s">
        <v>215</v>
      </c>
      <c r="F1206" s="6">
        <v>1</v>
      </c>
      <c r="G1206" s="8" t="s">
        <v>159</v>
      </c>
      <c r="H1206" s="8" t="s">
        <v>160</v>
      </c>
      <c r="I1206" s="109" t="s">
        <v>740</v>
      </c>
      <c r="J1206" s="8" t="s">
        <v>206</v>
      </c>
      <c r="K1206" s="14" t="b">
        <v>1</v>
      </c>
      <c r="L1206" s="14" t="b">
        <v>1</v>
      </c>
      <c r="M1206" s="14" t="b">
        <v>1</v>
      </c>
      <c r="N1206" s="14" t="b">
        <v>1</v>
      </c>
      <c r="O1206" s="14" t="b">
        <v>1</v>
      </c>
    </row>
    <row r="1207" spans="1:15" x14ac:dyDescent="0.25">
      <c r="A1207" s="4">
        <v>17774738000613</v>
      </c>
      <c r="B1207" s="8" t="s">
        <v>1175</v>
      </c>
      <c r="C1207" s="8" t="s">
        <v>126</v>
      </c>
      <c r="D1207" s="7" t="s">
        <v>54</v>
      </c>
      <c r="E1207" s="7" t="s">
        <v>215</v>
      </c>
      <c r="F1207" s="6">
        <v>1</v>
      </c>
      <c r="G1207" s="8" t="s">
        <v>159</v>
      </c>
      <c r="H1207" s="8" t="s">
        <v>160</v>
      </c>
      <c r="I1207" s="109" t="s">
        <v>740</v>
      </c>
      <c r="J1207" s="8" t="s">
        <v>206</v>
      </c>
      <c r="K1207" s="14" t="b">
        <v>1</v>
      </c>
      <c r="L1207" s="14" t="b">
        <v>1</v>
      </c>
      <c r="M1207" s="14" t="b">
        <v>1</v>
      </c>
      <c r="N1207" s="14" t="b">
        <v>1</v>
      </c>
      <c r="O1207" s="14" t="b">
        <v>1</v>
      </c>
    </row>
    <row r="1208" spans="1:15" x14ac:dyDescent="0.25">
      <c r="A1208" s="4">
        <v>17845504000296</v>
      </c>
      <c r="B1208" s="8" t="s">
        <v>1419</v>
      </c>
      <c r="C1208" s="8" t="s">
        <v>1420</v>
      </c>
      <c r="D1208" s="7" t="s">
        <v>54</v>
      </c>
      <c r="E1208" s="7" t="s">
        <v>215</v>
      </c>
      <c r="F1208" s="6">
        <v>1</v>
      </c>
      <c r="G1208" s="8" t="s">
        <v>159</v>
      </c>
      <c r="H1208" s="8" t="s">
        <v>160</v>
      </c>
      <c r="I1208" s="109" t="s">
        <v>740</v>
      </c>
      <c r="J1208" s="8" t="s">
        <v>206</v>
      </c>
      <c r="K1208" s="14" t="b">
        <v>1</v>
      </c>
      <c r="L1208" s="14" t="b">
        <v>1</v>
      </c>
      <c r="M1208" s="14" t="b">
        <v>1</v>
      </c>
      <c r="N1208" s="14" t="b">
        <v>1</v>
      </c>
      <c r="O1208" s="14" t="b">
        <v>1</v>
      </c>
    </row>
    <row r="1209" spans="1:15" x14ac:dyDescent="0.25">
      <c r="A1209" s="4">
        <v>18484378000173</v>
      </c>
      <c r="B1209" s="8" t="s">
        <v>1176</v>
      </c>
      <c r="C1209" s="8" t="s">
        <v>1171</v>
      </c>
      <c r="D1209" s="7" t="s">
        <v>54</v>
      </c>
      <c r="E1209" s="7" t="s">
        <v>215</v>
      </c>
      <c r="F1209" s="6">
        <v>1</v>
      </c>
      <c r="G1209" s="8" t="s">
        <v>159</v>
      </c>
      <c r="H1209" s="8" t="s">
        <v>160</v>
      </c>
      <c r="I1209" s="109" t="s">
        <v>740</v>
      </c>
      <c r="J1209" s="8" t="s">
        <v>206</v>
      </c>
      <c r="K1209" s="14" t="b">
        <v>1</v>
      </c>
      <c r="L1209" s="14" t="b">
        <v>1</v>
      </c>
      <c r="M1209" s="14" t="b">
        <v>1</v>
      </c>
      <c r="N1209" s="14" t="b">
        <v>1</v>
      </c>
      <c r="O1209" s="14" t="b">
        <v>1</v>
      </c>
    </row>
    <row r="1210" spans="1:15" x14ac:dyDescent="0.25">
      <c r="A1210" s="4">
        <v>18715516000188</v>
      </c>
      <c r="B1210" s="8" t="s">
        <v>1421</v>
      </c>
      <c r="C1210" s="8" t="s">
        <v>1415</v>
      </c>
      <c r="D1210" s="7" t="s">
        <v>54</v>
      </c>
      <c r="E1210" s="7" t="s">
        <v>215</v>
      </c>
      <c r="F1210" s="6">
        <v>1</v>
      </c>
      <c r="G1210" s="8" t="s">
        <v>159</v>
      </c>
      <c r="H1210" s="8" t="s">
        <v>160</v>
      </c>
      <c r="I1210" s="109" t="s">
        <v>740</v>
      </c>
      <c r="J1210" s="8" t="s">
        <v>206</v>
      </c>
      <c r="K1210" s="14" t="b">
        <v>1</v>
      </c>
      <c r="L1210" s="14" t="b">
        <v>1</v>
      </c>
      <c r="M1210" s="14" t="b">
        <v>1</v>
      </c>
      <c r="N1210" s="14" t="b">
        <v>1</v>
      </c>
      <c r="O1210" s="14" t="b">
        <v>1</v>
      </c>
    </row>
    <row r="1211" spans="1:15" x14ac:dyDescent="0.25">
      <c r="A1211" s="4">
        <v>18836965000184</v>
      </c>
      <c r="B1211" s="8" t="s">
        <v>1177</v>
      </c>
      <c r="C1211" s="8" t="s">
        <v>111</v>
      </c>
      <c r="D1211" s="7" t="s">
        <v>54</v>
      </c>
      <c r="E1211" s="7" t="s">
        <v>215</v>
      </c>
      <c r="F1211" s="6">
        <v>1</v>
      </c>
      <c r="G1211" s="8" t="s">
        <v>159</v>
      </c>
      <c r="H1211" s="8" t="s">
        <v>160</v>
      </c>
      <c r="I1211" s="109" t="s">
        <v>740</v>
      </c>
      <c r="J1211" s="8" t="s">
        <v>206</v>
      </c>
      <c r="K1211" s="14" t="b">
        <v>1</v>
      </c>
      <c r="L1211" s="14" t="b">
        <v>1</v>
      </c>
      <c r="M1211" s="14" t="b">
        <v>1</v>
      </c>
      <c r="N1211" s="14" t="b">
        <v>1</v>
      </c>
      <c r="O1211" s="14" t="b">
        <v>1</v>
      </c>
    </row>
    <row r="1212" spans="1:15" x14ac:dyDescent="0.25">
      <c r="A1212" s="4">
        <v>19128248000160</v>
      </c>
      <c r="B1212" s="8" t="s">
        <v>1422</v>
      </c>
      <c r="C1212" s="8" t="s">
        <v>1301</v>
      </c>
      <c r="D1212" s="7" t="s">
        <v>54</v>
      </c>
      <c r="E1212" s="7" t="s">
        <v>215</v>
      </c>
      <c r="F1212" s="6">
        <v>1</v>
      </c>
      <c r="G1212" s="8" t="s">
        <v>159</v>
      </c>
      <c r="H1212" s="8" t="s">
        <v>160</v>
      </c>
      <c r="I1212" s="109" t="s">
        <v>740</v>
      </c>
      <c r="J1212" s="8" t="s">
        <v>206</v>
      </c>
      <c r="K1212" s="14" t="b">
        <v>1</v>
      </c>
      <c r="L1212" s="14" t="b">
        <v>1</v>
      </c>
      <c r="M1212" s="14" t="b">
        <v>1</v>
      </c>
      <c r="N1212" s="14" t="b">
        <v>1</v>
      </c>
      <c r="O1212" s="14" t="b">
        <v>1</v>
      </c>
    </row>
    <row r="1213" spans="1:15" x14ac:dyDescent="0.25">
      <c r="A1213" s="4">
        <v>19130186000121</v>
      </c>
      <c r="B1213" s="8" t="s">
        <v>1300</v>
      </c>
      <c r="C1213" s="8" t="s">
        <v>1301</v>
      </c>
      <c r="D1213" s="7" t="s">
        <v>54</v>
      </c>
      <c r="E1213" s="7" t="s">
        <v>215</v>
      </c>
      <c r="F1213" s="6">
        <v>1</v>
      </c>
      <c r="G1213" s="8" t="s">
        <v>159</v>
      </c>
      <c r="H1213" s="8" t="s">
        <v>160</v>
      </c>
      <c r="I1213" s="109" t="s">
        <v>740</v>
      </c>
      <c r="J1213" s="8" t="s">
        <v>206</v>
      </c>
      <c r="K1213" s="14" t="b">
        <v>1</v>
      </c>
      <c r="L1213" s="14" t="b">
        <v>1</v>
      </c>
      <c r="M1213" s="14" t="b">
        <v>1</v>
      </c>
      <c r="N1213" s="14" t="b">
        <v>1</v>
      </c>
      <c r="O1213" s="14" t="b">
        <v>1</v>
      </c>
    </row>
    <row r="1214" spans="1:15" x14ac:dyDescent="0.25">
      <c r="A1214" s="4">
        <v>19274091000181</v>
      </c>
      <c r="B1214" s="8" t="s">
        <v>1178</v>
      </c>
      <c r="C1214" s="8" t="s">
        <v>127</v>
      </c>
      <c r="D1214" s="7" t="s">
        <v>54</v>
      </c>
      <c r="E1214" s="7" t="s">
        <v>215</v>
      </c>
      <c r="F1214" s="6">
        <v>1</v>
      </c>
      <c r="G1214" s="8" t="s">
        <v>159</v>
      </c>
      <c r="H1214" s="8" t="s">
        <v>160</v>
      </c>
      <c r="I1214" s="109" t="s">
        <v>740</v>
      </c>
      <c r="J1214" s="8" t="s">
        <v>206</v>
      </c>
      <c r="K1214" s="14" t="b">
        <v>1</v>
      </c>
      <c r="L1214" s="14" t="b">
        <v>1</v>
      </c>
      <c r="M1214" s="14" t="b">
        <v>1</v>
      </c>
      <c r="N1214" s="14" t="b">
        <v>1</v>
      </c>
      <c r="O1214" s="14" t="b">
        <v>1</v>
      </c>
    </row>
    <row r="1215" spans="1:15" x14ac:dyDescent="0.25">
      <c r="A1215" s="4">
        <v>19843929001000</v>
      </c>
      <c r="B1215" s="8" t="s">
        <v>1179</v>
      </c>
      <c r="C1215" s="8" t="s">
        <v>88</v>
      </c>
      <c r="D1215" s="7" t="s">
        <v>54</v>
      </c>
      <c r="E1215" s="7" t="s">
        <v>215</v>
      </c>
      <c r="F1215" s="6">
        <v>1</v>
      </c>
      <c r="G1215" s="8" t="s">
        <v>159</v>
      </c>
      <c r="H1215" s="8" t="s">
        <v>160</v>
      </c>
      <c r="I1215" s="109" t="s">
        <v>740</v>
      </c>
      <c r="J1215" s="8" t="s">
        <v>206</v>
      </c>
      <c r="K1215" s="14" t="b">
        <v>1</v>
      </c>
      <c r="L1215" s="14" t="b">
        <v>1</v>
      </c>
      <c r="M1215" s="14" t="b">
        <v>1</v>
      </c>
      <c r="N1215" s="14" t="b">
        <v>1</v>
      </c>
      <c r="O1215" s="14" t="b">
        <v>1</v>
      </c>
    </row>
    <row r="1216" spans="1:15" x14ac:dyDescent="0.25">
      <c r="A1216" s="4">
        <v>19843929001182</v>
      </c>
      <c r="B1216" s="8" t="s">
        <v>1180</v>
      </c>
      <c r="C1216" s="8" t="s">
        <v>1415</v>
      </c>
      <c r="D1216" s="7" t="s">
        <v>54</v>
      </c>
      <c r="E1216" s="7" t="s">
        <v>215</v>
      </c>
      <c r="F1216" s="6">
        <v>1</v>
      </c>
      <c r="G1216" s="8" t="s">
        <v>159</v>
      </c>
      <c r="H1216" s="8" t="s">
        <v>160</v>
      </c>
      <c r="I1216" s="109" t="s">
        <v>740</v>
      </c>
      <c r="J1216" s="8" t="s">
        <v>206</v>
      </c>
      <c r="K1216" s="14" t="b">
        <v>1</v>
      </c>
      <c r="L1216" s="14" t="b">
        <v>1</v>
      </c>
      <c r="M1216" s="14" t="b">
        <v>1</v>
      </c>
      <c r="N1216" s="14" t="b">
        <v>1</v>
      </c>
      <c r="O1216" s="14" t="b">
        <v>1</v>
      </c>
    </row>
    <row r="1217" spans="1:15" x14ac:dyDescent="0.25">
      <c r="A1217" s="4">
        <v>19843929001344</v>
      </c>
      <c r="B1217" s="8" t="s">
        <v>1303</v>
      </c>
      <c r="C1217" s="8" t="s">
        <v>1415</v>
      </c>
      <c r="D1217" s="7" t="s">
        <v>54</v>
      </c>
      <c r="E1217" s="7" t="s">
        <v>215</v>
      </c>
      <c r="F1217" s="6">
        <v>1</v>
      </c>
      <c r="G1217" s="8" t="s">
        <v>159</v>
      </c>
      <c r="H1217" s="8" t="s">
        <v>160</v>
      </c>
      <c r="I1217" s="109" t="s">
        <v>740</v>
      </c>
      <c r="J1217" s="8" t="s">
        <v>206</v>
      </c>
      <c r="K1217" s="14" t="b">
        <v>1</v>
      </c>
      <c r="L1217" s="14" t="b">
        <v>1</v>
      </c>
      <c r="M1217" s="14" t="b">
        <v>1</v>
      </c>
      <c r="N1217" s="14" t="b">
        <v>1</v>
      </c>
      <c r="O1217" s="14" t="b">
        <v>1</v>
      </c>
    </row>
    <row r="1218" spans="1:15" x14ac:dyDescent="0.25">
      <c r="A1218" s="4">
        <v>19843929001506</v>
      </c>
      <c r="B1218" s="8" t="s">
        <v>1181</v>
      </c>
      <c r="C1218" s="8" t="s">
        <v>1415</v>
      </c>
      <c r="D1218" s="7" t="s">
        <v>54</v>
      </c>
      <c r="E1218" s="7" t="s">
        <v>215</v>
      </c>
      <c r="F1218" s="6">
        <v>1</v>
      </c>
      <c r="G1218" s="8" t="s">
        <v>159</v>
      </c>
      <c r="H1218" s="8" t="s">
        <v>160</v>
      </c>
      <c r="I1218" s="109" t="s">
        <v>740</v>
      </c>
      <c r="J1218" s="8" t="s">
        <v>206</v>
      </c>
      <c r="K1218" s="14" t="b">
        <v>1</v>
      </c>
      <c r="L1218" s="14" t="b">
        <v>1</v>
      </c>
      <c r="M1218" s="14" t="b">
        <v>1</v>
      </c>
      <c r="N1218" s="14" t="b">
        <v>1</v>
      </c>
      <c r="O1218" s="14" t="b">
        <v>1</v>
      </c>
    </row>
    <row r="1219" spans="1:15" x14ac:dyDescent="0.25">
      <c r="A1219" s="4">
        <v>19843929001697</v>
      </c>
      <c r="B1219" s="8" t="s">
        <v>1182</v>
      </c>
      <c r="C1219" s="8" t="s">
        <v>539</v>
      </c>
      <c r="D1219" s="7" t="s">
        <v>54</v>
      </c>
      <c r="E1219" s="7" t="s">
        <v>215</v>
      </c>
      <c r="F1219" s="6">
        <v>1</v>
      </c>
      <c r="G1219" s="8" t="s">
        <v>159</v>
      </c>
      <c r="H1219" s="8" t="s">
        <v>160</v>
      </c>
      <c r="I1219" s="109" t="s">
        <v>740</v>
      </c>
      <c r="J1219" s="8" t="s">
        <v>206</v>
      </c>
      <c r="K1219" s="14" t="b">
        <v>1</v>
      </c>
      <c r="L1219" s="14" t="b">
        <v>1</v>
      </c>
      <c r="M1219" s="14" t="b">
        <v>1</v>
      </c>
      <c r="N1219" s="14" t="b">
        <v>1</v>
      </c>
      <c r="O1219" s="14" t="b">
        <v>1</v>
      </c>
    </row>
    <row r="1220" spans="1:15" x14ac:dyDescent="0.25">
      <c r="A1220" s="4">
        <v>19843929002820</v>
      </c>
      <c r="B1220" s="8" t="s">
        <v>1183</v>
      </c>
      <c r="C1220" s="8" t="s">
        <v>1415</v>
      </c>
      <c r="D1220" s="7" t="s">
        <v>54</v>
      </c>
      <c r="E1220" s="7" t="s">
        <v>215</v>
      </c>
      <c r="F1220" s="6">
        <v>1</v>
      </c>
      <c r="G1220" s="8" t="s">
        <v>159</v>
      </c>
      <c r="H1220" s="8" t="s">
        <v>160</v>
      </c>
      <c r="I1220" s="109" t="s">
        <v>740</v>
      </c>
      <c r="J1220" s="8" t="s">
        <v>206</v>
      </c>
      <c r="K1220" s="14" t="b">
        <v>1</v>
      </c>
      <c r="L1220" s="14" t="b">
        <v>1</v>
      </c>
      <c r="M1220" s="14" t="b">
        <v>1</v>
      </c>
      <c r="N1220" s="14" t="b">
        <v>1</v>
      </c>
      <c r="O1220" s="14" t="b">
        <v>1</v>
      </c>
    </row>
    <row r="1221" spans="1:15" x14ac:dyDescent="0.25">
      <c r="A1221" s="4">
        <v>19843929002901</v>
      </c>
      <c r="B1221" s="8" t="s">
        <v>1423</v>
      </c>
      <c r="C1221" s="8" t="s">
        <v>1415</v>
      </c>
      <c r="D1221" s="7" t="s">
        <v>54</v>
      </c>
      <c r="E1221" s="7" t="s">
        <v>215</v>
      </c>
      <c r="F1221" s="6">
        <v>1</v>
      </c>
      <c r="G1221" s="8" t="s">
        <v>159</v>
      </c>
      <c r="H1221" s="8" t="s">
        <v>160</v>
      </c>
      <c r="I1221" s="109" t="s">
        <v>740</v>
      </c>
      <c r="J1221" s="8" t="s">
        <v>206</v>
      </c>
      <c r="K1221" s="14" t="b">
        <v>1</v>
      </c>
      <c r="L1221" s="14" t="b">
        <v>1</v>
      </c>
      <c r="M1221" s="14" t="b">
        <v>1</v>
      </c>
      <c r="N1221" s="14" t="b">
        <v>1</v>
      </c>
      <c r="O1221" s="14" t="b">
        <v>1</v>
      </c>
    </row>
    <row r="1222" spans="1:15" x14ac:dyDescent="0.25">
      <c r="A1222" s="4">
        <v>19878404000100</v>
      </c>
      <c r="B1222" s="8" t="s">
        <v>1184</v>
      </c>
      <c r="C1222" s="8" t="s">
        <v>89</v>
      </c>
      <c r="D1222" s="7" t="s">
        <v>54</v>
      </c>
      <c r="E1222" s="7" t="s">
        <v>215</v>
      </c>
      <c r="F1222" s="6">
        <v>1</v>
      </c>
      <c r="G1222" s="8" t="s">
        <v>159</v>
      </c>
      <c r="H1222" s="8" t="s">
        <v>160</v>
      </c>
      <c r="I1222" s="109" t="s">
        <v>740</v>
      </c>
      <c r="J1222" s="8" t="s">
        <v>206</v>
      </c>
      <c r="K1222" s="14" t="b">
        <v>1</v>
      </c>
      <c r="L1222" s="14" t="b">
        <v>1</v>
      </c>
      <c r="M1222" s="14" t="b">
        <v>1</v>
      </c>
      <c r="N1222" s="14" t="b">
        <v>1</v>
      </c>
      <c r="O1222" s="14" t="b">
        <v>1</v>
      </c>
    </row>
    <row r="1223" spans="1:15" x14ac:dyDescent="0.25">
      <c r="A1223" s="4">
        <v>20150900000122</v>
      </c>
      <c r="B1223" s="8" t="s">
        <v>1185</v>
      </c>
      <c r="C1223" s="8" t="s">
        <v>1171</v>
      </c>
      <c r="D1223" s="7" t="s">
        <v>54</v>
      </c>
      <c r="E1223" s="7" t="s">
        <v>215</v>
      </c>
      <c r="F1223" s="6">
        <v>1</v>
      </c>
      <c r="G1223" s="8" t="s">
        <v>159</v>
      </c>
      <c r="H1223" s="8" t="s">
        <v>160</v>
      </c>
      <c r="I1223" s="109" t="s">
        <v>740</v>
      </c>
      <c r="J1223" s="8" t="s">
        <v>206</v>
      </c>
      <c r="K1223" s="14" t="b">
        <v>1</v>
      </c>
      <c r="L1223" s="14" t="b">
        <v>1</v>
      </c>
      <c r="M1223" s="14" t="b">
        <v>1</v>
      </c>
      <c r="N1223" s="14" t="b">
        <v>1</v>
      </c>
      <c r="O1223" s="14" t="b">
        <v>1</v>
      </c>
    </row>
    <row r="1224" spans="1:15" x14ac:dyDescent="0.25">
      <c r="A1224" s="4">
        <v>20207543000191</v>
      </c>
      <c r="B1224" s="8" t="s">
        <v>1186</v>
      </c>
      <c r="C1224" s="8" t="s">
        <v>1171</v>
      </c>
      <c r="D1224" s="7" t="s">
        <v>54</v>
      </c>
      <c r="E1224" s="7" t="s">
        <v>215</v>
      </c>
      <c r="F1224" s="6">
        <v>1</v>
      </c>
      <c r="G1224" s="8" t="s">
        <v>159</v>
      </c>
      <c r="H1224" s="8" t="s">
        <v>160</v>
      </c>
      <c r="I1224" s="109" t="s">
        <v>740</v>
      </c>
      <c r="J1224" s="8" t="s">
        <v>206</v>
      </c>
      <c r="K1224" s="14" t="b">
        <v>1</v>
      </c>
      <c r="L1224" s="14" t="b">
        <v>1</v>
      </c>
      <c r="M1224" s="14" t="b">
        <v>1</v>
      </c>
      <c r="N1224" s="14" t="b">
        <v>1</v>
      </c>
      <c r="O1224" s="14" t="b">
        <v>1</v>
      </c>
    </row>
    <row r="1225" spans="1:15" x14ac:dyDescent="0.25">
      <c r="A1225" s="4">
        <v>20599890000107</v>
      </c>
      <c r="B1225" s="8" t="s">
        <v>1424</v>
      </c>
      <c r="C1225" s="8" t="s">
        <v>1188</v>
      </c>
      <c r="D1225" s="7" t="s">
        <v>54</v>
      </c>
      <c r="E1225" s="7" t="s">
        <v>215</v>
      </c>
      <c r="F1225" s="6">
        <v>1</v>
      </c>
      <c r="G1225" s="8" t="s">
        <v>159</v>
      </c>
      <c r="H1225" s="8" t="s">
        <v>160</v>
      </c>
      <c r="I1225" s="109" t="s">
        <v>740</v>
      </c>
      <c r="J1225" s="8" t="s">
        <v>206</v>
      </c>
      <c r="K1225" s="14" t="b">
        <v>1</v>
      </c>
      <c r="L1225" s="14" t="b">
        <v>1</v>
      </c>
      <c r="M1225" s="14" t="b">
        <v>1</v>
      </c>
      <c r="N1225" s="14" t="b">
        <v>1</v>
      </c>
      <c r="O1225" s="14" t="b">
        <v>1</v>
      </c>
    </row>
    <row r="1226" spans="1:15" x14ac:dyDescent="0.25">
      <c r="A1226" s="4">
        <v>20622890000180</v>
      </c>
      <c r="B1226" s="8" t="s">
        <v>1187</v>
      </c>
      <c r="C1226" s="8" t="s">
        <v>1188</v>
      </c>
      <c r="D1226" s="7" t="s">
        <v>54</v>
      </c>
      <c r="E1226" s="7" t="s">
        <v>215</v>
      </c>
      <c r="F1226" s="6">
        <v>1</v>
      </c>
      <c r="G1226" s="8" t="s">
        <v>159</v>
      </c>
      <c r="H1226" s="8" t="s">
        <v>160</v>
      </c>
      <c r="I1226" s="109" t="s">
        <v>740</v>
      </c>
      <c r="J1226" s="8" t="s">
        <v>206</v>
      </c>
      <c r="K1226" s="14" t="b">
        <v>1</v>
      </c>
      <c r="L1226" s="14" t="b">
        <v>1</v>
      </c>
      <c r="M1226" s="14" t="b">
        <v>1</v>
      </c>
      <c r="N1226" s="14" t="b">
        <v>1</v>
      </c>
      <c r="O1226" s="14" t="b">
        <v>1</v>
      </c>
    </row>
    <row r="1227" spans="1:15" x14ac:dyDescent="0.25">
      <c r="A1227" s="4">
        <v>20909271000171</v>
      </c>
      <c r="B1227" s="8" t="s">
        <v>1189</v>
      </c>
      <c r="C1227" s="8" t="s">
        <v>101</v>
      </c>
      <c r="D1227" s="7" t="s">
        <v>54</v>
      </c>
      <c r="E1227" s="7" t="s">
        <v>215</v>
      </c>
      <c r="F1227" s="6">
        <v>1</v>
      </c>
      <c r="G1227" s="8" t="s">
        <v>159</v>
      </c>
      <c r="H1227" s="8" t="s">
        <v>160</v>
      </c>
      <c r="I1227" s="109" t="s">
        <v>740</v>
      </c>
      <c r="J1227" s="8" t="s">
        <v>206</v>
      </c>
      <c r="K1227" s="14" t="b">
        <v>1</v>
      </c>
      <c r="L1227" s="14" t="b">
        <v>1</v>
      </c>
      <c r="M1227" s="14" t="b">
        <v>1</v>
      </c>
      <c r="N1227" s="14" t="b">
        <v>1</v>
      </c>
      <c r="O1227" s="14" t="b">
        <v>1</v>
      </c>
    </row>
    <row r="1228" spans="1:15" x14ac:dyDescent="0.25">
      <c r="A1228" s="4">
        <v>21040696000311</v>
      </c>
      <c r="B1228" s="8" t="s">
        <v>1190</v>
      </c>
      <c r="C1228" s="8" t="s">
        <v>1191</v>
      </c>
      <c r="D1228" s="7" t="s">
        <v>54</v>
      </c>
      <c r="E1228" s="7" t="s">
        <v>215</v>
      </c>
      <c r="F1228" s="6">
        <v>1</v>
      </c>
      <c r="G1228" s="8" t="s">
        <v>159</v>
      </c>
      <c r="H1228" s="8" t="s">
        <v>160</v>
      </c>
      <c r="I1228" s="109" t="s">
        <v>740</v>
      </c>
      <c r="J1228" s="8" t="s">
        <v>206</v>
      </c>
      <c r="K1228" s="14" t="b">
        <v>1</v>
      </c>
      <c r="L1228" s="14" t="b">
        <v>1</v>
      </c>
      <c r="M1228" s="14" t="b">
        <v>1</v>
      </c>
      <c r="N1228" s="14" t="b">
        <v>1</v>
      </c>
      <c r="O1228" s="14" t="b">
        <v>1</v>
      </c>
    </row>
    <row r="1229" spans="1:15" x14ac:dyDescent="0.25">
      <c r="A1229" s="4">
        <v>21299615000130</v>
      </c>
      <c r="B1229" s="8" t="s">
        <v>1192</v>
      </c>
      <c r="C1229" s="8" t="s">
        <v>102</v>
      </c>
      <c r="D1229" s="7" t="s">
        <v>54</v>
      </c>
      <c r="E1229" s="7" t="s">
        <v>215</v>
      </c>
      <c r="F1229" s="6">
        <v>1</v>
      </c>
      <c r="G1229" s="8" t="s">
        <v>159</v>
      </c>
      <c r="H1229" s="8" t="s">
        <v>160</v>
      </c>
      <c r="I1229" s="109" t="s">
        <v>740</v>
      </c>
      <c r="J1229" s="8" t="s">
        <v>206</v>
      </c>
      <c r="K1229" s="14" t="b">
        <v>1</v>
      </c>
      <c r="L1229" s="14" t="b">
        <v>1</v>
      </c>
      <c r="M1229" s="14" t="b">
        <v>1</v>
      </c>
      <c r="N1229" s="14" t="b">
        <v>1</v>
      </c>
      <c r="O1229" s="14" t="b">
        <v>1</v>
      </c>
    </row>
    <row r="1230" spans="1:15" x14ac:dyDescent="0.25">
      <c r="A1230" s="4">
        <v>22675359000100</v>
      </c>
      <c r="B1230" s="8" t="s">
        <v>1193</v>
      </c>
      <c r="C1230" s="8" t="s">
        <v>540</v>
      </c>
      <c r="D1230" s="7" t="s">
        <v>54</v>
      </c>
      <c r="E1230" s="7" t="s">
        <v>215</v>
      </c>
      <c r="F1230" s="6">
        <v>1</v>
      </c>
      <c r="G1230" s="8" t="s">
        <v>159</v>
      </c>
      <c r="H1230" s="8" t="s">
        <v>160</v>
      </c>
      <c r="I1230" s="109" t="s">
        <v>740</v>
      </c>
      <c r="J1230" s="8" t="s">
        <v>206</v>
      </c>
      <c r="K1230" s="14" t="b">
        <v>1</v>
      </c>
      <c r="L1230" s="14" t="b">
        <v>1</v>
      </c>
      <c r="M1230" s="14" t="b">
        <v>1</v>
      </c>
      <c r="N1230" s="14" t="b">
        <v>1</v>
      </c>
      <c r="O1230" s="14" t="b">
        <v>1</v>
      </c>
    </row>
    <row r="1231" spans="1:15" x14ac:dyDescent="0.25">
      <c r="A1231" s="4">
        <v>23278898000160</v>
      </c>
      <c r="B1231" s="8" t="s">
        <v>1194</v>
      </c>
      <c r="C1231" s="8" t="s">
        <v>119</v>
      </c>
      <c r="D1231" s="7" t="s">
        <v>54</v>
      </c>
      <c r="E1231" s="7" t="s">
        <v>215</v>
      </c>
      <c r="F1231" s="6">
        <v>1</v>
      </c>
      <c r="G1231" s="8" t="s">
        <v>159</v>
      </c>
      <c r="H1231" s="8" t="s">
        <v>160</v>
      </c>
      <c r="I1231" s="109" t="s">
        <v>740</v>
      </c>
      <c r="J1231" s="8" t="s">
        <v>206</v>
      </c>
      <c r="K1231" s="14" t="b">
        <v>1</v>
      </c>
      <c r="L1231" s="14" t="b">
        <v>1</v>
      </c>
      <c r="M1231" s="14" t="b">
        <v>1</v>
      </c>
      <c r="N1231" s="14" t="b">
        <v>1</v>
      </c>
      <c r="O1231" s="14" t="b">
        <v>1</v>
      </c>
    </row>
    <row r="1232" spans="1:15" x14ac:dyDescent="0.25">
      <c r="A1232" s="4">
        <v>23338387000196</v>
      </c>
      <c r="B1232" s="8" t="s">
        <v>1195</v>
      </c>
      <c r="C1232" s="8" t="s">
        <v>90</v>
      </c>
      <c r="D1232" s="7" t="s">
        <v>54</v>
      </c>
      <c r="E1232" s="7" t="s">
        <v>215</v>
      </c>
      <c r="F1232" s="6">
        <v>1</v>
      </c>
      <c r="G1232" s="8" t="s">
        <v>159</v>
      </c>
      <c r="H1232" s="8" t="s">
        <v>160</v>
      </c>
      <c r="I1232" s="109" t="s">
        <v>740</v>
      </c>
      <c r="J1232" s="8" t="s">
        <v>206</v>
      </c>
      <c r="K1232" s="14" t="b">
        <v>1</v>
      </c>
      <c r="L1232" s="14" t="b">
        <v>1</v>
      </c>
      <c r="M1232" s="14" t="b">
        <v>1</v>
      </c>
      <c r="N1232" s="14" t="b">
        <v>1</v>
      </c>
      <c r="O1232" s="14" t="b">
        <v>1</v>
      </c>
    </row>
    <row r="1233" spans="1:15" x14ac:dyDescent="0.25">
      <c r="A1233" s="4">
        <v>23406564000124</v>
      </c>
      <c r="B1233" s="8" t="s">
        <v>1196</v>
      </c>
      <c r="C1233" s="8" t="s">
        <v>1197</v>
      </c>
      <c r="D1233" s="7" t="s">
        <v>54</v>
      </c>
      <c r="E1233" s="7" t="s">
        <v>215</v>
      </c>
      <c r="F1233" s="6">
        <v>1</v>
      </c>
      <c r="G1233" s="8" t="s">
        <v>159</v>
      </c>
      <c r="H1233" s="8" t="s">
        <v>160</v>
      </c>
      <c r="I1233" s="109" t="s">
        <v>740</v>
      </c>
      <c r="J1233" s="8" t="s">
        <v>206</v>
      </c>
      <c r="K1233" s="14" t="b">
        <v>1</v>
      </c>
      <c r="L1233" s="14" t="b">
        <v>1</v>
      </c>
      <c r="M1233" s="14" t="b">
        <v>1</v>
      </c>
      <c r="N1233" s="14" t="b">
        <v>1</v>
      </c>
      <c r="O1233" s="14" t="b">
        <v>1</v>
      </c>
    </row>
    <row r="1234" spans="1:15" x14ac:dyDescent="0.25">
      <c r="A1234" s="4">
        <v>25415993000193</v>
      </c>
      <c r="B1234" s="8" t="s">
        <v>1200</v>
      </c>
      <c r="C1234" s="8" t="s">
        <v>88</v>
      </c>
      <c r="D1234" s="7" t="s">
        <v>54</v>
      </c>
      <c r="E1234" s="7" t="s">
        <v>215</v>
      </c>
      <c r="F1234" s="6">
        <v>1</v>
      </c>
      <c r="G1234" s="8" t="s">
        <v>159</v>
      </c>
      <c r="H1234" s="8" t="s">
        <v>160</v>
      </c>
      <c r="I1234" s="109" t="s">
        <v>740</v>
      </c>
      <c r="J1234" s="8" t="s">
        <v>206</v>
      </c>
      <c r="K1234" s="14" t="b">
        <v>1</v>
      </c>
      <c r="L1234" s="14" t="b">
        <v>1</v>
      </c>
      <c r="M1234" s="14" t="b">
        <v>1</v>
      </c>
      <c r="N1234" s="14" t="b">
        <v>1</v>
      </c>
      <c r="O1234" s="14" t="b">
        <v>1</v>
      </c>
    </row>
    <row r="1235" spans="1:15" x14ac:dyDescent="0.25">
      <c r="A1235" s="4">
        <v>25431834000182</v>
      </c>
      <c r="B1235" s="8" t="s">
        <v>1425</v>
      </c>
      <c r="C1235" s="8" t="s">
        <v>126</v>
      </c>
      <c r="D1235" s="7" t="s">
        <v>54</v>
      </c>
      <c r="E1235" s="7" t="s">
        <v>215</v>
      </c>
      <c r="F1235" s="6">
        <v>1</v>
      </c>
      <c r="G1235" s="8" t="s">
        <v>159</v>
      </c>
      <c r="H1235" s="8" t="s">
        <v>160</v>
      </c>
      <c r="I1235" s="109" t="s">
        <v>740</v>
      </c>
      <c r="J1235" s="8" t="s">
        <v>206</v>
      </c>
      <c r="K1235" s="14" t="b">
        <v>1</v>
      </c>
      <c r="L1235" s="14" t="b">
        <v>1</v>
      </c>
      <c r="M1235" s="14" t="b">
        <v>1</v>
      </c>
      <c r="N1235" s="14" t="b">
        <v>1</v>
      </c>
      <c r="O1235" s="14" t="b">
        <v>1</v>
      </c>
    </row>
    <row r="1236" spans="1:15" x14ac:dyDescent="0.25">
      <c r="A1236" s="4">
        <v>25648387000207</v>
      </c>
      <c r="B1236" s="8" t="s">
        <v>1201</v>
      </c>
      <c r="C1236" s="8" t="s">
        <v>1171</v>
      </c>
      <c r="D1236" s="7" t="s">
        <v>54</v>
      </c>
      <c r="E1236" s="7" t="s">
        <v>215</v>
      </c>
      <c r="F1236" s="6">
        <v>1</v>
      </c>
      <c r="G1236" s="8" t="s">
        <v>159</v>
      </c>
      <c r="H1236" s="8" t="s">
        <v>160</v>
      </c>
      <c r="I1236" s="109" t="s">
        <v>740</v>
      </c>
      <c r="J1236" s="8" t="s">
        <v>206</v>
      </c>
      <c r="K1236" s="14" t="b">
        <v>1</v>
      </c>
      <c r="L1236" s="14" t="b">
        <v>1</v>
      </c>
      <c r="M1236" s="14" t="b">
        <v>1</v>
      </c>
      <c r="N1236" s="14" t="b">
        <v>1</v>
      </c>
      <c r="O1236" s="14" t="b">
        <v>1</v>
      </c>
    </row>
    <row r="1237" spans="1:15" x14ac:dyDescent="0.25">
      <c r="A1237" s="4">
        <v>25761040000187</v>
      </c>
      <c r="B1237" s="8" t="s">
        <v>1202</v>
      </c>
      <c r="C1237" s="8" t="s">
        <v>1171</v>
      </c>
      <c r="D1237" s="7" t="s">
        <v>54</v>
      </c>
      <c r="E1237" s="7" t="s">
        <v>215</v>
      </c>
      <c r="F1237" s="6">
        <v>1</v>
      </c>
      <c r="G1237" s="8" t="s">
        <v>159</v>
      </c>
      <c r="H1237" s="8" t="s">
        <v>160</v>
      </c>
      <c r="I1237" s="109" t="s">
        <v>740</v>
      </c>
      <c r="J1237" s="8" t="s">
        <v>206</v>
      </c>
      <c r="K1237" s="14" t="b">
        <v>1</v>
      </c>
      <c r="L1237" s="14" t="b">
        <v>1</v>
      </c>
      <c r="M1237" s="14" t="b">
        <v>1</v>
      </c>
      <c r="N1237" s="14" t="b">
        <v>1</v>
      </c>
      <c r="O1237" s="14" t="b">
        <v>1</v>
      </c>
    </row>
    <row r="1238" spans="1:15" x14ac:dyDescent="0.25">
      <c r="A1238" s="4">
        <v>25910449000460</v>
      </c>
      <c r="B1238" s="8" t="s">
        <v>1203</v>
      </c>
      <c r="C1238" s="8" t="s">
        <v>1204</v>
      </c>
      <c r="D1238" s="7" t="s">
        <v>54</v>
      </c>
      <c r="E1238" s="7" t="s">
        <v>215</v>
      </c>
      <c r="F1238" s="6">
        <v>1</v>
      </c>
      <c r="G1238" s="8" t="s">
        <v>159</v>
      </c>
      <c r="H1238" s="8" t="s">
        <v>160</v>
      </c>
      <c r="I1238" s="109" t="s">
        <v>740</v>
      </c>
      <c r="J1238" s="8" t="s">
        <v>206</v>
      </c>
      <c r="K1238" s="14" t="b">
        <v>1</v>
      </c>
      <c r="L1238" s="14" t="b">
        <v>1</v>
      </c>
      <c r="M1238" s="14" t="b">
        <v>1</v>
      </c>
      <c r="N1238" s="14" t="b">
        <v>1</v>
      </c>
      <c r="O1238" s="14" t="b">
        <v>1</v>
      </c>
    </row>
    <row r="1239" spans="1:15" x14ac:dyDescent="0.25">
      <c r="A1239" s="4">
        <v>27080605000358</v>
      </c>
      <c r="B1239" s="8" t="s">
        <v>1205</v>
      </c>
      <c r="C1239" s="8" t="s">
        <v>1206</v>
      </c>
      <c r="D1239" s="7" t="s">
        <v>98</v>
      </c>
      <c r="E1239" s="7" t="s">
        <v>215</v>
      </c>
      <c r="F1239" s="6">
        <v>1</v>
      </c>
      <c r="G1239" s="8" t="s">
        <v>159</v>
      </c>
      <c r="H1239" s="8" t="s">
        <v>160</v>
      </c>
      <c r="I1239" s="109" t="s">
        <v>740</v>
      </c>
      <c r="J1239" s="8" t="s">
        <v>206</v>
      </c>
      <c r="K1239" s="14" t="b">
        <v>1</v>
      </c>
      <c r="L1239" s="14" t="b">
        <v>1</v>
      </c>
      <c r="M1239" s="14" t="b">
        <v>1</v>
      </c>
      <c r="N1239" s="14" t="b">
        <v>1</v>
      </c>
      <c r="O1239" s="14" t="b">
        <v>1</v>
      </c>
    </row>
    <row r="1240" spans="1:15" x14ac:dyDescent="0.25">
      <c r="A1240" s="4">
        <v>27080605000781</v>
      </c>
      <c r="B1240" s="8" t="s">
        <v>1426</v>
      </c>
      <c r="C1240" s="8" t="s">
        <v>1427</v>
      </c>
      <c r="D1240" s="7" t="s">
        <v>98</v>
      </c>
      <c r="E1240" s="7" t="s">
        <v>215</v>
      </c>
      <c r="F1240" s="6">
        <v>1</v>
      </c>
      <c r="G1240" s="8" t="s">
        <v>159</v>
      </c>
      <c r="H1240" s="8" t="s">
        <v>160</v>
      </c>
      <c r="I1240" s="109" t="s">
        <v>740</v>
      </c>
      <c r="J1240" s="8" t="s">
        <v>206</v>
      </c>
      <c r="K1240" s="14" t="b">
        <v>1</v>
      </c>
      <c r="L1240" s="14" t="b">
        <v>1</v>
      </c>
      <c r="M1240" s="14" t="b">
        <v>1</v>
      </c>
      <c r="N1240" s="14" t="b">
        <v>1</v>
      </c>
      <c r="O1240" s="14" t="b">
        <v>1</v>
      </c>
    </row>
    <row r="1241" spans="1:15" x14ac:dyDescent="0.25">
      <c r="A1241" s="4">
        <v>27080605001591</v>
      </c>
      <c r="B1241" s="8" t="s">
        <v>1207</v>
      </c>
      <c r="C1241" s="8" t="s">
        <v>97</v>
      </c>
      <c r="D1241" s="7" t="s">
        <v>98</v>
      </c>
      <c r="E1241" s="7" t="s">
        <v>215</v>
      </c>
      <c r="F1241" s="6">
        <v>1</v>
      </c>
      <c r="G1241" s="8" t="s">
        <v>159</v>
      </c>
      <c r="H1241" s="8" t="s">
        <v>160</v>
      </c>
      <c r="I1241" s="109" t="s">
        <v>740</v>
      </c>
      <c r="J1241" s="8" t="s">
        <v>206</v>
      </c>
      <c r="K1241" s="14" t="b">
        <v>1</v>
      </c>
      <c r="L1241" s="14" t="b">
        <v>1</v>
      </c>
      <c r="M1241" s="14" t="b">
        <v>1</v>
      </c>
      <c r="N1241" s="14" t="b">
        <v>1</v>
      </c>
      <c r="O1241" s="14" t="b">
        <v>1</v>
      </c>
    </row>
    <row r="1242" spans="1:15" x14ac:dyDescent="0.25">
      <c r="A1242" s="4">
        <v>27193705000129</v>
      </c>
      <c r="B1242" s="8" t="s">
        <v>1428</v>
      </c>
      <c r="C1242" s="8" t="s">
        <v>1429</v>
      </c>
      <c r="D1242" s="7" t="s">
        <v>98</v>
      </c>
      <c r="E1242" s="7" t="s">
        <v>215</v>
      </c>
      <c r="F1242" s="6">
        <v>1</v>
      </c>
      <c r="G1242" s="8" t="s">
        <v>159</v>
      </c>
      <c r="H1242" s="8" t="s">
        <v>160</v>
      </c>
      <c r="I1242" s="109" t="s">
        <v>740</v>
      </c>
      <c r="J1242" s="8" t="s">
        <v>206</v>
      </c>
      <c r="K1242" s="14" t="b">
        <v>1</v>
      </c>
      <c r="L1242" s="14" t="b">
        <v>1</v>
      </c>
      <c r="M1242" s="14" t="b">
        <v>1</v>
      </c>
      <c r="N1242" s="14" t="b">
        <v>1</v>
      </c>
      <c r="O1242" s="14" t="b">
        <v>1</v>
      </c>
    </row>
    <row r="1243" spans="1:15" x14ac:dyDescent="0.25">
      <c r="A1243" s="4">
        <v>27578434001525</v>
      </c>
      <c r="B1243" s="8" t="s">
        <v>1208</v>
      </c>
      <c r="C1243" s="8" t="s">
        <v>1157</v>
      </c>
      <c r="D1243" s="7" t="s">
        <v>98</v>
      </c>
      <c r="E1243" s="7" t="s">
        <v>215</v>
      </c>
      <c r="F1243" s="6">
        <v>1</v>
      </c>
      <c r="G1243" s="8" t="s">
        <v>159</v>
      </c>
      <c r="H1243" s="8" t="s">
        <v>160</v>
      </c>
      <c r="I1243" s="109" t="s">
        <v>740</v>
      </c>
      <c r="J1243" s="8" t="s">
        <v>206</v>
      </c>
      <c r="K1243" s="14" t="b">
        <v>1</v>
      </c>
      <c r="L1243" s="14" t="b">
        <v>1</v>
      </c>
      <c r="M1243" s="14" t="b">
        <v>1</v>
      </c>
      <c r="N1243" s="14" t="b">
        <v>1</v>
      </c>
      <c r="O1243" s="14" t="b">
        <v>1</v>
      </c>
    </row>
    <row r="1244" spans="1:15" x14ac:dyDescent="0.25">
      <c r="A1244" s="4">
        <v>28137925000106</v>
      </c>
      <c r="B1244" s="8" t="s">
        <v>1210</v>
      </c>
      <c r="C1244" s="8" t="s">
        <v>1157</v>
      </c>
      <c r="D1244" s="7" t="s">
        <v>98</v>
      </c>
      <c r="E1244" s="7" t="s">
        <v>215</v>
      </c>
      <c r="F1244" s="6">
        <v>1</v>
      </c>
      <c r="G1244" s="8" t="s">
        <v>159</v>
      </c>
      <c r="H1244" s="8" t="s">
        <v>160</v>
      </c>
      <c r="I1244" s="109" t="s">
        <v>740</v>
      </c>
      <c r="J1244" s="8" t="s">
        <v>206</v>
      </c>
      <c r="K1244" s="14" t="b">
        <v>1</v>
      </c>
      <c r="L1244" s="14" t="b">
        <v>1</v>
      </c>
      <c r="M1244" s="14" t="b">
        <v>1</v>
      </c>
      <c r="N1244" s="14" t="b">
        <v>1</v>
      </c>
      <c r="O1244" s="14" t="b">
        <v>1</v>
      </c>
    </row>
    <row r="1245" spans="1:15" x14ac:dyDescent="0.25">
      <c r="A1245" s="4">
        <v>29323454000185</v>
      </c>
      <c r="B1245" s="8" t="s">
        <v>1211</v>
      </c>
      <c r="C1245" s="8" t="s">
        <v>543</v>
      </c>
      <c r="D1245" s="7" t="s">
        <v>98</v>
      </c>
      <c r="E1245" s="7" t="s">
        <v>215</v>
      </c>
      <c r="F1245" s="6">
        <v>1</v>
      </c>
      <c r="G1245" s="8" t="s">
        <v>159</v>
      </c>
      <c r="H1245" s="8" t="s">
        <v>160</v>
      </c>
      <c r="I1245" s="109" t="s">
        <v>740</v>
      </c>
      <c r="J1245" s="8" t="s">
        <v>206</v>
      </c>
      <c r="K1245" s="14" t="b">
        <v>1</v>
      </c>
      <c r="L1245" s="14" t="b">
        <v>1</v>
      </c>
      <c r="M1245" s="14" t="b">
        <v>1</v>
      </c>
      <c r="N1245" s="14" t="b">
        <v>1</v>
      </c>
      <c r="O1245" s="14" t="b">
        <v>1</v>
      </c>
    </row>
    <row r="1246" spans="1:15" x14ac:dyDescent="0.25">
      <c r="A1246" s="4">
        <v>39387477000107</v>
      </c>
      <c r="B1246" s="8" t="s">
        <v>1218</v>
      </c>
      <c r="C1246" s="8" t="s">
        <v>1157</v>
      </c>
      <c r="D1246" s="7" t="s">
        <v>98</v>
      </c>
      <c r="E1246" s="7" t="s">
        <v>215</v>
      </c>
      <c r="F1246" s="6">
        <v>1</v>
      </c>
      <c r="G1246" s="8" t="s">
        <v>159</v>
      </c>
      <c r="H1246" s="8" t="s">
        <v>160</v>
      </c>
      <c r="I1246" s="109" t="s">
        <v>740</v>
      </c>
      <c r="J1246" s="8" t="s">
        <v>206</v>
      </c>
      <c r="K1246" s="14" t="b">
        <v>1</v>
      </c>
      <c r="L1246" s="14" t="b">
        <v>1</v>
      </c>
      <c r="M1246" s="14" t="b">
        <v>1</v>
      </c>
      <c r="N1246" s="14" t="b">
        <v>1</v>
      </c>
      <c r="O1246" s="14" t="b">
        <v>1</v>
      </c>
    </row>
    <row r="1247" spans="1:15" x14ac:dyDescent="0.25">
      <c r="A1247" s="4">
        <v>41781949000234</v>
      </c>
      <c r="B1247" s="8" t="s">
        <v>1219</v>
      </c>
      <c r="C1247" s="8" t="s">
        <v>1220</v>
      </c>
      <c r="D1247" s="7" t="s">
        <v>54</v>
      </c>
      <c r="E1247" s="7" t="s">
        <v>215</v>
      </c>
      <c r="F1247" s="6">
        <v>1</v>
      </c>
      <c r="G1247" s="8" t="s">
        <v>159</v>
      </c>
      <c r="H1247" s="8" t="s">
        <v>160</v>
      </c>
      <c r="I1247" s="109" t="s">
        <v>740</v>
      </c>
      <c r="J1247" s="8" t="s">
        <v>206</v>
      </c>
      <c r="K1247" s="14" t="b">
        <v>1</v>
      </c>
      <c r="L1247" s="14" t="b">
        <v>1</v>
      </c>
      <c r="M1247" s="14" t="b">
        <v>1</v>
      </c>
      <c r="N1247" s="14" t="b">
        <v>1</v>
      </c>
      <c r="O1247" s="14" t="b">
        <v>1</v>
      </c>
    </row>
    <row r="1248" spans="1:15" x14ac:dyDescent="0.25">
      <c r="A1248" s="4">
        <v>42855999000362</v>
      </c>
      <c r="B1248" s="8" t="s">
        <v>1222</v>
      </c>
      <c r="C1248" s="8" t="s">
        <v>1223</v>
      </c>
      <c r="D1248" s="7" t="s">
        <v>54</v>
      </c>
      <c r="E1248" s="7" t="s">
        <v>215</v>
      </c>
      <c r="F1248" s="6">
        <v>1</v>
      </c>
      <c r="G1248" s="8" t="s">
        <v>159</v>
      </c>
      <c r="H1248" s="8" t="s">
        <v>160</v>
      </c>
      <c r="I1248" s="109" t="s">
        <v>740</v>
      </c>
      <c r="J1248" s="8" t="s">
        <v>206</v>
      </c>
      <c r="K1248" s="14" t="b">
        <v>1</v>
      </c>
      <c r="L1248" s="14" t="b">
        <v>1</v>
      </c>
      <c r="M1248" s="14" t="b">
        <v>1</v>
      </c>
      <c r="N1248" s="14" t="b">
        <v>1</v>
      </c>
      <c r="O1248" s="14" t="b">
        <v>1</v>
      </c>
    </row>
    <row r="1249" spans="1:15" x14ac:dyDescent="0.25">
      <c r="A1249" s="4">
        <v>60194990000844</v>
      </c>
      <c r="B1249" s="8" t="s">
        <v>1231</v>
      </c>
      <c r="C1249" s="8" t="s">
        <v>1415</v>
      </c>
      <c r="D1249" s="7" t="s">
        <v>54</v>
      </c>
      <c r="E1249" s="7" t="s">
        <v>215</v>
      </c>
      <c r="F1249" s="6">
        <v>1</v>
      </c>
      <c r="G1249" s="8" t="s">
        <v>159</v>
      </c>
      <c r="H1249" s="8" t="s">
        <v>160</v>
      </c>
      <c r="I1249" s="109" t="s">
        <v>740</v>
      </c>
      <c r="J1249" s="8" t="s">
        <v>206</v>
      </c>
      <c r="K1249" s="14" t="b">
        <v>1</v>
      </c>
      <c r="L1249" s="14" t="b">
        <v>1</v>
      </c>
      <c r="M1249" s="14" t="b">
        <v>1</v>
      </c>
      <c r="N1249" s="14" t="b">
        <v>1</v>
      </c>
      <c r="O1249" s="14" t="b">
        <v>1</v>
      </c>
    </row>
    <row r="1250" spans="1:15" x14ac:dyDescent="0.25">
      <c r="A1250" s="4">
        <v>71064539000314</v>
      </c>
      <c r="B1250" s="8" t="s">
        <v>1430</v>
      </c>
      <c r="C1250" s="8" t="s">
        <v>119</v>
      </c>
      <c r="D1250" s="7" t="s">
        <v>54</v>
      </c>
      <c r="E1250" s="7" t="s">
        <v>215</v>
      </c>
      <c r="F1250" s="6">
        <v>1</v>
      </c>
      <c r="G1250" s="8" t="s">
        <v>159</v>
      </c>
      <c r="H1250" s="8" t="s">
        <v>160</v>
      </c>
      <c r="I1250" s="109" t="s">
        <v>740</v>
      </c>
      <c r="J1250" s="8" t="s">
        <v>206</v>
      </c>
      <c r="K1250" s="14" t="b">
        <v>1</v>
      </c>
      <c r="L1250" s="14" t="b">
        <v>1</v>
      </c>
      <c r="M1250" s="14" t="b">
        <v>1</v>
      </c>
      <c r="N1250" s="14" t="b">
        <v>1</v>
      </c>
      <c r="O1250" s="14" t="b">
        <v>1</v>
      </c>
    </row>
    <row r="1251" spans="1:15" x14ac:dyDescent="0.25">
      <c r="A1251" s="4">
        <v>1325113204</v>
      </c>
      <c r="B1251" s="8" t="s">
        <v>1431</v>
      </c>
      <c r="C1251" s="8" t="s">
        <v>1432</v>
      </c>
      <c r="D1251" s="7" t="s">
        <v>52</v>
      </c>
      <c r="E1251" s="7" t="s">
        <v>215</v>
      </c>
      <c r="F1251" s="6">
        <v>1</v>
      </c>
      <c r="G1251" s="8" t="s">
        <v>201</v>
      </c>
      <c r="H1251" s="8" t="s">
        <v>202</v>
      </c>
      <c r="I1251" s="109" t="s">
        <v>740</v>
      </c>
      <c r="J1251" s="8" t="s">
        <v>212</v>
      </c>
      <c r="K1251" s="14" t="b">
        <v>1</v>
      </c>
      <c r="L1251" s="14" t="b">
        <v>1</v>
      </c>
      <c r="M1251" s="14" t="b">
        <v>1</v>
      </c>
      <c r="N1251" s="14" t="b">
        <v>1</v>
      </c>
      <c r="O1251" s="14" t="b">
        <v>1</v>
      </c>
    </row>
    <row r="1252" spans="1:15" x14ac:dyDescent="0.25">
      <c r="A1252" s="4">
        <v>12371009253</v>
      </c>
      <c r="B1252" s="8" t="s">
        <v>1128</v>
      </c>
      <c r="C1252" s="8" t="s">
        <v>1129</v>
      </c>
      <c r="D1252" s="7" t="s">
        <v>52</v>
      </c>
      <c r="E1252" s="7" t="s">
        <v>215</v>
      </c>
      <c r="F1252" s="6">
        <v>1</v>
      </c>
      <c r="G1252" s="8" t="s">
        <v>201</v>
      </c>
      <c r="H1252" s="8" t="s">
        <v>202</v>
      </c>
      <c r="I1252" s="109" t="s">
        <v>740</v>
      </c>
      <c r="J1252" s="8" t="s">
        <v>212</v>
      </c>
      <c r="K1252" s="14" t="b">
        <v>1</v>
      </c>
      <c r="L1252" s="14" t="b">
        <v>1</v>
      </c>
      <c r="M1252" s="14" t="b">
        <v>1</v>
      </c>
      <c r="N1252" s="14" t="b">
        <v>1</v>
      </c>
      <c r="O1252" s="14" t="b">
        <v>1</v>
      </c>
    </row>
    <row r="1253" spans="1:15" x14ac:dyDescent="0.25">
      <c r="A1253" s="4">
        <v>46709932249</v>
      </c>
      <c r="B1253" s="8" t="s">
        <v>1433</v>
      </c>
      <c r="C1253" s="8" t="s">
        <v>1129</v>
      </c>
      <c r="D1253" s="7" t="s">
        <v>52</v>
      </c>
      <c r="E1253" s="7" t="s">
        <v>1334</v>
      </c>
      <c r="F1253" s="6">
        <v>0</v>
      </c>
      <c r="G1253" s="8"/>
      <c r="H1253" s="8"/>
      <c r="I1253" s="109"/>
      <c r="J1253" s="8"/>
      <c r="K1253" s="14"/>
      <c r="L1253" s="14"/>
      <c r="M1253" s="14"/>
    </row>
    <row r="1254" spans="1:15" x14ac:dyDescent="0.25">
      <c r="A1254" s="4">
        <v>91777186234</v>
      </c>
      <c r="B1254" s="8" t="s">
        <v>1133</v>
      </c>
      <c r="C1254" s="8" t="s">
        <v>1129</v>
      </c>
      <c r="D1254" s="7" t="s">
        <v>52</v>
      </c>
      <c r="E1254" s="7" t="s">
        <v>215</v>
      </c>
      <c r="F1254" s="6">
        <v>1</v>
      </c>
      <c r="G1254" s="8" t="s">
        <v>201</v>
      </c>
      <c r="H1254" s="8" t="s">
        <v>202</v>
      </c>
      <c r="I1254" s="109" t="s">
        <v>740</v>
      </c>
      <c r="J1254" s="8" t="s">
        <v>212</v>
      </c>
      <c r="K1254" s="14" t="b">
        <v>1</v>
      </c>
      <c r="L1254" s="14" t="b">
        <v>1</v>
      </c>
      <c r="M1254" s="14" t="b">
        <v>1</v>
      </c>
      <c r="N1254" s="14" t="b">
        <v>1</v>
      </c>
      <c r="O1254" s="14" t="b">
        <v>1</v>
      </c>
    </row>
    <row r="1255" spans="1:15" x14ac:dyDescent="0.25">
      <c r="A1255" s="4">
        <v>92390000177</v>
      </c>
      <c r="B1255" s="8" t="s">
        <v>1434</v>
      </c>
      <c r="C1255" s="8" t="s">
        <v>125</v>
      </c>
      <c r="D1255" s="7" t="s">
        <v>68</v>
      </c>
      <c r="E1255" s="7" t="s">
        <v>1334</v>
      </c>
      <c r="F1255" s="6">
        <v>0</v>
      </c>
      <c r="G1255" s="8"/>
      <c r="H1255" s="8"/>
      <c r="I1255" s="109"/>
      <c r="J1255" s="8"/>
      <c r="K1255" s="14"/>
      <c r="L1255" s="14"/>
      <c r="M1255" s="14"/>
    </row>
    <row r="1256" spans="1:15" x14ac:dyDescent="0.25">
      <c r="A1256" s="4">
        <v>93326645287</v>
      </c>
      <c r="B1256" s="8" t="s">
        <v>1134</v>
      </c>
      <c r="C1256" s="8" t="s">
        <v>1129</v>
      </c>
      <c r="D1256" s="7" t="s">
        <v>52</v>
      </c>
      <c r="E1256" s="7" t="s">
        <v>215</v>
      </c>
      <c r="F1256" s="6">
        <v>1</v>
      </c>
      <c r="G1256" s="8" t="s">
        <v>201</v>
      </c>
      <c r="H1256" s="8" t="s">
        <v>202</v>
      </c>
      <c r="I1256" s="109" t="s">
        <v>740</v>
      </c>
      <c r="J1256" s="8" t="s">
        <v>212</v>
      </c>
      <c r="K1256" s="14" t="b">
        <v>1</v>
      </c>
      <c r="L1256" s="14" t="b">
        <v>1</v>
      </c>
      <c r="M1256" s="14" t="b">
        <v>1</v>
      </c>
      <c r="N1256" s="14" t="b">
        <v>1</v>
      </c>
      <c r="O1256" s="14" t="b">
        <v>1</v>
      </c>
    </row>
    <row r="1257" spans="1:15" x14ac:dyDescent="0.25">
      <c r="A1257" s="4">
        <v>461479007257</v>
      </c>
      <c r="B1257" s="8" t="s">
        <v>1435</v>
      </c>
      <c r="C1257" s="8" t="s">
        <v>35</v>
      </c>
      <c r="D1257" s="7" t="s">
        <v>19</v>
      </c>
      <c r="E1257" s="7" t="s">
        <v>1334</v>
      </c>
      <c r="F1257" s="6">
        <v>0</v>
      </c>
      <c r="G1257" s="8"/>
      <c r="H1257" s="8"/>
      <c r="I1257" s="109"/>
      <c r="J1257" s="8"/>
      <c r="K1257" s="14"/>
      <c r="L1257" s="14"/>
      <c r="M1257" s="14"/>
    </row>
    <row r="1258" spans="1:15" x14ac:dyDescent="0.25">
      <c r="A1258" s="4">
        <v>745887000570</v>
      </c>
      <c r="B1258" s="8" t="s">
        <v>1436</v>
      </c>
      <c r="C1258" s="8" t="s">
        <v>1437</v>
      </c>
      <c r="D1258" s="7" t="s">
        <v>19</v>
      </c>
      <c r="E1258" s="7" t="s">
        <v>1334</v>
      </c>
      <c r="F1258" s="6">
        <v>0</v>
      </c>
      <c r="G1258" s="8"/>
      <c r="H1258" s="8"/>
      <c r="I1258" s="109"/>
      <c r="J1258" s="8"/>
      <c r="K1258" s="14"/>
      <c r="L1258" s="14"/>
      <c r="M1258" s="14"/>
    </row>
    <row r="1259" spans="1:15" x14ac:dyDescent="0.25">
      <c r="A1259" s="4">
        <v>754174000140</v>
      </c>
      <c r="B1259" s="8" t="s">
        <v>1438</v>
      </c>
      <c r="C1259" s="8" t="s">
        <v>745</v>
      </c>
      <c r="D1259" s="7" t="s">
        <v>59</v>
      </c>
      <c r="E1259" s="7" t="s">
        <v>1334</v>
      </c>
      <c r="F1259" s="6">
        <v>0</v>
      </c>
      <c r="G1259" s="8"/>
      <c r="H1259" s="8"/>
      <c r="I1259" s="109"/>
      <c r="J1259" s="8"/>
      <c r="K1259" s="14"/>
      <c r="L1259" s="14"/>
      <c r="M1259" s="14"/>
    </row>
    <row r="1260" spans="1:15" x14ac:dyDescent="0.25">
      <c r="A1260" s="4">
        <v>773639001505</v>
      </c>
      <c r="B1260" s="8" t="s">
        <v>1439</v>
      </c>
      <c r="C1260" s="8" t="s">
        <v>100</v>
      </c>
      <c r="D1260" s="7" t="s">
        <v>67</v>
      </c>
      <c r="E1260" s="7" t="s">
        <v>1334</v>
      </c>
      <c r="F1260" s="6">
        <v>0</v>
      </c>
      <c r="G1260" s="8"/>
      <c r="H1260" s="8"/>
      <c r="I1260" s="109"/>
      <c r="J1260" s="8"/>
      <c r="K1260" s="14"/>
      <c r="L1260" s="14"/>
      <c r="M1260" s="14"/>
    </row>
    <row r="1261" spans="1:15" x14ac:dyDescent="0.25">
      <c r="A1261" s="4">
        <v>855774000102</v>
      </c>
      <c r="B1261" s="8" t="s">
        <v>1440</v>
      </c>
      <c r="C1261" s="8" t="s">
        <v>988</v>
      </c>
      <c r="D1261" s="7" t="s">
        <v>57</v>
      </c>
      <c r="E1261" s="7" t="s">
        <v>1334</v>
      </c>
      <c r="F1261" s="6">
        <v>0</v>
      </c>
      <c r="G1261" s="8"/>
      <c r="H1261" s="8"/>
      <c r="I1261" s="109"/>
      <c r="J1261" s="8"/>
      <c r="K1261" s="14"/>
      <c r="L1261" s="14"/>
      <c r="M1261" s="14"/>
    </row>
    <row r="1262" spans="1:15" x14ac:dyDescent="0.25">
      <c r="A1262" s="4">
        <v>1116300000101</v>
      </c>
      <c r="B1262" s="8" t="s">
        <v>1441</v>
      </c>
      <c r="C1262" s="8" t="s">
        <v>1442</v>
      </c>
      <c r="D1262" s="7" t="s">
        <v>59</v>
      </c>
      <c r="E1262" s="7" t="s">
        <v>1334</v>
      </c>
      <c r="F1262" s="6">
        <v>0</v>
      </c>
      <c r="G1262" s="8"/>
      <c r="H1262" s="8"/>
      <c r="I1262" s="109"/>
      <c r="J1262" s="8"/>
      <c r="K1262" s="14"/>
      <c r="L1262" s="14"/>
      <c r="M1262" s="14"/>
    </row>
    <row r="1263" spans="1:15" x14ac:dyDescent="0.25">
      <c r="A1263" s="4">
        <v>1141127000193</v>
      </c>
      <c r="B1263" s="8" t="s">
        <v>1443</v>
      </c>
      <c r="C1263" s="8" t="s">
        <v>104</v>
      </c>
      <c r="D1263" s="7" t="s">
        <v>67</v>
      </c>
      <c r="E1263" s="7" t="s">
        <v>1334</v>
      </c>
      <c r="F1263" s="6">
        <v>0</v>
      </c>
      <c r="G1263" s="8"/>
      <c r="H1263" s="8"/>
      <c r="I1263" s="109"/>
      <c r="J1263" s="8"/>
      <c r="K1263" s="14"/>
      <c r="L1263" s="14"/>
      <c r="M1263" s="14"/>
    </row>
    <row r="1264" spans="1:15" x14ac:dyDescent="0.25">
      <c r="A1264" s="4">
        <v>1753991000146</v>
      </c>
      <c r="B1264" s="8" t="s">
        <v>1444</v>
      </c>
      <c r="C1264" s="8" t="s">
        <v>1445</v>
      </c>
      <c r="D1264" s="7" t="s">
        <v>67</v>
      </c>
      <c r="E1264" s="7" t="s">
        <v>1334</v>
      </c>
      <c r="F1264" s="6">
        <v>0</v>
      </c>
      <c r="G1264" s="8"/>
      <c r="H1264" s="8"/>
      <c r="I1264" s="109"/>
      <c r="J1264" s="8"/>
      <c r="K1264" s="14"/>
      <c r="L1264" s="14"/>
      <c r="M1264" s="14"/>
    </row>
    <row r="1265" spans="1:15" x14ac:dyDescent="0.25">
      <c r="A1265" s="4">
        <v>2639768000135</v>
      </c>
      <c r="B1265" s="8" t="s">
        <v>1446</v>
      </c>
      <c r="C1265" s="8" t="s">
        <v>1372</v>
      </c>
      <c r="D1265" s="7" t="s">
        <v>19</v>
      </c>
      <c r="E1265" s="7" t="s">
        <v>1334</v>
      </c>
      <c r="F1265" s="6">
        <v>0</v>
      </c>
      <c r="G1265" s="8"/>
      <c r="H1265" s="8"/>
      <c r="I1265" s="109"/>
      <c r="J1265" s="8"/>
      <c r="K1265" s="14"/>
      <c r="L1265" s="14"/>
      <c r="M1265" s="14"/>
    </row>
    <row r="1266" spans="1:15" x14ac:dyDescent="0.25">
      <c r="A1266" s="4">
        <v>3117525000108</v>
      </c>
      <c r="B1266" s="8" t="s">
        <v>1447</v>
      </c>
      <c r="C1266" s="8" t="s">
        <v>35</v>
      </c>
      <c r="D1266" s="7" t="s">
        <v>19</v>
      </c>
      <c r="E1266" s="7" t="s">
        <v>1334</v>
      </c>
      <c r="F1266" s="6">
        <v>0</v>
      </c>
      <c r="G1266" s="8"/>
      <c r="H1266" s="8"/>
      <c r="I1266" s="109"/>
      <c r="J1266" s="8"/>
      <c r="K1266" s="14"/>
      <c r="L1266" s="14"/>
      <c r="M1266" s="14"/>
    </row>
    <row r="1267" spans="1:15" x14ac:dyDescent="0.25">
      <c r="A1267" s="4">
        <v>3989821000433</v>
      </c>
      <c r="B1267" s="8" t="s">
        <v>1448</v>
      </c>
      <c r="C1267" s="8" t="s">
        <v>1449</v>
      </c>
      <c r="D1267" s="7" t="s">
        <v>55</v>
      </c>
      <c r="E1267" s="7" t="s">
        <v>1334</v>
      </c>
      <c r="F1267" s="6">
        <v>0</v>
      </c>
      <c r="G1267" s="8"/>
      <c r="H1267" s="8"/>
      <c r="I1267" s="109"/>
      <c r="J1267" s="8"/>
      <c r="K1267" s="14"/>
      <c r="L1267" s="14"/>
      <c r="M1267" s="14"/>
    </row>
    <row r="1268" spans="1:15" x14ac:dyDescent="0.25">
      <c r="A1268" s="4">
        <v>4159778000107</v>
      </c>
      <c r="B1268" s="8" t="s">
        <v>1144</v>
      </c>
      <c r="C1268" s="8" t="s">
        <v>109</v>
      </c>
      <c r="D1268" s="7" t="s">
        <v>110</v>
      </c>
      <c r="E1268" s="7" t="s">
        <v>215</v>
      </c>
      <c r="F1268" s="6">
        <v>1</v>
      </c>
      <c r="G1268" s="8" t="s">
        <v>201</v>
      </c>
      <c r="H1268" s="8" t="s">
        <v>202</v>
      </c>
      <c r="I1268" s="109" t="s">
        <v>740</v>
      </c>
      <c r="J1268" s="8" t="s">
        <v>212</v>
      </c>
      <c r="K1268" s="14" t="b">
        <v>1</v>
      </c>
      <c r="L1268" s="14" t="b">
        <v>1</v>
      </c>
      <c r="M1268" s="14" t="b">
        <v>1</v>
      </c>
      <c r="N1268" s="14" t="b">
        <v>1</v>
      </c>
      <c r="O1268" s="14" t="b">
        <v>1</v>
      </c>
    </row>
    <row r="1269" spans="1:15" x14ac:dyDescent="0.25">
      <c r="A1269" s="4">
        <v>4201372001028</v>
      </c>
      <c r="B1269" s="8" t="s">
        <v>1145</v>
      </c>
      <c r="C1269" s="8" t="s">
        <v>1129</v>
      </c>
      <c r="D1269" s="7" t="s">
        <v>52</v>
      </c>
      <c r="E1269" s="7" t="s">
        <v>215</v>
      </c>
      <c r="F1269" s="6">
        <v>1</v>
      </c>
      <c r="G1269" s="8" t="s">
        <v>201</v>
      </c>
      <c r="H1269" s="8" t="s">
        <v>202</v>
      </c>
      <c r="I1269" s="109" t="s">
        <v>740</v>
      </c>
      <c r="J1269" s="8" t="s">
        <v>212</v>
      </c>
      <c r="K1269" s="14" t="b">
        <v>1</v>
      </c>
      <c r="L1269" s="14" t="b">
        <v>1</v>
      </c>
      <c r="M1269" s="14" t="b">
        <v>1</v>
      </c>
      <c r="N1269" s="14" t="b">
        <v>1</v>
      </c>
      <c r="O1269" s="14" t="b">
        <v>1</v>
      </c>
    </row>
    <row r="1270" spans="1:15" x14ac:dyDescent="0.25">
      <c r="A1270" s="4">
        <v>4708424000166</v>
      </c>
      <c r="B1270" s="8" t="s">
        <v>1450</v>
      </c>
      <c r="C1270" s="8" t="s">
        <v>674</v>
      </c>
      <c r="D1270" s="7" t="s">
        <v>19</v>
      </c>
      <c r="E1270" s="7" t="s">
        <v>1334</v>
      </c>
      <c r="F1270" s="6">
        <v>0</v>
      </c>
      <c r="G1270" s="8"/>
      <c r="H1270" s="8"/>
      <c r="I1270" s="109"/>
      <c r="J1270" s="8"/>
      <c r="K1270" s="14"/>
      <c r="L1270" s="14"/>
      <c r="M1270" s="14"/>
    </row>
    <row r="1271" spans="1:15" x14ac:dyDescent="0.25">
      <c r="A1271" s="4">
        <v>4929345000185</v>
      </c>
      <c r="B1271" s="8" t="s">
        <v>1147</v>
      </c>
      <c r="C1271" s="8" t="s">
        <v>1129</v>
      </c>
      <c r="D1271" s="7" t="s">
        <v>52</v>
      </c>
      <c r="E1271" s="7" t="s">
        <v>215</v>
      </c>
      <c r="F1271" s="6">
        <v>1</v>
      </c>
      <c r="G1271" s="8" t="s">
        <v>201</v>
      </c>
      <c r="H1271" s="8" t="s">
        <v>202</v>
      </c>
      <c r="I1271" s="109" t="s">
        <v>740</v>
      </c>
      <c r="J1271" s="8" t="s">
        <v>212</v>
      </c>
      <c r="K1271" s="14" t="b">
        <v>1</v>
      </c>
      <c r="L1271" s="14" t="b">
        <v>1</v>
      </c>
      <c r="M1271" s="14" t="b">
        <v>1</v>
      </c>
      <c r="N1271" s="14" t="b">
        <v>1</v>
      </c>
      <c r="O1271" s="14" t="b">
        <v>1</v>
      </c>
    </row>
    <row r="1272" spans="1:15" x14ac:dyDescent="0.25">
      <c r="A1272" s="4">
        <v>4966545000370</v>
      </c>
      <c r="B1272" s="8" t="s">
        <v>1148</v>
      </c>
      <c r="C1272" s="8" t="s">
        <v>1129</v>
      </c>
      <c r="D1272" s="7" t="s">
        <v>52</v>
      </c>
      <c r="E1272" s="7" t="s">
        <v>215</v>
      </c>
      <c r="F1272" s="6">
        <v>1</v>
      </c>
      <c r="G1272" s="8" t="s">
        <v>201</v>
      </c>
      <c r="H1272" s="8" t="s">
        <v>202</v>
      </c>
      <c r="I1272" s="109" t="s">
        <v>740</v>
      </c>
      <c r="J1272" s="8" t="s">
        <v>212</v>
      </c>
      <c r="K1272" s="14" t="b">
        <v>1</v>
      </c>
      <c r="L1272" s="14" t="b">
        <v>1</v>
      </c>
      <c r="M1272" s="14" t="b">
        <v>1</v>
      </c>
      <c r="N1272" s="14" t="b">
        <v>1</v>
      </c>
      <c r="O1272" s="14" t="b">
        <v>1</v>
      </c>
    </row>
    <row r="1273" spans="1:15" x14ac:dyDescent="0.25">
      <c r="A1273" s="4">
        <v>5054929000117</v>
      </c>
      <c r="B1273" s="8" t="s">
        <v>1149</v>
      </c>
      <c r="C1273" s="8" t="s">
        <v>1129</v>
      </c>
      <c r="D1273" s="7" t="s">
        <v>52</v>
      </c>
      <c r="E1273" s="7" t="s">
        <v>215</v>
      </c>
      <c r="F1273" s="6">
        <v>1</v>
      </c>
      <c r="G1273" s="8" t="s">
        <v>201</v>
      </c>
      <c r="H1273" s="8" t="s">
        <v>202</v>
      </c>
      <c r="I1273" s="109" t="s">
        <v>740</v>
      </c>
      <c r="J1273" s="8" t="s">
        <v>212</v>
      </c>
      <c r="K1273" s="14" t="b">
        <v>1</v>
      </c>
      <c r="L1273" s="14" t="b">
        <v>1</v>
      </c>
      <c r="M1273" s="14" t="b">
        <v>1</v>
      </c>
      <c r="N1273" s="14" t="b">
        <v>1</v>
      </c>
      <c r="O1273" s="14" t="b">
        <v>1</v>
      </c>
    </row>
    <row r="1274" spans="1:15" x14ac:dyDescent="0.25">
      <c r="A1274" s="4">
        <v>6054754000100</v>
      </c>
      <c r="B1274" s="8" t="s">
        <v>1451</v>
      </c>
      <c r="C1274" s="8" t="s">
        <v>1449</v>
      </c>
      <c r="D1274" s="7" t="s">
        <v>55</v>
      </c>
      <c r="E1274" s="7" t="s">
        <v>1334</v>
      </c>
      <c r="F1274" s="6">
        <v>0</v>
      </c>
      <c r="G1274" s="8"/>
      <c r="H1274" s="8"/>
      <c r="I1274" s="109"/>
      <c r="J1274" s="8"/>
      <c r="K1274" s="14"/>
      <c r="L1274" s="14"/>
      <c r="M1274" s="14"/>
    </row>
    <row r="1275" spans="1:15" x14ac:dyDescent="0.25">
      <c r="A1275" s="4">
        <v>6070425000153</v>
      </c>
      <c r="B1275" s="8" t="s">
        <v>1150</v>
      </c>
      <c r="C1275" s="8" t="s">
        <v>1151</v>
      </c>
      <c r="D1275" s="7" t="s">
        <v>79</v>
      </c>
      <c r="E1275" s="7" t="s">
        <v>215</v>
      </c>
      <c r="F1275" s="6">
        <v>1</v>
      </c>
      <c r="G1275" s="8" t="s">
        <v>201</v>
      </c>
      <c r="H1275" s="8" t="s">
        <v>202</v>
      </c>
      <c r="I1275" s="109" t="s">
        <v>740</v>
      </c>
      <c r="J1275" s="8" t="s">
        <v>212</v>
      </c>
      <c r="K1275" s="14" t="b">
        <v>1</v>
      </c>
      <c r="L1275" s="14" t="b">
        <v>1</v>
      </c>
      <c r="M1275" s="14" t="b">
        <v>1</v>
      </c>
      <c r="N1275" s="14" t="b">
        <v>1</v>
      </c>
      <c r="O1275" s="14" t="b">
        <v>1</v>
      </c>
    </row>
    <row r="1276" spans="1:15" x14ac:dyDescent="0.25">
      <c r="A1276" s="4">
        <v>7549453000110</v>
      </c>
      <c r="B1276" s="8" t="s">
        <v>1452</v>
      </c>
      <c r="C1276" s="8" t="s">
        <v>84</v>
      </c>
      <c r="D1276" s="7" t="s">
        <v>85</v>
      </c>
      <c r="E1276" s="7" t="s">
        <v>1334</v>
      </c>
      <c r="F1276" s="6">
        <v>0</v>
      </c>
      <c r="G1276" s="8"/>
      <c r="H1276" s="8"/>
      <c r="I1276" s="109"/>
      <c r="J1276" s="8"/>
      <c r="K1276" s="14"/>
      <c r="L1276" s="14"/>
      <c r="M1276" s="14"/>
    </row>
    <row r="1277" spans="1:15" x14ac:dyDescent="0.25">
      <c r="A1277" s="4">
        <v>7862532000187</v>
      </c>
      <c r="B1277" s="8" t="s">
        <v>1453</v>
      </c>
      <c r="C1277" s="8" t="s">
        <v>772</v>
      </c>
      <c r="D1277" s="7" t="s">
        <v>69</v>
      </c>
      <c r="E1277" s="7" t="s">
        <v>1334</v>
      </c>
      <c r="F1277" s="6">
        <v>0</v>
      </c>
      <c r="G1277" s="8"/>
      <c r="H1277" s="8"/>
      <c r="I1277" s="109"/>
      <c r="J1277" s="8"/>
      <c r="K1277" s="14"/>
      <c r="L1277" s="14"/>
      <c r="M1277" s="14"/>
    </row>
    <row r="1278" spans="1:15" x14ac:dyDescent="0.25">
      <c r="A1278" s="4">
        <v>8580014000133</v>
      </c>
      <c r="B1278" s="8" t="s">
        <v>1454</v>
      </c>
      <c r="C1278" s="8" t="s">
        <v>94</v>
      </c>
      <c r="D1278" s="7" t="s">
        <v>57</v>
      </c>
      <c r="E1278" s="7" t="s">
        <v>1334</v>
      </c>
      <c r="F1278" s="6">
        <v>0</v>
      </c>
      <c r="G1278" s="8"/>
      <c r="H1278" s="8"/>
      <c r="I1278" s="109"/>
      <c r="J1278" s="8"/>
      <c r="K1278" s="14"/>
      <c r="L1278" s="14"/>
      <c r="M1278" s="14"/>
    </row>
    <row r="1279" spans="1:15" x14ac:dyDescent="0.25">
      <c r="A1279" s="4">
        <v>9591608000293</v>
      </c>
      <c r="B1279" s="8" t="s">
        <v>1455</v>
      </c>
      <c r="C1279" s="8" t="s">
        <v>29</v>
      </c>
      <c r="D1279" s="7" t="s">
        <v>19</v>
      </c>
      <c r="E1279" s="7" t="s">
        <v>1334</v>
      </c>
      <c r="F1279" s="6">
        <v>0</v>
      </c>
      <c r="G1279" s="8"/>
      <c r="H1279" s="8"/>
      <c r="I1279" s="109"/>
      <c r="J1279" s="8"/>
      <c r="K1279" s="14"/>
      <c r="L1279" s="14"/>
      <c r="M1279" s="14"/>
    </row>
    <row r="1280" spans="1:15" x14ac:dyDescent="0.25">
      <c r="A1280" s="4">
        <v>9635024000272</v>
      </c>
      <c r="B1280" s="8" t="s">
        <v>1456</v>
      </c>
      <c r="C1280" s="8" t="s">
        <v>1420</v>
      </c>
      <c r="D1280" s="7" t="s">
        <v>54</v>
      </c>
      <c r="E1280" s="7" t="s">
        <v>1334</v>
      </c>
      <c r="F1280" s="6">
        <v>0</v>
      </c>
      <c r="G1280" s="8"/>
      <c r="H1280" s="8"/>
      <c r="I1280" s="109"/>
      <c r="J1280" s="8"/>
      <c r="K1280" s="14"/>
      <c r="L1280" s="14"/>
      <c r="M1280" s="14"/>
    </row>
    <row r="1281" spans="1:15" x14ac:dyDescent="0.25">
      <c r="A1281" s="4">
        <v>9767633000102</v>
      </c>
      <c r="B1281" s="8" t="s">
        <v>1457</v>
      </c>
      <c r="C1281" s="8" t="s">
        <v>70</v>
      </c>
      <c r="D1281" s="7" t="s">
        <v>71</v>
      </c>
      <c r="E1281" s="7" t="s">
        <v>1334</v>
      </c>
      <c r="F1281" s="6">
        <v>0</v>
      </c>
      <c r="G1281" s="8"/>
      <c r="H1281" s="8"/>
      <c r="I1281" s="109"/>
      <c r="J1281" s="8"/>
      <c r="K1281" s="14"/>
      <c r="L1281" s="14"/>
      <c r="M1281" s="14"/>
    </row>
    <row r="1282" spans="1:15" x14ac:dyDescent="0.25">
      <c r="A1282" s="4">
        <v>11697594000310</v>
      </c>
      <c r="B1282" s="8" t="s">
        <v>1458</v>
      </c>
      <c r="C1282" s="8" t="s">
        <v>1459</v>
      </c>
      <c r="D1282" s="7" t="s">
        <v>98</v>
      </c>
      <c r="E1282" s="7" t="s">
        <v>1334</v>
      </c>
      <c r="F1282" s="6">
        <v>0</v>
      </c>
      <c r="G1282" s="8"/>
      <c r="H1282" s="8"/>
      <c r="I1282" s="109"/>
      <c r="J1282" s="8"/>
      <c r="K1282" s="14"/>
      <c r="L1282" s="14"/>
      <c r="M1282" s="14"/>
    </row>
    <row r="1283" spans="1:15" x14ac:dyDescent="0.25">
      <c r="A1283" s="4">
        <v>12307187000583</v>
      </c>
      <c r="B1283" s="8" t="s">
        <v>1460</v>
      </c>
      <c r="C1283" s="8" t="s">
        <v>742</v>
      </c>
      <c r="D1283" s="7" t="s">
        <v>91</v>
      </c>
      <c r="E1283" s="7" t="s">
        <v>1334</v>
      </c>
      <c r="F1283" s="6">
        <v>0</v>
      </c>
      <c r="G1283" s="8"/>
      <c r="H1283" s="8"/>
      <c r="I1283" s="109"/>
      <c r="J1283" s="8"/>
      <c r="K1283" s="14"/>
      <c r="L1283" s="14"/>
      <c r="M1283" s="14"/>
    </row>
    <row r="1284" spans="1:15" x14ac:dyDescent="0.25">
      <c r="A1284" s="4">
        <v>12361267000274</v>
      </c>
      <c r="B1284" s="8" t="s">
        <v>1159</v>
      </c>
      <c r="C1284" s="8" t="s">
        <v>1129</v>
      </c>
      <c r="D1284" s="7" t="s">
        <v>52</v>
      </c>
      <c r="E1284" s="7" t="s">
        <v>215</v>
      </c>
      <c r="F1284" s="6">
        <v>1</v>
      </c>
      <c r="G1284" s="8" t="s">
        <v>201</v>
      </c>
      <c r="H1284" s="8" t="s">
        <v>202</v>
      </c>
      <c r="I1284" s="109" t="s">
        <v>740</v>
      </c>
      <c r="J1284" s="8" t="s">
        <v>212</v>
      </c>
      <c r="K1284" s="14" t="b">
        <v>1</v>
      </c>
      <c r="L1284" s="14" t="b">
        <v>1</v>
      </c>
      <c r="M1284" s="14" t="b">
        <v>1</v>
      </c>
      <c r="N1284" s="14" t="b">
        <v>1</v>
      </c>
      <c r="O1284" s="14" t="b">
        <v>1</v>
      </c>
    </row>
    <row r="1285" spans="1:15" x14ac:dyDescent="0.25">
      <c r="A1285" s="4">
        <v>12361267003370</v>
      </c>
      <c r="B1285" s="8" t="s">
        <v>1298</v>
      </c>
      <c r="C1285" s="8" t="s">
        <v>1129</v>
      </c>
      <c r="D1285" s="7" t="s">
        <v>52</v>
      </c>
      <c r="E1285" s="7" t="s">
        <v>215</v>
      </c>
      <c r="F1285" s="6">
        <v>1</v>
      </c>
      <c r="G1285" s="8" t="s">
        <v>201</v>
      </c>
      <c r="H1285" s="8" t="s">
        <v>202</v>
      </c>
      <c r="I1285" s="109" t="s">
        <v>740</v>
      </c>
      <c r="J1285" s="8" t="s">
        <v>212</v>
      </c>
      <c r="K1285" s="14" t="b">
        <v>1</v>
      </c>
      <c r="L1285" s="14" t="b">
        <v>1</v>
      </c>
      <c r="M1285" s="14" t="b">
        <v>1</v>
      </c>
      <c r="N1285" s="14" t="b">
        <v>1</v>
      </c>
      <c r="O1285" s="14" t="b">
        <v>1</v>
      </c>
    </row>
    <row r="1286" spans="1:15" x14ac:dyDescent="0.25">
      <c r="A1286" s="4">
        <v>12361267011632</v>
      </c>
      <c r="B1286" s="8" t="s">
        <v>1160</v>
      </c>
      <c r="C1286" s="8" t="s">
        <v>109</v>
      </c>
      <c r="D1286" s="7" t="s">
        <v>110</v>
      </c>
      <c r="E1286" s="7" t="s">
        <v>215</v>
      </c>
      <c r="F1286" s="6">
        <v>1</v>
      </c>
      <c r="G1286" s="8" t="s">
        <v>201</v>
      </c>
      <c r="H1286" s="8" t="s">
        <v>202</v>
      </c>
      <c r="I1286" s="109" t="s">
        <v>740</v>
      </c>
      <c r="J1286" s="8" t="s">
        <v>212</v>
      </c>
      <c r="K1286" s="14" t="b">
        <v>1</v>
      </c>
      <c r="L1286" s="14" t="b">
        <v>1</v>
      </c>
      <c r="M1286" s="14" t="b">
        <v>1</v>
      </c>
      <c r="N1286" s="14" t="b">
        <v>1</v>
      </c>
      <c r="O1286" s="14" t="b">
        <v>1</v>
      </c>
    </row>
    <row r="1287" spans="1:15" x14ac:dyDescent="0.25">
      <c r="A1287" s="4">
        <v>12361267011985</v>
      </c>
      <c r="B1287" s="8" t="s">
        <v>1461</v>
      </c>
      <c r="C1287" s="8" t="s">
        <v>109</v>
      </c>
      <c r="D1287" s="7" t="s">
        <v>110</v>
      </c>
      <c r="E1287" s="7" t="s">
        <v>1334</v>
      </c>
      <c r="F1287" s="6">
        <v>0</v>
      </c>
      <c r="G1287" s="8"/>
      <c r="H1287" s="8"/>
      <c r="I1287" s="109"/>
      <c r="J1287" s="8"/>
      <c r="K1287" s="14"/>
      <c r="L1287" s="14"/>
      <c r="M1287" s="14"/>
    </row>
    <row r="1288" spans="1:15" x14ac:dyDescent="0.25">
      <c r="A1288" s="4">
        <v>12981527000204</v>
      </c>
      <c r="B1288" s="8" t="s">
        <v>1462</v>
      </c>
      <c r="C1288" s="8" t="s">
        <v>1463</v>
      </c>
      <c r="D1288" s="7" t="s">
        <v>69</v>
      </c>
      <c r="E1288" s="7" t="s">
        <v>1334</v>
      </c>
      <c r="F1288" s="6">
        <v>0</v>
      </c>
      <c r="G1288" s="8"/>
      <c r="H1288" s="8"/>
      <c r="I1288" s="109"/>
      <c r="J1288" s="8"/>
      <c r="K1288" s="14"/>
      <c r="L1288" s="14"/>
      <c r="M1288" s="14"/>
    </row>
    <row r="1289" spans="1:15" x14ac:dyDescent="0.25">
      <c r="A1289" s="4">
        <v>14112023000100</v>
      </c>
      <c r="B1289" s="8" t="s">
        <v>1161</v>
      </c>
      <c r="C1289" s="8" t="s">
        <v>1162</v>
      </c>
      <c r="D1289" s="7" t="s">
        <v>52</v>
      </c>
      <c r="E1289" s="7" t="s">
        <v>215</v>
      </c>
      <c r="F1289" s="6">
        <v>1</v>
      </c>
      <c r="G1289" s="8" t="s">
        <v>201</v>
      </c>
      <c r="H1289" s="8" t="s">
        <v>202</v>
      </c>
      <c r="I1289" s="109" t="s">
        <v>740</v>
      </c>
      <c r="J1289" s="8" t="s">
        <v>212</v>
      </c>
      <c r="K1289" s="14" t="b">
        <v>1</v>
      </c>
      <c r="L1289" s="14" t="b">
        <v>1</v>
      </c>
      <c r="M1289" s="14" t="b">
        <v>1</v>
      </c>
      <c r="N1289" s="14" t="b">
        <v>1</v>
      </c>
      <c r="O1289" s="14" t="b">
        <v>1</v>
      </c>
    </row>
    <row r="1290" spans="1:15" x14ac:dyDescent="0.25">
      <c r="A1290" s="4">
        <v>15126437001549</v>
      </c>
      <c r="B1290" s="8" t="s">
        <v>1464</v>
      </c>
      <c r="C1290" s="8" t="s">
        <v>1415</v>
      </c>
      <c r="D1290" s="7" t="s">
        <v>54</v>
      </c>
      <c r="E1290" s="7" t="s">
        <v>1334</v>
      </c>
      <c r="F1290" s="6">
        <v>0</v>
      </c>
      <c r="G1290" s="8"/>
      <c r="H1290" s="8"/>
      <c r="I1290" s="109"/>
      <c r="J1290" s="8"/>
      <c r="K1290" s="14"/>
      <c r="L1290" s="14"/>
      <c r="M1290" s="14"/>
    </row>
    <row r="1291" spans="1:15" x14ac:dyDescent="0.25">
      <c r="A1291" s="4">
        <v>15126437002510</v>
      </c>
      <c r="B1291" s="8" t="s">
        <v>1465</v>
      </c>
      <c r="C1291" s="8" t="s">
        <v>88</v>
      </c>
      <c r="D1291" s="7" t="s">
        <v>54</v>
      </c>
      <c r="E1291" s="7" t="s">
        <v>1334</v>
      </c>
      <c r="F1291" s="6">
        <v>0</v>
      </c>
      <c r="G1291" s="8"/>
      <c r="H1291" s="8"/>
      <c r="I1291" s="109"/>
      <c r="J1291" s="8"/>
      <c r="K1291" s="14"/>
      <c r="L1291" s="14"/>
      <c r="M1291" s="14"/>
    </row>
    <row r="1292" spans="1:15" x14ac:dyDescent="0.25">
      <c r="A1292" s="4">
        <v>15178551000117</v>
      </c>
      <c r="B1292" s="8" t="s">
        <v>1466</v>
      </c>
      <c r="C1292" s="8" t="s">
        <v>75</v>
      </c>
      <c r="D1292" s="7" t="s">
        <v>74</v>
      </c>
      <c r="E1292" s="7" t="s">
        <v>1334</v>
      </c>
      <c r="F1292" s="6">
        <v>0</v>
      </c>
      <c r="G1292" s="8"/>
      <c r="H1292" s="8"/>
      <c r="I1292" s="109"/>
      <c r="J1292" s="8"/>
      <c r="K1292" s="14"/>
      <c r="L1292" s="14"/>
      <c r="M1292" s="14"/>
    </row>
    <row r="1293" spans="1:15" x14ac:dyDescent="0.25">
      <c r="A1293" s="4">
        <v>18770112000197</v>
      </c>
      <c r="B1293" s="8" t="s">
        <v>1467</v>
      </c>
      <c r="C1293" s="8" t="s">
        <v>83</v>
      </c>
      <c r="D1293" s="7" t="s">
        <v>67</v>
      </c>
      <c r="E1293" s="7" t="s">
        <v>1334</v>
      </c>
      <c r="F1293" s="6">
        <v>0</v>
      </c>
      <c r="G1293" s="8"/>
      <c r="H1293" s="8"/>
      <c r="I1293" s="109"/>
      <c r="J1293" s="8"/>
      <c r="K1293" s="14"/>
      <c r="L1293" s="14"/>
      <c r="M1293" s="14"/>
    </row>
    <row r="1294" spans="1:15" x14ac:dyDescent="0.25">
      <c r="A1294" s="4">
        <v>24232886008303</v>
      </c>
      <c r="B1294" s="8" t="s">
        <v>1198</v>
      </c>
      <c r="C1294" s="8" t="s">
        <v>1199</v>
      </c>
      <c r="D1294" s="7" t="s">
        <v>52</v>
      </c>
      <c r="E1294" s="7" t="s">
        <v>215</v>
      </c>
      <c r="F1294" s="6">
        <v>1</v>
      </c>
      <c r="G1294" s="8" t="s">
        <v>201</v>
      </c>
      <c r="H1294" s="8" t="s">
        <v>202</v>
      </c>
      <c r="I1294" s="109" t="s">
        <v>740</v>
      </c>
      <c r="J1294" s="8" t="s">
        <v>212</v>
      </c>
      <c r="K1294" s="14" t="b">
        <v>1</v>
      </c>
      <c r="L1294" s="14" t="b">
        <v>1</v>
      </c>
      <c r="M1294" s="14" t="b">
        <v>1</v>
      </c>
      <c r="N1294" s="14" t="b">
        <v>1</v>
      </c>
      <c r="O1294" s="14" t="b">
        <v>1</v>
      </c>
    </row>
    <row r="1295" spans="1:15" x14ac:dyDescent="0.25">
      <c r="A1295" s="4">
        <v>24449225000279</v>
      </c>
      <c r="B1295" s="8" t="s">
        <v>1468</v>
      </c>
      <c r="C1295" s="8" t="s">
        <v>1469</v>
      </c>
      <c r="D1295" s="7" t="s">
        <v>71</v>
      </c>
      <c r="E1295" s="7" t="s">
        <v>1334</v>
      </c>
      <c r="F1295" s="6">
        <v>0</v>
      </c>
      <c r="G1295" s="8"/>
      <c r="H1295" s="8"/>
      <c r="I1295" s="109"/>
      <c r="J1295" s="8"/>
      <c r="K1295" s="14"/>
      <c r="L1295" s="14"/>
      <c r="M1295" s="14"/>
    </row>
    <row r="1296" spans="1:15" x14ac:dyDescent="0.25">
      <c r="A1296" s="4">
        <v>26645426000196</v>
      </c>
      <c r="B1296" s="8" t="s">
        <v>1470</v>
      </c>
      <c r="C1296" s="8" t="s">
        <v>1471</v>
      </c>
      <c r="D1296" s="7" t="s">
        <v>54</v>
      </c>
      <c r="E1296" s="7" t="s">
        <v>1334</v>
      </c>
      <c r="F1296" s="6">
        <v>0</v>
      </c>
      <c r="G1296" s="8"/>
      <c r="H1296" s="8"/>
      <c r="I1296" s="109"/>
      <c r="J1296" s="8"/>
      <c r="K1296" s="14"/>
      <c r="L1296" s="14"/>
      <c r="M1296" s="14"/>
    </row>
    <row r="1297" spans="1:15" x14ac:dyDescent="0.25">
      <c r="A1297" s="4">
        <v>27080605000609</v>
      </c>
      <c r="B1297" s="8" t="s">
        <v>1472</v>
      </c>
      <c r="C1297" s="8" t="s">
        <v>1473</v>
      </c>
      <c r="D1297" s="7" t="s">
        <v>98</v>
      </c>
      <c r="E1297" s="7" t="s">
        <v>1334</v>
      </c>
      <c r="F1297" s="6">
        <v>0</v>
      </c>
      <c r="G1297" s="8"/>
      <c r="H1297" s="8"/>
      <c r="I1297" s="109"/>
      <c r="J1297" s="8"/>
      <c r="K1297" s="14"/>
      <c r="L1297" s="14"/>
      <c r="M1297" s="14"/>
    </row>
    <row r="1298" spans="1:15" x14ac:dyDescent="0.25">
      <c r="A1298" s="4">
        <v>27080605002059</v>
      </c>
      <c r="B1298" s="8" t="s">
        <v>1474</v>
      </c>
      <c r="C1298" s="8" t="s">
        <v>1157</v>
      </c>
      <c r="D1298" s="7" t="s">
        <v>98</v>
      </c>
      <c r="E1298" s="7" t="s">
        <v>1334</v>
      </c>
      <c r="F1298" s="6">
        <v>0</v>
      </c>
      <c r="G1298" s="8"/>
      <c r="H1298" s="8"/>
      <c r="I1298" s="109"/>
      <c r="J1298" s="8"/>
      <c r="K1298" s="14"/>
      <c r="L1298" s="14"/>
      <c r="M1298" s="14"/>
    </row>
    <row r="1299" spans="1:15" x14ac:dyDescent="0.25">
      <c r="A1299" s="4">
        <v>28102490000156</v>
      </c>
      <c r="B1299" s="8" t="s">
        <v>1209</v>
      </c>
      <c r="C1299" s="8" t="s">
        <v>76</v>
      </c>
      <c r="D1299" s="7" t="s">
        <v>77</v>
      </c>
      <c r="E1299" s="7" t="s">
        <v>215</v>
      </c>
      <c r="F1299" s="6">
        <v>1</v>
      </c>
      <c r="G1299" s="8" t="s">
        <v>199</v>
      </c>
      <c r="H1299" s="8" t="s">
        <v>200</v>
      </c>
      <c r="I1299" s="109" t="s">
        <v>556</v>
      </c>
      <c r="J1299" s="8" t="s">
        <v>212</v>
      </c>
      <c r="K1299" s="14" t="b">
        <v>1</v>
      </c>
      <c r="L1299" s="14" t="b">
        <v>0</v>
      </c>
      <c r="M1299" s="14" t="b">
        <v>0</v>
      </c>
      <c r="N1299" s="14" t="b">
        <v>1</v>
      </c>
      <c r="O1299" s="14" t="b">
        <v>1</v>
      </c>
    </row>
    <row r="1300" spans="1:15" x14ac:dyDescent="0.25">
      <c r="A1300" s="4">
        <v>32972408000111</v>
      </c>
      <c r="B1300" s="8" t="s">
        <v>1475</v>
      </c>
      <c r="C1300" s="8" t="s">
        <v>907</v>
      </c>
      <c r="D1300" s="7" t="s">
        <v>69</v>
      </c>
      <c r="E1300" s="7" t="s">
        <v>1334</v>
      </c>
      <c r="F1300" s="6">
        <v>0</v>
      </c>
      <c r="G1300" s="8"/>
      <c r="H1300" s="8"/>
      <c r="I1300" s="109"/>
      <c r="J1300" s="8"/>
      <c r="K1300" s="14"/>
      <c r="L1300" s="14"/>
      <c r="M1300" s="14"/>
    </row>
    <row r="1301" spans="1:15" x14ac:dyDescent="0.25">
      <c r="A1301" s="4">
        <v>33215770000100</v>
      </c>
      <c r="B1301" s="8" t="s">
        <v>1476</v>
      </c>
      <c r="C1301" s="8" t="s">
        <v>1477</v>
      </c>
      <c r="D1301" s="7" t="s">
        <v>19</v>
      </c>
      <c r="E1301" s="7" t="s">
        <v>1334</v>
      </c>
      <c r="F1301" s="6">
        <v>0</v>
      </c>
      <c r="G1301" s="8"/>
      <c r="H1301" s="8"/>
      <c r="I1301" s="109"/>
      <c r="J1301" s="8"/>
      <c r="K1301" s="14"/>
      <c r="L1301" s="14"/>
      <c r="M1301" s="14"/>
    </row>
    <row r="1302" spans="1:15" x14ac:dyDescent="0.25">
      <c r="A1302" s="4">
        <v>37436920000167</v>
      </c>
      <c r="B1302" s="8" t="s">
        <v>1478</v>
      </c>
      <c r="C1302" s="8" t="s">
        <v>1479</v>
      </c>
      <c r="D1302" s="7" t="s">
        <v>69</v>
      </c>
      <c r="E1302" s="7" t="s">
        <v>1334</v>
      </c>
      <c r="F1302" s="6">
        <v>0</v>
      </c>
      <c r="G1302" s="8"/>
      <c r="H1302" s="8"/>
      <c r="I1302" s="109"/>
      <c r="J1302" s="8"/>
      <c r="K1302" s="14"/>
      <c r="L1302" s="14"/>
      <c r="M1302" s="14"/>
    </row>
    <row r="1303" spans="1:15" x14ac:dyDescent="0.25">
      <c r="A1303" s="4">
        <v>41871989000277</v>
      </c>
      <c r="B1303" s="8" t="s">
        <v>1480</v>
      </c>
      <c r="C1303" s="8" t="s">
        <v>1481</v>
      </c>
      <c r="D1303" s="7" t="s">
        <v>54</v>
      </c>
      <c r="E1303" s="7" t="s">
        <v>1334</v>
      </c>
      <c r="F1303" s="6">
        <v>0</v>
      </c>
      <c r="G1303" s="8"/>
      <c r="H1303" s="8"/>
      <c r="I1303" s="109"/>
      <c r="J1303" s="8"/>
      <c r="K1303" s="14"/>
      <c r="L1303" s="14"/>
      <c r="M1303" s="14"/>
    </row>
    <row r="1304" spans="1:15" x14ac:dyDescent="0.25">
      <c r="A1304" s="4">
        <v>42043067000153</v>
      </c>
      <c r="B1304" s="8" t="s">
        <v>1482</v>
      </c>
      <c r="C1304" s="8" t="s">
        <v>1483</v>
      </c>
      <c r="D1304" s="7" t="s">
        <v>74</v>
      </c>
      <c r="E1304" s="7" t="s">
        <v>1334</v>
      </c>
      <c r="F1304" s="6">
        <v>0</v>
      </c>
      <c r="G1304" s="8"/>
      <c r="H1304" s="8"/>
      <c r="I1304" s="109"/>
      <c r="J1304" s="8"/>
      <c r="K1304" s="14"/>
      <c r="L1304" s="14"/>
      <c r="M1304" s="14"/>
    </row>
    <row r="1305" spans="1:15" x14ac:dyDescent="0.25">
      <c r="A1305" s="4">
        <v>42946061000196</v>
      </c>
      <c r="B1305" s="8" t="s">
        <v>1484</v>
      </c>
      <c r="C1305" s="8" t="s">
        <v>1485</v>
      </c>
      <c r="D1305" s="7" t="s">
        <v>54</v>
      </c>
      <c r="E1305" s="7" t="s">
        <v>1334</v>
      </c>
      <c r="F1305" s="6">
        <v>0</v>
      </c>
      <c r="G1305" s="8"/>
      <c r="H1305" s="8"/>
      <c r="I1305" s="109"/>
      <c r="J1305" s="8"/>
      <c r="K1305" s="14"/>
      <c r="L1305" s="14"/>
      <c r="M1305" s="14"/>
    </row>
    <row r="1306" spans="1:15" x14ac:dyDescent="0.25">
      <c r="A1306" s="4">
        <v>43586122000971</v>
      </c>
      <c r="B1306" s="8" t="s">
        <v>1486</v>
      </c>
      <c r="C1306" s="8" t="s">
        <v>29</v>
      </c>
      <c r="D1306" s="7" t="s">
        <v>19</v>
      </c>
      <c r="E1306" s="7" t="s">
        <v>1334</v>
      </c>
      <c r="F1306" s="6">
        <v>0</v>
      </c>
      <c r="G1306" s="8"/>
      <c r="H1306" s="8"/>
      <c r="I1306" s="109"/>
      <c r="J1306" s="8"/>
      <c r="K1306" s="14"/>
      <c r="L1306" s="14"/>
      <c r="M1306" s="14"/>
    </row>
    <row r="1307" spans="1:15" x14ac:dyDescent="0.25">
      <c r="A1307" s="4">
        <v>46374500011803</v>
      </c>
      <c r="B1307" s="8" t="s">
        <v>1487</v>
      </c>
      <c r="C1307" s="8" t="s">
        <v>29</v>
      </c>
      <c r="D1307" s="7" t="s">
        <v>19</v>
      </c>
      <c r="E1307" s="7" t="s">
        <v>1334</v>
      </c>
      <c r="F1307" s="6">
        <v>0</v>
      </c>
      <c r="G1307" s="8"/>
      <c r="H1307" s="8"/>
      <c r="I1307" s="109"/>
      <c r="J1307" s="8"/>
      <c r="K1307" s="14"/>
      <c r="L1307" s="14"/>
      <c r="M1307" s="14"/>
    </row>
    <row r="1308" spans="1:15" x14ac:dyDescent="0.25">
      <c r="A1308" s="4">
        <v>47018676000176</v>
      </c>
      <c r="B1308" s="8" t="s">
        <v>1488</v>
      </c>
      <c r="C1308" s="8" t="s">
        <v>33</v>
      </c>
      <c r="D1308" s="7" t="s">
        <v>19</v>
      </c>
      <c r="E1308" s="7" t="s">
        <v>1334</v>
      </c>
      <c r="F1308" s="6">
        <v>0</v>
      </c>
      <c r="G1308" s="8"/>
      <c r="H1308" s="8"/>
      <c r="I1308" s="109"/>
      <c r="J1308" s="8"/>
      <c r="K1308" s="14"/>
      <c r="L1308" s="14"/>
      <c r="M1308" s="14"/>
    </row>
    <row r="1309" spans="1:15" x14ac:dyDescent="0.25">
      <c r="A1309" s="4">
        <v>50739135001709</v>
      </c>
      <c r="B1309" s="8" t="s">
        <v>1489</v>
      </c>
      <c r="C1309" s="8" t="s">
        <v>678</v>
      </c>
      <c r="D1309" s="7" t="s">
        <v>19</v>
      </c>
      <c r="E1309" s="7" t="s">
        <v>1334</v>
      </c>
      <c r="F1309" s="6">
        <v>0</v>
      </c>
      <c r="G1309" s="8"/>
      <c r="H1309" s="8"/>
      <c r="I1309" s="109"/>
      <c r="J1309" s="8"/>
      <c r="K1309" s="14"/>
      <c r="L1309" s="14"/>
      <c r="M1309" s="14"/>
    </row>
    <row r="1310" spans="1:15" x14ac:dyDescent="0.25">
      <c r="A1310" s="4">
        <v>51427540000359</v>
      </c>
      <c r="B1310" s="8" t="s">
        <v>1490</v>
      </c>
      <c r="C1310" s="8" t="s">
        <v>1491</v>
      </c>
      <c r="D1310" s="7" t="s">
        <v>19</v>
      </c>
      <c r="E1310" s="7" t="s">
        <v>1334</v>
      </c>
      <c r="F1310" s="6">
        <v>0</v>
      </c>
      <c r="G1310" s="8"/>
      <c r="H1310" s="8"/>
      <c r="I1310" s="109"/>
      <c r="J1310" s="8"/>
      <c r="K1310" s="14"/>
      <c r="L1310" s="14"/>
      <c r="M1310" s="14"/>
    </row>
    <row r="1311" spans="1:15" x14ac:dyDescent="0.25">
      <c r="A1311" s="4">
        <v>56014830000122</v>
      </c>
      <c r="B1311" s="8" t="s">
        <v>1492</v>
      </c>
      <c r="C1311" s="8" t="s">
        <v>639</v>
      </c>
      <c r="D1311" s="7" t="s">
        <v>19</v>
      </c>
      <c r="E1311" s="7" t="s">
        <v>1334</v>
      </c>
      <c r="F1311" s="6">
        <v>0</v>
      </c>
      <c r="G1311" s="8"/>
      <c r="H1311" s="8"/>
      <c r="I1311" s="109"/>
      <c r="J1311" s="8"/>
      <c r="K1311" s="14"/>
      <c r="L1311" s="14"/>
      <c r="M1311" s="14"/>
    </row>
    <row r="1312" spans="1:15" x14ac:dyDescent="0.25">
      <c r="A1312" s="4">
        <v>58597774000121</v>
      </c>
      <c r="B1312" s="8" t="s">
        <v>1493</v>
      </c>
      <c r="C1312" s="8" t="s">
        <v>33</v>
      </c>
      <c r="D1312" s="7" t="s">
        <v>19</v>
      </c>
      <c r="E1312" s="7" t="s">
        <v>1334</v>
      </c>
      <c r="F1312" s="6">
        <v>0</v>
      </c>
      <c r="G1312" s="8"/>
      <c r="H1312" s="8"/>
      <c r="I1312" s="109"/>
      <c r="J1312" s="8"/>
      <c r="K1312" s="14"/>
      <c r="L1312" s="14"/>
      <c r="M1312" s="14"/>
    </row>
    <row r="1313" spans="1:15" x14ac:dyDescent="0.25">
      <c r="A1313" s="4">
        <v>60190550000142</v>
      </c>
      <c r="B1313" s="8" t="s">
        <v>1494</v>
      </c>
      <c r="C1313" s="8" t="s">
        <v>650</v>
      </c>
      <c r="D1313" s="7" t="s">
        <v>19</v>
      </c>
      <c r="E1313" s="7" t="s">
        <v>1334</v>
      </c>
      <c r="F1313" s="6">
        <v>0</v>
      </c>
      <c r="G1313" s="8"/>
      <c r="H1313" s="8"/>
      <c r="I1313" s="109"/>
      <c r="J1313" s="8"/>
      <c r="K1313" s="14"/>
      <c r="L1313" s="14"/>
      <c r="M1313" s="14"/>
    </row>
    <row r="1314" spans="1:15" x14ac:dyDescent="0.25">
      <c r="A1314" s="4">
        <v>60742616001301</v>
      </c>
      <c r="B1314" s="8" t="s">
        <v>1495</v>
      </c>
      <c r="C1314" s="8" t="s">
        <v>29</v>
      </c>
      <c r="D1314" s="7" t="s">
        <v>19</v>
      </c>
      <c r="E1314" s="7" t="s">
        <v>1334</v>
      </c>
      <c r="F1314" s="6">
        <v>0</v>
      </c>
      <c r="G1314" s="8"/>
      <c r="H1314" s="8"/>
      <c r="I1314" s="109"/>
      <c r="J1314" s="8"/>
      <c r="K1314" s="14"/>
      <c r="L1314" s="14"/>
      <c r="M1314" s="14"/>
    </row>
    <row r="1315" spans="1:15" x14ac:dyDescent="0.25">
      <c r="A1315" s="4">
        <v>60840055000131</v>
      </c>
      <c r="B1315" s="8" t="s">
        <v>1496</v>
      </c>
      <c r="C1315" s="8" t="s">
        <v>29</v>
      </c>
      <c r="D1315" s="7" t="s">
        <v>19</v>
      </c>
      <c r="E1315" s="7" t="s">
        <v>1334</v>
      </c>
      <c r="F1315" s="6">
        <v>0</v>
      </c>
      <c r="G1315" s="8"/>
      <c r="H1315" s="8"/>
      <c r="I1315" s="109"/>
      <c r="J1315" s="8"/>
      <c r="K1315" s="14"/>
      <c r="L1315" s="14"/>
      <c r="M1315" s="14"/>
    </row>
    <row r="1316" spans="1:15" x14ac:dyDescent="0.25">
      <c r="A1316" s="4">
        <v>60975976000101</v>
      </c>
      <c r="B1316" s="8" t="s">
        <v>1497</v>
      </c>
      <c r="C1316" s="8" t="s">
        <v>29</v>
      </c>
      <c r="D1316" s="7" t="s">
        <v>19</v>
      </c>
      <c r="E1316" s="7" t="s">
        <v>1334</v>
      </c>
      <c r="F1316" s="6">
        <v>0</v>
      </c>
      <c r="G1316" s="8"/>
      <c r="H1316" s="8"/>
      <c r="I1316" s="109"/>
      <c r="J1316" s="8"/>
      <c r="K1316" s="14"/>
      <c r="L1316" s="14"/>
      <c r="M1316" s="14"/>
    </row>
    <row r="1317" spans="1:15" x14ac:dyDescent="0.25">
      <c r="A1317" s="4">
        <v>61687356004399</v>
      </c>
      <c r="B1317" s="8" t="s">
        <v>1498</v>
      </c>
      <c r="C1317" s="8" t="s">
        <v>42</v>
      </c>
      <c r="D1317" s="7" t="s">
        <v>19</v>
      </c>
      <c r="E1317" s="7" t="s">
        <v>1334</v>
      </c>
      <c r="F1317" s="6">
        <v>0</v>
      </c>
      <c r="G1317" s="8"/>
      <c r="H1317" s="8"/>
      <c r="I1317" s="109"/>
      <c r="J1317" s="8"/>
      <c r="K1317" s="14"/>
      <c r="L1317" s="14"/>
      <c r="M1317" s="14"/>
    </row>
    <row r="1318" spans="1:15" x14ac:dyDescent="0.25">
      <c r="A1318" s="4">
        <v>69289171000189</v>
      </c>
      <c r="B1318" s="8" t="s">
        <v>1499</v>
      </c>
      <c r="C1318" s="8" t="s">
        <v>1500</v>
      </c>
      <c r="D1318" s="7" t="s">
        <v>19</v>
      </c>
      <c r="E1318" s="7" t="s">
        <v>1334</v>
      </c>
      <c r="F1318" s="6">
        <v>0</v>
      </c>
      <c r="G1318" s="8"/>
      <c r="H1318" s="8"/>
      <c r="I1318" s="109"/>
      <c r="J1318" s="8"/>
      <c r="K1318" s="14"/>
      <c r="L1318" s="14"/>
      <c r="M1318" s="14"/>
    </row>
    <row r="1319" spans="1:15" x14ac:dyDescent="0.25">
      <c r="A1319" s="4">
        <v>83367342000252</v>
      </c>
      <c r="B1319" s="8" t="s">
        <v>1237</v>
      </c>
      <c r="C1319" s="8" t="s">
        <v>1129</v>
      </c>
      <c r="D1319" s="7" t="s">
        <v>52</v>
      </c>
      <c r="E1319" s="7" t="s">
        <v>215</v>
      </c>
      <c r="F1319" s="6">
        <v>1</v>
      </c>
      <c r="G1319" s="8" t="s">
        <v>201</v>
      </c>
      <c r="H1319" s="8" t="s">
        <v>202</v>
      </c>
      <c r="I1319" s="109" t="s">
        <v>740</v>
      </c>
      <c r="J1319" s="8" t="s">
        <v>212</v>
      </c>
      <c r="K1319" s="14" t="b">
        <v>1</v>
      </c>
      <c r="L1319" s="14" t="b">
        <v>1</v>
      </c>
      <c r="M1319" s="14" t="b">
        <v>1</v>
      </c>
      <c r="N1319" s="14" t="b">
        <v>1</v>
      </c>
      <c r="O1319" s="14" t="b">
        <v>1</v>
      </c>
    </row>
    <row r="1320" spans="1:15" x14ac:dyDescent="0.25">
      <c r="A1320" s="4">
        <v>84112481000117</v>
      </c>
      <c r="B1320" s="8" t="s">
        <v>1501</v>
      </c>
      <c r="C1320" s="8" t="s">
        <v>109</v>
      </c>
      <c r="D1320" s="7" t="s">
        <v>110</v>
      </c>
      <c r="E1320" s="7" t="s">
        <v>215</v>
      </c>
      <c r="F1320" s="6">
        <v>1</v>
      </c>
      <c r="G1320" s="8" t="s">
        <v>201</v>
      </c>
      <c r="H1320" s="8" t="s">
        <v>202</v>
      </c>
      <c r="I1320" s="109" t="s">
        <v>740</v>
      </c>
      <c r="J1320" s="8" t="s">
        <v>212</v>
      </c>
      <c r="K1320" s="14" t="b">
        <v>1</v>
      </c>
      <c r="L1320" s="14" t="b">
        <v>1</v>
      </c>
      <c r="M1320" s="14" t="b">
        <v>1</v>
      </c>
      <c r="N1320" s="14" t="b">
        <v>1</v>
      </c>
      <c r="O1320" s="14" t="b">
        <v>1</v>
      </c>
    </row>
    <row r="1321" spans="1:15" x14ac:dyDescent="0.25">
      <c r="A1321" s="4">
        <v>84537141000138</v>
      </c>
      <c r="B1321" s="8" t="s">
        <v>1238</v>
      </c>
      <c r="C1321" s="8" t="s">
        <v>109</v>
      </c>
      <c r="D1321" s="7" t="s">
        <v>110</v>
      </c>
      <c r="E1321" s="7" t="s">
        <v>215</v>
      </c>
      <c r="F1321" s="6">
        <v>1</v>
      </c>
      <c r="G1321" s="8" t="s">
        <v>201</v>
      </c>
      <c r="H1321" s="8" t="s">
        <v>202</v>
      </c>
      <c r="I1321" s="109" t="s">
        <v>740</v>
      </c>
      <c r="J1321" s="8" t="s">
        <v>212</v>
      </c>
      <c r="K1321" s="14" t="b">
        <v>1</v>
      </c>
      <c r="L1321" s="14" t="b">
        <v>1</v>
      </c>
      <c r="M1321" s="14" t="b">
        <v>1</v>
      </c>
      <c r="N1321" s="14" t="b">
        <v>1</v>
      </c>
      <c r="O1321" s="14" t="b">
        <v>1</v>
      </c>
    </row>
    <row r="1322" spans="1:15" x14ac:dyDescent="0.25">
      <c r="A1322" s="4">
        <v>84942887000127</v>
      </c>
      <c r="B1322" s="8" t="s">
        <v>1502</v>
      </c>
      <c r="C1322" s="8" t="s">
        <v>1503</v>
      </c>
      <c r="D1322" s="7" t="s">
        <v>68</v>
      </c>
      <c r="E1322" s="7" t="s">
        <v>1334</v>
      </c>
      <c r="F1322" s="6">
        <v>0</v>
      </c>
      <c r="G1322" s="8"/>
      <c r="H1322" s="8"/>
      <c r="I1322" s="109"/>
      <c r="J1322" s="8"/>
      <c r="K1322" s="14"/>
      <c r="L1322" s="14"/>
      <c r="M1322" s="14"/>
    </row>
    <row r="1323" spans="1:15" x14ac:dyDescent="0.25">
      <c r="A1323" s="4">
        <v>84947167000154</v>
      </c>
      <c r="B1323" s="8" t="s">
        <v>1504</v>
      </c>
      <c r="C1323" s="8" t="s">
        <v>1503</v>
      </c>
      <c r="D1323" s="7" t="s">
        <v>68</v>
      </c>
      <c r="E1323" s="7" t="s">
        <v>1334</v>
      </c>
      <c r="F1323" s="6">
        <v>0</v>
      </c>
      <c r="G1323" s="8"/>
      <c r="H1323" s="8"/>
      <c r="I1323" s="109"/>
      <c r="J1323" s="8"/>
      <c r="K1323" s="14"/>
      <c r="L1323" s="14"/>
      <c r="M1323" s="14"/>
    </row>
    <row r="1324" spans="1:15" x14ac:dyDescent="0.25">
      <c r="A1324" s="4">
        <v>85307098000187</v>
      </c>
      <c r="B1324" s="8" t="s">
        <v>1505</v>
      </c>
      <c r="C1324" s="8" t="s">
        <v>930</v>
      </c>
      <c r="D1324" s="7" t="s">
        <v>68</v>
      </c>
      <c r="E1324" s="7" t="s">
        <v>1334</v>
      </c>
      <c r="F1324" s="6">
        <v>0</v>
      </c>
      <c r="G1324" s="8"/>
      <c r="H1324" s="8"/>
      <c r="I1324" s="109"/>
      <c r="J1324" s="8"/>
      <c r="K1324" s="14"/>
      <c r="L1324" s="14"/>
      <c r="M1324" s="14"/>
    </row>
    <row r="1325" spans="1:15" x14ac:dyDescent="0.25">
      <c r="A1325" s="4">
        <v>87647756000296</v>
      </c>
      <c r="B1325" s="8" t="s">
        <v>1506</v>
      </c>
      <c r="C1325" s="8" t="s">
        <v>1507</v>
      </c>
      <c r="D1325" s="7" t="s">
        <v>67</v>
      </c>
      <c r="E1325" s="7" t="s">
        <v>1334</v>
      </c>
      <c r="F1325" s="6">
        <v>0</v>
      </c>
      <c r="G1325" s="8"/>
      <c r="H1325" s="8"/>
      <c r="I1325" s="109"/>
      <c r="J1325" s="8"/>
      <c r="K1325" s="14"/>
      <c r="L1325" s="14"/>
      <c r="M1325" s="14"/>
    </row>
    <row r="1330" spans="3:3" x14ac:dyDescent="0.25">
      <c r="C1330" s="3" t="s">
        <v>1302</v>
      </c>
    </row>
  </sheetData>
  <conditionalFormatting sqref="N1326:O1048576 K6:O1325">
    <cfRule type="cellIs" dxfId="2073" priority="5" operator="equal">
      <formula>TRUE</formula>
    </cfRule>
  </conditionalFormatting>
  <conditionalFormatting sqref="N1326:O1048576 K6:O1325">
    <cfRule type="cellIs" dxfId="2072" priority="4" operator="equal">
      <formula>FALSE</formula>
    </cfRule>
  </conditionalFormatting>
  <conditionalFormatting sqref="E6:E1325">
    <cfRule type="cellIs" dxfId="2071" priority="1" operator="equal">
      <formula>"0-Setorizar"</formula>
    </cfRule>
    <cfRule type="cellIs" dxfId="2070" priority="2" operator="equal">
      <formula>"1-Setorizado"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6DC5-8238-4FFC-8967-CE0A74ACA5A8}">
  <sheetPr codeName="Planilha4">
    <tabColor rgb="FFFF9933"/>
  </sheetPr>
  <dimension ref="A1:Q23"/>
  <sheetViews>
    <sheetView showGridLines="0" workbookViewId="0">
      <selection activeCell="A10" sqref="A10"/>
    </sheetView>
  </sheetViews>
  <sheetFormatPr defaultRowHeight="12.75" x14ac:dyDescent="0.25"/>
  <cols>
    <col min="1" max="1" width="12.28515625" style="3" bestFit="1" customWidth="1"/>
    <col min="2" max="2" width="12.42578125" style="3" bestFit="1" customWidth="1"/>
    <col min="3" max="3" width="13.28515625" style="3" bestFit="1" customWidth="1"/>
    <col min="4" max="4" width="13.42578125" style="3" bestFit="1" customWidth="1"/>
    <col min="5" max="5" width="12.140625" style="3" bestFit="1" customWidth="1"/>
    <col min="6" max="6" width="13.85546875" style="3" bestFit="1" customWidth="1"/>
    <col min="7" max="7" width="15.5703125" style="3" bestFit="1" customWidth="1"/>
    <col min="8" max="8" width="17.140625" style="3" bestFit="1" customWidth="1"/>
    <col min="9" max="9" width="19.7109375" style="3" bestFit="1" customWidth="1"/>
    <col min="10" max="10" width="16" style="3" bestFit="1" customWidth="1"/>
    <col min="11" max="11" width="14.7109375" style="3" bestFit="1" customWidth="1"/>
    <col min="12" max="12" width="19.140625" style="3" bestFit="1" customWidth="1"/>
    <col min="13" max="13" width="19.5703125" style="3" bestFit="1" customWidth="1"/>
    <col min="14" max="14" width="18.7109375" style="3" bestFit="1" customWidth="1"/>
    <col min="15" max="16384" width="9.140625" style="3"/>
  </cols>
  <sheetData>
    <row r="1" spans="1:17" ht="42.75" customHeight="1" x14ac:dyDescent="0.25">
      <c r="A1" s="48" t="s">
        <v>434</v>
      </c>
    </row>
    <row r="2" spans="1:17" x14ac:dyDescent="0.25">
      <c r="A2" s="64"/>
    </row>
    <row r="3" spans="1:17" x14ac:dyDescent="0.25">
      <c r="A3" s="64"/>
      <c r="C3" s="6"/>
      <c r="D3" s="6"/>
      <c r="E3" s="6"/>
    </row>
    <row r="4" spans="1:17" ht="15" customHeight="1" x14ac:dyDescent="0.25">
      <c r="A4" s="192" t="s">
        <v>435</v>
      </c>
      <c r="B4" s="192"/>
      <c r="C4" s="151" t="str">
        <f>C6</f>
        <v>2019/2020</v>
      </c>
      <c r="D4" s="151" t="str">
        <f>VLOOKUP(SUBTOTAL(4,TBL_IV_PERIODOS[Mes-Unv]),TBL_IV_PERIODOS[[Mes-Unv]:[Data-Pagamento]],3,0)</f>
        <v>05-Nov</v>
      </c>
      <c r="E4" s="151" t="str">
        <f>VLOOKUP(SUBTOTAL(4,TBL_IV_PERIODOS[Mes-Unv]),TBL_IV_PERIODOS[[Mes-Unv]:[Data-Pagamento]],4,0)</f>
        <v>02-Tri</v>
      </c>
      <c r="F4" s="152"/>
      <c r="G4" s="152"/>
      <c r="H4" s="151" t="str" cm="1">
        <f t="array" ref="H4">IF(VLOOKUP(SUBTOTAL(4,TBL_IV_PERIODOS[Mes-Unv]),TBL_IV_PERIODOS[[Mes-Unv]:[Data-Pagamento]],7,0)=TRUE,"Sim","Não")</f>
        <v>Sim</v>
      </c>
      <c r="I4" s="151" t="str" cm="1">
        <f t="array" ref="I4">IF(VLOOKUP(SUBTOTAL(4,TBL_IV_PERIODOS[Mes-Unv]),TBL_IV_PERIODOS[[Mes-Unv]:[Data-Pagamento]],8,0)=TRUE,"Sim","Não")</f>
        <v>Não</v>
      </c>
    </row>
    <row r="5" spans="1:17" ht="15" x14ac:dyDescent="0.25">
      <c r="A5" s="6" t="s">
        <v>0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6" t="s">
        <v>223</v>
      </c>
      <c r="H5" s="6" t="s">
        <v>6</v>
      </c>
      <c r="I5" s="6" t="s">
        <v>7</v>
      </c>
      <c r="J5" s="6" t="s">
        <v>8</v>
      </c>
      <c r="K5" s="6" t="s">
        <v>368</v>
      </c>
      <c r="L5" s="6" t="s">
        <v>369</v>
      </c>
      <c r="M5" s="6" t="s">
        <v>370</v>
      </c>
      <c r="N5" s="6" t="s">
        <v>371</v>
      </c>
      <c r="P5"/>
      <c r="Q5"/>
    </row>
    <row r="6" spans="1:17" ht="15" hidden="1" x14ac:dyDescent="0.25">
      <c r="A6" s="6">
        <v>2019</v>
      </c>
      <c r="B6" s="6">
        <v>7</v>
      </c>
      <c r="C6" s="7" t="s">
        <v>16</v>
      </c>
      <c r="D6" s="7" t="s">
        <v>17</v>
      </c>
      <c r="E6" s="7" t="s">
        <v>18</v>
      </c>
      <c r="F6" s="7" t="s">
        <v>16</v>
      </c>
      <c r="G6" s="14" t="b">
        <v>1</v>
      </c>
      <c r="H6" s="14" t="b">
        <v>1</v>
      </c>
      <c r="I6" s="14" t="b">
        <v>0</v>
      </c>
      <c r="J6" s="14" t="b">
        <v>0</v>
      </c>
      <c r="K6" s="80"/>
      <c r="L6" s="80"/>
      <c r="M6" s="80"/>
      <c r="N6" s="80"/>
      <c r="P6"/>
      <c r="Q6"/>
    </row>
    <row r="7" spans="1:17" ht="15" hidden="1" x14ac:dyDescent="0.25">
      <c r="A7" s="6">
        <v>2019</v>
      </c>
      <c r="B7" s="6">
        <v>8</v>
      </c>
      <c r="C7" s="7" t="s">
        <v>16</v>
      </c>
      <c r="D7" s="7" t="s">
        <v>21</v>
      </c>
      <c r="E7" s="7" t="s">
        <v>18</v>
      </c>
      <c r="F7" s="7" t="s">
        <v>16</v>
      </c>
      <c r="G7" s="14" t="b">
        <v>1</v>
      </c>
      <c r="H7" s="14" t="b">
        <v>1</v>
      </c>
      <c r="I7" s="14" t="b">
        <v>0</v>
      </c>
      <c r="J7" s="14" t="b">
        <v>0</v>
      </c>
      <c r="K7" s="80"/>
      <c r="L7" s="80"/>
      <c r="M7" s="80"/>
      <c r="N7" s="80"/>
      <c r="P7"/>
      <c r="Q7"/>
    </row>
    <row r="8" spans="1:17" ht="15" hidden="1" x14ac:dyDescent="0.25">
      <c r="A8" s="6">
        <v>2019</v>
      </c>
      <c r="B8" s="6">
        <v>9</v>
      </c>
      <c r="C8" s="7" t="s">
        <v>16</v>
      </c>
      <c r="D8" s="7" t="s">
        <v>22</v>
      </c>
      <c r="E8" s="7" t="s">
        <v>18</v>
      </c>
      <c r="F8" s="7" t="s">
        <v>16</v>
      </c>
      <c r="G8" s="14" t="b">
        <v>1</v>
      </c>
      <c r="H8" s="14" t="b">
        <v>1</v>
      </c>
      <c r="I8" s="14" t="b">
        <v>1</v>
      </c>
      <c r="J8" s="14" t="b">
        <v>0</v>
      </c>
      <c r="K8" s="80"/>
      <c r="L8" s="80"/>
      <c r="M8" s="80"/>
      <c r="N8" s="80"/>
      <c r="P8"/>
      <c r="Q8"/>
    </row>
    <row r="9" spans="1:17" ht="15" hidden="1" x14ac:dyDescent="0.25">
      <c r="A9" s="6">
        <v>2019</v>
      </c>
      <c r="B9" s="6">
        <v>10</v>
      </c>
      <c r="C9" s="7" t="s">
        <v>16</v>
      </c>
      <c r="D9" s="7" t="s">
        <v>23</v>
      </c>
      <c r="E9" s="7" t="s">
        <v>24</v>
      </c>
      <c r="F9" s="7" t="s">
        <v>16</v>
      </c>
      <c r="G9" s="14" t="b">
        <v>1</v>
      </c>
      <c r="H9" s="14" t="b">
        <v>1</v>
      </c>
      <c r="I9" s="14" t="b">
        <v>0</v>
      </c>
      <c r="J9" s="14" t="b">
        <v>0</v>
      </c>
      <c r="K9" s="80"/>
      <c r="L9" s="80"/>
      <c r="M9" s="80"/>
      <c r="N9" s="80"/>
      <c r="P9"/>
      <c r="Q9"/>
    </row>
    <row r="10" spans="1:17" ht="15" x14ac:dyDescent="0.25">
      <c r="A10" s="6">
        <v>2019</v>
      </c>
      <c r="B10" s="6">
        <v>11</v>
      </c>
      <c r="C10" s="7" t="s">
        <v>16</v>
      </c>
      <c r="D10" s="7" t="s">
        <v>229</v>
      </c>
      <c r="E10" s="7" t="s">
        <v>24</v>
      </c>
      <c r="F10" s="7" t="s">
        <v>16</v>
      </c>
      <c r="G10" s="14" t="b">
        <v>1</v>
      </c>
      <c r="H10" s="14" t="b">
        <v>1</v>
      </c>
      <c r="I10" s="14" t="b">
        <v>0</v>
      </c>
      <c r="J10" s="14" t="b">
        <v>0</v>
      </c>
      <c r="K10" s="80"/>
      <c r="L10" s="80"/>
      <c r="M10" s="80"/>
      <c r="N10" s="80"/>
      <c r="P10"/>
      <c r="Q10"/>
    </row>
    <row r="11" spans="1:17" ht="15" hidden="1" x14ac:dyDescent="0.25">
      <c r="A11" s="6">
        <v>2019</v>
      </c>
      <c r="B11" s="6">
        <v>12</v>
      </c>
      <c r="C11" s="7" t="s">
        <v>16</v>
      </c>
      <c r="D11" s="7" t="s">
        <v>230</v>
      </c>
      <c r="E11" s="7" t="s">
        <v>24</v>
      </c>
      <c r="F11" s="7" t="s">
        <v>16</v>
      </c>
      <c r="G11" s="14" t="b">
        <v>1</v>
      </c>
      <c r="H11" s="14" t="b">
        <v>1</v>
      </c>
      <c r="I11" s="14" t="b">
        <v>1</v>
      </c>
      <c r="J11" s="14" t="b">
        <v>0</v>
      </c>
      <c r="K11" s="80"/>
      <c r="L11" s="80"/>
      <c r="M11" s="80"/>
      <c r="N11" s="80"/>
      <c r="P11"/>
      <c r="Q11"/>
    </row>
    <row r="12" spans="1:17" ht="15" hidden="1" x14ac:dyDescent="0.25">
      <c r="A12" s="6">
        <v>2020</v>
      </c>
      <c r="B12" s="6">
        <v>1</v>
      </c>
      <c r="C12" s="7" t="s">
        <v>16</v>
      </c>
      <c r="D12" s="7" t="s">
        <v>372</v>
      </c>
      <c r="E12" s="7" t="s">
        <v>373</v>
      </c>
      <c r="F12" s="7" t="s">
        <v>16</v>
      </c>
      <c r="G12" s="14" t="b">
        <v>1</v>
      </c>
      <c r="H12" s="14" t="b">
        <v>1</v>
      </c>
      <c r="I12" s="14" t="b">
        <v>0</v>
      </c>
      <c r="J12" s="14" t="b">
        <v>0</v>
      </c>
      <c r="K12" s="80"/>
      <c r="L12" s="80"/>
      <c r="M12" s="80"/>
      <c r="N12" s="80"/>
      <c r="P12"/>
      <c r="Q12"/>
    </row>
    <row r="13" spans="1:17" ht="15" hidden="1" x14ac:dyDescent="0.25">
      <c r="A13" s="6">
        <v>2020</v>
      </c>
      <c r="B13" s="6">
        <v>2</v>
      </c>
      <c r="C13" s="7" t="s">
        <v>16</v>
      </c>
      <c r="D13" s="7" t="s">
        <v>374</v>
      </c>
      <c r="E13" s="7" t="s">
        <v>373</v>
      </c>
      <c r="F13" s="7" t="s">
        <v>16</v>
      </c>
      <c r="G13" s="14" t="b">
        <v>1</v>
      </c>
      <c r="H13" s="14" t="b">
        <v>1</v>
      </c>
      <c r="I13" s="14" t="b">
        <v>0</v>
      </c>
      <c r="J13" s="14" t="b">
        <v>0</v>
      </c>
      <c r="K13" s="80"/>
      <c r="L13" s="80"/>
      <c r="M13" s="80"/>
      <c r="N13" s="80"/>
      <c r="P13"/>
      <c r="Q13"/>
    </row>
    <row r="14" spans="1:17" ht="15" hidden="1" x14ac:dyDescent="0.25">
      <c r="A14" s="6">
        <v>2020</v>
      </c>
      <c r="B14" s="6">
        <v>3</v>
      </c>
      <c r="C14" s="7" t="s">
        <v>16</v>
      </c>
      <c r="D14" s="7" t="s">
        <v>375</v>
      </c>
      <c r="E14" s="7" t="s">
        <v>373</v>
      </c>
      <c r="F14" s="7" t="s">
        <v>16</v>
      </c>
      <c r="G14" s="14" t="b">
        <v>1</v>
      </c>
      <c r="H14" s="14" t="b">
        <v>1</v>
      </c>
      <c r="I14" s="14" t="b">
        <v>1</v>
      </c>
      <c r="J14" s="14" t="b">
        <v>0</v>
      </c>
      <c r="K14" s="80"/>
      <c r="L14" s="80"/>
      <c r="M14" s="80"/>
      <c r="N14" s="80"/>
      <c r="P14"/>
      <c r="Q14"/>
    </row>
    <row r="15" spans="1:17" ht="15" hidden="1" x14ac:dyDescent="0.25">
      <c r="A15" s="6">
        <v>2020</v>
      </c>
      <c r="B15" s="6">
        <v>4</v>
      </c>
      <c r="C15" s="7" t="s">
        <v>16</v>
      </c>
      <c r="D15" s="7" t="s">
        <v>376</v>
      </c>
      <c r="E15" s="7" t="s">
        <v>377</v>
      </c>
      <c r="F15" s="7" t="s">
        <v>16</v>
      </c>
      <c r="G15" s="14" t="b">
        <v>1</v>
      </c>
      <c r="H15" s="14" t="b">
        <v>1</v>
      </c>
      <c r="I15" s="14" t="b">
        <v>0</v>
      </c>
      <c r="J15" s="14" t="b">
        <v>0</v>
      </c>
      <c r="K15" s="80"/>
      <c r="L15" s="80"/>
      <c r="M15" s="80"/>
      <c r="N15" s="80"/>
      <c r="P15"/>
      <c r="Q15"/>
    </row>
    <row r="16" spans="1:17" ht="15" hidden="1" x14ac:dyDescent="0.25">
      <c r="A16" s="6">
        <v>2020</v>
      </c>
      <c r="B16" s="6">
        <v>5</v>
      </c>
      <c r="C16" s="7" t="s">
        <v>16</v>
      </c>
      <c r="D16" s="7" t="s">
        <v>378</v>
      </c>
      <c r="E16" s="7" t="s">
        <v>377</v>
      </c>
      <c r="F16" s="7" t="s">
        <v>16</v>
      </c>
      <c r="G16" s="14" t="b">
        <v>1</v>
      </c>
      <c r="H16" s="14" t="b">
        <v>1</v>
      </c>
      <c r="I16" s="14" t="b">
        <v>0</v>
      </c>
      <c r="J16" s="14" t="b">
        <v>0</v>
      </c>
      <c r="K16" s="80"/>
      <c r="L16" s="80"/>
      <c r="M16" s="80"/>
      <c r="N16" s="80"/>
      <c r="P16"/>
      <c r="Q16"/>
    </row>
    <row r="17" spans="1:17" ht="15" hidden="1" x14ac:dyDescent="0.25">
      <c r="A17" s="6">
        <v>2020</v>
      </c>
      <c r="B17" s="6">
        <v>6</v>
      </c>
      <c r="C17" s="7" t="s">
        <v>16</v>
      </c>
      <c r="D17" s="7" t="s">
        <v>379</v>
      </c>
      <c r="E17" s="7" t="s">
        <v>377</v>
      </c>
      <c r="F17" s="7" t="s">
        <v>16</v>
      </c>
      <c r="G17" s="14" t="b">
        <v>1</v>
      </c>
      <c r="H17" s="14" t="b">
        <v>1</v>
      </c>
      <c r="I17" s="14" t="b">
        <v>1</v>
      </c>
      <c r="J17" s="14" t="b">
        <v>1</v>
      </c>
      <c r="K17" s="80"/>
      <c r="L17" s="80"/>
      <c r="M17" s="80"/>
      <c r="N17" s="80"/>
      <c r="P17"/>
      <c r="Q17"/>
    </row>
    <row r="18" spans="1:17" ht="15" x14ac:dyDescent="0.25">
      <c r="P18"/>
      <c r="Q18"/>
    </row>
    <row r="19" spans="1:17" ht="15" x14ac:dyDescent="0.25">
      <c r="P19"/>
      <c r="Q19"/>
    </row>
    <row r="20" spans="1:17" ht="15" x14ac:dyDescent="0.25">
      <c r="P20"/>
      <c r="Q20"/>
    </row>
    <row r="21" spans="1:17" ht="15" x14ac:dyDescent="0.25">
      <c r="P21"/>
      <c r="Q21"/>
    </row>
    <row r="22" spans="1:17" ht="15" x14ac:dyDescent="0.25">
      <c r="P22"/>
      <c r="Q22"/>
    </row>
    <row r="23" spans="1:17" x14ac:dyDescent="0.25">
      <c r="M23" s="3" t="s">
        <v>1302</v>
      </c>
    </row>
  </sheetData>
  <mergeCells count="1">
    <mergeCell ref="A4:B4"/>
  </mergeCells>
  <conditionalFormatting sqref="G6:I17">
    <cfRule type="cellIs" dxfId="2052" priority="3" operator="equal">
      <formula>FALSE</formula>
    </cfRule>
    <cfRule type="cellIs" dxfId="2051" priority="4" operator="equal">
      <formula>TRUE</formula>
    </cfRule>
  </conditionalFormatting>
  <conditionalFormatting sqref="J6:J17">
    <cfRule type="cellIs" dxfId="2050" priority="1" operator="equal">
      <formula>FALSE</formula>
    </cfRule>
    <cfRule type="cellIs" dxfId="2049" priority="2" operator="equal">
      <formula>TRUE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B1F2-9ACF-4778-BBDF-55B8EEE97F34}">
  <sheetPr codeName="Planilha5"/>
  <dimension ref="A1:L38"/>
  <sheetViews>
    <sheetView showGridLines="0" workbookViewId="0">
      <selection activeCell="A19" sqref="A19"/>
    </sheetView>
  </sheetViews>
  <sheetFormatPr defaultRowHeight="12.75" x14ac:dyDescent="0.25"/>
  <cols>
    <col min="1" max="1" width="32.5703125" style="3" bestFit="1" customWidth="1"/>
    <col min="2" max="2" width="47" style="3" bestFit="1" customWidth="1"/>
    <col min="3" max="3" width="18.85546875" style="3" bestFit="1" customWidth="1"/>
    <col min="4" max="4" width="16.28515625" style="3" bestFit="1" customWidth="1"/>
    <col min="5" max="5" width="16.42578125" style="3" bestFit="1" customWidth="1"/>
    <col min="6" max="6" width="23.140625" style="3" bestFit="1" customWidth="1"/>
    <col min="7" max="7" width="15.42578125" style="6" bestFit="1" customWidth="1"/>
    <col min="8" max="8" width="15.140625" style="6" bestFit="1" customWidth="1"/>
    <col min="9" max="9" width="16.7109375" style="6" bestFit="1" customWidth="1"/>
    <col min="10" max="10" width="15.7109375" style="6" bestFit="1" customWidth="1"/>
    <col min="11" max="11" width="18.140625" style="3" bestFit="1" customWidth="1"/>
    <col min="12" max="12" width="15.42578125" style="3" bestFit="1" customWidth="1"/>
    <col min="13" max="13" width="45.28515625" style="3" customWidth="1"/>
    <col min="14" max="14" width="14.5703125" style="3" customWidth="1"/>
    <col min="15" max="15" width="18.140625" style="3" bestFit="1" customWidth="1"/>
    <col min="16" max="16" width="38.140625" style="3" customWidth="1"/>
    <col min="17" max="16384" width="9.140625" style="3"/>
  </cols>
  <sheetData>
    <row r="1" spans="1:12" ht="18.75" x14ac:dyDescent="0.25">
      <c r="A1" s="48" t="s">
        <v>406</v>
      </c>
      <c r="H1" s="6" t="str">
        <f>SegmentaçãodeDados_Ano_Fiscal</f>
        <v/>
      </c>
    </row>
    <row r="3" spans="1:12" x14ac:dyDescent="0.25">
      <c r="I3" s="6" t="str">
        <f>SegmentaçãodeDados_Ano_Fiscal</f>
        <v/>
      </c>
    </row>
    <row r="4" spans="1:12" x14ac:dyDescent="0.25">
      <c r="A4" s="50" t="s">
        <v>380</v>
      </c>
      <c r="B4" s="150" t="str">
        <f>Filtro_IV_Ano</f>
        <v>2019/2020</v>
      </c>
    </row>
    <row r="5" spans="1:12" x14ac:dyDescent="0.25">
      <c r="A5" s="50" t="s">
        <v>381</v>
      </c>
      <c r="B5" s="86" t="str">
        <f>Filtro_IV_Mes</f>
        <v>05-Nov</v>
      </c>
    </row>
    <row r="6" spans="1:12" x14ac:dyDescent="0.25">
      <c r="A6" s="50" t="s">
        <v>382</v>
      </c>
      <c r="B6" s="86" t="str">
        <f>Filtro_IV_Tri</f>
        <v>02-Tri</v>
      </c>
    </row>
    <row r="7" spans="1:12" x14ac:dyDescent="0.25">
      <c r="A7" s="50" t="s">
        <v>398</v>
      </c>
      <c r="B7" s="86" t="str">
        <f>Filtro_IV_Tri_Recuperavel</f>
        <v>Não</v>
      </c>
    </row>
    <row r="9" spans="1:12" x14ac:dyDescent="0.25">
      <c r="A9" s="193" t="s">
        <v>402</v>
      </c>
      <c r="B9" s="194"/>
      <c r="C9" s="101">
        <f t="shared" ref="C9:K9" si="0">C11+C17</f>
        <v>30855.24606142881</v>
      </c>
      <c r="D9" s="101">
        <f t="shared" si="0"/>
        <v>27189.05977708604</v>
      </c>
      <c r="E9" s="101">
        <f t="shared" si="0"/>
        <v>1828.8991276570514</v>
      </c>
      <c r="F9" s="101">
        <f t="shared" si="0"/>
        <v>4417.0863915615046</v>
      </c>
      <c r="G9" s="101">
        <f t="shared" si="0"/>
        <v>0</v>
      </c>
      <c r="H9" s="101">
        <f t="shared" si="0"/>
        <v>0</v>
      </c>
      <c r="I9" s="101">
        <f t="shared" si="0"/>
        <v>0</v>
      </c>
      <c r="J9" s="101">
        <f t="shared" si="0"/>
        <v>0</v>
      </c>
      <c r="K9" s="101">
        <f t="shared" si="0"/>
        <v>64290.291357733411</v>
      </c>
    </row>
    <row r="11" spans="1:12" x14ac:dyDescent="0.25">
      <c r="A11" s="193" t="s">
        <v>407</v>
      </c>
      <c r="B11" s="194"/>
      <c r="C11" s="101">
        <f>SUM(VIEW_IV_2019_GERENTES[IV Demanda Mês (70%)])</f>
        <v>4488.6081068186113</v>
      </c>
      <c r="D11" s="101">
        <f>SUM(VIEW_IV_2019_GERENTES[IV Venda Mês (20%)])</f>
        <v>9154.0780114163554</v>
      </c>
      <c r="E11" s="101">
        <f>SUM(VIEW_IV_2019_GERENTES[IV Visitas (5%)])</f>
        <v>310.32285516225454</v>
      </c>
      <c r="F11" s="101">
        <f>SUM(VIEW_IV_2019_GERENTES[IV Conhecimento (5%)])</f>
        <v>811.30158212354172</v>
      </c>
      <c r="G11" s="101">
        <f>SUM(VIEW_IV_2019_GERENTES[Recuperavel Demanda Tri])</f>
        <v>0</v>
      </c>
      <c r="H11" s="101">
        <f>SUM(VIEW_IV_2019_GERENTES[Recuperavel Venda Tri])</f>
        <v>0</v>
      </c>
      <c r="I11" s="101">
        <f>SUM(VIEW_IV_2019_GERENTES[Acréscimos (+)])</f>
        <v>0</v>
      </c>
      <c r="J11" s="101">
        <f>SUM(VIEW_IV_2019_GERENTES[Descontos (-)])</f>
        <v>0</v>
      </c>
      <c r="K11" s="101">
        <f>SUM(VIEW_IV_2019_GERENTES[Total Premiação])</f>
        <v>14764.310555520762</v>
      </c>
    </row>
    <row r="12" spans="1:12" ht="25.5" x14ac:dyDescent="0.25">
      <c r="A12" s="98" t="s">
        <v>405</v>
      </c>
      <c r="B12" s="3" t="s">
        <v>133</v>
      </c>
      <c r="C12" s="98" t="s">
        <v>394</v>
      </c>
      <c r="D12" s="98" t="s">
        <v>397</v>
      </c>
      <c r="E12" s="98" t="s">
        <v>395</v>
      </c>
      <c r="F12" s="98" t="s">
        <v>396</v>
      </c>
      <c r="G12" s="98" t="s">
        <v>399</v>
      </c>
      <c r="H12" s="98" t="s">
        <v>400</v>
      </c>
      <c r="I12" s="107" t="s">
        <v>403</v>
      </c>
      <c r="J12" s="108" t="s">
        <v>404</v>
      </c>
      <c r="K12" s="98" t="s">
        <v>402</v>
      </c>
      <c r="L12" s="98" t="s">
        <v>401</v>
      </c>
    </row>
    <row r="13" spans="1:12" x14ac:dyDescent="0.25">
      <c r="A13" s="8" t="s">
        <v>207</v>
      </c>
      <c r="B13" s="8" t="s">
        <v>208</v>
      </c>
      <c r="C13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786.88681317883811</v>
      </c>
      <c r="D13" s="65">
        <f>SUMIFS(VIEW_IV_2019_VENDA[Premio-TOTAL-GR],VIEW_IV_2019_VENDA[Ano-Fiscal],Demostrativo_Ano,VIEW_IV_2019_VENDA[Mes-Fiscal],Demonstrativo_Mes)</f>
        <v>3051.3593371387851</v>
      </c>
      <c r="E13" s="65">
        <f>SUMIFS(VIEW_IV_2019_VISITAS_GR[Visitas-Premio],VIEW_IV_2019_VISITAS_GR[Ano-Fiscal],Demostrativo_Ano,VIEW_IV_2019_VISITAS_GR[Mes-Fiscal],Demonstrativo_Mes,VIEW_IV_2019_VISITAS_GR['#FK-Email-Gerente],VIEW_IV_2019_GERENTES[[#This Row],[Email]])</f>
        <v>198.76888762026769</v>
      </c>
      <c r="F13" s="65">
        <f>Vlr_100_GR*0.05</f>
        <v>270.43386070784726</v>
      </c>
      <c r="G13" s="65">
        <f t="array" ref="G13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3" s="65">
        <f t="array" ref="H13">IF(Demonstrativo_Calcular_Recuperavel_Tri="Não",0,SUMIFS(VIEW_IV_2019_VENDA_TRI[Recuperavel-TOTAL-GR],VIEW_IV_2019_VENDA_TRI[Ano-Fiscal],Demostrativo_Ano,VIEW_IV_2019_VENDA_TRI[Tri-Fiscal],Demonstrativo_Tri))</f>
        <v>0</v>
      </c>
      <c r="I13" s="65"/>
      <c r="J13" s="65"/>
      <c r="K13" s="65">
        <f>SUM(VIEW_IV_2019_GERENTES[[#This Row],[IV Demanda Mês (70%)]:[Acréscimos (+)]])-VIEW_IV_2019_GERENTES[[#This Row],[Descontos (-)]]</f>
        <v>4307.4488986457382</v>
      </c>
      <c r="L13" s="109"/>
    </row>
    <row r="14" spans="1:12" x14ac:dyDescent="0.25">
      <c r="A14" s="8" t="s">
        <v>211</v>
      </c>
      <c r="B14" s="8" t="s">
        <v>212</v>
      </c>
      <c r="C14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2749.8633350164914</v>
      </c>
      <c r="D14" s="65">
        <f>SUMIFS(VIEW_IV_2019_VENDA[Premio-TOTAL-GR],VIEW_IV_2019_VENDA[Ano-Fiscal],Demostrativo_Ano,VIEW_IV_2019_VENDA[Mes-Fiscal],Demonstrativo_Mes)</f>
        <v>3051.3593371387851</v>
      </c>
      <c r="E14" s="65">
        <f>SUMIFS(VIEW_IV_2019_VISITAS_GR[Visitas-Premio],VIEW_IV_2019_VISITAS_GR[Ano-Fiscal],Demostrativo_Ano,VIEW_IV_2019_VISITAS_GR[Mes-Fiscal],Demonstrativo_Mes,VIEW_IV_2019_VISITAS_GR['#FK-Email-Gerente],VIEW_IV_2019_GERENTES[[#This Row],[Email]])</f>
        <v>111.55396754198685</v>
      </c>
      <c r="F14" s="65">
        <f>Vlr_100_GR*0.05</f>
        <v>270.43386070784726</v>
      </c>
      <c r="G14" s="65">
        <f t="array" ref="G14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4" s="65">
        <f t="array" ref="H14">IF(Demonstrativo_Calcular_Recuperavel_Tri="Não",0,SUMIFS(VIEW_IV_2019_VENDA_TRI[Recuperavel-TOTAL-GR],VIEW_IV_2019_VENDA_TRI[Ano-Fiscal],Demostrativo_Ano,VIEW_IV_2019_VENDA_TRI[Tri-Fiscal],Demonstrativo_Tri))</f>
        <v>0</v>
      </c>
      <c r="I14" s="65"/>
      <c r="J14" s="65"/>
      <c r="K14" s="65">
        <f>SUM(VIEW_IV_2019_GERENTES[[#This Row],[IV Demanda Mês (70%)]:[Acréscimos (+)]])-VIEW_IV_2019_GERENTES[[#This Row],[Descontos (-)]]</f>
        <v>6183.21050040511</v>
      </c>
      <c r="L14" s="109"/>
    </row>
    <row r="15" spans="1:12" x14ac:dyDescent="0.25">
      <c r="A15" s="8" t="s">
        <v>205</v>
      </c>
      <c r="B15" s="8" t="s">
        <v>206</v>
      </c>
      <c r="C15" s="65">
        <f>SUMIFS(VIEW_IV_2019_GR_COTA_DEMANDA[Premio.Total],VIEW_IV_2019_GR_COTA_DEMANDA[Ano-Fiscal],Demostrativo_Ano,VIEW_IV_2019_GR_COTA_DEMANDA[Mes-Fiscal],Demonstrativo_Mes,VIEW_IV_2019_GR_COTA_DEMANDA['#FK-Email-Gerente],VIEW_IV_2019_GERENTES[[#This Row],[Email]])</f>
        <v>951.85795862328212</v>
      </c>
      <c r="D15" s="65">
        <f>SUMIFS(VIEW_IV_2019_VENDA[Premio-TOTAL-GR],VIEW_IV_2019_VENDA[Ano-Fiscal],Demostrativo_Ano,VIEW_IV_2019_VENDA[Mes-Fiscal],Demonstrativo_Mes)</f>
        <v>3051.3593371387851</v>
      </c>
      <c r="E15" s="65">
        <f>SUMIFS(VIEW_IV_2019_VISITAS_GR[Visitas-Premio],VIEW_IV_2019_VISITAS_GR[Ano-Fiscal],Demostrativo_Ano,VIEW_IV_2019_VISITAS_GR[Mes-Fiscal],Demonstrativo_Mes,VIEW_IV_2019_VISITAS_GR['#FK-Email-Gerente],VIEW_IV_2019_GERENTES[[#This Row],[Email]])</f>
        <v>0</v>
      </c>
      <c r="F15" s="65">
        <f>Vlr_100_GR*0.05</f>
        <v>270.43386070784726</v>
      </c>
      <c r="G15" s="65">
        <f t="array" ref="G15">IF(Demonstrativo_Calcular_Recuperavel_Tri="Não",0,SUMIFS(VIEW_IV_2019_GR_COTA_DEMANDA_TRI[Recuperavel-Total],VIEW_IV_2019_GR_COTA_DEMANDA_TRI[Ano-Fiscal],Demostrativo_Ano,VIEW_IV_2019_GR_COTA_DEMANDA_TRI[Tri-Fiscal],Demonstrativo_Tri,VIEW_IV_2019_GR_COTA_DEMANDA_TRI['#FK-Email-Gerente],VIEW_IV_2019_GERENTES[[#This Row],[Email]]))</f>
        <v>0</v>
      </c>
      <c r="H15" s="65">
        <f t="array" ref="H15">IF(Demonstrativo_Calcular_Recuperavel_Tri="Não",0,SUMIFS(VIEW_IV_2019_VENDA_TRI[Recuperavel-TOTAL-GR],VIEW_IV_2019_VENDA_TRI[Ano-Fiscal],Demostrativo_Ano,VIEW_IV_2019_VENDA_TRI[Tri-Fiscal],Demonstrativo_Tri))</f>
        <v>0</v>
      </c>
      <c r="I15" s="65"/>
      <c r="J15" s="65"/>
      <c r="K15" s="65">
        <f>SUM(VIEW_IV_2019_GERENTES[[#This Row],[IV Demanda Mês (70%)]:[Acréscimos (+)]])-VIEW_IV_2019_GERENTES[[#This Row],[Descontos (-)]]</f>
        <v>4273.6511564699149</v>
      </c>
      <c r="L15" s="109"/>
    </row>
    <row r="16" spans="1:12" x14ac:dyDescent="0.25">
      <c r="G16" s="3"/>
      <c r="H16" s="3"/>
      <c r="I16" s="3"/>
      <c r="J16" s="3"/>
    </row>
    <row r="17" spans="1:12" x14ac:dyDescent="0.25">
      <c r="A17" s="193" t="s">
        <v>249</v>
      </c>
      <c r="B17" s="194"/>
      <c r="C17" s="101">
        <f>SUM(VIEW_IV_2019_REPRESENTANTES[IV Demanda Mês (70%)])</f>
        <v>26366.6379546102</v>
      </c>
      <c r="D17" s="101">
        <f>SUM(VIEW_IV_2019_REPRESENTANTES[IV Venda Mês (20%)])</f>
        <v>18034.981765669687</v>
      </c>
      <c r="E17" s="101">
        <f>SUM(VIEW_IV_2019_REPRESENTANTES[IV Visitas (5%)])</f>
        <v>1518.576272494797</v>
      </c>
      <c r="F17" s="101">
        <f>SUM(VIEW_IV_2019_REPRESENTANTES[IV Conhecimento (5%)])</f>
        <v>3605.7848094379633</v>
      </c>
      <c r="G17" s="101">
        <f>SUM(VIEW_IV_2019_REPRESENTANTES[Recuperavel Demanda Tri])</f>
        <v>0</v>
      </c>
      <c r="H17" s="101">
        <f>SUM(VIEW_IV_2019_REPRESENTANTES[Recuperavel Venda Tri])</f>
        <v>0</v>
      </c>
      <c r="I17" s="101">
        <f>SUM(VIEW_IV_2019_REPRESENTANTES[Acréscimos (+)])</f>
        <v>0</v>
      </c>
      <c r="J17" s="101">
        <f>SUM(VIEW_IV_2019_REPRESENTANTES[Descontos (-)])</f>
        <v>0</v>
      </c>
      <c r="K17" s="101">
        <f>SUM(VIEW_IV_2019_REPRESENTANTES[Total Premiação])</f>
        <v>49525.980802212645</v>
      </c>
    </row>
    <row r="18" spans="1:12" ht="25.5" x14ac:dyDescent="0.25">
      <c r="A18" s="98" t="s">
        <v>388</v>
      </c>
      <c r="B18" s="3" t="s">
        <v>133</v>
      </c>
      <c r="C18" s="98" t="s">
        <v>394</v>
      </c>
      <c r="D18" s="98" t="s">
        <v>397</v>
      </c>
      <c r="E18" s="98" t="s">
        <v>395</v>
      </c>
      <c r="F18" s="98" t="s">
        <v>396</v>
      </c>
      <c r="G18" s="98" t="s">
        <v>399</v>
      </c>
      <c r="H18" s="98" t="s">
        <v>400</v>
      </c>
      <c r="I18" s="107" t="s">
        <v>403</v>
      </c>
      <c r="J18" s="108" t="s">
        <v>404</v>
      </c>
      <c r="K18" s="98" t="s">
        <v>402</v>
      </c>
      <c r="L18" s="98" t="s">
        <v>401</v>
      </c>
    </row>
    <row r="19" spans="1:12" x14ac:dyDescent="0.25">
      <c r="A19" s="8" t="s">
        <v>151</v>
      </c>
      <c r="B19" s="8" t="s">
        <v>152</v>
      </c>
      <c r="C19" s="99">
        <f>SUMIFS(VIEW_IV_2019_REP_CALCULO[Premio-Total],VIEW_IV_2019_REP_CALCULO[Ano-Fiscal],Demostrativo_Ano,VIEW_IV_2019_REP_CALCULO[Mes-Fiscal],Demonstrativo_Mes,VIEW_IV_2019_REP_CALCULO['#PK-Email],VIEW_IV_2019_REPRESENTANTES[[#This Row],[E-mail]])</f>
        <v>0</v>
      </c>
      <c r="D19" s="99">
        <f>SUMIFS(VIEW_IV_2019_VENDA[Premio-Total-REP],VIEW_IV_2019_VENDA[Ano-Fiscal],Demostrativo_Ano,VIEW_IV_2019_VENDA[Mes-Fiscal],Demonstrativo_Mes)</f>
        <v>901.7490882834843</v>
      </c>
      <c r="E19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19" s="100">
        <f t="shared" ref="F19:F38" si="1">Vlr_100_REP*0.05</f>
        <v>180.2892404718981</v>
      </c>
      <c r="G19" s="65">
        <f t="array" ref="G19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19" s="65">
        <f t="array" ref="H19">IF(Demonstrativo_Calcular_Recuperavel_Tri="Não",0,SUMIFS(VIEW_IV_2019_VENDA_TRI[Recuperavel-Total-REP],VIEW_IV_2019_VENDA_TRI[Ano-Fiscal],Demostrativo_Ano,VIEW_IV_2019_VENDA_TRI[Tri-Fiscal],Demonstrativo_Tri))</f>
        <v>0</v>
      </c>
      <c r="I19" s="65"/>
      <c r="J19" s="65"/>
      <c r="K19" s="65">
        <f>SUM(VIEW_IV_2019_REPRESENTANTES[[#This Row],[IV Demanda Mês (70%)]:[Acréscimos (+)]])-VIEW_IV_2019_REPRESENTANTES[[#This Row],[Descontos (-)]]</f>
        <v>1262.3275692272805</v>
      </c>
      <c r="L19" s="91"/>
    </row>
    <row r="20" spans="1:12" x14ac:dyDescent="0.25">
      <c r="A20" s="8" t="s">
        <v>1355</v>
      </c>
      <c r="B20" s="8" t="s">
        <v>1356</v>
      </c>
      <c r="C20" s="99">
        <f>SUMIFS(VIEW_IV_2019_REP_CALCULO[Premio-Total],VIEW_IV_2019_REP_CALCULO[Ano-Fiscal],Demostrativo_Ano,VIEW_IV_2019_REP_CALCULO[Mes-Fiscal],Demonstrativo_Mes,VIEW_IV_2019_REP_CALCULO['#PK-Email],VIEW_IV_2019_REPRESENTANTES[[#This Row],[E-mail]])</f>
        <v>0</v>
      </c>
      <c r="D20" s="99">
        <f>SUMIFS(VIEW_IV_2019_VENDA[Premio-Total-REP],VIEW_IV_2019_VENDA[Ano-Fiscal],Demostrativo_Ano,VIEW_IV_2019_VENDA[Mes-Fiscal],Demonstrativo_Mes)</f>
        <v>901.7490882834843</v>
      </c>
      <c r="E20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0" s="100">
        <f t="shared" si="1"/>
        <v>180.2892404718981</v>
      </c>
      <c r="G20" s="65">
        <f t="array" ref="G20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0" s="65">
        <f t="array" ref="H20">IF(Demonstrativo_Calcular_Recuperavel_Tri="Não",0,SUMIFS(VIEW_IV_2019_VENDA_TRI[Recuperavel-Total-REP],VIEW_IV_2019_VENDA_TRI[Ano-Fiscal],Demostrativo_Ano,VIEW_IV_2019_VENDA_TRI[Tri-Fiscal],Demonstrativo_Tri))</f>
        <v>0</v>
      </c>
      <c r="I20" s="65"/>
      <c r="J20" s="65"/>
      <c r="K20" s="65">
        <f>SUM(VIEW_IV_2019_REPRESENTANTES[[#This Row],[IV Demanda Mês (70%)]:[Acréscimos (+)]])-VIEW_IV_2019_REPRESENTANTES[[#This Row],[Descontos (-)]]</f>
        <v>1082.0383287553823</v>
      </c>
      <c r="L20" s="91"/>
    </row>
    <row r="21" spans="1:12" x14ac:dyDescent="0.25">
      <c r="A21" s="8" t="s">
        <v>155</v>
      </c>
      <c r="B21" s="8" t="s">
        <v>156</v>
      </c>
      <c r="C21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1050.8699248626006</v>
      </c>
      <c r="D21" s="99">
        <f>SUMIFS(VIEW_IV_2019_VENDA[Premio-Total-REP],VIEW_IV_2019_VENDA[Ano-Fiscal],Demostrativo_Ano,VIEW_IV_2019_VENDA[Mes-Fiscal],Demonstrativo_Mes)</f>
        <v>901.7490882834843</v>
      </c>
      <c r="E21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132.37737481649117</v>
      </c>
      <c r="F21" s="100">
        <f t="shared" si="1"/>
        <v>180.2892404718981</v>
      </c>
      <c r="G21" s="65">
        <f t="array" ref="G2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1" s="65">
        <f t="array" ref="H21">IF(Demonstrativo_Calcular_Recuperavel_Tri="Não",0,SUMIFS(VIEW_IV_2019_VENDA_TRI[Recuperavel-Total-REP],VIEW_IV_2019_VENDA_TRI[Ano-Fiscal],Demostrativo_Ano,VIEW_IV_2019_VENDA_TRI[Tri-Fiscal],Demonstrativo_Tri))</f>
        <v>0</v>
      </c>
      <c r="I21" s="65"/>
      <c r="J21" s="65"/>
      <c r="K21" s="65">
        <f>SUM(VIEW_IV_2019_REPRESENTANTES[[#This Row],[IV Demanda Mês (70%)]:[Acréscimos (+)]])-VIEW_IV_2019_REPRESENTANTES[[#This Row],[Descontos (-)]]</f>
        <v>2265.2856284344743</v>
      </c>
      <c r="L21" s="91"/>
    </row>
    <row r="22" spans="1:12" x14ac:dyDescent="0.25">
      <c r="A22" s="8" t="s">
        <v>161</v>
      </c>
      <c r="B22" s="8" t="s">
        <v>162</v>
      </c>
      <c r="C22" s="99">
        <f>SUMIFS(VIEW_IV_2019_REP_CALCULO[Premio-Total],VIEW_IV_2019_REP_CALCULO[Ano-Fiscal],Demostrativo_Ano,VIEW_IV_2019_REP_CALCULO[Mes-Fiscal],Demonstrativo_Mes,VIEW_IV_2019_REP_CALCULO['#PK-Email],VIEW_IV_2019_REPRESENTANTES[[#This Row],[E-mail]])</f>
        <v>0</v>
      </c>
      <c r="D22" s="99">
        <f>SUMIFS(VIEW_IV_2019_VENDA[Premio-Total-REP],VIEW_IV_2019_VENDA[Ano-Fiscal],Demostrativo_Ano,VIEW_IV_2019_VENDA[Mes-Fiscal],Demonstrativo_Mes)</f>
        <v>901.7490882834843</v>
      </c>
      <c r="E22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2" s="100">
        <f t="shared" si="1"/>
        <v>180.2892404718981</v>
      </c>
      <c r="G22" s="65">
        <f t="array" ref="G22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2" s="65">
        <f t="array" ref="H22">IF(Demonstrativo_Calcular_Recuperavel_Tri="Não",0,SUMIFS(VIEW_IV_2019_VENDA_TRI[Recuperavel-Total-REP],VIEW_IV_2019_VENDA_TRI[Ano-Fiscal],Demostrativo_Ano,VIEW_IV_2019_VENDA_TRI[Tri-Fiscal],Demonstrativo_Tri))</f>
        <v>0</v>
      </c>
      <c r="I22" s="65"/>
      <c r="J22" s="65"/>
      <c r="K22" s="65">
        <f>SUM(VIEW_IV_2019_REPRESENTANTES[[#This Row],[IV Demanda Mês (70%)]:[Acréscimos (+)]])-VIEW_IV_2019_REPRESENTANTES[[#This Row],[Descontos (-)]]</f>
        <v>1082.0383287553823</v>
      </c>
      <c r="L22" s="91"/>
    </row>
    <row r="23" spans="1:12" x14ac:dyDescent="0.25">
      <c r="A23" s="8" t="s">
        <v>175</v>
      </c>
      <c r="B23" s="8" t="s">
        <v>176</v>
      </c>
      <c r="C23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320.91484803997821</v>
      </c>
      <c r="D23" s="99">
        <f>SUMIFS(VIEW_IV_2019_VENDA[Premio-Total-REP],VIEW_IV_2019_VENDA[Ano-Fiscal],Demostrativo_Ano,VIEW_IV_2019_VENDA[Mes-Fiscal],Demonstrativo_Mes)</f>
        <v>901.7490882834843</v>
      </c>
      <c r="E23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3" s="100">
        <f t="shared" si="1"/>
        <v>180.2892404718981</v>
      </c>
      <c r="G23" s="65">
        <f t="array" ref="G23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3" s="65">
        <f t="array" ref="H23">IF(Demonstrativo_Calcular_Recuperavel_Tri="Não",0,SUMIFS(VIEW_IV_2019_VENDA_TRI[Recuperavel-Total-REP],VIEW_IV_2019_VENDA_TRI[Ano-Fiscal],Demostrativo_Ano,VIEW_IV_2019_VENDA_TRI[Tri-Fiscal],Demonstrativo_Tri))</f>
        <v>0</v>
      </c>
      <c r="I23" s="65"/>
      <c r="J23" s="65"/>
      <c r="K23" s="65">
        <f>SUM(VIEW_IV_2019_REPRESENTANTES[[#This Row],[IV Demanda Mês (70%)]:[Acréscimos (+)]])-VIEW_IV_2019_REPRESENTANTES[[#This Row],[Descontos (-)]]</f>
        <v>1402.9531767953608</v>
      </c>
      <c r="L23" s="91"/>
    </row>
    <row r="24" spans="1:12" x14ac:dyDescent="0.25">
      <c r="A24" s="8" t="s">
        <v>199</v>
      </c>
      <c r="B24" s="8" t="s">
        <v>200</v>
      </c>
      <c r="C24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1059.3074613166852</v>
      </c>
      <c r="D24" s="99">
        <f>SUMIFS(VIEW_IV_2019_VENDA[Premio-Total-REP],VIEW_IV_2019_VENDA[Ano-Fiscal],Demostrativo_Ano,VIEW_IV_2019_VENDA[Mes-Fiscal],Demonstrativo_Mes)</f>
        <v>901.7490882834843</v>
      </c>
      <c r="E24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4" s="100">
        <f t="shared" si="1"/>
        <v>180.2892404718981</v>
      </c>
      <c r="G24" s="65">
        <f t="array" ref="G24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4" s="65">
        <f t="array" ref="H24">IF(Demonstrativo_Calcular_Recuperavel_Tri="Não",0,SUMIFS(VIEW_IV_2019_VENDA_TRI[Recuperavel-Total-REP],VIEW_IV_2019_VENDA_TRI[Ano-Fiscal],Demostrativo_Ano,VIEW_IV_2019_VENDA_TRI[Tri-Fiscal],Demonstrativo_Tri))</f>
        <v>0</v>
      </c>
      <c r="I24" s="65"/>
      <c r="J24" s="65"/>
      <c r="K24" s="65">
        <f>SUM(VIEW_IV_2019_REPRESENTANTES[[#This Row],[IV Demanda Mês (70%)]:[Acréscimos (+)]])-VIEW_IV_2019_REPRESENTANTES[[#This Row],[Descontos (-)]]</f>
        <v>2141.3457900720678</v>
      </c>
      <c r="L24" s="91"/>
    </row>
    <row r="25" spans="1:12" x14ac:dyDescent="0.25">
      <c r="A25" s="8" t="s">
        <v>144</v>
      </c>
      <c r="B25" s="8" t="s">
        <v>145</v>
      </c>
      <c r="C25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396.63632903817546</v>
      </c>
      <c r="D25" s="99">
        <f>SUMIFS(VIEW_IV_2019_VENDA[Premio-Total-REP],VIEW_IV_2019_VENDA[Ano-Fiscal],Demostrativo_Ano,VIEW_IV_2019_VENDA[Mes-Fiscal],Demonstrativo_Mes)</f>
        <v>901.7490882834843</v>
      </c>
      <c r="E25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5" s="100">
        <f t="shared" si="1"/>
        <v>180.2892404718981</v>
      </c>
      <c r="G25" s="65">
        <f t="array" ref="G25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5" s="65">
        <f t="array" ref="H25">IF(Demonstrativo_Calcular_Recuperavel_Tri="Não",0,SUMIFS(VIEW_IV_2019_VENDA_TRI[Recuperavel-Total-REP],VIEW_IV_2019_VENDA_TRI[Ano-Fiscal],Demostrativo_Ano,VIEW_IV_2019_VENDA_TRI[Tri-Fiscal],Demonstrativo_Tri))</f>
        <v>0</v>
      </c>
      <c r="I25" s="65"/>
      <c r="J25" s="65"/>
      <c r="K25" s="65">
        <f>SUM(VIEW_IV_2019_REPRESENTANTES[[#This Row],[IV Demanda Mês (70%)]:[Acréscimos (+)]])-VIEW_IV_2019_REPRESENTANTES[[#This Row],[Descontos (-)]]</f>
        <v>1478.6746577935578</v>
      </c>
      <c r="L25" s="91"/>
    </row>
    <row r="26" spans="1:12" x14ac:dyDescent="0.25">
      <c r="A26" s="8" t="s">
        <v>147</v>
      </c>
      <c r="B26" s="8" t="s">
        <v>148</v>
      </c>
      <c r="C26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1999.2995032890717</v>
      </c>
      <c r="D26" s="99">
        <f>SUMIFS(VIEW_IV_2019_VENDA[Premio-Total-REP],VIEW_IV_2019_VENDA[Ano-Fiscal],Demostrativo_Ano,VIEW_IV_2019_VENDA[Mes-Fiscal],Demonstrativo_Mes)</f>
        <v>901.7490882834843</v>
      </c>
      <c r="E26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132.91824253790685</v>
      </c>
      <c r="F26" s="100">
        <f t="shared" si="1"/>
        <v>180.2892404718981</v>
      </c>
      <c r="G26" s="65">
        <f t="array" ref="G26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6" s="65">
        <f t="array" ref="H26">IF(Demonstrativo_Calcular_Recuperavel_Tri="Não",0,SUMIFS(VIEW_IV_2019_VENDA_TRI[Recuperavel-Total-REP],VIEW_IV_2019_VENDA_TRI[Ano-Fiscal],Demostrativo_Ano,VIEW_IV_2019_VENDA_TRI[Tri-Fiscal],Demonstrativo_Tri))</f>
        <v>0</v>
      </c>
      <c r="I26" s="65"/>
      <c r="J26" s="65"/>
      <c r="K26" s="65">
        <f>SUM(VIEW_IV_2019_REPRESENTANTES[[#This Row],[IV Demanda Mês (70%)]:[Acréscimos (+)]])-VIEW_IV_2019_REPRESENTANTES[[#This Row],[Descontos (-)]]</f>
        <v>3214.2560745823607</v>
      </c>
      <c r="L26" s="91"/>
    </row>
    <row r="27" spans="1:12" x14ac:dyDescent="0.25">
      <c r="A27" s="8" t="s">
        <v>149</v>
      </c>
      <c r="B27" s="8" t="s">
        <v>150</v>
      </c>
      <c r="C27" s="99">
        <f>SUMIFS(VIEW_IV_2019_REP_CALCULO[Premio-Total],VIEW_IV_2019_REP_CALCULO[Ano-Fiscal],Demostrativo_Ano,VIEW_IV_2019_REP_CALCULO[Mes-Fiscal],Demonstrativo_Mes,VIEW_IV_2019_REP_CALCULO['#PK-Email],VIEW_IV_2019_REPRESENTANTES[[#This Row],[E-mail]])</f>
        <v>0</v>
      </c>
      <c r="D27" s="99">
        <f>SUMIFS(VIEW_IV_2019_VENDA[Premio-Total-REP],VIEW_IV_2019_VENDA[Ano-Fiscal],Demostrativo_Ano,VIEW_IV_2019_VENDA[Mes-Fiscal],Demonstrativo_Mes)</f>
        <v>901.7490882834843</v>
      </c>
      <c r="E27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27" s="100">
        <f t="shared" si="1"/>
        <v>180.2892404718981</v>
      </c>
      <c r="G27" s="65">
        <f t="array" ref="G27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7" s="65">
        <f t="array" ref="H27">IF(Demonstrativo_Calcular_Recuperavel_Tri="Não",0,SUMIFS(VIEW_IV_2019_VENDA_TRI[Recuperavel-Total-REP],VIEW_IV_2019_VENDA_TRI[Ano-Fiscal],Demostrativo_Ano,VIEW_IV_2019_VENDA_TRI[Tri-Fiscal],Demonstrativo_Tri))</f>
        <v>0</v>
      </c>
      <c r="I27" s="65"/>
      <c r="J27" s="65"/>
      <c r="K27" s="65">
        <f>SUM(VIEW_IV_2019_REPRESENTANTES[[#This Row],[IV Demanda Mês (70%)]:[Acréscimos (+)]])-VIEW_IV_2019_REPRESENTANTES[[#This Row],[Descontos (-)]]</f>
        <v>1262.3275692272805</v>
      </c>
      <c r="L27" s="91"/>
    </row>
    <row r="28" spans="1:12" x14ac:dyDescent="0.25">
      <c r="A28" s="8" t="s">
        <v>157</v>
      </c>
      <c r="B28" s="8" t="s">
        <v>158</v>
      </c>
      <c r="C28" s="99">
        <f>SUMIFS(VIEW_IV_2019_REP_CALCULO[Premio-Total],VIEW_IV_2019_REP_CALCULO[Ano-Fiscal],Demostrativo_Ano,VIEW_IV_2019_REP_CALCULO[Mes-Fiscal],Demonstrativo_Mes,VIEW_IV_2019_REP_CALCULO['#PK-Email],VIEW_IV_2019_REPRESENTANTES[[#This Row],[E-mail]])</f>
        <v>747.11861251554569</v>
      </c>
      <c r="D28" s="99">
        <f>SUMIFS(VIEW_IV_2019_VENDA[Premio-Total-REP],VIEW_IV_2019_VENDA[Ano-Fiscal],Demostrativo_Ano,VIEW_IV_2019_VENDA[Mes-Fiscal],Demonstrativo_Mes)</f>
        <v>901.7490882834843</v>
      </c>
      <c r="E28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8" s="100">
        <f t="shared" si="1"/>
        <v>180.2892404718981</v>
      </c>
      <c r="G28" s="65">
        <f t="array" ref="G28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8" s="65">
        <f t="array" ref="H28">IF(Demonstrativo_Calcular_Recuperavel_Tri="Não",0,SUMIFS(VIEW_IV_2019_VENDA_TRI[Recuperavel-Total-REP],VIEW_IV_2019_VENDA_TRI[Ano-Fiscal],Demostrativo_Ano,VIEW_IV_2019_VENDA_TRI[Tri-Fiscal],Demonstrativo_Tri))</f>
        <v>0</v>
      </c>
      <c r="I28" s="65"/>
      <c r="J28" s="65"/>
      <c r="K28" s="65">
        <f>SUM(VIEW_IV_2019_REPRESENTANTES[[#This Row],[IV Demanda Mês (70%)]:[Acréscimos (+)]])-VIEW_IV_2019_REPRESENTANTES[[#This Row],[Descontos (-)]]</f>
        <v>1829.1569412709282</v>
      </c>
      <c r="L28" s="91"/>
    </row>
    <row r="29" spans="1:12" x14ac:dyDescent="0.25">
      <c r="A29" s="8" t="s">
        <v>163</v>
      </c>
      <c r="B29" s="8" t="s">
        <v>164</v>
      </c>
      <c r="C29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1629.8147338659624</v>
      </c>
      <c r="D29" s="99">
        <f>SUMIFS(VIEW_IV_2019_VENDA[Premio-Total-REP],VIEW_IV_2019_VENDA[Ano-Fiscal],Demostrativo_Ano,VIEW_IV_2019_VENDA[Mes-Fiscal],Demonstrativo_Mes)</f>
        <v>901.7490882834843</v>
      </c>
      <c r="E29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29" s="100">
        <f t="shared" si="1"/>
        <v>180.2892404718981</v>
      </c>
      <c r="G29" s="65">
        <f t="array" ref="G29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29" s="65">
        <f t="array" ref="H29">IF(Demonstrativo_Calcular_Recuperavel_Tri="Não",0,SUMIFS(VIEW_IV_2019_VENDA_TRI[Recuperavel-Total-REP],VIEW_IV_2019_VENDA_TRI[Ano-Fiscal],Demostrativo_Ano,VIEW_IV_2019_VENDA_TRI[Tri-Fiscal],Demonstrativo_Tri))</f>
        <v>0</v>
      </c>
      <c r="I29" s="65"/>
      <c r="J29" s="65"/>
      <c r="K29" s="65">
        <f>SUM(VIEW_IV_2019_REPRESENTANTES[[#This Row],[IV Demanda Mês (70%)]:[Acréscimos (+)]])-VIEW_IV_2019_REPRESENTANTES[[#This Row],[Descontos (-)]]</f>
        <v>2711.8530626213446</v>
      </c>
      <c r="L29" s="91"/>
    </row>
    <row r="30" spans="1:12" x14ac:dyDescent="0.25">
      <c r="A30" s="8" t="s">
        <v>165</v>
      </c>
      <c r="B30" s="8" t="s">
        <v>166</v>
      </c>
      <c r="C30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2556.5014298915194</v>
      </c>
      <c r="D30" s="99">
        <f>SUMIFS(VIEW_IV_2019_VENDA[Premio-Total-REP],VIEW_IV_2019_VENDA[Ano-Fiscal],Demostrativo_Ano,VIEW_IV_2019_VENDA[Mes-Fiscal],Demonstrativo_Mes)</f>
        <v>901.7490882834843</v>
      </c>
      <c r="E30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30" s="100">
        <f t="shared" si="1"/>
        <v>180.2892404718981</v>
      </c>
      <c r="G30" s="65">
        <f t="array" ref="G30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0" s="65">
        <f t="array" ref="H30">IF(Demonstrativo_Calcular_Recuperavel_Tri="Não",0,SUMIFS(VIEW_IV_2019_VENDA_TRI[Recuperavel-Total-REP],VIEW_IV_2019_VENDA_TRI[Ano-Fiscal],Demostrativo_Ano,VIEW_IV_2019_VENDA_TRI[Tri-Fiscal],Demonstrativo_Tri))</f>
        <v>0</v>
      </c>
      <c r="I30" s="65"/>
      <c r="J30" s="65"/>
      <c r="K30" s="65">
        <f>SUM(VIEW_IV_2019_REPRESENTANTES[[#This Row],[IV Demanda Mês (70%)]:[Acréscimos (+)]])-VIEW_IV_2019_REPRESENTANTES[[#This Row],[Descontos (-)]]</f>
        <v>3638.5397586469021</v>
      </c>
      <c r="L30" s="91"/>
    </row>
    <row r="31" spans="1:12" x14ac:dyDescent="0.25">
      <c r="A31" s="8" t="s">
        <v>167</v>
      </c>
      <c r="B31" s="8" t="s">
        <v>168</v>
      </c>
      <c r="C31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1629.8147338659624</v>
      </c>
      <c r="D31" s="99">
        <f>SUMIFS(VIEW_IV_2019_VENDA[Premio-Total-REP],VIEW_IV_2019_VENDA[Ano-Fiscal],Demostrativo_Ano,VIEW_IV_2019_VENDA[Mes-Fiscal],Demonstrativo_Mes)</f>
        <v>901.7490882834843</v>
      </c>
      <c r="E31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1" s="100">
        <f t="shared" si="1"/>
        <v>180.2892404718981</v>
      </c>
      <c r="G31" s="65">
        <f t="array" ref="G31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1" s="65">
        <f t="array" ref="H31">IF(Demonstrativo_Calcular_Recuperavel_Tri="Não",0,SUMIFS(VIEW_IV_2019_VENDA_TRI[Recuperavel-Total-REP],VIEW_IV_2019_VENDA_TRI[Ano-Fiscal],Demostrativo_Ano,VIEW_IV_2019_VENDA_TRI[Tri-Fiscal],Demonstrativo_Tri))</f>
        <v>0</v>
      </c>
      <c r="I31" s="65"/>
      <c r="J31" s="65"/>
      <c r="K31" s="65">
        <f>SUM(VIEW_IV_2019_REPRESENTANTES[[#This Row],[IV Demanda Mês (70%)]:[Acréscimos (+)]])-VIEW_IV_2019_REPRESENTANTES[[#This Row],[Descontos (-)]]</f>
        <v>2892.1423030932428</v>
      </c>
      <c r="L31" s="91"/>
    </row>
    <row r="32" spans="1:12" x14ac:dyDescent="0.25">
      <c r="A32" s="8" t="s">
        <v>169</v>
      </c>
      <c r="B32" s="8" t="s">
        <v>170</v>
      </c>
      <c r="C32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2037.2684173324528</v>
      </c>
      <c r="D32" s="99">
        <f>SUMIFS(VIEW_IV_2019_VENDA[Premio-Total-REP],VIEW_IV_2019_VENDA[Ano-Fiscal],Demostrativo_Ano,VIEW_IV_2019_VENDA[Mes-Fiscal],Demonstrativo_Mes)</f>
        <v>901.7490882834843</v>
      </c>
      <c r="E32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76.803216441028454</v>
      </c>
      <c r="F32" s="100">
        <f t="shared" si="1"/>
        <v>180.2892404718981</v>
      </c>
      <c r="G32" s="65">
        <f t="array" ref="G32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2" s="65">
        <f t="array" ref="H32">IF(Demonstrativo_Calcular_Recuperavel_Tri="Não",0,SUMIFS(VIEW_IV_2019_VENDA_TRI[Recuperavel-Total-REP],VIEW_IV_2019_VENDA_TRI[Ano-Fiscal],Demostrativo_Ano,VIEW_IV_2019_VENDA_TRI[Tri-Fiscal],Demonstrativo_Tri))</f>
        <v>0</v>
      </c>
      <c r="I32" s="65"/>
      <c r="J32" s="65"/>
      <c r="K32" s="65">
        <f>SUM(VIEW_IV_2019_REPRESENTANTES[[#This Row],[IV Demanda Mês (70%)]:[Acréscimos (+)]])-VIEW_IV_2019_REPRESENTANTES[[#This Row],[Descontos (-)]]</f>
        <v>3196.1099625288634</v>
      </c>
      <c r="L32" s="91"/>
    </row>
    <row r="33" spans="1:12" x14ac:dyDescent="0.25">
      <c r="A33" s="8" t="s">
        <v>173</v>
      </c>
      <c r="B33" s="8" t="s">
        <v>174</v>
      </c>
      <c r="C33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1335.669232251249</v>
      </c>
      <c r="D33" s="99">
        <f>SUMIFS(VIEW_IV_2019_VENDA[Premio-Total-REP],VIEW_IV_2019_VENDA[Ano-Fiscal],Demostrativo_Ano,VIEW_IV_2019_VENDA[Mes-Fiscal],Demonstrativo_Mes)</f>
        <v>901.7490882834843</v>
      </c>
      <c r="E33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180.2892404718981</v>
      </c>
      <c r="F33" s="100">
        <f t="shared" si="1"/>
        <v>180.2892404718981</v>
      </c>
      <c r="G33" s="65">
        <f t="array" ref="G33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3" s="65">
        <f t="array" ref="H33">IF(Demonstrativo_Calcular_Recuperavel_Tri="Não",0,SUMIFS(VIEW_IV_2019_VENDA_TRI[Recuperavel-Total-REP],VIEW_IV_2019_VENDA_TRI[Ano-Fiscal],Demostrativo_Ano,VIEW_IV_2019_VENDA_TRI[Tri-Fiscal],Demonstrativo_Tri))</f>
        <v>0</v>
      </c>
      <c r="I33" s="65"/>
      <c r="J33" s="65"/>
      <c r="K33" s="65">
        <f>SUM(VIEW_IV_2019_REPRESENTANTES[[#This Row],[IV Demanda Mês (70%)]:[Acréscimos (+)]])-VIEW_IV_2019_REPRESENTANTES[[#This Row],[Descontos (-)]]</f>
        <v>2597.99680147853</v>
      </c>
      <c r="L33" s="91"/>
    </row>
    <row r="34" spans="1:12" x14ac:dyDescent="0.25">
      <c r="A34" s="8" t="s">
        <v>177</v>
      </c>
      <c r="B34" s="8" t="s">
        <v>178</v>
      </c>
      <c r="C34" s="99">
        <f>SUMIFS(VIEW_IV_2019_REP_CALCULO[Premio-Total],VIEW_IV_2019_REP_CALCULO[Ano-Fiscal],Demostrativo_Ano,VIEW_IV_2019_REP_CALCULO[Mes-Fiscal],Demonstrativo_Mes,VIEW_IV_2019_REP_CALCULO['#PK-Email],VIEW_IV_2019_REPRESENTANTES[[#This Row],[E-mail]])</f>
        <v>369.5929429673908</v>
      </c>
      <c r="D34" s="99">
        <f>SUMIFS(VIEW_IV_2019_VENDA[Premio-Total-REP],VIEW_IV_2019_VENDA[Ano-Fiscal],Demostrativo_Ano,VIEW_IV_2019_VENDA[Mes-Fiscal],Demonstrativo_Mes)</f>
        <v>901.7490882834843</v>
      </c>
      <c r="E34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124.26435899525566</v>
      </c>
      <c r="F34" s="100">
        <f t="shared" si="1"/>
        <v>180.2892404718981</v>
      </c>
      <c r="G34" s="65">
        <f t="array" ref="G34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4" s="65">
        <f t="array" ref="H34">IF(Demonstrativo_Calcular_Recuperavel_Tri="Não",0,SUMIFS(VIEW_IV_2019_VENDA_TRI[Recuperavel-Total-REP],VIEW_IV_2019_VENDA_TRI[Ano-Fiscal],Demostrativo_Ano,VIEW_IV_2019_VENDA_TRI[Tri-Fiscal],Demonstrativo_Tri))</f>
        <v>0</v>
      </c>
      <c r="I34" s="65"/>
      <c r="J34" s="65"/>
      <c r="K34" s="65">
        <f>SUM(VIEW_IV_2019_REPRESENTANTES[[#This Row],[IV Demanda Mês (70%)]:[Acréscimos (+)]])-VIEW_IV_2019_REPRESENTANTES[[#This Row],[Descontos (-)]]</f>
        <v>1575.8956307180288</v>
      </c>
      <c r="L34" s="91"/>
    </row>
    <row r="35" spans="1:12" x14ac:dyDescent="0.25">
      <c r="A35" s="8" t="s">
        <v>181</v>
      </c>
      <c r="B35" s="8" t="s">
        <v>182</v>
      </c>
      <c r="C35" s="99">
        <f>SUMIFS(VIEW_IV_2019_REP_CALCULO[Premio-Total],VIEW_IV_2019_REP_CALCULO[Ano-Fiscal],Demostrativo_Ano,VIEW_IV_2019_REP_CALCULO[Mes-Fiscal],Demonstrativo_Mes,VIEW_IV_2019_REP_CALCULO['#PK-Email],VIEW_IV_2019_REPRESENTANTES[[#This Row],[E-mail]])</f>
        <v>1017.1197790462616</v>
      </c>
      <c r="D35" s="99">
        <f>SUMIFS(VIEW_IV_2019_VENDA[Premio-Total-REP],VIEW_IV_2019_VENDA[Ano-Fiscal],Demostrativo_Ano,VIEW_IV_2019_VENDA[Mes-Fiscal],Demonstrativo_Mes)</f>
        <v>901.7490882834843</v>
      </c>
      <c r="E35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0</v>
      </c>
      <c r="F35" s="100">
        <f t="shared" si="1"/>
        <v>180.2892404718981</v>
      </c>
      <c r="G35" s="65">
        <f t="array" ref="G35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5" s="65">
        <f t="array" ref="H35">IF(Demonstrativo_Calcular_Recuperavel_Tri="Não",0,SUMIFS(VIEW_IV_2019_VENDA_TRI[Recuperavel-Total-REP],VIEW_IV_2019_VENDA_TRI[Ano-Fiscal],Demostrativo_Ano,VIEW_IV_2019_VENDA_TRI[Tri-Fiscal],Demonstrativo_Tri))</f>
        <v>0</v>
      </c>
      <c r="I35" s="65"/>
      <c r="J35" s="65"/>
      <c r="K35" s="65">
        <f>SUM(VIEW_IV_2019_REPRESENTANTES[[#This Row],[IV Demanda Mês (70%)]:[Acréscimos (+)]])-VIEW_IV_2019_REPRESENTANTES[[#This Row],[Descontos (-)]]</f>
        <v>2099.1581078016438</v>
      </c>
      <c r="L35" s="91"/>
    </row>
    <row r="36" spans="1:12" x14ac:dyDescent="0.25">
      <c r="A36" s="8" t="s">
        <v>183</v>
      </c>
      <c r="B36" s="8" t="s">
        <v>184</v>
      </c>
      <c r="C36" s="99">
        <f>SUMIFS(VIEW_IV_2019_REP_CALCULO[Premio-Total],VIEW_IV_2019_REP_CALCULO[Ano-Fiscal],Demostrativo_Ano,VIEW_IV_2019_REP_CALCULO[Mes-Fiscal],Demonstrativo_Mes,VIEW_IV_2019_REP_CALCULO['#PK-Email],VIEW_IV_2019_REPRESENTANTES[[#This Row],[E-mail]])</f>
        <v>4687.2390010542204</v>
      </c>
      <c r="D36" s="99">
        <f>SUMIFS(VIEW_IV_2019_VENDA[Premio-Total-REP],VIEW_IV_2019_VENDA[Ano-Fiscal],Demostrativo_Ano,VIEW_IV_2019_VENDA[Mes-Fiscal],Demonstrativo_Mes)</f>
        <v>901.7490882834843</v>
      </c>
      <c r="E36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125.75174522914891</v>
      </c>
      <c r="F36" s="100">
        <f t="shared" si="1"/>
        <v>180.2892404718981</v>
      </c>
      <c r="G36" s="65">
        <f t="array" ref="G36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6" s="65">
        <f t="array" ref="H36">IF(Demonstrativo_Calcular_Recuperavel_Tri="Não",0,SUMIFS(VIEW_IV_2019_VENDA_TRI[Recuperavel-Total-REP],VIEW_IV_2019_VENDA_TRI[Ano-Fiscal],Demostrativo_Ano,VIEW_IV_2019_VENDA_TRI[Tri-Fiscal],Demonstrativo_Tri))</f>
        <v>0</v>
      </c>
      <c r="I36" s="65"/>
      <c r="J36" s="65"/>
      <c r="K36" s="65">
        <f>SUM(VIEW_IV_2019_REPRESENTANTES[[#This Row],[IV Demanda Mês (70%)]:[Acréscimos (+)]])-VIEW_IV_2019_REPRESENTANTES[[#This Row],[Descontos (-)]]</f>
        <v>5895.0290750387512</v>
      </c>
      <c r="L36" s="91"/>
    </row>
    <row r="37" spans="1:12" x14ac:dyDescent="0.25">
      <c r="A37" s="8" t="s">
        <v>159</v>
      </c>
      <c r="B37" s="8" t="s">
        <v>160</v>
      </c>
      <c r="C37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2852.1757842654342</v>
      </c>
      <c r="D37" s="99">
        <f>SUMIFS(VIEW_IV_2019_VENDA[Premio-Total-REP],VIEW_IV_2019_VENDA[Ano-Fiscal],Demostrativo_Ano,VIEW_IV_2019_VENDA[Mes-Fiscal],Demonstrativo_Mes)</f>
        <v>901.7490882834843</v>
      </c>
      <c r="E37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76.172204099376856</v>
      </c>
      <c r="F37" s="100">
        <f t="shared" si="1"/>
        <v>180.2892404718981</v>
      </c>
      <c r="G37" s="65">
        <f t="array" ref="G37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7" s="65">
        <f t="array" ref="H37">IF(Demonstrativo_Calcular_Recuperavel_Tri="Não",0,SUMIFS(VIEW_IV_2019_VENDA_TRI[Recuperavel-Total-REP],VIEW_IV_2019_VENDA_TRI[Ano-Fiscal],Demostrativo_Ano,VIEW_IV_2019_VENDA_TRI[Tri-Fiscal],Demonstrativo_Tri))</f>
        <v>0</v>
      </c>
      <c r="I37" s="65"/>
      <c r="J37" s="65"/>
      <c r="K37" s="65">
        <f>SUM(VIEW_IV_2019_REPRESENTANTES[[#This Row],[IV Demanda Mês (70%)]:[Acréscimos (+)]])-VIEW_IV_2019_REPRESENTANTES[[#This Row],[Descontos (-)]]</f>
        <v>4010.3863171201938</v>
      </c>
      <c r="L37" s="91"/>
    </row>
    <row r="38" spans="1:12" x14ac:dyDescent="0.25">
      <c r="A38" s="8" t="s">
        <v>201</v>
      </c>
      <c r="B38" s="8" t="s">
        <v>202</v>
      </c>
      <c r="C38" s="99">
        <f>SUMIFS(VIEW_IV_2019_REP_CALCULO[Premio-Total],VIEW_IV_2019_REP_CALCULO[Ano-Fiscal],Demostrativo_Ano,VIEW_IV_2019_REP_CALCULO[Mes-Fiscal],Demonstrativo_Mes,VIEW_IV_2019_REP_CALCULO['#PK-Email],VIEW_IV_2019_REPRESENTANTES[[#This Row],[E-mail]])</f>
        <v>2677.2952210076915</v>
      </c>
      <c r="D38" s="99">
        <f>SUMIFS(VIEW_IV_2019_VENDA[Premio-Total-REP],VIEW_IV_2019_VENDA[Ano-Fiscal],Demostrativo_Ano,VIEW_IV_2019_VENDA[Mes-Fiscal],Demonstrativo_Mes)</f>
        <v>901.7490882834843</v>
      </c>
      <c r="E38" s="99">
        <f>SUMIFS(VIEW_IV_2019_VISITAS_REP[Visitas-Premio],VIEW_IV_2019_VISITAS_REP[Ano-Fiscal],Demostrativo_Ano,VIEW_IV_2019_VISITAS_REP[Mes-Fiscal],Demonstrativo_Mes,VIEW_IV_2019_VISITAS_REP['#PK-Email],VIEW_IV_2019_REPRESENTANTES[[#This Row],[E-mail]])</f>
        <v>129.13216848799703</v>
      </c>
      <c r="F38" s="100">
        <f t="shared" si="1"/>
        <v>180.2892404718981</v>
      </c>
      <c r="G38" s="65">
        <f t="array" ref="G38">IF(Demonstrativo_Calcular_Recuperavel_Tri="Não",0,SUMIFS(VIEW_IV_2019_REP_CALCULO_TRI[Recuperavel-Total],VIEW_IV_2019_REP_CALCULO_TRI[Ano-Fiscal],Demostrativo_Ano,VIEW_IV_2019_REP_CALCULO_TRI[Tri-Fiscal],Demonstrativo_Tri,VIEW_IV_2019_REP_CALCULO_TRI['#PK-Email],VIEW_IV_2019_REPRESENTANTES[[#This Row],[E-mail]]))</f>
        <v>0</v>
      </c>
      <c r="H38" s="65">
        <f t="array" ref="H38">IF(Demonstrativo_Calcular_Recuperavel_Tri="Não",0,SUMIFS(VIEW_IV_2019_VENDA_TRI[Recuperavel-Total-REP],VIEW_IV_2019_VENDA_TRI[Ano-Fiscal],Demostrativo_Ano,VIEW_IV_2019_VENDA_TRI[Tri-Fiscal],Demonstrativo_Tri))</f>
        <v>0</v>
      </c>
      <c r="I38" s="65"/>
      <c r="J38" s="65"/>
      <c r="K38" s="65">
        <f>SUM(VIEW_IV_2019_REPRESENTANTES[[#This Row],[IV Demanda Mês (70%)]:[Acréscimos (+)]])-VIEW_IV_2019_REPRESENTANTES[[#This Row],[Descontos (-)]]</f>
        <v>3888.4657182510709</v>
      </c>
      <c r="L38" s="91"/>
    </row>
  </sheetData>
  <mergeCells count="3">
    <mergeCell ref="A9:B9"/>
    <mergeCell ref="A17:B17"/>
    <mergeCell ref="A11:B11"/>
  </mergeCells>
  <phoneticPr fontId="5" type="noConversion"/>
  <conditionalFormatting sqref="B7">
    <cfRule type="cellIs" dxfId="2032" priority="1" operator="equal">
      <formula>"Não"</formula>
    </cfRule>
    <cfRule type="cellIs" dxfId="2031" priority="2" operator="equal">
      <formula>"Sim"</formula>
    </cfRule>
  </conditionalFormatting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B690-879E-4ABA-900C-EDDC7D7F65EC}">
  <sheetPr codeName="Planilha6">
    <tabColor theme="9" tint="0.79998168889431442"/>
  </sheetPr>
  <dimension ref="C1:AJ573"/>
  <sheetViews>
    <sheetView showGridLines="0" tabSelected="1" zoomScaleNormal="100" workbookViewId="0">
      <selection activeCell="C2" sqref="C2:J48"/>
    </sheetView>
  </sheetViews>
  <sheetFormatPr defaultRowHeight="15" x14ac:dyDescent="0.25"/>
  <cols>
    <col min="1" max="1" width="37.42578125" style="87" customWidth="1"/>
    <col min="2" max="2" width="2.5703125" style="87" customWidth="1"/>
    <col min="3" max="3" width="16" style="87" customWidth="1"/>
    <col min="4" max="7" width="17.140625" style="87" customWidth="1"/>
    <col min="8" max="8" width="17.140625" style="2" customWidth="1"/>
    <col min="9" max="10" width="17.140625" style="87" customWidth="1"/>
    <col min="11" max="11" width="1.7109375" style="87" customWidth="1"/>
    <col min="12" max="12" width="78.85546875" style="3" customWidth="1"/>
    <col min="13" max="17" width="12" style="3" customWidth="1"/>
    <col min="18" max="18" width="3.5703125" style="87" customWidth="1"/>
    <col min="19" max="19" width="78.85546875" style="3" customWidth="1"/>
    <col min="20" max="24" width="12" style="3" customWidth="1"/>
    <col min="25" max="25" width="3.5703125" style="87" customWidth="1"/>
    <col min="37" max="16384" width="9.140625" style="87"/>
  </cols>
  <sheetData>
    <row r="1" spans="3:25" ht="32.25" customHeight="1" x14ac:dyDescent="0.25">
      <c r="C1" s="188" t="s">
        <v>1354</v>
      </c>
      <c r="D1" s="189"/>
      <c r="E1" s="189"/>
      <c r="F1" s="189"/>
      <c r="G1" s="189"/>
      <c r="H1" s="190"/>
      <c r="I1" s="189"/>
    </row>
    <row r="2" spans="3:25" ht="18.75" x14ac:dyDescent="0.25">
      <c r="C2" s="88" t="s">
        <v>385</v>
      </c>
      <c r="L2" s="88" t="s">
        <v>524</v>
      </c>
      <c r="S2" s="88" t="s">
        <v>526</v>
      </c>
      <c r="T2"/>
    </row>
    <row r="3" spans="3:25" ht="21" x14ac:dyDescent="0.25">
      <c r="C3" s="50" t="s">
        <v>380</v>
      </c>
      <c r="D3" s="203" t="str">
        <f>M3</f>
        <v>2019/2020</v>
      </c>
      <c r="E3" s="204"/>
      <c r="F3" s="205"/>
      <c r="G3" s="89"/>
      <c r="H3" s="114"/>
      <c r="I3" s="89"/>
      <c r="L3" s="92" t="s">
        <v>2</v>
      </c>
      <c r="M3" s="3" t="s">
        <v>16</v>
      </c>
      <c r="S3" s="92" t="s">
        <v>2</v>
      </c>
      <c r="T3" s="3" t="s">
        <v>16</v>
      </c>
    </row>
    <row r="4" spans="3:25" x14ac:dyDescent="0.25">
      <c r="C4" s="50" t="s">
        <v>381</v>
      </c>
      <c r="D4" s="195" t="str">
        <f>M5</f>
        <v>06-Dez</v>
      </c>
      <c r="E4" s="196"/>
      <c r="F4" s="197"/>
      <c r="L4" s="92" t="s">
        <v>4</v>
      </c>
      <c r="M4" s="3" t="s">
        <v>24</v>
      </c>
      <c r="S4" s="92" t="s">
        <v>4</v>
      </c>
      <c r="T4" s="3" t="s">
        <v>24</v>
      </c>
    </row>
    <row r="5" spans="3:25" x14ac:dyDescent="0.25">
      <c r="C5" s="50" t="s">
        <v>382</v>
      </c>
      <c r="D5" s="195" t="str">
        <f>M4</f>
        <v>02-Tri</v>
      </c>
      <c r="E5" s="196"/>
      <c r="F5" s="197"/>
      <c r="L5" s="92" t="s">
        <v>3</v>
      </c>
      <c r="M5" s="3" t="s">
        <v>230</v>
      </c>
      <c r="S5" s="92" t="s">
        <v>217</v>
      </c>
      <c r="T5" s="3" t="s">
        <v>155</v>
      </c>
    </row>
    <row r="6" spans="3:25" x14ac:dyDescent="0.25">
      <c r="C6" s="50" t="s">
        <v>433</v>
      </c>
      <c r="D6" s="195" t="str">
        <f>M6</f>
        <v>eveline.goulart@cslbehring.com</v>
      </c>
      <c r="E6" s="196"/>
      <c r="F6" s="197"/>
      <c r="L6" s="92" t="s">
        <v>217</v>
      </c>
      <c r="M6" s="3" t="s">
        <v>155</v>
      </c>
      <c r="S6" s="111" t="s">
        <v>408</v>
      </c>
      <c r="T6" s="112">
        <f>SUM(T8:T1048576)</f>
        <v>3</v>
      </c>
      <c r="U6" s="112">
        <f>SUM(U8:U1048576)</f>
        <v>0</v>
      </c>
      <c r="V6" s="112">
        <f>SUM(V8:V1048576)</f>
        <v>0</v>
      </c>
      <c r="W6" s="112">
        <f>SUM(W8:W1048576)</f>
        <v>2165</v>
      </c>
      <c r="X6" s="112">
        <f>SUM(X8:X1048576)</f>
        <v>16685</v>
      </c>
    </row>
    <row r="7" spans="3:25" x14ac:dyDescent="0.25">
      <c r="C7" s="113" t="s">
        <v>133</v>
      </c>
      <c r="D7" s="195" t="str">
        <f>VLOOKUP(Filtro_Demostrativo_Rep_REP,VIEW_IV_2019_DEMANDA_CONFIG_PESOS[],2,0)</f>
        <v>EVELINE GOULART - ESP - RJ</v>
      </c>
      <c r="E7" s="196"/>
      <c r="F7" s="197"/>
      <c r="L7" s="111" t="s">
        <v>408</v>
      </c>
      <c r="M7" s="112">
        <f>SUM(M9:M1048576)</f>
        <v>0</v>
      </c>
      <c r="N7" s="112">
        <f>SUM(N9:N1048576)</f>
        <v>0</v>
      </c>
      <c r="O7" s="112">
        <f>SUM(O9:O1048576)</f>
        <v>0</v>
      </c>
      <c r="P7" s="112">
        <f>SUM(P9:P1048576)</f>
        <v>127</v>
      </c>
      <c r="Q7" s="112">
        <f>SUM(Q9:Q1048576)</f>
        <v>30</v>
      </c>
      <c r="S7" s="93" t="s">
        <v>10</v>
      </c>
      <c r="T7" s="94" t="s">
        <v>28</v>
      </c>
      <c r="U7" s="94" t="s">
        <v>25</v>
      </c>
      <c r="V7" s="94" t="s">
        <v>383</v>
      </c>
      <c r="W7" s="94" t="s">
        <v>26</v>
      </c>
      <c r="X7" s="94" t="s">
        <v>20</v>
      </c>
    </row>
    <row r="8" spans="3:25" x14ac:dyDescent="0.25">
      <c r="C8" s="113" t="s">
        <v>136</v>
      </c>
      <c r="D8" s="195" t="str">
        <f>VLOOKUP(Filtro_Demostrativo_Rep_REP,VIEW_IV_2019_DEMANDA_CONFIG_PESOS[],5,0)</f>
        <v>Especialidade (ESP)</v>
      </c>
      <c r="E8" s="196"/>
      <c r="F8" s="197"/>
      <c r="L8" s="93" t="s">
        <v>10</v>
      </c>
      <c r="M8" s="94" t="s">
        <v>28</v>
      </c>
      <c r="N8" s="94" t="s">
        <v>25</v>
      </c>
      <c r="O8" s="94" t="s">
        <v>383</v>
      </c>
      <c r="P8" s="94" t="s">
        <v>26</v>
      </c>
      <c r="Q8" s="94" t="s">
        <v>20</v>
      </c>
      <c r="S8" s="91" t="s">
        <v>1041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62"/>
    </row>
    <row r="9" spans="3:25" x14ac:dyDescent="0.25">
      <c r="C9" s="113" t="s">
        <v>204</v>
      </c>
      <c r="D9" s="195" t="str">
        <f>VLOOKUP(Filtro_Demostrativo_Rep_REP,VIEW_IV_2019_DEMANDA_CONFIG_PESOS[],7,0)</f>
        <v>RAFAEL ESTEVES (RJ/SPI/SUL)</v>
      </c>
      <c r="E9" s="196"/>
      <c r="F9" s="197"/>
      <c r="L9" s="91" t="s">
        <v>1038</v>
      </c>
      <c r="M9" s="10">
        <v>0</v>
      </c>
      <c r="N9" s="10">
        <v>0</v>
      </c>
      <c r="O9" s="10">
        <v>0</v>
      </c>
      <c r="P9" s="10">
        <v>102</v>
      </c>
      <c r="Q9" s="10">
        <v>0</v>
      </c>
      <c r="S9" s="91" t="s">
        <v>1038</v>
      </c>
      <c r="T9" s="10">
        <v>0</v>
      </c>
      <c r="U9" s="10">
        <v>0</v>
      </c>
      <c r="V9" s="10">
        <v>0</v>
      </c>
      <c r="W9" s="10">
        <v>677</v>
      </c>
      <c r="X9" s="10">
        <v>695</v>
      </c>
    </row>
    <row r="10" spans="3:25" x14ac:dyDescent="0.25">
      <c r="L10" s="91" t="s">
        <v>1065</v>
      </c>
      <c r="M10" s="10">
        <v>0</v>
      </c>
      <c r="N10" s="10">
        <v>0</v>
      </c>
      <c r="O10" s="10">
        <v>0</v>
      </c>
      <c r="P10" s="10">
        <v>25</v>
      </c>
      <c r="Q10" s="10">
        <v>0</v>
      </c>
      <c r="S10" s="91" t="s">
        <v>1065</v>
      </c>
      <c r="T10" s="10">
        <v>0</v>
      </c>
      <c r="U10" s="10">
        <v>0</v>
      </c>
      <c r="V10" s="10">
        <v>0</v>
      </c>
      <c r="W10" s="10">
        <v>75</v>
      </c>
      <c r="X10" s="10">
        <v>1675</v>
      </c>
    </row>
    <row r="11" spans="3:25" ht="15.75" x14ac:dyDescent="0.25">
      <c r="C11" s="143" t="s">
        <v>427</v>
      </c>
      <c r="D11" s="143"/>
      <c r="E11" s="143"/>
      <c r="F11" s="143"/>
      <c r="G11" s="144"/>
      <c r="H11" s="145">
        <f>H20+H24+H25+H32+J41+J48</f>
        <v>7267.323345334913</v>
      </c>
      <c r="L11" s="91" t="s">
        <v>1107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91" t="s">
        <v>1040</v>
      </c>
      <c r="T11" s="10">
        <v>0</v>
      </c>
      <c r="U11" s="10">
        <v>0</v>
      </c>
      <c r="V11" s="10">
        <v>0</v>
      </c>
      <c r="W11" s="10">
        <v>0</v>
      </c>
      <c r="X11" s="10">
        <v>640</v>
      </c>
    </row>
    <row r="12" spans="3:25" x14ac:dyDescent="0.25">
      <c r="L12" s="91" t="s">
        <v>1080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91" t="s">
        <v>1053</v>
      </c>
      <c r="T12" s="10">
        <v>0</v>
      </c>
      <c r="U12" s="10">
        <v>0</v>
      </c>
      <c r="V12" s="10">
        <v>0</v>
      </c>
      <c r="W12" s="10">
        <v>0</v>
      </c>
      <c r="X12" s="10">
        <v>250</v>
      </c>
    </row>
    <row r="13" spans="3:25" x14ac:dyDescent="0.25">
      <c r="C13" s="115" t="s">
        <v>415</v>
      </c>
      <c r="L13" s="91" t="s">
        <v>1081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91" t="s">
        <v>1042</v>
      </c>
      <c r="T13" s="10">
        <v>0</v>
      </c>
      <c r="U13" s="10">
        <v>0</v>
      </c>
      <c r="V13" s="10">
        <v>0</v>
      </c>
      <c r="W13" s="10">
        <v>14</v>
      </c>
      <c r="X13" s="10">
        <v>0</v>
      </c>
    </row>
    <row r="14" spans="3:25" x14ac:dyDescent="0.25">
      <c r="C14" s="131" t="s">
        <v>14</v>
      </c>
      <c r="D14" s="131" t="s">
        <v>409</v>
      </c>
      <c r="E14" s="131" t="s">
        <v>410</v>
      </c>
      <c r="F14" s="131" t="s">
        <v>411</v>
      </c>
      <c r="G14" s="131" t="s">
        <v>412</v>
      </c>
      <c r="H14" s="131" t="s">
        <v>413</v>
      </c>
      <c r="L14" s="91" t="s">
        <v>1099</v>
      </c>
      <c r="M14" s="10">
        <v>0</v>
      </c>
      <c r="N14" s="10">
        <v>0</v>
      </c>
      <c r="O14" s="10">
        <v>0</v>
      </c>
      <c r="P14" s="10">
        <v>0</v>
      </c>
      <c r="Q14" s="10">
        <v>30</v>
      </c>
      <c r="S14" s="91" t="s">
        <v>1050</v>
      </c>
      <c r="T14" s="10">
        <v>0</v>
      </c>
      <c r="U14" s="10">
        <v>0</v>
      </c>
      <c r="V14" s="10">
        <v>0</v>
      </c>
      <c r="W14" s="10">
        <v>144</v>
      </c>
      <c r="X14" s="10">
        <v>0</v>
      </c>
    </row>
    <row r="15" spans="3:25" x14ac:dyDescent="0.25">
      <c r="C15" s="132" t="s">
        <v>28</v>
      </c>
      <c r="D15" s="131">
        <f>SUMIFS(VIEW_IV_2019_REP_CALCULO[Cota-BERINERT],VIEW_IV_2019_REP_CALCULO[Ano-Fiscal],Filtro_Demostrativo_Rep_ANO,VIEW_IV_2019_REP_CALCULO[Mes-Fiscal],Filtro_Demostrativo_Rep_MES,VIEW_IV_2019_REP_CALCULO['#PK-Email],Filtro_Demostrativo_Rep_REP)</f>
        <v>14</v>
      </c>
      <c r="E15" s="131">
        <f>SUMIFS(VIEW_IV_2019_REP_CALCULO[Demanda-BERINERT],VIEW_IV_2019_REP_CALCULO[Ano-Fiscal],Filtro_Demostrativo_Rep_ANO,VIEW_IV_2019_REP_CALCULO[Mes-Fiscal],Filtro_Demostrativo_Rep_MES,VIEW_IV_2019_REP_CALCULO['#PK-Email],Filtro_Demostrativo_Rep_REP)</f>
        <v>15</v>
      </c>
      <c r="F15" s="133">
        <f>SUMIFS(VIEW_IV_2019_REP_CALCULO[Cobertura-BERINERT],VIEW_IV_2019_REP_CALCULO[Ano-Fiscal],Filtro_Demostrativo_Rep_ANO,VIEW_IV_2019_REP_CALCULO[Mes-Fiscal],Filtro_Demostrativo_Rep_MES,VIEW_IV_2019_REP_CALCULO['#PK-Email],Filtro_Demostrativo_Rep_REP)</f>
        <v>1.07</v>
      </c>
      <c r="G15" s="133">
        <f>SUMIFS(VIEW_IV_2019_REP_CALCULO[Peso-BERINERT],VIEW_IV_2019_REP_CALCULO[Ano-Fiscal],Filtro_Demostrativo_Rep_ANO,VIEW_IV_2019_REP_CALCULO[Mes-Fiscal],Filtro_Demostrativo_Rep_MES,VIEW_IV_2019_REP_CALCULO['#PK-Email],Filtro_Demostrativo_Rep_REP)</f>
        <v>0.1</v>
      </c>
      <c r="H15" s="134">
        <f>SUMIFS(VIEW_IV_2019_REP_CALCULO[Premio-BERINERT],VIEW_IV_2019_REP_CALCULO[Ano-Fiscal],Filtro_Demostrativo_Rep_ANO,VIEW_IV_2019_REP_CALCULO[Mes-Fiscal],Filtro_Demostrativo_Rep_MES,VIEW_IV_2019_REP_CALCULO['#PK-Email],Filtro_Demostrativo_Rep_REP)</f>
        <v>383.29492524325519</v>
      </c>
      <c r="L15"/>
      <c r="M15"/>
      <c r="N15"/>
      <c r="O15"/>
      <c r="P15"/>
      <c r="Q15"/>
      <c r="S15" s="91" t="s">
        <v>1066</v>
      </c>
      <c r="T15" s="10">
        <v>0</v>
      </c>
      <c r="U15" s="10">
        <v>0</v>
      </c>
      <c r="V15" s="10">
        <v>0</v>
      </c>
      <c r="W15" s="10">
        <v>0</v>
      </c>
      <c r="X15" s="10">
        <v>475</v>
      </c>
    </row>
    <row r="16" spans="3:25" x14ac:dyDescent="0.25">
      <c r="C16" s="135" t="s">
        <v>25</v>
      </c>
      <c r="D16" s="131">
        <f>SUMIFS(VIEW_IV_2019_REP_CALCULO[Cota-BERIPLEX],VIEW_IV_2019_REP_CALCULO[Ano-Fiscal],Filtro_Demostrativo_Rep_ANO,VIEW_IV_2019_REP_CALCULO[Mes-Fiscal],Filtro_Demostrativo_Rep_MES,VIEW_IV_2019_REP_CALCULO['#PK-Email],Filtro_Demostrativo_Rep_REP)</f>
        <v>0</v>
      </c>
      <c r="E16" s="131">
        <f>SUMIFS(VIEW_IV_2019_REP_CALCULO[Demanda-BERIPLEX],VIEW_IV_2019_REP_CALCULO[Ano-Fiscal],Filtro_Demostrativo_Rep_ANO,VIEW_IV_2019_REP_CALCULO[Mes-Fiscal],Filtro_Demostrativo_Rep_MES,VIEW_IV_2019_REP_CALCULO['#PK-Email],Filtro_Demostrativo_Rep_REP)</f>
        <v>0</v>
      </c>
      <c r="F16" s="133">
        <f>SUMIFS(VIEW_IV_2019_REP_CALCULO[Cobertura-BERIPLEX],VIEW_IV_2019_REP_CALCULO[Ano-Fiscal],Filtro_Demostrativo_Rep_ANO,VIEW_IV_2019_REP_CALCULO[Mes-Fiscal],Filtro_Demostrativo_Rep_MES,VIEW_IV_2019_REP_CALCULO['#PK-Email],Filtro_Demostrativo_Rep_REP)</f>
        <v>0</v>
      </c>
      <c r="G16" s="133">
        <f>SUMIFS(VIEW_IV_2019_REP_CALCULO[Peso-BERIPLEX],VIEW_IV_2019_REP_CALCULO[Ano-Fiscal],Filtro_Demostrativo_Rep_ANO,VIEW_IV_2019_REP_CALCULO[Mes-Fiscal],Filtro_Demostrativo_Rep_MES,VIEW_IV_2019_REP_CALCULO['#PK-Email],Filtro_Demostrativo_Rep_REP)</f>
        <v>0</v>
      </c>
      <c r="H16" s="134">
        <f>SUMIFS(VIEW_IV_2019_REP_CALCULO[Premio-BERIPLEX],VIEW_IV_2019_REP_CALCULO[Ano-Fiscal],Filtro_Demostrativo_Rep_ANO,VIEW_IV_2019_REP_CALCULO[Mes-Fiscal],Filtro_Demostrativo_Rep_MES,VIEW_IV_2019_REP_CALCULO['#PK-Email],Filtro_Demostrativo_Rep_REP)</f>
        <v>0</v>
      </c>
      <c r="L16"/>
      <c r="M16"/>
      <c r="N16"/>
      <c r="O16"/>
      <c r="P16"/>
      <c r="Q16"/>
      <c r="S16" s="91" t="s">
        <v>1052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</row>
    <row r="17" spans="3:24" x14ac:dyDescent="0.25">
      <c r="C17" s="132" t="s">
        <v>383</v>
      </c>
      <c r="D17" s="131">
        <f>SUMIFS(VIEW_IV_2019_REP_CALCULO[Cota-HAEMO],VIEW_IV_2019_REP_CALCULO[Ano-Fiscal],Filtro_Demostrativo_Rep_ANO,VIEW_IV_2019_REP_CALCULO[Mes-Fiscal],Filtro_Demostrativo_Rep_MES,VIEW_IV_2019_REP_CALCULO['#PK-Email],Filtro_Demostrativo_Rep_REP)</f>
        <v>0</v>
      </c>
      <c r="E17" s="131">
        <f>SUMIFS(VIEW_IV_2019_REP_CALCULO[Demanda-HAEMO],VIEW_IV_2019_REP_CALCULO[Ano-Fiscal],Filtro_Demostrativo_Rep_ANO,VIEW_IV_2019_REP_CALCULO[Mes-Fiscal],Filtro_Demostrativo_Rep_MES,VIEW_IV_2019_REP_CALCULO['#PK-Email],Filtro_Demostrativo_Rep_REP)</f>
        <v>0</v>
      </c>
      <c r="F17" s="133">
        <f>SUMIFS(VIEW_IV_2019_REP_CALCULO[Cobertura-HAEMO],VIEW_IV_2019_REP_CALCULO[Ano-Fiscal],Filtro_Demostrativo_Rep_ANO,VIEW_IV_2019_REP_CALCULO[Mes-Fiscal],Filtro_Demostrativo_Rep_MES,VIEW_IV_2019_REP_CALCULO['#PK-Email],Filtro_Demostrativo_Rep_REP)</f>
        <v>0</v>
      </c>
      <c r="G17" s="133">
        <f>SUMIFS(VIEW_IV_2019_REP_CALCULO[Peso-HAEMO],VIEW_IV_2019_REP_CALCULO[Ano-Fiscal],Filtro_Demostrativo_Rep_ANO,VIEW_IV_2019_REP_CALCULO[Mes-Fiscal],Filtro_Demostrativo_Rep_MES,VIEW_IV_2019_REP_CALCULO['#PK-Email],Filtro_Demostrativo_Rep_REP)</f>
        <v>0</v>
      </c>
      <c r="H17" s="134">
        <f>SUMIFS(VIEW_IV_2019_REP_CALCULO[Premio-HAEMO],VIEW_IV_2019_REP_CALCULO[Ano-Fiscal],Filtro_Demostrativo_Rep_ANO,VIEW_IV_2019_REP_CALCULO[Mes-Fiscal],Filtro_Demostrativo_Rep_MES,VIEW_IV_2019_REP_CALCULO['#PK-Email],Filtro_Demostrativo_Rep_REP)</f>
        <v>0</v>
      </c>
      <c r="L17"/>
      <c r="M17"/>
      <c r="N17"/>
      <c r="O17"/>
      <c r="P17"/>
      <c r="Q17"/>
      <c r="S17" s="91" t="s">
        <v>1125</v>
      </c>
      <c r="T17" s="10">
        <v>0</v>
      </c>
      <c r="U17" s="10">
        <v>0</v>
      </c>
      <c r="V17" s="10">
        <v>0</v>
      </c>
      <c r="W17" s="10">
        <v>0</v>
      </c>
      <c r="X17" s="10">
        <v>1130</v>
      </c>
    </row>
    <row r="18" spans="3:24" x14ac:dyDescent="0.25">
      <c r="C18" s="132" t="s">
        <v>26</v>
      </c>
      <c r="D18" s="131">
        <f>SUMIFS(VIEW_IV_2019_REP_CALCULO[Cota-HIZENTRA],VIEW_IV_2019_REP_CALCULO[Ano-Fiscal],Filtro_Demostrativo_Rep_ANO,VIEW_IV_2019_REP_CALCULO[Mes-Fiscal],Filtro_Demostrativo_Rep_MES,VIEW_IV_2019_REP_CALCULO['#PK-Email],Filtro_Demostrativo_Rep_REP)</f>
        <v>1281</v>
      </c>
      <c r="E18" s="131">
        <f>SUMIFS(VIEW_IV_2019_REP_CALCULO[Demanda-HIZENTRA],VIEW_IV_2019_REP_CALCULO[Ano-Fiscal],Filtro_Demostrativo_Rep_ANO,VIEW_IV_2019_REP_CALCULO[Mes-Fiscal],Filtro_Demostrativo_Rep_MES,VIEW_IV_2019_REP_CALCULO['#PK-Email],Filtro_Demostrativo_Rep_REP)</f>
        <v>1686</v>
      </c>
      <c r="F18" s="133">
        <f>SUMIFS(VIEW_IV_2019_REP_CALCULO[Cobertura-HIZENTRA],VIEW_IV_2019_REP_CALCULO[Ano-Fiscal],Filtro_Demostrativo_Rep_ANO,VIEW_IV_2019_REP_CALCULO[Mes-Fiscal],Filtro_Demostrativo_Rep_MES,VIEW_IV_2019_REP_CALCULO['#PK-Email],Filtro_Demostrativo_Rep_REP)</f>
        <v>1.32</v>
      </c>
      <c r="G18" s="133">
        <f>SUMIFS(VIEW_IV_2019_REP_CALCULO[Peso-HIZENTRA],VIEW_IV_2019_REP_CALCULO[Ano-Fiscal],Filtro_Demostrativo_Rep_ANO,VIEW_IV_2019_REP_CALCULO[Mes-Fiscal],Filtro_Demostrativo_Rep_MES,VIEW_IV_2019_REP_CALCULO['#PK-Email],Filtro_Demostrativo_Rep_REP)</f>
        <v>0.4</v>
      </c>
      <c r="H18" s="134">
        <f>SUMIFS(VIEW_IV_2019_REP_CALCULO[Premio-HIZENTRA],VIEW_IV_2019_REP_CALCULO[Ano-Fiscal],Filtro_Demostrativo_Rep_ANO,VIEW_IV_2019_REP_CALCULO[Mes-Fiscal],Filtro_Demostrativo_Rep_MES,VIEW_IV_2019_REP_CALCULO['#PK-Email],Filtro_Demostrativo_Rep_REP)</f>
        <v>2851.512319860497</v>
      </c>
      <c r="L18"/>
      <c r="M18"/>
      <c r="N18"/>
      <c r="O18"/>
      <c r="P18"/>
      <c r="Q18"/>
      <c r="S18" s="91" t="s">
        <v>1084</v>
      </c>
      <c r="T18" s="10">
        <v>0</v>
      </c>
      <c r="U18" s="10">
        <v>0</v>
      </c>
      <c r="V18" s="10">
        <v>0</v>
      </c>
      <c r="W18" s="10">
        <v>0</v>
      </c>
      <c r="X18" s="10">
        <v>400</v>
      </c>
    </row>
    <row r="19" spans="3:24" x14ac:dyDescent="0.25">
      <c r="C19" s="132" t="s">
        <v>20</v>
      </c>
      <c r="D19" s="131">
        <f>SUMIFS(VIEW_IV_2019_REP_CALCULO[Cota-PRIVIGEN],VIEW_IV_2019_REP_CALCULO[Ano-Fiscal],Filtro_Demostrativo_Rep_ANO,VIEW_IV_2019_REP_CALCULO[Mes-Fiscal],Filtro_Demostrativo_Rep_MES,VIEW_IV_2019_REP_CALCULO['#PK-Email],Filtro_Demostrativo_Rep_REP)</f>
        <v>5655</v>
      </c>
      <c r="E19" s="131">
        <f>SUMIFS(VIEW_IV_2019_REP_CALCULO[Demanda-PRIVIGEN],VIEW_IV_2019_REP_CALCULO[Ano-Fiscal],Filtro_Demostrativo_Rep_ANO,VIEW_IV_2019_REP_CALCULO[Mes-Fiscal],Filtro_Demostrativo_Rep_MES,VIEW_IV_2019_REP_CALCULO['#PK-Email],Filtro_Demostrativo_Rep_REP)</f>
        <v>12072</v>
      </c>
      <c r="F19" s="133">
        <f>SUMIFS(VIEW_IV_2019_REP_CALCULO[Cobertura-PRIVIGEN],VIEW_IV_2019_REP_CALCULO[Ano-Fiscal],Filtro_Demostrativo_Rep_ANO,VIEW_IV_2019_REP_CALCULO[Mes-Fiscal],Filtro_Demostrativo_Rep_MES,VIEW_IV_2019_REP_CALCULO['#PK-Email],Filtro_Demostrativo_Rep_REP)</f>
        <v>2.13</v>
      </c>
      <c r="G19" s="133">
        <f>SUMIFS(VIEW_IV_2019_REP_CALCULO[Peso-PRIVIGEN],VIEW_IV_2019_REP_CALCULO[Ano-Fiscal],Filtro_Demostrativo_Rep_ANO,VIEW_IV_2019_REP_CALCULO[Mes-Fiscal],Filtro_Demostrativo_Rep_MES,VIEW_IV_2019_REP_CALCULO['#PK-Email],Filtro_Demostrativo_Rep_REP)</f>
        <v>0.2</v>
      </c>
      <c r="H19" s="134">
        <f>SUMIFS(VIEW_IV_2019_REP_CALCULO[Premio-PRIVIGEN],VIEW_IV_2019_REP_CALCULO[Ano-Fiscal],Filtro_Demostrativo_Rep_ANO,VIEW_IV_2019_REP_CALCULO[Mes-Fiscal],Filtro_Demostrativo_Rep_MES,VIEW_IV_2019_REP_CALCULO['#PK-Email],Filtro_Demostrativo_Rep_REP)</f>
        <v>1629.8147338659624</v>
      </c>
      <c r="L19"/>
      <c r="M19"/>
      <c r="N19"/>
      <c r="O19"/>
      <c r="P19"/>
      <c r="Q19"/>
      <c r="S19" s="91" t="s">
        <v>1078</v>
      </c>
      <c r="T19" s="10">
        <v>0</v>
      </c>
      <c r="U19" s="10">
        <v>0</v>
      </c>
      <c r="V19" s="10">
        <v>0</v>
      </c>
      <c r="W19" s="10">
        <v>0</v>
      </c>
      <c r="X19" s="10">
        <v>80</v>
      </c>
    </row>
    <row r="20" spans="3:24" x14ac:dyDescent="0.25">
      <c r="C20" s="198" t="s">
        <v>266</v>
      </c>
      <c r="D20" s="199"/>
      <c r="E20" s="199"/>
      <c r="F20" s="199"/>
      <c r="G20" s="200"/>
      <c r="H20" s="138">
        <f>SUMIFS(VIEW_IV_2019_REP_CALCULO[Premio-Total],VIEW_IV_2019_REP_CALCULO[Ano-Fiscal],Filtro_Demostrativo_Rep_ANO,VIEW_IV_2019_REP_CALCULO[Mes-Fiscal],Filtro_Demostrativo_Rep_MES,VIEW_IV_2019_REP_CALCULO['#PK-Email],Filtro_Demostrativo_Rep_REP)</f>
        <v>4864.6219789697152</v>
      </c>
      <c r="L20"/>
      <c r="M20"/>
      <c r="N20"/>
      <c r="O20"/>
      <c r="P20"/>
      <c r="Q20"/>
      <c r="S20" s="91" t="s">
        <v>1119</v>
      </c>
      <c r="T20" s="10">
        <v>0</v>
      </c>
      <c r="U20" s="10">
        <v>0</v>
      </c>
      <c r="V20" s="10">
        <v>0</v>
      </c>
      <c r="W20" s="10">
        <v>248</v>
      </c>
      <c r="X20" s="10">
        <v>350</v>
      </c>
    </row>
    <row r="21" spans="3:24" x14ac:dyDescent="0.25">
      <c r="L21"/>
      <c r="M21"/>
      <c r="N21"/>
      <c r="O21"/>
      <c r="P21"/>
      <c r="Q21"/>
      <c r="S21" s="91" t="s">
        <v>1094</v>
      </c>
      <c r="T21" s="10">
        <v>0</v>
      </c>
      <c r="U21" s="10">
        <v>0</v>
      </c>
      <c r="V21" s="10">
        <v>0</v>
      </c>
      <c r="W21" s="10">
        <v>32</v>
      </c>
      <c r="X21" s="10">
        <v>0</v>
      </c>
    </row>
    <row r="22" spans="3:24" x14ac:dyDescent="0.25">
      <c r="C22" s="124" t="s">
        <v>428</v>
      </c>
      <c r="D22" s="125"/>
      <c r="E22" s="125"/>
      <c r="F22" s="125"/>
      <c r="G22" s="125"/>
      <c r="H22" s="126"/>
      <c r="L22"/>
      <c r="M22"/>
      <c r="N22"/>
      <c r="O22"/>
      <c r="P22"/>
      <c r="Q22"/>
      <c r="S22" s="91" t="s">
        <v>1107</v>
      </c>
      <c r="T22" s="10">
        <v>0</v>
      </c>
      <c r="U22" s="10">
        <v>0</v>
      </c>
      <c r="V22" s="10">
        <v>0</v>
      </c>
      <c r="W22" s="10">
        <v>48</v>
      </c>
      <c r="X22" s="10">
        <v>0</v>
      </c>
    </row>
    <row r="23" spans="3:24" x14ac:dyDescent="0.25">
      <c r="C23" s="127"/>
      <c r="D23" s="127" t="s">
        <v>424</v>
      </c>
      <c r="E23" s="127" t="s">
        <v>425</v>
      </c>
      <c r="F23" s="127" t="s">
        <v>411</v>
      </c>
      <c r="G23" s="127" t="s">
        <v>412</v>
      </c>
      <c r="H23" s="127" t="s">
        <v>413</v>
      </c>
      <c r="L23"/>
      <c r="M23"/>
      <c r="N23"/>
      <c r="O23"/>
      <c r="P23"/>
      <c r="Q23"/>
      <c r="S23" s="91" t="s">
        <v>1127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</row>
    <row r="24" spans="3:24" x14ac:dyDescent="0.25">
      <c r="C24" s="130" t="s">
        <v>423</v>
      </c>
      <c r="D24" s="127">
        <f>SUMIFS(VIEW_IV_2019_VISITAS_REP[Visitas-Realizar],VIEW_IV_2019_VISITAS_REP[Ano-Fiscal],Filtro_Demostrativo_Rep_ANO,VIEW_IV_2019_VISITAS_REP[Mes-Fiscal],Filtro_Demostrativo_Rep_MES,VIEW_IV_2019_VISITAS_REP['#PK-Email],Filtro_Demostrativo_Rep_REP)</f>
        <v>54</v>
      </c>
      <c r="E24" s="127">
        <f>SUMIFS(VIEW_IV_2019_VISITAS_REP[Visitas-Realizadas],VIEW_IV_2019_VISITAS_REP[Ano-Fiscal],Filtro_Demostrativo_Rep_ANO,VIEW_IV_2019_VISITAS_REP[Mes-Fiscal],Filtro_Demostrativo_Rep_MES,VIEW_IV_2019_VISITAS_REP['#PK-Email],Filtro_Demostrativo_Rep_REP)</f>
        <v>15</v>
      </c>
      <c r="F24" s="128">
        <f>SUMIFS(VIEW_IV_2019_VISITAS_REP[Visitas-Cobertura],VIEW_IV_2019_VISITAS_REP[Ano-Fiscal],Filtro_Demostrativo_Rep_ANO,VIEW_IV_2019_VISITAS_REP[Mes-Fiscal],Filtro_Demostrativo_Rep_MES,VIEW_IV_2019_VISITAS_REP['#PK-Email],Filtro_Demostrativo_Rep_REP)</f>
        <v>0.27777777777777779</v>
      </c>
      <c r="G24" s="128">
        <f>Peso_Visitas_REP</f>
        <v>0.05</v>
      </c>
      <c r="H24" s="137">
        <f>SUMIFS(VIEW_IV_2019_VISITAS_REP[Visitas-Premio],VIEW_IV_2019_VISITAS_REP[Ano-Fiscal],Filtro_Demostrativo_Rep_ANO,VIEW_IV_2019_VISITAS_REP[Mes-Fiscal],Filtro_Demostrativo_Rep_MES,VIEW_IV_2019_VISITAS_REP['#PK-Email],Filtro_Demostrativo_Rep_REP)</f>
        <v>0</v>
      </c>
      <c r="L24"/>
      <c r="M24"/>
      <c r="N24"/>
      <c r="O24"/>
      <c r="P24"/>
      <c r="Q24"/>
      <c r="S24" s="91" t="s">
        <v>1077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</row>
    <row r="25" spans="3:24" x14ac:dyDescent="0.25">
      <c r="C25" s="130" t="s">
        <v>426</v>
      </c>
      <c r="D25" s="129">
        <v>100</v>
      </c>
      <c r="E25" s="129">
        <v>100</v>
      </c>
      <c r="F25" s="167">
        <v>1</v>
      </c>
      <c r="G25" s="128">
        <v>0.05</v>
      </c>
      <c r="H25" s="137">
        <v>180.2892404718981</v>
      </c>
      <c r="L25"/>
      <c r="M25"/>
      <c r="N25"/>
      <c r="O25"/>
      <c r="P25"/>
      <c r="Q25"/>
      <c r="S25" s="91" t="s">
        <v>1097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</row>
    <row r="26" spans="3:24" x14ac:dyDescent="0.25">
      <c r="L26"/>
      <c r="M26"/>
      <c r="N26"/>
      <c r="O26"/>
      <c r="P26"/>
      <c r="Q26"/>
      <c r="S26" s="91" t="s">
        <v>1080</v>
      </c>
      <c r="T26" s="10">
        <v>0</v>
      </c>
      <c r="U26" s="10">
        <v>0</v>
      </c>
      <c r="V26" s="10">
        <v>0</v>
      </c>
      <c r="W26" s="10">
        <v>24</v>
      </c>
      <c r="X26" s="10">
        <v>120</v>
      </c>
    </row>
    <row r="27" spans="3:24" x14ac:dyDescent="0.25">
      <c r="C27" s="157" t="s">
        <v>420</v>
      </c>
      <c r="L27"/>
      <c r="M27"/>
      <c r="N27"/>
      <c r="O27"/>
      <c r="P27"/>
      <c r="Q27"/>
      <c r="S27" s="91" t="s">
        <v>1082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</row>
    <row r="28" spans="3:24" x14ac:dyDescent="0.25">
      <c r="C28" s="118" t="s">
        <v>14</v>
      </c>
      <c r="D28" s="118" t="s">
        <v>409</v>
      </c>
      <c r="E28" s="118" t="s">
        <v>421</v>
      </c>
      <c r="F28" s="118" t="s">
        <v>411</v>
      </c>
      <c r="G28" s="118" t="s">
        <v>412</v>
      </c>
      <c r="H28" s="118" t="s">
        <v>413</v>
      </c>
      <c r="L28"/>
      <c r="M28"/>
      <c r="N28"/>
      <c r="O28"/>
      <c r="P28"/>
      <c r="Q28"/>
      <c r="S28" s="91" t="s">
        <v>1074</v>
      </c>
      <c r="T28" s="10">
        <v>0</v>
      </c>
      <c r="U28" s="10">
        <v>0</v>
      </c>
      <c r="V28" s="10">
        <v>0</v>
      </c>
      <c r="W28" s="10">
        <v>0</v>
      </c>
      <c r="X28" s="10">
        <v>350</v>
      </c>
    </row>
    <row r="29" spans="3:24" x14ac:dyDescent="0.25">
      <c r="C29" s="116" t="s">
        <v>417</v>
      </c>
      <c r="D29" s="119">
        <f>SUMIFS(VIEW_IV_2019_VENDA[Cota-ALBUREX],VIEW_IV_2019_VENDA[Ano-Fiscal],Filtro_Demostrativo_Rep_ANO,VIEW_IV_2019_VENDA[Mes-Fiscal],Filtro_Demostrativo_Rep_MES)</f>
        <v>3571330</v>
      </c>
      <c r="E29" s="119">
        <f>SUMIFS(VIEW_IV_2019_VENDA[Venda-ALBUREX],VIEW_IV_2019_VENDA[Ano-Fiscal],Filtro_Demostrativo_Rep_ANO,VIEW_IV_2019_VENDA[Mes-Fiscal],Filtro_Demostrativo_Rep_MES)</f>
        <v>4414181</v>
      </c>
      <c r="F29" s="120">
        <f>SUMIFS(VIEW_IV_2019_VENDA[Cobertura-ALBUREX],VIEW_IV_2019_VENDA[Ano-Fiscal],Filtro_Demostrativo_Rep_ANO,VIEW_IV_2019_VENDA[Mes-Fiscal],Filtro_Demostrativo_Rep_MES)</f>
        <v>1.24</v>
      </c>
      <c r="G29" s="120">
        <f>SUMIFS(VIEW_IV_2019_VENDA[Peso-ALBUREX],VIEW_IV_2019_VENDA[Ano-Fiscal],Filtro_Demostrativo_Rep_ANO,VIEW_IV_2019_VENDA[Mes-Fiscal],Filtro_Demostrativo_Rep_MES)</f>
        <v>0.1</v>
      </c>
      <c r="H29" s="119">
        <f>SUMIFS(VIEW_IV_2019_VENDA[Premio-ALBUREX],VIEW_IV_2019_VENDA[Ano-Fiscal],Filtro_Demostrativo_Rep_ANO,VIEW_IV_2019_VENDA[Mes-Fiscal],Filtro_Demostrativo_Rep_MES)</f>
        <v>667.83461612562451</v>
      </c>
      <c r="L29"/>
      <c r="M29"/>
      <c r="N29"/>
      <c r="O29"/>
      <c r="P29"/>
      <c r="Q29"/>
      <c r="S29" s="91" t="s">
        <v>1098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</row>
    <row r="30" spans="3:24" x14ac:dyDescent="0.25">
      <c r="C30" s="117" t="s">
        <v>418</v>
      </c>
      <c r="D30" s="119">
        <f>SUMIFS(VIEW_IV_2019_VENDA[Cota-RHOPHYLAC],VIEW_IV_2019_VENDA[Ano-Fiscal],Filtro_Demostrativo_Rep_ANO,VIEW_IV_2019_VENDA[Mes-Fiscal],Filtro_Demostrativo_Rep_MES)</f>
        <v>1607231</v>
      </c>
      <c r="E30" s="119">
        <f>SUMIFS(VIEW_IV_2019_VENDA[Venda-RHOPHYLAC],VIEW_IV_2019_VENDA[Ano-Fiscal],Filtro_Demostrativo_Rep_ANO,VIEW_IV_2019_VENDA[Mes-Fiscal],Filtro_Demostrativo_Rep_MES)</f>
        <v>2337009</v>
      </c>
      <c r="F30" s="120">
        <f>SUMIFS(VIEW_IV_2019_VENDA[Cobertura-RHOPYLAC],VIEW_IV_2019_VENDA[Ano-Fiscal],Filtro_Demostrativo_Rep_ANO,VIEW_IV_2019_VENDA[Mes-Fiscal],Filtro_Demostrativo_Rep_MES)</f>
        <v>1.45</v>
      </c>
      <c r="G30" s="120">
        <f>SUMIFS(VIEW_IV_2019_VENDA[Peso-RHOPHYLAC],VIEW_IV_2019_VENDA[Ano-Fiscal],Filtro_Demostrativo_Rep_ANO,VIEW_IV_2019_VENDA[Mes-Fiscal],Filtro_Demostrativo_Rep_MES)</f>
        <v>0.05</v>
      </c>
      <c r="H30" s="119">
        <f>SUMIFS(VIEW_IV_2019_VENDA[Premio-RHOPYLAC],VIEW_IV_2019_VENDA[Ano-Fiscal],Filtro_Demostrativo_Rep_ANO,VIEW_IV_2019_VENDA[Mes-Fiscal],Filtro_Demostrativo_Rep_MES)</f>
        <v>392.12008356435553</v>
      </c>
      <c r="L30"/>
      <c r="M30"/>
      <c r="N30"/>
      <c r="O30"/>
      <c r="P30"/>
      <c r="Q30"/>
      <c r="S30" s="91" t="s">
        <v>1073</v>
      </c>
      <c r="T30" s="10">
        <v>0</v>
      </c>
      <c r="U30" s="10">
        <v>0</v>
      </c>
      <c r="V30" s="10">
        <v>0</v>
      </c>
      <c r="W30" s="10">
        <v>0</v>
      </c>
      <c r="X30" s="10">
        <v>885</v>
      </c>
    </row>
    <row r="31" spans="3:24" x14ac:dyDescent="0.25">
      <c r="C31" s="116" t="s">
        <v>419</v>
      </c>
      <c r="D31" s="119">
        <f>SUMIFS(VIEW_IV_2019_VENDA[Cota-OUTROS PRODUTOS],VIEW_IV_2019_VENDA[Ano-Fiscal],Filtro_Demostrativo_Rep_ANO,VIEW_IV_2019_VENDA[Mes-Fiscal],Filtro_Demostrativo_Rep_MES)</f>
        <v>11897113</v>
      </c>
      <c r="E31" s="119">
        <f>SUMIFS(VIEW_IV_2019_VENDA[Venda-OUTROS PRODUTOS],VIEW_IV_2019_VENDA[Ano-Fiscal],Filtro_Demostrativo_Rep_ANO,VIEW_IV_2019_VENDA[Mes-Fiscal],Filtro_Demostrativo_Rep_MES)</f>
        <v>20184949</v>
      </c>
      <c r="F31" s="120">
        <f>SUMIFS(VIEW_IV_2019_VENDA[Cobertura-OUTROS PRODUTOS],VIEW_IV_2019_VENDA[Ano-Fiscal],Filtro_Demostrativo_Rep_ANO,VIEW_IV_2019_VENDA[Mes-Fiscal],Filtro_Demostrativo_Rep_MES)</f>
        <v>1.7</v>
      </c>
      <c r="G31" s="120">
        <f>SUMIFS(VIEW_IV_2019_VENDA[Peso-OUTROS PRODUTOS],VIEW_IV_2019_VENDA[Ano-Fiscal],Filtro_Demostrativo_Rep_ANO,VIEW_IV_2019_VENDA[Mes-Fiscal],Filtro_Demostrativo_Rep_MES)</f>
        <v>0.05</v>
      </c>
      <c r="H31" s="119">
        <f>SUMIFS(VIEW_IV_2019_VENDA[Premio-OUTROS],VIEW_IV_2019_VENDA[Ano-Fiscal],Filtro_Demostrativo_Rep_ANO,VIEW_IV_2019_VENDA[Mes-Fiscal],Filtro_Demostrativo_Rep_MES)</f>
        <v>407.45368346649059</v>
      </c>
      <c r="L31"/>
      <c r="M31"/>
      <c r="N31"/>
      <c r="O31"/>
      <c r="P31"/>
      <c r="Q31"/>
      <c r="S31" s="91" t="s">
        <v>1075</v>
      </c>
      <c r="T31" s="10">
        <v>0</v>
      </c>
      <c r="U31" s="10">
        <v>0</v>
      </c>
      <c r="V31" s="10">
        <v>0</v>
      </c>
      <c r="W31" s="10">
        <v>0</v>
      </c>
      <c r="X31" s="10">
        <v>150</v>
      </c>
    </row>
    <row r="32" spans="3:24" x14ac:dyDescent="0.25">
      <c r="C32" s="116" t="s">
        <v>266</v>
      </c>
      <c r="D32" s="119">
        <f>SUMIFS(VIEW_IV_2019_VENDA[Cota-TOTAL],VIEW_IV_2019_VENDA[Ano-Fiscal],Filtro_Demostrativo_Rep_ANO,VIEW_IV_2019_VENDA[Mes-Fiscal],Filtro_Demostrativo_Rep_MES)</f>
        <v>17075673</v>
      </c>
      <c r="E32" s="119">
        <f>SUMIFS(VIEW_IV_2019_VENDA[Venda-TOTAL],VIEW_IV_2019_VENDA[Ano-Fiscal],Filtro_Demostrativo_Rep_ANO,VIEW_IV_2019_VENDA[Mes-Fiscal],Filtro_Demostrativo_Rep_MES)</f>
        <v>26936139</v>
      </c>
      <c r="F32" s="120">
        <f>SUMIFS(VIEW_IV_2019_VENDA[Cobertura-TOTAL],VIEW_IV_2019_VENDA[Ano-Fiscal],Filtro_Demostrativo_Rep_ANO,VIEW_IV_2019_VENDA[Mes-Fiscal],Filtro_Demostrativo_Rep_MES)</f>
        <v>1.58</v>
      </c>
      <c r="G32" s="121"/>
      <c r="H32" s="136">
        <f>SUMIFS(VIEW_IV_2019_VENDA[Premio-Total-REP],VIEW_IV_2019_VENDA[Ano-Fiscal],Filtro_Demostrativo_Rep_ANO,VIEW_IV_2019_VENDA[Mes-Fiscal],Filtro_Demostrativo_Rep_MES)</f>
        <v>1467.4083831564708</v>
      </c>
      <c r="L32"/>
      <c r="M32"/>
      <c r="N32"/>
      <c r="O32"/>
      <c r="P32"/>
      <c r="Q32"/>
      <c r="S32" s="91" t="s">
        <v>1089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</row>
    <row r="33" spans="3:24" x14ac:dyDescent="0.25">
      <c r="L33"/>
      <c r="M33"/>
      <c r="N33"/>
      <c r="O33"/>
      <c r="P33"/>
      <c r="Q33"/>
      <c r="S33" s="91" t="s">
        <v>1083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</row>
    <row r="34" spans="3:24" x14ac:dyDescent="0.25">
      <c r="C34" s="115" t="s">
        <v>416</v>
      </c>
      <c r="L34"/>
      <c r="M34"/>
      <c r="N34"/>
      <c r="O34"/>
      <c r="P34"/>
      <c r="Q34"/>
      <c r="S34" s="91" t="s">
        <v>1104</v>
      </c>
      <c r="T34" s="10">
        <v>0</v>
      </c>
      <c r="U34" s="10">
        <v>0</v>
      </c>
      <c r="V34" s="10">
        <v>0</v>
      </c>
      <c r="W34" s="10">
        <v>0</v>
      </c>
      <c r="X34" s="10">
        <v>330</v>
      </c>
    </row>
    <row r="35" spans="3:24" x14ac:dyDescent="0.25">
      <c r="C35" s="58" t="s">
        <v>14</v>
      </c>
      <c r="D35" s="58" t="s">
        <v>409</v>
      </c>
      <c r="E35" s="58" t="s">
        <v>410</v>
      </c>
      <c r="F35" s="58" t="s">
        <v>411</v>
      </c>
      <c r="G35" s="58" t="s">
        <v>412</v>
      </c>
      <c r="H35" s="58" t="s">
        <v>413</v>
      </c>
      <c r="I35" s="58" t="s">
        <v>429</v>
      </c>
      <c r="J35" s="58" t="s">
        <v>414</v>
      </c>
      <c r="L35"/>
      <c r="M35"/>
      <c r="N35"/>
      <c r="O35"/>
      <c r="P35"/>
      <c r="Q35"/>
      <c r="S35" s="91" t="s">
        <v>1102</v>
      </c>
      <c r="T35" s="10">
        <v>0</v>
      </c>
      <c r="U35" s="10">
        <v>0</v>
      </c>
      <c r="V35" s="10">
        <v>0</v>
      </c>
      <c r="W35" s="10">
        <v>0</v>
      </c>
      <c r="X35" s="10">
        <v>200</v>
      </c>
    </row>
    <row r="36" spans="3:24" x14ac:dyDescent="0.25">
      <c r="C36" s="84" t="s">
        <v>28</v>
      </c>
      <c r="D36" s="58">
        <f>SUMIFS(VIEW_IV_2019_REP_CALCULO_TRI[Cota-BERINERT],VIEW_IV_2019_REP_CALCULO_TRI[Ano-Fiscal],Filtro_Demostrativo_Rep_ANO,VIEW_IV_2019_REP_CALCULO_TRI[Tri-Fiscal],Filtro_Demostrativo_Rep_TRI,VIEW_IV_2019_REP_CALCULO_TRI['#PK-Email],Filtro_Demostrativo_Rep_REP)</f>
        <v>82</v>
      </c>
      <c r="E36" s="58">
        <f>SUMIFS(VIEW_IV_2019_REP_CALCULO_TRI[Demanda-BERINERT],VIEW_IV_2019_REP_CALCULO_TRI[Ano-Fiscal],Filtro_Demostrativo_Rep_ANO,VIEW_IV_2019_REP_CALCULO_TRI[Tri-Fiscal],Filtro_Demostrativo_Rep_TRI,VIEW_IV_2019_REP_CALCULO_TRI['#PK-Email],Filtro_Demostrativo_Rep_REP)</f>
        <v>18</v>
      </c>
      <c r="F36" s="77">
        <f>SUMIFS(VIEW_IV_2019_REP_CALCULO_TRI[Cobertura-BERINERT],VIEW_IV_2019_REP_CALCULO_TRI[Ano-Fiscal],Filtro_Demostrativo_Rep_ANO,VIEW_IV_2019_REP_CALCULO_TRI[Tri-Fiscal],Filtro_Demostrativo_Rep_TRI,VIEW_IV_2019_REP_CALCULO_TRI['#PK-Email],Filtro_Demostrativo_Rep_REP)</f>
        <v>0.21951219512195122</v>
      </c>
      <c r="G36" s="77">
        <f>G15</f>
        <v>0.1</v>
      </c>
      <c r="H36" s="60">
        <f>SUMIFS(VIEW_IV_2019_REP_CALCULO_TRI[Premio-BERINERT],VIEW_IV_2019_REP_CALCULO_TRI[Ano-Fiscal],Filtro_Demostrativo_Rep_ANO,VIEW_IV_2019_REP_CALCULO_TRI[Tri-Fiscal],Filtro_Demostrativo_Rep_TRI,VIEW_IV_2019_REP_CALCULO_TRI['#PK-Email],Filtro_Demostrativo_Rep_REP)</f>
        <v>0</v>
      </c>
      <c r="I36" s="60">
        <f>SUMIFS(VIEW_IV_2019_REP_CALCULO_TRI[Recebido-BERINERT],VIEW_IV_2019_REP_CALCULO_TRI[Ano-Fiscal],Filtro_Demostrativo_Rep_ANO,VIEW_IV_2019_REP_CALCULO_TRI[Tri-Fiscal],Filtro_Demostrativo_Rep_TRI,VIEW_IV_2019_REP_CALCULO_TRI['#PK-Email],Filtro_Demostrativo_Rep_REP)</f>
        <v>383.29492524325519</v>
      </c>
      <c r="J36" s="60">
        <f>SUMIFS(VIEW_IV_2019_REP_CALCULO_TRI[Recuperavel-BERINERT],VIEW_IV_2019_REP_CALCULO_TRI[Ano-Fiscal],Filtro_Demostrativo_Rep_ANO,VIEW_IV_2019_REP_CALCULO_TRI[Tri-Fiscal],Filtro_Demostrativo_Rep_TRI,VIEW_IV_2019_REP_CALCULO_TRI['#PK-Email],Filtro_Demostrativo_Rep_REP)</f>
        <v>0</v>
      </c>
      <c r="L36"/>
      <c r="M36"/>
      <c r="N36"/>
      <c r="O36"/>
      <c r="P36"/>
      <c r="Q36"/>
      <c r="S36" s="91" t="s">
        <v>1081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</row>
    <row r="37" spans="3:24" x14ac:dyDescent="0.25">
      <c r="C37" s="85" t="s">
        <v>25</v>
      </c>
      <c r="D37" s="58">
        <f>SUMIFS(VIEW_IV_2019_REP_CALCULO_TRI[Cota-BERIPLEX],VIEW_IV_2019_REP_CALCULO_TRI[Ano-Fiscal],Filtro_Demostrativo_Rep_ANO,VIEW_IV_2019_REP_CALCULO_TRI[Tri-Fiscal],Filtro_Demostrativo_Rep_TRI,VIEW_IV_2019_REP_CALCULO_TRI['#PK-Email],Filtro_Demostrativo_Rep_REP)</f>
        <v>0</v>
      </c>
      <c r="E37" s="58">
        <f>SUMIFS(VIEW_IV_2019_REP_CALCULO_TRI[Demanda-BERIPLEX],VIEW_IV_2019_REP_CALCULO_TRI[Ano-Fiscal],Filtro_Demostrativo_Rep_ANO,VIEW_IV_2019_REP_CALCULO_TRI[Tri-Fiscal],Filtro_Demostrativo_Rep_TRI,VIEW_IV_2019_REP_CALCULO_TRI['#PK-Email],Filtro_Demostrativo_Rep_REP)</f>
        <v>0</v>
      </c>
      <c r="F37" s="77">
        <f>SUMIFS(VIEW_IV_2019_REP_CALCULO_TRI[Cobertura-BERIPLEX],VIEW_IV_2019_REP_CALCULO_TRI[Ano-Fiscal],Filtro_Demostrativo_Rep_ANO,VIEW_IV_2019_REP_CALCULO_TRI[Tri-Fiscal],Filtro_Demostrativo_Rep_TRI,VIEW_IV_2019_REP_CALCULO_TRI['#PK-Email],Filtro_Demostrativo_Rep_REP)</f>
        <v>0</v>
      </c>
      <c r="G37" s="77">
        <f>G16</f>
        <v>0</v>
      </c>
      <c r="H37" s="60">
        <f>SUMIFS(VIEW_IV_2019_REP_CALCULO_TRI[Premio-BERIPLEX],VIEW_IV_2019_REP_CALCULO_TRI[Ano-Fiscal],Filtro_Demostrativo_Rep_ANO,VIEW_IV_2019_REP_CALCULO_TRI[Tri-Fiscal],Filtro_Demostrativo_Rep_TRI,VIEW_IV_2019_REP_CALCULO_TRI['#PK-Email],Filtro_Demostrativo_Rep_REP)</f>
        <v>0</v>
      </c>
      <c r="I37" s="60">
        <f>SUMIFS(VIEW_IV_2019_REP_CALCULO_TRI[Recebido-BERIPLEX],VIEW_IV_2019_REP_CALCULO_TRI[Ano-Fiscal],Filtro_Demostrativo_Rep_ANO,VIEW_IV_2019_REP_CALCULO_TRI[Tri-Fiscal],Filtro_Demostrativo_Rep_TRI,VIEW_IV_2019_REP_CALCULO_TRI['#PK-Email],Filtro_Demostrativo_Rep_REP)</f>
        <v>0</v>
      </c>
      <c r="J37" s="60">
        <f>SUMIFS(VIEW_IV_2019_REP_CALCULO_TRI[Recuperavel-BERIPLEX],VIEW_IV_2019_REP_CALCULO_TRI[Ano-Fiscal],Filtro_Demostrativo_Rep_ANO,VIEW_IV_2019_REP_CALCULO_TRI[Tri-Fiscal],Filtro_Demostrativo_Rep_TRI,VIEW_IV_2019_REP_CALCULO_TRI['#PK-Email],Filtro_Demostrativo_Rep_REP)</f>
        <v>0</v>
      </c>
      <c r="L37"/>
      <c r="M37"/>
      <c r="N37"/>
      <c r="O37"/>
      <c r="P37"/>
      <c r="Q37"/>
      <c r="S37" s="91" t="s">
        <v>1101</v>
      </c>
      <c r="T37" s="10">
        <v>0</v>
      </c>
      <c r="U37" s="10">
        <v>0</v>
      </c>
      <c r="V37" s="10">
        <v>0</v>
      </c>
      <c r="W37" s="10">
        <v>45</v>
      </c>
      <c r="X37" s="10">
        <v>0</v>
      </c>
    </row>
    <row r="38" spans="3:24" x14ac:dyDescent="0.25">
      <c r="C38" s="84" t="s">
        <v>383</v>
      </c>
      <c r="D38" s="58">
        <f>SUMIFS(VIEW_IV_2019_REP_CALCULO_TRI[Cota-HAEMO],VIEW_IV_2019_REP_CALCULO_TRI[Ano-Fiscal],Filtro_Demostrativo_Rep_ANO,VIEW_IV_2019_REP_CALCULO_TRI[Tri-Fiscal],Filtro_Demostrativo_Rep_TRI,VIEW_IV_2019_REP_CALCULO_TRI['#PK-Email],Filtro_Demostrativo_Rep_REP)</f>
        <v>0</v>
      </c>
      <c r="E38" s="58">
        <f>SUMIFS(VIEW_IV_2019_REP_CALCULO_TRI[Demanda-HAEMO],VIEW_IV_2019_REP_CALCULO_TRI[Ano-Fiscal],Filtro_Demostrativo_Rep_ANO,VIEW_IV_2019_REP_CALCULO_TRI[Tri-Fiscal],Filtro_Demostrativo_Rep_TRI,VIEW_IV_2019_REP_CALCULO_TRI['#PK-Email],Filtro_Demostrativo_Rep_REP)</f>
        <v>0</v>
      </c>
      <c r="F38" s="77">
        <f>SUMIFS(VIEW_IV_2019_REP_CALCULO_TRI[Cobertura-HAEMO],VIEW_IV_2019_REP_CALCULO_TRI[Ano-Fiscal],Filtro_Demostrativo_Rep_ANO,VIEW_IV_2019_REP_CALCULO_TRI[Tri-Fiscal],Filtro_Demostrativo_Rep_TRI,VIEW_IV_2019_REP_CALCULO_TRI['#PK-Email],Filtro_Demostrativo_Rep_REP)</f>
        <v>0</v>
      </c>
      <c r="G38" s="77">
        <f>G17</f>
        <v>0</v>
      </c>
      <c r="H38" s="60">
        <f>SUMIFS(VIEW_IV_2019_REP_CALCULO_TRI[Premio-HAEMO],VIEW_IV_2019_REP_CALCULO_TRI[Ano-Fiscal],Filtro_Demostrativo_Rep_ANO,VIEW_IV_2019_REP_CALCULO_TRI[Tri-Fiscal],Filtro_Demostrativo_Rep_TRI,VIEW_IV_2019_REP_CALCULO_TRI['#PK-Email],Filtro_Demostrativo_Rep_REP)</f>
        <v>0</v>
      </c>
      <c r="I38" s="60">
        <f>SUMIFS(VIEW_IV_2019_REP_CALCULO_TRI[Recebido-HAEMO],VIEW_IV_2019_REP_CALCULO_TRI[Ano-Fiscal],Filtro_Demostrativo_Rep_ANO,VIEW_IV_2019_REP_CALCULO_TRI[Tri-Fiscal],Filtro_Demostrativo_Rep_TRI,VIEW_IV_2019_REP_CALCULO_TRI['#PK-Email],Filtro_Demostrativo_Rep_REP)</f>
        <v>0</v>
      </c>
      <c r="J38" s="60">
        <f>SUMIFS(VIEW_IV_2019_REP_CALCULO_TRI[Recuperavel-HAEMO],VIEW_IV_2019_REP_CALCULO_TRI[Ano-Fiscal],Filtro_Demostrativo_Rep_ANO,VIEW_IV_2019_REP_CALCULO_TRI[Tri-Fiscal],Filtro_Demostrativo_Rep_TRI,VIEW_IV_2019_REP_CALCULO_TRI['#PK-Email],Filtro_Demostrativo_Rep_REP)</f>
        <v>0</v>
      </c>
      <c r="L38"/>
      <c r="M38"/>
      <c r="N38"/>
      <c r="O38"/>
      <c r="P38"/>
      <c r="Q38"/>
      <c r="S38" s="91" t="s">
        <v>1085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</row>
    <row r="39" spans="3:24" x14ac:dyDescent="0.25">
      <c r="C39" s="84" t="s">
        <v>26</v>
      </c>
      <c r="D39" s="58">
        <f>SUMIFS(VIEW_IV_2019_REP_CALCULO_TRI[Cota-HIZENTRA],VIEW_IV_2019_REP_CALCULO_TRI[Ano-Fiscal],Filtro_Demostrativo_Rep_ANO,VIEW_IV_2019_REP_CALCULO_TRI[Tri-Fiscal],Filtro_Demostrativo_Rep_TRI,VIEW_IV_2019_REP_CALCULO_TRI['#PK-Email],Filtro_Demostrativo_Rep_REP)</f>
        <v>4557</v>
      </c>
      <c r="E39" s="58">
        <f>SUMIFS(VIEW_IV_2019_REP_CALCULO_TRI[Demanda-HIZENTRA],VIEW_IV_2019_REP_CALCULO_TRI[Ano-Fiscal],Filtro_Demostrativo_Rep_ANO,VIEW_IV_2019_REP_CALCULO_TRI[Tri-Fiscal],Filtro_Demostrativo_Rep_TRI,VIEW_IV_2019_REP_CALCULO_TRI['#PK-Email],Filtro_Demostrativo_Rep_REP)</f>
        <v>3784</v>
      </c>
      <c r="F39" s="77">
        <f>SUMIFS(VIEW_IV_2019_REP_CALCULO_TRI[Cobertura-HIZENTRA],VIEW_IV_2019_REP_CALCULO_TRI[Ano-Fiscal],Filtro_Demostrativo_Rep_ANO,VIEW_IV_2019_REP_CALCULO_TRI[Tri-Fiscal],Filtro_Demostrativo_Rep_TRI,VIEW_IV_2019_REP_CALCULO_TRI['#PK-Email],Filtro_Demostrativo_Rep_REP)</f>
        <v>0.8303708580206276</v>
      </c>
      <c r="G39" s="77">
        <f>G18</f>
        <v>0.4</v>
      </c>
      <c r="H39" s="60">
        <f>SUMIFS(VIEW_IV_2019_REP_CALCULO_TRI[Premio-HIZENTRA],VIEW_IV_2019_REP_CALCULO_TRI[Ano-Fiscal],Filtro_Demostrativo_Rep_ANO,VIEW_IV_2019_REP_CALCULO_TRI[Tri-Fiscal],Filtro_Demostrativo_Rep_TRI,VIEW_IV_2019_REP_CALCULO_TRI['#PK-Email],Filtro_Demostrativo_Rep_REP)</f>
        <v>1795.6808351001041</v>
      </c>
      <c r="I39" s="60">
        <f>SUMIFS(VIEW_IV_2019_REP_CALCULO_TRI[Recebido-HIZENTRA],VIEW_IV_2019_REP_CALCULO_TRI[Ano-Fiscal],Filtro_Demostrativo_Rep_ANO,VIEW_IV_2019_REP_CALCULO_TRI[Tri-Fiscal],Filtro_Demostrativo_Rep_TRI,VIEW_IV_2019_REP_CALCULO_TRI['#PK-Email],Filtro_Demostrativo_Rep_REP)</f>
        <v>2851.512319860497</v>
      </c>
      <c r="J39" s="60">
        <f>SUMIFS(VIEW_IV_2019_REP_CALCULO_TRI[Recuperavel-HIZENTRA],VIEW_IV_2019_REP_CALCULO_TRI[Ano-Fiscal],Filtro_Demostrativo_Rep_ANO,VIEW_IV_2019_REP_CALCULO_TRI[Tri-Fiscal],Filtro_Demostrativo_Rep_TRI,VIEW_IV_2019_REP_CALCULO_TRI['#PK-Email],Filtro_Demostrativo_Rep_REP)</f>
        <v>0</v>
      </c>
      <c r="L39"/>
      <c r="M39"/>
      <c r="N39"/>
      <c r="O39"/>
      <c r="P39"/>
      <c r="Q39"/>
      <c r="S39" s="91" t="s">
        <v>1105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</row>
    <row r="40" spans="3:24" x14ac:dyDescent="0.25">
      <c r="C40" s="84" t="s">
        <v>20</v>
      </c>
      <c r="D40" s="58">
        <f>SUMIFS(VIEW_IV_2019_REP_CALCULO_TRI[Cota-PRIVIGEN],VIEW_IV_2019_REP_CALCULO_TRI[Ano-Fiscal],Filtro_Demostrativo_Rep_ANO,VIEW_IV_2019_REP_CALCULO_TRI[Tri-Fiscal],Filtro_Demostrativo_Rep_TRI,VIEW_IV_2019_REP_CALCULO_TRI['#PK-Email],Filtro_Demostrativo_Rep_REP)</f>
        <v>19565</v>
      </c>
      <c r="E40" s="58">
        <f>SUMIFS(VIEW_IV_2019_REP_CALCULO_TRI[Demanda-PRIVIGEN],VIEW_IV_2019_REP_CALCULO_TRI[Ano-Fiscal],Filtro_Demostrativo_Rep_ANO,VIEW_IV_2019_REP_CALCULO_TRI[Tri-Fiscal],Filtro_Demostrativo_Rep_TRI,VIEW_IV_2019_REP_CALCULO_TRI['#PK-Email],Filtro_Demostrativo_Rep_REP)</f>
        <v>28727</v>
      </c>
      <c r="F40" s="77">
        <f>SUMIFS(VIEW_IV_2019_REP_CALCULO_TRI[Cobertura-PRIVIGEN],VIEW_IV_2019_REP_CALCULO_TRI[Ano-Fiscal],Filtro_Demostrativo_Rep_ANO,VIEW_IV_2019_REP_CALCULO_TRI[Tri-Fiscal],Filtro_Demostrativo_Rep_TRI,VIEW_IV_2019_REP_CALCULO_TRI['#PK-Email],Filtro_Demostrativo_Rep_REP)</f>
        <v>1.4682852031689242</v>
      </c>
      <c r="G40" s="77">
        <f>G19</f>
        <v>0.2</v>
      </c>
      <c r="H40" s="60">
        <f>SUMIFS(VIEW_IV_2019_REP_CALCULO_TRI[Premio-PRIVIGEN],VIEW_IV_2019_REP_CALCULO_TRI[Ano-Fiscal],Filtro_Demostrativo_Rep_ANO,VIEW_IV_2019_REP_CALCULO_TRI[Tri-Fiscal],Filtro_Demostrativo_Rep_TRI,VIEW_IV_2019_REP_CALCULO_TRI['#PK-Email],Filtro_Demostrativo_Rep_REP)</f>
        <v>4761.1676858451701</v>
      </c>
      <c r="I40" s="60">
        <f>SUMIFS(VIEW_IV_2019_REP_CALCULO_TRI[Recebido-PRIVIGEN],VIEW_IV_2019_REP_CALCULO_TRI[Ano-Fiscal],Filtro_Demostrativo_Rep_ANO,VIEW_IV_2019_REP_CALCULO_TRI[Tri-Fiscal],Filtro_Demostrativo_Rep_TRI,VIEW_IV_2019_REP_CALCULO_TRI['#PK-Email],Filtro_Demostrativo_Rep_REP)</f>
        <v>4006.1639431083408</v>
      </c>
      <c r="J40" s="60">
        <f>SUMIFS(VIEW_IV_2019_REP_CALCULO_TRI[Recuperavel-PRIVIGEN],VIEW_IV_2019_REP_CALCULO_TRI[Ano-Fiscal],Filtro_Demostrativo_Rep_ANO,VIEW_IV_2019_REP_CALCULO_TRI[Tri-Fiscal],Filtro_Demostrativo_Rep_TRI,VIEW_IV_2019_REP_CALCULO_TRI['#PK-Email],Filtro_Demostrativo_Rep_REP)</f>
        <v>755.00374273682928</v>
      </c>
      <c r="L40"/>
      <c r="M40"/>
      <c r="N40"/>
      <c r="O40"/>
      <c r="P40"/>
      <c r="Q40"/>
      <c r="S40" s="91" t="s">
        <v>1123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</row>
    <row r="41" spans="3:24" x14ac:dyDescent="0.25">
      <c r="C41" s="201" t="s">
        <v>266</v>
      </c>
      <c r="D41" s="201"/>
      <c r="E41" s="201"/>
      <c r="F41" s="201"/>
      <c r="G41" s="202"/>
      <c r="H41" s="139">
        <f>SUM(H36:H40)</f>
        <v>6556.8485209452738</v>
      </c>
      <c r="I41" s="139">
        <f>SUM(I36:I40)</f>
        <v>7240.9711882120937</v>
      </c>
      <c r="J41" s="139">
        <f>SUMIFS(VIEW_IV_2019_REP_CALCULO_TRI[Recuperavel-Total],VIEW_IV_2019_REP_CALCULO_TRI[Ano-Fiscal],Filtro_Demostrativo_Rep_ANO,VIEW_IV_2019_REP_CALCULO_TRI[Tri-Fiscal],Filtro_Demostrativo_Rep_TRI,VIEW_IV_2019_REP_CALCULO_TRI['#PK-Email],Filtro_Demostrativo_Rep_REP)</f>
        <v>755.00374273682928</v>
      </c>
      <c r="L41"/>
      <c r="M41"/>
      <c r="N41"/>
      <c r="O41"/>
      <c r="P41"/>
      <c r="Q41"/>
      <c r="S41" s="91" t="s">
        <v>1124</v>
      </c>
      <c r="T41" s="10">
        <v>0</v>
      </c>
      <c r="U41" s="10">
        <v>0</v>
      </c>
      <c r="V41" s="10">
        <v>0</v>
      </c>
      <c r="W41" s="10">
        <v>0</v>
      </c>
      <c r="X41" s="10">
        <v>255</v>
      </c>
    </row>
    <row r="42" spans="3:24" x14ac:dyDescent="0.25">
      <c r="I42" s="2"/>
      <c r="J42" s="142"/>
      <c r="L42"/>
      <c r="M42"/>
      <c r="N42"/>
      <c r="O42"/>
      <c r="P42"/>
      <c r="Q42"/>
      <c r="S42" s="91" t="s">
        <v>1092</v>
      </c>
      <c r="T42" s="10">
        <v>0</v>
      </c>
      <c r="U42" s="10">
        <v>0</v>
      </c>
      <c r="V42" s="10">
        <v>0</v>
      </c>
      <c r="W42" s="10">
        <v>0</v>
      </c>
      <c r="X42" s="10">
        <v>825</v>
      </c>
    </row>
    <row r="43" spans="3:24" x14ac:dyDescent="0.25">
      <c r="C43" s="157" t="s">
        <v>422</v>
      </c>
      <c r="I43" s="2"/>
      <c r="J43" s="142"/>
      <c r="L43"/>
      <c r="M43"/>
      <c r="N43"/>
      <c r="O43"/>
      <c r="P43"/>
      <c r="Q43"/>
      <c r="S43" s="91" t="s">
        <v>1114</v>
      </c>
      <c r="T43" s="10">
        <v>0</v>
      </c>
      <c r="U43" s="10">
        <v>0</v>
      </c>
      <c r="V43" s="10">
        <v>0</v>
      </c>
      <c r="W43" s="10">
        <v>0</v>
      </c>
      <c r="X43" s="10">
        <v>1600</v>
      </c>
    </row>
    <row r="44" spans="3:24" x14ac:dyDescent="0.25">
      <c r="C44" s="118" t="s">
        <v>14</v>
      </c>
      <c r="D44" s="118" t="s">
        <v>409</v>
      </c>
      <c r="E44" s="118" t="s">
        <v>421</v>
      </c>
      <c r="F44" s="118" t="s">
        <v>411</v>
      </c>
      <c r="G44" s="118" t="s">
        <v>412</v>
      </c>
      <c r="H44" s="118" t="s">
        <v>413</v>
      </c>
      <c r="I44" s="118" t="s">
        <v>429</v>
      </c>
      <c r="J44" s="118" t="s">
        <v>414</v>
      </c>
      <c r="L44"/>
      <c r="M44"/>
      <c r="N44"/>
      <c r="O44"/>
      <c r="P44"/>
      <c r="Q44"/>
      <c r="S44" s="91" t="s">
        <v>1086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</row>
    <row r="45" spans="3:24" x14ac:dyDescent="0.25">
      <c r="C45" s="116" t="s">
        <v>417</v>
      </c>
      <c r="D45" s="119">
        <f>SUMIFS(VIEW_IV_2019_VENDA_TRI[Cota-ALBUREX],VIEW_IV_2019_VENDA_TRI[Ano-Fiscal],Filtro_Demostrativo_Rep_ANO,VIEW_IV_2019_VENDA_TRI[Tri-Fiscal],Filtro_Demostrativo_Rep_TRI)</f>
        <v>11904432</v>
      </c>
      <c r="E45" s="119">
        <f>SUMIFS(VIEW_IV_2019_VENDA_TRI[Venda-ALBUREX],VIEW_IV_2019_VENDA_TRI[Ano-Fiscal],Filtro_Demostrativo_Rep_ANO,VIEW_IV_2019_VENDA_TRI[Tri-Fiscal],Filtro_Demostrativo_Rep_TRI)</f>
        <v>11287707</v>
      </c>
      <c r="F45" s="120">
        <f>SUMIFS(VIEW_IV_2019_VENDA_TRI[Cobertura-ALBUREX],VIEW_IV_2019_VENDA_TRI[Ano-Fiscal],Filtro_Demostrativo_Rep_ANO,VIEW_IV_2019_VENDA_TRI[Tri-Fiscal],Filtro_Demostrativo_Rep_TRI)</f>
        <v>0.94819366434282626</v>
      </c>
      <c r="G45" s="120">
        <f>Peso_Venda_ALBUREX</f>
        <v>0.1</v>
      </c>
      <c r="H45" s="119">
        <f>SUMIFS(VIEW_IV_2019_VENDA_TRI[Premio-ALBUREX],VIEW_IV_2019_VENDA_TRI[Ano-Fiscal],Filtro_Demostrativo_Rep_ANO,VIEW_IV_2019_VENDA_TRI[Tri-Fiscal],Filtro_Demostrativo_Rep_TRI)</f>
        <v>769.11389985311723</v>
      </c>
      <c r="I45" s="119">
        <f>SUMIFS(VIEW_IV_2019_VENDA_TRI[Recebido-ALBUREX],VIEW_IV_2019_VENDA_TRI[Ano-Fiscal],Filtro_Demostrativo_Rep_ANO,VIEW_IV_2019_VENDA_TRI[Tri-Fiscal],Filtro_Demostrativo_Rep_TRI)</f>
        <v>911.2250907626867</v>
      </c>
      <c r="J45" s="119">
        <f>SUMIFS(VIEW_IV_2019_VENDA_TRI[Recuperavel-ALBUREX],VIEW_IV_2019_VENDA_TRI[Ano-Fiscal],Filtro_Demostrativo_Rep_ANO,VIEW_IV_2019_VENDA_TRI[Tri-Fiscal],Filtro_Demostrativo_Rep_TRI)</f>
        <v>0</v>
      </c>
      <c r="L45"/>
      <c r="M45"/>
      <c r="N45"/>
      <c r="O45"/>
      <c r="P45"/>
      <c r="Q45"/>
      <c r="S45" s="91" t="s">
        <v>1116</v>
      </c>
      <c r="T45" s="10">
        <v>0</v>
      </c>
      <c r="U45" s="10">
        <v>0</v>
      </c>
      <c r="V45" s="10">
        <v>0</v>
      </c>
      <c r="W45" s="10">
        <v>0</v>
      </c>
      <c r="X45" s="10">
        <v>450</v>
      </c>
    </row>
    <row r="46" spans="3:24" x14ac:dyDescent="0.25">
      <c r="C46" s="117" t="s">
        <v>418</v>
      </c>
      <c r="D46" s="119">
        <f>SUMIFS(VIEW_IV_2019_VENDA_TRI[Cota-RHOPYLAC],VIEW_IV_2019_VENDA_TRI[Ano-Fiscal],Filtro_Demostrativo_Rep_ANO,VIEW_IV_2019_VENDA_TRI[Tri-Fiscal],Filtro_Demostrativo_Rep_TRI)</f>
        <v>5316225</v>
      </c>
      <c r="E46" s="119">
        <f>SUMIFS(VIEW_IV_2019_VENDA_TRI[Venda-RHOPYLAC],VIEW_IV_2019_VENDA_TRI[Ano-Fiscal],Filtro_Demostrativo_Rep_ANO,VIEW_IV_2019_VENDA_TRI[Tri-Fiscal],Filtro_Demostrativo_Rep_TRI)</f>
        <v>7344689</v>
      </c>
      <c r="F46" s="120">
        <f>SUMIFS(VIEW_IV_2019_VENDA_TRI[Cobertura-RHOPYLAC],VIEW_IV_2019_VENDA_TRI[Ano-Fiscal],Filtro_Demostrativo_Rep_ANO,VIEW_IV_2019_VENDA_TRI[Tri-Fiscal],Filtro_Demostrativo_Rep_TRI)</f>
        <v>1.3815609760685448</v>
      </c>
      <c r="G46" s="120">
        <f>Peso_Venda_RHOPYLAC</f>
        <v>0.05</v>
      </c>
      <c r="H46" s="119">
        <f>SUMIFS(VIEW_IV_2019_VENDA_TRI[Premio-RHOPYLAC],VIEW_IV_2019_VENDA_TRI[Ano-Fiscal],Filtro_Demostrativo_Rep_ANO,VIEW_IV_2019_VENDA_TRI[Tri-Fiscal],Filtro_Demostrativo_Rep_TRI)</f>
        <v>372.07768927957545</v>
      </c>
      <c r="I46" s="119">
        <f>SUMIFS(VIEW_IV_2019_VENDA_TRI[Recebido-RHOPYLAC],VIEW_IV_2019_VENDA_TRI[Ano-Fiscal],Filtro_Demostrativo_Rep_ANO,VIEW_IV_2019_VENDA_TRI[Tri-Fiscal],Filtro_Demostrativo_Rep_TRI)</f>
        <v>1120.8023183492464</v>
      </c>
      <c r="J46" s="119">
        <f>SUMIFS(VIEW_IV_2019_VENDA_TRI[Recuperavel-RHOPYLAC],VIEW_IV_2019_VENDA_TRI[Ano-Fiscal],Filtro_Demostrativo_Rep_ANO,VIEW_IV_2019_VENDA_TRI[Tri-Fiscal],Filtro_Demostrativo_Rep_TRI)</f>
        <v>0</v>
      </c>
      <c r="L46"/>
      <c r="M46"/>
      <c r="N46"/>
      <c r="O46"/>
      <c r="P46"/>
      <c r="Q46"/>
      <c r="S46" s="91" t="s">
        <v>1076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</row>
    <row r="47" spans="3:24" x14ac:dyDescent="0.25">
      <c r="C47" s="116" t="s">
        <v>419</v>
      </c>
      <c r="D47" s="119">
        <f>SUMIFS(VIEW_IV_2019_VENDA_TRI[Cota-OUTRO PRODUTOS],VIEW_IV_2019_VENDA_TRI[Ano-Fiscal],Filtro_Demostrativo_Rep_ANO,VIEW_IV_2019_VENDA_TRI[Tri-Fiscal],Filtro_Demostrativo_Rep_TRI)</f>
        <v>42591253</v>
      </c>
      <c r="E47" s="119">
        <f>SUMIFS(VIEW_IV_2019_VENDA_TRI[Venda-OUTRO PRODUTOS],VIEW_IV_2019_VENDA_TRI[Ano-Fiscal],Filtro_Demostrativo_Rep_ANO,VIEW_IV_2019_VENDA_TRI[Tri-Fiscal],Filtro_Demostrativo_Rep_TRI)</f>
        <v>55077621</v>
      </c>
      <c r="F47" s="120">
        <f>SUMIFS(VIEW_IV_2019_VENDA_TRI[Cobertura-OUTROS PRODUTOS],VIEW_IV_2019_VENDA_TRI[Ano-Fiscal],Filtro_Demostrativo_Rep_ANO,VIEW_IV_2019_VENDA_TRI[Tri-Fiscal],Filtro_Demostrativo_Rep_TRI)</f>
        <v>1.2931674257153223</v>
      </c>
      <c r="G47" s="120">
        <f>Peso_Venda_OUTROS</f>
        <v>0.05</v>
      </c>
      <c r="H47" s="119">
        <f>SUMIFS(VIEW_IV_2019_VENDA_TRI[Premio-OUTROS],VIEW_IV_2019_VENDA_TRI[Ano-Fiscal],Filtro_Demostrativo_Rep_ANO,VIEW_IV_2019_VENDA_TRI[Tri-Fiscal],Filtro_Demostrativo_Rep_TRI)</f>
        <v>347.4189889925122</v>
      </c>
      <c r="I47" s="119">
        <f>SUMIFS(VIEW_IV_2019_VENDA_TRI[Recebido-OUTROS],VIEW_IV_2019_VENDA_TRI[Ano-Fiscal],Filtro_Demostrativo_Rep_ANO,VIEW_IV_2019_VENDA_TRI[Tri-Fiscal],Filtro_Demostrativo_Rep_TRI)</f>
        <v>922.34172533018489</v>
      </c>
      <c r="J47" s="119">
        <f>SUMIFS(VIEW_IV_2019_VENDA_TRI[Recuperavel-OUTROS],VIEW_IV_2019_VENDA_TRI[Ano-Fiscal],Filtro_Demostrativo_Rep_ANO,VIEW_IV_2019_VENDA_TRI[Tri-Fiscal],Filtro_Demostrativo_Rep_TRI)</f>
        <v>0</v>
      </c>
      <c r="L47"/>
      <c r="M47"/>
      <c r="N47"/>
      <c r="O47"/>
      <c r="P47"/>
      <c r="Q47"/>
      <c r="S47" s="91" t="s">
        <v>1111</v>
      </c>
      <c r="T47" s="10">
        <v>0</v>
      </c>
      <c r="U47" s="10">
        <v>0</v>
      </c>
      <c r="V47" s="10">
        <v>0</v>
      </c>
      <c r="W47" s="10">
        <v>0</v>
      </c>
      <c r="X47" s="10">
        <v>50</v>
      </c>
    </row>
    <row r="48" spans="3:24" x14ac:dyDescent="0.25">
      <c r="C48" s="116" t="s">
        <v>266</v>
      </c>
      <c r="D48" s="119">
        <f>SUMIFS(VIEW_IV_2019_VENDA_TRI[Cota-TOTAL],VIEW_IV_2019_VENDA_TRI[Ano-Fiscal],Filtro_Demostrativo_Rep_ANO,VIEW_IV_2019_VENDA_TRI[Tri-Fiscal],Filtro_Demostrativo_Rep_TRI)</f>
        <v>59811910</v>
      </c>
      <c r="E48" s="119">
        <f>SUMIFS(VIEW_IV_2019_VENDA_TRI[Venda-TOTAL],VIEW_IV_2019_VENDA_TRI[Ano-Fiscal],Filtro_Demostrativo_Rep_ANO,VIEW_IV_2019_VENDA_TRI[Tri-Fiscal],Filtro_Demostrativo_Rep_TRI)</f>
        <v>73710017</v>
      </c>
      <c r="F48" s="120">
        <f>SUMIFS(VIEW_IV_2019_VENDA_TRI[Cobertura-TOTAL],VIEW_IV_2019_VENDA_TRI[Ano-Fiscal],Filtro_Demostrativo_Rep_ANO,VIEW_IV_2019_VENDA_TRI[Tri-Fiscal],Filtro_Demostrativo_Rep_TRI)</f>
        <v>1.23236353762988</v>
      </c>
      <c r="G48" s="121"/>
      <c r="H48" s="136">
        <f>SUM(H45:H47)</f>
        <v>1488.6105781252047</v>
      </c>
      <c r="I48" s="136">
        <f>SUM(I45:I47)</f>
        <v>2954.3691344421181</v>
      </c>
      <c r="J48" s="136">
        <f>SUM(J45:J47)</f>
        <v>0</v>
      </c>
      <c r="L48"/>
      <c r="M48"/>
      <c r="N48"/>
      <c r="O48"/>
      <c r="P48"/>
      <c r="Q48"/>
      <c r="S48" s="91" t="s">
        <v>1126</v>
      </c>
      <c r="T48" s="10">
        <v>0</v>
      </c>
      <c r="U48" s="10">
        <v>0</v>
      </c>
      <c r="V48" s="10">
        <v>0</v>
      </c>
      <c r="W48" s="10">
        <v>188</v>
      </c>
      <c r="X48" s="10">
        <v>985</v>
      </c>
    </row>
    <row r="49" spans="8:24" x14ac:dyDescent="0.25">
      <c r="L49"/>
      <c r="M49"/>
      <c r="N49"/>
      <c r="O49"/>
      <c r="P49"/>
      <c r="Q49"/>
      <c r="S49" s="91" t="s">
        <v>1099</v>
      </c>
      <c r="T49" s="10">
        <v>0</v>
      </c>
      <c r="U49" s="10">
        <v>0</v>
      </c>
      <c r="V49" s="10">
        <v>0</v>
      </c>
      <c r="W49" s="10">
        <v>192</v>
      </c>
      <c r="X49" s="10">
        <v>180</v>
      </c>
    </row>
    <row r="50" spans="8:24" x14ac:dyDescent="0.25">
      <c r="L50"/>
      <c r="M50"/>
      <c r="N50"/>
      <c r="O50"/>
      <c r="P50"/>
      <c r="Q50"/>
      <c r="S50" s="91" t="s">
        <v>1110</v>
      </c>
      <c r="T50" s="10">
        <v>0</v>
      </c>
      <c r="U50" s="10">
        <v>0</v>
      </c>
      <c r="V50" s="10">
        <v>0</v>
      </c>
      <c r="W50" s="10">
        <v>0</v>
      </c>
      <c r="X50" s="10">
        <v>20</v>
      </c>
    </row>
    <row r="51" spans="8:24" x14ac:dyDescent="0.25">
      <c r="L51"/>
      <c r="M51"/>
      <c r="N51"/>
      <c r="O51"/>
      <c r="P51"/>
      <c r="Q51"/>
      <c r="S51" s="91" t="s">
        <v>1088</v>
      </c>
      <c r="T51" s="10">
        <v>0</v>
      </c>
      <c r="U51" s="10">
        <v>0</v>
      </c>
      <c r="V51" s="10">
        <v>0</v>
      </c>
      <c r="W51" s="10">
        <v>252</v>
      </c>
      <c r="X51" s="10">
        <v>1165</v>
      </c>
    </row>
    <row r="52" spans="8:24" x14ac:dyDescent="0.25">
      <c r="H52" s="87"/>
      <c r="L52"/>
      <c r="M52"/>
      <c r="N52"/>
      <c r="O52"/>
      <c r="P52"/>
      <c r="Q52"/>
      <c r="S52" s="91" t="s">
        <v>1100</v>
      </c>
      <c r="T52" s="10">
        <v>0</v>
      </c>
      <c r="U52" s="10">
        <v>0</v>
      </c>
      <c r="V52" s="10">
        <v>0</v>
      </c>
      <c r="W52" s="10">
        <v>4</v>
      </c>
      <c r="X52" s="10">
        <v>0</v>
      </c>
    </row>
    <row r="53" spans="8:24" x14ac:dyDescent="0.25">
      <c r="H53" s="87"/>
      <c r="L53"/>
      <c r="M53"/>
      <c r="N53"/>
      <c r="O53"/>
      <c r="P53"/>
      <c r="Q53"/>
      <c r="S53" s="91" t="s">
        <v>1063</v>
      </c>
      <c r="T53" s="10">
        <v>0</v>
      </c>
      <c r="U53" s="10">
        <v>0</v>
      </c>
      <c r="V53" s="10">
        <v>0</v>
      </c>
      <c r="W53" s="10">
        <v>180</v>
      </c>
      <c r="X53" s="10">
        <v>0</v>
      </c>
    </row>
    <row r="54" spans="8:24" x14ac:dyDescent="0.25">
      <c r="H54" s="87"/>
      <c r="L54"/>
      <c r="M54"/>
      <c r="N54"/>
      <c r="O54"/>
      <c r="P54"/>
      <c r="Q54"/>
      <c r="S54" s="91" t="s">
        <v>1054</v>
      </c>
      <c r="T54" s="10">
        <v>0</v>
      </c>
      <c r="U54" s="10">
        <v>0</v>
      </c>
      <c r="V54" s="10">
        <v>0</v>
      </c>
      <c r="W54" s="10">
        <v>0</v>
      </c>
      <c r="X54" s="10">
        <v>100</v>
      </c>
    </row>
    <row r="55" spans="8:24" x14ac:dyDescent="0.25">
      <c r="H55" s="87"/>
      <c r="L55"/>
      <c r="M55"/>
      <c r="N55"/>
      <c r="O55"/>
      <c r="P55"/>
      <c r="Q55"/>
      <c r="S55" s="91" t="s">
        <v>1055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</row>
    <row r="56" spans="8:24" x14ac:dyDescent="0.25">
      <c r="H56" s="87"/>
      <c r="L56"/>
      <c r="M56"/>
      <c r="N56"/>
      <c r="O56"/>
      <c r="P56"/>
      <c r="Q56"/>
      <c r="S56" s="91" t="s">
        <v>1058</v>
      </c>
      <c r="T56" s="10">
        <v>0</v>
      </c>
      <c r="U56" s="10">
        <v>0</v>
      </c>
      <c r="V56" s="10">
        <v>0</v>
      </c>
      <c r="W56" s="10">
        <v>0</v>
      </c>
      <c r="X56" s="10">
        <v>60</v>
      </c>
    </row>
    <row r="57" spans="8:24" x14ac:dyDescent="0.25">
      <c r="H57" s="87"/>
      <c r="L57"/>
      <c r="M57"/>
      <c r="N57"/>
      <c r="O57"/>
      <c r="P57"/>
      <c r="Q57"/>
      <c r="S57" s="91" t="s">
        <v>1121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</row>
    <row r="58" spans="8:24" x14ac:dyDescent="0.25">
      <c r="H58" s="87"/>
      <c r="L58"/>
      <c r="M58"/>
      <c r="N58"/>
      <c r="O58"/>
      <c r="P58"/>
      <c r="Q58"/>
      <c r="S58" s="91" t="s">
        <v>1122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</row>
    <row r="59" spans="8:24" x14ac:dyDescent="0.25">
      <c r="H59" s="87"/>
      <c r="L59"/>
      <c r="M59"/>
      <c r="N59"/>
      <c r="O59"/>
      <c r="P59"/>
      <c r="Q59"/>
      <c r="S59" s="91" t="s">
        <v>1070</v>
      </c>
      <c r="T59" s="10">
        <v>0</v>
      </c>
      <c r="U59" s="10">
        <v>0</v>
      </c>
      <c r="V59" s="10">
        <v>0</v>
      </c>
      <c r="W59" s="10">
        <v>0</v>
      </c>
      <c r="X59" s="10">
        <v>1000</v>
      </c>
    </row>
    <row r="60" spans="8:24" x14ac:dyDescent="0.25">
      <c r="H60" s="87"/>
      <c r="L60"/>
      <c r="M60"/>
      <c r="N60"/>
      <c r="O60"/>
      <c r="P60"/>
      <c r="Q60"/>
      <c r="S60" s="91" t="s">
        <v>1062</v>
      </c>
      <c r="T60" s="10">
        <v>0</v>
      </c>
      <c r="U60" s="10">
        <v>0</v>
      </c>
      <c r="V60" s="10">
        <v>0</v>
      </c>
      <c r="W60" s="10">
        <v>42</v>
      </c>
      <c r="X60" s="10">
        <v>0</v>
      </c>
    </row>
    <row r="61" spans="8:24" x14ac:dyDescent="0.25">
      <c r="H61" s="87"/>
      <c r="L61"/>
      <c r="M61"/>
      <c r="N61"/>
      <c r="O61"/>
      <c r="P61"/>
      <c r="Q61"/>
      <c r="S61" s="91" t="s">
        <v>1087</v>
      </c>
      <c r="T61" s="10">
        <v>0</v>
      </c>
      <c r="U61" s="10">
        <v>0</v>
      </c>
      <c r="V61" s="10">
        <v>0</v>
      </c>
      <c r="W61" s="10">
        <v>0</v>
      </c>
      <c r="X61" s="10">
        <v>1370</v>
      </c>
    </row>
    <row r="62" spans="8:24" x14ac:dyDescent="0.25">
      <c r="H62" s="87"/>
      <c r="L62"/>
      <c r="M62"/>
      <c r="N62"/>
      <c r="O62"/>
      <c r="P62"/>
      <c r="Q62"/>
      <c r="S62" s="91" t="s">
        <v>1057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</row>
    <row r="63" spans="8:24" x14ac:dyDescent="0.25">
      <c r="H63" s="87"/>
      <c r="L63"/>
      <c r="M63"/>
      <c r="N63"/>
      <c r="O63"/>
      <c r="P63"/>
      <c r="Q63"/>
      <c r="S63" s="91" t="s">
        <v>1108</v>
      </c>
      <c r="T63" s="10">
        <v>0</v>
      </c>
      <c r="U63" s="10">
        <v>0</v>
      </c>
      <c r="V63" s="10">
        <v>0</v>
      </c>
      <c r="W63" s="10">
        <v>0</v>
      </c>
      <c r="X63" s="10">
        <v>90</v>
      </c>
    </row>
    <row r="64" spans="8:24" x14ac:dyDescent="0.25">
      <c r="H64" s="87"/>
      <c r="L64"/>
      <c r="M64"/>
      <c r="N64"/>
      <c r="O64"/>
      <c r="P64"/>
      <c r="Q64"/>
      <c r="S64" s="91" t="s">
        <v>1079</v>
      </c>
      <c r="T64" s="10">
        <v>0</v>
      </c>
      <c r="U64" s="10">
        <v>0</v>
      </c>
      <c r="V64" s="10">
        <v>0</v>
      </c>
      <c r="W64" s="10">
        <v>0</v>
      </c>
      <c r="X64" s="10">
        <v>180</v>
      </c>
    </row>
    <row r="65" spans="12:24" s="87" customFormat="1" x14ac:dyDescent="0.25">
      <c r="L65"/>
      <c r="M65"/>
      <c r="N65"/>
      <c r="O65"/>
      <c r="P65"/>
      <c r="Q65"/>
      <c r="S65" s="91" t="s">
        <v>1095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</row>
    <row r="66" spans="12:24" s="87" customFormat="1" x14ac:dyDescent="0.25">
      <c r="L66"/>
      <c r="M66"/>
      <c r="N66"/>
      <c r="O66"/>
      <c r="P66"/>
      <c r="Q66"/>
      <c r="S66" s="91" t="s">
        <v>1115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</row>
    <row r="67" spans="12:24" s="87" customFormat="1" x14ac:dyDescent="0.25">
      <c r="L67"/>
      <c r="M67"/>
      <c r="N67"/>
      <c r="O67"/>
      <c r="P67"/>
      <c r="Q67"/>
      <c r="S67" s="91" t="s">
        <v>1112</v>
      </c>
      <c r="T67" s="10">
        <v>3</v>
      </c>
      <c r="U67" s="10">
        <v>0</v>
      </c>
      <c r="V67" s="10">
        <v>0</v>
      </c>
      <c r="W67" s="10">
        <v>0</v>
      </c>
      <c r="X67" s="10">
        <v>0</v>
      </c>
    </row>
    <row r="68" spans="12:24" s="87" customFormat="1" x14ac:dyDescent="0.25">
      <c r="L68"/>
      <c r="M68"/>
      <c r="N68"/>
      <c r="O68"/>
      <c r="P68"/>
      <c r="Q68"/>
      <c r="S68" s="91" t="s">
        <v>1166</v>
      </c>
      <c r="T68" s="10">
        <v>0</v>
      </c>
      <c r="U68" s="10">
        <v>0</v>
      </c>
      <c r="V68" s="10">
        <v>0</v>
      </c>
      <c r="W68" s="10">
        <v>0</v>
      </c>
      <c r="X68" s="10">
        <v>100</v>
      </c>
    </row>
    <row r="69" spans="12:24" s="87" customFormat="1" x14ac:dyDescent="0.25">
      <c r="L69"/>
      <c r="M69"/>
      <c r="N69"/>
      <c r="O69"/>
      <c r="P69"/>
      <c r="Q69"/>
      <c r="S69" s="91" t="s">
        <v>1216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</row>
    <row r="70" spans="12:24" s="87" customFormat="1" x14ac:dyDescent="0.25">
      <c r="L70"/>
      <c r="M70"/>
      <c r="N70"/>
      <c r="O70"/>
      <c r="P70"/>
      <c r="Q70"/>
      <c r="S70" s="91" t="s">
        <v>1217</v>
      </c>
      <c r="T70" s="10">
        <v>0</v>
      </c>
      <c r="U70" s="10">
        <v>0</v>
      </c>
      <c r="V70" s="10">
        <v>0</v>
      </c>
      <c r="W70" s="10">
        <v>0</v>
      </c>
      <c r="X70" s="10">
        <v>175</v>
      </c>
    </row>
    <row r="71" spans="12:24" s="87" customFormat="1" x14ac:dyDescent="0.25">
      <c r="L71"/>
      <c r="M71"/>
      <c r="N71"/>
      <c r="O71"/>
      <c r="P71"/>
      <c r="Q71"/>
      <c r="S71" s="91" t="s">
        <v>1158</v>
      </c>
      <c r="T71" s="10">
        <v>0</v>
      </c>
      <c r="U71" s="10">
        <v>0</v>
      </c>
      <c r="V71" s="10">
        <v>0</v>
      </c>
      <c r="W71" s="10">
        <v>0</v>
      </c>
      <c r="X71" s="10">
        <v>150</v>
      </c>
    </row>
    <row r="72" spans="12:24" s="87" customFormat="1" x14ac:dyDescent="0.25">
      <c r="L72"/>
      <c r="M72"/>
      <c r="N72"/>
      <c r="O72"/>
      <c r="P72"/>
      <c r="Q72"/>
      <c r="S72" s="91" t="s">
        <v>1221</v>
      </c>
      <c r="T72" s="10">
        <v>0</v>
      </c>
      <c r="U72" s="10">
        <v>0</v>
      </c>
      <c r="V72" s="10">
        <v>0</v>
      </c>
      <c r="W72" s="10">
        <v>0</v>
      </c>
      <c r="X72" s="10">
        <v>200</v>
      </c>
    </row>
    <row r="73" spans="12:24" s="87" customFormat="1" x14ac:dyDescent="0.25">
      <c r="L73"/>
      <c r="M73"/>
      <c r="N73"/>
      <c r="O73"/>
      <c r="P73"/>
      <c r="Q73"/>
      <c r="S73" s="91" t="s">
        <v>1214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</row>
    <row r="74" spans="12:24" s="87" customFormat="1" x14ac:dyDescent="0.25">
      <c r="L74"/>
      <c r="M74"/>
      <c r="N74"/>
      <c r="O74"/>
      <c r="P74"/>
      <c r="Q74"/>
      <c r="S74"/>
      <c r="T74"/>
      <c r="U74"/>
      <c r="V74"/>
      <c r="W74"/>
      <c r="X74"/>
    </row>
    <row r="75" spans="12:24" s="87" customFormat="1" x14ac:dyDescent="0.25">
      <c r="L75"/>
      <c r="M75"/>
      <c r="N75"/>
      <c r="O75"/>
      <c r="P75"/>
      <c r="Q75"/>
      <c r="S75"/>
      <c r="T75"/>
      <c r="U75"/>
      <c r="V75"/>
      <c r="W75"/>
      <c r="X75"/>
    </row>
    <row r="76" spans="12:24" s="87" customFormat="1" x14ac:dyDescent="0.25">
      <c r="L76"/>
      <c r="M76"/>
      <c r="N76"/>
      <c r="O76"/>
      <c r="P76"/>
      <c r="Q76"/>
      <c r="S76"/>
      <c r="T76"/>
      <c r="U76"/>
      <c r="V76"/>
      <c r="W76"/>
      <c r="X76"/>
    </row>
    <row r="77" spans="12:24" s="87" customFormat="1" x14ac:dyDescent="0.25">
      <c r="L77"/>
      <c r="M77"/>
      <c r="N77"/>
      <c r="O77"/>
      <c r="P77"/>
      <c r="Q77"/>
      <c r="S77"/>
      <c r="T77"/>
      <c r="U77"/>
      <c r="V77"/>
      <c r="W77"/>
      <c r="X77"/>
    </row>
    <row r="78" spans="12:24" s="87" customFormat="1" x14ac:dyDescent="0.25">
      <c r="L78"/>
      <c r="M78"/>
      <c r="N78"/>
      <c r="O78"/>
      <c r="P78"/>
      <c r="Q78"/>
      <c r="S78"/>
      <c r="T78"/>
      <c r="U78"/>
      <c r="V78"/>
      <c r="W78"/>
      <c r="X78"/>
    </row>
    <row r="79" spans="12:24" s="87" customFormat="1" x14ac:dyDescent="0.25">
      <c r="L79"/>
      <c r="M79"/>
      <c r="N79"/>
      <c r="O79"/>
      <c r="P79"/>
      <c r="Q79"/>
      <c r="S79"/>
      <c r="T79"/>
      <c r="U79"/>
      <c r="V79"/>
      <c r="W79"/>
      <c r="X79"/>
    </row>
    <row r="80" spans="12:24" s="87" customFormat="1" x14ac:dyDescent="0.25">
      <c r="L80"/>
      <c r="M80"/>
      <c r="N80"/>
      <c r="O80"/>
      <c r="P80"/>
      <c r="Q80"/>
      <c r="S80"/>
      <c r="T80"/>
      <c r="U80"/>
      <c r="V80"/>
      <c r="W80"/>
      <c r="X80"/>
    </row>
    <row r="81" spans="8:24" x14ac:dyDescent="0.25">
      <c r="H81" s="87"/>
      <c r="L81"/>
      <c r="M81"/>
      <c r="N81"/>
      <c r="O81"/>
      <c r="P81"/>
      <c r="Q81"/>
      <c r="S81"/>
      <c r="T81"/>
      <c r="U81"/>
      <c r="V81"/>
      <c r="W81"/>
      <c r="X81"/>
    </row>
    <row r="82" spans="8:24" x14ac:dyDescent="0.25">
      <c r="H82" s="87"/>
      <c r="L82"/>
      <c r="M82"/>
      <c r="N82"/>
      <c r="O82"/>
      <c r="P82"/>
      <c r="Q82"/>
      <c r="S82"/>
      <c r="T82"/>
      <c r="U82"/>
      <c r="V82"/>
      <c r="W82"/>
      <c r="X82"/>
    </row>
    <row r="83" spans="8:24" x14ac:dyDescent="0.25">
      <c r="H83" s="87"/>
      <c r="L83"/>
      <c r="M83"/>
      <c r="N83"/>
      <c r="O83"/>
      <c r="P83"/>
      <c r="Q83"/>
      <c r="S83"/>
      <c r="T83"/>
      <c r="U83"/>
      <c r="V83"/>
      <c r="W83"/>
      <c r="X83"/>
    </row>
    <row r="84" spans="8:24" x14ac:dyDescent="0.25">
      <c r="H84" s="87"/>
      <c r="L84"/>
      <c r="M84"/>
      <c r="N84"/>
      <c r="O84"/>
      <c r="P84"/>
      <c r="Q84"/>
      <c r="S84"/>
      <c r="T84"/>
      <c r="U84"/>
      <c r="V84"/>
      <c r="W84"/>
      <c r="X84"/>
    </row>
    <row r="85" spans="8:24" x14ac:dyDescent="0.25">
      <c r="H85" s="87"/>
      <c r="L85"/>
      <c r="M85"/>
      <c r="N85"/>
      <c r="O85"/>
      <c r="P85"/>
      <c r="Q85"/>
      <c r="S85"/>
      <c r="T85"/>
      <c r="U85"/>
      <c r="V85"/>
      <c r="W85"/>
      <c r="X85"/>
    </row>
    <row r="86" spans="8:24" x14ac:dyDescent="0.25">
      <c r="H86" s="87"/>
      <c r="L86"/>
      <c r="M86"/>
      <c r="N86"/>
      <c r="O86"/>
      <c r="P86"/>
      <c r="Q86"/>
      <c r="S86"/>
      <c r="T86"/>
      <c r="U86"/>
      <c r="V86"/>
      <c r="W86"/>
      <c r="X86"/>
    </row>
    <row r="87" spans="8:24" x14ac:dyDescent="0.25">
      <c r="H87" s="87"/>
      <c r="L87"/>
      <c r="M87"/>
      <c r="N87"/>
      <c r="O87"/>
      <c r="P87"/>
      <c r="Q87"/>
      <c r="S87"/>
      <c r="T87"/>
      <c r="U87"/>
      <c r="V87"/>
      <c r="W87"/>
      <c r="X87"/>
    </row>
    <row r="88" spans="8:24" x14ac:dyDescent="0.25">
      <c r="L88"/>
      <c r="M88"/>
      <c r="N88"/>
      <c r="O88"/>
      <c r="P88"/>
      <c r="Q88"/>
      <c r="S88"/>
      <c r="T88"/>
      <c r="U88"/>
      <c r="V88"/>
      <c r="W88"/>
      <c r="X88"/>
    </row>
    <row r="89" spans="8:24" x14ac:dyDescent="0.25">
      <c r="L89"/>
      <c r="M89"/>
      <c r="N89"/>
      <c r="O89"/>
      <c r="P89"/>
      <c r="Q89"/>
      <c r="S89"/>
      <c r="T89"/>
      <c r="U89"/>
      <c r="V89"/>
      <c r="W89"/>
      <c r="X89"/>
    </row>
    <row r="90" spans="8:24" x14ac:dyDescent="0.25">
      <c r="L90"/>
      <c r="M90"/>
      <c r="N90"/>
      <c r="O90"/>
      <c r="P90"/>
      <c r="Q90"/>
      <c r="S90"/>
      <c r="T90"/>
      <c r="U90"/>
      <c r="V90"/>
      <c r="W90"/>
      <c r="X90"/>
    </row>
    <row r="91" spans="8:24" x14ac:dyDescent="0.25">
      <c r="L91"/>
      <c r="M91"/>
      <c r="N91"/>
      <c r="O91"/>
      <c r="P91"/>
      <c r="Q91"/>
      <c r="S91"/>
      <c r="T91"/>
      <c r="U91"/>
      <c r="V91"/>
      <c r="W91"/>
      <c r="X91"/>
    </row>
    <row r="92" spans="8:24" x14ac:dyDescent="0.25">
      <c r="L92"/>
      <c r="M92"/>
      <c r="N92"/>
      <c r="O92"/>
      <c r="P92"/>
      <c r="Q92"/>
      <c r="S92"/>
      <c r="T92"/>
      <c r="U92"/>
      <c r="V92"/>
      <c r="W92"/>
      <c r="X92"/>
    </row>
    <row r="93" spans="8:24" x14ac:dyDescent="0.25">
      <c r="L93"/>
      <c r="M93"/>
      <c r="N93"/>
      <c r="O93"/>
      <c r="P93"/>
      <c r="Q93"/>
      <c r="S93"/>
      <c r="T93"/>
      <c r="U93"/>
      <c r="V93"/>
      <c r="W93"/>
      <c r="X93"/>
    </row>
    <row r="94" spans="8:24" x14ac:dyDescent="0.25">
      <c r="L94"/>
      <c r="M94"/>
      <c r="N94"/>
      <c r="O94"/>
      <c r="P94"/>
      <c r="Q94"/>
      <c r="S94"/>
      <c r="T94"/>
      <c r="U94"/>
      <c r="V94"/>
      <c r="W94"/>
      <c r="X94"/>
    </row>
    <row r="95" spans="8:24" x14ac:dyDescent="0.25">
      <c r="L95"/>
      <c r="M95"/>
      <c r="N95"/>
      <c r="O95"/>
      <c r="P95"/>
      <c r="Q95"/>
      <c r="S95"/>
      <c r="T95"/>
      <c r="U95"/>
      <c r="V95"/>
      <c r="W95"/>
      <c r="X95"/>
    </row>
    <row r="96" spans="8:24" x14ac:dyDescent="0.25">
      <c r="L96"/>
      <c r="M96"/>
      <c r="N96"/>
      <c r="O96"/>
      <c r="P96"/>
      <c r="Q96"/>
      <c r="S96"/>
      <c r="T96"/>
      <c r="U96"/>
      <c r="V96"/>
      <c r="W96"/>
      <c r="X96"/>
    </row>
    <row r="97" spans="12:24" x14ac:dyDescent="0.25">
      <c r="L97"/>
      <c r="M97"/>
      <c r="N97"/>
      <c r="O97"/>
      <c r="P97"/>
      <c r="Q97"/>
      <c r="S97"/>
      <c r="T97"/>
      <c r="U97"/>
      <c r="V97"/>
      <c r="W97"/>
      <c r="X97"/>
    </row>
    <row r="98" spans="12:24" x14ac:dyDescent="0.25">
      <c r="L98"/>
      <c r="M98"/>
      <c r="N98"/>
      <c r="O98"/>
      <c r="P98"/>
      <c r="Q98"/>
      <c r="S98"/>
      <c r="T98"/>
      <c r="U98"/>
      <c r="V98"/>
      <c r="W98"/>
      <c r="X98"/>
    </row>
    <row r="99" spans="12:24" x14ac:dyDescent="0.25">
      <c r="L99"/>
      <c r="M99"/>
      <c r="N99"/>
      <c r="O99"/>
      <c r="P99"/>
      <c r="Q99"/>
      <c r="S99"/>
      <c r="T99"/>
      <c r="U99"/>
      <c r="V99"/>
      <c r="W99"/>
      <c r="X99"/>
    </row>
    <row r="100" spans="12:24" x14ac:dyDescent="0.25">
      <c r="L100"/>
      <c r="M100"/>
      <c r="N100"/>
      <c r="O100"/>
      <c r="P100"/>
      <c r="Q100"/>
      <c r="S100"/>
      <c r="T100"/>
      <c r="U100"/>
      <c r="V100"/>
      <c r="W100"/>
      <c r="X100"/>
    </row>
    <row r="101" spans="12:24" x14ac:dyDescent="0.25">
      <c r="L101"/>
      <c r="M101"/>
      <c r="N101"/>
      <c r="O101"/>
      <c r="P101"/>
      <c r="Q101"/>
      <c r="S101"/>
      <c r="T101"/>
      <c r="U101"/>
      <c r="V101"/>
      <c r="W101"/>
      <c r="X101"/>
    </row>
    <row r="102" spans="12:24" x14ac:dyDescent="0.25">
      <c r="L102"/>
      <c r="M102"/>
      <c r="N102"/>
      <c r="O102"/>
      <c r="P102"/>
      <c r="Q102"/>
      <c r="S102"/>
      <c r="T102"/>
      <c r="U102"/>
      <c r="V102"/>
      <c r="W102"/>
      <c r="X102"/>
    </row>
    <row r="103" spans="12:24" x14ac:dyDescent="0.25">
      <c r="L103"/>
      <c r="M103"/>
      <c r="N103"/>
      <c r="O103"/>
      <c r="P103"/>
      <c r="Q103"/>
      <c r="S103"/>
      <c r="T103"/>
      <c r="U103"/>
      <c r="V103"/>
      <c r="W103"/>
      <c r="X103"/>
    </row>
    <row r="104" spans="12:24" x14ac:dyDescent="0.25">
      <c r="L104"/>
      <c r="M104"/>
      <c r="N104"/>
      <c r="O104"/>
      <c r="P104"/>
      <c r="Q104"/>
      <c r="S104"/>
      <c r="T104"/>
      <c r="U104"/>
      <c r="V104"/>
      <c r="W104"/>
      <c r="X104"/>
    </row>
    <row r="105" spans="12:24" x14ac:dyDescent="0.25">
      <c r="L105"/>
      <c r="M105"/>
      <c r="N105"/>
      <c r="O105"/>
      <c r="P105"/>
      <c r="Q105"/>
      <c r="S105"/>
      <c r="T105"/>
      <c r="U105"/>
      <c r="V105"/>
      <c r="W105"/>
      <c r="X105"/>
    </row>
    <row r="106" spans="12:24" x14ac:dyDescent="0.25">
      <c r="L106"/>
      <c r="M106"/>
      <c r="N106"/>
      <c r="O106"/>
      <c r="P106"/>
      <c r="Q106"/>
      <c r="S106"/>
      <c r="T106"/>
      <c r="U106"/>
      <c r="V106"/>
      <c r="W106"/>
      <c r="X106"/>
    </row>
    <row r="107" spans="12:24" x14ac:dyDescent="0.25">
      <c r="L107"/>
      <c r="M107"/>
      <c r="N107"/>
      <c r="O107"/>
      <c r="P107"/>
      <c r="Q107"/>
      <c r="S107"/>
      <c r="T107"/>
      <c r="U107"/>
      <c r="V107"/>
      <c r="W107"/>
      <c r="X107"/>
    </row>
    <row r="108" spans="12:24" x14ac:dyDescent="0.25">
      <c r="L108"/>
      <c r="M108"/>
      <c r="N108"/>
      <c r="O108"/>
      <c r="P108"/>
      <c r="Q108"/>
      <c r="S108"/>
      <c r="T108"/>
      <c r="U108"/>
      <c r="V108"/>
      <c r="W108"/>
      <c r="X108"/>
    </row>
    <row r="109" spans="12:24" x14ac:dyDescent="0.25">
      <c r="L109"/>
      <c r="M109"/>
      <c r="N109"/>
      <c r="O109"/>
      <c r="P109"/>
      <c r="Q109"/>
      <c r="S109"/>
      <c r="T109"/>
      <c r="U109"/>
      <c r="V109"/>
      <c r="W109"/>
      <c r="X109"/>
    </row>
    <row r="110" spans="12:24" x14ac:dyDescent="0.25">
      <c r="L110"/>
      <c r="M110"/>
      <c r="N110"/>
      <c r="O110"/>
      <c r="P110"/>
      <c r="Q110"/>
      <c r="S110"/>
      <c r="T110"/>
      <c r="U110"/>
      <c r="V110"/>
      <c r="W110"/>
      <c r="X110"/>
    </row>
    <row r="111" spans="12:24" x14ac:dyDescent="0.25">
      <c r="L111"/>
      <c r="M111"/>
      <c r="N111"/>
      <c r="O111"/>
      <c r="P111"/>
      <c r="Q111"/>
      <c r="S111"/>
      <c r="T111"/>
      <c r="U111"/>
      <c r="V111"/>
      <c r="W111"/>
      <c r="X111"/>
    </row>
    <row r="112" spans="12:24" x14ac:dyDescent="0.25">
      <c r="L112"/>
      <c r="M112"/>
      <c r="N112"/>
      <c r="O112"/>
      <c r="P112"/>
      <c r="Q112"/>
      <c r="S112"/>
      <c r="T112"/>
      <c r="U112"/>
      <c r="V112"/>
      <c r="W112"/>
      <c r="X112"/>
    </row>
    <row r="113" spans="12:24" x14ac:dyDescent="0.25">
      <c r="L113"/>
      <c r="M113"/>
      <c r="N113"/>
      <c r="O113"/>
      <c r="P113"/>
      <c r="Q113"/>
      <c r="S113"/>
      <c r="T113"/>
      <c r="U113"/>
      <c r="V113"/>
      <c r="W113"/>
      <c r="X113"/>
    </row>
    <row r="114" spans="12:24" x14ac:dyDescent="0.25">
      <c r="L114"/>
      <c r="M114"/>
      <c r="N114"/>
      <c r="O114"/>
      <c r="P114"/>
      <c r="Q114"/>
      <c r="S114"/>
      <c r="T114"/>
      <c r="U114"/>
      <c r="V114"/>
      <c r="W114"/>
      <c r="X114"/>
    </row>
    <row r="115" spans="12:24" x14ac:dyDescent="0.25">
      <c r="L115"/>
      <c r="M115"/>
      <c r="N115"/>
      <c r="O115"/>
      <c r="P115"/>
      <c r="Q115"/>
      <c r="S115"/>
      <c r="T115"/>
      <c r="U115"/>
      <c r="V115"/>
      <c r="W115"/>
      <c r="X115"/>
    </row>
    <row r="116" spans="12:24" x14ac:dyDescent="0.25">
      <c r="L116"/>
      <c r="M116"/>
      <c r="N116"/>
      <c r="O116"/>
      <c r="P116"/>
      <c r="Q116"/>
      <c r="S116"/>
      <c r="T116"/>
      <c r="U116"/>
      <c r="V116"/>
      <c r="W116"/>
      <c r="X116"/>
    </row>
    <row r="117" spans="12:24" x14ac:dyDescent="0.25">
      <c r="L117"/>
      <c r="M117"/>
      <c r="N117"/>
      <c r="O117"/>
      <c r="P117"/>
      <c r="Q117"/>
      <c r="S117"/>
      <c r="T117"/>
      <c r="U117"/>
      <c r="V117"/>
      <c r="W117"/>
      <c r="X117"/>
    </row>
    <row r="118" spans="12:24" x14ac:dyDescent="0.25">
      <c r="L118"/>
      <c r="M118"/>
      <c r="N118"/>
      <c r="O118"/>
      <c r="P118"/>
      <c r="Q118"/>
      <c r="S118"/>
      <c r="T118"/>
      <c r="U118"/>
      <c r="V118"/>
      <c r="W118"/>
      <c r="X118"/>
    </row>
    <row r="119" spans="12:24" x14ac:dyDescent="0.25">
      <c r="L119"/>
      <c r="M119"/>
      <c r="N119"/>
      <c r="O119"/>
      <c r="P119"/>
      <c r="Q119"/>
      <c r="S119"/>
      <c r="T119"/>
      <c r="U119"/>
      <c r="V119"/>
      <c r="W119"/>
      <c r="X119"/>
    </row>
    <row r="120" spans="12:24" x14ac:dyDescent="0.25">
      <c r="L120"/>
      <c r="M120"/>
      <c r="N120"/>
      <c r="O120"/>
      <c r="P120"/>
      <c r="Q120"/>
      <c r="S120"/>
      <c r="T120"/>
      <c r="U120"/>
      <c r="V120"/>
      <c r="W120"/>
      <c r="X120"/>
    </row>
    <row r="121" spans="12:24" x14ac:dyDescent="0.25">
      <c r="L121"/>
      <c r="M121"/>
      <c r="N121"/>
      <c r="O121"/>
      <c r="P121"/>
      <c r="Q121"/>
      <c r="S121"/>
      <c r="T121"/>
      <c r="U121"/>
      <c r="V121"/>
      <c r="W121"/>
      <c r="X121"/>
    </row>
    <row r="122" spans="12:24" x14ac:dyDescent="0.25">
      <c r="L122"/>
      <c r="M122"/>
      <c r="N122"/>
      <c r="O122"/>
      <c r="P122"/>
      <c r="Q122"/>
      <c r="S122"/>
      <c r="T122"/>
      <c r="U122"/>
      <c r="V122"/>
      <c r="W122"/>
      <c r="X122"/>
    </row>
    <row r="123" spans="12:24" x14ac:dyDescent="0.25">
      <c r="L123"/>
      <c r="M123"/>
      <c r="N123"/>
      <c r="O123"/>
      <c r="P123"/>
      <c r="Q123"/>
      <c r="S123"/>
      <c r="T123"/>
      <c r="U123"/>
      <c r="V123"/>
      <c r="W123"/>
      <c r="X123"/>
    </row>
    <row r="124" spans="12:24" x14ac:dyDescent="0.25">
      <c r="L124"/>
      <c r="M124"/>
      <c r="N124"/>
      <c r="O124"/>
      <c r="P124"/>
      <c r="Q124"/>
      <c r="S124"/>
      <c r="T124"/>
      <c r="U124"/>
      <c r="V124"/>
      <c r="W124"/>
      <c r="X124"/>
    </row>
    <row r="125" spans="12:24" x14ac:dyDescent="0.25">
      <c r="L125"/>
      <c r="M125"/>
      <c r="N125"/>
      <c r="O125"/>
      <c r="P125"/>
      <c r="Q125"/>
      <c r="S125"/>
      <c r="T125"/>
      <c r="U125"/>
      <c r="V125"/>
      <c r="W125"/>
      <c r="X125"/>
    </row>
    <row r="126" spans="12:24" x14ac:dyDescent="0.25">
      <c r="L126"/>
      <c r="M126"/>
      <c r="N126"/>
      <c r="O126"/>
      <c r="P126"/>
      <c r="Q126"/>
      <c r="S126"/>
      <c r="T126"/>
      <c r="U126"/>
      <c r="V126"/>
      <c r="W126"/>
      <c r="X126"/>
    </row>
    <row r="127" spans="12:24" x14ac:dyDescent="0.25">
      <c r="L127"/>
      <c r="M127"/>
      <c r="N127"/>
      <c r="O127"/>
      <c r="P127"/>
      <c r="Q127"/>
      <c r="S127"/>
      <c r="T127"/>
      <c r="U127"/>
      <c r="V127"/>
      <c r="W127"/>
      <c r="X127"/>
    </row>
    <row r="128" spans="12:24" x14ac:dyDescent="0.25">
      <c r="L128"/>
      <c r="M128"/>
      <c r="N128"/>
      <c r="O128"/>
      <c r="P128"/>
      <c r="Q128"/>
      <c r="S128"/>
      <c r="T128"/>
      <c r="U128"/>
      <c r="V128"/>
      <c r="W128"/>
      <c r="X128"/>
    </row>
    <row r="129" spans="12:24" x14ac:dyDescent="0.25">
      <c r="L129"/>
      <c r="M129"/>
      <c r="N129"/>
      <c r="O129"/>
      <c r="P129"/>
      <c r="Q129"/>
      <c r="S129"/>
      <c r="T129"/>
      <c r="U129"/>
      <c r="V129"/>
      <c r="W129"/>
      <c r="X129"/>
    </row>
    <row r="130" spans="12:24" x14ac:dyDescent="0.25">
      <c r="L130"/>
      <c r="M130"/>
      <c r="N130"/>
      <c r="O130"/>
      <c r="P130"/>
      <c r="Q130"/>
      <c r="S130"/>
      <c r="T130"/>
      <c r="U130"/>
      <c r="V130"/>
      <c r="W130"/>
      <c r="X130"/>
    </row>
    <row r="131" spans="12:24" x14ac:dyDescent="0.25">
      <c r="L131"/>
      <c r="M131"/>
      <c r="N131"/>
      <c r="O131"/>
      <c r="P131"/>
      <c r="Q131"/>
      <c r="S131"/>
      <c r="T131"/>
      <c r="U131"/>
      <c r="V131"/>
      <c r="W131"/>
      <c r="X131"/>
    </row>
    <row r="132" spans="12:24" x14ac:dyDescent="0.25">
      <c r="L132"/>
      <c r="M132"/>
      <c r="N132"/>
      <c r="O132"/>
      <c r="P132"/>
      <c r="Q132"/>
      <c r="S132"/>
      <c r="T132"/>
      <c r="U132"/>
      <c r="V132"/>
      <c r="W132"/>
      <c r="X132"/>
    </row>
    <row r="133" spans="12:24" x14ac:dyDescent="0.25">
      <c r="L133"/>
      <c r="M133"/>
      <c r="N133"/>
      <c r="O133"/>
      <c r="P133"/>
      <c r="Q133"/>
      <c r="S133"/>
      <c r="T133"/>
      <c r="U133"/>
      <c r="V133"/>
      <c r="W133"/>
      <c r="X133"/>
    </row>
    <row r="134" spans="12:24" x14ac:dyDescent="0.25">
      <c r="L134"/>
      <c r="M134"/>
      <c r="N134"/>
      <c r="O134"/>
      <c r="P134"/>
      <c r="Q134"/>
      <c r="S134"/>
      <c r="T134"/>
      <c r="U134"/>
      <c r="V134"/>
      <c r="W134"/>
      <c r="X134"/>
    </row>
    <row r="135" spans="12:24" x14ac:dyDescent="0.25">
      <c r="L135"/>
      <c r="M135"/>
      <c r="N135"/>
      <c r="O135"/>
      <c r="P135"/>
      <c r="Q135"/>
      <c r="S135"/>
      <c r="T135"/>
      <c r="U135"/>
      <c r="V135"/>
      <c r="W135"/>
      <c r="X135"/>
    </row>
    <row r="136" spans="12:24" x14ac:dyDescent="0.25">
      <c r="L136"/>
      <c r="M136"/>
      <c r="N136"/>
      <c r="O136"/>
      <c r="P136"/>
      <c r="Q136"/>
      <c r="S136"/>
      <c r="T136"/>
      <c r="U136"/>
      <c r="V136"/>
      <c r="W136"/>
      <c r="X136"/>
    </row>
    <row r="137" spans="12:24" x14ac:dyDescent="0.25">
      <c r="L137"/>
      <c r="M137"/>
      <c r="N137"/>
      <c r="O137"/>
      <c r="P137"/>
      <c r="Q137"/>
      <c r="S137"/>
      <c r="T137"/>
      <c r="U137"/>
      <c r="V137"/>
      <c r="W137"/>
      <c r="X137"/>
    </row>
    <row r="138" spans="12:24" x14ac:dyDescent="0.25">
      <c r="L138"/>
      <c r="M138"/>
      <c r="N138"/>
      <c r="O138"/>
      <c r="P138"/>
      <c r="Q138"/>
      <c r="S138"/>
      <c r="T138"/>
      <c r="U138"/>
      <c r="V138"/>
      <c r="W138"/>
      <c r="X138"/>
    </row>
    <row r="139" spans="12:24" x14ac:dyDescent="0.25">
      <c r="L139"/>
      <c r="M139"/>
      <c r="N139"/>
      <c r="O139"/>
      <c r="P139"/>
      <c r="Q139"/>
      <c r="S139"/>
      <c r="T139"/>
      <c r="U139"/>
      <c r="V139"/>
      <c r="W139"/>
      <c r="X139"/>
    </row>
    <row r="140" spans="12:24" x14ac:dyDescent="0.25">
      <c r="L140"/>
      <c r="M140"/>
      <c r="N140"/>
      <c r="O140"/>
      <c r="P140"/>
      <c r="Q140"/>
      <c r="S140"/>
      <c r="T140"/>
      <c r="U140"/>
      <c r="V140"/>
      <c r="W140"/>
      <c r="X140"/>
    </row>
    <row r="141" spans="12:24" x14ac:dyDescent="0.25">
      <c r="L141"/>
      <c r="M141"/>
      <c r="N141"/>
      <c r="O141"/>
      <c r="P141"/>
      <c r="Q141"/>
      <c r="S141"/>
      <c r="T141"/>
      <c r="U141"/>
      <c r="V141"/>
      <c r="W141"/>
      <c r="X141"/>
    </row>
    <row r="142" spans="12:24" x14ac:dyDescent="0.25">
      <c r="L142"/>
      <c r="M142"/>
      <c r="N142"/>
      <c r="O142"/>
      <c r="P142"/>
      <c r="Q142"/>
      <c r="S142"/>
      <c r="T142"/>
      <c r="U142"/>
      <c r="V142"/>
      <c r="W142"/>
      <c r="X142"/>
    </row>
    <row r="143" spans="12:24" x14ac:dyDescent="0.25">
      <c r="L143"/>
      <c r="M143"/>
      <c r="N143"/>
      <c r="O143"/>
      <c r="P143"/>
      <c r="Q143"/>
      <c r="S143"/>
      <c r="T143"/>
      <c r="U143"/>
      <c r="V143"/>
      <c r="W143"/>
      <c r="X143"/>
    </row>
    <row r="144" spans="12:24" x14ac:dyDescent="0.25">
      <c r="L144"/>
      <c r="M144"/>
      <c r="N144"/>
      <c r="O144"/>
      <c r="P144"/>
      <c r="Q144"/>
      <c r="S144"/>
      <c r="T144"/>
      <c r="U144"/>
      <c r="V144"/>
      <c r="W144"/>
      <c r="X144"/>
    </row>
    <row r="145" spans="12:24" x14ac:dyDescent="0.25">
      <c r="L145"/>
      <c r="M145"/>
      <c r="N145"/>
      <c r="O145"/>
      <c r="P145"/>
      <c r="Q145"/>
      <c r="S145"/>
      <c r="T145"/>
      <c r="U145"/>
      <c r="V145"/>
      <c r="W145"/>
      <c r="X145"/>
    </row>
    <row r="146" spans="12:24" x14ac:dyDescent="0.25">
      <c r="L146"/>
      <c r="M146"/>
      <c r="N146"/>
      <c r="O146"/>
      <c r="P146"/>
      <c r="Q146"/>
      <c r="S146"/>
      <c r="T146"/>
      <c r="U146"/>
      <c r="V146"/>
      <c r="W146"/>
      <c r="X146"/>
    </row>
    <row r="147" spans="12:24" x14ac:dyDescent="0.25">
      <c r="L147"/>
      <c r="M147"/>
      <c r="N147"/>
      <c r="O147"/>
      <c r="P147"/>
      <c r="Q147"/>
      <c r="S147"/>
      <c r="T147"/>
      <c r="U147"/>
      <c r="V147"/>
      <c r="W147"/>
      <c r="X147"/>
    </row>
    <row r="148" spans="12:24" x14ac:dyDescent="0.25">
      <c r="L148"/>
      <c r="M148"/>
      <c r="N148"/>
      <c r="O148"/>
      <c r="P148"/>
      <c r="Q148"/>
      <c r="S148"/>
      <c r="T148"/>
      <c r="U148"/>
      <c r="V148"/>
      <c r="W148"/>
      <c r="X148"/>
    </row>
    <row r="149" spans="12:24" x14ac:dyDescent="0.25">
      <c r="L149"/>
      <c r="M149"/>
      <c r="N149"/>
      <c r="O149"/>
      <c r="P149"/>
      <c r="Q149"/>
      <c r="S149"/>
      <c r="T149"/>
      <c r="U149"/>
      <c r="V149"/>
      <c r="W149"/>
      <c r="X149"/>
    </row>
    <row r="150" spans="12:24" x14ac:dyDescent="0.25">
      <c r="L150"/>
      <c r="M150"/>
      <c r="N150"/>
      <c r="O150"/>
      <c r="P150"/>
      <c r="Q150"/>
      <c r="S150"/>
      <c r="T150"/>
      <c r="U150"/>
      <c r="V150"/>
      <c r="W150"/>
      <c r="X150"/>
    </row>
    <row r="151" spans="12:24" x14ac:dyDescent="0.25">
      <c r="L151"/>
      <c r="M151"/>
      <c r="N151"/>
      <c r="O151"/>
      <c r="P151"/>
      <c r="Q151"/>
      <c r="S151"/>
      <c r="T151"/>
      <c r="U151"/>
      <c r="V151"/>
      <c r="W151"/>
      <c r="X151"/>
    </row>
    <row r="152" spans="12:24" x14ac:dyDescent="0.25">
      <c r="L152"/>
      <c r="M152"/>
      <c r="N152"/>
      <c r="O152"/>
      <c r="P152"/>
      <c r="Q152"/>
      <c r="S152"/>
      <c r="T152"/>
      <c r="U152"/>
      <c r="V152"/>
      <c r="W152"/>
      <c r="X152"/>
    </row>
    <row r="153" spans="12:24" x14ac:dyDescent="0.25">
      <c r="L153"/>
      <c r="M153"/>
      <c r="N153"/>
      <c r="O153"/>
      <c r="P153"/>
      <c r="Q153"/>
      <c r="S153"/>
      <c r="T153"/>
      <c r="U153"/>
      <c r="V153"/>
      <c r="W153"/>
      <c r="X153"/>
    </row>
    <row r="154" spans="12:24" x14ac:dyDescent="0.25">
      <c r="L154"/>
      <c r="M154"/>
      <c r="N154"/>
      <c r="O154"/>
      <c r="P154"/>
      <c r="Q154"/>
      <c r="S154"/>
      <c r="T154"/>
      <c r="U154"/>
      <c r="V154"/>
      <c r="W154"/>
      <c r="X154"/>
    </row>
    <row r="155" spans="12:24" x14ac:dyDescent="0.25">
      <c r="L155"/>
      <c r="M155"/>
      <c r="N155"/>
      <c r="O155"/>
      <c r="P155"/>
      <c r="Q155"/>
      <c r="S155"/>
      <c r="T155"/>
      <c r="U155"/>
      <c r="V155"/>
      <c r="W155"/>
      <c r="X155"/>
    </row>
    <row r="156" spans="12:24" x14ac:dyDescent="0.25">
      <c r="L156"/>
      <c r="M156"/>
      <c r="N156"/>
      <c r="O156"/>
      <c r="P156"/>
      <c r="Q156"/>
      <c r="S156"/>
      <c r="T156"/>
      <c r="U156"/>
      <c r="V156"/>
      <c r="W156"/>
      <c r="X156"/>
    </row>
    <row r="157" spans="12:24" x14ac:dyDescent="0.25">
      <c r="L157"/>
      <c r="M157"/>
      <c r="N157"/>
      <c r="O157"/>
      <c r="P157"/>
      <c r="Q157"/>
      <c r="S157"/>
      <c r="T157"/>
      <c r="U157"/>
      <c r="V157"/>
      <c r="W157"/>
      <c r="X157"/>
    </row>
    <row r="158" spans="12:24" x14ac:dyDescent="0.25">
      <c r="L158"/>
      <c r="M158"/>
      <c r="N158"/>
      <c r="O158"/>
      <c r="P158"/>
      <c r="Q158"/>
      <c r="S158"/>
      <c r="T158"/>
      <c r="U158"/>
      <c r="V158"/>
      <c r="W158"/>
      <c r="X158"/>
    </row>
    <row r="159" spans="12:24" x14ac:dyDescent="0.25">
      <c r="L159"/>
      <c r="M159"/>
      <c r="N159"/>
      <c r="O159"/>
      <c r="P159"/>
      <c r="Q159"/>
      <c r="S159"/>
      <c r="T159"/>
      <c r="U159"/>
      <c r="V159"/>
      <c r="W159"/>
      <c r="X159"/>
    </row>
    <row r="160" spans="12:24" x14ac:dyDescent="0.25">
      <c r="L160"/>
      <c r="M160"/>
      <c r="N160"/>
      <c r="O160"/>
      <c r="P160"/>
      <c r="Q160"/>
      <c r="S160"/>
      <c r="T160"/>
      <c r="U160"/>
      <c r="V160"/>
      <c r="W160"/>
      <c r="X160"/>
    </row>
    <row r="161" spans="12:24" x14ac:dyDescent="0.25">
      <c r="L161"/>
      <c r="M161"/>
      <c r="N161"/>
      <c r="O161"/>
      <c r="P161"/>
      <c r="Q161"/>
      <c r="S161"/>
      <c r="T161"/>
      <c r="U161"/>
      <c r="V161"/>
      <c r="W161"/>
      <c r="X161"/>
    </row>
    <row r="162" spans="12:24" x14ac:dyDescent="0.25">
      <c r="L162"/>
      <c r="M162"/>
      <c r="N162"/>
      <c r="O162"/>
      <c r="P162"/>
      <c r="Q162"/>
      <c r="S162"/>
      <c r="T162"/>
      <c r="U162"/>
      <c r="V162"/>
      <c r="W162"/>
      <c r="X162"/>
    </row>
    <row r="163" spans="12:24" x14ac:dyDescent="0.25">
      <c r="L163"/>
      <c r="M163"/>
      <c r="N163"/>
      <c r="O163"/>
      <c r="P163"/>
      <c r="Q163"/>
      <c r="S163"/>
      <c r="T163"/>
      <c r="U163"/>
      <c r="V163"/>
      <c r="W163"/>
      <c r="X163"/>
    </row>
    <row r="164" spans="12:24" x14ac:dyDescent="0.25">
      <c r="L164"/>
      <c r="M164"/>
      <c r="N164"/>
      <c r="O164"/>
      <c r="P164"/>
      <c r="Q164"/>
      <c r="S164"/>
      <c r="T164"/>
      <c r="U164"/>
      <c r="V164"/>
      <c r="W164"/>
      <c r="X164"/>
    </row>
    <row r="165" spans="12:24" x14ac:dyDescent="0.25">
      <c r="L165"/>
      <c r="M165"/>
      <c r="N165"/>
      <c r="O165"/>
      <c r="P165"/>
      <c r="Q165"/>
      <c r="S165"/>
      <c r="T165"/>
      <c r="U165"/>
      <c r="V165"/>
      <c r="W165"/>
      <c r="X165"/>
    </row>
    <row r="166" spans="12:24" x14ac:dyDescent="0.25">
      <c r="L166"/>
      <c r="M166"/>
      <c r="N166"/>
      <c r="O166"/>
      <c r="P166"/>
      <c r="Q166"/>
      <c r="S166"/>
      <c r="T166"/>
      <c r="U166"/>
      <c r="V166"/>
      <c r="W166"/>
      <c r="X166"/>
    </row>
    <row r="167" spans="12:24" x14ac:dyDescent="0.25">
      <c r="L167"/>
      <c r="M167"/>
      <c r="N167"/>
      <c r="O167"/>
      <c r="P167"/>
      <c r="Q167"/>
      <c r="S167"/>
      <c r="T167"/>
      <c r="U167"/>
      <c r="V167"/>
      <c r="W167"/>
      <c r="X167"/>
    </row>
    <row r="168" spans="12:24" x14ac:dyDescent="0.25">
      <c r="L168"/>
      <c r="M168"/>
      <c r="N168"/>
      <c r="O168"/>
      <c r="P168"/>
      <c r="Q168"/>
      <c r="S168"/>
      <c r="T168"/>
      <c r="U168"/>
      <c r="V168"/>
      <c r="W168"/>
      <c r="X168"/>
    </row>
    <row r="169" spans="12:24" x14ac:dyDescent="0.25">
      <c r="L169"/>
      <c r="M169"/>
      <c r="N169"/>
      <c r="O169"/>
      <c r="P169"/>
      <c r="Q169"/>
      <c r="S169"/>
      <c r="T169"/>
      <c r="U169"/>
      <c r="V169"/>
      <c r="W169"/>
      <c r="X169"/>
    </row>
    <row r="170" spans="12:24" x14ac:dyDescent="0.25">
      <c r="L170"/>
      <c r="M170"/>
      <c r="N170"/>
      <c r="O170"/>
      <c r="P170"/>
      <c r="Q170"/>
      <c r="S170"/>
      <c r="T170"/>
      <c r="U170"/>
      <c r="V170"/>
      <c r="W170"/>
      <c r="X170"/>
    </row>
    <row r="171" spans="12:24" x14ac:dyDescent="0.25">
      <c r="L171"/>
      <c r="M171"/>
      <c r="N171"/>
      <c r="O171"/>
      <c r="P171"/>
      <c r="Q171"/>
      <c r="S171"/>
      <c r="T171"/>
      <c r="U171"/>
      <c r="V171"/>
      <c r="W171"/>
      <c r="X171"/>
    </row>
    <row r="172" spans="12:24" x14ac:dyDescent="0.25">
      <c r="L172"/>
      <c r="M172"/>
      <c r="N172"/>
      <c r="O172"/>
      <c r="P172"/>
      <c r="Q172"/>
      <c r="S172"/>
      <c r="T172"/>
      <c r="U172"/>
      <c r="V172"/>
      <c r="W172"/>
      <c r="X172"/>
    </row>
    <row r="173" spans="12:24" x14ac:dyDescent="0.25">
      <c r="L173"/>
      <c r="M173"/>
      <c r="N173"/>
      <c r="O173"/>
      <c r="P173"/>
      <c r="Q173"/>
      <c r="S173"/>
      <c r="T173"/>
      <c r="U173"/>
      <c r="V173"/>
      <c r="W173"/>
      <c r="X173"/>
    </row>
    <row r="174" spans="12:24" x14ac:dyDescent="0.25">
      <c r="L174"/>
      <c r="M174"/>
      <c r="N174"/>
      <c r="O174"/>
      <c r="P174"/>
      <c r="Q174"/>
      <c r="S174"/>
      <c r="T174"/>
      <c r="U174"/>
      <c r="V174"/>
      <c r="W174"/>
      <c r="X174"/>
    </row>
    <row r="175" spans="12:24" x14ac:dyDescent="0.25">
      <c r="L175"/>
      <c r="M175"/>
      <c r="N175"/>
      <c r="O175"/>
      <c r="P175"/>
      <c r="Q175"/>
      <c r="S175"/>
      <c r="T175"/>
      <c r="U175"/>
      <c r="V175"/>
      <c r="W175"/>
      <c r="X175"/>
    </row>
    <row r="176" spans="12:24" x14ac:dyDescent="0.25">
      <c r="L176"/>
      <c r="M176"/>
      <c r="N176"/>
      <c r="O176"/>
      <c r="P176"/>
      <c r="Q176"/>
      <c r="S176"/>
      <c r="T176"/>
      <c r="U176"/>
      <c r="V176"/>
      <c r="W176"/>
      <c r="X176"/>
    </row>
    <row r="177" spans="12:24" x14ac:dyDescent="0.25">
      <c r="L177"/>
      <c r="M177"/>
      <c r="N177"/>
      <c r="O177"/>
      <c r="P177"/>
      <c r="Q177"/>
      <c r="S177"/>
      <c r="T177"/>
      <c r="U177"/>
      <c r="V177"/>
      <c r="W177"/>
      <c r="X177"/>
    </row>
    <row r="178" spans="12:24" x14ac:dyDescent="0.25">
      <c r="L178"/>
      <c r="M178"/>
      <c r="N178"/>
      <c r="O178"/>
      <c r="P178"/>
      <c r="Q178"/>
      <c r="S178"/>
      <c r="T178"/>
      <c r="U178"/>
      <c r="V178"/>
      <c r="W178"/>
      <c r="X178"/>
    </row>
    <row r="179" spans="12:24" x14ac:dyDescent="0.25">
      <c r="L179"/>
      <c r="M179"/>
      <c r="N179"/>
      <c r="O179"/>
      <c r="P179"/>
      <c r="Q179"/>
      <c r="S179"/>
      <c r="T179"/>
      <c r="U179"/>
      <c r="V179"/>
      <c r="W179"/>
      <c r="X179"/>
    </row>
    <row r="180" spans="12:24" x14ac:dyDescent="0.25">
      <c r="L180"/>
      <c r="M180"/>
      <c r="N180"/>
      <c r="O180"/>
      <c r="P180"/>
      <c r="Q180"/>
      <c r="S180"/>
      <c r="T180"/>
      <c r="U180"/>
      <c r="V180"/>
      <c r="W180"/>
      <c r="X180"/>
    </row>
    <row r="181" spans="12:24" x14ac:dyDescent="0.25">
      <c r="L181"/>
      <c r="M181"/>
      <c r="N181"/>
      <c r="O181"/>
      <c r="P181"/>
      <c r="Q181"/>
      <c r="S181"/>
      <c r="T181"/>
      <c r="U181"/>
      <c r="V181"/>
      <c r="W181"/>
      <c r="X181"/>
    </row>
    <row r="182" spans="12:24" x14ac:dyDescent="0.25">
      <c r="L182"/>
      <c r="M182"/>
      <c r="N182"/>
      <c r="O182"/>
      <c r="P182"/>
      <c r="Q182"/>
      <c r="S182"/>
      <c r="T182"/>
      <c r="U182"/>
      <c r="V182"/>
      <c r="W182"/>
      <c r="X182"/>
    </row>
    <row r="183" spans="12:24" x14ac:dyDescent="0.25">
      <c r="L183"/>
      <c r="M183"/>
      <c r="N183"/>
      <c r="O183"/>
      <c r="P183"/>
      <c r="Q183"/>
      <c r="S183"/>
      <c r="T183"/>
      <c r="U183"/>
      <c r="V183"/>
      <c r="W183"/>
      <c r="X183"/>
    </row>
    <row r="184" spans="12:24" x14ac:dyDescent="0.25">
      <c r="L184"/>
      <c r="M184"/>
      <c r="N184"/>
      <c r="O184"/>
      <c r="P184"/>
      <c r="Q184"/>
      <c r="S184"/>
      <c r="T184"/>
      <c r="U184"/>
      <c r="V184"/>
      <c r="W184"/>
      <c r="X184"/>
    </row>
    <row r="185" spans="12:24" x14ac:dyDescent="0.25">
      <c r="L185"/>
      <c r="M185"/>
      <c r="N185"/>
      <c r="O185"/>
      <c r="P185"/>
      <c r="Q185"/>
      <c r="S185"/>
      <c r="T185"/>
      <c r="U185"/>
      <c r="V185"/>
      <c r="W185"/>
      <c r="X185"/>
    </row>
    <row r="186" spans="12:24" x14ac:dyDescent="0.25">
      <c r="L186"/>
      <c r="M186"/>
      <c r="N186"/>
      <c r="O186"/>
      <c r="P186"/>
      <c r="Q186"/>
      <c r="S186"/>
      <c r="T186"/>
      <c r="U186"/>
      <c r="V186"/>
      <c r="W186"/>
      <c r="X186"/>
    </row>
    <row r="187" spans="12:24" x14ac:dyDescent="0.25">
      <c r="L187"/>
      <c r="M187"/>
      <c r="N187"/>
      <c r="O187"/>
      <c r="P187"/>
      <c r="Q187"/>
      <c r="S187"/>
      <c r="T187"/>
      <c r="U187"/>
      <c r="V187"/>
      <c r="W187"/>
      <c r="X187"/>
    </row>
    <row r="188" spans="12:24" x14ac:dyDescent="0.25">
      <c r="L188"/>
      <c r="M188"/>
      <c r="N188"/>
      <c r="O188"/>
      <c r="P188"/>
      <c r="Q188"/>
      <c r="S188"/>
      <c r="T188"/>
      <c r="U188"/>
      <c r="V188"/>
      <c r="W188"/>
      <c r="X188"/>
    </row>
    <row r="189" spans="12:24" x14ac:dyDescent="0.25">
      <c r="L189"/>
      <c r="M189"/>
      <c r="N189"/>
      <c r="O189"/>
      <c r="P189"/>
      <c r="Q189"/>
      <c r="S189"/>
      <c r="T189"/>
      <c r="U189"/>
      <c r="V189"/>
      <c r="W189"/>
      <c r="X189"/>
    </row>
    <row r="190" spans="12:24" x14ac:dyDescent="0.25">
      <c r="L190"/>
      <c r="M190"/>
      <c r="N190"/>
      <c r="O190"/>
      <c r="P190"/>
      <c r="Q190"/>
      <c r="S190"/>
      <c r="T190"/>
      <c r="U190"/>
      <c r="V190"/>
      <c r="W190"/>
      <c r="X190"/>
    </row>
    <row r="191" spans="12:24" x14ac:dyDescent="0.25">
      <c r="L191"/>
      <c r="M191"/>
      <c r="N191"/>
      <c r="O191"/>
      <c r="P191"/>
      <c r="Q191"/>
      <c r="S191"/>
      <c r="T191"/>
      <c r="U191"/>
      <c r="V191"/>
      <c r="W191"/>
      <c r="X191"/>
    </row>
    <row r="192" spans="12:24" x14ac:dyDescent="0.25">
      <c r="L192"/>
      <c r="M192"/>
      <c r="N192"/>
      <c r="O192"/>
      <c r="P192"/>
      <c r="Q192"/>
      <c r="S192"/>
      <c r="T192"/>
      <c r="U192"/>
      <c r="V192"/>
      <c r="W192"/>
      <c r="X192"/>
    </row>
    <row r="193" spans="12:24" x14ac:dyDescent="0.25">
      <c r="L193"/>
      <c r="M193"/>
      <c r="N193"/>
      <c r="O193"/>
      <c r="P193"/>
      <c r="Q193"/>
      <c r="S193"/>
      <c r="T193"/>
      <c r="U193"/>
      <c r="V193"/>
      <c r="W193"/>
      <c r="X193"/>
    </row>
    <row r="194" spans="12:24" x14ac:dyDescent="0.25">
      <c r="L194"/>
      <c r="M194"/>
      <c r="N194"/>
      <c r="O194"/>
      <c r="P194"/>
      <c r="Q194"/>
      <c r="S194"/>
      <c r="T194"/>
      <c r="U194"/>
      <c r="V194"/>
      <c r="W194"/>
      <c r="X194"/>
    </row>
    <row r="195" spans="12:24" x14ac:dyDescent="0.25">
      <c r="L195"/>
      <c r="M195"/>
      <c r="N195"/>
      <c r="O195"/>
      <c r="P195"/>
      <c r="Q195"/>
      <c r="S195"/>
      <c r="T195"/>
      <c r="U195"/>
      <c r="V195"/>
      <c r="W195"/>
      <c r="X195"/>
    </row>
    <row r="196" spans="12:24" x14ac:dyDescent="0.25">
      <c r="L196"/>
      <c r="M196"/>
      <c r="N196"/>
      <c r="O196"/>
      <c r="P196"/>
      <c r="Q196"/>
      <c r="S196"/>
      <c r="T196"/>
      <c r="U196"/>
      <c r="V196"/>
      <c r="W196"/>
      <c r="X196"/>
    </row>
    <row r="197" spans="12:24" x14ac:dyDescent="0.25">
      <c r="L197"/>
      <c r="M197"/>
      <c r="N197"/>
      <c r="O197"/>
      <c r="P197"/>
      <c r="Q197"/>
      <c r="S197"/>
      <c r="T197"/>
      <c r="U197"/>
      <c r="V197"/>
      <c r="W197"/>
      <c r="X197"/>
    </row>
    <row r="198" spans="12:24" x14ac:dyDescent="0.25">
      <c r="L198"/>
      <c r="M198"/>
      <c r="N198"/>
      <c r="O198"/>
      <c r="P198"/>
      <c r="Q198"/>
      <c r="S198"/>
      <c r="T198"/>
      <c r="U198"/>
      <c r="V198"/>
      <c r="W198"/>
      <c r="X198"/>
    </row>
    <row r="199" spans="12:24" x14ac:dyDescent="0.25">
      <c r="L199"/>
      <c r="M199"/>
      <c r="N199"/>
      <c r="O199"/>
      <c r="P199"/>
      <c r="Q199"/>
      <c r="S199"/>
      <c r="T199"/>
      <c r="U199"/>
      <c r="V199"/>
      <c r="W199"/>
      <c r="X199"/>
    </row>
    <row r="200" spans="12:24" x14ac:dyDescent="0.25">
      <c r="L200"/>
      <c r="M200"/>
      <c r="N200"/>
      <c r="O200"/>
      <c r="P200"/>
      <c r="Q200"/>
      <c r="S200"/>
      <c r="T200"/>
      <c r="U200"/>
      <c r="V200"/>
      <c r="W200"/>
      <c r="X200"/>
    </row>
    <row r="201" spans="12:24" x14ac:dyDescent="0.25">
      <c r="L201"/>
      <c r="M201"/>
      <c r="N201"/>
      <c r="O201"/>
      <c r="P201"/>
      <c r="Q201"/>
      <c r="S201"/>
      <c r="T201"/>
      <c r="U201"/>
      <c r="V201"/>
      <c r="W201"/>
      <c r="X201"/>
    </row>
    <row r="202" spans="12:24" x14ac:dyDescent="0.25">
      <c r="L202"/>
      <c r="M202"/>
      <c r="N202"/>
      <c r="O202"/>
      <c r="P202"/>
      <c r="Q202"/>
      <c r="S202"/>
      <c r="T202"/>
      <c r="U202"/>
      <c r="V202"/>
      <c r="W202"/>
      <c r="X202"/>
    </row>
    <row r="203" spans="12:24" x14ac:dyDescent="0.25">
      <c r="L203"/>
      <c r="M203"/>
      <c r="N203"/>
      <c r="O203"/>
      <c r="P203"/>
      <c r="Q203"/>
      <c r="S203"/>
      <c r="T203"/>
      <c r="U203"/>
      <c r="V203"/>
      <c r="W203"/>
      <c r="X203"/>
    </row>
    <row r="204" spans="12:24" x14ac:dyDescent="0.25">
      <c r="L204"/>
      <c r="M204"/>
      <c r="N204"/>
      <c r="O204"/>
      <c r="P204"/>
      <c r="Q204"/>
      <c r="S204"/>
      <c r="T204"/>
      <c r="U204"/>
      <c r="V204"/>
      <c r="W204"/>
      <c r="X204"/>
    </row>
    <row r="205" spans="12:24" x14ac:dyDescent="0.25">
      <c r="L205"/>
      <c r="M205"/>
      <c r="N205"/>
      <c r="O205"/>
      <c r="P205"/>
      <c r="Q205"/>
      <c r="S205"/>
      <c r="T205"/>
      <c r="U205"/>
      <c r="V205"/>
      <c r="W205"/>
      <c r="X205"/>
    </row>
    <row r="206" spans="12:24" x14ac:dyDescent="0.25">
      <c r="L206"/>
      <c r="M206"/>
      <c r="N206"/>
      <c r="O206"/>
      <c r="P206"/>
      <c r="Q206"/>
      <c r="S206"/>
      <c r="T206"/>
      <c r="U206"/>
      <c r="V206"/>
      <c r="W206"/>
      <c r="X206"/>
    </row>
    <row r="207" spans="12:24" x14ac:dyDescent="0.25">
      <c r="L207"/>
      <c r="M207"/>
      <c r="N207"/>
      <c r="O207"/>
      <c r="P207"/>
      <c r="Q207"/>
      <c r="S207"/>
      <c r="T207"/>
      <c r="U207"/>
      <c r="V207"/>
      <c r="W207"/>
      <c r="X207"/>
    </row>
    <row r="208" spans="12:24" x14ac:dyDescent="0.25">
      <c r="L208"/>
      <c r="M208"/>
      <c r="N208"/>
      <c r="O208"/>
      <c r="P208"/>
      <c r="Q208"/>
      <c r="S208"/>
      <c r="T208"/>
      <c r="U208"/>
      <c r="V208"/>
      <c r="W208"/>
      <c r="X208"/>
    </row>
    <row r="209" spans="12:24" x14ac:dyDescent="0.25">
      <c r="L209"/>
      <c r="M209"/>
      <c r="N209"/>
      <c r="O209"/>
      <c r="P209"/>
      <c r="Q209"/>
      <c r="S209"/>
      <c r="T209"/>
      <c r="U209"/>
      <c r="V209"/>
      <c r="W209"/>
      <c r="X209"/>
    </row>
    <row r="210" spans="12:24" x14ac:dyDescent="0.25">
      <c r="L210"/>
      <c r="M210"/>
      <c r="N210"/>
      <c r="O210"/>
      <c r="P210"/>
      <c r="Q210"/>
      <c r="S210"/>
      <c r="T210"/>
      <c r="U210"/>
      <c r="V210"/>
      <c r="W210"/>
      <c r="X210"/>
    </row>
    <row r="211" spans="12:24" x14ac:dyDescent="0.25">
      <c r="L211"/>
      <c r="M211"/>
      <c r="N211"/>
      <c r="O211"/>
      <c r="P211"/>
      <c r="Q211"/>
      <c r="S211"/>
      <c r="T211"/>
      <c r="U211"/>
      <c r="V211"/>
      <c r="W211"/>
      <c r="X211"/>
    </row>
    <row r="212" spans="12:24" x14ac:dyDescent="0.25">
      <c r="L212"/>
      <c r="M212"/>
      <c r="N212"/>
      <c r="O212"/>
      <c r="P212"/>
      <c r="Q212"/>
      <c r="S212"/>
      <c r="T212"/>
      <c r="U212"/>
      <c r="V212"/>
      <c r="W212"/>
      <c r="X212"/>
    </row>
    <row r="213" spans="12:24" x14ac:dyDescent="0.25">
      <c r="L213"/>
      <c r="M213"/>
      <c r="N213"/>
      <c r="O213"/>
      <c r="P213"/>
      <c r="Q213"/>
      <c r="S213"/>
      <c r="T213"/>
      <c r="U213"/>
      <c r="V213"/>
      <c r="W213"/>
      <c r="X213"/>
    </row>
    <row r="214" spans="12:24" x14ac:dyDescent="0.25">
      <c r="L214"/>
      <c r="M214"/>
      <c r="N214"/>
      <c r="O214"/>
      <c r="P214"/>
      <c r="Q214"/>
      <c r="S214"/>
      <c r="T214"/>
      <c r="U214"/>
      <c r="V214"/>
      <c r="W214"/>
      <c r="X214"/>
    </row>
    <row r="215" spans="12:24" x14ac:dyDescent="0.25">
      <c r="L215"/>
      <c r="M215"/>
      <c r="N215"/>
      <c r="O215"/>
      <c r="P215"/>
      <c r="Q215"/>
      <c r="S215"/>
      <c r="T215"/>
      <c r="U215"/>
      <c r="V215"/>
      <c r="W215"/>
      <c r="X215"/>
    </row>
    <row r="216" spans="12:24" x14ac:dyDescent="0.25">
      <c r="L216"/>
      <c r="M216"/>
      <c r="N216"/>
      <c r="O216"/>
      <c r="P216"/>
      <c r="Q216"/>
      <c r="S216"/>
      <c r="T216"/>
      <c r="U216"/>
      <c r="V216"/>
      <c r="W216"/>
      <c r="X216"/>
    </row>
    <row r="217" spans="12:24" x14ac:dyDescent="0.25">
      <c r="L217"/>
      <c r="M217"/>
      <c r="N217"/>
      <c r="O217"/>
      <c r="P217"/>
      <c r="Q217"/>
      <c r="S217"/>
      <c r="T217"/>
      <c r="U217"/>
      <c r="V217"/>
      <c r="W217"/>
      <c r="X217"/>
    </row>
    <row r="218" spans="12:24" x14ac:dyDescent="0.25">
      <c r="L218"/>
      <c r="M218"/>
      <c r="N218"/>
      <c r="O218"/>
      <c r="P218"/>
      <c r="Q218"/>
      <c r="S218"/>
      <c r="T218"/>
      <c r="U218"/>
      <c r="V218"/>
      <c r="W218"/>
      <c r="X218"/>
    </row>
    <row r="219" spans="12:24" x14ac:dyDescent="0.25">
      <c r="L219"/>
      <c r="M219"/>
      <c r="N219"/>
      <c r="O219"/>
      <c r="P219"/>
      <c r="Q219"/>
      <c r="S219"/>
      <c r="T219"/>
      <c r="U219"/>
      <c r="V219"/>
      <c r="W219"/>
      <c r="X219"/>
    </row>
    <row r="220" spans="12:24" x14ac:dyDescent="0.25">
      <c r="L220"/>
      <c r="M220"/>
      <c r="N220"/>
      <c r="O220"/>
      <c r="P220"/>
      <c r="Q220"/>
      <c r="S220"/>
      <c r="T220"/>
      <c r="U220"/>
      <c r="V220"/>
      <c r="W220"/>
      <c r="X220"/>
    </row>
    <row r="221" spans="12:24" x14ac:dyDescent="0.25">
      <c r="L221"/>
      <c r="M221"/>
      <c r="N221"/>
      <c r="O221"/>
      <c r="P221"/>
      <c r="Q221"/>
      <c r="S221"/>
      <c r="T221"/>
      <c r="U221"/>
      <c r="V221"/>
      <c r="W221"/>
      <c r="X221"/>
    </row>
    <row r="222" spans="12:24" x14ac:dyDescent="0.25">
      <c r="L222"/>
      <c r="M222"/>
      <c r="N222"/>
      <c r="O222"/>
      <c r="P222"/>
      <c r="Q222"/>
      <c r="S222"/>
      <c r="T222"/>
      <c r="U222"/>
      <c r="V222"/>
      <c r="W222"/>
      <c r="X222"/>
    </row>
    <row r="223" spans="12:24" x14ac:dyDescent="0.25">
      <c r="L223"/>
      <c r="M223"/>
      <c r="N223"/>
      <c r="O223"/>
      <c r="P223"/>
      <c r="Q223"/>
      <c r="S223"/>
      <c r="T223"/>
      <c r="U223"/>
      <c r="V223"/>
      <c r="W223"/>
      <c r="X223"/>
    </row>
    <row r="224" spans="12:24" x14ac:dyDescent="0.25">
      <c r="L224"/>
      <c r="M224"/>
      <c r="N224"/>
      <c r="O224"/>
      <c r="P224"/>
      <c r="Q224"/>
      <c r="S224"/>
      <c r="T224"/>
      <c r="U224"/>
      <c r="V224"/>
      <c r="W224"/>
      <c r="X224"/>
    </row>
    <row r="225" spans="12:24" x14ac:dyDescent="0.25">
      <c r="L225"/>
      <c r="M225"/>
      <c r="N225"/>
      <c r="O225"/>
      <c r="P225"/>
      <c r="Q225"/>
      <c r="S225"/>
      <c r="T225"/>
      <c r="U225"/>
      <c r="V225"/>
      <c r="W225"/>
      <c r="X225"/>
    </row>
    <row r="226" spans="12:24" x14ac:dyDescent="0.25">
      <c r="L226"/>
      <c r="M226"/>
      <c r="N226"/>
      <c r="O226"/>
      <c r="P226"/>
      <c r="Q226"/>
      <c r="S226"/>
      <c r="T226"/>
      <c r="U226"/>
      <c r="V226"/>
      <c r="W226"/>
      <c r="X226"/>
    </row>
    <row r="227" spans="12:24" x14ac:dyDescent="0.25">
      <c r="L227"/>
      <c r="M227"/>
      <c r="N227"/>
      <c r="O227"/>
      <c r="P227"/>
      <c r="Q227"/>
      <c r="S227"/>
      <c r="T227"/>
      <c r="U227"/>
      <c r="V227"/>
      <c r="W227"/>
      <c r="X227"/>
    </row>
    <row r="228" spans="12:24" x14ac:dyDescent="0.25">
      <c r="L228"/>
      <c r="M228"/>
      <c r="N228"/>
      <c r="O228"/>
      <c r="P228"/>
      <c r="Q228"/>
      <c r="S228"/>
      <c r="T228"/>
      <c r="U228"/>
      <c r="V228"/>
      <c r="W228"/>
      <c r="X228"/>
    </row>
    <row r="229" spans="12:24" x14ac:dyDescent="0.25">
      <c r="L229"/>
      <c r="M229"/>
      <c r="N229"/>
      <c r="O229"/>
      <c r="P229"/>
      <c r="Q229"/>
      <c r="S229"/>
      <c r="T229"/>
      <c r="U229"/>
      <c r="V229"/>
      <c r="W229"/>
      <c r="X229"/>
    </row>
    <row r="230" spans="12:24" x14ac:dyDescent="0.25">
      <c r="L230"/>
      <c r="M230"/>
      <c r="N230"/>
      <c r="O230"/>
      <c r="P230"/>
      <c r="Q230"/>
      <c r="S230"/>
      <c r="T230"/>
      <c r="U230"/>
      <c r="V230"/>
      <c r="W230"/>
      <c r="X230"/>
    </row>
    <row r="231" spans="12:24" x14ac:dyDescent="0.25">
      <c r="L231"/>
      <c r="M231"/>
      <c r="N231"/>
      <c r="O231"/>
      <c r="P231"/>
      <c r="Q231"/>
      <c r="S231"/>
      <c r="T231"/>
      <c r="U231"/>
      <c r="V231"/>
      <c r="W231"/>
      <c r="X231"/>
    </row>
    <row r="232" spans="12:24" x14ac:dyDescent="0.25">
      <c r="L232"/>
      <c r="M232"/>
      <c r="N232"/>
      <c r="O232"/>
      <c r="P232"/>
      <c r="Q232"/>
      <c r="S232"/>
      <c r="T232"/>
      <c r="U232"/>
      <c r="V232"/>
      <c r="W232"/>
      <c r="X232"/>
    </row>
    <row r="233" spans="12:24" x14ac:dyDescent="0.25">
      <c r="L233"/>
      <c r="M233"/>
      <c r="N233"/>
      <c r="O233"/>
      <c r="P233"/>
      <c r="Q233"/>
      <c r="S233"/>
      <c r="T233"/>
      <c r="U233"/>
      <c r="V233"/>
      <c r="W233"/>
      <c r="X233"/>
    </row>
    <row r="234" spans="12:24" x14ac:dyDescent="0.25">
      <c r="L234"/>
      <c r="M234"/>
      <c r="N234"/>
      <c r="O234"/>
      <c r="P234"/>
      <c r="Q234"/>
      <c r="S234"/>
      <c r="T234"/>
      <c r="U234"/>
      <c r="V234"/>
      <c r="W234"/>
      <c r="X234"/>
    </row>
    <row r="235" spans="12:24" x14ac:dyDescent="0.25">
      <c r="L235"/>
      <c r="M235"/>
      <c r="N235"/>
      <c r="O235"/>
      <c r="P235"/>
      <c r="Q235"/>
      <c r="S235"/>
      <c r="T235"/>
      <c r="U235"/>
      <c r="V235"/>
      <c r="W235"/>
      <c r="X235"/>
    </row>
    <row r="236" spans="12:24" x14ac:dyDescent="0.25">
      <c r="L236"/>
      <c r="M236"/>
      <c r="N236"/>
      <c r="O236"/>
      <c r="P236"/>
      <c r="Q236"/>
      <c r="S236"/>
      <c r="T236"/>
      <c r="U236"/>
      <c r="V236"/>
      <c r="W236"/>
      <c r="X236"/>
    </row>
    <row r="237" spans="12:24" x14ac:dyDescent="0.25">
      <c r="L237"/>
      <c r="M237"/>
      <c r="N237"/>
      <c r="O237"/>
      <c r="P237"/>
      <c r="Q237"/>
      <c r="S237"/>
      <c r="T237"/>
      <c r="U237"/>
      <c r="V237"/>
      <c r="W237"/>
      <c r="X237"/>
    </row>
    <row r="238" spans="12:24" x14ac:dyDescent="0.25">
      <c r="L238"/>
      <c r="M238"/>
      <c r="N238"/>
      <c r="O238"/>
      <c r="P238"/>
      <c r="Q238"/>
      <c r="S238"/>
      <c r="T238"/>
      <c r="U238"/>
      <c r="V238"/>
      <c r="W238"/>
      <c r="X238"/>
    </row>
    <row r="239" spans="12:24" x14ac:dyDescent="0.25">
      <c r="L239"/>
      <c r="M239"/>
      <c r="N239"/>
      <c r="O239"/>
      <c r="P239"/>
      <c r="Q239"/>
      <c r="S239"/>
      <c r="T239"/>
      <c r="U239"/>
      <c r="V239"/>
      <c r="W239"/>
      <c r="X239"/>
    </row>
    <row r="240" spans="12:24" x14ac:dyDescent="0.25">
      <c r="L240"/>
      <c r="M240"/>
      <c r="N240"/>
      <c r="O240"/>
      <c r="P240"/>
      <c r="Q240"/>
      <c r="S240"/>
      <c r="T240"/>
      <c r="U240"/>
      <c r="V240"/>
      <c r="W240"/>
      <c r="X240"/>
    </row>
    <row r="241" spans="12:24" x14ac:dyDescent="0.25">
      <c r="L241"/>
      <c r="M241"/>
      <c r="N241"/>
      <c r="O241"/>
      <c r="P241"/>
      <c r="Q241"/>
      <c r="S241"/>
      <c r="T241"/>
      <c r="U241"/>
      <c r="V241"/>
      <c r="W241"/>
      <c r="X241"/>
    </row>
    <row r="242" spans="12:24" x14ac:dyDescent="0.25">
      <c r="L242"/>
      <c r="M242"/>
      <c r="N242"/>
      <c r="O242"/>
      <c r="P242"/>
      <c r="Q242"/>
      <c r="S242"/>
      <c r="T242"/>
      <c r="U242"/>
      <c r="V242"/>
      <c r="W242"/>
      <c r="X242"/>
    </row>
    <row r="243" spans="12:24" x14ac:dyDescent="0.25">
      <c r="L243"/>
      <c r="M243"/>
      <c r="N243"/>
      <c r="O243"/>
      <c r="P243"/>
      <c r="Q243"/>
      <c r="S243"/>
      <c r="T243"/>
      <c r="U243"/>
      <c r="V243"/>
      <c r="W243"/>
      <c r="X243"/>
    </row>
    <row r="244" spans="12:24" x14ac:dyDescent="0.25">
      <c r="L244"/>
      <c r="M244"/>
      <c r="N244"/>
      <c r="O244"/>
      <c r="P244"/>
      <c r="Q244"/>
      <c r="S244"/>
      <c r="T244"/>
      <c r="U244"/>
      <c r="V244"/>
      <c r="W244"/>
      <c r="X244"/>
    </row>
    <row r="245" spans="12:24" x14ac:dyDescent="0.25">
      <c r="L245"/>
      <c r="M245"/>
      <c r="N245"/>
      <c r="O245"/>
      <c r="P245"/>
      <c r="Q245"/>
      <c r="S245"/>
      <c r="T245"/>
      <c r="U245"/>
      <c r="V245"/>
      <c r="W245"/>
      <c r="X245"/>
    </row>
    <row r="246" spans="12:24" x14ac:dyDescent="0.25">
      <c r="L246"/>
      <c r="M246"/>
      <c r="N246"/>
      <c r="O246"/>
      <c r="P246"/>
      <c r="Q246"/>
      <c r="S246"/>
      <c r="T246"/>
      <c r="U246"/>
      <c r="V246"/>
      <c r="W246"/>
      <c r="X246"/>
    </row>
    <row r="247" spans="12:24" x14ac:dyDescent="0.25">
      <c r="L247"/>
      <c r="M247"/>
      <c r="N247"/>
      <c r="O247"/>
      <c r="P247"/>
      <c r="Q247"/>
      <c r="S247"/>
      <c r="T247"/>
      <c r="U247"/>
      <c r="V247"/>
      <c r="W247"/>
      <c r="X247"/>
    </row>
    <row r="248" spans="12:24" x14ac:dyDescent="0.25">
      <c r="L248"/>
      <c r="M248"/>
      <c r="N248"/>
      <c r="O248"/>
      <c r="P248"/>
      <c r="Q248"/>
      <c r="S248"/>
      <c r="T248"/>
      <c r="U248"/>
      <c r="V248"/>
      <c r="W248"/>
      <c r="X248"/>
    </row>
    <row r="249" spans="12:24" x14ac:dyDescent="0.25">
      <c r="L249"/>
      <c r="M249"/>
      <c r="N249"/>
      <c r="O249"/>
      <c r="P249"/>
      <c r="Q249"/>
      <c r="S249"/>
      <c r="T249"/>
      <c r="U249"/>
      <c r="V249"/>
      <c r="W249"/>
      <c r="X249"/>
    </row>
    <row r="250" spans="12:24" x14ac:dyDescent="0.25">
      <c r="L250"/>
      <c r="M250"/>
      <c r="N250"/>
      <c r="O250"/>
      <c r="P250"/>
      <c r="Q250"/>
      <c r="S250"/>
      <c r="T250"/>
      <c r="U250"/>
      <c r="V250"/>
      <c r="W250"/>
      <c r="X250"/>
    </row>
    <row r="251" spans="12:24" x14ac:dyDescent="0.25">
      <c r="L251"/>
      <c r="M251"/>
      <c r="N251"/>
      <c r="O251"/>
      <c r="P251"/>
      <c r="Q251"/>
      <c r="S251"/>
      <c r="T251"/>
      <c r="U251"/>
      <c r="V251"/>
      <c r="W251"/>
      <c r="X251"/>
    </row>
    <row r="252" spans="12:24" x14ac:dyDescent="0.25">
      <c r="L252"/>
      <c r="M252"/>
      <c r="N252"/>
      <c r="O252"/>
      <c r="P252"/>
      <c r="Q252"/>
      <c r="S252"/>
      <c r="T252"/>
      <c r="U252"/>
      <c r="V252"/>
      <c r="W252"/>
      <c r="X252"/>
    </row>
    <row r="253" spans="12:24" x14ac:dyDescent="0.25">
      <c r="L253"/>
      <c r="M253"/>
      <c r="N253"/>
      <c r="O253"/>
      <c r="P253"/>
      <c r="Q253"/>
      <c r="S253"/>
      <c r="T253"/>
      <c r="U253"/>
      <c r="V253"/>
      <c r="W253"/>
      <c r="X253"/>
    </row>
    <row r="254" spans="12:24" x14ac:dyDescent="0.25">
      <c r="L254"/>
      <c r="M254"/>
      <c r="N254"/>
      <c r="O254"/>
      <c r="P254"/>
      <c r="Q254"/>
      <c r="S254"/>
      <c r="T254"/>
      <c r="U254"/>
      <c r="V254"/>
      <c r="W254"/>
      <c r="X254"/>
    </row>
    <row r="255" spans="12:24" x14ac:dyDescent="0.25">
      <c r="L255"/>
      <c r="M255"/>
      <c r="N255"/>
      <c r="O255"/>
      <c r="P255"/>
      <c r="Q255"/>
      <c r="S255"/>
      <c r="T255"/>
      <c r="U255"/>
      <c r="V255"/>
      <c r="W255"/>
      <c r="X255"/>
    </row>
    <row r="256" spans="12:24" x14ac:dyDescent="0.25">
      <c r="L256"/>
      <c r="M256"/>
      <c r="N256"/>
      <c r="O256"/>
      <c r="P256"/>
      <c r="Q256"/>
      <c r="S256"/>
      <c r="T256"/>
      <c r="U256"/>
      <c r="V256"/>
      <c r="W256"/>
      <c r="X256"/>
    </row>
    <row r="257" spans="12:24" x14ac:dyDescent="0.25">
      <c r="L257"/>
      <c r="M257"/>
      <c r="N257"/>
      <c r="O257"/>
      <c r="P257"/>
      <c r="Q257"/>
      <c r="S257"/>
      <c r="T257"/>
      <c r="U257"/>
      <c r="V257"/>
      <c r="W257"/>
      <c r="X257"/>
    </row>
    <row r="258" spans="12:24" x14ac:dyDescent="0.25">
      <c r="L258"/>
      <c r="M258"/>
      <c r="N258"/>
      <c r="O258"/>
      <c r="P258"/>
      <c r="Q258"/>
      <c r="S258"/>
      <c r="T258"/>
      <c r="U258"/>
      <c r="V258"/>
      <c r="W258"/>
      <c r="X258"/>
    </row>
    <row r="259" spans="12:24" x14ac:dyDescent="0.25">
      <c r="L259"/>
      <c r="M259"/>
      <c r="N259"/>
      <c r="O259"/>
      <c r="P259"/>
      <c r="Q259"/>
      <c r="S259"/>
      <c r="T259"/>
      <c r="U259"/>
      <c r="V259"/>
      <c r="W259"/>
      <c r="X259"/>
    </row>
    <row r="260" spans="12:24" x14ac:dyDescent="0.25">
      <c r="L260"/>
      <c r="M260"/>
      <c r="N260"/>
      <c r="O260"/>
      <c r="P260"/>
      <c r="Q260"/>
      <c r="S260"/>
      <c r="T260"/>
      <c r="U260"/>
      <c r="V260"/>
      <c r="W260"/>
      <c r="X260"/>
    </row>
    <row r="261" spans="12:24" x14ac:dyDescent="0.25">
      <c r="L261"/>
      <c r="M261"/>
      <c r="N261"/>
      <c r="O261"/>
      <c r="P261"/>
      <c r="Q261"/>
      <c r="S261"/>
      <c r="T261"/>
      <c r="U261"/>
      <c r="V261"/>
      <c r="W261"/>
      <c r="X261"/>
    </row>
    <row r="262" spans="12:24" x14ac:dyDescent="0.25">
      <c r="L262"/>
      <c r="M262"/>
      <c r="N262"/>
      <c r="O262"/>
      <c r="P262"/>
      <c r="Q262"/>
      <c r="S262"/>
      <c r="T262"/>
      <c r="U262"/>
      <c r="V262"/>
      <c r="W262"/>
      <c r="X262"/>
    </row>
    <row r="263" spans="12:24" x14ac:dyDescent="0.25">
      <c r="L263"/>
      <c r="M263"/>
      <c r="N263"/>
      <c r="O263"/>
      <c r="P263"/>
      <c r="Q263"/>
      <c r="S263"/>
      <c r="T263"/>
      <c r="U263"/>
      <c r="V263"/>
      <c r="W263"/>
      <c r="X263"/>
    </row>
    <row r="264" spans="12:24" x14ac:dyDescent="0.25">
      <c r="L264"/>
      <c r="M264"/>
      <c r="N264"/>
      <c r="O264"/>
      <c r="P264"/>
      <c r="Q264"/>
      <c r="S264"/>
      <c r="T264"/>
      <c r="U264"/>
      <c r="V264"/>
      <c r="W264"/>
      <c r="X264"/>
    </row>
    <row r="265" spans="12:24" x14ac:dyDescent="0.25">
      <c r="L265"/>
      <c r="M265"/>
      <c r="N265"/>
      <c r="O265"/>
      <c r="P265"/>
      <c r="Q265"/>
      <c r="S265"/>
      <c r="T265"/>
      <c r="U265"/>
      <c r="V265"/>
      <c r="W265"/>
      <c r="X265"/>
    </row>
    <row r="266" spans="12:24" x14ac:dyDescent="0.25">
      <c r="L266"/>
      <c r="M266"/>
      <c r="N266"/>
      <c r="O266"/>
      <c r="P266"/>
      <c r="Q266"/>
      <c r="S266"/>
      <c r="T266"/>
      <c r="U266"/>
      <c r="V266"/>
      <c r="W266"/>
      <c r="X266"/>
    </row>
    <row r="267" spans="12:24" x14ac:dyDescent="0.25">
      <c r="L267"/>
      <c r="M267"/>
      <c r="N267"/>
      <c r="O267"/>
      <c r="P267"/>
      <c r="Q267"/>
      <c r="S267"/>
      <c r="T267"/>
      <c r="U267"/>
      <c r="V267"/>
      <c r="W267"/>
      <c r="X267"/>
    </row>
    <row r="268" spans="12:24" x14ac:dyDescent="0.25">
      <c r="L268"/>
      <c r="M268"/>
      <c r="N268"/>
      <c r="O268"/>
      <c r="P268"/>
      <c r="Q268"/>
      <c r="S268"/>
      <c r="T268"/>
      <c r="U268"/>
      <c r="V268"/>
      <c r="W268"/>
      <c r="X268"/>
    </row>
    <row r="269" spans="12:24" x14ac:dyDescent="0.25">
      <c r="L269"/>
      <c r="M269"/>
      <c r="N269"/>
      <c r="O269"/>
      <c r="P269"/>
      <c r="Q269"/>
      <c r="S269"/>
      <c r="T269"/>
      <c r="U269"/>
      <c r="V269"/>
      <c r="W269"/>
      <c r="X269"/>
    </row>
    <row r="270" spans="12:24" x14ac:dyDescent="0.25">
      <c r="L270"/>
      <c r="M270"/>
      <c r="N270"/>
      <c r="O270"/>
      <c r="P270"/>
      <c r="Q270"/>
      <c r="S270"/>
      <c r="T270"/>
      <c r="U270"/>
      <c r="V270"/>
      <c r="W270"/>
      <c r="X270"/>
    </row>
    <row r="271" spans="12:24" x14ac:dyDescent="0.25">
      <c r="L271"/>
      <c r="M271"/>
      <c r="N271"/>
      <c r="O271"/>
      <c r="P271"/>
      <c r="Q271"/>
      <c r="S271"/>
      <c r="T271"/>
      <c r="U271"/>
      <c r="V271"/>
      <c r="W271"/>
      <c r="X271"/>
    </row>
    <row r="272" spans="12:24" x14ac:dyDescent="0.25">
      <c r="L272"/>
      <c r="M272"/>
      <c r="N272"/>
      <c r="O272"/>
      <c r="P272"/>
      <c r="Q272"/>
      <c r="S272"/>
      <c r="T272"/>
      <c r="U272"/>
      <c r="V272"/>
      <c r="W272"/>
      <c r="X272"/>
    </row>
    <row r="273" spans="12:24" x14ac:dyDescent="0.25">
      <c r="L273"/>
      <c r="M273"/>
      <c r="N273"/>
      <c r="O273"/>
      <c r="P273"/>
      <c r="Q273"/>
      <c r="S273"/>
      <c r="T273"/>
      <c r="U273"/>
      <c r="V273"/>
      <c r="W273"/>
      <c r="X273"/>
    </row>
    <row r="274" spans="12:24" x14ac:dyDescent="0.25">
      <c r="L274"/>
      <c r="M274"/>
      <c r="N274"/>
      <c r="O274"/>
      <c r="P274"/>
      <c r="Q274"/>
      <c r="S274"/>
      <c r="T274"/>
      <c r="U274"/>
      <c r="V274"/>
      <c r="W274"/>
      <c r="X274"/>
    </row>
    <row r="275" spans="12:24" x14ac:dyDescent="0.25">
      <c r="L275"/>
      <c r="M275"/>
      <c r="N275"/>
      <c r="O275"/>
      <c r="P275"/>
      <c r="Q275"/>
      <c r="S275"/>
      <c r="T275"/>
      <c r="U275"/>
      <c r="V275"/>
      <c r="W275"/>
      <c r="X275"/>
    </row>
    <row r="276" spans="12:24" x14ac:dyDescent="0.25">
      <c r="L276"/>
      <c r="M276"/>
      <c r="N276"/>
      <c r="O276"/>
      <c r="P276"/>
      <c r="Q276"/>
      <c r="S276"/>
      <c r="T276"/>
      <c r="U276"/>
      <c r="V276"/>
      <c r="W276"/>
      <c r="X276"/>
    </row>
    <row r="277" spans="12:24" x14ac:dyDescent="0.25">
      <c r="L277"/>
      <c r="M277"/>
      <c r="N277"/>
      <c r="O277"/>
      <c r="P277"/>
      <c r="Q277"/>
      <c r="S277"/>
      <c r="T277"/>
      <c r="U277"/>
      <c r="V277"/>
      <c r="W277"/>
      <c r="X277"/>
    </row>
    <row r="278" spans="12:24" x14ac:dyDescent="0.25">
      <c r="L278"/>
      <c r="M278"/>
      <c r="N278"/>
      <c r="O278"/>
      <c r="P278"/>
      <c r="Q278"/>
      <c r="S278"/>
      <c r="T278"/>
      <c r="U278"/>
      <c r="V278"/>
      <c r="W278"/>
      <c r="X278"/>
    </row>
    <row r="279" spans="12:24" x14ac:dyDescent="0.25">
      <c r="L279"/>
      <c r="M279"/>
      <c r="N279"/>
      <c r="O279"/>
      <c r="P279"/>
      <c r="Q279"/>
      <c r="S279"/>
      <c r="T279"/>
      <c r="U279"/>
      <c r="V279"/>
      <c r="W279"/>
      <c r="X279"/>
    </row>
    <row r="280" spans="12:24" x14ac:dyDescent="0.25">
      <c r="L280"/>
      <c r="M280"/>
      <c r="N280"/>
      <c r="O280"/>
      <c r="P280"/>
      <c r="Q280"/>
      <c r="S280"/>
      <c r="T280"/>
      <c r="U280"/>
      <c r="V280"/>
      <c r="W280"/>
      <c r="X280"/>
    </row>
    <row r="281" spans="12:24" x14ac:dyDescent="0.25">
      <c r="L281"/>
      <c r="M281"/>
      <c r="N281"/>
      <c r="O281"/>
      <c r="P281"/>
      <c r="Q281"/>
      <c r="S281"/>
      <c r="T281"/>
      <c r="U281"/>
      <c r="V281"/>
      <c r="W281"/>
      <c r="X281"/>
    </row>
    <row r="282" spans="12:24" x14ac:dyDescent="0.25">
      <c r="L282"/>
      <c r="M282"/>
      <c r="N282"/>
      <c r="O282"/>
      <c r="P282"/>
      <c r="Q282"/>
      <c r="S282"/>
      <c r="T282"/>
      <c r="U282"/>
      <c r="V282"/>
      <c r="W282"/>
      <c r="X282"/>
    </row>
    <row r="283" spans="12:24" x14ac:dyDescent="0.25">
      <c r="L283"/>
      <c r="M283"/>
      <c r="N283"/>
      <c r="O283"/>
      <c r="P283"/>
      <c r="Q283"/>
      <c r="S283"/>
      <c r="T283"/>
      <c r="U283"/>
      <c r="V283"/>
      <c r="W283"/>
      <c r="X283"/>
    </row>
    <row r="284" spans="12:24" x14ac:dyDescent="0.25">
      <c r="L284"/>
      <c r="M284"/>
      <c r="N284"/>
      <c r="O284"/>
      <c r="P284"/>
      <c r="Q284"/>
      <c r="S284"/>
      <c r="T284"/>
      <c r="U284"/>
      <c r="V284"/>
      <c r="W284"/>
      <c r="X284"/>
    </row>
    <row r="285" spans="12:24" x14ac:dyDescent="0.25">
      <c r="L285"/>
      <c r="M285"/>
      <c r="N285"/>
      <c r="O285"/>
      <c r="P285"/>
      <c r="Q285"/>
      <c r="S285"/>
      <c r="T285"/>
      <c r="U285"/>
      <c r="V285"/>
      <c r="W285"/>
      <c r="X285"/>
    </row>
    <row r="286" spans="12:24" x14ac:dyDescent="0.25">
      <c r="L286"/>
      <c r="M286"/>
      <c r="N286"/>
      <c r="O286"/>
      <c r="P286"/>
      <c r="Q286"/>
      <c r="S286"/>
      <c r="T286"/>
      <c r="U286"/>
      <c r="V286"/>
      <c r="W286"/>
      <c r="X286"/>
    </row>
    <row r="287" spans="12:24" x14ac:dyDescent="0.25">
      <c r="L287"/>
      <c r="M287"/>
      <c r="N287"/>
      <c r="O287"/>
      <c r="P287"/>
      <c r="Q287"/>
      <c r="S287"/>
      <c r="T287"/>
      <c r="U287"/>
      <c r="V287"/>
      <c r="W287"/>
      <c r="X287"/>
    </row>
    <row r="288" spans="12:24" x14ac:dyDescent="0.25">
      <c r="L288"/>
      <c r="M288"/>
      <c r="N288"/>
      <c r="O288"/>
      <c r="P288"/>
      <c r="Q288"/>
      <c r="S288"/>
      <c r="T288"/>
      <c r="U288"/>
      <c r="V288"/>
      <c r="W288"/>
      <c r="X288"/>
    </row>
    <row r="289" spans="12:24" x14ac:dyDescent="0.25">
      <c r="L289"/>
      <c r="M289"/>
      <c r="N289"/>
      <c r="O289"/>
      <c r="P289"/>
      <c r="Q289"/>
      <c r="S289"/>
      <c r="T289"/>
      <c r="U289"/>
      <c r="V289"/>
      <c r="W289"/>
      <c r="X289"/>
    </row>
    <row r="290" spans="12:24" x14ac:dyDescent="0.25">
      <c r="L290"/>
      <c r="M290"/>
      <c r="N290"/>
      <c r="O290"/>
      <c r="P290"/>
      <c r="Q290"/>
      <c r="S290"/>
      <c r="T290"/>
      <c r="U290"/>
      <c r="V290"/>
      <c r="W290"/>
      <c r="X290"/>
    </row>
    <row r="291" spans="12:24" x14ac:dyDescent="0.25">
      <c r="L291"/>
      <c r="M291"/>
      <c r="N291"/>
      <c r="O291"/>
      <c r="P291"/>
      <c r="Q291"/>
      <c r="S291"/>
      <c r="T291"/>
      <c r="U291"/>
      <c r="V291"/>
      <c r="W291"/>
      <c r="X291"/>
    </row>
    <row r="292" spans="12:24" x14ac:dyDescent="0.25">
      <c r="L292"/>
      <c r="M292"/>
      <c r="N292"/>
      <c r="O292"/>
      <c r="P292"/>
      <c r="Q292"/>
      <c r="S292"/>
      <c r="T292"/>
      <c r="U292"/>
      <c r="V292"/>
      <c r="W292"/>
      <c r="X292"/>
    </row>
    <row r="293" spans="12:24" x14ac:dyDescent="0.25">
      <c r="L293"/>
      <c r="M293"/>
      <c r="N293"/>
      <c r="O293"/>
      <c r="P293"/>
      <c r="Q293"/>
      <c r="S293"/>
      <c r="T293"/>
      <c r="U293"/>
      <c r="V293"/>
      <c r="W293"/>
      <c r="X293"/>
    </row>
    <row r="294" spans="12:24" x14ac:dyDescent="0.25">
      <c r="L294"/>
      <c r="M294"/>
      <c r="N294"/>
      <c r="O294"/>
      <c r="P294"/>
      <c r="Q294"/>
      <c r="S294"/>
      <c r="T294"/>
      <c r="U294"/>
      <c r="V294"/>
      <c r="W294"/>
      <c r="X294"/>
    </row>
    <row r="295" spans="12:24" x14ac:dyDescent="0.25">
      <c r="L295"/>
      <c r="M295"/>
      <c r="N295"/>
      <c r="O295"/>
      <c r="P295"/>
      <c r="Q295"/>
      <c r="S295"/>
      <c r="T295"/>
      <c r="U295"/>
      <c r="V295"/>
      <c r="W295"/>
      <c r="X295"/>
    </row>
    <row r="296" spans="12:24" x14ac:dyDescent="0.25">
      <c r="L296"/>
      <c r="M296"/>
      <c r="N296"/>
      <c r="O296"/>
      <c r="P296"/>
      <c r="Q296"/>
      <c r="S296"/>
      <c r="T296"/>
      <c r="U296"/>
      <c r="V296"/>
      <c r="W296"/>
      <c r="X296"/>
    </row>
    <row r="297" spans="12:24" x14ac:dyDescent="0.25">
      <c r="L297"/>
      <c r="M297"/>
      <c r="N297"/>
      <c r="O297"/>
      <c r="P297"/>
      <c r="Q297"/>
      <c r="S297"/>
      <c r="T297"/>
      <c r="U297"/>
      <c r="V297"/>
      <c r="W297"/>
      <c r="X297"/>
    </row>
    <row r="298" spans="12:24" x14ac:dyDescent="0.25">
      <c r="L298"/>
      <c r="M298"/>
      <c r="N298"/>
      <c r="O298"/>
      <c r="P298"/>
      <c r="Q298"/>
      <c r="S298"/>
      <c r="T298"/>
      <c r="U298"/>
      <c r="V298"/>
      <c r="W298"/>
      <c r="X298"/>
    </row>
    <row r="299" spans="12:24" x14ac:dyDescent="0.25">
      <c r="L299"/>
      <c r="M299"/>
      <c r="N299"/>
      <c r="O299"/>
      <c r="P299"/>
      <c r="Q299"/>
      <c r="S299"/>
      <c r="T299"/>
      <c r="U299"/>
      <c r="V299"/>
      <c r="W299"/>
      <c r="X299"/>
    </row>
    <row r="300" spans="12:24" x14ac:dyDescent="0.25">
      <c r="L300"/>
      <c r="M300"/>
      <c r="N300"/>
      <c r="O300"/>
      <c r="P300"/>
      <c r="Q300"/>
      <c r="S300"/>
      <c r="T300"/>
      <c r="U300"/>
      <c r="V300"/>
      <c r="W300"/>
      <c r="X300"/>
    </row>
    <row r="301" spans="12:24" x14ac:dyDescent="0.25">
      <c r="L301"/>
      <c r="M301"/>
      <c r="N301"/>
      <c r="O301"/>
      <c r="P301"/>
      <c r="Q301"/>
      <c r="S301"/>
      <c r="T301"/>
      <c r="U301"/>
      <c r="V301"/>
      <c r="W301"/>
      <c r="X301"/>
    </row>
    <row r="302" spans="12:24" x14ac:dyDescent="0.25">
      <c r="L302"/>
      <c r="M302"/>
      <c r="N302"/>
      <c r="O302"/>
      <c r="P302"/>
      <c r="Q302"/>
      <c r="S302"/>
      <c r="T302"/>
      <c r="U302"/>
      <c r="V302"/>
      <c r="W302"/>
      <c r="X302"/>
    </row>
    <row r="303" spans="12:24" x14ac:dyDescent="0.25">
      <c r="L303"/>
      <c r="M303"/>
      <c r="N303"/>
      <c r="O303"/>
      <c r="P303"/>
      <c r="Q303"/>
      <c r="S303"/>
      <c r="T303"/>
      <c r="U303"/>
      <c r="V303"/>
      <c r="W303"/>
      <c r="X303"/>
    </row>
    <row r="304" spans="12:24" x14ac:dyDescent="0.25">
      <c r="L304"/>
      <c r="M304"/>
      <c r="N304"/>
      <c r="O304"/>
      <c r="P304"/>
      <c r="Q304"/>
      <c r="S304"/>
      <c r="T304"/>
      <c r="U304"/>
      <c r="V304"/>
      <c r="W304"/>
      <c r="X304"/>
    </row>
    <row r="305" spans="12:24" x14ac:dyDescent="0.25">
      <c r="L305"/>
      <c r="M305"/>
      <c r="N305"/>
      <c r="O305"/>
      <c r="P305"/>
      <c r="Q305"/>
      <c r="S305"/>
      <c r="T305"/>
      <c r="U305"/>
      <c r="V305"/>
      <c r="W305"/>
      <c r="X305"/>
    </row>
    <row r="306" spans="12:24" x14ac:dyDescent="0.25">
      <c r="L306"/>
      <c r="M306"/>
      <c r="N306"/>
      <c r="O306"/>
      <c r="P306"/>
      <c r="Q306"/>
      <c r="S306"/>
      <c r="T306"/>
      <c r="U306"/>
      <c r="V306"/>
      <c r="W306"/>
      <c r="X306"/>
    </row>
    <row r="307" spans="12:24" x14ac:dyDescent="0.25">
      <c r="L307"/>
      <c r="M307"/>
      <c r="N307"/>
      <c r="O307"/>
      <c r="P307"/>
      <c r="Q307"/>
      <c r="S307"/>
      <c r="T307"/>
      <c r="U307"/>
      <c r="V307"/>
      <c r="W307"/>
      <c r="X307"/>
    </row>
    <row r="308" spans="12:24" x14ac:dyDescent="0.25">
      <c r="L308"/>
      <c r="M308"/>
      <c r="N308"/>
      <c r="O308"/>
      <c r="P308"/>
      <c r="Q308"/>
      <c r="S308"/>
      <c r="T308"/>
      <c r="U308"/>
      <c r="V308"/>
      <c r="W308"/>
      <c r="X308"/>
    </row>
    <row r="309" spans="12:24" x14ac:dyDescent="0.25">
      <c r="L309"/>
      <c r="M309"/>
      <c r="N309"/>
      <c r="O309"/>
      <c r="P309"/>
      <c r="Q309"/>
      <c r="S309"/>
      <c r="T309"/>
      <c r="U309"/>
      <c r="V309"/>
      <c r="W309"/>
      <c r="X309"/>
    </row>
    <row r="310" spans="12:24" x14ac:dyDescent="0.25">
      <c r="L310"/>
      <c r="M310"/>
      <c r="N310"/>
      <c r="O310"/>
      <c r="P310"/>
      <c r="Q310"/>
      <c r="S310"/>
      <c r="T310"/>
      <c r="U310"/>
      <c r="V310"/>
      <c r="W310"/>
      <c r="X310"/>
    </row>
    <row r="311" spans="12:24" x14ac:dyDescent="0.25">
      <c r="L311"/>
      <c r="M311"/>
      <c r="N311"/>
      <c r="O311"/>
      <c r="P311"/>
      <c r="Q311"/>
      <c r="S311"/>
      <c r="T311"/>
      <c r="U311"/>
      <c r="V311"/>
      <c r="W311"/>
      <c r="X311"/>
    </row>
    <row r="312" spans="12:24" x14ac:dyDescent="0.25">
      <c r="L312"/>
      <c r="M312"/>
      <c r="N312"/>
      <c r="O312"/>
      <c r="P312"/>
      <c r="Q312"/>
      <c r="S312"/>
      <c r="T312"/>
      <c r="U312"/>
      <c r="V312"/>
      <c r="W312"/>
      <c r="X312"/>
    </row>
    <row r="313" spans="12:24" x14ac:dyDescent="0.25">
      <c r="L313"/>
      <c r="M313"/>
      <c r="N313"/>
      <c r="O313"/>
      <c r="P313"/>
      <c r="Q313"/>
      <c r="S313"/>
      <c r="T313"/>
      <c r="U313"/>
      <c r="V313"/>
      <c r="W313"/>
      <c r="X313"/>
    </row>
    <row r="314" spans="12:24" x14ac:dyDescent="0.25">
      <c r="L314"/>
      <c r="M314"/>
      <c r="N314"/>
      <c r="O314"/>
      <c r="P314"/>
      <c r="Q314"/>
      <c r="S314"/>
      <c r="T314"/>
      <c r="U314"/>
      <c r="V314"/>
      <c r="W314"/>
      <c r="X314"/>
    </row>
    <row r="315" spans="12:24" x14ac:dyDescent="0.25">
      <c r="L315"/>
      <c r="M315"/>
      <c r="N315"/>
      <c r="O315"/>
      <c r="P315"/>
      <c r="Q315"/>
      <c r="S315"/>
      <c r="T315"/>
      <c r="U315"/>
      <c r="V315"/>
      <c r="W315"/>
      <c r="X315"/>
    </row>
    <row r="316" spans="12:24" x14ac:dyDescent="0.25">
      <c r="L316"/>
      <c r="M316"/>
      <c r="N316"/>
      <c r="O316"/>
      <c r="P316"/>
      <c r="Q316"/>
      <c r="S316"/>
      <c r="T316"/>
      <c r="U316"/>
      <c r="V316"/>
      <c r="W316"/>
      <c r="X316"/>
    </row>
    <row r="317" spans="12:24" x14ac:dyDescent="0.25">
      <c r="L317"/>
      <c r="M317"/>
      <c r="N317"/>
      <c r="O317"/>
      <c r="P317"/>
      <c r="Q317"/>
      <c r="S317"/>
      <c r="T317"/>
      <c r="U317"/>
      <c r="V317"/>
      <c r="W317"/>
      <c r="X317"/>
    </row>
    <row r="318" spans="12:24" x14ac:dyDescent="0.25">
      <c r="L318"/>
      <c r="M318"/>
      <c r="N318"/>
      <c r="O318"/>
      <c r="P318"/>
      <c r="Q318"/>
      <c r="S318"/>
      <c r="T318"/>
      <c r="U318"/>
      <c r="V318"/>
      <c r="W318"/>
      <c r="X318"/>
    </row>
    <row r="319" spans="12:24" x14ac:dyDescent="0.25">
      <c r="L319"/>
      <c r="M319"/>
      <c r="N319"/>
      <c r="O319"/>
      <c r="P319"/>
      <c r="Q319"/>
      <c r="S319"/>
      <c r="T319"/>
      <c r="U319"/>
      <c r="V319"/>
      <c r="W319"/>
      <c r="X319"/>
    </row>
    <row r="320" spans="12:24" x14ac:dyDescent="0.25">
      <c r="L320"/>
      <c r="M320"/>
      <c r="N320"/>
      <c r="O320"/>
      <c r="P320"/>
      <c r="Q320"/>
      <c r="S320"/>
      <c r="T320"/>
      <c r="U320"/>
      <c r="V320"/>
      <c r="W320"/>
      <c r="X320"/>
    </row>
    <row r="321" spans="12:24" x14ac:dyDescent="0.25">
      <c r="L321"/>
      <c r="M321"/>
      <c r="N321"/>
      <c r="O321"/>
      <c r="P321"/>
      <c r="Q321"/>
      <c r="S321"/>
      <c r="T321"/>
      <c r="U321"/>
      <c r="V321"/>
      <c r="W321"/>
      <c r="X321"/>
    </row>
    <row r="322" spans="12:24" x14ac:dyDescent="0.25">
      <c r="L322"/>
      <c r="M322"/>
      <c r="N322"/>
      <c r="O322"/>
      <c r="P322"/>
      <c r="Q322"/>
      <c r="S322"/>
      <c r="T322"/>
      <c r="U322"/>
      <c r="V322"/>
      <c r="W322"/>
      <c r="X322"/>
    </row>
    <row r="323" spans="12:24" x14ac:dyDescent="0.25">
      <c r="L323"/>
      <c r="M323"/>
      <c r="N323"/>
      <c r="O323"/>
      <c r="P323"/>
      <c r="Q323"/>
      <c r="S323"/>
      <c r="T323"/>
      <c r="U323"/>
      <c r="V323"/>
      <c r="W323"/>
      <c r="X323"/>
    </row>
    <row r="324" spans="12:24" x14ac:dyDescent="0.25">
      <c r="L324"/>
      <c r="M324"/>
      <c r="N324"/>
      <c r="O324"/>
      <c r="P324"/>
      <c r="Q324"/>
      <c r="S324"/>
      <c r="T324"/>
      <c r="U324"/>
      <c r="V324"/>
      <c r="W324"/>
      <c r="X324"/>
    </row>
    <row r="325" spans="12:24" x14ac:dyDescent="0.25">
      <c r="L325"/>
      <c r="M325"/>
      <c r="N325"/>
      <c r="O325"/>
      <c r="P325"/>
      <c r="Q325"/>
      <c r="S325"/>
      <c r="T325"/>
      <c r="U325"/>
      <c r="V325"/>
      <c r="W325"/>
      <c r="X325"/>
    </row>
    <row r="326" spans="12:24" x14ac:dyDescent="0.25">
      <c r="L326"/>
      <c r="M326"/>
      <c r="N326"/>
      <c r="O326"/>
      <c r="P326"/>
      <c r="Q326"/>
      <c r="S326"/>
      <c r="T326"/>
      <c r="U326"/>
      <c r="V326"/>
      <c r="W326"/>
      <c r="X326"/>
    </row>
    <row r="327" spans="12:24" x14ac:dyDescent="0.25">
      <c r="L327"/>
      <c r="M327"/>
      <c r="N327"/>
      <c r="O327"/>
      <c r="P327"/>
      <c r="Q327"/>
      <c r="S327"/>
      <c r="T327"/>
      <c r="U327"/>
      <c r="V327"/>
      <c r="W327"/>
      <c r="X327"/>
    </row>
    <row r="328" spans="12:24" x14ac:dyDescent="0.25">
      <c r="L328"/>
      <c r="M328"/>
      <c r="N328"/>
      <c r="O328"/>
      <c r="P328"/>
      <c r="Q328"/>
      <c r="S328"/>
      <c r="T328"/>
      <c r="U328"/>
      <c r="V328"/>
      <c r="W328"/>
      <c r="X328"/>
    </row>
    <row r="329" spans="12:24" x14ac:dyDescent="0.25">
      <c r="L329"/>
      <c r="M329"/>
      <c r="N329"/>
      <c r="O329"/>
      <c r="P329"/>
      <c r="Q329"/>
      <c r="S329"/>
      <c r="T329"/>
      <c r="U329"/>
      <c r="V329"/>
      <c r="W329"/>
      <c r="X329"/>
    </row>
    <row r="330" spans="12:24" x14ac:dyDescent="0.25">
      <c r="L330"/>
      <c r="M330"/>
      <c r="N330"/>
      <c r="O330"/>
      <c r="P330"/>
      <c r="Q330"/>
      <c r="S330"/>
      <c r="T330"/>
      <c r="U330"/>
      <c r="V330"/>
      <c r="W330"/>
      <c r="X330"/>
    </row>
    <row r="331" spans="12:24" x14ac:dyDescent="0.25">
      <c r="L331"/>
      <c r="M331"/>
      <c r="N331"/>
      <c r="O331"/>
      <c r="P331"/>
      <c r="Q331"/>
      <c r="S331"/>
      <c r="T331"/>
      <c r="U331"/>
      <c r="V331"/>
      <c r="W331"/>
      <c r="X331"/>
    </row>
    <row r="332" spans="12:24" x14ac:dyDescent="0.25">
      <c r="L332"/>
      <c r="M332"/>
      <c r="N332"/>
      <c r="O332"/>
      <c r="P332"/>
      <c r="Q332"/>
      <c r="S332"/>
      <c r="T332"/>
      <c r="U332"/>
      <c r="V332"/>
      <c r="W332"/>
      <c r="X332"/>
    </row>
    <row r="333" spans="12:24" x14ac:dyDescent="0.25">
      <c r="L333"/>
      <c r="M333"/>
      <c r="N333"/>
      <c r="O333"/>
      <c r="P333"/>
      <c r="Q333"/>
      <c r="S333"/>
      <c r="T333"/>
      <c r="U333"/>
      <c r="V333"/>
      <c r="W333"/>
      <c r="X333"/>
    </row>
    <row r="334" spans="12:24" x14ac:dyDescent="0.25">
      <c r="L334"/>
      <c r="M334"/>
      <c r="N334"/>
      <c r="O334"/>
      <c r="P334"/>
      <c r="Q334"/>
      <c r="S334"/>
      <c r="T334"/>
      <c r="U334"/>
      <c r="V334"/>
      <c r="W334"/>
      <c r="X334"/>
    </row>
    <row r="335" spans="12:24" x14ac:dyDescent="0.25">
      <c r="L335"/>
      <c r="M335"/>
      <c r="N335"/>
      <c r="O335"/>
      <c r="P335"/>
      <c r="Q335"/>
      <c r="S335"/>
      <c r="T335"/>
      <c r="U335"/>
      <c r="V335"/>
      <c r="W335"/>
      <c r="X335"/>
    </row>
    <row r="336" spans="12:24" x14ac:dyDescent="0.25">
      <c r="L336"/>
      <c r="M336"/>
      <c r="N336"/>
      <c r="O336"/>
      <c r="P336"/>
      <c r="Q336"/>
      <c r="S336"/>
      <c r="T336"/>
      <c r="U336"/>
      <c r="V336"/>
      <c r="W336"/>
      <c r="X336"/>
    </row>
    <row r="337" spans="12:24" x14ac:dyDescent="0.25">
      <c r="L337"/>
      <c r="M337"/>
      <c r="N337"/>
      <c r="O337"/>
      <c r="P337"/>
      <c r="Q337"/>
      <c r="S337"/>
      <c r="T337"/>
      <c r="U337"/>
      <c r="V337"/>
      <c r="W337"/>
      <c r="X337"/>
    </row>
    <row r="338" spans="12:24" x14ac:dyDescent="0.25">
      <c r="L338"/>
      <c r="M338"/>
      <c r="N338"/>
      <c r="O338"/>
      <c r="P338"/>
      <c r="Q338"/>
      <c r="S338"/>
      <c r="T338"/>
      <c r="U338"/>
      <c r="V338"/>
      <c r="W338"/>
      <c r="X338"/>
    </row>
    <row r="339" spans="12:24" x14ac:dyDescent="0.25">
      <c r="L339"/>
      <c r="M339"/>
      <c r="N339"/>
      <c r="O339"/>
      <c r="P339"/>
      <c r="Q339"/>
      <c r="S339"/>
      <c r="T339"/>
      <c r="U339"/>
      <c r="V339"/>
      <c r="W339"/>
      <c r="X339"/>
    </row>
    <row r="340" spans="12:24" x14ac:dyDescent="0.25">
      <c r="L340"/>
      <c r="M340"/>
      <c r="N340"/>
      <c r="O340"/>
      <c r="P340"/>
      <c r="Q340"/>
      <c r="S340"/>
      <c r="T340"/>
      <c r="U340"/>
      <c r="V340"/>
      <c r="W340"/>
      <c r="X340"/>
    </row>
    <row r="341" spans="12:24" x14ac:dyDescent="0.25">
      <c r="L341"/>
      <c r="M341"/>
      <c r="N341"/>
      <c r="O341"/>
      <c r="P341"/>
      <c r="Q341"/>
      <c r="S341"/>
      <c r="T341"/>
      <c r="U341"/>
      <c r="V341"/>
      <c r="W341"/>
      <c r="X341"/>
    </row>
    <row r="342" spans="12:24" x14ac:dyDescent="0.25">
      <c r="L342"/>
      <c r="M342"/>
      <c r="N342"/>
      <c r="O342"/>
      <c r="P342"/>
      <c r="Q342"/>
      <c r="S342"/>
      <c r="T342"/>
      <c r="U342"/>
      <c r="V342"/>
      <c r="W342"/>
      <c r="X342"/>
    </row>
    <row r="343" spans="12:24" x14ac:dyDescent="0.25">
      <c r="L343"/>
      <c r="M343"/>
      <c r="N343"/>
      <c r="O343"/>
      <c r="P343"/>
      <c r="Q343"/>
      <c r="S343"/>
      <c r="T343"/>
      <c r="U343"/>
      <c r="V343"/>
      <c r="W343"/>
      <c r="X343"/>
    </row>
    <row r="344" spans="12:24" x14ac:dyDescent="0.25">
      <c r="L344"/>
      <c r="M344"/>
      <c r="N344"/>
      <c r="O344"/>
      <c r="P344"/>
      <c r="Q344"/>
      <c r="S344"/>
      <c r="T344"/>
      <c r="U344"/>
      <c r="V344"/>
      <c r="W344"/>
      <c r="X344"/>
    </row>
    <row r="345" spans="12:24" x14ac:dyDescent="0.25">
      <c r="L345"/>
      <c r="M345"/>
      <c r="N345"/>
      <c r="O345"/>
      <c r="P345"/>
      <c r="Q345"/>
      <c r="S345"/>
      <c r="T345"/>
      <c r="U345"/>
      <c r="V345"/>
      <c r="W345"/>
      <c r="X345"/>
    </row>
    <row r="346" spans="12:24" x14ac:dyDescent="0.25">
      <c r="L346"/>
      <c r="M346"/>
      <c r="N346"/>
      <c r="O346"/>
      <c r="P346"/>
      <c r="Q346"/>
      <c r="S346"/>
      <c r="T346"/>
      <c r="U346"/>
      <c r="V346"/>
      <c r="W346"/>
      <c r="X346"/>
    </row>
    <row r="347" spans="12:24" x14ac:dyDescent="0.25">
      <c r="L347"/>
      <c r="M347"/>
      <c r="N347"/>
      <c r="O347"/>
      <c r="P347"/>
      <c r="Q347"/>
      <c r="S347"/>
      <c r="T347"/>
      <c r="U347"/>
      <c r="V347"/>
      <c r="W347"/>
      <c r="X347"/>
    </row>
    <row r="348" spans="12:24" x14ac:dyDescent="0.25">
      <c r="L348"/>
      <c r="M348"/>
      <c r="N348"/>
      <c r="O348"/>
      <c r="P348"/>
      <c r="Q348"/>
      <c r="S348"/>
      <c r="T348"/>
      <c r="U348"/>
      <c r="V348"/>
      <c r="W348"/>
      <c r="X348"/>
    </row>
    <row r="349" spans="12:24" x14ac:dyDescent="0.25">
      <c r="L349"/>
      <c r="M349"/>
      <c r="N349"/>
      <c r="O349"/>
      <c r="P349"/>
      <c r="Q349"/>
      <c r="S349"/>
      <c r="T349"/>
      <c r="U349"/>
      <c r="V349"/>
      <c r="W349"/>
      <c r="X349"/>
    </row>
    <row r="350" spans="12:24" x14ac:dyDescent="0.25">
      <c r="L350"/>
      <c r="M350"/>
      <c r="N350"/>
      <c r="O350"/>
      <c r="P350"/>
      <c r="Q350"/>
      <c r="S350"/>
      <c r="T350"/>
      <c r="U350"/>
      <c r="V350"/>
      <c r="W350"/>
      <c r="X350"/>
    </row>
    <row r="351" spans="12:24" x14ac:dyDescent="0.25">
      <c r="L351"/>
      <c r="M351"/>
      <c r="N351"/>
      <c r="O351"/>
      <c r="P351"/>
      <c r="Q351"/>
      <c r="S351"/>
      <c r="T351"/>
      <c r="U351"/>
      <c r="V351"/>
      <c r="W351"/>
      <c r="X351"/>
    </row>
    <row r="352" spans="12:24" x14ac:dyDescent="0.25">
      <c r="L352"/>
      <c r="M352"/>
      <c r="N352"/>
      <c r="O352"/>
      <c r="P352"/>
      <c r="Q352"/>
      <c r="S352"/>
      <c r="T352"/>
      <c r="U352"/>
      <c r="V352"/>
      <c r="W352"/>
      <c r="X352"/>
    </row>
    <row r="353" spans="12:24" x14ac:dyDescent="0.25">
      <c r="L353"/>
      <c r="M353"/>
      <c r="N353"/>
      <c r="O353"/>
      <c r="P353"/>
      <c r="Q353"/>
      <c r="S353"/>
      <c r="T353"/>
      <c r="U353"/>
      <c r="V353"/>
      <c r="W353"/>
      <c r="X353"/>
    </row>
    <row r="354" spans="12:24" x14ac:dyDescent="0.25">
      <c r="L354"/>
      <c r="M354"/>
      <c r="N354"/>
      <c r="O354"/>
      <c r="P354"/>
      <c r="Q354"/>
      <c r="S354"/>
      <c r="T354"/>
      <c r="U354"/>
      <c r="V354"/>
      <c r="W354"/>
      <c r="X354"/>
    </row>
    <row r="355" spans="12:24" x14ac:dyDescent="0.25">
      <c r="L355"/>
      <c r="M355"/>
      <c r="N355"/>
      <c r="O355"/>
      <c r="P355"/>
      <c r="Q355"/>
      <c r="S355"/>
      <c r="T355"/>
      <c r="U355"/>
      <c r="V355"/>
      <c r="W355"/>
      <c r="X355"/>
    </row>
    <row r="356" spans="12:24" x14ac:dyDescent="0.25">
      <c r="L356"/>
      <c r="M356"/>
      <c r="N356"/>
      <c r="O356"/>
      <c r="P356"/>
      <c r="Q356"/>
      <c r="S356"/>
      <c r="T356"/>
      <c r="U356"/>
      <c r="V356"/>
      <c r="W356"/>
      <c r="X356"/>
    </row>
    <row r="357" spans="12:24" x14ac:dyDescent="0.25">
      <c r="L357"/>
      <c r="M357"/>
      <c r="N357"/>
      <c r="O357"/>
      <c r="P357"/>
      <c r="Q357"/>
      <c r="S357"/>
      <c r="T357"/>
      <c r="U357"/>
      <c r="V357"/>
      <c r="W357"/>
      <c r="X357"/>
    </row>
    <row r="358" spans="12:24" x14ac:dyDescent="0.25">
      <c r="L358"/>
      <c r="M358"/>
      <c r="N358"/>
      <c r="O358"/>
      <c r="P358"/>
      <c r="Q358"/>
      <c r="S358"/>
      <c r="T358"/>
      <c r="U358"/>
      <c r="V358"/>
      <c r="W358"/>
      <c r="X358"/>
    </row>
    <row r="359" spans="12:24" x14ac:dyDescent="0.25">
      <c r="L359"/>
      <c r="M359"/>
      <c r="N359"/>
      <c r="O359"/>
      <c r="P359"/>
      <c r="Q359"/>
      <c r="S359"/>
      <c r="T359"/>
      <c r="U359"/>
      <c r="V359"/>
      <c r="W359"/>
      <c r="X359"/>
    </row>
    <row r="360" spans="12:24" x14ac:dyDescent="0.25">
      <c r="L360"/>
      <c r="M360"/>
      <c r="N360"/>
      <c r="O360"/>
      <c r="P360"/>
      <c r="Q360"/>
      <c r="S360"/>
      <c r="T360"/>
      <c r="U360"/>
      <c r="V360"/>
      <c r="W360"/>
      <c r="X360"/>
    </row>
    <row r="361" spans="12:24" x14ac:dyDescent="0.25">
      <c r="L361"/>
      <c r="M361"/>
      <c r="N361"/>
      <c r="O361"/>
      <c r="P361"/>
      <c r="Q361"/>
      <c r="S361"/>
      <c r="T361"/>
      <c r="U361"/>
      <c r="V361"/>
      <c r="W361"/>
      <c r="X361"/>
    </row>
    <row r="362" spans="12:24" x14ac:dyDescent="0.25">
      <c r="L362"/>
      <c r="M362"/>
      <c r="N362"/>
      <c r="O362"/>
      <c r="P362"/>
      <c r="Q362"/>
      <c r="S362"/>
      <c r="T362"/>
      <c r="U362"/>
      <c r="V362"/>
      <c r="W362"/>
      <c r="X362"/>
    </row>
    <row r="363" spans="12:24" x14ac:dyDescent="0.25">
      <c r="L363"/>
      <c r="M363"/>
      <c r="N363"/>
      <c r="O363"/>
      <c r="P363"/>
      <c r="Q363"/>
      <c r="S363"/>
      <c r="T363"/>
      <c r="U363"/>
      <c r="V363"/>
      <c r="W363"/>
      <c r="X363"/>
    </row>
    <row r="364" spans="12:24" x14ac:dyDescent="0.25">
      <c r="L364"/>
      <c r="M364"/>
      <c r="N364"/>
      <c r="O364"/>
      <c r="P364"/>
      <c r="Q364"/>
      <c r="S364"/>
      <c r="T364"/>
      <c r="U364"/>
      <c r="V364"/>
      <c r="W364"/>
      <c r="X364"/>
    </row>
    <row r="365" spans="12:24" x14ac:dyDescent="0.25">
      <c r="L365"/>
      <c r="M365"/>
      <c r="N365"/>
      <c r="O365"/>
      <c r="P365"/>
      <c r="Q365"/>
      <c r="S365"/>
      <c r="T365"/>
      <c r="U365"/>
      <c r="V365"/>
      <c r="W365"/>
      <c r="X365"/>
    </row>
    <row r="366" spans="12:24" x14ac:dyDescent="0.25">
      <c r="L366"/>
      <c r="M366"/>
      <c r="N366"/>
      <c r="O366"/>
      <c r="P366"/>
      <c r="Q366"/>
      <c r="S366"/>
      <c r="T366"/>
      <c r="U366"/>
      <c r="V366"/>
      <c r="W366"/>
      <c r="X366"/>
    </row>
    <row r="367" spans="12:24" x14ac:dyDescent="0.25">
      <c r="L367"/>
      <c r="M367"/>
      <c r="N367"/>
      <c r="O367"/>
      <c r="P367"/>
      <c r="Q367"/>
      <c r="S367"/>
      <c r="T367"/>
      <c r="U367"/>
      <c r="V367"/>
      <c r="W367"/>
      <c r="X367"/>
    </row>
    <row r="368" spans="12:24" x14ac:dyDescent="0.25">
      <c r="L368"/>
      <c r="M368"/>
      <c r="N368"/>
      <c r="O368"/>
      <c r="P368"/>
      <c r="Q368"/>
      <c r="S368"/>
      <c r="T368"/>
      <c r="U368"/>
      <c r="V368"/>
      <c r="W368"/>
      <c r="X368"/>
    </row>
    <row r="369" spans="12:24" x14ac:dyDescent="0.25">
      <c r="L369"/>
      <c r="M369"/>
      <c r="N369"/>
      <c r="O369"/>
      <c r="P369"/>
      <c r="Q369"/>
      <c r="S369"/>
      <c r="T369"/>
      <c r="U369"/>
      <c r="V369"/>
      <c r="W369"/>
      <c r="X369"/>
    </row>
    <row r="370" spans="12:24" x14ac:dyDescent="0.25">
      <c r="L370"/>
      <c r="M370"/>
      <c r="N370"/>
      <c r="O370"/>
      <c r="P370"/>
      <c r="Q370"/>
      <c r="S370"/>
      <c r="T370"/>
      <c r="U370"/>
      <c r="V370"/>
      <c r="W370"/>
      <c r="X370"/>
    </row>
    <row r="371" spans="12:24" x14ac:dyDescent="0.25">
      <c r="L371"/>
      <c r="M371"/>
      <c r="N371"/>
      <c r="O371"/>
      <c r="P371"/>
      <c r="Q371"/>
      <c r="S371"/>
      <c r="T371"/>
      <c r="U371"/>
      <c r="V371"/>
      <c r="W371"/>
      <c r="X371"/>
    </row>
    <row r="372" spans="12:24" x14ac:dyDescent="0.25">
      <c r="L372"/>
      <c r="M372"/>
      <c r="N372"/>
      <c r="O372"/>
      <c r="P372"/>
      <c r="Q372"/>
      <c r="S372"/>
      <c r="T372"/>
      <c r="U372"/>
      <c r="V372"/>
      <c r="W372"/>
      <c r="X372"/>
    </row>
    <row r="373" spans="12:24" x14ac:dyDescent="0.25">
      <c r="L373"/>
      <c r="M373"/>
      <c r="N373"/>
      <c r="O373"/>
      <c r="P373"/>
      <c r="Q373"/>
      <c r="S373"/>
      <c r="T373"/>
      <c r="U373"/>
      <c r="V373"/>
      <c r="W373"/>
      <c r="X373"/>
    </row>
    <row r="374" spans="12:24" x14ac:dyDescent="0.25">
      <c r="L374"/>
      <c r="M374"/>
      <c r="N374"/>
      <c r="O374"/>
      <c r="P374"/>
      <c r="Q374"/>
      <c r="S374"/>
      <c r="T374"/>
      <c r="U374"/>
      <c r="V374"/>
      <c r="W374"/>
      <c r="X374"/>
    </row>
    <row r="375" spans="12:24" x14ac:dyDescent="0.25">
      <c r="L375"/>
      <c r="M375"/>
      <c r="N375"/>
      <c r="O375"/>
      <c r="P375"/>
      <c r="Q375"/>
      <c r="S375"/>
      <c r="T375"/>
      <c r="U375"/>
      <c r="V375"/>
      <c r="W375"/>
      <c r="X375"/>
    </row>
    <row r="376" spans="12:24" x14ac:dyDescent="0.25">
      <c r="L376"/>
      <c r="M376"/>
      <c r="N376"/>
      <c r="O376"/>
      <c r="P376"/>
      <c r="Q376"/>
      <c r="S376"/>
      <c r="T376"/>
      <c r="U376"/>
      <c r="V376"/>
      <c r="W376"/>
      <c r="X376"/>
    </row>
    <row r="377" spans="12:24" x14ac:dyDescent="0.25">
      <c r="L377"/>
      <c r="M377"/>
      <c r="N377"/>
      <c r="O377"/>
      <c r="P377"/>
      <c r="Q377"/>
      <c r="S377"/>
      <c r="T377"/>
      <c r="U377"/>
      <c r="V377"/>
      <c r="W377"/>
      <c r="X377"/>
    </row>
    <row r="378" spans="12:24" x14ac:dyDescent="0.25">
      <c r="L378"/>
      <c r="M378"/>
      <c r="N378"/>
      <c r="O378"/>
      <c r="P378"/>
      <c r="Q378"/>
      <c r="S378"/>
      <c r="T378"/>
      <c r="U378"/>
      <c r="V378"/>
      <c r="W378"/>
      <c r="X378"/>
    </row>
    <row r="379" spans="12:24" x14ac:dyDescent="0.25">
      <c r="L379"/>
      <c r="M379"/>
      <c r="N379"/>
      <c r="O379"/>
      <c r="P379"/>
      <c r="Q379"/>
      <c r="S379"/>
      <c r="T379"/>
      <c r="U379"/>
      <c r="V379"/>
      <c r="W379"/>
      <c r="X379"/>
    </row>
    <row r="380" spans="12:24" x14ac:dyDescent="0.25">
      <c r="L380"/>
      <c r="M380"/>
      <c r="N380"/>
      <c r="O380"/>
      <c r="P380"/>
      <c r="Q380"/>
      <c r="S380"/>
      <c r="T380"/>
      <c r="U380"/>
      <c r="V380"/>
      <c r="W380"/>
      <c r="X380"/>
    </row>
    <row r="381" spans="12:24" x14ac:dyDescent="0.25">
      <c r="L381"/>
      <c r="M381"/>
      <c r="N381"/>
      <c r="O381"/>
      <c r="P381"/>
      <c r="Q381"/>
      <c r="S381"/>
      <c r="T381"/>
      <c r="U381"/>
      <c r="V381"/>
      <c r="W381"/>
      <c r="X381"/>
    </row>
    <row r="382" spans="12:24" x14ac:dyDescent="0.25">
      <c r="L382"/>
      <c r="M382"/>
      <c r="N382"/>
      <c r="O382"/>
      <c r="P382"/>
      <c r="Q382"/>
      <c r="S382"/>
      <c r="T382"/>
      <c r="U382"/>
      <c r="V382"/>
      <c r="W382"/>
      <c r="X382"/>
    </row>
    <row r="383" spans="12:24" x14ac:dyDescent="0.25">
      <c r="L383"/>
      <c r="M383"/>
      <c r="N383"/>
      <c r="O383"/>
      <c r="P383"/>
      <c r="Q383"/>
      <c r="S383"/>
      <c r="T383"/>
      <c r="U383"/>
      <c r="V383"/>
      <c r="W383"/>
      <c r="X383"/>
    </row>
    <row r="384" spans="12:24" x14ac:dyDescent="0.25">
      <c r="L384"/>
      <c r="M384"/>
      <c r="N384"/>
      <c r="O384"/>
      <c r="P384"/>
      <c r="Q384"/>
      <c r="S384"/>
      <c r="T384"/>
      <c r="U384"/>
      <c r="V384"/>
      <c r="W384"/>
      <c r="X384"/>
    </row>
    <row r="385" spans="12:24" x14ac:dyDescent="0.25">
      <c r="L385"/>
      <c r="M385"/>
      <c r="N385"/>
      <c r="O385"/>
      <c r="P385"/>
      <c r="Q385"/>
      <c r="S385"/>
      <c r="T385"/>
      <c r="U385"/>
      <c r="V385"/>
      <c r="W385"/>
      <c r="X385"/>
    </row>
    <row r="386" spans="12:24" x14ac:dyDescent="0.25">
      <c r="L386"/>
      <c r="M386"/>
      <c r="N386"/>
      <c r="O386"/>
      <c r="P386"/>
      <c r="Q386"/>
      <c r="S386"/>
      <c r="T386"/>
      <c r="U386"/>
      <c r="V386"/>
      <c r="W386"/>
      <c r="X386"/>
    </row>
    <row r="387" spans="12:24" x14ac:dyDescent="0.25">
      <c r="L387"/>
      <c r="M387"/>
      <c r="N387"/>
      <c r="O387"/>
      <c r="P387"/>
      <c r="Q387"/>
      <c r="S387"/>
      <c r="T387"/>
      <c r="U387"/>
      <c r="V387"/>
      <c r="W387"/>
      <c r="X387"/>
    </row>
    <row r="388" spans="12:24" x14ac:dyDescent="0.25">
      <c r="L388"/>
      <c r="M388"/>
      <c r="N388"/>
      <c r="O388"/>
      <c r="P388"/>
      <c r="Q388"/>
      <c r="S388"/>
      <c r="T388"/>
      <c r="U388"/>
      <c r="V388"/>
      <c r="W388"/>
      <c r="X388"/>
    </row>
    <row r="389" spans="12:24" x14ac:dyDescent="0.25">
      <c r="L389"/>
      <c r="M389"/>
      <c r="N389"/>
      <c r="O389"/>
      <c r="P389"/>
      <c r="Q389"/>
      <c r="S389"/>
      <c r="T389"/>
      <c r="U389"/>
      <c r="V389"/>
      <c r="W389"/>
      <c r="X389"/>
    </row>
    <row r="390" spans="12:24" x14ac:dyDescent="0.25">
      <c r="L390"/>
      <c r="M390"/>
      <c r="N390"/>
      <c r="O390"/>
      <c r="P390"/>
      <c r="Q390"/>
      <c r="S390"/>
      <c r="T390"/>
      <c r="U390"/>
      <c r="V390"/>
      <c r="W390"/>
      <c r="X390"/>
    </row>
    <row r="391" spans="12:24" x14ac:dyDescent="0.25">
      <c r="L391"/>
      <c r="M391"/>
      <c r="N391"/>
      <c r="O391"/>
      <c r="P391"/>
      <c r="Q391"/>
      <c r="S391"/>
      <c r="T391"/>
      <c r="U391"/>
      <c r="V391"/>
      <c r="W391"/>
      <c r="X391"/>
    </row>
    <row r="392" spans="12:24" x14ac:dyDescent="0.25">
      <c r="L392"/>
      <c r="M392"/>
      <c r="N392"/>
      <c r="O392"/>
      <c r="P392"/>
      <c r="Q392"/>
      <c r="S392"/>
      <c r="T392"/>
      <c r="U392"/>
      <c r="V392"/>
      <c r="W392"/>
      <c r="X392"/>
    </row>
    <row r="393" spans="12:24" x14ac:dyDescent="0.25">
      <c r="L393"/>
      <c r="M393"/>
      <c r="N393"/>
      <c r="O393"/>
      <c r="P393"/>
      <c r="Q393"/>
      <c r="S393"/>
      <c r="T393"/>
      <c r="U393"/>
      <c r="V393"/>
      <c r="W393"/>
      <c r="X393"/>
    </row>
    <row r="394" spans="12:24" x14ac:dyDescent="0.25">
      <c r="L394"/>
      <c r="M394"/>
      <c r="N394"/>
      <c r="O394"/>
      <c r="P394"/>
      <c r="Q394"/>
      <c r="S394"/>
      <c r="T394"/>
      <c r="U394"/>
      <c r="V394"/>
      <c r="W394"/>
      <c r="X394"/>
    </row>
    <row r="395" spans="12:24" x14ac:dyDescent="0.25">
      <c r="L395"/>
      <c r="M395"/>
      <c r="N395"/>
      <c r="O395"/>
      <c r="P395"/>
      <c r="Q395"/>
      <c r="S395"/>
      <c r="T395"/>
      <c r="U395"/>
      <c r="V395"/>
      <c r="W395"/>
      <c r="X395"/>
    </row>
    <row r="396" spans="12:24" x14ac:dyDescent="0.25">
      <c r="L396"/>
      <c r="M396"/>
      <c r="N396"/>
      <c r="O396"/>
      <c r="P396"/>
      <c r="Q396"/>
      <c r="S396"/>
      <c r="T396"/>
      <c r="U396"/>
      <c r="V396"/>
      <c r="W396"/>
      <c r="X396"/>
    </row>
    <row r="397" spans="12:24" x14ac:dyDescent="0.25">
      <c r="L397"/>
      <c r="M397"/>
      <c r="N397"/>
      <c r="O397"/>
      <c r="P397"/>
      <c r="Q397"/>
      <c r="S397"/>
      <c r="T397"/>
      <c r="U397"/>
      <c r="V397"/>
      <c r="W397"/>
      <c r="X397"/>
    </row>
    <row r="398" spans="12:24" x14ac:dyDescent="0.25">
      <c r="L398"/>
      <c r="M398"/>
      <c r="N398"/>
      <c r="O398"/>
      <c r="P398"/>
      <c r="Q398"/>
      <c r="S398"/>
      <c r="T398"/>
      <c r="U398"/>
      <c r="V398"/>
      <c r="W398"/>
      <c r="X398"/>
    </row>
    <row r="399" spans="12:24" x14ac:dyDescent="0.25">
      <c r="L399"/>
      <c r="M399"/>
      <c r="N399"/>
      <c r="O399"/>
      <c r="P399"/>
      <c r="Q399"/>
      <c r="S399"/>
      <c r="T399"/>
      <c r="U399"/>
      <c r="V399"/>
      <c r="W399"/>
      <c r="X399"/>
    </row>
    <row r="400" spans="12:24" x14ac:dyDescent="0.25">
      <c r="L400"/>
      <c r="M400"/>
      <c r="N400"/>
      <c r="O400"/>
      <c r="P400"/>
      <c r="Q400"/>
      <c r="S400"/>
      <c r="T400"/>
      <c r="U400"/>
      <c r="V400"/>
      <c r="W400"/>
      <c r="X400"/>
    </row>
    <row r="401" spans="12:24" x14ac:dyDescent="0.25">
      <c r="L401"/>
      <c r="M401"/>
      <c r="N401"/>
      <c r="O401"/>
      <c r="P401"/>
      <c r="Q401"/>
      <c r="S401"/>
      <c r="T401"/>
      <c r="U401"/>
      <c r="V401"/>
      <c r="W401"/>
      <c r="X401"/>
    </row>
    <row r="402" spans="12:24" x14ac:dyDescent="0.25">
      <c r="L402"/>
      <c r="M402"/>
      <c r="N402"/>
      <c r="O402"/>
      <c r="P402"/>
      <c r="Q402"/>
      <c r="S402"/>
      <c r="T402"/>
      <c r="U402"/>
      <c r="V402"/>
      <c r="W402"/>
      <c r="X402"/>
    </row>
    <row r="403" spans="12:24" x14ac:dyDescent="0.25">
      <c r="L403"/>
      <c r="M403"/>
      <c r="N403"/>
      <c r="O403"/>
      <c r="P403"/>
      <c r="Q403"/>
      <c r="S403"/>
      <c r="T403"/>
      <c r="U403"/>
      <c r="V403"/>
      <c r="W403"/>
      <c r="X403"/>
    </row>
    <row r="404" spans="12:24" x14ac:dyDescent="0.25">
      <c r="L404"/>
      <c r="M404"/>
      <c r="N404"/>
      <c r="O404"/>
      <c r="P404"/>
      <c r="Q404"/>
      <c r="S404"/>
      <c r="T404"/>
      <c r="U404"/>
      <c r="V404"/>
      <c r="W404"/>
      <c r="X404"/>
    </row>
    <row r="405" spans="12:24" x14ac:dyDescent="0.25">
      <c r="L405"/>
      <c r="M405"/>
      <c r="N405"/>
      <c r="O405"/>
      <c r="P405"/>
      <c r="Q405"/>
      <c r="S405"/>
      <c r="T405"/>
      <c r="U405"/>
      <c r="V405"/>
      <c r="W405"/>
      <c r="X405"/>
    </row>
    <row r="406" spans="12:24" x14ac:dyDescent="0.25">
      <c r="L406"/>
      <c r="M406"/>
      <c r="N406"/>
      <c r="O406"/>
      <c r="P406"/>
      <c r="Q406"/>
      <c r="S406"/>
      <c r="T406"/>
      <c r="U406"/>
      <c r="V406"/>
      <c r="W406"/>
      <c r="X406"/>
    </row>
    <row r="407" spans="12:24" x14ac:dyDescent="0.25">
      <c r="L407"/>
      <c r="M407"/>
      <c r="N407"/>
      <c r="O407"/>
      <c r="P407"/>
      <c r="Q407"/>
      <c r="S407"/>
      <c r="T407"/>
      <c r="U407"/>
      <c r="V407"/>
      <c r="W407"/>
      <c r="X407"/>
    </row>
    <row r="408" spans="12:24" x14ac:dyDescent="0.25">
      <c r="L408"/>
      <c r="M408"/>
      <c r="N408"/>
      <c r="O408"/>
      <c r="P408"/>
      <c r="Q408"/>
      <c r="S408"/>
      <c r="T408"/>
      <c r="U408"/>
      <c r="V408"/>
      <c r="W408"/>
      <c r="X408"/>
    </row>
    <row r="409" spans="12:24" x14ac:dyDescent="0.25">
      <c r="L409"/>
      <c r="M409"/>
      <c r="N409"/>
      <c r="O409"/>
      <c r="P409"/>
      <c r="Q409"/>
      <c r="S409"/>
      <c r="T409"/>
      <c r="U409"/>
      <c r="V409"/>
      <c r="W409"/>
      <c r="X409"/>
    </row>
    <row r="410" spans="12:24" x14ac:dyDescent="0.25">
      <c r="L410"/>
      <c r="M410"/>
      <c r="N410"/>
      <c r="O410"/>
      <c r="P410"/>
      <c r="Q410"/>
      <c r="S410"/>
      <c r="T410"/>
      <c r="U410"/>
      <c r="V410"/>
      <c r="W410"/>
      <c r="X410"/>
    </row>
    <row r="411" spans="12:24" x14ac:dyDescent="0.25">
      <c r="L411"/>
      <c r="M411"/>
      <c r="N411"/>
      <c r="O411"/>
      <c r="P411"/>
      <c r="Q411"/>
      <c r="S411"/>
      <c r="T411"/>
      <c r="U411"/>
      <c r="V411"/>
      <c r="W411"/>
      <c r="X411"/>
    </row>
    <row r="412" spans="12:24" x14ac:dyDescent="0.25">
      <c r="L412"/>
      <c r="M412"/>
      <c r="N412"/>
      <c r="O412"/>
      <c r="P412"/>
      <c r="Q412"/>
      <c r="S412"/>
      <c r="T412"/>
      <c r="U412"/>
      <c r="V412"/>
      <c r="W412"/>
      <c r="X412"/>
    </row>
    <row r="413" spans="12:24" x14ac:dyDescent="0.25">
      <c r="L413"/>
      <c r="M413"/>
      <c r="N413"/>
      <c r="O413"/>
      <c r="P413"/>
      <c r="Q413"/>
      <c r="S413"/>
      <c r="T413"/>
      <c r="U413"/>
      <c r="V413"/>
      <c r="W413"/>
      <c r="X413"/>
    </row>
    <row r="414" spans="12:24" x14ac:dyDescent="0.25">
      <c r="L414"/>
      <c r="M414"/>
      <c r="N414"/>
      <c r="O414"/>
      <c r="P414"/>
      <c r="Q414"/>
      <c r="S414"/>
      <c r="T414"/>
      <c r="U414"/>
      <c r="V414"/>
      <c r="W414"/>
      <c r="X414"/>
    </row>
    <row r="415" spans="12:24" x14ac:dyDescent="0.25">
      <c r="L415"/>
      <c r="M415"/>
      <c r="N415"/>
      <c r="O415"/>
      <c r="P415"/>
      <c r="Q415"/>
      <c r="S415"/>
      <c r="T415"/>
      <c r="U415"/>
      <c r="V415"/>
      <c r="W415"/>
      <c r="X415"/>
    </row>
    <row r="416" spans="12:24" x14ac:dyDescent="0.25">
      <c r="L416"/>
      <c r="M416"/>
      <c r="N416"/>
      <c r="O416"/>
      <c r="P416"/>
      <c r="Q416"/>
      <c r="S416"/>
      <c r="T416"/>
      <c r="U416"/>
      <c r="V416"/>
      <c r="W416"/>
      <c r="X416"/>
    </row>
    <row r="417" spans="12:24" x14ac:dyDescent="0.25">
      <c r="L417"/>
      <c r="M417"/>
      <c r="N417"/>
      <c r="O417"/>
      <c r="P417"/>
      <c r="Q417"/>
      <c r="S417"/>
      <c r="T417"/>
      <c r="U417"/>
      <c r="V417"/>
      <c r="W417"/>
      <c r="X417"/>
    </row>
    <row r="418" spans="12:24" x14ac:dyDescent="0.25">
      <c r="L418"/>
      <c r="M418"/>
      <c r="N418"/>
      <c r="O418"/>
      <c r="P418"/>
      <c r="Q418"/>
      <c r="S418"/>
      <c r="T418"/>
      <c r="U418"/>
      <c r="V418"/>
      <c r="W418"/>
      <c r="X418"/>
    </row>
    <row r="419" spans="12:24" x14ac:dyDescent="0.25">
      <c r="L419"/>
      <c r="M419"/>
      <c r="N419"/>
      <c r="O419"/>
      <c r="P419"/>
      <c r="Q419"/>
      <c r="S419"/>
      <c r="T419"/>
      <c r="U419"/>
      <c r="V419"/>
      <c r="W419"/>
      <c r="X419"/>
    </row>
    <row r="420" spans="12:24" x14ac:dyDescent="0.25">
      <c r="L420"/>
      <c r="M420"/>
      <c r="N420"/>
      <c r="O420"/>
      <c r="P420"/>
      <c r="Q420"/>
      <c r="S420"/>
      <c r="T420"/>
      <c r="U420"/>
      <c r="V420"/>
      <c r="W420"/>
      <c r="X420"/>
    </row>
    <row r="421" spans="12:24" x14ac:dyDescent="0.25">
      <c r="L421"/>
      <c r="M421"/>
      <c r="N421"/>
      <c r="O421"/>
      <c r="P421"/>
      <c r="Q421"/>
      <c r="S421"/>
      <c r="T421"/>
      <c r="U421"/>
      <c r="V421"/>
      <c r="W421"/>
      <c r="X421"/>
    </row>
    <row r="422" spans="12:24" x14ac:dyDescent="0.25">
      <c r="L422"/>
      <c r="M422"/>
      <c r="N422"/>
      <c r="O422"/>
      <c r="P422"/>
      <c r="Q422"/>
      <c r="S422"/>
      <c r="T422"/>
      <c r="U422"/>
      <c r="V422"/>
      <c r="W422"/>
      <c r="X422"/>
    </row>
    <row r="423" spans="12:24" x14ac:dyDescent="0.25">
      <c r="L423"/>
      <c r="M423"/>
      <c r="N423"/>
      <c r="O423"/>
      <c r="P423"/>
      <c r="Q423"/>
      <c r="S423"/>
      <c r="T423"/>
      <c r="U423"/>
      <c r="V423"/>
      <c r="W423"/>
      <c r="X423"/>
    </row>
    <row r="424" spans="12:24" x14ac:dyDescent="0.25">
      <c r="L424"/>
      <c r="M424"/>
      <c r="N424"/>
      <c r="O424"/>
      <c r="P424"/>
      <c r="Q424"/>
      <c r="S424"/>
      <c r="T424"/>
      <c r="U424"/>
      <c r="V424"/>
      <c r="W424"/>
      <c r="X424"/>
    </row>
    <row r="425" spans="12:24" x14ac:dyDescent="0.25">
      <c r="L425"/>
      <c r="M425"/>
      <c r="N425"/>
      <c r="O425"/>
      <c r="P425"/>
      <c r="Q425"/>
      <c r="S425"/>
      <c r="T425"/>
      <c r="U425"/>
      <c r="V425"/>
      <c r="W425"/>
      <c r="X425"/>
    </row>
    <row r="426" spans="12:24" x14ac:dyDescent="0.25">
      <c r="L426"/>
      <c r="M426"/>
      <c r="N426"/>
      <c r="O426"/>
      <c r="P426"/>
      <c r="Q426"/>
      <c r="S426"/>
      <c r="T426"/>
      <c r="U426"/>
      <c r="V426"/>
      <c r="W426"/>
      <c r="X426"/>
    </row>
    <row r="427" spans="12:24" x14ac:dyDescent="0.25">
      <c r="L427"/>
      <c r="M427"/>
      <c r="N427"/>
      <c r="O427"/>
      <c r="P427"/>
      <c r="Q427"/>
      <c r="S427"/>
      <c r="T427"/>
      <c r="U427"/>
      <c r="V427"/>
      <c r="W427"/>
      <c r="X427"/>
    </row>
    <row r="428" spans="12:24" x14ac:dyDescent="0.25">
      <c r="L428"/>
      <c r="M428"/>
      <c r="N428"/>
      <c r="O428"/>
      <c r="P428"/>
      <c r="Q428"/>
      <c r="S428"/>
      <c r="T428"/>
      <c r="U428"/>
      <c r="V428"/>
      <c r="W428"/>
      <c r="X428"/>
    </row>
    <row r="429" spans="12:24" x14ac:dyDescent="0.25">
      <c r="L429"/>
      <c r="M429"/>
      <c r="N429"/>
      <c r="O429"/>
      <c r="P429"/>
      <c r="Q429"/>
      <c r="S429"/>
      <c r="T429"/>
      <c r="U429"/>
      <c r="V429"/>
      <c r="W429"/>
      <c r="X429"/>
    </row>
    <row r="430" spans="12:24" x14ac:dyDescent="0.25">
      <c r="L430"/>
      <c r="M430"/>
      <c r="N430"/>
      <c r="O430"/>
      <c r="P430"/>
      <c r="Q430"/>
      <c r="S430"/>
      <c r="T430"/>
      <c r="U430"/>
      <c r="V430"/>
      <c r="W430"/>
      <c r="X430"/>
    </row>
    <row r="431" spans="12:24" x14ac:dyDescent="0.25">
      <c r="L431"/>
      <c r="M431"/>
      <c r="N431"/>
      <c r="O431"/>
      <c r="P431"/>
      <c r="Q431"/>
      <c r="S431"/>
      <c r="T431"/>
      <c r="U431"/>
      <c r="V431"/>
      <c r="W431"/>
      <c r="X431"/>
    </row>
    <row r="432" spans="12:24" x14ac:dyDescent="0.25">
      <c r="L432"/>
      <c r="M432"/>
      <c r="N432"/>
      <c r="O432"/>
      <c r="P432"/>
      <c r="Q432"/>
      <c r="S432"/>
      <c r="T432"/>
      <c r="U432"/>
      <c r="V432"/>
      <c r="W432"/>
      <c r="X432"/>
    </row>
    <row r="433" spans="12:24" x14ac:dyDescent="0.25">
      <c r="L433"/>
      <c r="M433"/>
      <c r="N433"/>
      <c r="O433"/>
      <c r="P433"/>
      <c r="Q433"/>
      <c r="S433"/>
      <c r="T433"/>
      <c r="U433"/>
      <c r="V433"/>
      <c r="W433"/>
      <c r="X433"/>
    </row>
    <row r="434" spans="12:24" x14ac:dyDescent="0.25">
      <c r="L434"/>
      <c r="M434"/>
      <c r="N434"/>
      <c r="O434"/>
      <c r="P434"/>
      <c r="Q434"/>
      <c r="S434"/>
      <c r="T434"/>
      <c r="U434"/>
      <c r="V434"/>
      <c r="W434"/>
      <c r="X434"/>
    </row>
    <row r="435" spans="12:24" x14ac:dyDescent="0.25">
      <c r="L435"/>
      <c r="M435"/>
      <c r="N435"/>
      <c r="O435"/>
      <c r="P435"/>
      <c r="Q435"/>
      <c r="S435"/>
      <c r="T435"/>
      <c r="U435"/>
      <c r="V435"/>
      <c r="W435"/>
      <c r="X435"/>
    </row>
    <row r="436" spans="12:24" x14ac:dyDescent="0.25">
      <c r="L436"/>
      <c r="M436"/>
      <c r="N436"/>
      <c r="O436"/>
      <c r="P436"/>
      <c r="Q436"/>
      <c r="S436"/>
      <c r="T436"/>
      <c r="U436"/>
      <c r="V436"/>
      <c r="W436"/>
      <c r="X436"/>
    </row>
    <row r="437" spans="12:24" x14ac:dyDescent="0.25">
      <c r="L437"/>
      <c r="M437"/>
      <c r="N437"/>
      <c r="O437"/>
      <c r="P437"/>
      <c r="Q437"/>
      <c r="S437"/>
      <c r="T437"/>
      <c r="U437"/>
      <c r="V437"/>
      <c r="W437"/>
      <c r="X437"/>
    </row>
    <row r="438" spans="12:24" x14ac:dyDescent="0.25">
      <c r="L438"/>
      <c r="M438"/>
      <c r="N438"/>
      <c r="O438"/>
      <c r="P438"/>
      <c r="Q438"/>
      <c r="S438"/>
      <c r="T438"/>
      <c r="U438"/>
      <c r="V438"/>
      <c r="W438"/>
      <c r="X438"/>
    </row>
    <row r="439" spans="12:24" x14ac:dyDescent="0.25">
      <c r="L439"/>
      <c r="M439"/>
      <c r="N439"/>
      <c r="O439"/>
      <c r="P439"/>
      <c r="Q439"/>
      <c r="S439"/>
      <c r="T439"/>
      <c r="U439"/>
      <c r="V439"/>
      <c r="W439"/>
      <c r="X439"/>
    </row>
    <row r="440" spans="12:24" x14ac:dyDescent="0.25">
      <c r="L440"/>
      <c r="M440"/>
      <c r="N440"/>
      <c r="O440"/>
      <c r="P440"/>
      <c r="Q440"/>
      <c r="S440"/>
      <c r="T440"/>
      <c r="U440"/>
      <c r="V440"/>
      <c r="W440"/>
      <c r="X440"/>
    </row>
    <row r="441" spans="12:24" x14ac:dyDescent="0.25">
      <c r="L441"/>
      <c r="M441"/>
      <c r="N441"/>
      <c r="O441"/>
      <c r="P441"/>
      <c r="Q441"/>
      <c r="S441"/>
      <c r="T441"/>
      <c r="U441"/>
      <c r="V441"/>
      <c r="W441"/>
      <c r="X441"/>
    </row>
    <row r="442" spans="12:24" x14ac:dyDescent="0.25">
      <c r="L442"/>
      <c r="M442"/>
      <c r="N442"/>
      <c r="O442"/>
      <c r="P442"/>
      <c r="Q442"/>
      <c r="S442"/>
      <c r="T442"/>
      <c r="U442"/>
      <c r="V442"/>
      <c r="W442"/>
      <c r="X442"/>
    </row>
    <row r="443" spans="12:24" x14ac:dyDescent="0.25">
      <c r="L443"/>
      <c r="M443"/>
      <c r="N443"/>
      <c r="O443"/>
      <c r="P443"/>
      <c r="Q443"/>
      <c r="S443"/>
      <c r="T443"/>
      <c r="U443"/>
      <c r="V443"/>
      <c r="W443"/>
      <c r="X443"/>
    </row>
    <row r="444" spans="12:24" x14ac:dyDescent="0.25">
      <c r="L444"/>
      <c r="M444"/>
      <c r="N444"/>
      <c r="O444"/>
      <c r="P444"/>
      <c r="Q444"/>
      <c r="S444"/>
      <c r="T444"/>
      <c r="U444"/>
      <c r="V444"/>
      <c r="W444"/>
      <c r="X444"/>
    </row>
    <row r="445" spans="12:24" x14ac:dyDescent="0.25">
      <c r="L445"/>
      <c r="M445"/>
      <c r="N445"/>
      <c r="O445"/>
      <c r="P445"/>
      <c r="Q445"/>
      <c r="S445"/>
      <c r="T445"/>
      <c r="U445"/>
      <c r="V445"/>
      <c r="W445"/>
      <c r="X445"/>
    </row>
    <row r="446" spans="12:24" x14ac:dyDescent="0.25">
      <c r="L446"/>
      <c r="M446"/>
      <c r="N446"/>
      <c r="O446"/>
      <c r="P446"/>
      <c r="Q446"/>
      <c r="S446"/>
      <c r="T446"/>
      <c r="U446"/>
      <c r="V446"/>
      <c r="W446"/>
      <c r="X446"/>
    </row>
    <row r="447" spans="12:24" x14ac:dyDescent="0.25">
      <c r="L447"/>
      <c r="M447"/>
      <c r="N447"/>
      <c r="O447"/>
      <c r="P447"/>
      <c r="Q447"/>
      <c r="S447"/>
      <c r="T447"/>
      <c r="U447"/>
      <c r="V447"/>
      <c r="W447"/>
      <c r="X447"/>
    </row>
    <row r="448" spans="12:24" x14ac:dyDescent="0.25">
      <c r="L448"/>
      <c r="M448"/>
      <c r="N448"/>
      <c r="O448"/>
      <c r="P448"/>
      <c r="Q448"/>
      <c r="S448"/>
      <c r="T448"/>
      <c r="U448"/>
      <c r="V448"/>
      <c r="W448"/>
      <c r="X448"/>
    </row>
    <row r="449" spans="12:24" x14ac:dyDescent="0.25">
      <c r="L449"/>
      <c r="M449"/>
      <c r="N449"/>
      <c r="O449"/>
      <c r="P449"/>
      <c r="Q449"/>
      <c r="S449"/>
      <c r="T449"/>
      <c r="U449"/>
      <c r="V449"/>
      <c r="W449"/>
      <c r="X449"/>
    </row>
    <row r="450" spans="12:24" x14ac:dyDescent="0.25">
      <c r="L450"/>
      <c r="M450"/>
      <c r="N450"/>
      <c r="O450"/>
      <c r="P450"/>
      <c r="Q450"/>
      <c r="S450"/>
      <c r="T450"/>
      <c r="U450"/>
      <c r="V450"/>
      <c r="W450"/>
      <c r="X450"/>
    </row>
    <row r="451" spans="12:24" x14ac:dyDescent="0.25">
      <c r="L451"/>
      <c r="M451"/>
      <c r="N451"/>
      <c r="O451"/>
      <c r="P451"/>
      <c r="Q451"/>
      <c r="S451"/>
      <c r="T451"/>
      <c r="U451"/>
      <c r="V451"/>
      <c r="W451"/>
      <c r="X451"/>
    </row>
    <row r="452" spans="12:24" x14ac:dyDescent="0.25">
      <c r="L452"/>
      <c r="M452"/>
      <c r="N452"/>
      <c r="O452"/>
      <c r="P452"/>
      <c r="Q452"/>
      <c r="S452"/>
      <c r="T452"/>
      <c r="U452"/>
      <c r="V452"/>
      <c r="W452"/>
      <c r="X452"/>
    </row>
    <row r="453" spans="12:24" x14ac:dyDescent="0.25">
      <c r="L453"/>
      <c r="M453"/>
      <c r="N453"/>
      <c r="O453"/>
      <c r="P453"/>
      <c r="Q453"/>
      <c r="S453"/>
      <c r="T453"/>
      <c r="U453"/>
      <c r="V453"/>
      <c r="W453"/>
      <c r="X453"/>
    </row>
    <row r="454" spans="12:24" x14ac:dyDescent="0.25">
      <c r="L454"/>
      <c r="M454"/>
      <c r="N454"/>
      <c r="O454"/>
      <c r="P454"/>
      <c r="Q454"/>
      <c r="S454"/>
      <c r="T454"/>
      <c r="U454"/>
      <c r="V454"/>
      <c r="W454"/>
      <c r="X454"/>
    </row>
    <row r="455" spans="12:24" x14ac:dyDescent="0.25">
      <c r="L455"/>
      <c r="M455"/>
      <c r="N455"/>
      <c r="O455"/>
      <c r="P455"/>
      <c r="Q455"/>
      <c r="S455"/>
      <c r="T455"/>
      <c r="U455"/>
      <c r="V455"/>
      <c r="W455"/>
      <c r="X455"/>
    </row>
    <row r="456" spans="12:24" x14ac:dyDescent="0.25">
      <c r="L456"/>
      <c r="M456"/>
      <c r="N456"/>
      <c r="O456"/>
      <c r="P456"/>
      <c r="Q456"/>
      <c r="S456"/>
      <c r="T456"/>
      <c r="U456"/>
      <c r="V456"/>
      <c r="W456"/>
      <c r="X456"/>
    </row>
    <row r="457" spans="12:24" x14ac:dyDescent="0.25">
      <c r="L457"/>
      <c r="M457"/>
      <c r="N457"/>
      <c r="O457"/>
      <c r="P457"/>
      <c r="Q457"/>
      <c r="S457"/>
      <c r="T457"/>
      <c r="U457"/>
      <c r="V457"/>
      <c r="W457"/>
      <c r="X457"/>
    </row>
    <row r="458" spans="12:24" x14ac:dyDescent="0.25">
      <c r="L458"/>
      <c r="M458"/>
      <c r="N458"/>
      <c r="O458"/>
      <c r="P458"/>
      <c r="Q458"/>
      <c r="S458"/>
      <c r="T458"/>
      <c r="U458"/>
      <c r="V458"/>
      <c r="W458"/>
      <c r="X458"/>
    </row>
    <row r="459" spans="12:24" x14ac:dyDescent="0.25">
      <c r="L459"/>
      <c r="M459"/>
      <c r="N459"/>
      <c r="O459"/>
      <c r="P459"/>
      <c r="Q459"/>
      <c r="S459"/>
      <c r="T459"/>
      <c r="U459"/>
      <c r="V459"/>
      <c r="W459"/>
      <c r="X459"/>
    </row>
    <row r="460" spans="12:24" x14ac:dyDescent="0.25">
      <c r="L460"/>
      <c r="M460"/>
      <c r="N460"/>
      <c r="O460"/>
      <c r="P460"/>
      <c r="Q460"/>
      <c r="S460"/>
      <c r="T460"/>
      <c r="U460"/>
      <c r="V460"/>
      <c r="W460"/>
      <c r="X460"/>
    </row>
    <row r="461" spans="12:24" x14ac:dyDescent="0.25">
      <c r="L461"/>
      <c r="M461"/>
      <c r="N461"/>
      <c r="O461"/>
      <c r="P461"/>
      <c r="Q461"/>
      <c r="S461"/>
      <c r="T461"/>
      <c r="U461"/>
      <c r="V461"/>
      <c r="W461"/>
      <c r="X461"/>
    </row>
    <row r="462" spans="12:24" x14ac:dyDescent="0.25">
      <c r="L462"/>
      <c r="M462"/>
      <c r="N462"/>
      <c r="O462"/>
      <c r="P462"/>
      <c r="Q462"/>
      <c r="S462"/>
      <c r="T462"/>
      <c r="U462"/>
      <c r="V462"/>
      <c r="W462"/>
      <c r="X462"/>
    </row>
    <row r="463" spans="12:24" x14ac:dyDescent="0.25">
      <c r="L463"/>
      <c r="M463"/>
      <c r="N463"/>
      <c r="O463"/>
      <c r="P463"/>
      <c r="Q463"/>
      <c r="S463"/>
      <c r="T463"/>
      <c r="U463"/>
      <c r="V463"/>
      <c r="W463"/>
      <c r="X463"/>
    </row>
    <row r="464" spans="12:24" x14ac:dyDescent="0.25">
      <c r="L464"/>
      <c r="M464"/>
      <c r="N464"/>
      <c r="O464"/>
      <c r="P464"/>
      <c r="Q464"/>
      <c r="S464"/>
      <c r="T464"/>
      <c r="U464"/>
      <c r="V464"/>
      <c r="W464"/>
      <c r="X464"/>
    </row>
    <row r="465" spans="12:24" x14ac:dyDescent="0.25">
      <c r="L465"/>
      <c r="M465"/>
      <c r="N465"/>
      <c r="O465"/>
      <c r="P465"/>
      <c r="Q465"/>
      <c r="S465"/>
      <c r="T465"/>
      <c r="U465"/>
      <c r="V465"/>
      <c r="W465"/>
      <c r="X465"/>
    </row>
    <row r="466" spans="12:24" x14ac:dyDescent="0.25">
      <c r="L466"/>
      <c r="M466"/>
      <c r="N466"/>
      <c r="O466"/>
      <c r="P466"/>
      <c r="Q466"/>
      <c r="S466"/>
      <c r="T466"/>
      <c r="U466"/>
      <c r="V466"/>
      <c r="W466"/>
      <c r="X466"/>
    </row>
    <row r="467" spans="12:24" x14ac:dyDescent="0.25">
      <c r="L467"/>
      <c r="M467"/>
      <c r="N467"/>
      <c r="O467"/>
      <c r="P467"/>
      <c r="Q467"/>
      <c r="S467"/>
      <c r="T467"/>
      <c r="U467"/>
      <c r="V467"/>
      <c r="W467"/>
      <c r="X467"/>
    </row>
    <row r="468" spans="12:24" x14ac:dyDescent="0.25">
      <c r="L468"/>
      <c r="M468"/>
      <c r="N468"/>
      <c r="O468"/>
      <c r="P468"/>
      <c r="Q468"/>
      <c r="S468"/>
      <c r="T468"/>
      <c r="U468"/>
      <c r="V468"/>
      <c r="W468"/>
      <c r="X468"/>
    </row>
    <row r="469" spans="12:24" x14ac:dyDescent="0.25">
      <c r="L469"/>
      <c r="M469"/>
      <c r="N469"/>
      <c r="O469"/>
      <c r="P469"/>
      <c r="Q469"/>
      <c r="S469"/>
      <c r="T469"/>
      <c r="U469"/>
      <c r="V469"/>
      <c r="W469"/>
      <c r="X469"/>
    </row>
    <row r="470" spans="12:24" x14ac:dyDescent="0.25">
      <c r="L470"/>
      <c r="M470"/>
      <c r="N470"/>
      <c r="O470"/>
      <c r="P470"/>
      <c r="Q470"/>
      <c r="S470"/>
      <c r="T470"/>
      <c r="U470"/>
      <c r="V470"/>
      <c r="W470"/>
      <c r="X470"/>
    </row>
    <row r="471" spans="12:24" x14ac:dyDescent="0.25">
      <c r="L471"/>
      <c r="M471"/>
      <c r="N471"/>
      <c r="O471"/>
      <c r="P471"/>
      <c r="Q471"/>
      <c r="S471"/>
      <c r="T471"/>
      <c r="U471"/>
      <c r="V471"/>
      <c r="W471"/>
      <c r="X471"/>
    </row>
    <row r="472" spans="12:24" x14ac:dyDescent="0.25">
      <c r="L472"/>
      <c r="M472"/>
      <c r="N472"/>
      <c r="O472"/>
      <c r="P472"/>
      <c r="Q472"/>
      <c r="S472"/>
      <c r="T472"/>
      <c r="U472"/>
      <c r="V472"/>
      <c r="W472"/>
      <c r="X472"/>
    </row>
    <row r="473" spans="12:24" x14ac:dyDescent="0.25">
      <c r="L473"/>
      <c r="M473"/>
      <c r="N473"/>
      <c r="O473"/>
      <c r="P473"/>
      <c r="Q473"/>
      <c r="S473"/>
      <c r="T473"/>
      <c r="U473"/>
      <c r="V473"/>
      <c r="W473"/>
      <c r="X473"/>
    </row>
    <row r="474" spans="12:24" x14ac:dyDescent="0.25">
      <c r="L474"/>
      <c r="M474"/>
      <c r="N474"/>
      <c r="O474"/>
      <c r="P474"/>
      <c r="Q474"/>
      <c r="S474"/>
      <c r="T474"/>
      <c r="U474"/>
      <c r="V474"/>
      <c r="W474"/>
      <c r="X474"/>
    </row>
    <row r="475" spans="12:24" x14ac:dyDescent="0.25">
      <c r="L475"/>
      <c r="M475"/>
      <c r="N475"/>
      <c r="O475"/>
      <c r="P475"/>
      <c r="Q475"/>
      <c r="S475"/>
      <c r="T475"/>
      <c r="U475"/>
      <c r="V475"/>
      <c r="W475"/>
      <c r="X475"/>
    </row>
    <row r="476" spans="12:24" x14ac:dyDescent="0.25">
      <c r="L476"/>
      <c r="M476"/>
      <c r="N476"/>
      <c r="O476"/>
      <c r="P476"/>
      <c r="Q476"/>
      <c r="S476"/>
      <c r="T476"/>
      <c r="U476"/>
      <c r="V476"/>
      <c r="W476"/>
      <c r="X476"/>
    </row>
    <row r="477" spans="12:24" x14ac:dyDescent="0.25">
      <c r="L477"/>
      <c r="M477"/>
      <c r="N477"/>
      <c r="O477"/>
      <c r="P477"/>
      <c r="Q477"/>
      <c r="S477"/>
      <c r="T477"/>
      <c r="U477"/>
      <c r="V477"/>
      <c r="W477"/>
      <c r="X477"/>
    </row>
    <row r="478" spans="12:24" x14ac:dyDescent="0.25">
      <c r="L478"/>
      <c r="M478"/>
      <c r="N478"/>
      <c r="O478"/>
      <c r="P478"/>
      <c r="Q478"/>
      <c r="S478"/>
      <c r="T478"/>
      <c r="U478"/>
      <c r="V478"/>
      <c r="W478"/>
      <c r="X478"/>
    </row>
    <row r="479" spans="12:24" x14ac:dyDescent="0.25">
      <c r="L479"/>
      <c r="M479"/>
      <c r="N479"/>
      <c r="O479"/>
      <c r="P479"/>
      <c r="Q479"/>
      <c r="S479"/>
      <c r="T479"/>
      <c r="U479"/>
      <c r="V479"/>
      <c r="W479"/>
      <c r="X479"/>
    </row>
    <row r="480" spans="12:24" x14ac:dyDescent="0.25">
      <c r="L480"/>
      <c r="M480"/>
      <c r="N480"/>
      <c r="O480"/>
      <c r="P480"/>
      <c r="Q480"/>
      <c r="S480"/>
      <c r="T480"/>
      <c r="U480"/>
      <c r="V480"/>
      <c r="W480"/>
      <c r="X480"/>
    </row>
    <row r="481" spans="12:24" x14ac:dyDescent="0.25">
      <c r="L481"/>
      <c r="M481"/>
      <c r="N481"/>
      <c r="O481"/>
      <c r="P481"/>
      <c r="Q481"/>
      <c r="S481"/>
      <c r="T481"/>
      <c r="U481"/>
      <c r="V481"/>
      <c r="W481"/>
      <c r="X481"/>
    </row>
    <row r="482" spans="12:24" x14ac:dyDescent="0.25">
      <c r="L482"/>
      <c r="M482"/>
      <c r="N482"/>
      <c r="O482"/>
      <c r="P482"/>
      <c r="Q482"/>
      <c r="S482"/>
      <c r="T482"/>
      <c r="U482"/>
      <c r="V482"/>
      <c r="W482"/>
      <c r="X482"/>
    </row>
    <row r="483" spans="12:24" x14ac:dyDescent="0.25">
      <c r="L483"/>
      <c r="M483"/>
      <c r="N483"/>
      <c r="O483"/>
      <c r="P483"/>
      <c r="Q483"/>
      <c r="S483"/>
      <c r="T483"/>
      <c r="U483"/>
      <c r="V483"/>
      <c r="W483"/>
      <c r="X483"/>
    </row>
    <row r="484" spans="12:24" x14ac:dyDescent="0.25">
      <c r="L484"/>
      <c r="M484"/>
      <c r="N484"/>
      <c r="O484"/>
      <c r="P484"/>
      <c r="Q484"/>
      <c r="S484"/>
      <c r="T484"/>
      <c r="U484"/>
      <c r="V484"/>
      <c r="W484"/>
      <c r="X484"/>
    </row>
    <row r="485" spans="12:24" x14ac:dyDescent="0.25">
      <c r="L485"/>
      <c r="M485"/>
      <c r="N485"/>
      <c r="O485"/>
      <c r="P485"/>
      <c r="Q485"/>
      <c r="S485"/>
      <c r="T485"/>
      <c r="U485"/>
      <c r="V485"/>
      <c r="W485"/>
      <c r="X485"/>
    </row>
    <row r="486" spans="12:24" x14ac:dyDescent="0.25">
      <c r="L486"/>
      <c r="M486"/>
      <c r="N486"/>
      <c r="O486"/>
      <c r="P486"/>
      <c r="Q486"/>
      <c r="S486"/>
      <c r="T486"/>
      <c r="U486"/>
      <c r="V486"/>
      <c r="W486"/>
      <c r="X486"/>
    </row>
    <row r="487" spans="12:24" x14ac:dyDescent="0.25">
      <c r="L487"/>
      <c r="M487"/>
      <c r="N487"/>
      <c r="O487"/>
      <c r="P487"/>
      <c r="Q487"/>
      <c r="S487"/>
      <c r="T487"/>
      <c r="U487"/>
      <c r="V487"/>
      <c r="W487"/>
      <c r="X487"/>
    </row>
    <row r="488" spans="12:24" x14ac:dyDescent="0.25">
      <c r="L488"/>
      <c r="M488"/>
      <c r="N488"/>
      <c r="O488"/>
      <c r="P488"/>
      <c r="Q488"/>
      <c r="S488"/>
      <c r="T488"/>
      <c r="U488"/>
      <c r="V488"/>
      <c r="W488"/>
      <c r="X488"/>
    </row>
    <row r="489" spans="12:24" x14ac:dyDescent="0.25">
      <c r="L489"/>
      <c r="M489"/>
      <c r="N489"/>
      <c r="O489"/>
      <c r="P489"/>
      <c r="Q489"/>
      <c r="S489"/>
      <c r="T489"/>
      <c r="U489"/>
      <c r="V489"/>
      <c r="W489"/>
      <c r="X489"/>
    </row>
    <row r="490" spans="12:24" x14ac:dyDescent="0.25">
      <c r="L490"/>
      <c r="M490"/>
      <c r="N490"/>
      <c r="O490"/>
      <c r="P490"/>
      <c r="Q490"/>
      <c r="S490"/>
      <c r="T490"/>
      <c r="U490"/>
      <c r="V490"/>
      <c r="W490"/>
      <c r="X490"/>
    </row>
    <row r="491" spans="12:24" x14ac:dyDescent="0.25">
      <c r="L491"/>
      <c r="M491"/>
      <c r="N491"/>
      <c r="O491"/>
      <c r="P491"/>
      <c r="Q491"/>
      <c r="S491"/>
      <c r="T491"/>
      <c r="U491"/>
      <c r="V491"/>
      <c r="W491"/>
      <c r="X491"/>
    </row>
    <row r="492" spans="12:24" x14ac:dyDescent="0.25">
      <c r="L492"/>
      <c r="M492"/>
      <c r="N492"/>
      <c r="O492"/>
      <c r="P492"/>
      <c r="Q492"/>
      <c r="S492"/>
      <c r="T492"/>
      <c r="U492"/>
      <c r="V492"/>
      <c r="W492"/>
      <c r="X492"/>
    </row>
    <row r="493" spans="12:24" x14ac:dyDescent="0.25">
      <c r="L493"/>
      <c r="M493"/>
      <c r="N493"/>
      <c r="O493"/>
      <c r="P493"/>
      <c r="Q493"/>
      <c r="S493"/>
      <c r="T493"/>
      <c r="U493"/>
      <c r="V493"/>
      <c r="W493"/>
      <c r="X493"/>
    </row>
    <row r="494" spans="12:24" x14ac:dyDescent="0.25">
      <c r="L494"/>
      <c r="M494"/>
      <c r="N494"/>
      <c r="O494"/>
      <c r="P494"/>
      <c r="Q494"/>
      <c r="S494"/>
      <c r="T494"/>
      <c r="U494"/>
      <c r="V494"/>
      <c r="W494"/>
      <c r="X494"/>
    </row>
    <row r="495" spans="12:24" x14ac:dyDescent="0.25">
      <c r="L495"/>
      <c r="M495"/>
      <c r="N495"/>
      <c r="O495"/>
      <c r="P495"/>
      <c r="Q495"/>
      <c r="S495"/>
      <c r="T495"/>
      <c r="U495"/>
      <c r="V495"/>
      <c r="W495"/>
      <c r="X495"/>
    </row>
    <row r="496" spans="12:24" x14ac:dyDescent="0.25">
      <c r="L496"/>
      <c r="M496"/>
      <c r="N496"/>
      <c r="O496"/>
      <c r="P496"/>
      <c r="Q496"/>
      <c r="S496"/>
      <c r="T496"/>
      <c r="U496"/>
      <c r="V496"/>
      <c r="W496"/>
      <c r="X496"/>
    </row>
    <row r="497" spans="12:24" x14ac:dyDescent="0.25">
      <c r="L497"/>
      <c r="M497"/>
      <c r="N497"/>
      <c r="O497"/>
      <c r="P497"/>
      <c r="Q497"/>
      <c r="S497"/>
      <c r="T497"/>
      <c r="U497"/>
      <c r="V497"/>
      <c r="W497"/>
      <c r="X497"/>
    </row>
    <row r="498" spans="12:24" x14ac:dyDescent="0.25">
      <c r="L498"/>
      <c r="M498"/>
      <c r="N498"/>
      <c r="O498"/>
      <c r="P498"/>
      <c r="Q498"/>
      <c r="S498"/>
      <c r="T498"/>
      <c r="U498"/>
      <c r="V498"/>
      <c r="W498"/>
      <c r="X498"/>
    </row>
    <row r="499" spans="12:24" x14ac:dyDescent="0.25">
      <c r="L499"/>
      <c r="M499"/>
      <c r="N499"/>
      <c r="O499"/>
      <c r="P499"/>
      <c r="Q499"/>
      <c r="S499"/>
      <c r="T499"/>
      <c r="U499"/>
      <c r="V499"/>
      <c r="W499"/>
      <c r="X499"/>
    </row>
    <row r="500" spans="12:24" x14ac:dyDescent="0.25">
      <c r="L500"/>
      <c r="M500"/>
      <c r="N500"/>
      <c r="O500"/>
      <c r="P500"/>
      <c r="Q500"/>
      <c r="S500"/>
      <c r="T500"/>
      <c r="U500"/>
      <c r="V500"/>
      <c r="W500"/>
      <c r="X500"/>
    </row>
    <row r="501" spans="12:24" x14ac:dyDescent="0.25">
      <c r="L501"/>
      <c r="M501"/>
      <c r="N501"/>
      <c r="O501"/>
      <c r="P501"/>
      <c r="Q501"/>
      <c r="S501"/>
      <c r="T501"/>
      <c r="U501"/>
      <c r="V501"/>
      <c r="W501"/>
      <c r="X501"/>
    </row>
    <row r="502" spans="12:24" x14ac:dyDescent="0.25">
      <c r="L502"/>
      <c r="M502"/>
      <c r="N502"/>
      <c r="O502"/>
      <c r="P502"/>
      <c r="Q502"/>
      <c r="S502"/>
      <c r="T502"/>
      <c r="U502"/>
      <c r="V502"/>
      <c r="W502"/>
      <c r="X502"/>
    </row>
    <row r="503" spans="12:24" x14ac:dyDescent="0.25">
      <c r="L503"/>
      <c r="M503"/>
      <c r="N503"/>
      <c r="O503"/>
      <c r="P503"/>
      <c r="Q503"/>
      <c r="S503"/>
      <c r="T503"/>
      <c r="U503"/>
      <c r="V503"/>
      <c r="W503"/>
      <c r="X503"/>
    </row>
    <row r="504" spans="12:24" x14ac:dyDescent="0.25">
      <c r="L504"/>
      <c r="M504"/>
      <c r="N504"/>
      <c r="O504"/>
      <c r="P504"/>
      <c r="Q504"/>
      <c r="S504"/>
      <c r="T504"/>
      <c r="U504"/>
      <c r="V504"/>
      <c r="W504"/>
      <c r="X504"/>
    </row>
    <row r="505" spans="12:24" x14ac:dyDescent="0.25">
      <c r="L505"/>
      <c r="M505"/>
      <c r="N505"/>
      <c r="O505"/>
      <c r="P505"/>
      <c r="Q505"/>
      <c r="S505"/>
      <c r="T505"/>
      <c r="U505"/>
      <c r="V505"/>
      <c r="W505"/>
      <c r="X505"/>
    </row>
    <row r="506" spans="12:24" x14ac:dyDescent="0.25">
      <c r="L506"/>
      <c r="M506"/>
      <c r="N506"/>
      <c r="O506"/>
      <c r="P506"/>
      <c r="Q506"/>
      <c r="S506"/>
      <c r="T506"/>
      <c r="U506"/>
      <c r="V506"/>
      <c r="W506"/>
      <c r="X506"/>
    </row>
    <row r="507" spans="12:24" x14ac:dyDescent="0.25">
      <c r="L507"/>
      <c r="M507"/>
      <c r="N507"/>
      <c r="O507"/>
      <c r="P507"/>
      <c r="Q507"/>
      <c r="S507"/>
      <c r="T507"/>
      <c r="U507"/>
      <c r="V507"/>
      <c r="W507"/>
      <c r="X507"/>
    </row>
    <row r="508" spans="12:24" x14ac:dyDescent="0.25">
      <c r="L508"/>
      <c r="M508"/>
      <c r="N508"/>
      <c r="O508"/>
      <c r="P508"/>
      <c r="Q508"/>
      <c r="S508"/>
      <c r="T508"/>
      <c r="U508"/>
      <c r="V508"/>
      <c r="W508"/>
      <c r="X508"/>
    </row>
    <row r="509" spans="12:24" x14ac:dyDescent="0.25">
      <c r="L509"/>
      <c r="M509"/>
      <c r="N509"/>
      <c r="O509"/>
      <c r="P509"/>
      <c r="Q509"/>
      <c r="S509"/>
      <c r="T509"/>
      <c r="U509"/>
      <c r="V509"/>
      <c r="W509"/>
      <c r="X509"/>
    </row>
    <row r="510" spans="12:24" x14ac:dyDescent="0.25">
      <c r="L510"/>
      <c r="M510"/>
      <c r="N510"/>
      <c r="O510"/>
      <c r="P510"/>
      <c r="Q510"/>
      <c r="S510"/>
      <c r="T510"/>
      <c r="U510"/>
      <c r="V510"/>
      <c r="W510"/>
      <c r="X510"/>
    </row>
    <row r="511" spans="12:24" x14ac:dyDescent="0.25">
      <c r="L511"/>
      <c r="M511"/>
      <c r="N511"/>
      <c r="O511"/>
      <c r="P511"/>
      <c r="Q511"/>
      <c r="S511"/>
      <c r="T511"/>
      <c r="U511"/>
      <c r="V511"/>
      <c r="W511"/>
      <c r="X511"/>
    </row>
    <row r="512" spans="12:24" x14ac:dyDescent="0.25">
      <c r="L512"/>
      <c r="M512"/>
      <c r="N512"/>
      <c r="O512"/>
      <c r="P512"/>
      <c r="Q512"/>
      <c r="S512"/>
      <c r="T512"/>
      <c r="U512"/>
      <c r="V512"/>
      <c r="W512"/>
      <c r="X512"/>
    </row>
    <row r="513" spans="12:24" x14ac:dyDescent="0.25">
      <c r="L513"/>
      <c r="M513"/>
      <c r="N513"/>
      <c r="O513"/>
      <c r="P513"/>
      <c r="Q513"/>
      <c r="S513"/>
      <c r="T513"/>
      <c r="U513"/>
      <c r="V513"/>
      <c r="W513"/>
      <c r="X513"/>
    </row>
    <row r="514" spans="12:24" x14ac:dyDescent="0.25">
      <c r="L514"/>
      <c r="M514"/>
      <c r="N514"/>
      <c r="O514"/>
      <c r="P514"/>
      <c r="Q514"/>
      <c r="S514"/>
      <c r="T514"/>
      <c r="U514"/>
      <c r="V514"/>
      <c r="W514"/>
      <c r="X514"/>
    </row>
    <row r="515" spans="12:24" x14ac:dyDescent="0.25">
      <c r="L515"/>
      <c r="M515"/>
      <c r="N515"/>
      <c r="O515"/>
      <c r="P515"/>
      <c r="Q515"/>
      <c r="S515"/>
      <c r="T515"/>
      <c r="U515"/>
      <c r="V515"/>
      <c r="W515"/>
      <c r="X515"/>
    </row>
    <row r="516" spans="12:24" x14ac:dyDescent="0.25">
      <c r="L516"/>
      <c r="M516"/>
      <c r="N516"/>
      <c r="O516"/>
      <c r="P516"/>
      <c r="Q516"/>
      <c r="S516"/>
      <c r="T516"/>
      <c r="U516"/>
      <c r="V516"/>
      <c r="W516"/>
      <c r="X516"/>
    </row>
    <row r="517" spans="12:24" x14ac:dyDescent="0.25">
      <c r="L517"/>
      <c r="M517"/>
      <c r="N517"/>
      <c r="O517"/>
      <c r="P517"/>
      <c r="Q517"/>
      <c r="S517"/>
      <c r="T517"/>
      <c r="U517"/>
      <c r="V517"/>
      <c r="W517"/>
      <c r="X517"/>
    </row>
    <row r="518" spans="12:24" x14ac:dyDescent="0.25">
      <c r="L518"/>
      <c r="M518"/>
      <c r="N518"/>
      <c r="O518"/>
      <c r="P518"/>
      <c r="Q518"/>
      <c r="S518"/>
      <c r="T518"/>
      <c r="U518"/>
      <c r="V518"/>
      <c r="W518"/>
      <c r="X518"/>
    </row>
    <row r="519" spans="12:24" x14ac:dyDescent="0.25">
      <c r="L519"/>
      <c r="M519"/>
      <c r="N519"/>
      <c r="O519"/>
      <c r="P519"/>
      <c r="Q519"/>
      <c r="S519"/>
      <c r="T519"/>
      <c r="U519"/>
      <c r="V519"/>
      <c r="W519"/>
      <c r="X519"/>
    </row>
    <row r="520" spans="12:24" x14ac:dyDescent="0.25">
      <c r="L520"/>
      <c r="M520"/>
      <c r="N520"/>
      <c r="O520"/>
      <c r="P520"/>
      <c r="Q520"/>
      <c r="S520"/>
      <c r="T520"/>
      <c r="U520"/>
      <c r="V520"/>
      <c r="W520"/>
      <c r="X520"/>
    </row>
    <row r="521" spans="12:24" x14ac:dyDescent="0.25">
      <c r="L521"/>
      <c r="M521"/>
      <c r="N521"/>
      <c r="O521"/>
      <c r="P521"/>
      <c r="Q521"/>
      <c r="S521"/>
      <c r="T521"/>
      <c r="U521"/>
      <c r="V521"/>
      <c r="W521"/>
      <c r="X521"/>
    </row>
    <row r="522" spans="12:24" x14ac:dyDescent="0.25">
      <c r="L522"/>
      <c r="M522"/>
      <c r="N522"/>
      <c r="O522"/>
      <c r="P522"/>
      <c r="Q522"/>
      <c r="S522"/>
      <c r="T522"/>
      <c r="U522"/>
      <c r="V522"/>
      <c r="W522"/>
      <c r="X522"/>
    </row>
    <row r="523" spans="12:24" x14ac:dyDescent="0.25">
      <c r="L523"/>
      <c r="M523"/>
      <c r="N523"/>
      <c r="O523"/>
      <c r="P523"/>
      <c r="Q523"/>
      <c r="S523"/>
      <c r="T523"/>
      <c r="U523"/>
      <c r="V523"/>
      <c r="W523"/>
      <c r="X523"/>
    </row>
    <row r="524" spans="12:24" x14ac:dyDescent="0.25">
      <c r="L524"/>
      <c r="M524"/>
      <c r="N524"/>
      <c r="O524"/>
      <c r="P524"/>
      <c r="Q524"/>
      <c r="S524"/>
      <c r="T524"/>
      <c r="U524"/>
      <c r="V524"/>
      <c r="W524"/>
      <c r="X524"/>
    </row>
    <row r="525" spans="12:24" x14ac:dyDescent="0.25">
      <c r="L525"/>
      <c r="M525"/>
      <c r="N525"/>
      <c r="O525"/>
      <c r="P525"/>
      <c r="Q525"/>
      <c r="S525"/>
      <c r="T525"/>
      <c r="U525"/>
      <c r="V525"/>
      <c r="W525"/>
      <c r="X525"/>
    </row>
    <row r="526" spans="12:24" x14ac:dyDescent="0.25">
      <c r="L526"/>
      <c r="M526"/>
      <c r="N526"/>
      <c r="O526"/>
      <c r="P526"/>
      <c r="Q526"/>
      <c r="S526"/>
      <c r="T526"/>
      <c r="U526"/>
      <c r="V526"/>
      <c r="W526"/>
      <c r="X526"/>
    </row>
    <row r="527" spans="12:24" x14ac:dyDescent="0.25">
      <c r="L527"/>
      <c r="M527"/>
      <c r="N527"/>
      <c r="O527"/>
      <c r="P527"/>
      <c r="Q527"/>
      <c r="S527"/>
      <c r="T527"/>
      <c r="U527"/>
      <c r="V527"/>
      <c r="W527"/>
      <c r="X527"/>
    </row>
    <row r="528" spans="12:24" x14ac:dyDescent="0.25">
      <c r="L528"/>
      <c r="M528"/>
      <c r="N528"/>
      <c r="O528"/>
      <c r="P528"/>
      <c r="Q528"/>
      <c r="S528"/>
      <c r="T528"/>
      <c r="U528"/>
      <c r="V528"/>
      <c r="W528"/>
      <c r="X528"/>
    </row>
    <row r="529" spans="12:24" x14ac:dyDescent="0.25">
      <c r="L529"/>
      <c r="M529"/>
      <c r="N529"/>
      <c r="O529"/>
      <c r="P529"/>
      <c r="Q529"/>
      <c r="S529"/>
      <c r="T529"/>
      <c r="U529"/>
      <c r="V529"/>
      <c r="W529"/>
      <c r="X529"/>
    </row>
    <row r="530" spans="12:24" x14ac:dyDescent="0.25">
      <c r="L530"/>
      <c r="M530"/>
      <c r="N530"/>
      <c r="O530"/>
      <c r="P530"/>
      <c r="Q530"/>
      <c r="S530"/>
      <c r="T530"/>
      <c r="U530"/>
      <c r="V530"/>
      <c r="W530"/>
      <c r="X530"/>
    </row>
    <row r="531" spans="12:24" x14ac:dyDescent="0.25">
      <c r="L531"/>
      <c r="M531"/>
      <c r="N531"/>
      <c r="O531"/>
      <c r="P531"/>
      <c r="Q531"/>
      <c r="S531"/>
      <c r="T531"/>
      <c r="U531"/>
      <c r="V531"/>
      <c r="W531"/>
      <c r="X531"/>
    </row>
    <row r="532" spans="12:24" x14ac:dyDescent="0.25">
      <c r="L532"/>
      <c r="M532"/>
      <c r="N532"/>
      <c r="O532"/>
      <c r="P532"/>
      <c r="Q532"/>
      <c r="S532"/>
      <c r="T532"/>
      <c r="U532"/>
      <c r="V532"/>
      <c r="W532"/>
      <c r="X532"/>
    </row>
    <row r="533" spans="12:24" x14ac:dyDescent="0.25">
      <c r="L533"/>
      <c r="M533"/>
      <c r="N533"/>
      <c r="O533"/>
      <c r="P533"/>
      <c r="Q533"/>
      <c r="S533"/>
      <c r="T533"/>
      <c r="U533"/>
      <c r="V533"/>
      <c r="W533"/>
      <c r="X533"/>
    </row>
    <row r="534" spans="12:24" x14ac:dyDescent="0.25">
      <c r="L534"/>
      <c r="M534"/>
      <c r="N534"/>
      <c r="O534"/>
      <c r="P534"/>
      <c r="Q534"/>
      <c r="S534"/>
      <c r="T534"/>
      <c r="U534"/>
      <c r="V534"/>
      <c r="W534"/>
      <c r="X534"/>
    </row>
    <row r="535" spans="12:24" x14ac:dyDescent="0.25">
      <c r="L535"/>
      <c r="M535"/>
      <c r="N535"/>
      <c r="O535"/>
      <c r="P535"/>
      <c r="Q535"/>
      <c r="S535"/>
      <c r="T535"/>
      <c r="U535"/>
      <c r="V535"/>
      <c r="W535"/>
      <c r="X535"/>
    </row>
    <row r="536" spans="12:24" x14ac:dyDescent="0.25">
      <c r="L536"/>
      <c r="M536"/>
      <c r="N536"/>
      <c r="O536"/>
      <c r="P536"/>
      <c r="Q536"/>
      <c r="S536"/>
      <c r="T536"/>
      <c r="U536"/>
      <c r="V536"/>
      <c r="W536"/>
      <c r="X536"/>
    </row>
    <row r="537" spans="12:24" x14ac:dyDescent="0.25">
      <c r="L537"/>
      <c r="M537"/>
      <c r="N537"/>
      <c r="O537"/>
      <c r="P537"/>
      <c r="Q537"/>
      <c r="S537"/>
      <c r="T537"/>
      <c r="U537"/>
      <c r="V537"/>
      <c r="W537"/>
      <c r="X537"/>
    </row>
    <row r="538" spans="12:24" x14ac:dyDescent="0.25">
      <c r="L538"/>
      <c r="M538"/>
      <c r="N538"/>
      <c r="O538"/>
      <c r="P538"/>
      <c r="Q538"/>
      <c r="S538"/>
      <c r="T538"/>
      <c r="U538"/>
      <c r="V538"/>
      <c r="W538"/>
      <c r="X538"/>
    </row>
    <row r="539" spans="12:24" x14ac:dyDescent="0.25">
      <c r="L539"/>
      <c r="M539"/>
      <c r="N539"/>
      <c r="O539"/>
      <c r="P539"/>
      <c r="Q539"/>
      <c r="S539"/>
      <c r="T539"/>
      <c r="U539"/>
      <c r="V539"/>
      <c r="W539"/>
      <c r="X539"/>
    </row>
    <row r="540" spans="12:24" x14ac:dyDescent="0.25">
      <c r="L540"/>
      <c r="M540"/>
      <c r="N540"/>
      <c r="O540"/>
      <c r="P540"/>
      <c r="Q540"/>
      <c r="S540"/>
      <c r="T540"/>
      <c r="U540"/>
      <c r="V540"/>
      <c r="W540"/>
      <c r="X540"/>
    </row>
    <row r="541" spans="12:24" x14ac:dyDescent="0.25">
      <c r="L541"/>
      <c r="M541"/>
      <c r="N541"/>
      <c r="O541"/>
      <c r="P541"/>
      <c r="Q541"/>
      <c r="S541"/>
      <c r="T541"/>
      <c r="U541"/>
      <c r="V541"/>
      <c r="W541"/>
      <c r="X541"/>
    </row>
    <row r="542" spans="12:24" x14ac:dyDescent="0.25">
      <c r="L542"/>
      <c r="M542"/>
      <c r="N542"/>
      <c r="O542"/>
      <c r="P542"/>
      <c r="Q542"/>
      <c r="S542"/>
      <c r="T542"/>
      <c r="U542"/>
      <c r="V542"/>
      <c r="W542"/>
      <c r="X542"/>
    </row>
    <row r="543" spans="12:24" x14ac:dyDescent="0.25">
      <c r="L543"/>
      <c r="M543"/>
      <c r="N543"/>
      <c r="O543"/>
      <c r="P543"/>
      <c r="Q543"/>
      <c r="S543"/>
      <c r="T543"/>
      <c r="U543"/>
      <c r="V543"/>
      <c r="W543"/>
      <c r="X543"/>
    </row>
    <row r="544" spans="12:24" x14ac:dyDescent="0.25">
      <c r="L544"/>
      <c r="M544"/>
      <c r="N544"/>
      <c r="O544"/>
      <c r="P544"/>
      <c r="Q544"/>
      <c r="S544"/>
      <c r="T544"/>
      <c r="U544"/>
      <c r="V544"/>
      <c r="W544"/>
      <c r="X544"/>
    </row>
    <row r="545" spans="12:24" x14ac:dyDescent="0.25">
      <c r="L545"/>
      <c r="M545"/>
      <c r="N545"/>
      <c r="O545"/>
      <c r="P545"/>
      <c r="Q545"/>
      <c r="S545"/>
      <c r="T545"/>
      <c r="U545"/>
      <c r="V545"/>
      <c r="W545"/>
      <c r="X545"/>
    </row>
    <row r="546" spans="12:24" x14ac:dyDescent="0.25">
      <c r="L546"/>
      <c r="M546"/>
      <c r="N546"/>
      <c r="O546"/>
      <c r="P546"/>
      <c r="Q546"/>
      <c r="S546"/>
      <c r="T546"/>
      <c r="U546"/>
      <c r="V546"/>
      <c r="W546"/>
      <c r="X546"/>
    </row>
    <row r="547" spans="12:24" x14ac:dyDescent="0.25">
      <c r="L547"/>
      <c r="M547"/>
      <c r="N547"/>
      <c r="O547"/>
      <c r="P547"/>
      <c r="Q547"/>
      <c r="S547"/>
      <c r="T547"/>
      <c r="U547"/>
      <c r="V547"/>
      <c r="W547"/>
      <c r="X547"/>
    </row>
    <row r="548" spans="12:24" x14ac:dyDescent="0.25">
      <c r="L548"/>
      <c r="M548"/>
      <c r="N548"/>
      <c r="O548"/>
      <c r="P548"/>
      <c r="Q548"/>
      <c r="S548"/>
      <c r="T548"/>
      <c r="U548"/>
      <c r="V548"/>
      <c r="W548"/>
      <c r="X548"/>
    </row>
    <row r="549" spans="12:24" x14ac:dyDescent="0.25">
      <c r="L549"/>
      <c r="M549"/>
      <c r="N549"/>
      <c r="O549"/>
      <c r="P549"/>
      <c r="Q549"/>
      <c r="S549"/>
      <c r="T549"/>
      <c r="U549"/>
      <c r="V549"/>
      <c r="W549"/>
      <c r="X549"/>
    </row>
    <row r="550" spans="12:24" x14ac:dyDescent="0.25">
      <c r="L550"/>
      <c r="M550"/>
      <c r="N550"/>
      <c r="O550"/>
      <c r="P550"/>
      <c r="Q550"/>
      <c r="S550"/>
      <c r="T550"/>
      <c r="U550"/>
      <c r="V550"/>
      <c r="W550"/>
      <c r="X550"/>
    </row>
    <row r="551" spans="12:24" x14ac:dyDescent="0.25">
      <c r="L551"/>
      <c r="M551"/>
      <c r="N551"/>
      <c r="O551"/>
      <c r="P551"/>
      <c r="Q551"/>
      <c r="S551"/>
      <c r="T551"/>
      <c r="U551"/>
      <c r="V551"/>
      <c r="W551"/>
      <c r="X551"/>
    </row>
    <row r="552" spans="12:24" x14ac:dyDescent="0.25">
      <c r="L552"/>
      <c r="M552"/>
      <c r="N552"/>
      <c r="O552"/>
      <c r="P552"/>
      <c r="Q552"/>
      <c r="S552"/>
      <c r="T552"/>
      <c r="U552"/>
      <c r="V552"/>
      <c r="W552"/>
      <c r="X552"/>
    </row>
    <row r="553" spans="12:24" x14ac:dyDescent="0.25">
      <c r="L553"/>
      <c r="M553"/>
      <c r="N553"/>
      <c r="O553"/>
      <c r="P553"/>
      <c r="Q553"/>
      <c r="S553"/>
      <c r="T553"/>
      <c r="U553"/>
      <c r="V553"/>
      <c r="W553"/>
      <c r="X553"/>
    </row>
    <row r="554" spans="12:24" x14ac:dyDescent="0.25">
      <c r="L554"/>
      <c r="M554"/>
      <c r="N554"/>
      <c r="O554"/>
      <c r="P554"/>
      <c r="Q554"/>
      <c r="S554"/>
      <c r="T554"/>
      <c r="U554"/>
      <c r="V554"/>
      <c r="W554"/>
      <c r="X554"/>
    </row>
    <row r="555" spans="12:24" x14ac:dyDescent="0.25">
      <c r="L555"/>
      <c r="M555"/>
      <c r="N555"/>
      <c r="O555"/>
      <c r="P555"/>
      <c r="Q555"/>
      <c r="S555"/>
      <c r="T555"/>
      <c r="U555"/>
      <c r="V555"/>
      <c r="W555"/>
      <c r="X555"/>
    </row>
    <row r="556" spans="12:24" x14ac:dyDescent="0.25">
      <c r="L556"/>
      <c r="M556"/>
      <c r="N556"/>
      <c r="O556"/>
      <c r="P556"/>
      <c r="Q556"/>
      <c r="S556"/>
      <c r="T556"/>
      <c r="U556"/>
      <c r="V556"/>
      <c r="W556"/>
      <c r="X556"/>
    </row>
    <row r="557" spans="12:24" x14ac:dyDescent="0.25">
      <c r="L557"/>
      <c r="M557"/>
      <c r="N557"/>
      <c r="O557"/>
      <c r="P557"/>
      <c r="Q557"/>
      <c r="S557"/>
      <c r="T557"/>
      <c r="U557"/>
      <c r="V557"/>
      <c r="W557"/>
      <c r="X557"/>
    </row>
    <row r="558" spans="12:24" x14ac:dyDescent="0.25">
      <c r="L558"/>
      <c r="M558"/>
      <c r="N558"/>
      <c r="O558"/>
      <c r="P558"/>
      <c r="Q558"/>
      <c r="S558"/>
      <c r="T558"/>
      <c r="U558"/>
      <c r="V558"/>
      <c r="W558"/>
      <c r="X558"/>
    </row>
    <row r="559" spans="12:24" x14ac:dyDescent="0.25">
      <c r="L559"/>
      <c r="M559"/>
      <c r="N559"/>
      <c r="O559"/>
      <c r="P559"/>
      <c r="Q559"/>
      <c r="S559"/>
      <c r="T559"/>
      <c r="U559"/>
      <c r="V559"/>
      <c r="W559"/>
      <c r="X559"/>
    </row>
    <row r="560" spans="12:24" x14ac:dyDescent="0.25">
      <c r="L560"/>
      <c r="M560"/>
      <c r="N560"/>
      <c r="O560"/>
      <c r="P560"/>
      <c r="Q560"/>
      <c r="S560"/>
      <c r="T560"/>
      <c r="U560"/>
      <c r="V560"/>
      <c r="W560"/>
      <c r="X560"/>
    </row>
    <row r="561" spans="12:24" x14ac:dyDescent="0.25">
      <c r="L561"/>
      <c r="M561"/>
      <c r="N561"/>
      <c r="O561"/>
      <c r="P561"/>
      <c r="Q561"/>
      <c r="S561"/>
      <c r="T561"/>
      <c r="U561"/>
      <c r="V561"/>
      <c r="W561"/>
      <c r="X561"/>
    </row>
    <row r="562" spans="12:24" x14ac:dyDescent="0.25">
      <c r="L562"/>
      <c r="M562"/>
      <c r="N562"/>
      <c r="O562"/>
      <c r="P562"/>
      <c r="Q562"/>
      <c r="S562"/>
      <c r="T562"/>
      <c r="U562"/>
      <c r="V562"/>
      <c r="W562"/>
      <c r="X562"/>
    </row>
    <row r="563" spans="12:24" x14ac:dyDescent="0.25">
      <c r="L563"/>
      <c r="M563"/>
      <c r="N563"/>
      <c r="O563"/>
      <c r="P563"/>
      <c r="Q563"/>
      <c r="S563"/>
      <c r="T563"/>
      <c r="U563"/>
      <c r="V563"/>
      <c r="W563"/>
      <c r="X563"/>
    </row>
    <row r="564" spans="12:24" x14ac:dyDescent="0.25">
      <c r="L564"/>
      <c r="M564"/>
      <c r="N564"/>
      <c r="O564"/>
      <c r="P564"/>
      <c r="Q564"/>
      <c r="S564"/>
      <c r="T564"/>
      <c r="U564"/>
      <c r="V564"/>
      <c r="W564"/>
      <c r="X564"/>
    </row>
    <row r="565" spans="12:24" x14ac:dyDescent="0.25">
      <c r="L565"/>
      <c r="M565"/>
      <c r="N565"/>
      <c r="O565"/>
      <c r="P565"/>
      <c r="Q565"/>
      <c r="S565"/>
      <c r="T565"/>
      <c r="U565"/>
      <c r="V565"/>
      <c r="W565"/>
      <c r="X565"/>
    </row>
    <row r="566" spans="12:24" x14ac:dyDescent="0.25">
      <c r="L566"/>
      <c r="M566"/>
      <c r="N566"/>
      <c r="O566"/>
      <c r="P566"/>
      <c r="Q566"/>
      <c r="S566"/>
      <c r="T566"/>
      <c r="U566"/>
      <c r="V566"/>
      <c r="W566"/>
      <c r="X566"/>
    </row>
    <row r="567" spans="12:24" x14ac:dyDescent="0.25">
      <c r="L567"/>
      <c r="M567"/>
      <c r="N567"/>
      <c r="O567"/>
      <c r="P567"/>
      <c r="Q567"/>
      <c r="S567"/>
      <c r="T567"/>
      <c r="U567"/>
      <c r="V567"/>
      <c r="W567"/>
      <c r="X567"/>
    </row>
    <row r="568" spans="12:24" x14ac:dyDescent="0.25">
      <c r="L568"/>
      <c r="M568"/>
      <c r="N568"/>
      <c r="O568"/>
      <c r="P568"/>
      <c r="Q568"/>
      <c r="S568"/>
      <c r="T568"/>
      <c r="U568"/>
      <c r="V568"/>
      <c r="W568"/>
      <c r="X568"/>
    </row>
    <row r="569" spans="12:24" x14ac:dyDescent="0.25">
      <c r="L569"/>
      <c r="M569"/>
      <c r="N569"/>
      <c r="O569"/>
      <c r="P569"/>
      <c r="Q569"/>
      <c r="S569"/>
      <c r="T569"/>
      <c r="U569"/>
      <c r="V569"/>
      <c r="W569"/>
      <c r="X569"/>
    </row>
    <row r="570" spans="12:24" x14ac:dyDescent="0.25">
      <c r="L570"/>
      <c r="M570"/>
      <c r="N570"/>
      <c r="O570"/>
      <c r="P570"/>
      <c r="Q570"/>
      <c r="S570"/>
      <c r="T570"/>
      <c r="U570"/>
      <c r="V570"/>
      <c r="W570"/>
      <c r="X570"/>
    </row>
    <row r="571" spans="12:24" x14ac:dyDescent="0.25">
      <c r="L571"/>
      <c r="M571"/>
      <c r="N571"/>
      <c r="O571"/>
      <c r="P571"/>
      <c r="Q571"/>
      <c r="S571"/>
      <c r="T571"/>
      <c r="U571"/>
      <c r="V571"/>
      <c r="W571"/>
      <c r="X571"/>
    </row>
    <row r="572" spans="12:24" x14ac:dyDescent="0.25">
      <c r="L572"/>
      <c r="M572"/>
      <c r="N572"/>
      <c r="O572"/>
      <c r="P572"/>
      <c r="Q572"/>
      <c r="S572"/>
      <c r="T572"/>
      <c r="U572"/>
      <c r="V572"/>
      <c r="W572"/>
      <c r="X572"/>
    </row>
    <row r="573" spans="12:24" x14ac:dyDescent="0.25">
      <c r="L573"/>
      <c r="M573"/>
      <c r="N573"/>
      <c r="O573"/>
      <c r="P573"/>
      <c r="Q573"/>
    </row>
  </sheetData>
  <mergeCells count="9">
    <mergeCell ref="D8:F8"/>
    <mergeCell ref="D9:F9"/>
    <mergeCell ref="C20:G20"/>
    <mergeCell ref="C41:G41"/>
    <mergeCell ref="D3:F3"/>
    <mergeCell ref="D4:F4"/>
    <mergeCell ref="D5:F5"/>
    <mergeCell ref="D6:F6"/>
    <mergeCell ref="D7:F7"/>
  </mergeCells>
  <conditionalFormatting sqref="J41 J35 C35:G35 C14:H14 G44 G23 G28">
    <cfRule type="cellIs" dxfId="2002" priority="165" operator="equal">
      <formula>0</formula>
    </cfRule>
  </conditionalFormatting>
  <conditionalFormatting sqref="M7:Q7">
    <cfRule type="cellIs" dxfId="2001" priority="161" operator="equal">
      <formula>0</formula>
    </cfRule>
  </conditionalFormatting>
  <conditionalFormatting sqref="D36:D40">
    <cfRule type="cellIs" dxfId="2000" priority="136" operator="equal">
      <formula>0</formula>
    </cfRule>
  </conditionalFormatting>
  <conditionalFormatting sqref="D15:D19">
    <cfRule type="cellIs" dxfId="1999" priority="154" operator="equal">
      <formula>0</formula>
    </cfRule>
  </conditionalFormatting>
  <conditionalFormatting sqref="E15:E19">
    <cfRule type="cellIs" dxfId="1998" priority="153" operator="equal">
      <formula>0</formula>
    </cfRule>
  </conditionalFormatting>
  <conditionalFormatting sqref="F15:F19">
    <cfRule type="cellIs" dxfId="1997" priority="150" operator="equal">
      <formula>0</formula>
    </cfRule>
  </conditionalFormatting>
  <conditionalFormatting sqref="G15:G19">
    <cfRule type="cellIs" dxfId="1996" priority="149" operator="equal">
      <formula>0</formula>
    </cfRule>
  </conditionalFormatting>
  <conditionalFormatting sqref="H15:H19">
    <cfRule type="cellIs" dxfId="1995" priority="148" operator="equal">
      <formula>0</formula>
    </cfRule>
  </conditionalFormatting>
  <conditionalFormatting sqref="G36:G40">
    <cfRule type="cellIs" dxfId="1994" priority="140" operator="equal">
      <formula>0</formula>
    </cfRule>
  </conditionalFormatting>
  <conditionalFormatting sqref="E36:E40">
    <cfRule type="cellIs" dxfId="1993" priority="135" operator="equal">
      <formula>0</formula>
    </cfRule>
  </conditionalFormatting>
  <conditionalFormatting sqref="F36:F40">
    <cfRule type="cellIs" dxfId="1992" priority="134" operator="equal">
      <formula>0</formula>
    </cfRule>
  </conditionalFormatting>
  <conditionalFormatting sqref="D3:D9">
    <cfRule type="cellIs" dxfId="1991" priority="112" operator="equal">
      <formula>0</formula>
    </cfRule>
  </conditionalFormatting>
  <conditionalFormatting sqref="J36:J40">
    <cfRule type="cellIs" dxfId="1990" priority="110" operator="equal">
      <formula>0</formula>
    </cfRule>
  </conditionalFormatting>
  <conditionalFormatting sqref="C44:D44">
    <cfRule type="cellIs" dxfId="1989" priority="83" operator="equal">
      <formula>0</formula>
    </cfRule>
  </conditionalFormatting>
  <conditionalFormatting sqref="D45:D47">
    <cfRule type="cellIs" dxfId="1988" priority="74" operator="equal">
      <formula>0</formula>
    </cfRule>
  </conditionalFormatting>
  <conditionalFormatting sqref="E23">
    <cfRule type="cellIs" dxfId="1987" priority="34" operator="equal">
      <formula>0</formula>
    </cfRule>
  </conditionalFormatting>
  <conditionalFormatting sqref="E44">
    <cfRule type="cellIs" dxfId="1986" priority="70" operator="equal">
      <formula>0</formula>
    </cfRule>
  </conditionalFormatting>
  <conditionalFormatting sqref="F24">
    <cfRule type="cellIs" dxfId="1985" priority="54" operator="equal">
      <formula>0</formula>
    </cfRule>
  </conditionalFormatting>
  <conditionalFormatting sqref="G24">
    <cfRule type="cellIs" dxfId="1984" priority="52" operator="equal">
      <formula>0</formula>
    </cfRule>
  </conditionalFormatting>
  <conditionalFormatting sqref="G48">
    <cfRule type="cellIs" dxfId="1983" priority="76" operator="equal">
      <formula>"Não"</formula>
    </cfRule>
    <cfRule type="cellIs" dxfId="1982" priority="77" operator="equal">
      <formula>"Sim"</formula>
    </cfRule>
  </conditionalFormatting>
  <conditionalFormatting sqref="D48">
    <cfRule type="cellIs" dxfId="1981" priority="73" operator="equal">
      <formula>0</formula>
    </cfRule>
  </conditionalFormatting>
  <conditionalFormatting sqref="F23">
    <cfRule type="cellIs" dxfId="1980" priority="33" operator="equal">
      <formula>0</formula>
    </cfRule>
  </conditionalFormatting>
  <conditionalFormatting sqref="H23">
    <cfRule type="cellIs" dxfId="1979" priority="32" operator="equal">
      <formula>0</formula>
    </cfRule>
  </conditionalFormatting>
  <conditionalFormatting sqref="E45:E47">
    <cfRule type="cellIs" dxfId="1978" priority="69" operator="equal">
      <formula>0</formula>
    </cfRule>
  </conditionalFormatting>
  <conditionalFormatting sqref="E48">
    <cfRule type="cellIs" dxfId="1977" priority="68" operator="equal">
      <formula>0</formula>
    </cfRule>
  </conditionalFormatting>
  <conditionalFormatting sqref="F45:F47">
    <cfRule type="cellIs" dxfId="1976" priority="67" operator="equal">
      <formula>0</formula>
    </cfRule>
  </conditionalFormatting>
  <conditionalFormatting sqref="F44">
    <cfRule type="cellIs" dxfId="1975" priority="66" operator="equal">
      <formula>0</formula>
    </cfRule>
  </conditionalFormatting>
  <conditionalFormatting sqref="F48">
    <cfRule type="cellIs" dxfId="1974" priority="65" operator="equal">
      <formula>0</formula>
    </cfRule>
  </conditionalFormatting>
  <conditionalFormatting sqref="G45:G47">
    <cfRule type="cellIs" dxfId="1973" priority="64" operator="equal">
      <formula>0</formula>
    </cfRule>
  </conditionalFormatting>
  <conditionalFormatting sqref="J44">
    <cfRule type="cellIs" dxfId="1972" priority="63" operator="equal">
      <formula>0</formula>
    </cfRule>
  </conditionalFormatting>
  <conditionalFormatting sqref="J45:J47">
    <cfRule type="cellIs" dxfId="1971" priority="62" operator="equal">
      <formula>0</formula>
    </cfRule>
  </conditionalFormatting>
  <conditionalFormatting sqref="D24">
    <cfRule type="cellIs" dxfId="1970" priority="57" operator="equal">
      <formula>0</formula>
    </cfRule>
  </conditionalFormatting>
  <conditionalFormatting sqref="E24">
    <cfRule type="cellIs" dxfId="1969" priority="49" operator="equal">
      <formula>0</formula>
    </cfRule>
  </conditionalFormatting>
  <conditionalFormatting sqref="H24">
    <cfRule type="cellIs" dxfId="1968" priority="50" operator="equal">
      <formula>0</formula>
    </cfRule>
  </conditionalFormatting>
  <conditionalFormatting sqref="H25">
    <cfRule type="cellIs" dxfId="1967" priority="39" operator="equal">
      <formula>0</formula>
    </cfRule>
  </conditionalFormatting>
  <conditionalFormatting sqref="G25">
    <cfRule type="cellIs" dxfId="1966" priority="41" operator="equal">
      <formula>0</formula>
    </cfRule>
  </conditionalFormatting>
  <conditionalFormatting sqref="D25:F25">
    <cfRule type="cellIs" dxfId="1965" priority="36" operator="equal">
      <formula>"Não"</formula>
    </cfRule>
    <cfRule type="cellIs" dxfId="1964" priority="37" operator="equal">
      <formula>"Sim"</formula>
    </cfRule>
  </conditionalFormatting>
  <conditionalFormatting sqref="C23:D23">
    <cfRule type="cellIs" dxfId="1963" priority="35" operator="equal">
      <formula>0</formula>
    </cfRule>
  </conditionalFormatting>
  <conditionalFormatting sqref="C28:D28">
    <cfRule type="cellIs" dxfId="1962" priority="29" operator="equal">
      <formula>0</formula>
    </cfRule>
  </conditionalFormatting>
  <conditionalFormatting sqref="G32">
    <cfRule type="cellIs" dxfId="1961" priority="25" operator="equal">
      <formula>"Não"</formula>
    </cfRule>
    <cfRule type="cellIs" dxfId="1960" priority="26" operator="equal">
      <formula>"Sim"</formula>
    </cfRule>
  </conditionalFormatting>
  <conditionalFormatting sqref="D29:D31">
    <cfRule type="cellIs" dxfId="1959" priority="24" operator="equal">
      <formula>0</formula>
    </cfRule>
  </conditionalFormatting>
  <conditionalFormatting sqref="D32">
    <cfRule type="cellIs" dxfId="1958" priority="23" operator="equal">
      <formula>0</formula>
    </cfRule>
  </conditionalFormatting>
  <conditionalFormatting sqref="E28">
    <cfRule type="cellIs" dxfId="1957" priority="22" operator="equal">
      <formula>0</formula>
    </cfRule>
  </conditionalFormatting>
  <conditionalFormatting sqref="E29:E31">
    <cfRule type="cellIs" dxfId="1956" priority="21" operator="equal">
      <formula>0</formula>
    </cfRule>
  </conditionalFormatting>
  <conditionalFormatting sqref="E32">
    <cfRule type="cellIs" dxfId="1955" priority="20" operator="equal">
      <formula>0</formula>
    </cfRule>
  </conditionalFormatting>
  <conditionalFormatting sqref="F29:F31">
    <cfRule type="cellIs" dxfId="1954" priority="19" operator="equal">
      <formula>0</formula>
    </cfRule>
  </conditionalFormatting>
  <conditionalFormatting sqref="F28">
    <cfRule type="cellIs" dxfId="1953" priority="18" operator="equal">
      <formula>0</formula>
    </cfRule>
  </conditionalFormatting>
  <conditionalFormatting sqref="F32">
    <cfRule type="cellIs" dxfId="1952" priority="17" operator="equal">
      <formula>0</formula>
    </cfRule>
  </conditionalFormatting>
  <conditionalFormatting sqref="G29:G31">
    <cfRule type="cellIs" dxfId="1951" priority="16" operator="equal">
      <formula>0</formula>
    </cfRule>
  </conditionalFormatting>
  <conditionalFormatting sqref="H28">
    <cfRule type="cellIs" dxfId="1950" priority="15" operator="equal">
      <formula>0</formula>
    </cfRule>
  </conditionalFormatting>
  <conditionalFormatting sqref="H29:H31">
    <cfRule type="cellIs" dxfId="1949" priority="14" operator="equal">
      <formula>0</formula>
    </cfRule>
  </conditionalFormatting>
  <conditionalFormatting sqref="H32">
    <cfRule type="cellIs" dxfId="1948" priority="13" operator="equal">
      <formula>0</formula>
    </cfRule>
  </conditionalFormatting>
  <conditionalFormatting sqref="H11">
    <cfRule type="cellIs" dxfId="1947" priority="12" operator="equal">
      <formula>0</formula>
    </cfRule>
  </conditionalFormatting>
  <conditionalFormatting sqref="J48">
    <cfRule type="cellIs" dxfId="1946" priority="11" operator="equal">
      <formula>0</formula>
    </cfRule>
  </conditionalFormatting>
  <conditionalFormatting sqref="H35:I35 H41:I41">
    <cfRule type="cellIs" dxfId="1945" priority="10" operator="equal">
      <formula>0</formula>
    </cfRule>
  </conditionalFormatting>
  <conditionalFormatting sqref="H36:I40">
    <cfRule type="cellIs" dxfId="1944" priority="9" operator="equal">
      <formula>0</formula>
    </cfRule>
  </conditionalFormatting>
  <conditionalFormatting sqref="H44:I44">
    <cfRule type="cellIs" dxfId="1943" priority="8" operator="equal">
      <formula>0</formula>
    </cfRule>
  </conditionalFormatting>
  <conditionalFormatting sqref="H45:I47">
    <cfRule type="cellIs" dxfId="1942" priority="7" operator="equal">
      <formula>0</formula>
    </cfRule>
  </conditionalFormatting>
  <conditionalFormatting sqref="H48:I48">
    <cfRule type="cellIs" dxfId="1941" priority="6" operator="equal">
      <formula>0</formula>
    </cfRule>
  </conditionalFormatting>
  <conditionalFormatting pivot="1" sqref="M9:M14">
    <cfRule type="cellIs" dxfId="1940" priority="5" operator="equal">
      <formula>0</formula>
    </cfRule>
  </conditionalFormatting>
  <conditionalFormatting pivot="1" sqref="M9:Q14">
    <cfRule type="cellIs" dxfId="1939" priority="4" operator="equal">
      <formula>0</formula>
    </cfRule>
  </conditionalFormatting>
  <conditionalFormatting sqref="T6:X6">
    <cfRule type="cellIs" dxfId="1938" priority="3" operator="equal">
      <formula>0</formula>
    </cfRule>
  </conditionalFormatting>
  <conditionalFormatting pivot="1" sqref="T8:T73">
    <cfRule type="cellIs" dxfId="1937" priority="2" operator="equal">
      <formula>0</formula>
    </cfRule>
  </conditionalFormatting>
  <conditionalFormatting pivot="1" sqref="T8:X73">
    <cfRule type="cellIs" dxfId="1936" priority="1" operator="equal">
      <formula>0</formula>
    </cfRule>
  </conditionalFormatting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F21CE-575F-40CF-BFA0-0FE49A2C4D6E}">
  <sheetPr codeName="Planilha11">
    <tabColor theme="4" tint="0.79998168889431442"/>
  </sheetPr>
  <dimension ref="C1:S623"/>
  <sheetViews>
    <sheetView showGridLines="0" zoomScale="85" zoomScaleNormal="85" workbookViewId="0">
      <selection activeCell="L9" sqref="L9"/>
    </sheetView>
  </sheetViews>
  <sheetFormatPr defaultRowHeight="15" x14ac:dyDescent="0.25"/>
  <cols>
    <col min="1" max="1" width="37.42578125" style="87" customWidth="1"/>
    <col min="2" max="2" width="2.5703125" style="87" customWidth="1"/>
    <col min="3" max="3" width="16" style="87" customWidth="1"/>
    <col min="4" max="7" width="17.140625" style="87" customWidth="1"/>
    <col min="8" max="8" width="17.140625" style="2" customWidth="1"/>
    <col min="9" max="9" width="17.140625" style="87" customWidth="1"/>
    <col min="10" max="10" width="17.140625" customWidth="1"/>
    <col min="11" max="11" width="3.7109375" customWidth="1"/>
    <col min="12" max="12" width="120.5703125" style="3" bestFit="1" customWidth="1"/>
    <col min="13" max="17" width="13.7109375" style="3" customWidth="1"/>
    <col min="18" max="18" width="10.7109375" style="3" bestFit="1" customWidth="1"/>
    <col min="19" max="16384" width="9.140625" style="87"/>
  </cols>
  <sheetData>
    <row r="1" spans="3:19" ht="32.25" customHeight="1" x14ac:dyDescent="0.3">
      <c r="C1" s="90" t="s">
        <v>386</v>
      </c>
      <c r="L1" s="146" t="s">
        <v>430</v>
      </c>
    </row>
    <row r="2" spans="3:19" ht="18.75" x14ac:dyDescent="0.25">
      <c r="C2" s="88" t="s">
        <v>431</v>
      </c>
      <c r="L2" s="92" t="s">
        <v>2</v>
      </c>
      <c r="M2" s="3" t="s">
        <v>16</v>
      </c>
    </row>
    <row r="3" spans="3:19" ht="21" x14ac:dyDescent="0.25">
      <c r="C3" s="50" t="s">
        <v>380</v>
      </c>
      <c r="D3" s="195" t="str">
        <f>Demostrativo_Ano</f>
        <v>2019/2020</v>
      </c>
      <c r="E3" s="196"/>
      <c r="F3" s="197"/>
      <c r="G3" s="89"/>
      <c r="H3" s="114"/>
      <c r="I3" s="89"/>
      <c r="L3" s="92" t="s">
        <v>4</v>
      </c>
      <c r="M3" s="3" t="s">
        <v>24</v>
      </c>
    </row>
    <row r="4" spans="3:19" x14ac:dyDescent="0.25">
      <c r="C4" s="50" t="s">
        <v>381</v>
      </c>
      <c r="D4" s="195" t="str">
        <f>M4</f>
        <v>05-Nov</v>
      </c>
      <c r="E4" s="196"/>
      <c r="F4" s="197"/>
      <c r="L4" s="92" t="s">
        <v>3</v>
      </c>
      <c r="M4" s="3" t="s">
        <v>229</v>
      </c>
      <c r="S4" s="87">
        <v>56358</v>
      </c>
    </row>
    <row r="5" spans="3:19" x14ac:dyDescent="0.25">
      <c r="C5" s="50" t="s">
        <v>382</v>
      </c>
      <c r="D5" s="195" t="str">
        <f>M3</f>
        <v>02-Tri</v>
      </c>
      <c r="E5" s="196"/>
      <c r="F5" s="197"/>
      <c r="L5" s="92" t="s">
        <v>203</v>
      </c>
      <c r="M5" s="3" t="s">
        <v>207</v>
      </c>
      <c r="S5" s="87">
        <v>56563</v>
      </c>
    </row>
    <row r="6" spans="3:19" x14ac:dyDescent="0.25">
      <c r="C6" s="50" t="s">
        <v>388</v>
      </c>
      <c r="D6" s="195" t="str">
        <f>M5</f>
        <v>claudia.bueno@cslbehring.com</v>
      </c>
      <c r="E6" s="196"/>
      <c r="F6" s="197"/>
      <c r="M6" s="112">
        <f>SUM(M8:M1048575)</f>
        <v>10</v>
      </c>
      <c r="N6" s="112">
        <f t="shared" ref="N6:Q6" si="0">SUM(N8:N1048575)</f>
        <v>429</v>
      </c>
      <c r="O6" s="112">
        <f t="shared" si="0"/>
        <v>591</v>
      </c>
      <c r="P6" s="112">
        <f t="shared" si="0"/>
        <v>1540</v>
      </c>
      <c r="Q6" s="112">
        <f t="shared" si="0"/>
        <v>14832.5</v>
      </c>
      <c r="S6" s="87">
        <f>S4-S5</f>
        <v>-205</v>
      </c>
    </row>
    <row r="7" spans="3:19" x14ac:dyDescent="0.25">
      <c r="C7" s="113" t="s">
        <v>204</v>
      </c>
      <c r="D7" s="195" t="str">
        <f>VLOOKUP(Filtro_Demostrativo_GR_GR,VIEW_IV_2019_GERENTES[],2,0)</f>
        <v>CLAUDIA BUENO (SPC/SPI)</v>
      </c>
      <c r="E7" s="196"/>
      <c r="F7" s="197"/>
      <c r="L7" s="92" t="s">
        <v>432</v>
      </c>
      <c r="R7"/>
    </row>
    <row r="8" spans="3:19" x14ac:dyDescent="0.25">
      <c r="C8"/>
      <c r="D8"/>
      <c r="E8"/>
      <c r="F8"/>
      <c r="M8" s="149" t="s">
        <v>28</v>
      </c>
      <c r="N8" s="149" t="s">
        <v>25</v>
      </c>
      <c r="O8" s="149" t="s">
        <v>27</v>
      </c>
      <c r="P8" s="149" t="s">
        <v>26</v>
      </c>
      <c r="Q8" s="149" t="s">
        <v>20</v>
      </c>
      <c r="R8"/>
    </row>
    <row r="9" spans="3:19" ht="15.75" x14ac:dyDescent="0.25">
      <c r="C9" s="143" t="s">
        <v>427</v>
      </c>
      <c r="D9" s="143"/>
      <c r="E9" s="143"/>
      <c r="F9" s="143"/>
      <c r="G9" s="144"/>
      <c r="H9" s="145">
        <f>IF(Filtro_Demostrativo_GR_GR="claudia.bueno@cslbehring.com",H18+H22+H23+H27+J36+J40+Resumo!I13,IF('Demonstrativo GR'!Filtro_Demostrativo_GR_GR="fernando.leony@cslbehring.com",H18+H22+H23+H27+J36+J40+Resumo!I14,IF('Demonstrativo GR'!Filtro_Demostrativo_GR_GR="rafael.esteves@cslbehring.com",H18+H22+H23+H27+J36+J40+Resumo!I15)))</f>
        <v>4562.4426085103223</v>
      </c>
      <c r="L9" s="91" t="s">
        <v>562</v>
      </c>
      <c r="M9" s="10"/>
      <c r="N9" s="10"/>
      <c r="O9" s="10"/>
      <c r="P9" s="10">
        <v>17</v>
      </c>
      <c r="Q9" s="10"/>
      <c r="R9"/>
    </row>
    <row r="10" spans="3:19" x14ac:dyDescent="0.25">
      <c r="L10" s="91" t="s">
        <v>565</v>
      </c>
      <c r="M10" s="10"/>
      <c r="N10" s="10"/>
      <c r="O10" s="10"/>
      <c r="P10" s="10"/>
      <c r="Q10" s="10">
        <v>250</v>
      </c>
      <c r="R10"/>
    </row>
    <row r="11" spans="3:19" x14ac:dyDescent="0.25">
      <c r="C11" s="115" t="s">
        <v>415</v>
      </c>
      <c r="L11" s="91" t="s">
        <v>567</v>
      </c>
      <c r="M11" s="10"/>
      <c r="N11" s="10"/>
      <c r="O11" s="10"/>
      <c r="P11" s="10"/>
      <c r="Q11" s="10">
        <v>140</v>
      </c>
      <c r="R11"/>
    </row>
    <row r="12" spans="3:19" x14ac:dyDescent="0.25">
      <c r="C12" s="131" t="s">
        <v>14</v>
      </c>
      <c r="D12" s="131" t="s">
        <v>409</v>
      </c>
      <c r="E12" s="131" t="s">
        <v>410</v>
      </c>
      <c r="F12" s="131" t="s">
        <v>411</v>
      </c>
      <c r="G12" s="131" t="s">
        <v>412</v>
      </c>
      <c r="H12" s="131" t="s">
        <v>413</v>
      </c>
      <c r="L12" s="91" t="s">
        <v>571</v>
      </c>
      <c r="M12" s="10"/>
      <c r="N12" s="10"/>
      <c r="O12" s="10"/>
      <c r="P12" s="10"/>
      <c r="Q12" s="10">
        <v>375</v>
      </c>
      <c r="R12"/>
    </row>
    <row r="13" spans="3:19" x14ac:dyDescent="0.25">
      <c r="C13" s="132" t="s">
        <v>28</v>
      </c>
      <c r="D13" s="131">
        <f>SUMIFS(VIEW_IV_2019_GR_COTA_DEMANDA[Cota.BERINERT],VIEW_IV_2019_GR_COTA_DEMANDA[Ano-Fiscal],Filtro_Demostrativo_GR_ANO,VIEW_IV_2019_GR_COTA_DEMANDA[Mes-Fiscal],Filtro_Demostrativo_GR_MES,VIEW_IV_2019_GR_COTA_DEMANDA['#FK-Email-Gerente],'Demonstrativo GR'!Filtro_Demostrativo_GR_GR)</f>
        <v>144</v>
      </c>
      <c r="E13" s="131">
        <f>SUMIFS(VIEW_IV_2019_GR_COTA_DEMANDA[Demanda.BERINERT],VIEW_IV_2019_GR_COTA_DEMANDA[Ano-Fiscal],Filtro_Demostrativo_GR_ANO,VIEW_IV_2019_GR_COTA_DEMANDA[Mes-Fiscal],Filtro_Demostrativo_GR_MES,VIEW_IV_2019_GR_COTA_DEMANDA['#FK-Email-Gerente],'Demonstrativo GR'!Filtro_Demostrativo_GR_GR)</f>
        <v>10</v>
      </c>
      <c r="F13" s="133">
        <f>SUMIFS(VIEW_IV_2019_GR_COTA_DEMANDA[Cobertura.BERINERT],VIEW_IV_2019_GR_COTA_DEMANDA[Ano-Fiscal],Filtro_Demostrativo_GR_ANO,VIEW_IV_2019_GR_COTA_DEMANDA[Mes-Fiscal],Filtro_Demostrativo_GR_MES,VIEW_IV_2019_GR_COTA_DEMANDA['#FK-Email-Gerente],'Demonstrativo GR'!Filtro_Demostrativo_GR_GR)</f>
        <v>6.9444444444444448E-2</v>
      </c>
      <c r="G13" s="133">
        <f>Peso_Demanda_GR_BERINERT</f>
        <v>0.03</v>
      </c>
      <c r="H13" s="134">
        <f>SUMIFS(VIEW_IV_2019_GR_COTA_DEMANDA[Premio.BERINERT],VIEW_IV_2019_GR_COTA_DEMANDA[Ano-Fiscal],Filtro_Demostrativo_GR_ANO,VIEW_IV_2019_GR_COTA_DEMANDA[Mes-Fiscal],Filtro_Demostrativo_GR_MES,VIEW_IV_2019_GR_COTA_DEMANDA['#FK-Email-Gerente],'Demonstrativo GR'!Filtro_Demostrativo_GR_GR)</f>
        <v>0</v>
      </c>
      <c r="L13" s="91" t="s">
        <v>572</v>
      </c>
      <c r="M13" s="10"/>
      <c r="N13" s="10"/>
      <c r="O13" s="10"/>
      <c r="P13" s="10"/>
      <c r="Q13" s="10">
        <v>285</v>
      </c>
      <c r="R13"/>
    </row>
    <row r="14" spans="3:19" x14ac:dyDescent="0.25">
      <c r="C14" s="135" t="s">
        <v>25</v>
      </c>
      <c r="D14" s="131">
        <f>SUMIFS(VIEW_IV_2019_GR_COTA_DEMANDA[Cota.BERIPLEX],VIEW_IV_2019_GR_COTA_DEMANDA[Ano-Fiscal],Filtro_Demostrativo_GR_ANO,VIEW_IV_2019_GR_COTA_DEMANDA[Mes-Fiscal],Filtro_Demostrativo_GR_MES,VIEW_IV_2019_GR_COTA_DEMANDA['#FK-Email-Gerente],'Demonstrativo GR'!Filtro_Demostrativo_GR_GR)</f>
        <v>638</v>
      </c>
      <c r="E14" s="131">
        <f>SUMIFS(VIEW_IV_2019_GR_COTA_DEMANDA[Demanda.BERIPLEX],VIEW_IV_2019_GR_COTA_DEMANDA[Ano-Fiscal],Filtro_Demostrativo_GR_ANO,VIEW_IV_2019_GR_COTA_DEMANDA[Mes-Fiscal],Filtro_Demostrativo_GR_MES,VIEW_IV_2019_GR_COTA_DEMANDA['#FK-Email-Gerente],'Demonstrativo GR'!Filtro_Demostrativo_GR_GR)</f>
        <v>429</v>
      </c>
      <c r="F14" s="133">
        <f>SUMIFS(VIEW_IV_2019_GR_COTA_DEMANDA[Cobertura.BERIPLEX],VIEW_IV_2019_GR_COTA_DEMANDA[Ano-Fiscal],Filtro_Demostrativo_GR_ANO,VIEW_IV_2019_GR_COTA_DEMANDA[Mes-Fiscal],Filtro_Demostrativo_GR_MES,VIEW_IV_2019_GR_COTA_DEMANDA['#FK-Email-Gerente],'Demonstrativo GR'!Filtro_Demostrativo_GR_GR)</f>
        <v>0.67241379310344829</v>
      </c>
      <c r="G14" s="133">
        <f>Peso_Demanda_GR_BERIPLEX</f>
        <v>0.1</v>
      </c>
      <c r="H14" s="134">
        <f>SUMIFS(VIEW_IV_2019_GR_COTA_DEMANDA[Premio.BERIPLEX],VIEW_IV_2019_GR_COTA_DEMANDA[Ano-Fiscal],Filtro_Demostrativo_GR_ANO,VIEW_IV_2019_GR_COTA_DEMANDA[Mes-Fiscal],Filtro_Demostrativo_GR_MES,VIEW_IV_2019_GR_COTA_DEMANDA['#FK-Email-Gerente],'Demonstrativo GR'!Filtro_Demostrativo_GR_GR)</f>
        <v>0</v>
      </c>
      <c r="L14" s="91" t="s">
        <v>574</v>
      </c>
      <c r="M14" s="10"/>
      <c r="N14" s="10">
        <v>36</v>
      </c>
      <c r="O14" s="10"/>
      <c r="P14" s="10"/>
      <c r="Q14" s="10"/>
      <c r="R14"/>
    </row>
    <row r="15" spans="3:19" x14ac:dyDescent="0.25">
      <c r="C15" s="132" t="s">
        <v>383</v>
      </c>
      <c r="D15" s="131">
        <f>SUMIFS(VIEW_IV_2019_GR_COTA_DEMANDA[Cota.HAEMO],VIEW_IV_2019_GR_COTA_DEMANDA[Ano-Fiscal],Filtro_Demostrativo_GR_ANO,VIEW_IV_2019_GR_COTA_DEMANDA[Mes-Fiscal],Filtro_Demostrativo_GR_MES,VIEW_IV_2019_GR_COTA_DEMANDA['#FK-Email-Gerente],'Demonstrativo GR'!Filtro_Demostrativo_GR_GR)</f>
        <v>510</v>
      </c>
      <c r="E15" s="131">
        <f>SUMIFS(VIEW_IV_2019_GR_COTA_DEMANDA[Demanda.HAEMO],VIEW_IV_2019_GR_COTA_DEMANDA[Ano-Fiscal],Filtro_Demostrativo_GR_ANO,VIEW_IV_2019_GR_COTA_DEMANDA[Mes-Fiscal],Filtro_Demostrativo_GR_MES,VIEW_IV_2019_GR_COTA_DEMANDA['#FK-Email-Gerente],'Demonstrativo GR'!Filtro_Demostrativo_GR_GR)</f>
        <v>591</v>
      </c>
      <c r="F15" s="133">
        <f>SUMIFS(VIEW_IV_2019_GR_COTA_DEMANDA[Cobertura.HAEMO],VIEW_IV_2019_GR_COTA_DEMANDA[Ano-Fiscal],Filtro_Demostrativo_GR_ANO,VIEW_IV_2019_GR_COTA_DEMANDA[Mes-Fiscal],Filtro_Demostrativo_GR_MES,VIEW_IV_2019_GR_COTA_DEMANDA['#FK-Email-Gerente],'Demonstrativo GR'!Filtro_Demostrativo_GR_GR)</f>
        <v>1.1588235294117648</v>
      </c>
      <c r="G15" s="133">
        <f>Peso_Demanda_GR_HAEMO</f>
        <v>0.1</v>
      </c>
      <c r="H15" s="134">
        <f>SUMIFS(VIEW_IV_2019_GR_COTA_DEMANDA[Premio.HAEMO],VIEW_IV_2019_GR_COTA_DEMANDA[Ano-Fiscal],Filtro_Demostrativo_GR_ANO,VIEW_IV_2019_GR_COTA_DEMANDA[Mes-Fiscal],Filtro_Demostrativo_GR_MES,VIEW_IV_2019_GR_COTA_DEMANDA['#FK-Email-Gerente],'Demonstrativo GR'!Filtro_Demostrativo_GR_GR)</f>
        <v>786.88681317883811</v>
      </c>
      <c r="L15" s="91" t="s">
        <v>577</v>
      </c>
      <c r="M15" s="10"/>
      <c r="N15" s="10"/>
      <c r="O15" s="10"/>
      <c r="P15" s="10"/>
      <c r="Q15" s="10">
        <v>527.5</v>
      </c>
      <c r="R15"/>
    </row>
    <row r="16" spans="3:19" x14ac:dyDescent="0.25">
      <c r="C16" s="132" t="s">
        <v>26</v>
      </c>
      <c r="D16" s="131">
        <f>SUMIFS(VIEW_IV_2019_GR_COTA_DEMANDA[Cota.HIZENTRA],VIEW_IV_2019_GR_COTA_DEMANDA[Ano-Fiscal],Filtro_Demostrativo_GR_ANO,VIEW_IV_2019_GR_COTA_DEMANDA[Mes-Fiscal],Filtro_Demostrativo_GR_MES,VIEW_IV_2019_GR_COTA_DEMANDA['#FK-Email-Gerente],'Demonstrativo GR'!Filtro_Demostrativo_GR_GR)</f>
        <v>3198</v>
      </c>
      <c r="E16" s="131">
        <f>SUMIFS(VIEW_IV_2019_GR_COTA_DEMANDA[Demanda.HIZENTRA],VIEW_IV_2019_GR_COTA_DEMANDA[Ano-Fiscal],Filtro_Demostrativo_GR_ANO,VIEW_IV_2019_GR_COTA_DEMANDA[Mes-Fiscal],Filtro_Demostrativo_GR_MES,VIEW_IV_2019_GR_COTA_DEMANDA['#FK-Email-Gerente],'Demonstrativo GR'!Filtro_Demostrativo_GR_GR)</f>
        <v>1540</v>
      </c>
      <c r="F16" s="133">
        <f>SUMIFS(VIEW_IV_2019_GR_COTA_DEMANDA[Cobertura.HIZENTRA],VIEW_IV_2019_GR_COTA_DEMANDA[Ano-Fiscal],Filtro_Demostrativo_GR_ANO,VIEW_IV_2019_GR_COTA_DEMANDA[Mes-Fiscal],Filtro_Demostrativo_GR_MES,VIEW_IV_2019_GR_COTA_DEMANDA['#FK-Email-Gerente],'Demonstrativo GR'!Filtro_Demostrativo_GR_GR)</f>
        <v>0.4815509693558474</v>
      </c>
      <c r="G16" s="133">
        <f>Peso_Demanda_GR_HIZENTRA</f>
        <v>0.15</v>
      </c>
      <c r="H16" s="134">
        <f>SUMIFS(VIEW_IV_2019_GR_COTA_DEMANDA[Premio.HIZENTRA],VIEW_IV_2019_GR_COTA_DEMANDA[Ano-Fiscal],Filtro_Demostrativo_GR_ANO,VIEW_IV_2019_GR_COTA_DEMANDA[Mes-Fiscal],Filtro_Demostrativo_GR_MES,VIEW_IV_2019_GR_COTA_DEMANDA['#FK-Email-Gerente],'Demonstrativo GR'!Filtro_Demostrativo_GR_GR)</f>
        <v>0</v>
      </c>
      <c r="L16" s="91" t="s">
        <v>581</v>
      </c>
      <c r="M16" s="10"/>
      <c r="N16" s="10"/>
      <c r="O16" s="10"/>
      <c r="P16" s="10">
        <v>48</v>
      </c>
      <c r="Q16" s="10">
        <v>760</v>
      </c>
      <c r="R16"/>
    </row>
    <row r="17" spans="3:18" x14ac:dyDescent="0.25">
      <c r="C17" s="132" t="s">
        <v>20</v>
      </c>
      <c r="D17" s="131">
        <f>SUMIFS(VIEW_IV_2019_GR_COTA_DEMANDA[Cota.PRIVIGEN],VIEW_IV_2019_GR_COTA_DEMANDA[Ano-Fiscal],Filtro_Demostrativo_GR_ANO,VIEW_IV_2019_GR_COTA_DEMANDA[Mes-Fiscal],Filtro_Demostrativo_GR_MES,VIEW_IV_2019_GR_COTA_DEMANDA['#FK-Email-Gerente],'Demonstrativo GR'!Filtro_Demostrativo_GR_GR)</f>
        <v>21935</v>
      </c>
      <c r="E17" s="131">
        <f>SUMIFS(VIEW_IV_2019_GR_COTA_DEMANDA[Demanda.PRIVIGEN],VIEW_IV_2019_GR_COTA_DEMANDA[Ano-Fiscal],Filtro_Demostrativo_GR_ANO,VIEW_IV_2019_GR_COTA_DEMANDA[Mes-Fiscal],Filtro_Demostrativo_GR_MES,VIEW_IV_2019_GR_COTA_DEMANDA['#FK-Email-Gerente],'Demonstrativo GR'!Filtro_Demostrativo_GR_GR)</f>
        <v>14833</v>
      </c>
      <c r="F17" s="133">
        <f>SUMIFS(VIEW_IV_2019_GR_COTA_DEMANDA[Cobertura.PRIVIGEN],VIEW_IV_2019_GR_COTA_DEMANDA[Ano-Fiscal],Filtro_Demostrativo_GR_ANO,VIEW_IV_2019_GR_COTA_DEMANDA[Mes-Fiscal],Filtro_Demostrativo_GR_MES,VIEW_IV_2019_GR_COTA_DEMANDA['#FK-Email-Gerente],'Demonstrativo GR'!Filtro_Demostrativo_GR_GR)</f>
        <v>0.67622521085023934</v>
      </c>
      <c r="G17" s="133">
        <f>Peso_Demanda_GR_PRIVIGEN</f>
        <v>0.12</v>
      </c>
      <c r="H17" s="134">
        <f>SUMIFS(VIEW_IV_2019_GR_COTA_DEMANDA[Premio.PRIVIGEN],VIEW_IV_2019_GR_COTA_DEMANDA[Ano-Fiscal],Filtro_Demostrativo_GR_ANO,VIEW_IV_2019_GR_COTA_DEMANDA[Mes-Fiscal],Filtro_Demostrativo_GR_MES,VIEW_IV_2019_GR_COTA_DEMANDA['#FK-Email-Gerente],'Demonstrativo GR'!Filtro_Demostrativo_GR_GR)</f>
        <v>0</v>
      </c>
      <c r="L17" s="91" t="s">
        <v>582</v>
      </c>
      <c r="M17" s="10"/>
      <c r="N17" s="10"/>
      <c r="O17" s="10"/>
      <c r="P17" s="10"/>
      <c r="Q17" s="10">
        <v>895</v>
      </c>
      <c r="R17"/>
    </row>
    <row r="18" spans="3:18" x14ac:dyDescent="0.25">
      <c r="C18" s="198" t="s">
        <v>266</v>
      </c>
      <c r="D18" s="199"/>
      <c r="E18" s="199"/>
      <c r="F18" s="199"/>
      <c r="G18" s="200"/>
      <c r="H18" s="138">
        <f>SUMIFS(VIEW_IV_2019_GR_COTA_DEMANDA[Premio.Total],VIEW_IV_2019_GR_COTA_DEMANDA[Ano-Fiscal],Filtro_Demostrativo_GR_ANO,VIEW_IV_2019_GR_COTA_DEMANDA[Mes-Fiscal],Filtro_Demostrativo_GR_MES,VIEW_IV_2019_GR_COTA_DEMANDA['#FK-Email-Gerente],'Demonstrativo GR'!Filtro_Demostrativo_GR_GR)</f>
        <v>786.88681317883811</v>
      </c>
      <c r="L18" s="91" t="s">
        <v>583</v>
      </c>
      <c r="M18" s="10"/>
      <c r="N18" s="10"/>
      <c r="O18" s="10"/>
      <c r="P18" s="10"/>
      <c r="Q18" s="10">
        <v>45</v>
      </c>
      <c r="R18"/>
    </row>
    <row r="19" spans="3:18" x14ac:dyDescent="0.25">
      <c r="L19" s="91" t="s">
        <v>589</v>
      </c>
      <c r="M19" s="10"/>
      <c r="N19" s="10"/>
      <c r="O19" s="10">
        <v>10</v>
      </c>
      <c r="P19" s="10"/>
      <c r="Q19" s="10">
        <v>100</v>
      </c>
      <c r="R19"/>
    </row>
    <row r="20" spans="3:18" x14ac:dyDescent="0.25">
      <c r="C20" s="124" t="s">
        <v>428</v>
      </c>
      <c r="D20" s="125"/>
      <c r="E20" s="125"/>
      <c r="F20" s="125"/>
      <c r="G20" s="125"/>
      <c r="H20" s="126"/>
      <c r="L20" s="91" t="s">
        <v>593</v>
      </c>
      <c r="M20" s="10"/>
      <c r="N20" s="10"/>
      <c r="O20" s="10"/>
      <c r="P20" s="10"/>
      <c r="Q20" s="10">
        <v>500</v>
      </c>
      <c r="R20"/>
    </row>
    <row r="21" spans="3:18" x14ac:dyDescent="0.25">
      <c r="C21" s="127"/>
      <c r="D21" s="127" t="s">
        <v>424</v>
      </c>
      <c r="E21" s="127" t="s">
        <v>425</v>
      </c>
      <c r="F21" s="127" t="s">
        <v>411</v>
      </c>
      <c r="G21" s="127" t="s">
        <v>412</v>
      </c>
      <c r="H21" s="127" t="s">
        <v>413</v>
      </c>
      <c r="L21" s="91" t="s">
        <v>594</v>
      </c>
      <c r="M21" s="10"/>
      <c r="N21" s="10"/>
      <c r="O21" s="10"/>
      <c r="P21" s="10"/>
      <c r="Q21" s="10">
        <v>150</v>
      </c>
      <c r="R21"/>
    </row>
    <row r="22" spans="3:18" x14ac:dyDescent="0.25">
      <c r="C22" s="130" t="s">
        <v>423</v>
      </c>
      <c r="D22" s="127">
        <f>SUMIFS(VIEW_IV_2019_VISITAS_GR[Visitas-Realizar],VIEW_IV_2019_VISITAS_GR[Ano-Fiscal],Filtro_Demostrativo_GR_ANO,VIEW_IV_2019_VISITAS_GR[Mes-Fiscal],Filtro_Demostrativo_GR_MES,VIEW_IV_2019_VISITAS_GR['#FK-Email-Gerente],Filtro_Demostrativo_GR_GR)</f>
        <v>656</v>
      </c>
      <c r="E22" s="127">
        <f>SUMIFS(VIEW_IV_2019_VISITAS_GR[Visitas-Realizadas],VIEW_IV_2019_VISITAS_GR[Ano-Fiscal],Filtro_Demostrativo_GR_ANO,VIEW_IV_2019_VISITAS_GR[Mes-Fiscal],Filtro_Demostrativo_GR_MES,VIEW_IV_2019_VISITAS_GR['#FK-Email-Gerente],Filtro_Demostrativo_GR_GR)</f>
        <v>643</v>
      </c>
      <c r="F22" s="128">
        <f>SUMIFS(VIEW_IV_2019_VISITAS_GR[Visitas-Cobertura],VIEW_IV_2019_VISITAS_GR[Ano-Fiscal],Filtro_Demostrativo_GR_ANO,VIEW_IV_2019_VISITAS_GR[Mes-Fiscal],Filtro_Demostrativo_GR_MES,VIEW_IV_2019_VISITAS_GR['#FK-Email-Gerente],Filtro_Demostrativo_GR_GR)</f>
        <v>0.98018292682926833</v>
      </c>
      <c r="G22" s="128">
        <f>Peso_Visitas_GR</f>
        <v>0.05</v>
      </c>
      <c r="H22" s="137">
        <f>SUMIFS(VIEW_IV_2019_VISITAS_GR[Visitas-Premio],VIEW_IV_2019_VISITAS_GR[Ano-Fiscal],Filtro_Demostrativo_GR_ANO,VIEW_IV_2019_VISITAS_GR[Mes-Fiscal],Filtro_Demostrativo_GR_MES,VIEW_IV_2019_VISITAS_GR['#FK-Email-Gerente],Filtro_Demostrativo_GR_GR)</f>
        <v>198.76888762026769</v>
      </c>
      <c r="L22" s="91" t="s">
        <v>595</v>
      </c>
      <c r="M22" s="10"/>
      <c r="N22" s="10">
        <v>2</v>
      </c>
      <c r="O22" s="10"/>
      <c r="P22" s="10"/>
      <c r="Q22" s="10">
        <v>1010</v>
      </c>
      <c r="R22"/>
    </row>
    <row r="23" spans="3:18" x14ac:dyDescent="0.25">
      <c r="C23" s="130" t="s">
        <v>426</v>
      </c>
      <c r="D23" s="129">
        <v>100</v>
      </c>
      <c r="E23" s="129">
        <v>100</v>
      </c>
      <c r="F23" s="167">
        <v>1</v>
      </c>
      <c r="G23" s="128">
        <v>0.05</v>
      </c>
      <c r="H23" s="137">
        <v>270.43386070784726</v>
      </c>
      <c r="L23" s="91" t="s">
        <v>603</v>
      </c>
      <c r="M23" s="10"/>
      <c r="N23" s="10"/>
      <c r="O23" s="10"/>
      <c r="P23" s="10">
        <v>8</v>
      </c>
      <c r="Q23" s="10">
        <v>165</v>
      </c>
      <c r="R23"/>
    </row>
    <row r="24" spans="3:18" x14ac:dyDescent="0.25">
      <c r="L24" s="91" t="s">
        <v>604</v>
      </c>
      <c r="M24" s="10"/>
      <c r="N24" s="10"/>
      <c r="O24" s="10"/>
      <c r="P24" s="10"/>
      <c r="Q24" s="10">
        <v>280</v>
      </c>
      <c r="R24"/>
    </row>
    <row r="25" spans="3:18" x14ac:dyDescent="0.25">
      <c r="C25" s="122" t="s">
        <v>420</v>
      </c>
      <c r="L25" s="91" t="s">
        <v>608</v>
      </c>
      <c r="M25" s="10"/>
      <c r="N25" s="10"/>
      <c r="O25" s="10"/>
      <c r="P25" s="10"/>
      <c r="Q25" s="10">
        <v>30</v>
      </c>
      <c r="R25"/>
    </row>
    <row r="26" spans="3:18" x14ac:dyDescent="0.25">
      <c r="C26" s="118" t="s">
        <v>14</v>
      </c>
      <c r="D26" s="118" t="s">
        <v>409</v>
      </c>
      <c r="E26" s="118" t="s">
        <v>421</v>
      </c>
      <c r="F26" s="118" t="s">
        <v>411</v>
      </c>
      <c r="G26" s="118" t="s">
        <v>412</v>
      </c>
      <c r="H26" s="118" t="s">
        <v>413</v>
      </c>
      <c r="L26" s="91" t="s">
        <v>613</v>
      </c>
      <c r="M26" s="10"/>
      <c r="N26" s="10">
        <v>3</v>
      </c>
      <c r="O26" s="10"/>
      <c r="P26" s="10"/>
      <c r="Q26" s="10">
        <v>70</v>
      </c>
      <c r="R26"/>
    </row>
    <row r="27" spans="3:18" x14ac:dyDescent="0.25">
      <c r="C27" s="116" t="s">
        <v>266</v>
      </c>
      <c r="D27" s="119">
        <f>SUMIFS(VIEW_IV_2019_VENDA[Cota-TOTAL],VIEW_IV_2019_VENDA[Ano-Fiscal],Filtro_Demostrativo_GR_ANO,VIEW_IV_2019_VENDA[Mes-Fiscal],Filtro_Demostrativo_GR_MES)</f>
        <v>21736517</v>
      </c>
      <c r="E27" s="119">
        <f>SUMIFS(VIEW_IV_2019_VENDA[Venda-TOTAL],VIEW_IV_2019_VENDA[Ano-Fiscal],Filtro_Demostrativo_GR_ANO,VIEW_IV_2019_VENDA[Mes-Fiscal],Filtro_Demostrativo_GR_MES)</f>
        <v>24397424</v>
      </c>
      <c r="F27" s="120">
        <f>SUMIFS(VIEW_IV_2019_VENDA[Cobertura-TOTAL],VIEW_IV_2019_VENDA[Ano-Fiscal],Filtro_Demostrativo_GR_ANO,VIEW_IV_2019_VENDA[Mes-Fiscal],Filtro_Demostrativo_GR_MES)</f>
        <v>1.1200000000000001</v>
      </c>
      <c r="G27" s="148">
        <f>SUMIFS(VIEW_IV_2019_VENDA[Peso-TOTAL],VIEW_IV_2019_VENDA[Ano-Fiscal],Filtro_Demostrativo_GR_ANO,VIEW_IV_2019_VENDA[Mes-Fiscal],Filtro_Demostrativo_GR_MES)</f>
        <v>0.4</v>
      </c>
      <c r="H27" s="136">
        <f>SUMIFS(VIEW_IV_2019_VENDA[Premio-TOTAL-GR],VIEW_IV_2019_VENDA[Ano-Fiscal],Filtro_Demostrativo_GR_ANO,VIEW_IV_2019_VENDA[Mes-Fiscal],Filtro_Demostrativo_GR_MES)</f>
        <v>3051.3593371387851</v>
      </c>
      <c r="L27" s="91" t="s">
        <v>616</v>
      </c>
      <c r="M27" s="10"/>
      <c r="N27" s="10"/>
      <c r="O27" s="10"/>
      <c r="P27" s="10"/>
      <c r="Q27" s="10">
        <v>1150</v>
      </c>
      <c r="R27"/>
    </row>
    <row r="28" spans="3:18" x14ac:dyDescent="0.25">
      <c r="L28" s="91" t="s">
        <v>617</v>
      </c>
      <c r="M28" s="10"/>
      <c r="N28" s="10">
        <v>6</v>
      </c>
      <c r="O28" s="10">
        <v>5</v>
      </c>
      <c r="P28" s="10">
        <v>48</v>
      </c>
      <c r="Q28" s="10">
        <v>1205</v>
      </c>
      <c r="R28"/>
    </row>
    <row r="29" spans="3:18" x14ac:dyDescent="0.25">
      <c r="C29" s="123" t="s">
        <v>416</v>
      </c>
      <c r="L29" s="91" t="s">
        <v>618</v>
      </c>
      <c r="M29" s="10"/>
      <c r="N29" s="10"/>
      <c r="O29" s="10">
        <v>13</v>
      </c>
      <c r="P29" s="10">
        <v>6</v>
      </c>
      <c r="Q29" s="10">
        <v>100</v>
      </c>
      <c r="R29"/>
    </row>
    <row r="30" spans="3:18" x14ac:dyDescent="0.25">
      <c r="C30" s="58" t="s">
        <v>14</v>
      </c>
      <c r="D30" s="58" t="s">
        <v>409</v>
      </c>
      <c r="E30" s="58" t="s">
        <v>410</v>
      </c>
      <c r="F30" s="58" t="s">
        <v>411</v>
      </c>
      <c r="G30" s="58" t="s">
        <v>412</v>
      </c>
      <c r="H30" s="58" t="s">
        <v>413</v>
      </c>
      <c r="I30" s="58" t="s">
        <v>429</v>
      </c>
      <c r="J30" s="58" t="s">
        <v>414</v>
      </c>
      <c r="L30" s="91" t="s">
        <v>620</v>
      </c>
      <c r="M30" s="10"/>
      <c r="N30" s="10">
        <v>4</v>
      </c>
      <c r="O30" s="10">
        <v>11</v>
      </c>
      <c r="P30" s="10"/>
      <c r="Q30" s="10">
        <v>20</v>
      </c>
      <c r="R30"/>
    </row>
    <row r="31" spans="3:18" x14ac:dyDescent="0.25">
      <c r="C31" s="84" t="s">
        <v>28</v>
      </c>
      <c r="D31" s="58">
        <f>SUMIFS(VIEW_IV_2019_GR_COTA_DEMANDA_TRI[Cota.BERINERT],VIEW_IV_2019_GR_COTA_DEMANDA_TRI[Ano-Fiscal],Filtro_Demostrativo_GR_ANO,VIEW_IV_2019_GR_COTA_DEMANDA_TRI[Tri-Fiscal],Filtro_Demostrativo_GR_TRI,VIEW_IV_2019_GR_COTA_DEMANDA_TRI['#FK-Email-Gerente],Filtro_Demostrativo_GR_GR)</f>
        <v>348</v>
      </c>
      <c r="E31" s="58">
        <f>SUMIFS(VIEW_IV_2019_GR_COTA_DEMANDA_TRI[Demanda.BERINERT],VIEW_IV_2019_GR_COTA_DEMANDA_TRI[Ano-Fiscal],Filtro_Demostrativo_GR_ANO,VIEW_IV_2019_GR_COTA_DEMANDA_TRI[Tri-Fiscal],Filtro_Demostrativo_GR_TRI,VIEW_IV_2019_GR_COTA_DEMANDA_TRI['#FK-Email-Gerente],Filtro_Demostrativo_GR_GR)</f>
        <v>42</v>
      </c>
      <c r="F31" s="77">
        <f>SUMIFS(VIEW_IV_2019_GR_COTA_DEMANDA_TRI[Cobertura.BERINERT],VIEW_IV_2019_GR_COTA_DEMANDA_TRI[Ano-Fiscal],Filtro_Demostrativo_GR_ANO,VIEW_IV_2019_GR_COTA_DEMANDA_TRI[Tri-Fiscal],Filtro_Demostrativo_GR_TRI,VIEW_IV_2019_GR_COTA_DEMANDA_TRI['#FK-Email-Gerente],Filtro_Demostrativo_GR_GR)</f>
        <v>0.1206896551724138</v>
      </c>
      <c r="G31" s="77">
        <f>Peso_Demanda_GR_BERINERT</f>
        <v>0.03</v>
      </c>
      <c r="H31" s="60">
        <f>SUMIFS(VIEW_IV_2019_GR_COTA_DEMANDA_TRI[Premio.BERINERT],VIEW_IV_2019_GR_COTA_DEMANDA_TRI[Ano-Fiscal],Filtro_Demostrativo_GR_ANO,VIEW_IV_2019_GR_COTA_DEMANDA_TRI[Tri-Fiscal],Filtro_Demostrativo_GR_TRI,VIEW_IV_2019_GR_COTA_DEMANDA_TRI['#FK-Email-Gerente],Filtro_Demostrativo_GR_GR)</f>
        <v>0</v>
      </c>
      <c r="I31" s="60">
        <f>SUMIFS(VIEW_IV_2019_GR_COTA_DEMANDA_TRI[Recebido.BERINERT],VIEW_IV_2019_GR_COTA_DEMANDA_TRI[Ano-Fiscal],Filtro_Demostrativo_GR_ANO,VIEW_IV_2019_GR_COTA_DEMANDA_TRI[Tri-Fiscal],Filtro_Demostrativo_GR_TRI,VIEW_IV_2019_GR_COTA_DEMANDA_TRI['#FK-Email-Gerente],Filtro_Demostrativo_GR_GR)</f>
        <v>0</v>
      </c>
      <c r="J31" s="60">
        <f>SUMIFS(VIEW_IV_2019_GR_COTA_DEMANDA_TRI[Recuperavel.BERINERT],VIEW_IV_2019_GR_COTA_DEMANDA_TRI[Ano-Fiscal],Filtro_Demostrativo_GR_ANO,VIEW_IV_2019_GR_COTA_DEMANDA_TRI[Tri-Fiscal],Filtro_Demostrativo_GR_TRI,VIEW_IV_2019_GR_COTA_DEMANDA_TRI['#FK-Email-Gerente],Filtro_Demostrativo_GR_GR)</f>
        <v>0</v>
      </c>
      <c r="L31" s="91" t="s">
        <v>629</v>
      </c>
      <c r="M31" s="10"/>
      <c r="N31" s="10">
        <v>5</v>
      </c>
      <c r="O31" s="10">
        <v>16</v>
      </c>
      <c r="P31" s="10">
        <v>110</v>
      </c>
      <c r="Q31" s="10"/>
      <c r="R31"/>
    </row>
    <row r="32" spans="3:18" x14ac:dyDescent="0.25">
      <c r="C32" s="85" t="s">
        <v>25</v>
      </c>
      <c r="D32" s="58">
        <f>SUMIFS(VIEW_IV_2019_GR_COTA_DEMANDA_TRI[Cota.BERIPLEX],VIEW_IV_2019_GR_COTA_DEMANDA_TRI[Ano-Fiscal],Filtro_Demostrativo_GR_ANO,VIEW_IV_2019_GR_COTA_DEMANDA_TRI[Tri-Fiscal],Filtro_Demostrativo_GR_TRI,VIEW_IV_2019_GR_COTA_DEMANDA_TRI['#FK-Email-Gerente],Filtro_Demostrativo_GR_GR)</f>
        <v>1769</v>
      </c>
      <c r="E32" s="58">
        <f>SUMIFS(VIEW_IV_2019_GR_COTA_DEMANDA_TRI[Demanda.BERIPLEX],VIEW_IV_2019_GR_COTA_DEMANDA_TRI[Ano-Fiscal],Filtro_Demostrativo_GR_ANO,VIEW_IV_2019_GR_COTA_DEMANDA_TRI[Tri-Fiscal],Filtro_Demostrativo_GR_TRI,VIEW_IV_2019_GR_COTA_DEMANDA_TRI['#FK-Email-Gerente],Filtro_Demostrativo_GR_GR)</f>
        <v>1279</v>
      </c>
      <c r="F32" s="77">
        <f>SUMIFS(VIEW_IV_2019_GR_COTA_DEMANDA_TRI[Cobertura.BERIPLEX],VIEW_IV_2019_GR_COTA_DEMANDA_TRI[Ano-Fiscal],Filtro_Demostrativo_GR_ANO,VIEW_IV_2019_GR_COTA_DEMANDA_TRI[Tri-Fiscal],Filtro_Demostrativo_GR_TRI,VIEW_IV_2019_GR_COTA_DEMANDA_TRI['#FK-Email-Gerente],Filtro_Demostrativo_GR_GR)</f>
        <v>0.72300734878462403</v>
      </c>
      <c r="G32" s="77">
        <f>Peso_Demanda_GR_BERIPLEX</f>
        <v>0.1</v>
      </c>
      <c r="H32" s="60">
        <f>SUMIFS(VIEW_IV_2019_GR_COTA_DEMANDA_TRI[Premio.BERIPLEX],VIEW_IV_2019_GR_COTA_DEMANDA_TRI[Ano-Fiscal],Filtro_Demostrativo_GR_ANO,VIEW_IV_2019_GR_COTA_DEMANDA_TRI[Tri-Fiscal],Filtro_Demostrativo_GR_TRI,VIEW_IV_2019_GR_COTA_DEMANDA_TRI['#FK-Email-Gerente],Filtro_Demostrativo_GR_GR)</f>
        <v>0</v>
      </c>
      <c r="I32" s="60">
        <f>SUMIFS(VIEW_IV_2019_GR_COTA_DEMANDA_TRI[Recebido.BERIPLEX],VIEW_IV_2019_GR_COTA_DEMANDA_TRI[Ano-Fiscal],Filtro_Demostrativo_GR_ANO,VIEW_IV_2019_GR_COTA_DEMANDA_TRI[Tri-Fiscal],Filtro_Demostrativo_GR_TRI,VIEW_IV_2019_GR_COTA_DEMANDA_TRI['#FK-Email-Gerente],Filtro_Demostrativo_GR_GR)</f>
        <v>569.10101647359397</v>
      </c>
      <c r="J32" s="60">
        <f>SUMIFS(VIEW_IV_2019_GR_COTA_DEMANDA_TRI[Recuperavel.BERIPLEX],VIEW_IV_2019_GR_COTA_DEMANDA_TRI[Ano-Fiscal],Filtro_Demostrativo_GR_ANO,VIEW_IV_2019_GR_COTA_DEMANDA_TRI[Tri-Fiscal],Filtro_Demostrativo_GR_TRI,VIEW_IV_2019_GR_COTA_DEMANDA_TRI['#FK-Email-Gerente],Filtro_Demostrativo_GR_GR)</f>
        <v>0</v>
      </c>
      <c r="L32" s="91" t="s">
        <v>630</v>
      </c>
      <c r="M32" s="10"/>
      <c r="N32" s="10">
        <v>20</v>
      </c>
      <c r="O32" s="10">
        <v>4</v>
      </c>
      <c r="P32" s="10"/>
      <c r="Q32" s="10"/>
      <c r="R32"/>
    </row>
    <row r="33" spans="3:18" x14ac:dyDescent="0.25">
      <c r="C33" s="84" t="s">
        <v>383</v>
      </c>
      <c r="D33" s="58">
        <f>SUMIFS(VIEW_IV_2019_GR_COTA_DEMANDA_TRI[Cota.HAEMO],VIEW_IV_2019_GR_COTA_DEMANDA_TRI[Ano-Fiscal],Filtro_Demostrativo_GR_ANO,VIEW_IV_2019_GR_COTA_DEMANDA_TRI[Tri-Fiscal],Filtro_Demostrativo_GR_TRI,VIEW_IV_2019_GR_COTA_DEMANDA_TRI['#FK-Email-Gerente],Filtro_Demostrativo_GR_GR)</f>
        <v>1428</v>
      </c>
      <c r="E33" s="58">
        <f>SUMIFS(VIEW_IV_2019_GR_COTA_DEMANDA_TRI[Demanda.HAEMO],VIEW_IV_2019_GR_COTA_DEMANDA_TRI[Ano-Fiscal],Filtro_Demostrativo_GR_ANO,VIEW_IV_2019_GR_COTA_DEMANDA_TRI[Tri-Fiscal],Filtro_Demostrativo_GR_TRI,VIEW_IV_2019_GR_COTA_DEMANDA_TRI['#FK-Email-Gerente],Filtro_Demostrativo_GR_GR)</f>
        <v>1874</v>
      </c>
      <c r="F33" s="77">
        <f>SUMIFS(VIEW_IV_2019_GR_COTA_DEMANDA_TRI[Cobertura.HAEMO],VIEW_IV_2019_GR_COTA_DEMANDA_TRI[Ano-Fiscal],Filtro_Demostrativo_GR_ANO,VIEW_IV_2019_GR_COTA_DEMANDA_TRI[Tri-Fiscal],Filtro_Demostrativo_GR_TRI,VIEW_IV_2019_GR_COTA_DEMANDA_TRI['#FK-Email-Gerente],Filtro_Demostrativo_GR_GR)</f>
        <v>1.3123249299719888</v>
      </c>
      <c r="G33" s="77">
        <f>Peso_Demanda_GR_HAEMO</f>
        <v>0.1</v>
      </c>
      <c r="H33" s="60">
        <f>SUMIFS(VIEW_IV_2019_GR_COTA_DEMANDA_TRI[Premio.HAEMO],VIEW_IV_2019_GR_COTA_DEMANDA_TRI[Ano-Fiscal],Filtro_Demostrativo_GR_ANO,VIEW_IV_2019_GR_COTA_DEMANDA_TRI[Tri-Fiscal],Filtro_Demostrativo_GR_TRI,VIEW_IV_2019_GR_COTA_DEMANDA_TRI['#FK-Email-Gerente],Filtro_Demostrativo_GR_GR)</f>
        <v>3189.4926262465806</v>
      </c>
      <c r="I33" s="60">
        <f>SUMIFS(VIEW_IV_2019_GR_COTA_DEMANDA_TRI[Recebido.HAEMO],VIEW_IV_2019_GR_COTA_DEMANDA_TRI[Ano-Fiscal],Filtro_Demostrativo_GR_ANO,VIEW_IV_2019_GR_COTA_DEMANDA_TRI[Tri-Fiscal],Filtro_Demostrativo_GR_TRI,VIEW_IV_2019_GR_COTA_DEMANDA_TRI['#FK-Email-Gerente],Filtro_Demostrativo_GR_GR)</f>
        <v>2985.779666784857</v>
      </c>
      <c r="J33" s="60">
        <f>SUMIFS(VIEW_IV_2019_GR_COTA_DEMANDA_TRI[Recuperavel.HAEMO],VIEW_IV_2019_GR_COTA_DEMANDA_TRI[Ano-Fiscal],Filtro_Demostrativo_GR_ANO,VIEW_IV_2019_GR_COTA_DEMANDA_TRI[Tri-Fiscal],Filtro_Demostrativo_GR_TRI,VIEW_IV_2019_GR_COTA_DEMANDA_TRI['#FK-Email-Gerente],Filtro_Demostrativo_GR_GR)</f>
        <v>203.71295946172359</v>
      </c>
      <c r="L33" s="91" t="s">
        <v>602</v>
      </c>
      <c r="M33" s="10"/>
      <c r="N33" s="10"/>
      <c r="O33" s="10"/>
      <c r="P33" s="10"/>
      <c r="Q33" s="10">
        <v>100</v>
      </c>
      <c r="R33"/>
    </row>
    <row r="34" spans="3:18" x14ac:dyDescent="0.25">
      <c r="C34" s="84" t="s">
        <v>26</v>
      </c>
      <c r="D34" s="58">
        <f>SUMIFS(VIEW_IV_2019_GR_COTA_DEMANDA_TRI[Cota.HIZENTRA],VIEW_IV_2019_GR_COTA_DEMANDA_TRI[Ano-Fiscal],Filtro_Demostrativo_GR_ANO,VIEW_IV_2019_GR_COTA_DEMANDA_TRI[Tri-Fiscal],Filtro_Demostrativo_GR_TRI,VIEW_IV_2019_GR_COTA_DEMANDA_TRI['#FK-Email-Gerente],Filtro_Demostrativo_GR_GR)</f>
        <v>8897</v>
      </c>
      <c r="E34" s="58">
        <f>SUMIFS(VIEW_IV_2019_GR_COTA_DEMANDA_TRI[Demanda.HIZENTRA],VIEW_IV_2019_GR_COTA_DEMANDA_TRI[Ano-Fiscal],Filtro_Demostrativo_GR_ANO,VIEW_IV_2019_GR_COTA_DEMANDA_TRI[Tri-Fiscal],Filtro_Demostrativo_GR_TRI,VIEW_IV_2019_GR_COTA_DEMANDA_TRI['#FK-Email-Gerente],Filtro_Demostrativo_GR_GR)</f>
        <v>4783</v>
      </c>
      <c r="F34" s="77">
        <f>SUMIFS(VIEW_IV_2019_GR_COTA_DEMANDA_TRI[Cobertura.HIZENTRA],VIEW_IV_2019_GR_COTA_DEMANDA_TRI[Ano-Fiscal],Filtro_Demostrativo_GR_ANO,VIEW_IV_2019_GR_COTA_DEMANDA_TRI[Tri-Fiscal],Filtro_Demostrativo_GR_TRI,VIEW_IV_2019_GR_COTA_DEMANDA_TRI['#FK-Email-Gerente],Filtro_Demostrativo_GR_GR)</f>
        <v>0.53759694278970438</v>
      </c>
      <c r="G34" s="77">
        <f>Peso_Demanda_GR_HIZENTRA</f>
        <v>0.15</v>
      </c>
      <c r="H34" s="60">
        <f>SUMIFS(VIEW_IV_2019_GR_COTA_DEMANDA_TRI[Premio.HIZENTRA],VIEW_IV_2019_GR_COTA_DEMANDA_TRI[Ano-Fiscal],Filtro_Demostrativo_GR_ANO,VIEW_IV_2019_GR_COTA_DEMANDA_TRI[Tri-Fiscal],Filtro_Demostrativo_GR_TRI,VIEW_IV_2019_GR_COTA_DEMANDA_TRI['#FK-Email-Gerente],Filtro_Demostrativo_GR_GR)</f>
        <v>0</v>
      </c>
      <c r="I34" s="60">
        <f>SUMIFS(VIEW_IV_2019_GR_COTA_DEMANDA_TRI[Recebido.HIZENTRA],VIEW_IV_2019_GR_COTA_DEMANDA_TRI[Ano-Fiscal],Filtro_Demostrativo_GR_ANO,VIEW_IV_2019_GR_COTA_DEMANDA_TRI[Tri-Fiscal],Filtro_Demostrativo_GR_TRI,VIEW_IV_2019_GR_COTA_DEMANDA_TRI['#FK-Email-Gerente],Filtro_Demostrativo_GR_GR)</f>
        <v>0</v>
      </c>
      <c r="J34" s="60">
        <f>SUMIFS(VIEW_IV_2019_GR_COTA_DEMANDA_TRI[Recuperavel.HIZENTRA],VIEW_IV_2019_GR_COTA_DEMANDA_TRI[Ano-Fiscal],Filtro_Demostrativo_GR_ANO,VIEW_IV_2019_GR_COTA_DEMANDA_TRI[Tri-Fiscal],Filtro_Demostrativo_GR_TRI,VIEW_IV_2019_GR_COTA_DEMANDA_TRI['#FK-Email-Gerente],Filtro_Demostrativo_GR_GR)</f>
        <v>0</v>
      </c>
      <c r="L34" s="91" t="s">
        <v>612</v>
      </c>
      <c r="M34" s="10"/>
      <c r="N34" s="10">
        <v>1</v>
      </c>
      <c r="O34" s="10">
        <v>26</v>
      </c>
      <c r="P34" s="10"/>
      <c r="Q34" s="10"/>
      <c r="R34"/>
    </row>
    <row r="35" spans="3:18" x14ac:dyDescent="0.25">
      <c r="C35" s="84" t="s">
        <v>20</v>
      </c>
      <c r="D35" s="58">
        <f>SUMIFS(VIEW_IV_2019_GR_COTA_DEMANDA_TRI[Cota.PRIVIGEN],VIEW_IV_2019_GR_COTA_DEMANDA_TRI[Ano-Fiscal],Filtro_Demostrativo_GR_ANO,VIEW_IV_2019_GR_COTA_DEMANDA_TRI[Tri-Fiscal],Filtro_Demostrativo_GR_TRI,VIEW_IV_2019_GR_COTA_DEMANDA_TRI['#FK-Email-Gerente],Filtro_Demostrativo_GR_GR)</f>
        <v>61705</v>
      </c>
      <c r="E35" s="58">
        <f>SUMIFS(VIEW_IV_2019_GR_COTA_DEMANDA_TRI[Demanda.PRIVIGEN],VIEW_IV_2019_GR_COTA_DEMANDA_TRI[Ano-Fiscal],Filtro_Demostrativo_GR_ANO,VIEW_IV_2019_GR_COTA_DEMANDA_TRI[Tri-Fiscal],Filtro_Demostrativo_GR_TRI,VIEW_IV_2019_GR_COTA_DEMANDA_TRI['#FK-Email-Gerente],Filtro_Demostrativo_GR_GR)</f>
        <v>62435</v>
      </c>
      <c r="F35" s="77">
        <f>SUMIFS(VIEW_IV_2019_GR_COTA_DEMANDA_TRI[Cobertura.PRIVIGEN],VIEW_IV_2019_GR_COTA_DEMANDA_TRI[Ano-Fiscal],Filtro_Demostrativo_GR_ANO,VIEW_IV_2019_GR_COTA_DEMANDA_TRI[Tri-Fiscal],Filtro_Demostrativo_GR_TRI,VIEW_IV_2019_GR_COTA_DEMANDA_TRI['#FK-Email-Gerente],Filtro_Demostrativo_GR_GR)</f>
        <v>1.0118304837533425</v>
      </c>
      <c r="G35" s="77">
        <f>Peso_Demanda_GR_PRIVIGEN</f>
        <v>0.12</v>
      </c>
      <c r="H35" s="60">
        <f>SUMIFS(VIEW_IV_2019_GR_COTA_DEMANDA_TRI[Premio.PRIVIGEN],VIEW_IV_2019_GR_COTA_DEMANDA_TRI[Ano-Fiscal],Filtro_Demostrativo_GR_ANO,VIEW_IV_2019_GR_COTA_DEMANDA_TRI[Tri-Fiscal],Filtro_Demostrativo_GR_TRI,VIEW_IV_2019_GR_COTA_DEMANDA_TRI['#FK-Email-Gerente],Filtro_Demostrativo_GR_GR)</f>
        <v>1966.4003226877553</v>
      </c>
      <c r="I35" s="60">
        <f>SUMIFS(VIEW_IV_2019_GR_COTA_DEMANDA_TRI[Recebido.PRIVIGEN],VIEW_IV_2019_GR_COTA_DEMANDA_TRI[Ano-Fiscal],Filtro_Demostrativo_GR_ANO,VIEW_IV_2019_GR_COTA_DEMANDA_TRI[Tri-Fiscal],Filtro_Demostrativo_GR_TRI,VIEW_IV_2019_GR_COTA_DEMANDA_TRI['#FK-Email-Gerente],Filtro_Demostrativo_GR_GR)</f>
        <v>1915.1195722848943</v>
      </c>
      <c r="J35" s="60">
        <f>SUMIFS(VIEW_IV_2019_GR_COTA_DEMANDA_TRI[Recuperavel.PRIVIGEN],VIEW_IV_2019_GR_COTA_DEMANDA_TRI[Ano-Fiscal],Filtro_Demostrativo_GR_ANO,VIEW_IV_2019_GR_COTA_DEMANDA_TRI[Tri-Fiscal],Filtro_Demostrativo_GR_TRI,VIEW_IV_2019_GR_COTA_DEMANDA_TRI['#FK-Email-Gerente],Filtro_Demostrativo_GR_GR)</f>
        <v>51.280750402861031</v>
      </c>
      <c r="L35" s="91" t="s">
        <v>597</v>
      </c>
      <c r="M35" s="10"/>
      <c r="N35" s="10"/>
      <c r="O35" s="10"/>
      <c r="P35" s="10"/>
      <c r="Q35" s="10">
        <v>30</v>
      </c>
      <c r="R35"/>
    </row>
    <row r="36" spans="3:18" x14ac:dyDescent="0.25">
      <c r="C36" s="201" t="s">
        <v>266</v>
      </c>
      <c r="D36" s="201"/>
      <c r="E36" s="201"/>
      <c r="F36" s="201"/>
      <c r="G36" s="202"/>
      <c r="H36" s="139">
        <f>SUM(H31:H35)</f>
        <v>5155.8929489343354</v>
      </c>
      <c r="I36" s="139">
        <f>SUM(I31:I35)</f>
        <v>5470.0002555433457</v>
      </c>
      <c r="J36" s="139">
        <f>SUMIFS(VIEW_IV_2019_GR_COTA_DEMANDA_TRI[Recuperavel-Total],VIEW_IV_2019_GR_COTA_DEMANDA_TRI[Ano-Fiscal],Filtro_Demostrativo_GR_ANO,VIEW_IV_2019_GR_COTA_DEMANDA_TRI[Tri-Fiscal],Filtro_Demostrativo_GR_TRI,VIEW_IV_2019_GR_COTA_DEMANDA_TRI['#FK-Email-Gerente],Filtro_Demostrativo_GR_GR)</f>
        <v>254.99370986458462</v>
      </c>
      <c r="L36" s="91" t="s">
        <v>566</v>
      </c>
      <c r="M36" s="10"/>
      <c r="N36" s="10"/>
      <c r="O36" s="10"/>
      <c r="P36" s="10"/>
      <c r="Q36" s="10">
        <v>1000</v>
      </c>
      <c r="R36"/>
    </row>
    <row r="37" spans="3:18" x14ac:dyDescent="0.25">
      <c r="L37" s="91" t="s">
        <v>615</v>
      </c>
      <c r="M37" s="10"/>
      <c r="N37" s="10">
        <v>40</v>
      </c>
      <c r="O37" s="10">
        <v>200</v>
      </c>
      <c r="P37" s="10">
        <v>130</v>
      </c>
      <c r="Q37" s="10">
        <v>75</v>
      </c>
      <c r="R37"/>
    </row>
    <row r="38" spans="3:18" x14ac:dyDescent="0.25">
      <c r="C38" s="122" t="s">
        <v>422</v>
      </c>
      <c r="L38" s="91" t="s">
        <v>563</v>
      </c>
      <c r="M38" s="10"/>
      <c r="N38" s="10"/>
      <c r="O38" s="10"/>
      <c r="P38" s="10">
        <v>100</v>
      </c>
      <c r="Q38" s="10"/>
      <c r="R38"/>
    </row>
    <row r="39" spans="3:18" x14ac:dyDescent="0.25">
      <c r="C39" s="118" t="s">
        <v>14</v>
      </c>
      <c r="D39" s="118" t="s">
        <v>409</v>
      </c>
      <c r="E39" s="118" t="s">
        <v>421</v>
      </c>
      <c r="F39" s="118" t="s">
        <v>411</v>
      </c>
      <c r="G39" s="118" t="s">
        <v>412</v>
      </c>
      <c r="H39" s="118" t="s">
        <v>413</v>
      </c>
      <c r="I39" s="118" t="s">
        <v>429</v>
      </c>
      <c r="J39" s="118" t="s">
        <v>414</v>
      </c>
      <c r="L39" s="91" t="s">
        <v>564</v>
      </c>
      <c r="M39" s="10"/>
      <c r="N39" s="10"/>
      <c r="O39" s="10"/>
      <c r="P39" s="10">
        <v>4</v>
      </c>
      <c r="Q39" s="10"/>
      <c r="R39"/>
    </row>
    <row r="40" spans="3:18" x14ac:dyDescent="0.25">
      <c r="C40" s="116" t="s">
        <v>266</v>
      </c>
      <c r="D40" s="119">
        <f>SUMIFS(VIEW_IV_2019_VENDA_TRI[Cota-TOTAL],VIEW_IV_2019_VENDA_TRI[Ano-Fiscal],Filtro_Demostrativo_GR_ANO,VIEW_IV_2019_VENDA_TRI[Tri-Fiscal],Filtro_Demostrativo_GR_TRI)</f>
        <v>59811910</v>
      </c>
      <c r="E40" s="119">
        <f>SUMIFS(VIEW_IV_2019_VENDA_TRI[Venda-TOTAL],VIEW_IV_2019_VENDA_TRI[Ano-Fiscal],Filtro_Demostrativo_GR_ANO,VIEW_IV_2019_VENDA_TRI[Tri-Fiscal],Filtro_Demostrativo_GR_TRI)</f>
        <v>73710017</v>
      </c>
      <c r="F40" s="120">
        <f>SUMIFS(VIEW_IV_2019_VENDA_TRI[Cobertura-TOTAL],VIEW_IV_2019_VENDA_TRI[Ano-Fiscal],Filtro_Demostrativo_GR_ANO,VIEW_IV_2019_VENDA_TRI[Tri-Fiscal],Filtro_Demostrativo_GR_TRI)</f>
        <v>1.23236353762988</v>
      </c>
      <c r="G40" s="148">
        <f>Peso_Venda_Total_GR</f>
        <v>0.4</v>
      </c>
      <c r="H40" s="136">
        <f>SUMIFS(VIEW_IV_2019_VENDA_TRI[Premio-TOTAL-GR],VIEW_IV_2019_VENDA_TRI[Ano-Fiscal],Filtro_Demostrativo_GR_ANO,VIEW_IV_2019_VENDA_TRI[Tri-Fiscal],Filtro_Demostrativo_GR_TRI)</f>
        <v>2655.0345479081448</v>
      </c>
      <c r="I40" s="136">
        <f>SUMIFS(VIEW_IV_2019_VENDA_TRI[Recebido-TOTAL-GR],VIEW_IV_2019_VENDA_TRI[Ano-Fiscal],Filtro_Demostrativo_GR_ANO,VIEW_IV_2019_VENDA_TRI[Tri-Fiscal],Filtro_Demostrativo_GR_TRI)</f>
        <v>10240.573090196212</v>
      </c>
      <c r="J40" s="136">
        <f>SUMIFS(VIEW_IV_2019_VENDA_TRI[Recuperavel-TOTAL-GR],VIEW_IV_2019_VENDA_TRI[Ano-Fiscal],Filtro_Demostrativo_GR_ANO,VIEW_IV_2019_VENDA_TRI[Tri-Fiscal],Filtro_Demostrativo_GR_TRI)</f>
        <v>0</v>
      </c>
      <c r="L40" s="91" t="s">
        <v>585</v>
      </c>
      <c r="M40" s="10"/>
      <c r="N40" s="10">
        <v>8</v>
      </c>
      <c r="O40" s="10">
        <v>6</v>
      </c>
      <c r="P40" s="10"/>
      <c r="Q40" s="10"/>
      <c r="R40"/>
    </row>
    <row r="41" spans="3:18" x14ac:dyDescent="0.25">
      <c r="L41" s="91" t="s">
        <v>588</v>
      </c>
      <c r="M41" s="10"/>
      <c r="N41" s="10"/>
      <c r="O41" s="10"/>
      <c r="P41" s="10">
        <v>23</v>
      </c>
      <c r="Q41" s="10"/>
      <c r="R41"/>
    </row>
    <row r="42" spans="3:18" x14ac:dyDescent="0.25">
      <c r="L42" s="91" t="s">
        <v>609</v>
      </c>
      <c r="M42" s="10"/>
      <c r="N42" s="10"/>
      <c r="O42" s="10">
        <v>66</v>
      </c>
      <c r="P42" s="10">
        <v>40</v>
      </c>
      <c r="Q42" s="10"/>
      <c r="R42"/>
    </row>
    <row r="43" spans="3:18" x14ac:dyDescent="0.25">
      <c r="L43" s="91" t="s">
        <v>610</v>
      </c>
      <c r="M43" s="10"/>
      <c r="N43" s="10">
        <v>11</v>
      </c>
      <c r="O43" s="10">
        <v>33</v>
      </c>
      <c r="P43" s="10"/>
      <c r="Q43" s="10"/>
      <c r="R43"/>
    </row>
    <row r="44" spans="3:18" x14ac:dyDescent="0.25">
      <c r="C44"/>
      <c r="D44"/>
      <c r="E44"/>
      <c r="F44"/>
      <c r="G44"/>
      <c r="H44"/>
      <c r="I44"/>
      <c r="L44" s="91" t="s">
        <v>625</v>
      </c>
      <c r="M44" s="10"/>
      <c r="N44" s="10"/>
      <c r="O44" s="10">
        <v>4</v>
      </c>
      <c r="P44" s="10"/>
      <c r="Q44" s="10"/>
      <c r="R44"/>
    </row>
    <row r="45" spans="3:18" x14ac:dyDescent="0.25">
      <c r="C45"/>
      <c r="D45"/>
      <c r="E45"/>
      <c r="F45"/>
      <c r="G45"/>
      <c r="H45"/>
      <c r="I45"/>
      <c r="L45" s="91" t="s">
        <v>631</v>
      </c>
      <c r="M45" s="10"/>
      <c r="N45" s="10">
        <v>180</v>
      </c>
      <c r="O45" s="10">
        <v>168</v>
      </c>
      <c r="P45" s="10"/>
      <c r="Q45" s="10"/>
      <c r="R45"/>
    </row>
    <row r="46" spans="3:18" x14ac:dyDescent="0.25">
      <c r="C46"/>
      <c r="D46"/>
      <c r="E46"/>
      <c r="F46"/>
      <c r="G46"/>
      <c r="H46"/>
      <c r="I46"/>
      <c r="L46" s="91" t="s">
        <v>624</v>
      </c>
      <c r="M46" s="10"/>
      <c r="N46" s="10"/>
      <c r="O46" s="10">
        <v>8</v>
      </c>
      <c r="P46" s="10"/>
      <c r="Q46" s="10"/>
      <c r="R46"/>
    </row>
    <row r="47" spans="3:18" x14ac:dyDescent="0.25">
      <c r="C47"/>
      <c r="D47"/>
      <c r="E47"/>
      <c r="F47"/>
      <c r="G47"/>
      <c r="H47"/>
      <c r="I47"/>
      <c r="L47" s="91" t="s">
        <v>626</v>
      </c>
      <c r="M47" s="10"/>
      <c r="N47" s="10">
        <v>2</v>
      </c>
      <c r="O47" s="10">
        <v>2</v>
      </c>
      <c r="P47" s="10"/>
      <c r="Q47" s="10"/>
      <c r="R47"/>
    </row>
    <row r="48" spans="3:18" x14ac:dyDescent="0.25">
      <c r="C48"/>
      <c r="D48"/>
      <c r="E48"/>
      <c r="F48"/>
      <c r="G48"/>
      <c r="H48"/>
      <c r="I48"/>
      <c r="L48" s="91" t="s">
        <v>627</v>
      </c>
      <c r="M48" s="10"/>
      <c r="N48" s="10">
        <v>11</v>
      </c>
      <c r="O48" s="10"/>
      <c r="P48" s="10"/>
      <c r="Q48" s="10"/>
      <c r="R48"/>
    </row>
    <row r="49" spans="12:17" customFormat="1" x14ac:dyDescent="0.25">
      <c r="L49" s="91" t="s">
        <v>558</v>
      </c>
      <c r="M49" s="10"/>
      <c r="N49" s="10">
        <v>8</v>
      </c>
      <c r="O49" s="10"/>
      <c r="P49" s="10"/>
      <c r="Q49" s="10"/>
    </row>
    <row r="50" spans="12:17" customFormat="1" x14ac:dyDescent="0.25">
      <c r="L50" s="91" t="s">
        <v>561</v>
      </c>
      <c r="M50" s="10"/>
      <c r="N50" s="10"/>
      <c r="O50" s="10"/>
      <c r="P50" s="10">
        <v>8</v>
      </c>
      <c r="Q50" s="10"/>
    </row>
    <row r="51" spans="12:17" customFormat="1" x14ac:dyDescent="0.25">
      <c r="L51" s="91" t="s">
        <v>578</v>
      </c>
      <c r="M51" s="10"/>
      <c r="N51" s="10"/>
      <c r="O51" s="10"/>
      <c r="P51" s="10">
        <v>7</v>
      </c>
      <c r="Q51" s="10"/>
    </row>
    <row r="52" spans="12:17" customFormat="1" x14ac:dyDescent="0.25">
      <c r="L52" s="91" t="s">
        <v>1138</v>
      </c>
      <c r="M52" s="10"/>
      <c r="N52" s="10"/>
      <c r="O52" s="10"/>
      <c r="P52" s="10"/>
      <c r="Q52" s="10">
        <v>80</v>
      </c>
    </row>
    <row r="53" spans="12:17" customFormat="1" x14ac:dyDescent="0.25">
      <c r="L53" s="91" t="s">
        <v>1139</v>
      </c>
      <c r="M53" s="10"/>
      <c r="N53" s="10"/>
      <c r="O53" s="10"/>
      <c r="P53" s="10"/>
      <c r="Q53" s="10">
        <v>125</v>
      </c>
    </row>
    <row r="54" spans="12:17" customFormat="1" x14ac:dyDescent="0.25">
      <c r="L54" s="91" t="s">
        <v>1155</v>
      </c>
      <c r="M54" s="10"/>
      <c r="N54" s="10"/>
      <c r="O54" s="10"/>
      <c r="P54" s="10"/>
      <c r="Q54" s="10">
        <v>10</v>
      </c>
    </row>
    <row r="55" spans="12:17" customFormat="1" x14ac:dyDescent="0.25">
      <c r="L55" s="91" t="s">
        <v>1226</v>
      </c>
      <c r="M55" s="10"/>
      <c r="N55" s="10"/>
      <c r="O55" s="10"/>
      <c r="P55" s="10">
        <v>240</v>
      </c>
      <c r="Q55" s="10">
        <v>750</v>
      </c>
    </row>
    <row r="56" spans="12:17" customFormat="1" x14ac:dyDescent="0.25">
      <c r="L56" s="91" t="s">
        <v>1227</v>
      </c>
      <c r="M56" s="10"/>
      <c r="N56" s="10">
        <v>24</v>
      </c>
      <c r="O56" s="10"/>
      <c r="P56" s="10"/>
      <c r="Q56" s="10"/>
    </row>
    <row r="57" spans="12:17" customFormat="1" x14ac:dyDescent="0.25">
      <c r="L57" s="91" t="s">
        <v>1232</v>
      </c>
      <c r="M57" s="10"/>
      <c r="N57" s="10"/>
      <c r="O57" s="10"/>
      <c r="P57" s="10"/>
      <c r="Q57" s="10">
        <v>20</v>
      </c>
    </row>
    <row r="58" spans="12:17" customFormat="1" x14ac:dyDescent="0.25">
      <c r="L58" s="91" t="s">
        <v>1167</v>
      </c>
      <c r="M58" s="10"/>
      <c r="N58" s="10"/>
      <c r="O58" s="10"/>
      <c r="P58" s="10"/>
      <c r="Q58" s="10">
        <v>5</v>
      </c>
    </row>
    <row r="59" spans="12:17" customFormat="1" x14ac:dyDescent="0.25">
      <c r="L59" s="91" t="s">
        <v>1212</v>
      </c>
      <c r="M59" s="10"/>
      <c r="N59" s="10"/>
      <c r="O59" s="10"/>
      <c r="P59" s="10">
        <v>8</v>
      </c>
      <c r="Q59" s="10"/>
    </row>
    <row r="60" spans="12:17" customFormat="1" x14ac:dyDescent="0.25">
      <c r="L60" s="91" t="s">
        <v>1224</v>
      </c>
      <c r="M60" s="10"/>
      <c r="N60" s="10"/>
      <c r="O60" s="10"/>
      <c r="P60" s="10"/>
      <c r="Q60" s="10">
        <v>55</v>
      </c>
    </row>
    <row r="61" spans="12:17" customFormat="1" x14ac:dyDescent="0.25">
      <c r="L61" s="91" t="s">
        <v>1228</v>
      </c>
      <c r="M61" s="10"/>
      <c r="N61" s="10">
        <v>5</v>
      </c>
      <c r="O61" s="10"/>
      <c r="P61" s="10"/>
      <c r="Q61" s="10"/>
    </row>
    <row r="62" spans="12:17" customFormat="1" x14ac:dyDescent="0.25">
      <c r="L62" s="91" t="s">
        <v>1230</v>
      </c>
      <c r="M62" s="10"/>
      <c r="N62" s="10">
        <v>2</v>
      </c>
      <c r="O62" s="10"/>
      <c r="P62" s="10"/>
      <c r="Q62" s="10"/>
    </row>
    <row r="63" spans="12:17" customFormat="1" x14ac:dyDescent="0.25">
      <c r="L63" s="91" t="s">
        <v>1233</v>
      </c>
      <c r="M63" s="10"/>
      <c r="N63" s="10"/>
      <c r="O63" s="10"/>
      <c r="P63" s="10"/>
      <c r="Q63" s="10">
        <v>160</v>
      </c>
    </row>
    <row r="64" spans="12:17" customFormat="1" x14ac:dyDescent="0.25">
      <c r="L64" s="91" t="s">
        <v>1234</v>
      </c>
      <c r="M64" s="10"/>
      <c r="N64" s="10"/>
      <c r="O64" s="10"/>
      <c r="P64" s="10"/>
      <c r="Q64" s="10">
        <v>30</v>
      </c>
    </row>
    <row r="65" spans="3:17" customFormat="1" x14ac:dyDescent="0.25">
      <c r="L65" s="91" t="s">
        <v>637</v>
      </c>
      <c r="M65" s="10"/>
      <c r="N65" s="10"/>
      <c r="O65" s="10"/>
      <c r="P65" s="10"/>
      <c r="Q65" s="10">
        <v>160</v>
      </c>
    </row>
    <row r="66" spans="3:17" customFormat="1" x14ac:dyDescent="0.25">
      <c r="L66" s="91" t="s">
        <v>638</v>
      </c>
      <c r="M66" s="10"/>
      <c r="N66" s="10"/>
      <c r="O66" s="10"/>
      <c r="P66" s="10"/>
      <c r="Q66" s="10">
        <v>805</v>
      </c>
    </row>
    <row r="67" spans="3:17" customFormat="1" x14ac:dyDescent="0.25">
      <c r="L67" s="91" t="s">
        <v>642</v>
      </c>
      <c r="M67" s="10"/>
      <c r="N67" s="10"/>
      <c r="O67" s="10"/>
      <c r="P67" s="10">
        <v>25</v>
      </c>
      <c r="Q67" s="10"/>
    </row>
    <row r="68" spans="3:17" customFormat="1" x14ac:dyDescent="0.25">
      <c r="L68" s="91" t="s">
        <v>645</v>
      </c>
      <c r="M68" s="10"/>
      <c r="N68" s="10"/>
      <c r="O68" s="10"/>
      <c r="P68" s="10">
        <v>45</v>
      </c>
      <c r="Q68" s="10"/>
    </row>
    <row r="69" spans="3:17" customFormat="1" x14ac:dyDescent="0.25">
      <c r="L69" s="91" t="s">
        <v>649</v>
      </c>
      <c r="M69" s="10">
        <v>4</v>
      </c>
      <c r="N69" s="10"/>
      <c r="O69" s="10"/>
      <c r="P69" s="10">
        <v>48</v>
      </c>
      <c r="Q69" s="10"/>
    </row>
    <row r="70" spans="3:17" customFormat="1" x14ac:dyDescent="0.25">
      <c r="L70" s="91" t="s">
        <v>651</v>
      </c>
      <c r="M70" s="10"/>
      <c r="N70" s="10"/>
      <c r="O70" s="10">
        <v>2</v>
      </c>
      <c r="P70" s="10"/>
      <c r="Q70" s="10"/>
    </row>
    <row r="71" spans="3:17" customFormat="1" x14ac:dyDescent="0.25">
      <c r="L71" s="91" t="s">
        <v>658</v>
      </c>
      <c r="M71" s="10"/>
      <c r="N71" s="10"/>
      <c r="O71" s="10"/>
      <c r="P71" s="10">
        <v>20</v>
      </c>
      <c r="Q71" s="10"/>
    </row>
    <row r="72" spans="3:17" customFormat="1" x14ac:dyDescent="0.25">
      <c r="L72" s="91" t="s">
        <v>662</v>
      </c>
      <c r="M72" s="10"/>
      <c r="N72" s="10"/>
      <c r="O72" s="10"/>
      <c r="P72" s="10">
        <v>8</v>
      </c>
      <c r="Q72" s="10"/>
    </row>
    <row r="73" spans="3:17" customFormat="1" x14ac:dyDescent="0.25">
      <c r="L73" s="91" t="s">
        <v>659</v>
      </c>
      <c r="M73" s="10"/>
      <c r="N73" s="10"/>
      <c r="O73" s="10"/>
      <c r="P73" s="10"/>
      <c r="Q73" s="10">
        <v>185</v>
      </c>
    </row>
    <row r="74" spans="3:17" customFormat="1" x14ac:dyDescent="0.25">
      <c r="L74" s="91" t="s">
        <v>660</v>
      </c>
      <c r="M74" s="10"/>
      <c r="N74" s="10"/>
      <c r="O74" s="10"/>
      <c r="P74" s="10"/>
      <c r="Q74" s="10">
        <v>270</v>
      </c>
    </row>
    <row r="75" spans="3:17" customFormat="1" x14ac:dyDescent="0.25">
      <c r="L75" s="91" t="s">
        <v>664</v>
      </c>
      <c r="M75" s="10"/>
      <c r="N75" s="10"/>
      <c r="O75" s="10"/>
      <c r="P75" s="10">
        <v>50</v>
      </c>
      <c r="Q75" s="10"/>
    </row>
    <row r="76" spans="3:17" customFormat="1" x14ac:dyDescent="0.25">
      <c r="L76" s="91" t="s">
        <v>666</v>
      </c>
      <c r="M76" s="10"/>
      <c r="N76" s="10"/>
      <c r="O76" s="10"/>
      <c r="P76" s="10"/>
      <c r="Q76" s="10">
        <v>40</v>
      </c>
    </row>
    <row r="77" spans="3:17" customFormat="1" x14ac:dyDescent="0.25">
      <c r="L77" s="91" t="s">
        <v>672</v>
      </c>
      <c r="M77" s="10"/>
      <c r="N77" s="10"/>
      <c r="O77" s="10"/>
      <c r="P77" s="10"/>
      <c r="Q77" s="10">
        <v>250</v>
      </c>
    </row>
    <row r="78" spans="3:17" customFormat="1" x14ac:dyDescent="0.25">
      <c r="L78" s="91" t="s">
        <v>675</v>
      </c>
      <c r="M78" s="10">
        <v>4</v>
      </c>
      <c r="N78" s="10">
        <v>2</v>
      </c>
      <c r="O78" s="10">
        <v>1</v>
      </c>
      <c r="P78" s="10"/>
      <c r="Q78" s="10"/>
    </row>
    <row r="79" spans="3:17" customFormat="1" x14ac:dyDescent="0.25">
      <c r="L79" s="91" t="s">
        <v>683</v>
      </c>
      <c r="M79" s="10"/>
      <c r="N79" s="10"/>
      <c r="O79" s="10"/>
      <c r="P79" s="10"/>
      <c r="Q79" s="10">
        <v>50</v>
      </c>
    </row>
    <row r="80" spans="3:17" customFormat="1" x14ac:dyDescent="0.25">
      <c r="C80" s="87"/>
      <c r="D80" s="87"/>
      <c r="E80" s="87"/>
      <c r="F80" s="87"/>
      <c r="G80" s="87"/>
      <c r="H80" s="2"/>
      <c r="L80" s="91" t="s">
        <v>684</v>
      </c>
      <c r="M80" s="10"/>
      <c r="N80" s="10"/>
      <c r="O80" s="10"/>
      <c r="P80" s="10">
        <v>10</v>
      </c>
      <c r="Q80" s="10"/>
    </row>
    <row r="81" spans="3:18" customFormat="1" x14ac:dyDescent="0.25">
      <c r="C81" s="87"/>
      <c r="D81" s="87"/>
      <c r="E81" s="87"/>
      <c r="F81" s="87"/>
      <c r="G81" s="87"/>
      <c r="H81" s="2"/>
      <c r="L81" s="91" t="s">
        <v>685</v>
      </c>
      <c r="M81" s="10"/>
      <c r="N81" s="10"/>
      <c r="O81" s="10"/>
      <c r="P81" s="10">
        <v>42</v>
      </c>
      <c r="Q81" s="10">
        <v>80</v>
      </c>
    </row>
    <row r="82" spans="3:18" customFormat="1" x14ac:dyDescent="0.25">
      <c r="C82" s="87"/>
      <c r="D82" s="87"/>
      <c r="E82" s="87"/>
      <c r="F82" s="87"/>
      <c r="G82" s="87"/>
      <c r="H82" s="2"/>
      <c r="L82" s="91" t="s">
        <v>686</v>
      </c>
      <c r="M82" s="10"/>
      <c r="N82" s="10"/>
      <c r="O82" s="10"/>
      <c r="P82" s="10">
        <v>16</v>
      </c>
      <c r="Q82" s="10"/>
    </row>
    <row r="83" spans="3:18" customFormat="1" x14ac:dyDescent="0.25">
      <c r="C83" s="87"/>
      <c r="D83" s="87"/>
      <c r="E83" s="87"/>
      <c r="F83" s="87"/>
      <c r="G83" s="87"/>
      <c r="H83" s="2"/>
      <c r="I83" s="87"/>
      <c r="L83" s="91" t="s">
        <v>688</v>
      </c>
      <c r="M83" s="10"/>
      <c r="N83" s="10"/>
      <c r="O83" s="10"/>
      <c r="P83" s="10"/>
      <c r="Q83" s="10">
        <v>250</v>
      </c>
    </row>
    <row r="84" spans="3:18" customFormat="1" x14ac:dyDescent="0.25">
      <c r="C84" s="87"/>
      <c r="D84" s="87"/>
      <c r="E84" s="87"/>
      <c r="F84" s="87"/>
      <c r="G84" s="87"/>
      <c r="H84" s="2"/>
      <c r="I84" s="87"/>
      <c r="L84" s="91" t="s">
        <v>690</v>
      </c>
      <c r="M84" s="10"/>
      <c r="N84" s="10"/>
      <c r="O84" s="10"/>
      <c r="P84" s="10">
        <v>36</v>
      </c>
      <c r="Q84" s="10"/>
    </row>
    <row r="85" spans="3:18" customFormat="1" x14ac:dyDescent="0.25">
      <c r="C85" s="87"/>
      <c r="D85" s="87"/>
      <c r="E85" s="87"/>
      <c r="F85" s="87"/>
      <c r="G85" s="87"/>
      <c r="H85" s="2"/>
      <c r="I85" s="87"/>
      <c r="L85" s="91" t="s">
        <v>691</v>
      </c>
      <c r="M85" s="10"/>
      <c r="N85" s="10">
        <v>1</v>
      </c>
      <c r="O85" s="10"/>
      <c r="P85" s="10">
        <v>35</v>
      </c>
      <c r="Q85" s="10"/>
    </row>
    <row r="86" spans="3:18" customFormat="1" x14ac:dyDescent="0.25">
      <c r="C86" s="87"/>
      <c r="D86" s="87"/>
      <c r="E86" s="87"/>
      <c r="F86" s="87"/>
      <c r="G86" s="87"/>
      <c r="H86" s="2"/>
      <c r="I86" s="87"/>
      <c r="L86" s="91" t="s">
        <v>693</v>
      </c>
      <c r="M86" s="10"/>
      <c r="N86" s="10"/>
      <c r="O86" s="10"/>
      <c r="P86" s="10">
        <v>32</v>
      </c>
      <c r="Q86" s="10">
        <v>690</v>
      </c>
    </row>
    <row r="87" spans="3:18" customFormat="1" x14ac:dyDescent="0.25">
      <c r="C87" s="87"/>
      <c r="D87" s="87"/>
      <c r="E87" s="87"/>
      <c r="F87" s="87"/>
      <c r="G87" s="87"/>
      <c r="H87" s="2"/>
      <c r="I87" s="87"/>
      <c r="L87" s="91" t="s">
        <v>694</v>
      </c>
      <c r="M87" s="10"/>
      <c r="N87" s="10"/>
      <c r="O87" s="10"/>
      <c r="P87" s="10">
        <v>120</v>
      </c>
      <c r="Q87" s="10">
        <v>300</v>
      </c>
    </row>
    <row r="88" spans="3:18" x14ac:dyDescent="0.25">
      <c r="L88" s="91" t="s">
        <v>696</v>
      </c>
      <c r="M88" s="10"/>
      <c r="N88" s="10"/>
      <c r="O88" s="10"/>
      <c r="P88" s="10"/>
      <c r="Q88" s="10">
        <v>1000</v>
      </c>
      <c r="R88"/>
    </row>
    <row r="89" spans="3:18" x14ac:dyDescent="0.25">
      <c r="L89" s="91" t="s">
        <v>706</v>
      </c>
      <c r="M89" s="10"/>
      <c r="N89" s="10"/>
      <c r="O89" s="10"/>
      <c r="P89" s="10"/>
      <c r="Q89" s="10">
        <v>100</v>
      </c>
      <c r="R89"/>
    </row>
    <row r="90" spans="3:18" x14ac:dyDescent="0.25">
      <c r="L90" s="91" t="s">
        <v>712</v>
      </c>
      <c r="M90" s="10"/>
      <c r="N90" s="10"/>
      <c r="O90" s="10"/>
      <c r="P90" s="10">
        <v>240</v>
      </c>
      <c r="Q90" s="10"/>
      <c r="R90"/>
    </row>
    <row r="91" spans="3:18" x14ac:dyDescent="0.25">
      <c r="L91" s="91" t="s">
        <v>718</v>
      </c>
      <c r="M91" s="10"/>
      <c r="N91" s="10"/>
      <c r="O91" s="10"/>
      <c r="P91" s="10"/>
      <c r="Q91" s="10">
        <v>65</v>
      </c>
      <c r="R91"/>
    </row>
    <row r="92" spans="3:18" x14ac:dyDescent="0.25">
      <c r="L92" s="91" t="s">
        <v>725</v>
      </c>
      <c r="M92" s="10"/>
      <c r="N92" s="10"/>
      <c r="O92" s="10"/>
      <c r="P92" s="10">
        <v>16</v>
      </c>
      <c r="Q92" s="10"/>
      <c r="R92"/>
    </row>
    <row r="93" spans="3:18" x14ac:dyDescent="0.25">
      <c r="L93" s="91" t="s">
        <v>728</v>
      </c>
      <c r="M93" s="10"/>
      <c r="N93" s="10">
        <v>30</v>
      </c>
      <c r="O93" s="10">
        <v>16</v>
      </c>
      <c r="P93" s="10"/>
      <c r="Q93" s="10"/>
      <c r="R93"/>
    </row>
    <row r="94" spans="3:18" x14ac:dyDescent="0.25">
      <c r="L94" s="91" t="s">
        <v>732</v>
      </c>
      <c r="M94" s="10"/>
      <c r="N94" s="10"/>
      <c r="O94" s="10"/>
      <c r="P94" s="10"/>
      <c r="Q94" s="10">
        <v>35</v>
      </c>
      <c r="R94"/>
    </row>
    <row r="95" spans="3:18" x14ac:dyDescent="0.25">
      <c r="L95" s="91" t="s">
        <v>692</v>
      </c>
      <c r="M95" s="10">
        <v>2</v>
      </c>
      <c r="N95" s="10"/>
      <c r="O95" s="10"/>
      <c r="P95" s="10"/>
      <c r="Q95" s="10"/>
      <c r="R95"/>
    </row>
    <row r="96" spans="3:18" x14ac:dyDescent="0.25">
      <c r="L96" s="91" t="s">
        <v>677</v>
      </c>
      <c r="M96" s="10"/>
      <c r="N96" s="10">
        <v>2</v>
      </c>
      <c r="O96" s="10"/>
      <c r="P96" s="10"/>
      <c r="Q96" s="10"/>
      <c r="R96"/>
    </row>
    <row r="97" spans="12:18" x14ac:dyDescent="0.25">
      <c r="L97" s="91" t="s">
        <v>707</v>
      </c>
      <c r="M97" s="10"/>
      <c r="N97" s="10">
        <v>16</v>
      </c>
      <c r="O97" s="10"/>
      <c r="P97" s="10"/>
      <c r="Q97" s="10"/>
      <c r="R97"/>
    </row>
    <row r="98" spans="12:18" x14ac:dyDescent="0.25">
      <c r="L98" s="91" t="s">
        <v>708</v>
      </c>
      <c r="M98" s="10"/>
      <c r="N98" s="10"/>
      <c r="O98" s="10"/>
      <c r="P98" s="10"/>
      <c r="Q98" s="10">
        <v>20</v>
      </c>
      <c r="R98"/>
    </row>
    <row r="99" spans="12:18" x14ac:dyDescent="0.25">
      <c r="L99" s="91" t="s">
        <v>714</v>
      </c>
      <c r="M99" s="10"/>
      <c r="N99" s="10">
        <v>10</v>
      </c>
      <c r="O99" s="10"/>
      <c r="P99" s="10"/>
      <c r="Q99" s="10"/>
      <c r="R99"/>
    </row>
    <row r="100" spans="12:18" x14ac:dyDescent="0.25">
      <c r="L100" s="91" t="s">
        <v>724</v>
      </c>
      <c r="M100" s="10"/>
      <c r="N100" s="10"/>
      <c r="O100" s="10"/>
      <c r="P100" s="10"/>
      <c r="Q100" s="10">
        <v>35</v>
      </c>
      <c r="R100"/>
    </row>
    <row r="101" spans="12:18" x14ac:dyDescent="0.25">
      <c r="L101"/>
      <c r="M101"/>
      <c r="N101"/>
      <c r="O101"/>
      <c r="P101"/>
      <c r="Q101"/>
      <c r="R101"/>
    </row>
    <row r="102" spans="12:18" x14ac:dyDescent="0.25">
      <c r="L102"/>
      <c r="M102"/>
      <c r="N102"/>
      <c r="O102"/>
      <c r="P102"/>
      <c r="Q102"/>
      <c r="R102"/>
    </row>
    <row r="103" spans="12:18" x14ac:dyDescent="0.25">
      <c r="L103"/>
      <c r="M103"/>
      <c r="N103"/>
      <c r="O103"/>
      <c r="P103"/>
      <c r="Q103"/>
      <c r="R103"/>
    </row>
    <row r="104" spans="12:18" x14ac:dyDescent="0.25">
      <c r="L104"/>
      <c r="M104"/>
      <c r="N104"/>
      <c r="O104"/>
      <c r="P104"/>
      <c r="Q104"/>
      <c r="R104"/>
    </row>
    <row r="105" spans="12:18" x14ac:dyDescent="0.25">
      <c r="L105"/>
      <c r="M105"/>
      <c r="N105"/>
      <c r="O105"/>
      <c r="P105"/>
      <c r="Q105"/>
      <c r="R105"/>
    </row>
    <row r="106" spans="12:18" x14ac:dyDescent="0.25">
      <c r="L106"/>
      <c r="M106"/>
      <c r="N106"/>
      <c r="O106"/>
      <c r="P106"/>
      <c r="Q106"/>
      <c r="R106"/>
    </row>
    <row r="107" spans="12:18" x14ac:dyDescent="0.25">
      <c r="L107"/>
      <c r="M107"/>
      <c r="N107"/>
      <c r="O107"/>
      <c r="P107"/>
      <c r="Q107"/>
      <c r="R107"/>
    </row>
    <row r="108" spans="12:18" x14ac:dyDescent="0.25">
      <c r="L108"/>
      <c r="M108"/>
      <c r="N108"/>
      <c r="O108"/>
      <c r="P108"/>
      <c r="Q108"/>
      <c r="R108"/>
    </row>
    <row r="109" spans="12:18" x14ac:dyDescent="0.25">
      <c r="L109"/>
      <c r="M109"/>
      <c r="N109"/>
      <c r="O109"/>
      <c r="P109"/>
      <c r="Q109"/>
      <c r="R109"/>
    </row>
    <row r="110" spans="12:18" x14ac:dyDescent="0.25">
      <c r="L110"/>
      <c r="M110"/>
      <c r="N110"/>
      <c r="O110"/>
      <c r="P110"/>
      <c r="Q110"/>
      <c r="R110"/>
    </row>
    <row r="111" spans="12:18" x14ac:dyDescent="0.25">
      <c r="L111"/>
      <c r="M111"/>
      <c r="N111"/>
      <c r="O111"/>
      <c r="P111"/>
      <c r="Q111"/>
      <c r="R111"/>
    </row>
    <row r="112" spans="12:18" x14ac:dyDescent="0.25">
      <c r="L112"/>
      <c r="M112"/>
      <c r="N112"/>
      <c r="O112"/>
      <c r="P112"/>
      <c r="Q112"/>
      <c r="R112"/>
    </row>
    <row r="113" spans="12:18" x14ac:dyDescent="0.25">
      <c r="L113"/>
      <c r="M113"/>
      <c r="N113"/>
      <c r="O113"/>
      <c r="P113"/>
      <c r="Q113"/>
      <c r="R113"/>
    </row>
    <row r="114" spans="12:18" x14ac:dyDescent="0.25">
      <c r="L114"/>
      <c r="M114"/>
      <c r="N114"/>
      <c r="O114"/>
      <c r="P114"/>
      <c r="Q114"/>
      <c r="R114"/>
    </row>
    <row r="115" spans="12:18" x14ac:dyDescent="0.25">
      <c r="L115"/>
      <c r="M115"/>
      <c r="N115"/>
      <c r="O115"/>
      <c r="P115"/>
      <c r="Q115"/>
      <c r="R115"/>
    </row>
    <row r="116" spans="12:18" x14ac:dyDescent="0.25">
      <c r="L116"/>
      <c r="M116"/>
      <c r="N116"/>
      <c r="O116"/>
      <c r="P116"/>
      <c r="Q116"/>
      <c r="R116"/>
    </row>
    <row r="117" spans="12:18" x14ac:dyDescent="0.25">
      <c r="L117"/>
      <c r="M117"/>
      <c r="N117"/>
      <c r="O117"/>
      <c r="P117"/>
      <c r="Q117"/>
      <c r="R117"/>
    </row>
    <row r="118" spans="12:18" x14ac:dyDescent="0.25">
      <c r="L118"/>
      <c r="M118"/>
      <c r="N118"/>
      <c r="O118"/>
      <c r="P118"/>
      <c r="Q118"/>
      <c r="R118"/>
    </row>
    <row r="119" spans="12:18" x14ac:dyDescent="0.25">
      <c r="L119"/>
      <c r="M119"/>
      <c r="N119"/>
      <c r="O119"/>
      <c r="P119"/>
      <c r="Q119"/>
      <c r="R119"/>
    </row>
    <row r="120" spans="12:18" x14ac:dyDescent="0.25">
      <c r="L120"/>
      <c r="M120"/>
      <c r="N120"/>
      <c r="O120"/>
      <c r="P120"/>
      <c r="Q120"/>
      <c r="R120"/>
    </row>
    <row r="121" spans="12:18" x14ac:dyDescent="0.25">
      <c r="L121"/>
      <c r="M121"/>
      <c r="N121"/>
      <c r="O121"/>
      <c r="P121"/>
      <c r="Q121"/>
      <c r="R121"/>
    </row>
    <row r="122" spans="12:18" x14ac:dyDescent="0.25">
      <c r="L122"/>
      <c r="M122"/>
      <c r="N122"/>
      <c r="O122"/>
      <c r="P122"/>
      <c r="Q122"/>
      <c r="R122"/>
    </row>
    <row r="123" spans="12:18" x14ac:dyDescent="0.25">
      <c r="L123"/>
      <c r="M123"/>
      <c r="N123"/>
      <c r="O123"/>
      <c r="P123"/>
      <c r="Q123"/>
      <c r="R123"/>
    </row>
    <row r="124" spans="12:18" x14ac:dyDescent="0.25">
      <c r="L124"/>
      <c r="M124"/>
      <c r="N124"/>
      <c r="O124"/>
      <c r="P124"/>
      <c r="Q124"/>
      <c r="R124"/>
    </row>
    <row r="125" spans="12:18" x14ac:dyDescent="0.25">
      <c r="L125"/>
      <c r="M125"/>
      <c r="N125"/>
      <c r="O125"/>
      <c r="P125"/>
      <c r="Q125"/>
      <c r="R125"/>
    </row>
    <row r="126" spans="12:18" x14ac:dyDescent="0.25">
      <c r="L126"/>
      <c r="M126"/>
      <c r="N126"/>
      <c r="O126"/>
      <c r="P126"/>
      <c r="Q126"/>
      <c r="R126"/>
    </row>
    <row r="127" spans="12:18" x14ac:dyDescent="0.25">
      <c r="L127"/>
      <c r="M127"/>
      <c r="N127"/>
      <c r="O127"/>
      <c r="P127"/>
      <c r="Q127"/>
      <c r="R127"/>
    </row>
    <row r="128" spans="12:18" x14ac:dyDescent="0.25">
      <c r="L128"/>
      <c r="M128"/>
      <c r="N128"/>
      <c r="O128"/>
      <c r="P128"/>
      <c r="Q128"/>
      <c r="R128"/>
    </row>
    <row r="129" spans="12:18" x14ac:dyDescent="0.25">
      <c r="L129"/>
      <c r="M129"/>
      <c r="N129"/>
      <c r="O129"/>
      <c r="P129"/>
      <c r="Q129"/>
      <c r="R129"/>
    </row>
    <row r="130" spans="12:18" x14ac:dyDescent="0.25">
      <c r="L130"/>
      <c r="M130"/>
      <c r="N130"/>
      <c r="O130"/>
      <c r="P130"/>
      <c r="Q130"/>
      <c r="R130"/>
    </row>
    <row r="131" spans="12:18" x14ac:dyDescent="0.25">
      <c r="L131"/>
      <c r="M131"/>
      <c r="N131"/>
      <c r="O131"/>
      <c r="P131"/>
      <c r="Q131"/>
      <c r="R131"/>
    </row>
    <row r="132" spans="12:18" x14ac:dyDescent="0.25">
      <c r="L132"/>
      <c r="M132"/>
      <c r="N132"/>
      <c r="O132"/>
      <c r="P132"/>
      <c r="Q132"/>
      <c r="R132"/>
    </row>
    <row r="133" spans="12:18" x14ac:dyDescent="0.25">
      <c r="L133"/>
      <c r="M133"/>
      <c r="N133"/>
      <c r="O133"/>
      <c r="P133"/>
      <c r="Q133"/>
      <c r="R133"/>
    </row>
    <row r="134" spans="12:18" x14ac:dyDescent="0.25">
      <c r="L134"/>
      <c r="M134"/>
      <c r="N134"/>
      <c r="O134"/>
      <c r="P134"/>
      <c r="Q134"/>
      <c r="R134"/>
    </row>
    <row r="135" spans="12:18" x14ac:dyDescent="0.25">
      <c r="L135"/>
      <c r="M135"/>
      <c r="N135"/>
      <c r="O135"/>
      <c r="P135"/>
      <c r="Q135"/>
      <c r="R135"/>
    </row>
    <row r="136" spans="12:18" x14ac:dyDescent="0.25">
      <c r="L136"/>
      <c r="M136"/>
      <c r="N136"/>
      <c r="O136"/>
      <c r="P136"/>
      <c r="Q136"/>
      <c r="R136"/>
    </row>
    <row r="137" spans="12:18" x14ac:dyDescent="0.25">
      <c r="L137"/>
      <c r="M137"/>
      <c r="N137"/>
      <c r="O137"/>
      <c r="P137"/>
      <c r="Q137"/>
      <c r="R137"/>
    </row>
    <row r="138" spans="12:18" x14ac:dyDescent="0.25">
      <c r="L138"/>
      <c r="M138"/>
      <c r="N138"/>
      <c r="O138"/>
      <c r="P138"/>
      <c r="Q138"/>
      <c r="R138"/>
    </row>
    <row r="139" spans="12:18" x14ac:dyDescent="0.25">
      <c r="L139"/>
      <c r="M139"/>
      <c r="N139"/>
      <c r="O139"/>
      <c r="P139"/>
      <c r="Q139"/>
      <c r="R139"/>
    </row>
    <row r="140" spans="12:18" x14ac:dyDescent="0.25">
      <c r="L140"/>
      <c r="M140"/>
      <c r="N140"/>
      <c r="O140"/>
      <c r="P140"/>
      <c r="Q140"/>
      <c r="R140"/>
    </row>
    <row r="141" spans="12:18" x14ac:dyDescent="0.25">
      <c r="L141"/>
      <c r="M141"/>
      <c r="N141"/>
      <c r="O141"/>
      <c r="P141"/>
      <c r="Q141"/>
      <c r="R141"/>
    </row>
    <row r="142" spans="12:18" x14ac:dyDescent="0.25">
      <c r="L142"/>
      <c r="M142"/>
      <c r="N142"/>
      <c r="O142"/>
      <c r="P142"/>
      <c r="Q142"/>
      <c r="R142"/>
    </row>
    <row r="143" spans="12:18" x14ac:dyDescent="0.25">
      <c r="L143"/>
      <c r="M143"/>
      <c r="N143"/>
      <c r="O143"/>
      <c r="P143"/>
      <c r="Q143"/>
      <c r="R143"/>
    </row>
    <row r="144" spans="12:18" x14ac:dyDescent="0.25">
      <c r="L144"/>
      <c r="M144"/>
      <c r="N144"/>
      <c r="O144"/>
      <c r="P144"/>
      <c r="Q144"/>
      <c r="R144"/>
    </row>
    <row r="145" spans="12:18" x14ac:dyDescent="0.25">
      <c r="L145"/>
      <c r="M145"/>
      <c r="N145"/>
      <c r="O145"/>
      <c r="P145"/>
      <c r="Q145"/>
      <c r="R145"/>
    </row>
    <row r="146" spans="12:18" x14ac:dyDescent="0.25">
      <c r="L146"/>
      <c r="M146"/>
      <c r="N146"/>
      <c r="O146"/>
      <c r="P146"/>
      <c r="Q146"/>
      <c r="R146"/>
    </row>
    <row r="147" spans="12:18" x14ac:dyDescent="0.25">
      <c r="L147"/>
      <c r="M147"/>
      <c r="N147"/>
      <c r="O147"/>
      <c r="P147"/>
      <c r="Q147"/>
      <c r="R147"/>
    </row>
    <row r="148" spans="12:18" x14ac:dyDescent="0.25">
      <c r="L148"/>
      <c r="M148"/>
      <c r="N148"/>
      <c r="O148"/>
      <c r="P148"/>
      <c r="Q148"/>
      <c r="R148"/>
    </row>
    <row r="149" spans="12:18" x14ac:dyDescent="0.25">
      <c r="L149"/>
      <c r="M149"/>
      <c r="N149"/>
      <c r="O149"/>
      <c r="P149"/>
      <c r="Q149"/>
      <c r="R149"/>
    </row>
    <row r="150" spans="12:18" x14ac:dyDescent="0.25">
      <c r="L150"/>
      <c r="M150"/>
      <c r="N150"/>
      <c r="O150"/>
      <c r="P150"/>
      <c r="Q150"/>
      <c r="R150"/>
    </row>
    <row r="151" spans="12:18" x14ac:dyDescent="0.25">
      <c r="L151"/>
      <c r="M151"/>
      <c r="N151"/>
      <c r="O151"/>
      <c r="P151"/>
      <c r="Q151"/>
      <c r="R151"/>
    </row>
    <row r="152" spans="12:18" x14ac:dyDescent="0.25">
      <c r="L152"/>
      <c r="M152"/>
      <c r="N152"/>
      <c r="O152"/>
      <c r="P152"/>
      <c r="Q152"/>
      <c r="R152"/>
    </row>
    <row r="153" spans="12:18" x14ac:dyDescent="0.25">
      <c r="L153"/>
      <c r="M153"/>
      <c r="N153"/>
      <c r="O153"/>
      <c r="P153"/>
      <c r="Q153"/>
      <c r="R153"/>
    </row>
    <row r="154" spans="12:18" x14ac:dyDescent="0.25">
      <c r="L154"/>
      <c r="M154"/>
      <c r="N154"/>
      <c r="O154"/>
      <c r="P154"/>
      <c r="Q154"/>
      <c r="R154"/>
    </row>
    <row r="155" spans="12:18" x14ac:dyDescent="0.25">
      <c r="L155"/>
      <c r="M155"/>
      <c r="N155"/>
      <c r="O155"/>
      <c r="P155"/>
      <c r="Q155"/>
      <c r="R155"/>
    </row>
    <row r="156" spans="12:18" x14ac:dyDescent="0.25">
      <c r="L156"/>
      <c r="M156"/>
      <c r="N156"/>
      <c r="O156"/>
      <c r="P156"/>
      <c r="Q156"/>
      <c r="R156"/>
    </row>
    <row r="157" spans="12:18" x14ac:dyDescent="0.25">
      <c r="L157"/>
      <c r="M157"/>
      <c r="N157"/>
      <c r="O157"/>
      <c r="P157"/>
      <c r="Q157"/>
      <c r="R157"/>
    </row>
    <row r="158" spans="12:18" x14ac:dyDescent="0.25">
      <c r="L158"/>
      <c r="M158"/>
      <c r="N158"/>
      <c r="O158"/>
      <c r="P158"/>
      <c r="Q158"/>
      <c r="R158"/>
    </row>
    <row r="159" spans="12:18" x14ac:dyDescent="0.25">
      <c r="L159"/>
      <c r="M159"/>
      <c r="N159"/>
      <c r="O159"/>
      <c r="P159"/>
      <c r="Q159"/>
      <c r="R159"/>
    </row>
    <row r="160" spans="12:18" x14ac:dyDescent="0.25">
      <c r="L160"/>
      <c r="M160"/>
      <c r="N160"/>
      <c r="O160"/>
      <c r="P160"/>
      <c r="Q160"/>
      <c r="R160"/>
    </row>
    <row r="161" spans="12:18" x14ac:dyDescent="0.25">
      <c r="L161"/>
      <c r="M161"/>
      <c r="N161"/>
      <c r="O161"/>
      <c r="P161"/>
      <c r="Q161"/>
      <c r="R161"/>
    </row>
    <row r="162" spans="12:18" x14ac:dyDescent="0.25">
      <c r="L162"/>
      <c r="M162"/>
      <c r="N162"/>
      <c r="O162"/>
      <c r="P162"/>
      <c r="Q162"/>
      <c r="R162"/>
    </row>
    <row r="163" spans="12:18" x14ac:dyDescent="0.25">
      <c r="L163"/>
      <c r="M163"/>
      <c r="N163"/>
      <c r="O163"/>
      <c r="P163"/>
      <c r="Q163"/>
      <c r="R163"/>
    </row>
    <row r="164" spans="12:18" x14ac:dyDescent="0.25">
      <c r="L164"/>
      <c r="M164"/>
      <c r="N164"/>
      <c r="O164"/>
      <c r="P164"/>
      <c r="Q164"/>
      <c r="R164"/>
    </row>
    <row r="165" spans="12:18" x14ac:dyDescent="0.25">
      <c r="L165"/>
      <c r="M165"/>
      <c r="N165"/>
      <c r="O165"/>
      <c r="P165"/>
      <c r="Q165"/>
      <c r="R165"/>
    </row>
    <row r="166" spans="12:18" x14ac:dyDescent="0.25">
      <c r="L166"/>
      <c r="M166"/>
      <c r="N166"/>
      <c r="O166"/>
      <c r="P166"/>
      <c r="Q166"/>
      <c r="R166"/>
    </row>
    <row r="167" spans="12:18" x14ac:dyDescent="0.25">
      <c r="L167"/>
      <c r="M167"/>
      <c r="N167"/>
      <c r="O167"/>
      <c r="P167"/>
      <c r="Q167"/>
      <c r="R167"/>
    </row>
    <row r="168" spans="12:18" x14ac:dyDescent="0.25">
      <c r="L168"/>
      <c r="M168"/>
      <c r="N168"/>
      <c r="O168"/>
      <c r="P168"/>
      <c r="Q168"/>
      <c r="R168"/>
    </row>
    <row r="169" spans="12:18" x14ac:dyDescent="0.25">
      <c r="L169"/>
      <c r="M169"/>
      <c r="N169"/>
      <c r="O169"/>
      <c r="P169"/>
      <c r="Q169"/>
      <c r="R169"/>
    </row>
    <row r="170" spans="12:18" x14ac:dyDescent="0.25">
      <c r="L170"/>
      <c r="M170"/>
      <c r="N170"/>
      <c r="O170"/>
      <c r="P170"/>
      <c r="Q170"/>
      <c r="R170"/>
    </row>
    <row r="171" spans="12:18" x14ac:dyDescent="0.25">
      <c r="L171"/>
      <c r="M171"/>
      <c r="N171"/>
      <c r="O171"/>
      <c r="P171"/>
      <c r="Q171"/>
      <c r="R171"/>
    </row>
    <row r="172" spans="12:18" x14ac:dyDescent="0.25">
      <c r="L172"/>
      <c r="M172"/>
      <c r="N172"/>
      <c r="O172"/>
      <c r="P172"/>
      <c r="Q172"/>
      <c r="R172"/>
    </row>
    <row r="173" spans="12:18" x14ac:dyDescent="0.25">
      <c r="L173"/>
      <c r="M173"/>
      <c r="N173"/>
      <c r="O173"/>
      <c r="P173"/>
      <c r="Q173"/>
      <c r="R173"/>
    </row>
    <row r="174" spans="12:18" x14ac:dyDescent="0.25">
      <c r="L174"/>
      <c r="M174"/>
      <c r="N174"/>
      <c r="O174"/>
      <c r="P174"/>
      <c r="Q174"/>
      <c r="R174"/>
    </row>
    <row r="175" spans="12:18" x14ac:dyDescent="0.25">
      <c r="L175"/>
      <c r="M175"/>
      <c r="N175"/>
      <c r="O175"/>
      <c r="P175"/>
      <c r="Q175"/>
      <c r="R175"/>
    </row>
    <row r="176" spans="12:18" x14ac:dyDescent="0.25">
      <c r="L176"/>
      <c r="M176"/>
      <c r="N176"/>
      <c r="O176"/>
      <c r="P176"/>
      <c r="Q176"/>
      <c r="R176"/>
    </row>
    <row r="177" spans="12:18" x14ac:dyDescent="0.25">
      <c r="L177"/>
      <c r="M177"/>
      <c r="N177"/>
      <c r="O177"/>
      <c r="P177"/>
      <c r="Q177"/>
      <c r="R177"/>
    </row>
    <row r="178" spans="12:18" x14ac:dyDescent="0.25">
      <c r="L178"/>
      <c r="M178"/>
      <c r="N178"/>
      <c r="O178"/>
      <c r="P178"/>
      <c r="Q178"/>
      <c r="R178"/>
    </row>
    <row r="179" spans="12:18" x14ac:dyDescent="0.25">
      <c r="L179"/>
      <c r="M179"/>
      <c r="N179"/>
      <c r="O179"/>
      <c r="P179"/>
      <c r="Q179"/>
      <c r="R179"/>
    </row>
    <row r="180" spans="12:18" x14ac:dyDescent="0.25">
      <c r="L180"/>
      <c r="M180"/>
      <c r="N180"/>
      <c r="O180"/>
      <c r="P180"/>
      <c r="Q180"/>
      <c r="R180"/>
    </row>
    <row r="181" spans="12:18" x14ac:dyDescent="0.25">
      <c r="L181"/>
      <c r="M181"/>
      <c r="N181"/>
      <c r="O181"/>
      <c r="P181"/>
      <c r="Q181"/>
      <c r="R181"/>
    </row>
    <row r="182" spans="12:18" x14ac:dyDescent="0.25">
      <c r="L182"/>
      <c r="M182"/>
      <c r="N182"/>
      <c r="O182"/>
      <c r="P182"/>
      <c r="Q182"/>
      <c r="R182"/>
    </row>
    <row r="183" spans="12:18" x14ac:dyDescent="0.25">
      <c r="L183"/>
      <c r="M183"/>
      <c r="N183"/>
      <c r="O183"/>
      <c r="P183"/>
      <c r="Q183"/>
      <c r="R183"/>
    </row>
    <row r="184" spans="12:18" x14ac:dyDescent="0.25">
      <c r="L184"/>
      <c r="M184"/>
      <c r="N184"/>
      <c r="O184"/>
      <c r="P184"/>
      <c r="Q184"/>
      <c r="R184"/>
    </row>
    <row r="185" spans="12:18" x14ac:dyDescent="0.25">
      <c r="L185"/>
      <c r="M185"/>
      <c r="N185"/>
      <c r="O185"/>
      <c r="P185"/>
      <c r="Q185"/>
      <c r="R185"/>
    </row>
    <row r="186" spans="12:18" x14ac:dyDescent="0.25">
      <c r="L186"/>
      <c r="M186"/>
      <c r="N186"/>
      <c r="O186"/>
      <c r="P186"/>
      <c r="Q186"/>
      <c r="R186"/>
    </row>
    <row r="187" spans="12:18" x14ac:dyDescent="0.25">
      <c r="L187"/>
      <c r="M187"/>
      <c r="N187"/>
      <c r="O187"/>
      <c r="P187"/>
      <c r="Q187"/>
      <c r="R187"/>
    </row>
    <row r="188" spans="12:18" x14ac:dyDescent="0.25">
      <c r="L188"/>
      <c r="M188"/>
      <c r="N188"/>
      <c r="O188"/>
      <c r="P188"/>
      <c r="Q188"/>
      <c r="R188"/>
    </row>
    <row r="189" spans="12:18" x14ac:dyDescent="0.25">
      <c r="L189"/>
      <c r="M189"/>
      <c r="N189"/>
      <c r="O189"/>
      <c r="P189"/>
      <c r="Q189"/>
      <c r="R189"/>
    </row>
    <row r="190" spans="12:18" x14ac:dyDescent="0.25">
      <c r="L190"/>
      <c r="M190"/>
      <c r="N190"/>
      <c r="O190"/>
      <c r="P190"/>
      <c r="Q190"/>
      <c r="R190"/>
    </row>
    <row r="191" spans="12:18" x14ac:dyDescent="0.25">
      <c r="L191"/>
      <c r="M191"/>
      <c r="N191"/>
      <c r="O191"/>
      <c r="P191"/>
      <c r="Q191"/>
      <c r="R191"/>
    </row>
    <row r="192" spans="12:18" x14ac:dyDescent="0.25">
      <c r="L192"/>
      <c r="M192"/>
      <c r="N192"/>
      <c r="O192"/>
      <c r="P192"/>
      <c r="Q192"/>
      <c r="R192"/>
    </row>
    <row r="193" spans="12:18" x14ac:dyDescent="0.25">
      <c r="L193"/>
      <c r="M193"/>
      <c r="N193"/>
      <c r="O193"/>
      <c r="P193"/>
      <c r="Q193"/>
      <c r="R193"/>
    </row>
    <row r="194" spans="12:18" x14ac:dyDescent="0.25">
      <c r="L194"/>
      <c r="M194"/>
      <c r="N194"/>
      <c r="O194"/>
      <c r="P194"/>
      <c r="Q194"/>
      <c r="R194"/>
    </row>
    <row r="195" spans="12:18" x14ac:dyDescent="0.25">
      <c r="L195"/>
      <c r="M195"/>
      <c r="N195"/>
      <c r="O195"/>
      <c r="P195"/>
      <c r="Q195"/>
      <c r="R195"/>
    </row>
    <row r="196" spans="12:18" x14ac:dyDescent="0.25">
      <c r="L196"/>
      <c r="M196"/>
      <c r="N196"/>
      <c r="O196"/>
      <c r="P196"/>
      <c r="Q196"/>
      <c r="R196"/>
    </row>
    <row r="197" spans="12:18" x14ac:dyDescent="0.25">
      <c r="L197"/>
      <c r="M197"/>
      <c r="N197"/>
      <c r="O197"/>
      <c r="P197"/>
      <c r="Q197"/>
      <c r="R197"/>
    </row>
    <row r="198" spans="12:18" x14ac:dyDescent="0.25">
      <c r="L198"/>
      <c r="M198"/>
      <c r="N198"/>
      <c r="O198"/>
      <c r="P198"/>
      <c r="Q198"/>
      <c r="R198"/>
    </row>
    <row r="199" spans="12:18" x14ac:dyDescent="0.25">
      <c r="L199"/>
      <c r="M199"/>
      <c r="N199"/>
      <c r="O199"/>
      <c r="P199"/>
      <c r="Q199"/>
      <c r="R199"/>
    </row>
    <row r="200" spans="12:18" x14ac:dyDescent="0.25">
      <c r="L200"/>
      <c r="M200"/>
      <c r="N200"/>
      <c r="O200"/>
      <c r="P200"/>
      <c r="Q200"/>
      <c r="R200"/>
    </row>
    <row r="201" spans="12:18" x14ac:dyDescent="0.25">
      <c r="L201"/>
      <c r="M201"/>
      <c r="N201"/>
      <c r="O201"/>
      <c r="P201"/>
      <c r="Q201"/>
      <c r="R201"/>
    </row>
    <row r="202" spans="12:18" x14ac:dyDescent="0.25">
      <c r="L202"/>
      <c r="M202"/>
      <c r="N202"/>
      <c r="O202"/>
      <c r="P202"/>
      <c r="Q202"/>
      <c r="R202"/>
    </row>
    <row r="203" spans="12:18" x14ac:dyDescent="0.25">
      <c r="L203"/>
      <c r="M203"/>
      <c r="N203"/>
      <c r="O203"/>
      <c r="P203"/>
      <c r="Q203"/>
      <c r="R203"/>
    </row>
    <row r="204" spans="12:18" x14ac:dyDescent="0.25">
      <c r="L204"/>
      <c r="M204"/>
      <c r="N204"/>
      <c r="O204"/>
      <c r="P204"/>
      <c r="Q204"/>
      <c r="R204"/>
    </row>
    <row r="205" spans="12:18" x14ac:dyDescent="0.25">
      <c r="L205"/>
      <c r="M205"/>
      <c r="N205"/>
      <c r="O205"/>
      <c r="P205"/>
      <c r="Q205"/>
      <c r="R205"/>
    </row>
    <row r="206" spans="12:18" x14ac:dyDescent="0.25">
      <c r="L206"/>
      <c r="M206"/>
      <c r="N206"/>
      <c r="O206"/>
      <c r="P206"/>
      <c r="Q206"/>
      <c r="R206"/>
    </row>
    <row r="207" spans="12:18" x14ac:dyDescent="0.25">
      <c r="L207"/>
      <c r="M207"/>
      <c r="N207"/>
      <c r="O207"/>
      <c r="P207"/>
      <c r="Q207"/>
      <c r="R207"/>
    </row>
    <row r="208" spans="12:18" x14ac:dyDescent="0.25">
      <c r="L208"/>
      <c r="M208"/>
      <c r="N208"/>
      <c r="O208"/>
      <c r="P208"/>
      <c r="Q208"/>
      <c r="R208"/>
    </row>
    <row r="209" spans="12:18" x14ac:dyDescent="0.25">
      <c r="L209"/>
      <c r="M209"/>
      <c r="N209"/>
      <c r="O209"/>
      <c r="P209"/>
      <c r="Q209"/>
      <c r="R209"/>
    </row>
    <row r="210" spans="12:18" x14ac:dyDescent="0.25">
      <c r="L210"/>
      <c r="M210"/>
      <c r="N210"/>
      <c r="O210"/>
      <c r="P210"/>
      <c r="Q210"/>
      <c r="R210"/>
    </row>
    <row r="211" spans="12:18" x14ac:dyDescent="0.25">
      <c r="L211"/>
      <c r="M211"/>
      <c r="N211"/>
      <c r="O211"/>
      <c r="P211"/>
      <c r="Q211"/>
      <c r="R211"/>
    </row>
    <row r="212" spans="12:18" x14ac:dyDescent="0.25">
      <c r="L212"/>
      <c r="M212"/>
      <c r="N212"/>
      <c r="O212"/>
      <c r="P212"/>
      <c r="Q212"/>
      <c r="R212"/>
    </row>
    <row r="213" spans="12:18" x14ac:dyDescent="0.25">
      <c r="L213"/>
      <c r="M213"/>
      <c r="N213"/>
      <c r="O213"/>
      <c r="P213"/>
      <c r="Q213"/>
      <c r="R213"/>
    </row>
    <row r="214" spans="12:18" x14ac:dyDescent="0.25">
      <c r="L214"/>
      <c r="M214"/>
      <c r="N214"/>
      <c r="O214"/>
      <c r="P214"/>
      <c r="Q214"/>
      <c r="R214"/>
    </row>
    <row r="215" spans="12:18" x14ac:dyDescent="0.25">
      <c r="L215"/>
      <c r="M215"/>
      <c r="N215"/>
      <c r="O215"/>
      <c r="P215"/>
      <c r="Q215"/>
      <c r="R215"/>
    </row>
    <row r="216" spans="12:18" x14ac:dyDescent="0.25">
      <c r="L216"/>
      <c r="M216"/>
      <c r="N216"/>
      <c r="O216"/>
      <c r="P216"/>
      <c r="Q216"/>
      <c r="R216"/>
    </row>
    <row r="217" spans="12:18" x14ac:dyDescent="0.25">
      <c r="L217"/>
      <c r="M217"/>
      <c r="N217"/>
      <c r="O217"/>
      <c r="P217"/>
      <c r="Q217"/>
      <c r="R217"/>
    </row>
    <row r="218" spans="12:18" x14ac:dyDescent="0.25">
      <c r="L218"/>
      <c r="M218"/>
      <c r="N218"/>
      <c r="O218"/>
      <c r="P218"/>
      <c r="Q218"/>
      <c r="R218"/>
    </row>
    <row r="219" spans="12:18" x14ac:dyDescent="0.25">
      <c r="L219"/>
      <c r="M219"/>
      <c r="N219"/>
      <c r="O219"/>
      <c r="P219"/>
      <c r="Q219"/>
      <c r="R219"/>
    </row>
    <row r="220" spans="12:18" x14ac:dyDescent="0.25">
      <c r="L220"/>
      <c r="M220"/>
      <c r="N220"/>
      <c r="O220"/>
      <c r="P220"/>
      <c r="Q220"/>
      <c r="R220"/>
    </row>
    <row r="221" spans="12:18" x14ac:dyDescent="0.25">
      <c r="L221"/>
      <c r="M221"/>
      <c r="N221"/>
      <c r="O221"/>
      <c r="P221"/>
      <c r="Q221"/>
      <c r="R221"/>
    </row>
    <row r="222" spans="12:18" x14ac:dyDescent="0.25">
      <c r="L222"/>
      <c r="M222"/>
      <c r="N222"/>
      <c r="O222"/>
      <c r="P222"/>
      <c r="Q222"/>
      <c r="R222"/>
    </row>
    <row r="223" spans="12:18" x14ac:dyDescent="0.25">
      <c r="L223"/>
      <c r="M223"/>
      <c r="N223"/>
      <c r="O223"/>
      <c r="P223"/>
      <c r="Q223"/>
      <c r="R223"/>
    </row>
    <row r="224" spans="12:18" x14ac:dyDescent="0.25">
      <c r="L224"/>
      <c r="M224"/>
      <c r="N224"/>
      <c r="O224"/>
      <c r="P224"/>
      <c r="Q224"/>
      <c r="R224"/>
    </row>
    <row r="225" spans="12:18" x14ac:dyDescent="0.25">
      <c r="L225"/>
      <c r="M225"/>
      <c r="N225"/>
      <c r="O225"/>
      <c r="P225"/>
      <c r="Q225"/>
      <c r="R225"/>
    </row>
    <row r="226" spans="12:18" x14ac:dyDescent="0.25">
      <c r="L226"/>
      <c r="M226"/>
      <c r="N226"/>
      <c r="O226"/>
      <c r="P226"/>
      <c r="Q226"/>
      <c r="R226"/>
    </row>
    <row r="227" spans="12:18" x14ac:dyDescent="0.25">
      <c r="L227"/>
      <c r="M227"/>
      <c r="N227"/>
      <c r="O227"/>
      <c r="P227"/>
      <c r="Q227"/>
      <c r="R227"/>
    </row>
    <row r="228" spans="12:18" x14ac:dyDescent="0.25">
      <c r="L228"/>
      <c r="M228"/>
      <c r="N228"/>
      <c r="O228"/>
      <c r="P228"/>
      <c r="Q228"/>
      <c r="R228"/>
    </row>
    <row r="229" spans="12:18" x14ac:dyDescent="0.25">
      <c r="L229"/>
      <c r="M229"/>
      <c r="N229"/>
      <c r="O229"/>
      <c r="P229"/>
      <c r="Q229"/>
      <c r="R229"/>
    </row>
    <row r="230" spans="12:18" x14ac:dyDescent="0.25">
      <c r="L230"/>
      <c r="M230"/>
      <c r="N230"/>
      <c r="O230"/>
      <c r="P230"/>
      <c r="Q230"/>
      <c r="R230"/>
    </row>
    <row r="231" spans="12:18" x14ac:dyDescent="0.25">
      <c r="L231"/>
      <c r="M231"/>
      <c r="N231"/>
      <c r="O231"/>
      <c r="P231"/>
      <c r="Q231"/>
      <c r="R231"/>
    </row>
    <row r="232" spans="12:18" x14ac:dyDescent="0.25">
      <c r="L232"/>
      <c r="M232"/>
      <c r="N232"/>
      <c r="O232"/>
      <c r="P232"/>
      <c r="Q232"/>
      <c r="R232"/>
    </row>
    <row r="233" spans="12:18" x14ac:dyDescent="0.25">
      <c r="L233"/>
      <c r="M233"/>
      <c r="N233"/>
      <c r="O233"/>
      <c r="P233"/>
      <c r="Q233"/>
      <c r="R233"/>
    </row>
    <row r="234" spans="12:18" x14ac:dyDescent="0.25">
      <c r="L234"/>
      <c r="M234"/>
      <c r="N234"/>
      <c r="O234"/>
      <c r="P234"/>
      <c r="Q234"/>
      <c r="R234"/>
    </row>
    <row r="235" spans="12:18" x14ac:dyDescent="0.25">
      <c r="L235"/>
      <c r="M235"/>
      <c r="N235"/>
      <c r="O235"/>
      <c r="P235"/>
      <c r="Q235"/>
      <c r="R235"/>
    </row>
    <row r="236" spans="12:18" x14ac:dyDescent="0.25">
      <c r="L236"/>
      <c r="M236"/>
      <c r="N236"/>
      <c r="O236"/>
      <c r="P236"/>
      <c r="Q236"/>
      <c r="R236"/>
    </row>
    <row r="237" spans="12:18" x14ac:dyDescent="0.25">
      <c r="L237"/>
      <c r="M237"/>
      <c r="N237"/>
      <c r="O237"/>
      <c r="P237"/>
      <c r="Q237"/>
      <c r="R237"/>
    </row>
    <row r="238" spans="12:18" x14ac:dyDescent="0.25">
      <c r="L238"/>
      <c r="M238"/>
      <c r="N238"/>
      <c r="O238"/>
      <c r="P238"/>
      <c r="Q238"/>
      <c r="R238"/>
    </row>
    <row r="239" spans="12:18" x14ac:dyDescent="0.25">
      <c r="L239"/>
      <c r="M239"/>
      <c r="N239"/>
      <c r="O239"/>
      <c r="P239"/>
      <c r="Q239"/>
      <c r="R239"/>
    </row>
    <row r="240" spans="12:18" x14ac:dyDescent="0.25">
      <c r="L240"/>
      <c r="M240"/>
      <c r="N240"/>
      <c r="O240"/>
      <c r="P240"/>
      <c r="Q240"/>
      <c r="R240"/>
    </row>
    <row r="241" spans="12:18" x14ac:dyDescent="0.25">
      <c r="L241"/>
      <c r="M241"/>
      <c r="N241"/>
      <c r="O241"/>
      <c r="P241"/>
      <c r="Q241"/>
      <c r="R241"/>
    </row>
    <row r="242" spans="12:18" x14ac:dyDescent="0.25">
      <c r="L242"/>
      <c r="M242"/>
      <c r="N242"/>
      <c r="O242"/>
      <c r="P242"/>
      <c r="Q242"/>
      <c r="R242"/>
    </row>
    <row r="243" spans="12:18" x14ac:dyDescent="0.25">
      <c r="L243"/>
      <c r="M243"/>
      <c r="N243"/>
      <c r="O243"/>
      <c r="P243"/>
      <c r="Q243"/>
      <c r="R243"/>
    </row>
    <row r="244" spans="12:18" x14ac:dyDescent="0.25">
      <c r="L244"/>
      <c r="M244"/>
      <c r="N244"/>
      <c r="O244"/>
      <c r="P244"/>
      <c r="Q244"/>
      <c r="R244"/>
    </row>
    <row r="245" spans="12:18" x14ac:dyDescent="0.25">
      <c r="L245"/>
      <c r="M245"/>
      <c r="N245"/>
      <c r="O245"/>
      <c r="P245"/>
      <c r="Q245"/>
      <c r="R245"/>
    </row>
    <row r="246" spans="12:18" x14ac:dyDescent="0.25">
      <c r="L246"/>
      <c r="M246"/>
      <c r="N246"/>
      <c r="O246"/>
      <c r="P246"/>
      <c r="Q246"/>
      <c r="R246"/>
    </row>
    <row r="247" spans="12:18" x14ac:dyDescent="0.25">
      <c r="L247"/>
      <c r="M247"/>
      <c r="N247"/>
      <c r="O247"/>
      <c r="P247"/>
      <c r="Q247"/>
      <c r="R247"/>
    </row>
    <row r="248" spans="12:18" x14ac:dyDescent="0.25">
      <c r="L248"/>
      <c r="M248"/>
      <c r="N248"/>
      <c r="O248"/>
      <c r="P248"/>
      <c r="Q248"/>
      <c r="R248"/>
    </row>
    <row r="249" spans="12:18" x14ac:dyDescent="0.25">
      <c r="L249"/>
      <c r="M249"/>
      <c r="N249"/>
      <c r="O249"/>
      <c r="P249"/>
      <c r="Q249"/>
      <c r="R249"/>
    </row>
    <row r="250" spans="12:18" x14ac:dyDescent="0.25">
      <c r="L250"/>
      <c r="M250"/>
      <c r="N250"/>
      <c r="O250"/>
      <c r="P250"/>
      <c r="Q250"/>
      <c r="R250"/>
    </row>
    <row r="251" spans="12:18" x14ac:dyDescent="0.25">
      <c r="L251"/>
      <c r="M251"/>
      <c r="N251"/>
      <c r="O251"/>
      <c r="P251"/>
      <c r="Q251"/>
      <c r="R251"/>
    </row>
    <row r="252" spans="12:18" x14ac:dyDescent="0.25">
      <c r="L252"/>
      <c r="M252"/>
      <c r="N252"/>
      <c r="O252"/>
      <c r="P252"/>
      <c r="Q252"/>
      <c r="R252"/>
    </row>
    <row r="253" spans="12:18" x14ac:dyDescent="0.25">
      <c r="L253"/>
      <c r="M253"/>
      <c r="N253"/>
      <c r="O253"/>
      <c r="P253"/>
      <c r="Q253"/>
      <c r="R253"/>
    </row>
    <row r="254" spans="12:18" x14ac:dyDescent="0.25">
      <c r="L254"/>
      <c r="M254"/>
      <c r="N254"/>
      <c r="O254"/>
      <c r="P254"/>
      <c r="Q254"/>
      <c r="R254"/>
    </row>
    <row r="255" spans="12:18" x14ac:dyDescent="0.25">
      <c r="L255"/>
      <c r="M255"/>
      <c r="N255"/>
      <c r="O255"/>
      <c r="P255"/>
      <c r="Q255"/>
      <c r="R255"/>
    </row>
    <row r="256" spans="12:18" x14ac:dyDescent="0.25">
      <c r="L256"/>
      <c r="M256"/>
      <c r="N256"/>
      <c r="O256"/>
      <c r="P256"/>
      <c r="Q256"/>
      <c r="R256"/>
    </row>
    <row r="257" spans="12:18" x14ac:dyDescent="0.25">
      <c r="L257"/>
      <c r="M257"/>
      <c r="N257"/>
      <c r="O257"/>
      <c r="P257"/>
      <c r="Q257"/>
      <c r="R257"/>
    </row>
    <row r="258" spans="12:18" x14ac:dyDescent="0.25">
      <c r="L258"/>
      <c r="M258"/>
      <c r="N258"/>
      <c r="O258"/>
      <c r="P258"/>
      <c r="Q258"/>
      <c r="R258"/>
    </row>
    <row r="259" spans="12:18" x14ac:dyDescent="0.25">
      <c r="L259"/>
      <c r="M259"/>
      <c r="N259"/>
      <c r="O259"/>
      <c r="P259"/>
      <c r="Q259"/>
      <c r="R259"/>
    </row>
    <row r="260" spans="12:18" x14ac:dyDescent="0.25">
      <c r="L260"/>
      <c r="M260"/>
      <c r="N260"/>
      <c r="O260"/>
      <c r="P260"/>
      <c r="Q260"/>
      <c r="R260"/>
    </row>
    <row r="261" spans="12:18" x14ac:dyDescent="0.25">
      <c r="L261"/>
      <c r="M261"/>
      <c r="N261"/>
      <c r="O261"/>
      <c r="P261"/>
      <c r="Q261"/>
      <c r="R261"/>
    </row>
    <row r="262" spans="12:18" x14ac:dyDescent="0.25">
      <c r="L262"/>
      <c r="M262"/>
      <c r="N262"/>
      <c r="O262"/>
      <c r="P262"/>
      <c r="Q262"/>
      <c r="R262"/>
    </row>
    <row r="263" spans="12:18" x14ac:dyDescent="0.25">
      <c r="L263"/>
      <c r="M263"/>
      <c r="N263"/>
      <c r="O263"/>
      <c r="P263"/>
      <c r="Q263"/>
      <c r="R263"/>
    </row>
    <row r="264" spans="12:18" x14ac:dyDescent="0.25">
      <c r="L264"/>
      <c r="M264"/>
      <c r="N264"/>
      <c r="O264"/>
      <c r="P264"/>
      <c r="Q264"/>
      <c r="R264"/>
    </row>
    <row r="265" spans="12:18" x14ac:dyDescent="0.25">
      <c r="L265"/>
      <c r="M265"/>
      <c r="N265"/>
      <c r="O265"/>
      <c r="P265"/>
      <c r="Q265"/>
      <c r="R265"/>
    </row>
    <row r="266" spans="12:18" x14ac:dyDescent="0.25">
      <c r="L266"/>
      <c r="M266"/>
      <c r="N266"/>
      <c r="O266"/>
      <c r="P266"/>
      <c r="Q266"/>
      <c r="R266"/>
    </row>
    <row r="267" spans="12:18" x14ac:dyDescent="0.25">
      <c r="L267"/>
      <c r="M267"/>
      <c r="N267"/>
      <c r="O267"/>
      <c r="P267"/>
      <c r="Q267"/>
      <c r="R267"/>
    </row>
    <row r="268" spans="12:18" x14ac:dyDescent="0.25">
      <c r="L268"/>
      <c r="M268"/>
      <c r="N268"/>
      <c r="O268"/>
      <c r="P268"/>
      <c r="Q268"/>
      <c r="R268"/>
    </row>
    <row r="269" spans="12:18" x14ac:dyDescent="0.25">
      <c r="L269"/>
      <c r="M269"/>
      <c r="N269"/>
      <c r="O269"/>
      <c r="P269"/>
      <c r="Q269"/>
      <c r="R269"/>
    </row>
    <row r="270" spans="12:18" x14ac:dyDescent="0.25">
      <c r="L270"/>
      <c r="M270"/>
      <c r="N270"/>
      <c r="O270"/>
      <c r="P270"/>
      <c r="Q270"/>
      <c r="R270"/>
    </row>
    <row r="271" spans="12:18" x14ac:dyDescent="0.25">
      <c r="L271"/>
      <c r="M271"/>
      <c r="N271"/>
      <c r="O271"/>
      <c r="P271"/>
      <c r="Q271"/>
      <c r="R271"/>
    </row>
    <row r="272" spans="12:18" x14ac:dyDescent="0.25">
      <c r="L272"/>
      <c r="M272"/>
      <c r="N272"/>
      <c r="O272"/>
      <c r="P272"/>
      <c r="Q272"/>
      <c r="R272"/>
    </row>
    <row r="273" spans="12:18" x14ac:dyDescent="0.25">
      <c r="L273"/>
      <c r="M273"/>
      <c r="N273"/>
      <c r="O273"/>
      <c r="P273"/>
      <c r="Q273"/>
      <c r="R273"/>
    </row>
    <row r="274" spans="12:18" x14ac:dyDescent="0.25">
      <c r="L274"/>
      <c r="M274"/>
      <c r="N274"/>
      <c r="O274"/>
      <c r="P274"/>
      <c r="Q274"/>
      <c r="R274"/>
    </row>
    <row r="275" spans="12:18" x14ac:dyDescent="0.25">
      <c r="L275"/>
      <c r="M275"/>
      <c r="N275"/>
      <c r="O275"/>
      <c r="P275"/>
      <c r="Q275"/>
      <c r="R275"/>
    </row>
    <row r="276" spans="12:18" x14ac:dyDescent="0.25">
      <c r="L276"/>
      <c r="M276"/>
      <c r="N276"/>
      <c r="O276"/>
      <c r="P276"/>
      <c r="Q276"/>
      <c r="R276"/>
    </row>
    <row r="277" spans="12:18" x14ac:dyDescent="0.25">
      <c r="L277"/>
      <c r="M277"/>
      <c r="N277"/>
      <c r="O277"/>
      <c r="P277"/>
      <c r="Q277"/>
      <c r="R277"/>
    </row>
    <row r="278" spans="12:18" x14ac:dyDescent="0.25">
      <c r="L278"/>
      <c r="M278"/>
      <c r="N278"/>
      <c r="O278"/>
      <c r="P278"/>
      <c r="Q278"/>
      <c r="R278"/>
    </row>
    <row r="279" spans="12:18" x14ac:dyDescent="0.25">
      <c r="L279"/>
      <c r="M279"/>
      <c r="N279"/>
      <c r="O279"/>
      <c r="P279"/>
      <c r="Q279"/>
      <c r="R279"/>
    </row>
    <row r="280" spans="12:18" x14ac:dyDescent="0.25">
      <c r="L280"/>
      <c r="M280"/>
      <c r="N280"/>
      <c r="O280"/>
      <c r="P280"/>
      <c r="Q280"/>
      <c r="R280"/>
    </row>
    <row r="281" spans="12:18" x14ac:dyDescent="0.25">
      <c r="L281"/>
      <c r="M281"/>
      <c r="N281"/>
      <c r="O281"/>
      <c r="P281"/>
      <c r="Q281"/>
      <c r="R281"/>
    </row>
    <row r="282" spans="12:18" x14ac:dyDescent="0.25">
      <c r="L282"/>
      <c r="M282"/>
      <c r="N282"/>
      <c r="O282"/>
      <c r="P282"/>
      <c r="Q282"/>
      <c r="R282"/>
    </row>
    <row r="283" spans="12:18" x14ac:dyDescent="0.25">
      <c r="L283"/>
      <c r="M283"/>
      <c r="N283"/>
      <c r="O283"/>
      <c r="P283"/>
      <c r="Q283"/>
      <c r="R283"/>
    </row>
    <row r="284" spans="12:18" x14ac:dyDescent="0.25">
      <c r="L284"/>
      <c r="M284"/>
      <c r="N284"/>
      <c r="O284"/>
      <c r="P284"/>
      <c r="Q284"/>
      <c r="R284"/>
    </row>
    <row r="285" spans="12:18" x14ac:dyDescent="0.25">
      <c r="L285"/>
      <c r="M285"/>
      <c r="N285"/>
      <c r="O285"/>
      <c r="P285"/>
      <c r="Q285"/>
      <c r="R285"/>
    </row>
    <row r="286" spans="12:18" x14ac:dyDescent="0.25">
      <c r="L286"/>
      <c r="M286"/>
      <c r="N286"/>
      <c r="O286"/>
      <c r="P286"/>
      <c r="Q286"/>
      <c r="R286"/>
    </row>
    <row r="287" spans="12:18" x14ac:dyDescent="0.25">
      <c r="L287"/>
      <c r="M287"/>
      <c r="N287"/>
      <c r="O287"/>
      <c r="P287"/>
      <c r="Q287"/>
      <c r="R287"/>
    </row>
    <row r="288" spans="12:18" x14ac:dyDescent="0.25">
      <c r="L288"/>
      <c r="M288"/>
      <c r="N288"/>
      <c r="O288"/>
      <c r="P288"/>
      <c r="Q288"/>
      <c r="R288"/>
    </row>
    <row r="289" spans="12:18" x14ac:dyDescent="0.25">
      <c r="L289"/>
      <c r="M289"/>
      <c r="N289"/>
      <c r="O289"/>
      <c r="P289"/>
      <c r="Q289"/>
      <c r="R289"/>
    </row>
    <row r="290" spans="12:18" x14ac:dyDescent="0.25">
      <c r="L290"/>
      <c r="M290"/>
      <c r="N290"/>
      <c r="O290"/>
      <c r="P290"/>
      <c r="Q290"/>
      <c r="R290"/>
    </row>
    <row r="291" spans="12:18" x14ac:dyDescent="0.25">
      <c r="L291"/>
      <c r="M291"/>
      <c r="N291"/>
      <c r="O291"/>
      <c r="P291"/>
      <c r="Q291"/>
      <c r="R291"/>
    </row>
    <row r="292" spans="12:18" x14ac:dyDescent="0.25">
      <c r="L292"/>
      <c r="M292"/>
      <c r="N292"/>
      <c r="O292"/>
      <c r="P292"/>
      <c r="Q292"/>
      <c r="R292"/>
    </row>
    <row r="293" spans="12:18" x14ac:dyDescent="0.25">
      <c r="L293"/>
      <c r="M293"/>
      <c r="N293"/>
      <c r="O293"/>
      <c r="P293"/>
      <c r="Q293"/>
      <c r="R293"/>
    </row>
    <row r="294" spans="12:18" x14ac:dyDescent="0.25">
      <c r="L294"/>
      <c r="M294"/>
      <c r="N294"/>
      <c r="O294"/>
      <c r="P294"/>
      <c r="Q294"/>
      <c r="R294"/>
    </row>
    <row r="295" spans="12:18" x14ac:dyDescent="0.25">
      <c r="L295"/>
      <c r="M295"/>
      <c r="N295"/>
      <c r="O295"/>
      <c r="P295"/>
      <c r="Q295"/>
      <c r="R295"/>
    </row>
    <row r="296" spans="12:18" x14ac:dyDescent="0.25">
      <c r="L296"/>
      <c r="M296"/>
      <c r="N296"/>
      <c r="O296"/>
      <c r="P296"/>
      <c r="Q296"/>
      <c r="R296"/>
    </row>
    <row r="297" spans="12:18" x14ac:dyDescent="0.25">
      <c r="L297"/>
      <c r="M297"/>
      <c r="N297"/>
      <c r="O297"/>
      <c r="P297"/>
      <c r="Q297"/>
      <c r="R297"/>
    </row>
    <row r="298" spans="12:18" x14ac:dyDescent="0.25">
      <c r="L298"/>
      <c r="M298"/>
      <c r="N298"/>
      <c r="O298"/>
      <c r="P298"/>
      <c r="Q298"/>
      <c r="R298"/>
    </row>
    <row r="299" spans="12:18" x14ac:dyDescent="0.25">
      <c r="L299"/>
      <c r="M299"/>
      <c r="N299"/>
      <c r="O299"/>
      <c r="P299"/>
      <c r="Q299"/>
      <c r="R299"/>
    </row>
    <row r="300" spans="12:18" x14ac:dyDescent="0.25">
      <c r="L300"/>
      <c r="M300"/>
      <c r="N300"/>
      <c r="O300"/>
      <c r="P300"/>
      <c r="Q300"/>
      <c r="R300"/>
    </row>
    <row r="301" spans="12:18" x14ac:dyDescent="0.25">
      <c r="L301"/>
      <c r="M301"/>
      <c r="N301"/>
      <c r="O301"/>
      <c r="P301"/>
      <c r="Q301"/>
      <c r="R301"/>
    </row>
    <row r="302" spans="12:18" x14ac:dyDescent="0.25">
      <c r="L302"/>
      <c r="M302"/>
      <c r="N302"/>
      <c r="O302"/>
      <c r="P302"/>
      <c r="Q302"/>
      <c r="R302"/>
    </row>
    <row r="303" spans="12:18" x14ac:dyDescent="0.25">
      <c r="L303"/>
      <c r="M303"/>
      <c r="N303"/>
      <c r="O303"/>
      <c r="P303"/>
      <c r="Q303"/>
      <c r="R303"/>
    </row>
    <row r="304" spans="12:18" x14ac:dyDescent="0.25">
      <c r="L304"/>
      <c r="M304"/>
      <c r="N304"/>
      <c r="O304"/>
      <c r="P304"/>
      <c r="Q304"/>
      <c r="R304"/>
    </row>
    <row r="305" spans="12:18" x14ac:dyDescent="0.25">
      <c r="L305"/>
      <c r="M305"/>
      <c r="N305"/>
      <c r="O305"/>
      <c r="P305"/>
      <c r="Q305"/>
      <c r="R305"/>
    </row>
    <row r="306" spans="12:18" x14ac:dyDescent="0.25">
      <c r="L306"/>
      <c r="M306"/>
      <c r="N306"/>
      <c r="O306"/>
      <c r="P306"/>
      <c r="Q306"/>
      <c r="R306"/>
    </row>
    <row r="307" spans="12:18" x14ac:dyDescent="0.25">
      <c r="L307"/>
      <c r="M307"/>
      <c r="N307"/>
      <c r="O307"/>
      <c r="P307"/>
      <c r="Q307"/>
      <c r="R307"/>
    </row>
    <row r="308" spans="12:18" x14ac:dyDescent="0.25">
      <c r="L308"/>
      <c r="M308"/>
      <c r="N308"/>
      <c r="O308"/>
      <c r="P308"/>
      <c r="Q308"/>
      <c r="R308"/>
    </row>
    <row r="309" spans="12:18" x14ac:dyDescent="0.25">
      <c r="L309"/>
      <c r="M309"/>
      <c r="N309"/>
      <c r="O309"/>
      <c r="P309"/>
      <c r="Q309"/>
      <c r="R309"/>
    </row>
    <row r="310" spans="12:18" x14ac:dyDescent="0.25">
      <c r="L310"/>
      <c r="M310"/>
      <c r="N310"/>
      <c r="O310"/>
      <c r="P310"/>
      <c r="Q310"/>
      <c r="R310"/>
    </row>
    <row r="311" spans="12:18" x14ac:dyDescent="0.25">
      <c r="L311"/>
      <c r="M311"/>
      <c r="N311"/>
      <c r="O311"/>
      <c r="P311"/>
      <c r="Q311"/>
      <c r="R311"/>
    </row>
    <row r="312" spans="12:18" x14ac:dyDescent="0.25">
      <c r="L312"/>
      <c r="M312"/>
      <c r="N312"/>
      <c r="O312"/>
      <c r="P312"/>
      <c r="Q312"/>
      <c r="R312"/>
    </row>
    <row r="313" spans="12:18" x14ac:dyDescent="0.25">
      <c r="L313"/>
      <c r="M313"/>
      <c r="N313"/>
      <c r="O313"/>
      <c r="P313"/>
      <c r="Q313"/>
      <c r="R313"/>
    </row>
    <row r="314" spans="12:18" x14ac:dyDescent="0.25">
      <c r="L314"/>
      <c r="M314"/>
      <c r="N314"/>
      <c r="O314"/>
      <c r="P314"/>
      <c r="Q314"/>
      <c r="R314"/>
    </row>
    <row r="315" spans="12:18" x14ac:dyDescent="0.25">
      <c r="L315"/>
      <c r="M315"/>
      <c r="N315"/>
      <c r="O315"/>
      <c r="P315"/>
      <c r="Q315"/>
      <c r="R315"/>
    </row>
    <row r="316" spans="12:18" x14ac:dyDescent="0.25">
      <c r="L316"/>
      <c r="M316"/>
      <c r="N316"/>
      <c r="O316"/>
      <c r="P316"/>
      <c r="Q316"/>
      <c r="R316"/>
    </row>
    <row r="317" spans="12:18" x14ac:dyDescent="0.25">
      <c r="L317"/>
      <c r="M317"/>
      <c r="N317"/>
      <c r="O317"/>
      <c r="P317"/>
      <c r="Q317"/>
      <c r="R317"/>
    </row>
    <row r="318" spans="12:18" x14ac:dyDescent="0.25">
      <c r="L318"/>
      <c r="M318"/>
      <c r="N318"/>
      <c r="O318"/>
      <c r="P318"/>
      <c r="Q318"/>
      <c r="R318"/>
    </row>
    <row r="319" spans="12:18" x14ac:dyDescent="0.25">
      <c r="L319"/>
      <c r="M319"/>
      <c r="N319"/>
      <c r="O319"/>
      <c r="P319"/>
      <c r="Q319"/>
      <c r="R319"/>
    </row>
    <row r="320" spans="12:18" x14ac:dyDescent="0.25">
      <c r="L320"/>
      <c r="M320"/>
      <c r="N320"/>
      <c r="O320"/>
      <c r="P320"/>
      <c r="Q320"/>
      <c r="R320"/>
    </row>
    <row r="321" spans="12:18" x14ac:dyDescent="0.25">
      <c r="L321"/>
      <c r="M321"/>
      <c r="N321"/>
      <c r="O321"/>
      <c r="P321"/>
      <c r="Q321"/>
      <c r="R321"/>
    </row>
    <row r="322" spans="12:18" x14ac:dyDescent="0.25">
      <c r="L322"/>
      <c r="M322"/>
      <c r="N322"/>
      <c r="O322"/>
      <c r="P322"/>
      <c r="Q322"/>
      <c r="R322"/>
    </row>
    <row r="323" spans="12:18" x14ac:dyDescent="0.25">
      <c r="L323"/>
      <c r="M323"/>
      <c r="N323"/>
      <c r="O323"/>
      <c r="P323"/>
      <c r="Q323"/>
      <c r="R323"/>
    </row>
    <row r="324" spans="12:18" x14ac:dyDescent="0.25">
      <c r="L324"/>
      <c r="M324"/>
      <c r="N324"/>
      <c r="O324"/>
      <c r="P324"/>
      <c r="Q324"/>
      <c r="R324"/>
    </row>
    <row r="325" spans="12:18" x14ac:dyDescent="0.25">
      <c r="L325"/>
      <c r="M325"/>
      <c r="N325"/>
      <c r="O325"/>
      <c r="P325"/>
      <c r="Q325"/>
      <c r="R325"/>
    </row>
    <row r="326" spans="12:18" x14ac:dyDescent="0.25">
      <c r="L326"/>
      <c r="M326"/>
      <c r="N326"/>
      <c r="O326"/>
      <c r="P326"/>
      <c r="Q326"/>
      <c r="R326"/>
    </row>
    <row r="327" spans="12:18" x14ac:dyDescent="0.25">
      <c r="L327"/>
      <c r="M327"/>
      <c r="N327"/>
      <c r="O327"/>
      <c r="P327"/>
      <c r="Q327"/>
      <c r="R327"/>
    </row>
    <row r="328" spans="12:18" x14ac:dyDescent="0.25">
      <c r="L328"/>
      <c r="M328"/>
      <c r="N328"/>
      <c r="O328"/>
      <c r="P328"/>
      <c r="Q328"/>
      <c r="R328"/>
    </row>
    <row r="329" spans="12:18" x14ac:dyDescent="0.25">
      <c r="L329"/>
      <c r="M329"/>
      <c r="N329"/>
      <c r="O329"/>
      <c r="P329"/>
      <c r="Q329"/>
      <c r="R329"/>
    </row>
    <row r="330" spans="12:18" x14ac:dyDescent="0.25">
      <c r="L330"/>
      <c r="M330"/>
      <c r="N330"/>
      <c r="O330"/>
      <c r="P330"/>
      <c r="Q330"/>
      <c r="R330"/>
    </row>
    <row r="331" spans="12:18" x14ac:dyDescent="0.25">
      <c r="L331"/>
      <c r="M331"/>
      <c r="N331"/>
      <c r="O331"/>
      <c r="P331"/>
      <c r="Q331"/>
      <c r="R331"/>
    </row>
    <row r="332" spans="12:18" x14ac:dyDescent="0.25">
      <c r="L332"/>
      <c r="M332"/>
      <c r="N332"/>
      <c r="O332"/>
      <c r="P332"/>
      <c r="Q332"/>
      <c r="R332"/>
    </row>
    <row r="333" spans="12:18" x14ac:dyDescent="0.25">
      <c r="L333"/>
      <c r="M333"/>
      <c r="N333"/>
      <c r="O333"/>
      <c r="P333"/>
      <c r="Q333"/>
      <c r="R333"/>
    </row>
    <row r="334" spans="12:18" x14ac:dyDescent="0.25">
      <c r="L334"/>
      <c r="M334"/>
      <c r="N334"/>
      <c r="O334"/>
      <c r="P334"/>
      <c r="Q334"/>
      <c r="R334"/>
    </row>
    <row r="335" spans="12:18" x14ac:dyDescent="0.25">
      <c r="L335"/>
      <c r="M335"/>
      <c r="N335"/>
      <c r="O335"/>
      <c r="P335"/>
      <c r="Q335"/>
      <c r="R335"/>
    </row>
    <row r="336" spans="12:18" x14ac:dyDescent="0.25">
      <c r="L336"/>
      <c r="M336"/>
      <c r="N336"/>
      <c r="O336"/>
      <c r="P336"/>
      <c r="Q336"/>
      <c r="R336"/>
    </row>
    <row r="337" spans="12:18" x14ac:dyDescent="0.25">
      <c r="L337"/>
      <c r="M337"/>
      <c r="N337"/>
      <c r="O337"/>
      <c r="P337"/>
      <c r="Q337"/>
      <c r="R337"/>
    </row>
    <row r="338" spans="12:18" x14ac:dyDescent="0.25">
      <c r="L338"/>
      <c r="M338"/>
      <c r="N338"/>
      <c r="O338"/>
      <c r="P338"/>
      <c r="Q338"/>
      <c r="R338"/>
    </row>
    <row r="339" spans="12:18" x14ac:dyDescent="0.25">
      <c r="L339"/>
      <c r="M339"/>
      <c r="N339"/>
      <c r="O339"/>
      <c r="P339"/>
      <c r="Q339"/>
      <c r="R339"/>
    </row>
    <row r="340" spans="12:18" x14ac:dyDescent="0.25">
      <c r="L340"/>
      <c r="M340"/>
      <c r="N340"/>
      <c r="O340"/>
      <c r="P340"/>
      <c r="Q340"/>
      <c r="R340"/>
    </row>
    <row r="341" spans="12:18" x14ac:dyDescent="0.25">
      <c r="L341"/>
      <c r="M341"/>
      <c r="N341"/>
      <c r="O341"/>
      <c r="P341"/>
      <c r="Q341"/>
      <c r="R341"/>
    </row>
    <row r="342" spans="12:18" x14ac:dyDescent="0.25">
      <c r="L342"/>
      <c r="M342"/>
      <c r="N342"/>
      <c r="O342"/>
      <c r="P342"/>
      <c r="Q342"/>
      <c r="R342"/>
    </row>
    <row r="343" spans="12:18" x14ac:dyDescent="0.25">
      <c r="L343"/>
      <c r="M343"/>
      <c r="N343"/>
      <c r="O343"/>
      <c r="P343"/>
      <c r="Q343"/>
      <c r="R343"/>
    </row>
    <row r="344" spans="12:18" x14ac:dyDescent="0.25">
      <c r="L344"/>
      <c r="M344"/>
      <c r="N344"/>
      <c r="O344"/>
      <c r="P344"/>
      <c r="Q344"/>
      <c r="R344"/>
    </row>
    <row r="345" spans="12:18" x14ac:dyDescent="0.25">
      <c r="L345"/>
      <c r="M345"/>
      <c r="N345"/>
      <c r="O345"/>
      <c r="P345"/>
      <c r="Q345"/>
      <c r="R345"/>
    </row>
    <row r="346" spans="12:18" x14ac:dyDescent="0.25">
      <c r="L346"/>
      <c r="M346"/>
      <c r="N346"/>
      <c r="O346"/>
      <c r="P346"/>
      <c r="Q346"/>
      <c r="R346"/>
    </row>
    <row r="347" spans="12:18" x14ac:dyDescent="0.25">
      <c r="L347"/>
      <c r="M347"/>
      <c r="N347"/>
      <c r="O347"/>
      <c r="P347"/>
      <c r="Q347"/>
      <c r="R347"/>
    </row>
    <row r="348" spans="12:18" x14ac:dyDescent="0.25">
      <c r="L348"/>
      <c r="M348"/>
      <c r="N348"/>
      <c r="O348"/>
      <c r="P348"/>
      <c r="Q348"/>
      <c r="R348"/>
    </row>
    <row r="349" spans="12:18" x14ac:dyDescent="0.25">
      <c r="L349"/>
      <c r="M349"/>
      <c r="N349"/>
      <c r="O349"/>
      <c r="P349"/>
      <c r="Q349"/>
      <c r="R349"/>
    </row>
    <row r="350" spans="12:18" x14ac:dyDescent="0.25">
      <c r="L350"/>
      <c r="M350"/>
      <c r="N350"/>
      <c r="O350"/>
      <c r="P350"/>
      <c r="Q350"/>
      <c r="R350"/>
    </row>
    <row r="351" spans="12:18" x14ac:dyDescent="0.25">
      <c r="L351"/>
      <c r="M351"/>
      <c r="N351"/>
      <c r="O351"/>
      <c r="P351"/>
      <c r="Q351"/>
      <c r="R351"/>
    </row>
    <row r="352" spans="12:18" x14ac:dyDescent="0.25">
      <c r="L352"/>
      <c r="M352"/>
      <c r="N352"/>
      <c r="O352"/>
      <c r="P352"/>
      <c r="Q352"/>
      <c r="R352"/>
    </row>
    <row r="353" spans="12:18" x14ac:dyDescent="0.25">
      <c r="L353"/>
      <c r="M353"/>
      <c r="N353"/>
      <c r="O353"/>
      <c r="P353"/>
      <c r="Q353"/>
      <c r="R353"/>
    </row>
    <row r="354" spans="12:18" x14ac:dyDescent="0.25">
      <c r="L354"/>
      <c r="M354"/>
      <c r="N354"/>
      <c r="O354"/>
      <c r="P354"/>
      <c r="Q354"/>
      <c r="R354"/>
    </row>
    <row r="355" spans="12:18" x14ac:dyDescent="0.25">
      <c r="L355"/>
      <c r="M355"/>
      <c r="N355"/>
      <c r="O355"/>
      <c r="P355"/>
      <c r="Q355"/>
      <c r="R355"/>
    </row>
    <row r="356" spans="12:18" x14ac:dyDescent="0.25">
      <c r="L356"/>
      <c r="M356"/>
      <c r="N356"/>
      <c r="O356"/>
      <c r="P356"/>
      <c r="Q356"/>
      <c r="R356"/>
    </row>
    <row r="357" spans="12:18" x14ac:dyDescent="0.25">
      <c r="L357"/>
      <c r="M357"/>
      <c r="N357"/>
      <c r="O357"/>
      <c r="P357"/>
      <c r="Q357"/>
      <c r="R357"/>
    </row>
    <row r="358" spans="12:18" x14ac:dyDescent="0.25">
      <c r="L358"/>
      <c r="M358"/>
      <c r="N358"/>
      <c r="O358"/>
      <c r="P358"/>
      <c r="Q358"/>
      <c r="R358"/>
    </row>
    <row r="359" spans="12:18" x14ac:dyDescent="0.25">
      <c r="L359"/>
      <c r="M359"/>
      <c r="N359"/>
      <c r="O359"/>
      <c r="P359"/>
      <c r="Q359"/>
      <c r="R359"/>
    </row>
    <row r="360" spans="12:18" x14ac:dyDescent="0.25">
      <c r="L360"/>
      <c r="M360"/>
      <c r="N360"/>
      <c r="O360"/>
      <c r="P360"/>
      <c r="Q360"/>
      <c r="R360"/>
    </row>
    <row r="361" spans="12:18" x14ac:dyDescent="0.25">
      <c r="L361"/>
      <c r="M361"/>
      <c r="N361"/>
      <c r="O361"/>
      <c r="P361"/>
      <c r="Q361"/>
      <c r="R361"/>
    </row>
    <row r="362" spans="12:18" x14ac:dyDescent="0.25">
      <c r="L362"/>
      <c r="M362"/>
      <c r="N362"/>
      <c r="O362"/>
      <c r="P362"/>
      <c r="Q362"/>
      <c r="R362"/>
    </row>
    <row r="363" spans="12:18" x14ac:dyDescent="0.25">
      <c r="L363"/>
      <c r="M363"/>
      <c r="N363"/>
      <c r="O363"/>
      <c r="P363"/>
      <c r="Q363"/>
      <c r="R363"/>
    </row>
    <row r="364" spans="12:18" x14ac:dyDescent="0.25">
      <c r="L364"/>
      <c r="M364"/>
      <c r="N364"/>
      <c r="O364"/>
      <c r="P364"/>
      <c r="Q364"/>
      <c r="R364"/>
    </row>
    <row r="365" spans="12:18" x14ac:dyDescent="0.25">
      <c r="L365"/>
      <c r="M365"/>
      <c r="N365"/>
      <c r="O365"/>
      <c r="P365"/>
      <c r="Q365"/>
      <c r="R365"/>
    </row>
    <row r="366" spans="12:18" x14ac:dyDescent="0.25">
      <c r="L366"/>
      <c r="M366"/>
      <c r="N366"/>
      <c r="O366"/>
      <c r="P366"/>
      <c r="Q366"/>
      <c r="R366"/>
    </row>
    <row r="367" spans="12:18" x14ac:dyDescent="0.25">
      <c r="L367"/>
      <c r="M367"/>
      <c r="N367"/>
      <c r="O367"/>
      <c r="P367"/>
      <c r="Q367"/>
      <c r="R367"/>
    </row>
    <row r="368" spans="12:18" x14ac:dyDescent="0.25">
      <c r="L368"/>
      <c r="M368"/>
      <c r="N368"/>
      <c r="O368"/>
      <c r="P368"/>
      <c r="Q368"/>
      <c r="R368"/>
    </row>
    <row r="369" spans="12:18" x14ac:dyDescent="0.25">
      <c r="L369"/>
      <c r="M369"/>
      <c r="N369"/>
      <c r="O369"/>
      <c r="P369"/>
      <c r="Q369"/>
      <c r="R369"/>
    </row>
    <row r="370" spans="12:18" x14ac:dyDescent="0.25">
      <c r="L370"/>
      <c r="M370"/>
      <c r="N370"/>
      <c r="O370"/>
      <c r="P370"/>
      <c r="Q370"/>
      <c r="R370"/>
    </row>
    <row r="371" spans="12:18" x14ac:dyDescent="0.25">
      <c r="L371"/>
      <c r="M371"/>
      <c r="N371"/>
      <c r="O371"/>
      <c r="P371"/>
      <c r="Q371"/>
      <c r="R371"/>
    </row>
    <row r="372" spans="12:18" x14ac:dyDescent="0.25">
      <c r="L372"/>
      <c r="M372"/>
      <c r="N372"/>
      <c r="O372"/>
      <c r="P372"/>
      <c r="Q372"/>
      <c r="R372"/>
    </row>
    <row r="373" spans="12:18" x14ac:dyDescent="0.25">
      <c r="L373"/>
      <c r="M373"/>
      <c r="N373"/>
      <c r="O373"/>
      <c r="P373"/>
      <c r="Q373"/>
      <c r="R373"/>
    </row>
    <row r="374" spans="12:18" x14ac:dyDescent="0.25">
      <c r="L374"/>
      <c r="M374"/>
      <c r="N374"/>
      <c r="O374"/>
      <c r="P374"/>
      <c r="Q374"/>
      <c r="R374"/>
    </row>
    <row r="375" spans="12:18" x14ac:dyDescent="0.25">
      <c r="L375"/>
      <c r="M375"/>
      <c r="N375"/>
      <c r="O375"/>
      <c r="P375"/>
      <c r="Q375"/>
      <c r="R375"/>
    </row>
    <row r="376" spans="12:18" x14ac:dyDescent="0.25">
      <c r="L376"/>
      <c r="M376"/>
      <c r="N376"/>
      <c r="O376"/>
      <c r="P376"/>
      <c r="Q376"/>
      <c r="R376"/>
    </row>
    <row r="377" spans="12:18" x14ac:dyDescent="0.25">
      <c r="L377"/>
      <c r="M377"/>
      <c r="N377"/>
      <c r="O377"/>
      <c r="P377"/>
      <c r="Q377"/>
      <c r="R377"/>
    </row>
    <row r="378" spans="12:18" x14ac:dyDescent="0.25">
      <c r="L378"/>
      <c r="M378"/>
      <c r="N378"/>
      <c r="O378"/>
      <c r="P378"/>
      <c r="Q378"/>
      <c r="R378"/>
    </row>
    <row r="379" spans="12:18" x14ac:dyDescent="0.25">
      <c r="L379"/>
      <c r="M379"/>
      <c r="N379"/>
      <c r="O379"/>
      <c r="P379"/>
      <c r="Q379"/>
      <c r="R379"/>
    </row>
    <row r="380" spans="12:18" x14ac:dyDescent="0.25">
      <c r="L380"/>
      <c r="M380"/>
      <c r="N380"/>
      <c r="O380"/>
      <c r="P380"/>
      <c r="Q380"/>
      <c r="R380"/>
    </row>
    <row r="381" spans="12:18" x14ac:dyDescent="0.25">
      <c r="L381"/>
      <c r="M381"/>
      <c r="N381"/>
      <c r="O381"/>
      <c r="P381"/>
      <c r="Q381"/>
      <c r="R381"/>
    </row>
    <row r="382" spans="12:18" x14ac:dyDescent="0.25">
      <c r="L382"/>
      <c r="M382"/>
      <c r="N382"/>
      <c r="O382"/>
      <c r="P382"/>
      <c r="Q382"/>
      <c r="R382"/>
    </row>
    <row r="383" spans="12:18" x14ac:dyDescent="0.25">
      <c r="L383"/>
      <c r="M383"/>
      <c r="N383"/>
      <c r="O383"/>
      <c r="P383"/>
      <c r="Q383"/>
      <c r="R383"/>
    </row>
    <row r="384" spans="12:18" x14ac:dyDescent="0.25">
      <c r="L384"/>
      <c r="M384"/>
      <c r="N384"/>
      <c r="O384"/>
      <c r="P384"/>
      <c r="Q384"/>
      <c r="R384"/>
    </row>
    <row r="385" spans="12:18" x14ac:dyDescent="0.25">
      <c r="L385"/>
      <c r="M385"/>
      <c r="N385"/>
      <c r="O385"/>
      <c r="P385"/>
      <c r="Q385"/>
      <c r="R385"/>
    </row>
    <row r="386" spans="12:18" x14ac:dyDescent="0.25">
      <c r="L386"/>
      <c r="M386"/>
      <c r="N386"/>
      <c r="O386"/>
      <c r="P386"/>
      <c r="Q386"/>
      <c r="R386"/>
    </row>
    <row r="387" spans="12:18" x14ac:dyDescent="0.25">
      <c r="L387"/>
      <c r="M387"/>
      <c r="N387"/>
      <c r="O387"/>
      <c r="P387"/>
      <c r="Q387"/>
      <c r="R387"/>
    </row>
    <row r="388" spans="12:18" x14ac:dyDescent="0.25">
      <c r="L388"/>
      <c r="M388"/>
      <c r="N388"/>
      <c r="O388"/>
      <c r="P388"/>
      <c r="Q388"/>
      <c r="R388"/>
    </row>
    <row r="389" spans="12:18" x14ac:dyDescent="0.25">
      <c r="L389"/>
      <c r="M389"/>
      <c r="N389"/>
      <c r="O389"/>
      <c r="P389"/>
      <c r="Q389"/>
      <c r="R389"/>
    </row>
    <row r="390" spans="12:18" x14ac:dyDescent="0.25">
      <c r="L390"/>
      <c r="M390"/>
      <c r="N390"/>
      <c r="O390"/>
      <c r="P390"/>
      <c r="Q390"/>
      <c r="R390"/>
    </row>
    <row r="391" spans="12:18" x14ac:dyDescent="0.25">
      <c r="L391"/>
      <c r="M391"/>
      <c r="N391"/>
      <c r="O391"/>
      <c r="P391"/>
      <c r="Q391"/>
      <c r="R391"/>
    </row>
    <row r="392" spans="12:18" x14ac:dyDescent="0.25">
      <c r="L392"/>
      <c r="M392"/>
      <c r="N392"/>
      <c r="O392"/>
      <c r="P392"/>
      <c r="Q392"/>
      <c r="R392"/>
    </row>
    <row r="393" spans="12:18" x14ac:dyDescent="0.25">
      <c r="L393"/>
      <c r="M393"/>
      <c r="N393"/>
      <c r="O393"/>
      <c r="P393"/>
      <c r="Q393"/>
      <c r="R393"/>
    </row>
    <row r="394" spans="12:18" x14ac:dyDescent="0.25">
      <c r="L394"/>
      <c r="M394"/>
      <c r="N394"/>
      <c r="O394"/>
      <c r="P394"/>
      <c r="Q394"/>
      <c r="R394"/>
    </row>
    <row r="395" spans="12:18" x14ac:dyDescent="0.25">
      <c r="L395"/>
      <c r="M395"/>
      <c r="N395"/>
      <c r="O395"/>
      <c r="P395"/>
      <c r="Q395"/>
      <c r="R395"/>
    </row>
    <row r="396" spans="12:18" x14ac:dyDescent="0.25">
      <c r="L396"/>
      <c r="M396"/>
      <c r="N396"/>
      <c r="O396"/>
      <c r="P396"/>
      <c r="Q396"/>
      <c r="R396"/>
    </row>
    <row r="397" spans="12:18" x14ac:dyDescent="0.25">
      <c r="L397"/>
      <c r="M397"/>
      <c r="N397"/>
      <c r="O397"/>
      <c r="P397"/>
      <c r="Q397"/>
      <c r="R397"/>
    </row>
    <row r="398" spans="12:18" x14ac:dyDescent="0.25">
      <c r="L398"/>
      <c r="M398"/>
      <c r="N398"/>
      <c r="O398"/>
      <c r="P398"/>
      <c r="Q398"/>
      <c r="R398"/>
    </row>
    <row r="399" spans="12:18" x14ac:dyDescent="0.25">
      <c r="L399"/>
      <c r="M399"/>
      <c r="N399"/>
      <c r="O399"/>
      <c r="P399"/>
      <c r="Q399"/>
      <c r="R399"/>
    </row>
    <row r="400" spans="12:18" x14ac:dyDescent="0.25">
      <c r="L400"/>
      <c r="M400"/>
      <c r="N400"/>
      <c r="O400"/>
      <c r="P400"/>
      <c r="Q400"/>
      <c r="R400"/>
    </row>
    <row r="401" spans="12:18" x14ac:dyDescent="0.25">
      <c r="L401"/>
      <c r="M401"/>
      <c r="N401"/>
      <c r="O401"/>
      <c r="P401"/>
      <c r="Q401"/>
      <c r="R401"/>
    </row>
    <row r="402" spans="12:18" x14ac:dyDescent="0.25">
      <c r="L402"/>
      <c r="M402"/>
      <c r="N402"/>
      <c r="O402"/>
      <c r="P402"/>
      <c r="Q402"/>
      <c r="R402"/>
    </row>
    <row r="403" spans="12:18" x14ac:dyDescent="0.25">
      <c r="L403"/>
      <c r="M403"/>
      <c r="N403"/>
      <c r="O403"/>
      <c r="P403"/>
      <c r="Q403"/>
      <c r="R403"/>
    </row>
    <row r="404" spans="12:18" x14ac:dyDescent="0.25">
      <c r="L404"/>
      <c r="M404"/>
      <c r="N404"/>
      <c r="O404"/>
      <c r="P404"/>
      <c r="Q404"/>
      <c r="R404"/>
    </row>
    <row r="405" spans="12:18" x14ac:dyDescent="0.25">
      <c r="L405"/>
      <c r="M405"/>
      <c r="N405"/>
      <c r="O405"/>
      <c r="P405"/>
      <c r="Q405"/>
      <c r="R405"/>
    </row>
    <row r="406" spans="12:18" x14ac:dyDescent="0.25">
      <c r="L406"/>
      <c r="M406"/>
      <c r="N406"/>
      <c r="O406"/>
      <c r="P406"/>
      <c r="Q406"/>
      <c r="R406"/>
    </row>
    <row r="407" spans="12:18" x14ac:dyDescent="0.25">
      <c r="L407"/>
      <c r="M407"/>
      <c r="N407"/>
      <c r="O407"/>
      <c r="P407"/>
      <c r="Q407"/>
      <c r="R407"/>
    </row>
    <row r="408" spans="12:18" x14ac:dyDescent="0.25">
      <c r="L408"/>
      <c r="M408"/>
      <c r="N408"/>
      <c r="O408"/>
      <c r="P408"/>
      <c r="Q408"/>
      <c r="R408"/>
    </row>
    <row r="409" spans="12:18" x14ac:dyDescent="0.25">
      <c r="L409"/>
      <c r="M409"/>
      <c r="N409"/>
      <c r="O409"/>
      <c r="P409"/>
      <c r="Q409"/>
      <c r="R409"/>
    </row>
    <row r="410" spans="12:18" x14ac:dyDescent="0.25">
      <c r="L410"/>
      <c r="M410"/>
      <c r="N410"/>
      <c r="O410"/>
      <c r="P410"/>
      <c r="Q410"/>
      <c r="R410"/>
    </row>
    <row r="411" spans="12:18" x14ac:dyDescent="0.25">
      <c r="L411"/>
      <c r="M411"/>
      <c r="N411"/>
      <c r="O411"/>
      <c r="P411"/>
      <c r="Q411"/>
      <c r="R411"/>
    </row>
    <row r="412" spans="12:18" x14ac:dyDescent="0.25">
      <c r="L412"/>
      <c r="M412"/>
      <c r="N412"/>
      <c r="O412"/>
      <c r="P412"/>
      <c r="Q412"/>
      <c r="R412"/>
    </row>
    <row r="413" spans="12:18" x14ac:dyDescent="0.25">
      <c r="L413"/>
      <c r="M413"/>
      <c r="N413"/>
      <c r="O413"/>
      <c r="P413"/>
      <c r="Q413"/>
      <c r="R413"/>
    </row>
    <row r="414" spans="12:18" x14ac:dyDescent="0.25">
      <c r="L414"/>
      <c r="M414"/>
      <c r="N414"/>
      <c r="O414"/>
      <c r="P414"/>
      <c r="Q414"/>
      <c r="R414"/>
    </row>
    <row r="415" spans="12:18" x14ac:dyDescent="0.25">
      <c r="L415"/>
      <c r="M415"/>
      <c r="N415"/>
      <c r="O415"/>
      <c r="P415"/>
      <c r="Q415"/>
      <c r="R415"/>
    </row>
    <row r="416" spans="12:18" x14ac:dyDescent="0.25">
      <c r="L416"/>
      <c r="M416"/>
      <c r="N416"/>
      <c r="O416"/>
      <c r="P416"/>
      <c r="Q416"/>
      <c r="R416"/>
    </row>
    <row r="417" spans="12:18" x14ac:dyDescent="0.25">
      <c r="L417"/>
      <c r="M417"/>
      <c r="N417"/>
      <c r="O417"/>
      <c r="P417"/>
      <c r="Q417"/>
      <c r="R417"/>
    </row>
    <row r="418" spans="12:18" x14ac:dyDescent="0.25">
      <c r="L418"/>
      <c r="M418"/>
      <c r="N418"/>
      <c r="O418"/>
      <c r="P418"/>
      <c r="Q418"/>
      <c r="R418"/>
    </row>
    <row r="419" spans="12:18" x14ac:dyDescent="0.25">
      <c r="L419"/>
      <c r="M419"/>
      <c r="N419"/>
      <c r="O419"/>
      <c r="P419"/>
      <c r="Q419"/>
      <c r="R419"/>
    </row>
    <row r="420" spans="12:18" x14ac:dyDescent="0.25">
      <c r="L420"/>
      <c r="M420"/>
      <c r="N420"/>
      <c r="O420"/>
      <c r="P420"/>
      <c r="Q420"/>
      <c r="R420"/>
    </row>
    <row r="421" spans="12:18" x14ac:dyDescent="0.25">
      <c r="L421"/>
      <c r="M421"/>
      <c r="N421"/>
      <c r="O421"/>
      <c r="P421"/>
      <c r="Q421"/>
      <c r="R421"/>
    </row>
    <row r="422" spans="12:18" x14ac:dyDescent="0.25">
      <c r="L422"/>
      <c r="M422"/>
      <c r="N422"/>
      <c r="O422"/>
      <c r="P422"/>
      <c r="Q422"/>
      <c r="R422"/>
    </row>
    <row r="423" spans="12:18" x14ac:dyDescent="0.25">
      <c r="L423"/>
      <c r="M423"/>
      <c r="N423"/>
      <c r="O423"/>
      <c r="P423"/>
      <c r="Q423"/>
      <c r="R423"/>
    </row>
    <row r="424" spans="12:18" x14ac:dyDescent="0.25">
      <c r="L424"/>
      <c r="M424"/>
      <c r="N424"/>
      <c r="O424"/>
      <c r="P424"/>
      <c r="Q424"/>
      <c r="R424"/>
    </row>
    <row r="425" spans="12:18" x14ac:dyDescent="0.25">
      <c r="L425"/>
      <c r="M425"/>
      <c r="N425"/>
      <c r="O425"/>
      <c r="P425"/>
      <c r="Q425"/>
      <c r="R425"/>
    </row>
    <row r="426" spans="12:18" x14ac:dyDescent="0.25">
      <c r="L426"/>
      <c r="M426"/>
      <c r="N426"/>
      <c r="O426"/>
      <c r="P426"/>
      <c r="Q426"/>
      <c r="R426"/>
    </row>
    <row r="427" spans="12:18" x14ac:dyDescent="0.25">
      <c r="L427"/>
      <c r="M427"/>
      <c r="N427"/>
      <c r="O427"/>
      <c r="P427"/>
      <c r="Q427"/>
      <c r="R427"/>
    </row>
    <row r="428" spans="12:18" x14ac:dyDescent="0.25">
      <c r="L428"/>
      <c r="M428"/>
      <c r="N428"/>
      <c r="O428"/>
      <c r="P428"/>
      <c r="Q428"/>
      <c r="R428"/>
    </row>
    <row r="429" spans="12:18" x14ac:dyDescent="0.25">
      <c r="L429"/>
      <c r="M429"/>
      <c r="N429"/>
      <c r="O429"/>
      <c r="P429"/>
      <c r="Q429"/>
      <c r="R429"/>
    </row>
    <row r="430" spans="12:18" x14ac:dyDescent="0.25">
      <c r="L430"/>
      <c r="M430"/>
      <c r="N430"/>
      <c r="O430"/>
      <c r="P430"/>
      <c r="Q430"/>
      <c r="R430"/>
    </row>
    <row r="431" spans="12:18" x14ac:dyDescent="0.25">
      <c r="L431"/>
      <c r="M431"/>
      <c r="N431"/>
      <c r="O431"/>
      <c r="P431"/>
      <c r="Q431"/>
      <c r="R431"/>
    </row>
    <row r="432" spans="12:18" x14ac:dyDescent="0.25">
      <c r="L432"/>
      <c r="M432"/>
      <c r="N432"/>
      <c r="O432"/>
      <c r="P432"/>
      <c r="Q432"/>
      <c r="R432"/>
    </row>
    <row r="433" spans="12:18" x14ac:dyDescent="0.25">
      <c r="L433"/>
      <c r="M433"/>
      <c r="N433"/>
      <c r="O433"/>
      <c r="P433"/>
      <c r="Q433"/>
      <c r="R433"/>
    </row>
    <row r="434" spans="12:18" x14ac:dyDescent="0.25">
      <c r="L434"/>
      <c r="M434"/>
      <c r="N434"/>
      <c r="O434"/>
      <c r="P434"/>
      <c r="Q434"/>
      <c r="R434"/>
    </row>
    <row r="435" spans="12:18" x14ac:dyDescent="0.25">
      <c r="L435"/>
      <c r="M435"/>
      <c r="N435"/>
      <c r="O435"/>
      <c r="P435"/>
      <c r="Q435"/>
      <c r="R435"/>
    </row>
    <row r="436" spans="12:18" x14ac:dyDescent="0.25">
      <c r="L436"/>
      <c r="M436"/>
      <c r="N436"/>
      <c r="O436"/>
      <c r="P436"/>
      <c r="Q436"/>
      <c r="R436"/>
    </row>
    <row r="437" spans="12:18" x14ac:dyDescent="0.25">
      <c r="L437"/>
      <c r="M437"/>
      <c r="N437"/>
      <c r="O437"/>
      <c r="P437"/>
      <c r="Q437"/>
      <c r="R437"/>
    </row>
    <row r="438" spans="12:18" x14ac:dyDescent="0.25">
      <c r="L438"/>
      <c r="M438"/>
      <c r="N438"/>
      <c r="O438"/>
      <c r="P438"/>
      <c r="Q438"/>
      <c r="R438"/>
    </row>
    <row r="439" spans="12:18" x14ac:dyDescent="0.25">
      <c r="L439"/>
      <c r="M439"/>
      <c r="N439"/>
      <c r="O439"/>
      <c r="P439"/>
      <c r="Q439"/>
      <c r="R439"/>
    </row>
    <row r="440" spans="12:18" x14ac:dyDescent="0.25">
      <c r="L440"/>
      <c r="M440"/>
      <c r="N440"/>
      <c r="O440"/>
      <c r="P440"/>
      <c r="Q440"/>
      <c r="R440"/>
    </row>
    <row r="441" spans="12:18" x14ac:dyDescent="0.25">
      <c r="L441"/>
      <c r="M441"/>
      <c r="N441"/>
      <c r="O441"/>
      <c r="P441"/>
      <c r="Q441"/>
      <c r="R441"/>
    </row>
    <row r="442" spans="12:18" x14ac:dyDescent="0.25">
      <c r="L442"/>
      <c r="M442"/>
      <c r="N442"/>
      <c r="O442"/>
      <c r="P442"/>
      <c r="Q442"/>
      <c r="R442"/>
    </row>
    <row r="443" spans="12:18" x14ac:dyDescent="0.25">
      <c r="L443"/>
      <c r="M443"/>
      <c r="N443"/>
      <c r="O443"/>
      <c r="P443"/>
      <c r="Q443"/>
      <c r="R443"/>
    </row>
    <row r="444" spans="12:18" x14ac:dyDescent="0.25">
      <c r="L444"/>
      <c r="M444"/>
      <c r="N444"/>
      <c r="O444"/>
      <c r="P444"/>
      <c r="Q444"/>
      <c r="R444"/>
    </row>
    <row r="445" spans="12:18" x14ac:dyDescent="0.25">
      <c r="L445"/>
      <c r="M445"/>
      <c r="N445"/>
      <c r="O445"/>
      <c r="P445"/>
      <c r="Q445"/>
      <c r="R445"/>
    </row>
    <row r="446" spans="12:18" x14ac:dyDescent="0.25">
      <c r="L446"/>
      <c r="M446"/>
      <c r="N446"/>
      <c r="O446"/>
      <c r="P446"/>
      <c r="Q446"/>
      <c r="R446"/>
    </row>
    <row r="447" spans="12:18" x14ac:dyDescent="0.25">
      <c r="L447"/>
      <c r="M447"/>
      <c r="N447"/>
      <c r="O447"/>
      <c r="P447"/>
      <c r="Q447"/>
      <c r="R447"/>
    </row>
    <row r="448" spans="12:18" x14ac:dyDescent="0.25">
      <c r="L448"/>
      <c r="M448"/>
      <c r="N448"/>
      <c r="O448"/>
      <c r="P448"/>
      <c r="Q448"/>
      <c r="R448"/>
    </row>
    <row r="449" spans="12:18" x14ac:dyDescent="0.25">
      <c r="L449"/>
      <c r="M449"/>
      <c r="N449"/>
      <c r="O449"/>
      <c r="P449"/>
      <c r="Q449"/>
      <c r="R449"/>
    </row>
    <row r="450" spans="12:18" x14ac:dyDescent="0.25">
      <c r="L450"/>
      <c r="M450"/>
      <c r="N450"/>
      <c r="O450"/>
      <c r="P450"/>
      <c r="Q450"/>
      <c r="R450"/>
    </row>
    <row r="451" spans="12:18" x14ac:dyDescent="0.25">
      <c r="L451"/>
      <c r="M451"/>
      <c r="N451"/>
      <c r="O451"/>
      <c r="P451"/>
      <c r="Q451"/>
      <c r="R451"/>
    </row>
    <row r="452" spans="12:18" x14ac:dyDescent="0.25">
      <c r="L452"/>
      <c r="M452"/>
      <c r="N452"/>
      <c r="O452"/>
      <c r="P452"/>
      <c r="Q452"/>
      <c r="R452"/>
    </row>
    <row r="453" spans="12:18" x14ac:dyDescent="0.25">
      <c r="L453"/>
      <c r="M453"/>
      <c r="N453"/>
      <c r="O453"/>
      <c r="P453"/>
      <c r="Q453"/>
      <c r="R453"/>
    </row>
    <row r="454" spans="12:18" x14ac:dyDescent="0.25">
      <c r="L454"/>
      <c r="M454"/>
      <c r="N454"/>
      <c r="O454"/>
      <c r="P454"/>
      <c r="Q454"/>
      <c r="R454"/>
    </row>
    <row r="455" spans="12:18" x14ac:dyDescent="0.25">
      <c r="L455"/>
      <c r="M455"/>
      <c r="N455"/>
      <c r="O455"/>
      <c r="P455"/>
      <c r="Q455"/>
      <c r="R455"/>
    </row>
    <row r="456" spans="12:18" x14ac:dyDescent="0.25">
      <c r="L456"/>
      <c r="M456"/>
      <c r="N456"/>
      <c r="O456"/>
      <c r="P456"/>
      <c r="Q456"/>
      <c r="R456"/>
    </row>
    <row r="457" spans="12:18" x14ac:dyDescent="0.25">
      <c r="L457"/>
      <c r="M457"/>
      <c r="N457"/>
      <c r="O457"/>
      <c r="P457"/>
      <c r="Q457"/>
      <c r="R457"/>
    </row>
    <row r="458" spans="12:18" x14ac:dyDescent="0.25">
      <c r="L458"/>
      <c r="M458"/>
      <c r="N458"/>
      <c r="O458"/>
      <c r="P458"/>
      <c r="Q458"/>
      <c r="R458"/>
    </row>
    <row r="459" spans="12:18" x14ac:dyDescent="0.25">
      <c r="L459"/>
      <c r="M459"/>
      <c r="N459"/>
      <c r="O459"/>
      <c r="P459"/>
      <c r="Q459"/>
      <c r="R459"/>
    </row>
    <row r="460" spans="12:18" x14ac:dyDescent="0.25">
      <c r="L460"/>
      <c r="M460"/>
      <c r="N460"/>
      <c r="O460"/>
      <c r="P460"/>
      <c r="Q460"/>
      <c r="R460"/>
    </row>
    <row r="461" spans="12:18" x14ac:dyDescent="0.25">
      <c r="L461"/>
      <c r="M461"/>
      <c r="N461"/>
      <c r="O461"/>
      <c r="P461"/>
      <c r="Q461"/>
      <c r="R461"/>
    </row>
    <row r="462" spans="12:18" x14ac:dyDescent="0.25">
      <c r="L462"/>
      <c r="M462"/>
      <c r="N462"/>
      <c r="O462"/>
      <c r="P462"/>
      <c r="Q462"/>
      <c r="R462"/>
    </row>
    <row r="463" spans="12:18" x14ac:dyDescent="0.25">
      <c r="L463"/>
      <c r="M463"/>
      <c r="N463"/>
      <c r="O463"/>
      <c r="P463"/>
      <c r="Q463"/>
      <c r="R463"/>
    </row>
    <row r="464" spans="12:18" x14ac:dyDescent="0.25">
      <c r="L464"/>
      <c r="M464"/>
      <c r="N464"/>
      <c r="O464"/>
      <c r="P464"/>
      <c r="Q464"/>
      <c r="R464"/>
    </row>
    <row r="465" spans="12:18" x14ac:dyDescent="0.25">
      <c r="L465"/>
      <c r="M465"/>
      <c r="N465"/>
      <c r="O465"/>
      <c r="P465"/>
      <c r="Q465"/>
      <c r="R465"/>
    </row>
    <row r="466" spans="12:18" x14ac:dyDescent="0.25">
      <c r="L466"/>
      <c r="M466"/>
      <c r="N466"/>
      <c r="O466"/>
      <c r="P466"/>
      <c r="Q466"/>
      <c r="R466"/>
    </row>
    <row r="467" spans="12:18" x14ac:dyDescent="0.25">
      <c r="L467"/>
      <c r="M467"/>
      <c r="N467"/>
      <c r="O467"/>
      <c r="P467"/>
      <c r="Q467"/>
      <c r="R467"/>
    </row>
    <row r="468" spans="12:18" x14ac:dyDescent="0.25">
      <c r="L468"/>
      <c r="M468"/>
      <c r="N468"/>
      <c r="O468"/>
      <c r="P468"/>
      <c r="Q468"/>
      <c r="R468"/>
    </row>
    <row r="469" spans="12:18" x14ac:dyDescent="0.25">
      <c r="L469"/>
      <c r="M469"/>
      <c r="N469"/>
      <c r="O469"/>
      <c r="P469"/>
      <c r="Q469"/>
      <c r="R469"/>
    </row>
    <row r="470" spans="12:18" x14ac:dyDescent="0.25">
      <c r="L470"/>
      <c r="M470"/>
      <c r="N470"/>
      <c r="O470"/>
      <c r="P470"/>
      <c r="Q470"/>
      <c r="R470"/>
    </row>
    <row r="471" spans="12:18" x14ac:dyDescent="0.25">
      <c r="L471"/>
      <c r="M471"/>
      <c r="N471"/>
      <c r="O471"/>
      <c r="P471"/>
      <c r="Q471"/>
      <c r="R471"/>
    </row>
    <row r="472" spans="12:18" x14ac:dyDescent="0.25">
      <c r="L472"/>
      <c r="M472"/>
      <c r="N472"/>
      <c r="O472"/>
      <c r="P472"/>
      <c r="Q472"/>
      <c r="R472"/>
    </row>
    <row r="473" spans="12:18" x14ac:dyDescent="0.25">
      <c r="L473"/>
      <c r="M473"/>
      <c r="N473"/>
      <c r="O473"/>
      <c r="P473"/>
      <c r="Q473"/>
      <c r="R473"/>
    </row>
    <row r="474" spans="12:18" x14ac:dyDescent="0.25">
      <c r="L474"/>
      <c r="M474"/>
      <c r="N474"/>
      <c r="O474"/>
      <c r="P474"/>
      <c r="Q474"/>
      <c r="R474"/>
    </row>
    <row r="475" spans="12:18" x14ac:dyDescent="0.25">
      <c r="L475"/>
      <c r="M475"/>
      <c r="N475"/>
      <c r="O475"/>
      <c r="P475"/>
      <c r="Q475"/>
      <c r="R475"/>
    </row>
    <row r="476" spans="12:18" x14ac:dyDescent="0.25">
      <c r="L476"/>
      <c r="M476"/>
      <c r="N476"/>
      <c r="O476"/>
      <c r="P476"/>
      <c r="Q476"/>
      <c r="R476"/>
    </row>
    <row r="477" spans="12:18" x14ac:dyDescent="0.25">
      <c r="L477"/>
      <c r="M477"/>
      <c r="N477"/>
      <c r="O477"/>
      <c r="P477"/>
      <c r="Q477"/>
      <c r="R477"/>
    </row>
    <row r="478" spans="12:18" x14ac:dyDescent="0.25">
      <c r="L478"/>
      <c r="M478"/>
      <c r="N478"/>
      <c r="O478"/>
      <c r="P478"/>
      <c r="Q478"/>
      <c r="R478"/>
    </row>
    <row r="479" spans="12:18" x14ac:dyDescent="0.25">
      <c r="L479"/>
      <c r="M479"/>
      <c r="N479"/>
      <c r="O479"/>
      <c r="P479"/>
      <c r="Q479"/>
      <c r="R479"/>
    </row>
    <row r="480" spans="12:18" x14ac:dyDescent="0.25">
      <c r="L480"/>
      <c r="M480"/>
      <c r="N480"/>
      <c r="O480"/>
      <c r="P480"/>
      <c r="Q480"/>
      <c r="R480"/>
    </row>
    <row r="481" spans="12:18" x14ac:dyDescent="0.25">
      <c r="L481"/>
      <c r="M481"/>
      <c r="N481"/>
      <c r="O481"/>
      <c r="P481"/>
      <c r="Q481"/>
      <c r="R481"/>
    </row>
    <row r="482" spans="12:18" x14ac:dyDescent="0.25">
      <c r="L482"/>
      <c r="M482"/>
      <c r="N482"/>
      <c r="O482"/>
      <c r="P482"/>
      <c r="Q482"/>
      <c r="R482"/>
    </row>
    <row r="483" spans="12:18" x14ac:dyDescent="0.25">
      <c r="L483"/>
      <c r="M483"/>
      <c r="N483"/>
      <c r="O483"/>
      <c r="P483"/>
      <c r="Q483"/>
      <c r="R483"/>
    </row>
    <row r="484" spans="12:18" x14ac:dyDescent="0.25">
      <c r="L484"/>
      <c r="M484"/>
      <c r="N484"/>
      <c r="O484"/>
      <c r="P484"/>
      <c r="Q484"/>
      <c r="R484"/>
    </row>
    <row r="485" spans="12:18" x14ac:dyDescent="0.25">
      <c r="L485"/>
      <c r="M485"/>
      <c r="N485"/>
      <c r="O485"/>
      <c r="P485"/>
      <c r="Q485"/>
      <c r="R485"/>
    </row>
    <row r="486" spans="12:18" x14ac:dyDescent="0.25">
      <c r="L486"/>
      <c r="M486"/>
      <c r="N486"/>
      <c r="O486"/>
      <c r="P486"/>
      <c r="Q486"/>
      <c r="R486"/>
    </row>
    <row r="487" spans="12:18" x14ac:dyDescent="0.25">
      <c r="L487"/>
      <c r="M487"/>
      <c r="N487"/>
      <c r="O487"/>
      <c r="P487"/>
      <c r="Q487"/>
      <c r="R487"/>
    </row>
    <row r="488" spans="12:18" x14ac:dyDescent="0.25">
      <c r="L488"/>
      <c r="M488"/>
      <c r="N488"/>
      <c r="O488"/>
      <c r="P488"/>
      <c r="Q488"/>
      <c r="R488"/>
    </row>
    <row r="489" spans="12:18" x14ac:dyDescent="0.25">
      <c r="L489"/>
      <c r="M489"/>
      <c r="N489"/>
      <c r="O489"/>
      <c r="P489"/>
      <c r="Q489"/>
      <c r="R489"/>
    </row>
    <row r="490" spans="12:18" x14ac:dyDescent="0.25">
      <c r="L490"/>
      <c r="M490"/>
      <c r="N490"/>
      <c r="O490"/>
      <c r="P490"/>
      <c r="Q490"/>
      <c r="R490"/>
    </row>
    <row r="491" spans="12:18" x14ac:dyDescent="0.25">
      <c r="L491"/>
      <c r="M491"/>
      <c r="N491"/>
      <c r="O491"/>
      <c r="P491"/>
      <c r="Q491"/>
      <c r="R491"/>
    </row>
    <row r="492" spans="12:18" x14ac:dyDescent="0.25">
      <c r="L492"/>
      <c r="M492"/>
      <c r="N492"/>
      <c r="O492"/>
      <c r="P492"/>
      <c r="Q492"/>
      <c r="R492"/>
    </row>
    <row r="493" spans="12:18" x14ac:dyDescent="0.25">
      <c r="L493"/>
      <c r="M493"/>
      <c r="N493"/>
      <c r="O493"/>
      <c r="P493"/>
      <c r="Q493"/>
      <c r="R493"/>
    </row>
    <row r="494" spans="12:18" x14ac:dyDescent="0.25">
      <c r="L494"/>
      <c r="M494"/>
      <c r="N494"/>
      <c r="O494"/>
      <c r="P494"/>
      <c r="Q494"/>
      <c r="R494"/>
    </row>
    <row r="495" spans="12:18" x14ac:dyDescent="0.25">
      <c r="L495"/>
      <c r="M495"/>
      <c r="N495"/>
      <c r="O495"/>
      <c r="P495"/>
      <c r="Q495"/>
      <c r="R495"/>
    </row>
    <row r="496" spans="12:18" x14ac:dyDescent="0.25">
      <c r="L496"/>
      <c r="M496"/>
      <c r="N496"/>
      <c r="O496"/>
      <c r="P496"/>
      <c r="Q496"/>
      <c r="R496"/>
    </row>
    <row r="497" spans="12:18" x14ac:dyDescent="0.25">
      <c r="L497"/>
      <c r="M497"/>
      <c r="N497"/>
      <c r="O497"/>
      <c r="P497"/>
      <c r="Q497"/>
      <c r="R497"/>
    </row>
    <row r="498" spans="12:18" x14ac:dyDescent="0.25">
      <c r="L498"/>
      <c r="M498"/>
      <c r="N498"/>
      <c r="O498"/>
      <c r="P498"/>
      <c r="Q498"/>
      <c r="R498"/>
    </row>
    <row r="499" spans="12:18" x14ac:dyDescent="0.25">
      <c r="L499"/>
      <c r="M499"/>
      <c r="N499"/>
      <c r="O499"/>
      <c r="P499"/>
      <c r="Q499"/>
      <c r="R499"/>
    </row>
    <row r="500" spans="12:18" x14ac:dyDescent="0.25">
      <c r="L500"/>
      <c r="M500"/>
      <c r="N500"/>
      <c r="O500"/>
      <c r="P500"/>
      <c r="Q500"/>
      <c r="R500"/>
    </row>
    <row r="501" spans="12:18" x14ac:dyDescent="0.25">
      <c r="L501"/>
      <c r="M501"/>
      <c r="N501"/>
      <c r="O501"/>
      <c r="P501"/>
      <c r="Q501"/>
      <c r="R501"/>
    </row>
    <row r="502" spans="12:18" x14ac:dyDescent="0.25">
      <c r="L502"/>
      <c r="M502"/>
      <c r="N502"/>
      <c r="O502"/>
      <c r="P502"/>
      <c r="Q502"/>
      <c r="R502"/>
    </row>
    <row r="503" spans="12:18" x14ac:dyDescent="0.25">
      <c r="L503"/>
      <c r="M503"/>
      <c r="N503"/>
      <c r="O503"/>
      <c r="P503"/>
      <c r="Q503"/>
      <c r="R503"/>
    </row>
    <row r="504" spans="12:18" x14ac:dyDescent="0.25">
      <c r="L504"/>
      <c r="M504"/>
      <c r="N504"/>
      <c r="O504"/>
      <c r="P504"/>
      <c r="Q504"/>
      <c r="R504"/>
    </row>
    <row r="505" spans="12:18" x14ac:dyDescent="0.25">
      <c r="L505"/>
      <c r="M505"/>
      <c r="N505"/>
      <c r="O505"/>
      <c r="P505"/>
      <c r="Q505"/>
      <c r="R505"/>
    </row>
    <row r="506" spans="12:18" x14ac:dyDescent="0.25">
      <c r="L506"/>
      <c r="M506"/>
      <c r="N506"/>
      <c r="O506"/>
      <c r="P506"/>
      <c r="Q506"/>
      <c r="R506"/>
    </row>
    <row r="507" spans="12:18" x14ac:dyDescent="0.25">
      <c r="L507"/>
      <c r="M507"/>
      <c r="N507"/>
      <c r="O507"/>
      <c r="P507"/>
      <c r="Q507"/>
      <c r="R507"/>
    </row>
    <row r="508" spans="12:18" x14ac:dyDescent="0.25">
      <c r="L508"/>
      <c r="M508"/>
      <c r="N508"/>
      <c r="O508"/>
      <c r="P508"/>
      <c r="Q508"/>
      <c r="R508"/>
    </row>
    <row r="509" spans="12:18" x14ac:dyDescent="0.25">
      <c r="L509"/>
      <c r="M509"/>
      <c r="N509"/>
      <c r="O509"/>
      <c r="P509"/>
      <c r="Q509"/>
      <c r="R509"/>
    </row>
    <row r="510" spans="12:18" x14ac:dyDescent="0.25">
      <c r="L510"/>
      <c r="M510"/>
      <c r="N510"/>
      <c r="O510"/>
      <c r="P510"/>
      <c r="Q510"/>
      <c r="R510"/>
    </row>
    <row r="511" spans="12:18" x14ac:dyDescent="0.25">
      <c r="L511"/>
      <c r="M511"/>
      <c r="N511"/>
      <c r="O511"/>
      <c r="P511"/>
      <c r="Q511"/>
      <c r="R511"/>
    </row>
    <row r="512" spans="12:18" x14ac:dyDescent="0.25">
      <c r="L512"/>
      <c r="M512"/>
      <c r="N512"/>
      <c r="O512"/>
      <c r="P512"/>
      <c r="Q512"/>
      <c r="R512"/>
    </row>
    <row r="513" spans="12:18" x14ac:dyDescent="0.25">
      <c r="L513"/>
      <c r="M513"/>
      <c r="N513"/>
      <c r="O513"/>
      <c r="P513"/>
      <c r="Q513"/>
      <c r="R513"/>
    </row>
    <row r="514" spans="12:18" x14ac:dyDescent="0.25">
      <c r="L514"/>
      <c r="M514"/>
      <c r="N514"/>
      <c r="O514"/>
      <c r="P514"/>
      <c r="Q514"/>
      <c r="R514"/>
    </row>
    <row r="515" spans="12:18" x14ac:dyDescent="0.25">
      <c r="L515"/>
      <c r="M515"/>
      <c r="N515"/>
      <c r="O515"/>
      <c r="P515"/>
      <c r="Q515"/>
      <c r="R515"/>
    </row>
    <row r="516" spans="12:18" x14ac:dyDescent="0.25">
      <c r="L516"/>
      <c r="M516"/>
      <c r="N516"/>
      <c r="O516"/>
      <c r="P516"/>
      <c r="Q516"/>
      <c r="R516"/>
    </row>
    <row r="517" spans="12:18" x14ac:dyDescent="0.25">
      <c r="L517"/>
      <c r="M517"/>
      <c r="N517"/>
      <c r="O517"/>
      <c r="P517"/>
      <c r="Q517"/>
      <c r="R517"/>
    </row>
    <row r="518" spans="12:18" x14ac:dyDescent="0.25">
      <c r="L518"/>
      <c r="M518"/>
      <c r="N518"/>
      <c r="O518"/>
      <c r="P518"/>
      <c r="Q518"/>
      <c r="R518"/>
    </row>
    <row r="519" spans="12:18" x14ac:dyDescent="0.25">
      <c r="L519"/>
      <c r="M519"/>
      <c r="N519"/>
      <c r="O519"/>
      <c r="P519"/>
      <c r="Q519"/>
      <c r="R519"/>
    </row>
    <row r="520" spans="12:18" x14ac:dyDescent="0.25">
      <c r="L520"/>
      <c r="M520"/>
      <c r="N520"/>
      <c r="O520"/>
      <c r="P520"/>
      <c r="Q520"/>
      <c r="R520"/>
    </row>
    <row r="521" spans="12:18" x14ac:dyDescent="0.25">
      <c r="L521"/>
      <c r="M521"/>
      <c r="N521"/>
      <c r="O521"/>
      <c r="P521"/>
      <c r="Q521"/>
      <c r="R521"/>
    </row>
    <row r="522" spans="12:18" x14ac:dyDescent="0.25">
      <c r="L522"/>
      <c r="M522"/>
      <c r="N522"/>
      <c r="O522"/>
      <c r="P522"/>
      <c r="Q522"/>
      <c r="R522"/>
    </row>
    <row r="523" spans="12:18" x14ac:dyDescent="0.25">
      <c r="L523"/>
      <c r="M523"/>
      <c r="N523"/>
      <c r="O523"/>
      <c r="P523"/>
      <c r="Q523"/>
      <c r="R523"/>
    </row>
    <row r="524" spans="12:18" x14ac:dyDescent="0.25">
      <c r="L524"/>
      <c r="M524"/>
      <c r="N524"/>
      <c r="O524"/>
      <c r="P524"/>
      <c r="Q524"/>
      <c r="R524"/>
    </row>
    <row r="525" spans="12:18" x14ac:dyDescent="0.25">
      <c r="L525"/>
      <c r="M525"/>
      <c r="N525"/>
      <c r="O525"/>
      <c r="P525"/>
      <c r="Q525"/>
      <c r="R525"/>
    </row>
    <row r="526" spans="12:18" x14ac:dyDescent="0.25">
      <c r="L526"/>
      <c r="M526"/>
      <c r="N526"/>
      <c r="O526"/>
      <c r="P526"/>
      <c r="Q526"/>
      <c r="R526"/>
    </row>
    <row r="527" spans="12:18" x14ac:dyDescent="0.25">
      <c r="L527"/>
      <c r="M527"/>
      <c r="N527"/>
      <c r="O527"/>
      <c r="P527"/>
      <c r="Q527"/>
      <c r="R527"/>
    </row>
    <row r="528" spans="12:18" x14ac:dyDescent="0.25">
      <c r="L528"/>
      <c r="M528"/>
      <c r="N528"/>
      <c r="O528"/>
      <c r="P528"/>
      <c r="Q528"/>
      <c r="R528"/>
    </row>
    <row r="529" spans="12:18" x14ac:dyDescent="0.25">
      <c r="L529"/>
      <c r="M529"/>
      <c r="N529"/>
      <c r="O529"/>
      <c r="P529"/>
      <c r="Q529"/>
      <c r="R529"/>
    </row>
    <row r="530" spans="12:18" x14ac:dyDescent="0.25">
      <c r="L530"/>
      <c r="M530"/>
      <c r="N530"/>
      <c r="O530"/>
      <c r="P530"/>
      <c r="Q530"/>
      <c r="R530"/>
    </row>
    <row r="531" spans="12:18" x14ac:dyDescent="0.25">
      <c r="L531"/>
      <c r="M531"/>
      <c r="N531"/>
      <c r="O531"/>
      <c r="P531"/>
      <c r="Q531"/>
    </row>
    <row r="532" spans="12:18" x14ac:dyDescent="0.25">
      <c r="L532"/>
      <c r="M532"/>
      <c r="N532"/>
      <c r="O532"/>
      <c r="P532"/>
      <c r="Q532"/>
    </row>
    <row r="533" spans="12:18" x14ac:dyDescent="0.25">
      <c r="L533"/>
      <c r="M533"/>
      <c r="N533"/>
      <c r="O533"/>
      <c r="P533"/>
      <c r="Q533"/>
    </row>
    <row r="534" spans="12:18" x14ac:dyDescent="0.25">
      <c r="L534"/>
      <c r="M534"/>
      <c r="N534"/>
      <c r="O534"/>
      <c r="P534"/>
      <c r="Q534"/>
    </row>
    <row r="535" spans="12:18" x14ac:dyDescent="0.25">
      <c r="L535"/>
      <c r="M535"/>
      <c r="N535"/>
      <c r="O535"/>
      <c r="P535"/>
      <c r="Q535"/>
    </row>
    <row r="536" spans="12:18" x14ac:dyDescent="0.25">
      <c r="L536"/>
      <c r="M536"/>
      <c r="N536"/>
      <c r="O536"/>
      <c r="P536"/>
      <c r="Q536"/>
    </row>
    <row r="537" spans="12:18" x14ac:dyDescent="0.25">
      <c r="L537"/>
      <c r="M537"/>
      <c r="N537"/>
      <c r="O537"/>
      <c r="P537"/>
      <c r="Q537"/>
    </row>
    <row r="538" spans="12:18" x14ac:dyDescent="0.25">
      <c r="L538"/>
      <c r="M538"/>
      <c r="N538"/>
      <c r="O538"/>
      <c r="P538"/>
      <c r="Q538"/>
    </row>
    <row r="539" spans="12:18" x14ac:dyDescent="0.25">
      <c r="L539"/>
      <c r="M539"/>
      <c r="N539"/>
      <c r="O539"/>
      <c r="P539"/>
      <c r="Q539"/>
    </row>
    <row r="540" spans="12:18" x14ac:dyDescent="0.25">
      <c r="L540"/>
      <c r="M540"/>
      <c r="N540"/>
      <c r="O540"/>
      <c r="P540"/>
      <c r="Q540"/>
    </row>
    <row r="541" spans="12:18" x14ac:dyDescent="0.25">
      <c r="L541"/>
      <c r="M541"/>
      <c r="N541"/>
      <c r="O541"/>
      <c r="P541"/>
      <c r="Q541"/>
    </row>
    <row r="542" spans="12:18" x14ac:dyDescent="0.25">
      <c r="L542"/>
      <c r="M542"/>
      <c r="N542"/>
      <c r="O542"/>
      <c r="P542"/>
      <c r="Q542"/>
    </row>
    <row r="543" spans="12:18" x14ac:dyDescent="0.25">
      <c r="L543"/>
      <c r="M543"/>
      <c r="N543"/>
      <c r="O543"/>
      <c r="P543"/>
      <c r="Q543"/>
    </row>
    <row r="544" spans="12:18" x14ac:dyDescent="0.25">
      <c r="L544"/>
      <c r="M544"/>
      <c r="N544"/>
      <c r="O544"/>
      <c r="P544"/>
      <c r="Q544"/>
    </row>
    <row r="545" spans="12:17" x14ac:dyDescent="0.25">
      <c r="L545"/>
      <c r="M545"/>
      <c r="N545"/>
      <c r="O545"/>
      <c r="P545"/>
      <c r="Q545"/>
    </row>
    <row r="546" spans="12:17" x14ac:dyDescent="0.25">
      <c r="L546"/>
      <c r="M546"/>
      <c r="N546"/>
      <c r="O546"/>
      <c r="P546"/>
      <c r="Q546"/>
    </row>
    <row r="547" spans="12:17" x14ac:dyDescent="0.25">
      <c r="L547"/>
      <c r="M547"/>
      <c r="N547"/>
      <c r="O547"/>
      <c r="P547"/>
      <c r="Q547"/>
    </row>
    <row r="548" spans="12:17" x14ac:dyDescent="0.25">
      <c r="L548"/>
      <c r="M548"/>
      <c r="N548"/>
      <c r="O548"/>
      <c r="P548"/>
      <c r="Q548"/>
    </row>
    <row r="549" spans="12:17" x14ac:dyDescent="0.25">
      <c r="L549"/>
      <c r="M549"/>
      <c r="N549"/>
      <c r="O549"/>
      <c r="P549"/>
      <c r="Q549"/>
    </row>
    <row r="550" spans="12:17" x14ac:dyDescent="0.25">
      <c r="L550"/>
      <c r="M550"/>
      <c r="N550"/>
      <c r="O550"/>
      <c r="P550"/>
      <c r="Q550"/>
    </row>
    <row r="551" spans="12:17" x14ac:dyDescent="0.25">
      <c r="L551"/>
      <c r="M551"/>
      <c r="N551"/>
      <c r="O551"/>
      <c r="P551"/>
      <c r="Q551"/>
    </row>
    <row r="552" spans="12:17" x14ac:dyDescent="0.25">
      <c r="L552"/>
      <c r="M552"/>
      <c r="N552"/>
      <c r="O552"/>
      <c r="P552"/>
      <c r="Q552"/>
    </row>
    <row r="553" spans="12:17" x14ac:dyDescent="0.25">
      <c r="L553"/>
      <c r="M553"/>
      <c r="N553"/>
      <c r="O553"/>
      <c r="P553"/>
      <c r="Q553"/>
    </row>
    <row r="554" spans="12:17" x14ac:dyDescent="0.25">
      <c r="L554"/>
      <c r="M554"/>
      <c r="N554"/>
      <c r="O554"/>
      <c r="P554"/>
      <c r="Q554"/>
    </row>
    <row r="555" spans="12:17" x14ac:dyDescent="0.25">
      <c r="L555"/>
      <c r="M555"/>
      <c r="N555"/>
      <c r="O555"/>
      <c r="P555"/>
      <c r="Q555"/>
    </row>
    <row r="556" spans="12:17" x14ac:dyDescent="0.25">
      <c r="L556"/>
      <c r="M556"/>
      <c r="N556"/>
      <c r="O556"/>
      <c r="P556"/>
      <c r="Q556"/>
    </row>
    <row r="557" spans="12:17" x14ac:dyDescent="0.25">
      <c r="L557"/>
      <c r="M557"/>
      <c r="N557"/>
      <c r="O557"/>
      <c r="P557"/>
      <c r="Q557"/>
    </row>
    <row r="558" spans="12:17" x14ac:dyDescent="0.25">
      <c r="L558"/>
      <c r="M558"/>
      <c r="N558"/>
      <c r="O558"/>
      <c r="P558"/>
      <c r="Q558"/>
    </row>
    <row r="559" spans="12:17" x14ac:dyDescent="0.25">
      <c r="L559"/>
      <c r="M559"/>
      <c r="N559"/>
      <c r="O559"/>
      <c r="P559"/>
      <c r="Q559"/>
    </row>
    <row r="560" spans="12:17" x14ac:dyDescent="0.25">
      <c r="L560"/>
      <c r="M560"/>
      <c r="N560"/>
      <c r="O560"/>
      <c r="P560"/>
      <c r="Q560"/>
    </row>
    <row r="561" spans="12:17" x14ac:dyDescent="0.25">
      <c r="L561"/>
      <c r="M561"/>
      <c r="N561"/>
      <c r="O561"/>
      <c r="P561"/>
      <c r="Q561"/>
    </row>
    <row r="562" spans="12:17" x14ac:dyDescent="0.25">
      <c r="L562"/>
      <c r="M562"/>
      <c r="N562"/>
      <c r="O562"/>
      <c r="P562"/>
      <c r="Q562"/>
    </row>
    <row r="563" spans="12:17" x14ac:dyDescent="0.25">
      <c r="L563"/>
      <c r="M563"/>
      <c r="N563"/>
      <c r="O563"/>
      <c r="P563"/>
      <c r="Q563"/>
    </row>
    <row r="564" spans="12:17" x14ac:dyDescent="0.25">
      <c r="L564"/>
      <c r="M564"/>
      <c r="N564"/>
      <c r="O564"/>
      <c r="P564"/>
      <c r="Q564"/>
    </row>
    <row r="565" spans="12:17" x14ac:dyDescent="0.25">
      <c r="L565"/>
      <c r="M565"/>
      <c r="N565"/>
      <c r="O565"/>
      <c r="P565"/>
      <c r="Q565"/>
    </row>
    <row r="566" spans="12:17" x14ac:dyDescent="0.25">
      <c r="L566"/>
      <c r="M566"/>
      <c r="N566"/>
      <c r="O566"/>
      <c r="P566"/>
      <c r="Q566"/>
    </row>
    <row r="567" spans="12:17" x14ac:dyDescent="0.25">
      <c r="L567"/>
      <c r="M567"/>
      <c r="N567"/>
      <c r="O567"/>
      <c r="P567"/>
      <c r="Q567"/>
    </row>
    <row r="568" spans="12:17" x14ac:dyDescent="0.25">
      <c r="L568"/>
      <c r="M568"/>
      <c r="N568"/>
      <c r="O568"/>
      <c r="P568"/>
      <c r="Q568"/>
    </row>
    <row r="569" spans="12:17" x14ac:dyDescent="0.25">
      <c r="L569"/>
      <c r="M569"/>
      <c r="N569"/>
      <c r="O569"/>
      <c r="P569"/>
      <c r="Q569"/>
    </row>
    <row r="570" spans="12:17" x14ac:dyDescent="0.25">
      <c r="L570"/>
      <c r="M570"/>
      <c r="N570"/>
      <c r="O570"/>
      <c r="P570"/>
      <c r="Q570"/>
    </row>
    <row r="571" spans="12:17" x14ac:dyDescent="0.25">
      <c r="L571"/>
      <c r="M571"/>
      <c r="N571"/>
      <c r="O571"/>
      <c r="P571"/>
      <c r="Q571"/>
    </row>
    <row r="572" spans="12:17" x14ac:dyDescent="0.25">
      <c r="L572"/>
      <c r="M572"/>
      <c r="N572"/>
      <c r="O572"/>
      <c r="P572"/>
      <c r="Q572"/>
    </row>
    <row r="573" spans="12:17" x14ac:dyDescent="0.25">
      <c r="L573"/>
      <c r="M573"/>
      <c r="N573"/>
      <c r="O573"/>
      <c r="P573"/>
      <c r="Q573"/>
    </row>
    <row r="574" spans="12:17" x14ac:dyDescent="0.25">
      <c r="L574"/>
      <c r="M574"/>
      <c r="N574"/>
      <c r="O574"/>
      <c r="P574"/>
      <c r="Q574"/>
    </row>
    <row r="575" spans="12:17" x14ac:dyDescent="0.25">
      <c r="L575"/>
      <c r="M575"/>
      <c r="N575"/>
      <c r="O575"/>
      <c r="P575"/>
      <c r="Q575"/>
    </row>
    <row r="576" spans="12:17" x14ac:dyDescent="0.25">
      <c r="L576"/>
      <c r="M576"/>
      <c r="N576"/>
      <c r="O576"/>
      <c r="P576"/>
      <c r="Q576"/>
    </row>
    <row r="577" spans="12:17" x14ac:dyDescent="0.25">
      <c r="L577"/>
      <c r="M577"/>
      <c r="N577"/>
      <c r="O577"/>
      <c r="P577"/>
      <c r="Q577"/>
    </row>
    <row r="578" spans="12:17" x14ac:dyDescent="0.25">
      <c r="L578"/>
      <c r="M578"/>
      <c r="N578"/>
      <c r="O578"/>
      <c r="P578"/>
      <c r="Q578"/>
    </row>
    <row r="579" spans="12:17" x14ac:dyDescent="0.25">
      <c r="L579"/>
      <c r="M579"/>
      <c r="N579"/>
      <c r="O579"/>
      <c r="P579"/>
      <c r="Q579"/>
    </row>
    <row r="580" spans="12:17" x14ac:dyDescent="0.25">
      <c r="L580"/>
      <c r="M580"/>
      <c r="N580"/>
      <c r="O580"/>
      <c r="P580"/>
      <c r="Q580"/>
    </row>
    <row r="581" spans="12:17" x14ac:dyDescent="0.25">
      <c r="L581"/>
      <c r="M581"/>
      <c r="N581"/>
      <c r="O581"/>
      <c r="P581"/>
      <c r="Q581"/>
    </row>
    <row r="582" spans="12:17" x14ac:dyDescent="0.25">
      <c r="L582"/>
      <c r="M582"/>
      <c r="N582"/>
      <c r="O582"/>
      <c r="P582"/>
      <c r="Q582"/>
    </row>
    <row r="583" spans="12:17" x14ac:dyDescent="0.25">
      <c r="L583"/>
      <c r="M583"/>
      <c r="N583"/>
      <c r="O583"/>
      <c r="P583"/>
      <c r="Q583"/>
    </row>
    <row r="584" spans="12:17" x14ac:dyDescent="0.25">
      <c r="L584"/>
      <c r="M584"/>
      <c r="N584"/>
      <c r="O584"/>
      <c r="P584"/>
      <c r="Q584"/>
    </row>
    <row r="585" spans="12:17" x14ac:dyDescent="0.25">
      <c r="L585"/>
      <c r="M585"/>
      <c r="N585"/>
      <c r="O585"/>
      <c r="P585"/>
      <c r="Q585"/>
    </row>
    <row r="586" spans="12:17" x14ac:dyDescent="0.25">
      <c r="L586"/>
      <c r="M586"/>
      <c r="N586"/>
      <c r="O586"/>
      <c r="P586"/>
      <c r="Q586"/>
    </row>
    <row r="587" spans="12:17" x14ac:dyDescent="0.25">
      <c r="L587"/>
      <c r="M587"/>
      <c r="N587"/>
      <c r="O587"/>
      <c r="P587"/>
      <c r="Q587"/>
    </row>
    <row r="588" spans="12:17" x14ac:dyDescent="0.25">
      <c r="L588"/>
      <c r="M588"/>
      <c r="N588"/>
      <c r="O588"/>
      <c r="P588"/>
      <c r="Q588"/>
    </row>
    <row r="589" spans="12:17" x14ac:dyDescent="0.25">
      <c r="L589"/>
      <c r="M589"/>
      <c r="N589"/>
      <c r="O589"/>
      <c r="P589"/>
      <c r="Q589"/>
    </row>
    <row r="590" spans="12:17" x14ac:dyDescent="0.25">
      <c r="L590"/>
      <c r="M590"/>
      <c r="N590"/>
      <c r="O590"/>
      <c r="P590"/>
      <c r="Q590"/>
    </row>
    <row r="591" spans="12:17" x14ac:dyDescent="0.25">
      <c r="L591"/>
      <c r="M591"/>
      <c r="N591"/>
      <c r="O591"/>
      <c r="P591"/>
      <c r="Q591"/>
    </row>
    <row r="592" spans="12:17" x14ac:dyDescent="0.25">
      <c r="L592"/>
      <c r="M592"/>
      <c r="N592"/>
      <c r="O592"/>
      <c r="P592"/>
      <c r="Q592"/>
    </row>
    <row r="593" spans="12:17" x14ac:dyDescent="0.25">
      <c r="L593"/>
      <c r="M593"/>
      <c r="N593"/>
      <c r="O593"/>
      <c r="P593"/>
      <c r="Q593"/>
    </row>
    <row r="594" spans="12:17" x14ac:dyDescent="0.25">
      <c r="L594"/>
      <c r="M594"/>
      <c r="N594"/>
      <c r="O594"/>
      <c r="P594"/>
      <c r="Q594"/>
    </row>
    <row r="595" spans="12:17" x14ac:dyDescent="0.25">
      <c r="L595"/>
      <c r="M595"/>
      <c r="N595"/>
      <c r="O595"/>
      <c r="P595"/>
      <c r="Q595"/>
    </row>
    <row r="596" spans="12:17" x14ac:dyDescent="0.25">
      <c r="L596"/>
      <c r="M596"/>
      <c r="N596"/>
      <c r="O596"/>
      <c r="P596"/>
      <c r="Q596"/>
    </row>
    <row r="597" spans="12:17" x14ac:dyDescent="0.25">
      <c r="L597"/>
      <c r="M597"/>
      <c r="N597"/>
      <c r="O597"/>
      <c r="P597"/>
      <c r="Q597"/>
    </row>
    <row r="598" spans="12:17" x14ac:dyDescent="0.25">
      <c r="L598"/>
      <c r="M598"/>
      <c r="N598"/>
      <c r="O598"/>
      <c r="P598"/>
      <c r="Q598"/>
    </row>
    <row r="599" spans="12:17" x14ac:dyDescent="0.25">
      <c r="L599"/>
      <c r="M599"/>
      <c r="N599"/>
      <c r="O599"/>
      <c r="P599"/>
      <c r="Q599"/>
    </row>
    <row r="600" spans="12:17" x14ac:dyDescent="0.25">
      <c r="L600"/>
      <c r="M600"/>
      <c r="N600"/>
      <c r="O600"/>
      <c r="P600"/>
      <c r="Q600"/>
    </row>
    <row r="601" spans="12:17" x14ac:dyDescent="0.25">
      <c r="L601"/>
      <c r="M601"/>
      <c r="N601"/>
      <c r="O601"/>
      <c r="P601"/>
      <c r="Q601"/>
    </row>
    <row r="602" spans="12:17" x14ac:dyDescent="0.25">
      <c r="L602"/>
      <c r="M602"/>
      <c r="N602"/>
      <c r="O602"/>
      <c r="P602"/>
      <c r="Q602"/>
    </row>
    <row r="603" spans="12:17" x14ac:dyDescent="0.25">
      <c r="L603"/>
      <c r="M603"/>
      <c r="N603"/>
      <c r="O603"/>
      <c r="P603"/>
      <c r="Q603"/>
    </row>
    <row r="604" spans="12:17" x14ac:dyDescent="0.25">
      <c r="L604"/>
      <c r="M604"/>
      <c r="N604"/>
      <c r="O604"/>
      <c r="P604"/>
      <c r="Q604"/>
    </row>
    <row r="605" spans="12:17" x14ac:dyDescent="0.25">
      <c r="L605"/>
      <c r="M605"/>
      <c r="N605"/>
      <c r="O605"/>
      <c r="P605"/>
      <c r="Q605"/>
    </row>
    <row r="606" spans="12:17" x14ac:dyDescent="0.25">
      <c r="L606"/>
      <c r="M606"/>
      <c r="N606"/>
      <c r="O606"/>
      <c r="P606"/>
      <c r="Q606"/>
    </row>
    <row r="607" spans="12:17" x14ac:dyDescent="0.25">
      <c r="L607"/>
      <c r="M607"/>
      <c r="N607"/>
      <c r="O607"/>
      <c r="P607"/>
      <c r="Q607"/>
    </row>
    <row r="608" spans="12:17" x14ac:dyDescent="0.25">
      <c r="L608"/>
      <c r="M608"/>
      <c r="N608"/>
      <c r="O608"/>
      <c r="P608"/>
      <c r="Q608"/>
    </row>
    <row r="609" spans="12:17" x14ac:dyDescent="0.25">
      <c r="L609"/>
      <c r="M609"/>
      <c r="N609"/>
      <c r="O609"/>
      <c r="P609"/>
      <c r="Q609"/>
    </row>
    <row r="610" spans="12:17" x14ac:dyDescent="0.25">
      <c r="L610"/>
      <c r="M610"/>
      <c r="N610"/>
      <c r="O610"/>
      <c r="P610"/>
      <c r="Q610"/>
    </row>
    <row r="611" spans="12:17" x14ac:dyDescent="0.25">
      <c r="L611"/>
      <c r="M611"/>
      <c r="N611"/>
      <c r="O611"/>
      <c r="P611"/>
      <c r="Q611"/>
    </row>
    <row r="612" spans="12:17" x14ac:dyDescent="0.25">
      <c r="L612"/>
      <c r="M612"/>
      <c r="N612"/>
      <c r="O612"/>
      <c r="P612"/>
      <c r="Q612"/>
    </row>
    <row r="613" spans="12:17" x14ac:dyDescent="0.25">
      <c r="L613"/>
      <c r="M613"/>
      <c r="N613"/>
      <c r="O613"/>
      <c r="P613"/>
      <c r="Q613"/>
    </row>
    <row r="614" spans="12:17" x14ac:dyDescent="0.25">
      <c r="L614"/>
      <c r="M614"/>
      <c r="N614"/>
      <c r="O614"/>
      <c r="P614"/>
      <c r="Q614"/>
    </row>
    <row r="615" spans="12:17" x14ac:dyDescent="0.25">
      <c r="L615"/>
      <c r="M615"/>
      <c r="N615"/>
      <c r="O615"/>
      <c r="P615"/>
      <c r="Q615"/>
    </row>
    <row r="616" spans="12:17" x14ac:dyDescent="0.25">
      <c r="L616"/>
      <c r="M616"/>
      <c r="N616"/>
      <c r="O616"/>
      <c r="P616"/>
      <c r="Q616"/>
    </row>
    <row r="617" spans="12:17" x14ac:dyDescent="0.25">
      <c r="L617"/>
      <c r="M617"/>
      <c r="N617"/>
      <c r="O617"/>
      <c r="P617"/>
      <c r="Q617"/>
    </row>
    <row r="618" spans="12:17" x14ac:dyDescent="0.25">
      <c r="L618"/>
      <c r="M618"/>
      <c r="N618"/>
      <c r="O618"/>
      <c r="P618"/>
      <c r="Q618"/>
    </row>
    <row r="619" spans="12:17" x14ac:dyDescent="0.25">
      <c r="L619"/>
      <c r="M619"/>
      <c r="N619"/>
      <c r="O619"/>
      <c r="P619"/>
      <c r="Q619"/>
    </row>
    <row r="620" spans="12:17" x14ac:dyDescent="0.25">
      <c r="L620"/>
      <c r="M620"/>
      <c r="N620"/>
      <c r="O620"/>
      <c r="P620"/>
      <c r="Q620"/>
    </row>
    <row r="621" spans="12:17" x14ac:dyDescent="0.25">
      <c r="L621"/>
      <c r="M621"/>
      <c r="N621"/>
      <c r="O621"/>
      <c r="P621"/>
      <c r="Q621"/>
    </row>
    <row r="622" spans="12:17" x14ac:dyDescent="0.25">
      <c r="L622"/>
      <c r="M622"/>
      <c r="N622"/>
      <c r="O622"/>
      <c r="P622"/>
      <c r="Q622"/>
    </row>
    <row r="623" spans="12:17" x14ac:dyDescent="0.25">
      <c r="L623"/>
      <c r="M623"/>
      <c r="N623"/>
      <c r="O623"/>
      <c r="P623"/>
      <c r="Q623"/>
    </row>
  </sheetData>
  <mergeCells count="7">
    <mergeCell ref="D7:F7"/>
    <mergeCell ref="C18:G18"/>
    <mergeCell ref="C36:G36"/>
    <mergeCell ref="D3:F3"/>
    <mergeCell ref="D4:F4"/>
    <mergeCell ref="D5:F5"/>
    <mergeCell ref="D6:F6"/>
  </mergeCells>
  <conditionalFormatting sqref="J36 J30 D3:D7 C30:G30 C12:H12 G39 G21 G26 H30:I36 H39:I40">
    <cfRule type="cellIs" dxfId="1845" priority="80" operator="equal">
      <formula>0</formula>
    </cfRule>
  </conditionalFormatting>
  <conditionalFormatting sqref="D31:D35">
    <cfRule type="cellIs" dxfId="1844" priority="67" operator="equal">
      <formula>0</formula>
    </cfRule>
  </conditionalFormatting>
  <conditionalFormatting sqref="D13:D17">
    <cfRule type="cellIs" dxfId="1843" priority="76" operator="equal">
      <formula>0</formula>
    </cfRule>
  </conditionalFormatting>
  <conditionalFormatting sqref="E13:E17">
    <cfRule type="cellIs" dxfId="1842" priority="75" operator="equal">
      <formula>0</formula>
    </cfRule>
  </conditionalFormatting>
  <conditionalFormatting sqref="F13:F17">
    <cfRule type="cellIs" dxfId="1841" priority="74" operator="equal">
      <formula>0</formula>
    </cfRule>
  </conditionalFormatting>
  <conditionalFormatting sqref="G13:G17">
    <cfRule type="cellIs" dxfId="1840" priority="73" operator="equal">
      <formula>0</formula>
    </cfRule>
  </conditionalFormatting>
  <conditionalFormatting sqref="H13:H17">
    <cfRule type="cellIs" dxfId="1839" priority="72" operator="equal">
      <formula>0</formula>
    </cfRule>
  </conditionalFormatting>
  <conditionalFormatting sqref="G31:G35">
    <cfRule type="cellIs" dxfId="1838" priority="68" operator="equal">
      <formula>0</formula>
    </cfRule>
  </conditionalFormatting>
  <conditionalFormatting sqref="E31:E35">
    <cfRule type="cellIs" dxfId="1837" priority="66" operator="equal">
      <formula>0</formula>
    </cfRule>
  </conditionalFormatting>
  <conditionalFormatting sqref="F31:F35">
    <cfRule type="cellIs" dxfId="1836" priority="65" operator="equal">
      <formula>0</formula>
    </cfRule>
  </conditionalFormatting>
  <conditionalFormatting sqref="J31:J35">
    <cfRule type="cellIs" dxfId="1835" priority="63" operator="equal">
      <formula>0</formula>
    </cfRule>
  </conditionalFormatting>
  <conditionalFormatting sqref="C39:D39">
    <cfRule type="cellIs" dxfId="1834" priority="60" operator="equal">
      <formula>0</formula>
    </cfRule>
  </conditionalFormatting>
  <conditionalFormatting sqref="E21">
    <cfRule type="cellIs" dxfId="1833" priority="30" operator="equal">
      <formula>0</formula>
    </cfRule>
  </conditionalFormatting>
  <conditionalFormatting sqref="E39">
    <cfRule type="cellIs" dxfId="1832" priority="53" operator="equal">
      <formula>0</formula>
    </cfRule>
  </conditionalFormatting>
  <conditionalFormatting sqref="F22">
    <cfRule type="cellIs" dxfId="1831" priority="41" operator="equal">
      <formula>0</formula>
    </cfRule>
  </conditionalFormatting>
  <conditionalFormatting sqref="G22">
    <cfRule type="cellIs" dxfId="1830" priority="40" operator="equal">
      <formula>0</formula>
    </cfRule>
  </conditionalFormatting>
  <conditionalFormatting sqref="G40">
    <cfRule type="cellIs" dxfId="1829" priority="56" operator="equal">
      <formula>"Não"</formula>
    </cfRule>
    <cfRule type="cellIs" dxfId="1828" priority="57" operator="equal">
      <formula>"Sim"</formula>
    </cfRule>
  </conditionalFormatting>
  <conditionalFormatting sqref="D40">
    <cfRule type="cellIs" dxfId="1827" priority="54" operator="equal">
      <formula>0</formula>
    </cfRule>
  </conditionalFormatting>
  <conditionalFormatting sqref="F21">
    <cfRule type="cellIs" dxfId="1826" priority="29" operator="equal">
      <formula>0</formula>
    </cfRule>
  </conditionalFormatting>
  <conditionalFormatting sqref="H21">
    <cfRule type="cellIs" dxfId="1825" priority="28" operator="equal">
      <formula>0</formula>
    </cfRule>
  </conditionalFormatting>
  <conditionalFormatting sqref="E40">
    <cfRule type="cellIs" dxfId="1824" priority="51" operator="equal">
      <formula>0</formula>
    </cfRule>
  </conditionalFormatting>
  <conditionalFormatting sqref="F39">
    <cfRule type="cellIs" dxfId="1823" priority="49" operator="equal">
      <formula>0</formula>
    </cfRule>
  </conditionalFormatting>
  <conditionalFormatting sqref="F40">
    <cfRule type="cellIs" dxfId="1822" priority="48" operator="equal">
      <formula>0</formula>
    </cfRule>
  </conditionalFormatting>
  <conditionalFormatting sqref="J39">
    <cfRule type="cellIs" dxfId="1821" priority="46" operator="equal">
      <formula>0</formula>
    </cfRule>
  </conditionalFormatting>
  <conditionalFormatting sqref="D22">
    <cfRule type="cellIs" dxfId="1820" priority="42" operator="equal">
      <formula>0</formula>
    </cfRule>
  </conditionalFormatting>
  <conditionalFormatting sqref="E22">
    <cfRule type="cellIs" dxfId="1819" priority="38" operator="equal">
      <formula>0</formula>
    </cfRule>
  </conditionalFormatting>
  <conditionalFormatting sqref="H22">
    <cfRule type="cellIs" dxfId="1818" priority="39" operator="equal">
      <formula>0</formula>
    </cfRule>
  </conditionalFormatting>
  <conditionalFormatting sqref="H23">
    <cfRule type="cellIs" dxfId="1817" priority="34" operator="equal">
      <formula>0</formula>
    </cfRule>
  </conditionalFormatting>
  <conditionalFormatting sqref="G23">
    <cfRule type="cellIs" dxfId="1816" priority="35" operator="equal">
      <formula>0</formula>
    </cfRule>
  </conditionalFormatting>
  <conditionalFormatting sqref="D23:F23">
    <cfRule type="cellIs" dxfId="1815" priority="32" operator="equal">
      <formula>"Não"</formula>
    </cfRule>
    <cfRule type="cellIs" dxfId="1814" priority="33" operator="equal">
      <formula>"Sim"</formula>
    </cfRule>
  </conditionalFormatting>
  <conditionalFormatting sqref="C21:D21">
    <cfRule type="cellIs" dxfId="1813" priority="31" operator="equal">
      <formula>0</formula>
    </cfRule>
  </conditionalFormatting>
  <conditionalFormatting sqref="C26:D26">
    <cfRule type="cellIs" dxfId="1812" priority="25" operator="equal">
      <formula>0</formula>
    </cfRule>
  </conditionalFormatting>
  <conditionalFormatting sqref="G27">
    <cfRule type="cellIs" dxfId="1811" priority="21" operator="equal">
      <formula>"Não"</formula>
    </cfRule>
    <cfRule type="cellIs" dxfId="1810" priority="22" operator="equal">
      <formula>"Sim"</formula>
    </cfRule>
  </conditionalFormatting>
  <conditionalFormatting sqref="D27">
    <cfRule type="cellIs" dxfId="1809" priority="19" operator="equal">
      <formula>0</formula>
    </cfRule>
  </conditionalFormatting>
  <conditionalFormatting sqref="E26">
    <cfRule type="cellIs" dxfId="1808" priority="18" operator="equal">
      <formula>0</formula>
    </cfRule>
  </conditionalFormatting>
  <conditionalFormatting sqref="E27">
    <cfRule type="cellIs" dxfId="1807" priority="16" operator="equal">
      <formula>0</formula>
    </cfRule>
  </conditionalFormatting>
  <conditionalFormatting sqref="F26">
    <cfRule type="cellIs" dxfId="1806" priority="14" operator="equal">
      <formula>0</formula>
    </cfRule>
  </conditionalFormatting>
  <conditionalFormatting sqref="F27">
    <cfRule type="cellIs" dxfId="1805" priority="13" operator="equal">
      <formula>0</formula>
    </cfRule>
  </conditionalFormatting>
  <conditionalFormatting sqref="H26">
    <cfRule type="cellIs" dxfId="1804" priority="11" operator="equal">
      <formula>0</formula>
    </cfRule>
  </conditionalFormatting>
  <conditionalFormatting sqref="H27">
    <cfRule type="cellIs" dxfId="1803" priority="9" operator="equal">
      <formula>0</formula>
    </cfRule>
  </conditionalFormatting>
  <conditionalFormatting sqref="H9">
    <cfRule type="cellIs" dxfId="1802" priority="8" operator="equal">
      <formula>0</formula>
    </cfRule>
  </conditionalFormatting>
  <conditionalFormatting sqref="J40">
    <cfRule type="cellIs" dxfId="1801" priority="7" operator="equal">
      <formula>0</formula>
    </cfRule>
  </conditionalFormatting>
  <conditionalFormatting sqref="M6:Q6">
    <cfRule type="cellIs" dxfId="1800" priority="1" operator="equal">
      <formula>0</formula>
    </cfRule>
  </conditionalFormatting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0A457-84A7-4394-A773-AB195483A4A4}">
  <sheetPr codeName="Planilha10">
    <tabColor theme="4" tint="0.79998168889431442"/>
  </sheetPr>
  <dimension ref="C3:M127"/>
  <sheetViews>
    <sheetView showGridLines="0" workbookViewId="0">
      <selection activeCell="J6" sqref="J6:L6"/>
    </sheetView>
  </sheetViews>
  <sheetFormatPr defaultRowHeight="15" x14ac:dyDescent="0.25"/>
  <cols>
    <col min="1" max="1" width="22" customWidth="1"/>
    <col min="2" max="2" width="1.85546875" customWidth="1"/>
    <col min="3" max="3" width="77.140625" style="87" bestFit="1" customWidth="1"/>
    <col min="4" max="4" width="14.7109375" style="87" customWidth="1"/>
    <col min="5" max="5" width="18.7109375" style="87" customWidth="1"/>
    <col min="6" max="6" width="16.42578125" style="87" customWidth="1"/>
    <col min="7" max="7" width="14.7109375" style="87" customWidth="1"/>
    <col min="8" max="8" width="4.28515625" style="87" customWidth="1"/>
    <col min="9" max="9" width="77.140625" style="87" bestFit="1" customWidth="1"/>
    <col min="10" max="10" width="14.7109375" style="87" customWidth="1"/>
    <col min="11" max="11" width="18.7109375" style="87" customWidth="1"/>
    <col min="12" max="12" width="16.42578125" style="87" customWidth="1"/>
    <col min="13" max="13" width="14.7109375" style="87" customWidth="1"/>
  </cols>
  <sheetData>
    <row r="3" spans="3:13" ht="18.75" x14ac:dyDescent="0.25">
      <c r="C3" s="160" t="s">
        <v>525</v>
      </c>
      <c r="I3" s="160" t="s">
        <v>527</v>
      </c>
      <c r="J3"/>
    </row>
    <row r="4" spans="3:13" x14ac:dyDescent="0.25">
      <c r="C4" s="92" t="s">
        <v>2</v>
      </c>
      <c r="D4" s="3" t="s">
        <v>538</v>
      </c>
      <c r="I4" s="92" t="s">
        <v>2</v>
      </c>
      <c r="J4" s="3" t="s">
        <v>16</v>
      </c>
    </row>
    <row r="5" spans="3:13" x14ac:dyDescent="0.25">
      <c r="C5" s="92" t="s">
        <v>4</v>
      </c>
      <c r="D5" s="3" t="s">
        <v>24</v>
      </c>
      <c r="I5" s="92" t="s">
        <v>4</v>
      </c>
      <c r="J5" s="3" t="s">
        <v>18</v>
      </c>
    </row>
    <row r="6" spans="3:13" x14ac:dyDescent="0.25">
      <c r="C6" s="92" t="s">
        <v>3</v>
      </c>
      <c r="D6" s="3" t="s">
        <v>229</v>
      </c>
      <c r="J6" s="161">
        <f>SUM(J9:J1048576)</f>
        <v>13227125.289999999</v>
      </c>
      <c r="K6" s="161">
        <f>SUM(K9:K1048576)</f>
        <v>56413062.94000002</v>
      </c>
      <c r="L6" s="161">
        <f>SUM(L9:L1048576)</f>
        <v>8434400.9299999978</v>
      </c>
      <c r="M6" s="161">
        <f>SUM(M9:M1048576)</f>
        <v>78074589.160000011</v>
      </c>
    </row>
    <row r="7" spans="3:13" x14ac:dyDescent="0.25">
      <c r="D7" s="161">
        <f>SUM(D10:D1048576)</f>
        <v>3927690.4099999992</v>
      </c>
      <c r="E7" s="161">
        <f>SUM(E10:E1048576)</f>
        <v>17719654.360000003</v>
      </c>
      <c r="F7" s="161">
        <f>SUM(F10:F1048576)</f>
        <v>2750078.9099999992</v>
      </c>
      <c r="G7" s="161">
        <f>SUM(G10:G1048576)</f>
        <v>24397423.680000003</v>
      </c>
      <c r="I7" s="156" t="s">
        <v>523</v>
      </c>
      <c r="J7" s="3"/>
      <c r="K7" s="3"/>
      <c r="L7" s="3"/>
      <c r="M7" s="3"/>
    </row>
    <row r="8" spans="3:13" x14ac:dyDescent="0.25">
      <c r="C8" s="156" t="s">
        <v>523</v>
      </c>
      <c r="D8" s="3"/>
      <c r="E8" s="3"/>
      <c r="F8" s="3"/>
      <c r="G8" s="3"/>
      <c r="I8" s="3"/>
      <c r="J8" s="159" t="s">
        <v>417</v>
      </c>
      <c r="K8" s="159" t="s">
        <v>440</v>
      </c>
      <c r="L8" s="159" t="s">
        <v>418</v>
      </c>
      <c r="M8" s="159" t="s">
        <v>522</v>
      </c>
    </row>
    <row r="9" spans="3:13" x14ac:dyDescent="0.25">
      <c r="C9" s="3"/>
      <c r="D9" s="159" t="s">
        <v>417</v>
      </c>
      <c r="E9" s="159" t="s">
        <v>440</v>
      </c>
      <c r="F9" s="159" t="s">
        <v>418</v>
      </c>
      <c r="G9" s="159" t="s">
        <v>522</v>
      </c>
      <c r="I9" s="91" t="s">
        <v>449</v>
      </c>
      <c r="J9" s="158"/>
      <c r="K9" s="158">
        <v>1287915.1000000001</v>
      </c>
      <c r="L9" s="158">
        <v>87043.83</v>
      </c>
      <c r="M9" s="46">
        <v>1374958.9300000002</v>
      </c>
    </row>
    <row r="10" spans="3:13" x14ac:dyDescent="0.25">
      <c r="C10" s="91" t="s">
        <v>449</v>
      </c>
      <c r="D10" s="158">
        <v>227562.3</v>
      </c>
      <c r="E10" s="158">
        <v>910473.04</v>
      </c>
      <c r="F10" s="158">
        <v>163426.5</v>
      </c>
      <c r="G10" s="46">
        <v>1301461.8400000001</v>
      </c>
      <c r="I10" s="91" t="s">
        <v>478</v>
      </c>
      <c r="J10" s="158">
        <v>754416.85</v>
      </c>
      <c r="K10" s="158">
        <v>1099468.5</v>
      </c>
      <c r="L10" s="158">
        <v>216521.99</v>
      </c>
      <c r="M10" s="46">
        <v>2070407.34</v>
      </c>
    </row>
    <row r="11" spans="3:13" x14ac:dyDescent="0.25">
      <c r="C11" s="91" t="s">
        <v>453</v>
      </c>
      <c r="D11" s="158">
        <v>144324.16</v>
      </c>
      <c r="E11" s="158">
        <v>168609.68</v>
      </c>
      <c r="F11" s="158"/>
      <c r="G11" s="46">
        <v>312933.83999999997</v>
      </c>
      <c r="I11" s="91" t="s">
        <v>453</v>
      </c>
      <c r="J11" s="158">
        <v>494434.31</v>
      </c>
      <c r="K11" s="158">
        <v>891638.58</v>
      </c>
      <c r="L11" s="158"/>
      <c r="M11" s="46">
        <v>1386072.89</v>
      </c>
    </row>
    <row r="12" spans="3:13" x14ac:dyDescent="0.25">
      <c r="C12" s="91" t="s">
        <v>460</v>
      </c>
      <c r="D12" s="158">
        <v>1024556.3999999999</v>
      </c>
      <c r="E12" s="158">
        <v>743163.33000000007</v>
      </c>
      <c r="F12" s="158">
        <v>402389.06000000006</v>
      </c>
      <c r="G12" s="46">
        <v>2170108.79</v>
      </c>
      <c r="I12" s="91" t="s">
        <v>460</v>
      </c>
      <c r="J12" s="158"/>
      <c r="K12" s="158">
        <v>986351.99999999988</v>
      </c>
      <c r="L12" s="158">
        <v>85816.67</v>
      </c>
      <c r="M12" s="46">
        <v>1072168.67</v>
      </c>
    </row>
    <row r="13" spans="3:13" x14ac:dyDescent="0.25">
      <c r="C13" s="91" t="s">
        <v>459</v>
      </c>
      <c r="D13" s="158"/>
      <c r="E13" s="158">
        <v>204989.96</v>
      </c>
      <c r="F13" s="158"/>
      <c r="G13" s="46">
        <v>204989.96</v>
      </c>
      <c r="I13" s="91" t="s">
        <v>459</v>
      </c>
      <c r="J13" s="158"/>
      <c r="K13" s="158">
        <v>1399918.1800000002</v>
      </c>
      <c r="L13" s="158"/>
      <c r="M13" s="46">
        <v>1399918.1800000002</v>
      </c>
    </row>
    <row r="14" spans="3:13" x14ac:dyDescent="0.25">
      <c r="C14" s="91" t="s">
        <v>470</v>
      </c>
      <c r="D14" s="158">
        <v>36119.410000000003</v>
      </c>
      <c r="E14" s="158">
        <v>1499336.71</v>
      </c>
      <c r="F14" s="158">
        <v>146743.18000000002</v>
      </c>
      <c r="G14" s="46">
        <v>1682199.2999999998</v>
      </c>
      <c r="I14" s="91" t="s">
        <v>470</v>
      </c>
      <c r="J14" s="158">
        <v>2902983.0199999996</v>
      </c>
      <c r="K14" s="158">
        <v>8744764.0700000022</v>
      </c>
      <c r="L14" s="158">
        <v>274503.33</v>
      </c>
      <c r="M14" s="46">
        <v>11922250.420000002</v>
      </c>
    </row>
    <row r="15" spans="3:13" x14ac:dyDescent="0.25">
      <c r="C15" s="91" t="s">
        <v>516</v>
      </c>
      <c r="D15" s="158"/>
      <c r="E15" s="158"/>
      <c r="F15" s="158">
        <v>13498.4</v>
      </c>
      <c r="G15" s="46">
        <v>13498.4</v>
      </c>
      <c r="I15" s="91" t="s">
        <v>516</v>
      </c>
      <c r="J15" s="158"/>
      <c r="K15" s="158"/>
      <c r="L15" s="158">
        <v>8436.5</v>
      </c>
      <c r="M15" s="46">
        <v>8436.5</v>
      </c>
    </row>
    <row r="16" spans="3:13" x14ac:dyDescent="0.25">
      <c r="C16" s="91" t="s">
        <v>508</v>
      </c>
      <c r="D16" s="158"/>
      <c r="E16" s="158">
        <v>-1062.72</v>
      </c>
      <c r="F16" s="158"/>
      <c r="G16" s="46">
        <v>-1062.72</v>
      </c>
      <c r="I16" s="91" t="s">
        <v>508</v>
      </c>
      <c r="J16" s="158"/>
      <c r="K16" s="158">
        <v>-190972.08</v>
      </c>
      <c r="L16" s="158"/>
      <c r="M16" s="46">
        <v>-190972.08</v>
      </c>
    </row>
    <row r="17" spans="3:13" x14ac:dyDescent="0.25">
      <c r="C17" s="91" t="s">
        <v>450</v>
      </c>
      <c r="D17" s="158">
        <v>244893.92</v>
      </c>
      <c r="E17" s="158">
        <v>1180934.97</v>
      </c>
      <c r="F17" s="158">
        <v>173223.06</v>
      </c>
      <c r="G17" s="46">
        <v>1599051.95</v>
      </c>
      <c r="I17" s="91" t="s">
        <v>517</v>
      </c>
      <c r="J17" s="158"/>
      <c r="K17" s="158">
        <v>184444.2</v>
      </c>
      <c r="L17" s="158"/>
      <c r="M17" s="46">
        <v>184444.2</v>
      </c>
    </row>
    <row r="18" spans="3:13" x14ac:dyDescent="0.25">
      <c r="C18" s="91" t="s">
        <v>503</v>
      </c>
      <c r="D18" s="158"/>
      <c r="E18" s="158">
        <v>46430.44</v>
      </c>
      <c r="F18" s="158"/>
      <c r="G18" s="46">
        <v>46430.44</v>
      </c>
      <c r="I18" s="91" t="s">
        <v>505</v>
      </c>
      <c r="J18" s="158"/>
      <c r="K18" s="158">
        <v>61481.4</v>
      </c>
      <c r="L18" s="158"/>
      <c r="M18" s="46">
        <v>61481.4</v>
      </c>
    </row>
    <row r="19" spans="3:13" x14ac:dyDescent="0.25">
      <c r="C19" s="91" t="s">
        <v>464</v>
      </c>
      <c r="D19" s="158"/>
      <c r="E19" s="158">
        <v>83810.39</v>
      </c>
      <c r="F19" s="158">
        <v>44888.98</v>
      </c>
      <c r="G19" s="46">
        <v>128699.37</v>
      </c>
      <c r="I19" s="91" t="s">
        <v>450</v>
      </c>
      <c r="J19" s="158">
        <v>416743.20999999996</v>
      </c>
      <c r="K19" s="158">
        <v>2360676.9299999997</v>
      </c>
      <c r="L19" s="158">
        <v>283995.89</v>
      </c>
      <c r="M19" s="46">
        <v>3061416.03</v>
      </c>
    </row>
    <row r="20" spans="3:13" x14ac:dyDescent="0.25">
      <c r="C20" s="91" t="s">
        <v>473</v>
      </c>
      <c r="D20" s="158"/>
      <c r="E20" s="158">
        <v>379250</v>
      </c>
      <c r="F20" s="158"/>
      <c r="G20" s="46">
        <v>379250</v>
      </c>
      <c r="I20" s="91" t="s">
        <v>503</v>
      </c>
      <c r="J20" s="158"/>
      <c r="K20" s="158">
        <v>18572.18</v>
      </c>
      <c r="L20" s="158"/>
      <c r="M20" s="46">
        <v>18572.18</v>
      </c>
    </row>
    <row r="21" spans="3:13" x14ac:dyDescent="0.25">
      <c r="C21" s="91" t="s">
        <v>455</v>
      </c>
      <c r="D21" s="158"/>
      <c r="E21" s="158">
        <v>164783.32</v>
      </c>
      <c r="F21" s="158"/>
      <c r="G21" s="46">
        <v>164783.32</v>
      </c>
      <c r="I21" s="91" t="s">
        <v>474</v>
      </c>
      <c r="J21" s="158"/>
      <c r="K21" s="158">
        <v>12054</v>
      </c>
      <c r="L21" s="158"/>
      <c r="M21" s="46">
        <v>12054</v>
      </c>
    </row>
    <row r="22" spans="3:13" x14ac:dyDescent="0.25">
      <c r="C22" s="91" t="s">
        <v>454</v>
      </c>
      <c r="D22" s="158"/>
      <c r="E22" s="158">
        <v>703909.96</v>
      </c>
      <c r="F22" s="158"/>
      <c r="G22" s="46">
        <v>703909.96</v>
      </c>
      <c r="I22" s="91" t="s">
        <v>464</v>
      </c>
      <c r="J22" s="158">
        <v>584664.81000000006</v>
      </c>
      <c r="K22" s="158">
        <v>329850.77999999997</v>
      </c>
      <c r="L22" s="158">
        <v>239695.15</v>
      </c>
      <c r="M22" s="46">
        <v>1154210.74</v>
      </c>
    </row>
    <row r="23" spans="3:13" x14ac:dyDescent="0.25">
      <c r="C23" s="91" t="s">
        <v>520</v>
      </c>
      <c r="D23" s="158"/>
      <c r="E23" s="158">
        <v>0</v>
      </c>
      <c r="F23" s="158"/>
      <c r="G23" s="46">
        <v>0</v>
      </c>
      <c r="I23" s="91" t="s">
        <v>473</v>
      </c>
      <c r="J23" s="158"/>
      <c r="K23" s="158">
        <v>124845</v>
      </c>
      <c r="L23" s="158"/>
      <c r="M23" s="46">
        <v>124845</v>
      </c>
    </row>
    <row r="24" spans="3:13" x14ac:dyDescent="0.25">
      <c r="C24" s="91" t="s">
        <v>507</v>
      </c>
      <c r="D24" s="158"/>
      <c r="E24" s="158">
        <v>554098.28</v>
      </c>
      <c r="F24" s="158"/>
      <c r="G24" s="46">
        <v>554098.28</v>
      </c>
      <c r="I24" s="91" t="s">
        <v>455</v>
      </c>
      <c r="J24" s="158">
        <v>18860.419999999998</v>
      </c>
      <c r="K24" s="158">
        <v>549663.97</v>
      </c>
      <c r="L24" s="158">
        <v>213970.08000000002</v>
      </c>
      <c r="M24" s="46">
        <v>782494.47</v>
      </c>
    </row>
    <row r="25" spans="3:13" x14ac:dyDescent="0.25">
      <c r="C25" s="91" t="s">
        <v>477</v>
      </c>
      <c r="D25" s="158">
        <v>145127.48000000001</v>
      </c>
      <c r="E25" s="158">
        <v>709169.28</v>
      </c>
      <c r="F25" s="158">
        <v>36088.14</v>
      </c>
      <c r="G25" s="46">
        <v>890384.9</v>
      </c>
      <c r="I25" s="91" t="s">
        <v>509</v>
      </c>
      <c r="J25" s="158">
        <v>58125.2</v>
      </c>
      <c r="K25" s="158">
        <v>1118.28</v>
      </c>
      <c r="L25" s="158">
        <v>29926.75</v>
      </c>
      <c r="M25" s="46">
        <v>89170.23</v>
      </c>
    </row>
    <row r="26" spans="3:13" x14ac:dyDescent="0.25">
      <c r="C26" s="91" t="s">
        <v>492</v>
      </c>
      <c r="D26" s="158"/>
      <c r="E26" s="158">
        <v>2918.45</v>
      </c>
      <c r="F26" s="158">
        <v>43304.66</v>
      </c>
      <c r="G26" s="46">
        <v>46223.11</v>
      </c>
      <c r="I26" s="91" t="s">
        <v>454</v>
      </c>
      <c r="J26" s="158"/>
      <c r="K26" s="158">
        <v>762276.8</v>
      </c>
      <c r="L26" s="158"/>
      <c r="M26" s="46">
        <v>762276.8</v>
      </c>
    </row>
    <row r="27" spans="3:13" x14ac:dyDescent="0.25">
      <c r="C27" s="91" t="s">
        <v>493</v>
      </c>
      <c r="D27" s="158">
        <v>64042</v>
      </c>
      <c r="E27" s="158"/>
      <c r="F27" s="158"/>
      <c r="G27" s="46">
        <v>64042</v>
      </c>
      <c r="I27" s="91" t="s">
        <v>507</v>
      </c>
      <c r="J27" s="158">
        <v>280840</v>
      </c>
      <c r="K27" s="158">
        <v>808651.2</v>
      </c>
      <c r="L27" s="158"/>
      <c r="M27" s="46">
        <v>1089491.2</v>
      </c>
    </row>
    <row r="28" spans="3:13" x14ac:dyDescent="0.25">
      <c r="C28" s="91" t="s">
        <v>442</v>
      </c>
      <c r="D28" s="158">
        <v>75520</v>
      </c>
      <c r="E28" s="158"/>
      <c r="F28" s="158"/>
      <c r="G28" s="46">
        <v>75520</v>
      </c>
      <c r="I28" s="91" t="s">
        <v>462</v>
      </c>
      <c r="J28" s="158"/>
      <c r="K28" s="158">
        <v>2746765.2499999995</v>
      </c>
      <c r="L28" s="158"/>
      <c r="M28" s="46">
        <v>2746765.2499999995</v>
      </c>
    </row>
    <row r="29" spans="3:13" x14ac:dyDescent="0.25">
      <c r="C29" s="91" t="s">
        <v>441</v>
      </c>
      <c r="D29" s="158">
        <v>119984.8</v>
      </c>
      <c r="E29" s="158"/>
      <c r="F29" s="158"/>
      <c r="G29" s="46">
        <v>119984.8</v>
      </c>
      <c r="I29" s="91" t="s">
        <v>501</v>
      </c>
      <c r="J29" s="158"/>
      <c r="K29" s="158">
        <v>98216</v>
      </c>
      <c r="L29" s="158"/>
      <c r="M29" s="46">
        <v>98216</v>
      </c>
    </row>
    <row r="30" spans="3:13" x14ac:dyDescent="0.25">
      <c r="C30" s="91" t="s">
        <v>514</v>
      </c>
      <c r="D30" s="158"/>
      <c r="E30" s="158">
        <v>24042.799999999999</v>
      </c>
      <c r="F30" s="158"/>
      <c r="G30" s="46">
        <v>24042.799999999999</v>
      </c>
      <c r="I30" s="91" t="s">
        <v>477</v>
      </c>
      <c r="J30" s="158">
        <v>702679.3600000001</v>
      </c>
      <c r="K30" s="158">
        <v>2580080.8200000003</v>
      </c>
      <c r="L30" s="158">
        <v>251805.74</v>
      </c>
      <c r="M30" s="46">
        <v>3534565.9200000009</v>
      </c>
    </row>
    <row r="31" spans="3:13" x14ac:dyDescent="0.25">
      <c r="C31" s="91" t="s">
        <v>484</v>
      </c>
      <c r="D31" s="158">
        <v>4800</v>
      </c>
      <c r="E31" s="158">
        <v>68751.199999999997</v>
      </c>
      <c r="F31" s="158">
        <v>7600</v>
      </c>
      <c r="G31" s="46">
        <v>81151.199999999997</v>
      </c>
      <c r="I31" s="91" t="s">
        <v>492</v>
      </c>
      <c r="J31" s="158">
        <v>145126.53999999998</v>
      </c>
      <c r="K31" s="158">
        <v>1236284.7899999998</v>
      </c>
      <c r="L31" s="158">
        <v>527552.69999999995</v>
      </c>
      <c r="M31" s="46">
        <v>1908964.0299999998</v>
      </c>
    </row>
    <row r="32" spans="3:13" x14ac:dyDescent="0.25">
      <c r="C32" s="91" t="s">
        <v>447</v>
      </c>
      <c r="D32" s="158">
        <v>22874.799999999999</v>
      </c>
      <c r="E32" s="158"/>
      <c r="F32" s="158"/>
      <c r="G32" s="46">
        <v>22874.799999999999</v>
      </c>
      <c r="I32" s="91" t="s">
        <v>469</v>
      </c>
      <c r="J32" s="158"/>
      <c r="K32" s="158"/>
      <c r="L32" s="158">
        <v>123928.01</v>
      </c>
      <c r="M32" s="46">
        <v>123928.01</v>
      </c>
    </row>
    <row r="33" spans="3:13" x14ac:dyDescent="0.25">
      <c r="C33" s="91" t="s">
        <v>500</v>
      </c>
      <c r="D33" s="158">
        <v>196810.64</v>
      </c>
      <c r="E33" s="158">
        <v>246002.59</v>
      </c>
      <c r="F33" s="158">
        <v>177443.49</v>
      </c>
      <c r="G33" s="46">
        <v>620256.72</v>
      </c>
      <c r="I33" s="91" t="s">
        <v>471</v>
      </c>
      <c r="J33" s="158"/>
      <c r="K33" s="158">
        <v>135550</v>
      </c>
      <c r="L33" s="158">
        <v>18560.3</v>
      </c>
      <c r="M33" s="46">
        <v>154110.29999999999</v>
      </c>
    </row>
    <row r="34" spans="3:13" x14ac:dyDescent="0.25">
      <c r="C34" s="91" t="s">
        <v>472</v>
      </c>
      <c r="D34" s="158"/>
      <c r="E34" s="158">
        <v>45881.59</v>
      </c>
      <c r="F34" s="158"/>
      <c r="G34" s="46">
        <v>45881.59</v>
      </c>
      <c r="I34" s="91" t="s">
        <v>494</v>
      </c>
      <c r="J34" s="158"/>
      <c r="K34" s="158">
        <v>8885.52</v>
      </c>
      <c r="L34" s="158"/>
      <c r="M34" s="46">
        <v>8885.52</v>
      </c>
    </row>
    <row r="35" spans="3:13" x14ac:dyDescent="0.25">
      <c r="C35" s="91" t="s">
        <v>468</v>
      </c>
      <c r="D35" s="158">
        <v>75842.899999999994</v>
      </c>
      <c r="E35" s="158">
        <v>613361.74</v>
      </c>
      <c r="F35" s="158">
        <v>124793.84</v>
      </c>
      <c r="G35" s="46">
        <v>813998.48</v>
      </c>
      <c r="I35" s="91" t="s">
        <v>444</v>
      </c>
      <c r="J35" s="158"/>
      <c r="K35" s="158">
        <v>137552</v>
      </c>
      <c r="L35" s="158"/>
      <c r="M35" s="46">
        <v>137552</v>
      </c>
    </row>
    <row r="36" spans="3:13" x14ac:dyDescent="0.25">
      <c r="C36" s="91" t="s">
        <v>456</v>
      </c>
      <c r="D36" s="158"/>
      <c r="E36" s="158"/>
      <c r="F36" s="158">
        <v>41166.89</v>
      </c>
      <c r="G36" s="46">
        <v>41166.89</v>
      </c>
      <c r="I36" s="91" t="s">
        <v>467</v>
      </c>
      <c r="J36" s="158"/>
      <c r="K36" s="158">
        <v>247749</v>
      </c>
      <c r="L36" s="158"/>
      <c r="M36" s="46">
        <v>247749</v>
      </c>
    </row>
    <row r="37" spans="3:13" x14ac:dyDescent="0.25">
      <c r="C37" s="91" t="s">
        <v>451</v>
      </c>
      <c r="D37" s="158"/>
      <c r="E37" s="158">
        <v>1365608.69</v>
      </c>
      <c r="F37" s="158">
        <v>226541.97</v>
      </c>
      <c r="G37" s="46">
        <v>1592150.66</v>
      </c>
      <c r="I37" s="91" t="s">
        <v>493</v>
      </c>
      <c r="J37" s="158">
        <v>14000</v>
      </c>
      <c r="K37" s="158">
        <v>30002.720000000001</v>
      </c>
      <c r="L37" s="158"/>
      <c r="M37" s="46">
        <v>44002.720000000001</v>
      </c>
    </row>
    <row r="38" spans="3:13" x14ac:dyDescent="0.25">
      <c r="C38" s="91" t="s">
        <v>490</v>
      </c>
      <c r="D38" s="158"/>
      <c r="E38" s="158">
        <v>37500.239999999998</v>
      </c>
      <c r="F38" s="158"/>
      <c r="G38" s="46">
        <v>37500.239999999998</v>
      </c>
      <c r="I38" s="91" t="s">
        <v>479</v>
      </c>
      <c r="J38" s="158">
        <v>20960.84</v>
      </c>
      <c r="K38" s="158"/>
      <c r="L38" s="158"/>
      <c r="M38" s="46">
        <v>20960.84</v>
      </c>
    </row>
    <row r="39" spans="3:13" x14ac:dyDescent="0.25">
      <c r="C39" s="91" t="s">
        <v>491</v>
      </c>
      <c r="D39" s="158">
        <v>258321.35</v>
      </c>
      <c r="E39" s="158">
        <v>2604238.02</v>
      </c>
      <c r="F39" s="158">
        <v>196042.54</v>
      </c>
      <c r="G39" s="46">
        <v>3058601.91</v>
      </c>
      <c r="I39" s="91" t="s">
        <v>480</v>
      </c>
      <c r="J39" s="158"/>
      <c r="K39" s="158">
        <v>182234</v>
      </c>
      <c r="L39" s="158"/>
      <c r="M39" s="46">
        <v>182234</v>
      </c>
    </row>
    <row r="40" spans="3:13" x14ac:dyDescent="0.25">
      <c r="C40" s="91" t="s">
        <v>452</v>
      </c>
      <c r="D40" s="158">
        <v>129156.98</v>
      </c>
      <c r="E40" s="158">
        <v>637867.68999999994</v>
      </c>
      <c r="F40" s="158">
        <v>63372.67</v>
      </c>
      <c r="G40" s="46">
        <v>830397.34</v>
      </c>
      <c r="I40" s="91" t="s">
        <v>488</v>
      </c>
      <c r="J40" s="158"/>
      <c r="K40" s="158"/>
      <c r="L40" s="158">
        <v>8099.04</v>
      </c>
      <c r="M40" s="46">
        <v>8099.04</v>
      </c>
    </row>
    <row r="41" spans="3:13" x14ac:dyDescent="0.25">
      <c r="C41" s="91" t="s">
        <v>499</v>
      </c>
      <c r="D41" s="158"/>
      <c r="E41" s="158">
        <v>109880</v>
      </c>
      <c r="F41" s="158"/>
      <c r="G41" s="46">
        <v>109880</v>
      </c>
      <c r="I41" s="91" t="s">
        <v>443</v>
      </c>
      <c r="J41" s="158">
        <v>48000</v>
      </c>
      <c r="K41" s="158">
        <v>67056.600000000006</v>
      </c>
      <c r="L41" s="158"/>
      <c r="M41" s="46">
        <v>115056.6</v>
      </c>
    </row>
    <row r="42" spans="3:13" x14ac:dyDescent="0.25">
      <c r="C42" s="91" t="s">
        <v>448</v>
      </c>
      <c r="D42" s="158"/>
      <c r="E42" s="158">
        <v>449652.85</v>
      </c>
      <c r="F42" s="158"/>
      <c r="G42" s="46">
        <v>449652.85</v>
      </c>
      <c r="I42" s="91" t="s">
        <v>442</v>
      </c>
      <c r="J42" s="158">
        <v>207680</v>
      </c>
      <c r="K42" s="158">
        <v>50880</v>
      </c>
      <c r="L42" s="158"/>
      <c r="M42" s="46">
        <v>258560</v>
      </c>
    </row>
    <row r="43" spans="3:13" x14ac:dyDescent="0.25">
      <c r="C43" s="91" t="s">
        <v>475</v>
      </c>
      <c r="D43" s="158"/>
      <c r="E43" s="158">
        <v>33700.51</v>
      </c>
      <c r="F43" s="158">
        <v>45894.26</v>
      </c>
      <c r="G43" s="46">
        <v>79594.77</v>
      </c>
      <c r="I43" s="91" t="s">
        <v>498</v>
      </c>
      <c r="J43" s="158"/>
      <c r="K43" s="158">
        <v>245540</v>
      </c>
      <c r="L43" s="158"/>
      <c r="M43" s="46">
        <v>245540</v>
      </c>
    </row>
    <row r="44" spans="3:13" x14ac:dyDescent="0.25">
      <c r="C44" s="91" t="s">
        <v>515</v>
      </c>
      <c r="D44" s="158"/>
      <c r="E44" s="158">
        <v>40987.199999999997</v>
      </c>
      <c r="F44" s="158"/>
      <c r="G44" s="46">
        <v>40987.199999999997</v>
      </c>
      <c r="I44" s="91" t="s">
        <v>445</v>
      </c>
      <c r="J44" s="158">
        <v>14160</v>
      </c>
      <c r="K44" s="158">
        <v>25791</v>
      </c>
      <c r="L44" s="158"/>
      <c r="M44" s="46">
        <v>39951</v>
      </c>
    </row>
    <row r="45" spans="3:13" x14ac:dyDescent="0.25">
      <c r="C45" s="91" t="s">
        <v>466</v>
      </c>
      <c r="D45" s="158">
        <v>42436.23</v>
      </c>
      <c r="E45" s="158">
        <v>165495.29</v>
      </c>
      <c r="F45" s="158">
        <v>260556.37</v>
      </c>
      <c r="G45" s="46">
        <v>468487.89</v>
      </c>
      <c r="I45" s="91" t="s">
        <v>441</v>
      </c>
      <c r="J45" s="158">
        <v>137824</v>
      </c>
      <c r="K45" s="158"/>
      <c r="L45" s="158"/>
      <c r="M45" s="46">
        <v>137824</v>
      </c>
    </row>
    <row r="46" spans="3:13" x14ac:dyDescent="0.25">
      <c r="C46" s="91" t="s">
        <v>506</v>
      </c>
      <c r="D46" s="158">
        <v>78722.27</v>
      </c>
      <c r="E46" s="158">
        <v>196802.26</v>
      </c>
      <c r="F46" s="158">
        <v>73936.67</v>
      </c>
      <c r="G46" s="46">
        <v>349461.2</v>
      </c>
      <c r="I46" s="91" t="s">
        <v>487</v>
      </c>
      <c r="J46" s="158"/>
      <c r="K46" s="158"/>
      <c r="L46" s="158">
        <v>11473.64</v>
      </c>
      <c r="M46" s="46">
        <v>11473.64</v>
      </c>
    </row>
    <row r="47" spans="3:13" x14ac:dyDescent="0.25">
      <c r="C47" s="91" t="s">
        <v>481</v>
      </c>
      <c r="D47" s="158"/>
      <c r="E47" s="158"/>
      <c r="F47" s="158">
        <v>25349.07</v>
      </c>
      <c r="G47" s="46">
        <v>25349.07</v>
      </c>
      <c r="I47" s="91" t="s">
        <v>518</v>
      </c>
      <c r="J47" s="158"/>
      <c r="K47" s="158"/>
      <c r="L47" s="158">
        <v>2530.9499999999998</v>
      </c>
      <c r="M47" s="46">
        <v>2530.9499999999998</v>
      </c>
    </row>
    <row r="48" spans="3:13" x14ac:dyDescent="0.25">
      <c r="C48" s="91" t="s">
        <v>458</v>
      </c>
      <c r="D48" s="158">
        <v>206645.94</v>
      </c>
      <c r="E48" s="158"/>
      <c r="F48" s="158">
        <v>23240.76</v>
      </c>
      <c r="G48" s="46">
        <v>229886.7</v>
      </c>
      <c r="I48" s="91" t="s">
        <v>446</v>
      </c>
      <c r="J48" s="158">
        <v>276000</v>
      </c>
      <c r="K48" s="158"/>
      <c r="L48" s="158"/>
      <c r="M48" s="46">
        <v>276000</v>
      </c>
    </row>
    <row r="49" spans="3:13" x14ac:dyDescent="0.25">
      <c r="C49" s="91" t="s">
        <v>547</v>
      </c>
      <c r="D49" s="158">
        <v>7084.8</v>
      </c>
      <c r="E49" s="158">
        <v>39800</v>
      </c>
      <c r="F49" s="158"/>
      <c r="G49" s="46">
        <v>46884.800000000003</v>
      </c>
      <c r="I49" s="91" t="s">
        <v>483</v>
      </c>
      <c r="J49" s="158"/>
      <c r="K49" s="158">
        <v>738941.8</v>
      </c>
      <c r="L49" s="158"/>
      <c r="M49" s="46">
        <v>738941.8</v>
      </c>
    </row>
    <row r="50" spans="3:13" x14ac:dyDescent="0.25">
      <c r="C50" s="91" t="s">
        <v>549</v>
      </c>
      <c r="D50" s="158">
        <v>7084.8</v>
      </c>
      <c r="E50" s="158">
        <v>24875</v>
      </c>
      <c r="F50" s="158"/>
      <c r="G50" s="46">
        <v>31959.8</v>
      </c>
      <c r="I50" s="91" t="s">
        <v>510</v>
      </c>
      <c r="J50" s="158"/>
      <c r="K50" s="158">
        <v>14732.1</v>
      </c>
      <c r="L50" s="158"/>
      <c r="M50" s="46">
        <v>14732.1</v>
      </c>
    </row>
    <row r="51" spans="3:13" x14ac:dyDescent="0.25">
      <c r="C51" s="91" t="s">
        <v>552</v>
      </c>
      <c r="D51" s="158"/>
      <c r="E51" s="158">
        <v>5591.38</v>
      </c>
      <c r="F51" s="158"/>
      <c r="G51" s="46">
        <v>5591.38</v>
      </c>
      <c r="I51" s="91" t="s">
        <v>457</v>
      </c>
      <c r="J51" s="158"/>
      <c r="K51" s="158">
        <v>182165.41999999998</v>
      </c>
      <c r="L51" s="158"/>
      <c r="M51" s="46">
        <v>182165.41999999998</v>
      </c>
    </row>
    <row r="52" spans="3:13" x14ac:dyDescent="0.25">
      <c r="C52" s="91" t="s">
        <v>553</v>
      </c>
      <c r="D52" s="158"/>
      <c r="E52" s="158">
        <v>204938</v>
      </c>
      <c r="F52" s="158"/>
      <c r="G52" s="46">
        <v>204938</v>
      </c>
      <c r="I52" s="91" t="s">
        <v>482</v>
      </c>
      <c r="J52" s="158"/>
      <c r="K52" s="158">
        <v>1811.92</v>
      </c>
      <c r="L52" s="158"/>
      <c r="M52" s="46">
        <v>1811.92</v>
      </c>
    </row>
    <row r="53" spans="3:13" x14ac:dyDescent="0.25">
      <c r="C53" s="91" t="s">
        <v>554</v>
      </c>
      <c r="D53" s="158"/>
      <c r="E53" s="158">
        <v>43036.56</v>
      </c>
      <c r="F53" s="158"/>
      <c r="G53" s="46">
        <v>43036.56</v>
      </c>
      <c r="I53" s="91" t="s">
        <v>484</v>
      </c>
      <c r="J53" s="158">
        <v>7283.83</v>
      </c>
      <c r="K53" s="158">
        <v>46980</v>
      </c>
      <c r="L53" s="158">
        <v>5596.8</v>
      </c>
      <c r="M53" s="46">
        <v>59860.630000000005</v>
      </c>
    </row>
    <row r="54" spans="3:13" x14ac:dyDescent="0.25">
      <c r="C54" s="91" t="s">
        <v>1241</v>
      </c>
      <c r="D54" s="158"/>
      <c r="E54" s="158">
        <v>118641.60000000001</v>
      </c>
      <c r="F54" s="158"/>
      <c r="G54" s="46">
        <v>118641.60000000001</v>
      </c>
      <c r="I54" s="91" t="s">
        <v>496</v>
      </c>
      <c r="J54" s="158"/>
      <c r="K54" s="158">
        <v>35200</v>
      </c>
      <c r="L54" s="158"/>
      <c r="M54" s="46">
        <v>35200</v>
      </c>
    </row>
    <row r="55" spans="3:13" x14ac:dyDescent="0.25">
      <c r="C55" s="91" t="s">
        <v>1243</v>
      </c>
      <c r="D55" s="158"/>
      <c r="E55" s="158">
        <v>204938</v>
      </c>
      <c r="F55" s="158"/>
      <c r="G55" s="46">
        <v>204938</v>
      </c>
      <c r="I55" s="91" t="s">
        <v>447</v>
      </c>
      <c r="J55" s="158">
        <v>133450.72</v>
      </c>
      <c r="K55" s="158">
        <v>822490.46</v>
      </c>
      <c r="L55" s="158"/>
      <c r="M55" s="46">
        <v>955941.17999999993</v>
      </c>
    </row>
    <row r="56" spans="3:13" x14ac:dyDescent="0.25">
      <c r="C56" s="91" t="s">
        <v>1247</v>
      </c>
      <c r="D56" s="158"/>
      <c r="E56" s="158"/>
      <c r="F56" s="158">
        <v>16198.08</v>
      </c>
      <c r="G56" s="46">
        <v>16198.08</v>
      </c>
      <c r="I56" s="91" t="s">
        <v>485</v>
      </c>
      <c r="J56" s="158">
        <v>3198.07</v>
      </c>
      <c r="K56" s="158"/>
      <c r="L56" s="158">
        <v>7481.4500000000007</v>
      </c>
      <c r="M56" s="46">
        <v>10679.52</v>
      </c>
    </row>
    <row r="57" spans="3:13" x14ac:dyDescent="0.25">
      <c r="C57" s="91" t="s">
        <v>1249</v>
      </c>
      <c r="D57" s="158">
        <v>-87699</v>
      </c>
      <c r="E57" s="158"/>
      <c r="F57" s="158"/>
      <c r="G57" s="46">
        <v>-87699</v>
      </c>
      <c r="I57" s="91" t="s">
        <v>500</v>
      </c>
      <c r="J57" s="158">
        <v>393615.04000000004</v>
      </c>
      <c r="K57" s="158">
        <v>245998.74</v>
      </c>
      <c r="L57" s="158">
        <v>177442.42</v>
      </c>
      <c r="M57" s="46">
        <v>817056.20000000007</v>
      </c>
    </row>
    <row r="58" spans="3:13" x14ac:dyDescent="0.25">
      <c r="C58" s="91" t="s">
        <v>1250</v>
      </c>
      <c r="D58" s="158"/>
      <c r="E58" s="158"/>
      <c r="F58" s="158">
        <v>6749.2</v>
      </c>
      <c r="G58" s="46">
        <v>6749.2</v>
      </c>
      <c r="I58" s="91" t="s">
        <v>472</v>
      </c>
      <c r="J58" s="158">
        <v>164003.66</v>
      </c>
      <c r="K58" s="158">
        <v>344260.26000000007</v>
      </c>
      <c r="L58" s="158">
        <v>82260.759999999995</v>
      </c>
      <c r="M58" s="46">
        <v>590524.68000000005</v>
      </c>
    </row>
    <row r="59" spans="3:13" x14ac:dyDescent="0.25">
      <c r="C59" s="91" t="s">
        <v>1251</v>
      </c>
      <c r="D59" s="158">
        <v>60680</v>
      </c>
      <c r="E59" s="158">
        <v>42790.41</v>
      </c>
      <c r="F59" s="158"/>
      <c r="G59" s="46">
        <v>103470.41</v>
      </c>
      <c r="I59" s="91" t="s">
        <v>465</v>
      </c>
      <c r="J59" s="158"/>
      <c r="K59" s="158">
        <v>635004.67999999993</v>
      </c>
      <c r="L59" s="158"/>
      <c r="M59" s="46">
        <v>635004.67999999993</v>
      </c>
    </row>
    <row r="60" spans="3:13" x14ac:dyDescent="0.25">
      <c r="C60" s="91" t="s">
        <v>1252</v>
      </c>
      <c r="D60" s="158">
        <v>409464</v>
      </c>
      <c r="E60" s="158">
        <v>100520.9</v>
      </c>
      <c r="F60" s="158"/>
      <c r="G60" s="46">
        <v>509984.9</v>
      </c>
      <c r="I60" s="91" t="s">
        <v>511</v>
      </c>
      <c r="J60" s="158">
        <v>51251.47</v>
      </c>
      <c r="K60" s="158"/>
      <c r="L60" s="158">
        <v>132029.76999999999</v>
      </c>
      <c r="M60" s="46">
        <v>183281.24</v>
      </c>
    </row>
    <row r="61" spans="3:13" x14ac:dyDescent="0.25">
      <c r="C61" s="91" t="s">
        <v>1253</v>
      </c>
      <c r="D61" s="158"/>
      <c r="E61" s="158"/>
      <c r="F61" s="158">
        <v>5568.09</v>
      </c>
      <c r="G61" s="46">
        <v>5568.09</v>
      </c>
      <c r="I61" s="91" t="s">
        <v>461</v>
      </c>
      <c r="J61" s="158"/>
      <c r="K61" s="158"/>
      <c r="L61" s="158">
        <v>14962.91</v>
      </c>
      <c r="M61" s="46">
        <v>14962.91</v>
      </c>
    </row>
    <row r="62" spans="3:13" x14ac:dyDescent="0.25">
      <c r="C62" s="91" t="s">
        <v>1254</v>
      </c>
      <c r="D62" s="158"/>
      <c r="E62" s="158">
        <v>22197.89</v>
      </c>
      <c r="F62" s="158">
        <v>413.3</v>
      </c>
      <c r="G62" s="46">
        <v>22611.19</v>
      </c>
      <c r="I62" s="91" t="s">
        <v>476</v>
      </c>
      <c r="J62" s="158"/>
      <c r="K62" s="158">
        <v>11143.31</v>
      </c>
      <c r="L62" s="158"/>
      <c r="M62" s="46">
        <v>11143.31</v>
      </c>
    </row>
    <row r="63" spans="3:13" x14ac:dyDescent="0.25">
      <c r="C63" s="91" t="s">
        <v>1256</v>
      </c>
      <c r="D63" s="158"/>
      <c r="E63" s="158">
        <v>360490.35</v>
      </c>
      <c r="F63" s="158"/>
      <c r="G63" s="46">
        <v>360490.35</v>
      </c>
      <c r="I63" s="91" t="s">
        <v>468</v>
      </c>
      <c r="J63" s="158">
        <v>542410.47000000009</v>
      </c>
      <c r="K63" s="158">
        <v>718352.41</v>
      </c>
      <c r="L63" s="158">
        <v>169670.66</v>
      </c>
      <c r="M63" s="46">
        <v>1430433.54</v>
      </c>
    </row>
    <row r="64" spans="3:13" x14ac:dyDescent="0.25">
      <c r="C64" s="91" t="s">
        <v>1257</v>
      </c>
      <c r="D64" s="158"/>
      <c r="E64" s="158">
        <v>5904</v>
      </c>
      <c r="F64" s="158"/>
      <c r="G64" s="46">
        <v>5904</v>
      </c>
      <c r="I64" s="91" t="s">
        <v>463</v>
      </c>
      <c r="J64" s="158">
        <v>1081510.8799999999</v>
      </c>
      <c r="K64" s="158">
        <v>3858169.27</v>
      </c>
      <c r="L64" s="158">
        <v>733060.89999999991</v>
      </c>
      <c r="M64" s="46">
        <v>5672741.0500000007</v>
      </c>
    </row>
    <row r="65" spans="3:13" x14ac:dyDescent="0.25">
      <c r="C65" s="91" t="s">
        <v>1259</v>
      </c>
      <c r="D65" s="158"/>
      <c r="E65" s="158">
        <v>36916.400000000001</v>
      </c>
      <c r="F65" s="158"/>
      <c r="G65" s="46">
        <v>36916.400000000001</v>
      </c>
      <c r="I65" s="91" t="s">
        <v>497</v>
      </c>
      <c r="J65" s="158"/>
      <c r="K65" s="158"/>
      <c r="L65" s="158">
        <v>5985.15</v>
      </c>
      <c r="M65" s="46">
        <v>5985.15</v>
      </c>
    </row>
    <row r="66" spans="3:13" x14ac:dyDescent="0.25">
      <c r="C66" s="91" t="s">
        <v>1261</v>
      </c>
      <c r="D66" s="158"/>
      <c r="E66" s="158">
        <v>26612.1</v>
      </c>
      <c r="F66" s="158"/>
      <c r="G66" s="46">
        <v>26612.1</v>
      </c>
      <c r="I66" s="91" t="s">
        <v>456</v>
      </c>
      <c r="J66" s="158">
        <v>77593.63</v>
      </c>
      <c r="K66" s="158">
        <v>57942.44</v>
      </c>
      <c r="L66" s="158">
        <v>105266.64</v>
      </c>
      <c r="M66" s="46">
        <v>240802.71000000002</v>
      </c>
    </row>
    <row r="67" spans="3:13" x14ac:dyDescent="0.25">
      <c r="C67" s="91" t="s">
        <v>1266</v>
      </c>
      <c r="D67" s="158"/>
      <c r="E67" s="158">
        <v>330378</v>
      </c>
      <c r="F67" s="158">
        <v>16400</v>
      </c>
      <c r="G67" s="46">
        <v>346778</v>
      </c>
      <c r="I67" s="91" t="s">
        <v>451</v>
      </c>
      <c r="J67" s="158"/>
      <c r="K67" s="158">
        <v>3275738.32</v>
      </c>
      <c r="L67" s="158">
        <v>515604.47999999998</v>
      </c>
      <c r="M67" s="46">
        <v>3791342.8</v>
      </c>
    </row>
    <row r="68" spans="3:13" x14ac:dyDescent="0.25">
      <c r="C68" s="91" t="s">
        <v>1269</v>
      </c>
      <c r="D68" s="158"/>
      <c r="E68" s="158">
        <v>46337.01</v>
      </c>
      <c r="F68" s="158"/>
      <c r="G68" s="46">
        <v>46337.01</v>
      </c>
      <c r="I68" s="91" t="s">
        <v>490</v>
      </c>
      <c r="J68" s="158"/>
      <c r="K68" s="158">
        <v>63330.899999999994</v>
      </c>
      <c r="L68" s="158"/>
      <c r="M68" s="46">
        <v>63330.899999999994</v>
      </c>
    </row>
    <row r="69" spans="3:13" x14ac:dyDescent="0.25">
      <c r="C69" s="91" t="s">
        <v>1274</v>
      </c>
      <c r="D69" s="158"/>
      <c r="E69" s="158"/>
      <c r="F69" s="158">
        <v>17716.650000000001</v>
      </c>
      <c r="G69" s="46">
        <v>17716.650000000001</v>
      </c>
      <c r="I69" s="91" t="s">
        <v>489</v>
      </c>
      <c r="J69" s="158"/>
      <c r="K69" s="158">
        <v>61481.399999999994</v>
      </c>
      <c r="L69" s="158"/>
      <c r="M69" s="46">
        <v>61481.399999999994</v>
      </c>
    </row>
    <row r="70" spans="3:13" x14ac:dyDescent="0.25">
      <c r="C70" s="91" t="s">
        <v>1281</v>
      </c>
      <c r="D70" s="158"/>
      <c r="E70" s="158">
        <v>138294.5</v>
      </c>
      <c r="F70" s="158"/>
      <c r="G70" s="46">
        <v>138294.5</v>
      </c>
      <c r="I70" s="91" t="s">
        <v>491</v>
      </c>
      <c r="J70" s="158">
        <v>413304.21</v>
      </c>
      <c r="K70" s="158">
        <v>2888348.4</v>
      </c>
      <c r="L70" s="158">
        <v>263612.74</v>
      </c>
      <c r="M70" s="46">
        <v>3565265.3499999996</v>
      </c>
    </row>
    <row r="71" spans="3:13" x14ac:dyDescent="0.25">
      <c r="C71" s="91" t="s">
        <v>1282</v>
      </c>
      <c r="D71" s="158"/>
      <c r="E71" s="158">
        <v>195714</v>
      </c>
      <c r="F71" s="158"/>
      <c r="G71" s="46">
        <v>195714</v>
      </c>
      <c r="I71" s="91" t="s">
        <v>452</v>
      </c>
      <c r="J71" s="158">
        <v>413260.45999999996</v>
      </c>
      <c r="K71" s="158">
        <v>2034524.42</v>
      </c>
      <c r="L71" s="158">
        <v>1550756.47</v>
      </c>
      <c r="M71" s="46">
        <v>3998541.3499999996</v>
      </c>
    </row>
    <row r="72" spans="3:13" x14ac:dyDescent="0.25">
      <c r="C72" s="91" t="s">
        <v>1283</v>
      </c>
      <c r="D72" s="158">
        <v>20960.84</v>
      </c>
      <c r="E72" s="158">
        <v>102469</v>
      </c>
      <c r="F72" s="158"/>
      <c r="G72" s="46">
        <v>123429.84</v>
      </c>
      <c r="I72" s="91" t="s">
        <v>499</v>
      </c>
      <c r="J72" s="158"/>
      <c r="K72" s="158">
        <v>114547.5</v>
      </c>
      <c r="L72" s="158"/>
      <c r="M72" s="46">
        <v>114547.5</v>
      </c>
    </row>
    <row r="73" spans="3:13" x14ac:dyDescent="0.25">
      <c r="C73" s="91" t="s">
        <v>1284</v>
      </c>
      <c r="D73" s="158"/>
      <c r="E73" s="158">
        <v>10824</v>
      </c>
      <c r="F73" s="158"/>
      <c r="G73" s="46">
        <v>10824</v>
      </c>
      <c r="I73" s="91" t="s">
        <v>448</v>
      </c>
      <c r="J73" s="158">
        <v>-11100</v>
      </c>
      <c r="K73" s="158">
        <v>1379936.81</v>
      </c>
      <c r="L73" s="158">
        <v>-3155.43</v>
      </c>
      <c r="M73" s="46">
        <v>1365681.3800000001</v>
      </c>
    </row>
    <row r="74" spans="3:13" x14ac:dyDescent="0.25">
      <c r="C74" s="91" t="s">
        <v>1285</v>
      </c>
      <c r="D74" s="158"/>
      <c r="E74" s="158">
        <v>14732.1</v>
      </c>
      <c r="F74" s="158"/>
      <c r="G74" s="46">
        <v>14732.1</v>
      </c>
      <c r="I74" s="91" t="s">
        <v>502</v>
      </c>
      <c r="J74" s="158"/>
      <c r="K74" s="158">
        <v>25722.149999999998</v>
      </c>
      <c r="L74" s="158"/>
      <c r="M74" s="46">
        <v>25722.149999999998</v>
      </c>
    </row>
    <row r="75" spans="3:13" x14ac:dyDescent="0.25">
      <c r="C75" s="91" t="s">
        <v>1286</v>
      </c>
      <c r="D75" s="158"/>
      <c r="E75" s="158">
        <v>78572.800000000003</v>
      </c>
      <c r="F75" s="158"/>
      <c r="G75" s="46">
        <v>78572.800000000003</v>
      </c>
      <c r="I75" s="91" t="s">
        <v>475</v>
      </c>
      <c r="J75" s="158">
        <v>48791.08</v>
      </c>
      <c r="K75" s="158">
        <v>34582.660000000003</v>
      </c>
      <c r="L75" s="158">
        <v>157845.09</v>
      </c>
      <c r="M75" s="46">
        <v>241218.83000000002</v>
      </c>
    </row>
    <row r="76" spans="3:13" x14ac:dyDescent="0.25">
      <c r="C76" s="91" t="s">
        <v>1287</v>
      </c>
      <c r="D76" s="158"/>
      <c r="E76" s="158">
        <v>80595</v>
      </c>
      <c r="F76" s="158"/>
      <c r="G76" s="46">
        <v>80595</v>
      </c>
      <c r="I76" s="91" t="s">
        <v>515</v>
      </c>
      <c r="J76" s="158">
        <v>55500</v>
      </c>
      <c r="K76" s="158"/>
      <c r="L76" s="158"/>
      <c r="M76" s="46">
        <v>55500</v>
      </c>
    </row>
    <row r="77" spans="3:13" x14ac:dyDescent="0.25">
      <c r="C77" s="91" t="s">
        <v>1288</v>
      </c>
      <c r="D77" s="158"/>
      <c r="E77" s="158">
        <v>232830</v>
      </c>
      <c r="F77" s="158"/>
      <c r="G77" s="46">
        <v>232830</v>
      </c>
      <c r="I77" s="91" t="s">
        <v>466</v>
      </c>
      <c r="J77" s="158">
        <v>557291.69999999995</v>
      </c>
      <c r="K77" s="158">
        <v>620973.98</v>
      </c>
      <c r="L77" s="158">
        <v>338470.23000000004</v>
      </c>
      <c r="M77" s="46">
        <v>1516735.91</v>
      </c>
    </row>
    <row r="78" spans="3:13" x14ac:dyDescent="0.25">
      <c r="C78" s="91" t="s">
        <v>1289</v>
      </c>
      <c r="D78" s="158"/>
      <c r="E78" s="158">
        <v>7058.27</v>
      </c>
      <c r="F78" s="158"/>
      <c r="G78" s="46">
        <v>7058.27</v>
      </c>
      <c r="I78" s="91" t="s">
        <v>495</v>
      </c>
      <c r="J78" s="158">
        <v>157443.51999999999</v>
      </c>
      <c r="K78" s="158">
        <v>322072.86</v>
      </c>
      <c r="L78" s="158">
        <v>112661.86</v>
      </c>
      <c r="M78" s="46">
        <v>592178.24</v>
      </c>
    </row>
    <row r="79" spans="3:13" x14ac:dyDescent="0.25">
      <c r="C79" s="91" t="s">
        <v>1290</v>
      </c>
      <c r="D79" s="158">
        <v>332915.33</v>
      </c>
      <c r="E79" s="158">
        <v>1116842.8400000001</v>
      </c>
      <c r="F79" s="158">
        <v>360877.07</v>
      </c>
      <c r="G79" s="46">
        <v>1810635.2400000002</v>
      </c>
      <c r="I79" s="91" t="s">
        <v>506</v>
      </c>
      <c r="J79" s="158">
        <v>157444.03</v>
      </c>
      <c r="K79" s="158">
        <v>393601.25</v>
      </c>
      <c r="L79" s="158">
        <v>147871</v>
      </c>
      <c r="M79" s="46">
        <v>698916.28</v>
      </c>
    </row>
    <row r="80" spans="3:13" x14ac:dyDescent="0.25">
      <c r="C80" s="91" t="s">
        <v>1291</v>
      </c>
      <c r="D80" s="158"/>
      <c r="E80" s="158">
        <v>21600</v>
      </c>
      <c r="F80" s="158"/>
      <c r="G80" s="46">
        <v>21600</v>
      </c>
      <c r="I80" s="91" t="s">
        <v>513</v>
      </c>
      <c r="J80" s="158"/>
      <c r="K80" s="158"/>
      <c r="L80" s="158">
        <v>109560.53</v>
      </c>
      <c r="M80" s="46">
        <v>109560.53</v>
      </c>
    </row>
    <row r="81" spans="3:13" x14ac:dyDescent="0.25">
      <c r="C81" s="91" t="s">
        <v>1292</v>
      </c>
      <c r="D81" s="158"/>
      <c r="E81" s="158"/>
      <c r="F81" s="158">
        <v>30371.4</v>
      </c>
      <c r="G81" s="46">
        <v>30371.4</v>
      </c>
      <c r="I81" s="91" t="s">
        <v>481</v>
      </c>
      <c r="J81" s="158"/>
      <c r="K81" s="158">
        <v>13777</v>
      </c>
      <c r="L81" s="158"/>
      <c r="M81" s="46">
        <v>13777</v>
      </c>
    </row>
    <row r="82" spans="3:13" x14ac:dyDescent="0.25">
      <c r="C82" s="91" t="s">
        <v>1293</v>
      </c>
      <c r="D82" s="158">
        <v>77326</v>
      </c>
      <c r="E82" s="158"/>
      <c r="F82" s="158"/>
      <c r="G82" s="46">
        <v>77326</v>
      </c>
      <c r="I82" s="91" t="s">
        <v>458</v>
      </c>
      <c r="J82" s="158">
        <v>263898.83</v>
      </c>
      <c r="K82" s="158"/>
      <c r="L82" s="158">
        <v>185399.46000000002</v>
      </c>
      <c r="M82" s="46">
        <v>449298.29000000004</v>
      </c>
    </row>
    <row r="83" spans="3:13" x14ac:dyDescent="0.25">
      <c r="C83" s="91" t="s">
        <v>1294</v>
      </c>
      <c r="D83" s="158"/>
      <c r="E83" s="158">
        <v>13067.26</v>
      </c>
      <c r="F83" s="158"/>
      <c r="G83" s="46">
        <v>13067.26</v>
      </c>
      <c r="I83" s="91" t="s">
        <v>486</v>
      </c>
      <c r="J83" s="158">
        <v>111585.60000000001</v>
      </c>
      <c r="K83" s="158"/>
      <c r="L83" s="158"/>
      <c r="M83" s="46">
        <v>111585.60000000001</v>
      </c>
    </row>
    <row r="84" spans="3:13" x14ac:dyDescent="0.25">
      <c r="C84" s="91" t="s">
        <v>1304</v>
      </c>
      <c r="D84" s="158"/>
      <c r="E84" s="158">
        <v>24875</v>
      </c>
      <c r="F84" s="158"/>
      <c r="G84" s="46">
        <v>24875</v>
      </c>
      <c r="I84" s="91" t="s">
        <v>512</v>
      </c>
      <c r="J84" s="158"/>
      <c r="K84" s="158">
        <v>26333.81</v>
      </c>
      <c r="L84" s="158"/>
      <c r="M84" s="46">
        <v>26333.81</v>
      </c>
    </row>
    <row r="85" spans="3:13" x14ac:dyDescent="0.25">
      <c r="C85" s="91" t="s">
        <v>1305</v>
      </c>
      <c r="D85" s="158">
        <v>2132.06</v>
      </c>
      <c r="E85" s="158">
        <v>77624.23</v>
      </c>
      <c r="F85" s="158">
        <v>6284.61</v>
      </c>
      <c r="G85" s="46">
        <v>86040.9</v>
      </c>
      <c r="I85" s="91" t="s">
        <v>504</v>
      </c>
      <c r="J85" s="158">
        <v>15413.77</v>
      </c>
      <c r="K85" s="158"/>
      <c r="L85" s="158"/>
      <c r="M85" s="46">
        <v>15413.77</v>
      </c>
    </row>
    <row r="86" spans="3:13" x14ac:dyDescent="0.25">
      <c r="C86"/>
      <c r="D86"/>
      <c r="E86"/>
      <c r="F86"/>
      <c r="G86"/>
      <c r="I86" s="91" t="s">
        <v>439</v>
      </c>
      <c r="J86" s="158"/>
      <c r="K86" s="158">
        <v>39454.839999999997</v>
      </c>
      <c r="L86" s="158">
        <v>28869.599999999999</v>
      </c>
      <c r="M86" s="46">
        <v>68324.44</v>
      </c>
    </row>
    <row r="87" spans="3:13" x14ac:dyDescent="0.25">
      <c r="C87"/>
      <c r="D87"/>
      <c r="E87"/>
      <c r="F87"/>
      <c r="G87"/>
      <c r="I87" s="91" t="s">
        <v>1240</v>
      </c>
      <c r="J87" s="158">
        <v>48813.5</v>
      </c>
      <c r="K87" s="158"/>
      <c r="L87" s="158"/>
      <c r="M87" s="46">
        <v>48813.5</v>
      </c>
    </row>
    <row r="88" spans="3:13" x14ac:dyDescent="0.25">
      <c r="C88"/>
      <c r="D88"/>
      <c r="E88"/>
      <c r="F88"/>
      <c r="G88"/>
      <c r="I88" s="91" t="s">
        <v>1241</v>
      </c>
      <c r="J88" s="158">
        <v>47970</v>
      </c>
      <c r="K88" s="158">
        <v>194042.21</v>
      </c>
      <c r="L88" s="158">
        <v>2886.4</v>
      </c>
      <c r="M88" s="46">
        <v>244898.61</v>
      </c>
    </row>
    <row r="89" spans="3:13" x14ac:dyDescent="0.25">
      <c r="C89"/>
      <c r="D89"/>
      <c r="E89"/>
      <c r="F89"/>
      <c r="G89"/>
      <c r="I89" s="91" t="s">
        <v>1242</v>
      </c>
      <c r="J89" s="158"/>
      <c r="K89" s="158">
        <v>264201.03999999998</v>
      </c>
      <c r="L89" s="158"/>
      <c r="M89" s="46">
        <v>264201.03999999998</v>
      </c>
    </row>
    <row r="90" spans="3:13" x14ac:dyDescent="0.25">
      <c r="C90"/>
      <c r="D90"/>
      <c r="E90"/>
      <c r="F90"/>
      <c r="G90"/>
      <c r="I90" s="91" t="s">
        <v>1243</v>
      </c>
      <c r="J90" s="158"/>
      <c r="K90" s="158">
        <v>409876</v>
      </c>
      <c r="L90" s="158"/>
      <c r="M90" s="46">
        <v>409876</v>
      </c>
    </row>
    <row r="91" spans="3:13" x14ac:dyDescent="0.25">
      <c r="C91"/>
      <c r="D91"/>
      <c r="E91"/>
      <c r="F91"/>
      <c r="G91"/>
      <c r="I91" s="91" t="s">
        <v>1244</v>
      </c>
      <c r="J91" s="158"/>
      <c r="K91" s="158"/>
      <c r="L91" s="158">
        <v>26996.799999999999</v>
      </c>
      <c r="M91" s="46">
        <v>26996.799999999999</v>
      </c>
    </row>
    <row r="92" spans="3:13" x14ac:dyDescent="0.25">
      <c r="C92"/>
      <c r="D92"/>
      <c r="E92"/>
      <c r="F92"/>
      <c r="G92"/>
      <c r="I92" s="91" t="s">
        <v>1245</v>
      </c>
      <c r="J92" s="158"/>
      <c r="K92" s="158"/>
      <c r="L92" s="158">
        <v>13498.4</v>
      </c>
      <c r="M92" s="46">
        <v>13498.4</v>
      </c>
    </row>
    <row r="93" spans="3:13" x14ac:dyDescent="0.25">
      <c r="C93"/>
      <c r="D93"/>
      <c r="E93"/>
      <c r="F93"/>
      <c r="G93"/>
      <c r="I93" s="91" t="s">
        <v>1246</v>
      </c>
      <c r="J93" s="158"/>
      <c r="K93" s="158"/>
      <c r="L93" s="158">
        <v>7592.85</v>
      </c>
      <c r="M93" s="46">
        <v>7592.85</v>
      </c>
    </row>
    <row r="94" spans="3:13" x14ac:dyDescent="0.25">
      <c r="C94"/>
      <c r="D94"/>
      <c r="E94"/>
      <c r="F94"/>
      <c r="G94"/>
      <c r="I94" s="91" t="s">
        <v>1247</v>
      </c>
      <c r="J94" s="158"/>
      <c r="K94" s="158"/>
      <c r="L94" s="158">
        <v>16198.08</v>
      </c>
      <c r="M94" s="46">
        <v>16198.08</v>
      </c>
    </row>
    <row r="95" spans="3:13" x14ac:dyDescent="0.25">
      <c r="C95"/>
      <c r="D95"/>
      <c r="E95"/>
      <c r="F95"/>
      <c r="G95"/>
      <c r="I95" s="91" t="s">
        <v>1248</v>
      </c>
      <c r="J95" s="158">
        <v>54434.879999999997</v>
      </c>
      <c r="K95" s="158"/>
      <c r="L95" s="158"/>
      <c r="M95" s="46">
        <v>54434.879999999997</v>
      </c>
    </row>
    <row r="96" spans="3:13" x14ac:dyDescent="0.25">
      <c r="C96"/>
      <c r="D96"/>
      <c r="E96"/>
      <c r="F96"/>
      <c r="G96"/>
      <c r="I96" s="91" t="s">
        <v>1249</v>
      </c>
      <c r="J96" s="158">
        <v>87699</v>
      </c>
      <c r="K96" s="158"/>
      <c r="L96" s="158"/>
      <c r="M96" s="46">
        <v>87699</v>
      </c>
    </row>
    <row r="97" spans="3:13" x14ac:dyDescent="0.25">
      <c r="C97"/>
      <c r="D97"/>
      <c r="E97"/>
      <c r="F97"/>
      <c r="G97"/>
      <c r="I97" s="91" t="s">
        <v>1250</v>
      </c>
      <c r="J97" s="158"/>
      <c r="K97" s="158">
        <v>338147.7</v>
      </c>
      <c r="L97" s="158">
        <v>8436.5</v>
      </c>
      <c r="M97" s="46">
        <v>346584.2</v>
      </c>
    </row>
    <row r="98" spans="3:13" x14ac:dyDescent="0.25">
      <c r="C98"/>
      <c r="D98"/>
      <c r="E98"/>
      <c r="F98"/>
      <c r="G98"/>
      <c r="I98" s="91" t="s">
        <v>1251</v>
      </c>
      <c r="J98" s="158">
        <v>210330</v>
      </c>
      <c r="K98" s="158">
        <v>39935.949999999997</v>
      </c>
      <c r="L98" s="158"/>
      <c r="M98" s="46">
        <v>250265.95</v>
      </c>
    </row>
    <row r="99" spans="3:13" x14ac:dyDescent="0.25">
      <c r="C99"/>
      <c r="D99"/>
      <c r="E99"/>
      <c r="F99"/>
      <c r="G99"/>
      <c r="I99" s="91" t="s">
        <v>1252</v>
      </c>
      <c r="J99" s="158">
        <v>1012528</v>
      </c>
      <c r="K99" s="158">
        <v>463847.52</v>
      </c>
      <c r="L99" s="158">
        <v>5905.5499999999993</v>
      </c>
      <c r="M99" s="46">
        <v>1482281.07</v>
      </c>
    </row>
    <row r="100" spans="3:13" x14ac:dyDescent="0.25">
      <c r="C100"/>
      <c r="D100"/>
      <c r="E100"/>
      <c r="F100"/>
      <c r="G100"/>
      <c r="I100" s="91" t="s">
        <v>1253</v>
      </c>
      <c r="J100" s="158"/>
      <c r="K100" s="158"/>
      <c r="L100" s="158">
        <v>8436.5</v>
      </c>
      <c r="M100" s="46">
        <v>8436.5</v>
      </c>
    </row>
    <row r="101" spans="3:13" x14ac:dyDescent="0.25">
      <c r="C101"/>
      <c r="D101"/>
      <c r="E101"/>
      <c r="F101"/>
      <c r="G101"/>
      <c r="I101" s="91" t="s">
        <v>1254</v>
      </c>
      <c r="J101" s="158"/>
      <c r="K101" s="158">
        <v>899225.38</v>
      </c>
      <c r="L101" s="158">
        <v>1102.1200000000001</v>
      </c>
      <c r="M101" s="46">
        <v>900327.5</v>
      </c>
    </row>
    <row r="102" spans="3:13" x14ac:dyDescent="0.25">
      <c r="C102"/>
      <c r="D102"/>
      <c r="E102"/>
      <c r="F102"/>
      <c r="G102"/>
      <c r="I102" s="91" t="s">
        <v>1255</v>
      </c>
      <c r="J102" s="158"/>
      <c r="K102" s="158">
        <v>616500</v>
      </c>
      <c r="L102" s="158"/>
      <c r="M102" s="46">
        <v>616500</v>
      </c>
    </row>
    <row r="103" spans="3:13" x14ac:dyDescent="0.25">
      <c r="C103"/>
      <c r="D103"/>
      <c r="E103"/>
      <c r="F103"/>
      <c r="G103"/>
      <c r="I103" s="91" t="s">
        <v>1256</v>
      </c>
      <c r="J103" s="158"/>
      <c r="K103" s="158">
        <v>308648</v>
      </c>
      <c r="L103" s="158">
        <v>17567.79</v>
      </c>
      <c r="M103" s="46">
        <v>326215.78999999998</v>
      </c>
    </row>
    <row r="104" spans="3:13" x14ac:dyDescent="0.25">
      <c r="C104"/>
      <c r="D104"/>
      <c r="E104"/>
      <c r="F104"/>
      <c r="G104"/>
      <c r="I104" s="91" t="s">
        <v>1257</v>
      </c>
      <c r="J104" s="158"/>
      <c r="K104" s="158">
        <v>1222796.29</v>
      </c>
      <c r="L104" s="158"/>
      <c r="M104" s="46">
        <v>1222796.29</v>
      </c>
    </row>
    <row r="105" spans="3:13" x14ac:dyDescent="0.25">
      <c r="C105"/>
      <c r="D105"/>
      <c r="E105"/>
      <c r="F105"/>
      <c r="G105"/>
      <c r="I105" s="91" t="s">
        <v>1258</v>
      </c>
      <c r="J105" s="158"/>
      <c r="K105" s="158">
        <v>229191.12</v>
      </c>
      <c r="L105" s="158"/>
      <c r="M105" s="46">
        <v>229191.12</v>
      </c>
    </row>
    <row r="106" spans="3:13" x14ac:dyDescent="0.25">
      <c r="C106"/>
      <c r="D106"/>
      <c r="E106"/>
      <c r="F106"/>
      <c r="G106"/>
      <c r="I106" s="91" t="s">
        <v>1259</v>
      </c>
      <c r="J106" s="158"/>
      <c r="K106" s="158">
        <v>43399.28</v>
      </c>
      <c r="L106" s="158"/>
      <c r="M106" s="46">
        <v>43399.28</v>
      </c>
    </row>
    <row r="107" spans="3:13" x14ac:dyDescent="0.25">
      <c r="C107"/>
      <c r="D107"/>
      <c r="E107"/>
      <c r="F107"/>
      <c r="G107"/>
      <c r="I107" s="91" t="s">
        <v>1260</v>
      </c>
      <c r="J107" s="158"/>
      <c r="K107" s="158">
        <v>108037.6</v>
      </c>
      <c r="L107" s="158"/>
      <c r="M107" s="46">
        <v>108037.6</v>
      </c>
    </row>
    <row r="108" spans="3:13" x14ac:dyDescent="0.25">
      <c r="C108"/>
      <c r="D108"/>
      <c r="E108"/>
      <c r="F108"/>
      <c r="G108"/>
      <c r="I108" s="91" t="s">
        <v>1261</v>
      </c>
      <c r="J108" s="158"/>
      <c r="K108" s="158">
        <v>368000</v>
      </c>
      <c r="L108" s="158"/>
      <c r="M108" s="46">
        <v>368000</v>
      </c>
    </row>
    <row r="109" spans="3:13" x14ac:dyDescent="0.25">
      <c r="C109"/>
      <c r="D109"/>
      <c r="E109"/>
      <c r="F109"/>
      <c r="G109"/>
      <c r="I109" s="91" t="s">
        <v>1262</v>
      </c>
      <c r="J109" s="158"/>
      <c r="K109" s="158">
        <v>91117</v>
      </c>
      <c r="L109" s="158"/>
      <c r="M109" s="46">
        <v>91117</v>
      </c>
    </row>
    <row r="110" spans="3:13" x14ac:dyDescent="0.25">
      <c r="C110"/>
      <c r="D110"/>
      <c r="E110"/>
      <c r="F110"/>
      <c r="G110"/>
      <c r="I110" s="91" t="s">
        <v>1263</v>
      </c>
      <c r="J110" s="158"/>
      <c r="K110" s="158"/>
      <c r="L110" s="158">
        <v>3458.96</v>
      </c>
      <c r="M110" s="46">
        <v>3458.96</v>
      </c>
    </row>
    <row r="111" spans="3:13" x14ac:dyDescent="0.25">
      <c r="C111"/>
      <c r="D111"/>
      <c r="E111"/>
      <c r="F111"/>
      <c r="G111"/>
      <c r="I111" s="91" t="s">
        <v>1264</v>
      </c>
      <c r="J111" s="158"/>
      <c r="K111" s="158">
        <v>24410.36</v>
      </c>
      <c r="L111" s="158"/>
      <c r="M111" s="46">
        <v>24410.36</v>
      </c>
    </row>
    <row r="112" spans="3:13" x14ac:dyDescent="0.25">
      <c r="C112"/>
      <c r="D112"/>
      <c r="E112"/>
      <c r="F112"/>
      <c r="G112"/>
      <c r="I112" s="91" t="s">
        <v>1265</v>
      </c>
      <c r="J112" s="158"/>
      <c r="K112" s="158">
        <v>3753352.28</v>
      </c>
      <c r="L112" s="158">
        <v>1053212.6599999999</v>
      </c>
      <c r="M112" s="46">
        <v>4806564.9399999995</v>
      </c>
    </row>
    <row r="113" spans="3:13" x14ac:dyDescent="0.25">
      <c r="C113"/>
      <c r="D113"/>
      <c r="E113"/>
      <c r="F113"/>
      <c r="G113"/>
      <c r="I113" s="91" t="s">
        <v>1266</v>
      </c>
      <c r="J113" s="158"/>
      <c r="K113" s="158">
        <v>93603.9</v>
      </c>
      <c r="L113" s="158">
        <v>8896.94</v>
      </c>
      <c r="M113" s="46">
        <v>102500.84</v>
      </c>
    </row>
    <row r="114" spans="3:13" x14ac:dyDescent="0.25">
      <c r="C114"/>
      <c r="D114"/>
      <c r="E114"/>
      <c r="F114"/>
      <c r="G114"/>
      <c r="I114" s="91" t="s">
        <v>1267</v>
      </c>
      <c r="J114" s="158"/>
      <c r="K114" s="158">
        <v>0</v>
      </c>
      <c r="L114" s="158"/>
      <c r="M114" s="46">
        <v>0</v>
      </c>
    </row>
    <row r="115" spans="3:13" x14ac:dyDescent="0.25">
      <c r="C115"/>
      <c r="D115"/>
      <c r="E115"/>
      <c r="F115"/>
      <c r="G115"/>
      <c r="I115" s="91" t="s">
        <v>1268</v>
      </c>
      <c r="J115" s="158"/>
      <c r="K115" s="158">
        <v>0</v>
      </c>
      <c r="L115" s="158"/>
      <c r="M115" s="46">
        <v>0</v>
      </c>
    </row>
    <row r="116" spans="3:13" x14ac:dyDescent="0.25">
      <c r="C116"/>
      <c r="D116"/>
      <c r="E116"/>
      <c r="F116"/>
      <c r="G116"/>
      <c r="I116" s="91" t="s">
        <v>1269</v>
      </c>
      <c r="J116" s="158">
        <v>50700.38</v>
      </c>
      <c r="K116" s="158">
        <v>313509.48</v>
      </c>
      <c r="L116" s="158">
        <v>15521.78</v>
      </c>
      <c r="M116" s="46">
        <v>379731.64</v>
      </c>
    </row>
    <row r="117" spans="3:13" x14ac:dyDescent="0.25">
      <c r="C117"/>
      <c r="D117"/>
      <c r="E117"/>
      <c r="F117"/>
      <c r="G117"/>
      <c r="I117" s="91" t="s">
        <v>1270</v>
      </c>
      <c r="J117" s="158"/>
      <c r="K117" s="158">
        <v>102469</v>
      </c>
      <c r="L117" s="158"/>
      <c r="M117" s="46">
        <v>102469</v>
      </c>
    </row>
    <row r="118" spans="3:13" x14ac:dyDescent="0.25">
      <c r="C118"/>
      <c r="D118"/>
      <c r="E118"/>
      <c r="F118"/>
      <c r="G118"/>
      <c r="I118" s="91" t="s">
        <v>1271</v>
      </c>
      <c r="J118" s="158"/>
      <c r="K118" s="158">
        <v>58929.599999999999</v>
      </c>
      <c r="L118" s="158">
        <v>3040</v>
      </c>
      <c r="M118" s="46">
        <v>61969.599999999999</v>
      </c>
    </row>
    <row r="119" spans="3:13" x14ac:dyDescent="0.25">
      <c r="C119"/>
      <c r="D119"/>
      <c r="E119"/>
      <c r="F119"/>
      <c r="G119"/>
      <c r="I119" s="91" t="s">
        <v>1272</v>
      </c>
      <c r="J119" s="158"/>
      <c r="K119" s="158">
        <v>40987.599999999999</v>
      </c>
      <c r="L119" s="158">
        <v>8099.04</v>
      </c>
      <c r="M119" s="46">
        <v>49086.64</v>
      </c>
    </row>
    <row r="120" spans="3:13" x14ac:dyDescent="0.25">
      <c r="C120"/>
      <c r="D120"/>
      <c r="E120"/>
      <c r="F120"/>
      <c r="G120"/>
      <c r="I120" s="91" t="s">
        <v>1273</v>
      </c>
      <c r="J120" s="158"/>
      <c r="K120" s="158">
        <v>30740.7</v>
      </c>
      <c r="L120" s="158"/>
      <c r="M120" s="46">
        <v>30740.7</v>
      </c>
    </row>
    <row r="121" spans="3:13" x14ac:dyDescent="0.25">
      <c r="C121"/>
      <c r="D121"/>
      <c r="E121"/>
      <c r="F121"/>
      <c r="G121"/>
      <c r="I121" s="91" t="s">
        <v>1274</v>
      </c>
      <c r="J121" s="158"/>
      <c r="K121" s="158"/>
      <c r="L121" s="158">
        <v>8436.5</v>
      </c>
      <c r="M121" s="46">
        <v>8436.5</v>
      </c>
    </row>
    <row r="122" spans="3:13" x14ac:dyDescent="0.25">
      <c r="C122"/>
      <c r="D122"/>
      <c r="E122"/>
      <c r="F122"/>
      <c r="G122"/>
      <c r="I122" s="91" t="s">
        <v>1275</v>
      </c>
      <c r="J122" s="158"/>
      <c r="K122" s="158">
        <v>137502.39999999999</v>
      </c>
      <c r="L122" s="158"/>
      <c r="M122" s="46">
        <v>137502.39999999999</v>
      </c>
    </row>
    <row r="123" spans="3:13" x14ac:dyDescent="0.25">
      <c r="C123"/>
      <c r="D123"/>
      <c r="E123"/>
      <c r="F123"/>
      <c r="G123"/>
      <c r="I123" s="91" t="s">
        <v>1276</v>
      </c>
      <c r="J123" s="158"/>
      <c r="K123" s="158">
        <v>27666.63</v>
      </c>
      <c r="L123" s="158"/>
      <c r="M123" s="46">
        <v>27666.63</v>
      </c>
    </row>
    <row r="124" spans="3:13" x14ac:dyDescent="0.25">
      <c r="C124"/>
      <c r="D124"/>
      <c r="E124"/>
      <c r="F124"/>
      <c r="G124"/>
      <c r="I124"/>
      <c r="J124"/>
      <c r="K124"/>
      <c r="L124"/>
      <c r="M124"/>
    </row>
    <row r="125" spans="3:13" x14ac:dyDescent="0.25">
      <c r="C125"/>
      <c r="D125"/>
      <c r="E125"/>
      <c r="F125"/>
      <c r="G125"/>
      <c r="I125"/>
      <c r="J125"/>
      <c r="K125"/>
      <c r="L125"/>
      <c r="M125"/>
    </row>
    <row r="126" spans="3:13" x14ac:dyDescent="0.25">
      <c r="C126"/>
      <c r="D126"/>
      <c r="E126"/>
      <c r="F126"/>
      <c r="G126"/>
      <c r="I126"/>
      <c r="J126"/>
      <c r="K126"/>
      <c r="L126"/>
      <c r="M126"/>
    </row>
    <row r="127" spans="3:13" x14ac:dyDescent="0.25">
      <c r="C127"/>
      <c r="D127"/>
      <c r="E127"/>
      <c r="F127"/>
      <c r="G127"/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D6A9-F880-49F9-8938-A1B8D0833DD7}">
  <sheetPr codeName="Planilha12">
    <tabColor theme="4" tint="-0.249977111117893"/>
  </sheetPr>
  <dimension ref="A1:AA8"/>
  <sheetViews>
    <sheetView showGridLines="0" workbookViewId="0">
      <pane xSplit="2" ySplit="5" topLeftCell="C6" activePane="bottomRight" state="frozen"/>
      <selection activeCell="C15" sqref="C15"/>
      <selection pane="topRight" activeCell="C15" sqref="C15"/>
      <selection pane="bottomLeft" activeCell="C15" sqref="C15"/>
      <selection pane="bottomRight" activeCell="H19" sqref="H19"/>
    </sheetView>
  </sheetViews>
  <sheetFormatPr defaultRowHeight="12.75" x14ac:dyDescent="0.25"/>
  <cols>
    <col min="1" max="1" width="9.7109375" style="3" bestFit="1" customWidth="1"/>
    <col min="2" max="2" width="7.5703125" style="3" bestFit="1" customWidth="1"/>
    <col min="3" max="3" width="12.28515625" style="3" bestFit="1" customWidth="1"/>
    <col min="4" max="4" width="13.7109375" style="3" bestFit="1" customWidth="1"/>
    <col min="5" max="5" width="20" style="3" bestFit="1" customWidth="1"/>
    <col min="6" max="6" width="12.28515625" style="3" bestFit="1" customWidth="1"/>
    <col min="7" max="7" width="13.7109375" style="3" bestFit="1" customWidth="1"/>
    <col min="8" max="8" width="15.140625" style="3" bestFit="1" customWidth="1"/>
    <col min="9" max="9" width="21.5703125" style="3" bestFit="1" customWidth="1"/>
    <col min="10" max="10" width="12.28515625" style="3" bestFit="1" customWidth="1"/>
    <col min="11" max="11" width="16.7109375" style="3" bestFit="1" customWidth="1"/>
    <col min="12" max="12" width="18.28515625" style="3" bestFit="1" customWidth="1"/>
    <col min="13" max="13" width="25.5703125" style="3" bestFit="1" customWidth="1"/>
    <col min="14" max="14" width="14.7109375" style="3" bestFit="1" customWidth="1"/>
    <col min="15" max="15" width="14.42578125" style="3" bestFit="1" customWidth="1"/>
    <col min="16" max="16" width="15.85546875" style="3" bestFit="1" customWidth="1"/>
    <col min="17" max="17" width="13.85546875" style="3" bestFit="1" customWidth="1"/>
    <col min="18" max="18" width="15.140625" style="3" bestFit="1" customWidth="1"/>
    <col min="19" max="19" width="15.85546875" style="3" bestFit="1" customWidth="1"/>
    <col min="20" max="20" width="17.42578125" style="3" bestFit="1" customWidth="1"/>
    <col min="21" max="21" width="15.28515625" style="3" bestFit="1" customWidth="1"/>
    <col min="22" max="22" width="16.5703125" style="3" bestFit="1" customWidth="1"/>
    <col min="23" max="23" width="18.42578125" style="3" bestFit="1" customWidth="1"/>
    <col min="24" max="24" width="19.85546875" style="3" bestFit="1" customWidth="1"/>
    <col min="25" max="25" width="17.85546875" style="3" bestFit="1" customWidth="1"/>
    <col min="26" max="26" width="18.7109375" style="3" bestFit="1" customWidth="1"/>
    <col min="27" max="27" width="19.140625" style="3" bestFit="1" customWidth="1"/>
    <col min="28" max="28" width="19" style="3" bestFit="1" customWidth="1"/>
    <col min="29" max="29" width="20.42578125" style="3" bestFit="1" customWidth="1"/>
    <col min="30" max="30" width="18.42578125" style="3" bestFit="1" customWidth="1"/>
    <col min="31" max="32" width="19.7109375" style="3" bestFit="1" customWidth="1"/>
    <col min="33" max="33" width="19" style="3" bestFit="1" customWidth="1"/>
    <col min="34" max="34" width="20.42578125" style="3" bestFit="1" customWidth="1"/>
    <col min="35" max="35" width="18.42578125" style="3" bestFit="1" customWidth="1"/>
    <col min="36" max="36" width="19.7109375" style="3" bestFit="1" customWidth="1"/>
    <col min="37" max="37" width="16.140625" style="3" bestFit="1" customWidth="1"/>
    <col min="38" max="38" width="12.42578125" style="3" bestFit="1" customWidth="1"/>
    <col min="39" max="39" width="19.28515625" style="3" bestFit="1" customWidth="1"/>
    <col min="40" max="40" width="19" style="3" bestFit="1" customWidth="1"/>
    <col min="41" max="41" width="20.42578125" style="3" bestFit="1" customWidth="1"/>
    <col min="42" max="42" width="18.42578125" style="3" bestFit="1" customWidth="1"/>
    <col min="43" max="43" width="19.7109375" style="3" bestFit="1" customWidth="1"/>
    <col min="44" max="16384" width="9.140625" style="3"/>
  </cols>
  <sheetData>
    <row r="1" spans="1:27" ht="27.75" customHeight="1" x14ac:dyDescent="0.25">
      <c r="A1" s="49" t="s">
        <v>341</v>
      </c>
      <c r="O1" s="141">
        <f>MAX(VIEW_IV_2019_VENDA[Peso-ALBUREX])</f>
        <v>0.1</v>
      </c>
      <c r="P1" s="141">
        <f>MAX(VIEW_IV_2019_VENDA[Peso-RHOPHYLAC])</f>
        <v>0.05</v>
      </c>
      <c r="Q1" s="141">
        <f>MAX(VIEW_IV_2019_VENDA[Peso-OUTROS PRODUTOS])</f>
        <v>0.05</v>
      </c>
      <c r="R1" s="141">
        <f>MAX(VIEW_IV_2019_VENDA[Peso-TOTAL])</f>
        <v>0.4</v>
      </c>
      <c r="S1" s="6" t="str">
        <f>IF(S2='IV Venda Mensal'!T2,"OK","Erro")</f>
        <v>OK</v>
      </c>
      <c r="T1" s="6" t="str">
        <f>IF(T2='IV Venda Mensal'!U2,"OK","Erro")</f>
        <v>OK</v>
      </c>
      <c r="U1" s="6" t="str">
        <f>IF(U2='IV Venda Mensal'!V2,"OK","Erro")</f>
        <v>OK</v>
      </c>
      <c r="V1" s="6" t="str">
        <f>IF(V2='IV Venda Mensal'!X2,"OK","Erro")</f>
        <v>OK</v>
      </c>
    </row>
    <row r="2" spans="1:27" ht="15" customHeight="1" x14ac:dyDescent="0.25">
      <c r="C2" s="67">
        <f>SUM(VIEW_IV_2019_VENDA_TRI[Cota-ALBUREX])</f>
        <v>26824653</v>
      </c>
      <c r="D2" s="67">
        <f>SUM(VIEW_IV_2019_VENDA_TRI[Cota-RHOPYLAC])</f>
        <v>11621517</v>
      </c>
      <c r="E2" s="67">
        <f>SUM(VIEW_IV_2019_VENDA_TRI[Cota-OUTRO PRODUTOS])</f>
        <v>96701062</v>
      </c>
      <c r="F2" s="67">
        <f>SUM(VIEW_IV_2019_VENDA_TRI[Cota-TOTAL])</f>
        <v>135147230</v>
      </c>
      <c r="G2" s="67">
        <f>SUM(VIEW_IV_2019_VENDA_TRI[Venda-ALBUREX])</f>
        <v>26576171</v>
      </c>
      <c r="H2" s="67">
        <f>SUM(VIEW_IV_2019_VENDA_TRI[Venda-RHOPYLAC])</f>
        <v>17833988</v>
      </c>
      <c r="I2" s="67">
        <f>SUM(VIEW_IV_2019_VENDA_TRI[Venda-OUTRO PRODUTOS])</f>
        <v>126817089</v>
      </c>
      <c r="J2" s="67">
        <f>SUM(VIEW_IV_2019_VENDA_TRI[Venda-TOTAL])</f>
        <v>171227249</v>
      </c>
      <c r="K2" s="69">
        <f>IFERROR(G2/C2,0)</f>
        <v>0.99073680468485459</v>
      </c>
      <c r="L2" s="69">
        <f t="shared" ref="L2:N3" si="0">IFERROR(H2/D2,0)</f>
        <v>1.5345662704791465</v>
      </c>
      <c r="M2" s="69">
        <f t="shared" si="0"/>
        <v>1.3114342942790018</v>
      </c>
      <c r="N2" s="69">
        <f t="shared" si="0"/>
        <v>1.2669682464080101</v>
      </c>
      <c r="O2" s="140">
        <f>SUM(VIEW_IV_2019_VENDA_TRI[Premio-ALBUREX])</f>
        <v>2792.4881465793601</v>
      </c>
      <c r="P2" s="140">
        <f>SUM(VIEW_IV_2019_VENDA_TRI[Premio-RHOPYLAC])</f>
        <v>911.63831370184937</v>
      </c>
      <c r="Q2" s="140">
        <f>SUM(VIEW_IV_2019_VENDA_TRI[Premio-OUTROS])</f>
        <v>920.8310817842704</v>
      </c>
      <c r="R2" s="140">
        <f>SUM(VIEW_IV_2019_VENDA_TRI[Premio-TOTAL-GR])</f>
        <v>6449.0932477000297</v>
      </c>
      <c r="S2" s="67">
        <f>SUM(VIEW_IV_2019_VENDA_TRI[Recebido-ALBUREX])</f>
        <v>2345.2457094761658</v>
      </c>
      <c r="T2" s="67">
        <f>SUM(VIEW_IV_2019_VENDA_TRI[Recebido-RHOPYLAC])</f>
        <v>2475.6759604955632</v>
      </c>
      <c r="U2" s="67">
        <f>SUM(VIEW_IV_2019_VENDA_TRI[Recebido-OUTROS])</f>
        <v>2101.0727795354564</v>
      </c>
      <c r="V2" s="67">
        <f>SUM(VIEW_IV_2019_VENDA_TRI[Recebido-TOTAL-GR])</f>
        <v>23223.561875058571</v>
      </c>
      <c r="W2" s="67">
        <f>SUM(VIEW_IV_2019_VENDA_TRI[Recuperavel-ALBUREX])</f>
        <v>589.35362801276392</v>
      </c>
      <c r="X2" s="67">
        <f>SUM(VIEW_IV_2019_VENDA_TRI[Recuperavel-RHOPYLAC])</f>
        <v>0</v>
      </c>
      <c r="Y2" s="67">
        <f>SUM(VIEW_IV_2019_VENDA_TRI[Recuperavel-OUTROS])</f>
        <v>0.4867809492741344</v>
      </c>
      <c r="Z2" s="67">
        <f>SUM(VIEW_IV_2019_VENDA_TRI[Recuperavel-Total-REP])</f>
        <v>589.84040896203805</v>
      </c>
      <c r="AA2" s="67">
        <f>SUM(VIEW_IV_2019_VENDA_TRI[Recuperavel-TOTAL-GR])</f>
        <v>0</v>
      </c>
    </row>
    <row r="3" spans="1:27" ht="15" customHeight="1" x14ac:dyDescent="0.25">
      <c r="C3" s="68">
        <f>SUBTOTAL(9,VIEW_IV_2019_VENDA_TRI[Cota-ALBUREX])</f>
        <v>26824653</v>
      </c>
      <c r="D3" s="68">
        <f>SUBTOTAL(9,VIEW_IV_2019_VENDA_TRI[Cota-RHOPYLAC])</f>
        <v>11621517</v>
      </c>
      <c r="E3" s="68">
        <f>SUBTOTAL(9,VIEW_IV_2019_VENDA_TRI[Cota-OUTRO PRODUTOS])</f>
        <v>96701062</v>
      </c>
      <c r="F3" s="68">
        <f>SUBTOTAL(9,VIEW_IV_2019_VENDA_TRI[Cota-TOTAL])</f>
        <v>135147230</v>
      </c>
      <c r="G3" s="68">
        <f>SUBTOTAL(9,VIEW_IV_2019_VENDA_TRI[Venda-ALBUREX])</f>
        <v>26576171</v>
      </c>
      <c r="H3" s="68">
        <f>SUBTOTAL(9,VIEW_IV_2019_VENDA_TRI[Venda-RHOPYLAC])</f>
        <v>17833988</v>
      </c>
      <c r="I3" s="68">
        <f>SUBTOTAL(9,VIEW_IV_2019_VENDA_TRI[Venda-OUTRO PRODUTOS])</f>
        <v>126817089</v>
      </c>
      <c r="J3" s="68">
        <f>SUBTOTAL(9,VIEW_IV_2019_VENDA_TRI[Venda-TOTAL])</f>
        <v>171227249</v>
      </c>
      <c r="K3" s="70">
        <f>IFERROR(G3/C3,0)</f>
        <v>0.99073680468485459</v>
      </c>
      <c r="L3" s="70">
        <f t="shared" si="0"/>
        <v>1.5345662704791465</v>
      </c>
      <c r="M3" s="70">
        <f t="shared" si="0"/>
        <v>1.3114342942790018</v>
      </c>
      <c r="N3" s="70">
        <f t="shared" si="0"/>
        <v>1.2669682464080101</v>
      </c>
      <c r="O3" s="68">
        <f>SUBTOTAL(9,VIEW_IV_2019_VENDA_TRI[Premio-ALBUREX])</f>
        <v>2792.4881465793601</v>
      </c>
      <c r="P3" s="68">
        <f>SUBTOTAL(9,VIEW_IV_2019_VENDA_TRI[Premio-RHOPYLAC])</f>
        <v>911.63831370184937</v>
      </c>
      <c r="Q3" s="68">
        <f>SUBTOTAL(9,VIEW_IV_2019_VENDA_TRI[Premio-OUTROS])</f>
        <v>920.8310817842704</v>
      </c>
      <c r="R3" s="68">
        <f>SUBTOTAL(9,VIEW_IV_2019_VENDA_TRI[Premio-TOTAL-GR])</f>
        <v>6449.0932477000297</v>
      </c>
      <c r="S3" s="68">
        <f>SUBTOTAL(9,VIEW_IV_2019_VENDA_TRI[Recebido-ALBUREX])</f>
        <v>2345.2457094761658</v>
      </c>
      <c r="T3" s="68">
        <f>SUBTOTAL(9,VIEW_IV_2019_VENDA_TRI[Recebido-RHOPYLAC])</f>
        <v>2475.6759604955632</v>
      </c>
      <c r="U3" s="68">
        <f>SUBTOTAL(9,VIEW_IV_2019_VENDA_TRI[Recebido-OUTROS])</f>
        <v>2101.0727795354564</v>
      </c>
      <c r="V3" s="68">
        <f>SUBTOTAL(9,VIEW_IV_2019_VENDA_TRI[Recebido-TOTAL-GR])</f>
        <v>23223.561875058571</v>
      </c>
      <c r="W3" s="68">
        <f>SUBTOTAL(9,VIEW_IV_2019_VENDA_TRI[Recuperavel-ALBUREX])</f>
        <v>589.35362801276392</v>
      </c>
      <c r="X3" s="68">
        <f>SUBTOTAL(9,VIEW_IV_2019_VENDA_TRI[Recuperavel-RHOPYLAC])</f>
        <v>0</v>
      </c>
      <c r="Y3" s="68">
        <f>SUBTOTAL(9,VIEW_IV_2019_VENDA_TRI[Recuperavel-OUTROS])</f>
        <v>0.4867809492741344</v>
      </c>
      <c r="Z3" s="68">
        <f>SUBTOTAL(9,VIEW_IV_2019_VENDA_TRI[Recuperavel-Total-REP])</f>
        <v>589.84040896203805</v>
      </c>
      <c r="AA3" s="68">
        <f>SUBTOTAL(9,VIEW_IV_2019_VENDA_TRI[Recuperavel-TOTAL-GR])</f>
        <v>0</v>
      </c>
    </row>
    <row r="5" spans="1:27" x14ac:dyDescent="0.25">
      <c r="A5" s="6" t="s">
        <v>2</v>
      </c>
      <c r="B5" s="6" t="s">
        <v>4</v>
      </c>
      <c r="C5" s="6" t="s">
        <v>253</v>
      </c>
      <c r="D5" s="6" t="s">
        <v>329</v>
      </c>
      <c r="E5" s="6" t="s">
        <v>331</v>
      </c>
      <c r="F5" s="6" t="s">
        <v>261</v>
      </c>
      <c r="G5" s="6" t="s">
        <v>254</v>
      </c>
      <c r="H5" s="6" t="s">
        <v>330</v>
      </c>
      <c r="I5" s="6" t="s">
        <v>332</v>
      </c>
      <c r="J5" s="6" t="s">
        <v>262</v>
      </c>
      <c r="K5" s="6" t="s">
        <v>255</v>
      </c>
      <c r="L5" s="6" t="s">
        <v>258</v>
      </c>
      <c r="M5" s="6" t="s">
        <v>260</v>
      </c>
      <c r="N5" s="6" t="s">
        <v>263</v>
      </c>
      <c r="O5" s="36" t="s">
        <v>319</v>
      </c>
      <c r="P5" s="36" t="s">
        <v>320</v>
      </c>
      <c r="Q5" s="36" t="s">
        <v>321</v>
      </c>
      <c r="R5" s="36" t="s">
        <v>322</v>
      </c>
      <c r="S5" s="6" t="s">
        <v>333</v>
      </c>
      <c r="T5" s="6" t="s">
        <v>334</v>
      </c>
      <c r="U5" s="6" t="s">
        <v>335</v>
      </c>
      <c r="V5" s="6" t="s">
        <v>336</v>
      </c>
      <c r="W5" s="36" t="s">
        <v>337</v>
      </c>
      <c r="X5" s="36" t="s">
        <v>338</v>
      </c>
      <c r="Y5" s="36" t="s">
        <v>339</v>
      </c>
      <c r="Z5" s="36" t="s">
        <v>392</v>
      </c>
      <c r="AA5" s="36" t="s">
        <v>340</v>
      </c>
    </row>
    <row r="6" spans="1:27" x14ac:dyDescent="0.25">
      <c r="A6" s="7" t="s">
        <v>16</v>
      </c>
      <c r="B6" s="7" t="s">
        <v>18</v>
      </c>
      <c r="C6" s="72">
        <v>10555263</v>
      </c>
      <c r="D6" s="72">
        <v>4203528</v>
      </c>
      <c r="E6" s="72">
        <v>38842706</v>
      </c>
      <c r="F6" s="72">
        <v>53601496</v>
      </c>
      <c r="G6" s="72">
        <v>13227125</v>
      </c>
      <c r="H6" s="72">
        <v>8434402</v>
      </c>
      <c r="I6" s="72">
        <v>56413062</v>
      </c>
      <c r="J6" s="72">
        <v>78074590</v>
      </c>
      <c r="K6" s="71">
        <f>IFERROR(VIEW_IV_2019_VENDA_TRI[[#This Row],[Venda-ALBUREX]]/VIEW_IV_2019_VENDA_TRI[[#This Row],[Cota-ALBUREX]],0)</f>
        <v>1.2531307841405752</v>
      </c>
      <c r="L6" s="71">
        <f>IFERROR(VIEW_IV_2019_VENDA_TRI[[#This Row],[Venda-RHOPYLAC]]/VIEW_IV_2019_VENDA_TRI[[#This Row],[Cota-RHOPYLAC]],0)</f>
        <v>2.0065054877712245</v>
      </c>
      <c r="M6" s="71">
        <f>IFERROR(VIEW_IV_2019_VENDA_TRI[[#This Row],[Venda-OUTRO PRODUTOS]]/VIEW_IV_2019_VENDA_TRI[[#This Row],[Cota-OUTRO PRODUTOS]],0)</f>
        <v>1.4523463427084611</v>
      </c>
      <c r="N6" s="71">
        <f>IFERROR(VIEW_IV_2019_VENDA_TRI[[#This Row],[Venda-TOTAL]]/VIEW_IV_2019_VENDA_TRI[[#This Row],[Cota-TOTAL]],0)</f>
        <v>1.4565748314188842</v>
      </c>
      <c r="O6" s="46">
        <f>(IF(VIEW_IV_2019_VENDA_TRI[[#This Row],[Cobertura-ALBUREX]]&lt;Cob_Min_REP,0,IF(VIEW_IV_2019_VENDA_TRI[[#This Row],[Cobertura-ALBUREX]]&gt;Cob_Max_REP,Vlr_Max_REP,VLOOKUP(VIEW_IV_2019_VENDA_TRI[[#This Row],[Cobertura-ALBUREX]],Tabela_Valores_REP,2,1)))*O$1)*3</f>
        <v>2023.3742467262427</v>
      </c>
      <c r="P6" s="46">
        <f>IF(VIEW_IV_2019_VENDA_TRI[[#This Row],[Cobertura-RHOPYLAC]]&lt;Cob_Min_REP,0,IF(VIEW_IV_2019_VENDA_TRI[[#This Row],[Cobertura-RHOPYLAC]]&gt;Cob_Max_REP,Vlr_Max_REP,VLOOKUP(VIEW_IV_2019_VENDA_TRI[[#This Row],[Cobertura-RHOPYLAC]],Tabela_Valores_REP,2,1)))*P$1</f>
        <v>407.45368346649059</v>
      </c>
      <c r="Q6" s="46">
        <f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f>
        <v>392.63607137058602</v>
      </c>
      <c r="R6" s="46">
        <f>IF(VIEW_IV_2019_VENDA_TRI[[#This Row],[Cobertura-TOTAL]]&lt;Cob_Min_REP,0,IF(VIEW_IV_2019_VENDA_TRI[[#This Row],[Cobertura-TOTAL]]&gt;Cob_Max_REP,Vlr_Max_REP,VLOOKUP(VIEW_IV_2019_VENDA_TRI[[#This Row],[Cobertura-TOTAL]],Tabela_Valores_REP,2,1)))*R$1</f>
        <v>3149.344375864378</v>
      </c>
      <c r="S6" s="73">
        <f>SUMIFS(VIEW_IV_2019_VENDA[Premio-ALBUREX],VIEW_IV_2019_VENDA[Ano-Fiscal],VIEW_IV_2019_VENDA_TRI[[#This Row],[Ano-Fiscal]],VIEW_IV_2019_VENDA[Tri-Fiscal],VIEW_IV_2019_VENDA_TRI[[#This Row],[Tri-Fiscal]])</f>
        <v>1434.0206187134788</v>
      </c>
      <c r="T6" s="73">
        <f>SUMIFS(VIEW_IV_2019_VENDA[Premio-RHOPYLAC],VIEW_IV_2019_VENDA[Ano-Fiscal],VIEW_IV_2019_VENDA_TRI[[#This Row],[Ano-Fiscal]],VIEW_IV_2019_VENDA[Tri-Fiscal],VIEW_IV_2019_VENDA_TRI[[#This Row],[Tri-Fiscal]])</f>
        <v>1222.3610503994719</v>
      </c>
      <c r="U6" s="73">
        <f>SUMIFS(VIEW_IV_2019_VENDA[Premio-OUTROS],VIEW_IV_2019_VENDA[Ano-Fiscal],VIEW_IV_2019_VENDA_TRI[[#This Row],[Ano-Fiscal]],VIEW_IV_2019_VENDA[Tri-Fiscal],VIEW_IV_2019_VENDA_TRI[[#This Row],[Tri-Fiscal]])</f>
        <v>998.44181373337346</v>
      </c>
      <c r="V6" s="73">
        <f>SUMIFS(VIEW_IV_2019_VENDA[Premio-TOTAL-GR],VIEW_IV_2019_VENDA[Ano-Fiscal],VIEW_IV_2019_VENDA_TRI[[#This Row],[Ano-Fiscal]],VIEW_IV_2019_VENDA[Tri-Fiscal],VIEW_IV_2019_VENDA_TRI[[#This Row],[Tri-Fiscal]])</f>
        <v>12020.244240742424</v>
      </c>
      <c r="W6" s="73">
        <f>IF(VIEW_IV_2019_VENDA_TRI[[#This Row],[Premio-ALBUREX]]-VIEW_IV_2019_VENDA_TRI[[#This Row],[Recebido-ALBUREX]]&lt;=0,0,VIEW_IV_2019_VENDA_TRI[[#This Row],[Premio-ALBUREX]]-VIEW_IV_2019_VENDA_TRI[[#This Row],[Recebido-ALBUREX]])</f>
        <v>589.35362801276392</v>
      </c>
      <c r="X6" s="73">
        <f>IF(VIEW_IV_2019_VENDA_TRI[[#This Row],[Premio-RHOPYLAC]]-VIEW_IV_2019_VENDA_TRI[[#This Row],[Recebido-RHOPYLAC]]&lt;=0,0,VIEW_IV_2019_VENDA_TRI[[#This Row],[Premio-RHOPYLAC]]-VIEW_IV_2019_VENDA_TRI[[#This Row],[Recebido-RHOPYLAC]])</f>
        <v>0</v>
      </c>
      <c r="Y6" s="73">
        <f>IF(VIEW_IV_2019_VENDA_TRI[[#This Row],[Premio-OUTROS]]-VIEW_IV_2019_VENDA_TRI[[#This Row],[Recebido-OUTROS]]&lt;=0,0,VIEW_IV_2019_VENDA_TRI[[#This Row],[Premio-OUTROS]]-VIEW_IV_2019_VENDA_TRI[[#This Row],[Recebido-OUTROS]])</f>
        <v>0</v>
      </c>
      <c r="Z6" s="106">
        <f>SUM(VIEW_IV_2019_VENDA_TRI[[#This Row],[Recuperavel-ALBUREX]:[Recuperavel-OUTROS]])</f>
        <v>589.35362801276392</v>
      </c>
      <c r="AA6" s="106">
        <f>IF(VIEW_IV_2019_VENDA_TRI[[#This Row],[Premio-TOTAL-GR]]-VIEW_IV_2019_VENDA_TRI[[#This Row],[Recebido-TOTAL-GR]]&lt;=0,0,VIEW_IV_2019_VENDA_TRI[[#This Row],[Premio-TOTAL-GR]]-VIEW_IV_2019_VENDA_TRI[[#This Row],[Recebido-TOTAL-GR]])</f>
        <v>0</v>
      </c>
    </row>
    <row r="7" spans="1:27" x14ac:dyDescent="0.25">
      <c r="A7" s="7" t="s">
        <v>16</v>
      </c>
      <c r="B7" s="7" t="s">
        <v>24</v>
      </c>
      <c r="C7" s="72">
        <v>11904432</v>
      </c>
      <c r="D7" s="72">
        <v>5316225</v>
      </c>
      <c r="E7" s="72">
        <v>42591253</v>
      </c>
      <c r="F7" s="72">
        <v>59811910</v>
      </c>
      <c r="G7" s="72">
        <v>11287707</v>
      </c>
      <c r="H7" s="72">
        <v>7344689</v>
      </c>
      <c r="I7" s="72">
        <v>55077621</v>
      </c>
      <c r="J7" s="72">
        <v>73710017</v>
      </c>
      <c r="K7" s="71">
        <f>IFERROR(VIEW_IV_2019_VENDA_TRI[[#This Row],[Venda-ALBUREX]]/VIEW_IV_2019_VENDA_TRI[[#This Row],[Cota-ALBUREX]],0)</f>
        <v>0.94819366434282626</v>
      </c>
      <c r="L7" s="71">
        <f>IFERROR(VIEW_IV_2019_VENDA_TRI[[#This Row],[Venda-RHOPYLAC]]/VIEW_IV_2019_VENDA_TRI[[#This Row],[Cota-RHOPYLAC]],0)</f>
        <v>1.3815609760685448</v>
      </c>
      <c r="M7" s="71">
        <f>IFERROR(VIEW_IV_2019_VENDA_TRI[[#This Row],[Venda-OUTRO PRODUTOS]]/VIEW_IV_2019_VENDA_TRI[[#This Row],[Cota-OUTRO PRODUTOS]],0)</f>
        <v>1.2931674257153223</v>
      </c>
      <c r="N7" s="71">
        <f>IFERROR(VIEW_IV_2019_VENDA_TRI[[#This Row],[Venda-TOTAL]]/VIEW_IV_2019_VENDA_TRI[[#This Row],[Cota-TOTAL]],0)</f>
        <v>1.23236353762988</v>
      </c>
      <c r="O7" s="46">
        <f>(IF(VIEW_IV_2019_VENDA_TRI[[#This Row],[Cobertura-ALBUREX]]&lt;Cob_Min_REP,0,IF(VIEW_IV_2019_VENDA_TRI[[#This Row],[Cobertura-ALBUREX]]&gt;Cob_Max_REP,Vlr_Max_REP,VLOOKUP(VIEW_IV_2019_VENDA_TRI[[#This Row],[Cobertura-ALBUREX]],Tabela_Valores_REP,2,1)))*O$1)*3</f>
        <v>769.11389985311723</v>
      </c>
      <c r="P7" s="46">
        <f>IF(VIEW_IV_2019_VENDA_TRI[[#This Row],[Cobertura-RHOPYLAC]]&lt;Cob_Min_REP,0,IF(VIEW_IV_2019_VENDA_TRI[[#This Row],[Cobertura-RHOPYLAC]]&gt;Cob_Max_REP,Vlr_Max_REP,VLOOKUP(VIEW_IV_2019_VENDA_TRI[[#This Row],[Cobertura-RHOPYLAC]],Tabela_Valores_REP,2,1)))*P$1</f>
        <v>372.07768927957545</v>
      </c>
      <c r="Q7" s="46">
        <f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f>
        <v>347.4189889925122</v>
      </c>
      <c r="R7" s="46">
        <f>IF(VIEW_IV_2019_VENDA_TRI[[#This Row],[Cobertura-TOTAL]]&lt;Cob_Min_REP,0,IF(VIEW_IV_2019_VENDA_TRI[[#This Row],[Cobertura-TOTAL]]&gt;Cob_Max_REP,Vlr_Max_REP,VLOOKUP(VIEW_IV_2019_VENDA_TRI[[#This Row],[Cobertura-TOTAL]],Tabela_Valores_REP,2,1)))*R$1</f>
        <v>2655.0345479081448</v>
      </c>
      <c r="S7" s="73">
        <f>SUMIFS(VIEW_IV_2019_VENDA[Premio-ALBUREX],VIEW_IV_2019_VENDA[Ano-Fiscal],VIEW_IV_2019_VENDA_TRI[[#This Row],[Ano-Fiscal]],VIEW_IV_2019_VENDA[Tri-Fiscal],VIEW_IV_2019_VENDA_TRI[[#This Row],[Tri-Fiscal]])</f>
        <v>911.2250907626867</v>
      </c>
      <c r="T7" s="73">
        <f>SUMIFS(VIEW_IV_2019_VENDA[Premio-RHOPYLAC],VIEW_IV_2019_VENDA[Ano-Fiscal],VIEW_IV_2019_VENDA_TRI[[#This Row],[Ano-Fiscal]],VIEW_IV_2019_VENDA[Tri-Fiscal],VIEW_IV_2019_VENDA_TRI[[#This Row],[Tri-Fiscal]])</f>
        <v>1120.8023183492464</v>
      </c>
      <c r="U7" s="73">
        <f>SUMIFS(VIEW_IV_2019_VENDA[Premio-OUTROS],VIEW_IV_2019_VENDA[Ano-Fiscal],VIEW_IV_2019_VENDA_TRI[[#This Row],[Ano-Fiscal]],VIEW_IV_2019_VENDA[Tri-Fiscal],VIEW_IV_2019_VENDA_TRI[[#This Row],[Tri-Fiscal]])</f>
        <v>922.34172533018489</v>
      </c>
      <c r="V7" s="73">
        <f>SUMIFS(VIEW_IV_2019_VENDA[Premio-TOTAL-GR],VIEW_IV_2019_VENDA[Ano-Fiscal],VIEW_IV_2019_VENDA_TRI[[#This Row],[Ano-Fiscal]],VIEW_IV_2019_VENDA[Tri-Fiscal],VIEW_IV_2019_VENDA_TRI[[#This Row],[Tri-Fiscal]])</f>
        <v>10240.573090196212</v>
      </c>
      <c r="W7" s="73">
        <f>IF(VIEW_IV_2019_VENDA_TRI[[#This Row],[Premio-ALBUREX]]-VIEW_IV_2019_VENDA_TRI[[#This Row],[Recebido-ALBUREX]]&lt;=0,0,VIEW_IV_2019_VENDA_TRI[[#This Row],[Premio-ALBUREX]]-VIEW_IV_2019_VENDA_TRI[[#This Row],[Recebido-ALBUREX]])</f>
        <v>0</v>
      </c>
      <c r="X7" s="73">
        <f>IF(VIEW_IV_2019_VENDA_TRI[[#This Row],[Premio-RHOPYLAC]]-VIEW_IV_2019_VENDA_TRI[[#This Row],[Recebido-RHOPYLAC]]&lt;=0,0,VIEW_IV_2019_VENDA_TRI[[#This Row],[Premio-RHOPYLAC]]-VIEW_IV_2019_VENDA_TRI[[#This Row],[Recebido-RHOPYLAC]])</f>
        <v>0</v>
      </c>
      <c r="Y7" s="73">
        <f>IF(VIEW_IV_2019_VENDA_TRI[[#This Row],[Premio-OUTROS]]-VIEW_IV_2019_VENDA_TRI[[#This Row],[Recebido-OUTROS]]&lt;=0,0,VIEW_IV_2019_VENDA_TRI[[#This Row],[Premio-OUTROS]]-VIEW_IV_2019_VENDA_TRI[[#This Row],[Recebido-OUTROS]])</f>
        <v>0</v>
      </c>
      <c r="Z7" s="106">
        <f>SUM(VIEW_IV_2019_VENDA_TRI[[#This Row],[Recuperavel-ALBUREX]:[Recuperavel-OUTROS]])</f>
        <v>0</v>
      </c>
      <c r="AA7" s="106">
        <f>IF(VIEW_IV_2019_VENDA_TRI[[#This Row],[Premio-TOTAL-GR]]-VIEW_IV_2019_VENDA_TRI[[#This Row],[Recebido-TOTAL-GR]]&lt;=0,0,VIEW_IV_2019_VENDA_TRI[[#This Row],[Premio-TOTAL-GR]]-VIEW_IV_2019_VENDA_TRI[[#This Row],[Recebido-TOTAL-GR]])</f>
        <v>0</v>
      </c>
    </row>
    <row r="8" spans="1:27" x14ac:dyDescent="0.25">
      <c r="A8" s="7" t="s">
        <v>16</v>
      </c>
      <c r="B8" s="7" t="s">
        <v>373</v>
      </c>
      <c r="C8" s="72">
        <v>4364958</v>
      </c>
      <c r="D8" s="72">
        <v>2101764</v>
      </c>
      <c r="E8" s="72">
        <v>15267103</v>
      </c>
      <c r="F8" s="72">
        <v>21733824</v>
      </c>
      <c r="G8" s="72">
        <v>2061339</v>
      </c>
      <c r="H8" s="72">
        <v>2054897</v>
      </c>
      <c r="I8" s="72">
        <v>15326406</v>
      </c>
      <c r="J8" s="72">
        <v>19442642</v>
      </c>
      <c r="K8" s="71">
        <f>IFERROR(VIEW_IV_2019_VENDA_TRI[[#This Row],[Venda-ALBUREX]]/VIEW_IV_2019_VENDA_TRI[[#This Row],[Cota-ALBUREX]],0)</f>
        <v>0.47224715564273473</v>
      </c>
      <c r="L8" s="71">
        <f>IFERROR(VIEW_IV_2019_VENDA_TRI[[#This Row],[Venda-RHOPYLAC]]/VIEW_IV_2019_VENDA_TRI[[#This Row],[Cota-RHOPYLAC]],0)</f>
        <v>0.97770111201828558</v>
      </c>
      <c r="M8" s="71">
        <f>IFERROR(VIEW_IV_2019_VENDA_TRI[[#This Row],[Venda-OUTRO PRODUTOS]]/VIEW_IV_2019_VENDA_TRI[[#This Row],[Cota-OUTRO PRODUTOS]],0)</f>
        <v>1.0038843649643288</v>
      </c>
      <c r="N8" s="71">
        <f>IFERROR(VIEW_IV_2019_VENDA_TRI[[#This Row],[Venda-TOTAL]]/VIEW_IV_2019_VENDA_TRI[[#This Row],[Cota-TOTAL]],0)</f>
        <v>0.89457989537414129</v>
      </c>
      <c r="O8" s="46">
        <f>(IF(VIEW_IV_2019_VENDA_TRI[[#This Row],[Cobertura-ALBUREX]]&lt;Cob_Min_REP,0,IF(VIEW_IV_2019_VENDA_TRI[[#This Row],[Cobertura-ALBUREX]]&gt;Cob_Max_REP,Vlr_Max_REP,VLOOKUP(VIEW_IV_2019_VENDA_TRI[[#This Row],[Cobertura-ALBUREX]],Tabela_Valores_REP,2,1)))*O$1)*3</f>
        <v>0</v>
      </c>
      <c r="P8" s="46">
        <f>IF(VIEW_IV_2019_VENDA_TRI[[#This Row],[Cobertura-RHOPYLAC]]&lt;Cob_Min_REP,0,IF(VIEW_IV_2019_VENDA_TRI[[#This Row],[Cobertura-RHOPYLAC]]&gt;Cob_Max_REP,Vlr_Max_REP,VLOOKUP(VIEW_IV_2019_VENDA_TRI[[#This Row],[Cobertura-RHOPYLAC]],Tabela_Valores_REP,2,1)))*P$1</f>
        <v>132.10694095578333</v>
      </c>
      <c r="Q8" s="46">
        <f>IF(VIEW_IV_2019_VENDA_TRI[[#This Row],[Cobertura-OUTROS PRODUTOS]]&lt;Cob_Min_REP,0,IF(VIEW_IV_2019_VENDA_TRI[[#This Row],[Cobertura-OUTROS PRODUTOS]]&gt;Cob_Max_REP,Vlr_Max_REP,VLOOKUP(VIEW_IV_2019_VENDA_TRI[[#This Row],[Cobertura-OUTROS PRODUTOS]],Tabela_Valores_REP,2,1)))*Q$1</f>
        <v>180.77602142117223</v>
      </c>
      <c r="R8" s="46">
        <f>IF(VIEW_IV_2019_VENDA_TRI[[#This Row],[Cobertura-TOTAL]]&lt;Cob_Min_REP,0,IF(VIEW_IV_2019_VENDA_TRI[[#This Row],[Cobertura-TOTAL]]&gt;Cob_Max_REP,Vlr_Max_REP,VLOOKUP(VIEW_IV_2019_VENDA_TRI[[#This Row],[Cobertura-TOTAL]],Tabela_Valores_REP,2,1)))*R$1</f>
        <v>644.71432392750683</v>
      </c>
      <c r="S8" s="73">
        <f>SUMIFS(VIEW_IV_2019_VENDA[Premio-ALBUREX],VIEW_IV_2019_VENDA[Ano-Fiscal],VIEW_IV_2019_VENDA_TRI[[#This Row],[Ano-Fiscal]],VIEW_IV_2019_VENDA[Tri-Fiscal],VIEW_IV_2019_VENDA_TRI[[#This Row],[Tri-Fiscal]])</f>
        <v>0</v>
      </c>
      <c r="T8" s="73">
        <f>SUMIFS(VIEW_IV_2019_VENDA[Premio-RHOPYLAC],VIEW_IV_2019_VENDA[Ano-Fiscal],VIEW_IV_2019_VENDA_TRI[[#This Row],[Ano-Fiscal]],VIEW_IV_2019_VENDA[Tri-Fiscal],VIEW_IV_2019_VENDA_TRI[[#This Row],[Tri-Fiscal]])</f>
        <v>132.51259174684512</v>
      </c>
      <c r="U8" s="73">
        <f>SUMIFS(VIEW_IV_2019_VENDA[Premio-OUTROS],VIEW_IV_2019_VENDA[Ano-Fiscal],VIEW_IV_2019_VENDA_TRI[[#This Row],[Ano-Fiscal]],VIEW_IV_2019_VENDA[Tri-Fiscal],VIEW_IV_2019_VENDA_TRI[[#This Row],[Tri-Fiscal]])</f>
        <v>180.2892404718981</v>
      </c>
      <c r="V8" s="73">
        <f>SUMIFS(VIEW_IV_2019_VENDA[Premio-TOTAL-GR],VIEW_IV_2019_VENDA[Ano-Fiscal],VIEW_IV_2019_VENDA_TRI[[#This Row],[Ano-Fiscal]],VIEW_IV_2019_VENDA[Tri-Fiscal],VIEW_IV_2019_VENDA_TRI[[#This Row],[Tri-Fiscal]])</f>
        <v>962.74454411993599</v>
      </c>
      <c r="W8" s="73">
        <f>IF(VIEW_IV_2019_VENDA_TRI[[#This Row],[Premio-ALBUREX]]-VIEW_IV_2019_VENDA_TRI[[#This Row],[Recebido-ALBUREX]]&lt;=0,0,VIEW_IV_2019_VENDA_TRI[[#This Row],[Premio-ALBUREX]]-VIEW_IV_2019_VENDA_TRI[[#This Row],[Recebido-ALBUREX]])</f>
        <v>0</v>
      </c>
      <c r="X8" s="73">
        <f>IF(VIEW_IV_2019_VENDA_TRI[[#This Row],[Premio-RHOPYLAC]]-VIEW_IV_2019_VENDA_TRI[[#This Row],[Recebido-RHOPYLAC]]&lt;=0,0,VIEW_IV_2019_VENDA_TRI[[#This Row],[Premio-RHOPYLAC]]-VIEW_IV_2019_VENDA_TRI[[#This Row],[Recebido-RHOPYLAC]])</f>
        <v>0</v>
      </c>
      <c r="Y8" s="73">
        <f>IF(VIEW_IV_2019_VENDA_TRI[[#This Row],[Premio-OUTROS]]-VIEW_IV_2019_VENDA_TRI[[#This Row],[Recebido-OUTROS]]&lt;=0,0,VIEW_IV_2019_VENDA_TRI[[#This Row],[Premio-OUTROS]]-VIEW_IV_2019_VENDA_TRI[[#This Row],[Recebido-OUTROS]])</f>
        <v>0.4867809492741344</v>
      </c>
      <c r="Z8" s="106">
        <f>SUM(VIEW_IV_2019_VENDA_TRI[[#This Row],[Recuperavel-ALBUREX]:[Recuperavel-OUTROS]])</f>
        <v>0.4867809492741344</v>
      </c>
      <c r="AA8" s="106">
        <f>IF(VIEW_IV_2019_VENDA_TRI[[#This Row],[Premio-TOTAL-GR]]-VIEW_IV_2019_VENDA_TRI[[#This Row],[Recebido-TOTAL-GR]]&lt;=0,0,VIEW_IV_2019_VENDA_TRI[[#This Row],[Premio-TOTAL-GR]]-VIEW_IV_2019_VENDA_TRI[[#This Row],[Recebido-TOTAL-GR]])</f>
        <v>0</v>
      </c>
    </row>
  </sheetData>
  <phoneticPr fontId="5" type="noConversion"/>
  <conditionalFormatting sqref="S1:V1">
    <cfRule type="cellIs" dxfId="1708" priority="1" operator="equal">
      <formula>"Erro"</formula>
    </cfRule>
    <cfRule type="cellIs" dxfId="1707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C6012-582F-4CD6-B8FD-E102A9BAB752}">
  <sheetPr codeName="Planilha13">
    <tabColor theme="4" tint="-0.249977111117893"/>
  </sheetPr>
  <dimension ref="A1:X12"/>
  <sheetViews>
    <sheetView showGridLines="0" workbookViewId="0">
      <pane xSplit="3" ySplit="5" topLeftCell="D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defaultRowHeight="12.75" x14ac:dyDescent="0.25"/>
  <cols>
    <col min="1" max="1" width="13.28515625" style="3" bestFit="1" customWidth="1"/>
    <col min="2" max="2" width="13.42578125" style="3" bestFit="1" customWidth="1"/>
    <col min="3" max="3" width="12.140625" style="3" bestFit="1" customWidth="1"/>
    <col min="4" max="4" width="16.7109375" style="3" bestFit="1" customWidth="1"/>
    <col min="5" max="5" width="19.42578125" style="3" bestFit="1" customWidth="1"/>
    <col min="6" max="6" width="25.42578125" style="3" bestFit="1" customWidth="1"/>
    <col min="7" max="7" width="14.85546875" style="3" bestFit="1" customWidth="1"/>
    <col min="8" max="8" width="18.28515625" style="3" bestFit="1" customWidth="1"/>
    <col min="9" max="9" width="20.85546875" style="3" bestFit="1" customWidth="1"/>
    <col min="10" max="10" width="27" style="3" bestFit="1" customWidth="1"/>
    <col min="11" max="11" width="16.140625" style="3" bestFit="1" customWidth="1"/>
    <col min="12" max="12" width="21.28515625" style="3" bestFit="1" customWidth="1"/>
    <col min="13" max="13" width="22.85546875" style="3" bestFit="1" customWidth="1"/>
    <col min="14" max="14" width="30.140625" style="3" bestFit="1" customWidth="1"/>
    <col min="15" max="15" width="19.28515625" style="3" bestFit="1" customWidth="1"/>
    <col min="16" max="16" width="16.85546875" style="3" bestFit="1" customWidth="1"/>
    <col min="17" max="17" width="19.5703125" style="3" bestFit="1" customWidth="1"/>
    <col min="18" max="18" width="25.5703125" style="3" bestFit="1" customWidth="1"/>
    <col min="19" max="19" width="14.85546875" style="3" bestFit="1" customWidth="1"/>
    <col min="20" max="20" width="19" style="3" bestFit="1" customWidth="1"/>
    <col min="21" max="21" width="20.42578125" style="3" bestFit="1" customWidth="1"/>
    <col min="22" max="22" width="18.42578125" style="3" bestFit="1" customWidth="1"/>
    <col min="23" max="23" width="19.28515625" style="3" bestFit="1" customWidth="1"/>
    <col min="24" max="24" width="19.7109375" style="3" bestFit="1" customWidth="1"/>
    <col min="25" max="25" width="19" style="3" bestFit="1" customWidth="1"/>
    <col min="26" max="26" width="20.42578125" style="3" bestFit="1" customWidth="1"/>
    <col min="27" max="27" width="18.42578125" style="3" bestFit="1" customWidth="1"/>
    <col min="28" max="28" width="19.7109375" style="3" bestFit="1" customWidth="1"/>
    <col min="29" max="29" width="16.140625" style="3" bestFit="1" customWidth="1"/>
    <col min="30" max="30" width="12.42578125" style="3" bestFit="1" customWidth="1"/>
    <col min="31" max="31" width="19.28515625" style="3" bestFit="1" customWidth="1"/>
    <col min="32" max="32" width="19" style="3" bestFit="1" customWidth="1"/>
    <col min="33" max="33" width="20.42578125" style="3" bestFit="1" customWidth="1"/>
    <col min="34" max="34" width="18.42578125" style="3" bestFit="1" customWidth="1"/>
    <col min="35" max="35" width="19.7109375" style="3" bestFit="1" customWidth="1"/>
    <col min="36" max="16384" width="9.140625" style="3"/>
  </cols>
  <sheetData>
    <row r="1" spans="1:24" ht="24.75" customHeight="1" x14ac:dyDescent="0.25">
      <c r="A1" s="49" t="s">
        <v>328</v>
      </c>
    </row>
    <row r="2" spans="1:24" ht="15" x14ac:dyDescent="0.25">
      <c r="C2" s="82" t="s">
        <v>266</v>
      </c>
      <c r="D2" s="67">
        <f>SUM(VIEW_IV_2019_VENDA[Cota-ALBUREX])</f>
        <v>26824653</v>
      </c>
      <c r="E2" s="67">
        <f>SUM(VIEW_IV_2019_VENDA[Cota-RHOPHYLAC])</f>
        <v>11621517</v>
      </c>
      <c r="F2" s="67">
        <f>SUM(VIEW_IV_2019_VENDA[Cota-OUTROS PRODUTOS])</f>
        <v>96701062</v>
      </c>
      <c r="G2" s="67">
        <f>SUM(VIEW_IV_2019_VENDA[Cota-TOTAL])</f>
        <v>135147230</v>
      </c>
      <c r="H2" s="67">
        <f>SUM(VIEW_IV_2019_VENDA[Venda-ALBUREX])</f>
        <v>26576171</v>
      </c>
      <c r="I2" s="67">
        <f>SUM(VIEW_IV_2019_VENDA[Venda-RHOPHYLAC])</f>
        <v>17833988</v>
      </c>
      <c r="J2" s="67">
        <f>SUM(VIEW_IV_2019_VENDA[Venda-OUTROS PRODUTOS])</f>
        <v>126817089</v>
      </c>
      <c r="K2" s="67">
        <f>SUM(VIEW_IV_2019_VENDA[Venda-TOTAL])</f>
        <v>171227249</v>
      </c>
      <c r="L2" s="69">
        <f>IFERROR(H2/D2,0)</f>
        <v>0.99073680468485459</v>
      </c>
      <c r="M2" s="69">
        <f t="shared" ref="M2:O3" si="0">IFERROR(I2/E2,0)</f>
        <v>1.5345662704791465</v>
      </c>
      <c r="N2" s="69">
        <f t="shared" si="0"/>
        <v>1.3114342942790018</v>
      </c>
      <c r="O2" s="69">
        <f t="shared" si="0"/>
        <v>1.2669682464080101</v>
      </c>
      <c r="P2"/>
      <c r="Q2"/>
      <c r="R2"/>
      <c r="S2"/>
      <c r="T2" s="67">
        <f>SUM(VIEW_IV_2019_VENDA[Premio-ALBUREX])</f>
        <v>2345.2457094761658</v>
      </c>
      <c r="U2" s="67">
        <f>SUM(VIEW_IV_2019_VENDA[Premio-RHOPYLAC])</f>
        <v>2475.6759604955628</v>
      </c>
      <c r="V2" s="67">
        <f>SUM(VIEW_IV_2019_VENDA[Premio-OUTROS])</f>
        <v>2101.0727795354564</v>
      </c>
      <c r="W2" s="67">
        <f>SUM(VIEW_IV_2019_VENDA[Premio-Total-REP])</f>
        <v>6921.9944495071868</v>
      </c>
      <c r="X2" s="67">
        <f>SUM(VIEW_IV_2019_VENDA[Premio-TOTAL-GR])</f>
        <v>23223.561875058571</v>
      </c>
    </row>
    <row r="3" spans="1:24" ht="15" x14ac:dyDescent="0.25">
      <c r="C3" s="82" t="s">
        <v>384</v>
      </c>
      <c r="D3" s="68">
        <f>SUBTOTAL(9,VIEW_IV_2019_VENDA[Cota-ALBUREX])</f>
        <v>26824653</v>
      </c>
      <c r="E3" s="68">
        <f>SUBTOTAL(9,VIEW_IV_2019_VENDA[Cota-RHOPHYLAC])</f>
        <v>11621517</v>
      </c>
      <c r="F3" s="68">
        <f>SUBTOTAL(9,VIEW_IV_2019_VENDA[Cota-OUTROS PRODUTOS])</f>
        <v>96701062</v>
      </c>
      <c r="G3" s="68">
        <f>SUBTOTAL(9,VIEW_IV_2019_VENDA[Cota-TOTAL])</f>
        <v>135147230</v>
      </c>
      <c r="H3" s="68">
        <f>SUBTOTAL(9,VIEW_IV_2019_VENDA[Venda-ALBUREX])</f>
        <v>26576171</v>
      </c>
      <c r="I3" s="68">
        <f>SUBTOTAL(9,VIEW_IV_2019_VENDA[Venda-RHOPHYLAC])</f>
        <v>17833988</v>
      </c>
      <c r="J3" s="68">
        <f>SUBTOTAL(9,VIEW_IV_2019_VENDA[Venda-OUTROS PRODUTOS])</f>
        <v>126817089</v>
      </c>
      <c r="K3" s="68">
        <f>SUBTOTAL(9,VIEW_IV_2019_VENDA[Venda-TOTAL])</f>
        <v>171227249</v>
      </c>
      <c r="L3" s="70">
        <f>IFERROR(H3/D3,0)</f>
        <v>0.99073680468485459</v>
      </c>
      <c r="M3" s="70">
        <f t="shared" si="0"/>
        <v>1.5345662704791465</v>
      </c>
      <c r="N3" s="70">
        <f t="shared" si="0"/>
        <v>1.3114342942790018</v>
      </c>
      <c r="O3" s="70">
        <f t="shared" si="0"/>
        <v>1.2669682464080101</v>
      </c>
      <c r="P3"/>
      <c r="Q3"/>
      <c r="R3"/>
      <c r="S3"/>
      <c r="T3" s="68">
        <f>SUBTOTAL(9,VIEW_IV_2019_VENDA[Premio-ALBUREX])</f>
        <v>2345.2457094761658</v>
      </c>
      <c r="U3" s="68">
        <f>SUBTOTAL(9,VIEW_IV_2019_VENDA[Premio-RHOPYLAC])</f>
        <v>2475.6759604955628</v>
      </c>
      <c r="V3" s="68">
        <f>SUBTOTAL(9,VIEW_IV_2019_VENDA[Premio-OUTROS])</f>
        <v>2101.0727795354564</v>
      </c>
      <c r="W3" s="68">
        <f>SUBTOTAL(9,VIEW_IV_2019_VENDA[Premio-Total-REP])</f>
        <v>6921.9944495071868</v>
      </c>
      <c r="X3" s="68">
        <f>SUBTOTAL(9,VIEW_IV_2019_VENDA[Premio-TOTAL-GR])</f>
        <v>23223.561875058571</v>
      </c>
    </row>
    <row r="5" spans="1:24" x14ac:dyDescent="0.25">
      <c r="A5" s="6" t="s">
        <v>2</v>
      </c>
      <c r="B5" s="6" t="s">
        <v>3</v>
      </c>
      <c r="C5" s="6" t="s">
        <v>4</v>
      </c>
      <c r="D5" s="6" t="s">
        <v>253</v>
      </c>
      <c r="E5" s="6" t="s">
        <v>256</v>
      </c>
      <c r="F5" s="6" t="s">
        <v>259</v>
      </c>
      <c r="G5" s="6" t="s">
        <v>261</v>
      </c>
      <c r="H5" s="6" t="s">
        <v>254</v>
      </c>
      <c r="I5" s="6" t="s">
        <v>257</v>
      </c>
      <c r="J5" s="6" t="s">
        <v>325</v>
      </c>
      <c r="K5" s="6" t="s">
        <v>262</v>
      </c>
      <c r="L5" s="6" t="s">
        <v>255</v>
      </c>
      <c r="M5" s="6" t="s">
        <v>258</v>
      </c>
      <c r="N5" s="6" t="s">
        <v>260</v>
      </c>
      <c r="O5" s="6" t="s">
        <v>263</v>
      </c>
      <c r="P5" s="6" t="s">
        <v>327</v>
      </c>
      <c r="Q5" s="6" t="s">
        <v>326</v>
      </c>
      <c r="R5" s="6" t="s">
        <v>324</v>
      </c>
      <c r="S5" s="6" t="s">
        <v>323</v>
      </c>
      <c r="T5" s="36" t="s">
        <v>319</v>
      </c>
      <c r="U5" s="36" t="s">
        <v>320</v>
      </c>
      <c r="V5" s="36" t="s">
        <v>321</v>
      </c>
      <c r="W5" s="36" t="s">
        <v>391</v>
      </c>
      <c r="X5" s="36" t="s">
        <v>322</v>
      </c>
    </row>
    <row r="6" spans="1:24" x14ac:dyDescent="0.25">
      <c r="A6" s="7" t="s">
        <v>16</v>
      </c>
      <c r="B6" s="7" t="s">
        <v>17</v>
      </c>
      <c r="C6" s="7" t="s">
        <v>18</v>
      </c>
      <c r="D6" s="45">
        <v>3174515</v>
      </c>
      <c r="E6" s="45">
        <v>1236332</v>
      </c>
      <c r="F6" s="45">
        <v>11394795</v>
      </c>
      <c r="G6" s="45">
        <v>15805642</v>
      </c>
      <c r="H6" s="45">
        <v>6059605</v>
      </c>
      <c r="I6" s="45">
        <v>3417517</v>
      </c>
      <c r="J6" s="61">
        <v>20302844</v>
      </c>
      <c r="K6" s="45">
        <v>29779966</v>
      </c>
      <c r="L6" s="12">
        <v>1.91</v>
      </c>
      <c r="M6" s="12">
        <v>2.76</v>
      </c>
      <c r="N6" s="12">
        <v>1.78</v>
      </c>
      <c r="O6" s="12">
        <v>1.88</v>
      </c>
      <c r="P6" s="12">
        <v>0.1</v>
      </c>
      <c r="Q6" s="12">
        <v>0.05</v>
      </c>
      <c r="R6" s="12">
        <v>0.05</v>
      </c>
      <c r="S6" s="12">
        <v>0.4</v>
      </c>
      <c r="T6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814.90736693298118</v>
      </c>
      <c r="U6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6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407.45368346649059</v>
      </c>
      <c r="W6" s="105">
        <f>SUM(VIEW_IV_2019_VENDA[[#This Row],[Premio-ALBUREX]:[Premio-OUTROS]])</f>
        <v>1629.8147338659624</v>
      </c>
      <c r="X6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4889.444201597893</v>
      </c>
    </row>
    <row r="7" spans="1:24" x14ac:dyDescent="0.25">
      <c r="A7" s="7" t="s">
        <v>16</v>
      </c>
      <c r="B7" s="7" t="s">
        <v>21</v>
      </c>
      <c r="C7" s="7" t="s">
        <v>18</v>
      </c>
      <c r="D7" s="45">
        <v>3571330</v>
      </c>
      <c r="E7" s="45">
        <v>1483598</v>
      </c>
      <c r="F7" s="45">
        <v>12035950</v>
      </c>
      <c r="G7" s="45">
        <v>17090877</v>
      </c>
      <c r="H7" s="45">
        <v>3669574</v>
      </c>
      <c r="I7" s="45">
        <v>2696447</v>
      </c>
      <c r="J7" s="61">
        <v>20405836</v>
      </c>
      <c r="K7" s="45">
        <v>26771857</v>
      </c>
      <c r="L7" s="12">
        <v>1.03</v>
      </c>
      <c r="M7" s="12">
        <v>1.82</v>
      </c>
      <c r="N7" s="12">
        <v>1.7</v>
      </c>
      <c r="O7" s="12">
        <v>1.57</v>
      </c>
      <c r="P7" s="12">
        <v>0.1</v>
      </c>
      <c r="Q7" s="12">
        <v>0.05</v>
      </c>
      <c r="R7" s="12">
        <v>0.05</v>
      </c>
      <c r="S7" s="12">
        <v>0.4</v>
      </c>
      <c r="T7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370.31409992927854</v>
      </c>
      <c r="U7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7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407.45368346649059</v>
      </c>
      <c r="W7" s="105">
        <f>SUM(VIEW_IV_2019_VENDA[[#This Row],[Premio-ALBUREX]:[Premio-OUTROS]])</f>
        <v>1185.2214668622596</v>
      </c>
      <c r="X7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4889.444201597893</v>
      </c>
    </row>
    <row r="8" spans="1:24" x14ac:dyDescent="0.25">
      <c r="A8" s="7" t="s">
        <v>16</v>
      </c>
      <c r="B8" s="7" t="s">
        <v>22</v>
      </c>
      <c r="C8" s="7" t="s">
        <v>18</v>
      </c>
      <c r="D8" s="45">
        <v>3809418</v>
      </c>
      <c r="E8" s="45">
        <v>1483598</v>
      </c>
      <c r="F8" s="45">
        <v>15411961</v>
      </c>
      <c r="G8" s="45">
        <v>20704977</v>
      </c>
      <c r="H8" s="45">
        <v>3497946</v>
      </c>
      <c r="I8" s="45">
        <v>2320438</v>
      </c>
      <c r="J8" s="61">
        <v>15704382</v>
      </c>
      <c r="K8" s="45">
        <v>21522767</v>
      </c>
      <c r="L8" s="12">
        <v>0.92</v>
      </c>
      <c r="M8" s="12">
        <v>1.56</v>
      </c>
      <c r="N8" s="12">
        <v>1.02</v>
      </c>
      <c r="O8" s="12">
        <v>1.04</v>
      </c>
      <c r="P8" s="12">
        <v>0.1</v>
      </c>
      <c r="Q8" s="12">
        <v>0.05</v>
      </c>
      <c r="R8" s="12">
        <v>0.05</v>
      </c>
      <c r="S8" s="12">
        <v>0.4</v>
      </c>
      <c r="T8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248.79915185121919</v>
      </c>
      <c r="U8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407.45368346649059</v>
      </c>
      <c r="V8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183.53444680039229</v>
      </c>
      <c r="W8" s="105">
        <f>SUM(VIEW_IV_2019_VENDA[[#This Row],[Premio-ALBUREX]:[Premio-OUTROS]])</f>
        <v>839.7872821181021</v>
      </c>
      <c r="X8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2241.3558375466391</v>
      </c>
    </row>
    <row r="9" spans="1:24" x14ac:dyDescent="0.25">
      <c r="A9" s="7" t="s">
        <v>16</v>
      </c>
      <c r="B9" s="7" t="s">
        <v>23</v>
      </c>
      <c r="C9" s="7" t="s">
        <v>24</v>
      </c>
      <c r="D9" s="45">
        <v>3968144</v>
      </c>
      <c r="E9" s="45">
        <v>1854497</v>
      </c>
      <c r="F9" s="45">
        <v>15177079</v>
      </c>
      <c r="G9" s="45">
        <v>20999720</v>
      </c>
      <c r="H9" s="45">
        <v>2945836</v>
      </c>
      <c r="I9" s="45">
        <v>2257601</v>
      </c>
      <c r="J9" s="61">
        <v>17173018</v>
      </c>
      <c r="K9" s="45">
        <v>22376454</v>
      </c>
      <c r="L9" s="12">
        <v>0.74</v>
      </c>
      <c r="M9" s="12">
        <v>1.22</v>
      </c>
      <c r="N9" s="12">
        <v>1.1299999999999999</v>
      </c>
      <c r="O9" s="12">
        <v>1.07</v>
      </c>
      <c r="P9" s="12">
        <v>0.1</v>
      </c>
      <c r="Q9" s="12">
        <v>0.05</v>
      </c>
      <c r="R9" s="12">
        <v>0.05</v>
      </c>
      <c r="S9" s="12">
        <v>0.4</v>
      </c>
      <c r="T9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0</v>
      </c>
      <c r="U9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328.82233412707649</v>
      </c>
      <c r="V9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256.38932887508651</v>
      </c>
      <c r="W9" s="105">
        <f>SUM(VIEW_IV_2019_VENDA[[#This Row],[Premio-ALBUREX]:[Premio-OUTROS]])</f>
        <v>585.21166300216305</v>
      </c>
      <c r="X9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2299.7695514595339</v>
      </c>
    </row>
    <row r="10" spans="1:24" x14ac:dyDescent="0.25">
      <c r="A10" s="7" t="s">
        <v>16</v>
      </c>
      <c r="B10" s="7" t="s">
        <v>229</v>
      </c>
      <c r="C10" s="7" t="s">
        <v>24</v>
      </c>
      <c r="D10" s="45">
        <v>4364958</v>
      </c>
      <c r="E10" s="45">
        <v>1854497</v>
      </c>
      <c r="F10" s="45">
        <v>15517061</v>
      </c>
      <c r="G10" s="45">
        <v>21736517</v>
      </c>
      <c r="H10" s="45">
        <v>3927690</v>
      </c>
      <c r="I10" s="45">
        <v>2750079</v>
      </c>
      <c r="J10" s="61">
        <v>17719654</v>
      </c>
      <c r="K10" s="45">
        <v>24397424</v>
      </c>
      <c r="L10" s="12">
        <v>0.9</v>
      </c>
      <c r="M10" s="12">
        <v>1.48</v>
      </c>
      <c r="N10" s="12">
        <v>1.1399999999999999</v>
      </c>
      <c r="O10" s="12">
        <v>1.1200000000000001</v>
      </c>
      <c r="P10" s="12">
        <v>0.1</v>
      </c>
      <c r="Q10" s="12">
        <v>0.05</v>
      </c>
      <c r="R10" s="12">
        <v>0.05</v>
      </c>
      <c r="S10" s="12">
        <v>0.4</v>
      </c>
      <c r="T10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243.39047463706217</v>
      </c>
      <c r="U10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399.85990065781436</v>
      </c>
      <c r="V10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258.49871298860779</v>
      </c>
      <c r="W10" s="105">
        <f>SUM(VIEW_IV_2019_VENDA[[#This Row],[Premio-ALBUREX]:[Premio-OUTROS]])</f>
        <v>901.7490882834843</v>
      </c>
      <c r="X10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3051.3593371387851</v>
      </c>
    </row>
    <row r="11" spans="1:24" x14ac:dyDescent="0.25">
      <c r="A11" s="7" t="s">
        <v>16</v>
      </c>
      <c r="B11" s="7" t="s">
        <v>230</v>
      </c>
      <c r="C11" s="7" t="s">
        <v>24</v>
      </c>
      <c r="D11" s="45">
        <v>3571330</v>
      </c>
      <c r="E11" s="45">
        <v>1607231</v>
      </c>
      <c r="F11" s="45">
        <v>11897113</v>
      </c>
      <c r="G11" s="45">
        <v>17075673</v>
      </c>
      <c r="H11" s="45">
        <v>4414181</v>
      </c>
      <c r="I11" s="45">
        <v>2337009</v>
      </c>
      <c r="J11" s="61">
        <v>20184949</v>
      </c>
      <c r="K11" s="45">
        <v>26936139</v>
      </c>
      <c r="L11" s="12">
        <v>1.24</v>
      </c>
      <c r="M11" s="12">
        <v>1.45</v>
      </c>
      <c r="N11" s="12">
        <v>1.7</v>
      </c>
      <c r="O11" s="12">
        <v>1.58</v>
      </c>
      <c r="P11" s="12">
        <v>0.1</v>
      </c>
      <c r="Q11" s="12">
        <v>0.05</v>
      </c>
      <c r="R11" s="12">
        <v>0.05</v>
      </c>
      <c r="S11" s="12">
        <v>0.4</v>
      </c>
      <c r="T11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667.83461612562451</v>
      </c>
      <c r="U11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392.12008356435553</v>
      </c>
      <c r="V11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407.45368346649059</v>
      </c>
      <c r="W11" s="105">
        <f>SUM(VIEW_IV_2019_VENDA[[#This Row],[Premio-ALBUREX]:[Premio-OUTROS]])</f>
        <v>1467.4083831564708</v>
      </c>
      <c r="X11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4889.444201597893</v>
      </c>
    </row>
    <row r="12" spans="1:24" x14ac:dyDescent="0.25">
      <c r="A12" s="7" t="s">
        <v>16</v>
      </c>
      <c r="B12" s="7" t="s">
        <v>372</v>
      </c>
      <c r="C12" s="7" t="s">
        <v>373</v>
      </c>
      <c r="D12" s="45">
        <v>4364958</v>
      </c>
      <c r="E12" s="45">
        <v>2101764</v>
      </c>
      <c r="F12" s="45">
        <v>15267103</v>
      </c>
      <c r="G12" s="45">
        <v>21733824</v>
      </c>
      <c r="H12" s="45">
        <v>2061339</v>
      </c>
      <c r="I12" s="45">
        <v>2054897</v>
      </c>
      <c r="J12" s="61">
        <v>15326406</v>
      </c>
      <c r="K12" s="45">
        <v>19442642</v>
      </c>
      <c r="L12" s="12">
        <v>0.47</v>
      </c>
      <c r="M12" s="12">
        <v>0.98</v>
      </c>
      <c r="N12" s="12">
        <v>1</v>
      </c>
      <c r="O12" s="12">
        <v>0.89</v>
      </c>
      <c r="P12" s="12">
        <v>0.1</v>
      </c>
      <c r="Q12" s="12">
        <v>0.05</v>
      </c>
      <c r="R12" s="12">
        <v>0.05</v>
      </c>
      <c r="S12" s="12">
        <v>0.4</v>
      </c>
      <c r="T12" s="46">
        <f>IF(VIEW_IV_2019_VENDA[[#This Row],[Cobertura-ALBUREX]]&lt;Cob_Min_REP,0,IF(VIEW_IV_2019_VENDA[[#This Row],[Cobertura-ALBUREX]]&gt;Cob_Max_REP,Vlr_Max_REP,VLOOKUP(VIEW_IV_2019_VENDA[[#This Row],[Cobertura-ALBUREX]],Tabela_Valores_REP,2,1)))*VIEW_IV_2019_VENDA[[#This Row],[Peso-ALBUREX]]</f>
        <v>0</v>
      </c>
      <c r="U12" s="46">
        <f>IF(VIEW_IV_2019_VENDA[[#This Row],[Cobertura-RHOPYLAC]]&lt;Cob_Min_REP,0,IF(VIEW_IV_2019_VENDA[[#This Row],[Cobertura-RHOPYLAC]]&gt;Cob_Max_REP,Vlr_Max_REP,VLOOKUP(VIEW_IV_2019_VENDA[[#This Row],[Cobertura-RHOPYLAC]],Tabela_Valores_REP,2,1)))*VIEW_IV_2019_VENDA[[#This Row],[Peso-RHOPHYLAC]]</f>
        <v>132.51259174684512</v>
      </c>
      <c r="V12" s="45">
        <f>IF(VIEW_IV_2019_VENDA[[#This Row],[Cobertura-OUTROS PRODUTOS]]&lt;Cob_Min_REP,0,IF(VIEW_IV_2019_VENDA[[#This Row],[Cobertura-OUTROS PRODUTOS]]&gt;Cob_Max_REP,Vlr_Max_REP,VLOOKUP(VIEW_IV_2019_VENDA[[#This Row],[Cobertura-OUTROS PRODUTOS]],Tabela_Valores_REP,2,1)))*VIEW_IV_2019_VENDA[[#This Row],[Peso-OUTROS PRODUTOS]]</f>
        <v>180.2892404718981</v>
      </c>
      <c r="W12" s="105">
        <f>SUM(VIEW_IV_2019_VENDA[[#This Row],[Premio-ALBUREX]:[Premio-OUTROS]])</f>
        <v>312.80183221874324</v>
      </c>
      <c r="X12" s="105">
        <f>IF(VIEW_IV_2019_VENDA[[#This Row],[Cobertura-TOTAL]]&lt;Cob_Min_GR,0,IF(VIEW_IV_2019_VENDA[[#This Row],[Cobertura-TOTAL]]&gt;Cob_Max_GR,Vlr_Max_GR,VLOOKUP(VIEW_IV_2019_VENDA[[#This Row],[Cobertura-TOTAL]],Tabela_Valores_GR,2,1)))*VIEW_IV_2019_VENDA[[#This Row],[Peso-TOTAL]]</f>
        <v>962.74454411993599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6221-3B85-4B15-A87D-71F346E05581}">
  <sheetPr codeName="Planilha3">
    <tabColor theme="9" tint="0.39997558519241921"/>
  </sheetPr>
  <dimension ref="A1:BB245"/>
  <sheetViews>
    <sheetView showGridLines="0" workbookViewId="0">
      <pane xSplit="5" ySplit="5" topLeftCell="AC6" activePane="bottomRight" state="frozen"/>
      <selection activeCell="C15" sqref="C15"/>
      <selection pane="topRight" activeCell="C15" sqref="C15"/>
      <selection pane="bottomLeft" activeCell="C15" sqref="C15"/>
      <selection pane="bottomRight" activeCell="A86" sqref="A86:AN105"/>
    </sheetView>
  </sheetViews>
  <sheetFormatPr defaultRowHeight="12.75" x14ac:dyDescent="0.25"/>
  <cols>
    <col min="1" max="1" width="13.28515625" style="6" bestFit="1" customWidth="1"/>
    <col min="2" max="2" width="13.42578125" style="6" bestFit="1" customWidth="1"/>
    <col min="3" max="3" width="12.140625" style="6" bestFit="1" customWidth="1"/>
    <col min="4" max="4" width="32.42578125" style="6" bestFit="1" customWidth="1"/>
    <col min="5" max="5" width="46.85546875" style="6" bestFit="1" customWidth="1"/>
    <col min="6" max="6" width="16.42578125" style="6" bestFit="1" customWidth="1"/>
    <col min="7" max="7" width="24.85546875" style="6" bestFit="1" customWidth="1"/>
    <col min="8" max="8" width="12" style="6" bestFit="1" customWidth="1"/>
    <col min="9" max="9" width="9.5703125" style="6" bestFit="1" customWidth="1"/>
    <col min="10" max="10" width="17" style="6" bestFit="1" customWidth="1"/>
    <col min="11" max="11" width="16.7109375" style="3" bestFit="1" customWidth="1"/>
    <col min="12" max="12" width="15.7109375" style="3" bestFit="1" customWidth="1"/>
    <col min="13" max="13" width="17.28515625" style="3" bestFit="1" customWidth="1"/>
    <col min="14" max="14" width="17" style="3" bestFit="1" customWidth="1"/>
    <col min="15" max="15" width="21" style="3" bestFit="1" customWidth="1"/>
    <col min="16" max="16" width="20.7109375" style="3" bestFit="1" customWidth="1"/>
    <col min="17" max="17" width="19.7109375" style="3" bestFit="1" customWidth="1"/>
    <col min="18" max="18" width="21.28515625" style="3" bestFit="1" customWidth="1"/>
    <col min="19" max="19" width="21" style="3" bestFit="1" customWidth="1"/>
    <col min="20" max="20" width="21.28515625" style="3" bestFit="1" customWidth="1"/>
    <col min="21" max="21" width="21" style="3" bestFit="1" customWidth="1"/>
    <col min="22" max="22" width="20" style="3" bestFit="1" customWidth="1"/>
    <col min="23" max="23" width="21.5703125" style="3" bestFit="1" customWidth="1"/>
    <col min="24" max="24" width="21.28515625" style="3" bestFit="1" customWidth="1"/>
    <col min="25" max="25" width="21.5703125" style="5" bestFit="1" customWidth="1"/>
    <col min="26" max="26" width="21.28515625" style="3" bestFit="1" customWidth="1"/>
    <col min="27" max="27" width="20.28515625" style="3" bestFit="1" customWidth="1"/>
    <col min="28" max="28" width="22" style="3" bestFit="1" customWidth="1"/>
    <col min="29" max="29" width="21.5703125" style="3" bestFit="1" customWidth="1"/>
    <col min="30" max="30" width="17.140625" style="3" bestFit="1" customWidth="1"/>
    <col min="31" max="31" width="16.85546875" style="3" bestFit="1" customWidth="1"/>
    <col min="32" max="32" width="15.85546875" style="3" bestFit="1" customWidth="1"/>
    <col min="33" max="33" width="17.42578125" style="3" bestFit="1" customWidth="1"/>
    <col min="34" max="34" width="17.140625" style="3" bestFit="1" customWidth="1"/>
    <col min="35" max="35" width="19.28515625" style="3" bestFit="1" customWidth="1"/>
    <col min="36" max="36" width="19" style="3" bestFit="1" customWidth="1"/>
    <col min="37" max="37" width="18" style="3" bestFit="1" customWidth="1"/>
    <col min="38" max="38" width="19.5703125" style="3" bestFit="1" customWidth="1"/>
    <col min="39" max="39" width="19.28515625" style="3" bestFit="1" customWidth="1"/>
    <col min="40" max="40" width="15.7109375" style="3" bestFit="1" customWidth="1"/>
    <col min="41" max="41" width="19" style="3" bestFit="1" customWidth="1"/>
    <col min="42" max="42" width="19.28515625" style="3" bestFit="1" customWidth="1"/>
    <col min="43" max="43" width="19.7109375" style="3" bestFit="1" customWidth="1"/>
    <col min="44" max="44" width="12.7109375" style="3" bestFit="1" customWidth="1"/>
    <col min="45" max="45" width="14.7109375" style="3" bestFit="1" customWidth="1"/>
    <col min="46" max="46" width="18.7109375" style="3" bestFit="1" customWidth="1"/>
    <col min="47" max="47" width="19" style="3" bestFit="1" customWidth="1"/>
    <col min="48" max="48" width="19.28515625" style="3" bestFit="1" customWidth="1"/>
    <col min="49" max="49" width="12.42578125" style="3" bestFit="1" customWidth="1"/>
    <col min="50" max="51" width="17.28515625" style="6" bestFit="1" customWidth="1"/>
    <col min="52" max="52" width="16.28515625" style="6" bestFit="1" customWidth="1"/>
    <col min="53" max="53" width="18" style="6" bestFit="1" customWidth="1"/>
    <col min="54" max="54" width="17.7109375" style="6" bestFit="1" customWidth="1"/>
    <col min="55" max="56" width="17.7109375" style="3" bestFit="1" customWidth="1"/>
    <col min="57" max="16384" width="9.140625" style="3"/>
  </cols>
  <sheetData>
    <row r="1" spans="1:54" ht="15.75" x14ac:dyDescent="0.25">
      <c r="A1" s="49" t="s">
        <v>318</v>
      </c>
    </row>
    <row r="2" spans="1:54" ht="15" x14ac:dyDescent="0.25">
      <c r="A2" s="63" t="s">
        <v>317</v>
      </c>
      <c r="I2" s="83" t="s">
        <v>266</v>
      </c>
      <c r="J2" s="50">
        <f>SUM(VIEW_IV_2019_REP_CALCULO[Cota-BERINERT])</f>
        <v>2900</v>
      </c>
      <c r="K2" s="50">
        <f>SUM(VIEW_IV_2019_REP_CALCULO[Cota-BERIPLEX])</f>
        <v>23700</v>
      </c>
      <c r="L2" s="50">
        <f>SUM(VIEW_IV_2019_REP_CALCULO[Cota-HAEMO])</f>
        <v>17000</v>
      </c>
      <c r="M2" s="50">
        <f>SUM(VIEW_IV_2019_REP_CALCULO[Cota-HIZENTRA])</f>
        <v>74640</v>
      </c>
      <c r="N2" s="50">
        <f>SUM(VIEW_IV_2019_REP_CALCULO[Cota-PRIVIGEN])</f>
        <v>1285260</v>
      </c>
      <c r="O2" s="50">
        <f>SUM(VIEW_IV_2019_REP_CALCULO[Demanda-BERINERT])</f>
        <v>1290</v>
      </c>
      <c r="P2" s="50">
        <f>SUM(VIEW_IV_2019_REP_CALCULO[Demanda-BERIPLEX])</f>
        <v>12345</v>
      </c>
      <c r="Q2" s="50">
        <f>SUM(VIEW_IV_2019_REP_CALCULO[Demanda-HAEMO])</f>
        <v>9958</v>
      </c>
      <c r="R2" s="50">
        <f>SUM(VIEW_IV_2019_REP_CALCULO[Demanda-HIZENTRA])</f>
        <v>30749</v>
      </c>
      <c r="S2" s="50">
        <f>SUM(VIEW_IV_2019_REP_CALCULO[Demanda-PRIVIGEN])</f>
        <v>877814</v>
      </c>
      <c r="X2"/>
      <c r="Y2" s="53">
        <f>IFERROR(O2/J2,0)</f>
        <v>0.44482758620689655</v>
      </c>
      <c r="Z2" s="53">
        <f t="shared" ref="Z2:AC3" si="0">IFERROR(P2/K2,0)</f>
        <v>0.52088607594936709</v>
      </c>
      <c r="AA2" s="53">
        <f t="shared" si="0"/>
        <v>0.58576470588235297</v>
      </c>
      <c r="AB2" s="53">
        <f t="shared" si="0"/>
        <v>0.41196409431939979</v>
      </c>
      <c r="AC2" s="53">
        <f t="shared" si="0"/>
        <v>0.68298554378102483</v>
      </c>
      <c r="AI2" s="59">
        <f>SUM(VIEW_IV_2019_REP_CALCULO[Premio-BERINERT])</f>
        <v>8966.8728756799592</v>
      </c>
      <c r="AJ2" s="59">
        <f>SUM(VIEW_IV_2019_REP_CALCULO[Premio-BERIPLEX])</f>
        <v>62878.117215618433</v>
      </c>
      <c r="AK2" s="59">
        <f>SUM(VIEW_IV_2019_REP_CALCULO[Premio-HAEMO])</f>
        <v>57934.910762511827</v>
      </c>
      <c r="AL2" s="59">
        <f>SUM(VIEW_IV_2019_REP_CALCULO[Premio-HIZENTRA])</f>
        <v>22308.601191233272</v>
      </c>
      <c r="AM2" s="59">
        <f>SUM(VIEW_IV_2019_REP_CALCULO[Premio-PRIVIGEN])</f>
        <v>132255.7354688374</v>
      </c>
      <c r="AN2" s="59">
        <f>SUM(VIEW_IV_2019_REP_CALCULO[Premio-Total])</f>
        <v>284344.23751388112</v>
      </c>
    </row>
    <row r="3" spans="1:54" ht="15" x14ac:dyDescent="0.25">
      <c r="A3" s="3"/>
      <c r="I3" s="83" t="s">
        <v>384</v>
      </c>
      <c r="J3" s="58">
        <f>SUBTOTAL(9,VIEW_IV_2019_REP_CALCULO[Cota-BERINERT])</f>
        <v>480</v>
      </c>
      <c r="K3" s="58">
        <f>SUBTOTAL(9,VIEW_IV_2019_REP_CALCULO[Cota-BERIPLEX])</f>
        <v>2200</v>
      </c>
      <c r="L3" s="58">
        <f>SUBTOTAL(9,VIEW_IV_2019_REP_CALCULO[Cota-HAEMO])</f>
        <v>1500</v>
      </c>
      <c r="M3" s="58">
        <f>SUBTOTAL(9,VIEW_IV_2019_REP_CALCULO[Cota-HIZENTRA])</f>
        <v>7800</v>
      </c>
      <c r="N3" s="58">
        <f>SUBTOTAL(9,VIEW_IV_2019_REP_CALCULO[Cota-PRIVIGEN])</f>
        <v>99510</v>
      </c>
      <c r="O3" s="58">
        <f>SUBTOTAL(9,VIEW_IV_2019_REP_CALCULO[Demanda-BERINERT])</f>
        <v>35</v>
      </c>
      <c r="P3" s="58">
        <f>SUBTOTAL(9,VIEW_IV_2019_REP_CALCULO[Demanda-BERIPLEX])</f>
        <v>1740</v>
      </c>
      <c r="Q3" s="58">
        <f>SUBTOTAL(9,VIEW_IV_2019_REP_CALCULO[Demanda-HAEMO])</f>
        <v>1513</v>
      </c>
      <c r="R3" s="58">
        <f>SUBTOTAL(9,VIEW_IV_2019_REP_CALCULO[Demanda-HIZENTRA])</f>
        <v>4235</v>
      </c>
      <c r="S3" s="58">
        <f>SUBTOTAL(9,VIEW_IV_2019_REP_CALCULO[Demanda-PRIVIGEN])</f>
        <v>95789</v>
      </c>
      <c r="X3"/>
      <c r="Y3" s="54">
        <f>IFERROR(O3/J3,0)</f>
        <v>7.2916666666666671E-2</v>
      </c>
      <c r="Z3" s="54">
        <f t="shared" si="0"/>
        <v>0.79090909090909089</v>
      </c>
      <c r="AA3" s="54">
        <f t="shared" si="0"/>
        <v>1.0086666666666666</v>
      </c>
      <c r="AB3" s="54">
        <f t="shared" si="0"/>
        <v>0.54294871794871791</v>
      </c>
      <c r="AC3" s="54">
        <f t="shared" si="0"/>
        <v>0.96260677318862431</v>
      </c>
      <c r="AI3" s="60">
        <f>SUBTOTAL(9,VIEW_IV_2019_REP_CALCULO[Premio-BERINERT])</f>
        <v>0</v>
      </c>
      <c r="AJ3" s="60">
        <f>SUBTOTAL(9,VIEW_IV_2019_REP_CALCULO[Premio-BERIPLEX])</f>
        <v>3604.522784754663</v>
      </c>
      <c r="AK3" s="60">
        <f>SUBTOTAL(9,VIEW_IV_2019_REP_CALCULO[Premio-HAEMO])</f>
        <v>8062.4266603590149</v>
      </c>
      <c r="AL3" s="60">
        <f>SUBTOTAL(9,VIEW_IV_2019_REP_CALCULO[Premio-HIZENTRA])</f>
        <v>1629.8147338659624</v>
      </c>
      <c r="AM3" s="60">
        <f>SUBTOTAL(9,VIEW_IV_2019_REP_CALCULO[Premio-PRIVIGEN])</f>
        <v>13069.873775630558</v>
      </c>
      <c r="AN3" s="60">
        <f>SUBTOTAL(9,VIEW_IV_2019_REP_CALCULO[Premio-Total])</f>
        <v>26366.6379546102</v>
      </c>
    </row>
    <row r="5" spans="1:54" x14ac:dyDescent="0.2">
      <c r="A5" s="6" t="s">
        <v>2</v>
      </c>
      <c r="B5" s="6" t="s">
        <v>3</v>
      </c>
      <c r="C5" s="6" t="s">
        <v>4</v>
      </c>
      <c r="D5" s="6" t="s">
        <v>132</v>
      </c>
      <c r="E5" s="6" t="s">
        <v>133</v>
      </c>
      <c r="F5" s="6" t="s">
        <v>136</v>
      </c>
      <c r="G5" s="6" t="s">
        <v>204</v>
      </c>
      <c r="H5" s="6" t="s">
        <v>137</v>
      </c>
      <c r="I5" s="6" t="s">
        <v>138</v>
      </c>
      <c r="J5" s="6" t="s">
        <v>231</v>
      </c>
      <c r="K5" s="10" t="s">
        <v>234</v>
      </c>
      <c r="L5" s="6" t="s">
        <v>237</v>
      </c>
      <c r="M5" s="6" t="s">
        <v>240</v>
      </c>
      <c r="N5" s="6" t="s">
        <v>243</v>
      </c>
      <c r="O5" s="6" t="s">
        <v>232</v>
      </c>
      <c r="P5" s="6" t="s">
        <v>235</v>
      </c>
      <c r="Q5" s="6" t="s">
        <v>238</v>
      </c>
      <c r="R5" s="6" t="s">
        <v>241</v>
      </c>
      <c r="S5" s="6" t="s">
        <v>244</v>
      </c>
      <c r="T5" s="6" t="s">
        <v>224</v>
      </c>
      <c r="U5" s="6" t="s">
        <v>225</v>
      </c>
      <c r="V5" s="6" t="s">
        <v>226</v>
      </c>
      <c r="W5" s="6" t="s">
        <v>227</v>
      </c>
      <c r="X5" s="6" t="s">
        <v>228</v>
      </c>
      <c r="Y5" s="6" t="s">
        <v>233</v>
      </c>
      <c r="Z5" s="6" t="s">
        <v>236</v>
      </c>
      <c r="AA5" s="6" t="s">
        <v>239</v>
      </c>
      <c r="AB5" s="6" t="s">
        <v>242</v>
      </c>
      <c r="AC5" s="6" t="s">
        <v>245</v>
      </c>
      <c r="AD5" s="81" t="s">
        <v>312</v>
      </c>
      <c r="AE5" s="81" t="s">
        <v>313</v>
      </c>
      <c r="AF5" s="81" t="s">
        <v>314</v>
      </c>
      <c r="AG5" s="81" t="s">
        <v>315</v>
      </c>
      <c r="AH5" s="81" t="s">
        <v>316</v>
      </c>
      <c r="AI5" s="36" t="s">
        <v>343</v>
      </c>
      <c r="AJ5" s="36" t="s">
        <v>344</v>
      </c>
      <c r="AK5" s="36" t="s">
        <v>345</v>
      </c>
      <c r="AL5" s="36" t="s">
        <v>346</v>
      </c>
      <c r="AM5" s="36" t="s">
        <v>347</v>
      </c>
      <c r="AN5" s="36" t="s">
        <v>389</v>
      </c>
      <c r="AX5" s="3"/>
      <c r="AY5" s="3"/>
      <c r="AZ5" s="3"/>
      <c r="BA5" s="3"/>
      <c r="BB5" s="3"/>
    </row>
    <row r="6" spans="1:54" hidden="1" x14ac:dyDescent="0.2">
      <c r="A6" s="7" t="s">
        <v>16</v>
      </c>
      <c r="B6" s="7" t="s">
        <v>17</v>
      </c>
      <c r="C6" s="7" t="s">
        <v>18</v>
      </c>
      <c r="D6" s="8" t="s">
        <v>151</v>
      </c>
      <c r="E6" s="8" t="s">
        <v>152</v>
      </c>
      <c r="F6" s="8" t="s">
        <v>556</v>
      </c>
      <c r="G6" s="8" t="s">
        <v>208</v>
      </c>
      <c r="H6" s="13" t="b">
        <v>1</v>
      </c>
      <c r="I6" s="13" t="b">
        <v>1</v>
      </c>
      <c r="J6" s="10">
        <v>15</v>
      </c>
      <c r="K6" s="10">
        <v>0</v>
      </c>
      <c r="L6" s="10">
        <v>0</v>
      </c>
      <c r="M6" s="10">
        <v>867</v>
      </c>
      <c r="N6" s="10">
        <v>6090</v>
      </c>
      <c r="O6" s="10">
        <v>0</v>
      </c>
      <c r="P6" s="10">
        <v>0</v>
      </c>
      <c r="Q6" s="10">
        <v>0</v>
      </c>
      <c r="R6" s="10">
        <v>964</v>
      </c>
      <c r="S6" s="10">
        <v>8455</v>
      </c>
      <c r="T6" s="14" t="b">
        <v>0</v>
      </c>
      <c r="U6" s="14" t="b">
        <v>0</v>
      </c>
      <c r="V6" s="14" t="b">
        <v>0</v>
      </c>
      <c r="W6" s="14" t="b">
        <v>0</v>
      </c>
      <c r="X6" s="14" t="b">
        <v>0</v>
      </c>
      <c r="Y6" s="55">
        <v>0</v>
      </c>
      <c r="Z6" s="55">
        <v>0</v>
      </c>
      <c r="AA6" s="55">
        <v>0</v>
      </c>
      <c r="AB6" s="55">
        <v>1.1100000000000001</v>
      </c>
      <c r="AC6" s="55">
        <v>1.39</v>
      </c>
      <c r="AD6" s="55">
        <v>0.1</v>
      </c>
      <c r="AE6" s="55">
        <v>0</v>
      </c>
      <c r="AF6" s="55">
        <v>0</v>
      </c>
      <c r="AG6" s="55">
        <v>0.4</v>
      </c>
      <c r="AH6" s="55">
        <v>0.2</v>
      </c>
      <c r="AI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2017.3644851843526</v>
      </c>
      <c r="AM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1497.540123916539</v>
      </c>
      <c r="AN6" s="102">
        <f>SUM(VIEW_IV_2019_REP_CALCULO[[#This Row],[Premio-BERINERT]:[Premio-PRIVIGEN]])</f>
        <v>3514.9046091008913</v>
      </c>
      <c r="AX6" s="3"/>
      <c r="AY6" s="3"/>
      <c r="AZ6" s="3"/>
      <c r="BA6" s="3"/>
      <c r="BB6" s="3"/>
    </row>
    <row r="7" spans="1:54" hidden="1" x14ac:dyDescent="0.2">
      <c r="A7" s="7" t="s">
        <v>16</v>
      </c>
      <c r="B7" s="7" t="s">
        <v>17</v>
      </c>
      <c r="C7" s="7" t="s">
        <v>18</v>
      </c>
      <c r="D7" s="8" t="s">
        <v>1355</v>
      </c>
      <c r="E7" s="8" t="s">
        <v>1356</v>
      </c>
      <c r="F7" s="8" t="s">
        <v>556</v>
      </c>
      <c r="G7" s="8" t="s">
        <v>208</v>
      </c>
      <c r="H7" s="13" t="b">
        <v>1</v>
      </c>
      <c r="I7" s="13" t="b">
        <v>1</v>
      </c>
      <c r="J7" s="10">
        <v>15</v>
      </c>
      <c r="K7" s="10">
        <v>0</v>
      </c>
      <c r="L7" s="10">
        <v>0</v>
      </c>
      <c r="M7" s="10">
        <v>612</v>
      </c>
      <c r="N7" s="10">
        <v>5655</v>
      </c>
      <c r="O7" s="10">
        <v>0</v>
      </c>
      <c r="P7" s="10">
        <v>0</v>
      </c>
      <c r="Q7" s="10">
        <v>0</v>
      </c>
      <c r="R7" s="10">
        <v>209</v>
      </c>
      <c r="S7" s="10">
        <v>8465</v>
      </c>
      <c r="T7" s="14" t="b">
        <v>0</v>
      </c>
      <c r="U7" s="14" t="b">
        <v>0</v>
      </c>
      <c r="V7" s="14" t="b">
        <v>0</v>
      </c>
      <c r="W7" s="14" t="b">
        <v>0</v>
      </c>
      <c r="X7" s="14" t="b">
        <v>0</v>
      </c>
      <c r="Y7" s="55">
        <v>0</v>
      </c>
      <c r="Z7" s="55">
        <v>0</v>
      </c>
      <c r="AA7" s="55">
        <v>0</v>
      </c>
      <c r="AB7" s="55">
        <v>0.34</v>
      </c>
      <c r="AC7" s="55">
        <v>1.5</v>
      </c>
      <c r="AD7" s="55">
        <v>0.1</v>
      </c>
      <c r="AE7" s="55">
        <v>0</v>
      </c>
      <c r="AF7" s="55">
        <v>0</v>
      </c>
      <c r="AG7" s="55">
        <v>0.4</v>
      </c>
      <c r="AH7" s="55">
        <v>0.2</v>
      </c>
      <c r="AI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7" s="102">
        <f>SUM(VIEW_IV_2019_REP_CALCULO[[#This Row],[Premio-BERINERT]:[Premio-PRIVIGEN]])</f>
        <v>1629.8147338659624</v>
      </c>
      <c r="AX7" s="3"/>
      <c r="AY7" s="3"/>
      <c r="AZ7" s="3"/>
      <c r="BA7" s="3"/>
      <c r="BB7" s="3"/>
    </row>
    <row r="8" spans="1:54" hidden="1" x14ac:dyDescent="0.2">
      <c r="A8" s="7" t="s">
        <v>16</v>
      </c>
      <c r="B8" s="7" t="s">
        <v>17</v>
      </c>
      <c r="C8" s="7" t="s">
        <v>18</v>
      </c>
      <c r="D8" s="8" t="s">
        <v>155</v>
      </c>
      <c r="E8" s="8" t="s">
        <v>156</v>
      </c>
      <c r="F8" s="8" t="s">
        <v>556</v>
      </c>
      <c r="G8" s="8" t="s">
        <v>206</v>
      </c>
      <c r="H8" s="13" t="b">
        <v>1</v>
      </c>
      <c r="I8" s="13" t="b">
        <v>1</v>
      </c>
      <c r="J8" s="10">
        <v>10</v>
      </c>
      <c r="K8" s="10">
        <v>0</v>
      </c>
      <c r="L8" s="10">
        <v>0</v>
      </c>
      <c r="M8" s="10">
        <v>1071</v>
      </c>
      <c r="N8" s="10">
        <v>5655</v>
      </c>
      <c r="O8" s="10">
        <v>0</v>
      </c>
      <c r="P8" s="10">
        <v>0</v>
      </c>
      <c r="Q8" s="10">
        <v>0</v>
      </c>
      <c r="R8" s="10">
        <v>1275</v>
      </c>
      <c r="S8" s="10">
        <v>8352</v>
      </c>
      <c r="T8" s="14" t="b">
        <v>0</v>
      </c>
      <c r="U8" s="14" t="b">
        <v>0</v>
      </c>
      <c r="V8" s="14" t="b">
        <v>0</v>
      </c>
      <c r="W8" s="14" t="b">
        <v>0</v>
      </c>
      <c r="X8" s="14" t="b">
        <v>0</v>
      </c>
      <c r="Y8" s="55">
        <v>0</v>
      </c>
      <c r="Z8" s="55">
        <v>0</v>
      </c>
      <c r="AA8" s="55">
        <v>0</v>
      </c>
      <c r="AB8" s="55">
        <v>1.19</v>
      </c>
      <c r="AC8" s="55">
        <v>1.48</v>
      </c>
      <c r="AD8" s="55">
        <v>0.1</v>
      </c>
      <c r="AE8" s="55">
        <v>0</v>
      </c>
      <c r="AF8" s="55">
        <v>0</v>
      </c>
      <c r="AG8" s="55">
        <v>0.4</v>
      </c>
      <c r="AH8" s="55">
        <v>0.2</v>
      </c>
      <c r="AI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2152.3650684497102</v>
      </c>
      <c r="AM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1599.4396026312575</v>
      </c>
      <c r="AN8" s="102">
        <f>SUM(VIEW_IV_2019_REP_CALCULO[[#This Row],[Premio-BERINERT]:[Premio-PRIVIGEN]])</f>
        <v>3751.8046710809676</v>
      </c>
      <c r="AX8" s="3"/>
      <c r="AY8" s="3"/>
      <c r="AZ8" s="3"/>
      <c r="BA8" s="3"/>
      <c r="BB8" s="3"/>
    </row>
    <row r="9" spans="1:54" hidden="1" x14ac:dyDescent="0.2">
      <c r="A9" s="7" t="s">
        <v>16</v>
      </c>
      <c r="B9" s="7" t="s">
        <v>17</v>
      </c>
      <c r="C9" s="7" t="s">
        <v>18</v>
      </c>
      <c r="D9" s="8" t="s">
        <v>161</v>
      </c>
      <c r="E9" s="8" t="s">
        <v>162</v>
      </c>
      <c r="F9" s="8" t="s">
        <v>556</v>
      </c>
      <c r="G9" s="8" t="s">
        <v>208</v>
      </c>
      <c r="H9" s="13" t="b">
        <v>1</v>
      </c>
      <c r="I9" s="13" t="b">
        <v>1</v>
      </c>
      <c r="J9" s="10">
        <v>15</v>
      </c>
      <c r="K9" s="10">
        <v>0</v>
      </c>
      <c r="L9" s="10">
        <v>0</v>
      </c>
      <c r="M9" s="10">
        <v>612</v>
      </c>
      <c r="N9" s="10">
        <v>6090</v>
      </c>
      <c r="O9" s="10">
        <v>2</v>
      </c>
      <c r="P9" s="10">
        <v>0</v>
      </c>
      <c r="Q9" s="10">
        <v>0</v>
      </c>
      <c r="R9" s="10">
        <v>419</v>
      </c>
      <c r="S9" s="10">
        <v>8035</v>
      </c>
      <c r="T9" s="14" t="b">
        <v>0</v>
      </c>
      <c r="U9" s="14" t="b">
        <v>0</v>
      </c>
      <c r="V9" s="14" t="b">
        <v>0</v>
      </c>
      <c r="W9" s="14" t="b">
        <v>0</v>
      </c>
      <c r="X9" s="14" t="b">
        <v>0</v>
      </c>
      <c r="Y9" s="55">
        <v>0.13</v>
      </c>
      <c r="Z9" s="55">
        <v>0</v>
      </c>
      <c r="AA9" s="55">
        <v>0</v>
      </c>
      <c r="AB9" s="55">
        <v>0.68</v>
      </c>
      <c r="AC9" s="55">
        <v>1.32</v>
      </c>
      <c r="AD9" s="55">
        <v>0.1</v>
      </c>
      <c r="AE9" s="55">
        <v>0</v>
      </c>
      <c r="AF9" s="55">
        <v>0</v>
      </c>
      <c r="AG9" s="55">
        <v>0.4</v>
      </c>
      <c r="AH9" s="55">
        <v>0.2</v>
      </c>
      <c r="AI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1425.7561599302485</v>
      </c>
      <c r="AN9" s="102">
        <f>SUM(VIEW_IV_2019_REP_CALCULO[[#This Row],[Premio-BERINERT]:[Premio-PRIVIGEN]])</f>
        <v>1425.7561599302485</v>
      </c>
      <c r="AX9" s="3"/>
      <c r="AY9" s="3"/>
      <c r="AZ9" s="3"/>
      <c r="BA9" s="3"/>
      <c r="BB9" s="3"/>
    </row>
    <row r="10" spans="1:54" hidden="1" x14ac:dyDescent="0.2">
      <c r="A10" s="7" t="s">
        <v>16</v>
      </c>
      <c r="B10" s="7" t="s">
        <v>17</v>
      </c>
      <c r="C10" s="7" t="s">
        <v>18</v>
      </c>
      <c r="D10" s="8" t="s">
        <v>175</v>
      </c>
      <c r="E10" s="8" t="s">
        <v>176</v>
      </c>
      <c r="F10" s="8" t="s">
        <v>556</v>
      </c>
      <c r="G10" s="8" t="s">
        <v>206</v>
      </c>
      <c r="H10" s="13" t="b">
        <v>1</v>
      </c>
      <c r="I10" s="13" t="b">
        <v>1</v>
      </c>
      <c r="J10" s="10">
        <v>38</v>
      </c>
      <c r="K10" s="10">
        <v>0</v>
      </c>
      <c r="L10" s="10">
        <v>0</v>
      </c>
      <c r="M10" s="10">
        <v>663</v>
      </c>
      <c r="N10" s="10">
        <v>8700</v>
      </c>
      <c r="O10" s="10">
        <v>86</v>
      </c>
      <c r="P10" s="10">
        <v>0</v>
      </c>
      <c r="Q10" s="10">
        <v>0</v>
      </c>
      <c r="R10" s="10">
        <v>363</v>
      </c>
      <c r="S10" s="10">
        <v>25572</v>
      </c>
      <c r="T10" s="14" t="b">
        <v>0</v>
      </c>
      <c r="U10" s="14" t="b">
        <v>0</v>
      </c>
      <c r="V10" s="14" t="b">
        <v>0</v>
      </c>
      <c r="W10" s="14" t="b">
        <v>0</v>
      </c>
      <c r="X10" s="14" t="b">
        <v>0</v>
      </c>
      <c r="Y10" s="55">
        <v>2.29</v>
      </c>
      <c r="Z10" s="55">
        <v>0</v>
      </c>
      <c r="AA10" s="55">
        <v>0</v>
      </c>
      <c r="AB10" s="55">
        <v>0.55000000000000004</v>
      </c>
      <c r="AC10" s="55">
        <v>2.94</v>
      </c>
      <c r="AD10" s="55">
        <v>0.1</v>
      </c>
      <c r="AE10" s="55">
        <v>0</v>
      </c>
      <c r="AF10" s="55">
        <v>0</v>
      </c>
      <c r="AG10" s="55">
        <v>0.4</v>
      </c>
      <c r="AH10" s="55">
        <v>0.2</v>
      </c>
      <c r="AI1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1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0" s="102">
        <f>SUM(VIEW_IV_2019_REP_CALCULO[[#This Row],[Premio-BERINERT]:[Premio-PRIVIGEN]])</f>
        <v>2444.7221007989438</v>
      </c>
      <c r="AX10" s="3"/>
      <c r="AY10" s="3"/>
      <c r="AZ10" s="3"/>
      <c r="BA10" s="3"/>
      <c r="BB10" s="3"/>
    </row>
    <row r="11" spans="1:54" hidden="1" x14ac:dyDescent="0.2">
      <c r="A11" s="7" t="s">
        <v>16</v>
      </c>
      <c r="B11" s="7" t="s">
        <v>17</v>
      </c>
      <c r="C11" s="7" t="s">
        <v>18</v>
      </c>
      <c r="D11" s="8" t="s">
        <v>199</v>
      </c>
      <c r="E11" s="8" t="s">
        <v>200</v>
      </c>
      <c r="F11" s="8" t="s">
        <v>556</v>
      </c>
      <c r="G11" s="8" t="s">
        <v>212</v>
      </c>
      <c r="H11" s="13" t="b">
        <v>1</v>
      </c>
      <c r="I11" s="13" t="b">
        <v>1</v>
      </c>
      <c r="J11" s="10">
        <v>38</v>
      </c>
      <c r="K11" s="10">
        <v>0</v>
      </c>
      <c r="L11" s="10">
        <v>0</v>
      </c>
      <c r="M11" s="10">
        <v>612</v>
      </c>
      <c r="N11" s="10">
        <v>5220</v>
      </c>
      <c r="O11" s="10">
        <v>74</v>
      </c>
      <c r="P11" s="10">
        <v>0</v>
      </c>
      <c r="Q11" s="10">
        <v>0</v>
      </c>
      <c r="R11" s="10">
        <v>306</v>
      </c>
      <c r="S11" s="10">
        <v>5228</v>
      </c>
      <c r="T11" s="14" t="b">
        <v>0</v>
      </c>
      <c r="U11" s="14" t="b">
        <v>0</v>
      </c>
      <c r="V11" s="14" t="b">
        <v>0</v>
      </c>
      <c r="W11" s="14" t="b">
        <v>0</v>
      </c>
      <c r="X11" s="14" t="b">
        <v>0</v>
      </c>
      <c r="Y11" s="55">
        <v>1.97</v>
      </c>
      <c r="Z11" s="55">
        <v>0</v>
      </c>
      <c r="AA11" s="55">
        <v>0</v>
      </c>
      <c r="AB11" s="55">
        <v>0.5</v>
      </c>
      <c r="AC11" s="55">
        <v>1</v>
      </c>
      <c r="AD11" s="55">
        <v>0.1</v>
      </c>
      <c r="AE11" s="55">
        <v>0</v>
      </c>
      <c r="AF11" s="55">
        <v>0</v>
      </c>
      <c r="AG11" s="55">
        <v>0.4</v>
      </c>
      <c r="AH11" s="55">
        <v>0.2</v>
      </c>
      <c r="AI1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1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721.15696188759239</v>
      </c>
      <c r="AN11" s="102">
        <f>SUM(VIEW_IV_2019_REP_CALCULO[[#This Row],[Premio-BERINERT]:[Premio-PRIVIGEN]])</f>
        <v>1536.0643288205736</v>
      </c>
      <c r="AX11" s="3"/>
      <c r="AY11" s="3"/>
      <c r="AZ11" s="3"/>
      <c r="BA11" s="3"/>
      <c r="BB11" s="3"/>
    </row>
    <row r="12" spans="1:54" hidden="1" x14ac:dyDescent="0.2">
      <c r="A12" s="7" t="s">
        <v>16</v>
      </c>
      <c r="B12" s="7" t="s">
        <v>17</v>
      </c>
      <c r="C12" s="7" t="s">
        <v>18</v>
      </c>
      <c r="D12" s="8" t="s">
        <v>144</v>
      </c>
      <c r="E12" s="8" t="s">
        <v>145</v>
      </c>
      <c r="F12" s="8" t="s">
        <v>557</v>
      </c>
      <c r="G12" s="8" t="s">
        <v>206</v>
      </c>
      <c r="H12" s="13" t="b">
        <v>1</v>
      </c>
      <c r="I12" s="13" t="b">
        <v>1</v>
      </c>
      <c r="J12" s="10">
        <v>0</v>
      </c>
      <c r="K12" s="10">
        <v>84</v>
      </c>
      <c r="L12" s="10">
        <v>120</v>
      </c>
      <c r="M12" s="10">
        <v>0</v>
      </c>
      <c r="N12" s="10">
        <v>2175</v>
      </c>
      <c r="O12" s="10">
        <v>0</v>
      </c>
      <c r="P12" s="10">
        <v>112</v>
      </c>
      <c r="Q12" s="10">
        <v>156</v>
      </c>
      <c r="R12" s="10">
        <v>0</v>
      </c>
      <c r="S12" s="10">
        <v>1180</v>
      </c>
      <c r="T12" s="14" t="b">
        <v>0</v>
      </c>
      <c r="U12" s="14" t="b">
        <v>0</v>
      </c>
      <c r="V12" s="14" t="b">
        <v>0</v>
      </c>
      <c r="W12" s="14" t="b">
        <v>0</v>
      </c>
      <c r="X12" s="14" t="b">
        <v>0</v>
      </c>
      <c r="Y12" s="55">
        <v>0</v>
      </c>
      <c r="Z12" s="55">
        <v>1.33</v>
      </c>
      <c r="AA12" s="55">
        <v>1.3</v>
      </c>
      <c r="AB12" s="55">
        <v>0</v>
      </c>
      <c r="AC12" s="55">
        <v>0.54</v>
      </c>
      <c r="AD12" s="55">
        <v>0</v>
      </c>
      <c r="AE12" s="55">
        <v>0.25</v>
      </c>
      <c r="AF12" s="55">
        <v>0.25</v>
      </c>
      <c r="AG12" s="55">
        <v>0</v>
      </c>
      <c r="AH12" s="55">
        <v>0.2</v>
      </c>
      <c r="AI1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1795.0137649103629</v>
      </c>
      <c r="AK1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1756.5580699177058</v>
      </c>
      <c r="AL1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" s="102">
        <f>SUM(VIEW_IV_2019_REP_CALCULO[[#This Row],[Premio-BERINERT]:[Premio-PRIVIGEN]])</f>
        <v>3551.5718348280689</v>
      </c>
      <c r="AX12" s="3"/>
      <c r="AY12" s="3"/>
      <c r="AZ12" s="3"/>
      <c r="BA12" s="3"/>
      <c r="BB12" s="3"/>
    </row>
    <row r="13" spans="1:54" hidden="1" x14ac:dyDescent="0.2">
      <c r="A13" s="7" t="s">
        <v>16</v>
      </c>
      <c r="B13" s="7" t="s">
        <v>17</v>
      </c>
      <c r="C13" s="7" t="s">
        <v>18</v>
      </c>
      <c r="D13" s="8" t="s">
        <v>147</v>
      </c>
      <c r="E13" s="8" t="s">
        <v>148</v>
      </c>
      <c r="F13" s="8" t="s">
        <v>557</v>
      </c>
      <c r="G13" s="8" t="s">
        <v>208</v>
      </c>
      <c r="H13" s="13" t="b">
        <v>1</v>
      </c>
      <c r="I13" s="13" t="b">
        <v>1</v>
      </c>
      <c r="J13" s="10">
        <v>0</v>
      </c>
      <c r="K13" s="10">
        <v>98</v>
      </c>
      <c r="L13" s="10">
        <v>144</v>
      </c>
      <c r="M13" s="10">
        <v>0</v>
      </c>
      <c r="N13" s="10">
        <v>3915</v>
      </c>
      <c r="O13" s="10">
        <v>0</v>
      </c>
      <c r="P13" s="10">
        <v>67</v>
      </c>
      <c r="Q13" s="10">
        <v>114</v>
      </c>
      <c r="R13" s="10">
        <v>0</v>
      </c>
      <c r="S13" s="10">
        <v>2475</v>
      </c>
      <c r="T13" s="14" t="b">
        <v>0</v>
      </c>
      <c r="U13" s="14" t="b">
        <v>0</v>
      </c>
      <c r="V13" s="14" t="b">
        <v>0</v>
      </c>
      <c r="W13" s="14" t="b">
        <v>0</v>
      </c>
      <c r="X13" s="14" t="b">
        <v>0</v>
      </c>
      <c r="Y13" s="55">
        <v>0</v>
      </c>
      <c r="Z13" s="55">
        <v>0.68</v>
      </c>
      <c r="AA13" s="55">
        <v>0.79</v>
      </c>
      <c r="AB13" s="55">
        <v>0</v>
      </c>
      <c r="AC13" s="55">
        <v>0.63</v>
      </c>
      <c r="AD13" s="55">
        <v>0</v>
      </c>
      <c r="AE13" s="55">
        <v>0.25</v>
      </c>
      <c r="AF13" s="55">
        <v>0.25</v>
      </c>
      <c r="AG13" s="55">
        <v>0</v>
      </c>
      <c r="AH13" s="55">
        <v>0.2</v>
      </c>
      <c r="AI1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" s="102">
        <f>SUM(VIEW_IV_2019_REP_CALCULO[[#This Row],[Premio-BERINERT]:[Premio-PRIVIGEN]])</f>
        <v>0</v>
      </c>
      <c r="AX13" s="3"/>
      <c r="AY13" s="3"/>
      <c r="AZ13" s="3"/>
      <c r="BA13" s="3"/>
      <c r="BB13" s="3"/>
    </row>
    <row r="14" spans="1:54" hidden="1" x14ac:dyDescent="0.2">
      <c r="A14" s="7" t="s">
        <v>16</v>
      </c>
      <c r="B14" s="7" t="s">
        <v>17</v>
      </c>
      <c r="C14" s="7" t="s">
        <v>18</v>
      </c>
      <c r="D14" s="8" t="s">
        <v>149</v>
      </c>
      <c r="E14" s="8" t="s">
        <v>150</v>
      </c>
      <c r="F14" s="8" t="s">
        <v>557</v>
      </c>
      <c r="G14" s="8" t="s">
        <v>208</v>
      </c>
      <c r="H14" s="13" t="b">
        <v>1</v>
      </c>
      <c r="I14" s="13" t="b">
        <v>1</v>
      </c>
      <c r="J14" s="10">
        <v>0</v>
      </c>
      <c r="K14" s="10">
        <v>84</v>
      </c>
      <c r="L14" s="10">
        <v>60</v>
      </c>
      <c r="M14" s="10">
        <v>0</v>
      </c>
      <c r="N14" s="10">
        <v>5220</v>
      </c>
      <c r="O14" s="10">
        <v>0</v>
      </c>
      <c r="P14" s="10">
        <v>14</v>
      </c>
      <c r="Q14" s="10">
        <v>9</v>
      </c>
      <c r="R14" s="10">
        <v>0</v>
      </c>
      <c r="S14" s="10">
        <v>7730</v>
      </c>
      <c r="T14" s="14" t="b">
        <v>0</v>
      </c>
      <c r="U14" s="14" t="b">
        <v>0</v>
      </c>
      <c r="V14" s="14" t="b">
        <v>0</v>
      </c>
      <c r="W14" s="14" t="b">
        <v>0</v>
      </c>
      <c r="X14" s="14" t="b">
        <v>0</v>
      </c>
      <c r="Y14" s="55">
        <v>0</v>
      </c>
      <c r="Z14" s="55">
        <v>0.17</v>
      </c>
      <c r="AA14" s="55">
        <v>0.15</v>
      </c>
      <c r="AB14" s="55">
        <v>0</v>
      </c>
      <c r="AC14" s="55">
        <v>1.48</v>
      </c>
      <c r="AD14" s="55">
        <v>0</v>
      </c>
      <c r="AE14" s="55">
        <v>0.25</v>
      </c>
      <c r="AF14" s="55">
        <v>0.25</v>
      </c>
      <c r="AG14" s="55">
        <v>0</v>
      </c>
      <c r="AH14" s="55">
        <v>0.2</v>
      </c>
      <c r="AI1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1599.4396026312575</v>
      </c>
      <c r="AN14" s="102">
        <f>SUM(VIEW_IV_2019_REP_CALCULO[[#This Row],[Premio-BERINERT]:[Premio-PRIVIGEN]])</f>
        <v>1599.4396026312575</v>
      </c>
      <c r="AX14" s="3"/>
      <c r="AY14" s="3"/>
      <c r="AZ14" s="3"/>
      <c r="BA14" s="3"/>
      <c r="BB14" s="3"/>
    </row>
    <row r="15" spans="1:54" hidden="1" x14ac:dyDescent="0.2">
      <c r="A15" s="7" t="s">
        <v>16</v>
      </c>
      <c r="B15" s="7" t="s">
        <v>17</v>
      </c>
      <c r="C15" s="7" t="s">
        <v>18</v>
      </c>
      <c r="D15" s="8" t="s">
        <v>157</v>
      </c>
      <c r="E15" s="8" t="s">
        <v>158</v>
      </c>
      <c r="F15" s="8" t="s">
        <v>557</v>
      </c>
      <c r="G15" s="8" t="s">
        <v>206</v>
      </c>
      <c r="H15" s="13" t="b">
        <v>1</v>
      </c>
      <c r="I15" s="13" t="b">
        <v>1</v>
      </c>
      <c r="J15" s="10">
        <v>0</v>
      </c>
      <c r="K15" s="10">
        <v>56</v>
      </c>
      <c r="L15" s="10">
        <v>48</v>
      </c>
      <c r="M15" s="10">
        <v>0</v>
      </c>
      <c r="N15" s="10">
        <v>6525</v>
      </c>
      <c r="O15" s="10">
        <v>0</v>
      </c>
      <c r="P15" s="10">
        <v>6</v>
      </c>
      <c r="Q15" s="10">
        <v>19</v>
      </c>
      <c r="R15" s="10">
        <v>0</v>
      </c>
      <c r="S15" s="10">
        <v>24392</v>
      </c>
      <c r="T15" s="14" t="b">
        <v>0</v>
      </c>
      <c r="U15" s="14" t="b">
        <v>0</v>
      </c>
      <c r="V15" s="14" t="b">
        <v>0</v>
      </c>
      <c r="W15" s="14" t="b">
        <v>0</v>
      </c>
      <c r="X15" s="14" t="b">
        <v>0</v>
      </c>
      <c r="Y15" s="55">
        <v>0</v>
      </c>
      <c r="Z15" s="55">
        <v>0.11</v>
      </c>
      <c r="AA15" s="55">
        <v>0.4</v>
      </c>
      <c r="AB15" s="55">
        <v>0</v>
      </c>
      <c r="AC15" s="55">
        <v>3.74</v>
      </c>
      <c r="AD15" s="55">
        <v>0</v>
      </c>
      <c r="AE15" s="55">
        <v>0.25</v>
      </c>
      <c r="AF15" s="55">
        <v>0.25</v>
      </c>
      <c r="AG15" s="55">
        <v>0</v>
      </c>
      <c r="AH15" s="55">
        <v>0.2</v>
      </c>
      <c r="AI1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5" s="102">
        <f>SUM(VIEW_IV_2019_REP_CALCULO[[#This Row],[Premio-BERINERT]:[Premio-PRIVIGEN]])</f>
        <v>1629.8147338659624</v>
      </c>
      <c r="AX15" s="3"/>
      <c r="AY15" s="3"/>
      <c r="AZ15" s="3"/>
      <c r="BA15" s="3"/>
      <c r="BB15" s="3"/>
    </row>
    <row r="16" spans="1:54" hidden="1" x14ac:dyDescent="0.2">
      <c r="A16" s="7" t="s">
        <v>16</v>
      </c>
      <c r="B16" s="7" t="s">
        <v>17</v>
      </c>
      <c r="C16" s="7" t="s">
        <v>18</v>
      </c>
      <c r="D16" s="8" t="s">
        <v>163</v>
      </c>
      <c r="E16" s="8" t="s">
        <v>164</v>
      </c>
      <c r="F16" s="8" t="s">
        <v>557</v>
      </c>
      <c r="G16" s="8" t="s">
        <v>212</v>
      </c>
      <c r="H16" s="13" t="b">
        <v>1</v>
      </c>
      <c r="I16" s="13" t="b">
        <v>1</v>
      </c>
      <c r="J16" s="10">
        <v>0</v>
      </c>
      <c r="K16" s="10">
        <v>154</v>
      </c>
      <c r="L16" s="10">
        <v>84</v>
      </c>
      <c r="M16" s="10">
        <v>0</v>
      </c>
      <c r="N16" s="10">
        <v>2175</v>
      </c>
      <c r="O16" s="10">
        <v>0</v>
      </c>
      <c r="P16" s="10">
        <v>415</v>
      </c>
      <c r="Q16" s="10">
        <v>40</v>
      </c>
      <c r="R16" s="10">
        <v>0</v>
      </c>
      <c r="S16" s="10">
        <v>2812</v>
      </c>
      <c r="T16" s="14" t="b">
        <v>0</v>
      </c>
      <c r="U16" s="14" t="b">
        <v>0</v>
      </c>
      <c r="V16" s="14" t="b">
        <v>0</v>
      </c>
      <c r="W16" s="14" t="b">
        <v>0</v>
      </c>
      <c r="X16" s="14" t="b">
        <v>0</v>
      </c>
      <c r="Y16" s="55">
        <v>0</v>
      </c>
      <c r="Z16" s="55">
        <v>2.69</v>
      </c>
      <c r="AA16" s="55">
        <v>0.48</v>
      </c>
      <c r="AB16" s="55">
        <v>0</v>
      </c>
      <c r="AC16" s="55">
        <v>1.29</v>
      </c>
      <c r="AD16" s="55">
        <v>0</v>
      </c>
      <c r="AE16" s="55">
        <v>0.25</v>
      </c>
      <c r="AF16" s="55">
        <v>0.25</v>
      </c>
      <c r="AG16" s="55">
        <v>0</v>
      </c>
      <c r="AH16" s="55">
        <v>0.2</v>
      </c>
      <c r="AI1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1386.618971608608</v>
      </c>
      <c r="AN16" s="102">
        <f>SUM(VIEW_IV_2019_REP_CALCULO[[#This Row],[Premio-BERINERT]:[Premio-PRIVIGEN]])</f>
        <v>3423.8873889410606</v>
      </c>
      <c r="AX16" s="3"/>
      <c r="AY16" s="3"/>
      <c r="AZ16" s="3"/>
      <c r="BA16" s="3"/>
      <c r="BB16" s="3"/>
    </row>
    <row r="17" spans="1:54" hidden="1" x14ac:dyDescent="0.2">
      <c r="A17" s="7" t="s">
        <v>16</v>
      </c>
      <c r="B17" s="7" t="s">
        <v>17</v>
      </c>
      <c r="C17" s="7" t="s">
        <v>18</v>
      </c>
      <c r="D17" s="8" t="s">
        <v>165</v>
      </c>
      <c r="E17" s="8" t="s">
        <v>166</v>
      </c>
      <c r="F17" s="8" t="s">
        <v>557</v>
      </c>
      <c r="G17" s="8" t="s">
        <v>212</v>
      </c>
      <c r="H17" s="13" t="b">
        <v>1</v>
      </c>
      <c r="I17" s="13" t="b">
        <v>1</v>
      </c>
      <c r="J17" s="10">
        <v>0</v>
      </c>
      <c r="K17" s="10">
        <v>126</v>
      </c>
      <c r="L17" s="10">
        <v>132</v>
      </c>
      <c r="M17" s="10">
        <v>0</v>
      </c>
      <c r="N17" s="10">
        <v>1305</v>
      </c>
      <c r="O17" s="10">
        <v>0</v>
      </c>
      <c r="P17" s="10">
        <v>171</v>
      </c>
      <c r="Q17" s="10">
        <v>497</v>
      </c>
      <c r="R17" s="10">
        <v>0</v>
      </c>
      <c r="S17" s="10">
        <v>848</v>
      </c>
      <c r="T17" s="14" t="b">
        <v>0</v>
      </c>
      <c r="U17" s="14" t="b">
        <v>0</v>
      </c>
      <c r="V17" s="14" t="b">
        <v>0</v>
      </c>
      <c r="W17" s="14" t="b">
        <v>0</v>
      </c>
      <c r="X17" s="14" t="b">
        <v>0</v>
      </c>
      <c r="Y17" s="55">
        <v>0</v>
      </c>
      <c r="Z17" s="55">
        <v>1.36</v>
      </c>
      <c r="AA17" s="55">
        <v>3.77</v>
      </c>
      <c r="AB17" s="55">
        <v>0</v>
      </c>
      <c r="AC17" s="55">
        <v>0.65</v>
      </c>
      <c r="AD17" s="55">
        <v>0</v>
      </c>
      <c r="AE17" s="55">
        <v>0.25</v>
      </c>
      <c r="AF17" s="55">
        <v>0.25</v>
      </c>
      <c r="AG17" s="55">
        <v>0</v>
      </c>
      <c r="AH17" s="55">
        <v>0.2</v>
      </c>
      <c r="AI1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1833.469459903019</v>
      </c>
      <c r="AK1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" s="102">
        <f>SUM(VIEW_IV_2019_REP_CALCULO[[#This Row],[Premio-BERINERT]:[Premio-PRIVIGEN]])</f>
        <v>3870.7378772354718</v>
      </c>
      <c r="AX17" s="3"/>
      <c r="AY17" s="3"/>
      <c r="AZ17" s="3"/>
      <c r="BA17" s="3"/>
      <c r="BB17" s="3"/>
    </row>
    <row r="18" spans="1:54" hidden="1" x14ac:dyDescent="0.2">
      <c r="A18" s="7" t="s">
        <v>16</v>
      </c>
      <c r="B18" s="7" t="s">
        <v>17</v>
      </c>
      <c r="C18" s="7" t="s">
        <v>18</v>
      </c>
      <c r="D18" s="8" t="s">
        <v>167</v>
      </c>
      <c r="E18" s="8" t="s">
        <v>168</v>
      </c>
      <c r="F18" s="8" t="s">
        <v>557</v>
      </c>
      <c r="G18" s="8" t="s">
        <v>212</v>
      </c>
      <c r="H18" s="13" t="b">
        <v>1</v>
      </c>
      <c r="I18" s="13" t="b">
        <v>1</v>
      </c>
      <c r="J18" s="10">
        <v>0</v>
      </c>
      <c r="K18" s="10">
        <v>112</v>
      </c>
      <c r="L18" s="10">
        <v>84</v>
      </c>
      <c r="M18" s="10">
        <v>0</v>
      </c>
      <c r="N18" s="10">
        <v>2610</v>
      </c>
      <c r="O18" s="10">
        <v>0</v>
      </c>
      <c r="P18" s="10">
        <v>115</v>
      </c>
      <c r="Q18" s="10">
        <v>29</v>
      </c>
      <c r="R18" s="10">
        <v>0</v>
      </c>
      <c r="S18" s="10">
        <v>2410</v>
      </c>
      <c r="T18" s="14" t="b">
        <v>0</v>
      </c>
      <c r="U18" s="14" t="b">
        <v>0</v>
      </c>
      <c r="V18" s="14" t="b">
        <v>0</v>
      </c>
      <c r="W18" s="14" t="b">
        <v>0</v>
      </c>
      <c r="X18" s="14" t="b">
        <v>0</v>
      </c>
      <c r="Y18" s="55">
        <v>0</v>
      </c>
      <c r="Z18" s="55">
        <v>1.03</v>
      </c>
      <c r="AA18" s="55">
        <v>0.35</v>
      </c>
      <c r="AB18" s="55">
        <v>0</v>
      </c>
      <c r="AC18" s="55">
        <v>0.92</v>
      </c>
      <c r="AD18" s="55">
        <v>0</v>
      </c>
      <c r="AE18" s="55">
        <v>0.25</v>
      </c>
      <c r="AF18" s="55">
        <v>0.25</v>
      </c>
      <c r="AG18" s="55">
        <v>0</v>
      </c>
      <c r="AH18" s="55">
        <v>0.2</v>
      </c>
      <c r="AI1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925.7852498231963</v>
      </c>
      <c r="AK1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497.59830370243839</v>
      </c>
      <c r="AN18" s="102">
        <f>SUM(VIEW_IV_2019_REP_CALCULO[[#This Row],[Premio-BERINERT]:[Premio-PRIVIGEN]])</f>
        <v>1423.3835535256346</v>
      </c>
      <c r="AX18" s="3"/>
      <c r="AY18" s="3"/>
      <c r="AZ18" s="3"/>
      <c r="BA18" s="3"/>
      <c r="BB18" s="3"/>
    </row>
    <row r="19" spans="1:54" hidden="1" x14ac:dyDescent="0.2">
      <c r="A19" s="7" t="s">
        <v>16</v>
      </c>
      <c r="B19" s="7" t="s">
        <v>17</v>
      </c>
      <c r="C19" s="7" t="s">
        <v>18</v>
      </c>
      <c r="D19" s="8" t="s">
        <v>169</v>
      </c>
      <c r="E19" s="8" t="s">
        <v>170</v>
      </c>
      <c r="F19" s="8" t="s">
        <v>557</v>
      </c>
      <c r="G19" s="8" t="s">
        <v>212</v>
      </c>
      <c r="H19" s="13" t="b">
        <v>1</v>
      </c>
      <c r="I19" s="13" t="b">
        <v>1</v>
      </c>
      <c r="J19" s="10">
        <v>0</v>
      </c>
      <c r="K19" s="10">
        <v>140</v>
      </c>
      <c r="L19" s="10">
        <v>48</v>
      </c>
      <c r="M19" s="10">
        <v>0</v>
      </c>
      <c r="N19" s="10">
        <v>1305</v>
      </c>
      <c r="O19" s="10">
        <v>0</v>
      </c>
      <c r="P19" s="10">
        <v>236</v>
      </c>
      <c r="Q19" s="10">
        <v>26</v>
      </c>
      <c r="R19" s="10">
        <v>0</v>
      </c>
      <c r="S19" s="10">
        <v>2470</v>
      </c>
      <c r="T19" s="14" t="b">
        <v>0</v>
      </c>
      <c r="U19" s="14" t="b">
        <v>0</v>
      </c>
      <c r="V19" s="14" t="b">
        <v>0</v>
      </c>
      <c r="W19" s="14" t="b">
        <v>0</v>
      </c>
      <c r="X19" s="14" t="b">
        <v>0</v>
      </c>
      <c r="Y19" s="55">
        <v>0</v>
      </c>
      <c r="Z19" s="55">
        <v>1.69</v>
      </c>
      <c r="AA19" s="55">
        <v>0.54</v>
      </c>
      <c r="AB19" s="55">
        <v>0</v>
      </c>
      <c r="AC19" s="55">
        <v>1.89</v>
      </c>
      <c r="AD19" s="55">
        <v>0</v>
      </c>
      <c r="AE19" s="55">
        <v>0.25</v>
      </c>
      <c r="AF19" s="55">
        <v>0.25</v>
      </c>
      <c r="AG19" s="55">
        <v>0</v>
      </c>
      <c r="AH19" s="55">
        <v>0.2</v>
      </c>
      <c r="AI1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9" s="102">
        <f>SUM(VIEW_IV_2019_REP_CALCULO[[#This Row],[Premio-BERINERT]:[Premio-PRIVIGEN]])</f>
        <v>3667.0831511984152</v>
      </c>
      <c r="AX19" s="3"/>
      <c r="AY19" s="3"/>
      <c r="AZ19" s="3"/>
      <c r="BA19" s="3"/>
      <c r="BB19" s="3"/>
    </row>
    <row r="20" spans="1:54" hidden="1" x14ac:dyDescent="0.2">
      <c r="A20" s="7" t="s">
        <v>16</v>
      </c>
      <c r="B20" s="7" t="s">
        <v>17</v>
      </c>
      <c r="C20" s="7" t="s">
        <v>18</v>
      </c>
      <c r="D20" s="8" t="s">
        <v>173</v>
      </c>
      <c r="E20" s="8" t="s">
        <v>174</v>
      </c>
      <c r="F20" s="8" t="s">
        <v>557</v>
      </c>
      <c r="G20" s="8" t="s">
        <v>206</v>
      </c>
      <c r="H20" s="13" t="b">
        <v>1</v>
      </c>
      <c r="I20" s="13" t="b">
        <v>1</v>
      </c>
      <c r="J20" s="10">
        <v>0</v>
      </c>
      <c r="K20" s="10">
        <v>84</v>
      </c>
      <c r="L20" s="10">
        <v>72</v>
      </c>
      <c r="M20" s="10">
        <v>0</v>
      </c>
      <c r="N20" s="10">
        <v>2175</v>
      </c>
      <c r="O20" s="10">
        <v>0</v>
      </c>
      <c r="P20" s="10">
        <v>99</v>
      </c>
      <c r="Q20" s="10">
        <v>40</v>
      </c>
      <c r="R20" s="10">
        <v>0</v>
      </c>
      <c r="S20" s="10">
        <v>3072</v>
      </c>
      <c r="T20" s="14" t="b">
        <v>0</v>
      </c>
      <c r="U20" s="14" t="b">
        <v>0</v>
      </c>
      <c r="V20" s="14" t="b">
        <v>0</v>
      </c>
      <c r="W20" s="14" t="b">
        <v>0</v>
      </c>
      <c r="X20" s="14" t="b">
        <v>0</v>
      </c>
      <c r="Y20" s="55">
        <v>0</v>
      </c>
      <c r="Z20" s="55">
        <v>1.18</v>
      </c>
      <c r="AA20" s="55">
        <v>0.56000000000000005</v>
      </c>
      <c r="AB20" s="55">
        <v>0</v>
      </c>
      <c r="AC20" s="55">
        <v>1.41</v>
      </c>
      <c r="AD20" s="55">
        <v>0</v>
      </c>
      <c r="AE20" s="55">
        <v>0.25</v>
      </c>
      <c r="AF20" s="55">
        <v>0.25</v>
      </c>
      <c r="AG20" s="55">
        <v>0</v>
      </c>
      <c r="AH20" s="55">
        <v>0.2</v>
      </c>
      <c r="AI2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1334.6812472134623</v>
      </c>
      <c r="AK2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1527.2013097589761</v>
      </c>
      <c r="AN20" s="102">
        <f>SUM(VIEW_IV_2019_REP_CALCULO[[#This Row],[Premio-BERINERT]:[Premio-PRIVIGEN]])</f>
        <v>2861.8825569724386</v>
      </c>
      <c r="AX20" s="3"/>
      <c r="AY20" s="3"/>
      <c r="AZ20" s="3"/>
      <c r="BA20" s="3"/>
      <c r="BB20" s="3"/>
    </row>
    <row r="21" spans="1:54" hidden="1" x14ac:dyDescent="0.2">
      <c r="A21" s="7" t="s">
        <v>16</v>
      </c>
      <c r="B21" s="7" t="s">
        <v>17</v>
      </c>
      <c r="C21" s="7" t="s">
        <v>18</v>
      </c>
      <c r="D21" s="8" t="s">
        <v>177</v>
      </c>
      <c r="E21" s="8" t="s">
        <v>178</v>
      </c>
      <c r="F21" s="8" t="s">
        <v>557</v>
      </c>
      <c r="G21" s="8" t="s">
        <v>208</v>
      </c>
      <c r="H21" s="13" t="b">
        <v>1</v>
      </c>
      <c r="I21" s="13" t="b">
        <v>1</v>
      </c>
      <c r="J21" s="10">
        <v>0</v>
      </c>
      <c r="K21" s="10">
        <v>98</v>
      </c>
      <c r="L21" s="10">
        <v>120</v>
      </c>
      <c r="M21" s="10">
        <v>0</v>
      </c>
      <c r="N21" s="10">
        <v>3915</v>
      </c>
      <c r="O21" s="10">
        <v>0</v>
      </c>
      <c r="P21" s="10">
        <v>105</v>
      </c>
      <c r="Q21" s="10">
        <v>65</v>
      </c>
      <c r="R21" s="10">
        <v>0</v>
      </c>
      <c r="S21" s="10">
        <v>4315</v>
      </c>
      <c r="T21" s="14" t="b">
        <v>0</v>
      </c>
      <c r="U21" s="14" t="b">
        <v>0</v>
      </c>
      <c r="V21" s="14" t="b">
        <v>0</v>
      </c>
      <c r="W21" s="14" t="b">
        <v>0</v>
      </c>
      <c r="X21" s="14" t="b">
        <v>0</v>
      </c>
      <c r="Y21" s="55">
        <v>0</v>
      </c>
      <c r="Z21" s="55">
        <v>1.07</v>
      </c>
      <c r="AA21" s="55">
        <v>0.54</v>
      </c>
      <c r="AB21" s="55">
        <v>0</v>
      </c>
      <c r="AC21" s="55">
        <v>1.1000000000000001</v>
      </c>
      <c r="AD21" s="55">
        <v>0</v>
      </c>
      <c r="AE21" s="55">
        <v>0.25</v>
      </c>
      <c r="AF21" s="55">
        <v>0.25</v>
      </c>
      <c r="AG21" s="55">
        <v>0</v>
      </c>
      <c r="AH21" s="55">
        <v>0.2</v>
      </c>
      <c r="AI2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958.23731310813787</v>
      </c>
      <c r="AK2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1000.244706138091</v>
      </c>
      <c r="AN21" s="102">
        <f>SUM(VIEW_IV_2019_REP_CALCULO[[#This Row],[Premio-BERINERT]:[Premio-PRIVIGEN]])</f>
        <v>1958.4820192462289</v>
      </c>
      <c r="AX21" s="3"/>
      <c r="AY21" s="3"/>
      <c r="AZ21" s="3"/>
      <c r="BA21" s="3"/>
      <c r="BB21" s="3"/>
    </row>
    <row r="22" spans="1:54" hidden="1" x14ac:dyDescent="0.2">
      <c r="A22" s="7" t="s">
        <v>16</v>
      </c>
      <c r="B22" s="7" t="s">
        <v>17</v>
      </c>
      <c r="C22" s="7" t="s">
        <v>18</v>
      </c>
      <c r="D22" s="8" t="s">
        <v>181</v>
      </c>
      <c r="E22" s="8" t="s">
        <v>182</v>
      </c>
      <c r="F22" s="8" t="s">
        <v>557</v>
      </c>
      <c r="G22" s="8" t="s">
        <v>206</v>
      </c>
      <c r="H22" s="13" t="b">
        <v>1</v>
      </c>
      <c r="I22" s="13" t="b">
        <v>1</v>
      </c>
      <c r="J22" s="10">
        <v>0</v>
      </c>
      <c r="K22" s="10">
        <v>154</v>
      </c>
      <c r="L22" s="10">
        <v>144</v>
      </c>
      <c r="M22" s="10">
        <v>0</v>
      </c>
      <c r="N22" s="10">
        <v>3480</v>
      </c>
      <c r="O22" s="10">
        <v>0</v>
      </c>
      <c r="P22" s="10">
        <v>358</v>
      </c>
      <c r="Q22" s="10">
        <v>440</v>
      </c>
      <c r="R22" s="10">
        <v>0</v>
      </c>
      <c r="S22" s="10">
        <v>5280</v>
      </c>
      <c r="T22" s="14" t="b">
        <v>0</v>
      </c>
      <c r="U22" s="14" t="b">
        <v>0</v>
      </c>
      <c r="V22" s="14" t="b">
        <v>0</v>
      </c>
      <c r="W22" s="14" t="b">
        <v>0</v>
      </c>
      <c r="X22" s="14" t="b">
        <v>0</v>
      </c>
      <c r="Y22" s="55">
        <v>0</v>
      </c>
      <c r="Z22" s="55">
        <v>2.3199999999999998</v>
      </c>
      <c r="AA22" s="55">
        <v>3.06</v>
      </c>
      <c r="AB22" s="55">
        <v>0</v>
      </c>
      <c r="AC22" s="55">
        <v>1.52</v>
      </c>
      <c r="AD22" s="55">
        <v>0</v>
      </c>
      <c r="AE22" s="55">
        <v>0.25</v>
      </c>
      <c r="AF22" s="55">
        <v>0.25</v>
      </c>
      <c r="AG22" s="55">
        <v>0</v>
      </c>
      <c r="AH22" s="55">
        <v>0.2</v>
      </c>
      <c r="AI2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2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2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2" s="102">
        <f>SUM(VIEW_IV_2019_REP_CALCULO[[#This Row],[Premio-BERINERT]:[Premio-PRIVIGEN]])</f>
        <v>5704.3515685308685</v>
      </c>
      <c r="AX22" s="3"/>
      <c r="AY22" s="3"/>
      <c r="AZ22" s="3"/>
      <c r="BA22" s="3"/>
      <c r="BB22" s="3"/>
    </row>
    <row r="23" spans="1:54" hidden="1" x14ac:dyDescent="0.2">
      <c r="A23" s="7" t="s">
        <v>16</v>
      </c>
      <c r="B23" s="7" t="s">
        <v>17</v>
      </c>
      <c r="C23" s="7" t="s">
        <v>18</v>
      </c>
      <c r="D23" s="8" t="s">
        <v>183</v>
      </c>
      <c r="E23" s="8" t="s">
        <v>184</v>
      </c>
      <c r="F23" s="8" t="s">
        <v>557</v>
      </c>
      <c r="G23" s="8" t="s">
        <v>208</v>
      </c>
      <c r="H23" s="13" t="b">
        <v>1</v>
      </c>
      <c r="I23" s="13" t="b">
        <v>1</v>
      </c>
      <c r="J23" s="10">
        <v>0</v>
      </c>
      <c r="K23" s="10">
        <v>126</v>
      </c>
      <c r="L23" s="10">
        <v>84</v>
      </c>
      <c r="M23" s="10">
        <v>0</v>
      </c>
      <c r="N23" s="10">
        <v>4785</v>
      </c>
      <c r="O23" s="10">
        <v>0</v>
      </c>
      <c r="P23" s="10">
        <v>150</v>
      </c>
      <c r="Q23" s="10">
        <v>97</v>
      </c>
      <c r="R23" s="10">
        <v>0</v>
      </c>
      <c r="S23" s="10">
        <v>10435</v>
      </c>
      <c r="T23" s="14" t="b">
        <v>0</v>
      </c>
      <c r="U23" s="14" t="b">
        <v>0</v>
      </c>
      <c r="V23" s="14" t="b">
        <v>0</v>
      </c>
      <c r="W23" s="14" t="b">
        <v>0</v>
      </c>
      <c r="X23" s="14" t="b">
        <v>0</v>
      </c>
      <c r="Y23" s="55">
        <v>0</v>
      </c>
      <c r="Z23" s="55">
        <v>1.19</v>
      </c>
      <c r="AA23" s="55">
        <v>1.1499999999999999</v>
      </c>
      <c r="AB23" s="55">
        <v>0</v>
      </c>
      <c r="AC23" s="55">
        <v>2.1800000000000002</v>
      </c>
      <c r="AD23" s="55">
        <v>0</v>
      </c>
      <c r="AE23" s="55">
        <v>0.25</v>
      </c>
      <c r="AF23" s="55">
        <v>0.25</v>
      </c>
      <c r="AG23" s="55">
        <v>0</v>
      </c>
      <c r="AH23" s="55">
        <v>0.2</v>
      </c>
      <c r="AI2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1345.2281677810688</v>
      </c>
      <c r="AK2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1303.0404855106451</v>
      </c>
      <c r="AL2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3" s="102">
        <f>SUM(VIEW_IV_2019_REP_CALCULO[[#This Row],[Premio-BERINERT]:[Premio-PRIVIGEN]])</f>
        <v>4278.083387157676</v>
      </c>
      <c r="AX23" s="3"/>
      <c r="AY23" s="3"/>
      <c r="AZ23" s="3"/>
      <c r="BA23" s="3"/>
      <c r="BB23" s="3"/>
    </row>
    <row r="24" spans="1:54" hidden="1" x14ac:dyDescent="0.2">
      <c r="A24" s="7" t="s">
        <v>16</v>
      </c>
      <c r="B24" s="7" t="s">
        <v>17</v>
      </c>
      <c r="C24" s="7" t="s">
        <v>18</v>
      </c>
      <c r="D24" s="8" t="s">
        <v>159</v>
      </c>
      <c r="E24" s="8" t="s">
        <v>160</v>
      </c>
      <c r="F24" s="8" t="s">
        <v>740</v>
      </c>
      <c r="G24" s="8" t="s">
        <v>206</v>
      </c>
      <c r="H24" s="13" t="b">
        <v>1</v>
      </c>
      <c r="I24" s="13" t="b">
        <v>1</v>
      </c>
      <c r="J24" s="10">
        <v>4</v>
      </c>
      <c r="K24" s="10">
        <v>56</v>
      </c>
      <c r="L24" s="10">
        <v>48</v>
      </c>
      <c r="M24" s="10">
        <v>102</v>
      </c>
      <c r="N24" s="10">
        <v>2610</v>
      </c>
      <c r="O24" s="10">
        <v>26</v>
      </c>
      <c r="P24" s="10">
        <v>0</v>
      </c>
      <c r="Q24" s="10">
        <v>22</v>
      </c>
      <c r="R24" s="10">
        <v>184</v>
      </c>
      <c r="S24" s="10">
        <v>3338</v>
      </c>
      <c r="T24" s="14" t="b">
        <v>0</v>
      </c>
      <c r="U24" s="14" t="b">
        <v>0</v>
      </c>
      <c r="V24" s="14" t="b">
        <v>0</v>
      </c>
      <c r="W24" s="14" t="b">
        <v>0</v>
      </c>
      <c r="X24" s="14" t="b">
        <v>0</v>
      </c>
      <c r="Y24" s="55">
        <v>5.78</v>
      </c>
      <c r="Z24" s="55">
        <v>0</v>
      </c>
      <c r="AA24" s="55">
        <v>0.46</v>
      </c>
      <c r="AB24" s="55">
        <v>1.8</v>
      </c>
      <c r="AC24" s="55">
        <v>1.28</v>
      </c>
      <c r="AD24" s="55">
        <v>0.05</v>
      </c>
      <c r="AE24" s="55">
        <v>0.15</v>
      </c>
      <c r="AF24" s="55">
        <v>0.15</v>
      </c>
      <c r="AG24" s="55">
        <v>0.2</v>
      </c>
      <c r="AH24" s="55">
        <v>0.15</v>
      </c>
      <c r="AI2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407.45368346649059</v>
      </c>
      <c r="AJ2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2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1032.3217678028516</v>
      </c>
      <c r="AN24" s="102">
        <f>SUM(VIEW_IV_2019_REP_CALCULO[[#This Row],[Premio-BERINERT]:[Premio-PRIVIGEN]])</f>
        <v>3069.5901851353046</v>
      </c>
      <c r="AX24" s="3"/>
      <c r="AY24" s="3"/>
      <c r="AZ24" s="3"/>
      <c r="BA24" s="3"/>
      <c r="BB24" s="3"/>
    </row>
    <row r="25" spans="1:54" hidden="1" x14ac:dyDescent="0.2">
      <c r="A25" s="7" t="s">
        <v>16</v>
      </c>
      <c r="B25" s="7" t="s">
        <v>17</v>
      </c>
      <c r="C25" s="7" t="s">
        <v>18</v>
      </c>
      <c r="D25" s="8" t="s">
        <v>201</v>
      </c>
      <c r="E25" s="8" t="s">
        <v>202</v>
      </c>
      <c r="F25" s="8" t="s">
        <v>740</v>
      </c>
      <c r="G25" s="8" t="s">
        <v>212</v>
      </c>
      <c r="H25" s="13" t="b">
        <v>1</v>
      </c>
      <c r="I25" s="13" t="b">
        <v>1</v>
      </c>
      <c r="J25" s="10">
        <v>15</v>
      </c>
      <c r="K25" s="10">
        <v>28</v>
      </c>
      <c r="L25" s="10">
        <v>12</v>
      </c>
      <c r="M25" s="10">
        <v>561</v>
      </c>
      <c r="N25" s="10">
        <v>1305</v>
      </c>
      <c r="O25" s="10">
        <v>0</v>
      </c>
      <c r="P25" s="10">
        <v>3</v>
      </c>
      <c r="Q25" s="10">
        <v>3</v>
      </c>
      <c r="R25" s="10">
        <v>355</v>
      </c>
      <c r="S25" s="10">
        <v>2845</v>
      </c>
      <c r="T25" s="14" t="b">
        <v>0</v>
      </c>
      <c r="U25" s="14" t="b">
        <v>0</v>
      </c>
      <c r="V25" s="14" t="b">
        <v>0</v>
      </c>
      <c r="W25" s="14" t="b">
        <v>0</v>
      </c>
      <c r="X25" s="14" t="b">
        <v>0</v>
      </c>
      <c r="Y25" s="55">
        <v>0</v>
      </c>
      <c r="Z25" s="55">
        <v>0.11</v>
      </c>
      <c r="AA25" s="55">
        <v>0.25</v>
      </c>
      <c r="AB25" s="55">
        <v>0.63</v>
      </c>
      <c r="AC25" s="55">
        <v>2.1800000000000002</v>
      </c>
      <c r="AD25" s="55">
        <v>0.05</v>
      </c>
      <c r="AE25" s="55">
        <v>0.15</v>
      </c>
      <c r="AF25" s="55">
        <v>0.15</v>
      </c>
      <c r="AG25" s="55">
        <v>0.2</v>
      </c>
      <c r="AH25" s="55">
        <v>0.15</v>
      </c>
      <c r="AI2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25" s="102">
        <f>SUM(VIEW_IV_2019_REP_CALCULO[[#This Row],[Premio-BERINERT]:[Premio-PRIVIGEN]])</f>
        <v>1222.3610503994717</v>
      </c>
      <c r="AX25" s="3"/>
      <c r="AY25" s="3"/>
      <c r="AZ25" s="3"/>
      <c r="BA25" s="3"/>
      <c r="BB25" s="3"/>
    </row>
    <row r="26" spans="1:54" hidden="1" x14ac:dyDescent="0.2">
      <c r="A26" s="7" t="s">
        <v>16</v>
      </c>
      <c r="B26" s="7" t="s">
        <v>21</v>
      </c>
      <c r="C26" s="7" t="s">
        <v>18</v>
      </c>
      <c r="D26" s="8" t="s">
        <v>151</v>
      </c>
      <c r="E26" s="8" t="s">
        <v>152</v>
      </c>
      <c r="F26" s="8" t="s">
        <v>556</v>
      </c>
      <c r="G26" s="8" t="s">
        <v>208</v>
      </c>
      <c r="H26" s="13" t="b">
        <v>1</v>
      </c>
      <c r="I26" s="13" t="b">
        <v>1</v>
      </c>
      <c r="J26" s="10">
        <v>15</v>
      </c>
      <c r="K26" s="10">
        <v>0</v>
      </c>
      <c r="L26" s="10">
        <v>0</v>
      </c>
      <c r="M26" s="10">
        <v>1027</v>
      </c>
      <c r="N26" s="10">
        <v>6090</v>
      </c>
      <c r="O26" s="10">
        <v>26</v>
      </c>
      <c r="P26" s="10">
        <v>0</v>
      </c>
      <c r="Q26" s="10">
        <v>0</v>
      </c>
      <c r="R26" s="10">
        <v>584</v>
      </c>
      <c r="S26" s="10">
        <v>6290</v>
      </c>
      <c r="T26" s="14" t="b">
        <v>0</v>
      </c>
      <c r="U26" s="14" t="b">
        <v>0</v>
      </c>
      <c r="V26" s="14" t="b">
        <v>0</v>
      </c>
      <c r="W26" s="14" t="b">
        <v>0</v>
      </c>
      <c r="X26" s="14" t="b">
        <v>0</v>
      </c>
      <c r="Y26" s="55">
        <v>1.73</v>
      </c>
      <c r="Z26" s="55">
        <v>0</v>
      </c>
      <c r="AA26" s="55">
        <v>0</v>
      </c>
      <c r="AB26" s="55">
        <v>0.56999999999999995</v>
      </c>
      <c r="AC26" s="55">
        <v>1.03</v>
      </c>
      <c r="AD26" s="55">
        <v>0.1</v>
      </c>
      <c r="AE26" s="55">
        <v>0</v>
      </c>
      <c r="AF26" s="55">
        <v>0</v>
      </c>
      <c r="AG26" s="55">
        <v>0.4</v>
      </c>
      <c r="AH26" s="55">
        <v>0.2</v>
      </c>
      <c r="AI2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2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740.62819985855708</v>
      </c>
      <c r="AN26" s="102">
        <f>SUM(VIEW_IV_2019_REP_CALCULO[[#This Row],[Premio-BERINERT]:[Premio-PRIVIGEN]])</f>
        <v>1555.5355667915383</v>
      </c>
      <c r="AX26" s="3"/>
      <c r="AY26" s="3"/>
      <c r="AZ26" s="3"/>
      <c r="BA26" s="3"/>
      <c r="BB26" s="3"/>
    </row>
    <row r="27" spans="1:54" hidden="1" x14ac:dyDescent="0.2">
      <c r="A27" s="7" t="s">
        <v>16</v>
      </c>
      <c r="B27" s="7" t="s">
        <v>21</v>
      </c>
      <c r="C27" s="7" t="s">
        <v>18</v>
      </c>
      <c r="D27" s="8" t="s">
        <v>1355</v>
      </c>
      <c r="E27" s="8" t="s">
        <v>1356</v>
      </c>
      <c r="F27" s="8" t="s">
        <v>556</v>
      </c>
      <c r="G27" s="8" t="s">
        <v>208</v>
      </c>
      <c r="H27" s="13" t="b">
        <v>1</v>
      </c>
      <c r="I27" s="13" t="b">
        <v>1</v>
      </c>
      <c r="J27" s="10">
        <v>15</v>
      </c>
      <c r="K27" s="10">
        <v>0</v>
      </c>
      <c r="L27" s="10">
        <v>0</v>
      </c>
      <c r="M27" s="10">
        <v>725</v>
      </c>
      <c r="N27" s="10">
        <v>5655</v>
      </c>
      <c r="O27" s="10">
        <v>0</v>
      </c>
      <c r="P27" s="10">
        <v>0</v>
      </c>
      <c r="Q27" s="10">
        <v>0</v>
      </c>
      <c r="R27" s="10">
        <v>201</v>
      </c>
      <c r="S27" s="10">
        <v>29102</v>
      </c>
      <c r="T27" s="14" t="b">
        <v>0</v>
      </c>
      <c r="U27" s="14" t="b">
        <v>0</v>
      </c>
      <c r="V27" s="14" t="b">
        <v>0</v>
      </c>
      <c r="W27" s="14" t="b">
        <v>0</v>
      </c>
      <c r="X27" s="14" t="b">
        <v>0</v>
      </c>
      <c r="Y27" s="55">
        <v>0</v>
      </c>
      <c r="Z27" s="55">
        <v>0</v>
      </c>
      <c r="AA27" s="55">
        <v>0</v>
      </c>
      <c r="AB27" s="55">
        <v>0.28000000000000003</v>
      </c>
      <c r="AC27" s="55">
        <v>5.15</v>
      </c>
      <c r="AD27" s="55">
        <v>0.1</v>
      </c>
      <c r="AE27" s="55">
        <v>0</v>
      </c>
      <c r="AF27" s="55">
        <v>0</v>
      </c>
      <c r="AG27" s="55">
        <v>0.4</v>
      </c>
      <c r="AH27" s="55">
        <v>0.2</v>
      </c>
      <c r="AI2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27" s="102">
        <f>SUM(VIEW_IV_2019_REP_CALCULO[[#This Row],[Premio-BERINERT]:[Premio-PRIVIGEN]])</f>
        <v>1629.8147338659624</v>
      </c>
      <c r="AX27" s="3"/>
      <c r="AY27" s="3"/>
      <c r="AZ27" s="3"/>
      <c r="BA27" s="3"/>
      <c r="BB27" s="3"/>
    </row>
    <row r="28" spans="1:54" hidden="1" x14ac:dyDescent="0.2">
      <c r="A28" s="7" t="s">
        <v>16</v>
      </c>
      <c r="B28" s="7" t="s">
        <v>21</v>
      </c>
      <c r="C28" s="7" t="s">
        <v>18</v>
      </c>
      <c r="D28" s="8" t="s">
        <v>155</v>
      </c>
      <c r="E28" s="8" t="s">
        <v>156</v>
      </c>
      <c r="F28" s="8" t="s">
        <v>556</v>
      </c>
      <c r="G28" s="8" t="s">
        <v>206</v>
      </c>
      <c r="H28" s="13" t="b">
        <v>1</v>
      </c>
      <c r="I28" s="13" t="b">
        <v>1</v>
      </c>
      <c r="J28" s="10">
        <v>10</v>
      </c>
      <c r="K28" s="10">
        <v>0</v>
      </c>
      <c r="L28" s="10">
        <v>0</v>
      </c>
      <c r="M28" s="10">
        <v>1268</v>
      </c>
      <c r="N28" s="10">
        <v>5655</v>
      </c>
      <c r="O28" s="10">
        <v>0</v>
      </c>
      <c r="P28" s="10">
        <v>0</v>
      </c>
      <c r="Q28" s="10">
        <v>0</v>
      </c>
      <c r="R28" s="10">
        <v>968</v>
      </c>
      <c r="S28" s="10">
        <v>7588</v>
      </c>
      <c r="T28" s="14" t="b">
        <v>0</v>
      </c>
      <c r="U28" s="14" t="b">
        <v>0</v>
      </c>
      <c r="V28" s="14" t="b">
        <v>0</v>
      </c>
      <c r="W28" s="14" t="b">
        <v>0</v>
      </c>
      <c r="X28" s="14" t="b">
        <v>0</v>
      </c>
      <c r="Y28" s="55">
        <v>0</v>
      </c>
      <c r="Z28" s="55">
        <v>0</v>
      </c>
      <c r="AA28" s="55">
        <v>0</v>
      </c>
      <c r="AB28" s="55">
        <v>0.76</v>
      </c>
      <c r="AC28" s="55">
        <v>1.34</v>
      </c>
      <c r="AD28" s="55">
        <v>0.1</v>
      </c>
      <c r="AE28" s="55">
        <v>0</v>
      </c>
      <c r="AF28" s="55">
        <v>0</v>
      </c>
      <c r="AG28" s="55">
        <v>0.4</v>
      </c>
      <c r="AH28" s="55">
        <v>0.2</v>
      </c>
      <c r="AI2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1446.2658639263325</v>
      </c>
      <c r="AN28" s="102">
        <f>SUM(VIEW_IV_2019_REP_CALCULO[[#This Row],[Premio-BERINERT]:[Premio-PRIVIGEN]])</f>
        <v>1446.2658639263325</v>
      </c>
      <c r="AX28" s="3"/>
      <c r="AY28" s="3"/>
      <c r="AZ28" s="3"/>
      <c r="BA28" s="3"/>
      <c r="BB28" s="3"/>
    </row>
    <row r="29" spans="1:54" hidden="1" x14ac:dyDescent="0.2">
      <c r="A29" s="7" t="s">
        <v>16</v>
      </c>
      <c r="B29" s="7" t="s">
        <v>21</v>
      </c>
      <c r="C29" s="7" t="s">
        <v>18</v>
      </c>
      <c r="D29" s="8" t="s">
        <v>161</v>
      </c>
      <c r="E29" s="8" t="s">
        <v>162</v>
      </c>
      <c r="F29" s="8" t="s">
        <v>556</v>
      </c>
      <c r="G29" s="8" t="s">
        <v>208</v>
      </c>
      <c r="H29" s="13" t="b">
        <v>1</v>
      </c>
      <c r="I29" s="13" t="b">
        <v>1</v>
      </c>
      <c r="J29" s="10">
        <v>15</v>
      </c>
      <c r="K29" s="10">
        <v>0</v>
      </c>
      <c r="L29" s="10">
        <v>0</v>
      </c>
      <c r="M29" s="10">
        <v>725</v>
      </c>
      <c r="N29" s="10">
        <v>6090</v>
      </c>
      <c r="O29" s="10">
        <v>1</v>
      </c>
      <c r="P29" s="10">
        <v>0</v>
      </c>
      <c r="Q29" s="10">
        <v>0</v>
      </c>
      <c r="R29" s="10">
        <v>434</v>
      </c>
      <c r="S29" s="10">
        <v>8950</v>
      </c>
      <c r="T29" s="14" t="b">
        <v>0</v>
      </c>
      <c r="U29" s="14" t="b">
        <v>0</v>
      </c>
      <c r="V29" s="14" t="b">
        <v>0</v>
      </c>
      <c r="W29" s="14" t="b">
        <v>0</v>
      </c>
      <c r="X29" s="14" t="b">
        <v>0</v>
      </c>
      <c r="Y29" s="55">
        <v>7.0000000000000007E-2</v>
      </c>
      <c r="Z29" s="55">
        <v>0</v>
      </c>
      <c r="AA29" s="55">
        <v>0</v>
      </c>
      <c r="AB29" s="55">
        <v>0.6</v>
      </c>
      <c r="AC29" s="55">
        <v>1.47</v>
      </c>
      <c r="AD29" s="55">
        <v>0.1</v>
      </c>
      <c r="AE29" s="55">
        <v>0</v>
      </c>
      <c r="AF29" s="55">
        <v>0</v>
      </c>
      <c r="AG29" s="55">
        <v>0.4</v>
      </c>
      <c r="AH29" s="55">
        <v>0.2</v>
      </c>
      <c r="AI2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1589.1198465066457</v>
      </c>
      <c r="AN29" s="102">
        <f>SUM(VIEW_IV_2019_REP_CALCULO[[#This Row],[Premio-BERINERT]:[Premio-PRIVIGEN]])</f>
        <v>1589.1198465066457</v>
      </c>
      <c r="AX29" s="3"/>
      <c r="AY29" s="3"/>
      <c r="AZ29" s="3"/>
      <c r="BA29" s="3"/>
      <c r="BB29" s="3"/>
    </row>
    <row r="30" spans="1:54" hidden="1" x14ac:dyDescent="0.2">
      <c r="A30" s="7" t="s">
        <v>16</v>
      </c>
      <c r="B30" s="7" t="s">
        <v>21</v>
      </c>
      <c r="C30" s="7" t="s">
        <v>18</v>
      </c>
      <c r="D30" s="8" t="s">
        <v>175</v>
      </c>
      <c r="E30" s="8" t="s">
        <v>176</v>
      </c>
      <c r="F30" s="8" t="s">
        <v>556</v>
      </c>
      <c r="G30" s="8" t="s">
        <v>206</v>
      </c>
      <c r="H30" s="13" t="b">
        <v>1</v>
      </c>
      <c r="I30" s="13" t="b">
        <v>1</v>
      </c>
      <c r="J30" s="10">
        <v>38</v>
      </c>
      <c r="K30" s="10">
        <v>0</v>
      </c>
      <c r="L30" s="10">
        <v>0</v>
      </c>
      <c r="M30" s="10">
        <v>785</v>
      </c>
      <c r="N30" s="10">
        <v>8700</v>
      </c>
      <c r="O30" s="10">
        <v>84</v>
      </c>
      <c r="P30" s="10">
        <v>0</v>
      </c>
      <c r="Q30" s="10">
        <v>0</v>
      </c>
      <c r="R30" s="10">
        <v>630</v>
      </c>
      <c r="S30" s="10">
        <v>15190</v>
      </c>
      <c r="T30" s="14" t="b">
        <v>0</v>
      </c>
      <c r="U30" s="14" t="b">
        <v>0</v>
      </c>
      <c r="V30" s="14" t="b">
        <v>0</v>
      </c>
      <c r="W30" s="14" t="b">
        <v>0</v>
      </c>
      <c r="X30" s="14" t="b">
        <v>0</v>
      </c>
      <c r="Y30" s="55">
        <v>2.2400000000000002</v>
      </c>
      <c r="Z30" s="55">
        <v>0</v>
      </c>
      <c r="AA30" s="55">
        <v>0</v>
      </c>
      <c r="AB30" s="55">
        <v>0.8</v>
      </c>
      <c r="AC30" s="55">
        <v>1.75</v>
      </c>
      <c r="AD30" s="55">
        <v>0.1</v>
      </c>
      <c r="AE30" s="55">
        <v>0</v>
      </c>
      <c r="AF30" s="55">
        <v>0</v>
      </c>
      <c r="AG30" s="55">
        <v>0.4</v>
      </c>
      <c r="AH30" s="55">
        <v>0.2</v>
      </c>
      <c r="AI3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3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576.9255695100735</v>
      </c>
      <c r="AM3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0" s="102">
        <f>SUM(VIEW_IV_2019_REP_CALCULO[[#This Row],[Premio-BERINERT]:[Premio-PRIVIGEN]])</f>
        <v>3021.647670309017</v>
      </c>
      <c r="AX30" s="3"/>
      <c r="AY30" s="3"/>
      <c r="AZ30" s="3"/>
      <c r="BA30" s="3"/>
      <c r="BB30" s="3"/>
    </row>
    <row r="31" spans="1:54" hidden="1" x14ac:dyDescent="0.2">
      <c r="A31" s="7" t="s">
        <v>16</v>
      </c>
      <c r="B31" s="7" t="s">
        <v>21</v>
      </c>
      <c r="C31" s="7" t="s">
        <v>18</v>
      </c>
      <c r="D31" s="8" t="s">
        <v>199</v>
      </c>
      <c r="E31" s="8" t="s">
        <v>200</v>
      </c>
      <c r="F31" s="8" t="s">
        <v>556</v>
      </c>
      <c r="G31" s="8" t="s">
        <v>212</v>
      </c>
      <c r="H31" s="13" t="b">
        <v>1</v>
      </c>
      <c r="I31" s="13" t="b">
        <v>1</v>
      </c>
      <c r="J31" s="10">
        <v>38</v>
      </c>
      <c r="K31" s="10">
        <v>0</v>
      </c>
      <c r="L31" s="10">
        <v>0</v>
      </c>
      <c r="M31" s="10">
        <v>725</v>
      </c>
      <c r="N31" s="10">
        <v>5220</v>
      </c>
      <c r="O31" s="10">
        <v>14</v>
      </c>
      <c r="P31" s="10">
        <v>0</v>
      </c>
      <c r="Q31" s="10">
        <v>0</v>
      </c>
      <c r="R31" s="10">
        <v>247</v>
      </c>
      <c r="S31" s="10">
        <v>9635</v>
      </c>
      <c r="T31" s="14" t="b">
        <v>0</v>
      </c>
      <c r="U31" s="14" t="b">
        <v>0</v>
      </c>
      <c r="V31" s="14" t="b">
        <v>0</v>
      </c>
      <c r="W31" s="14" t="b">
        <v>0</v>
      </c>
      <c r="X31" s="14" t="b">
        <v>0</v>
      </c>
      <c r="Y31" s="55">
        <v>0.37</v>
      </c>
      <c r="Z31" s="55">
        <v>0</v>
      </c>
      <c r="AA31" s="55">
        <v>0</v>
      </c>
      <c r="AB31" s="55">
        <v>0.34</v>
      </c>
      <c r="AC31" s="55">
        <v>1.85</v>
      </c>
      <c r="AD31" s="55">
        <v>0.1</v>
      </c>
      <c r="AE31" s="55">
        <v>0</v>
      </c>
      <c r="AF31" s="55">
        <v>0</v>
      </c>
      <c r="AG31" s="55">
        <v>0.4</v>
      </c>
      <c r="AH31" s="55">
        <v>0.2</v>
      </c>
      <c r="AI3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1" s="102">
        <f>SUM(VIEW_IV_2019_REP_CALCULO[[#This Row],[Premio-BERINERT]:[Premio-PRIVIGEN]])</f>
        <v>1629.8147338659624</v>
      </c>
      <c r="AX31" s="3"/>
      <c r="AY31" s="3"/>
      <c r="AZ31" s="3"/>
      <c r="BA31" s="3"/>
      <c r="BB31" s="3"/>
    </row>
    <row r="32" spans="1:54" hidden="1" x14ac:dyDescent="0.2">
      <c r="A32" s="7" t="s">
        <v>16</v>
      </c>
      <c r="B32" s="7" t="s">
        <v>21</v>
      </c>
      <c r="C32" s="7" t="s">
        <v>18</v>
      </c>
      <c r="D32" s="8" t="s">
        <v>144</v>
      </c>
      <c r="E32" s="8" t="s">
        <v>145</v>
      </c>
      <c r="F32" s="8" t="s">
        <v>557</v>
      </c>
      <c r="G32" s="8" t="s">
        <v>206</v>
      </c>
      <c r="H32" s="13" t="b">
        <v>1</v>
      </c>
      <c r="I32" s="13" t="b">
        <v>1</v>
      </c>
      <c r="J32" s="10">
        <v>0</v>
      </c>
      <c r="K32" s="10">
        <v>96</v>
      </c>
      <c r="L32" s="10">
        <v>150</v>
      </c>
      <c r="M32" s="10">
        <v>0</v>
      </c>
      <c r="N32" s="10">
        <v>2175</v>
      </c>
      <c r="O32" s="10">
        <v>0</v>
      </c>
      <c r="P32" s="10">
        <v>103</v>
      </c>
      <c r="Q32" s="10">
        <v>122</v>
      </c>
      <c r="R32" s="10">
        <v>0</v>
      </c>
      <c r="S32" s="10">
        <v>3040</v>
      </c>
      <c r="T32" s="14" t="b">
        <v>0</v>
      </c>
      <c r="U32" s="14" t="b">
        <v>0</v>
      </c>
      <c r="V32" s="14" t="b">
        <v>0</v>
      </c>
      <c r="W32" s="14" t="b">
        <v>0</v>
      </c>
      <c r="X32" s="14" t="b">
        <v>0</v>
      </c>
      <c r="Y32" s="55">
        <v>0</v>
      </c>
      <c r="Z32" s="55">
        <v>1.07</v>
      </c>
      <c r="AA32" s="55">
        <v>0.81</v>
      </c>
      <c r="AB32" s="55">
        <v>0</v>
      </c>
      <c r="AC32" s="55">
        <v>1.4</v>
      </c>
      <c r="AD32" s="55">
        <v>0</v>
      </c>
      <c r="AE32" s="55">
        <v>0.25</v>
      </c>
      <c r="AF32" s="55">
        <v>0.25</v>
      </c>
      <c r="AG32" s="55">
        <v>0</v>
      </c>
      <c r="AH32" s="55">
        <v>0.2</v>
      </c>
      <c r="AI3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958.23731310813787</v>
      </c>
      <c r="AK3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365.08571195559335</v>
      </c>
      <c r="AL3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1516.8815536343645</v>
      </c>
      <c r="AN32" s="102">
        <f>SUM(VIEW_IV_2019_REP_CALCULO[[#This Row],[Premio-BERINERT]:[Premio-PRIVIGEN]])</f>
        <v>2840.2045786980957</v>
      </c>
      <c r="AX32" s="3"/>
      <c r="AY32" s="3"/>
      <c r="AZ32" s="3"/>
      <c r="BA32" s="3"/>
      <c r="BB32" s="3"/>
    </row>
    <row r="33" spans="1:54" hidden="1" x14ac:dyDescent="0.2">
      <c r="A33" s="7" t="s">
        <v>16</v>
      </c>
      <c r="B33" s="7" t="s">
        <v>21</v>
      </c>
      <c r="C33" s="7" t="s">
        <v>18</v>
      </c>
      <c r="D33" s="8" t="s">
        <v>147</v>
      </c>
      <c r="E33" s="8" t="s">
        <v>148</v>
      </c>
      <c r="F33" s="8" t="s">
        <v>557</v>
      </c>
      <c r="G33" s="8" t="s">
        <v>208</v>
      </c>
      <c r="H33" s="13" t="b">
        <v>1</v>
      </c>
      <c r="I33" s="13" t="b">
        <v>1</v>
      </c>
      <c r="J33" s="10">
        <v>0</v>
      </c>
      <c r="K33" s="10">
        <v>112</v>
      </c>
      <c r="L33" s="10">
        <v>180</v>
      </c>
      <c r="M33" s="10">
        <v>0</v>
      </c>
      <c r="N33" s="10">
        <v>3915</v>
      </c>
      <c r="O33" s="10">
        <v>0</v>
      </c>
      <c r="P33" s="10">
        <v>60</v>
      </c>
      <c r="Q33" s="10">
        <v>174</v>
      </c>
      <c r="R33" s="10">
        <v>0</v>
      </c>
      <c r="S33" s="10">
        <v>3780</v>
      </c>
      <c r="T33" s="14" t="b">
        <v>0</v>
      </c>
      <c r="U33" s="14" t="b">
        <v>0</v>
      </c>
      <c r="V33" s="14" t="b">
        <v>0</v>
      </c>
      <c r="W33" s="14" t="b">
        <v>0</v>
      </c>
      <c r="X33" s="14" t="b">
        <v>0</v>
      </c>
      <c r="Y33" s="55">
        <v>0</v>
      </c>
      <c r="Z33" s="55">
        <v>0.54</v>
      </c>
      <c r="AA33" s="55">
        <v>0.97</v>
      </c>
      <c r="AB33" s="55">
        <v>0</v>
      </c>
      <c r="AC33" s="55">
        <v>0.97</v>
      </c>
      <c r="AD33" s="55">
        <v>0</v>
      </c>
      <c r="AE33" s="55">
        <v>0.25</v>
      </c>
      <c r="AF33" s="55">
        <v>0.25</v>
      </c>
      <c r="AG33" s="55">
        <v>0</v>
      </c>
      <c r="AH33" s="55">
        <v>0.2</v>
      </c>
      <c r="AI3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655.80211221652928</v>
      </c>
      <c r="AL3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524.64168977322345</v>
      </c>
      <c r="AN33" s="102">
        <f>SUM(VIEW_IV_2019_REP_CALCULO[[#This Row],[Premio-BERINERT]:[Premio-PRIVIGEN]])</f>
        <v>1180.4438019897527</v>
      </c>
      <c r="AX33" s="3"/>
      <c r="AY33" s="3"/>
      <c r="AZ33" s="3"/>
      <c r="BA33" s="3"/>
      <c r="BB33" s="3"/>
    </row>
    <row r="34" spans="1:54" hidden="1" x14ac:dyDescent="0.2">
      <c r="A34" s="7" t="s">
        <v>16</v>
      </c>
      <c r="B34" s="7" t="s">
        <v>21</v>
      </c>
      <c r="C34" s="7" t="s">
        <v>18</v>
      </c>
      <c r="D34" s="8" t="s">
        <v>149</v>
      </c>
      <c r="E34" s="8" t="s">
        <v>150</v>
      </c>
      <c r="F34" s="8" t="s">
        <v>557</v>
      </c>
      <c r="G34" s="8" t="s">
        <v>208</v>
      </c>
      <c r="H34" s="13" t="b">
        <v>1</v>
      </c>
      <c r="I34" s="13" t="b">
        <v>1</v>
      </c>
      <c r="J34" s="10">
        <v>0</v>
      </c>
      <c r="K34" s="10">
        <v>96</v>
      </c>
      <c r="L34" s="10">
        <v>75</v>
      </c>
      <c r="M34" s="10">
        <v>0</v>
      </c>
      <c r="N34" s="10">
        <v>5220</v>
      </c>
      <c r="O34" s="10">
        <v>0</v>
      </c>
      <c r="P34" s="10">
        <v>17</v>
      </c>
      <c r="Q34" s="10">
        <v>37</v>
      </c>
      <c r="R34" s="10">
        <v>0</v>
      </c>
      <c r="S34" s="10">
        <v>5840</v>
      </c>
      <c r="T34" s="14" t="b">
        <v>0</v>
      </c>
      <c r="U34" s="14" t="b">
        <v>0</v>
      </c>
      <c r="V34" s="14" t="b">
        <v>0</v>
      </c>
      <c r="W34" s="14" t="b">
        <v>0</v>
      </c>
      <c r="X34" s="14" t="b">
        <v>0</v>
      </c>
      <c r="Y34" s="55">
        <v>0</v>
      </c>
      <c r="Z34" s="55">
        <v>0.18</v>
      </c>
      <c r="AA34" s="55">
        <v>0.49</v>
      </c>
      <c r="AB34" s="55">
        <v>0</v>
      </c>
      <c r="AC34" s="55">
        <v>1.1200000000000001</v>
      </c>
      <c r="AD34" s="55">
        <v>0</v>
      </c>
      <c r="AE34" s="55">
        <v>0.25</v>
      </c>
      <c r="AF34" s="55">
        <v>0.25</v>
      </c>
      <c r="AG34" s="55">
        <v>0</v>
      </c>
      <c r="AH34" s="55">
        <v>0.2</v>
      </c>
      <c r="AI3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1017.1197790462616</v>
      </c>
      <c r="AN34" s="102">
        <f>SUM(VIEW_IV_2019_REP_CALCULO[[#This Row],[Premio-BERINERT]:[Premio-PRIVIGEN]])</f>
        <v>1017.1197790462616</v>
      </c>
      <c r="AX34" s="3"/>
      <c r="AY34" s="3"/>
      <c r="AZ34" s="3"/>
      <c r="BA34" s="3"/>
      <c r="BB34" s="3"/>
    </row>
    <row r="35" spans="1:54" hidden="1" x14ac:dyDescent="0.2">
      <c r="A35" s="7" t="s">
        <v>16</v>
      </c>
      <c r="B35" s="7" t="s">
        <v>21</v>
      </c>
      <c r="C35" s="7" t="s">
        <v>18</v>
      </c>
      <c r="D35" s="8" t="s">
        <v>157</v>
      </c>
      <c r="E35" s="8" t="s">
        <v>158</v>
      </c>
      <c r="F35" s="8" t="s">
        <v>557</v>
      </c>
      <c r="G35" s="8" t="s">
        <v>206</v>
      </c>
      <c r="H35" s="13" t="b">
        <v>1</v>
      </c>
      <c r="I35" s="13" t="b">
        <v>1</v>
      </c>
      <c r="J35" s="10">
        <v>0</v>
      </c>
      <c r="K35" s="10">
        <v>64</v>
      </c>
      <c r="L35" s="10">
        <v>60</v>
      </c>
      <c r="M35" s="10">
        <v>0</v>
      </c>
      <c r="N35" s="10">
        <v>6525</v>
      </c>
      <c r="O35" s="10">
        <v>0</v>
      </c>
      <c r="P35" s="10">
        <v>7</v>
      </c>
      <c r="Q35" s="10">
        <v>10</v>
      </c>
      <c r="R35" s="10">
        <v>0</v>
      </c>
      <c r="S35" s="10">
        <v>12150</v>
      </c>
      <c r="T35" s="14" t="b">
        <v>0</v>
      </c>
      <c r="U35" s="14" t="b">
        <v>0</v>
      </c>
      <c r="V35" s="14" t="b">
        <v>0</v>
      </c>
      <c r="W35" s="14" t="b">
        <v>0</v>
      </c>
      <c r="X35" s="14" t="b">
        <v>0</v>
      </c>
      <c r="Y35" s="55">
        <v>0</v>
      </c>
      <c r="Z35" s="55">
        <v>0.11</v>
      </c>
      <c r="AA35" s="55">
        <v>0.17</v>
      </c>
      <c r="AB35" s="55">
        <v>0</v>
      </c>
      <c r="AC35" s="55">
        <v>1.86</v>
      </c>
      <c r="AD35" s="55">
        <v>0</v>
      </c>
      <c r="AE35" s="55">
        <v>0.25</v>
      </c>
      <c r="AF35" s="55">
        <v>0.25</v>
      </c>
      <c r="AG35" s="55">
        <v>0</v>
      </c>
      <c r="AH35" s="55">
        <v>0.2</v>
      </c>
      <c r="AI3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5" s="102">
        <f>SUM(VIEW_IV_2019_REP_CALCULO[[#This Row],[Premio-BERINERT]:[Premio-PRIVIGEN]])</f>
        <v>1629.8147338659624</v>
      </c>
      <c r="AX35" s="3"/>
      <c r="AY35" s="3"/>
      <c r="AZ35" s="3"/>
      <c r="BA35" s="3"/>
      <c r="BB35" s="3"/>
    </row>
    <row r="36" spans="1:54" hidden="1" x14ac:dyDescent="0.2">
      <c r="A36" s="7" t="s">
        <v>16</v>
      </c>
      <c r="B36" s="7" t="s">
        <v>21</v>
      </c>
      <c r="C36" s="7" t="s">
        <v>18</v>
      </c>
      <c r="D36" s="8" t="s">
        <v>163</v>
      </c>
      <c r="E36" s="8" t="s">
        <v>164</v>
      </c>
      <c r="F36" s="8" t="s">
        <v>557</v>
      </c>
      <c r="G36" s="8" t="s">
        <v>212</v>
      </c>
      <c r="H36" s="13" t="b">
        <v>1</v>
      </c>
      <c r="I36" s="13" t="b">
        <v>1</v>
      </c>
      <c r="J36" s="10">
        <v>0</v>
      </c>
      <c r="K36" s="10">
        <v>176</v>
      </c>
      <c r="L36" s="10">
        <v>105</v>
      </c>
      <c r="M36" s="10">
        <v>0</v>
      </c>
      <c r="N36" s="10">
        <v>2175</v>
      </c>
      <c r="O36" s="10">
        <v>0</v>
      </c>
      <c r="P36" s="10">
        <v>139</v>
      </c>
      <c r="Q36" s="10">
        <v>15</v>
      </c>
      <c r="R36" s="10">
        <v>0</v>
      </c>
      <c r="S36" s="10">
        <v>7375</v>
      </c>
      <c r="T36" s="14" t="b">
        <v>0</v>
      </c>
      <c r="U36" s="14" t="b">
        <v>0</v>
      </c>
      <c r="V36" s="14" t="b">
        <v>0</v>
      </c>
      <c r="W36" s="14" t="b">
        <v>0</v>
      </c>
      <c r="X36" s="14" t="b">
        <v>0</v>
      </c>
      <c r="Y36" s="55">
        <v>0</v>
      </c>
      <c r="Z36" s="55">
        <v>0.79</v>
      </c>
      <c r="AA36" s="55">
        <v>0.14000000000000001</v>
      </c>
      <c r="AB36" s="55">
        <v>0</v>
      </c>
      <c r="AC36" s="55">
        <v>3.39</v>
      </c>
      <c r="AD36" s="55">
        <v>0</v>
      </c>
      <c r="AE36" s="55">
        <v>0.25</v>
      </c>
      <c r="AF36" s="55">
        <v>0.25</v>
      </c>
      <c r="AG36" s="55">
        <v>0</v>
      </c>
      <c r="AH36" s="55">
        <v>0.2</v>
      </c>
      <c r="AI3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3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6" s="102">
        <f>SUM(VIEW_IV_2019_REP_CALCULO[[#This Row],[Premio-BERINERT]:[Premio-PRIVIGEN]])</f>
        <v>1629.8147338659624</v>
      </c>
      <c r="AX36" s="3"/>
      <c r="AY36" s="3"/>
      <c r="AZ36" s="3"/>
      <c r="BA36" s="3"/>
      <c r="BB36" s="3"/>
    </row>
    <row r="37" spans="1:54" hidden="1" x14ac:dyDescent="0.2">
      <c r="A37" s="7" t="s">
        <v>16</v>
      </c>
      <c r="B37" s="7" t="s">
        <v>21</v>
      </c>
      <c r="C37" s="7" t="s">
        <v>18</v>
      </c>
      <c r="D37" s="8" t="s">
        <v>165</v>
      </c>
      <c r="E37" s="8" t="s">
        <v>166</v>
      </c>
      <c r="F37" s="8" t="s">
        <v>557</v>
      </c>
      <c r="G37" s="8" t="s">
        <v>212</v>
      </c>
      <c r="H37" s="13" t="b">
        <v>1</v>
      </c>
      <c r="I37" s="13" t="b">
        <v>1</v>
      </c>
      <c r="J37" s="10">
        <v>0</v>
      </c>
      <c r="K37" s="10">
        <v>144</v>
      </c>
      <c r="L37" s="10">
        <v>165</v>
      </c>
      <c r="M37" s="10">
        <v>0</v>
      </c>
      <c r="N37" s="10">
        <v>1305</v>
      </c>
      <c r="O37" s="10">
        <v>0</v>
      </c>
      <c r="P37" s="10">
        <v>902</v>
      </c>
      <c r="Q37" s="10">
        <v>28</v>
      </c>
      <c r="R37" s="10">
        <v>0</v>
      </c>
      <c r="S37" s="10">
        <v>1795</v>
      </c>
      <c r="T37" s="14" t="b">
        <v>0</v>
      </c>
      <c r="U37" s="14" t="b">
        <v>0</v>
      </c>
      <c r="V37" s="14" t="b">
        <v>0</v>
      </c>
      <c r="W37" s="14" t="b">
        <v>0</v>
      </c>
      <c r="X37" s="14" t="b">
        <v>0</v>
      </c>
      <c r="Y37" s="55">
        <v>0</v>
      </c>
      <c r="Z37" s="55">
        <v>6.26</v>
      </c>
      <c r="AA37" s="55">
        <v>0.17</v>
      </c>
      <c r="AB37" s="55">
        <v>0</v>
      </c>
      <c r="AC37" s="55">
        <v>1.38</v>
      </c>
      <c r="AD37" s="55">
        <v>0</v>
      </c>
      <c r="AE37" s="55">
        <v>0.25</v>
      </c>
      <c r="AF37" s="55">
        <v>0.25</v>
      </c>
      <c r="AG37" s="55">
        <v>0</v>
      </c>
      <c r="AH37" s="55">
        <v>0.2</v>
      </c>
      <c r="AI3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3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1487.2852719184978</v>
      </c>
      <c r="AN37" s="102">
        <f>SUM(VIEW_IV_2019_REP_CALCULO[[#This Row],[Premio-BERINERT]:[Premio-PRIVIGEN]])</f>
        <v>3524.5536892509508</v>
      </c>
      <c r="AX37" s="3"/>
      <c r="AY37" s="3"/>
      <c r="AZ37" s="3"/>
      <c r="BA37" s="3"/>
      <c r="BB37" s="3"/>
    </row>
    <row r="38" spans="1:54" hidden="1" x14ac:dyDescent="0.2">
      <c r="A38" s="7" t="s">
        <v>16</v>
      </c>
      <c r="B38" s="7" t="s">
        <v>21</v>
      </c>
      <c r="C38" s="7" t="s">
        <v>18</v>
      </c>
      <c r="D38" s="8" t="s">
        <v>167</v>
      </c>
      <c r="E38" s="8" t="s">
        <v>168</v>
      </c>
      <c r="F38" s="8" t="s">
        <v>557</v>
      </c>
      <c r="G38" s="8" t="s">
        <v>212</v>
      </c>
      <c r="H38" s="13" t="b">
        <v>1</v>
      </c>
      <c r="I38" s="13" t="b">
        <v>1</v>
      </c>
      <c r="J38" s="10">
        <v>0</v>
      </c>
      <c r="K38" s="10">
        <v>128</v>
      </c>
      <c r="L38" s="10">
        <v>105</v>
      </c>
      <c r="M38" s="10">
        <v>0</v>
      </c>
      <c r="N38" s="10">
        <v>2610</v>
      </c>
      <c r="O38" s="10">
        <v>0</v>
      </c>
      <c r="P38" s="10">
        <v>116</v>
      </c>
      <c r="Q38" s="10">
        <v>42</v>
      </c>
      <c r="R38" s="10">
        <v>0</v>
      </c>
      <c r="S38" s="10">
        <v>6725</v>
      </c>
      <c r="T38" s="14" t="b">
        <v>0</v>
      </c>
      <c r="U38" s="14" t="b">
        <v>0</v>
      </c>
      <c r="V38" s="14" t="b">
        <v>0</v>
      </c>
      <c r="W38" s="14" t="b">
        <v>0</v>
      </c>
      <c r="X38" s="14" t="b">
        <v>0</v>
      </c>
      <c r="Y38" s="55">
        <v>0</v>
      </c>
      <c r="Z38" s="55">
        <v>0.91</v>
      </c>
      <c r="AA38" s="55">
        <v>0.4</v>
      </c>
      <c r="AB38" s="55">
        <v>0</v>
      </c>
      <c r="AC38" s="55">
        <v>2.58</v>
      </c>
      <c r="AD38" s="55">
        <v>0</v>
      </c>
      <c r="AE38" s="55">
        <v>0.25</v>
      </c>
      <c r="AF38" s="55">
        <v>0.25</v>
      </c>
      <c r="AG38" s="55">
        <v>0</v>
      </c>
      <c r="AH38" s="55">
        <v>0.2</v>
      </c>
      <c r="AI3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615.2370331103516</v>
      </c>
      <c r="AK3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38" s="102">
        <f>SUM(VIEW_IV_2019_REP_CALCULO[[#This Row],[Premio-BERINERT]:[Premio-PRIVIGEN]])</f>
        <v>2245.051766976314</v>
      </c>
      <c r="AX38" s="3"/>
      <c r="AY38" s="3"/>
      <c r="AZ38" s="3"/>
      <c r="BA38" s="3"/>
      <c r="BB38" s="3"/>
    </row>
    <row r="39" spans="1:54" hidden="1" x14ac:dyDescent="0.2">
      <c r="A39" s="7" t="s">
        <v>16</v>
      </c>
      <c r="B39" s="7" t="s">
        <v>21</v>
      </c>
      <c r="C39" s="7" t="s">
        <v>18</v>
      </c>
      <c r="D39" s="8" t="s">
        <v>169</v>
      </c>
      <c r="E39" s="8" t="s">
        <v>170</v>
      </c>
      <c r="F39" s="8" t="s">
        <v>557</v>
      </c>
      <c r="G39" s="8" t="s">
        <v>212</v>
      </c>
      <c r="H39" s="13" t="b">
        <v>1</v>
      </c>
      <c r="I39" s="13" t="b">
        <v>1</v>
      </c>
      <c r="J39" s="10">
        <v>0</v>
      </c>
      <c r="K39" s="10">
        <v>160</v>
      </c>
      <c r="L39" s="10">
        <v>60</v>
      </c>
      <c r="M39" s="10">
        <v>0</v>
      </c>
      <c r="N39" s="10">
        <v>1305</v>
      </c>
      <c r="O39" s="10">
        <v>0</v>
      </c>
      <c r="P39" s="10">
        <v>381</v>
      </c>
      <c r="Q39" s="10">
        <v>7</v>
      </c>
      <c r="R39" s="10">
        <v>0</v>
      </c>
      <c r="S39" s="10">
        <v>1790</v>
      </c>
      <c r="T39" s="14" t="b">
        <v>0</v>
      </c>
      <c r="U39" s="14" t="b">
        <v>0</v>
      </c>
      <c r="V39" s="14" t="b">
        <v>0</v>
      </c>
      <c r="W39" s="14" t="b">
        <v>0</v>
      </c>
      <c r="X39" s="14" t="b">
        <v>0</v>
      </c>
      <c r="Y39" s="55">
        <v>0</v>
      </c>
      <c r="Z39" s="55">
        <v>2.38</v>
      </c>
      <c r="AA39" s="55">
        <v>0.12</v>
      </c>
      <c r="AB39" s="55">
        <v>0</v>
      </c>
      <c r="AC39" s="55">
        <v>1.37</v>
      </c>
      <c r="AD39" s="55">
        <v>0</v>
      </c>
      <c r="AE39" s="55">
        <v>0.25</v>
      </c>
      <c r="AF39" s="55">
        <v>0.25</v>
      </c>
      <c r="AG39" s="55">
        <v>0</v>
      </c>
      <c r="AH39" s="55">
        <v>0.2</v>
      </c>
      <c r="AI3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3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3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3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3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1477.0304199204566</v>
      </c>
      <c r="AN39" s="102">
        <f>SUM(VIEW_IV_2019_REP_CALCULO[[#This Row],[Premio-BERINERT]:[Premio-PRIVIGEN]])</f>
        <v>3514.2988372529094</v>
      </c>
      <c r="AX39" s="3"/>
      <c r="AY39" s="3"/>
      <c r="AZ39" s="3"/>
      <c r="BA39" s="3"/>
      <c r="BB39" s="3"/>
    </row>
    <row r="40" spans="1:54" hidden="1" x14ac:dyDescent="0.2">
      <c r="A40" s="7" t="s">
        <v>16</v>
      </c>
      <c r="B40" s="7" t="s">
        <v>21</v>
      </c>
      <c r="C40" s="7" t="s">
        <v>18</v>
      </c>
      <c r="D40" s="8" t="s">
        <v>173</v>
      </c>
      <c r="E40" s="8" t="s">
        <v>174</v>
      </c>
      <c r="F40" s="8" t="s">
        <v>557</v>
      </c>
      <c r="G40" s="8" t="s">
        <v>206</v>
      </c>
      <c r="H40" s="13" t="b">
        <v>1</v>
      </c>
      <c r="I40" s="13" t="b">
        <v>1</v>
      </c>
      <c r="J40" s="10">
        <v>0</v>
      </c>
      <c r="K40" s="10">
        <v>96</v>
      </c>
      <c r="L40" s="10">
        <v>90</v>
      </c>
      <c r="M40" s="10">
        <v>0</v>
      </c>
      <c r="N40" s="10">
        <v>2175</v>
      </c>
      <c r="O40" s="10">
        <v>0</v>
      </c>
      <c r="P40" s="10">
        <v>96</v>
      </c>
      <c r="Q40" s="10">
        <v>16</v>
      </c>
      <c r="R40" s="10">
        <v>0</v>
      </c>
      <c r="S40" s="10">
        <v>3932</v>
      </c>
      <c r="T40" s="14" t="b">
        <v>0</v>
      </c>
      <c r="U40" s="14" t="b">
        <v>0</v>
      </c>
      <c r="V40" s="14" t="b">
        <v>0</v>
      </c>
      <c r="W40" s="14" t="b">
        <v>0</v>
      </c>
      <c r="X40" s="14" t="b">
        <v>0</v>
      </c>
      <c r="Y40" s="55">
        <v>0</v>
      </c>
      <c r="Z40" s="55">
        <v>1</v>
      </c>
      <c r="AA40" s="55">
        <v>0.18</v>
      </c>
      <c r="AB40" s="55">
        <v>0</v>
      </c>
      <c r="AC40" s="55">
        <v>1.81</v>
      </c>
      <c r="AD40" s="55">
        <v>0</v>
      </c>
      <c r="AE40" s="55">
        <v>0.25</v>
      </c>
      <c r="AF40" s="55">
        <v>0.25</v>
      </c>
      <c r="AG40" s="55">
        <v>0</v>
      </c>
      <c r="AH40" s="55">
        <v>0.2</v>
      </c>
      <c r="AI4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901.44620235949048</v>
      </c>
      <c r="AK4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0" s="102">
        <f>SUM(VIEW_IV_2019_REP_CALCULO[[#This Row],[Premio-BERINERT]:[Premio-PRIVIGEN]])</f>
        <v>2531.260936225453</v>
      </c>
      <c r="AX40" s="3"/>
      <c r="AY40" s="3"/>
      <c r="AZ40" s="3"/>
      <c r="BA40" s="3"/>
      <c r="BB40" s="3"/>
    </row>
    <row r="41" spans="1:54" hidden="1" x14ac:dyDescent="0.2">
      <c r="A41" s="7" t="s">
        <v>16</v>
      </c>
      <c r="B41" s="7" t="s">
        <v>21</v>
      </c>
      <c r="C41" s="7" t="s">
        <v>18</v>
      </c>
      <c r="D41" s="8" t="s">
        <v>177</v>
      </c>
      <c r="E41" s="8" t="s">
        <v>178</v>
      </c>
      <c r="F41" s="8" t="s">
        <v>557</v>
      </c>
      <c r="G41" s="8" t="s">
        <v>208</v>
      </c>
      <c r="H41" s="13" t="b">
        <v>1</v>
      </c>
      <c r="I41" s="13" t="b">
        <v>1</v>
      </c>
      <c r="J41" s="10">
        <v>0</v>
      </c>
      <c r="K41" s="10">
        <v>112</v>
      </c>
      <c r="L41" s="10">
        <v>150</v>
      </c>
      <c r="M41" s="10">
        <v>0</v>
      </c>
      <c r="N41" s="10">
        <v>3915</v>
      </c>
      <c r="O41" s="10">
        <v>0</v>
      </c>
      <c r="P41" s="10">
        <v>94</v>
      </c>
      <c r="Q41" s="10">
        <v>227</v>
      </c>
      <c r="R41" s="10">
        <v>0</v>
      </c>
      <c r="S41" s="10">
        <v>24898</v>
      </c>
      <c r="T41" s="14" t="b">
        <v>0</v>
      </c>
      <c r="U41" s="14" t="b">
        <v>0</v>
      </c>
      <c r="V41" s="14" t="b">
        <v>0</v>
      </c>
      <c r="W41" s="14" t="b">
        <v>0</v>
      </c>
      <c r="X41" s="14" t="b">
        <v>0</v>
      </c>
      <c r="Y41" s="55">
        <v>0</v>
      </c>
      <c r="Z41" s="55">
        <v>0.84</v>
      </c>
      <c r="AA41" s="55">
        <v>1.51</v>
      </c>
      <c r="AB41" s="55">
        <v>0</v>
      </c>
      <c r="AC41" s="55">
        <v>6.36</v>
      </c>
      <c r="AD41" s="55">
        <v>0</v>
      </c>
      <c r="AE41" s="55">
        <v>0.25</v>
      </c>
      <c r="AF41" s="55">
        <v>0.25</v>
      </c>
      <c r="AG41" s="55">
        <v>0</v>
      </c>
      <c r="AH41" s="55">
        <v>0.2</v>
      </c>
      <c r="AI4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378.60740499098563</v>
      </c>
      <c r="AK4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4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1" s="102">
        <f>SUM(VIEW_IV_2019_REP_CALCULO[[#This Row],[Premio-BERINERT]:[Premio-PRIVIGEN]])</f>
        <v>4045.6905561894009</v>
      </c>
      <c r="AX41" s="3"/>
      <c r="AY41" s="3"/>
      <c r="AZ41" s="3"/>
      <c r="BA41" s="3"/>
      <c r="BB41" s="3"/>
    </row>
    <row r="42" spans="1:54" hidden="1" x14ac:dyDescent="0.2">
      <c r="A42" s="7" t="s">
        <v>16</v>
      </c>
      <c r="B42" s="7" t="s">
        <v>21</v>
      </c>
      <c r="C42" s="7" t="s">
        <v>18</v>
      </c>
      <c r="D42" s="8" t="s">
        <v>181</v>
      </c>
      <c r="E42" s="8" t="s">
        <v>182</v>
      </c>
      <c r="F42" s="8" t="s">
        <v>557</v>
      </c>
      <c r="G42" s="8" t="s">
        <v>206</v>
      </c>
      <c r="H42" s="13" t="b">
        <v>1</v>
      </c>
      <c r="I42" s="13" t="b">
        <v>1</v>
      </c>
      <c r="J42" s="10">
        <v>0</v>
      </c>
      <c r="K42" s="10">
        <v>176</v>
      </c>
      <c r="L42" s="10">
        <v>180</v>
      </c>
      <c r="M42" s="10">
        <v>0</v>
      </c>
      <c r="N42" s="10">
        <v>3480</v>
      </c>
      <c r="O42" s="10">
        <v>0</v>
      </c>
      <c r="P42" s="10">
        <v>203</v>
      </c>
      <c r="Q42" s="10">
        <v>259</v>
      </c>
      <c r="R42" s="10">
        <v>0</v>
      </c>
      <c r="S42" s="10">
        <v>3655</v>
      </c>
      <c r="T42" s="14" t="b">
        <v>0</v>
      </c>
      <c r="U42" s="14" t="b">
        <v>0</v>
      </c>
      <c r="V42" s="14" t="b">
        <v>0</v>
      </c>
      <c r="W42" s="14" t="b">
        <v>0</v>
      </c>
      <c r="X42" s="14" t="b">
        <v>0</v>
      </c>
      <c r="Y42" s="55">
        <v>0</v>
      </c>
      <c r="Z42" s="55">
        <v>1.1499999999999999</v>
      </c>
      <c r="AA42" s="55">
        <v>1.44</v>
      </c>
      <c r="AB42" s="55">
        <v>0</v>
      </c>
      <c r="AC42" s="55">
        <v>1.05</v>
      </c>
      <c r="AD42" s="55">
        <v>0</v>
      </c>
      <c r="AE42" s="55">
        <v>0.25</v>
      </c>
      <c r="AF42" s="55">
        <v>0.25</v>
      </c>
      <c r="AG42" s="55">
        <v>0</v>
      </c>
      <c r="AH42" s="55">
        <v>0.2</v>
      </c>
      <c r="AI4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1303.0404855106451</v>
      </c>
      <c r="AK4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1947.7007226660123</v>
      </c>
      <c r="AL4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753.60902517253407</v>
      </c>
      <c r="AN42" s="102">
        <f>SUM(VIEW_IV_2019_REP_CALCULO[[#This Row],[Premio-BERINERT]:[Premio-PRIVIGEN]])</f>
        <v>4004.3502333491915</v>
      </c>
      <c r="AX42" s="3"/>
      <c r="AY42" s="3"/>
      <c r="AZ42" s="3"/>
      <c r="BA42" s="3"/>
      <c r="BB42" s="3"/>
    </row>
    <row r="43" spans="1:54" hidden="1" x14ac:dyDescent="0.2">
      <c r="A43" s="7" t="s">
        <v>16</v>
      </c>
      <c r="B43" s="7" t="s">
        <v>21</v>
      </c>
      <c r="C43" s="7" t="s">
        <v>18</v>
      </c>
      <c r="D43" s="8" t="s">
        <v>183</v>
      </c>
      <c r="E43" s="8" t="s">
        <v>184</v>
      </c>
      <c r="F43" s="8" t="s">
        <v>557</v>
      </c>
      <c r="G43" s="8" t="s">
        <v>208</v>
      </c>
      <c r="H43" s="13" t="b">
        <v>1</v>
      </c>
      <c r="I43" s="13" t="b">
        <v>1</v>
      </c>
      <c r="J43" s="10">
        <v>0</v>
      </c>
      <c r="K43" s="10">
        <v>144</v>
      </c>
      <c r="L43" s="10">
        <v>105</v>
      </c>
      <c r="M43" s="10">
        <v>0</v>
      </c>
      <c r="N43" s="10">
        <v>4785</v>
      </c>
      <c r="O43" s="10">
        <v>0</v>
      </c>
      <c r="P43" s="10">
        <v>188</v>
      </c>
      <c r="Q43" s="10">
        <v>99</v>
      </c>
      <c r="R43" s="10">
        <v>0</v>
      </c>
      <c r="S43" s="10">
        <v>9825</v>
      </c>
      <c r="T43" s="14" t="b">
        <v>0</v>
      </c>
      <c r="U43" s="14" t="b">
        <v>0</v>
      </c>
      <c r="V43" s="14" t="b">
        <v>0</v>
      </c>
      <c r="W43" s="14" t="b">
        <v>0</v>
      </c>
      <c r="X43" s="14" t="b">
        <v>0</v>
      </c>
      <c r="Y43" s="55">
        <v>0</v>
      </c>
      <c r="Z43" s="55">
        <v>1.31</v>
      </c>
      <c r="AA43" s="55">
        <v>0.94</v>
      </c>
      <c r="AB43" s="55">
        <v>0</v>
      </c>
      <c r="AC43" s="55">
        <v>2.0499999999999998</v>
      </c>
      <c r="AD43" s="55">
        <v>0</v>
      </c>
      <c r="AE43" s="55">
        <v>0.25</v>
      </c>
      <c r="AF43" s="55">
        <v>0.25</v>
      </c>
      <c r="AG43" s="55">
        <v>0</v>
      </c>
      <c r="AH43" s="55">
        <v>0.2</v>
      </c>
      <c r="AI4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1769.3766349152579</v>
      </c>
      <c r="AK4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635.51957266344061</v>
      </c>
      <c r="AL4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3" s="102">
        <f>SUM(VIEW_IV_2019_REP_CALCULO[[#This Row],[Premio-BERINERT]:[Premio-PRIVIGEN]])</f>
        <v>4034.7109414446609</v>
      </c>
      <c r="AX43" s="3"/>
      <c r="AY43" s="3"/>
      <c r="AZ43" s="3"/>
      <c r="BA43" s="3"/>
      <c r="BB43" s="3"/>
    </row>
    <row r="44" spans="1:54" hidden="1" x14ac:dyDescent="0.2">
      <c r="A44" s="7" t="s">
        <v>16</v>
      </c>
      <c r="B44" s="7" t="s">
        <v>21</v>
      </c>
      <c r="C44" s="7" t="s">
        <v>18</v>
      </c>
      <c r="D44" s="8" t="s">
        <v>159</v>
      </c>
      <c r="E44" s="8" t="s">
        <v>160</v>
      </c>
      <c r="F44" s="8" t="s">
        <v>740</v>
      </c>
      <c r="G44" s="8" t="s">
        <v>206</v>
      </c>
      <c r="H44" s="13" t="b">
        <v>1</v>
      </c>
      <c r="I44" s="13" t="b">
        <v>1</v>
      </c>
      <c r="J44" s="10">
        <v>4</v>
      </c>
      <c r="K44" s="10">
        <v>64</v>
      </c>
      <c r="L44" s="10">
        <v>60</v>
      </c>
      <c r="M44" s="10">
        <v>121</v>
      </c>
      <c r="N44" s="10">
        <v>2610</v>
      </c>
      <c r="O44" s="10">
        <v>36</v>
      </c>
      <c r="P44" s="10">
        <v>4</v>
      </c>
      <c r="Q44" s="10">
        <v>30</v>
      </c>
      <c r="R44" s="10">
        <v>223</v>
      </c>
      <c r="S44" s="10">
        <v>3245</v>
      </c>
      <c r="T44" s="14" t="b">
        <v>0</v>
      </c>
      <c r="U44" s="14" t="b">
        <v>0</v>
      </c>
      <c r="V44" s="14" t="b">
        <v>0</v>
      </c>
      <c r="W44" s="14" t="b">
        <v>0</v>
      </c>
      <c r="X44" s="14" t="b">
        <v>0</v>
      </c>
      <c r="Y44" s="55">
        <v>8</v>
      </c>
      <c r="Z44" s="55">
        <v>0.06</v>
      </c>
      <c r="AA44" s="55">
        <v>0.5</v>
      </c>
      <c r="AB44" s="55">
        <v>1.85</v>
      </c>
      <c r="AC44" s="55">
        <v>1.24</v>
      </c>
      <c r="AD44" s="55">
        <v>0.05</v>
      </c>
      <c r="AE44" s="55">
        <v>0.15</v>
      </c>
      <c r="AF44" s="55">
        <v>0.15</v>
      </c>
      <c r="AG44" s="55">
        <v>0.2</v>
      </c>
      <c r="AH44" s="55">
        <v>0.15</v>
      </c>
      <c r="AI4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407.45368346649059</v>
      </c>
      <c r="AJ4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4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1001.7519241884365</v>
      </c>
      <c r="AN44" s="102">
        <f>SUM(VIEW_IV_2019_REP_CALCULO[[#This Row],[Premio-BERINERT]:[Premio-PRIVIGEN]])</f>
        <v>3039.0203415208894</v>
      </c>
      <c r="AX44" s="3"/>
      <c r="AY44" s="3"/>
      <c r="AZ44" s="3"/>
      <c r="BA44" s="3"/>
      <c r="BB44" s="3"/>
    </row>
    <row r="45" spans="1:54" hidden="1" x14ac:dyDescent="0.2">
      <c r="A45" s="7" t="s">
        <v>16</v>
      </c>
      <c r="B45" s="7" t="s">
        <v>21</v>
      </c>
      <c r="C45" s="7" t="s">
        <v>18</v>
      </c>
      <c r="D45" s="8" t="s">
        <v>201</v>
      </c>
      <c r="E45" s="8" t="s">
        <v>202</v>
      </c>
      <c r="F45" s="8" t="s">
        <v>740</v>
      </c>
      <c r="G45" s="8" t="s">
        <v>212</v>
      </c>
      <c r="H45" s="13" t="b">
        <v>1</v>
      </c>
      <c r="I45" s="13" t="b">
        <v>1</v>
      </c>
      <c r="J45" s="10">
        <v>15</v>
      </c>
      <c r="K45" s="10">
        <v>32</v>
      </c>
      <c r="L45" s="10">
        <v>15</v>
      </c>
      <c r="M45" s="10">
        <v>664</v>
      </c>
      <c r="N45" s="10">
        <v>1305</v>
      </c>
      <c r="O45" s="10">
        <v>0</v>
      </c>
      <c r="P45" s="10">
        <v>2</v>
      </c>
      <c r="Q45" s="10">
        <v>0</v>
      </c>
      <c r="R45" s="10">
        <v>501</v>
      </c>
      <c r="S45" s="10">
        <v>7128</v>
      </c>
      <c r="T45" s="14" t="b">
        <v>0</v>
      </c>
      <c r="U45" s="14" t="b">
        <v>0</v>
      </c>
      <c r="V45" s="14" t="b">
        <v>0</v>
      </c>
      <c r="W45" s="14" t="b">
        <v>0</v>
      </c>
      <c r="X45" s="14" t="b">
        <v>0</v>
      </c>
      <c r="Y45" s="55">
        <v>0</v>
      </c>
      <c r="Z45" s="55">
        <v>0.06</v>
      </c>
      <c r="AA45" s="55">
        <v>0</v>
      </c>
      <c r="AB45" s="55">
        <v>0.75</v>
      </c>
      <c r="AC45" s="55">
        <v>5.46</v>
      </c>
      <c r="AD45" s="55">
        <v>0.05</v>
      </c>
      <c r="AE45" s="55">
        <v>0.15</v>
      </c>
      <c r="AF45" s="55">
        <v>0.15</v>
      </c>
      <c r="AG45" s="55">
        <v>0.2</v>
      </c>
      <c r="AH45" s="55">
        <v>0.15</v>
      </c>
      <c r="AI4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45" s="102">
        <f>SUM(VIEW_IV_2019_REP_CALCULO[[#This Row],[Premio-BERINERT]:[Premio-PRIVIGEN]])</f>
        <v>1222.3610503994717</v>
      </c>
      <c r="AX45" s="3"/>
      <c r="AY45" s="3"/>
      <c r="AZ45" s="3"/>
      <c r="BA45" s="3"/>
      <c r="BB45" s="3"/>
    </row>
    <row r="46" spans="1:54" hidden="1" x14ac:dyDescent="0.2">
      <c r="A46" s="7" t="s">
        <v>16</v>
      </c>
      <c r="B46" s="7" t="s">
        <v>22</v>
      </c>
      <c r="C46" s="7" t="s">
        <v>18</v>
      </c>
      <c r="D46" s="8" t="s">
        <v>151</v>
      </c>
      <c r="E46" s="8" t="s">
        <v>152</v>
      </c>
      <c r="F46" s="8" t="s">
        <v>556</v>
      </c>
      <c r="G46" s="8" t="s">
        <v>208</v>
      </c>
      <c r="H46" s="13" t="b">
        <v>1</v>
      </c>
      <c r="I46" s="13" t="b">
        <v>1</v>
      </c>
      <c r="J46" s="10">
        <v>38</v>
      </c>
      <c r="K46" s="10">
        <v>0</v>
      </c>
      <c r="L46" s="10">
        <v>0</v>
      </c>
      <c r="M46" s="10">
        <v>1292</v>
      </c>
      <c r="N46" s="10">
        <v>7490</v>
      </c>
      <c r="O46" s="10">
        <v>3</v>
      </c>
      <c r="P46" s="10">
        <v>0</v>
      </c>
      <c r="Q46" s="10">
        <v>0</v>
      </c>
      <c r="R46" s="10">
        <v>673</v>
      </c>
      <c r="S46" s="10">
        <v>9030</v>
      </c>
      <c r="T46" s="14" t="b">
        <v>0</v>
      </c>
      <c r="U46" s="14" t="b">
        <v>0</v>
      </c>
      <c r="V46" s="14" t="b">
        <v>0</v>
      </c>
      <c r="W46" s="14" t="b">
        <v>0</v>
      </c>
      <c r="X46" s="14" t="b">
        <v>0</v>
      </c>
      <c r="Y46" s="55">
        <v>0.08</v>
      </c>
      <c r="Z46" s="55">
        <v>0</v>
      </c>
      <c r="AA46" s="55">
        <v>0</v>
      </c>
      <c r="AB46" s="55">
        <v>0.52</v>
      </c>
      <c r="AC46" s="55">
        <v>1.21</v>
      </c>
      <c r="AD46" s="55">
        <v>0.1</v>
      </c>
      <c r="AE46" s="55">
        <v>0</v>
      </c>
      <c r="AF46" s="55">
        <v>0</v>
      </c>
      <c r="AG46" s="55">
        <v>0.4</v>
      </c>
      <c r="AH46" s="55">
        <v>0.2</v>
      </c>
      <c r="AI4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1305.099388636834</v>
      </c>
      <c r="AN46" s="102">
        <f>SUM(VIEW_IV_2019_REP_CALCULO[[#This Row],[Premio-BERINERT]:[Premio-PRIVIGEN]])</f>
        <v>1305.099388636834</v>
      </c>
      <c r="AX46" s="3"/>
      <c r="AY46" s="3"/>
      <c r="AZ46" s="3"/>
      <c r="BA46" s="3"/>
      <c r="BB46" s="3"/>
    </row>
    <row r="47" spans="1:54" hidden="1" x14ac:dyDescent="0.2">
      <c r="A47" s="7" t="s">
        <v>16</v>
      </c>
      <c r="B47" s="7" t="s">
        <v>22</v>
      </c>
      <c r="C47" s="7" t="s">
        <v>18</v>
      </c>
      <c r="D47" s="8" t="s">
        <v>1355</v>
      </c>
      <c r="E47" s="8" t="s">
        <v>1356</v>
      </c>
      <c r="F47" s="8" t="s">
        <v>556</v>
      </c>
      <c r="G47" s="8" t="s">
        <v>208</v>
      </c>
      <c r="H47" s="13" t="b">
        <v>1</v>
      </c>
      <c r="I47" s="13" t="b">
        <v>1</v>
      </c>
      <c r="J47" s="10">
        <v>38</v>
      </c>
      <c r="K47" s="10">
        <v>0</v>
      </c>
      <c r="L47" s="10">
        <v>0</v>
      </c>
      <c r="M47" s="10">
        <v>912</v>
      </c>
      <c r="N47" s="10">
        <v>6955</v>
      </c>
      <c r="O47" s="10">
        <v>28</v>
      </c>
      <c r="P47" s="10">
        <v>0</v>
      </c>
      <c r="Q47" s="10">
        <v>0</v>
      </c>
      <c r="R47" s="10">
        <v>634</v>
      </c>
      <c r="S47" s="10">
        <v>6495</v>
      </c>
      <c r="T47" s="14" t="b">
        <v>0</v>
      </c>
      <c r="U47" s="14" t="b">
        <v>0</v>
      </c>
      <c r="V47" s="14" t="b">
        <v>0</v>
      </c>
      <c r="W47" s="14" t="b">
        <v>0</v>
      </c>
      <c r="X47" s="14" t="b">
        <v>0</v>
      </c>
      <c r="Y47" s="55">
        <v>0.74</v>
      </c>
      <c r="Z47" s="55">
        <v>0</v>
      </c>
      <c r="AA47" s="55">
        <v>0</v>
      </c>
      <c r="AB47" s="55">
        <v>0.7</v>
      </c>
      <c r="AC47" s="55">
        <v>0.93</v>
      </c>
      <c r="AD47" s="55">
        <v>0.1</v>
      </c>
      <c r="AE47" s="55">
        <v>0</v>
      </c>
      <c r="AF47" s="55">
        <v>0</v>
      </c>
      <c r="AG47" s="55">
        <v>0.4</v>
      </c>
      <c r="AH47" s="55">
        <v>0.2</v>
      </c>
      <c r="AI4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503.00698091659564</v>
      </c>
      <c r="AN47" s="102">
        <f>SUM(VIEW_IV_2019_REP_CALCULO[[#This Row],[Premio-BERINERT]:[Premio-PRIVIGEN]])</f>
        <v>503.00698091659564</v>
      </c>
      <c r="AX47" s="3"/>
      <c r="AY47" s="3"/>
      <c r="AZ47" s="3"/>
      <c r="BA47" s="3"/>
      <c r="BB47" s="3"/>
    </row>
    <row r="48" spans="1:54" hidden="1" x14ac:dyDescent="0.2">
      <c r="A48" s="7" t="s">
        <v>16</v>
      </c>
      <c r="B48" s="7" t="s">
        <v>22</v>
      </c>
      <c r="C48" s="7" t="s">
        <v>18</v>
      </c>
      <c r="D48" s="8" t="s">
        <v>155</v>
      </c>
      <c r="E48" s="8" t="s">
        <v>156</v>
      </c>
      <c r="F48" s="8" t="s">
        <v>556</v>
      </c>
      <c r="G48" s="8" t="s">
        <v>206</v>
      </c>
      <c r="H48" s="13" t="b">
        <v>1</v>
      </c>
      <c r="I48" s="13" t="b">
        <v>1</v>
      </c>
      <c r="J48" s="10">
        <v>27</v>
      </c>
      <c r="K48" s="10">
        <v>0</v>
      </c>
      <c r="L48" s="10">
        <v>0</v>
      </c>
      <c r="M48" s="10">
        <v>1596</v>
      </c>
      <c r="N48" s="10">
        <v>6955</v>
      </c>
      <c r="O48" s="10">
        <v>6</v>
      </c>
      <c r="P48" s="10">
        <v>0</v>
      </c>
      <c r="Q48" s="10">
        <v>0</v>
      </c>
      <c r="R48" s="10">
        <v>1409</v>
      </c>
      <c r="S48" s="10">
        <v>10462</v>
      </c>
      <c r="T48" s="14" t="b">
        <v>0</v>
      </c>
      <c r="U48" s="14" t="b">
        <v>0</v>
      </c>
      <c r="V48" s="14" t="b">
        <v>0</v>
      </c>
      <c r="W48" s="14" t="b">
        <v>0</v>
      </c>
      <c r="X48" s="14" t="b">
        <v>0</v>
      </c>
      <c r="Y48" s="55">
        <v>0.23</v>
      </c>
      <c r="Z48" s="55">
        <v>0</v>
      </c>
      <c r="AA48" s="55">
        <v>0</v>
      </c>
      <c r="AB48" s="55">
        <v>0.88</v>
      </c>
      <c r="AC48" s="55">
        <v>1.5</v>
      </c>
      <c r="AD48" s="55">
        <v>0.1</v>
      </c>
      <c r="AE48" s="55">
        <v>0</v>
      </c>
      <c r="AF48" s="55">
        <v>0</v>
      </c>
      <c r="AG48" s="55">
        <v>0.4</v>
      </c>
      <c r="AH48" s="55">
        <v>0.2</v>
      </c>
      <c r="AI4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634.61812646108081</v>
      </c>
      <c r="AM4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48" s="102">
        <f>SUM(VIEW_IV_2019_REP_CALCULO[[#This Row],[Premio-BERINERT]:[Premio-PRIVIGEN]])</f>
        <v>2264.4328603270433</v>
      </c>
      <c r="AX48" s="3"/>
      <c r="AY48" s="3"/>
      <c r="AZ48" s="3"/>
      <c r="BA48" s="3"/>
      <c r="BB48" s="3"/>
    </row>
    <row r="49" spans="1:54" hidden="1" x14ac:dyDescent="0.2">
      <c r="A49" s="7" t="s">
        <v>16</v>
      </c>
      <c r="B49" s="7" t="s">
        <v>22</v>
      </c>
      <c r="C49" s="7" t="s">
        <v>18</v>
      </c>
      <c r="D49" s="8" t="s">
        <v>161</v>
      </c>
      <c r="E49" s="8" t="s">
        <v>162</v>
      </c>
      <c r="F49" s="8" t="s">
        <v>556</v>
      </c>
      <c r="G49" s="8" t="s">
        <v>208</v>
      </c>
      <c r="H49" s="13" t="b">
        <v>1</v>
      </c>
      <c r="I49" s="13" t="b">
        <v>1</v>
      </c>
      <c r="J49" s="10">
        <v>38</v>
      </c>
      <c r="K49" s="10">
        <v>0</v>
      </c>
      <c r="L49" s="10">
        <v>0</v>
      </c>
      <c r="M49" s="10">
        <v>912</v>
      </c>
      <c r="N49" s="10">
        <v>7490</v>
      </c>
      <c r="O49" s="10">
        <v>10</v>
      </c>
      <c r="P49" s="10">
        <v>0</v>
      </c>
      <c r="Q49" s="10">
        <v>0</v>
      </c>
      <c r="R49" s="10">
        <v>506</v>
      </c>
      <c r="S49" s="10">
        <v>10585</v>
      </c>
      <c r="T49" s="14" t="b">
        <v>0</v>
      </c>
      <c r="U49" s="14" t="b">
        <v>0</v>
      </c>
      <c r="V49" s="14" t="b">
        <v>0</v>
      </c>
      <c r="W49" s="14" t="b">
        <v>0</v>
      </c>
      <c r="X49" s="14" t="b">
        <v>0</v>
      </c>
      <c r="Y49" s="55">
        <v>0.26</v>
      </c>
      <c r="Z49" s="55">
        <v>0</v>
      </c>
      <c r="AA49" s="55">
        <v>0</v>
      </c>
      <c r="AB49" s="55">
        <v>0.55000000000000004</v>
      </c>
      <c r="AC49" s="55">
        <v>1.41</v>
      </c>
      <c r="AD49" s="55">
        <v>0.1</v>
      </c>
      <c r="AE49" s="55">
        <v>0</v>
      </c>
      <c r="AF49" s="55">
        <v>0</v>
      </c>
      <c r="AG49" s="55">
        <v>0.4</v>
      </c>
      <c r="AH49" s="55">
        <v>0.2</v>
      </c>
      <c r="AI4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4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4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4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4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1527.2013097589761</v>
      </c>
      <c r="AN49" s="102">
        <f>SUM(VIEW_IV_2019_REP_CALCULO[[#This Row],[Premio-BERINERT]:[Premio-PRIVIGEN]])</f>
        <v>1527.2013097589761</v>
      </c>
      <c r="AX49" s="3"/>
      <c r="AY49" s="3"/>
      <c r="AZ49" s="3"/>
      <c r="BA49" s="3"/>
      <c r="BB49" s="3"/>
    </row>
    <row r="50" spans="1:54" hidden="1" x14ac:dyDescent="0.2">
      <c r="A50" s="7" t="s">
        <v>16</v>
      </c>
      <c r="B50" s="7" t="s">
        <v>22</v>
      </c>
      <c r="C50" s="7" t="s">
        <v>18</v>
      </c>
      <c r="D50" s="8" t="s">
        <v>175</v>
      </c>
      <c r="E50" s="8" t="s">
        <v>176</v>
      </c>
      <c r="F50" s="8" t="s">
        <v>556</v>
      </c>
      <c r="G50" s="8" t="s">
        <v>206</v>
      </c>
      <c r="H50" s="13" t="b">
        <v>1</v>
      </c>
      <c r="I50" s="13" t="b">
        <v>1</v>
      </c>
      <c r="J50" s="10">
        <v>95</v>
      </c>
      <c r="K50" s="10">
        <v>0</v>
      </c>
      <c r="L50" s="10">
        <v>0</v>
      </c>
      <c r="M50" s="10">
        <v>988</v>
      </c>
      <c r="N50" s="10">
        <v>10700</v>
      </c>
      <c r="O50" s="10">
        <v>135</v>
      </c>
      <c r="P50" s="10">
        <v>0</v>
      </c>
      <c r="Q50" s="10">
        <v>0</v>
      </c>
      <c r="R50" s="10">
        <v>439</v>
      </c>
      <c r="S50" s="10">
        <v>11625</v>
      </c>
      <c r="T50" s="14" t="b">
        <v>0</v>
      </c>
      <c r="U50" s="14" t="b">
        <v>0</v>
      </c>
      <c r="V50" s="14" t="b">
        <v>0</v>
      </c>
      <c r="W50" s="14" t="b">
        <v>0</v>
      </c>
      <c r="X50" s="14" t="b">
        <v>0</v>
      </c>
      <c r="Y50" s="55">
        <v>1.42</v>
      </c>
      <c r="Z50" s="55">
        <v>0</v>
      </c>
      <c r="AA50" s="55">
        <v>0</v>
      </c>
      <c r="AB50" s="55">
        <v>0.44</v>
      </c>
      <c r="AC50" s="55">
        <v>1.0900000000000001</v>
      </c>
      <c r="AD50" s="55">
        <v>0.1</v>
      </c>
      <c r="AE50" s="55">
        <v>0</v>
      </c>
      <c r="AF50" s="55">
        <v>0</v>
      </c>
      <c r="AG50" s="55">
        <v>0.4</v>
      </c>
      <c r="AH50" s="55">
        <v>0.2</v>
      </c>
      <c r="AI5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768.76053294179349</v>
      </c>
      <c r="AJ5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779.57067580048761</v>
      </c>
      <c r="AN50" s="102">
        <f>SUM(VIEW_IV_2019_REP_CALCULO[[#This Row],[Premio-BERINERT]:[Premio-PRIVIGEN]])</f>
        <v>1548.331208742281</v>
      </c>
      <c r="AX50" s="3"/>
      <c r="AY50" s="3"/>
      <c r="AZ50" s="3"/>
      <c r="BA50" s="3"/>
      <c r="BB50" s="3"/>
    </row>
    <row r="51" spans="1:54" hidden="1" x14ac:dyDescent="0.2">
      <c r="A51" s="7" t="s">
        <v>16</v>
      </c>
      <c r="B51" s="7" t="s">
        <v>22</v>
      </c>
      <c r="C51" s="7" t="s">
        <v>18</v>
      </c>
      <c r="D51" s="8" t="s">
        <v>199</v>
      </c>
      <c r="E51" s="8" t="s">
        <v>200</v>
      </c>
      <c r="F51" s="8" t="s">
        <v>556</v>
      </c>
      <c r="G51" s="8" t="s">
        <v>212</v>
      </c>
      <c r="H51" s="13" t="b">
        <v>1</v>
      </c>
      <c r="I51" s="13" t="b">
        <v>1</v>
      </c>
      <c r="J51" s="10">
        <v>95</v>
      </c>
      <c r="K51" s="10">
        <v>0</v>
      </c>
      <c r="L51" s="10">
        <v>0</v>
      </c>
      <c r="M51" s="10">
        <v>912</v>
      </c>
      <c r="N51" s="10">
        <v>6420</v>
      </c>
      <c r="O51" s="10">
        <v>332</v>
      </c>
      <c r="P51" s="10">
        <v>0</v>
      </c>
      <c r="Q51" s="10">
        <v>0</v>
      </c>
      <c r="R51" s="10">
        <v>337</v>
      </c>
      <c r="S51" s="10">
        <v>3030</v>
      </c>
      <c r="T51" s="14" t="b">
        <v>0</v>
      </c>
      <c r="U51" s="14" t="b">
        <v>0</v>
      </c>
      <c r="V51" s="14" t="b">
        <v>0</v>
      </c>
      <c r="W51" s="14" t="b">
        <v>0</v>
      </c>
      <c r="X51" s="14" t="b">
        <v>0</v>
      </c>
      <c r="Y51" s="55">
        <v>3.49</v>
      </c>
      <c r="Z51" s="55">
        <v>0</v>
      </c>
      <c r="AA51" s="55">
        <v>0</v>
      </c>
      <c r="AB51" s="55">
        <v>0.37</v>
      </c>
      <c r="AC51" s="55">
        <v>0.47</v>
      </c>
      <c r="AD51" s="55">
        <v>0.1</v>
      </c>
      <c r="AE51" s="55">
        <v>0</v>
      </c>
      <c r="AF51" s="55">
        <v>0</v>
      </c>
      <c r="AG51" s="55">
        <v>0.4</v>
      </c>
      <c r="AH51" s="55">
        <v>0.2</v>
      </c>
      <c r="AI5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5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1" s="102">
        <f>SUM(VIEW_IV_2019_REP_CALCULO[[#This Row],[Premio-BERINERT]:[Premio-PRIVIGEN]])</f>
        <v>814.90736693298118</v>
      </c>
      <c r="AX51" s="3"/>
      <c r="AY51" s="3"/>
      <c r="AZ51" s="3"/>
      <c r="BA51" s="3"/>
      <c r="BB51" s="3"/>
    </row>
    <row r="52" spans="1:54" hidden="1" x14ac:dyDescent="0.2">
      <c r="A52" s="7" t="s">
        <v>16</v>
      </c>
      <c r="B52" s="7" t="s">
        <v>22</v>
      </c>
      <c r="C52" s="7" t="s">
        <v>18</v>
      </c>
      <c r="D52" s="8" t="s">
        <v>144</v>
      </c>
      <c r="E52" s="8" t="s">
        <v>145</v>
      </c>
      <c r="F52" s="8" t="s">
        <v>557</v>
      </c>
      <c r="G52" s="8" t="s">
        <v>206</v>
      </c>
      <c r="H52" s="13" t="b">
        <v>1</v>
      </c>
      <c r="I52" s="13" t="b">
        <v>1</v>
      </c>
      <c r="J52" s="10">
        <v>0</v>
      </c>
      <c r="K52" s="10">
        <v>120</v>
      </c>
      <c r="L52" s="10">
        <v>130</v>
      </c>
      <c r="M52" s="10">
        <v>0</v>
      </c>
      <c r="N52" s="10">
        <v>2675</v>
      </c>
      <c r="O52" s="10">
        <v>0</v>
      </c>
      <c r="P52" s="10">
        <v>97</v>
      </c>
      <c r="Q52" s="10">
        <v>98</v>
      </c>
      <c r="R52" s="10">
        <v>0</v>
      </c>
      <c r="S52" s="10">
        <v>880</v>
      </c>
      <c r="T52" s="14" t="b">
        <v>0</v>
      </c>
      <c r="U52" s="14" t="b">
        <v>0</v>
      </c>
      <c r="V52" s="14" t="b">
        <v>0</v>
      </c>
      <c r="W52" s="14" t="b">
        <v>0</v>
      </c>
      <c r="X52" s="14" t="b">
        <v>0</v>
      </c>
      <c r="Y52" s="55">
        <v>0</v>
      </c>
      <c r="Z52" s="55">
        <v>0.81</v>
      </c>
      <c r="AA52" s="55">
        <v>0.75</v>
      </c>
      <c r="AB52" s="55">
        <v>0</v>
      </c>
      <c r="AC52" s="55">
        <v>0.33</v>
      </c>
      <c r="AD52" s="55">
        <v>0</v>
      </c>
      <c r="AE52" s="55">
        <v>0.25</v>
      </c>
      <c r="AF52" s="55">
        <v>0.25</v>
      </c>
      <c r="AG52" s="55">
        <v>0</v>
      </c>
      <c r="AH52" s="55">
        <v>0.2</v>
      </c>
      <c r="AI5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365.08571195559335</v>
      </c>
      <c r="AK5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2" s="102">
        <f>SUM(VIEW_IV_2019_REP_CALCULO[[#This Row],[Premio-BERINERT]:[Premio-PRIVIGEN]])</f>
        <v>365.08571195559335</v>
      </c>
      <c r="AX52" s="3"/>
      <c r="AY52" s="3"/>
      <c r="AZ52" s="3"/>
      <c r="BA52" s="3"/>
      <c r="BB52" s="3"/>
    </row>
    <row r="53" spans="1:54" hidden="1" x14ac:dyDescent="0.2">
      <c r="A53" s="7" t="s">
        <v>16</v>
      </c>
      <c r="B53" s="7" t="s">
        <v>22</v>
      </c>
      <c r="C53" s="7" t="s">
        <v>18</v>
      </c>
      <c r="D53" s="8" t="s">
        <v>147</v>
      </c>
      <c r="E53" s="8" t="s">
        <v>148</v>
      </c>
      <c r="F53" s="8" t="s">
        <v>557</v>
      </c>
      <c r="G53" s="8" t="s">
        <v>208</v>
      </c>
      <c r="H53" s="13" t="b">
        <v>1</v>
      </c>
      <c r="I53" s="13" t="b">
        <v>1</v>
      </c>
      <c r="J53" s="10">
        <v>0</v>
      </c>
      <c r="K53" s="10">
        <v>140</v>
      </c>
      <c r="L53" s="10">
        <v>156</v>
      </c>
      <c r="M53" s="10">
        <v>0</v>
      </c>
      <c r="N53" s="10">
        <v>4815</v>
      </c>
      <c r="O53" s="10">
        <v>0</v>
      </c>
      <c r="P53" s="10">
        <v>119</v>
      </c>
      <c r="Q53" s="10">
        <v>171</v>
      </c>
      <c r="R53" s="10">
        <v>0</v>
      </c>
      <c r="S53" s="10">
        <v>2800</v>
      </c>
      <c r="T53" s="14" t="b">
        <v>0</v>
      </c>
      <c r="U53" s="14" t="b">
        <v>0</v>
      </c>
      <c r="V53" s="14" t="b">
        <v>0</v>
      </c>
      <c r="W53" s="14" t="b">
        <v>0</v>
      </c>
      <c r="X53" s="14" t="b">
        <v>0</v>
      </c>
      <c r="Y53" s="55">
        <v>0</v>
      </c>
      <c r="Z53" s="55">
        <v>0.85</v>
      </c>
      <c r="AA53" s="55">
        <v>1.1000000000000001</v>
      </c>
      <c r="AB53" s="55">
        <v>0</v>
      </c>
      <c r="AC53" s="55">
        <v>0.57999999999999996</v>
      </c>
      <c r="AD53" s="55">
        <v>0</v>
      </c>
      <c r="AE53" s="55">
        <v>0.25</v>
      </c>
      <c r="AF53" s="55">
        <v>0.25</v>
      </c>
      <c r="AG53" s="55">
        <v>0</v>
      </c>
      <c r="AH53" s="55">
        <v>0.2</v>
      </c>
      <c r="AI5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383.11463600278285</v>
      </c>
      <c r="AK5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1250.3058826726137</v>
      </c>
      <c r="AL5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3" s="102">
        <f>SUM(VIEW_IV_2019_REP_CALCULO[[#This Row],[Premio-BERINERT]:[Premio-PRIVIGEN]])</f>
        <v>1633.4205186753966</v>
      </c>
      <c r="AX53" s="3"/>
      <c r="AY53" s="3"/>
      <c r="AZ53" s="3"/>
      <c r="BA53" s="3"/>
      <c r="BB53" s="3"/>
    </row>
    <row r="54" spans="1:54" hidden="1" x14ac:dyDescent="0.2">
      <c r="A54" s="7" t="s">
        <v>16</v>
      </c>
      <c r="B54" s="7" t="s">
        <v>22</v>
      </c>
      <c r="C54" s="7" t="s">
        <v>18</v>
      </c>
      <c r="D54" s="8" t="s">
        <v>149</v>
      </c>
      <c r="E54" s="8" t="s">
        <v>150</v>
      </c>
      <c r="F54" s="8" t="s">
        <v>557</v>
      </c>
      <c r="G54" s="8" t="s">
        <v>208</v>
      </c>
      <c r="H54" s="13" t="b">
        <v>1</v>
      </c>
      <c r="I54" s="13" t="b">
        <v>1</v>
      </c>
      <c r="J54" s="10">
        <v>0</v>
      </c>
      <c r="K54" s="10">
        <v>120</v>
      </c>
      <c r="L54" s="10">
        <v>65</v>
      </c>
      <c r="M54" s="10">
        <v>0</v>
      </c>
      <c r="N54" s="10">
        <v>6420</v>
      </c>
      <c r="O54" s="10">
        <v>0</v>
      </c>
      <c r="P54" s="10">
        <v>48</v>
      </c>
      <c r="Q54" s="10">
        <v>13</v>
      </c>
      <c r="R54" s="10">
        <v>0</v>
      </c>
      <c r="S54" s="10">
        <v>8730</v>
      </c>
      <c r="T54" s="14" t="b">
        <v>0</v>
      </c>
      <c r="U54" s="14" t="b">
        <v>0</v>
      </c>
      <c r="V54" s="14" t="b">
        <v>0</v>
      </c>
      <c r="W54" s="14" t="b">
        <v>0</v>
      </c>
      <c r="X54" s="14" t="b">
        <v>0</v>
      </c>
      <c r="Y54" s="55">
        <v>0</v>
      </c>
      <c r="Z54" s="55">
        <v>0.4</v>
      </c>
      <c r="AA54" s="55">
        <v>0.2</v>
      </c>
      <c r="AB54" s="55">
        <v>0</v>
      </c>
      <c r="AC54" s="55">
        <v>1.36</v>
      </c>
      <c r="AD54" s="55">
        <v>0</v>
      </c>
      <c r="AE54" s="55">
        <v>0.25</v>
      </c>
      <c r="AF54" s="55">
        <v>0.25</v>
      </c>
      <c r="AG54" s="55">
        <v>0</v>
      </c>
      <c r="AH54" s="55">
        <v>0.2</v>
      </c>
      <c r="AI5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1466.7755679224153</v>
      </c>
      <c r="AN54" s="102">
        <f>SUM(VIEW_IV_2019_REP_CALCULO[[#This Row],[Premio-BERINERT]:[Premio-PRIVIGEN]])</f>
        <v>1466.7755679224153</v>
      </c>
      <c r="AX54" s="3"/>
      <c r="AY54" s="3"/>
      <c r="AZ54" s="3"/>
      <c r="BA54" s="3"/>
      <c r="BB54" s="3"/>
    </row>
    <row r="55" spans="1:54" hidden="1" x14ac:dyDescent="0.2">
      <c r="A55" s="7" t="s">
        <v>16</v>
      </c>
      <c r="B55" s="7" t="s">
        <v>22</v>
      </c>
      <c r="C55" s="7" t="s">
        <v>18</v>
      </c>
      <c r="D55" s="8" t="s">
        <v>157</v>
      </c>
      <c r="E55" s="8" t="s">
        <v>158</v>
      </c>
      <c r="F55" s="8" t="s">
        <v>557</v>
      </c>
      <c r="G55" s="8" t="s">
        <v>206</v>
      </c>
      <c r="H55" s="13" t="b">
        <v>1</v>
      </c>
      <c r="I55" s="13" t="b">
        <v>1</v>
      </c>
      <c r="J55" s="10">
        <v>0</v>
      </c>
      <c r="K55" s="10">
        <v>80</v>
      </c>
      <c r="L55" s="10">
        <v>52</v>
      </c>
      <c r="M55" s="10">
        <v>0</v>
      </c>
      <c r="N55" s="10">
        <v>8025</v>
      </c>
      <c r="O55" s="10">
        <v>0</v>
      </c>
      <c r="P55" s="10">
        <v>1</v>
      </c>
      <c r="Q55" s="10">
        <v>11</v>
      </c>
      <c r="R55" s="10">
        <v>0</v>
      </c>
      <c r="S55" s="10">
        <v>10745</v>
      </c>
      <c r="T55" s="14" t="b">
        <v>0</v>
      </c>
      <c r="U55" s="14" t="b">
        <v>0</v>
      </c>
      <c r="V55" s="14" t="b">
        <v>0</v>
      </c>
      <c r="W55" s="14" t="b">
        <v>0</v>
      </c>
      <c r="X55" s="14" t="b">
        <v>0</v>
      </c>
      <c r="Y55" s="55">
        <v>0</v>
      </c>
      <c r="Z55" s="55">
        <v>0.01</v>
      </c>
      <c r="AA55" s="55">
        <v>0.21</v>
      </c>
      <c r="AB55" s="55">
        <v>0</v>
      </c>
      <c r="AC55" s="55">
        <v>1.34</v>
      </c>
      <c r="AD55" s="55">
        <v>0</v>
      </c>
      <c r="AE55" s="55">
        <v>0.25</v>
      </c>
      <c r="AF55" s="55">
        <v>0.25</v>
      </c>
      <c r="AG55" s="55">
        <v>0</v>
      </c>
      <c r="AH55" s="55">
        <v>0.2</v>
      </c>
      <c r="AI5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1446.2658639263325</v>
      </c>
      <c r="AN55" s="102">
        <f>SUM(VIEW_IV_2019_REP_CALCULO[[#This Row],[Premio-BERINERT]:[Premio-PRIVIGEN]])</f>
        <v>1446.2658639263325</v>
      </c>
      <c r="AX55" s="3"/>
      <c r="AY55" s="3"/>
      <c r="AZ55" s="3"/>
      <c r="BA55" s="3"/>
      <c r="BB55" s="3"/>
    </row>
    <row r="56" spans="1:54" hidden="1" x14ac:dyDescent="0.2">
      <c r="A56" s="7" t="s">
        <v>16</v>
      </c>
      <c r="B56" s="7" t="s">
        <v>22</v>
      </c>
      <c r="C56" s="7" t="s">
        <v>18</v>
      </c>
      <c r="D56" s="8" t="s">
        <v>163</v>
      </c>
      <c r="E56" s="8" t="s">
        <v>164</v>
      </c>
      <c r="F56" s="8" t="s">
        <v>557</v>
      </c>
      <c r="G56" s="8" t="s">
        <v>212</v>
      </c>
      <c r="H56" s="13" t="b">
        <v>1</v>
      </c>
      <c r="I56" s="13" t="b">
        <v>1</v>
      </c>
      <c r="J56" s="10">
        <v>0</v>
      </c>
      <c r="K56" s="10">
        <v>220</v>
      </c>
      <c r="L56" s="10">
        <v>91</v>
      </c>
      <c r="M56" s="10">
        <v>0</v>
      </c>
      <c r="N56" s="10">
        <v>2675</v>
      </c>
      <c r="O56" s="10">
        <v>0</v>
      </c>
      <c r="P56" s="10">
        <v>205</v>
      </c>
      <c r="Q56" s="10">
        <v>86</v>
      </c>
      <c r="R56" s="10">
        <v>0</v>
      </c>
      <c r="S56" s="10">
        <v>4605</v>
      </c>
      <c r="T56" s="14" t="b">
        <v>0</v>
      </c>
      <c r="U56" s="14" t="b">
        <v>0</v>
      </c>
      <c r="V56" s="14" t="b">
        <v>0</v>
      </c>
      <c r="W56" s="14" t="b">
        <v>0</v>
      </c>
      <c r="X56" s="14" t="b">
        <v>0</v>
      </c>
      <c r="Y56" s="55">
        <v>0</v>
      </c>
      <c r="Z56" s="55">
        <v>0.93</v>
      </c>
      <c r="AA56" s="55">
        <v>0.95</v>
      </c>
      <c r="AB56" s="55">
        <v>0</v>
      </c>
      <c r="AC56" s="55">
        <v>1.72</v>
      </c>
      <c r="AD56" s="55">
        <v>0</v>
      </c>
      <c r="AE56" s="55">
        <v>0.25</v>
      </c>
      <c r="AF56" s="55">
        <v>0.25</v>
      </c>
      <c r="AG56" s="55">
        <v>0</v>
      </c>
      <c r="AH56" s="55">
        <v>0.2</v>
      </c>
      <c r="AI5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628.7587261457445</v>
      </c>
      <c r="AK5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642.28041918113706</v>
      </c>
      <c r="AL5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56" s="102">
        <f>SUM(VIEW_IV_2019_REP_CALCULO[[#This Row],[Premio-BERINERT]:[Premio-PRIVIGEN]])</f>
        <v>2900.853879192844</v>
      </c>
      <c r="AX56" s="3"/>
      <c r="AY56" s="3"/>
      <c r="AZ56" s="3"/>
      <c r="BA56" s="3"/>
      <c r="BB56" s="3"/>
    </row>
    <row r="57" spans="1:54" hidden="1" x14ac:dyDescent="0.2">
      <c r="A57" s="7" t="s">
        <v>16</v>
      </c>
      <c r="B57" s="7" t="s">
        <v>22</v>
      </c>
      <c r="C57" s="7" t="s">
        <v>18</v>
      </c>
      <c r="D57" s="8" t="s">
        <v>165</v>
      </c>
      <c r="E57" s="8" t="s">
        <v>166</v>
      </c>
      <c r="F57" s="8" t="s">
        <v>557</v>
      </c>
      <c r="G57" s="8" t="s">
        <v>212</v>
      </c>
      <c r="H57" s="13" t="b">
        <v>1</v>
      </c>
      <c r="I57" s="13" t="b">
        <v>1</v>
      </c>
      <c r="J57" s="10">
        <v>0</v>
      </c>
      <c r="K57" s="10">
        <v>180</v>
      </c>
      <c r="L57" s="10">
        <v>143</v>
      </c>
      <c r="M57" s="10">
        <v>0</v>
      </c>
      <c r="N57" s="10">
        <v>1605</v>
      </c>
      <c r="O57" s="10">
        <v>0</v>
      </c>
      <c r="P57" s="10">
        <v>60</v>
      </c>
      <c r="Q57" s="10">
        <v>216</v>
      </c>
      <c r="R57" s="10">
        <v>0</v>
      </c>
      <c r="S57" s="10">
        <v>2025</v>
      </c>
      <c r="T57" s="14" t="b">
        <v>0</v>
      </c>
      <c r="U57" s="14" t="b">
        <v>0</v>
      </c>
      <c r="V57" s="14" t="b">
        <v>0</v>
      </c>
      <c r="W57" s="14" t="b">
        <v>0</v>
      </c>
      <c r="X57" s="14" t="b">
        <v>0</v>
      </c>
      <c r="Y57" s="55">
        <v>0</v>
      </c>
      <c r="Z57" s="55">
        <v>0.33</v>
      </c>
      <c r="AA57" s="55">
        <v>1.51</v>
      </c>
      <c r="AB57" s="55">
        <v>0</v>
      </c>
      <c r="AC57" s="55">
        <v>1.26</v>
      </c>
      <c r="AD57" s="55">
        <v>0</v>
      </c>
      <c r="AE57" s="55">
        <v>0.25</v>
      </c>
      <c r="AF57" s="55">
        <v>0.25</v>
      </c>
      <c r="AG57" s="55">
        <v>0</v>
      </c>
      <c r="AH57" s="55">
        <v>0.2</v>
      </c>
      <c r="AI5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5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1356.0491279941923</v>
      </c>
      <c r="AN57" s="102">
        <f>SUM(VIEW_IV_2019_REP_CALCULO[[#This Row],[Premio-BERINERT]:[Premio-PRIVIGEN]])</f>
        <v>3393.3175453266449</v>
      </c>
      <c r="AX57" s="3"/>
      <c r="AY57" s="3"/>
      <c r="AZ57" s="3"/>
      <c r="BA57" s="3"/>
      <c r="BB57" s="3"/>
    </row>
    <row r="58" spans="1:54" hidden="1" x14ac:dyDescent="0.2">
      <c r="A58" s="7" t="s">
        <v>16</v>
      </c>
      <c r="B58" s="7" t="s">
        <v>22</v>
      </c>
      <c r="C58" s="7" t="s">
        <v>18</v>
      </c>
      <c r="D58" s="8" t="s">
        <v>167</v>
      </c>
      <c r="E58" s="8" t="s">
        <v>168</v>
      </c>
      <c r="F58" s="8" t="s">
        <v>557</v>
      </c>
      <c r="G58" s="8" t="s">
        <v>212</v>
      </c>
      <c r="H58" s="13" t="b">
        <v>1</v>
      </c>
      <c r="I58" s="13" t="b">
        <v>1</v>
      </c>
      <c r="J58" s="10">
        <v>0</v>
      </c>
      <c r="K58" s="10">
        <v>160</v>
      </c>
      <c r="L58" s="10">
        <v>91</v>
      </c>
      <c r="M58" s="10">
        <v>0</v>
      </c>
      <c r="N58" s="10">
        <v>3210</v>
      </c>
      <c r="O58" s="10">
        <v>0</v>
      </c>
      <c r="P58" s="10">
        <v>123</v>
      </c>
      <c r="Q58" s="10">
        <v>64</v>
      </c>
      <c r="R58" s="10">
        <v>0</v>
      </c>
      <c r="S58" s="10">
        <v>1660</v>
      </c>
      <c r="T58" s="14" t="b">
        <v>0</v>
      </c>
      <c r="U58" s="14" t="b">
        <v>0</v>
      </c>
      <c r="V58" s="14" t="b">
        <v>0</v>
      </c>
      <c r="W58" s="14" t="b">
        <v>0</v>
      </c>
      <c r="X58" s="14" t="b">
        <v>0</v>
      </c>
      <c r="Y58" s="55">
        <v>0</v>
      </c>
      <c r="Z58" s="55">
        <v>0.77</v>
      </c>
      <c r="AA58" s="55">
        <v>0.7</v>
      </c>
      <c r="AB58" s="55">
        <v>0</v>
      </c>
      <c r="AC58" s="55">
        <v>0.52</v>
      </c>
      <c r="AD58" s="55">
        <v>0</v>
      </c>
      <c r="AE58" s="55">
        <v>0.25</v>
      </c>
      <c r="AF58" s="55">
        <v>0.25</v>
      </c>
      <c r="AG58" s="55">
        <v>0</v>
      </c>
      <c r="AH58" s="55">
        <v>0.2</v>
      </c>
      <c r="AI5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5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8" s="102">
        <f>SUM(VIEW_IV_2019_REP_CALCULO[[#This Row],[Premio-BERINERT]:[Premio-PRIVIGEN]])</f>
        <v>0</v>
      </c>
      <c r="AX58" s="3"/>
      <c r="AY58" s="3"/>
      <c r="AZ58" s="3"/>
      <c r="BA58" s="3"/>
      <c r="BB58" s="3"/>
    </row>
    <row r="59" spans="1:54" hidden="1" x14ac:dyDescent="0.2">
      <c r="A59" s="7" t="s">
        <v>16</v>
      </c>
      <c r="B59" s="7" t="s">
        <v>22</v>
      </c>
      <c r="C59" s="7" t="s">
        <v>18</v>
      </c>
      <c r="D59" s="8" t="s">
        <v>169</v>
      </c>
      <c r="E59" s="8" t="s">
        <v>170</v>
      </c>
      <c r="F59" s="8" t="s">
        <v>557</v>
      </c>
      <c r="G59" s="8" t="s">
        <v>212</v>
      </c>
      <c r="H59" s="13" t="b">
        <v>1</v>
      </c>
      <c r="I59" s="13" t="b">
        <v>1</v>
      </c>
      <c r="J59" s="10">
        <v>0</v>
      </c>
      <c r="K59" s="10">
        <v>200</v>
      </c>
      <c r="L59" s="10">
        <v>52</v>
      </c>
      <c r="M59" s="10">
        <v>0</v>
      </c>
      <c r="N59" s="10">
        <v>1605</v>
      </c>
      <c r="O59" s="10">
        <v>0</v>
      </c>
      <c r="P59" s="10">
        <v>342</v>
      </c>
      <c r="Q59" s="10">
        <v>37</v>
      </c>
      <c r="R59" s="10">
        <v>0</v>
      </c>
      <c r="S59" s="10">
        <v>395</v>
      </c>
      <c r="T59" s="14" t="b">
        <v>0</v>
      </c>
      <c r="U59" s="14" t="b">
        <v>0</v>
      </c>
      <c r="V59" s="14" t="b">
        <v>0</v>
      </c>
      <c r="W59" s="14" t="b">
        <v>0</v>
      </c>
      <c r="X59" s="14" t="b">
        <v>0</v>
      </c>
      <c r="Y59" s="55">
        <v>0</v>
      </c>
      <c r="Z59" s="55">
        <v>1.71</v>
      </c>
      <c r="AA59" s="55">
        <v>0.71</v>
      </c>
      <c r="AB59" s="55">
        <v>0</v>
      </c>
      <c r="AC59" s="55">
        <v>0.25</v>
      </c>
      <c r="AD59" s="55">
        <v>0</v>
      </c>
      <c r="AE59" s="55">
        <v>0.25</v>
      </c>
      <c r="AF59" s="55">
        <v>0.25</v>
      </c>
      <c r="AG59" s="55">
        <v>0</v>
      </c>
      <c r="AH59" s="55">
        <v>0.2</v>
      </c>
      <c r="AI5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5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5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5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5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59" s="102">
        <f>SUM(VIEW_IV_2019_REP_CALCULO[[#This Row],[Premio-BERINERT]:[Premio-PRIVIGEN]])</f>
        <v>2037.2684173324528</v>
      </c>
      <c r="AX59" s="3"/>
      <c r="AY59" s="3"/>
      <c r="AZ59" s="3"/>
      <c r="BA59" s="3"/>
      <c r="BB59" s="3"/>
    </row>
    <row r="60" spans="1:54" hidden="1" x14ac:dyDescent="0.2">
      <c r="A60" s="7" t="s">
        <v>16</v>
      </c>
      <c r="B60" s="7" t="s">
        <v>22</v>
      </c>
      <c r="C60" s="7" t="s">
        <v>18</v>
      </c>
      <c r="D60" s="8" t="s">
        <v>173</v>
      </c>
      <c r="E60" s="8" t="s">
        <v>174</v>
      </c>
      <c r="F60" s="8" t="s">
        <v>557</v>
      </c>
      <c r="G60" s="8" t="s">
        <v>206</v>
      </c>
      <c r="H60" s="13" t="b">
        <v>1</v>
      </c>
      <c r="I60" s="13" t="b">
        <v>1</v>
      </c>
      <c r="J60" s="10">
        <v>0</v>
      </c>
      <c r="K60" s="10">
        <v>120</v>
      </c>
      <c r="L60" s="10">
        <v>78</v>
      </c>
      <c r="M60" s="10">
        <v>0</v>
      </c>
      <c r="N60" s="10">
        <v>2675</v>
      </c>
      <c r="O60" s="10">
        <v>0</v>
      </c>
      <c r="P60" s="10">
        <v>111</v>
      </c>
      <c r="Q60" s="10">
        <v>57</v>
      </c>
      <c r="R60" s="10">
        <v>0</v>
      </c>
      <c r="S60" s="10">
        <v>5228</v>
      </c>
      <c r="T60" s="14" t="b">
        <v>0</v>
      </c>
      <c r="U60" s="14" t="b">
        <v>0</v>
      </c>
      <c r="V60" s="14" t="b">
        <v>0</v>
      </c>
      <c r="W60" s="14" t="b">
        <v>0</v>
      </c>
      <c r="X60" s="14" t="b">
        <v>0</v>
      </c>
      <c r="Y60" s="55">
        <v>0</v>
      </c>
      <c r="Z60" s="55">
        <v>0.93</v>
      </c>
      <c r="AA60" s="55">
        <v>0.73</v>
      </c>
      <c r="AB60" s="55">
        <v>0</v>
      </c>
      <c r="AC60" s="55">
        <v>1.95</v>
      </c>
      <c r="AD60" s="55">
        <v>0</v>
      </c>
      <c r="AE60" s="55">
        <v>0.25</v>
      </c>
      <c r="AF60" s="55">
        <v>0.25</v>
      </c>
      <c r="AG60" s="55">
        <v>0</v>
      </c>
      <c r="AH60" s="55">
        <v>0.2</v>
      </c>
      <c r="AI6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628.7587261457445</v>
      </c>
      <c r="AK6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60" s="102">
        <f>SUM(VIEW_IV_2019_REP_CALCULO[[#This Row],[Premio-BERINERT]:[Premio-PRIVIGEN]])</f>
        <v>2258.5734600117066</v>
      </c>
      <c r="AX60" s="3"/>
      <c r="AY60" s="3"/>
      <c r="AZ60" s="3"/>
      <c r="BA60" s="3"/>
      <c r="BB60" s="3"/>
    </row>
    <row r="61" spans="1:54" hidden="1" x14ac:dyDescent="0.2">
      <c r="A61" s="7" t="s">
        <v>16</v>
      </c>
      <c r="B61" s="7" t="s">
        <v>22</v>
      </c>
      <c r="C61" s="7" t="s">
        <v>18</v>
      </c>
      <c r="D61" s="8" t="s">
        <v>177</v>
      </c>
      <c r="E61" s="8" t="s">
        <v>178</v>
      </c>
      <c r="F61" s="8" t="s">
        <v>557</v>
      </c>
      <c r="G61" s="8" t="s">
        <v>208</v>
      </c>
      <c r="H61" s="13" t="b">
        <v>1</v>
      </c>
      <c r="I61" s="13" t="b">
        <v>1</v>
      </c>
      <c r="J61" s="10">
        <v>0</v>
      </c>
      <c r="K61" s="10">
        <v>140</v>
      </c>
      <c r="L61" s="10">
        <v>130</v>
      </c>
      <c r="M61" s="10">
        <v>0</v>
      </c>
      <c r="N61" s="10">
        <v>4815</v>
      </c>
      <c r="O61" s="10">
        <v>0</v>
      </c>
      <c r="P61" s="10">
        <v>161</v>
      </c>
      <c r="Q61" s="10">
        <v>176</v>
      </c>
      <c r="R61" s="10">
        <v>0</v>
      </c>
      <c r="S61" s="10">
        <v>2150</v>
      </c>
      <c r="T61" s="14" t="b">
        <v>0</v>
      </c>
      <c r="U61" s="14" t="b">
        <v>0</v>
      </c>
      <c r="V61" s="14" t="b">
        <v>0</v>
      </c>
      <c r="W61" s="14" t="b">
        <v>0</v>
      </c>
      <c r="X61" s="14" t="b">
        <v>0</v>
      </c>
      <c r="Y61" s="55">
        <v>0</v>
      </c>
      <c r="Z61" s="55">
        <v>1.1499999999999999</v>
      </c>
      <c r="AA61" s="55">
        <v>1.35</v>
      </c>
      <c r="AB61" s="55">
        <v>0</v>
      </c>
      <c r="AC61" s="55">
        <v>0.45</v>
      </c>
      <c r="AD61" s="55">
        <v>0</v>
      </c>
      <c r="AE61" s="55">
        <v>0.25</v>
      </c>
      <c r="AF61" s="55">
        <v>0.25</v>
      </c>
      <c r="AG61" s="55">
        <v>0</v>
      </c>
      <c r="AH61" s="55">
        <v>0.2</v>
      </c>
      <c r="AI6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1303.0404855106451</v>
      </c>
      <c r="AK6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1820.6508949054671</v>
      </c>
      <c r="AL6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1" s="102">
        <f>SUM(VIEW_IV_2019_REP_CALCULO[[#This Row],[Premio-BERINERT]:[Premio-PRIVIGEN]])</f>
        <v>3123.6913804161122</v>
      </c>
      <c r="AX61" s="3"/>
      <c r="AY61" s="3"/>
      <c r="AZ61" s="3"/>
      <c r="BA61" s="3"/>
      <c r="BB61" s="3"/>
    </row>
    <row r="62" spans="1:54" hidden="1" x14ac:dyDescent="0.2">
      <c r="A62" s="7" t="s">
        <v>16</v>
      </c>
      <c r="B62" s="7" t="s">
        <v>22</v>
      </c>
      <c r="C62" s="7" t="s">
        <v>18</v>
      </c>
      <c r="D62" s="8" t="s">
        <v>181</v>
      </c>
      <c r="E62" s="8" t="s">
        <v>182</v>
      </c>
      <c r="F62" s="8" t="s">
        <v>557</v>
      </c>
      <c r="G62" s="8" t="s">
        <v>206</v>
      </c>
      <c r="H62" s="13" t="b">
        <v>1</v>
      </c>
      <c r="I62" s="13" t="b">
        <v>1</v>
      </c>
      <c r="J62" s="10">
        <v>0</v>
      </c>
      <c r="K62" s="10">
        <v>220</v>
      </c>
      <c r="L62" s="10">
        <v>156</v>
      </c>
      <c r="M62" s="10">
        <v>0</v>
      </c>
      <c r="N62" s="10">
        <v>4280</v>
      </c>
      <c r="O62" s="10">
        <v>0</v>
      </c>
      <c r="P62" s="10">
        <v>324</v>
      </c>
      <c r="Q62" s="10">
        <v>403</v>
      </c>
      <c r="R62" s="10">
        <v>0</v>
      </c>
      <c r="S62" s="10">
        <v>5235</v>
      </c>
      <c r="T62" s="14" t="b">
        <v>0</v>
      </c>
      <c r="U62" s="14" t="b">
        <v>0</v>
      </c>
      <c r="V62" s="14" t="b">
        <v>0</v>
      </c>
      <c r="W62" s="14" t="b">
        <v>0</v>
      </c>
      <c r="X62" s="14" t="b">
        <v>0</v>
      </c>
      <c r="Y62" s="55">
        <v>0</v>
      </c>
      <c r="Z62" s="55">
        <v>1.47</v>
      </c>
      <c r="AA62" s="55">
        <v>2.58</v>
      </c>
      <c r="AB62" s="55">
        <v>0</v>
      </c>
      <c r="AC62" s="55">
        <v>1.22</v>
      </c>
      <c r="AD62" s="55">
        <v>0</v>
      </c>
      <c r="AE62" s="55">
        <v>0.25</v>
      </c>
      <c r="AF62" s="55">
        <v>0.25</v>
      </c>
      <c r="AG62" s="55">
        <v>0</v>
      </c>
      <c r="AH62" s="55">
        <v>0.2</v>
      </c>
      <c r="AI6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1986.399808133307</v>
      </c>
      <c r="AK6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6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1315.289336508306</v>
      </c>
      <c r="AN62" s="102">
        <f>SUM(VIEW_IV_2019_REP_CALCULO[[#This Row],[Premio-BERINERT]:[Premio-PRIVIGEN]])</f>
        <v>5338.9575619740663</v>
      </c>
      <c r="AX62" s="3"/>
      <c r="AY62" s="3"/>
      <c r="AZ62" s="3"/>
      <c r="BA62" s="3"/>
      <c r="BB62" s="3"/>
    </row>
    <row r="63" spans="1:54" hidden="1" x14ac:dyDescent="0.2">
      <c r="A63" s="7" t="s">
        <v>16</v>
      </c>
      <c r="B63" s="7" t="s">
        <v>22</v>
      </c>
      <c r="C63" s="7" t="s">
        <v>18</v>
      </c>
      <c r="D63" s="8" t="s">
        <v>183</v>
      </c>
      <c r="E63" s="8" t="s">
        <v>184</v>
      </c>
      <c r="F63" s="8" t="s">
        <v>557</v>
      </c>
      <c r="G63" s="8" t="s">
        <v>208</v>
      </c>
      <c r="H63" s="13" t="b">
        <v>1</v>
      </c>
      <c r="I63" s="13" t="b">
        <v>1</v>
      </c>
      <c r="J63" s="10">
        <v>0</v>
      </c>
      <c r="K63" s="10">
        <v>180</v>
      </c>
      <c r="L63" s="10">
        <v>91</v>
      </c>
      <c r="M63" s="10">
        <v>0</v>
      </c>
      <c r="N63" s="10">
        <v>5885</v>
      </c>
      <c r="O63" s="10">
        <v>0</v>
      </c>
      <c r="P63" s="10">
        <v>205</v>
      </c>
      <c r="Q63" s="10">
        <v>89</v>
      </c>
      <c r="R63" s="10">
        <v>0</v>
      </c>
      <c r="S63" s="10">
        <v>12430</v>
      </c>
      <c r="T63" s="14" t="b">
        <v>0</v>
      </c>
      <c r="U63" s="14" t="b">
        <v>0</v>
      </c>
      <c r="V63" s="14" t="b">
        <v>0</v>
      </c>
      <c r="W63" s="14" t="b">
        <v>0</v>
      </c>
      <c r="X63" s="14" t="b">
        <v>0</v>
      </c>
      <c r="Y63" s="55">
        <v>0</v>
      </c>
      <c r="Z63" s="55">
        <v>1.1399999999999999</v>
      </c>
      <c r="AA63" s="55">
        <v>0.98</v>
      </c>
      <c r="AB63" s="55">
        <v>0</v>
      </c>
      <c r="AC63" s="55">
        <v>2.11</v>
      </c>
      <c r="AD63" s="55">
        <v>0</v>
      </c>
      <c r="AE63" s="55">
        <v>0.25</v>
      </c>
      <c r="AF63" s="55">
        <v>0.25</v>
      </c>
      <c r="AG63" s="55">
        <v>0</v>
      </c>
      <c r="AH63" s="55">
        <v>0.2</v>
      </c>
      <c r="AI6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1292.4935649430388</v>
      </c>
      <c r="AK6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662.5629587342255</v>
      </c>
      <c r="AL6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63" s="102">
        <f>SUM(VIEW_IV_2019_REP_CALCULO[[#This Row],[Premio-BERINERT]:[Premio-PRIVIGEN]])</f>
        <v>3584.8712575432264</v>
      </c>
      <c r="AX63" s="3"/>
      <c r="AY63" s="3"/>
      <c r="AZ63" s="3"/>
      <c r="BA63" s="3"/>
      <c r="BB63" s="3"/>
    </row>
    <row r="64" spans="1:54" hidden="1" x14ac:dyDescent="0.2">
      <c r="A64" s="7" t="s">
        <v>16</v>
      </c>
      <c r="B64" s="7" t="s">
        <v>22</v>
      </c>
      <c r="C64" s="7" t="s">
        <v>18</v>
      </c>
      <c r="D64" s="8" t="s">
        <v>159</v>
      </c>
      <c r="E64" s="8" t="s">
        <v>160</v>
      </c>
      <c r="F64" s="8" t="s">
        <v>740</v>
      </c>
      <c r="G64" s="8" t="s">
        <v>206</v>
      </c>
      <c r="H64" s="13" t="b">
        <v>1</v>
      </c>
      <c r="I64" s="13" t="b">
        <v>1</v>
      </c>
      <c r="J64" s="10">
        <v>11</v>
      </c>
      <c r="K64" s="10">
        <v>80</v>
      </c>
      <c r="L64" s="10">
        <v>52</v>
      </c>
      <c r="M64" s="10">
        <v>152</v>
      </c>
      <c r="N64" s="10">
        <v>3210</v>
      </c>
      <c r="O64" s="10">
        <v>0</v>
      </c>
      <c r="P64" s="10">
        <v>25</v>
      </c>
      <c r="Q64" s="10">
        <v>31</v>
      </c>
      <c r="R64" s="10">
        <v>318</v>
      </c>
      <c r="S64" s="10">
        <v>4088</v>
      </c>
      <c r="T64" s="14" t="b">
        <v>0</v>
      </c>
      <c r="U64" s="14" t="b">
        <v>0</v>
      </c>
      <c r="V64" s="14" t="b">
        <v>0</v>
      </c>
      <c r="W64" s="14" t="b">
        <v>0</v>
      </c>
      <c r="X64" s="14" t="b">
        <v>0</v>
      </c>
      <c r="Y64" s="55">
        <v>0</v>
      </c>
      <c r="Z64" s="55">
        <v>0.31</v>
      </c>
      <c r="AA64" s="55">
        <v>0.6</v>
      </c>
      <c r="AB64" s="55">
        <v>2.09</v>
      </c>
      <c r="AC64" s="55">
        <v>1.27</v>
      </c>
      <c r="AD64" s="55">
        <v>0.05</v>
      </c>
      <c r="AE64" s="55">
        <v>0.15</v>
      </c>
      <c r="AF64" s="55">
        <v>0.15</v>
      </c>
      <c r="AG64" s="55">
        <v>0.2</v>
      </c>
      <c r="AH64" s="55">
        <v>0.15</v>
      </c>
      <c r="AI6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6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1024.6793068992476</v>
      </c>
      <c r="AN64" s="102">
        <f>SUM(VIEW_IV_2019_REP_CALCULO[[#This Row],[Premio-BERINERT]:[Premio-PRIVIGEN]])</f>
        <v>2654.4940407652102</v>
      </c>
      <c r="AX64" s="3"/>
      <c r="AY64" s="3"/>
      <c r="AZ64" s="3"/>
      <c r="BA64" s="3"/>
      <c r="BB64" s="3"/>
    </row>
    <row r="65" spans="1:54" hidden="1" x14ac:dyDescent="0.2">
      <c r="A65" s="7" t="s">
        <v>16</v>
      </c>
      <c r="B65" s="7" t="s">
        <v>22</v>
      </c>
      <c r="C65" s="7" t="s">
        <v>18</v>
      </c>
      <c r="D65" s="8" t="s">
        <v>201</v>
      </c>
      <c r="E65" s="8" t="s">
        <v>202</v>
      </c>
      <c r="F65" s="8" t="s">
        <v>740</v>
      </c>
      <c r="G65" s="8" t="s">
        <v>212</v>
      </c>
      <c r="H65" s="13" t="b">
        <v>1</v>
      </c>
      <c r="I65" s="13" t="b">
        <v>1</v>
      </c>
      <c r="J65" s="10">
        <v>38</v>
      </c>
      <c r="K65" s="10">
        <v>40</v>
      </c>
      <c r="L65" s="10">
        <v>13</v>
      </c>
      <c r="M65" s="10">
        <v>836</v>
      </c>
      <c r="N65" s="10">
        <v>1605</v>
      </c>
      <c r="O65" s="10">
        <v>3</v>
      </c>
      <c r="P65" s="10">
        <v>9</v>
      </c>
      <c r="Q65" s="10">
        <v>4</v>
      </c>
      <c r="R65" s="10">
        <v>468</v>
      </c>
      <c r="S65" s="10">
        <v>4295</v>
      </c>
      <c r="T65" s="14" t="b">
        <v>0</v>
      </c>
      <c r="U65" s="14" t="b">
        <v>0</v>
      </c>
      <c r="V65" s="14" t="b">
        <v>0</v>
      </c>
      <c r="W65" s="14" t="b">
        <v>0</v>
      </c>
      <c r="X65" s="14" t="b">
        <v>0</v>
      </c>
      <c r="Y65" s="55">
        <v>0.08</v>
      </c>
      <c r="Z65" s="55">
        <v>0.23</v>
      </c>
      <c r="AA65" s="55">
        <v>0.31</v>
      </c>
      <c r="AB65" s="55">
        <v>0.56000000000000005</v>
      </c>
      <c r="AC65" s="55">
        <v>2.68</v>
      </c>
      <c r="AD65" s="55">
        <v>0.05</v>
      </c>
      <c r="AE65" s="55">
        <v>0.15</v>
      </c>
      <c r="AF65" s="55">
        <v>0.15</v>
      </c>
      <c r="AG65" s="55">
        <v>0.2</v>
      </c>
      <c r="AH65" s="55">
        <v>0.15</v>
      </c>
      <c r="AI6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65" s="102">
        <f>SUM(VIEW_IV_2019_REP_CALCULO[[#This Row],[Premio-BERINERT]:[Premio-PRIVIGEN]])</f>
        <v>1222.3610503994717</v>
      </c>
      <c r="AX65" s="3"/>
      <c r="AY65" s="3"/>
      <c r="AZ65" s="3"/>
      <c r="BA65" s="3"/>
      <c r="BB65" s="3"/>
    </row>
    <row r="66" spans="1:54" hidden="1" x14ac:dyDescent="0.2">
      <c r="A66" s="7" t="s">
        <v>16</v>
      </c>
      <c r="B66" s="7" t="s">
        <v>23</v>
      </c>
      <c r="C66" s="7" t="s">
        <v>24</v>
      </c>
      <c r="D66" s="8" t="s">
        <v>151</v>
      </c>
      <c r="E66" s="8" t="s">
        <v>152</v>
      </c>
      <c r="F66" s="8" t="s">
        <v>556</v>
      </c>
      <c r="G66" s="8" t="s">
        <v>208</v>
      </c>
      <c r="H66" s="13" t="b">
        <v>1</v>
      </c>
      <c r="I66" s="13" t="b">
        <v>1</v>
      </c>
      <c r="J66" s="10">
        <v>48</v>
      </c>
      <c r="K66" s="10">
        <v>0</v>
      </c>
      <c r="L66" s="10">
        <v>0</v>
      </c>
      <c r="M66" s="10">
        <v>1326</v>
      </c>
      <c r="N66" s="10">
        <v>7490</v>
      </c>
      <c r="O66" s="10">
        <v>1</v>
      </c>
      <c r="P66" s="10">
        <v>0</v>
      </c>
      <c r="Q66" s="10">
        <v>0</v>
      </c>
      <c r="R66" s="10">
        <v>725</v>
      </c>
      <c r="S66" s="10">
        <v>5300</v>
      </c>
      <c r="T66" s="14" t="b">
        <v>0</v>
      </c>
      <c r="U66" s="14" t="b">
        <v>0</v>
      </c>
      <c r="V66" s="14" t="b">
        <v>0</v>
      </c>
      <c r="W66" s="14" t="b">
        <v>0</v>
      </c>
      <c r="X66" s="14" t="b">
        <v>0</v>
      </c>
      <c r="Y66" s="55">
        <v>0.02</v>
      </c>
      <c r="Z66" s="55">
        <v>0</v>
      </c>
      <c r="AA66" s="55">
        <v>0</v>
      </c>
      <c r="AB66" s="55">
        <v>0.55000000000000004</v>
      </c>
      <c r="AC66" s="55">
        <v>0.71</v>
      </c>
      <c r="AD66" s="55">
        <v>0.1</v>
      </c>
      <c r="AE66" s="55">
        <v>0</v>
      </c>
      <c r="AF66" s="55">
        <v>0</v>
      </c>
      <c r="AG66" s="55">
        <v>0.4</v>
      </c>
      <c r="AH66" s="55">
        <v>0.2</v>
      </c>
      <c r="AI6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66" s="102">
        <f>SUM(VIEW_IV_2019_REP_CALCULO[[#This Row],[Premio-BERINERT]:[Premio-PRIVIGEN]])</f>
        <v>0</v>
      </c>
      <c r="AX66" s="3"/>
      <c r="AY66" s="3"/>
      <c r="AZ66" s="3"/>
      <c r="BA66" s="3"/>
      <c r="BB66" s="3"/>
    </row>
    <row r="67" spans="1:54" hidden="1" x14ac:dyDescent="0.2">
      <c r="A67" s="7" t="s">
        <v>16</v>
      </c>
      <c r="B67" s="7" t="s">
        <v>23</v>
      </c>
      <c r="C67" s="7" t="s">
        <v>24</v>
      </c>
      <c r="D67" s="8" t="s">
        <v>1355</v>
      </c>
      <c r="E67" s="8" t="s">
        <v>1356</v>
      </c>
      <c r="F67" s="8" t="s">
        <v>556</v>
      </c>
      <c r="G67" s="8" t="s">
        <v>208</v>
      </c>
      <c r="H67" s="13" t="b">
        <v>1</v>
      </c>
      <c r="I67" s="13" t="b">
        <v>1</v>
      </c>
      <c r="J67" s="10">
        <v>48</v>
      </c>
      <c r="K67" s="10">
        <v>0</v>
      </c>
      <c r="L67" s="10">
        <v>0</v>
      </c>
      <c r="M67" s="10">
        <v>936</v>
      </c>
      <c r="N67" s="10">
        <v>6955</v>
      </c>
      <c r="O67" s="10">
        <v>0</v>
      </c>
      <c r="P67" s="10">
        <v>0</v>
      </c>
      <c r="Q67" s="10">
        <v>0</v>
      </c>
      <c r="R67" s="10">
        <v>416</v>
      </c>
      <c r="S67" s="10">
        <v>6745</v>
      </c>
      <c r="T67" s="14" t="b">
        <v>0</v>
      </c>
      <c r="U67" s="14" t="b">
        <v>0</v>
      </c>
      <c r="V67" s="14" t="b">
        <v>0</v>
      </c>
      <c r="W67" s="14" t="b">
        <v>0</v>
      </c>
      <c r="X67" s="14" t="b">
        <v>0</v>
      </c>
      <c r="Y67" s="55">
        <v>0</v>
      </c>
      <c r="Z67" s="55">
        <v>0</v>
      </c>
      <c r="AA67" s="55">
        <v>0</v>
      </c>
      <c r="AB67" s="55">
        <v>0.44</v>
      </c>
      <c r="AC67" s="55">
        <v>0.97</v>
      </c>
      <c r="AD67" s="55">
        <v>0.1</v>
      </c>
      <c r="AE67" s="55">
        <v>0</v>
      </c>
      <c r="AF67" s="55">
        <v>0</v>
      </c>
      <c r="AG67" s="55">
        <v>0.4</v>
      </c>
      <c r="AH67" s="55">
        <v>0.2</v>
      </c>
      <c r="AI6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524.64168977322345</v>
      </c>
      <c r="AN67" s="102">
        <f>SUM(VIEW_IV_2019_REP_CALCULO[[#This Row],[Premio-BERINERT]:[Premio-PRIVIGEN]])</f>
        <v>524.64168977322345</v>
      </c>
      <c r="AX67" s="3"/>
      <c r="AY67" s="3"/>
      <c r="AZ67" s="3"/>
      <c r="BA67" s="3"/>
      <c r="BB67" s="3"/>
    </row>
    <row r="68" spans="1:54" hidden="1" x14ac:dyDescent="0.2">
      <c r="A68" s="7" t="s">
        <v>16</v>
      </c>
      <c r="B68" s="7" t="s">
        <v>23</v>
      </c>
      <c r="C68" s="7" t="s">
        <v>24</v>
      </c>
      <c r="D68" s="8" t="s">
        <v>155</v>
      </c>
      <c r="E68" s="8" t="s">
        <v>156</v>
      </c>
      <c r="F68" s="8" t="s">
        <v>556</v>
      </c>
      <c r="G68" s="8" t="s">
        <v>206</v>
      </c>
      <c r="H68" s="13" t="b">
        <v>1</v>
      </c>
      <c r="I68" s="13" t="b">
        <v>1</v>
      </c>
      <c r="J68" s="10">
        <v>34</v>
      </c>
      <c r="K68" s="10">
        <v>0</v>
      </c>
      <c r="L68" s="10">
        <v>0</v>
      </c>
      <c r="M68" s="10">
        <v>1638</v>
      </c>
      <c r="N68" s="10">
        <v>6955</v>
      </c>
      <c r="O68" s="10">
        <v>3</v>
      </c>
      <c r="P68" s="10">
        <v>0</v>
      </c>
      <c r="Q68" s="10">
        <v>0</v>
      </c>
      <c r="R68" s="10">
        <v>1214</v>
      </c>
      <c r="S68" s="10">
        <v>8555</v>
      </c>
      <c r="T68" s="14" t="b">
        <v>0</v>
      </c>
      <c r="U68" s="14" t="b">
        <v>0</v>
      </c>
      <c r="V68" s="14" t="b">
        <v>0</v>
      </c>
      <c r="W68" s="14" t="b">
        <v>0</v>
      </c>
      <c r="X68" s="14" t="b">
        <v>0</v>
      </c>
      <c r="Y68" s="55">
        <v>0.09</v>
      </c>
      <c r="Z68" s="55">
        <v>0</v>
      </c>
      <c r="AA68" s="55">
        <v>0</v>
      </c>
      <c r="AB68" s="55">
        <v>0.74</v>
      </c>
      <c r="AC68" s="55">
        <v>1.23</v>
      </c>
      <c r="AD68" s="55">
        <v>0.1</v>
      </c>
      <c r="AE68" s="55">
        <v>0</v>
      </c>
      <c r="AF68" s="55">
        <v>0</v>
      </c>
      <c r="AG68" s="55">
        <v>0.4</v>
      </c>
      <c r="AH68" s="55">
        <v>0.2</v>
      </c>
      <c r="AI6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1325.4792843797779</v>
      </c>
      <c r="AN68" s="102">
        <f>SUM(VIEW_IV_2019_REP_CALCULO[[#This Row],[Premio-BERINERT]:[Premio-PRIVIGEN]])</f>
        <v>1325.4792843797779</v>
      </c>
      <c r="AX68" s="3"/>
      <c r="AY68" s="3"/>
      <c r="AZ68" s="3"/>
      <c r="BA68" s="3"/>
      <c r="BB68" s="3"/>
    </row>
    <row r="69" spans="1:54" hidden="1" x14ac:dyDescent="0.2">
      <c r="A69" s="7" t="s">
        <v>16</v>
      </c>
      <c r="B69" s="7" t="s">
        <v>23</v>
      </c>
      <c r="C69" s="7" t="s">
        <v>24</v>
      </c>
      <c r="D69" s="8" t="s">
        <v>161</v>
      </c>
      <c r="E69" s="8" t="s">
        <v>162</v>
      </c>
      <c r="F69" s="8" t="s">
        <v>556</v>
      </c>
      <c r="G69" s="8" t="s">
        <v>208</v>
      </c>
      <c r="H69" s="13" t="b">
        <v>1</v>
      </c>
      <c r="I69" s="13" t="b">
        <v>1</v>
      </c>
      <c r="J69" s="10">
        <v>48</v>
      </c>
      <c r="K69" s="10">
        <v>0</v>
      </c>
      <c r="L69" s="10">
        <v>0</v>
      </c>
      <c r="M69" s="10">
        <v>936</v>
      </c>
      <c r="N69" s="10">
        <v>7490</v>
      </c>
      <c r="O69" s="10">
        <v>0</v>
      </c>
      <c r="P69" s="10">
        <v>0</v>
      </c>
      <c r="Q69" s="10">
        <v>0</v>
      </c>
      <c r="R69" s="10">
        <v>453</v>
      </c>
      <c r="S69" s="10">
        <v>8982</v>
      </c>
      <c r="T69" s="14" t="b">
        <v>0</v>
      </c>
      <c r="U69" s="14" t="b">
        <v>0</v>
      </c>
      <c r="V69" s="14" t="b">
        <v>0</v>
      </c>
      <c r="W69" s="14" t="b">
        <v>0</v>
      </c>
      <c r="X69" s="14" t="b">
        <v>0</v>
      </c>
      <c r="Y69" s="55">
        <v>0</v>
      </c>
      <c r="Z69" s="55">
        <v>0</v>
      </c>
      <c r="AA69" s="55">
        <v>0</v>
      </c>
      <c r="AB69" s="55">
        <v>0.48</v>
      </c>
      <c r="AC69" s="55">
        <v>1.2</v>
      </c>
      <c r="AD69" s="55">
        <v>0.1</v>
      </c>
      <c r="AE69" s="55">
        <v>0</v>
      </c>
      <c r="AF69" s="55">
        <v>0</v>
      </c>
      <c r="AG69" s="55">
        <v>0.4</v>
      </c>
      <c r="AH69" s="55">
        <v>0.2</v>
      </c>
      <c r="AI6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6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6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6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6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1294.9094407653622</v>
      </c>
      <c r="AN69" s="102">
        <f>SUM(VIEW_IV_2019_REP_CALCULO[[#This Row],[Premio-BERINERT]:[Premio-PRIVIGEN]])</f>
        <v>1294.9094407653622</v>
      </c>
      <c r="AX69" s="3"/>
      <c r="AY69" s="3"/>
      <c r="AZ69" s="3"/>
      <c r="BA69" s="3"/>
      <c r="BB69" s="3"/>
    </row>
    <row r="70" spans="1:54" hidden="1" x14ac:dyDescent="0.2">
      <c r="A70" s="7" t="s">
        <v>16</v>
      </c>
      <c r="B70" s="7" t="s">
        <v>23</v>
      </c>
      <c r="C70" s="7" t="s">
        <v>24</v>
      </c>
      <c r="D70" s="8" t="s">
        <v>175</v>
      </c>
      <c r="E70" s="8" t="s">
        <v>176</v>
      </c>
      <c r="F70" s="8" t="s">
        <v>556</v>
      </c>
      <c r="G70" s="8" t="s">
        <v>206</v>
      </c>
      <c r="H70" s="13" t="b">
        <v>1</v>
      </c>
      <c r="I70" s="13" t="b">
        <v>1</v>
      </c>
      <c r="J70" s="10">
        <v>120</v>
      </c>
      <c r="K70" s="10">
        <v>0</v>
      </c>
      <c r="L70" s="10">
        <v>0</v>
      </c>
      <c r="M70" s="10">
        <v>1014</v>
      </c>
      <c r="N70" s="10">
        <v>10700</v>
      </c>
      <c r="O70" s="10">
        <v>128</v>
      </c>
      <c r="P70" s="10">
        <v>0</v>
      </c>
      <c r="Q70" s="10">
        <v>0</v>
      </c>
      <c r="R70" s="10">
        <v>438</v>
      </c>
      <c r="S70" s="10">
        <v>12785</v>
      </c>
      <c r="T70" s="14" t="b">
        <v>0</v>
      </c>
      <c r="U70" s="14" t="b">
        <v>0</v>
      </c>
      <c r="V70" s="14" t="b">
        <v>0</v>
      </c>
      <c r="W70" s="14" t="b">
        <v>0</v>
      </c>
      <c r="X70" s="14" t="b">
        <v>0</v>
      </c>
      <c r="Y70" s="55">
        <v>1.07</v>
      </c>
      <c r="Z70" s="55">
        <v>0</v>
      </c>
      <c r="AA70" s="55">
        <v>0</v>
      </c>
      <c r="AB70" s="55">
        <v>0.43</v>
      </c>
      <c r="AC70" s="55">
        <v>1.19</v>
      </c>
      <c r="AD70" s="55">
        <v>0.1</v>
      </c>
      <c r="AE70" s="55">
        <v>0</v>
      </c>
      <c r="AF70" s="55">
        <v>0</v>
      </c>
      <c r="AG70" s="55">
        <v>0.4</v>
      </c>
      <c r="AH70" s="55">
        <v>0.2</v>
      </c>
      <c r="AI7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383.29492524325519</v>
      </c>
      <c r="AJ7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1076.1825342248551</v>
      </c>
      <c r="AN70" s="102">
        <f>SUM(VIEW_IV_2019_REP_CALCULO[[#This Row],[Premio-BERINERT]:[Premio-PRIVIGEN]])</f>
        <v>1459.4774594681103</v>
      </c>
      <c r="AX70" s="3"/>
      <c r="AY70" s="3"/>
      <c r="AZ70" s="3"/>
      <c r="BA70" s="3"/>
      <c r="BB70" s="3"/>
    </row>
    <row r="71" spans="1:54" hidden="1" x14ac:dyDescent="0.2">
      <c r="A71" s="7" t="s">
        <v>16</v>
      </c>
      <c r="B71" s="7" t="s">
        <v>23</v>
      </c>
      <c r="C71" s="7" t="s">
        <v>24</v>
      </c>
      <c r="D71" s="8" t="s">
        <v>199</v>
      </c>
      <c r="E71" s="8" t="s">
        <v>200</v>
      </c>
      <c r="F71" s="8" t="s">
        <v>556</v>
      </c>
      <c r="G71" s="8" t="s">
        <v>212</v>
      </c>
      <c r="H71" s="13" t="b">
        <v>1</v>
      </c>
      <c r="I71" s="13" t="b">
        <v>1</v>
      </c>
      <c r="J71" s="10">
        <v>120</v>
      </c>
      <c r="K71" s="10">
        <v>0</v>
      </c>
      <c r="L71" s="10">
        <v>0</v>
      </c>
      <c r="M71" s="10">
        <v>936</v>
      </c>
      <c r="N71" s="10">
        <v>6420</v>
      </c>
      <c r="O71" s="10">
        <v>30</v>
      </c>
      <c r="P71" s="10">
        <v>0</v>
      </c>
      <c r="Q71" s="10">
        <v>0</v>
      </c>
      <c r="R71" s="10">
        <v>524</v>
      </c>
      <c r="S71" s="10">
        <v>6640</v>
      </c>
      <c r="T71" s="14" t="b">
        <v>0</v>
      </c>
      <c r="U71" s="14" t="b">
        <v>0</v>
      </c>
      <c r="V71" s="14" t="b">
        <v>0</v>
      </c>
      <c r="W71" s="14" t="b">
        <v>0</v>
      </c>
      <c r="X71" s="14" t="b">
        <v>0</v>
      </c>
      <c r="Y71" s="55">
        <v>0.25</v>
      </c>
      <c r="Z71" s="55">
        <v>0</v>
      </c>
      <c r="AA71" s="55">
        <v>0</v>
      </c>
      <c r="AB71" s="55">
        <v>0.56000000000000005</v>
      </c>
      <c r="AC71" s="55">
        <v>1.03</v>
      </c>
      <c r="AD71" s="55">
        <v>0.1</v>
      </c>
      <c r="AE71" s="55">
        <v>0</v>
      </c>
      <c r="AF71" s="55">
        <v>0</v>
      </c>
      <c r="AG71" s="55">
        <v>0.4</v>
      </c>
      <c r="AH71" s="55">
        <v>0.2</v>
      </c>
      <c r="AI7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740.62819985855708</v>
      </c>
      <c r="AN71" s="102">
        <f>SUM(VIEW_IV_2019_REP_CALCULO[[#This Row],[Premio-BERINERT]:[Premio-PRIVIGEN]])</f>
        <v>740.62819985855708</v>
      </c>
      <c r="AX71" s="3"/>
      <c r="AY71" s="3"/>
      <c r="AZ71" s="3"/>
      <c r="BA71" s="3"/>
      <c r="BB71" s="3"/>
    </row>
    <row r="72" spans="1:54" hidden="1" x14ac:dyDescent="0.2">
      <c r="A72" s="7" t="s">
        <v>16</v>
      </c>
      <c r="B72" s="7" t="s">
        <v>23</v>
      </c>
      <c r="C72" s="7" t="s">
        <v>24</v>
      </c>
      <c r="D72" s="8" t="s">
        <v>144</v>
      </c>
      <c r="E72" s="8" t="s">
        <v>145</v>
      </c>
      <c r="F72" s="8" t="s">
        <v>557</v>
      </c>
      <c r="G72" s="8" t="s">
        <v>206</v>
      </c>
      <c r="H72" s="13" t="b">
        <v>1</v>
      </c>
      <c r="I72" s="13" t="b">
        <v>1</v>
      </c>
      <c r="J72" s="10">
        <v>0</v>
      </c>
      <c r="K72" s="10">
        <v>132</v>
      </c>
      <c r="L72" s="10">
        <v>150</v>
      </c>
      <c r="M72" s="10">
        <v>0</v>
      </c>
      <c r="N72" s="10">
        <v>2675</v>
      </c>
      <c r="O72" s="10">
        <v>0</v>
      </c>
      <c r="P72" s="10">
        <v>126</v>
      </c>
      <c r="Q72" s="10">
        <v>143</v>
      </c>
      <c r="R72" s="10">
        <v>0</v>
      </c>
      <c r="S72" s="10">
        <v>1210</v>
      </c>
      <c r="T72" s="14" t="b">
        <v>0</v>
      </c>
      <c r="U72" s="14" t="b">
        <v>0</v>
      </c>
      <c r="V72" s="14" t="b">
        <v>0</v>
      </c>
      <c r="W72" s="14" t="b">
        <v>0</v>
      </c>
      <c r="X72" s="14" t="b">
        <v>0</v>
      </c>
      <c r="Y72" s="55">
        <v>0</v>
      </c>
      <c r="Z72" s="55">
        <v>0.95</v>
      </c>
      <c r="AA72" s="55">
        <v>0.95</v>
      </c>
      <c r="AB72" s="55">
        <v>0</v>
      </c>
      <c r="AC72" s="55">
        <v>0.45</v>
      </c>
      <c r="AD72" s="55">
        <v>0</v>
      </c>
      <c r="AE72" s="55">
        <v>0.25</v>
      </c>
      <c r="AF72" s="55">
        <v>0.25</v>
      </c>
      <c r="AG72" s="55">
        <v>0</v>
      </c>
      <c r="AH72" s="55">
        <v>0.2</v>
      </c>
      <c r="AI7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642.28041918113706</v>
      </c>
      <c r="AK7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642.28041918113706</v>
      </c>
      <c r="AL7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2" s="102">
        <f>SUM(VIEW_IV_2019_REP_CALCULO[[#This Row],[Premio-BERINERT]:[Premio-PRIVIGEN]])</f>
        <v>1284.5608383622741</v>
      </c>
      <c r="AX72" s="3"/>
      <c r="AY72" s="3"/>
      <c r="AZ72" s="3"/>
      <c r="BA72" s="3"/>
      <c r="BB72" s="3"/>
    </row>
    <row r="73" spans="1:54" hidden="1" x14ac:dyDescent="0.2">
      <c r="A73" s="7" t="s">
        <v>16</v>
      </c>
      <c r="B73" s="7" t="s">
        <v>23</v>
      </c>
      <c r="C73" s="7" t="s">
        <v>24</v>
      </c>
      <c r="D73" s="8" t="s">
        <v>147</v>
      </c>
      <c r="E73" s="8" t="s">
        <v>148</v>
      </c>
      <c r="F73" s="8" t="s">
        <v>557</v>
      </c>
      <c r="G73" s="8" t="s">
        <v>208</v>
      </c>
      <c r="H73" s="13" t="b">
        <v>1</v>
      </c>
      <c r="I73" s="13" t="b">
        <v>1</v>
      </c>
      <c r="J73" s="10">
        <v>0</v>
      </c>
      <c r="K73" s="10">
        <v>154</v>
      </c>
      <c r="L73" s="10">
        <v>180</v>
      </c>
      <c r="M73" s="10">
        <v>0</v>
      </c>
      <c r="N73" s="10">
        <v>4815</v>
      </c>
      <c r="O73" s="10">
        <v>0</v>
      </c>
      <c r="P73" s="10">
        <v>81</v>
      </c>
      <c r="Q73" s="10">
        <v>252</v>
      </c>
      <c r="R73" s="10">
        <v>0</v>
      </c>
      <c r="S73" s="10">
        <v>2965</v>
      </c>
      <c r="T73" s="14" t="b">
        <v>0</v>
      </c>
      <c r="U73" s="14" t="b">
        <v>0</v>
      </c>
      <c r="V73" s="14" t="b">
        <v>0</v>
      </c>
      <c r="W73" s="14" t="b">
        <v>0</v>
      </c>
      <c r="X73" s="14" t="b">
        <v>0</v>
      </c>
      <c r="Y73" s="55">
        <v>0</v>
      </c>
      <c r="Z73" s="55">
        <v>0.53</v>
      </c>
      <c r="AA73" s="55">
        <v>1.4</v>
      </c>
      <c r="AB73" s="55">
        <v>0</v>
      </c>
      <c r="AC73" s="55">
        <v>0.62</v>
      </c>
      <c r="AD73" s="55">
        <v>0</v>
      </c>
      <c r="AE73" s="55">
        <v>0.25</v>
      </c>
      <c r="AF73" s="55">
        <v>0.25</v>
      </c>
      <c r="AG73" s="55">
        <v>0</v>
      </c>
      <c r="AH73" s="55">
        <v>0.2</v>
      </c>
      <c r="AI7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1896.1019420429554</v>
      </c>
      <c r="AL7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3" s="102">
        <f>SUM(VIEW_IV_2019_REP_CALCULO[[#This Row],[Premio-BERINERT]:[Premio-PRIVIGEN]])</f>
        <v>1896.1019420429554</v>
      </c>
      <c r="AX73" s="3"/>
      <c r="AY73" s="3"/>
      <c r="AZ73" s="3"/>
      <c r="BA73" s="3"/>
      <c r="BB73" s="3"/>
    </row>
    <row r="74" spans="1:54" hidden="1" x14ac:dyDescent="0.2">
      <c r="A74" s="7" t="s">
        <v>16</v>
      </c>
      <c r="B74" s="7" t="s">
        <v>23</v>
      </c>
      <c r="C74" s="7" t="s">
        <v>24</v>
      </c>
      <c r="D74" s="8" t="s">
        <v>149</v>
      </c>
      <c r="E74" s="8" t="s">
        <v>150</v>
      </c>
      <c r="F74" s="8" t="s">
        <v>557</v>
      </c>
      <c r="G74" s="8" t="s">
        <v>208</v>
      </c>
      <c r="H74" s="13" t="b">
        <v>1</v>
      </c>
      <c r="I74" s="13" t="b">
        <v>1</v>
      </c>
      <c r="J74" s="10">
        <v>0</v>
      </c>
      <c r="K74" s="10">
        <v>132</v>
      </c>
      <c r="L74" s="10">
        <v>75</v>
      </c>
      <c r="M74" s="10">
        <v>0</v>
      </c>
      <c r="N74" s="10">
        <v>6420</v>
      </c>
      <c r="O74" s="10">
        <v>0</v>
      </c>
      <c r="P74" s="10">
        <v>37</v>
      </c>
      <c r="Q74" s="10">
        <v>55</v>
      </c>
      <c r="R74" s="10">
        <v>0</v>
      </c>
      <c r="S74" s="10">
        <v>5260</v>
      </c>
      <c r="T74" s="14" t="b">
        <v>0</v>
      </c>
      <c r="U74" s="14" t="b">
        <v>0</v>
      </c>
      <c r="V74" s="14" t="b">
        <v>0</v>
      </c>
      <c r="W74" s="14" t="b">
        <v>0</v>
      </c>
      <c r="X74" s="14" t="b">
        <v>0</v>
      </c>
      <c r="Y74" s="55">
        <v>0</v>
      </c>
      <c r="Z74" s="55">
        <v>0.28000000000000003</v>
      </c>
      <c r="AA74" s="55">
        <v>0.73</v>
      </c>
      <c r="AB74" s="55">
        <v>0</v>
      </c>
      <c r="AC74" s="55">
        <v>0.82</v>
      </c>
      <c r="AD74" s="55">
        <v>0</v>
      </c>
      <c r="AE74" s="55">
        <v>0.25</v>
      </c>
      <c r="AF74" s="55">
        <v>0.25</v>
      </c>
      <c r="AG74" s="55">
        <v>0</v>
      </c>
      <c r="AH74" s="55">
        <v>0.2</v>
      </c>
      <c r="AI7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295.67435437391265</v>
      </c>
      <c r="AN74" s="102">
        <f>SUM(VIEW_IV_2019_REP_CALCULO[[#This Row],[Premio-BERINERT]:[Premio-PRIVIGEN]])</f>
        <v>295.67435437391265</v>
      </c>
      <c r="AX74" s="3"/>
      <c r="AY74" s="3"/>
      <c r="AZ74" s="3"/>
      <c r="BA74" s="3"/>
      <c r="BB74" s="3"/>
    </row>
    <row r="75" spans="1:54" hidden="1" x14ac:dyDescent="0.2">
      <c r="A75" s="7" t="s">
        <v>16</v>
      </c>
      <c r="B75" s="7" t="s">
        <v>23</v>
      </c>
      <c r="C75" s="7" t="s">
        <v>24</v>
      </c>
      <c r="D75" s="8" t="s">
        <v>157</v>
      </c>
      <c r="E75" s="8" t="s">
        <v>158</v>
      </c>
      <c r="F75" s="8" t="s">
        <v>557</v>
      </c>
      <c r="G75" s="8" t="s">
        <v>206</v>
      </c>
      <c r="H75" s="13" t="b">
        <v>1</v>
      </c>
      <c r="I75" s="13" t="b">
        <v>1</v>
      </c>
      <c r="J75" s="10">
        <v>0</v>
      </c>
      <c r="K75" s="10">
        <v>88</v>
      </c>
      <c r="L75" s="10">
        <v>60</v>
      </c>
      <c r="M75" s="10">
        <v>0</v>
      </c>
      <c r="N75" s="10">
        <v>8025</v>
      </c>
      <c r="O75" s="10">
        <v>0</v>
      </c>
      <c r="P75" s="10">
        <v>8</v>
      </c>
      <c r="Q75" s="10">
        <v>16</v>
      </c>
      <c r="R75" s="10">
        <v>0</v>
      </c>
      <c r="S75" s="10">
        <v>11575</v>
      </c>
      <c r="T75" s="14" t="b">
        <v>0</v>
      </c>
      <c r="U75" s="14" t="b">
        <v>0</v>
      </c>
      <c r="V75" s="14" t="b">
        <v>0</v>
      </c>
      <c r="W75" s="14" t="b">
        <v>0</v>
      </c>
      <c r="X75" s="14" t="b">
        <v>0</v>
      </c>
      <c r="Y75" s="55">
        <v>0</v>
      </c>
      <c r="Z75" s="55">
        <v>0.09</v>
      </c>
      <c r="AA75" s="55">
        <v>0.27</v>
      </c>
      <c r="AB75" s="55">
        <v>0</v>
      </c>
      <c r="AC75" s="55">
        <v>1.44</v>
      </c>
      <c r="AD75" s="55">
        <v>0</v>
      </c>
      <c r="AE75" s="55">
        <v>0.25</v>
      </c>
      <c r="AF75" s="55">
        <v>0.25</v>
      </c>
      <c r="AG75" s="55">
        <v>0</v>
      </c>
      <c r="AH75" s="55">
        <v>0.2</v>
      </c>
      <c r="AI7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1558.1605781328099</v>
      </c>
      <c r="AN75" s="102">
        <f>SUM(VIEW_IV_2019_REP_CALCULO[[#This Row],[Premio-BERINERT]:[Premio-PRIVIGEN]])</f>
        <v>1558.1605781328099</v>
      </c>
      <c r="AX75" s="3"/>
      <c r="AY75" s="3"/>
      <c r="AZ75" s="3"/>
      <c r="BA75" s="3"/>
      <c r="BB75" s="3"/>
    </row>
    <row r="76" spans="1:54" hidden="1" x14ac:dyDescent="0.2">
      <c r="A76" s="7" t="s">
        <v>16</v>
      </c>
      <c r="B76" s="7" t="s">
        <v>23</v>
      </c>
      <c r="C76" s="7" t="s">
        <v>24</v>
      </c>
      <c r="D76" s="8" t="s">
        <v>163</v>
      </c>
      <c r="E76" s="8" t="s">
        <v>164</v>
      </c>
      <c r="F76" s="8" t="s">
        <v>557</v>
      </c>
      <c r="G76" s="8" t="s">
        <v>212</v>
      </c>
      <c r="H76" s="13" t="b">
        <v>1</v>
      </c>
      <c r="I76" s="13" t="b">
        <v>1</v>
      </c>
      <c r="J76" s="10">
        <v>0</v>
      </c>
      <c r="K76" s="10">
        <v>242</v>
      </c>
      <c r="L76" s="10">
        <v>105</v>
      </c>
      <c r="M76" s="10">
        <v>0</v>
      </c>
      <c r="N76" s="10">
        <v>2675</v>
      </c>
      <c r="O76" s="10">
        <v>0</v>
      </c>
      <c r="P76" s="10">
        <v>128</v>
      </c>
      <c r="Q76" s="10">
        <v>38</v>
      </c>
      <c r="R76" s="10">
        <v>0</v>
      </c>
      <c r="S76" s="10">
        <v>3505</v>
      </c>
      <c r="T76" s="14" t="b">
        <v>0</v>
      </c>
      <c r="U76" s="14" t="b">
        <v>0</v>
      </c>
      <c r="V76" s="14" t="b">
        <v>0</v>
      </c>
      <c r="W76" s="14" t="b">
        <v>0</v>
      </c>
      <c r="X76" s="14" t="b">
        <v>0</v>
      </c>
      <c r="Y76" s="55">
        <v>0</v>
      </c>
      <c r="Z76" s="55">
        <v>0.53</v>
      </c>
      <c r="AA76" s="55">
        <v>0.36</v>
      </c>
      <c r="AB76" s="55">
        <v>0</v>
      </c>
      <c r="AC76" s="55">
        <v>1.31</v>
      </c>
      <c r="AD76" s="55">
        <v>0</v>
      </c>
      <c r="AE76" s="55">
        <v>0.25</v>
      </c>
      <c r="AF76" s="55">
        <v>0.25</v>
      </c>
      <c r="AG76" s="55">
        <v>0</v>
      </c>
      <c r="AH76" s="55">
        <v>0.2</v>
      </c>
      <c r="AI7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1415.5013079322064</v>
      </c>
      <c r="AN76" s="102">
        <f>SUM(VIEW_IV_2019_REP_CALCULO[[#This Row],[Premio-BERINERT]:[Premio-PRIVIGEN]])</f>
        <v>1415.5013079322064</v>
      </c>
      <c r="AX76" s="3"/>
      <c r="AY76" s="3"/>
      <c r="AZ76" s="3"/>
      <c r="BA76" s="3"/>
      <c r="BB76" s="3"/>
    </row>
    <row r="77" spans="1:54" hidden="1" x14ac:dyDescent="0.2">
      <c r="A77" s="7" t="s">
        <v>16</v>
      </c>
      <c r="B77" s="7" t="s">
        <v>23</v>
      </c>
      <c r="C77" s="7" t="s">
        <v>24</v>
      </c>
      <c r="D77" s="8" t="s">
        <v>165</v>
      </c>
      <c r="E77" s="8" t="s">
        <v>166</v>
      </c>
      <c r="F77" s="8" t="s">
        <v>557</v>
      </c>
      <c r="G77" s="8" t="s">
        <v>212</v>
      </c>
      <c r="H77" s="13" t="b">
        <v>1</v>
      </c>
      <c r="I77" s="13" t="b">
        <v>1</v>
      </c>
      <c r="J77" s="10">
        <v>0</v>
      </c>
      <c r="K77" s="10">
        <v>198</v>
      </c>
      <c r="L77" s="10">
        <v>165</v>
      </c>
      <c r="M77" s="10">
        <v>0</v>
      </c>
      <c r="N77" s="10">
        <v>1605</v>
      </c>
      <c r="O77" s="10">
        <v>0</v>
      </c>
      <c r="P77" s="10">
        <v>63</v>
      </c>
      <c r="Q77" s="10">
        <v>525</v>
      </c>
      <c r="R77" s="10">
        <v>0</v>
      </c>
      <c r="S77" s="10">
        <v>3090</v>
      </c>
      <c r="T77" s="14" t="b">
        <v>0</v>
      </c>
      <c r="U77" s="14" t="b">
        <v>0</v>
      </c>
      <c r="V77" s="14" t="b">
        <v>0</v>
      </c>
      <c r="W77" s="14" t="b">
        <v>0</v>
      </c>
      <c r="X77" s="14" t="b">
        <v>0</v>
      </c>
      <c r="Y77" s="55">
        <v>0</v>
      </c>
      <c r="Z77" s="55">
        <v>0.32</v>
      </c>
      <c r="AA77" s="55">
        <v>3.18</v>
      </c>
      <c r="AB77" s="55">
        <v>0</v>
      </c>
      <c r="AC77" s="55">
        <v>1.93</v>
      </c>
      <c r="AD77" s="55">
        <v>0</v>
      </c>
      <c r="AE77" s="55">
        <v>0.25</v>
      </c>
      <c r="AF77" s="55">
        <v>0.25</v>
      </c>
      <c r="AG77" s="55">
        <v>0</v>
      </c>
      <c r="AH77" s="55">
        <v>0.2</v>
      </c>
      <c r="AI7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7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7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77" s="102">
        <f>SUM(VIEW_IV_2019_REP_CALCULO[[#This Row],[Premio-BERINERT]:[Premio-PRIVIGEN]])</f>
        <v>3667.0831511984152</v>
      </c>
      <c r="AX77" s="3"/>
      <c r="AY77" s="3"/>
      <c r="AZ77" s="3"/>
      <c r="BA77" s="3"/>
      <c r="BB77" s="3"/>
    </row>
    <row r="78" spans="1:54" hidden="1" x14ac:dyDescent="0.2">
      <c r="A78" s="7" t="s">
        <v>16</v>
      </c>
      <c r="B78" s="7" t="s">
        <v>23</v>
      </c>
      <c r="C78" s="7" t="s">
        <v>24</v>
      </c>
      <c r="D78" s="8" t="s">
        <v>167</v>
      </c>
      <c r="E78" s="8" t="s">
        <v>168</v>
      </c>
      <c r="F78" s="8" t="s">
        <v>557</v>
      </c>
      <c r="G78" s="8" t="s">
        <v>212</v>
      </c>
      <c r="H78" s="13" t="b">
        <v>1</v>
      </c>
      <c r="I78" s="13" t="b">
        <v>1</v>
      </c>
      <c r="J78" s="10">
        <v>0</v>
      </c>
      <c r="K78" s="10">
        <v>176</v>
      </c>
      <c r="L78" s="10">
        <v>105</v>
      </c>
      <c r="M78" s="10">
        <v>0</v>
      </c>
      <c r="N78" s="10">
        <v>3210</v>
      </c>
      <c r="O78" s="10">
        <v>0</v>
      </c>
      <c r="P78" s="10">
        <v>162</v>
      </c>
      <c r="Q78" s="10">
        <v>76</v>
      </c>
      <c r="R78" s="10">
        <v>0</v>
      </c>
      <c r="S78" s="10">
        <v>2435</v>
      </c>
      <c r="T78" s="14" t="b">
        <v>0</v>
      </c>
      <c r="U78" s="14" t="b">
        <v>0</v>
      </c>
      <c r="V78" s="14" t="b">
        <v>0</v>
      </c>
      <c r="W78" s="14" t="b">
        <v>0</v>
      </c>
      <c r="X78" s="14" t="b">
        <v>0</v>
      </c>
      <c r="Y78" s="55">
        <v>0</v>
      </c>
      <c r="Z78" s="55">
        <v>0.92</v>
      </c>
      <c r="AA78" s="55">
        <v>0.72</v>
      </c>
      <c r="AB78" s="55">
        <v>0</v>
      </c>
      <c r="AC78" s="55">
        <v>0.76</v>
      </c>
      <c r="AD78" s="55">
        <v>0</v>
      </c>
      <c r="AE78" s="55">
        <v>0.25</v>
      </c>
      <c r="AF78" s="55">
        <v>0.25</v>
      </c>
      <c r="AG78" s="55">
        <v>0</v>
      </c>
      <c r="AH78" s="55">
        <v>0.2</v>
      </c>
      <c r="AI7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621.99787962804794</v>
      </c>
      <c r="AK7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78" s="102">
        <f>SUM(VIEW_IV_2019_REP_CALCULO[[#This Row],[Premio-BERINERT]:[Premio-PRIVIGEN]])</f>
        <v>621.99787962804794</v>
      </c>
      <c r="AX78" s="3"/>
      <c r="AY78" s="3"/>
      <c r="AZ78" s="3"/>
      <c r="BA78" s="3"/>
      <c r="BB78" s="3"/>
    </row>
    <row r="79" spans="1:54" hidden="1" x14ac:dyDescent="0.2">
      <c r="A79" s="7" t="s">
        <v>16</v>
      </c>
      <c r="B79" s="7" t="s">
        <v>23</v>
      </c>
      <c r="C79" s="7" t="s">
        <v>24</v>
      </c>
      <c r="D79" s="8" t="s">
        <v>169</v>
      </c>
      <c r="E79" s="8" t="s">
        <v>170</v>
      </c>
      <c r="F79" s="8" t="s">
        <v>557</v>
      </c>
      <c r="G79" s="8" t="s">
        <v>212</v>
      </c>
      <c r="H79" s="13" t="b">
        <v>1</v>
      </c>
      <c r="I79" s="13" t="b">
        <v>1</v>
      </c>
      <c r="J79" s="10">
        <v>0</v>
      </c>
      <c r="K79" s="10">
        <v>220</v>
      </c>
      <c r="L79" s="10">
        <v>60</v>
      </c>
      <c r="M79" s="10">
        <v>0</v>
      </c>
      <c r="N79" s="10">
        <v>1605</v>
      </c>
      <c r="O79" s="10">
        <v>0</v>
      </c>
      <c r="P79" s="10">
        <v>268</v>
      </c>
      <c r="Q79" s="10">
        <v>29</v>
      </c>
      <c r="R79" s="10">
        <v>0</v>
      </c>
      <c r="S79" s="10">
        <v>1700</v>
      </c>
      <c r="T79" s="14" t="b">
        <v>0</v>
      </c>
      <c r="U79" s="14" t="b">
        <v>0</v>
      </c>
      <c r="V79" s="14" t="b">
        <v>0</v>
      </c>
      <c r="W79" s="14" t="b">
        <v>0</v>
      </c>
      <c r="X79" s="14" t="b">
        <v>0</v>
      </c>
      <c r="Y79" s="55">
        <v>0</v>
      </c>
      <c r="Z79" s="55">
        <v>1.22</v>
      </c>
      <c r="AA79" s="55">
        <v>0.48</v>
      </c>
      <c r="AB79" s="55">
        <v>0</v>
      </c>
      <c r="AC79" s="55">
        <v>1.06</v>
      </c>
      <c r="AD79" s="55">
        <v>0</v>
      </c>
      <c r="AE79" s="55">
        <v>0.25</v>
      </c>
      <c r="AF79" s="55">
        <v>0.25</v>
      </c>
      <c r="AG79" s="55">
        <v>0</v>
      </c>
      <c r="AH79" s="55">
        <v>0.2</v>
      </c>
      <c r="AI7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7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1644.1116706353823</v>
      </c>
      <c r="AK7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7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7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760.09943782952212</v>
      </c>
      <c r="AN79" s="102">
        <f>SUM(VIEW_IV_2019_REP_CALCULO[[#This Row],[Premio-BERINERT]:[Premio-PRIVIGEN]])</f>
        <v>2404.2111084649046</v>
      </c>
      <c r="AX79" s="3"/>
      <c r="AY79" s="3"/>
      <c r="AZ79" s="3"/>
      <c r="BA79" s="3"/>
      <c r="BB79" s="3"/>
    </row>
    <row r="80" spans="1:54" hidden="1" x14ac:dyDescent="0.2">
      <c r="A80" s="7" t="s">
        <v>16</v>
      </c>
      <c r="B80" s="7" t="s">
        <v>23</v>
      </c>
      <c r="C80" s="7" t="s">
        <v>24</v>
      </c>
      <c r="D80" s="8" t="s">
        <v>173</v>
      </c>
      <c r="E80" s="8" t="s">
        <v>174</v>
      </c>
      <c r="F80" s="8" t="s">
        <v>557</v>
      </c>
      <c r="G80" s="8" t="s">
        <v>206</v>
      </c>
      <c r="H80" s="13" t="b">
        <v>1</v>
      </c>
      <c r="I80" s="13" t="b">
        <v>1</v>
      </c>
      <c r="J80" s="10">
        <v>0</v>
      </c>
      <c r="K80" s="10">
        <v>132</v>
      </c>
      <c r="L80" s="10">
        <v>90</v>
      </c>
      <c r="M80" s="10">
        <v>0</v>
      </c>
      <c r="N80" s="10">
        <v>2675</v>
      </c>
      <c r="O80" s="10">
        <v>0</v>
      </c>
      <c r="P80" s="10">
        <v>159</v>
      </c>
      <c r="Q80" s="10">
        <v>122</v>
      </c>
      <c r="R80" s="10">
        <v>0</v>
      </c>
      <c r="S80" s="10">
        <v>3465</v>
      </c>
      <c r="T80" s="14" t="b">
        <v>0</v>
      </c>
      <c r="U80" s="14" t="b">
        <v>0</v>
      </c>
      <c r="V80" s="14" t="b">
        <v>0</v>
      </c>
      <c r="W80" s="14" t="b">
        <v>0</v>
      </c>
      <c r="X80" s="14" t="b">
        <v>0</v>
      </c>
      <c r="Y80" s="55">
        <v>0</v>
      </c>
      <c r="Z80" s="55">
        <v>1.2</v>
      </c>
      <c r="AA80" s="55">
        <v>1.36</v>
      </c>
      <c r="AB80" s="55">
        <v>0</v>
      </c>
      <c r="AC80" s="55">
        <v>1.3</v>
      </c>
      <c r="AD80" s="55">
        <v>0</v>
      </c>
      <c r="AE80" s="55">
        <v>0.25</v>
      </c>
      <c r="AF80" s="55">
        <v>0.25</v>
      </c>
      <c r="AG80" s="55">
        <v>0</v>
      </c>
      <c r="AH80" s="55">
        <v>0.2</v>
      </c>
      <c r="AI8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1618.6368009567027</v>
      </c>
      <c r="AK8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1833.469459903019</v>
      </c>
      <c r="AL8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1405.2464559341647</v>
      </c>
      <c r="AN80" s="102">
        <f>SUM(VIEW_IV_2019_REP_CALCULO[[#This Row],[Premio-BERINERT]:[Premio-PRIVIGEN]])</f>
        <v>4857.3527167938864</v>
      </c>
      <c r="AX80" s="3"/>
      <c r="AY80" s="3"/>
      <c r="AZ80" s="3"/>
      <c r="BA80" s="3"/>
      <c r="BB80" s="3"/>
    </row>
    <row r="81" spans="1:54" hidden="1" x14ac:dyDescent="0.2">
      <c r="A81" s="7" t="s">
        <v>16</v>
      </c>
      <c r="B81" s="7" t="s">
        <v>23</v>
      </c>
      <c r="C81" s="7" t="s">
        <v>24</v>
      </c>
      <c r="D81" s="8" t="s">
        <v>177</v>
      </c>
      <c r="E81" s="8" t="s">
        <v>178</v>
      </c>
      <c r="F81" s="8" t="s">
        <v>557</v>
      </c>
      <c r="G81" s="8" t="s">
        <v>208</v>
      </c>
      <c r="H81" s="13" t="b">
        <v>1</v>
      </c>
      <c r="I81" s="13" t="b">
        <v>1</v>
      </c>
      <c r="J81" s="10">
        <v>0</v>
      </c>
      <c r="K81" s="10">
        <v>154</v>
      </c>
      <c r="L81" s="10">
        <v>150</v>
      </c>
      <c r="M81" s="10">
        <v>0</v>
      </c>
      <c r="N81" s="10">
        <v>4815</v>
      </c>
      <c r="O81" s="10">
        <v>0</v>
      </c>
      <c r="P81" s="10">
        <v>159</v>
      </c>
      <c r="Q81" s="10">
        <v>161</v>
      </c>
      <c r="R81" s="10">
        <v>0</v>
      </c>
      <c r="S81" s="10">
        <v>2805</v>
      </c>
      <c r="T81" s="14" t="b">
        <v>0</v>
      </c>
      <c r="U81" s="14" t="b">
        <v>0</v>
      </c>
      <c r="V81" s="14" t="b">
        <v>0</v>
      </c>
      <c r="W81" s="14" t="b">
        <v>0</v>
      </c>
      <c r="X81" s="14" t="b">
        <v>0</v>
      </c>
      <c r="Y81" s="55">
        <v>0</v>
      </c>
      <c r="Z81" s="55">
        <v>1.03</v>
      </c>
      <c r="AA81" s="55">
        <v>1.07</v>
      </c>
      <c r="AB81" s="55">
        <v>0</v>
      </c>
      <c r="AC81" s="55">
        <v>0.57999999999999996</v>
      </c>
      <c r="AD81" s="55">
        <v>0</v>
      </c>
      <c r="AE81" s="55">
        <v>0.25</v>
      </c>
      <c r="AF81" s="55">
        <v>0.25</v>
      </c>
      <c r="AG81" s="55">
        <v>0</v>
      </c>
      <c r="AH81" s="55">
        <v>0.2</v>
      </c>
      <c r="AI8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925.7852498231963</v>
      </c>
      <c r="AK8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958.23731310813787</v>
      </c>
      <c r="AL8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1" s="102">
        <f>SUM(VIEW_IV_2019_REP_CALCULO[[#This Row],[Premio-BERINERT]:[Premio-PRIVIGEN]])</f>
        <v>1884.0225629313341</v>
      </c>
      <c r="AX81" s="3"/>
      <c r="AY81" s="3"/>
      <c r="AZ81" s="3"/>
      <c r="BA81" s="3"/>
      <c r="BB81" s="3"/>
    </row>
    <row r="82" spans="1:54" hidden="1" x14ac:dyDescent="0.2">
      <c r="A82" s="7" t="s">
        <v>16</v>
      </c>
      <c r="B82" s="7" t="s">
        <v>23</v>
      </c>
      <c r="C82" s="7" t="s">
        <v>24</v>
      </c>
      <c r="D82" s="8" t="s">
        <v>181</v>
      </c>
      <c r="E82" s="8" t="s">
        <v>182</v>
      </c>
      <c r="F82" s="8" t="s">
        <v>557</v>
      </c>
      <c r="G82" s="8" t="s">
        <v>206</v>
      </c>
      <c r="H82" s="13" t="b">
        <v>1</v>
      </c>
      <c r="I82" s="13" t="b">
        <v>1</v>
      </c>
      <c r="J82" s="10">
        <v>0</v>
      </c>
      <c r="K82" s="10">
        <v>242</v>
      </c>
      <c r="L82" s="10">
        <v>180</v>
      </c>
      <c r="M82" s="10">
        <v>0</v>
      </c>
      <c r="N82" s="10">
        <v>4280</v>
      </c>
      <c r="O82" s="10">
        <v>0</v>
      </c>
      <c r="P82" s="10">
        <v>215</v>
      </c>
      <c r="Q82" s="10">
        <v>115</v>
      </c>
      <c r="R82" s="10">
        <v>0</v>
      </c>
      <c r="S82" s="10">
        <v>5090</v>
      </c>
      <c r="T82" s="14" t="b">
        <v>0</v>
      </c>
      <c r="U82" s="14" t="b">
        <v>0</v>
      </c>
      <c r="V82" s="14" t="b">
        <v>0</v>
      </c>
      <c r="W82" s="14" t="b">
        <v>0</v>
      </c>
      <c r="X82" s="14" t="b">
        <v>0</v>
      </c>
      <c r="Y82" s="55">
        <v>0</v>
      </c>
      <c r="Z82" s="55">
        <v>0.89</v>
      </c>
      <c r="AA82" s="55">
        <v>0.64</v>
      </c>
      <c r="AB82" s="55">
        <v>0</v>
      </c>
      <c r="AC82" s="55">
        <v>1.19</v>
      </c>
      <c r="AD82" s="55">
        <v>0</v>
      </c>
      <c r="AE82" s="55">
        <v>0.25</v>
      </c>
      <c r="AF82" s="55">
        <v>0.25</v>
      </c>
      <c r="AG82" s="55">
        <v>0</v>
      </c>
      <c r="AH82" s="55">
        <v>0.2</v>
      </c>
      <c r="AI8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401.14356004997273</v>
      </c>
      <c r="AK8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1076.1825342248551</v>
      </c>
      <c r="AN82" s="102">
        <f>SUM(VIEW_IV_2019_REP_CALCULO[[#This Row],[Premio-BERINERT]:[Premio-PRIVIGEN]])</f>
        <v>1477.3260942748279</v>
      </c>
      <c r="AX82" s="3"/>
      <c r="AY82" s="3"/>
      <c r="AZ82" s="3"/>
      <c r="BA82" s="3"/>
      <c r="BB82" s="3"/>
    </row>
    <row r="83" spans="1:54" hidden="1" x14ac:dyDescent="0.2">
      <c r="A83" s="7" t="s">
        <v>16</v>
      </c>
      <c r="B83" s="7" t="s">
        <v>23</v>
      </c>
      <c r="C83" s="7" t="s">
        <v>24</v>
      </c>
      <c r="D83" s="8" t="s">
        <v>183</v>
      </c>
      <c r="E83" s="8" t="s">
        <v>184</v>
      </c>
      <c r="F83" s="8" t="s">
        <v>557</v>
      </c>
      <c r="G83" s="8" t="s">
        <v>208</v>
      </c>
      <c r="H83" s="13" t="b">
        <v>1</v>
      </c>
      <c r="I83" s="13" t="b">
        <v>1</v>
      </c>
      <c r="J83" s="10">
        <v>0</v>
      </c>
      <c r="K83" s="10">
        <v>198</v>
      </c>
      <c r="L83" s="10">
        <v>105</v>
      </c>
      <c r="M83" s="10">
        <v>0</v>
      </c>
      <c r="N83" s="10">
        <v>5885</v>
      </c>
      <c r="O83" s="10">
        <v>0</v>
      </c>
      <c r="P83" s="10">
        <v>51</v>
      </c>
      <c r="Q83" s="10">
        <v>148</v>
      </c>
      <c r="R83" s="10">
        <v>0</v>
      </c>
      <c r="S83" s="10">
        <v>9998</v>
      </c>
      <c r="T83" s="14" t="b">
        <v>0</v>
      </c>
      <c r="U83" s="14" t="b">
        <v>0</v>
      </c>
      <c r="V83" s="14" t="b">
        <v>0</v>
      </c>
      <c r="W83" s="14" t="b">
        <v>0</v>
      </c>
      <c r="X83" s="14" t="b">
        <v>0</v>
      </c>
      <c r="Y83" s="55">
        <v>0</v>
      </c>
      <c r="Z83" s="55">
        <v>0.26</v>
      </c>
      <c r="AA83" s="55">
        <v>1.41</v>
      </c>
      <c r="AB83" s="55">
        <v>0</v>
      </c>
      <c r="AC83" s="55">
        <v>1.7</v>
      </c>
      <c r="AD83" s="55">
        <v>0</v>
      </c>
      <c r="AE83" s="55">
        <v>0.25</v>
      </c>
      <c r="AF83" s="55">
        <v>0.25</v>
      </c>
      <c r="AG83" s="55">
        <v>0</v>
      </c>
      <c r="AH83" s="55">
        <v>0.2</v>
      </c>
      <c r="AI8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1909.0016371987199</v>
      </c>
      <c r="AL8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83" s="102">
        <f>SUM(VIEW_IV_2019_REP_CALCULO[[#This Row],[Premio-BERINERT]:[Premio-PRIVIGEN]])</f>
        <v>3538.8163710646822</v>
      </c>
      <c r="AX83" s="3"/>
      <c r="AY83" s="3"/>
      <c r="AZ83" s="3"/>
      <c r="BA83" s="3"/>
      <c r="BB83" s="3"/>
    </row>
    <row r="84" spans="1:54" hidden="1" x14ac:dyDescent="0.2">
      <c r="A84" s="7" t="s">
        <v>16</v>
      </c>
      <c r="B84" s="7" t="s">
        <v>23</v>
      </c>
      <c r="C84" s="7" t="s">
        <v>24</v>
      </c>
      <c r="D84" s="8" t="s">
        <v>159</v>
      </c>
      <c r="E84" s="8" t="s">
        <v>160</v>
      </c>
      <c r="F84" s="8" t="s">
        <v>740</v>
      </c>
      <c r="G84" s="8" t="s">
        <v>206</v>
      </c>
      <c r="H84" s="13" t="b">
        <v>1</v>
      </c>
      <c r="I84" s="13" t="b">
        <v>1</v>
      </c>
      <c r="J84" s="10">
        <v>14</v>
      </c>
      <c r="K84" s="10">
        <v>88</v>
      </c>
      <c r="L84" s="10">
        <v>60</v>
      </c>
      <c r="M84" s="10">
        <v>156</v>
      </c>
      <c r="N84" s="10">
        <v>3210</v>
      </c>
      <c r="O84" s="10">
        <v>0</v>
      </c>
      <c r="P84" s="10">
        <v>2</v>
      </c>
      <c r="Q84" s="10">
        <v>65</v>
      </c>
      <c r="R84" s="10">
        <v>408</v>
      </c>
      <c r="S84" s="10">
        <v>5148</v>
      </c>
      <c r="T84" s="14" t="b">
        <v>0</v>
      </c>
      <c r="U84" s="14" t="b">
        <v>0</v>
      </c>
      <c r="V84" s="14" t="b">
        <v>0</v>
      </c>
      <c r="W84" s="14" t="b">
        <v>0</v>
      </c>
      <c r="X84" s="14" t="b">
        <v>0</v>
      </c>
      <c r="Y84" s="55">
        <v>0</v>
      </c>
      <c r="Z84" s="55">
        <v>0.02</v>
      </c>
      <c r="AA84" s="55">
        <v>1.08</v>
      </c>
      <c r="AB84" s="55">
        <v>2.62</v>
      </c>
      <c r="AC84" s="55">
        <v>1.6</v>
      </c>
      <c r="AD84" s="55">
        <v>0.05</v>
      </c>
      <c r="AE84" s="55">
        <v>0.15</v>
      </c>
      <c r="AF84" s="55">
        <v>0.15</v>
      </c>
      <c r="AG84" s="55">
        <v>0.2</v>
      </c>
      <c r="AH84" s="55">
        <v>0.15</v>
      </c>
      <c r="AI8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579.81019735762402</v>
      </c>
      <c r="AL8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8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84" s="102">
        <f>SUM(VIEW_IV_2019_REP_CALCULO[[#This Row],[Premio-BERINERT]:[Premio-PRIVIGEN]])</f>
        <v>3431.9859816230583</v>
      </c>
      <c r="AX84" s="3"/>
      <c r="AY84" s="3"/>
      <c r="AZ84" s="3"/>
      <c r="BA84" s="3"/>
      <c r="BB84" s="3"/>
    </row>
    <row r="85" spans="1:54" hidden="1" x14ac:dyDescent="0.2">
      <c r="A85" s="7" t="s">
        <v>16</v>
      </c>
      <c r="B85" s="7" t="s">
        <v>23</v>
      </c>
      <c r="C85" s="7" t="s">
        <v>24</v>
      </c>
      <c r="D85" s="8" t="s">
        <v>201</v>
      </c>
      <c r="E85" s="8" t="s">
        <v>202</v>
      </c>
      <c r="F85" s="8" t="s">
        <v>740</v>
      </c>
      <c r="G85" s="8" t="s">
        <v>212</v>
      </c>
      <c r="H85" s="13" t="b">
        <v>1</v>
      </c>
      <c r="I85" s="13" t="b">
        <v>1</v>
      </c>
      <c r="J85" s="10">
        <v>48</v>
      </c>
      <c r="K85" s="10">
        <v>44</v>
      </c>
      <c r="L85" s="10">
        <v>15</v>
      </c>
      <c r="M85" s="10">
        <v>858</v>
      </c>
      <c r="N85" s="10">
        <v>1605</v>
      </c>
      <c r="O85" s="10">
        <v>0</v>
      </c>
      <c r="P85" s="10">
        <v>4</v>
      </c>
      <c r="Q85" s="10">
        <v>16</v>
      </c>
      <c r="R85" s="10">
        <v>558</v>
      </c>
      <c r="S85" s="10">
        <v>3010</v>
      </c>
      <c r="T85" s="14" t="b">
        <v>0</v>
      </c>
      <c r="U85" s="14" t="b">
        <v>0</v>
      </c>
      <c r="V85" s="14" t="b">
        <v>0</v>
      </c>
      <c r="W85" s="14" t="b">
        <v>0</v>
      </c>
      <c r="X85" s="14" t="b">
        <v>0</v>
      </c>
      <c r="Y85" s="55">
        <v>0</v>
      </c>
      <c r="Z85" s="55">
        <v>0.09</v>
      </c>
      <c r="AA85" s="55">
        <v>1.07</v>
      </c>
      <c r="AB85" s="55">
        <v>0.65</v>
      </c>
      <c r="AC85" s="55">
        <v>1.88</v>
      </c>
      <c r="AD85" s="55">
        <v>0.05</v>
      </c>
      <c r="AE85" s="55">
        <v>0.15</v>
      </c>
      <c r="AF85" s="55">
        <v>0.15</v>
      </c>
      <c r="AG85" s="55">
        <v>0.2</v>
      </c>
      <c r="AH85" s="55">
        <v>0.15</v>
      </c>
      <c r="AI8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574.94238786488268</v>
      </c>
      <c r="AL8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85" s="102">
        <f>SUM(VIEW_IV_2019_REP_CALCULO[[#This Row],[Premio-BERINERT]:[Premio-PRIVIGEN]])</f>
        <v>1797.3034382643543</v>
      </c>
      <c r="AX85" s="3"/>
      <c r="AY85" s="3"/>
      <c r="AZ85" s="3"/>
      <c r="BA85" s="3"/>
      <c r="BB85" s="3"/>
    </row>
    <row r="86" spans="1:54" x14ac:dyDescent="0.2">
      <c r="A86" s="7" t="s">
        <v>16</v>
      </c>
      <c r="B86" s="7" t="s">
        <v>229</v>
      </c>
      <c r="C86" s="7" t="s">
        <v>24</v>
      </c>
      <c r="D86" s="8" t="s">
        <v>151</v>
      </c>
      <c r="E86" s="8" t="s">
        <v>152</v>
      </c>
      <c r="F86" s="8" t="s">
        <v>556</v>
      </c>
      <c r="G86" s="8" t="s">
        <v>208</v>
      </c>
      <c r="H86" s="13" t="b">
        <v>1</v>
      </c>
      <c r="I86" s="13" t="b">
        <v>1</v>
      </c>
      <c r="J86" s="10">
        <v>48</v>
      </c>
      <c r="K86" s="10">
        <v>0</v>
      </c>
      <c r="L86" s="10">
        <v>0</v>
      </c>
      <c r="M86" s="10">
        <v>1326</v>
      </c>
      <c r="N86" s="10">
        <v>7490</v>
      </c>
      <c r="O86" s="10">
        <v>6</v>
      </c>
      <c r="P86" s="10">
        <v>0</v>
      </c>
      <c r="Q86" s="10">
        <v>0</v>
      </c>
      <c r="R86" s="10">
        <v>859</v>
      </c>
      <c r="S86" s="10">
        <v>4865</v>
      </c>
      <c r="T86" s="14" t="b">
        <v>0</v>
      </c>
      <c r="U86" s="14" t="b">
        <v>0</v>
      </c>
      <c r="V86" s="14" t="b">
        <v>0</v>
      </c>
      <c r="W86" s="14" t="b">
        <v>0</v>
      </c>
      <c r="X86" s="14" t="b">
        <v>0</v>
      </c>
      <c r="Y86" s="55">
        <v>0.13</v>
      </c>
      <c r="Z86" s="55">
        <v>0</v>
      </c>
      <c r="AA86" s="55">
        <v>0</v>
      </c>
      <c r="AB86" s="55">
        <v>0.65</v>
      </c>
      <c r="AC86" s="55">
        <v>0.65</v>
      </c>
      <c r="AD86" s="55">
        <v>0.1</v>
      </c>
      <c r="AE86" s="55">
        <v>0</v>
      </c>
      <c r="AF86" s="55">
        <v>0</v>
      </c>
      <c r="AG86" s="55">
        <v>0.4</v>
      </c>
      <c r="AH86" s="55">
        <v>0.2</v>
      </c>
      <c r="AI8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6" s="102">
        <f>SUM(VIEW_IV_2019_REP_CALCULO[[#This Row],[Premio-BERINERT]:[Premio-PRIVIGEN]])</f>
        <v>0</v>
      </c>
      <c r="AX86" s="3"/>
      <c r="AY86" s="3"/>
      <c r="AZ86" s="3"/>
      <c r="BA86" s="3"/>
      <c r="BB86" s="3"/>
    </row>
    <row r="87" spans="1:54" x14ac:dyDescent="0.2">
      <c r="A87" s="7" t="s">
        <v>16</v>
      </c>
      <c r="B87" s="7" t="s">
        <v>229</v>
      </c>
      <c r="C87" s="7" t="s">
        <v>24</v>
      </c>
      <c r="D87" s="8" t="s">
        <v>1355</v>
      </c>
      <c r="E87" s="8" t="s">
        <v>1356</v>
      </c>
      <c r="F87" s="8" t="s">
        <v>556</v>
      </c>
      <c r="G87" s="8" t="s">
        <v>208</v>
      </c>
      <c r="H87" s="13" t="b">
        <v>1</v>
      </c>
      <c r="I87" s="13" t="b">
        <v>1</v>
      </c>
      <c r="J87" s="10">
        <v>48</v>
      </c>
      <c r="K87" s="10">
        <v>0</v>
      </c>
      <c r="L87" s="10">
        <v>0</v>
      </c>
      <c r="M87" s="10">
        <v>936</v>
      </c>
      <c r="N87" s="10">
        <v>6955</v>
      </c>
      <c r="O87" s="10">
        <v>0</v>
      </c>
      <c r="P87" s="10">
        <v>0</v>
      </c>
      <c r="Q87" s="10">
        <v>0</v>
      </c>
      <c r="R87" s="10">
        <v>365</v>
      </c>
      <c r="S87" s="10">
        <v>4742</v>
      </c>
      <c r="T87" s="14" t="b">
        <v>0</v>
      </c>
      <c r="U87" s="14" t="b">
        <v>0</v>
      </c>
      <c r="V87" s="14" t="b">
        <v>0</v>
      </c>
      <c r="W87" s="14" t="b">
        <v>0</v>
      </c>
      <c r="X87" s="14" t="b">
        <v>0</v>
      </c>
      <c r="Y87" s="55">
        <v>0</v>
      </c>
      <c r="Z87" s="55">
        <v>0</v>
      </c>
      <c r="AA87" s="55">
        <v>0</v>
      </c>
      <c r="AB87" s="55">
        <v>0.39</v>
      </c>
      <c r="AC87" s="55">
        <v>0.68</v>
      </c>
      <c r="AD87" s="55">
        <v>0.1</v>
      </c>
      <c r="AE87" s="55">
        <v>0</v>
      </c>
      <c r="AF87" s="55">
        <v>0</v>
      </c>
      <c r="AG87" s="55">
        <v>0.4</v>
      </c>
      <c r="AH87" s="55">
        <v>0.2</v>
      </c>
      <c r="AI8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7" s="102">
        <f>SUM(VIEW_IV_2019_REP_CALCULO[[#This Row],[Premio-BERINERT]:[Premio-PRIVIGEN]])</f>
        <v>0</v>
      </c>
      <c r="AX87" s="3"/>
      <c r="AY87" s="3"/>
      <c r="AZ87" s="3"/>
      <c r="BA87" s="3"/>
      <c r="BB87" s="3"/>
    </row>
    <row r="88" spans="1:54" x14ac:dyDescent="0.2">
      <c r="A88" s="7" t="s">
        <v>16</v>
      </c>
      <c r="B88" s="7" t="s">
        <v>229</v>
      </c>
      <c r="C88" s="7" t="s">
        <v>24</v>
      </c>
      <c r="D88" s="8" t="s">
        <v>155</v>
      </c>
      <c r="E88" s="8" t="s">
        <v>156</v>
      </c>
      <c r="F88" s="8" t="s">
        <v>556</v>
      </c>
      <c r="G88" s="8" t="s">
        <v>206</v>
      </c>
      <c r="H88" s="13" t="b">
        <v>1</v>
      </c>
      <c r="I88" s="13" t="b">
        <v>1</v>
      </c>
      <c r="J88" s="10">
        <v>34</v>
      </c>
      <c r="K88" s="10">
        <v>0</v>
      </c>
      <c r="L88" s="10">
        <v>0</v>
      </c>
      <c r="M88" s="10">
        <v>1638</v>
      </c>
      <c r="N88" s="10">
        <v>6955</v>
      </c>
      <c r="O88" s="10">
        <v>0</v>
      </c>
      <c r="P88" s="10">
        <v>0</v>
      </c>
      <c r="Q88" s="10">
        <v>0</v>
      </c>
      <c r="R88" s="10">
        <v>884</v>
      </c>
      <c r="S88" s="10">
        <v>8100</v>
      </c>
      <c r="T88" s="14" t="b">
        <v>0</v>
      </c>
      <c r="U88" s="14" t="b">
        <v>0</v>
      </c>
      <c r="V88" s="14" t="b">
        <v>0</v>
      </c>
      <c r="W88" s="14" t="b">
        <v>0</v>
      </c>
      <c r="X88" s="14" t="b">
        <v>0</v>
      </c>
      <c r="Y88" s="55">
        <v>0</v>
      </c>
      <c r="Z88" s="55">
        <v>0</v>
      </c>
      <c r="AA88" s="55">
        <v>0</v>
      </c>
      <c r="AB88" s="55">
        <v>0.54</v>
      </c>
      <c r="AC88" s="55">
        <v>1.1599999999999999</v>
      </c>
      <c r="AD88" s="55">
        <v>0.1</v>
      </c>
      <c r="AE88" s="55">
        <v>0</v>
      </c>
      <c r="AF88" s="55">
        <v>0</v>
      </c>
      <c r="AG88" s="55">
        <v>0.4</v>
      </c>
      <c r="AH88" s="55">
        <v>0.2</v>
      </c>
      <c r="AI8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1050.8699248626006</v>
      </c>
      <c r="AN88" s="102">
        <f>SUM(VIEW_IV_2019_REP_CALCULO[[#This Row],[Premio-BERINERT]:[Premio-PRIVIGEN]])</f>
        <v>1050.8699248626006</v>
      </c>
      <c r="AX88" s="3"/>
      <c r="AY88" s="3"/>
      <c r="AZ88" s="3"/>
      <c r="BA88" s="3"/>
      <c r="BB88" s="3"/>
    </row>
    <row r="89" spans="1:54" x14ac:dyDescent="0.2">
      <c r="A89" s="7" t="s">
        <v>16</v>
      </c>
      <c r="B89" s="7" t="s">
        <v>229</v>
      </c>
      <c r="C89" s="7" t="s">
        <v>24</v>
      </c>
      <c r="D89" s="8" t="s">
        <v>161</v>
      </c>
      <c r="E89" s="8" t="s">
        <v>162</v>
      </c>
      <c r="F89" s="8" t="s">
        <v>556</v>
      </c>
      <c r="G89" s="8" t="s">
        <v>208</v>
      </c>
      <c r="H89" s="13" t="b">
        <v>1</v>
      </c>
      <c r="I89" s="13" t="b">
        <v>1</v>
      </c>
      <c r="J89" s="10">
        <v>48</v>
      </c>
      <c r="K89" s="10">
        <v>0</v>
      </c>
      <c r="L89" s="10">
        <v>0</v>
      </c>
      <c r="M89" s="10">
        <v>936</v>
      </c>
      <c r="N89" s="10">
        <v>7490</v>
      </c>
      <c r="O89" s="10">
        <v>4</v>
      </c>
      <c r="P89" s="10">
        <v>0</v>
      </c>
      <c r="Q89" s="10">
        <v>0</v>
      </c>
      <c r="R89" s="10">
        <v>316</v>
      </c>
      <c r="S89" s="10">
        <v>5225</v>
      </c>
      <c r="T89" s="14" t="b">
        <v>0</v>
      </c>
      <c r="U89" s="14" t="b">
        <v>0</v>
      </c>
      <c r="V89" s="14" t="b">
        <v>0</v>
      </c>
      <c r="W89" s="14" t="b">
        <v>0</v>
      </c>
      <c r="X89" s="14" t="b">
        <v>0</v>
      </c>
      <c r="Y89" s="55">
        <v>0.08</v>
      </c>
      <c r="Z89" s="55">
        <v>0</v>
      </c>
      <c r="AA89" s="55">
        <v>0</v>
      </c>
      <c r="AB89" s="55">
        <v>0.34</v>
      </c>
      <c r="AC89" s="55">
        <v>0.7</v>
      </c>
      <c r="AD89" s="55">
        <v>0.1</v>
      </c>
      <c r="AE89" s="55">
        <v>0</v>
      </c>
      <c r="AF89" s="55">
        <v>0</v>
      </c>
      <c r="AG89" s="55">
        <v>0.4</v>
      </c>
      <c r="AH89" s="55">
        <v>0.2</v>
      </c>
      <c r="AI8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8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8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8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8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89" s="102">
        <f>SUM(VIEW_IV_2019_REP_CALCULO[[#This Row],[Premio-BERINERT]:[Premio-PRIVIGEN]])</f>
        <v>0</v>
      </c>
      <c r="AX89" s="3"/>
      <c r="AY89" s="3"/>
      <c r="AZ89" s="3"/>
      <c r="BA89" s="3"/>
      <c r="BB89" s="3"/>
    </row>
    <row r="90" spans="1:54" x14ac:dyDescent="0.2">
      <c r="A90" s="7" t="s">
        <v>16</v>
      </c>
      <c r="B90" s="7" t="s">
        <v>229</v>
      </c>
      <c r="C90" s="7" t="s">
        <v>24</v>
      </c>
      <c r="D90" s="8" t="s">
        <v>175</v>
      </c>
      <c r="E90" s="8" t="s">
        <v>176</v>
      </c>
      <c r="F90" s="8" t="s">
        <v>556</v>
      </c>
      <c r="G90" s="8" t="s">
        <v>206</v>
      </c>
      <c r="H90" s="13" t="b">
        <v>1</v>
      </c>
      <c r="I90" s="13" t="b">
        <v>1</v>
      </c>
      <c r="J90" s="10">
        <v>120</v>
      </c>
      <c r="K90" s="10">
        <v>0</v>
      </c>
      <c r="L90" s="10">
        <v>0</v>
      </c>
      <c r="M90" s="10">
        <v>1014</v>
      </c>
      <c r="N90" s="10">
        <v>10700</v>
      </c>
      <c r="O90" s="10">
        <v>1</v>
      </c>
      <c r="P90" s="10">
        <v>0</v>
      </c>
      <c r="Q90" s="10">
        <v>0</v>
      </c>
      <c r="R90" s="10">
        <v>493</v>
      </c>
      <c r="S90" s="10">
        <v>9545</v>
      </c>
      <c r="T90" s="14" t="b">
        <v>0</v>
      </c>
      <c r="U90" s="14" t="b">
        <v>0</v>
      </c>
      <c r="V90" s="14" t="b">
        <v>0</v>
      </c>
      <c r="W90" s="14" t="b">
        <v>0</v>
      </c>
      <c r="X90" s="14" t="b">
        <v>0</v>
      </c>
      <c r="Y90" s="55">
        <v>0.01</v>
      </c>
      <c r="Z90" s="55">
        <v>0</v>
      </c>
      <c r="AA90" s="55">
        <v>0</v>
      </c>
      <c r="AB90" s="55">
        <v>0.49</v>
      </c>
      <c r="AC90" s="55">
        <v>0.89</v>
      </c>
      <c r="AD90" s="55">
        <v>0.1</v>
      </c>
      <c r="AE90" s="55">
        <v>0</v>
      </c>
      <c r="AF90" s="55">
        <v>0</v>
      </c>
      <c r="AG90" s="55">
        <v>0.4</v>
      </c>
      <c r="AH90" s="55">
        <v>0.2</v>
      </c>
      <c r="AI9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320.91484803997821</v>
      </c>
      <c r="AN90" s="102">
        <f>SUM(VIEW_IV_2019_REP_CALCULO[[#This Row],[Premio-BERINERT]:[Premio-PRIVIGEN]])</f>
        <v>320.91484803997821</v>
      </c>
      <c r="AX90" s="3"/>
      <c r="AY90" s="3"/>
      <c r="AZ90" s="3"/>
      <c r="BA90" s="3"/>
      <c r="BB90" s="3"/>
    </row>
    <row r="91" spans="1:54" x14ac:dyDescent="0.2">
      <c r="A91" s="7" t="s">
        <v>16</v>
      </c>
      <c r="B91" s="7" t="s">
        <v>229</v>
      </c>
      <c r="C91" s="7" t="s">
        <v>24</v>
      </c>
      <c r="D91" s="8" t="s">
        <v>199</v>
      </c>
      <c r="E91" s="8" t="s">
        <v>200</v>
      </c>
      <c r="F91" s="8" t="s">
        <v>556</v>
      </c>
      <c r="G91" s="8" t="s">
        <v>212</v>
      </c>
      <c r="H91" s="13" t="b">
        <v>1</v>
      </c>
      <c r="I91" s="13" t="b">
        <v>1</v>
      </c>
      <c r="J91" s="10">
        <v>120</v>
      </c>
      <c r="K91" s="10">
        <v>0</v>
      </c>
      <c r="L91" s="10">
        <v>0</v>
      </c>
      <c r="M91" s="10">
        <v>936</v>
      </c>
      <c r="N91" s="10">
        <v>6420</v>
      </c>
      <c r="O91" s="10">
        <v>24</v>
      </c>
      <c r="P91" s="10">
        <v>0</v>
      </c>
      <c r="Q91" s="10">
        <v>0</v>
      </c>
      <c r="R91" s="10">
        <v>537</v>
      </c>
      <c r="S91" s="10">
        <v>7520</v>
      </c>
      <c r="T91" s="14" t="b">
        <v>0</v>
      </c>
      <c r="U91" s="14" t="b">
        <v>0</v>
      </c>
      <c r="V91" s="14" t="b">
        <v>0</v>
      </c>
      <c r="W91" s="14" t="b">
        <v>0</v>
      </c>
      <c r="X91" s="14" t="b">
        <v>0</v>
      </c>
      <c r="Y91" s="55">
        <v>0.2</v>
      </c>
      <c r="Z91" s="55">
        <v>0</v>
      </c>
      <c r="AA91" s="55">
        <v>0</v>
      </c>
      <c r="AB91" s="55">
        <v>0.56999999999999995</v>
      </c>
      <c r="AC91" s="55">
        <v>1.17</v>
      </c>
      <c r="AD91" s="55">
        <v>0.1</v>
      </c>
      <c r="AE91" s="55">
        <v>0</v>
      </c>
      <c r="AF91" s="55">
        <v>0</v>
      </c>
      <c r="AG91" s="55">
        <v>0.4</v>
      </c>
      <c r="AH91" s="55">
        <v>0.2</v>
      </c>
      <c r="AI9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1059.3074613166852</v>
      </c>
      <c r="AN91" s="102">
        <f>SUM(VIEW_IV_2019_REP_CALCULO[[#This Row],[Premio-BERINERT]:[Premio-PRIVIGEN]])</f>
        <v>1059.3074613166852</v>
      </c>
      <c r="AX91" s="3"/>
      <c r="AY91" s="3"/>
      <c r="AZ91" s="3"/>
      <c r="BA91" s="3"/>
      <c r="BB91" s="3"/>
    </row>
    <row r="92" spans="1:54" x14ac:dyDescent="0.2">
      <c r="A92" s="7" t="s">
        <v>16</v>
      </c>
      <c r="B92" s="7" t="s">
        <v>229</v>
      </c>
      <c r="C92" s="7" t="s">
        <v>24</v>
      </c>
      <c r="D92" s="8" t="s">
        <v>144</v>
      </c>
      <c r="E92" s="8" t="s">
        <v>145</v>
      </c>
      <c r="F92" s="8" t="s">
        <v>557</v>
      </c>
      <c r="G92" s="8" t="s">
        <v>206</v>
      </c>
      <c r="H92" s="13" t="b">
        <v>1</v>
      </c>
      <c r="I92" s="13" t="b">
        <v>1</v>
      </c>
      <c r="J92" s="10">
        <v>0</v>
      </c>
      <c r="K92" s="10">
        <v>132</v>
      </c>
      <c r="L92" s="10">
        <v>150</v>
      </c>
      <c r="M92" s="10">
        <v>0</v>
      </c>
      <c r="N92" s="10">
        <v>2675</v>
      </c>
      <c r="O92" s="10">
        <v>0</v>
      </c>
      <c r="P92" s="10">
        <v>70</v>
      </c>
      <c r="Q92" s="10">
        <v>132</v>
      </c>
      <c r="R92" s="10">
        <v>0</v>
      </c>
      <c r="S92" s="10">
        <v>1185</v>
      </c>
      <c r="T92" s="14" t="b">
        <v>0</v>
      </c>
      <c r="U92" s="14" t="b">
        <v>0</v>
      </c>
      <c r="V92" s="14" t="b">
        <v>0</v>
      </c>
      <c r="W92" s="14" t="b">
        <v>0</v>
      </c>
      <c r="X92" s="14" t="b">
        <v>0</v>
      </c>
      <c r="Y92" s="55">
        <v>0</v>
      </c>
      <c r="Z92" s="55">
        <v>0.53</v>
      </c>
      <c r="AA92" s="55">
        <v>0.88</v>
      </c>
      <c r="AB92" s="55">
        <v>0</v>
      </c>
      <c r="AC92" s="55">
        <v>0.44</v>
      </c>
      <c r="AD92" s="55">
        <v>0</v>
      </c>
      <c r="AE92" s="55">
        <v>0.25</v>
      </c>
      <c r="AF92" s="55">
        <v>0.25</v>
      </c>
      <c r="AG92" s="55">
        <v>0</v>
      </c>
      <c r="AH92" s="55">
        <v>0.2</v>
      </c>
      <c r="AI9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396.63632903817546</v>
      </c>
      <c r="AL9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2" s="102">
        <f>SUM(VIEW_IV_2019_REP_CALCULO[[#This Row],[Premio-BERINERT]:[Premio-PRIVIGEN]])</f>
        <v>396.63632903817546</v>
      </c>
      <c r="AX92" s="3"/>
      <c r="AY92" s="3"/>
      <c r="AZ92" s="3"/>
      <c r="BA92" s="3"/>
      <c r="BB92" s="3"/>
    </row>
    <row r="93" spans="1:54" x14ac:dyDescent="0.2">
      <c r="A93" s="7" t="s">
        <v>16</v>
      </c>
      <c r="B93" s="7" t="s">
        <v>229</v>
      </c>
      <c r="C93" s="7" t="s">
        <v>24</v>
      </c>
      <c r="D93" s="8" t="s">
        <v>147</v>
      </c>
      <c r="E93" s="8" t="s">
        <v>148</v>
      </c>
      <c r="F93" s="8" t="s">
        <v>557</v>
      </c>
      <c r="G93" s="8" t="s">
        <v>208</v>
      </c>
      <c r="H93" s="13" t="b">
        <v>1</v>
      </c>
      <c r="I93" s="13" t="b">
        <v>1</v>
      </c>
      <c r="J93" s="10">
        <v>0</v>
      </c>
      <c r="K93" s="10">
        <v>154</v>
      </c>
      <c r="L93" s="10">
        <v>180</v>
      </c>
      <c r="M93" s="10">
        <v>0</v>
      </c>
      <c r="N93" s="10">
        <v>4815</v>
      </c>
      <c r="O93" s="10">
        <v>0</v>
      </c>
      <c r="P93" s="10">
        <v>63</v>
      </c>
      <c r="Q93" s="10">
        <v>266</v>
      </c>
      <c r="R93" s="10">
        <v>0</v>
      </c>
      <c r="S93" s="10">
        <v>2430</v>
      </c>
      <c r="T93" s="14" t="b">
        <v>0</v>
      </c>
      <c r="U93" s="14" t="b">
        <v>0</v>
      </c>
      <c r="V93" s="14" t="b">
        <v>0</v>
      </c>
      <c r="W93" s="14" t="b">
        <v>0</v>
      </c>
      <c r="X93" s="14" t="b">
        <v>0</v>
      </c>
      <c r="Y93" s="55">
        <v>0</v>
      </c>
      <c r="Z93" s="55">
        <v>0.41</v>
      </c>
      <c r="AA93" s="55">
        <v>1.48</v>
      </c>
      <c r="AB93" s="55">
        <v>0</v>
      </c>
      <c r="AC93" s="55">
        <v>0.5</v>
      </c>
      <c r="AD93" s="55">
        <v>0</v>
      </c>
      <c r="AE93" s="55">
        <v>0.25</v>
      </c>
      <c r="AF93" s="55">
        <v>0.25</v>
      </c>
      <c r="AG93" s="55">
        <v>0</v>
      </c>
      <c r="AH93" s="55">
        <v>0.2</v>
      </c>
      <c r="AI9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1999.2995032890717</v>
      </c>
      <c r="AL9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3" s="102">
        <f>SUM(VIEW_IV_2019_REP_CALCULO[[#This Row],[Premio-BERINERT]:[Premio-PRIVIGEN]])</f>
        <v>1999.2995032890717</v>
      </c>
      <c r="AX93" s="3"/>
      <c r="AY93" s="3"/>
      <c r="AZ93" s="3"/>
      <c r="BA93" s="3"/>
      <c r="BB93" s="3"/>
    </row>
    <row r="94" spans="1:54" x14ac:dyDescent="0.2">
      <c r="A94" s="7" t="s">
        <v>16</v>
      </c>
      <c r="B94" s="7" t="s">
        <v>229</v>
      </c>
      <c r="C94" s="7" t="s">
        <v>24</v>
      </c>
      <c r="D94" s="8" t="s">
        <v>149</v>
      </c>
      <c r="E94" s="8" t="s">
        <v>150</v>
      </c>
      <c r="F94" s="8" t="s">
        <v>557</v>
      </c>
      <c r="G94" s="8" t="s">
        <v>208</v>
      </c>
      <c r="H94" s="13" t="b">
        <v>1</v>
      </c>
      <c r="I94" s="13" t="b">
        <v>1</v>
      </c>
      <c r="J94" s="10">
        <v>0</v>
      </c>
      <c r="K94" s="10">
        <v>132</v>
      </c>
      <c r="L94" s="10">
        <v>75</v>
      </c>
      <c r="M94" s="10">
        <v>0</v>
      </c>
      <c r="N94" s="10">
        <v>6420</v>
      </c>
      <c r="O94" s="10">
        <v>0</v>
      </c>
      <c r="P94" s="10">
        <v>68</v>
      </c>
      <c r="Q94" s="10">
        <v>17</v>
      </c>
      <c r="R94" s="10">
        <v>0</v>
      </c>
      <c r="S94" s="10">
        <v>4615</v>
      </c>
      <c r="T94" s="14" t="b">
        <v>0</v>
      </c>
      <c r="U94" s="14" t="b">
        <v>0</v>
      </c>
      <c r="V94" s="14" t="b">
        <v>0</v>
      </c>
      <c r="W94" s="14" t="b">
        <v>0</v>
      </c>
      <c r="X94" s="14" t="b">
        <v>0</v>
      </c>
      <c r="Y94" s="55">
        <v>0</v>
      </c>
      <c r="Z94" s="55">
        <v>0.52</v>
      </c>
      <c r="AA94" s="55">
        <v>0.23</v>
      </c>
      <c r="AB94" s="55">
        <v>0</v>
      </c>
      <c r="AC94" s="55">
        <v>0.72</v>
      </c>
      <c r="AD94" s="55">
        <v>0</v>
      </c>
      <c r="AE94" s="55">
        <v>0.25</v>
      </c>
      <c r="AF94" s="55">
        <v>0.25</v>
      </c>
      <c r="AG94" s="55">
        <v>0</v>
      </c>
      <c r="AH94" s="55">
        <v>0.2</v>
      </c>
      <c r="AI9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4" s="102">
        <f>SUM(VIEW_IV_2019_REP_CALCULO[[#This Row],[Premio-BERINERT]:[Premio-PRIVIGEN]])</f>
        <v>0</v>
      </c>
      <c r="AX94" s="3"/>
      <c r="AY94" s="3"/>
      <c r="AZ94" s="3"/>
      <c r="BA94" s="3"/>
      <c r="BB94" s="3"/>
    </row>
    <row r="95" spans="1:54" x14ac:dyDescent="0.2">
      <c r="A95" s="7" t="s">
        <v>16</v>
      </c>
      <c r="B95" s="7" t="s">
        <v>229</v>
      </c>
      <c r="C95" s="7" t="s">
        <v>24</v>
      </c>
      <c r="D95" s="8" t="s">
        <v>157</v>
      </c>
      <c r="E95" s="8" t="s">
        <v>158</v>
      </c>
      <c r="F95" s="8" t="s">
        <v>557</v>
      </c>
      <c r="G95" s="8" t="s">
        <v>206</v>
      </c>
      <c r="H95" s="13" t="b">
        <v>1</v>
      </c>
      <c r="I95" s="13" t="b">
        <v>1</v>
      </c>
      <c r="J95" s="10">
        <v>0</v>
      </c>
      <c r="K95" s="10">
        <v>88</v>
      </c>
      <c r="L95" s="10">
        <v>60</v>
      </c>
      <c r="M95" s="10">
        <v>0</v>
      </c>
      <c r="N95" s="10">
        <v>8025</v>
      </c>
      <c r="O95" s="10">
        <v>0</v>
      </c>
      <c r="P95" s="10">
        <v>8</v>
      </c>
      <c r="Q95" s="10">
        <v>20</v>
      </c>
      <c r="R95" s="10">
        <v>0</v>
      </c>
      <c r="S95" s="10">
        <v>8360</v>
      </c>
      <c r="T95" s="14" t="b">
        <v>0</v>
      </c>
      <c r="U95" s="14" t="b">
        <v>0</v>
      </c>
      <c r="V95" s="14" t="b">
        <v>0</v>
      </c>
      <c r="W95" s="14" t="b">
        <v>0</v>
      </c>
      <c r="X95" s="14" t="b">
        <v>0</v>
      </c>
      <c r="Y95" s="55">
        <v>0</v>
      </c>
      <c r="Z95" s="55">
        <v>0.09</v>
      </c>
      <c r="AA95" s="55">
        <v>0.33</v>
      </c>
      <c r="AB95" s="55">
        <v>0</v>
      </c>
      <c r="AC95" s="55">
        <v>1.04</v>
      </c>
      <c r="AD95" s="55">
        <v>0</v>
      </c>
      <c r="AE95" s="55">
        <v>0.25</v>
      </c>
      <c r="AF95" s="55">
        <v>0.25</v>
      </c>
      <c r="AG95" s="55">
        <v>0</v>
      </c>
      <c r="AH95" s="55">
        <v>0.2</v>
      </c>
      <c r="AI9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747.11861251554569</v>
      </c>
      <c r="AN95" s="102">
        <f>SUM(VIEW_IV_2019_REP_CALCULO[[#This Row],[Premio-BERINERT]:[Premio-PRIVIGEN]])</f>
        <v>747.11861251554569</v>
      </c>
      <c r="AX95" s="3"/>
      <c r="AY95" s="3"/>
      <c r="AZ95" s="3"/>
      <c r="BA95" s="3"/>
      <c r="BB95" s="3"/>
    </row>
    <row r="96" spans="1:54" x14ac:dyDescent="0.2">
      <c r="A96" s="7" t="s">
        <v>16</v>
      </c>
      <c r="B96" s="7" t="s">
        <v>229</v>
      </c>
      <c r="C96" s="7" t="s">
        <v>24</v>
      </c>
      <c r="D96" s="8" t="s">
        <v>163</v>
      </c>
      <c r="E96" s="8" t="s">
        <v>164</v>
      </c>
      <c r="F96" s="8" t="s">
        <v>557</v>
      </c>
      <c r="G96" s="8" t="s">
        <v>212</v>
      </c>
      <c r="H96" s="13" t="b">
        <v>1</v>
      </c>
      <c r="I96" s="13" t="b">
        <v>1</v>
      </c>
      <c r="J96" s="10">
        <v>0</v>
      </c>
      <c r="K96" s="10">
        <v>242</v>
      </c>
      <c r="L96" s="10">
        <v>105</v>
      </c>
      <c r="M96" s="10">
        <v>0</v>
      </c>
      <c r="N96" s="10">
        <v>2675</v>
      </c>
      <c r="O96" s="10">
        <v>0</v>
      </c>
      <c r="P96" s="10">
        <v>125</v>
      </c>
      <c r="Q96" s="10">
        <v>37</v>
      </c>
      <c r="R96" s="10">
        <v>0</v>
      </c>
      <c r="S96" s="10">
        <v>4040</v>
      </c>
      <c r="T96" s="14" t="b">
        <v>0</v>
      </c>
      <c r="U96" s="14" t="b">
        <v>0</v>
      </c>
      <c r="V96" s="14" t="b">
        <v>0</v>
      </c>
      <c r="W96" s="14" t="b">
        <v>0</v>
      </c>
      <c r="X96" s="14" t="b">
        <v>0</v>
      </c>
      <c r="Y96" s="55">
        <v>0</v>
      </c>
      <c r="Z96" s="55">
        <v>0.52</v>
      </c>
      <c r="AA96" s="55">
        <v>0.35</v>
      </c>
      <c r="AB96" s="55">
        <v>0</v>
      </c>
      <c r="AC96" s="55">
        <v>1.51</v>
      </c>
      <c r="AD96" s="55">
        <v>0</v>
      </c>
      <c r="AE96" s="55">
        <v>0.25</v>
      </c>
      <c r="AF96" s="55">
        <v>0.25</v>
      </c>
      <c r="AG96" s="55">
        <v>0</v>
      </c>
      <c r="AH96" s="55">
        <v>0.2</v>
      </c>
      <c r="AI9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96" s="102">
        <f>SUM(VIEW_IV_2019_REP_CALCULO[[#This Row],[Premio-BERINERT]:[Premio-PRIVIGEN]])</f>
        <v>1629.8147338659624</v>
      </c>
      <c r="AX96" s="3"/>
      <c r="AY96" s="3"/>
      <c r="AZ96" s="3"/>
      <c r="BA96" s="3"/>
      <c r="BB96" s="3"/>
    </row>
    <row r="97" spans="1:54" x14ac:dyDescent="0.2">
      <c r="A97" s="7" t="s">
        <v>16</v>
      </c>
      <c r="B97" s="7" t="s">
        <v>229</v>
      </c>
      <c r="C97" s="7" t="s">
        <v>24</v>
      </c>
      <c r="D97" s="8" t="s">
        <v>165</v>
      </c>
      <c r="E97" s="8" t="s">
        <v>166</v>
      </c>
      <c r="F97" s="8" t="s">
        <v>557</v>
      </c>
      <c r="G97" s="8" t="s">
        <v>212</v>
      </c>
      <c r="H97" s="13" t="b">
        <v>1</v>
      </c>
      <c r="I97" s="13" t="b">
        <v>1</v>
      </c>
      <c r="J97" s="10">
        <v>0</v>
      </c>
      <c r="K97" s="10">
        <v>198</v>
      </c>
      <c r="L97" s="10">
        <v>165</v>
      </c>
      <c r="M97" s="10">
        <v>0</v>
      </c>
      <c r="N97" s="10">
        <v>1605</v>
      </c>
      <c r="O97" s="10">
        <v>0</v>
      </c>
      <c r="P97" s="10">
        <v>124</v>
      </c>
      <c r="Q97" s="10">
        <v>439</v>
      </c>
      <c r="R97" s="10">
        <v>0</v>
      </c>
      <c r="S97" s="10">
        <v>1545</v>
      </c>
      <c r="T97" s="14" t="b">
        <v>0</v>
      </c>
      <c r="U97" s="14" t="b">
        <v>0</v>
      </c>
      <c r="V97" s="14" t="b">
        <v>0</v>
      </c>
      <c r="W97" s="14" t="b">
        <v>0</v>
      </c>
      <c r="X97" s="14" t="b">
        <v>0</v>
      </c>
      <c r="Y97" s="55">
        <v>0</v>
      </c>
      <c r="Z97" s="55">
        <v>0.63</v>
      </c>
      <c r="AA97" s="55">
        <v>2.66</v>
      </c>
      <c r="AB97" s="55">
        <v>0</v>
      </c>
      <c r="AC97" s="55">
        <v>0.96</v>
      </c>
      <c r="AD97" s="55">
        <v>0</v>
      </c>
      <c r="AE97" s="55">
        <v>0.25</v>
      </c>
      <c r="AF97" s="55">
        <v>0.25</v>
      </c>
      <c r="AG97" s="55">
        <v>0</v>
      </c>
      <c r="AH97" s="55">
        <v>0.2</v>
      </c>
      <c r="AI9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9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519.23301255906665</v>
      </c>
      <c r="AN97" s="102">
        <f>SUM(VIEW_IV_2019_REP_CALCULO[[#This Row],[Premio-BERINERT]:[Premio-PRIVIGEN]])</f>
        <v>2556.5014298915194</v>
      </c>
      <c r="AX97" s="3"/>
      <c r="AY97" s="3"/>
      <c r="AZ97" s="3"/>
      <c r="BA97" s="3"/>
      <c r="BB97" s="3"/>
    </row>
    <row r="98" spans="1:54" x14ac:dyDescent="0.2">
      <c r="A98" s="7" t="s">
        <v>16</v>
      </c>
      <c r="B98" s="7" t="s">
        <v>229</v>
      </c>
      <c r="C98" s="7" t="s">
        <v>24</v>
      </c>
      <c r="D98" s="8" t="s">
        <v>167</v>
      </c>
      <c r="E98" s="8" t="s">
        <v>168</v>
      </c>
      <c r="F98" s="8" t="s">
        <v>557</v>
      </c>
      <c r="G98" s="8" t="s">
        <v>212</v>
      </c>
      <c r="H98" s="13" t="b">
        <v>1</v>
      </c>
      <c r="I98" s="13" t="b">
        <v>1</v>
      </c>
      <c r="J98" s="10">
        <v>0</v>
      </c>
      <c r="K98" s="10">
        <v>176</v>
      </c>
      <c r="L98" s="10">
        <v>105</v>
      </c>
      <c r="M98" s="10">
        <v>0</v>
      </c>
      <c r="N98" s="10">
        <v>3210</v>
      </c>
      <c r="O98" s="10">
        <v>0</v>
      </c>
      <c r="P98" s="10">
        <v>84</v>
      </c>
      <c r="Q98" s="10">
        <v>37</v>
      </c>
      <c r="R98" s="10">
        <v>0</v>
      </c>
      <c r="S98" s="10">
        <v>6195</v>
      </c>
      <c r="T98" s="14" t="b">
        <v>0</v>
      </c>
      <c r="U98" s="14" t="b">
        <v>0</v>
      </c>
      <c r="V98" s="14" t="b">
        <v>0</v>
      </c>
      <c r="W98" s="14" t="b">
        <v>0</v>
      </c>
      <c r="X98" s="14" t="b">
        <v>0</v>
      </c>
      <c r="Y98" s="55">
        <v>0</v>
      </c>
      <c r="Z98" s="55">
        <v>0.48</v>
      </c>
      <c r="AA98" s="55">
        <v>0.35</v>
      </c>
      <c r="AB98" s="55">
        <v>0</v>
      </c>
      <c r="AC98" s="55">
        <v>1.93</v>
      </c>
      <c r="AD98" s="55">
        <v>0</v>
      </c>
      <c r="AE98" s="55">
        <v>0.25</v>
      </c>
      <c r="AF98" s="55">
        <v>0.25</v>
      </c>
      <c r="AG98" s="55">
        <v>0</v>
      </c>
      <c r="AH98" s="55">
        <v>0.2</v>
      </c>
      <c r="AI9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9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98" s="102">
        <f>SUM(VIEW_IV_2019_REP_CALCULO[[#This Row],[Premio-BERINERT]:[Premio-PRIVIGEN]])</f>
        <v>1629.8147338659624</v>
      </c>
      <c r="AX98" s="3"/>
      <c r="AY98" s="3"/>
      <c r="AZ98" s="3"/>
      <c r="BA98" s="3"/>
      <c r="BB98" s="3"/>
    </row>
    <row r="99" spans="1:54" x14ac:dyDescent="0.2">
      <c r="A99" s="7" t="s">
        <v>16</v>
      </c>
      <c r="B99" s="7" t="s">
        <v>229</v>
      </c>
      <c r="C99" s="7" t="s">
        <v>24</v>
      </c>
      <c r="D99" s="8" t="s">
        <v>169</v>
      </c>
      <c r="E99" s="8" t="s">
        <v>170</v>
      </c>
      <c r="F99" s="8" t="s">
        <v>557</v>
      </c>
      <c r="G99" s="8" t="s">
        <v>212</v>
      </c>
      <c r="H99" s="13" t="b">
        <v>1</v>
      </c>
      <c r="I99" s="13" t="b">
        <v>1</v>
      </c>
      <c r="J99" s="10">
        <v>0</v>
      </c>
      <c r="K99" s="10">
        <v>220</v>
      </c>
      <c r="L99" s="10">
        <v>60</v>
      </c>
      <c r="M99" s="10">
        <v>0</v>
      </c>
      <c r="N99" s="10">
        <v>1605</v>
      </c>
      <c r="O99" s="10">
        <v>0</v>
      </c>
      <c r="P99" s="10">
        <v>565</v>
      </c>
      <c r="Q99" s="10">
        <v>13</v>
      </c>
      <c r="R99" s="10">
        <v>0</v>
      </c>
      <c r="S99" s="10">
        <v>300</v>
      </c>
      <c r="T99" s="14" t="b">
        <v>0</v>
      </c>
      <c r="U99" s="14" t="b">
        <v>0</v>
      </c>
      <c r="V99" s="14" t="b">
        <v>0</v>
      </c>
      <c r="W99" s="14" t="b">
        <v>0</v>
      </c>
      <c r="X99" s="14" t="b">
        <v>0</v>
      </c>
      <c r="Y99" s="55">
        <v>0</v>
      </c>
      <c r="Z99" s="55">
        <v>2.57</v>
      </c>
      <c r="AA99" s="55">
        <v>0.22</v>
      </c>
      <c r="AB99" s="55">
        <v>0</v>
      </c>
      <c r="AC99" s="55">
        <v>0.19</v>
      </c>
      <c r="AD99" s="55">
        <v>0</v>
      </c>
      <c r="AE99" s="55">
        <v>0.25</v>
      </c>
      <c r="AF99" s="55">
        <v>0.25</v>
      </c>
      <c r="AG99" s="55">
        <v>0</v>
      </c>
      <c r="AH99" s="55">
        <v>0.2</v>
      </c>
      <c r="AI9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9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9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9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9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99" s="102">
        <f>SUM(VIEW_IV_2019_REP_CALCULO[[#This Row],[Premio-BERINERT]:[Premio-PRIVIGEN]])</f>
        <v>2037.2684173324528</v>
      </c>
      <c r="AX99" s="3"/>
      <c r="AY99" s="3"/>
      <c r="AZ99" s="3"/>
      <c r="BA99" s="3"/>
      <c r="BB99" s="3"/>
    </row>
    <row r="100" spans="1:54" x14ac:dyDescent="0.2">
      <c r="A100" s="7" t="s">
        <v>16</v>
      </c>
      <c r="B100" s="7" t="s">
        <v>229</v>
      </c>
      <c r="C100" s="7" t="s">
        <v>24</v>
      </c>
      <c r="D100" s="8" t="s">
        <v>173</v>
      </c>
      <c r="E100" s="8" t="s">
        <v>174</v>
      </c>
      <c r="F100" s="8" t="s">
        <v>557</v>
      </c>
      <c r="G100" s="8" t="s">
        <v>206</v>
      </c>
      <c r="H100" s="13" t="b">
        <v>1</v>
      </c>
      <c r="I100" s="13" t="b">
        <v>1</v>
      </c>
      <c r="J100" s="10">
        <v>0</v>
      </c>
      <c r="K100" s="10">
        <v>132</v>
      </c>
      <c r="L100" s="10">
        <v>90</v>
      </c>
      <c r="M100" s="10">
        <v>0</v>
      </c>
      <c r="N100" s="10">
        <v>2675</v>
      </c>
      <c r="O100" s="10">
        <v>0</v>
      </c>
      <c r="P100" s="10">
        <v>78</v>
      </c>
      <c r="Q100" s="10">
        <v>48</v>
      </c>
      <c r="R100" s="10">
        <v>0</v>
      </c>
      <c r="S100" s="10">
        <v>3325</v>
      </c>
      <c r="T100" s="14" t="b">
        <v>0</v>
      </c>
      <c r="U100" s="14" t="b">
        <v>0</v>
      </c>
      <c r="V100" s="14" t="b">
        <v>0</v>
      </c>
      <c r="W100" s="14" t="b">
        <v>0</v>
      </c>
      <c r="X100" s="14" t="b">
        <v>0</v>
      </c>
      <c r="Y100" s="55">
        <v>0</v>
      </c>
      <c r="Z100" s="55">
        <v>0.59</v>
      </c>
      <c r="AA100" s="55">
        <v>0.53</v>
      </c>
      <c r="AB100" s="55">
        <v>0</v>
      </c>
      <c r="AC100" s="55">
        <v>1.24</v>
      </c>
      <c r="AD100" s="55">
        <v>0</v>
      </c>
      <c r="AE100" s="55">
        <v>0.25</v>
      </c>
      <c r="AF100" s="55">
        <v>0.25</v>
      </c>
      <c r="AG100" s="55">
        <v>0</v>
      </c>
      <c r="AH100" s="55">
        <v>0.2</v>
      </c>
      <c r="AI10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1335.669232251249</v>
      </c>
      <c r="AN100" s="102">
        <f>SUM(VIEW_IV_2019_REP_CALCULO[[#This Row],[Premio-BERINERT]:[Premio-PRIVIGEN]])</f>
        <v>1335.669232251249</v>
      </c>
      <c r="AX100" s="3"/>
      <c r="AY100" s="3"/>
      <c r="AZ100" s="3"/>
      <c r="BA100" s="3"/>
      <c r="BB100" s="3"/>
    </row>
    <row r="101" spans="1:54" x14ac:dyDescent="0.2">
      <c r="A101" s="7" t="s">
        <v>16</v>
      </c>
      <c r="B101" s="7" t="s">
        <v>229</v>
      </c>
      <c r="C101" s="7" t="s">
        <v>24</v>
      </c>
      <c r="D101" s="8" t="s">
        <v>177</v>
      </c>
      <c r="E101" s="8" t="s">
        <v>178</v>
      </c>
      <c r="F101" s="8" t="s">
        <v>557</v>
      </c>
      <c r="G101" s="8" t="s">
        <v>208</v>
      </c>
      <c r="H101" s="13" t="b">
        <v>1</v>
      </c>
      <c r="I101" s="13" t="b">
        <v>1</v>
      </c>
      <c r="J101" s="10">
        <v>0</v>
      </c>
      <c r="K101" s="10">
        <v>154</v>
      </c>
      <c r="L101" s="10">
        <v>150</v>
      </c>
      <c r="M101" s="10">
        <v>0</v>
      </c>
      <c r="N101" s="10">
        <v>4815</v>
      </c>
      <c r="O101" s="10">
        <v>0</v>
      </c>
      <c r="P101" s="10">
        <v>65</v>
      </c>
      <c r="Q101" s="10">
        <v>123</v>
      </c>
      <c r="R101" s="10">
        <v>0</v>
      </c>
      <c r="S101" s="10">
        <v>602</v>
      </c>
      <c r="T101" s="14" t="b">
        <v>0</v>
      </c>
      <c r="U101" s="14" t="b">
        <v>0</v>
      </c>
      <c r="V101" s="14" t="b">
        <v>0</v>
      </c>
      <c r="W101" s="14" t="b">
        <v>0</v>
      </c>
      <c r="X101" s="14" t="b">
        <v>0</v>
      </c>
      <c r="Y101" s="55">
        <v>0</v>
      </c>
      <c r="Z101" s="55">
        <v>0.42</v>
      </c>
      <c r="AA101" s="55">
        <v>0.82</v>
      </c>
      <c r="AB101" s="55">
        <v>0</v>
      </c>
      <c r="AC101" s="55">
        <v>0.13</v>
      </c>
      <c r="AD101" s="55">
        <v>0</v>
      </c>
      <c r="AE101" s="55">
        <v>0.25</v>
      </c>
      <c r="AF101" s="55">
        <v>0.25</v>
      </c>
      <c r="AG101" s="55">
        <v>0</v>
      </c>
      <c r="AH101" s="55">
        <v>0.2</v>
      </c>
      <c r="AI10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369.5929429673908</v>
      </c>
      <c r="AL10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1" s="102">
        <f>SUM(VIEW_IV_2019_REP_CALCULO[[#This Row],[Premio-BERINERT]:[Premio-PRIVIGEN]])</f>
        <v>369.5929429673908</v>
      </c>
      <c r="AX101" s="3"/>
      <c r="AY101" s="3"/>
      <c r="AZ101" s="3"/>
      <c r="BA101" s="3"/>
      <c r="BB101" s="3"/>
    </row>
    <row r="102" spans="1:54" x14ac:dyDescent="0.2">
      <c r="A102" s="7" t="s">
        <v>16</v>
      </c>
      <c r="B102" s="7" t="s">
        <v>229</v>
      </c>
      <c r="C102" s="7" t="s">
        <v>24</v>
      </c>
      <c r="D102" s="8" t="s">
        <v>181</v>
      </c>
      <c r="E102" s="8" t="s">
        <v>182</v>
      </c>
      <c r="F102" s="8" t="s">
        <v>557</v>
      </c>
      <c r="G102" s="8" t="s">
        <v>206</v>
      </c>
      <c r="H102" s="13" t="b">
        <v>1</v>
      </c>
      <c r="I102" s="13" t="b">
        <v>1</v>
      </c>
      <c r="J102" s="10">
        <v>0</v>
      </c>
      <c r="K102" s="10">
        <v>242</v>
      </c>
      <c r="L102" s="10">
        <v>180</v>
      </c>
      <c r="M102" s="10">
        <v>0</v>
      </c>
      <c r="N102" s="10">
        <v>4280</v>
      </c>
      <c r="O102" s="10">
        <v>0</v>
      </c>
      <c r="P102" s="10">
        <v>189</v>
      </c>
      <c r="Q102" s="10">
        <v>139</v>
      </c>
      <c r="R102" s="10">
        <v>0</v>
      </c>
      <c r="S102" s="10">
        <v>4775</v>
      </c>
      <c r="T102" s="14" t="b">
        <v>0</v>
      </c>
      <c r="U102" s="14" t="b">
        <v>0</v>
      </c>
      <c r="V102" s="14" t="b">
        <v>0</v>
      </c>
      <c r="W102" s="14" t="b">
        <v>0</v>
      </c>
      <c r="X102" s="14" t="b">
        <v>0</v>
      </c>
      <c r="Y102" s="55">
        <v>0</v>
      </c>
      <c r="Z102" s="55">
        <v>0.78</v>
      </c>
      <c r="AA102" s="55">
        <v>0.77</v>
      </c>
      <c r="AB102" s="55">
        <v>0</v>
      </c>
      <c r="AC102" s="55">
        <v>1.1200000000000001</v>
      </c>
      <c r="AD102" s="55">
        <v>0</v>
      </c>
      <c r="AE102" s="55">
        <v>0.25</v>
      </c>
      <c r="AF102" s="55">
        <v>0.25</v>
      </c>
      <c r="AG102" s="55">
        <v>0</v>
      </c>
      <c r="AH102" s="55">
        <v>0.2</v>
      </c>
      <c r="AI10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1017.1197790462616</v>
      </c>
      <c r="AN102" s="102">
        <f>SUM(VIEW_IV_2019_REP_CALCULO[[#This Row],[Premio-BERINERT]:[Premio-PRIVIGEN]])</f>
        <v>1017.1197790462616</v>
      </c>
      <c r="AX102" s="3"/>
      <c r="AY102" s="3"/>
      <c r="AZ102" s="3"/>
      <c r="BA102" s="3"/>
      <c r="BB102" s="3"/>
    </row>
    <row r="103" spans="1:54" x14ac:dyDescent="0.2">
      <c r="A103" s="7" t="s">
        <v>16</v>
      </c>
      <c r="B103" s="7" t="s">
        <v>229</v>
      </c>
      <c r="C103" s="7" t="s">
        <v>24</v>
      </c>
      <c r="D103" s="8" t="s">
        <v>183</v>
      </c>
      <c r="E103" s="8" t="s">
        <v>184</v>
      </c>
      <c r="F103" s="8" t="s">
        <v>557</v>
      </c>
      <c r="G103" s="8" t="s">
        <v>208</v>
      </c>
      <c r="H103" s="13" t="b">
        <v>1</v>
      </c>
      <c r="I103" s="13" t="b">
        <v>1</v>
      </c>
      <c r="J103" s="10">
        <v>0</v>
      </c>
      <c r="K103" s="10">
        <v>198</v>
      </c>
      <c r="L103" s="10">
        <v>105</v>
      </c>
      <c r="M103" s="10">
        <v>0</v>
      </c>
      <c r="N103" s="10">
        <v>5885</v>
      </c>
      <c r="O103" s="10">
        <v>0</v>
      </c>
      <c r="P103" s="10">
        <v>233</v>
      </c>
      <c r="Q103" s="10">
        <v>185</v>
      </c>
      <c r="R103" s="10">
        <v>0</v>
      </c>
      <c r="S103" s="10">
        <v>7185</v>
      </c>
      <c r="T103" s="14" t="b">
        <v>0</v>
      </c>
      <c r="U103" s="14" t="b">
        <v>0</v>
      </c>
      <c r="V103" s="14" t="b">
        <v>0</v>
      </c>
      <c r="W103" s="14" t="b">
        <v>0</v>
      </c>
      <c r="X103" s="14" t="b">
        <v>0</v>
      </c>
      <c r="Y103" s="55">
        <v>0</v>
      </c>
      <c r="Z103" s="55">
        <v>1.18</v>
      </c>
      <c r="AA103" s="55">
        <v>1.76</v>
      </c>
      <c r="AB103" s="55">
        <v>0</v>
      </c>
      <c r="AC103" s="55">
        <v>1.22</v>
      </c>
      <c r="AD103" s="55">
        <v>0</v>
      </c>
      <c r="AE103" s="55">
        <v>0.25</v>
      </c>
      <c r="AF103" s="55">
        <v>0.25</v>
      </c>
      <c r="AG103" s="55">
        <v>0</v>
      </c>
      <c r="AH103" s="55">
        <v>0.2</v>
      </c>
      <c r="AI10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1334.6812472134623</v>
      </c>
      <c r="AK10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0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1315.289336508306</v>
      </c>
      <c r="AN103" s="102">
        <f>SUM(VIEW_IV_2019_REP_CALCULO[[#This Row],[Premio-BERINERT]:[Premio-PRIVIGEN]])</f>
        <v>4687.2390010542204</v>
      </c>
      <c r="AX103" s="3"/>
      <c r="AY103" s="3"/>
      <c r="AZ103" s="3"/>
      <c r="BA103" s="3"/>
      <c r="BB103" s="3"/>
    </row>
    <row r="104" spans="1:54" x14ac:dyDescent="0.2">
      <c r="A104" s="7" t="s">
        <v>16</v>
      </c>
      <c r="B104" s="7" t="s">
        <v>229</v>
      </c>
      <c r="C104" s="7" t="s">
        <v>24</v>
      </c>
      <c r="D104" s="8" t="s">
        <v>159</v>
      </c>
      <c r="E104" s="8" t="s">
        <v>160</v>
      </c>
      <c r="F104" s="8" t="s">
        <v>740</v>
      </c>
      <c r="G104" s="8" t="s">
        <v>206</v>
      </c>
      <c r="H104" s="13" t="b">
        <v>1</v>
      </c>
      <c r="I104" s="13" t="b">
        <v>1</v>
      </c>
      <c r="J104" s="10">
        <v>14</v>
      </c>
      <c r="K104" s="10">
        <v>88</v>
      </c>
      <c r="L104" s="10">
        <v>60</v>
      </c>
      <c r="M104" s="10">
        <v>156</v>
      </c>
      <c r="N104" s="10">
        <v>3210</v>
      </c>
      <c r="O104" s="10">
        <v>0</v>
      </c>
      <c r="P104" s="10">
        <v>30</v>
      </c>
      <c r="Q104" s="10">
        <v>28</v>
      </c>
      <c r="R104" s="10">
        <v>321</v>
      </c>
      <c r="S104" s="10">
        <v>6740</v>
      </c>
      <c r="T104" s="14" t="b">
        <v>0</v>
      </c>
      <c r="U104" s="14" t="b">
        <v>0</v>
      </c>
      <c r="V104" s="14" t="b">
        <v>0</v>
      </c>
      <c r="W104" s="14" t="b">
        <v>0</v>
      </c>
      <c r="X104" s="14" t="b">
        <v>0</v>
      </c>
      <c r="Y104" s="55">
        <v>0</v>
      </c>
      <c r="Z104" s="55">
        <v>0.34</v>
      </c>
      <c r="AA104" s="55">
        <v>0.47</v>
      </c>
      <c r="AB104" s="55">
        <v>2.06</v>
      </c>
      <c r="AC104" s="55">
        <v>2.1</v>
      </c>
      <c r="AD104" s="55">
        <v>0.05</v>
      </c>
      <c r="AE104" s="55">
        <v>0.15</v>
      </c>
      <c r="AF104" s="55">
        <v>0.15</v>
      </c>
      <c r="AG104" s="55">
        <v>0.2</v>
      </c>
      <c r="AH104" s="55">
        <v>0.15</v>
      </c>
      <c r="AI10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1629.8147338659624</v>
      </c>
      <c r="AM10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104" s="102">
        <f>SUM(VIEW_IV_2019_REP_CALCULO[[#This Row],[Premio-BERINERT]:[Premio-PRIVIGEN]])</f>
        <v>2852.1757842654342</v>
      </c>
      <c r="AX104" s="3"/>
      <c r="AY104" s="3"/>
      <c r="AZ104" s="3"/>
      <c r="BA104" s="3"/>
      <c r="BB104" s="3"/>
    </row>
    <row r="105" spans="1:54" x14ac:dyDescent="0.2">
      <c r="A105" s="7" t="s">
        <v>16</v>
      </c>
      <c r="B105" s="7" t="s">
        <v>229</v>
      </c>
      <c r="C105" s="7" t="s">
        <v>24</v>
      </c>
      <c r="D105" s="8" t="s">
        <v>201</v>
      </c>
      <c r="E105" s="8" t="s">
        <v>202</v>
      </c>
      <c r="F105" s="8" t="s">
        <v>740</v>
      </c>
      <c r="G105" s="8" t="s">
        <v>212</v>
      </c>
      <c r="H105" s="13" t="b">
        <v>1</v>
      </c>
      <c r="I105" s="13" t="b">
        <v>1</v>
      </c>
      <c r="J105" s="10">
        <v>48</v>
      </c>
      <c r="K105" s="10">
        <v>44</v>
      </c>
      <c r="L105" s="10">
        <v>15</v>
      </c>
      <c r="M105" s="10">
        <v>858</v>
      </c>
      <c r="N105" s="10">
        <v>1605</v>
      </c>
      <c r="O105" s="10">
        <v>0</v>
      </c>
      <c r="P105" s="10">
        <v>38</v>
      </c>
      <c r="Q105" s="10">
        <v>29</v>
      </c>
      <c r="R105" s="10">
        <v>460</v>
      </c>
      <c r="S105" s="10">
        <v>4495</v>
      </c>
      <c r="T105" s="14" t="b">
        <v>0</v>
      </c>
      <c r="U105" s="14" t="b">
        <v>0</v>
      </c>
      <c r="V105" s="14" t="b">
        <v>0</v>
      </c>
      <c r="W105" s="14" t="b">
        <v>0</v>
      </c>
      <c r="X105" s="14" t="b">
        <v>0</v>
      </c>
      <c r="Y105" s="55">
        <v>0</v>
      </c>
      <c r="Z105" s="55">
        <v>0.86</v>
      </c>
      <c r="AA105" s="55">
        <v>1.93</v>
      </c>
      <c r="AB105" s="55">
        <v>0.54</v>
      </c>
      <c r="AC105" s="55">
        <v>2.8</v>
      </c>
      <c r="AD105" s="55">
        <v>0.05</v>
      </c>
      <c r="AE105" s="55">
        <v>0.15</v>
      </c>
      <c r="AF105" s="55">
        <v>0.15</v>
      </c>
      <c r="AG105" s="55">
        <v>0.2</v>
      </c>
      <c r="AH105" s="55">
        <v>0.15</v>
      </c>
      <c r="AI10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232.57312020874824</v>
      </c>
      <c r="AK10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1222.3610503994717</v>
      </c>
      <c r="AL10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105" s="102">
        <f>SUM(VIEW_IV_2019_REP_CALCULO[[#This Row],[Premio-BERINERT]:[Premio-PRIVIGEN]])</f>
        <v>2677.2952210076915</v>
      </c>
      <c r="AX105" s="3"/>
      <c r="AY105" s="3"/>
      <c r="AZ105" s="3"/>
      <c r="BA105" s="3"/>
      <c r="BB105" s="3"/>
    </row>
    <row r="106" spans="1:54" hidden="1" x14ac:dyDescent="0.2">
      <c r="A106" s="7" t="s">
        <v>16</v>
      </c>
      <c r="B106" s="7" t="s">
        <v>230</v>
      </c>
      <c r="C106" s="7" t="s">
        <v>24</v>
      </c>
      <c r="D106" s="8" t="s">
        <v>151</v>
      </c>
      <c r="E106" s="8" t="s">
        <v>152</v>
      </c>
      <c r="F106" s="8" t="s">
        <v>556</v>
      </c>
      <c r="G106" s="8" t="s">
        <v>208</v>
      </c>
      <c r="H106" s="13" t="b">
        <v>1</v>
      </c>
      <c r="I106" s="13" t="b">
        <v>1</v>
      </c>
      <c r="J106" s="10">
        <v>20</v>
      </c>
      <c r="K106" s="10">
        <v>0</v>
      </c>
      <c r="L106" s="10">
        <v>0</v>
      </c>
      <c r="M106" s="10">
        <v>1037</v>
      </c>
      <c r="N106" s="10">
        <v>6090</v>
      </c>
      <c r="O106" s="10">
        <v>0</v>
      </c>
      <c r="P106" s="10">
        <v>0</v>
      </c>
      <c r="Q106" s="10">
        <v>0</v>
      </c>
      <c r="R106" s="10">
        <v>652</v>
      </c>
      <c r="S106" s="10">
        <v>4760</v>
      </c>
      <c r="T106" s="14" t="b">
        <v>0</v>
      </c>
      <c r="U106" s="14" t="b">
        <v>0</v>
      </c>
      <c r="V106" s="14" t="b">
        <v>0</v>
      </c>
      <c r="W106" s="14" t="b">
        <v>0</v>
      </c>
      <c r="X106" s="14" t="b">
        <v>0</v>
      </c>
      <c r="Y106" s="55">
        <v>0</v>
      </c>
      <c r="Z106" s="55">
        <v>0</v>
      </c>
      <c r="AA106" s="55">
        <v>0</v>
      </c>
      <c r="AB106" s="55">
        <v>0.63</v>
      </c>
      <c r="AC106" s="55">
        <v>0.78</v>
      </c>
      <c r="AD106" s="55">
        <v>0.1</v>
      </c>
      <c r="AE106" s="55">
        <v>0</v>
      </c>
      <c r="AF106" s="55">
        <v>0</v>
      </c>
      <c r="AG106" s="55">
        <v>0.4</v>
      </c>
      <c r="AH106" s="55">
        <v>0.2</v>
      </c>
      <c r="AI10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0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06" s="102">
        <f>SUM(VIEW_IV_2019_REP_CALCULO[[#This Row],[Premio-BERINERT]:[Premio-PRIVIGEN]])</f>
        <v>0</v>
      </c>
      <c r="AX106" s="3"/>
      <c r="AY106" s="3"/>
      <c r="AZ106" s="3"/>
      <c r="BA106" s="3"/>
      <c r="BB106" s="3"/>
    </row>
    <row r="107" spans="1:54" hidden="1" x14ac:dyDescent="0.2">
      <c r="A107" s="7" t="s">
        <v>16</v>
      </c>
      <c r="B107" s="7" t="s">
        <v>230</v>
      </c>
      <c r="C107" s="7" t="s">
        <v>24</v>
      </c>
      <c r="D107" s="8" t="s">
        <v>1355</v>
      </c>
      <c r="E107" s="8" t="s">
        <v>1356</v>
      </c>
      <c r="F107" s="8" t="s">
        <v>556</v>
      </c>
      <c r="G107" s="8" t="s">
        <v>208</v>
      </c>
      <c r="H107" s="13" t="b">
        <v>1</v>
      </c>
      <c r="I107" s="13" t="b">
        <v>1</v>
      </c>
      <c r="J107" s="10">
        <v>20</v>
      </c>
      <c r="K107" s="10">
        <v>0</v>
      </c>
      <c r="L107" s="10">
        <v>0</v>
      </c>
      <c r="M107" s="10">
        <v>732</v>
      </c>
      <c r="N107" s="10">
        <v>5655</v>
      </c>
      <c r="O107" s="10">
        <v>0</v>
      </c>
      <c r="P107" s="10">
        <v>0</v>
      </c>
      <c r="Q107" s="10">
        <v>0</v>
      </c>
      <c r="R107" s="10">
        <v>523</v>
      </c>
      <c r="S107" s="10">
        <v>12280</v>
      </c>
      <c r="T107" s="14" t="b">
        <v>1</v>
      </c>
      <c r="U107" s="14" t="b">
        <v>0</v>
      </c>
      <c r="V107" s="14" t="b">
        <v>0</v>
      </c>
      <c r="W107" s="14" t="b">
        <v>1</v>
      </c>
      <c r="X107" s="14" t="b">
        <v>1</v>
      </c>
      <c r="Y107" s="55">
        <v>1</v>
      </c>
      <c r="Z107" s="55">
        <v>0</v>
      </c>
      <c r="AA107" s="55">
        <v>0</v>
      </c>
      <c r="AB107" s="55">
        <v>1</v>
      </c>
      <c r="AC107" s="55">
        <v>2.17</v>
      </c>
      <c r="AD107" s="55">
        <v>0.1</v>
      </c>
      <c r="AE107" s="55">
        <v>0</v>
      </c>
      <c r="AF107" s="55">
        <v>0</v>
      </c>
      <c r="AG107" s="55">
        <v>0.4</v>
      </c>
      <c r="AH107" s="55">
        <v>0.2</v>
      </c>
      <c r="AI10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360.57848094379619</v>
      </c>
      <c r="AJ10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1442.3139237751848</v>
      </c>
      <c r="AM10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07" s="102">
        <f>SUM(VIEW_IV_2019_REP_CALCULO[[#This Row],[Premio-BERINERT]:[Premio-PRIVIGEN]])</f>
        <v>3432.7071385849431</v>
      </c>
      <c r="AX107" s="3"/>
      <c r="AY107" s="3"/>
      <c r="AZ107" s="3"/>
      <c r="BA107" s="3"/>
      <c r="BB107" s="3"/>
    </row>
    <row r="108" spans="1:54" hidden="1" x14ac:dyDescent="0.2">
      <c r="A108" s="7" t="s">
        <v>16</v>
      </c>
      <c r="B108" s="7" t="s">
        <v>230</v>
      </c>
      <c r="C108" s="7" t="s">
        <v>24</v>
      </c>
      <c r="D108" s="8" t="s">
        <v>155</v>
      </c>
      <c r="E108" s="8" t="s">
        <v>156</v>
      </c>
      <c r="F108" s="8" t="s">
        <v>556</v>
      </c>
      <c r="G108" s="8" t="s">
        <v>206</v>
      </c>
      <c r="H108" s="13" t="b">
        <v>1</v>
      </c>
      <c r="I108" s="13" t="b">
        <v>1</v>
      </c>
      <c r="J108" s="10">
        <v>14</v>
      </c>
      <c r="K108" s="10">
        <v>0</v>
      </c>
      <c r="L108" s="10">
        <v>0</v>
      </c>
      <c r="M108" s="10">
        <v>1281</v>
      </c>
      <c r="N108" s="10">
        <v>5655</v>
      </c>
      <c r="O108" s="10">
        <v>15</v>
      </c>
      <c r="P108" s="10">
        <v>0</v>
      </c>
      <c r="Q108" s="10">
        <v>0</v>
      </c>
      <c r="R108" s="10">
        <v>1686</v>
      </c>
      <c r="S108" s="10">
        <v>12072</v>
      </c>
      <c r="T108" s="14" t="b">
        <v>0</v>
      </c>
      <c r="U108" s="14" t="b">
        <v>0</v>
      </c>
      <c r="V108" s="14" t="b">
        <v>0</v>
      </c>
      <c r="W108" s="14" t="b">
        <v>0</v>
      </c>
      <c r="X108" s="14" t="b">
        <v>0</v>
      </c>
      <c r="Y108" s="55">
        <v>1.07</v>
      </c>
      <c r="Z108" s="55">
        <v>0</v>
      </c>
      <c r="AA108" s="55">
        <v>0</v>
      </c>
      <c r="AB108" s="55">
        <v>1.32</v>
      </c>
      <c r="AC108" s="55">
        <v>2.13</v>
      </c>
      <c r="AD108" s="55">
        <v>0.1</v>
      </c>
      <c r="AE108" s="55">
        <v>0</v>
      </c>
      <c r="AF108" s="55">
        <v>0</v>
      </c>
      <c r="AG108" s="55">
        <v>0.4</v>
      </c>
      <c r="AH108" s="55">
        <v>0.2</v>
      </c>
      <c r="AI10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383.29492524325519</v>
      </c>
      <c r="AJ10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2851.512319860497</v>
      </c>
      <c r="AM10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08" s="102">
        <f>SUM(VIEW_IV_2019_REP_CALCULO[[#This Row],[Premio-BERINERT]:[Premio-PRIVIGEN]])</f>
        <v>4864.6219789697152</v>
      </c>
      <c r="AX108" s="3"/>
      <c r="AY108" s="3"/>
      <c r="AZ108" s="3"/>
      <c r="BA108" s="3"/>
      <c r="BB108" s="3"/>
    </row>
    <row r="109" spans="1:54" hidden="1" x14ac:dyDescent="0.2">
      <c r="A109" s="7" t="s">
        <v>16</v>
      </c>
      <c r="B109" s="7" t="s">
        <v>230</v>
      </c>
      <c r="C109" s="7" t="s">
        <v>24</v>
      </c>
      <c r="D109" s="8" t="s">
        <v>161</v>
      </c>
      <c r="E109" s="8" t="s">
        <v>162</v>
      </c>
      <c r="F109" s="8" t="s">
        <v>556</v>
      </c>
      <c r="G109" s="8" t="s">
        <v>208</v>
      </c>
      <c r="H109" s="13" t="b">
        <v>1</v>
      </c>
      <c r="I109" s="13" t="b">
        <v>1</v>
      </c>
      <c r="J109" s="10">
        <v>20</v>
      </c>
      <c r="K109" s="10">
        <v>0</v>
      </c>
      <c r="L109" s="10">
        <v>0</v>
      </c>
      <c r="M109" s="10">
        <v>732</v>
      </c>
      <c r="N109" s="10">
        <v>6090</v>
      </c>
      <c r="O109" s="10">
        <v>31</v>
      </c>
      <c r="P109" s="10">
        <v>0</v>
      </c>
      <c r="Q109" s="10">
        <v>0</v>
      </c>
      <c r="R109" s="10">
        <v>474</v>
      </c>
      <c r="S109" s="10">
        <v>9535</v>
      </c>
      <c r="T109" s="14" t="b">
        <v>0</v>
      </c>
      <c r="U109" s="14" t="b">
        <v>0</v>
      </c>
      <c r="V109" s="14" t="b">
        <v>0</v>
      </c>
      <c r="W109" s="14" t="b">
        <v>0</v>
      </c>
      <c r="X109" s="14" t="b">
        <v>0</v>
      </c>
      <c r="Y109" s="55">
        <v>1.55</v>
      </c>
      <c r="Z109" s="55">
        <v>0</v>
      </c>
      <c r="AA109" s="55">
        <v>0</v>
      </c>
      <c r="AB109" s="55">
        <v>0.65</v>
      </c>
      <c r="AC109" s="55">
        <v>1.57</v>
      </c>
      <c r="AD109" s="55">
        <v>0.1</v>
      </c>
      <c r="AE109" s="55">
        <v>0</v>
      </c>
      <c r="AF109" s="55">
        <v>0</v>
      </c>
      <c r="AG109" s="55">
        <v>0.4</v>
      </c>
      <c r="AH109" s="55">
        <v>0.2</v>
      </c>
      <c r="AI10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10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0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0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0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09" s="102">
        <f>SUM(VIEW_IV_2019_REP_CALCULO[[#This Row],[Premio-BERINERT]:[Premio-PRIVIGEN]])</f>
        <v>2444.7221007989438</v>
      </c>
      <c r="AX109" s="3"/>
      <c r="AY109" s="3"/>
      <c r="AZ109" s="3"/>
      <c r="BA109" s="3"/>
      <c r="BB109" s="3"/>
    </row>
    <row r="110" spans="1:54" hidden="1" x14ac:dyDescent="0.2">
      <c r="A110" s="7" t="s">
        <v>16</v>
      </c>
      <c r="B110" s="7" t="s">
        <v>230</v>
      </c>
      <c r="C110" s="7" t="s">
        <v>24</v>
      </c>
      <c r="D110" s="8" t="s">
        <v>175</v>
      </c>
      <c r="E110" s="8" t="s">
        <v>176</v>
      </c>
      <c r="F110" s="8" t="s">
        <v>556</v>
      </c>
      <c r="G110" s="8" t="s">
        <v>206</v>
      </c>
      <c r="H110" s="13" t="b">
        <v>1</v>
      </c>
      <c r="I110" s="13" t="b">
        <v>1</v>
      </c>
      <c r="J110" s="10">
        <v>50</v>
      </c>
      <c r="K110" s="10">
        <v>0</v>
      </c>
      <c r="L110" s="10">
        <v>0</v>
      </c>
      <c r="M110" s="10">
        <v>793</v>
      </c>
      <c r="N110" s="10">
        <v>8700</v>
      </c>
      <c r="O110" s="10">
        <v>107</v>
      </c>
      <c r="P110" s="10">
        <v>0</v>
      </c>
      <c r="Q110" s="10">
        <v>0</v>
      </c>
      <c r="R110" s="10">
        <v>841</v>
      </c>
      <c r="S110" s="10">
        <v>11990</v>
      </c>
      <c r="T110" s="14" t="b">
        <v>0</v>
      </c>
      <c r="U110" s="14" t="b">
        <v>0</v>
      </c>
      <c r="V110" s="14" t="b">
        <v>0</v>
      </c>
      <c r="W110" s="14" t="b">
        <v>0</v>
      </c>
      <c r="X110" s="14" t="b">
        <v>0</v>
      </c>
      <c r="Y110" s="55">
        <v>2.14</v>
      </c>
      <c r="Z110" s="55">
        <v>0</v>
      </c>
      <c r="AA110" s="55">
        <v>0</v>
      </c>
      <c r="AB110" s="55">
        <v>1.06</v>
      </c>
      <c r="AC110" s="55">
        <v>1.38</v>
      </c>
      <c r="AD110" s="55">
        <v>0.1</v>
      </c>
      <c r="AE110" s="55">
        <v>0</v>
      </c>
      <c r="AF110" s="55">
        <v>0</v>
      </c>
      <c r="AG110" s="55">
        <v>0.4</v>
      </c>
      <c r="AH110" s="55">
        <v>0.2</v>
      </c>
      <c r="AI11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814.90736693298118</v>
      </c>
      <c r="AJ11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1520.1988756590442</v>
      </c>
      <c r="AM11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1487.2852719184978</v>
      </c>
      <c r="AN110" s="102">
        <f>SUM(VIEW_IV_2019_REP_CALCULO[[#This Row],[Premio-BERINERT]:[Premio-PRIVIGEN]])</f>
        <v>3822.3915145105229</v>
      </c>
      <c r="AX110" s="3"/>
      <c r="AY110" s="3"/>
      <c r="AZ110" s="3"/>
      <c r="BA110" s="3"/>
      <c r="BB110" s="3"/>
    </row>
    <row r="111" spans="1:54" hidden="1" x14ac:dyDescent="0.2">
      <c r="A111" s="7" t="s">
        <v>16</v>
      </c>
      <c r="B111" s="7" t="s">
        <v>230</v>
      </c>
      <c r="C111" s="7" t="s">
        <v>24</v>
      </c>
      <c r="D111" s="8" t="s">
        <v>199</v>
      </c>
      <c r="E111" s="8" t="s">
        <v>200</v>
      </c>
      <c r="F111" s="8" t="s">
        <v>556</v>
      </c>
      <c r="G111" s="8" t="s">
        <v>212</v>
      </c>
      <c r="H111" s="13" t="b">
        <v>1</v>
      </c>
      <c r="I111" s="13" t="b">
        <v>1</v>
      </c>
      <c r="J111" s="10">
        <v>50</v>
      </c>
      <c r="K111" s="10">
        <v>0</v>
      </c>
      <c r="L111" s="10">
        <v>0</v>
      </c>
      <c r="M111" s="10">
        <v>732</v>
      </c>
      <c r="N111" s="10">
        <v>5220</v>
      </c>
      <c r="O111" s="10">
        <v>24</v>
      </c>
      <c r="P111" s="10">
        <v>0</v>
      </c>
      <c r="Q111" s="10">
        <v>0</v>
      </c>
      <c r="R111" s="10">
        <v>392</v>
      </c>
      <c r="S111" s="10">
        <v>9400</v>
      </c>
      <c r="T111" s="14" t="b">
        <v>0</v>
      </c>
      <c r="U111" s="14" t="b">
        <v>0</v>
      </c>
      <c r="V111" s="14" t="b">
        <v>0</v>
      </c>
      <c r="W111" s="14" t="b">
        <v>0</v>
      </c>
      <c r="X111" s="14" t="b">
        <v>0</v>
      </c>
      <c r="Y111" s="55">
        <v>0.48</v>
      </c>
      <c r="Z111" s="55">
        <v>0</v>
      </c>
      <c r="AA111" s="55">
        <v>0</v>
      </c>
      <c r="AB111" s="55">
        <v>0.54</v>
      </c>
      <c r="AC111" s="55">
        <v>1.8</v>
      </c>
      <c r="AD111" s="55">
        <v>0.1</v>
      </c>
      <c r="AE111" s="55">
        <v>0</v>
      </c>
      <c r="AF111" s="55">
        <v>0</v>
      </c>
      <c r="AG111" s="55">
        <v>0.4</v>
      </c>
      <c r="AH111" s="55">
        <v>0.2</v>
      </c>
      <c r="AI11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11" s="102">
        <f>SUM(VIEW_IV_2019_REP_CALCULO[[#This Row],[Premio-BERINERT]:[Premio-PRIVIGEN]])</f>
        <v>1629.8147338659624</v>
      </c>
      <c r="AX111" s="3"/>
      <c r="AY111" s="3"/>
      <c r="AZ111" s="3"/>
      <c r="BA111" s="3"/>
      <c r="BB111" s="3"/>
    </row>
    <row r="112" spans="1:54" hidden="1" x14ac:dyDescent="0.2">
      <c r="A112" s="7" t="s">
        <v>16</v>
      </c>
      <c r="B112" s="7" t="s">
        <v>230</v>
      </c>
      <c r="C112" s="7" t="s">
        <v>24</v>
      </c>
      <c r="D112" s="8" t="s">
        <v>144</v>
      </c>
      <c r="E112" s="8" t="s">
        <v>145</v>
      </c>
      <c r="F112" s="8" t="s">
        <v>557</v>
      </c>
      <c r="G112" s="8" t="s">
        <v>206</v>
      </c>
      <c r="H112" s="13" t="b">
        <v>1</v>
      </c>
      <c r="I112" s="13" t="b">
        <v>1</v>
      </c>
      <c r="J112" s="10">
        <v>0</v>
      </c>
      <c r="K112" s="10">
        <v>102</v>
      </c>
      <c r="L112" s="10">
        <v>120</v>
      </c>
      <c r="M112" s="10">
        <v>0</v>
      </c>
      <c r="N112" s="10">
        <v>2175</v>
      </c>
      <c r="O112" s="10">
        <v>0</v>
      </c>
      <c r="P112" s="10">
        <v>133</v>
      </c>
      <c r="Q112" s="10">
        <v>358</v>
      </c>
      <c r="R112" s="10">
        <v>0</v>
      </c>
      <c r="S112" s="10">
        <v>1365</v>
      </c>
      <c r="T112" s="14" t="b">
        <v>0</v>
      </c>
      <c r="U112" s="14" t="b">
        <v>0</v>
      </c>
      <c r="V112" s="14" t="b">
        <v>0</v>
      </c>
      <c r="W112" s="14" t="b">
        <v>0</v>
      </c>
      <c r="X112" s="14" t="b">
        <v>0</v>
      </c>
      <c r="Y112" s="55">
        <v>0</v>
      </c>
      <c r="Z112" s="55">
        <v>1.3</v>
      </c>
      <c r="AA112" s="55">
        <v>2.98</v>
      </c>
      <c r="AB112" s="55">
        <v>0</v>
      </c>
      <c r="AC112" s="55">
        <v>0.63</v>
      </c>
      <c r="AD112" s="55">
        <v>0</v>
      </c>
      <c r="AE112" s="55">
        <v>0.25</v>
      </c>
      <c r="AF112" s="55">
        <v>0.25</v>
      </c>
      <c r="AG112" s="55">
        <v>0</v>
      </c>
      <c r="AH112" s="55">
        <v>0.2</v>
      </c>
      <c r="AI11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1756.5580699177058</v>
      </c>
      <c r="AK11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1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12" s="102">
        <f>SUM(VIEW_IV_2019_REP_CALCULO[[#This Row],[Premio-BERINERT]:[Premio-PRIVIGEN]])</f>
        <v>3793.8264872501586</v>
      </c>
      <c r="AX112" s="3"/>
      <c r="AY112" s="3"/>
      <c r="AZ112" s="3"/>
      <c r="BA112" s="3"/>
      <c r="BB112" s="3"/>
    </row>
    <row r="113" spans="1:54" hidden="1" x14ac:dyDescent="0.2">
      <c r="A113" s="7" t="s">
        <v>16</v>
      </c>
      <c r="B113" s="7" t="s">
        <v>230</v>
      </c>
      <c r="C113" s="7" t="s">
        <v>24</v>
      </c>
      <c r="D113" s="8" t="s">
        <v>147</v>
      </c>
      <c r="E113" s="8" t="s">
        <v>148</v>
      </c>
      <c r="F113" s="8" t="s">
        <v>557</v>
      </c>
      <c r="G113" s="8" t="s">
        <v>208</v>
      </c>
      <c r="H113" s="13" t="b">
        <v>1</v>
      </c>
      <c r="I113" s="13" t="b">
        <v>1</v>
      </c>
      <c r="J113" s="10">
        <v>0</v>
      </c>
      <c r="K113" s="10">
        <v>119</v>
      </c>
      <c r="L113" s="10">
        <v>144</v>
      </c>
      <c r="M113" s="10">
        <v>0</v>
      </c>
      <c r="N113" s="10">
        <v>3915</v>
      </c>
      <c r="O113" s="10">
        <v>0</v>
      </c>
      <c r="P113" s="10">
        <v>152</v>
      </c>
      <c r="Q113" s="10">
        <v>316</v>
      </c>
      <c r="R113" s="10">
        <v>0</v>
      </c>
      <c r="S113" s="10">
        <v>5360</v>
      </c>
      <c r="T113" s="14" t="b">
        <v>0</v>
      </c>
      <c r="U113" s="14" t="b">
        <v>0</v>
      </c>
      <c r="V113" s="14" t="b">
        <v>0</v>
      </c>
      <c r="W113" s="14" t="b">
        <v>0</v>
      </c>
      <c r="X113" s="14" t="b">
        <v>0</v>
      </c>
      <c r="Y113" s="55">
        <v>0</v>
      </c>
      <c r="Z113" s="55">
        <v>1.28</v>
      </c>
      <c r="AA113" s="55">
        <v>2.19</v>
      </c>
      <c r="AB113" s="55">
        <v>0</v>
      </c>
      <c r="AC113" s="55">
        <v>1.37</v>
      </c>
      <c r="AD113" s="55">
        <v>0</v>
      </c>
      <c r="AE113" s="55">
        <v>0.25</v>
      </c>
      <c r="AF113" s="55">
        <v>0.25</v>
      </c>
      <c r="AG113" s="55">
        <v>0</v>
      </c>
      <c r="AH113" s="55">
        <v>0.2</v>
      </c>
      <c r="AI11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1720.5362796714194</v>
      </c>
      <c r="AK11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1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1477.0304199204566</v>
      </c>
      <c r="AN113" s="102">
        <f>SUM(VIEW_IV_2019_REP_CALCULO[[#This Row],[Premio-BERINERT]:[Premio-PRIVIGEN]])</f>
        <v>5234.8351169243288</v>
      </c>
      <c r="AX113" s="3"/>
      <c r="AY113" s="3"/>
      <c r="AZ113" s="3"/>
      <c r="BA113" s="3"/>
      <c r="BB113" s="3"/>
    </row>
    <row r="114" spans="1:54" hidden="1" x14ac:dyDescent="0.2">
      <c r="A114" s="7" t="s">
        <v>16</v>
      </c>
      <c r="B114" s="7" t="s">
        <v>230</v>
      </c>
      <c r="C114" s="7" t="s">
        <v>24</v>
      </c>
      <c r="D114" s="8" t="s">
        <v>149</v>
      </c>
      <c r="E114" s="8" t="s">
        <v>150</v>
      </c>
      <c r="F114" s="8" t="s">
        <v>557</v>
      </c>
      <c r="G114" s="8" t="s">
        <v>208</v>
      </c>
      <c r="H114" s="13" t="b">
        <v>1</v>
      </c>
      <c r="I114" s="13" t="b">
        <v>1</v>
      </c>
      <c r="J114" s="10">
        <v>0</v>
      </c>
      <c r="K114" s="10">
        <v>102</v>
      </c>
      <c r="L114" s="10">
        <v>60</v>
      </c>
      <c r="M114" s="10">
        <v>0</v>
      </c>
      <c r="N114" s="10">
        <v>5220</v>
      </c>
      <c r="O114" s="10">
        <v>0</v>
      </c>
      <c r="P114" s="10">
        <v>42</v>
      </c>
      <c r="Q114" s="10">
        <v>10</v>
      </c>
      <c r="R114" s="10">
        <v>0</v>
      </c>
      <c r="S114" s="10">
        <v>4540</v>
      </c>
      <c r="T114" s="14" t="b">
        <v>0</v>
      </c>
      <c r="U114" s="14" t="b">
        <v>0</v>
      </c>
      <c r="V114" s="14" t="b">
        <v>0</v>
      </c>
      <c r="W114" s="14" t="b">
        <v>0</v>
      </c>
      <c r="X114" s="14" t="b">
        <v>0</v>
      </c>
      <c r="Y114" s="55">
        <v>0</v>
      </c>
      <c r="Z114" s="55">
        <v>0.41</v>
      </c>
      <c r="AA114" s="55">
        <v>0.17</v>
      </c>
      <c r="AB114" s="55">
        <v>0</v>
      </c>
      <c r="AC114" s="55">
        <v>0.87</v>
      </c>
      <c r="AD114" s="55">
        <v>0</v>
      </c>
      <c r="AE114" s="55">
        <v>0.25</v>
      </c>
      <c r="AF114" s="55">
        <v>0.25</v>
      </c>
      <c r="AG114" s="55">
        <v>0</v>
      </c>
      <c r="AH114" s="55">
        <v>0.2</v>
      </c>
      <c r="AI11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313.70327842110237</v>
      </c>
      <c r="AN114" s="102">
        <f>SUM(VIEW_IV_2019_REP_CALCULO[[#This Row],[Premio-BERINERT]:[Premio-PRIVIGEN]])</f>
        <v>313.70327842110237</v>
      </c>
      <c r="AX114" s="3"/>
      <c r="AY114" s="3"/>
      <c r="AZ114" s="3"/>
      <c r="BA114" s="3"/>
      <c r="BB114" s="3"/>
    </row>
    <row r="115" spans="1:54" hidden="1" x14ac:dyDescent="0.2">
      <c r="A115" s="7" t="s">
        <v>16</v>
      </c>
      <c r="B115" s="7" t="s">
        <v>230</v>
      </c>
      <c r="C115" s="7" t="s">
        <v>24</v>
      </c>
      <c r="D115" s="8" t="s">
        <v>157</v>
      </c>
      <c r="E115" s="8" t="s">
        <v>158</v>
      </c>
      <c r="F115" s="8" t="s">
        <v>557</v>
      </c>
      <c r="G115" s="8" t="s">
        <v>206</v>
      </c>
      <c r="H115" s="13" t="b">
        <v>1</v>
      </c>
      <c r="I115" s="13" t="b">
        <v>1</v>
      </c>
      <c r="J115" s="10">
        <v>0</v>
      </c>
      <c r="K115" s="10">
        <v>68</v>
      </c>
      <c r="L115" s="10">
        <v>48</v>
      </c>
      <c r="M115" s="10">
        <v>0</v>
      </c>
      <c r="N115" s="10">
        <v>6525</v>
      </c>
      <c r="O115" s="10">
        <v>0</v>
      </c>
      <c r="P115" s="10">
        <v>7</v>
      </c>
      <c r="Q115" s="10">
        <v>17</v>
      </c>
      <c r="R115" s="10">
        <v>0</v>
      </c>
      <c r="S115" s="10">
        <v>10625</v>
      </c>
      <c r="T115" s="14" t="b">
        <v>0</v>
      </c>
      <c r="U115" s="14" t="b">
        <v>0</v>
      </c>
      <c r="V115" s="14" t="b">
        <v>0</v>
      </c>
      <c r="W115" s="14" t="b">
        <v>0</v>
      </c>
      <c r="X115" s="14" t="b">
        <v>0</v>
      </c>
      <c r="Y115" s="55">
        <v>0</v>
      </c>
      <c r="Z115" s="55">
        <v>0.1</v>
      </c>
      <c r="AA115" s="55">
        <v>0.35</v>
      </c>
      <c r="AB115" s="55">
        <v>0</v>
      </c>
      <c r="AC115" s="55">
        <v>1.63</v>
      </c>
      <c r="AD115" s="55">
        <v>0</v>
      </c>
      <c r="AE115" s="55">
        <v>0.25</v>
      </c>
      <c r="AF115" s="55">
        <v>0.25</v>
      </c>
      <c r="AG115" s="55">
        <v>0</v>
      </c>
      <c r="AH115" s="55">
        <v>0.2</v>
      </c>
      <c r="AI11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15" s="102">
        <f>SUM(VIEW_IV_2019_REP_CALCULO[[#This Row],[Premio-BERINERT]:[Premio-PRIVIGEN]])</f>
        <v>1629.8147338659624</v>
      </c>
      <c r="AX115" s="3"/>
      <c r="AY115" s="3"/>
      <c r="AZ115" s="3"/>
      <c r="BA115" s="3"/>
      <c r="BB115" s="3"/>
    </row>
    <row r="116" spans="1:54" hidden="1" x14ac:dyDescent="0.2">
      <c r="A116" s="7" t="s">
        <v>16</v>
      </c>
      <c r="B116" s="7" t="s">
        <v>230</v>
      </c>
      <c r="C116" s="7" t="s">
        <v>24</v>
      </c>
      <c r="D116" s="8" t="s">
        <v>163</v>
      </c>
      <c r="E116" s="8" t="s">
        <v>164</v>
      </c>
      <c r="F116" s="8" t="s">
        <v>557</v>
      </c>
      <c r="G116" s="8" t="s">
        <v>212</v>
      </c>
      <c r="H116" s="13" t="b">
        <v>1</v>
      </c>
      <c r="I116" s="13" t="b">
        <v>1</v>
      </c>
      <c r="J116" s="10">
        <v>0</v>
      </c>
      <c r="K116" s="10">
        <v>187</v>
      </c>
      <c r="L116" s="10">
        <v>84</v>
      </c>
      <c r="M116" s="10">
        <v>0</v>
      </c>
      <c r="N116" s="10">
        <v>2175</v>
      </c>
      <c r="O116" s="10">
        <v>0</v>
      </c>
      <c r="P116" s="10">
        <v>118</v>
      </c>
      <c r="Q116" s="10">
        <v>41</v>
      </c>
      <c r="R116" s="10">
        <v>0</v>
      </c>
      <c r="S116" s="10">
        <v>5530</v>
      </c>
      <c r="T116" s="14" t="b">
        <v>0</v>
      </c>
      <c r="U116" s="14" t="b">
        <v>0</v>
      </c>
      <c r="V116" s="14" t="b">
        <v>0</v>
      </c>
      <c r="W116" s="14" t="b">
        <v>0</v>
      </c>
      <c r="X116" s="14" t="b">
        <v>0</v>
      </c>
      <c r="Y116" s="55">
        <v>0</v>
      </c>
      <c r="Z116" s="55">
        <v>0.63</v>
      </c>
      <c r="AA116" s="55">
        <v>0.49</v>
      </c>
      <c r="AB116" s="55">
        <v>0</v>
      </c>
      <c r="AC116" s="55">
        <v>2.54</v>
      </c>
      <c r="AD116" s="55">
        <v>0</v>
      </c>
      <c r="AE116" s="55">
        <v>0.25</v>
      </c>
      <c r="AF116" s="55">
        <v>0.25</v>
      </c>
      <c r="AG116" s="55">
        <v>0</v>
      </c>
      <c r="AH116" s="55">
        <v>0.2</v>
      </c>
      <c r="AI11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16" s="102">
        <f>SUM(VIEW_IV_2019_REP_CALCULO[[#This Row],[Premio-BERINERT]:[Premio-PRIVIGEN]])</f>
        <v>1629.8147338659624</v>
      </c>
      <c r="AX116" s="3"/>
      <c r="AY116" s="3"/>
      <c r="AZ116" s="3"/>
      <c r="BA116" s="3"/>
      <c r="BB116" s="3"/>
    </row>
    <row r="117" spans="1:54" hidden="1" x14ac:dyDescent="0.2">
      <c r="A117" s="7" t="s">
        <v>16</v>
      </c>
      <c r="B117" s="7" t="s">
        <v>230</v>
      </c>
      <c r="C117" s="7" t="s">
        <v>24</v>
      </c>
      <c r="D117" s="8" t="s">
        <v>165</v>
      </c>
      <c r="E117" s="8" t="s">
        <v>166</v>
      </c>
      <c r="F117" s="8" t="s">
        <v>557</v>
      </c>
      <c r="G117" s="8" t="s">
        <v>212</v>
      </c>
      <c r="H117" s="13" t="b">
        <v>1</v>
      </c>
      <c r="I117" s="13" t="b">
        <v>1</v>
      </c>
      <c r="J117" s="10">
        <v>0</v>
      </c>
      <c r="K117" s="10">
        <v>153</v>
      </c>
      <c r="L117" s="10">
        <v>132</v>
      </c>
      <c r="M117" s="10">
        <v>0</v>
      </c>
      <c r="N117" s="10">
        <v>1305</v>
      </c>
      <c r="O117" s="10">
        <v>0</v>
      </c>
      <c r="P117" s="10">
        <v>45</v>
      </c>
      <c r="Q117" s="10">
        <v>85</v>
      </c>
      <c r="R117" s="10">
        <v>0</v>
      </c>
      <c r="S117" s="10">
        <v>1340</v>
      </c>
      <c r="T117" s="14" t="b">
        <v>0</v>
      </c>
      <c r="U117" s="14" t="b">
        <v>0</v>
      </c>
      <c r="V117" s="14" t="b">
        <v>0</v>
      </c>
      <c r="W117" s="14" t="b">
        <v>0</v>
      </c>
      <c r="X117" s="14" t="b">
        <v>0</v>
      </c>
      <c r="Y117" s="55">
        <v>0</v>
      </c>
      <c r="Z117" s="55">
        <v>0.28999999999999998</v>
      </c>
      <c r="AA117" s="55">
        <v>0.64</v>
      </c>
      <c r="AB117" s="55">
        <v>0</v>
      </c>
      <c r="AC117" s="55">
        <v>1.03</v>
      </c>
      <c r="AD117" s="55">
        <v>0</v>
      </c>
      <c r="AE117" s="55">
        <v>0.25</v>
      </c>
      <c r="AF117" s="55">
        <v>0.25</v>
      </c>
      <c r="AG117" s="55">
        <v>0</v>
      </c>
      <c r="AH117" s="55">
        <v>0.2</v>
      </c>
      <c r="AI11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740.62819985855708</v>
      </c>
      <c r="AN117" s="102">
        <f>SUM(VIEW_IV_2019_REP_CALCULO[[#This Row],[Premio-BERINERT]:[Premio-PRIVIGEN]])</f>
        <v>740.62819985855708</v>
      </c>
      <c r="AX117" s="3"/>
      <c r="AY117" s="3"/>
      <c r="AZ117" s="3"/>
      <c r="BA117" s="3"/>
      <c r="BB117" s="3"/>
    </row>
    <row r="118" spans="1:54" hidden="1" x14ac:dyDescent="0.2">
      <c r="A118" s="7" t="s">
        <v>16</v>
      </c>
      <c r="B118" s="7" t="s">
        <v>230</v>
      </c>
      <c r="C118" s="7" t="s">
        <v>24</v>
      </c>
      <c r="D118" s="8" t="s">
        <v>167</v>
      </c>
      <c r="E118" s="8" t="s">
        <v>168</v>
      </c>
      <c r="F118" s="8" t="s">
        <v>557</v>
      </c>
      <c r="G118" s="8" t="s">
        <v>212</v>
      </c>
      <c r="H118" s="13" t="b">
        <v>1</v>
      </c>
      <c r="I118" s="13" t="b">
        <v>1</v>
      </c>
      <c r="J118" s="10">
        <v>0</v>
      </c>
      <c r="K118" s="10">
        <v>136</v>
      </c>
      <c r="L118" s="10">
        <v>84</v>
      </c>
      <c r="M118" s="10">
        <v>0</v>
      </c>
      <c r="N118" s="10">
        <v>2610</v>
      </c>
      <c r="O118" s="10">
        <v>0</v>
      </c>
      <c r="P118" s="10">
        <v>143</v>
      </c>
      <c r="Q118" s="10">
        <v>37</v>
      </c>
      <c r="R118" s="10">
        <v>0</v>
      </c>
      <c r="S118" s="10">
        <v>5040</v>
      </c>
      <c r="T118" s="14" t="b">
        <v>0</v>
      </c>
      <c r="U118" s="14" t="b">
        <v>0</v>
      </c>
      <c r="V118" s="14" t="b">
        <v>0</v>
      </c>
      <c r="W118" s="14" t="b">
        <v>0</v>
      </c>
      <c r="X118" s="14" t="b">
        <v>0</v>
      </c>
      <c r="Y118" s="55">
        <v>0</v>
      </c>
      <c r="Z118" s="55">
        <v>1.05</v>
      </c>
      <c r="AA118" s="55">
        <v>0.44</v>
      </c>
      <c r="AB118" s="55">
        <v>0</v>
      </c>
      <c r="AC118" s="55">
        <v>1.93</v>
      </c>
      <c r="AD118" s="55">
        <v>0</v>
      </c>
      <c r="AE118" s="55">
        <v>0.25</v>
      </c>
      <c r="AF118" s="55">
        <v>0.25</v>
      </c>
      <c r="AG118" s="55">
        <v>0</v>
      </c>
      <c r="AH118" s="55">
        <v>0.2</v>
      </c>
      <c r="AI11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942.01128146566748</v>
      </c>
      <c r="AK11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18" s="102">
        <f>SUM(VIEW_IV_2019_REP_CALCULO[[#This Row],[Premio-BERINERT]:[Premio-PRIVIGEN]])</f>
        <v>2571.8260153316296</v>
      </c>
      <c r="AX118" s="3"/>
      <c r="AY118" s="3"/>
      <c r="AZ118" s="3"/>
      <c r="BA118" s="3"/>
      <c r="BB118" s="3"/>
    </row>
    <row r="119" spans="1:54" hidden="1" x14ac:dyDescent="0.2">
      <c r="A119" s="7" t="s">
        <v>16</v>
      </c>
      <c r="B119" s="7" t="s">
        <v>230</v>
      </c>
      <c r="C119" s="7" t="s">
        <v>24</v>
      </c>
      <c r="D119" s="8" t="s">
        <v>169</v>
      </c>
      <c r="E119" s="8" t="s">
        <v>170</v>
      </c>
      <c r="F119" s="8" t="s">
        <v>557</v>
      </c>
      <c r="G119" s="8" t="s">
        <v>212</v>
      </c>
      <c r="H119" s="13" t="b">
        <v>1</v>
      </c>
      <c r="I119" s="13" t="b">
        <v>1</v>
      </c>
      <c r="J119" s="10">
        <v>0</v>
      </c>
      <c r="K119" s="10">
        <v>170</v>
      </c>
      <c r="L119" s="10">
        <v>48</v>
      </c>
      <c r="M119" s="10">
        <v>0</v>
      </c>
      <c r="N119" s="10">
        <v>1305</v>
      </c>
      <c r="O119" s="10">
        <v>0</v>
      </c>
      <c r="P119" s="10">
        <v>113</v>
      </c>
      <c r="Q119" s="10">
        <v>11</v>
      </c>
      <c r="R119" s="10">
        <v>0</v>
      </c>
      <c r="S119" s="10">
        <v>4085</v>
      </c>
      <c r="T119" s="14" t="b">
        <v>0</v>
      </c>
      <c r="U119" s="14" t="b">
        <v>0</v>
      </c>
      <c r="V119" s="14" t="b">
        <v>0</v>
      </c>
      <c r="W119" s="14" t="b">
        <v>0</v>
      </c>
      <c r="X119" s="14" t="b">
        <v>0</v>
      </c>
      <c r="Y119" s="55">
        <v>0</v>
      </c>
      <c r="Z119" s="55">
        <v>0.66</v>
      </c>
      <c r="AA119" s="55">
        <v>0.23</v>
      </c>
      <c r="AB119" s="55">
        <v>0</v>
      </c>
      <c r="AC119" s="55">
        <v>3.13</v>
      </c>
      <c r="AD119" s="55">
        <v>0</v>
      </c>
      <c r="AE119" s="55">
        <v>0.25</v>
      </c>
      <c r="AF119" s="55">
        <v>0.25</v>
      </c>
      <c r="AG119" s="55">
        <v>0</v>
      </c>
      <c r="AH119" s="55">
        <v>0.2</v>
      </c>
      <c r="AI11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1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1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1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1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19" s="102">
        <f>SUM(VIEW_IV_2019_REP_CALCULO[[#This Row],[Premio-BERINERT]:[Premio-PRIVIGEN]])</f>
        <v>1629.8147338659624</v>
      </c>
      <c r="AX119" s="3"/>
      <c r="AY119" s="3"/>
      <c r="AZ119" s="3"/>
      <c r="BA119" s="3"/>
      <c r="BB119" s="3"/>
    </row>
    <row r="120" spans="1:54" hidden="1" x14ac:dyDescent="0.2">
      <c r="A120" s="7" t="s">
        <v>16</v>
      </c>
      <c r="B120" s="7" t="s">
        <v>230</v>
      </c>
      <c r="C120" s="7" t="s">
        <v>24</v>
      </c>
      <c r="D120" s="8" t="s">
        <v>173</v>
      </c>
      <c r="E120" s="8" t="s">
        <v>174</v>
      </c>
      <c r="F120" s="8" t="s">
        <v>557</v>
      </c>
      <c r="G120" s="8" t="s">
        <v>206</v>
      </c>
      <c r="H120" s="13" t="b">
        <v>1</v>
      </c>
      <c r="I120" s="13" t="b">
        <v>1</v>
      </c>
      <c r="J120" s="10">
        <v>0</v>
      </c>
      <c r="K120" s="10">
        <v>102</v>
      </c>
      <c r="L120" s="10">
        <v>72</v>
      </c>
      <c r="M120" s="10">
        <v>0</v>
      </c>
      <c r="N120" s="10">
        <v>2175</v>
      </c>
      <c r="O120" s="10">
        <v>0</v>
      </c>
      <c r="P120" s="10">
        <v>101</v>
      </c>
      <c r="Q120" s="10">
        <v>67</v>
      </c>
      <c r="R120" s="10">
        <v>0</v>
      </c>
      <c r="S120" s="10">
        <v>4432</v>
      </c>
      <c r="T120" s="14" t="b">
        <v>0</v>
      </c>
      <c r="U120" s="14" t="b">
        <v>0</v>
      </c>
      <c r="V120" s="14" t="b">
        <v>0</v>
      </c>
      <c r="W120" s="14" t="b">
        <v>0</v>
      </c>
      <c r="X120" s="14" t="b">
        <v>0</v>
      </c>
      <c r="Y120" s="55">
        <v>0</v>
      </c>
      <c r="Z120" s="55">
        <v>0.99</v>
      </c>
      <c r="AA120" s="55">
        <v>0.93</v>
      </c>
      <c r="AB120" s="55">
        <v>0</v>
      </c>
      <c r="AC120" s="55">
        <v>2.04</v>
      </c>
      <c r="AD120" s="55">
        <v>0</v>
      </c>
      <c r="AE120" s="55">
        <v>0.25</v>
      </c>
      <c r="AF120" s="55">
        <v>0.25</v>
      </c>
      <c r="AG120" s="55">
        <v>0</v>
      </c>
      <c r="AH120" s="55">
        <v>0.2</v>
      </c>
      <c r="AI12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669.3238052519215</v>
      </c>
      <c r="AK12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628.7587261457445</v>
      </c>
      <c r="AL12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20" s="102">
        <f>SUM(VIEW_IV_2019_REP_CALCULO[[#This Row],[Premio-BERINERT]:[Premio-PRIVIGEN]])</f>
        <v>2927.8972652636285</v>
      </c>
      <c r="AX120" s="3"/>
      <c r="AY120" s="3"/>
      <c r="AZ120" s="3"/>
      <c r="BA120" s="3"/>
      <c r="BB120" s="3"/>
    </row>
    <row r="121" spans="1:54" hidden="1" x14ac:dyDescent="0.2">
      <c r="A121" s="7" t="s">
        <v>16</v>
      </c>
      <c r="B121" s="7" t="s">
        <v>230</v>
      </c>
      <c r="C121" s="7" t="s">
        <v>24</v>
      </c>
      <c r="D121" s="8" t="s">
        <v>177</v>
      </c>
      <c r="E121" s="8" t="s">
        <v>178</v>
      </c>
      <c r="F121" s="8" t="s">
        <v>557</v>
      </c>
      <c r="G121" s="8" t="s">
        <v>208</v>
      </c>
      <c r="H121" s="13" t="b">
        <v>1</v>
      </c>
      <c r="I121" s="13" t="b">
        <v>1</v>
      </c>
      <c r="J121" s="10">
        <v>0</v>
      </c>
      <c r="K121" s="10">
        <v>119</v>
      </c>
      <c r="L121" s="10">
        <v>120</v>
      </c>
      <c r="M121" s="10">
        <v>0</v>
      </c>
      <c r="N121" s="10">
        <v>3915</v>
      </c>
      <c r="O121" s="10">
        <v>0</v>
      </c>
      <c r="P121" s="10">
        <v>114</v>
      </c>
      <c r="Q121" s="10">
        <v>183</v>
      </c>
      <c r="R121" s="10">
        <v>0</v>
      </c>
      <c r="S121" s="10">
        <v>3675</v>
      </c>
      <c r="T121" s="14" t="b">
        <v>0</v>
      </c>
      <c r="U121" s="14" t="b">
        <v>0</v>
      </c>
      <c r="V121" s="14" t="b">
        <v>0</v>
      </c>
      <c r="W121" s="14" t="b">
        <v>0</v>
      </c>
      <c r="X121" s="14" t="b">
        <v>0</v>
      </c>
      <c r="Y121" s="55">
        <v>0</v>
      </c>
      <c r="Z121" s="55">
        <v>0.96</v>
      </c>
      <c r="AA121" s="55">
        <v>1.53</v>
      </c>
      <c r="AB121" s="55">
        <v>0</v>
      </c>
      <c r="AC121" s="55">
        <v>0.94</v>
      </c>
      <c r="AD121" s="55">
        <v>0</v>
      </c>
      <c r="AE121" s="55">
        <v>0.25</v>
      </c>
      <c r="AF121" s="55">
        <v>0.25</v>
      </c>
      <c r="AG121" s="55">
        <v>0</v>
      </c>
      <c r="AH121" s="55">
        <v>0.2</v>
      </c>
      <c r="AI12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649.04126569883329</v>
      </c>
      <c r="AK12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2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508.41565813075249</v>
      </c>
      <c r="AN121" s="102">
        <f>SUM(VIEW_IV_2019_REP_CALCULO[[#This Row],[Premio-BERINERT]:[Premio-PRIVIGEN]])</f>
        <v>3194.7253411620386</v>
      </c>
      <c r="AX121" s="3"/>
      <c r="AY121" s="3"/>
      <c r="AZ121" s="3"/>
      <c r="BA121" s="3"/>
      <c r="BB121" s="3"/>
    </row>
    <row r="122" spans="1:54" hidden="1" x14ac:dyDescent="0.2">
      <c r="A122" s="7" t="s">
        <v>16</v>
      </c>
      <c r="B122" s="7" t="s">
        <v>230</v>
      </c>
      <c r="C122" s="7" t="s">
        <v>24</v>
      </c>
      <c r="D122" s="8" t="s">
        <v>181</v>
      </c>
      <c r="E122" s="8" t="s">
        <v>182</v>
      </c>
      <c r="F122" s="8" t="s">
        <v>557</v>
      </c>
      <c r="G122" s="8" t="s">
        <v>206</v>
      </c>
      <c r="H122" s="13" t="b">
        <v>1</v>
      </c>
      <c r="I122" s="13" t="b">
        <v>1</v>
      </c>
      <c r="J122" s="10">
        <v>0</v>
      </c>
      <c r="K122" s="10">
        <v>187</v>
      </c>
      <c r="L122" s="10">
        <v>144</v>
      </c>
      <c r="M122" s="10">
        <v>0</v>
      </c>
      <c r="N122" s="10">
        <v>3480</v>
      </c>
      <c r="O122" s="10">
        <v>0</v>
      </c>
      <c r="P122" s="10">
        <v>324</v>
      </c>
      <c r="Q122" s="10">
        <v>149</v>
      </c>
      <c r="R122" s="10">
        <v>0</v>
      </c>
      <c r="S122" s="10">
        <v>7640</v>
      </c>
      <c r="T122" s="14" t="b">
        <v>0</v>
      </c>
      <c r="U122" s="14" t="b">
        <v>0</v>
      </c>
      <c r="V122" s="14" t="b">
        <v>0</v>
      </c>
      <c r="W122" s="14" t="b">
        <v>0</v>
      </c>
      <c r="X122" s="14" t="b">
        <v>0</v>
      </c>
      <c r="Y122" s="55">
        <v>0</v>
      </c>
      <c r="Z122" s="55">
        <v>1.73</v>
      </c>
      <c r="AA122" s="55">
        <v>1.03</v>
      </c>
      <c r="AB122" s="55">
        <v>0</v>
      </c>
      <c r="AC122" s="55">
        <v>2.2000000000000002</v>
      </c>
      <c r="AD122" s="55">
        <v>0</v>
      </c>
      <c r="AE122" s="55">
        <v>0.25</v>
      </c>
      <c r="AF122" s="55">
        <v>0.25</v>
      </c>
      <c r="AG122" s="55">
        <v>0</v>
      </c>
      <c r="AH122" s="55">
        <v>0.2</v>
      </c>
      <c r="AI12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2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925.7852498231963</v>
      </c>
      <c r="AL12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22" s="102">
        <f>SUM(VIEW_IV_2019_REP_CALCULO[[#This Row],[Premio-BERINERT]:[Premio-PRIVIGEN]])</f>
        <v>4592.8684010216111</v>
      </c>
      <c r="AX122" s="3"/>
      <c r="AY122" s="3"/>
      <c r="AZ122" s="3"/>
      <c r="BA122" s="3"/>
      <c r="BB122" s="3"/>
    </row>
    <row r="123" spans="1:54" hidden="1" x14ac:dyDescent="0.2">
      <c r="A123" s="7" t="s">
        <v>16</v>
      </c>
      <c r="B123" s="7" t="s">
        <v>230</v>
      </c>
      <c r="C123" s="7" t="s">
        <v>24</v>
      </c>
      <c r="D123" s="8" t="s">
        <v>183</v>
      </c>
      <c r="E123" s="8" t="s">
        <v>184</v>
      </c>
      <c r="F123" s="8" t="s">
        <v>557</v>
      </c>
      <c r="G123" s="8" t="s">
        <v>208</v>
      </c>
      <c r="H123" s="13" t="b">
        <v>1</v>
      </c>
      <c r="I123" s="13" t="b">
        <v>1</v>
      </c>
      <c r="J123" s="10">
        <v>0</v>
      </c>
      <c r="K123" s="10">
        <v>153</v>
      </c>
      <c r="L123" s="10">
        <v>84</v>
      </c>
      <c r="M123" s="10">
        <v>0</v>
      </c>
      <c r="N123" s="10">
        <v>4785</v>
      </c>
      <c r="O123" s="10">
        <v>0</v>
      </c>
      <c r="P123" s="10">
        <v>214</v>
      </c>
      <c r="Q123" s="10">
        <v>158</v>
      </c>
      <c r="R123" s="10">
        <v>0</v>
      </c>
      <c r="S123" s="10">
        <v>13000</v>
      </c>
      <c r="T123" s="14" t="b">
        <v>0</v>
      </c>
      <c r="U123" s="14" t="b">
        <v>0</v>
      </c>
      <c r="V123" s="14" t="b">
        <v>0</v>
      </c>
      <c r="W123" s="14" t="b">
        <v>0</v>
      </c>
      <c r="X123" s="14" t="b">
        <v>0</v>
      </c>
      <c r="Y123" s="55">
        <v>0</v>
      </c>
      <c r="Z123" s="55">
        <v>1.4</v>
      </c>
      <c r="AA123" s="55">
        <v>1.88</v>
      </c>
      <c r="AB123" s="55">
        <v>0</v>
      </c>
      <c r="AC123" s="55">
        <v>2.72</v>
      </c>
      <c r="AD123" s="55">
        <v>0</v>
      </c>
      <c r="AE123" s="55">
        <v>0.25</v>
      </c>
      <c r="AF123" s="55">
        <v>0.25</v>
      </c>
      <c r="AG123" s="55">
        <v>0</v>
      </c>
      <c r="AH123" s="55">
        <v>0.2</v>
      </c>
      <c r="AI12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1896.1019420429554</v>
      </c>
      <c r="AK12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2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23" s="102">
        <f>SUM(VIEW_IV_2019_REP_CALCULO[[#This Row],[Premio-BERINERT]:[Premio-PRIVIGEN]])</f>
        <v>5563.1850932413709</v>
      </c>
      <c r="AX123" s="3"/>
      <c r="AY123" s="3"/>
      <c r="AZ123" s="3"/>
      <c r="BA123" s="3"/>
      <c r="BB123" s="3"/>
    </row>
    <row r="124" spans="1:54" hidden="1" x14ac:dyDescent="0.2">
      <c r="A124" s="7" t="s">
        <v>16</v>
      </c>
      <c r="B124" s="7" t="s">
        <v>230</v>
      </c>
      <c r="C124" s="7" t="s">
        <v>24</v>
      </c>
      <c r="D124" s="8" t="s">
        <v>159</v>
      </c>
      <c r="E124" s="8" t="s">
        <v>160</v>
      </c>
      <c r="F124" s="8" t="s">
        <v>740</v>
      </c>
      <c r="G124" s="8" t="s">
        <v>206</v>
      </c>
      <c r="H124" s="13" t="b">
        <v>1</v>
      </c>
      <c r="I124" s="13" t="b">
        <v>1</v>
      </c>
      <c r="J124" s="10">
        <v>6</v>
      </c>
      <c r="K124" s="10">
        <v>68</v>
      </c>
      <c r="L124" s="10">
        <v>48</v>
      </c>
      <c r="M124" s="10">
        <v>122</v>
      </c>
      <c r="N124" s="10">
        <v>2610</v>
      </c>
      <c r="O124" s="10">
        <v>29</v>
      </c>
      <c r="P124" s="10">
        <v>10</v>
      </c>
      <c r="Q124" s="10">
        <v>38</v>
      </c>
      <c r="R124" s="10">
        <v>154</v>
      </c>
      <c r="S124" s="10">
        <v>4760</v>
      </c>
      <c r="T124" s="14" t="b">
        <v>0</v>
      </c>
      <c r="U124" s="14" t="b">
        <v>0</v>
      </c>
      <c r="V124" s="14" t="b">
        <v>0</v>
      </c>
      <c r="W124" s="14" t="b">
        <v>0</v>
      </c>
      <c r="X124" s="14" t="b">
        <v>0</v>
      </c>
      <c r="Y124" s="55">
        <v>4.83</v>
      </c>
      <c r="Z124" s="55">
        <v>0.15</v>
      </c>
      <c r="AA124" s="55">
        <v>0.79</v>
      </c>
      <c r="AB124" s="55">
        <v>1.26</v>
      </c>
      <c r="AC124" s="55">
        <v>1.82</v>
      </c>
      <c r="AD124" s="55">
        <v>0.05</v>
      </c>
      <c r="AE124" s="55">
        <v>0.15</v>
      </c>
      <c r="AF124" s="55">
        <v>0.15</v>
      </c>
      <c r="AG124" s="55">
        <v>0.2</v>
      </c>
      <c r="AH124" s="55">
        <v>0.15</v>
      </c>
      <c r="AI12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407.45368346649059</v>
      </c>
      <c r="AJ12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1356.0491279941923</v>
      </c>
      <c r="AM12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124" s="102">
        <f>SUM(VIEW_IV_2019_REP_CALCULO[[#This Row],[Premio-BERINERT]:[Premio-PRIVIGEN]])</f>
        <v>2985.8638618601544</v>
      </c>
      <c r="AX124" s="3"/>
      <c r="AY124" s="3"/>
      <c r="AZ124" s="3"/>
      <c r="BA124" s="3"/>
      <c r="BB124" s="3"/>
    </row>
    <row r="125" spans="1:54" hidden="1" x14ac:dyDescent="0.2">
      <c r="A125" s="7" t="s">
        <v>16</v>
      </c>
      <c r="B125" s="7" t="s">
        <v>230</v>
      </c>
      <c r="C125" s="7" t="s">
        <v>24</v>
      </c>
      <c r="D125" s="8" t="s">
        <v>201</v>
      </c>
      <c r="E125" s="8" t="s">
        <v>202</v>
      </c>
      <c r="F125" s="8" t="s">
        <v>740</v>
      </c>
      <c r="G125" s="8" t="s">
        <v>212</v>
      </c>
      <c r="H125" s="13" t="b">
        <v>1</v>
      </c>
      <c r="I125" s="13" t="b">
        <v>1</v>
      </c>
      <c r="J125" s="10">
        <v>20</v>
      </c>
      <c r="K125" s="10">
        <v>34</v>
      </c>
      <c r="L125" s="10">
        <v>12</v>
      </c>
      <c r="M125" s="10">
        <v>671</v>
      </c>
      <c r="N125" s="10">
        <v>1305</v>
      </c>
      <c r="O125" s="10">
        <v>0</v>
      </c>
      <c r="P125" s="10">
        <v>8</v>
      </c>
      <c r="Q125" s="10">
        <v>6</v>
      </c>
      <c r="R125" s="10">
        <v>474</v>
      </c>
      <c r="S125" s="10">
        <v>5160</v>
      </c>
      <c r="T125" s="14" t="b">
        <v>0</v>
      </c>
      <c r="U125" s="14" t="b">
        <v>0</v>
      </c>
      <c r="V125" s="14" t="b">
        <v>0</v>
      </c>
      <c r="W125" s="14" t="b">
        <v>0</v>
      </c>
      <c r="X125" s="14" t="b">
        <v>0</v>
      </c>
      <c r="Y125" s="55">
        <v>0</v>
      </c>
      <c r="Z125" s="55">
        <v>0.24</v>
      </c>
      <c r="AA125" s="55">
        <v>0.5</v>
      </c>
      <c r="AB125" s="55">
        <v>0.71</v>
      </c>
      <c r="AC125" s="55">
        <v>3.95</v>
      </c>
      <c r="AD125" s="55">
        <v>0.05</v>
      </c>
      <c r="AE125" s="55">
        <v>0.15</v>
      </c>
      <c r="AF125" s="55">
        <v>0.15</v>
      </c>
      <c r="AG125" s="55">
        <v>0.2</v>
      </c>
      <c r="AH125" s="55">
        <v>0.15</v>
      </c>
      <c r="AI12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1222.3610503994717</v>
      </c>
      <c r="AN125" s="102">
        <f>SUM(VIEW_IV_2019_REP_CALCULO[[#This Row],[Premio-BERINERT]:[Premio-PRIVIGEN]])</f>
        <v>1222.3610503994717</v>
      </c>
      <c r="AX125" s="3"/>
      <c r="AY125" s="3"/>
      <c r="AZ125" s="3"/>
      <c r="BA125" s="3"/>
      <c r="BB125" s="3"/>
    </row>
    <row r="126" spans="1:54" hidden="1" x14ac:dyDescent="0.2">
      <c r="A126" s="7" t="s">
        <v>16</v>
      </c>
      <c r="B126" s="7" t="s">
        <v>372</v>
      </c>
      <c r="C126" s="7" t="s">
        <v>373</v>
      </c>
      <c r="D126" s="8" t="s">
        <v>151</v>
      </c>
      <c r="E126" s="8" t="s">
        <v>152</v>
      </c>
      <c r="F126" s="8" t="s">
        <v>556</v>
      </c>
      <c r="G126" s="8" t="s">
        <v>208</v>
      </c>
      <c r="H126" s="13" t="b">
        <v>1</v>
      </c>
      <c r="I126" s="13" t="b">
        <v>1</v>
      </c>
      <c r="J126" s="10">
        <v>8</v>
      </c>
      <c r="K126" s="10">
        <v>0</v>
      </c>
      <c r="L126" s="10">
        <v>0</v>
      </c>
      <c r="M126" s="10">
        <v>969</v>
      </c>
      <c r="N126" s="10">
        <v>8255</v>
      </c>
      <c r="O126" s="10">
        <v>5</v>
      </c>
      <c r="P126" s="10">
        <v>0</v>
      </c>
      <c r="Q126" s="10">
        <v>0</v>
      </c>
      <c r="R126" s="10">
        <v>793</v>
      </c>
      <c r="S126" s="10">
        <v>5655</v>
      </c>
      <c r="T126" s="14" t="b">
        <v>0</v>
      </c>
      <c r="U126" s="14" t="b">
        <v>0</v>
      </c>
      <c r="V126" s="14" t="b">
        <v>0</v>
      </c>
      <c r="W126" s="14" t="b">
        <v>0</v>
      </c>
      <c r="X126" s="14" t="b">
        <v>0</v>
      </c>
      <c r="Y126" s="55">
        <v>0.63</v>
      </c>
      <c r="Z126" s="55">
        <v>0</v>
      </c>
      <c r="AA126" s="55">
        <v>0</v>
      </c>
      <c r="AB126" s="55">
        <v>0.82</v>
      </c>
      <c r="AC126" s="55">
        <v>0.69</v>
      </c>
      <c r="AD126" s="55">
        <v>0.1</v>
      </c>
      <c r="AE126" s="55">
        <v>0</v>
      </c>
      <c r="AF126" s="55">
        <v>0</v>
      </c>
      <c r="AG126" s="55">
        <v>0.4</v>
      </c>
      <c r="AH126" s="55">
        <v>0.2</v>
      </c>
      <c r="AI12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591.3487087478253</v>
      </c>
      <c r="AM12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6" s="102">
        <f>SUM(VIEW_IV_2019_REP_CALCULO[[#This Row],[Premio-BERINERT]:[Premio-PRIVIGEN]])</f>
        <v>591.3487087478253</v>
      </c>
    </row>
    <row r="127" spans="1:54" hidden="1" x14ac:dyDescent="0.2">
      <c r="A127" s="7" t="s">
        <v>16</v>
      </c>
      <c r="B127" s="7" t="s">
        <v>372</v>
      </c>
      <c r="C127" s="7" t="s">
        <v>373</v>
      </c>
      <c r="D127" s="8" t="s">
        <v>1355</v>
      </c>
      <c r="E127" s="8" t="s">
        <v>1356</v>
      </c>
      <c r="F127" s="8" t="s">
        <v>556</v>
      </c>
      <c r="G127" s="8" t="s">
        <v>208</v>
      </c>
      <c r="H127" s="13" t="b">
        <v>1</v>
      </c>
      <c r="I127" s="13" t="b">
        <v>1</v>
      </c>
      <c r="J127" s="10">
        <v>8</v>
      </c>
      <c r="K127" s="10">
        <v>0</v>
      </c>
      <c r="L127" s="10">
        <v>0</v>
      </c>
      <c r="M127" s="10">
        <v>684</v>
      </c>
      <c r="N127" s="10">
        <v>5080</v>
      </c>
      <c r="O127" s="10">
        <v>0</v>
      </c>
      <c r="P127" s="10">
        <v>0</v>
      </c>
      <c r="Q127" s="10">
        <v>0</v>
      </c>
      <c r="R127" s="10">
        <v>211</v>
      </c>
      <c r="S127" s="10">
        <v>11505</v>
      </c>
      <c r="T127" s="14" t="b">
        <v>0</v>
      </c>
      <c r="U127" s="14" t="b">
        <v>0</v>
      </c>
      <c r="V127" s="14" t="b">
        <v>0</v>
      </c>
      <c r="W127" s="14" t="b">
        <v>0</v>
      </c>
      <c r="X127" s="14" t="b">
        <v>0</v>
      </c>
      <c r="Y127" s="55">
        <v>0</v>
      </c>
      <c r="Z127" s="55">
        <v>0</v>
      </c>
      <c r="AA127" s="55">
        <v>0</v>
      </c>
      <c r="AB127" s="55">
        <v>0.31</v>
      </c>
      <c r="AC127" s="55">
        <v>2.2599999999999998</v>
      </c>
      <c r="AD127" s="55">
        <v>0.1</v>
      </c>
      <c r="AE127" s="55">
        <v>0</v>
      </c>
      <c r="AF127" s="55">
        <v>0</v>
      </c>
      <c r="AG127" s="55">
        <v>0.4</v>
      </c>
      <c r="AH127" s="55">
        <v>0.2</v>
      </c>
      <c r="AI12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27" s="102">
        <f>SUM(VIEW_IV_2019_REP_CALCULO[[#This Row],[Premio-BERINERT]:[Premio-PRIVIGEN]])</f>
        <v>1629.8147338659624</v>
      </c>
    </row>
    <row r="128" spans="1:54" hidden="1" x14ac:dyDescent="0.2">
      <c r="A128" s="7" t="s">
        <v>16</v>
      </c>
      <c r="B128" s="7" t="s">
        <v>372</v>
      </c>
      <c r="C128" s="7" t="s">
        <v>373</v>
      </c>
      <c r="D128" s="8" t="s">
        <v>155</v>
      </c>
      <c r="E128" s="8" t="s">
        <v>156</v>
      </c>
      <c r="F128" s="8" t="s">
        <v>556</v>
      </c>
      <c r="G128" s="8" t="s">
        <v>206</v>
      </c>
      <c r="H128" s="13" t="b">
        <v>1</v>
      </c>
      <c r="I128" s="13" t="b">
        <v>1</v>
      </c>
      <c r="J128" s="10">
        <v>6</v>
      </c>
      <c r="K128" s="10">
        <v>0</v>
      </c>
      <c r="L128" s="10">
        <v>0</v>
      </c>
      <c r="M128" s="10">
        <v>1197</v>
      </c>
      <c r="N128" s="10">
        <v>7620</v>
      </c>
      <c r="O128" s="10">
        <v>0</v>
      </c>
      <c r="P128" s="10">
        <v>0</v>
      </c>
      <c r="Q128" s="10">
        <v>0</v>
      </c>
      <c r="R128" s="10">
        <v>901</v>
      </c>
      <c r="S128" s="10">
        <v>6640</v>
      </c>
      <c r="T128" s="14" t="b">
        <v>0</v>
      </c>
      <c r="U128" s="14" t="b">
        <v>0</v>
      </c>
      <c r="V128" s="14" t="b">
        <v>0</v>
      </c>
      <c r="W128" s="14" t="b">
        <v>0</v>
      </c>
      <c r="X128" s="14" t="b">
        <v>0</v>
      </c>
      <c r="Y128" s="55">
        <v>0</v>
      </c>
      <c r="Z128" s="55">
        <v>0</v>
      </c>
      <c r="AA128" s="55">
        <v>0</v>
      </c>
      <c r="AB128" s="55">
        <v>0.75</v>
      </c>
      <c r="AC128" s="55">
        <v>0.87</v>
      </c>
      <c r="AD128" s="55">
        <v>0.1</v>
      </c>
      <c r="AE128" s="55">
        <v>0</v>
      </c>
      <c r="AF128" s="55">
        <v>0</v>
      </c>
      <c r="AG128" s="55">
        <v>0.4</v>
      </c>
      <c r="AH128" s="55">
        <v>0.2</v>
      </c>
      <c r="AI12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313.70327842110237</v>
      </c>
      <c r="AN128" s="102">
        <f>SUM(VIEW_IV_2019_REP_CALCULO[[#This Row],[Premio-BERINERT]:[Premio-PRIVIGEN]])</f>
        <v>313.70327842110237</v>
      </c>
    </row>
    <row r="129" spans="1:40" hidden="1" x14ac:dyDescent="0.2">
      <c r="A129" s="7" t="s">
        <v>16</v>
      </c>
      <c r="B129" s="7" t="s">
        <v>372</v>
      </c>
      <c r="C129" s="7" t="s">
        <v>373</v>
      </c>
      <c r="D129" s="8" t="s">
        <v>161</v>
      </c>
      <c r="E129" s="8" t="s">
        <v>162</v>
      </c>
      <c r="F129" s="8" t="s">
        <v>556</v>
      </c>
      <c r="G129" s="8" t="s">
        <v>208</v>
      </c>
      <c r="H129" s="13" t="b">
        <v>1</v>
      </c>
      <c r="I129" s="13" t="b">
        <v>1</v>
      </c>
      <c r="J129" s="10">
        <v>8</v>
      </c>
      <c r="K129" s="10">
        <v>0</v>
      </c>
      <c r="L129" s="10">
        <v>0</v>
      </c>
      <c r="M129" s="10">
        <v>684</v>
      </c>
      <c r="N129" s="10">
        <v>8890</v>
      </c>
      <c r="O129" s="10">
        <v>0</v>
      </c>
      <c r="P129" s="10">
        <v>0</v>
      </c>
      <c r="Q129" s="10">
        <v>0</v>
      </c>
      <c r="R129" s="10">
        <v>531</v>
      </c>
      <c r="S129" s="10">
        <v>6900</v>
      </c>
      <c r="T129" s="14" t="b">
        <v>0</v>
      </c>
      <c r="U129" s="14" t="b">
        <v>0</v>
      </c>
      <c r="V129" s="14" t="b">
        <v>0</v>
      </c>
      <c r="W129" s="14" t="b">
        <v>0</v>
      </c>
      <c r="X129" s="14" t="b">
        <v>0</v>
      </c>
      <c r="Y129" s="55">
        <v>0</v>
      </c>
      <c r="Z129" s="55">
        <v>0</v>
      </c>
      <c r="AA129" s="55">
        <v>0</v>
      </c>
      <c r="AB129" s="55">
        <v>0.78</v>
      </c>
      <c r="AC129" s="55">
        <v>0.78</v>
      </c>
      <c r="AD129" s="55">
        <v>0.1</v>
      </c>
      <c r="AE129" s="55">
        <v>0</v>
      </c>
      <c r="AF129" s="55">
        <v>0</v>
      </c>
      <c r="AG129" s="55">
        <v>0.4</v>
      </c>
      <c r="AH129" s="55">
        <v>0.2</v>
      </c>
      <c r="AI12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2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2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2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2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29" s="102">
        <f>SUM(VIEW_IV_2019_REP_CALCULO[[#This Row],[Premio-BERINERT]:[Premio-PRIVIGEN]])</f>
        <v>0</v>
      </c>
    </row>
    <row r="130" spans="1:40" hidden="1" x14ac:dyDescent="0.2">
      <c r="A130" s="7" t="s">
        <v>16</v>
      </c>
      <c r="B130" s="7" t="s">
        <v>372</v>
      </c>
      <c r="C130" s="7" t="s">
        <v>373</v>
      </c>
      <c r="D130" s="8" t="s">
        <v>175</v>
      </c>
      <c r="E130" s="8" t="s">
        <v>176</v>
      </c>
      <c r="F130" s="8" t="s">
        <v>556</v>
      </c>
      <c r="G130" s="8" t="s">
        <v>206</v>
      </c>
      <c r="H130" s="13" t="b">
        <v>1</v>
      </c>
      <c r="I130" s="13" t="b">
        <v>1</v>
      </c>
      <c r="J130" s="10">
        <v>20</v>
      </c>
      <c r="K130" s="10">
        <v>0</v>
      </c>
      <c r="L130" s="10">
        <v>0</v>
      </c>
      <c r="M130" s="10">
        <v>741</v>
      </c>
      <c r="N130" s="10">
        <v>13970</v>
      </c>
      <c r="O130" s="10">
        <v>0</v>
      </c>
      <c r="P130" s="10">
        <v>0</v>
      </c>
      <c r="Q130" s="10">
        <v>0</v>
      </c>
      <c r="R130" s="10">
        <v>549</v>
      </c>
      <c r="S130" s="10">
        <v>10710</v>
      </c>
      <c r="T130" s="14" t="b">
        <v>0</v>
      </c>
      <c r="U130" s="14" t="b">
        <v>0</v>
      </c>
      <c r="V130" s="14" t="b">
        <v>0</v>
      </c>
      <c r="W130" s="14" t="b">
        <v>0</v>
      </c>
      <c r="X130" s="14" t="b">
        <v>0</v>
      </c>
      <c r="Y130" s="55">
        <v>0</v>
      </c>
      <c r="Z130" s="55">
        <v>0</v>
      </c>
      <c r="AA130" s="55">
        <v>0</v>
      </c>
      <c r="AB130" s="55">
        <v>0.74</v>
      </c>
      <c r="AC130" s="55">
        <v>0.77</v>
      </c>
      <c r="AD130" s="55">
        <v>0.1</v>
      </c>
      <c r="AE130" s="55">
        <v>0</v>
      </c>
      <c r="AF130" s="55">
        <v>0</v>
      </c>
      <c r="AG130" s="55">
        <v>0.4</v>
      </c>
      <c r="AH130" s="55">
        <v>0.2</v>
      </c>
      <c r="AI13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0" s="102">
        <f>SUM(VIEW_IV_2019_REP_CALCULO[[#This Row],[Premio-BERINERT]:[Premio-PRIVIGEN]])</f>
        <v>0</v>
      </c>
    </row>
    <row r="131" spans="1:40" hidden="1" x14ac:dyDescent="0.2">
      <c r="A131" s="7" t="s">
        <v>16</v>
      </c>
      <c r="B131" s="7" t="s">
        <v>372</v>
      </c>
      <c r="C131" s="7" t="s">
        <v>373</v>
      </c>
      <c r="D131" s="8" t="s">
        <v>199</v>
      </c>
      <c r="E131" s="8" t="s">
        <v>200</v>
      </c>
      <c r="F131" s="8" t="s">
        <v>556</v>
      </c>
      <c r="G131" s="8" t="s">
        <v>212</v>
      </c>
      <c r="H131" s="13" t="b">
        <v>1</v>
      </c>
      <c r="I131" s="13" t="b">
        <v>1</v>
      </c>
      <c r="J131" s="10">
        <v>20</v>
      </c>
      <c r="K131" s="10">
        <v>0</v>
      </c>
      <c r="L131" s="10">
        <v>0</v>
      </c>
      <c r="M131" s="10">
        <v>684</v>
      </c>
      <c r="N131" s="10">
        <v>9525</v>
      </c>
      <c r="O131" s="10">
        <v>16</v>
      </c>
      <c r="P131" s="10">
        <v>0</v>
      </c>
      <c r="Q131" s="10">
        <v>0</v>
      </c>
      <c r="R131" s="10">
        <v>642</v>
      </c>
      <c r="S131" s="10">
        <v>3440</v>
      </c>
      <c r="T131" s="14" t="b">
        <v>0</v>
      </c>
      <c r="U131" s="14" t="b">
        <v>0</v>
      </c>
      <c r="V131" s="14" t="b">
        <v>0</v>
      </c>
      <c r="W131" s="14" t="b">
        <v>0</v>
      </c>
      <c r="X131" s="14" t="b">
        <v>0</v>
      </c>
      <c r="Y131" s="55">
        <v>0.8</v>
      </c>
      <c r="Z131" s="55">
        <v>0</v>
      </c>
      <c r="AA131" s="55">
        <v>0</v>
      </c>
      <c r="AB131" s="55">
        <v>0.94</v>
      </c>
      <c r="AC131" s="55">
        <v>0.36</v>
      </c>
      <c r="AD131" s="55">
        <v>0.1</v>
      </c>
      <c r="AE131" s="55">
        <v>0</v>
      </c>
      <c r="AF131" s="55">
        <v>0</v>
      </c>
      <c r="AG131" s="55">
        <v>0.4</v>
      </c>
      <c r="AH131" s="55">
        <v>0.2</v>
      </c>
      <c r="AI13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144.23139237751838</v>
      </c>
      <c r="AJ13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1016.831316261505</v>
      </c>
      <c r="AM13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1" s="102">
        <f>SUM(VIEW_IV_2019_REP_CALCULO[[#This Row],[Premio-BERINERT]:[Premio-PRIVIGEN]])</f>
        <v>1161.0627086390234</v>
      </c>
    </row>
    <row r="132" spans="1:40" hidden="1" x14ac:dyDescent="0.2">
      <c r="A132" s="7" t="s">
        <v>16</v>
      </c>
      <c r="B132" s="7" t="s">
        <v>372</v>
      </c>
      <c r="C132" s="7" t="s">
        <v>373</v>
      </c>
      <c r="D132" s="8" t="s">
        <v>144</v>
      </c>
      <c r="E132" s="8" t="s">
        <v>145</v>
      </c>
      <c r="F132" s="8" t="s">
        <v>557</v>
      </c>
      <c r="G132" s="8" t="s">
        <v>206</v>
      </c>
      <c r="H132" s="13" t="b">
        <v>1</v>
      </c>
      <c r="I132" s="13" t="b">
        <v>1</v>
      </c>
      <c r="J132" s="10">
        <v>0</v>
      </c>
      <c r="K132" s="10">
        <v>102</v>
      </c>
      <c r="L132" s="10">
        <v>130</v>
      </c>
      <c r="M132" s="10">
        <v>0</v>
      </c>
      <c r="N132" s="10">
        <v>3810</v>
      </c>
      <c r="O132" s="10">
        <v>0</v>
      </c>
      <c r="P132" s="10">
        <v>62</v>
      </c>
      <c r="Q132" s="10">
        <v>25</v>
      </c>
      <c r="R132" s="10">
        <v>0</v>
      </c>
      <c r="S132" s="10">
        <v>968</v>
      </c>
      <c r="T132" s="14" t="b">
        <v>0</v>
      </c>
      <c r="U132" s="14" t="b">
        <v>0</v>
      </c>
      <c r="V132" s="14" t="b">
        <v>0</v>
      </c>
      <c r="W132" s="14" t="b">
        <v>0</v>
      </c>
      <c r="X132" s="14" t="b">
        <v>0</v>
      </c>
      <c r="Y132" s="55">
        <v>0</v>
      </c>
      <c r="Z132" s="55">
        <v>0.61</v>
      </c>
      <c r="AA132" s="55">
        <v>0.19</v>
      </c>
      <c r="AB132" s="55">
        <v>0</v>
      </c>
      <c r="AC132" s="55">
        <v>0.25</v>
      </c>
      <c r="AD132" s="55">
        <v>0</v>
      </c>
      <c r="AE132" s="55">
        <v>0.25</v>
      </c>
      <c r="AF132" s="55">
        <v>0.25</v>
      </c>
      <c r="AG132" s="55">
        <v>0</v>
      </c>
      <c r="AH132" s="55">
        <v>0.2</v>
      </c>
      <c r="AI13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2" s="102">
        <f>SUM(VIEW_IV_2019_REP_CALCULO[[#This Row],[Premio-BERINERT]:[Premio-PRIVIGEN]])</f>
        <v>0</v>
      </c>
    </row>
    <row r="133" spans="1:40" hidden="1" x14ac:dyDescent="0.2">
      <c r="A133" s="7" t="s">
        <v>16</v>
      </c>
      <c r="B133" s="7" t="s">
        <v>372</v>
      </c>
      <c r="C133" s="7" t="s">
        <v>373</v>
      </c>
      <c r="D133" s="8" t="s">
        <v>147</v>
      </c>
      <c r="E133" s="8" t="s">
        <v>148</v>
      </c>
      <c r="F133" s="8" t="s">
        <v>557</v>
      </c>
      <c r="G133" s="8" t="s">
        <v>208</v>
      </c>
      <c r="H133" s="13" t="b">
        <v>1</v>
      </c>
      <c r="I133" s="13" t="b">
        <v>1</v>
      </c>
      <c r="J133" s="10">
        <v>0</v>
      </c>
      <c r="K133" s="10">
        <v>119</v>
      </c>
      <c r="L133" s="10">
        <v>156</v>
      </c>
      <c r="M133" s="10">
        <v>0</v>
      </c>
      <c r="N133" s="10">
        <v>5080</v>
      </c>
      <c r="O133" s="10">
        <v>0</v>
      </c>
      <c r="P133" s="10">
        <v>199</v>
      </c>
      <c r="Q133" s="10">
        <v>211</v>
      </c>
      <c r="R133" s="10">
        <v>0</v>
      </c>
      <c r="S133" s="10">
        <v>6120</v>
      </c>
      <c r="T133" s="14" t="b">
        <v>0</v>
      </c>
      <c r="U133" s="14" t="b">
        <v>0</v>
      </c>
      <c r="V133" s="14" t="b">
        <v>0</v>
      </c>
      <c r="W133" s="14" t="b">
        <v>0</v>
      </c>
      <c r="X133" s="14" t="b">
        <v>0</v>
      </c>
      <c r="Y133" s="55">
        <v>0</v>
      </c>
      <c r="Z133" s="55">
        <v>1.67</v>
      </c>
      <c r="AA133" s="55">
        <v>1.35</v>
      </c>
      <c r="AB133" s="55">
        <v>0</v>
      </c>
      <c r="AC133" s="55">
        <v>1.2</v>
      </c>
      <c r="AD133" s="55">
        <v>0</v>
      </c>
      <c r="AE133" s="55">
        <v>0.25</v>
      </c>
      <c r="AF133" s="55">
        <v>0.25</v>
      </c>
      <c r="AG133" s="55">
        <v>0</v>
      </c>
      <c r="AH133" s="55">
        <v>0.2</v>
      </c>
      <c r="AI13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3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1820.6508949054671</v>
      </c>
      <c r="AL13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1294.9094407653622</v>
      </c>
      <c r="AN133" s="102">
        <f>SUM(VIEW_IV_2019_REP_CALCULO[[#This Row],[Premio-BERINERT]:[Premio-PRIVIGEN]])</f>
        <v>5152.8287530032821</v>
      </c>
    </row>
    <row r="134" spans="1:40" hidden="1" x14ac:dyDescent="0.2">
      <c r="A134" s="7" t="s">
        <v>16</v>
      </c>
      <c r="B134" s="7" t="s">
        <v>372</v>
      </c>
      <c r="C134" s="7" t="s">
        <v>373</v>
      </c>
      <c r="D134" s="8" t="s">
        <v>149</v>
      </c>
      <c r="E134" s="8" t="s">
        <v>150</v>
      </c>
      <c r="F134" s="8" t="s">
        <v>557</v>
      </c>
      <c r="G134" s="8" t="s">
        <v>208</v>
      </c>
      <c r="H134" s="13" t="b">
        <v>1</v>
      </c>
      <c r="I134" s="13" t="b">
        <v>1</v>
      </c>
      <c r="J134" s="10">
        <v>0</v>
      </c>
      <c r="K134" s="10">
        <v>102</v>
      </c>
      <c r="L134" s="10">
        <v>65</v>
      </c>
      <c r="M134" s="10">
        <v>0</v>
      </c>
      <c r="N134" s="10">
        <v>8890</v>
      </c>
      <c r="O134" s="10">
        <v>0</v>
      </c>
      <c r="P134" s="10">
        <v>24</v>
      </c>
      <c r="Q134" s="10">
        <v>8</v>
      </c>
      <c r="R134" s="10">
        <v>0</v>
      </c>
      <c r="S134" s="10">
        <v>5655</v>
      </c>
      <c r="T134" s="14" t="b">
        <v>0</v>
      </c>
      <c r="U134" s="14" t="b">
        <v>0</v>
      </c>
      <c r="V134" s="14" t="b">
        <v>0</v>
      </c>
      <c r="W134" s="14" t="b">
        <v>0</v>
      </c>
      <c r="X134" s="14" t="b">
        <v>0</v>
      </c>
      <c r="Y134" s="55">
        <v>0</v>
      </c>
      <c r="Z134" s="55">
        <v>0.24</v>
      </c>
      <c r="AA134" s="55">
        <v>0.12</v>
      </c>
      <c r="AB134" s="55">
        <v>0</v>
      </c>
      <c r="AC134" s="55">
        <v>0.64</v>
      </c>
      <c r="AD134" s="55">
        <v>0</v>
      </c>
      <c r="AE134" s="55">
        <v>0.25</v>
      </c>
      <c r="AF134" s="55">
        <v>0.25</v>
      </c>
      <c r="AG134" s="55">
        <v>0</v>
      </c>
      <c r="AH134" s="55">
        <v>0.2</v>
      </c>
      <c r="AI13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4" s="102">
        <f>SUM(VIEW_IV_2019_REP_CALCULO[[#This Row],[Premio-BERINERT]:[Premio-PRIVIGEN]])</f>
        <v>0</v>
      </c>
    </row>
    <row r="135" spans="1:40" hidden="1" x14ac:dyDescent="0.2">
      <c r="A135" s="7" t="s">
        <v>16</v>
      </c>
      <c r="B135" s="7" t="s">
        <v>372</v>
      </c>
      <c r="C135" s="7" t="s">
        <v>373</v>
      </c>
      <c r="D135" s="8" t="s">
        <v>157</v>
      </c>
      <c r="E135" s="8" t="s">
        <v>158</v>
      </c>
      <c r="F135" s="8" t="s">
        <v>557</v>
      </c>
      <c r="G135" s="8" t="s">
        <v>206</v>
      </c>
      <c r="H135" s="13" t="b">
        <v>1</v>
      </c>
      <c r="I135" s="13" t="b">
        <v>1</v>
      </c>
      <c r="J135" s="10">
        <v>0</v>
      </c>
      <c r="K135" s="10">
        <v>68</v>
      </c>
      <c r="L135" s="10">
        <v>52</v>
      </c>
      <c r="M135" s="10">
        <v>0</v>
      </c>
      <c r="N135" s="10">
        <v>10160</v>
      </c>
      <c r="O135" s="10">
        <v>0</v>
      </c>
      <c r="P135" s="10">
        <v>18</v>
      </c>
      <c r="Q135" s="10">
        <v>9</v>
      </c>
      <c r="R135" s="10">
        <v>0</v>
      </c>
      <c r="S135" s="10">
        <v>9742</v>
      </c>
      <c r="T135" s="14" t="b">
        <v>0</v>
      </c>
      <c r="U135" s="14" t="b">
        <v>0</v>
      </c>
      <c r="V135" s="14" t="b">
        <v>0</v>
      </c>
      <c r="W135" s="14" t="b">
        <v>0</v>
      </c>
      <c r="X135" s="14" t="b">
        <v>0</v>
      </c>
      <c r="Y135" s="55">
        <v>0</v>
      </c>
      <c r="Z135" s="55">
        <v>0.26</v>
      </c>
      <c r="AA135" s="55">
        <v>0.17</v>
      </c>
      <c r="AB135" s="55">
        <v>0</v>
      </c>
      <c r="AC135" s="55">
        <v>0.96</v>
      </c>
      <c r="AD135" s="55">
        <v>0</v>
      </c>
      <c r="AE135" s="55">
        <v>0.25</v>
      </c>
      <c r="AF135" s="55">
        <v>0.25</v>
      </c>
      <c r="AG135" s="55">
        <v>0</v>
      </c>
      <c r="AH135" s="55">
        <v>0.2</v>
      </c>
      <c r="AI13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519.23301255906665</v>
      </c>
      <c r="AN135" s="102">
        <f>SUM(VIEW_IV_2019_REP_CALCULO[[#This Row],[Premio-BERINERT]:[Premio-PRIVIGEN]])</f>
        <v>519.23301255906665</v>
      </c>
    </row>
    <row r="136" spans="1:40" hidden="1" x14ac:dyDescent="0.2">
      <c r="A136" s="7" t="s">
        <v>16</v>
      </c>
      <c r="B136" s="7" t="s">
        <v>372</v>
      </c>
      <c r="C136" s="7" t="s">
        <v>373</v>
      </c>
      <c r="D136" s="8" t="s">
        <v>163</v>
      </c>
      <c r="E136" s="8" t="s">
        <v>164</v>
      </c>
      <c r="F136" s="8" t="s">
        <v>557</v>
      </c>
      <c r="G136" s="8" t="s">
        <v>212</v>
      </c>
      <c r="H136" s="13" t="b">
        <v>1</v>
      </c>
      <c r="I136" s="13" t="b">
        <v>1</v>
      </c>
      <c r="J136" s="10">
        <v>0</v>
      </c>
      <c r="K136" s="10">
        <v>187</v>
      </c>
      <c r="L136" s="10">
        <v>91</v>
      </c>
      <c r="M136" s="10">
        <v>0</v>
      </c>
      <c r="N136" s="10">
        <v>4445</v>
      </c>
      <c r="O136" s="10">
        <v>0</v>
      </c>
      <c r="P136" s="10">
        <v>158</v>
      </c>
      <c r="Q136" s="10">
        <v>32</v>
      </c>
      <c r="R136" s="10">
        <v>0</v>
      </c>
      <c r="S136" s="10">
        <v>7255</v>
      </c>
      <c r="T136" s="14" t="b">
        <v>0</v>
      </c>
      <c r="U136" s="14" t="b">
        <v>0</v>
      </c>
      <c r="V136" s="14" t="b">
        <v>0</v>
      </c>
      <c r="W136" s="14" t="b">
        <v>0</v>
      </c>
      <c r="X136" s="14" t="b">
        <v>0</v>
      </c>
      <c r="Y136" s="55">
        <v>0</v>
      </c>
      <c r="Z136" s="55">
        <v>0.84</v>
      </c>
      <c r="AA136" s="55">
        <v>0.35</v>
      </c>
      <c r="AB136" s="55">
        <v>0</v>
      </c>
      <c r="AC136" s="55">
        <v>1.63</v>
      </c>
      <c r="AD136" s="55">
        <v>0</v>
      </c>
      <c r="AE136" s="55">
        <v>0.25</v>
      </c>
      <c r="AF136" s="55">
        <v>0.25</v>
      </c>
      <c r="AG136" s="55">
        <v>0</v>
      </c>
      <c r="AH136" s="55">
        <v>0.2</v>
      </c>
      <c r="AI13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378.60740499098563</v>
      </c>
      <c r="AK13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1629.8147338659624</v>
      </c>
      <c r="AN136" s="102">
        <f>SUM(VIEW_IV_2019_REP_CALCULO[[#This Row],[Premio-BERINERT]:[Premio-PRIVIGEN]])</f>
        <v>2008.4221388569481</v>
      </c>
    </row>
    <row r="137" spans="1:40" hidden="1" x14ac:dyDescent="0.2">
      <c r="A137" s="7" t="s">
        <v>16</v>
      </c>
      <c r="B137" s="7" t="s">
        <v>372</v>
      </c>
      <c r="C137" s="7" t="s">
        <v>373</v>
      </c>
      <c r="D137" s="8" t="s">
        <v>165</v>
      </c>
      <c r="E137" s="8" t="s">
        <v>166</v>
      </c>
      <c r="F137" s="8" t="s">
        <v>557</v>
      </c>
      <c r="G137" s="8" t="s">
        <v>212</v>
      </c>
      <c r="H137" s="13" t="b">
        <v>1</v>
      </c>
      <c r="I137" s="13" t="b">
        <v>1</v>
      </c>
      <c r="J137" s="10">
        <v>0</v>
      </c>
      <c r="K137" s="10">
        <v>153</v>
      </c>
      <c r="L137" s="10">
        <v>143</v>
      </c>
      <c r="M137" s="10">
        <v>0</v>
      </c>
      <c r="N137" s="10">
        <v>2540</v>
      </c>
      <c r="O137" s="10">
        <v>0</v>
      </c>
      <c r="P137" s="10">
        <v>75</v>
      </c>
      <c r="Q137" s="10">
        <v>151</v>
      </c>
      <c r="R137" s="10">
        <v>0</v>
      </c>
      <c r="S137" s="10">
        <v>1115</v>
      </c>
      <c r="T137" s="14" t="b">
        <v>0</v>
      </c>
      <c r="U137" s="14" t="b">
        <v>0</v>
      </c>
      <c r="V137" s="14" t="b">
        <v>0</v>
      </c>
      <c r="W137" s="14" t="b">
        <v>0</v>
      </c>
      <c r="X137" s="14" t="b">
        <v>0</v>
      </c>
      <c r="Y137" s="55">
        <v>0</v>
      </c>
      <c r="Z137" s="55">
        <v>0.49</v>
      </c>
      <c r="AA137" s="55">
        <v>1.06</v>
      </c>
      <c r="AB137" s="55">
        <v>0</v>
      </c>
      <c r="AC137" s="55">
        <v>0.44</v>
      </c>
      <c r="AD137" s="55">
        <v>0</v>
      </c>
      <c r="AE137" s="55">
        <v>0.25</v>
      </c>
      <c r="AF137" s="55">
        <v>0.25</v>
      </c>
      <c r="AG137" s="55">
        <v>0</v>
      </c>
      <c r="AH137" s="55">
        <v>0.2</v>
      </c>
      <c r="AI13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3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950.12429728690256</v>
      </c>
      <c r="AL13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7" s="102">
        <f>SUM(VIEW_IV_2019_REP_CALCULO[[#This Row],[Premio-BERINERT]:[Premio-PRIVIGEN]])</f>
        <v>950.12429728690256</v>
      </c>
    </row>
    <row r="138" spans="1:40" hidden="1" x14ac:dyDescent="0.2">
      <c r="A138" s="7" t="s">
        <v>16</v>
      </c>
      <c r="B138" s="7" t="s">
        <v>372</v>
      </c>
      <c r="C138" s="7" t="s">
        <v>373</v>
      </c>
      <c r="D138" s="8" t="s">
        <v>167</v>
      </c>
      <c r="E138" s="8" t="s">
        <v>168</v>
      </c>
      <c r="F138" s="8" t="s">
        <v>557</v>
      </c>
      <c r="G138" s="8" t="s">
        <v>212</v>
      </c>
      <c r="H138" s="13" t="b">
        <v>1</v>
      </c>
      <c r="I138" s="13" t="b">
        <v>1</v>
      </c>
      <c r="J138" s="10">
        <v>0</v>
      </c>
      <c r="K138" s="10">
        <v>136</v>
      </c>
      <c r="L138" s="10">
        <v>91</v>
      </c>
      <c r="M138" s="10">
        <v>0</v>
      </c>
      <c r="N138" s="10">
        <v>4445</v>
      </c>
      <c r="O138" s="10">
        <v>0</v>
      </c>
      <c r="P138" s="10">
        <v>193</v>
      </c>
      <c r="Q138" s="10">
        <v>104</v>
      </c>
      <c r="R138" s="10">
        <v>0</v>
      </c>
      <c r="S138" s="10">
        <v>2150</v>
      </c>
      <c r="T138" s="14" t="b">
        <v>0</v>
      </c>
      <c r="U138" s="14" t="b">
        <v>0</v>
      </c>
      <c r="V138" s="14" t="b">
        <v>0</v>
      </c>
      <c r="W138" s="14" t="b">
        <v>0</v>
      </c>
      <c r="X138" s="14" t="b">
        <v>0</v>
      </c>
      <c r="Y138" s="55">
        <v>0</v>
      </c>
      <c r="Z138" s="55">
        <v>1.42</v>
      </c>
      <c r="AA138" s="55">
        <v>1.1399999999999999</v>
      </c>
      <c r="AB138" s="55">
        <v>0</v>
      </c>
      <c r="AC138" s="55">
        <v>0.48</v>
      </c>
      <c r="AD138" s="55">
        <v>0</v>
      </c>
      <c r="AE138" s="55">
        <v>0.25</v>
      </c>
      <c r="AF138" s="55">
        <v>0.25</v>
      </c>
      <c r="AG138" s="55">
        <v>0</v>
      </c>
      <c r="AH138" s="55">
        <v>0.2</v>
      </c>
      <c r="AI13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1921.9013323544837</v>
      </c>
      <c r="AK13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1292.4935649430388</v>
      </c>
      <c r="AL13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8" s="102">
        <f>SUM(VIEW_IV_2019_REP_CALCULO[[#This Row],[Premio-BERINERT]:[Premio-PRIVIGEN]])</f>
        <v>3214.3948972975222</v>
      </c>
    </row>
    <row r="139" spans="1:40" hidden="1" x14ac:dyDescent="0.2">
      <c r="A139" s="7" t="s">
        <v>16</v>
      </c>
      <c r="B139" s="7" t="s">
        <v>372</v>
      </c>
      <c r="C139" s="7" t="s">
        <v>373</v>
      </c>
      <c r="D139" s="8" t="s">
        <v>169</v>
      </c>
      <c r="E139" s="8" t="s">
        <v>170</v>
      </c>
      <c r="F139" s="8" t="s">
        <v>557</v>
      </c>
      <c r="G139" s="8" t="s">
        <v>212</v>
      </c>
      <c r="H139" s="13" t="b">
        <v>1</v>
      </c>
      <c r="I139" s="13" t="b">
        <v>1</v>
      </c>
      <c r="J139" s="10">
        <v>0</v>
      </c>
      <c r="K139" s="10">
        <v>170</v>
      </c>
      <c r="L139" s="10">
        <v>52</v>
      </c>
      <c r="M139" s="10">
        <v>0</v>
      </c>
      <c r="N139" s="10">
        <v>2540</v>
      </c>
      <c r="O139" s="10">
        <v>0</v>
      </c>
      <c r="P139" s="10">
        <v>139</v>
      </c>
      <c r="Q139" s="10">
        <v>8</v>
      </c>
      <c r="R139" s="10">
        <v>0</v>
      </c>
      <c r="S139" s="10">
        <v>985</v>
      </c>
      <c r="T139" s="14" t="b">
        <v>0</v>
      </c>
      <c r="U139" s="14" t="b">
        <v>0</v>
      </c>
      <c r="V139" s="14" t="b">
        <v>0</v>
      </c>
      <c r="W139" s="14" t="b">
        <v>0</v>
      </c>
      <c r="X139" s="14" t="b">
        <v>0</v>
      </c>
      <c r="Y139" s="55">
        <v>0</v>
      </c>
      <c r="Z139" s="55">
        <v>0.82</v>
      </c>
      <c r="AA139" s="55">
        <v>0.15</v>
      </c>
      <c r="AB139" s="55">
        <v>0</v>
      </c>
      <c r="AC139" s="55">
        <v>0.39</v>
      </c>
      <c r="AD139" s="55">
        <v>0</v>
      </c>
      <c r="AE139" s="55">
        <v>0.25</v>
      </c>
      <c r="AF139" s="55">
        <v>0.25</v>
      </c>
      <c r="AG139" s="55">
        <v>0</v>
      </c>
      <c r="AH139" s="55">
        <v>0.2</v>
      </c>
      <c r="AI13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3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369.5929429673908</v>
      </c>
      <c r="AK13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3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3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39" s="102">
        <f>SUM(VIEW_IV_2019_REP_CALCULO[[#This Row],[Premio-BERINERT]:[Premio-PRIVIGEN]])</f>
        <v>369.5929429673908</v>
      </c>
    </row>
    <row r="140" spans="1:40" hidden="1" x14ac:dyDescent="0.2">
      <c r="A140" s="7" t="s">
        <v>16</v>
      </c>
      <c r="B140" s="7" t="s">
        <v>372</v>
      </c>
      <c r="C140" s="7" t="s">
        <v>373</v>
      </c>
      <c r="D140" s="8" t="s">
        <v>173</v>
      </c>
      <c r="E140" s="8" t="s">
        <v>174</v>
      </c>
      <c r="F140" s="8" t="s">
        <v>557</v>
      </c>
      <c r="G140" s="8" t="s">
        <v>206</v>
      </c>
      <c r="H140" s="13" t="b">
        <v>1</v>
      </c>
      <c r="I140" s="13" t="b">
        <v>1</v>
      </c>
      <c r="J140" s="10">
        <v>0</v>
      </c>
      <c r="K140" s="10">
        <v>102</v>
      </c>
      <c r="L140" s="10">
        <v>78</v>
      </c>
      <c r="M140" s="10">
        <v>0</v>
      </c>
      <c r="N140" s="10">
        <v>3810</v>
      </c>
      <c r="O140" s="10">
        <v>0</v>
      </c>
      <c r="P140" s="10">
        <v>182</v>
      </c>
      <c r="Q140" s="10">
        <v>181</v>
      </c>
      <c r="R140" s="10">
        <v>0</v>
      </c>
      <c r="S140" s="10">
        <v>2515</v>
      </c>
      <c r="T140" s="14" t="b">
        <v>0</v>
      </c>
      <c r="U140" s="14" t="b">
        <v>0</v>
      </c>
      <c r="V140" s="14" t="b">
        <v>0</v>
      </c>
      <c r="W140" s="14" t="b">
        <v>0</v>
      </c>
      <c r="X140" s="14" t="b">
        <v>0</v>
      </c>
      <c r="Y140" s="55">
        <v>0</v>
      </c>
      <c r="Z140" s="55">
        <v>1.78</v>
      </c>
      <c r="AA140" s="55">
        <v>2.3199999999999998</v>
      </c>
      <c r="AB140" s="55">
        <v>0</v>
      </c>
      <c r="AC140" s="55">
        <v>0.66</v>
      </c>
      <c r="AD140" s="55">
        <v>0</v>
      </c>
      <c r="AE140" s="55">
        <v>0.25</v>
      </c>
      <c r="AF140" s="55">
        <v>0.25</v>
      </c>
      <c r="AG140" s="55">
        <v>0</v>
      </c>
      <c r="AH140" s="55">
        <v>0.2</v>
      </c>
      <c r="AI14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4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4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0" s="102">
        <f>SUM(VIEW_IV_2019_REP_CALCULO[[#This Row],[Premio-BERINERT]:[Premio-PRIVIGEN]])</f>
        <v>4074.5368346649057</v>
      </c>
    </row>
    <row r="141" spans="1:40" hidden="1" x14ac:dyDescent="0.2">
      <c r="A141" s="7" t="s">
        <v>16</v>
      </c>
      <c r="B141" s="7" t="s">
        <v>372</v>
      </c>
      <c r="C141" s="7" t="s">
        <v>373</v>
      </c>
      <c r="D141" s="8" t="s">
        <v>177</v>
      </c>
      <c r="E141" s="8" t="s">
        <v>178</v>
      </c>
      <c r="F141" s="8" t="s">
        <v>557</v>
      </c>
      <c r="G141" s="8" t="s">
        <v>208</v>
      </c>
      <c r="H141" s="13" t="b">
        <v>1</v>
      </c>
      <c r="I141" s="13" t="b">
        <v>1</v>
      </c>
      <c r="J141" s="10">
        <v>0</v>
      </c>
      <c r="K141" s="10">
        <v>119</v>
      </c>
      <c r="L141" s="10">
        <v>130</v>
      </c>
      <c r="M141" s="10">
        <v>0</v>
      </c>
      <c r="N141" s="10">
        <v>5080</v>
      </c>
      <c r="O141" s="10">
        <v>0</v>
      </c>
      <c r="P141" s="10">
        <v>222</v>
      </c>
      <c r="Q141" s="10">
        <v>224</v>
      </c>
      <c r="R141" s="10">
        <v>0</v>
      </c>
      <c r="S141" s="10">
        <v>4010</v>
      </c>
      <c r="T141" s="14" t="b">
        <v>0</v>
      </c>
      <c r="U141" s="14" t="b">
        <v>0</v>
      </c>
      <c r="V141" s="14" t="b">
        <v>0</v>
      </c>
      <c r="W141" s="14" t="b">
        <v>0</v>
      </c>
      <c r="X141" s="14" t="b">
        <v>0</v>
      </c>
      <c r="Y141" s="55">
        <v>0</v>
      </c>
      <c r="Z141" s="55">
        <v>1.87</v>
      </c>
      <c r="AA141" s="55">
        <v>1.72</v>
      </c>
      <c r="AB141" s="55">
        <v>0</v>
      </c>
      <c r="AC141" s="55">
        <v>0.79</v>
      </c>
      <c r="AD141" s="55">
        <v>0</v>
      </c>
      <c r="AE141" s="55">
        <v>0.25</v>
      </c>
      <c r="AF141" s="55">
        <v>0.25</v>
      </c>
      <c r="AG141" s="55">
        <v>0</v>
      </c>
      <c r="AH141" s="55">
        <v>0.2</v>
      </c>
      <c r="AI14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4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2037.2684173324528</v>
      </c>
      <c r="AL14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1" s="102">
        <f>SUM(VIEW_IV_2019_REP_CALCULO[[#This Row],[Premio-BERINERT]:[Premio-PRIVIGEN]])</f>
        <v>4074.5368346649057</v>
      </c>
    </row>
    <row r="142" spans="1:40" hidden="1" x14ac:dyDescent="0.2">
      <c r="A142" s="7" t="s">
        <v>16</v>
      </c>
      <c r="B142" s="7" t="s">
        <v>372</v>
      </c>
      <c r="C142" s="7" t="s">
        <v>373</v>
      </c>
      <c r="D142" s="8" t="s">
        <v>181</v>
      </c>
      <c r="E142" s="8" t="s">
        <v>182</v>
      </c>
      <c r="F142" s="8" t="s">
        <v>557</v>
      </c>
      <c r="G142" s="8" t="s">
        <v>206</v>
      </c>
      <c r="H142" s="13" t="b">
        <v>1</v>
      </c>
      <c r="I142" s="13" t="b">
        <v>1</v>
      </c>
      <c r="J142" s="10">
        <v>0</v>
      </c>
      <c r="K142" s="10">
        <v>187</v>
      </c>
      <c r="L142" s="10">
        <v>156</v>
      </c>
      <c r="M142" s="10">
        <v>0</v>
      </c>
      <c r="N142" s="10">
        <v>5715</v>
      </c>
      <c r="O142" s="10">
        <v>0</v>
      </c>
      <c r="P142" s="10">
        <v>287</v>
      </c>
      <c r="Q142" s="10">
        <v>129</v>
      </c>
      <c r="R142" s="10">
        <v>0</v>
      </c>
      <c r="S142" s="10">
        <v>4125</v>
      </c>
      <c r="T142" s="14" t="b">
        <v>0</v>
      </c>
      <c r="U142" s="14" t="b">
        <v>0</v>
      </c>
      <c r="V142" s="14" t="b">
        <v>0</v>
      </c>
      <c r="W142" s="14" t="b">
        <v>0</v>
      </c>
      <c r="X142" s="14" t="b">
        <v>0</v>
      </c>
      <c r="Y142" s="55">
        <v>0</v>
      </c>
      <c r="Z142" s="55">
        <v>1.53</v>
      </c>
      <c r="AA142" s="55">
        <v>0.83</v>
      </c>
      <c r="AB142" s="55">
        <v>0</v>
      </c>
      <c r="AC142" s="55">
        <v>0.72</v>
      </c>
      <c r="AD142" s="55">
        <v>0</v>
      </c>
      <c r="AE142" s="55">
        <v>0.25</v>
      </c>
      <c r="AF142" s="55">
        <v>0.25</v>
      </c>
      <c r="AG142" s="55">
        <v>0</v>
      </c>
      <c r="AH142" s="55">
        <v>0.2</v>
      </c>
      <c r="AI14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2037.2684173324528</v>
      </c>
      <c r="AK14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374.10017397918836</v>
      </c>
      <c r="AL14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2" s="102">
        <f>SUM(VIEW_IV_2019_REP_CALCULO[[#This Row],[Premio-BERINERT]:[Premio-PRIVIGEN]])</f>
        <v>2411.368591311641</v>
      </c>
    </row>
    <row r="143" spans="1:40" hidden="1" x14ac:dyDescent="0.2">
      <c r="A143" s="7" t="s">
        <v>16</v>
      </c>
      <c r="B143" s="7" t="s">
        <v>372</v>
      </c>
      <c r="C143" s="7" t="s">
        <v>373</v>
      </c>
      <c r="D143" s="8" t="s">
        <v>183</v>
      </c>
      <c r="E143" s="8" t="s">
        <v>184</v>
      </c>
      <c r="F143" s="8" t="s">
        <v>557</v>
      </c>
      <c r="G143" s="8" t="s">
        <v>208</v>
      </c>
      <c r="H143" s="13" t="b">
        <v>1</v>
      </c>
      <c r="I143" s="13" t="b">
        <v>1</v>
      </c>
      <c r="J143" s="10">
        <v>0</v>
      </c>
      <c r="K143" s="10">
        <v>153</v>
      </c>
      <c r="L143" s="10">
        <v>91</v>
      </c>
      <c r="M143" s="10">
        <v>0</v>
      </c>
      <c r="N143" s="10">
        <v>6985</v>
      </c>
      <c r="O143" s="10">
        <v>0</v>
      </c>
      <c r="P143" s="10">
        <v>63</v>
      </c>
      <c r="Q143" s="10">
        <v>23</v>
      </c>
      <c r="R143" s="10">
        <v>0</v>
      </c>
      <c r="S143" s="10">
        <v>8275</v>
      </c>
      <c r="T143" s="14" t="b">
        <v>0</v>
      </c>
      <c r="U143" s="14" t="b">
        <v>0</v>
      </c>
      <c r="V143" s="14" t="b">
        <v>0</v>
      </c>
      <c r="W143" s="14" t="b">
        <v>0</v>
      </c>
      <c r="X143" s="14" t="b">
        <v>0</v>
      </c>
      <c r="Y143" s="55">
        <v>0</v>
      </c>
      <c r="Z143" s="55">
        <v>0.41</v>
      </c>
      <c r="AA143" s="55">
        <v>0.25</v>
      </c>
      <c r="AB143" s="55">
        <v>0</v>
      </c>
      <c r="AC143" s="55">
        <v>1.18</v>
      </c>
      <c r="AD143" s="55">
        <v>0</v>
      </c>
      <c r="AE143" s="55">
        <v>0.25</v>
      </c>
      <c r="AF143" s="55">
        <v>0.25</v>
      </c>
      <c r="AG143" s="55">
        <v>0</v>
      </c>
      <c r="AH143" s="55">
        <v>0.2</v>
      </c>
      <c r="AI14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1067.7449977707699</v>
      </c>
      <c r="AN143" s="102">
        <f>SUM(VIEW_IV_2019_REP_CALCULO[[#This Row],[Premio-BERINERT]:[Premio-PRIVIGEN]])</f>
        <v>1067.7449977707699</v>
      </c>
    </row>
    <row r="144" spans="1:40" hidden="1" x14ac:dyDescent="0.2">
      <c r="A144" s="7" t="s">
        <v>16</v>
      </c>
      <c r="B144" s="7" t="s">
        <v>372</v>
      </c>
      <c r="C144" s="7" t="s">
        <v>373</v>
      </c>
      <c r="D144" s="8" t="s">
        <v>159</v>
      </c>
      <c r="E144" s="8" t="s">
        <v>160</v>
      </c>
      <c r="F144" s="8" t="s">
        <v>740</v>
      </c>
      <c r="G144" s="8" t="s">
        <v>206</v>
      </c>
      <c r="H144" s="13" t="b">
        <v>1</v>
      </c>
      <c r="I144" s="13" t="b">
        <v>1</v>
      </c>
      <c r="J144" s="10">
        <v>2</v>
      </c>
      <c r="K144" s="10">
        <v>68</v>
      </c>
      <c r="L144" s="10">
        <v>52</v>
      </c>
      <c r="M144" s="10">
        <v>285</v>
      </c>
      <c r="N144" s="10">
        <v>5715</v>
      </c>
      <c r="O144" s="10">
        <v>0</v>
      </c>
      <c r="P144" s="10">
        <v>0</v>
      </c>
      <c r="Q144" s="10">
        <v>21</v>
      </c>
      <c r="R144" s="10">
        <v>60</v>
      </c>
      <c r="S144" s="10">
        <v>5418</v>
      </c>
      <c r="T144" s="14" t="b">
        <v>0</v>
      </c>
      <c r="U144" s="14" t="b">
        <v>0</v>
      </c>
      <c r="V144" s="14" t="b">
        <v>0</v>
      </c>
      <c r="W144" s="14" t="b">
        <v>0</v>
      </c>
      <c r="X144" s="14" t="b">
        <v>0</v>
      </c>
      <c r="Y144" s="55">
        <v>0</v>
      </c>
      <c r="Z144" s="55">
        <v>0</v>
      </c>
      <c r="AA144" s="55">
        <v>0.4</v>
      </c>
      <c r="AB144" s="55">
        <v>0.21</v>
      </c>
      <c r="AC144" s="55">
        <v>0.95</v>
      </c>
      <c r="AD144" s="55">
        <v>0.05</v>
      </c>
      <c r="AE144" s="55">
        <v>0.15</v>
      </c>
      <c r="AF144" s="55">
        <v>0.15</v>
      </c>
      <c r="AG144" s="55">
        <v>0.2</v>
      </c>
      <c r="AH144" s="55">
        <v>0.15</v>
      </c>
      <c r="AI14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385.36825150868225</v>
      </c>
      <c r="AN144" s="102">
        <f>SUM(VIEW_IV_2019_REP_CALCULO[[#This Row],[Premio-BERINERT]:[Premio-PRIVIGEN]])</f>
        <v>385.36825150868225</v>
      </c>
    </row>
    <row r="145" spans="1:40" hidden="1" x14ac:dyDescent="0.2">
      <c r="A145" s="7" t="s">
        <v>16</v>
      </c>
      <c r="B145" s="7" t="s">
        <v>372</v>
      </c>
      <c r="C145" s="7" t="s">
        <v>373</v>
      </c>
      <c r="D145" s="8" t="s">
        <v>201</v>
      </c>
      <c r="E145" s="8" t="s">
        <v>202</v>
      </c>
      <c r="F145" s="8" t="s">
        <v>740</v>
      </c>
      <c r="G145" s="8" t="s">
        <v>212</v>
      </c>
      <c r="H145" s="13" t="b">
        <v>1</v>
      </c>
      <c r="I145" s="13" t="b">
        <v>1</v>
      </c>
      <c r="J145" s="10">
        <v>8</v>
      </c>
      <c r="K145" s="10">
        <v>34</v>
      </c>
      <c r="L145" s="10">
        <v>13</v>
      </c>
      <c r="M145" s="10">
        <v>456</v>
      </c>
      <c r="N145" s="10">
        <v>4445</v>
      </c>
      <c r="O145" s="10">
        <v>0</v>
      </c>
      <c r="P145" s="10">
        <v>3</v>
      </c>
      <c r="Q145" s="10">
        <v>3</v>
      </c>
      <c r="R145" s="10">
        <v>248</v>
      </c>
      <c r="S145" s="10">
        <v>5855</v>
      </c>
      <c r="T145" s="14" t="b">
        <v>0</v>
      </c>
      <c r="U145" s="14" t="b">
        <v>0</v>
      </c>
      <c r="V145" s="14" t="b">
        <v>0</v>
      </c>
      <c r="W145" s="14" t="b">
        <v>0</v>
      </c>
      <c r="X145" s="14" t="b">
        <v>0</v>
      </c>
      <c r="Y145" s="55">
        <v>0</v>
      </c>
      <c r="Z145" s="55">
        <v>0.09</v>
      </c>
      <c r="AA145" s="55">
        <v>0.23</v>
      </c>
      <c r="AB145" s="55">
        <v>0.54</v>
      </c>
      <c r="AC145" s="55">
        <v>1.32</v>
      </c>
      <c r="AD145" s="55">
        <v>0.05</v>
      </c>
      <c r="AE145" s="55">
        <v>0.15</v>
      </c>
      <c r="AF145" s="55">
        <v>0.15</v>
      </c>
      <c r="AG145" s="55">
        <v>0.2</v>
      </c>
      <c r="AH145" s="55">
        <v>0.15</v>
      </c>
      <c r="AI14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1069.3171199476863</v>
      </c>
      <c r="AN145" s="102">
        <f>SUM(VIEW_IV_2019_REP_CALCULO[[#This Row],[Premio-BERINERT]:[Premio-PRIVIGEN]])</f>
        <v>1069.3171199476863</v>
      </c>
    </row>
    <row r="146" spans="1:40" hidden="1" x14ac:dyDescent="0.2">
      <c r="A146" s="7" t="s">
        <v>16</v>
      </c>
      <c r="B146" s="7" t="s">
        <v>374</v>
      </c>
      <c r="C146" s="7" t="s">
        <v>373</v>
      </c>
      <c r="D146" s="8" t="s">
        <v>151</v>
      </c>
      <c r="E146" s="8" t="s">
        <v>152</v>
      </c>
      <c r="F146" s="8" t="s">
        <v>556</v>
      </c>
      <c r="G146" s="8" t="s">
        <v>208</v>
      </c>
      <c r="H146" s="13" t="b">
        <v>1</v>
      </c>
      <c r="I146" s="13" t="b">
        <v>1</v>
      </c>
      <c r="J146" s="10">
        <v>12</v>
      </c>
      <c r="K146" s="10">
        <v>0</v>
      </c>
      <c r="L146" s="10">
        <v>0</v>
      </c>
      <c r="M146" s="10">
        <v>969</v>
      </c>
      <c r="N146" s="10">
        <v>8255</v>
      </c>
      <c r="O146" s="10"/>
      <c r="P146" s="10"/>
      <c r="Q146" s="10"/>
      <c r="R146" s="10"/>
      <c r="S146" s="10"/>
      <c r="T146" s="14" t="b">
        <v>0</v>
      </c>
      <c r="U146" s="14" t="b">
        <v>0</v>
      </c>
      <c r="V146" s="14" t="b">
        <v>0</v>
      </c>
      <c r="W146" s="14" t="b">
        <v>0</v>
      </c>
      <c r="X146" s="14" t="b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0.1</v>
      </c>
      <c r="AE146" s="55">
        <v>0</v>
      </c>
      <c r="AF146" s="55">
        <v>0</v>
      </c>
      <c r="AG146" s="55">
        <v>0.4</v>
      </c>
      <c r="AH146" s="55">
        <v>0.2</v>
      </c>
      <c r="AI14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6" s="102">
        <f>SUM(VIEW_IV_2019_REP_CALCULO[[#This Row],[Premio-BERINERT]:[Premio-PRIVIGEN]])</f>
        <v>0</v>
      </c>
    </row>
    <row r="147" spans="1:40" hidden="1" x14ac:dyDescent="0.2">
      <c r="A147" s="7" t="s">
        <v>16</v>
      </c>
      <c r="B147" s="7" t="s">
        <v>374</v>
      </c>
      <c r="C147" s="7" t="s">
        <v>373</v>
      </c>
      <c r="D147" s="8" t="s">
        <v>1355</v>
      </c>
      <c r="E147" s="8" t="s">
        <v>1356</v>
      </c>
      <c r="F147" s="8" t="s">
        <v>556</v>
      </c>
      <c r="G147" s="8" t="s">
        <v>208</v>
      </c>
      <c r="H147" s="13" t="b">
        <v>1</v>
      </c>
      <c r="I147" s="13" t="b">
        <v>1</v>
      </c>
      <c r="J147" s="10">
        <v>12</v>
      </c>
      <c r="K147" s="10">
        <v>0</v>
      </c>
      <c r="L147" s="10">
        <v>0</v>
      </c>
      <c r="M147" s="10">
        <v>684</v>
      </c>
      <c r="N147" s="10">
        <v>5080</v>
      </c>
      <c r="O147" s="10"/>
      <c r="P147" s="10"/>
      <c r="Q147" s="10"/>
      <c r="R147" s="10"/>
      <c r="S147" s="10"/>
      <c r="T147" s="14" t="b">
        <v>0</v>
      </c>
      <c r="U147" s="14" t="b">
        <v>0</v>
      </c>
      <c r="V147" s="14" t="b">
        <v>0</v>
      </c>
      <c r="W147" s="14" t="b">
        <v>0</v>
      </c>
      <c r="X147" s="14" t="b">
        <v>0</v>
      </c>
      <c r="Y147" s="55">
        <v>0</v>
      </c>
      <c r="Z147" s="55">
        <v>0</v>
      </c>
      <c r="AA147" s="55">
        <v>0</v>
      </c>
      <c r="AB147" s="55">
        <v>0</v>
      </c>
      <c r="AC147" s="55">
        <v>0</v>
      </c>
      <c r="AD147" s="55">
        <v>0.1</v>
      </c>
      <c r="AE147" s="55">
        <v>0</v>
      </c>
      <c r="AF147" s="55">
        <v>0</v>
      </c>
      <c r="AG147" s="55">
        <v>0.4</v>
      </c>
      <c r="AH147" s="55">
        <v>0.2</v>
      </c>
      <c r="AI14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7" s="102">
        <f>SUM(VIEW_IV_2019_REP_CALCULO[[#This Row],[Premio-BERINERT]:[Premio-PRIVIGEN]])</f>
        <v>0</v>
      </c>
    </row>
    <row r="148" spans="1:40" hidden="1" x14ac:dyDescent="0.2">
      <c r="A148" s="7" t="s">
        <v>16</v>
      </c>
      <c r="B148" s="7" t="s">
        <v>374</v>
      </c>
      <c r="C148" s="7" t="s">
        <v>373</v>
      </c>
      <c r="D148" s="8" t="s">
        <v>155</v>
      </c>
      <c r="E148" s="8" t="s">
        <v>156</v>
      </c>
      <c r="F148" s="8" t="s">
        <v>556</v>
      </c>
      <c r="G148" s="8" t="s">
        <v>206</v>
      </c>
      <c r="H148" s="13" t="b">
        <v>1</v>
      </c>
      <c r="I148" s="13" t="b">
        <v>1</v>
      </c>
      <c r="J148" s="10">
        <v>8</v>
      </c>
      <c r="K148" s="10">
        <v>0</v>
      </c>
      <c r="L148" s="10">
        <v>0</v>
      </c>
      <c r="M148" s="10">
        <v>1197</v>
      </c>
      <c r="N148" s="10">
        <v>7620</v>
      </c>
      <c r="O148" s="10"/>
      <c r="P148" s="10"/>
      <c r="Q148" s="10"/>
      <c r="R148" s="10"/>
      <c r="S148" s="10"/>
      <c r="T148" s="14" t="b">
        <v>0</v>
      </c>
      <c r="U148" s="14" t="b">
        <v>0</v>
      </c>
      <c r="V148" s="14" t="b">
        <v>0</v>
      </c>
      <c r="W148" s="14" t="b">
        <v>0</v>
      </c>
      <c r="X148" s="14" t="b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0.1</v>
      </c>
      <c r="AE148" s="55">
        <v>0</v>
      </c>
      <c r="AF148" s="55">
        <v>0</v>
      </c>
      <c r="AG148" s="55">
        <v>0.4</v>
      </c>
      <c r="AH148" s="55">
        <v>0.2</v>
      </c>
      <c r="AI14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8" s="102">
        <f>SUM(VIEW_IV_2019_REP_CALCULO[[#This Row],[Premio-BERINERT]:[Premio-PRIVIGEN]])</f>
        <v>0</v>
      </c>
    </row>
    <row r="149" spans="1:40" hidden="1" x14ac:dyDescent="0.2">
      <c r="A149" s="7" t="s">
        <v>16</v>
      </c>
      <c r="B149" s="7" t="s">
        <v>374</v>
      </c>
      <c r="C149" s="7" t="s">
        <v>373</v>
      </c>
      <c r="D149" s="8" t="s">
        <v>161</v>
      </c>
      <c r="E149" s="8" t="s">
        <v>162</v>
      </c>
      <c r="F149" s="8" t="s">
        <v>556</v>
      </c>
      <c r="G149" s="8" t="s">
        <v>208</v>
      </c>
      <c r="H149" s="13" t="b">
        <v>1</v>
      </c>
      <c r="I149" s="13" t="b">
        <v>1</v>
      </c>
      <c r="J149" s="10">
        <v>12</v>
      </c>
      <c r="K149" s="10">
        <v>0</v>
      </c>
      <c r="L149" s="10">
        <v>0</v>
      </c>
      <c r="M149" s="10">
        <v>684</v>
      </c>
      <c r="N149" s="10">
        <v>8890</v>
      </c>
      <c r="O149" s="10"/>
      <c r="P149" s="10"/>
      <c r="Q149" s="10"/>
      <c r="R149" s="10"/>
      <c r="S149" s="10"/>
      <c r="T149" s="14" t="b">
        <v>0</v>
      </c>
      <c r="U149" s="14" t="b">
        <v>0</v>
      </c>
      <c r="V149" s="14" t="b">
        <v>0</v>
      </c>
      <c r="W149" s="14" t="b">
        <v>0</v>
      </c>
      <c r="X149" s="14" t="b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0.1</v>
      </c>
      <c r="AE149" s="55">
        <v>0</v>
      </c>
      <c r="AF149" s="55">
        <v>0</v>
      </c>
      <c r="AG149" s="55">
        <v>0.4</v>
      </c>
      <c r="AH149" s="55">
        <v>0.2</v>
      </c>
      <c r="AI14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4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4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4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4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49" s="102">
        <f>SUM(VIEW_IV_2019_REP_CALCULO[[#This Row],[Premio-BERINERT]:[Premio-PRIVIGEN]])</f>
        <v>0</v>
      </c>
    </row>
    <row r="150" spans="1:40" hidden="1" x14ac:dyDescent="0.2">
      <c r="A150" s="7" t="s">
        <v>16</v>
      </c>
      <c r="B150" s="7" t="s">
        <v>374</v>
      </c>
      <c r="C150" s="7" t="s">
        <v>373</v>
      </c>
      <c r="D150" s="8" t="s">
        <v>175</v>
      </c>
      <c r="E150" s="8" t="s">
        <v>176</v>
      </c>
      <c r="F150" s="8" t="s">
        <v>556</v>
      </c>
      <c r="G150" s="8" t="s">
        <v>206</v>
      </c>
      <c r="H150" s="13" t="b">
        <v>1</v>
      </c>
      <c r="I150" s="13" t="b">
        <v>1</v>
      </c>
      <c r="J150" s="10">
        <v>30</v>
      </c>
      <c r="K150" s="10">
        <v>0</v>
      </c>
      <c r="L150" s="10">
        <v>0</v>
      </c>
      <c r="M150" s="10">
        <v>741</v>
      </c>
      <c r="N150" s="10">
        <v>13970</v>
      </c>
      <c r="O150" s="10"/>
      <c r="P150" s="10"/>
      <c r="Q150" s="10"/>
      <c r="R150" s="10"/>
      <c r="S150" s="10"/>
      <c r="T150" s="14" t="b">
        <v>0</v>
      </c>
      <c r="U150" s="14" t="b">
        <v>0</v>
      </c>
      <c r="V150" s="14" t="b">
        <v>0</v>
      </c>
      <c r="W150" s="14" t="b">
        <v>0</v>
      </c>
      <c r="X150" s="14" t="b">
        <v>0</v>
      </c>
      <c r="Y150" s="55">
        <v>0</v>
      </c>
      <c r="Z150" s="55">
        <v>0</v>
      </c>
      <c r="AA150" s="55">
        <v>0</v>
      </c>
      <c r="AB150" s="55">
        <v>0</v>
      </c>
      <c r="AC150" s="55">
        <v>0</v>
      </c>
      <c r="AD150" s="55">
        <v>0.1</v>
      </c>
      <c r="AE150" s="55">
        <v>0</v>
      </c>
      <c r="AF150" s="55">
        <v>0</v>
      </c>
      <c r="AG150" s="55">
        <v>0.4</v>
      </c>
      <c r="AH150" s="55">
        <v>0.2</v>
      </c>
      <c r="AI15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0" s="102">
        <f>SUM(VIEW_IV_2019_REP_CALCULO[[#This Row],[Premio-BERINERT]:[Premio-PRIVIGEN]])</f>
        <v>0</v>
      </c>
    </row>
    <row r="151" spans="1:40" hidden="1" x14ac:dyDescent="0.2">
      <c r="A151" s="7" t="s">
        <v>16</v>
      </c>
      <c r="B151" s="7" t="s">
        <v>374</v>
      </c>
      <c r="C151" s="7" t="s">
        <v>373</v>
      </c>
      <c r="D151" s="8" t="s">
        <v>199</v>
      </c>
      <c r="E151" s="8" t="s">
        <v>200</v>
      </c>
      <c r="F151" s="8" t="s">
        <v>556</v>
      </c>
      <c r="G151" s="8" t="s">
        <v>212</v>
      </c>
      <c r="H151" s="13" t="b">
        <v>1</v>
      </c>
      <c r="I151" s="13" t="b">
        <v>1</v>
      </c>
      <c r="J151" s="10">
        <v>30</v>
      </c>
      <c r="K151" s="10">
        <v>0</v>
      </c>
      <c r="L151" s="10">
        <v>0</v>
      </c>
      <c r="M151" s="10">
        <v>684</v>
      </c>
      <c r="N151" s="10">
        <v>9525</v>
      </c>
      <c r="O151" s="10"/>
      <c r="P151" s="10"/>
      <c r="Q151" s="10"/>
      <c r="R151" s="10"/>
      <c r="S151" s="10"/>
      <c r="T151" s="14" t="b">
        <v>0</v>
      </c>
      <c r="U151" s="14" t="b">
        <v>0</v>
      </c>
      <c r="V151" s="14" t="b">
        <v>0</v>
      </c>
      <c r="W151" s="14" t="b">
        <v>0</v>
      </c>
      <c r="X151" s="14" t="b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0.1</v>
      </c>
      <c r="AE151" s="55">
        <v>0</v>
      </c>
      <c r="AF151" s="55">
        <v>0</v>
      </c>
      <c r="AG151" s="55">
        <v>0.4</v>
      </c>
      <c r="AH151" s="55">
        <v>0.2</v>
      </c>
      <c r="AI15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1" s="102">
        <f>SUM(VIEW_IV_2019_REP_CALCULO[[#This Row],[Premio-BERINERT]:[Premio-PRIVIGEN]])</f>
        <v>0</v>
      </c>
    </row>
    <row r="152" spans="1:40" hidden="1" x14ac:dyDescent="0.2">
      <c r="A152" s="7" t="s">
        <v>16</v>
      </c>
      <c r="B152" s="7" t="s">
        <v>374</v>
      </c>
      <c r="C152" s="7" t="s">
        <v>373</v>
      </c>
      <c r="D152" s="8" t="s">
        <v>144</v>
      </c>
      <c r="E152" s="8" t="s">
        <v>145</v>
      </c>
      <c r="F152" s="8" t="s">
        <v>557</v>
      </c>
      <c r="G152" s="8" t="s">
        <v>206</v>
      </c>
      <c r="H152" s="13" t="b">
        <v>1</v>
      </c>
      <c r="I152" s="13" t="b">
        <v>1</v>
      </c>
      <c r="J152" s="10">
        <v>0</v>
      </c>
      <c r="K152" s="10">
        <v>108</v>
      </c>
      <c r="L152" s="10">
        <v>150</v>
      </c>
      <c r="M152" s="10">
        <v>0</v>
      </c>
      <c r="N152" s="10">
        <v>3810</v>
      </c>
      <c r="O152" s="10"/>
      <c r="P152" s="10"/>
      <c r="Q152" s="10"/>
      <c r="R152" s="10"/>
      <c r="S152" s="10"/>
      <c r="T152" s="14" t="b">
        <v>0</v>
      </c>
      <c r="U152" s="14" t="b">
        <v>0</v>
      </c>
      <c r="V152" s="14" t="b">
        <v>0</v>
      </c>
      <c r="W152" s="14" t="b">
        <v>0</v>
      </c>
      <c r="X152" s="14" t="b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0.25</v>
      </c>
      <c r="AF152" s="55">
        <v>0.25</v>
      </c>
      <c r="AG152" s="55">
        <v>0</v>
      </c>
      <c r="AH152" s="55">
        <v>0.2</v>
      </c>
      <c r="AI15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2" s="102">
        <f>SUM(VIEW_IV_2019_REP_CALCULO[[#This Row],[Premio-BERINERT]:[Premio-PRIVIGEN]])</f>
        <v>0</v>
      </c>
    </row>
    <row r="153" spans="1:40" hidden="1" x14ac:dyDescent="0.2">
      <c r="A153" s="7" t="s">
        <v>16</v>
      </c>
      <c r="B153" s="7" t="s">
        <v>374</v>
      </c>
      <c r="C153" s="7" t="s">
        <v>373</v>
      </c>
      <c r="D153" s="8" t="s">
        <v>147</v>
      </c>
      <c r="E153" s="8" t="s">
        <v>148</v>
      </c>
      <c r="F153" s="8" t="s">
        <v>557</v>
      </c>
      <c r="G153" s="8" t="s">
        <v>208</v>
      </c>
      <c r="H153" s="13" t="b">
        <v>1</v>
      </c>
      <c r="I153" s="13" t="b">
        <v>1</v>
      </c>
      <c r="J153" s="10">
        <v>0</v>
      </c>
      <c r="K153" s="10">
        <v>126</v>
      </c>
      <c r="L153" s="10">
        <v>180</v>
      </c>
      <c r="M153" s="10">
        <v>0</v>
      </c>
      <c r="N153" s="10">
        <v>5080</v>
      </c>
      <c r="O153" s="10"/>
      <c r="P153" s="10"/>
      <c r="Q153" s="10"/>
      <c r="R153" s="10"/>
      <c r="S153" s="10"/>
      <c r="T153" s="14" t="b">
        <v>0</v>
      </c>
      <c r="U153" s="14" t="b">
        <v>0</v>
      </c>
      <c r="V153" s="14" t="b">
        <v>0</v>
      </c>
      <c r="W153" s="14" t="b">
        <v>0</v>
      </c>
      <c r="X153" s="14" t="b">
        <v>0</v>
      </c>
      <c r="Y153" s="55">
        <v>0</v>
      </c>
      <c r="Z153" s="55">
        <v>0</v>
      </c>
      <c r="AA153" s="55">
        <v>0</v>
      </c>
      <c r="AB153" s="55">
        <v>0</v>
      </c>
      <c r="AC153" s="55">
        <v>0</v>
      </c>
      <c r="AD153" s="55">
        <v>0</v>
      </c>
      <c r="AE153" s="55">
        <v>0.25</v>
      </c>
      <c r="AF153" s="55">
        <v>0.25</v>
      </c>
      <c r="AG153" s="55">
        <v>0</v>
      </c>
      <c r="AH153" s="55">
        <v>0.2</v>
      </c>
      <c r="AI15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3" s="102">
        <f>SUM(VIEW_IV_2019_REP_CALCULO[[#This Row],[Premio-BERINERT]:[Premio-PRIVIGEN]])</f>
        <v>0</v>
      </c>
    </row>
    <row r="154" spans="1:40" hidden="1" x14ac:dyDescent="0.2">
      <c r="A154" s="7" t="s">
        <v>16</v>
      </c>
      <c r="B154" s="7" t="s">
        <v>374</v>
      </c>
      <c r="C154" s="7" t="s">
        <v>373</v>
      </c>
      <c r="D154" s="8" t="s">
        <v>149</v>
      </c>
      <c r="E154" s="8" t="s">
        <v>150</v>
      </c>
      <c r="F154" s="8" t="s">
        <v>557</v>
      </c>
      <c r="G154" s="8" t="s">
        <v>208</v>
      </c>
      <c r="H154" s="13" t="b">
        <v>1</v>
      </c>
      <c r="I154" s="13" t="b">
        <v>1</v>
      </c>
      <c r="J154" s="10">
        <v>0</v>
      </c>
      <c r="K154" s="10">
        <v>108</v>
      </c>
      <c r="L154" s="10">
        <v>75</v>
      </c>
      <c r="M154" s="10">
        <v>0</v>
      </c>
      <c r="N154" s="10">
        <v>8890</v>
      </c>
      <c r="O154" s="10"/>
      <c r="P154" s="10"/>
      <c r="Q154" s="10"/>
      <c r="R154" s="10"/>
      <c r="S154" s="10"/>
      <c r="T154" s="14" t="b">
        <v>0</v>
      </c>
      <c r="U154" s="14" t="b">
        <v>0</v>
      </c>
      <c r="V154" s="14" t="b">
        <v>0</v>
      </c>
      <c r="W154" s="14" t="b">
        <v>0</v>
      </c>
      <c r="X154" s="14" t="b">
        <v>0</v>
      </c>
      <c r="Y154" s="55">
        <v>0</v>
      </c>
      <c r="Z154" s="55">
        <v>0</v>
      </c>
      <c r="AA154" s="55">
        <v>0</v>
      </c>
      <c r="AB154" s="55">
        <v>0</v>
      </c>
      <c r="AC154" s="55">
        <v>0</v>
      </c>
      <c r="AD154" s="55">
        <v>0</v>
      </c>
      <c r="AE154" s="55">
        <v>0.25</v>
      </c>
      <c r="AF154" s="55">
        <v>0.25</v>
      </c>
      <c r="AG154" s="55">
        <v>0</v>
      </c>
      <c r="AH154" s="55">
        <v>0.2</v>
      </c>
      <c r="AI15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4" s="102">
        <f>SUM(VIEW_IV_2019_REP_CALCULO[[#This Row],[Premio-BERINERT]:[Premio-PRIVIGEN]])</f>
        <v>0</v>
      </c>
    </row>
    <row r="155" spans="1:40" hidden="1" x14ac:dyDescent="0.2">
      <c r="A155" s="7" t="s">
        <v>16</v>
      </c>
      <c r="B155" s="7" t="s">
        <v>374</v>
      </c>
      <c r="C155" s="7" t="s">
        <v>373</v>
      </c>
      <c r="D155" s="8" t="s">
        <v>157</v>
      </c>
      <c r="E155" s="8" t="s">
        <v>158</v>
      </c>
      <c r="F155" s="8" t="s">
        <v>557</v>
      </c>
      <c r="G155" s="8" t="s">
        <v>206</v>
      </c>
      <c r="H155" s="13" t="b">
        <v>1</v>
      </c>
      <c r="I155" s="13" t="b">
        <v>1</v>
      </c>
      <c r="J155" s="10">
        <v>0</v>
      </c>
      <c r="K155" s="10">
        <v>72</v>
      </c>
      <c r="L155" s="10">
        <v>60</v>
      </c>
      <c r="M155" s="10">
        <v>0</v>
      </c>
      <c r="N155" s="10">
        <v>10160</v>
      </c>
      <c r="O155" s="10"/>
      <c r="P155" s="10"/>
      <c r="Q155" s="10"/>
      <c r="R155" s="10"/>
      <c r="S155" s="10"/>
      <c r="T155" s="14" t="b">
        <v>0</v>
      </c>
      <c r="U155" s="14" t="b">
        <v>0</v>
      </c>
      <c r="V155" s="14" t="b">
        <v>0</v>
      </c>
      <c r="W155" s="14" t="b">
        <v>0</v>
      </c>
      <c r="X155" s="14" t="b">
        <v>0</v>
      </c>
      <c r="Y155" s="55">
        <v>0</v>
      </c>
      <c r="Z155" s="55">
        <v>0</v>
      </c>
      <c r="AA155" s="55">
        <v>0</v>
      </c>
      <c r="AB155" s="55">
        <v>0</v>
      </c>
      <c r="AC155" s="55">
        <v>0</v>
      </c>
      <c r="AD155" s="55">
        <v>0</v>
      </c>
      <c r="AE155" s="55">
        <v>0.25</v>
      </c>
      <c r="AF155" s="55">
        <v>0.25</v>
      </c>
      <c r="AG155" s="55">
        <v>0</v>
      </c>
      <c r="AH155" s="55">
        <v>0.2</v>
      </c>
      <c r="AI15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5" s="102">
        <f>SUM(VIEW_IV_2019_REP_CALCULO[[#This Row],[Premio-BERINERT]:[Premio-PRIVIGEN]])</f>
        <v>0</v>
      </c>
    </row>
    <row r="156" spans="1:40" hidden="1" x14ac:dyDescent="0.2">
      <c r="A156" s="7" t="s">
        <v>16</v>
      </c>
      <c r="B156" s="7" t="s">
        <v>374</v>
      </c>
      <c r="C156" s="7" t="s">
        <v>373</v>
      </c>
      <c r="D156" s="8" t="s">
        <v>163</v>
      </c>
      <c r="E156" s="8" t="s">
        <v>164</v>
      </c>
      <c r="F156" s="8" t="s">
        <v>557</v>
      </c>
      <c r="G156" s="8" t="s">
        <v>212</v>
      </c>
      <c r="H156" s="13" t="b">
        <v>1</v>
      </c>
      <c r="I156" s="13" t="b">
        <v>1</v>
      </c>
      <c r="J156" s="10">
        <v>0</v>
      </c>
      <c r="K156" s="10">
        <v>198</v>
      </c>
      <c r="L156" s="10">
        <v>105</v>
      </c>
      <c r="M156" s="10">
        <v>0</v>
      </c>
      <c r="N156" s="10">
        <v>4445</v>
      </c>
      <c r="O156" s="10"/>
      <c r="P156" s="10"/>
      <c r="Q156" s="10"/>
      <c r="R156" s="10"/>
      <c r="S156" s="10"/>
      <c r="T156" s="14" t="b">
        <v>0</v>
      </c>
      <c r="U156" s="14" t="b">
        <v>0</v>
      </c>
      <c r="V156" s="14" t="b">
        <v>0</v>
      </c>
      <c r="W156" s="14" t="b">
        <v>0</v>
      </c>
      <c r="X156" s="14" t="b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0.25</v>
      </c>
      <c r="AF156" s="55">
        <v>0.25</v>
      </c>
      <c r="AG156" s="55">
        <v>0</v>
      </c>
      <c r="AH156" s="55">
        <v>0.2</v>
      </c>
      <c r="AI15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6" s="102">
        <f>SUM(VIEW_IV_2019_REP_CALCULO[[#This Row],[Premio-BERINERT]:[Premio-PRIVIGEN]])</f>
        <v>0</v>
      </c>
    </row>
    <row r="157" spans="1:40" hidden="1" x14ac:dyDescent="0.2">
      <c r="A157" s="7" t="s">
        <v>16</v>
      </c>
      <c r="B157" s="7" t="s">
        <v>374</v>
      </c>
      <c r="C157" s="7" t="s">
        <v>373</v>
      </c>
      <c r="D157" s="8" t="s">
        <v>165</v>
      </c>
      <c r="E157" s="8" t="s">
        <v>166</v>
      </c>
      <c r="F157" s="8" t="s">
        <v>557</v>
      </c>
      <c r="G157" s="8" t="s">
        <v>212</v>
      </c>
      <c r="H157" s="13" t="b">
        <v>1</v>
      </c>
      <c r="I157" s="13" t="b">
        <v>1</v>
      </c>
      <c r="J157" s="10">
        <v>0</v>
      </c>
      <c r="K157" s="10">
        <v>162</v>
      </c>
      <c r="L157" s="10">
        <v>165</v>
      </c>
      <c r="M157" s="10">
        <v>0</v>
      </c>
      <c r="N157" s="10">
        <v>2540</v>
      </c>
      <c r="O157" s="10"/>
      <c r="P157" s="10"/>
      <c r="Q157" s="10"/>
      <c r="R157" s="10"/>
      <c r="S157" s="10"/>
      <c r="T157" s="14" t="b">
        <v>0</v>
      </c>
      <c r="U157" s="14" t="b">
        <v>0</v>
      </c>
      <c r="V157" s="14" t="b">
        <v>0</v>
      </c>
      <c r="W157" s="14" t="b">
        <v>0</v>
      </c>
      <c r="X157" s="14" t="b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0.25</v>
      </c>
      <c r="AF157" s="55">
        <v>0.25</v>
      </c>
      <c r="AG157" s="55">
        <v>0</v>
      </c>
      <c r="AH157" s="55">
        <v>0.2</v>
      </c>
      <c r="AI15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7" s="102">
        <f>SUM(VIEW_IV_2019_REP_CALCULO[[#This Row],[Premio-BERINERT]:[Premio-PRIVIGEN]])</f>
        <v>0</v>
      </c>
    </row>
    <row r="158" spans="1:40" hidden="1" x14ac:dyDescent="0.2">
      <c r="A158" s="7" t="s">
        <v>16</v>
      </c>
      <c r="B158" s="7" t="s">
        <v>374</v>
      </c>
      <c r="C158" s="7" t="s">
        <v>373</v>
      </c>
      <c r="D158" s="8" t="s">
        <v>167</v>
      </c>
      <c r="E158" s="8" t="s">
        <v>168</v>
      </c>
      <c r="F158" s="8" t="s">
        <v>557</v>
      </c>
      <c r="G158" s="8" t="s">
        <v>212</v>
      </c>
      <c r="H158" s="13" t="b">
        <v>1</v>
      </c>
      <c r="I158" s="13" t="b">
        <v>1</v>
      </c>
      <c r="J158" s="10">
        <v>0</v>
      </c>
      <c r="K158" s="10">
        <v>144</v>
      </c>
      <c r="L158" s="10">
        <v>105</v>
      </c>
      <c r="M158" s="10">
        <v>0</v>
      </c>
      <c r="N158" s="10">
        <v>4445</v>
      </c>
      <c r="O158" s="10"/>
      <c r="P158" s="10"/>
      <c r="Q158" s="10"/>
      <c r="R158" s="10"/>
      <c r="S158" s="10"/>
      <c r="T158" s="14" t="b">
        <v>0</v>
      </c>
      <c r="U158" s="14" t="b">
        <v>0</v>
      </c>
      <c r="V158" s="14" t="b">
        <v>0</v>
      </c>
      <c r="W158" s="14" t="b">
        <v>0</v>
      </c>
      <c r="X158" s="14" t="b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0.25</v>
      </c>
      <c r="AF158" s="55">
        <v>0.25</v>
      </c>
      <c r="AG158" s="55">
        <v>0</v>
      </c>
      <c r="AH158" s="55">
        <v>0.2</v>
      </c>
      <c r="AI15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8" s="102">
        <f>SUM(VIEW_IV_2019_REP_CALCULO[[#This Row],[Premio-BERINERT]:[Premio-PRIVIGEN]])</f>
        <v>0</v>
      </c>
    </row>
    <row r="159" spans="1:40" hidden="1" x14ac:dyDescent="0.2">
      <c r="A159" s="7" t="s">
        <v>16</v>
      </c>
      <c r="B159" s="7" t="s">
        <v>374</v>
      </c>
      <c r="C159" s="7" t="s">
        <v>373</v>
      </c>
      <c r="D159" s="8" t="s">
        <v>169</v>
      </c>
      <c r="E159" s="8" t="s">
        <v>170</v>
      </c>
      <c r="F159" s="8" t="s">
        <v>557</v>
      </c>
      <c r="G159" s="8" t="s">
        <v>212</v>
      </c>
      <c r="H159" s="13" t="b">
        <v>1</v>
      </c>
      <c r="I159" s="13" t="b">
        <v>1</v>
      </c>
      <c r="J159" s="10">
        <v>0</v>
      </c>
      <c r="K159" s="10">
        <v>180</v>
      </c>
      <c r="L159" s="10">
        <v>60</v>
      </c>
      <c r="M159" s="10">
        <v>0</v>
      </c>
      <c r="N159" s="10">
        <v>2540</v>
      </c>
      <c r="O159" s="10"/>
      <c r="P159" s="10"/>
      <c r="Q159" s="10"/>
      <c r="R159" s="10"/>
      <c r="S159" s="10"/>
      <c r="T159" s="14" t="b">
        <v>0</v>
      </c>
      <c r="U159" s="14" t="b">
        <v>0</v>
      </c>
      <c r="V159" s="14" t="b">
        <v>0</v>
      </c>
      <c r="W159" s="14" t="b">
        <v>0</v>
      </c>
      <c r="X159" s="14" t="b">
        <v>0</v>
      </c>
      <c r="Y159" s="55">
        <v>0</v>
      </c>
      <c r="Z159" s="55">
        <v>0</v>
      </c>
      <c r="AA159" s="55">
        <v>0</v>
      </c>
      <c r="AB159" s="55">
        <v>0</v>
      </c>
      <c r="AC159" s="55">
        <v>0</v>
      </c>
      <c r="AD159" s="55">
        <v>0</v>
      </c>
      <c r="AE159" s="55">
        <v>0.25</v>
      </c>
      <c r="AF159" s="55">
        <v>0.25</v>
      </c>
      <c r="AG159" s="55">
        <v>0</v>
      </c>
      <c r="AH159" s="55">
        <v>0.2</v>
      </c>
      <c r="AI15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5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5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5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5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59" s="102">
        <f>SUM(VIEW_IV_2019_REP_CALCULO[[#This Row],[Premio-BERINERT]:[Premio-PRIVIGEN]])</f>
        <v>0</v>
      </c>
    </row>
    <row r="160" spans="1:40" hidden="1" x14ac:dyDescent="0.2">
      <c r="A160" s="7" t="s">
        <v>16</v>
      </c>
      <c r="B160" s="7" t="s">
        <v>374</v>
      </c>
      <c r="C160" s="7" t="s">
        <v>373</v>
      </c>
      <c r="D160" s="8" t="s">
        <v>173</v>
      </c>
      <c r="E160" s="8" t="s">
        <v>174</v>
      </c>
      <c r="F160" s="8" t="s">
        <v>557</v>
      </c>
      <c r="G160" s="8" t="s">
        <v>206</v>
      </c>
      <c r="H160" s="13" t="b">
        <v>1</v>
      </c>
      <c r="I160" s="13" t="b">
        <v>1</v>
      </c>
      <c r="J160" s="10">
        <v>0</v>
      </c>
      <c r="K160" s="10">
        <v>108</v>
      </c>
      <c r="L160" s="10">
        <v>90</v>
      </c>
      <c r="M160" s="10">
        <v>0</v>
      </c>
      <c r="N160" s="10">
        <v>3810</v>
      </c>
      <c r="O160" s="10"/>
      <c r="P160" s="10"/>
      <c r="Q160" s="10"/>
      <c r="R160" s="10"/>
      <c r="S160" s="10"/>
      <c r="T160" s="14" t="b">
        <v>0</v>
      </c>
      <c r="U160" s="14" t="b">
        <v>0</v>
      </c>
      <c r="V160" s="14" t="b">
        <v>0</v>
      </c>
      <c r="W160" s="14" t="b">
        <v>0</v>
      </c>
      <c r="X160" s="14" t="b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5">
        <v>0</v>
      </c>
      <c r="AE160" s="55">
        <v>0.25</v>
      </c>
      <c r="AF160" s="55">
        <v>0.25</v>
      </c>
      <c r="AG160" s="55">
        <v>0</v>
      </c>
      <c r="AH160" s="55">
        <v>0.2</v>
      </c>
      <c r="AI16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0" s="102">
        <f>SUM(VIEW_IV_2019_REP_CALCULO[[#This Row],[Premio-BERINERT]:[Premio-PRIVIGEN]])</f>
        <v>0</v>
      </c>
    </row>
    <row r="161" spans="1:40" hidden="1" x14ac:dyDescent="0.2">
      <c r="A161" s="7" t="s">
        <v>16</v>
      </c>
      <c r="B161" s="7" t="s">
        <v>374</v>
      </c>
      <c r="C161" s="7" t="s">
        <v>373</v>
      </c>
      <c r="D161" s="8" t="s">
        <v>177</v>
      </c>
      <c r="E161" s="8" t="s">
        <v>178</v>
      </c>
      <c r="F161" s="8" t="s">
        <v>557</v>
      </c>
      <c r="G161" s="8" t="s">
        <v>208</v>
      </c>
      <c r="H161" s="13" t="b">
        <v>1</v>
      </c>
      <c r="I161" s="13" t="b">
        <v>1</v>
      </c>
      <c r="J161" s="10">
        <v>0</v>
      </c>
      <c r="K161" s="10">
        <v>126</v>
      </c>
      <c r="L161" s="10">
        <v>150</v>
      </c>
      <c r="M161" s="10">
        <v>0</v>
      </c>
      <c r="N161" s="10">
        <v>5080</v>
      </c>
      <c r="O161" s="10"/>
      <c r="P161" s="10"/>
      <c r="Q161" s="10"/>
      <c r="R161" s="10"/>
      <c r="S161" s="10"/>
      <c r="T161" s="14" t="b">
        <v>0</v>
      </c>
      <c r="U161" s="14" t="b">
        <v>0</v>
      </c>
      <c r="V161" s="14" t="b">
        <v>0</v>
      </c>
      <c r="W161" s="14" t="b">
        <v>0</v>
      </c>
      <c r="X161" s="14" t="b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0.25</v>
      </c>
      <c r="AF161" s="55">
        <v>0.25</v>
      </c>
      <c r="AG161" s="55">
        <v>0</v>
      </c>
      <c r="AH161" s="55">
        <v>0.2</v>
      </c>
      <c r="AI16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1" s="102">
        <f>SUM(VIEW_IV_2019_REP_CALCULO[[#This Row],[Premio-BERINERT]:[Premio-PRIVIGEN]])</f>
        <v>0</v>
      </c>
    </row>
    <row r="162" spans="1:40" hidden="1" x14ac:dyDescent="0.2">
      <c r="A162" s="7" t="s">
        <v>16</v>
      </c>
      <c r="B162" s="7" t="s">
        <v>374</v>
      </c>
      <c r="C162" s="7" t="s">
        <v>373</v>
      </c>
      <c r="D162" s="8" t="s">
        <v>181</v>
      </c>
      <c r="E162" s="8" t="s">
        <v>182</v>
      </c>
      <c r="F162" s="8" t="s">
        <v>557</v>
      </c>
      <c r="G162" s="8" t="s">
        <v>206</v>
      </c>
      <c r="H162" s="13" t="b">
        <v>1</v>
      </c>
      <c r="I162" s="13" t="b">
        <v>1</v>
      </c>
      <c r="J162" s="10">
        <v>0</v>
      </c>
      <c r="K162" s="10">
        <v>198</v>
      </c>
      <c r="L162" s="10">
        <v>180</v>
      </c>
      <c r="M162" s="10">
        <v>0</v>
      </c>
      <c r="N162" s="10">
        <v>5715</v>
      </c>
      <c r="O162" s="10"/>
      <c r="P162" s="10"/>
      <c r="Q162" s="10"/>
      <c r="R162" s="10"/>
      <c r="S162" s="10"/>
      <c r="T162" s="14" t="b">
        <v>0</v>
      </c>
      <c r="U162" s="14" t="b">
        <v>0</v>
      </c>
      <c r="V162" s="14" t="b">
        <v>0</v>
      </c>
      <c r="W162" s="14" t="b">
        <v>0</v>
      </c>
      <c r="X162" s="14" t="b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0.25</v>
      </c>
      <c r="AF162" s="55">
        <v>0.25</v>
      </c>
      <c r="AG162" s="55">
        <v>0</v>
      </c>
      <c r="AH162" s="55">
        <v>0.2</v>
      </c>
      <c r="AI16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2" s="102">
        <f>SUM(VIEW_IV_2019_REP_CALCULO[[#This Row],[Premio-BERINERT]:[Premio-PRIVIGEN]])</f>
        <v>0</v>
      </c>
    </row>
    <row r="163" spans="1:40" hidden="1" x14ac:dyDescent="0.2">
      <c r="A163" s="7" t="s">
        <v>16</v>
      </c>
      <c r="B163" s="7" t="s">
        <v>374</v>
      </c>
      <c r="C163" s="7" t="s">
        <v>373</v>
      </c>
      <c r="D163" s="8" t="s">
        <v>183</v>
      </c>
      <c r="E163" s="8" t="s">
        <v>184</v>
      </c>
      <c r="F163" s="8" t="s">
        <v>557</v>
      </c>
      <c r="G163" s="8" t="s">
        <v>208</v>
      </c>
      <c r="H163" s="13" t="b">
        <v>1</v>
      </c>
      <c r="I163" s="13" t="b">
        <v>1</v>
      </c>
      <c r="J163" s="10">
        <v>0</v>
      </c>
      <c r="K163" s="10">
        <v>162</v>
      </c>
      <c r="L163" s="10">
        <v>105</v>
      </c>
      <c r="M163" s="10">
        <v>0</v>
      </c>
      <c r="N163" s="10">
        <v>6985</v>
      </c>
      <c r="O163" s="10"/>
      <c r="P163" s="10"/>
      <c r="Q163" s="10"/>
      <c r="R163" s="10"/>
      <c r="S163" s="10"/>
      <c r="T163" s="14" t="b">
        <v>0</v>
      </c>
      <c r="U163" s="14" t="b">
        <v>0</v>
      </c>
      <c r="V163" s="14" t="b">
        <v>0</v>
      </c>
      <c r="W163" s="14" t="b">
        <v>0</v>
      </c>
      <c r="X163" s="14" t="b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0.25</v>
      </c>
      <c r="AF163" s="55">
        <v>0.25</v>
      </c>
      <c r="AG163" s="55">
        <v>0</v>
      </c>
      <c r="AH163" s="55">
        <v>0.2</v>
      </c>
      <c r="AI16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3" s="102">
        <f>SUM(VIEW_IV_2019_REP_CALCULO[[#This Row],[Premio-BERINERT]:[Premio-PRIVIGEN]])</f>
        <v>0</v>
      </c>
    </row>
    <row r="164" spans="1:40" hidden="1" x14ac:dyDescent="0.2">
      <c r="A164" s="7" t="s">
        <v>16</v>
      </c>
      <c r="B164" s="7" t="s">
        <v>374</v>
      </c>
      <c r="C164" s="7" t="s">
        <v>373</v>
      </c>
      <c r="D164" s="8" t="s">
        <v>159</v>
      </c>
      <c r="E164" s="8" t="s">
        <v>160</v>
      </c>
      <c r="F164" s="8" t="s">
        <v>740</v>
      </c>
      <c r="G164" s="8" t="s">
        <v>206</v>
      </c>
      <c r="H164" s="13" t="b">
        <v>1</v>
      </c>
      <c r="I164" s="13" t="b">
        <v>1</v>
      </c>
      <c r="J164" s="10">
        <v>4</v>
      </c>
      <c r="K164" s="10">
        <v>72</v>
      </c>
      <c r="L164" s="10">
        <v>60</v>
      </c>
      <c r="M164" s="10">
        <v>285</v>
      </c>
      <c r="N164" s="10">
        <v>5715</v>
      </c>
      <c r="O164" s="10"/>
      <c r="P164" s="10"/>
      <c r="Q164" s="10"/>
      <c r="R164" s="10"/>
      <c r="S164" s="10"/>
      <c r="T164" s="14" t="b">
        <v>0</v>
      </c>
      <c r="U164" s="14" t="b">
        <v>0</v>
      </c>
      <c r="V164" s="14" t="b">
        <v>0</v>
      </c>
      <c r="W164" s="14" t="b">
        <v>0</v>
      </c>
      <c r="X164" s="14" t="b">
        <v>0</v>
      </c>
      <c r="Y164" s="55">
        <v>0</v>
      </c>
      <c r="Z164" s="55">
        <v>0</v>
      </c>
      <c r="AA164" s="55">
        <v>0</v>
      </c>
      <c r="AB164" s="55">
        <v>0</v>
      </c>
      <c r="AC164" s="55">
        <v>0</v>
      </c>
      <c r="AD164" s="55">
        <v>0.05</v>
      </c>
      <c r="AE164" s="55">
        <v>0.15</v>
      </c>
      <c r="AF164" s="55">
        <v>0.15</v>
      </c>
      <c r="AG164" s="55">
        <v>0.2</v>
      </c>
      <c r="AH164" s="55">
        <v>0.15</v>
      </c>
      <c r="AI16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4" s="102">
        <f>SUM(VIEW_IV_2019_REP_CALCULO[[#This Row],[Premio-BERINERT]:[Premio-PRIVIGEN]])</f>
        <v>0</v>
      </c>
    </row>
    <row r="165" spans="1:40" hidden="1" x14ac:dyDescent="0.2">
      <c r="A165" s="7" t="s">
        <v>16</v>
      </c>
      <c r="B165" s="7" t="s">
        <v>374</v>
      </c>
      <c r="C165" s="7" t="s">
        <v>373</v>
      </c>
      <c r="D165" s="8" t="s">
        <v>201</v>
      </c>
      <c r="E165" s="8" t="s">
        <v>202</v>
      </c>
      <c r="F165" s="8" t="s">
        <v>740</v>
      </c>
      <c r="G165" s="8" t="s">
        <v>212</v>
      </c>
      <c r="H165" s="13" t="b">
        <v>1</v>
      </c>
      <c r="I165" s="13" t="b">
        <v>1</v>
      </c>
      <c r="J165" s="10">
        <v>12</v>
      </c>
      <c r="K165" s="10">
        <v>36</v>
      </c>
      <c r="L165" s="10">
        <v>15</v>
      </c>
      <c r="M165" s="10">
        <v>456</v>
      </c>
      <c r="N165" s="10">
        <v>4445</v>
      </c>
      <c r="O165" s="10"/>
      <c r="P165" s="10"/>
      <c r="Q165" s="10"/>
      <c r="R165" s="10"/>
      <c r="S165" s="10"/>
      <c r="T165" s="14" t="b">
        <v>0</v>
      </c>
      <c r="U165" s="14" t="b">
        <v>0</v>
      </c>
      <c r="V165" s="14" t="b">
        <v>0</v>
      </c>
      <c r="W165" s="14" t="b">
        <v>0</v>
      </c>
      <c r="X165" s="14" t="b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0.05</v>
      </c>
      <c r="AE165" s="55">
        <v>0.15</v>
      </c>
      <c r="AF165" s="55">
        <v>0.15</v>
      </c>
      <c r="AG165" s="55">
        <v>0.2</v>
      </c>
      <c r="AH165" s="55">
        <v>0.15</v>
      </c>
      <c r="AI16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5" s="102">
        <f>SUM(VIEW_IV_2019_REP_CALCULO[[#This Row],[Premio-BERINERT]:[Premio-PRIVIGEN]])</f>
        <v>0</v>
      </c>
    </row>
    <row r="166" spans="1:40" hidden="1" x14ac:dyDescent="0.2">
      <c r="A166" s="7" t="s">
        <v>16</v>
      </c>
      <c r="B166" s="7" t="s">
        <v>375</v>
      </c>
      <c r="C166" s="7" t="s">
        <v>373</v>
      </c>
      <c r="D166" s="8" t="s">
        <v>151</v>
      </c>
      <c r="E166" s="8" t="s">
        <v>152</v>
      </c>
      <c r="F166" s="8" t="s">
        <v>556</v>
      </c>
      <c r="G166" s="8" t="s">
        <v>208</v>
      </c>
      <c r="H166" s="13" t="b">
        <v>1</v>
      </c>
      <c r="I166" s="13" t="b">
        <v>1</v>
      </c>
      <c r="J166" s="10">
        <v>24</v>
      </c>
      <c r="K166" s="10">
        <v>0</v>
      </c>
      <c r="L166" s="10">
        <v>0</v>
      </c>
      <c r="M166" s="10">
        <v>969</v>
      </c>
      <c r="N166" s="10">
        <v>8255</v>
      </c>
      <c r="O166" s="10"/>
      <c r="P166" s="10"/>
      <c r="Q166" s="10"/>
      <c r="R166" s="10"/>
      <c r="S166" s="10"/>
      <c r="T166" s="14" t="b">
        <v>0</v>
      </c>
      <c r="U166" s="14" t="b">
        <v>0</v>
      </c>
      <c r="V166" s="14" t="b">
        <v>0</v>
      </c>
      <c r="W166" s="14" t="b">
        <v>0</v>
      </c>
      <c r="X166" s="14" t="b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0.1</v>
      </c>
      <c r="AE166" s="55">
        <v>0</v>
      </c>
      <c r="AF166" s="55">
        <v>0</v>
      </c>
      <c r="AG166" s="55">
        <v>0.4</v>
      </c>
      <c r="AH166" s="55">
        <v>0.2</v>
      </c>
      <c r="AI16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6" s="102">
        <f>SUM(VIEW_IV_2019_REP_CALCULO[[#This Row],[Premio-BERINERT]:[Premio-PRIVIGEN]])</f>
        <v>0</v>
      </c>
    </row>
    <row r="167" spans="1:40" hidden="1" x14ac:dyDescent="0.2">
      <c r="A167" s="7" t="s">
        <v>16</v>
      </c>
      <c r="B167" s="7" t="s">
        <v>375</v>
      </c>
      <c r="C167" s="7" t="s">
        <v>373</v>
      </c>
      <c r="D167" s="8" t="s">
        <v>1355</v>
      </c>
      <c r="E167" s="8" t="s">
        <v>1356</v>
      </c>
      <c r="F167" s="8" t="s">
        <v>556</v>
      </c>
      <c r="G167" s="8" t="s">
        <v>208</v>
      </c>
      <c r="H167" s="13" t="b">
        <v>1</v>
      </c>
      <c r="I167" s="13" t="b">
        <v>1</v>
      </c>
      <c r="J167" s="10">
        <v>24</v>
      </c>
      <c r="K167" s="10">
        <v>0</v>
      </c>
      <c r="L167" s="10">
        <v>0</v>
      </c>
      <c r="M167" s="10">
        <v>684</v>
      </c>
      <c r="N167" s="10">
        <v>5080</v>
      </c>
      <c r="O167" s="10"/>
      <c r="P167" s="10"/>
      <c r="Q167" s="10"/>
      <c r="R167" s="10"/>
      <c r="S167" s="10"/>
      <c r="T167" s="14" t="b">
        <v>0</v>
      </c>
      <c r="U167" s="14" t="b">
        <v>0</v>
      </c>
      <c r="V167" s="14" t="b">
        <v>0</v>
      </c>
      <c r="W167" s="14" t="b">
        <v>0</v>
      </c>
      <c r="X167" s="14" t="b">
        <v>0</v>
      </c>
      <c r="Y167" s="55">
        <v>0</v>
      </c>
      <c r="Z167" s="55">
        <v>0</v>
      </c>
      <c r="AA167" s="55">
        <v>0</v>
      </c>
      <c r="AB167" s="55">
        <v>0</v>
      </c>
      <c r="AC167" s="55">
        <v>0</v>
      </c>
      <c r="AD167" s="55">
        <v>0.1</v>
      </c>
      <c r="AE167" s="55">
        <v>0</v>
      </c>
      <c r="AF167" s="55">
        <v>0</v>
      </c>
      <c r="AG167" s="55">
        <v>0.4</v>
      </c>
      <c r="AH167" s="55">
        <v>0.2</v>
      </c>
      <c r="AI16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7" s="102">
        <f>SUM(VIEW_IV_2019_REP_CALCULO[[#This Row],[Premio-BERINERT]:[Premio-PRIVIGEN]])</f>
        <v>0</v>
      </c>
    </row>
    <row r="168" spans="1:40" hidden="1" x14ac:dyDescent="0.2">
      <c r="A168" s="7" t="s">
        <v>16</v>
      </c>
      <c r="B168" s="7" t="s">
        <v>375</v>
      </c>
      <c r="C168" s="7" t="s">
        <v>373</v>
      </c>
      <c r="D168" s="8" t="s">
        <v>155</v>
      </c>
      <c r="E168" s="8" t="s">
        <v>156</v>
      </c>
      <c r="F168" s="8" t="s">
        <v>556</v>
      </c>
      <c r="G168" s="8" t="s">
        <v>206</v>
      </c>
      <c r="H168" s="13" t="b">
        <v>1</v>
      </c>
      <c r="I168" s="13" t="b">
        <v>1</v>
      </c>
      <c r="J168" s="10">
        <v>17</v>
      </c>
      <c r="K168" s="10">
        <v>0</v>
      </c>
      <c r="L168" s="10">
        <v>0</v>
      </c>
      <c r="M168" s="10">
        <v>1197</v>
      </c>
      <c r="N168" s="10">
        <v>7620</v>
      </c>
      <c r="O168" s="10"/>
      <c r="P168" s="10"/>
      <c r="Q168" s="10"/>
      <c r="R168" s="10"/>
      <c r="S168" s="10"/>
      <c r="T168" s="14" t="b">
        <v>0</v>
      </c>
      <c r="U168" s="14" t="b">
        <v>0</v>
      </c>
      <c r="V168" s="14" t="b">
        <v>0</v>
      </c>
      <c r="W168" s="14" t="b">
        <v>0</v>
      </c>
      <c r="X168" s="14" t="b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0.1</v>
      </c>
      <c r="AE168" s="55">
        <v>0</v>
      </c>
      <c r="AF168" s="55">
        <v>0</v>
      </c>
      <c r="AG168" s="55">
        <v>0.4</v>
      </c>
      <c r="AH168" s="55">
        <v>0.2</v>
      </c>
      <c r="AI16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8" s="102">
        <f>SUM(VIEW_IV_2019_REP_CALCULO[[#This Row],[Premio-BERINERT]:[Premio-PRIVIGEN]])</f>
        <v>0</v>
      </c>
    </row>
    <row r="169" spans="1:40" hidden="1" x14ac:dyDescent="0.2">
      <c r="A169" s="7" t="s">
        <v>16</v>
      </c>
      <c r="B169" s="7" t="s">
        <v>375</v>
      </c>
      <c r="C169" s="7" t="s">
        <v>373</v>
      </c>
      <c r="D169" s="8" t="s">
        <v>161</v>
      </c>
      <c r="E169" s="8" t="s">
        <v>162</v>
      </c>
      <c r="F169" s="8" t="s">
        <v>556</v>
      </c>
      <c r="G169" s="8" t="s">
        <v>208</v>
      </c>
      <c r="H169" s="13" t="b">
        <v>1</v>
      </c>
      <c r="I169" s="13" t="b">
        <v>1</v>
      </c>
      <c r="J169" s="10">
        <v>24</v>
      </c>
      <c r="K169" s="10">
        <v>0</v>
      </c>
      <c r="L169" s="10">
        <v>0</v>
      </c>
      <c r="M169" s="10">
        <v>684</v>
      </c>
      <c r="N169" s="10">
        <v>8890</v>
      </c>
      <c r="O169" s="10"/>
      <c r="P169" s="10"/>
      <c r="Q169" s="10"/>
      <c r="R169" s="10"/>
      <c r="S169" s="10"/>
      <c r="T169" s="14" t="b">
        <v>0</v>
      </c>
      <c r="U169" s="14" t="b">
        <v>0</v>
      </c>
      <c r="V169" s="14" t="b">
        <v>0</v>
      </c>
      <c r="W169" s="14" t="b">
        <v>0</v>
      </c>
      <c r="X169" s="14" t="b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0.1</v>
      </c>
      <c r="AE169" s="55">
        <v>0</v>
      </c>
      <c r="AF169" s="55">
        <v>0</v>
      </c>
      <c r="AG169" s="55">
        <v>0.4</v>
      </c>
      <c r="AH169" s="55">
        <v>0.2</v>
      </c>
      <c r="AI16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6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6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6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6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69" s="102">
        <f>SUM(VIEW_IV_2019_REP_CALCULO[[#This Row],[Premio-BERINERT]:[Premio-PRIVIGEN]])</f>
        <v>0</v>
      </c>
    </row>
    <row r="170" spans="1:40" hidden="1" x14ac:dyDescent="0.2">
      <c r="A170" s="7" t="s">
        <v>16</v>
      </c>
      <c r="B170" s="7" t="s">
        <v>375</v>
      </c>
      <c r="C170" s="7" t="s">
        <v>373</v>
      </c>
      <c r="D170" s="8" t="s">
        <v>175</v>
      </c>
      <c r="E170" s="8" t="s">
        <v>176</v>
      </c>
      <c r="F170" s="8" t="s">
        <v>556</v>
      </c>
      <c r="G170" s="8" t="s">
        <v>206</v>
      </c>
      <c r="H170" s="13" t="b">
        <v>1</v>
      </c>
      <c r="I170" s="13" t="b">
        <v>1</v>
      </c>
      <c r="J170" s="10">
        <v>60</v>
      </c>
      <c r="K170" s="10">
        <v>0</v>
      </c>
      <c r="L170" s="10">
        <v>0</v>
      </c>
      <c r="M170" s="10">
        <v>741</v>
      </c>
      <c r="N170" s="10">
        <v>13970</v>
      </c>
      <c r="O170" s="10"/>
      <c r="P170" s="10"/>
      <c r="Q170" s="10"/>
      <c r="R170" s="10"/>
      <c r="S170" s="10"/>
      <c r="T170" s="14" t="b">
        <v>0</v>
      </c>
      <c r="U170" s="14" t="b">
        <v>0</v>
      </c>
      <c r="V170" s="14" t="b">
        <v>0</v>
      </c>
      <c r="W170" s="14" t="b">
        <v>0</v>
      </c>
      <c r="X170" s="14" t="b">
        <v>0</v>
      </c>
      <c r="Y170" s="55">
        <v>0</v>
      </c>
      <c r="Z170" s="55">
        <v>0</v>
      </c>
      <c r="AA170" s="55">
        <v>0</v>
      </c>
      <c r="AB170" s="55">
        <v>0</v>
      </c>
      <c r="AC170" s="55">
        <v>0</v>
      </c>
      <c r="AD170" s="55">
        <v>0.1</v>
      </c>
      <c r="AE170" s="55">
        <v>0</v>
      </c>
      <c r="AF170" s="55">
        <v>0</v>
      </c>
      <c r="AG170" s="55">
        <v>0.4</v>
      </c>
      <c r="AH170" s="55">
        <v>0.2</v>
      </c>
      <c r="AI17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0" s="102">
        <f>SUM(VIEW_IV_2019_REP_CALCULO[[#This Row],[Premio-BERINERT]:[Premio-PRIVIGEN]])</f>
        <v>0</v>
      </c>
    </row>
    <row r="171" spans="1:40" hidden="1" x14ac:dyDescent="0.2">
      <c r="A171" s="7" t="s">
        <v>16</v>
      </c>
      <c r="B171" s="7" t="s">
        <v>375</v>
      </c>
      <c r="C171" s="7" t="s">
        <v>373</v>
      </c>
      <c r="D171" s="8" t="s">
        <v>199</v>
      </c>
      <c r="E171" s="8" t="s">
        <v>200</v>
      </c>
      <c r="F171" s="8" t="s">
        <v>556</v>
      </c>
      <c r="G171" s="8" t="s">
        <v>212</v>
      </c>
      <c r="H171" s="13" t="b">
        <v>1</v>
      </c>
      <c r="I171" s="13" t="b">
        <v>1</v>
      </c>
      <c r="J171" s="10">
        <v>60</v>
      </c>
      <c r="K171" s="10">
        <v>0</v>
      </c>
      <c r="L171" s="10">
        <v>0</v>
      </c>
      <c r="M171" s="10">
        <v>684</v>
      </c>
      <c r="N171" s="10">
        <v>9525</v>
      </c>
      <c r="O171" s="10"/>
      <c r="P171" s="10"/>
      <c r="Q171" s="10"/>
      <c r="R171" s="10"/>
      <c r="S171" s="10"/>
      <c r="T171" s="14" t="b">
        <v>0</v>
      </c>
      <c r="U171" s="14" t="b">
        <v>0</v>
      </c>
      <c r="V171" s="14" t="b">
        <v>0</v>
      </c>
      <c r="W171" s="14" t="b">
        <v>0</v>
      </c>
      <c r="X171" s="14" t="b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5">
        <v>0.1</v>
      </c>
      <c r="AE171" s="55">
        <v>0</v>
      </c>
      <c r="AF171" s="55">
        <v>0</v>
      </c>
      <c r="AG171" s="55">
        <v>0.4</v>
      </c>
      <c r="AH171" s="55">
        <v>0.2</v>
      </c>
      <c r="AI17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1" s="102">
        <f>SUM(VIEW_IV_2019_REP_CALCULO[[#This Row],[Premio-BERINERT]:[Premio-PRIVIGEN]])</f>
        <v>0</v>
      </c>
    </row>
    <row r="172" spans="1:40" hidden="1" x14ac:dyDescent="0.2">
      <c r="A172" s="7" t="s">
        <v>16</v>
      </c>
      <c r="B172" s="7" t="s">
        <v>375</v>
      </c>
      <c r="C172" s="7" t="s">
        <v>373</v>
      </c>
      <c r="D172" s="8" t="s">
        <v>144</v>
      </c>
      <c r="E172" s="8" t="s">
        <v>145</v>
      </c>
      <c r="F172" s="8" t="s">
        <v>557</v>
      </c>
      <c r="G172" s="8" t="s">
        <v>206</v>
      </c>
      <c r="H172" s="13" t="b">
        <v>1</v>
      </c>
      <c r="I172" s="13" t="b">
        <v>1</v>
      </c>
      <c r="J172" s="10">
        <v>0</v>
      </c>
      <c r="K172" s="10">
        <v>132</v>
      </c>
      <c r="L172" s="10">
        <v>150</v>
      </c>
      <c r="M172" s="10">
        <v>0</v>
      </c>
      <c r="N172" s="10">
        <v>3810</v>
      </c>
      <c r="O172" s="10"/>
      <c r="P172" s="10"/>
      <c r="Q172" s="10"/>
      <c r="R172" s="10"/>
      <c r="S172" s="10"/>
      <c r="T172" s="14" t="b">
        <v>0</v>
      </c>
      <c r="U172" s="14" t="b">
        <v>0</v>
      </c>
      <c r="V172" s="14" t="b">
        <v>0</v>
      </c>
      <c r="W172" s="14" t="b">
        <v>0</v>
      </c>
      <c r="X172" s="14" t="b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5">
        <v>0</v>
      </c>
      <c r="AE172" s="55">
        <v>0.25</v>
      </c>
      <c r="AF172" s="55">
        <v>0.25</v>
      </c>
      <c r="AG172" s="55">
        <v>0</v>
      </c>
      <c r="AH172" s="55">
        <v>0.2</v>
      </c>
      <c r="AI17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2" s="102">
        <f>SUM(VIEW_IV_2019_REP_CALCULO[[#This Row],[Premio-BERINERT]:[Premio-PRIVIGEN]])</f>
        <v>0</v>
      </c>
    </row>
    <row r="173" spans="1:40" hidden="1" x14ac:dyDescent="0.2">
      <c r="A173" s="7" t="s">
        <v>16</v>
      </c>
      <c r="B173" s="7" t="s">
        <v>375</v>
      </c>
      <c r="C173" s="7" t="s">
        <v>373</v>
      </c>
      <c r="D173" s="8" t="s">
        <v>147</v>
      </c>
      <c r="E173" s="8" t="s">
        <v>148</v>
      </c>
      <c r="F173" s="8" t="s">
        <v>557</v>
      </c>
      <c r="G173" s="8" t="s">
        <v>208</v>
      </c>
      <c r="H173" s="13" t="b">
        <v>1</v>
      </c>
      <c r="I173" s="13" t="b">
        <v>1</v>
      </c>
      <c r="J173" s="10">
        <v>0</v>
      </c>
      <c r="K173" s="10">
        <v>154</v>
      </c>
      <c r="L173" s="10">
        <v>180</v>
      </c>
      <c r="M173" s="10">
        <v>0</v>
      </c>
      <c r="N173" s="10">
        <v>5080</v>
      </c>
      <c r="O173" s="10"/>
      <c r="P173" s="10"/>
      <c r="Q173" s="10"/>
      <c r="R173" s="10"/>
      <c r="S173" s="10"/>
      <c r="T173" s="14" t="b">
        <v>0</v>
      </c>
      <c r="U173" s="14" t="b">
        <v>0</v>
      </c>
      <c r="V173" s="14" t="b">
        <v>0</v>
      </c>
      <c r="W173" s="14" t="b">
        <v>0</v>
      </c>
      <c r="X173" s="14" t="b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0.25</v>
      </c>
      <c r="AF173" s="55">
        <v>0.25</v>
      </c>
      <c r="AG173" s="55">
        <v>0</v>
      </c>
      <c r="AH173" s="55">
        <v>0.2</v>
      </c>
      <c r="AI17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3" s="102">
        <f>SUM(VIEW_IV_2019_REP_CALCULO[[#This Row],[Premio-BERINERT]:[Premio-PRIVIGEN]])</f>
        <v>0</v>
      </c>
    </row>
    <row r="174" spans="1:40" hidden="1" x14ac:dyDescent="0.2">
      <c r="A174" s="7" t="s">
        <v>16</v>
      </c>
      <c r="B174" s="7" t="s">
        <v>375</v>
      </c>
      <c r="C174" s="7" t="s">
        <v>373</v>
      </c>
      <c r="D174" s="8" t="s">
        <v>149</v>
      </c>
      <c r="E174" s="8" t="s">
        <v>150</v>
      </c>
      <c r="F174" s="8" t="s">
        <v>557</v>
      </c>
      <c r="G174" s="8" t="s">
        <v>208</v>
      </c>
      <c r="H174" s="13" t="b">
        <v>1</v>
      </c>
      <c r="I174" s="13" t="b">
        <v>1</v>
      </c>
      <c r="J174" s="10">
        <v>0</v>
      </c>
      <c r="K174" s="10">
        <v>132</v>
      </c>
      <c r="L174" s="10">
        <v>75</v>
      </c>
      <c r="M174" s="10">
        <v>0</v>
      </c>
      <c r="N174" s="10">
        <v>8890</v>
      </c>
      <c r="O174" s="10"/>
      <c r="P174" s="10"/>
      <c r="Q174" s="10"/>
      <c r="R174" s="10"/>
      <c r="S174" s="10"/>
      <c r="T174" s="14" t="b">
        <v>0</v>
      </c>
      <c r="U174" s="14" t="b">
        <v>0</v>
      </c>
      <c r="V174" s="14" t="b">
        <v>0</v>
      </c>
      <c r="W174" s="14" t="b">
        <v>0</v>
      </c>
      <c r="X174" s="14" t="b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0.25</v>
      </c>
      <c r="AF174" s="55">
        <v>0.25</v>
      </c>
      <c r="AG174" s="55">
        <v>0</v>
      </c>
      <c r="AH174" s="55">
        <v>0.2</v>
      </c>
      <c r="AI17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4" s="102">
        <f>SUM(VIEW_IV_2019_REP_CALCULO[[#This Row],[Premio-BERINERT]:[Premio-PRIVIGEN]])</f>
        <v>0</v>
      </c>
    </row>
    <row r="175" spans="1:40" hidden="1" x14ac:dyDescent="0.2">
      <c r="A175" s="7" t="s">
        <v>16</v>
      </c>
      <c r="B175" s="7" t="s">
        <v>375</v>
      </c>
      <c r="C175" s="7" t="s">
        <v>373</v>
      </c>
      <c r="D175" s="8" t="s">
        <v>157</v>
      </c>
      <c r="E175" s="8" t="s">
        <v>158</v>
      </c>
      <c r="F175" s="8" t="s">
        <v>557</v>
      </c>
      <c r="G175" s="8" t="s">
        <v>206</v>
      </c>
      <c r="H175" s="13" t="b">
        <v>1</v>
      </c>
      <c r="I175" s="13" t="b">
        <v>1</v>
      </c>
      <c r="J175" s="10">
        <v>0</v>
      </c>
      <c r="K175" s="10">
        <v>88</v>
      </c>
      <c r="L175" s="10">
        <v>60</v>
      </c>
      <c r="M175" s="10">
        <v>0</v>
      </c>
      <c r="N175" s="10">
        <v>10160</v>
      </c>
      <c r="O175" s="10"/>
      <c r="P175" s="10"/>
      <c r="Q175" s="10"/>
      <c r="R175" s="10"/>
      <c r="S175" s="10"/>
      <c r="T175" s="14" t="b">
        <v>0</v>
      </c>
      <c r="U175" s="14" t="b">
        <v>0</v>
      </c>
      <c r="V175" s="14" t="b">
        <v>0</v>
      </c>
      <c r="W175" s="14" t="b">
        <v>0</v>
      </c>
      <c r="X175" s="14" t="b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0.25</v>
      </c>
      <c r="AF175" s="55">
        <v>0.25</v>
      </c>
      <c r="AG175" s="55">
        <v>0</v>
      </c>
      <c r="AH175" s="55">
        <v>0.2</v>
      </c>
      <c r="AI17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5" s="102">
        <f>SUM(VIEW_IV_2019_REP_CALCULO[[#This Row],[Premio-BERINERT]:[Premio-PRIVIGEN]])</f>
        <v>0</v>
      </c>
    </row>
    <row r="176" spans="1:40" hidden="1" x14ac:dyDescent="0.2">
      <c r="A176" s="7" t="s">
        <v>16</v>
      </c>
      <c r="B176" s="7" t="s">
        <v>375</v>
      </c>
      <c r="C176" s="7" t="s">
        <v>373</v>
      </c>
      <c r="D176" s="8" t="s">
        <v>163</v>
      </c>
      <c r="E176" s="8" t="s">
        <v>164</v>
      </c>
      <c r="F176" s="8" t="s">
        <v>557</v>
      </c>
      <c r="G176" s="8" t="s">
        <v>212</v>
      </c>
      <c r="H176" s="13" t="b">
        <v>1</v>
      </c>
      <c r="I176" s="13" t="b">
        <v>1</v>
      </c>
      <c r="J176" s="10">
        <v>0</v>
      </c>
      <c r="K176" s="10">
        <v>242</v>
      </c>
      <c r="L176" s="10">
        <v>105</v>
      </c>
      <c r="M176" s="10">
        <v>0</v>
      </c>
      <c r="N176" s="10">
        <v>4445</v>
      </c>
      <c r="O176" s="10"/>
      <c r="P176" s="10"/>
      <c r="Q176" s="10"/>
      <c r="R176" s="10"/>
      <c r="S176" s="10"/>
      <c r="T176" s="14" t="b">
        <v>0</v>
      </c>
      <c r="U176" s="14" t="b">
        <v>0</v>
      </c>
      <c r="V176" s="14" t="b">
        <v>0</v>
      </c>
      <c r="W176" s="14" t="b">
        <v>0</v>
      </c>
      <c r="X176" s="14" t="b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5">
        <v>0</v>
      </c>
      <c r="AE176" s="55">
        <v>0.25</v>
      </c>
      <c r="AF176" s="55">
        <v>0.25</v>
      </c>
      <c r="AG176" s="55">
        <v>0</v>
      </c>
      <c r="AH176" s="55">
        <v>0.2</v>
      </c>
      <c r="AI17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6" s="102">
        <f>SUM(VIEW_IV_2019_REP_CALCULO[[#This Row],[Premio-BERINERT]:[Premio-PRIVIGEN]])</f>
        <v>0</v>
      </c>
    </row>
    <row r="177" spans="1:40" hidden="1" x14ac:dyDescent="0.2">
      <c r="A177" s="7" t="s">
        <v>16</v>
      </c>
      <c r="B177" s="7" t="s">
        <v>375</v>
      </c>
      <c r="C177" s="7" t="s">
        <v>373</v>
      </c>
      <c r="D177" s="8" t="s">
        <v>165</v>
      </c>
      <c r="E177" s="8" t="s">
        <v>166</v>
      </c>
      <c r="F177" s="8" t="s">
        <v>557</v>
      </c>
      <c r="G177" s="8" t="s">
        <v>212</v>
      </c>
      <c r="H177" s="13" t="b">
        <v>1</v>
      </c>
      <c r="I177" s="13" t="b">
        <v>1</v>
      </c>
      <c r="J177" s="10">
        <v>0</v>
      </c>
      <c r="K177" s="10">
        <v>198</v>
      </c>
      <c r="L177" s="10">
        <v>165</v>
      </c>
      <c r="M177" s="10">
        <v>0</v>
      </c>
      <c r="N177" s="10">
        <v>2540</v>
      </c>
      <c r="O177" s="10"/>
      <c r="P177" s="10"/>
      <c r="Q177" s="10"/>
      <c r="R177" s="10"/>
      <c r="S177" s="10"/>
      <c r="T177" s="14" t="b">
        <v>0</v>
      </c>
      <c r="U177" s="14" t="b">
        <v>0</v>
      </c>
      <c r="V177" s="14" t="b">
        <v>0</v>
      </c>
      <c r="W177" s="14" t="b">
        <v>0</v>
      </c>
      <c r="X177" s="14" t="b">
        <v>0</v>
      </c>
      <c r="Y177" s="55">
        <v>0</v>
      </c>
      <c r="Z177" s="55">
        <v>0</v>
      </c>
      <c r="AA177" s="55">
        <v>0</v>
      </c>
      <c r="AB177" s="55">
        <v>0</v>
      </c>
      <c r="AC177" s="55">
        <v>0</v>
      </c>
      <c r="AD177" s="55">
        <v>0</v>
      </c>
      <c r="AE177" s="55">
        <v>0.25</v>
      </c>
      <c r="AF177" s="55">
        <v>0.25</v>
      </c>
      <c r="AG177" s="55">
        <v>0</v>
      </c>
      <c r="AH177" s="55">
        <v>0.2</v>
      </c>
      <c r="AI17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7" s="102">
        <f>SUM(VIEW_IV_2019_REP_CALCULO[[#This Row],[Premio-BERINERT]:[Premio-PRIVIGEN]])</f>
        <v>0</v>
      </c>
    </row>
    <row r="178" spans="1:40" hidden="1" x14ac:dyDescent="0.2">
      <c r="A178" s="7" t="s">
        <v>16</v>
      </c>
      <c r="B178" s="7" t="s">
        <v>375</v>
      </c>
      <c r="C178" s="7" t="s">
        <v>373</v>
      </c>
      <c r="D178" s="8" t="s">
        <v>167</v>
      </c>
      <c r="E178" s="8" t="s">
        <v>168</v>
      </c>
      <c r="F178" s="8" t="s">
        <v>557</v>
      </c>
      <c r="G178" s="8" t="s">
        <v>212</v>
      </c>
      <c r="H178" s="13" t="b">
        <v>1</v>
      </c>
      <c r="I178" s="13" t="b">
        <v>1</v>
      </c>
      <c r="J178" s="10">
        <v>0</v>
      </c>
      <c r="K178" s="10">
        <v>176</v>
      </c>
      <c r="L178" s="10">
        <v>105</v>
      </c>
      <c r="M178" s="10">
        <v>0</v>
      </c>
      <c r="N178" s="10">
        <v>4445</v>
      </c>
      <c r="O178" s="10"/>
      <c r="P178" s="10"/>
      <c r="Q178" s="10"/>
      <c r="R178" s="10"/>
      <c r="S178" s="10"/>
      <c r="T178" s="14" t="b">
        <v>0</v>
      </c>
      <c r="U178" s="14" t="b">
        <v>0</v>
      </c>
      <c r="V178" s="14" t="b">
        <v>0</v>
      </c>
      <c r="W178" s="14" t="b">
        <v>0</v>
      </c>
      <c r="X178" s="14" t="b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0.25</v>
      </c>
      <c r="AF178" s="55">
        <v>0.25</v>
      </c>
      <c r="AG178" s="55">
        <v>0</v>
      </c>
      <c r="AH178" s="55">
        <v>0.2</v>
      </c>
      <c r="AI17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8" s="102">
        <f>SUM(VIEW_IV_2019_REP_CALCULO[[#This Row],[Premio-BERINERT]:[Premio-PRIVIGEN]])</f>
        <v>0</v>
      </c>
    </row>
    <row r="179" spans="1:40" hidden="1" x14ac:dyDescent="0.2">
      <c r="A179" s="7" t="s">
        <v>16</v>
      </c>
      <c r="B179" s="7" t="s">
        <v>375</v>
      </c>
      <c r="C179" s="7" t="s">
        <v>373</v>
      </c>
      <c r="D179" s="8" t="s">
        <v>169</v>
      </c>
      <c r="E179" s="8" t="s">
        <v>170</v>
      </c>
      <c r="F179" s="8" t="s">
        <v>557</v>
      </c>
      <c r="G179" s="8" t="s">
        <v>212</v>
      </c>
      <c r="H179" s="13" t="b">
        <v>1</v>
      </c>
      <c r="I179" s="13" t="b">
        <v>1</v>
      </c>
      <c r="J179" s="10">
        <v>0</v>
      </c>
      <c r="K179" s="10">
        <v>220</v>
      </c>
      <c r="L179" s="10">
        <v>60</v>
      </c>
      <c r="M179" s="10">
        <v>0</v>
      </c>
      <c r="N179" s="10">
        <v>2540</v>
      </c>
      <c r="O179" s="10"/>
      <c r="P179" s="10"/>
      <c r="Q179" s="10"/>
      <c r="R179" s="10"/>
      <c r="S179" s="10"/>
      <c r="T179" s="14" t="b">
        <v>0</v>
      </c>
      <c r="U179" s="14" t="b">
        <v>0</v>
      </c>
      <c r="V179" s="14" t="b">
        <v>0</v>
      </c>
      <c r="W179" s="14" t="b">
        <v>0</v>
      </c>
      <c r="X179" s="14" t="b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0.25</v>
      </c>
      <c r="AF179" s="55">
        <v>0.25</v>
      </c>
      <c r="AG179" s="55">
        <v>0</v>
      </c>
      <c r="AH179" s="55">
        <v>0.2</v>
      </c>
      <c r="AI17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7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7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7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7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79" s="102">
        <f>SUM(VIEW_IV_2019_REP_CALCULO[[#This Row],[Premio-BERINERT]:[Premio-PRIVIGEN]])</f>
        <v>0</v>
      </c>
    </row>
    <row r="180" spans="1:40" hidden="1" x14ac:dyDescent="0.2">
      <c r="A180" s="7" t="s">
        <v>16</v>
      </c>
      <c r="B180" s="7" t="s">
        <v>375</v>
      </c>
      <c r="C180" s="7" t="s">
        <v>373</v>
      </c>
      <c r="D180" s="8" t="s">
        <v>173</v>
      </c>
      <c r="E180" s="8" t="s">
        <v>174</v>
      </c>
      <c r="F180" s="8" t="s">
        <v>557</v>
      </c>
      <c r="G180" s="8" t="s">
        <v>206</v>
      </c>
      <c r="H180" s="13" t="b">
        <v>1</v>
      </c>
      <c r="I180" s="13" t="b">
        <v>1</v>
      </c>
      <c r="J180" s="10">
        <v>0</v>
      </c>
      <c r="K180" s="10">
        <v>132</v>
      </c>
      <c r="L180" s="10">
        <v>90</v>
      </c>
      <c r="M180" s="10">
        <v>0</v>
      </c>
      <c r="N180" s="10">
        <v>3810</v>
      </c>
      <c r="O180" s="10"/>
      <c r="P180" s="10"/>
      <c r="Q180" s="10"/>
      <c r="R180" s="10"/>
      <c r="S180" s="10"/>
      <c r="T180" s="14" t="b">
        <v>0</v>
      </c>
      <c r="U180" s="14" t="b">
        <v>0</v>
      </c>
      <c r="V180" s="14" t="b">
        <v>0</v>
      </c>
      <c r="W180" s="14" t="b">
        <v>0</v>
      </c>
      <c r="X180" s="14" t="b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0.25</v>
      </c>
      <c r="AF180" s="55">
        <v>0.25</v>
      </c>
      <c r="AG180" s="55">
        <v>0</v>
      </c>
      <c r="AH180" s="55">
        <v>0.2</v>
      </c>
      <c r="AI18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0" s="102">
        <f>SUM(VIEW_IV_2019_REP_CALCULO[[#This Row],[Premio-BERINERT]:[Premio-PRIVIGEN]])</f>
        <v>0</v>
      </c>
    </row>
    <row r="181" spans="1:40" hidden="1" x14ac:dyDescent="0.2">
      <c r="A181" s="7" t="s">
        <v>16</v>
      </c>
      <c r="B181" s="7" t="s">
        <v>375</v>
      </c>
      <c r="C181" s="7" t="s">
        <v>373</v>
      </c>
      <c r="D181" s="8" t="s">
        <v>177</v>
      </c>
      <c r="E181" s="8" t="s">
        <v>178</v>
      </c>
      <c r="F181" s="8" t="s">
        <v>557</v>
      </c>
      <c r="G181" s="8" t="s">
        <v>208</v>
      </c>
      <c r="H181" s="13" t="b">
        <v>1</v>
      </c>
      <c r="I181" s="13" t="b">
        <v>1</v>
      </c>
      <c r="J181" s="10">
        <v>0</v>
      </c>
      <c r="K181" s="10">
        <v>154</v>
      </c>
      <c r="L181" s="10">
        <v>150</v>
      </c>
      <c r="M181" s="10">
        <v>0</v>
      </c>
      <c r="N181" s="10">
        <v>5080</v>
      </c>
      <c r="O181" s="10"/>
      <c r="P181" s="10"/>
      <c r="Q181" s="10"/>
      <c r="R181" s="10"/>
      <c r="S181" s="10"/>
      <c r="T181" s="14" t="b">
        <v>0</v>
      </c>
      <c r="U181" s="14" t="b">
        <v>0</v>
      </c>
      <c r="V181" s="14" t="b">
        <v>0</v>
      </c>
      <c r="W181" s="14" t="b">
        <v>0</v>
      </c>
      <c r="X181" s="14" t="b">
        <v>0</v>
      </c>
      <c r="Y181" s="55">
        <v>0</v>
      </c>
      <c r="Z181" s="55">
        <v>0</v>
      </c>
      <c r="AA181" s="55">
        <v>0</v>
      </c>
      <c r="AB181" s="55">
        <v>0</v>
      </c>
      <c r="AC181" s="55">
        <v>0</v>
      </c>
      <c r="AD181" s="55">
        <v>0</v>
      </c>
      <c r="AE181" s="55">
        <v>0.25</v>
      </c>
      <c r="AF181" s="55">
        <v>0.25</v>
      </c>
      <c r="AG181" s="55">
        <v>0</v>
      </c>
      <c r="AH181" s="55">
        <v>0.2</v>
      </c>
      <c r="AI18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1" s="102">
        <f>SUM(VIEW_IV_2019_REP_CALCULO[[#This Row],[Premio-BERINERT]:[Premio-PRIVIGEN]])</f>
        <v>0</v>
      </c>
    </row>
    <row r="182" spans="1:40" hidden="1" x14ac:dyDescent="0.2">
      <c r="A182" s="7" t="s">
        <v>16</v>
      </c>
      <c r="B182" s="7" t="s">
        <v>375</v>
      </c>
      <c r="C182" s="7" t="s">
        <v>373</v>
      </c>
      <c r="D182" s="8" t="s">
        <v>181</v>
      </c>
      <c r="E182" s="8" t="s">
        <v>182</v>
      </c>
      <c r="F182" s="8" t="s">
        <v>557</v>
      </c>
      <c r="G182" s="8" t="s">
        <v>206</v>
      </c>
      <c r="H182" s="13" t="b">
        <v>1</v>
      </c>
      <c r="I182" s="13" t="b">
        <v>1</v>
      </c>
      <c r="J182" s="10">
        <v>0</v>
      </c>
      <c r="K182" s="10">
        <v>242</v>
      </c>
      <c r="L182" s="10">
        <v>180</v>
      </c>
      <c r="M182" s="10">
        <v>0</v>
      </c>
      <c r="N182" s="10">
        <v>5715</v>
      </c>
      <c r="O182" s="10"/>
      <c r="P182" s="10"/>
      <c r="Q182" s="10"/>
      <c r="R182" s="10"/>
      <c r="S182" s="10"/>
      <c r="T182" s="14" t="b">
        <v>0</v>
      </c>
      <c r="U182" s="14" t="b">
        <v>0</v>
      </c>
      <c r="V182" s="14" t="b">
        <v>0</v>
      </c>
      <c r="W182" s="14" t="b">
        <v>0</v>
      </c>
      <c r="X182" s="14" t="b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5">
        <v>0.25</v>
      </c>
      <c r="AF182" s="55">
        <v>0.25</v>
      </c>
      <c r="AG182" s="55">
        <v>0</v>
      </c>
      <c r="AH182" s="55">
        <v>0.2</v>
      </c>
      <c r="AI18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2" s="102">
        <f>SUM(VIEW_IV_2019_REP_CALCULO[[#This Row],[Premio-BERINERT]:[Premio-PRIVIGEN]])</f>
        <v>0</v>
      </c>
    </row>
    <row r="183" spans="1:40" hidden="1" x14ac:dyDescent="0.2">
      <c r="A183" s="7" t="s">
        <v>16</v>
      </c>
      <c r="B183" s="7" t="s">
        <v>375</v>
      </c>
      <c r="C183" s="7" t="s">
        <v>373</v>
      </c>
      <c r="D183" s="8" t="s">
        <v>183</v>
      </c>
      <c r="E183" s="8" t="s">
        <v>184</v>
      </c>
      <c r="F183" s="8" t="s">
        <v>557</v>
      </c>
      <c r="G183" s="8" t="s">
        <v>208</v>
      </c>
      <c r="H183" s="13" t="b">
        <v>1</v>
      </c>
      <c r="I183" s="13" t="b">
        <v>1</v>
      </c>
      <c r="J183" s="10">
        <v>0</v>
      </c>
      <c r="K183" s="10">
        <v>198</v>
      </c>
      <c r="L183" s="10">
        <v>105</v>
      </c>
      <c r="M183" s="10">
        <v>0</v>
      </c>
      <c r="N183" s="10">
        <v>6985</v>
      </c>
      <c r="O183" s="10"/>
      <c r="P183" s="10"/>
      <c r="Q183" s="10"/>
      <c r="R183" s="10"/>
      <c r="S183" s="10"/>
      <c r="T183" s="14" t="b">
        <v>0</v>
      </c>
      <c r="U183" s="14" t="b">
        <v>0</v>
      </c>
      <c r="V183" s="14" t="b">
        <v>0</v>
      </c>
      <c r="W183" s="14" t="b">
        <v>0</v>
      </c>
      <c r="X183" s="14" t="b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0.25</v>
      </c>
      <c r="AF183" s="55">
        <v>0.25</v>
      </c>
      <c r="AG183" s="55">
        <v>0</v>
      </c>
      <c r="AH183" s="55">
        <v>0.2</v>
      </c>
      <c r="AI18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3" s="102">
        <f>SUM(VIEW_IV_2019_REP_CALCULO[[#This Row],[Premio-BERINERT]:[Premio-PRIVIGEN]])</f>
        <v>0</v>
      </c>
    </row>
    <row r="184" spans="1:40" hidden="1" x14ac:dyDescent="0.2">
      <c r="A184" s="7" t="s">
        <v>16</v>
      </c>
      <c r="B184" s="7" t="s">
        <v>375</v>
      </c>
      <c r="C184" s="7" t="s">
        <v>373</v>
      </c>
      <c r="D184" s="8" t="s">
        <v>159</v>
      </c>
      <c r="E184" s="8" t="s">
        <v>160</v>
      </c>
      <c r="F184" s="8" t="s">
        <v>740</v>
      </c>
      <c r="G184" s="8" t="s">
        <v>206</v>
      </c>
      <c r="H184" s="13" t="b">
        <v>1</v>
      </c>
      <c r="I184" s="13" t="b">
        <v>1</v>
      </c>
      <c r="J184" s="10">
        <v>7</v>
      </c>
      <c r="K184" s="10">
        <v>88</v>
      </c>
      <c r="L184" s="10">
        <v>60</v>
      </c>
      <c r="M184" s="10">
        <v>285</v>
      </c>
      <c r="N184" s="10">
        <v>5715</v>
      </c>
      <c r="O184" s="10"/>
      <c r="P184" s="10"/>
      <c r="Q184" s="10"/>
      <c r="R184" s="10"/>
      <c r="S184" s="10"/>
      <c r="T184" s="14" t="b">
        <v>0</v>
      </c>
      <c r="U184" s="14" t="b">
        <v>0</v>
      </c>
      <c r="V184" s="14" t="b">
        <v>0</v>
      </c>
      <c r="W184" s="14" t="b">
        <v>0</v>
      </c>
      <c r="X184" s="14" t="b">
        <v>0</v>
      </c>
      <c r="Y184" s="55">
        <v>0</v>
      </c>
      <c r="Z184" s="55">
        <v>0</v>
      </c>
      <c r="AA184" s="55">
        <v>0</v>
      </c>
      <c r="AB184" s="55">
        <v>0</v>
      </c>
      <c r="AC184" s="55">
        <v>0</v>
      </c>
      <c r="AD184" s="55">
        <v>0.05</v>
      </c>
      <c r="AE184" s="55">
        <v>0.15</v>
      </c>
      <c r="AF184" s="55">
        <v>0.15</v>
      </c>
      <c r="AG184" s="55">
        <v>0.2</v>
      </c>
      <c r="AH184" s="55">
        <v>0.15</v>
      </c>
      <c r="AI18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4" s="102">
        <f>SUM(VIEW_IV_2019_REP_CALCULO[[#This Row],[Premio-BERINERT]:[Premio-PRIVIGEN]])</f>
        <v>0</v>
      </c>
    </row>
    <row r="185" spans="1:40" hidden="1" x14ac:dyDescent="0.2">
      <c r="A185" s="7" t="s">
        <v>16</v>
      </c>
      <c r="B185" s="7" t="s">
        <v>375</v>
      </c>
      <c r="C185" s="7" t="s">
        <v>373</v>
      </c>
      <c r="D185" s="8" t="s">
        <v>201</v>
      </c>
      <c r="E185" s="8" t="s">
        <v>202</v>
      </c>
      <c r="F185" s="8" t="s">
        <v>740</v>
      </c>
      <c r="G185" s="8" t="s">
        <v>212</v>
      </c>
      <c r="H185" s="13" t="b">
        <v>1</v>
      </c>
      <c r="I185" s="13" t="b">
        <v>1</v>
      </c>
      <c r="J185" s="10">
        <v>24</v>
      </c>
      <c r="K185" s="10">
        <v>44</v>
      </c>
      <c r="L185" s="10">
        <v>15</v>
      </c>
      <c r="M185" s="10">
        <v>456</v>
      </c>
      <c r="N185" s="10">
        <v>4445</v>
      </c>
      <c r="O185" s="10"/>
      <c r="P185" s="10"/>
      <c r="Q185" s="10"/>
      <c r="R185" s="10"/>
      <c r="S185" s="10"/>
      <c r="T185" s="14" t="b">
        <v>0</v>
      </c>
      <c r="U185" s="14" t="b">
        <v>0</v>
      </c>
      <c r="V185" s="14" t="b">
        <v>0</v>
      </c>
      <c r="W185" s="14" t="b">
        <v>0</v>
      </c>
      <c r="X185" s="14" t="b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0.05</v>
      </c>
      <c r="AE185" s="55">
        <v>0.15</v>
      </c>
      <c r="AF185" s="55">
        <v>0.15</v>
      </c>
      <c r="AG185" s="55">
        <v>0.2</v>
      </c>
      <c r="AH185" s="55">
        <v>0.15</v>
      </c>
      <c r="AI18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5" s="102">
        <f>SUM(VIEW_IV_2019_REP_CALCULO[[#This Row],[Premio-BERINERT]:[Premio-PRIVIGEN]])</f>
        <v>0</v>
      </c>
    </row>
    <row r="186" spans="1:40" hidden="1" x14ac:dyDescent="0.2">
      <c r="A186" s="7" t="s">
        <v>16</v>
      </c>
      <c r="B186" s="7" t="s">
        <v>376</v>
      </c>
      <c r="C186" s="7" t="s">
        <v>377</v>
      </c>
      <c r="D186" s="8" t="s">
        <v>151</v>
      </c>
      <c r="E186" s="8" t="s">
        <v>152</v>
      </c>
      <c r="F186" s="8" t="s">
        <v>556</v>
      </c>
      <c r="G186" s="8" t="s">
        <v>208</v>
      </c>
      <c r="H186" s="13" t="b">
        <v>1</v>
      </c>
      <c r="I186" s="13" t="b">
        <v>1</v>
      </c>
      <c r="J186" s="10">
        <v>18</v>
      </c>
      <c r="K186" s="10">
        <v>0</v>
      </c>
      <c r="L186" s="10">
        <v>0</v>
      </c>
      <c r="M186" s="10">
        <v>969</v>
      </c>
      <c r="N186" s="10">
        <v>8255</v>
      </c>
      <c r="O186" s="10"/>
      <c r="P186" s="10"/>
      <c r="Q186" s="10"/>
      <c r="R186" s="10"/>
      <c r="S186" s="10"/>
      <c r="T186" s="14" t="b">
        <v>0</v>
      </c>
      <c r="U186" s="14" t="b">
        <v>0</v>
      </c>
      <c r="V186" s="14" t="b">
        <v>0</v>
      </c>
      <c r="W186" s="14" t="b">
        <v>0</v>
      </c>
      <c r="X186" s="14" t="b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0.1</v>
      </c>
      <c r="AE186" s="55">
        <v>0</v>
      </c>
      <c r="AF186" s="55">
        <v>0</v>
      </c>
      <c r="AG186" s="55">
        <v>0.4</v>
      </c>
      <c r="AH186" s="55">
        <v>0.2</v>
      </c>
      <c r="AI18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6" s="102">
        <f>SUM(VIEW_IV_2019_REP_CALCULO[[#This Row],[Premio-BERINERT]:[Premio-PRIVIGEN]])</f>
        <v>0</v>
      </c>
    </row>
    <row r="187" spans="1:40" hidden="1" x14ac:dyDescent="0.2">
      <c r="A187" s="7" t="s">
        <v>16</v>
      </c>
      <c r="B187" s="7" t="s">
        <v>376</v>
      </c>
      <c r="C187" s="7" t="s">
        <v>377</v>
      </c>
      <c r="D187" s="8" t="s">
        <v>1355</v>
      </c>
      <c r="E187" s="8" t="s">
        <v>1356</v>
      </c>
      <c r="F187" s="8" t="s">
        <v>556</v>
      </c>
      <c r="G187" s="8" t="s">
        <v>208</v>
      </c>
      <c r="H187" s="13" t="b">
        <v>1</v>
      </c>
      <c r="I187" s="13" t="b">
        <v>1</v>
      </c>
      <c r="J187" s="10">
        <v>18</v>
      </c>
      <c r="K187" s="10">
        <v>0</v>
      </c>
      <c r="L187" s="10">
        <v>0</v>
      </c>
      <c r="M187" s="10">
        <v>684</v>
      </c>
      <c r="N187" s="10">
        <v>5080</v>
      </c>
      <c r="O187" s="10"/>
      <c r="P187" s="10"/>
      <c r="Q187" s="10"/>
      <c r="R187" s="10"/>
      <c r="S187" s="10"/>
      <c r="T187" s="14" t="b">
        <v>0</v>
      </c>
      <c r="U187" s="14" t="b">
        <v>0</v>
      </c>
      <c r="V187" s="14" t="b">
        <v>0</v>
      </c>
      <c r="W187" s="14" t="b">
        <v>0</v>
      </c>
      <c r="X187" s="14" t="b">
        <v>0</v>
      </c>
      <c r="Y187" s="55">
        <v>0</v>
      </c>
      <c r="Z187" s="55">
        <v>0</v>
      </c>
      <c r="AA187" s="55">
        <v>0</v>
      </c>
      <c r="AB187" s="55">
        <v>0</v>
      </c>
      <c r="AC187" s="55">
        <v>0</v>
      </c>
      <c r="AD187" s="55">
        <v>0.1</v>
      </c>
      <c r="AE187" s="55">
        <v>0</v>
      </c>
      <c r="AF187" s="55">
        <v>0</v>
      </c>
      <c r="AG187" s="55">
        <v>0.4</v>
      </c>
      <c r="AH187" s="55">
        <v>0.2</v>
      </c>
      <c r="AI18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7" s="102">
        <f>SUM(VIEW_IV_2019_REP_CALCULO[[#This Row],[Premio-BERINERT]:[Premio-PRIVIGEN]])</f>
        <v>0</v>
      </c>
    </row>
    <row r="188" spans="1:40" hidden="1" x14ac:dyDescent="0.2">
      <c r="A188" s="7" t="s">
        <v>16</v>
      </c>
      <c r="B188" s="7" t="s">
        <v>376</v>
      </c>
      <c r="C188" s="7" t="s">
        <v>377</v>
      </c>
      <c r="D188" s="8" t="s">
        <v>155</v>
      </c>
      <c r="E188" s="8" t="s">
        <v>156</v>
      </c>
      <c r="F188" s="8" t="s">
        <v>556</v>
      </c>
      <c r="G188" s="8" t="s">
        <v>206</v>
      </c>
      <c r="H188" s="13" t="b">
        <v>1</v>
      </c>
      <c r="I188" s="13" t="b">
        <v>1</v>
      </c>
      <c r="J188" s="10">
        <v>13</v>
      </c>
      <c r="K188" s="10">
        <v>0</v>
      </c>
      <c r="L188" s="10">
        <v>0</v>
      </c>
      <c r="M188" s="10">
        <v>1197</v>
      </c>
      <c r="N188" s="10">
        <v>7620</v>
      </c>
      <c r="O188" s="10"/>
      <c r="P188" s="10"/>
      <c r="Q188" s="10"/>
      <c r="R188" s="10"/>
      <c r="S188" s="10"/>
      <c r="T188" s="14" t="b">
        <v>0</v>
      </c>
      <c r="U188" s="14" t="b">
        <v>0</v>
      </c>
      <c r="V188" s="14" t="b">
        <v>0</v>
      </c>
      <c r="W188" s="14" t="b">
        <v>0</v>
      </c>
      <c r="X188" s="14" t="b">
        <v>0</v>
      </c>
      <c r="Y188" s="55">
        <v>0</v>
      </c>
      <c r="Z188" s="55">
        <v>0</v>
      </c>
      <c r="AA188" s="55">
        <v>0</v>
      </c>
      <c r="AB188" s="55">
        <v>0</v>
      </c>
      <c r="AC188" s="55">
        <v>0</v>
      </c>
      <c r="AD188" s="55">
        <v>0.1</v>
      </c>
      <c r="AE188" s="55">
        <v>0</v>
      </c>
      <c r="AF188" s="55">
        <v>0</v>
      </c>
      <c r="AG188" s="55">
        <v>0.4</v>
      </c>
      <c r="AH188" s="55">
        <v>0.2</v>
      </c>
      <c r="AI18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8" s="102">
        <f>SUM(VIEW_IV_2019_REP_CALCULO[[#This Row],[Premio-BERINERT]:[Premio-PRIVIGEN]])</f>
        <v>0</v>
      </c>
    </row>
    <row r="189" spans="1:40" hidden="1" x14ac:dyDescent="0.2">
      <c r="A189" s="7" t="s">
        <v>16</v>
      </c>
      <c r="B189" s="7" t="s">
        <v>376</v>
      </c>
      <c r="C189" s="7" t="s">
        <v>377</v>
      </c>
      <c r="D189" s="8" t="s">
        <v>161</v>
      </c>
      <c r="E189" s="8" t="s">
        <v>162</v>
      </c>
      <c r="F189" s="8" t="s">
        <v>556</v>
      </c>
      <c r="G189" s="8" t="s">
        <v>208</v>
      </c>
      <c r="H189" s="13" t="b">
        <v>1</v>
      </c>
      <c r="I189" s="13" t="b">
        <v>1</v>
      </c>
      <c r="J189" s="10">
        <v>18</v>
      </c>
      <c r="K189" s="10">
        <v>0</v>
      </c>
      <c r="L189" s="10">
        <v>0</v>
      </c>
      <c r="M189" s="10">
        <v>684</v>
      </c>
      <c r="N189" s="10">
        <v>8890</v>
      </c>
      <c r="O189" s="10"/>
      <c r="P189" s="10"/>
      <c r="Q189" s="10"/>
      <c r="R189" s="10"/>
      <c r="S189" s="10"/>
      <c r="T189" s="14" t="b">
        <v>0</v>
      </c>
      <c r="U189" s="14" t="b">
        <v>0</v>
      </c>
      <c r="V189" s="14" t="b">
        <v>0</v>
      </c>
      <c r="W189" s="14" t="b">
        <v>0</v>
      </c>
      <c r="X189" s="14" t="b">
        <v>0</v>
      </c>
      <c r="Y189" s="55">
        <v>0</v>
      </c>
      <c r="Z189" s="55">
        <v>0</v>
      </c>
      <c r="AA189" s="55">
        <v>0</v>
      </c>
      <c r="AB189" s="55">
        <v>0</v>
      </c>
      <c r="AC189" s="55">
        <v>0</v>
      </c>
      <c r="AD189" s="55">
        <v>0.1</v>
      </c>
      <c r="AE189" s="55">
        <v>0</v>
      </c>
      <c r="AF189" s="55">
        <v>0</v>
      </c>
      <c r="AG189" s="55">
        <v>0.4</v>
      </c>
      <c r="AH189" s="55">
        <v>0.2</v>
      </c>
      <c r="AI18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8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8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8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8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89" s="102">
        <f>SUM(VIEW_IV_2019_REP_CALCULO[[#This Row],[Premio-BERINERT]:[Premio-PRIVIGEN]])</f>
        <v>0</v>
      </c>
    </row>
    <row r="190" spans="1:40" hidden="1" x14ac:dyDescent="0.2">
      <c r="A190" s="7" t="s">
        <v>16</v>
      </c>
      <c r="B190" s="7" t="s">
        <v>376</v>
      </c>
      <c r="C190" s="7" t="s">
        <v>377</v>
      </c>
      <c r="D190" s="8" t="s">
        <v>175</v>
      </c>
      <c r="E190" s="8" t="s">
        <v>176</v>
      </c>
      <c r="F190" s="8" t="s">
        <v>556</v>
      </c>
      <c r="G190" s="8" t="s">
        <v>206</v>
      </c>
      <c r="H190" s="13" t="b">
        <v>1</v>
      </c>
      <c r="I190" s="13" t="b">
        <v>1</v>
      </c>
      <c r="J190" s="10">
        <v>45</v>
      </c>
      <c r="K190" s="10">
        <v>0</v>
      </c>
      <c r="L190" s="10">
        <v>0</v>
      </c>
      <c r="M190" s="10">
        <v>741</v>
      </c>
      <c r="N190" s="10">
        <v>13970</v>
      </c>
      <c r="O190" s="10"/>
      <c r="P190" s="10"/>
      <c r="Q190" s="10"/>
      <c r="R190" s="10"/>
      <c r="S190" s="10"/>
      <c r="T190" s="14" t="b">
        <v>0</v>
      </c>
      <c r="U190" s="14" t="b">
        <v>0</v>
      </c>
      <c r="V190" s="14" t="b">
        <v>0</v>
      </c>
      <c r="W190" s="14" t="b">
        <v>0</v>
      </c>
      <c r="X190" s="14" t="b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0.1</v>
      </c>
      <c r="AE190" s="55">
        <v>0</v>
      </c>
      <c r="AF190" s="55">
        <v>0</v>
      </c>
      <c r="AG190" s="55">
        <v>0.4</v>
      </c>
      <c r="AH190" s="55">
        <v>0.2</v>
      </c>
      <c r="AI19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0" s="102">
        <f>SUM(VIEW_IV_2019_REP_CALCULO[[#This Row],[Premio-BERINERT]:[Premio-PRIVIGEN]])</f>
        <v>0</v>
      </c>
    </row>
    <row r="191" spans="1:40" hidden="1" x14ac:dyDescent="0.2">
      <c r="A191" s="7" t="s">
        <v>16</v>
      </c>
      <c r="B191" s="7" t="s">
        <v>376</v>
      </c>
      <c r="C191" s="7" t="s">
        <v>377</v>
      </c>
      <c r="D191" s="8" t="s">
        <v>199</v>
      </c>
      <c r="E191" s="8" t="s">
        <v>200</v>
      </c>
      <c r="F191" s="8" t="s">
        <v>556</v>
      </c>
      <c r="G191" s="8" t="s">
        <v>212</v>
      </c>
      <c r="H191" s="13" t="b">
        <v>1</v>
      </c>
      <c r="I191" s="13" t="b">
        <v>1</v>
      </c>
      <c r="J191" s="10">
        <v>45</v>
      </c>
      <c r="K191" s="10">
        <v>0</v>
      </c>
      <c r="L191" s="10">
        <v>0</v>
      </c>
      <c r="M191" s="10">
        <v>684</v>
      </c>
      <c r="N191" s="10">
        <v>9525</v>
      </c>
      <c r="O191" s="10"/>
      <c r="P191" s="10"/>
      <c r="Q191" s="10"/>
      <c r="R191" s="10"/>
      <c r="S191" s="10"/>
      <c r="T191" s="14" t="b">
        <v>0</v>
      </c>
      <c r="U191" s="14" t="b">
        <v>0</v>
      </c>
      <c r="V191" s="14" t="b">
        <v>0</v>
      </c>
      <c r="W191" s="14" t="b">
        <v>0</v>
      </c>
      <c r="X191" s="14" t="b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0.1</v>
      </c>
      <c r="AE191" s="55">
        <v>0</v>
      </c>
      <c r="AF191" s="55">
        <v>0</v>
      </c>
      <c r="AG191" s="55">
        <v>0.4</v>
      </c>
      <c r="AH191" s="55">
        <v>0.2</v>
      </c>
      <c r="AI19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1" s="102">
        <f>SUM(VIEW_IV_2019_REP_CALCULO[[#This Row],[Premio-BERINERT]:[Premio-PRIVIGEN]])</f>
        <v>0</v>
      </c>
    </row>
    <row r="192" spans="1:40" hidden="1" x14ac:dyDescent="0.2">
      <c r="A192" s="7" t="s">
        <v>16</v>
      </c>
      <c r="B192" s="7" t="s">
        <v>376</v>
      </c>
      <c r="C192" s="7" t="s">
        <v>377</v>
      </c>
      <c r="D192" s="8" t="s">
        <v>144</v>
      </c>
      <c r="E192" s="8" t="s">
        <v>145</v>
      </c>
      <c r="F192" s="8" t="s">
        <v>557</v>
      </c>
      <c r="G192" s="8" t="s">
        <v>206</v>
      </c>
      <c r="H192" s="13" t="b">
        <v>1</v>
      </c>
      <c r="I192" s="13" t="b">
        <v>1</v>
      </c>
      <c r="J192" s="10">
        <v>0</v>
      </c>
      <c r="K192" s="10">
        <v>138</v>
      </c>
      <c r="L192" s="10">
        <v>150</v>
      </c>
      <c r="M192" s="10">
        <v>0</v>
      </c>
      <c r="N192" s="10">
        <v>3810</v>
      </c>
      <c r="O192" s="10"/>
      <c r="P192" s="10"/>
      <c r="Q192" s="10"/>
      <c r="R192" s="10"/>
      <c r="S192" s="10"/>
      <c r="T192" s="14" t="b">
        <v>0</v>
      </c>
      <c r="U192" s="14" t="b">
        <v>0</v>
      </c>
      <c r="V192" s="14" t="b">
        <v>0</v>
      </c>
      <c r="W192" s="14" t="b">
        <v>0</v>
      </c>
      <c r="X192" s="14" t="b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0.25</v>
      </c>
      <c r="AF192" s="55">
        <v>0.25</v>
      </c>
      <c r="AG192" s="55">
        <v>0</v>
      </c>
      <c r="AH192" s="55">
        <v>0.2</v>
      </c>
      <c r="AI19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2" s="102">
        <f>SUM(VIEW_IV_2019_REP_CALCULO[[#This Row],[Premio-BERINERT]:[Premio-PRIVIGEN]])</f>
        <v>0</v>
      </c>
    </row>
    <row r="193" spans="1:40" hidden="1" x14ac:dyDescent="0.2">
      <c r="A193" s="7" t="s">
        <v>16</v>
      </c>
      <c r="B193" s="7" t="s">
        <v>376</v>
      </c>
      <c r="C193" s="7" t="s">
        <v>377</v>
      </c>
      <c r="D193" s="8" t="s">
        <v>147</v>
      </c>
      <c r="E193" s="8" t="s">
        <v>148</v>
      </c>
      <c r="F193" s="8" t="s">
        <v>557</v>
      </c>
      <c r="G193" s="8" t="s">
        <v>208</v>
      </c>
      <c r="H193" s="13" t="b">
        <v>1</v>
      </c>
      <c r="I193" s="13" t="b">
        <v>1</v>
      </c>
      <c r="J193" s="10">
        <v>0</v>
      </c>
      <c r="K193" s="10">
        <v>161</v>
      </c>
      <c r="L193" s="10">
        <v>180</v>
      </c>
      <c r="M193" s="10">
        <v>0</v>
      </c>
      <c r="N193" s="10">
        <v>5080</v>
      </c>
      <c r="O193" s="10"/>
      <c r="P193" s="10"/>
      <c r="Q193" s="10"/>
      <c r="R193" s="10"/>
      <c r="S193" s="10"/>
      <c r="T193" s="14" t="b">
        <v>0</v>
      </c>
      <c r="U193" s="14" t="b">
        <v>0</v>
      </c>
      <c r="V193" s="14" t="b">
        <v>0</v>
      </c>
      <c r="W193" s="14" t="b">
        <v>0</v>
      </c>
      <c r="X193" s="14" t="b">
        <v>0</v>
      </c>
      <c r="Y193" s="55">
        <v>0</v>
      </c>
      <c r="Z193" s="55">
        <v>0</v>
      </c>
      <c r="AA193" s="55">
        <v>0</v>
      </c>
      <c r="AB193" s="55">
        <v>0</v>
      </c>
      <c r="AC193" s="55">
        <v>0</v>
      </c>
      <c r="AD193" s="55">
        <v>0</v>
      </c>
      <c r="AE193" s="55">
        <v>0.25</v>
      </c>
      <c r="AF193" s="55">
        <v>0.25</v>
      </c>
      <c r="AG193" s="55">
        <v>0</v>
      </c>
      <c r="AH193" s="55">
        <v>0.2</v>
      </c>
      <c r="AI19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3" s="102">
        <f>SUM(VIEW_IV_2019_REP_CALCULO[[#This Row],[Premio-BERINERT]:[Premio-PRIVIGEN]])</f>
        <v>0</v>
      </c>
    </row>
    <row r="194" spans="1:40" hidden="1" x14ac:dyDescent="0.2">
      <c r="A194" s="7" t="s">
        <v>16</v>
      </c>
      <c r="B194" s="7" t="s">
        <v>376</v>
      </c>
      <c r="C194" s="7" t="s">
        <v>377</v>
      </c>
      <c r="D194" s="8" t="s">
        <v>149</v>
      </c>
      <c r="E194" s="8" t="s">
        <v>150</v>
      </c>
      <c r="F194" s="8" t="s">
        <v>557</v>
      </c>
      <c r="G194" s="8" t="s">
        <v>208</v>
      </c>
      <c r="H194" s="13" t="b">
        <v>1</v>
      </c>
      <c r="I194" s="13" t="b">
        <v>1</v>
      </c>
      <c r="J194" s="10">
        <v>0</v>
      </c>
      <c r="K194" s="10">
        <v>138</v>
      </c>
      <c r="L194" s="10">
        <v>75</v>
      </c>
      <c r="M194" s="10">
        <v>0</v>
      </c>
      <c r="N194" s="10">
        <v>8890</v>
      </c>
      <c r="O194" s="10"/>
      <c r="P194" s="10"/>
      <c r="Q194" s="10"/>
      <c r="R194" s="10"/>
      <c r="S194" s="10"/>
      <c r="T194" s="14" t="b">
        <v>0</v>
      </c>
      <c r="U194" s="14" t="b">
        <v>0</v>
      </c>
      <c r="V194" s="14" t="b">
        <v>0</v>
      </c>
      <c r="W194" s="14" t="b">
        <v>0</v>
      </c>
      <c r="X194" s="14" t="b">
        <v>0</v>
      </c>
      <c r="Y194" s="55">
        <v>0</v>
      </c>
      <c r="Z194" s="55">
        <v>0</v>
      </c>
      <c r="AA194" s="55">
        <v>0</v>
      </c>
      <c r="AB194" s="55">
        <v>0</v>
      </c>
      <c r="AC194" s="55">
        <v>0</v>
      </c>
      <c r="AD194" s="55">
        <v>0</v>
      </c>
      <c r="AE194" s="55">
        <v>0.25</v>
      </c>
      <c r="AF194" s="55">
        <v>0.25</v>
      </c>
      <c r="AG194" s="55">
        <v>0</v>
      </c>
      <c r="AH194" s="55">
        <v>0.2</v>
      </c>
      <c r="AI19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4" s="102">
        <f>SUM(VIEW_IV_2019_REP_CALCULO[[#This Row],[Premio-BERINERT]:[Premio-PRIVIGEN]])</f>
        <v>0</v>
      </c>
    </row>
    <row r="195" spans="1:40" hidden="1" x14ac:dyDescent="0.2">
      <c r="A195" s="7" t="s">
        <v>16</v>
      </c>
      <c r="B195" s="7" t="s">
        <v>376</v>
      </c>
      <c r="C195" s="7" t="s">
        <v>377</v>
      </c>
      <c r="D195" s="8" t="s">
        <v>157</v>
      </c>
      <c r="E195" s="8" t="s">
        <v>158</v>
      </c>
      <c r="F195" s="8" t="s">
        <v>557</v>
      </c>
      <c r="G195" s="8" t="s">
        <v>206</v>
      </c>
      <c r="H195" s="13" t="b">
        <v>1</v>
      </c>
      <c r="I195" s="13" t="b">
        <v>1</v>
      </c>
      <c r="J195" s="10">
        <v>0</v>
      </c>
      <c r="K195" s="10">
        <v>92</v>
      </c>
      <c r="L195" s="10">
        <v>60</v>
      </c>
      <c r="M195" s="10">
        <v>0</v>
      </c>
      <c r="N195" s="10">
        <v>10160</v>
      </c>
      <c r="O195" s="10"/>
      <c r="P195" s="10"/>
      <c r="Q195" s="10"/>
      <c r="R195" s="10"/>
      <c r="S195" s="10"/>
      <c r="T195" s="14" t="b">
        <v>0</v>
      </c>
      <c r="U195" s="14" t="b">
        <v>0</v>
      </c>
      <c r="V195" s="14" t="b">
        <v>0</v>
      </c>
      <c r="W195" s="14" t="b">
        <v>0</v>
      </c>
      <c r="X195" s="14" t="b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0.25</v>
      </c>
      <c r="AF195" s="55">
        <v>0.25</v>
      </c>
      <c r="AG195" s="55">
        <v>0</v>
      </c>
      <c r="AH195" s="55">
        <v>0.2</v>
      </c>
      <c r="AI19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5" s="102">
        <f>SUM(VIEW_IV_2019_REP_CALCULO[[#This Row],[Premio-BERINERT]:[Premio-PRIVIGEN]])</f>
        <v>0</v>
      </c>
    </row>
    <row r="196" spans="1:40" hidden="1" x14ac:dyDescent="0.2">
      <c r="A196" s="7" t="s">
        <v>16</v>
      </c>
      <c r="B196" s="7" t="s">
        <v>376</v>
      </c>
      <c r="C196" s="7" t="s">
        <v>377</v>
      </c>
      <c r="D196" s="8" t="s">
        <v>163</v>
      </c>
      <c r="E196" s="8" t="s">
        <v>164</v>
      </c>
      <c r="F196" s="8" t="s">
        <v>557</v>
      </c>
      <c r="G196" s="8" t="s">
        <v>212</v>
      </c>
      <c r="H196" s="13" t="b">
        <v>1</v>
      </c>
      <c r="I196" s="13" t="b">
        <v>1</v>
      </c>
      <c r="J196" s="10">
        <v>0</v>
      </c>
      <c r="K196" s="10">
        <v>253</v>
      </c>
      <c r="L196" s="10">
        <v>105</v>
      </c>
      <c r="M196" s="10">
        <v>0</v>
      </c>
      <c r="N196" s="10">
        <v>4445</v>
      </c>
      <c r="O196" s="10"/>
      <c r="P196" s="10"/>
      <c r="Q196" s="10"/>
      <c r="R196" s="10"/>
      <c r="S196" s="10"/>
      <c r="T196" s="14" t="b">
        <v>0</v>
      </c>
      <c r="U196" s="14" t="b">
        <v>0</v>
      </c>
      <c r="V196" s="14" t="b">
        <v>0</v>
      </c>
      <c r="W196" s="14" t="b">
        <v>0</v>
      </c>
      <c r="X196" s="14" t="b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0.25</v>
      </c>
      <c r="AF196" s="55">
        <v>0.25</v>
      </c>
      <c r="AG196" s="55">
        <v>0</v>
      </c>
      <c r="AH196" s="55">
        <v>0.2</v>
      </c>
      <c r="AI19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6" s="102">
        <f>SUM(VIEW_IV_2019_REP_CALCULO[[#This Row],[Premio-BERINERT]:[Premio-PRIVIGEN]])</f>
        <v>0</v>
      </c>
    </row>
    <row r="197" spans="1:40" hidden="1" x14ac:dyDescent="0.2">
      <c r="A197" s="7" t="s">
        <v>16</v>
      </c>
      <c r="B197" s="7" t="s">
        <v>376</v>
      </c>
      <c r="C197" s="7" t="s">
        <v>377</v>
      </c>
      <c r="D197" s="8" t="s">
        <v>165</v>
      </c>
      <c r="E197" s="8" t="s">
        <v>166</v>
      </c>
      <c r="F197" s="8" t="s">
        <v>557</v>
      </c>
      <c r="G197" s="8" t="s">
        <v>212</v>
      </c>
      <c r="H197" s="13" t="b">
        <v>1</v>
      </c>
      <c r="I197" s="13" t="b">
        <v>1</v>
      </c>
      <c r="J197" s="10">
        <v>0</v>
      </c>
      <c r="K197" s="10">
        <v>207</v>
      </c>
      <c r="L197" s="10">
        <v>165</v>
      </c>
      <c r="M197" s="10">
        <v>0</v>
      </c>
      <c r="N197" s="10">
        <v>2540</v>
      </c>
      <c r="O197" s="10"/>
      <c r="P197" s="10"/>
      <c r="Q197" s="10"/>
      <c r="R197" s="10"/>
      <c r="S197" s="10"/>
      <c r="T197" s="14" t="b">
        <v>0</v>
      </c>
      <c r="U197" s="14" t="b">
        <v>0</v>
      </c>
      <c r="V197" s="14" t="b">
        <v>0</v>
      </c>
      <c r="W197" s="14" t="b">
        <v>0</v>
      </c>
      <c r="X197" s="14" t="b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0.25</v>
      </c>
      <c r="AF197" s="55">
        <v>0.25</v>
      </c>
      <c r="AG197" s="55">
        <v>0</v>
      </c>
      <c r="AH197" s="55">
        <v>0.2</v>
      </c>
      <c r="AI19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7" s="102">
        <f>SUM(VIEW_IV_2019_REP_CALCULO[[#This Row],[Premio-BERINERT]:[Premio-PRIVIGEN]])</f>
        <v>0</v>
      </c>
    </row>
    <row r="198" spans="1:40" hidden="1" x14ac:dyDescent="0.2">
      <c r="A198" s="7" t="s">
        <v>16</v>
      </c>
      <c r="B198" s="7" t="s">
        <v>376</v>
      </c>
      <c r="C198" s="7" t="s">
        <v>377</v>
      </c>
      <c r="D198" s="8" t="s">
        <v>167</v>
      </c>
      <c r="E198" s="8" t="s">
        <v>168</v>
      </c>
      <c r="F198" s="8" t="s">
        <v>557</v>
      </c>
      <c r="G198" s="8" t="s">
        <v>212</v>
      </c>
      <c r="H198" s="13" t="b">
        <v>1</v>
      </c>
      <c r="I198" s="13" t="b">
        <v>1</v>
      </c>
      <c r="J198" s="10">
        <v>0</v>
      </c>
      <c r="K198" s="10">
        <v>184</v>
      </c>
      <c r="L198" s="10">
        <v>105</v>
      </c>
      <c r="M198" s="10">
        <v>0</v>
      </c>
      <c r="N198" s="10">
        <v>4445</v>
      </c>
      <c r="O198" s="10"/>
      <c r="P198" s="10"/>
      <c r="Q198" s="10"/>
      <c r="R198" s="10"/>
      <c r="S198" s="10"/>
      <c r="T198" s="14" t="b">
        <v>0</v>
      </c>
      <c r="U198" s="14" t="b">
        <v>0</v>
      </c>
      <c r="V198" s="14" t="b">
        <v>0</v>
      </c>
      <c r="W198" s="14" t="b">
        <v>0</v>
      </c>
      <c r="X198" s="14" t="b">
        <v>0</v>
      </c>
      <c r="Y198" s="55">
        <v>0</v>
      </c>
      <c r="Z198" s="55">
        <v>0</v>
      </c>
      <c r="AA198" s="55">
        <v>0</v>
      </c>
      <c r="AB198" s="55">
        <v>0</v>
      </c>
      <c r="AC198" s="55">
        <v>0</v>
      </c>
      <c r="AD198" s="55">
        <v>0</v>
      </c>
      <c r="AE198" s="55">
        <v>0.25</v>
      </c>
      <c r="AF198" s="55">
        <v>0.25</v>
      </c>
      <c r="AG198" s="55">
        <v>0</v>
      </c>
      <c r="AH198" s="55">
        <v>0.2</v>
      </c>
      <c r="AI19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8" s="102">
        <f>SUM(VIEW_IV_2019_REP_CALCULO[[#This Row],[Premio-BERINERT]:[Premio-PRIVIGEN]])</f>
        <v>0</v>
      </c>
    </row>
    <row r="199" spans="1:40" hidden="1" x14ac:dyDescent="0.2">
      <c r="A199" s="7" t="s">
        <v>16</v>
      </c>
      <c r="B199" s="7" t="s">
        <v>376</v>
      </c>
      <c r="C199" s="7" t="s">
        <v>377</v>
      </c>
      <c r="D199" s="8" t="s">
        <v>169</v>
      </c>
      <c r="E199" s="8" t="s">
        <v>170</v>
      </c>
      <c r="F199" s="8" t="s">
        <v>557</v>
      </c>
      <c r="G199" s="8" t="s">
        <v>212</v>
      </c>
      <c r="H199" s="13" t="b">
        <v>1</v>
      </c>
      <c r="I199" s="13" t="b">
        <v>1</v>
      </c>
      <c r="J199" s="10">
        <v>0</v>
      </c>
      <c r="K199" s="10">
        <v>230</v>
      </c>
      <c r="L199" s="10">
        <v>60</v>
      </c>
      <c r="M199" s="10">
        <v>0</v>
      </c>
      <c r="N199" s="10">
        <v>2540</v>
      </c>
      <c r="O199" s="10"/>
      <c r="P199" s="10"/>
      <c r="Q199" s="10"/>
      <c r="R199" s="10"/>
      <c r="S199" s="10"/>
      <c r="T199" s="14" t="b">
        <v>0</v>
      </c>
      <c r="U199" s="14" t="b">
        <v>0</v>
      </c>
      <c r="V199" s="14" t="b">
        <v>0</v>
      </c>
      <c r="W199" s="14" t="b">
        <v>0</v>
      </c>
      <c r="X199" s="14" t="b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5">
        <v>0.25</v>
      </c>
      <c r="AF199" s="55">
        <v>0.25</v>
      </c>
      <c r="AG199" s="55">
        <v>0</v>
      </c>
      <c r="AH199" s="55">
        <v>0.2</v>
      </c>
      <c r="AI19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19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19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19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19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199" s="102">
        <f>SUM(VIEW_IV_2019_REP_CALCULO[[#This Row],[Premio-BERINERT]:[Premio-PRIVIGEN]])</f>
        <v>0</v>
      </c>
    </row>
    <row r="200" spans="1:40" hidden="1" x14ac:dyDescent="0.2">
      <c r="A200" s="7" t="s">
        <v>16</v>
      </c>
      <c r="B200" s="7" t="s">
        <v>376</v>
      </c>
      <c r="C200" s="7" t="s">
        <v>377</v>
      </c>
      <c r="D200" s="8" t="s">
        <v>173</v>
      </c>
      <c r="E200" s="8" t="s">
        <v>174</v>
      </c>
      <c r="F200" s="8" t="s">
        <v>557</v>
      </c>
      <c r="G200" s="8" t="s">
        <v>206</v>
      </c>
      <c r="H200" s="13" t="b">
        <v>1</v>
      </c>
      <c r="I200" s="13" t="b">
        <v>1</v>
      </c>
      <c r="J200" s="10">
        <v>0</v>
      </c>
      <c r="K200" s="10">
        <v>138</v>
      </c>
      <c r="L200" s="10">
        <v>90</v>
      </c>
      <c r="M200" s="10">
        <v>0</v>
      </c>
      <c r="N200" s="10">
        <v>3810</v>
      </c>
      <c r="O200" s="10"/>
      <c r="P200" s="10"/>
      <c r="Q200" s="10"/>
      <c r="R200" s="10"/>
      <c r="S200" s="10"/>
      <c r="T200" s="14" t="b">
        <v>0</v>
      </c>
      <c r="U200" s="14" t="b">
        <v>0</v>
      </c>
      <c r="V200" s="14" t="b">
        <v>0</v>
      </c>
      <c r="W200" s="14" t="b">
        <v>0</v>
      </c>
      <c r="X200" s="14" t="b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0.25</v>
      </c>
      <c r="AF200" s="55">
        <v>0.25</v>
      </c>
      <c r="AG200" s="55">
        <v>0</v>
      </c>
      <c r="AH200" s="55">
        <v>0.2</v>
      </c>
      <c r="AI20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0" s="102">
        <f>SUM(VIEW_IV_2019_REP_CALCULO[[#This Row],[Premio-BERINERT]:[Premio-PRIVIGEN]])</f>
        <v>0</v>
      </c>
    </row>
    <row r="201" spans="1:40" hidden="1" x14ac:dyDescent="0.2">
      <c r="A201" s="7" t="s">
        <v>16</v>
      </c>
      <c r="B201" s="7" t="s">
        <v>376</v>
      </c>
      <c r="C201" s="7" t="s">
        <v>377</v>
      </c>
      <c r="D201" s="8" t="s">
        <v>177</v>
      </c>
      <c r="E201" s="8" t="s">
        <v>178</v>
      </c>
      <c r="F201" s="8" t="s">
        <v>557</v>
      </c>
      <c r="G201" s="8" t="s">
        <v>208</v>
      </c>
      <c r="H201" s="13" t="b">
        <v>1</v>
      </c>
      <c r="I201" s="13" t="b">
        <v>1</v>
      </c>
      <c r="J201" s="10">
        <v>0</v>
      </c>
      <c r="K201" s="10">
        <v>161</v>
      </c>
      <c r="L201" s="10">
        <v>150</v>
      </c>
      <c r="M201" s="10">
        <v>0</v>
      </c>
      <c r="N201" s="10">
        <v>5080</v>
      </c>
      <c r="O201" s="10"/>
      <c r="P201" s="10"/>
      <c r="Q201" s="10"/>
      <c r="R201" s="10"/>
      <c r="S201" s="10"/>
      <c r="T201" s="14" t="b">
        <v>0</v>
      </c>
      <c r="U201" s="14" t="b">
        <v>0</v>
      </c>
      <c r="V201" s="14" t="b">
        <v>0</v>
      </c>
      <c r="W201" s="14" t="b">
        <v>0</v>
      </c>
      <c r="X201" s="14" t="b">
        <v>0</v>
      </c>
      <c r="Y201" s="55">
        <v>0</v>
      </c>
      <c r="Z201" s="55">
        <v>0</v>
      </c>
      <c r="AA201" s="55">
        <v>0</v>
      </c>
      <c r="AB201" s="55">
        <v>0</v>
      </c>
      <c r="AC201" s="55">
        <v>0</v>
      </c>
      <c r="AD201" s="55">
        <v>0</v>
      </c>
      <c r="AE201" s="55">
        <v>0.25</v>
      </c>
      <c r="AF201" s="55">
        <v>0.25</v>
      </c>
      <c r="AG201" s="55">
        <v>0</v>
      </c>
      <c r="AH201" s="55">
        <v>0.2</v>
      </c>
      <c r="AI20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1" s="102">
        <f>SUM(VIEW_IV_2019_REP_CALCULO[[#This Row],[Premio-BERINERT]:[Premio-PRIVIGEN]])</f>
        <v>0</v>
      </c>
    </row>
    <row r="202" spans="1:40" hidden="1" x14ac:dyDescent="0.2">
      <c r="A202" s="7" t="s">
        <v>16</v>
      </c>
      <c r="B202" s="7" t="s">
        <v>376</v>
      </c>
      <c r="C202" s="7" t="s">
        <v>377</v>
      </c>
      <c r="D202" s="8" t="s">
        <v>181</v>
      </c>
      <c r="E202" s="8" t="s">
        <v>182</v>
      </c>
      <c r="F202" s="8" t="s">
        <v>557</v>
      </c>
      <c r="G202" s="8" t="s">
        <v>206</v>
      </c>
      <c r="H202" s="13" t="b">
        <v>1</v>
      </c>
      <c r="I202" s="13" t="b">
        <v>1</v>
      </c>
      <c r="J202" s="10">
        <v>0</v>
      </c>
      <c r="K202" s="10">
        <v>253</v>
      </c>
      <c r="L202" s="10">
        <v>180</v>
      </c>
      <c r="M202" s="10">
        <v>0</v>
      </c>
      <c r="N202" s="10">
        <v>5715</v>
      </c>
      <c r="O202" s="10"/>
      <c r="P202" s="10"/>
      <c r="Q202" s="10"/>
      <c r="R202" s="10"/>
      <c r="S202" s="10"/>
      <c r="T202" s="14" t="b">
        <v>0</v>
      </c>
      <c r="U202" s="14" t="b">
        <v>0</v>
      </c>
      <c r="V202" s="14" t="b">
        <v>0</v>
      </c>
      <c r="W202" s="14" t="b">
        <v>0</v>
      </c>
      <c r="X202" s="14" t="b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0.25</v>
      </c>
      <c r="AF202" s="55">
        <v>0.25</v>
      </c>
      <c r="AG202" s="55">
        <v>0</v>
      </c>
      <c r="AH202" s="55">
        <v>0.2</v>
      </c>
      <c r="AI20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2" s="102">
        <f>SUM(VIEW_IV_2019_REP_CALCULO[[#This Row],[Premio-BERINERT]:[Premio-PRIVIGEN]])</f>
        <v>0</v>
      </c>
    </row>
    <row r="203" spans="1:40" hidden="1" x14ac:dyDescent="0.2">
      <c r="A203" s="7" t="s">
        <v>16</v>
      </c>
      <c r="B203" s="7" t="s">
        <v>376</v>
      </c>
      <c r="C203" s="7" t="s">
        <v>377</v>
      </c>
      <c r="D203" s="8" t="s">
        <v>183</v>
      </c>
      <c r="E203" s="8" t="s">
        <v>184</v>
      </c>
      <c r="F203" s="8" t="s">
        <v>557</v>
      </c>
      <c r="G203" s="8" t="s">
        <v>208</v>
      </c>
      <c r="H203" s="13" t="b">
        <v>1</v>
      </c>
      <c r="I203" s="13" t="b">
        <v>1</v>
      </c>
      <c r="J203" s="10">
        <v>0</v>
      </c>
      <c r="K203" s="10">
        <v>207</v>
      </c>
      <c r="L203" s="10">
        <v>105</v>
      </c>
      <c r="M203" s="10">
        <v>0</v>
      </c>
      <c r="N203" s="10">
        <v>6985</v>
      </c>
      <c r="O203" s="10"/>
      <c r="P203" s="10"/>
      <c r="Q203" s="10"/>
      <c r="R203" s="10"/>
      <c r="S203" s="10"/>
      <c r="T203" s="14" t="b">
        <v>0</v>
      </c>
      <c r="U203" s="14" t="b">
        <v>0</v>
      </c>
      <c r="V203" s="14" t="b">
        <v>0</v>
      </c>
      <c r="W203" s="14" t="b">
        <v>0</v>
      </c>
      <c r="X203" s="14" t="b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0.25</v>
      </c>
      <c r="AF203" s="55">
        <v>0.25</v>
      </c>
      <c r="AG203" s="55">
        <v>0</v>
      </c>
      <c r="AH203" s="55">
        <v>0.2</v>
      </c>
      <c r="AI20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3" s="102">
        <f>SUM(VIEW_IV_2019_REP_CALCULO[[#This Row],[Premio-BERINERT]:[Premio-PRIVIGEN]])</f>
        <v>0</v>
      </c>
    </row>
    <row r="204" spans="1:40" hidden="1" x14ac:dyDescent="0.2">
      <c r="A204" s="7" t="s">
        <v>16</v>
      </c>
      <c r="B204" s="7" t="s">
        <v>376</v>
      </c>
      <c r="C204" s="7" t="s">
        <v>377</v>
      </c>
      <c r="D204" s="8" t="s">
        <v>159</v>
      </c>
      <c r="E204" s="8" t="s">
        <v>160</v>
      </c>
      <c r="F204" s="8" t="s">
        <v>740</v>
      </c>
      <c r="G204" s="8" t="s">
        <v>206</v>
      </c>
      <c r="H204" s="13" t="b">
        <v>1</v>
      </c>
      <c r="I204" s="13" t="b">
        <v>1</v>
      </c>
      <c r="J204" s="10">
        <v>5</v>
      </c>
      <c r="K204" s="10">
        <v>92</v>
      </c>
      <c r="L204" s="10">
        <v>60</v>
      </c>
      <c r="M204" s="10">
        <v>285</v>
      </c>
      <c r="N204" s="10">
        <v>5715</v>
      </c>
      <c r="O204" s="10"/>
      <c r="P204" s="10"/>
      <c r="Q204" s="10"/>
      <c r="R204" s="10"/>
      <c r="S204" s="10"/>
      <c r="T204" s="14" t="b">
        <v>0</v>
      </c>
      <c r="U204" s="14" t="b">
        <v>0</v>
      </c>
      <c r="V204" s="14" t="b">
        <v>0</v>
      </c>
      <c r="W204" s="14" t="b">
        <v>0</v>
      </c>
      <c r="X204" s="14" t="b">
        <v>0</v>
      </c>
      <c r="Y204" s="55">
        <v>0</v>
      </c>
      <c r="Z204" s="55">
        <v>0</v>
      </c>
      <c r="AA204" s="55">
        <v>0</v>
      </c>
      <c r="AB204" s="55">
        <v>0</v>
      </c>
      <c r="AC204" s="55">
        <v>0</v>
      </c>
      <c r="AD204" s="55">
        <v>0.05</v>
      </c>
      <c r="AE204" s="55">
        <v>0.15</v>
      </c>
      <c r="AF204" s="55">
        <v>0.15</v>
      </c>
      <c r="AG204" s="55">
        <v>0.2</v>
      </c>
      <c r="AH204" s="55">
        <v>0.15</v>
      </c>
      <c r="AI20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4" s="102">
        <f>SUM(VIEW_IV_2019_REP_CALCULO[[#This Row],[Premio-BERINERT]:[Premio-PRIVIGEN]])</f>
        <v>0</v>
      </c>
    </row>
    <row r="205" spans="1:40" hidden="1" x14ac:dyDescent="0.2">
      <c r="A205" s="7" t="s">
        <v>16</v>
      </c>
      <c r="B205" s="7" t="s">
        <v>376</v>
      </c>
      <c r="C205" s="7" t="s">
        <v>377</v>
      </c>
      <c r="D205" s="8" t="s">
        <v>201</v>
      </c>
      <c r="E205" s="8" t="s">
        <v>202</v>
      </c>
      <c r="F205" s="8" t="s">
        <v>740</v>
      </c>
      <c r="G205" s="8" t="s">
        <v>212</v>
      </c>
      <c r="H205" s="13" t="b">
        <v>1</v>
      </c>
      <c r="I205" s="13" t="b">
        <v>1</v>
      </c>
      <c r="J205" s="10">
        <v>18</v>
      </c>
      <c r="K205" s="10">
        <v>46</v>
      </c>
      <c r="L205" s="10">
        <v>15</v>
      </c>
      <c r="M205" s="10">
        <v>456</v>
      </c>
      <c r="N205" s="10">
        <v>4445</v>
      </c>
      <c r="O205" s="10"/>
      <c r="P205" s="10"/>
      <c r="Q205" s="10"/>
      <c r="R205" s="10"/>
      <c r="S205" s="10"/>
      <c r="T205" s="14" t="b">
        <v>0</v>
      </c>
      <c r="U205" s="14" t="b">
        <v>0</v>
      </c>
      <c r="V205" s="14" t="b">
        <v>0</v>
      </c>
      <c r="W205" s="14" t="b">
        <v>0</v>
      </c>
      <c r="X205" s="14" t="b">
        <v>0</v>
      </c>
      <c r="Y205" s="55">
        <v>0</v>
      </c>
      <c r="Z205" s="55">
        <v>0</v>
      </c>
      <c r="AA205" s="55">
        <v>0</v>
      </c>
      <c r="AB205" s="55">
        <v>0</v>
      </c>
      <c r="AC205" s="55">
        <v>0</v>
      </c>
      <c r="AD205" s="55">
        <v>0.05</v>
      </c>
      <c r="AE205" s="55">
        <v>0.15</v>
      </c>
      <c r="AF205" s="55">
        <v>0.15</v>
      </c>
      <c r="AG205" s="55">
        <v>0.2</v>
      </c>
      <c r="AH205" s="55">
        <v>0.15</v>
      </c>
      <c r="AI20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5" s="102">
        <f>SUM(VIEW_IV_2019_REP_CALCULO[[#This Row],[Premio-BERINERT]:[Premio-PRIVIGEN]])</f>
        <v>0</v>
      </c>
    </row>
    <row r="206" spans="1:40" hidden="1" x14ac:dyDescent="0.2">
      <c r="A206" s="7" t="s">
        <v>16</v>
      </c>
      <c r="B206" s="7" t="s">
        <v>378</v>
      </c>
      <c r="C206" s="7" t="s">
        <v>377</v>
      </c>
      <c r="D206" s="8" t="s">
        <v>151</v>
      </c>
      <c r="E206" s="8" t="s">
        <v>152</v>
      </c>
      <c r="F206" s="8" t="s">
        <v>556</v>
      </c>
      <c r="G206" s="8" t="s">
        <v>208</v>
      </c>
      <c r="H206" s="13" t="b">
        <v>1</v>
      </c>
      <c r="I206" s="13" t="b">
        <v>1</v>
      </c>
      <c r="J206" s="10">
        <v>18</v>
      </c>
      <c r="K206" s="10">
        <v>0</v>
      </c>
      <c r="L206" s="10">
        <v>0</v>
      </c>
      <c r="M206" s="10">
        <v>969</v>
      </c>
      <c r="N206" s="10">
        <v>7605</v>
      </c>
      <c r="O206" s="10"/>
      <c r="P206" s="10"/>
      <c r="Q206" s="10"/>
      <c r="R206" s="10"/>
      <c r="S206" s="10"/>
      <c r="T206" s="14" t="b">
        <v>0</v>
      </c>
      <c r="U206" s="14" t="b">
        <v>0</v>
      </c>
      <c r="V206" s="14" t="b">
        <v>0</v>
      </c>
      <c r="W206" s="14" t="b">
        <v>0</v>
      </c>
      <c r="X206" s="14" t="b">
        <v>0</v>
      </c>
      <c r="Y206" s="55">
        <v>0</v>
      </c>
      <c r="Z206" s="55">
        <v>0</v>
      </c>
      <c r="AA206" s="55">
        <v>0</v>
      </c>
      <c r="AB206" s="55">
        <v>0</v>
      </c>
      <c r="AC206" s="55">
        <v>0</v>
      </c>
      <c r="AD206" s="55">
        <v>0.1</v>
      </c>
      <c r="AE206" s="55">
        <v>0</v>
      </c>
      <c r="AF206" s="55">
        <v>0</v>
      </c>
      <c r="AG206" s="55">
        <v>0.4</v>
      </c>
      <c r="AH206" s="55">
        <v>0.2</v>
      </c>
      <c r="AI20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6" s="102">
        <f>SUM(VIEW_IV_2019_REP_CALCULO[[#This Row],[Premio-BERINERT]:[Premio-PRIVIGEN]])</f>
        <v>0</v>
      </c>
    </row>
    <row r="207" spans="1:40" hidden="1" x14ac:dyDescent="0.2">
      <c r="A207" s="7" t="s">
        <v>16</v>
      </c>
      <c r="B207" s="7" t="s">
        <v>378</v>
      </c>
      <c r="C207" s="7" t="s">
        <v>377</v>
      </c>
      <c r="D207" s="8" t="s">
        <v>1355</v>
      </c>
      <c r="E207" s="8" t="s">
        <v>1356</v>
      </c>
      <c r="F207" s="8" t="s">
        <v>556</v>
      </c>
      <c r="G207" s="8" t="s">
        <v>208</v>
      </c>
      <c r="H207" s="13" t="b">
        <v>1</v>
      </c>
      <c r="I207" s="13" t="b">
        <v>1</v>
      </c>
      <c r="J207" s="10">
        <v>18</v>
      </c>
      <c r="K207" s="10">
        <v>0</v>
      </c>
      <c r="L207" s="10">
        <v>0</v>
      </c>
      <c r="M207" s="10">
        <v>684</v>
      </c>
      <c r="N207" s="10">
        <v>4680</v>
      </c>
      <c r="O207" s="10"/>
      <c r="P207" s="10"/>
      <c r="Q207" s="10"/>
      <c r="R207" s="10"/>
      <c r="S207" s="10"/>
      <c r="T207" s="14" t="b">
        <v>0</v>
      </c>
      <c r="U207" s="14" t="b">
        <v>0</v>
      </c>
      <c r="V207" s="14" t="b">
        <v>0</v>
      </c>
      <c r="W207" s="14" t="b">
        <v>0</v>
      </c>
      <c r="X207" s="14" t="b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0.1</v>
      </c>
      <c r="AE207" s="55">
        <v>0</v>
      </c>
      <c r="AF207" s="55">
        <v>0</v>
      </c>
      <c r="AG207" s="55">
        <v>0.4</v>
      </c>
      <c r="AH207" s="55">
        <v>0.2</v>
      </c>
      <c r="AI20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7" s="102">
        <f>SUM(VIEW_IV_2019_REP_CALCULO[[#This Row],[Premio-BERINERT]:[Premio-PRIVIGEN]])</f>
        <v>0</v>
      </c>
    </row>
    <row r="208" spans="1:40" hidden="1" x14ac:dyDescent="0.2">
      <c r="A208" s="7" t="s">
        <v>16</v>
      </c>
      <c r="B208" s="7" t="s">
        <v>378</v>
      </c>
      <c r="C208" s="7" t="s">
        <v>377</v>
      </c>
      <c r="D208" s="8" t="s">
        <v>155</v>
      </c>
      <c r="E208" s="8" t="s">
        <v>156</v>
      </c>
      <c r="F208" s="8" t="s">
        <v>556</v>
      </c>
      <c r="G208" s="8" t="s">
        <v>206</v>
      </c>
      <c r="H208" s="13" t="b">
        <v>1</v>
      </c>
      <c r="I208" s="13" t="b">
        <v>1</v>
      </c>
      <c r="J208" s="10">
        <v>13</v>
      </c>
      <c r="K208" s="10">
        <v>0</v>
      </c>
      <c r="L208" s="10">
        <v>0</v>
      </c>
      <c r="M208" s="10">
        <v>1197</v>
      </c>
      <c r="N208" s="10">
        <v>7020</v>
      </c>
      <c r="O208" s="10"/>
      <c r="P208" s="10"/>
      <c r="Q208" s="10"/>
      <c r="R208" s="10"/>
      <c r="S208" s="10"/>
      <c r="T208" s="14" t="b">
        <v>0</v>
      </c>
      <c r="U208" s="14" t="b">
        <v>0</v>
      </c>
      <c r="V208" s="14" t="b">
        <v>0</v>
      </c>
      <c r="W208" s="14" t="b">
        <v>0</v>
      </c>
      <c r="X208" s="14" t="b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0.1</v>
      </c>
      <c r="AE208" s="55">
        <v>0</v>
      </c>
      <c r="AF208" s="55">
        <v>0</v>
      </c>
      <c r="AG208" s="55">
        <v>0.4</v>
      </c>
      <c r="AH208" s="55">
        <v>0.2</v>
      </c>
      <c r="AI20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8" s="102">
        <f>SUM(VIEW_IV_2019_REP_CALCULO[[#This Row],[Premio-BERINERT]:[Premio-PRIVIGEN]])</f>
        <v>0</v>
      </c>
    </row>
    <row r="209" spans="1:40" hidden="1" x14ac:dyDescent="0.2">
      <c r="A209" s="7" t="s">
        <v>16</v>
      </c>
      <c r="B209" s="7" t="s">
        <v>378</v>
      </c>
      <c r="C209" s="7" t="s">
        <v>377</v>
      </c>
      <c r="D209" s="8" t="s">
        <v>161</v>
      </c>
      <c r="E209" s="8" t="s">
        <v>162</v>
      </c>
      <c r="F209" s="8" t="s">
        <v>556</v>
      </c>
      <c r="G209" s="8" t="s">
        <v>208</v>
      </c>
      <c r="H209" s="13" t="b">
        <v>1</v>
      </c>
      <c r="I209" s="13" t="b">
        <v>1</v>
      </c>
      <c r="J209" s="10">
        <v>18</v>
      </c>
      <c r="K209" s="10">
        <v>0</v>
      </c>
      <c r="L209" s="10">
        <v>0</v>
      </c>
      <c r="M209" s="10">
        <v>684</v>
      </c>
      <c r="N209" s="10">
        <v>8190</v>
      </c>
      <c r="O209" s="10"/>
      <c r="P209" s="10"/>
      <c r="Q209" s="10"/>
      <c r="R209" s="10"/>
      <c r="S209" s="10"/>
      <c r="T209" s="14" t="b">
        <v>0</v>
      </c>
      <c r="U209" s="14" t="b">
        <v>0</v>
      </c>
      <c r="V209" s="14" t="b">
        <v>0</v>
      </c>
      <c r="W209" s="14" t="b">
        <v>0</v>
      </c>
      <c r="X209" s="14" t="b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0.1</v>
      </c>
      <c r="AE209" s="55">
        <v>0</v>
      </c>
      <c r="AF209" s="55">
        <v>0</v>
      </c>
      <c r="AG209" s="55">
        <v>0.4</v>
      </c>
      <c r="AH209" s="55">
        <v>0.2</v>
      </c>
      <c r="AI20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0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0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0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0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09" s="102">
        <f>SUM(VIEW_IV_2019_REP_CALCULO[[#This Row],[Premio-BERINERT]:[Premio-PRIVIGEN]])</f>
        <v>0</v>
      </c>
    </row>
    <row r="210" spans="1:40" hidden="1" x14ac:dyDescent="0.2">
      <c r="A210" s="7" t="s">
        <v>16</v>
      </c>
      <c r="B210" s="7" t="s">
        <v>378</v>
      </c>
      <c r="C210" s="7" t="s">
        <v>377</v>
      </c>
      <c r="D210" s="8" t="s">
        <v>175</v>
      </c>
      <c r="E210" s="8" t="s">
        <v>176</v>
      </c>
      <c r="F210" s="8" t="s">
        <v>556</v>
      </c>
      <c r="G210" s="8" t="s">
        <v>206</v>
      </c>
      <c r="H210" s="13" t="b">
        <v>1</v>
      </c>
      <c r="I210" s="13" t="b">
        <v>1</v>
      </c>
      <c r="J210" s="10">
        <v>45</v>
      </c>
      <c r="K210" s="10">
        <v>0</v>
      </c>
      <c r="L210" s="10">
        <v>0</v>
      </c>
      <c r="M210" s="10">
        <v>741</v>
      </c>
      <c r="N210" s="10">
        <v>12870</v>
      </c>
      <c r="O210" s="10"/>
      <c r="P210" s="10"/>
      <c r="Q210" s="10"/>
      <c r="R210" s="10"/>
      <c r="S210" s="10"/>
      <c r="T210" s="14" t="b">
        <v>0</v>
      </c>
      <c r="U210" s="14" t="b">
        <v>0</v>
      </c>
      <c r="V210" s="14" t="b">
        <v>0</v>
      </c>
      <c r="W210" s="14" t="b">
        <v>0</v>
      </c>
      <c r="X210" s="14" t="b">
        <v>0</v>
      </c>
      <c r="Y210" s="55">
        <v>0</v>
      </c>
      <c r="Z210" s="55">
        <v>0</v>
      </c>
      <c r="AA210" s="55">
        <v>0</v>
      </c>
      <c r="AB210" s="55">
        <v>0</v>
      </c>
      <c r="AC210" s="55">
        <v>0</v>
      </c>
      <c r="AD210" s="55">
        <v>0.1</v>
      </c>
      <c r="AE210" s="55">
        <v>0</v>
      </c>
      <c r="AF210" s="55">
        <v>0</v>
      </c>
      <c r="AG210" s="55">
        <v>0.4</v>
      </c>
      <c r="AH210" s="55">
        <v>0.2</v>
      </c>
      <c r="AI21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0" s="102">
        <f>SUM(VIEW_IV_2019_REP_CALCULO[[#This Row],[Premio-BERINERT]:[Premio-PRIVIGEN]])</f>
        <v>0</v>
      </c>
    </row>
    <row r="211" spans="1:40" hidden="1" x14ac:dyDescent="0.2">
      <c r="A211" s="7" t="s">
        <v>16</v>
      </c>
      <c r="B211" s="7" t="s">
        <v>378</v>
      </c>
      <c r="C211" s="7" t="s">
        <v>377</v>
      </c>
      <c r="D211" s="8" t="s">
        <v>199</v>
      </c>
      <c r="E211" s="8" t="s">
        <v>200</v>
      </c>
      <c r="F211" s="8" t="s">
        <v>556</v>
      </c>
      <c r="G211" s="8" t="s">
        <v>212</v>
      </c>
      <c r="H211" s="13" t="b">
        <v>1</v>
      </c>
      <c r="I211" s="13" t="b">
        <v>1</v>
      </c>
      <c r="J211" s="10">
        <v>45</v>
      </c>
      <c r="K211" s="10">
        <v>0</v>
      </c>
      <c r="L211" s="10">
        <v>0</v>
      </c>
      <c r="M211" s="10">
        <v>684</v>
      </c>
      <c r="N211" s="10">
        <v>8775</v>
      </c>
      <c r="O211" s="10"/>
      <c r="P211" s="10"/>
      <c r="Q211" s="10"/>
      <c r="R211" s="10"/>
      <c r="S211" s="10"/>
      <c r="T211" s="14" t="b">
        <v>0</v>
      </c>
      <c r="U211" s="14" t="b">
        <v>0</v>
      </c>
      <c r="V211" s="14" t="b">
        <v>0</v>
      </c>
      <c r="W211" s="14" t="b">
        <v>0</v>
      </c>
      <c r="X211" s="14" t="b">
        <v>0</v>
      </c>
      <c r="Y211" s="55">
        <v>0</v>
      </c>
      <c r="Z211" s="55">
        <v>0</v>
      </c>
      <c r="AA211" s="55">
        <v>0</v>
      </c>
      <c r="AB211" s="55">
        <v>0</v>
      </c>
      <c r="AC211" s="55">
        <v>0</v>
      </c>
      <c r="AD211" s="55">
        <v>0.1</v>
      </c>
      <c r="AE211" s="55">
        <v>0</v>
      </c>
      <c r="AF211" s="55">
        <v>0</v>
      </c>
      <c r="AG211" s="55">
        <v>0.4</v>
      </c>
      <c r="AH211" s="55">
        <v>0.2</v>
      </c>
      <c r="AI21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1" s="102">
        <f>SUM(VIEW_IV_2019_REP_CALCULO[[#This Row],[Premio-BERINERT]:[Premio-PRIVIGEN]])</f>
        <v>0</v>
      </c>
    </row>
    <row r="212" spans="1:40" hidden="1" x14ac:dyDescent="0.2">
      <c r="A212" s="7" t="s">
        <v>16</v>
      </c>
      <c r="B212" s="7" t="s">
        <v>378</v>
      </c>
      <c r="C212" s="7" t="s">
        <v>377</v>
      </c>
      <c r="D212" s="8" t="s">
        <v>144</v>
      </c>
      <c r="E212" s="8" t="s">
        <v>145</v>
      </c>
      <c r="F212" s="8" t="s">
        <v>557</v>
      </c>
      <c r="G212" s="8" t="s">
        <v>206</v>
      </c>
      <c r="H212" s="13" t="b">
        <v>1</v>
      </c>
      <c r="I212" s="13" t="b">
        <v>1</v>
      </c>
      <c r="J212" s="10">
        <v>0</v>
      </c>
      <c r="K212" s="10">
        <v>138</v>
      </c>
      <c r="L212" s="10">
        <v>150</v>
      </c>
      <c r="M212" s="10">
        <v>0</v>
      </c>
      <c r="N212" s="10">
        <v>3510</v>
      </c>
      <c r="O212" s="10"/>
      <c r="P212" s="10"/>
      <c r="Q212" s="10"/>
      <c r="R212" s="10"/>
      <c r="S212" s="10"/>
      <c r="T212" s="14" t="b">
        <v>0</v>
      </c>
      <c r="U212" s="14" t="b">
        <v>0</v>
      </c>
      <c r="V212" s="14" t="b">
        <v>0</v>
      </c>
      <c r="W212" s="14" t="b">
        <v>0</v>
      </c>
      <c r="X212" s="14" t="b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0.25</v>
      </c>
      <c r="AF212" s="55">
        <v>0.25</v>
      </c>
      <c r="AG212" s="55">
        <v>0</v>
      </c>
      <c r="AH212" s="55">
        <v>0.2</v>
      </c>
      <c r="AI21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2" s="102">
        <f>SUM(VIEW_IV_2019_REP_CALCULO[[#This Row],[Premio-BERINERT]:[Premio-PRIVIGEN]])</f>
        <v>0</v>
      </c>
    </row>
    <row r="213" spans="1:40" hidden="1" x14ac:dyDescent="0.2">
      <c r="A213" s="7" t="s">
        <v>16</v>
      </c>
      <c r="B213" s="7" t="s">
        <v>378</v>
      </c>
      <c r="C213" s="7" t="s">
        <v>377</v>
      </c>
      <c r="D213" s="8" t="s">
        <v>147</v>
      </c>
      <c r="E213" s="8" t="s">
        <v>148</v>
      </c>
      <c r="F213" s="8" t="s">
        <v>557</v>
      </c>
      <c r="G213" s="8" t="s">
        <v>208</v>
      </c>
      <c r="H213" s="13" t="b">
        <v>1</v>
      </c>
      <c r="I213" s="13" t="b">
        <v>1</v>
      </c>
      <c r="J213" s="10">
        <v>0</v>
      </c>
      <c r="K213" s="10">
        <v>161</v>
      </c>
      <c r="L213" s="10">
        <v>180</v>
      </c>
      <c r="M213" s="10">
        <v>0</v>
      </c>
      <c r="N213" s="10">
        <v>4680</v>
      </c>
      <c r="O213" s="10"/>
      <c r="P213" s="10"/>
      <c r="Q213" s="10"/>
      <c r="R213" s="10"/>
      <c r="S213" s="10"/>
      <c r="T213" s="14" t="b">
        <v>0</v>
      </c>
      <c r="U213" s="14" t="b">
        <v>0</v>
      </c>
      <c r="V213" s="14" t="b">
        <v>0</v>
      </c>
      <c r="W213" s="14" t="b">
        <v>0</v>
      </c>
      <c r="X213" s="14" t="b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0.25</v>
      </c>
      <c r="AF213" s="55">
        <v>0.25</v>
      </c>
      <c r="AG213" s="55">
        <v>0</v>
      </c>
      <c r="AH213" s="55">
        <v>0.2</v>
      </c>
      <c r="AI21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3" s="102">
        <f>SUM(VIEW_IV_2019_REP_CALCULO[[#This Row],[Premio-BERINERT]:[Premio-PRIVIGEN]])</f>
        <v>0</v>
      </c>
    </row>
    <row r="214" spans="1:40" hidden="1" x14ac:dyDescent="0.2">
      <c r="A214" s="7" t="s">
        <v>16</v>
      </c>
      <c r="B214" s="7" t="s">
        <v>378</v>
      </c>
      <c r="C214" s="7" t="s">
        <v>377</v>
      </c>
      <c r="D214" s="8" t="s">
        <v>149</v>
      </c>
      <c r="E214" s="8" t="s">
        <v>150</v>
      </c>
      <c r="F214" s="8" t="s">
        <v>557</v>
      </c>
      <c r="G214" s="8" t="s">
        <v>208</v>
      </c>
      <c r="H214" s="13" t="b">
        <v>1</v>
      </c>
      <c r="I214" s="13" t="b">
        <v>1</v>
      </c>
      <c r="J214" s="10">
        <v>0</v>
      </c>
      <c r="K214" s="10">
        <v>138</v>
      </c>
      <c r="L214" s="10">
        <v>75</v>
      </c>
      <c r="M214" s="10">
        <v>0</v>
      </c>
      <c r="N214" s="10">
        <v>8190</v>
      </c>
      <c r="O214" s="10"/>
      <c r="P214" s="10"/>
      <c r="Q214" s="10"/>
      <c r="R214" s="10"/>
      <c r="S214" s="10"/>
      <c r="T214" s="14" t="b">
        <v>0</v>
      </c>
      <c r="U214" s="14" t="b">
        <v>0</v>
      </c>
      <c r="V214" s="14" t="b">
        <v>0</v>
      </c>
      <c r="W214" s="14" t="b">
        <v>0</v>
      </c>
      <c r="X214" s="14" t="b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0.25</v>
      </c>
      <c r="AF214" s="55">
        <v>0.25</v>
      </c>
      <c r="AG214" s="55">
        <v>0</v>
      </c>
      <c r="AH214" s="55">
        <v>0.2</v>
      </c>
      <c r="AI21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4" s="102">
        <f>SUM(VIEW_IV_2019_REP_CALCULO[[#This Row],[Premio-BERINERT]:[Premio-PRIVIGEN]])</f>
        <v>0</v>
      </c>
    </row>
    <row r="215" spans="1:40" hidden="1" x14ac:dyDescent="0.2">
      <c r="A215" s="7" t="s">
        <v>16</v>
      </c>
      <c r="B215" s="7" t="s">
        <v>378</v>
      </c>
      <c r="C215" s="7" t="s">
        <v>377</v>
      </c>
      <c r="D215" s="8" t="s">
        <v>157</v>
      </c>
      <c r="E215" s="8" t="s">
        <v>158</v>
      </c>
      <c r="F215" s="8" t="s">
        <v>557</v>
      </c>
      <c r="G215" s="8" t="s">
        <v>206</v>
      </c>
      <c r="H215" s="13" t="b">
        <v>1</v>
      </c>
      <c r="I215" s="13" t="b">
        <v>1</v>
      </c>
      <c r="J215" s="10">
        <v>0</v>
      </c>
      <c r="K215" s="10">
        <v>92</v>
      </c>
      <c r="L215" s="10">
        <v>60</v>
      </c>
      <c r="M215" s="10">
        <v>0</v>
      </c>
      <c r="N215" s="10">
        <v>9360</v>
      </c>
      <c r="O215" s="10"/>
      <c r="P215" s="10"/>
      <c r="Q215" s="10"/>
      <c r="R215" s="10"/>
      <c r="S215" s="10"/>
      <c r="T215" s="14" t="b">
        <v>0</v>
      </c>
      <c r="U215" s="14" t="b">
        <v>0</v>
      </c>
      <c r="V215" s="14" t="b">
        <v>0</v>
      </c>
      <c r="W215" s="14" t="b">
        <v>0</v>
      </c>
      <c r="X215" s="14" t="b">
        <v>0</v>
      </c>
      <c r="Y215" s="55">
        <v>0</v>
      </c>
      <c r="Z215" s="55">
        <v>0</v>
      </c>
      <c r="AA215" s="55">
        <v>0</v>
      </c>
      <c r="AB215" s="55">
        <v>0</v>
      </c>
      <c r="AC215" s="55">
        <v>0</v>
      </c>
      <c r="AD215" s="55">
        <v>0</v>
      </c>
      <c r="AE215" s="55">
        <v>0.25</v>
      </c>
      <c r="AF215" s="55">
        <v>0.25</v>
      </c>
      <c r="AG215" s="55">
        <v>0</v>
      </c>
      <c r="AH215" s="55">
        <v>0.2</v>
      </c>
      <c r="AI21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5" s="102">
        <f>SUM(VIEW_IV_2019_REP_CALCULO[[#This Row],[Premio-BERINERT]:[Premio-PRIVIGEN]])</f>
        <v>0</v>
      </c>
    </row>
    <row r="216" spans="1:40" hidden="1" x14ac:dyDescent="0.2">
      <c r="A216" s="7" t="s">
        <v>16</v>
      </c>
      <c r="B216" s="7" t="s">
        <v>378</v>
      </c>
      <c r="C216" s="7" t="s">
        <v>377</v>
      </c>
      <c r="D216" s="8" t="s">
        <v>163</v>
      </c>
      <c r="E216" s="8" t="s">
        <v>164</v>
      </c>
      <c r="F216" s="8" t="s">
        <v>557</v>
      </c>
      <c r="G216" s="8" t="s">
        <v>212</v>
      </c>
      <c r="H216" s="13" t="b">
        <v>1</v>
      </c>
      <c r="I216" s="13" t="b">
        <v>1</v>
      </c>
      <c r="J216" s="10">
        <v>0</v>
      </c>
      <c r="K216" s="10">
        <v>253</v>
      </c>
      <c r="L216" s="10">
        <v>105</v>
      </c>
      <c r="M216" s="10">
        <v>0</v>
      </c>
      <c r="N216" s="10">
        <v>4095</v>
      </c>
      <c r="O216" s="10"/>
      <c r="P216" s="10"/>
      <c r="Q216" s="10"/>
      <c r="R216" s="10"/>
      <c r="S216" s="10"/>
      <c r="T216" s="14" t="b">
        <v>0</v>
      </c>
      <c r="U216" s="14" t="b">
        <v>0</v>
      </c>
      <c r="V216" s="14" t="b">
        <v>0</v>
      </c>
      <c r="W216" s="14" t="b">
        <v>0</v>
      </c>
      <c r="X216" s="14" t="b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5">
        <v>0.25</v>
      </c>
      <c r="AF216" s="55">
        <v>0.25</v>
      </c>
      <c r="AG216" s="55">
        <v>0</v>
      </c>
      <c r="AH216" s="55">
        <v>0.2</v>
      </c>
      <c r="AI21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6" s="102">
        <f>SUM(VIEW_IV_2019_REP_CALCULO[[#This Row],[Premio-BERINERT]:[Premio-PRIVIGEN]])</f>
        <v>0</v>
      </c>
    </row>
    <row r="217" spans="1:40" hidden="1" x14ac:dyDescent="0.2">
      <c r="A217" s="7" t="s">
        <v>16</v>
      </c>
      <c r="B217" s="7" t="s">
        <v>378</v>
      </c>
      <c r="C217" s="7" t="s">
        <v>377</v>
      </c>
      <c r="D217" s="8" t="s">
        <v>165</v>
      </c>
      <c r="E217" s="8" t="s">
        <v>166</v>
      </c>
      <c r="F217" s="8" t="s">
        <v>557</v>
      </c>
      <c r="G217" s="8" t="s">
        <v>212</v>
      </c>
      <c r="H217" s="13" t="b">
        <v>1</v>
      </c>
      <c r="I217" s="13" t="b">
        <v>1</v>
      </c>
      <c r="J217" s="10">
        <v>0</v>
      </c>
      <c r="K217" s="10">
        <v>207</v>
      </c>
      <c r="L217" s="10">
        <v>165</v>
      </c>
      <c r="M217" s="10">
        <v>0</v>
      </c>
      <c r="N217" s="10">
        <v>2340</v>
      </c>
      <c r="O217" s="10"/>
      <c r="P217" s="10"/>
      <c r="Q217" s="10"/>
      <c r="R217" s="10"/>
      <c r="S217" s="10"/>
      <c r="T217" s="14" t="b">
        <v>0</v>
      </c>
      <c r="U217" s="14" t="b">
        <v>0</v>
      </c>
      <c r="V217" s="14" t="b">
        <v>0</v>
      </c>
      <c r="W217" s="14" t="b">
        <v>0</v>
      </c>
      <c r="X217" s="14" t="b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0.25</v>
      </c>
      <c r="AF217" s="55">
        <v>0.25</v>
      </c>
      <c r="AG217" s="55">
        <v>0</v>
      </c>
      <c r="AH217" s="55">
        <v>0.2</v>
      </c>
      <c r="AI21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7" s="102">
        <f>SUM(VIEW_IV_2019_REP_CALCULO[[#This Row],[Premio-BERINERT]:[Premio-PRIVIGEN]])</f>
        <v>0</v>
      </c>
    </row>
    <row r="218" spans="1:40" hidden="1" x14ac:dyDescent="0.2">
      <c r="A218" s="7" t="s">
        <v>16</v>
      </c>
      <c r="B218" s="7" t="s">
        <v>378</v>
      </c>
      <c r="C218" s="7" t="s">
        <v>377</v>
      </c>
      <c r="D218" s="8" t="s">
        <v>167</v>
      </c>
      <c r="E218" s="8" t="s">
        <v>168</v>
      </c>
      <c r="F218" s="8" t="s">
        <v>557</v>
      </c>
      <c r="G218" s="8" t="s">
        <v>212</v>
      </c>
      <c r="H218" s="13" t="b">
        <v>1</v>
      </c>
      <c r="I218" s="13" t="b">
        <v>1</v>
      </c>
      <c r="J218" s="10">
        <v>0</v>
      </c>
      <c r="K218" s="10">
        <v>184</v>
      </c>
      <c r="L218" s="10">
        <v>105</v>
      </c>
      <c r="M218" s="10">
        <v>0</v>
      </c>
      <c r="N218" s="10">
        <v>4095</v>
      </c>
      <c r="O218" s="10"/>
      <c r="P218" s="10"/>
      <c r="Q218" s="10"/>
      <c r="R218" s="10"/>
      <c r="S218" s="10"/>
      <c r="T218" s="14" t="b">
        <v>0</v>
      </c>
      <c r="U218" s="14" t="b">
        <v>0</v>
      </c>
      <c r="V218" s="14" t="b">
        <v>0</v>
      </c>
      <c r="W218" s="14" t="b">
        <v>0</v>
      </c>
      <c r="X218" s="14" t="b">
        <v>0</v>
      </c>
      <c r="Y218" s="55">
        <v>0</v>
      </c>
      <c r="Z218" s="55">
        <v>0</v>
      </c>
      <c r="AA218" s="55">
        <v>0</v>
      </c>
      <c r="AB218" s="55">
        <v>0</v>
      </c>
      <c r="AC218" s="55">
        <v>0</v>
      </c>
      <c r="AD218" s="55">
        <v>0</v>
      </c>
      <c r="AE218" s="55">
        <v>0.25</v>
      </c>
      <c r="AF218" s="55">
        <v>0.25</v>
      </c>
      <c r="AG218" s="55">
        <v>0</v>
      </c>
      <c r="AH218" s="55">
        <v>0.2</v>
      </c>
      <c r="AI21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8" s="102">
        <f>SUM(VIEW_IV_2019_REP_CALCULO[[#This Row],[Premio-BERINERT]:[Premio-PRIVIGEN]])</f>
        <v>0</v>
      </c>
    </row>
    <row r="219" spans="1:40" hidden="1" x14ac:dyDescent="0.2">
      <c r="A219" s="7" t="s">
        <v>16</v>
      </c>
      <c r="B219" s="7" t="s">
        <v>378</v>
      </c>
      <c r="C219" s="7" t="s">
        <v>377</v>
      </c>
      <c r="D219" s="8" t="s">
        <v>169</v>
      </c>
      <c r="E219" s="8" t="s">
        <v>170</v>
      </c>
      <c r="F219" s="8" t="s">
        <v>557</v>
      </c>
      <c r="G219" s="8" t="s">
        <v>212</v>
      </c>
      <c r="H219" s="13" t="b">
        <v>1</v>
      </c>
      <c r="I219" s="13" t="b">
        <v>1</v>
      </c>
      <c r="J219" s="10">
        <v>0</v>
      </c>
      <c r="K219" s="10">
        <v>230</v>
      </c>
      <c r="L219" s="10">
        <v>60</v>
      </c>
      <c r="M219" s="10">
        <v>0</v>
      </c>
      <c r="N219" s="10">
        <v>2340</v>
      </c>
      <c r="O219" s="10"/>
      <c r="P219" s="10"/>
      <c r="Q219" s="10"/>
      <c r="R219" s="10"/>
      <c r="S219" s="10"/>
      <c r="T219" s="14" t="b">
        <v>0</v>
      </c>
      <c r="U219" s="14" t="b">
        <v>0</v>
      </c>
      <c r="V219" s="14" t="b">
        <v>0</v>
      </c>
      <c r="W219" s="14" t="b">
        <v>0</v>
      </c>
      <c r="X219" s="14" t="b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0.25</v>
      </c>
      <c r="AF219" s="55">
        <v>0.25</v>
      </c>
      <c r="AG219" s="55">
        <v>0</v>
      </c>
      <c r="AH219" s="55">
        <v>0.2</v>
      </c>
      <c r="AI21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1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1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1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1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19" s="102">
        <f>SUM(VIEW_IV_2019_REP_CALCULO[[#This Row],[Premio-BERINERT]:[Premio-PRIVIGEN]])</f>
        <v>0</v>
      </c>
    </row>
    <row r="220" spans="1:40" hidden="1" x14ac:dyDescent="0.2">
      <c r="A220" s="7" t="s">
        <v>16</v>
      </c>
      <c r="B220" s="7" t="s">
        <v>378</v>
      </c>
      <c r="C220" s="7" t="s">
        <v>377</v>
      </c>
      <c r="D220" s="8" t="s">
        <v>173</v>
      </c>
      <c r="E220" s="8" t="s">
        <v>174</v>
      </c>
      <c r="F220" s="8" t="s">
        <v>557</v>
      </c>
      <c r="G220" s="8" t="s">
        <v>206</v>
      </c>
      <c r="H220" s="13" t="b">
        <v>1</v>
      </c>
      <c r="I220" s="13" t="b">
        <v>1</v>
      </c>
      <c r="J220" s="10">
        <v>0</v>
      </c>
      <c r="K220" s="10">
        <v>138</v>
      </c>
      <c r="L220" s="10">
        <v>90</v>
      </c>
      <c r="M220" s="10">
        <v>0</v>
      </c>
      <c r="N220" s="10">
        <v>3510</v>
      </c>
      <c r="O220" s="10"/>
      <c r="P220" s="10"/>
      <c r="Q220" s="10"/>
      <c r="R220" s="10"/>
      <c r="S220" s="10"/>
      <c r="T220" s="14" t="b">
        <v>0</v>
      </c>
      <c r="U220" s="14" t="b">
        <v>0</v>
      </c>
      <c r="V220" s="14" t="b">
        <v>0</v>
      </c>
      <c r="W220" s="14" t="b">
        <v>0</v>
      </c>
      <c r="X220" s="14" t="b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0.25</v>
      </c>
      <c r="AF220" s="55">
        <v>0.25</v>
      </c>
      <c r="AG220" s="55">
        <v>0</v>
      </c>
      <c r="AH220" s="55">
        <v>0.2</v>
      </c>
      <c r="AI22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0" s="102">
        <f>SUM(VIEW_IV_2019_REP_CALCULO[[#This Row],[Premio-BERINERT]:[Premio-PRIVIGEN]])</f>
        <v>0</v>
      </c>
    </row>
    <row r="221" spans="1:40" hidden="1" x14ac:dyDescent="0.2">
      <c r="A221" s="7" t="s">
        <v>16</v>
      </c>
      <c r="B221" s="7" t="s">
        <v>378</v>
      </c>
      <c r="C221" s="7" t="s">
        <v>377</v>
      </c>
      <c r="D221" s="8" t="s">
        <v>177</v>
      </c>
      <c r="E221" s="8" t="s">
        <v>178</v>
      </c>
      <c r="F221" s="8" t="s">
        <v>557</v>
      </c>
      <c r="G221" s="8" t="s">
        <v>208</v>
      </c>
      <c r="H221" s="13" t="b">
        <v>1</v>
      </c>
      <c r="I221" s="13" t="b">
        <v>1</v>
      </c>
      <c r="J221" s="10">
        <v>0</v>
      </c>
      <c r="K221" s="10">
        <v>161</v>
      </c>
      <c r="L221" s="10">
        <v>150</v>
      </c>
      <c r="M221" s="10">
        <v>0</v>
      </c>
      <c r="N221" s="10">
        <v>4680</v>
      </c>
      <c r="O221" s="10"/>
      <c r="P221" s="10"/>
      <c r="Q221" s="10"/>
      <c r="R221" s="10"/>
      <c r="S221" s="10"/>
      <c r="T221" s="14" t="b">
        <v>0</v>
      </c>
      <c r="U221" s="14" t="b">
        <v>0</v>
      </c>
      <c r="V221" s="14" t="b">
        <v>0</v>
      </c>
      <c r="W221" s="14" t="b">
        <v>0</v>
      </c>
      <c r="X221" s="14" t="b">
        <v>0</v>
      </c>
      <c r="Y221" s="55">
        <v>0</v>
      </c>
      <c r="Z221" s="55">
        <v>0</v>
      </c>
      <c r="AA221" s="55">
        <v>0</v>
      </c>
      <c r="AB221" s="55">
        <v>0</v>
      </c>
      <c r="AC221" s="55">
        <v>0</v>
      </c>
      <c r="AD221" s="55">
        <v>0</v>
      </c>
      <c r="AE221" s="55">
        <v>0.25</v>
      </c>
      <c r="AF221" s="55">
        <v>0.25</v>
      </c>
      <c r="AG221" s="55">
        <v>0</v>
      </c>
      <c r="AH221" s="55">
        <v>0.2</v>
      </c>
      <c r="AI22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1" s="102">
        <f>SUM(VIEW_IV_2019_REP_CALCULO[[#This Row],[Premio-BERINERT]:[Premio-PRIVIGEN]])</f>
        <v>0</v>
      </c>
    </row>
    <row r="222" spans="1:40" hidden="1" x14ac:dyDescent="0.2">
      <c r="A222" s="7" t="s">
        <v>16</v>
      </c>
      <c r="B222" s="7" t="s">
        <v>378</v>
      </c>
      <c r="C222" s="7" t="s">
        <v>377</v>
      </c>
      <c r="D222" s="8" t="s">
        <v>181</v>
      </c>
      <c r="E222" s="8" t="s">
        <v>182</v>
      </c>
      <c r="F222" s="8" t="s">
        <v>557</v>
      </c>
      <c r="G222" s="8" t="s">
        <v>206</v>
      </c>
      <c r="H222" s="13" t="b">
        <v>1</v>
      </c>
      <c r="I222" s="13" t="b">
        <v>1</v>
      </c>
      <c r="J222" s="10">
        <v>0</v>
      </c>
      <c r="K222" s="10">
        <v>253</v>
      </c>
      <c r="L222" s="10">
        <v>180</v>
      </c>
      <c r="M222" s="10">
        <v>0</v>
      </c>
      <c r="N222" s="10">
        <v>5265</v>
      </c>
      <c r="O222" s="10"/>
      <c r="P222" s="10"/>
      <c r="Q222" s="10"/>
      <c r="R222" s="10"/>
      <c r="S222" s="10"/>
      <c r="T222" s="14" t="b">
        <v>0</v>
      </c>
      <c r="U222" s="14" t="b">
        <v>0</v>
      </c>
      <c r="V222" s="14" t="b">
        <v>0</v>
      </c>
      <c r="W222" s="14" t="b">
        <v>0</v>
      </c>
      <c r="X222" s="14" t="b">
        <v>0</v>
      </c>
      <c r="Y222" s="55">
        <v>0</v>
      </c>
      <c r="Z222" s="55">
        <v>0</v>
      </c>
      <c r="AA222" s="55">
        <v>0</v>
      </c>
      <c r="AB222" s="55">
        <v>0</v>
      </c>
      <c r="AC222" s="55">
        <v>0</v>
      </c>
      <c r="AD222" s="55">
        <v>0</v>
      </c>
      <c r="AE222" s="55">
        <v>0.25</v>
      </c>
      <c r="AF222" s="55">
        <v>0.25</v>
      </c>
      <c r="AG222" s="55">
        <v>0</v>
      </c>
      <c r="AH222" s="55">
        <v>0.2</v>
      </c>
      <c r="AI22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2" s="102">
        <f>SUM(VIEW_IV_2019_REP_CALCULO[[#This Row],[Premio-BERINERT]:[Premio-PRIVIGEN]])</f>
        <v>0</v>
      </c>
    </row>
    <row r="223" spans="1:40" hidden="1" x14ac:dyDescent="0.2">
      <c r="A223" s="7" t="s">
        <v>16</v>
      </c>
      <c r="B223" s="7" t="s">
        <v>378</v>
      </c>
      <c r="C223" s="7" t="s">
        <v>377</v>
      </c>
      <c r="D223" s="8" t="s">
        <v>183</v>
      </c>
      <c r="E223" s="8" t="s">
        <v>184</v>
      </c>
      <c r="F223" s="8" t="s">
        <v>557</v>
      </c>
      <c r="G223" s="8" t="s">
        <v>208</v>
      </c>
      <c r="H223" s="13" t="b">
        <v>1</v>
      </c>
      <c r="I223" s="13" t="b">
        <v>1</v>
      </c>
      <c r="J223" s="10">
        <v>0</v>
      </c>
      <c r="K223" s="10">
        <v>207</v>
      </c>
      <c r="L223" s="10">
        <v>105</v>
      </c>
      <c r="M223" s="10">
        <v>0</v>
      </c>
      <c r="N223" s="10">
        <v>6435</v>
      </c>
      <c r="O223" s="10"/>
      <c r="P223" s="10"/>
      <c r="Q223" s="10"/>
      <c r="R223" s="10"/>
      <c r="S223" s="10"/>
      <c r="T223" s="14" t="b">
        <v>0</v>
      </c>
      <c r="U223" s="14" t="b">
        <v>0</v>
      </c>
      <c r="V223" s="14" t="b">
        <v>0</v>
      </c>
      <c r="W223" s="14" t="b">
        <v>0</v>
      </c>
      <c r="X223" s="14" t="b">
        <v>0</v>
      </c>
      <c r="Y223" s="55">
        <v>0</v>
      </c>
      <c r="Z223" s="55">
        <v>0</v>
      </c>
      <c r="AA223" s="55">
        <v>0</v>
      </c>
      <c r="AB223" s="55">
        <v>0</v>
      </c>
      <c r="AC223" s="55">
        <v>0</v>
      </c>
      <c r="AD223" s="55">
        <v>0</v>
      </c>
      <c r="AE223" s="55">
        <v>0.25</v>
      </c>
      <c r="AF223" s="55">
        <v>0.25</v>
      </c>
      <c r="AG223" s="55">
        <v>0</v>
      </c>
      <c r="AH223" s="55">
        <v>0.2</v>
      </c>
      <c r="AI22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3" s="102">
        <f>SUM(VIEW_IV_2019_REP_CALCULO[[#This Row],[Premio-BERINERT]:[Premio-PRIVIGEN]])</f>
        <v>0</v>
      </c>
    </row>
    <row r="224" spans="1:40" hidden="1" x14ac:dyDescent="0.2">
      <c r="A224" s="7" t="s">
        <v>16</v>
      </c>
      <c r="B224" s="7" t="s">
        <v>378</v>
      </c>
      <c r="C224" s="7" t="s">
        <v>377</v>
      </c>
      <c r="D224" s="8" t="s">
        <v>159</v>
      </c>
      <c r="E224" s="8" t="s">
        <v>160</v>
      </c>
      <c r="F224" s="8" t="s">
        <v>740</v>
      </c>
      <c r="G224" s="8" t="s">
        <v>206</v>
      </c>
      <c r="H224" s="13" t="b">
        <v>1</v>
      </c>
      <c r="I224" s="13" t="b">
        <v>1</v>
      </c>
      <c r="J224" s="10">
        <v>5</v>
      </c>
      <c r="K224" s="10">
        <v>92</v>
      </c>
      <c r="L224" s="10">
        <v>60</v>
      </c>
      <c r="M224" s="10">
        <v>285</v>
      </c>
      <c r="N224" s="10">
        <v>5265</v>
      </c>
      <c r="O224" s="10"/>
      <c r="P224" s="10"/>
      <c r="Q224" s="10"/>
      <c r="R224" s="10"/>
      <c r="S224" s="10"/>
      <c r="T224" s="14" t="b">
        <v>0</v>
      </c>
      <c r="U224" s="14" t="b">
        <v>0</v>
      </c>
      <c r="V224" s="14" t="b">
        <v>0</v>
      </c>
      <c r="W224" s="14" t="b">
        <v>0</v>
      </c>
      <c r="X224" s="14" t="b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0.05</v>
      </c>
      <c r="AE224" s="55">
        <v>0.15</v>
      </c>
      <c r="AF224" s="55">
        <v>0.15</v>
      </c>
      <c r="AG224" s="55">
        <v>0.2</v>
      </c>
      <c r="AH224" s="55">
        <v>0.15</v>
      </c>
      <c r="AI22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4" s="102">
        <f>SUM(VIEW_IV_2019_REP_CALCULO[[#This Row],[Premio-BERINERT]:[Premio-PRIVIGEN]])</f>
        <v>0</v>
      </c>
    </row>
    <row r="225" spans="1:40" hidden="1" x14ac:dyDescent="0.2">
      <c r="A225" s="7" t="s">
        <v>16</v>
      </c>
      <c r="B225" s="7" t="s">
        <v>378</v>
      </c>
      <c r="C225" s="7" t="s">
        <v>377</v>
      </c>
      <c r="D225" s="8" t="s">
        <v>201</v>
      </c>
      <c r="E225" s="8" t="s">
        <v>202</v>
      </c>
      <c r="F225" s="8" t="s">
        <v>740</v>
      </c>
      <c r="G225" s="8" t="s">
        <v>212</v>
      </c>
      <c r="H225" s="13" t="b">
        <v>1</v>
      </c>
      <c r="I225" s="13" t="b">
        <v>1</v>
      </c>
      <c r="J225" s="10">
        <v>18</v>
      </c>
      <c r="K225" s="10">
        <v>46</v>
      </c>
      <c r="L225" s="10">
        <v>15</v>
      </c>
      <c r="M225" s="10">
        <v>456</v>
      </c>
      <c r="N225" s="10">
        <v>4095</v>
      </c>
      <c r="O225" s="10"/>
      <c r="P225" s="10"/>
      <c r="Q225" s="10"/>
      <c r="R225" s="10"/>
      <c r="S225" s="10"/>
      <c r="T225" s="14" t="b">
        <v>0</v>
      </c>
      <c r="U225" s="14" t="b">
        <v>0</v>
      </c>
      <c r="V225" s="14" t="b">
        <v>0</v>
      </c>
      <c r="W225" s="14" t="b">
        <v>0</v>
      </c>
      <c r="X225" s="14" t="b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0.05</v>
      </c>
      <c r="AE225" s="55">
        <v>0.15</v>
      </c>
      <c r="AF225" s="55">
        <v>0.15</v>
      </c>
      <c r="AG225" s="55">
        <v>0.2</v>
      </c>
      <c r="AH225" s="55">
        <v>0.15</v>
      </c>
      <c r="AI22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5" s="102">
        <f>SUM(VIEW_IV_2019_REP_CALCULO[[#This Row],[Premio-BERINERT]:[Premio-PRIVIGEN]])</f>
        <v>0</v>
      </c>
    </row>
    <row r="226" spans="1:40" hidden="1" x14ac:dyDescent="0.2">
      <c r="A226" s="7" t="s">
        <v>16</v>
      </c>
      <c r="B226" s="7" t="s">
        <v>379</v>
      </c>
      <c r="C226" s="7" t="s">
        <v>377</v>
      </c>
      <c r="D226" s="8" t="s">
        <v>151</v>
      </c>
      <c r="E226" s="8" t="s">
        <v>152</v>
      </c>
      <c r="F226" s="8" t="s">
        <v>556</v>
      </c>
      <c r="G226" s="8" t="s">
        <v>208</v>
      </c>
      <c r="H226" s="13" t="b">
        <v>1</v>
      </c>
      <c r="I226" s="13" t="b">
        <v>1</v>
      </c>
      <c r="J226" s="10">
        <v>26</v>
      </c>
      <c r="K226" s="10">
        <v>0</v>
      </c>
      <c r="L226" s="10">
        <v>0</v>
      </c>
      <c r="M226" s="10">
        <v>969</v>
      </c>
      <c r="N226" s="10">
        <v>7735</v>
      </c>
      <c r="O226" s="10"/>
      <c r="P226" s="10"/>
      <c r="Q226" s="10"/>
      <c r="R226" s="10"/>
      <c r="S226" s="10"/>
      <c r="T226" s="14" t="b">
        <v>0</v>
      </c>
      <c r="U226" s="14" t="b">
        <v>0</v>
      </c>
      <c r="V226" s="14" t="b">
        <v>0</v>
      </c>
      <c r="W226" s="14" t="b">
        <v>0</v>
      </c>
      <c r="X226" s="14" t="b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0.1</v>
      </c>
      <c r="AE226" s="55">
        <v>0</v>
      </c>
      <c r="AF226" s="55">
        <v>0</v>
      </c>
      <c r="AG226" s="55">
        <v>0.4</v>
      </c>
      <c r="AH226" s="55">
        <v>0.2</v>
      </c>
      <c r="AI22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6" s="102">
        <f>SUM(VIEW_IV_2019_REP_CALCULO[[#This Row],[Premio-BERINERT]:[Premio-PRIVIGEN]])</f>
        <v>0</v>
      </c>
    </row>
    <row r="227" spans="1:40" hidden="1" x14ac:dyDescent="0.2">
      <c r="A227" s="7" t="s">
        <v>16</v>
      </c>
      <c r="B227" s="7" t="s">
        <v>379</v>
      </c>
      <c r="C227" s="7" t="s">
        <v>377</v>
      </c>
      <c r="D227" s="8" t="s">
        <v>1355</v>
      </c>
      <c r="E227" s="8" t="s">
        <v>1356</v>
      </c>
      <c r="F227" s="8" t="s">
        <v>556</v>
      </c>
      <c r="G227" s="8" t="s">
        <v>208</v>
      </c>
      <c r="H227" s="13" t="b">
        <v>1</v>
      </c>
      <c r="I227" s="13" t="b">
        <v>1</v>
      </c>
      <c r="J227" s="10">
        <v>26</v>
      </c>
      <c r="K227" s="10">
        <v>0</v>
      </c>
      <c r="L227" s="10">
        <v>0</v>
      </c>
      <c r="M227" s="10">
        <v>684</v>
      </c>
      <c r="N227" s="10">
        <v>4760</v>
      </c>
      <c r="O227" s="10"/>
      <c r="P227" s="10"/>
      <c r="Q227" s="10"/>
      <c r="R227" s="10"/>
      <c r="S227" s="10"/>
      <c r="T227" s="14" t="b">
        <v>0</v>
      </c>
      <c r="U227" s="14" t="b">
        <v>0</v>
      </c>
      <c r="V227" s="14" t="b">
        <v>0</v>
      </c>
      <c r="W227" s="14" t="b">
        <v>0</v>
      </c>
      <c r="X227" s="14" t="b">
        <v>0</v>
      </c>
      <c r="Y227" s="55">
        <v>0</v>
      </c>
      <c r="Z227" s="55">
        <v>0</v>
      </c>
      <c r="AA227" s="55">
        <v>0</v>
      </c>
      <c r="AB227" s="55">
        <v>0</v>
      </c>
      <c r="AC227" s="55">
        <v>0</v>
      </c>
      <c r="AD227" s="55">
        <v>0.1</v>
      </c>
      <c r="AE227" s="55">
        <v>0</v>
      </c>
      <c r="AF227" s="55">
        <v>0</v>
      </c>
      <c r="AG227" s="55">
        <v>0.4</v>
      </c>
      <c r="AH227" s="55">
        <v>0.2</v>
      </c>
      <c r="AI22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7" s="102">
        <f>SUM(VIEW_IV_2019_REP_CALCULO[[#This Row],[Premio-BERINERT]:[Premio-PRIVIGEN]])</f>
        <v>0</v>
      </c>
    </row>
    <row r="228" spans="1:40" hidden="1" x14ac:dyDescent="0.2">
      <c r="A228" s="7" t="s">
        <v>16</v>
      </c>
      <c r="B228" s="7" t="s">
        <v>379</v>
      </c>
      <c r="C228" s="7" t="s">
        <v>377</v>
      </c>
      <c r="D228" s="8" t="s">
        <v>155</v>
      </c>
      <c r="E228" s="8" t="s">
        <v>156</v>
      </c>
      <c r="F228" s="8" t="s">
        <v>556</v>
      </c>
      <c r="G228" s="8" t="s">
        <v>206</v>
      </c>
      <c r="H228" s="13" t="b">
        <v>1</v>
      </c>
      <c r="I228" s="13" t="b">
        <v>1</v>
      </c>
      <c r="J228" s="10">
        <v>18</v>
      </c>
      <c r="K228" s="10">
        <v>0</v>
      </c>
      <c r="L228" s="10">
        <v>0</v>
      </c>
      <c r="M228" s="10">
        <v>1197</v>
      </c>
      <c r="N228" s="10">
        <v>7140</v>
      </c>
      <c r="O228" s="10"/>
      <c r="P228" s="10"/>
      <c r="Q228" s="10"/>
      <c r="R228" s="10"/>
      <c r="S228" s="10"/>
      <c r="T228" s="14" t="b">
        <v>0</v>
      </c>
      <c r="U228" s="14" t="b">
        <v>0</v>
      </c>
      <c r="V228" s="14" t="b">
        <v>0</v>
      </c>
      <c r="W228" s="14" t="b">
        <v>0</v>
      </c>
      <c r="X228" s="14" t="b">
        <v>0</v>
      </c>
      <c r="Y228" s="55">
        <v>0</v>
      </c>
      <c r="Z228" s="55">
        <v>0</v>
      </c>
      <c r="AA228" s="55">
        <v>0</v>
      </c>
      <c r="AB228" s="55">
        <v>0</v>
      </c>
      <c r="AC228" s="55">
        <v>0</v>
      </c>
      <c r="AD228" s="55">
        <v>0.1</v>
      </c>
      <c r="AE228" s="55">
        <v>0</v>
      </c>
      <c r="AF228" s="55">
        <v>0</v>
      </c>
      <c r="AG228" s="55">
        <v>0.4</v>
      </c>
      <c r="AH228" s="55">
        <v>0.2</v>
      </c>
      <c r="AI22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8" s="102">
        <f>SUM(VIEW_IV_2019_REP_CALCULO[[#This Row],[Premio-BERINERT]:[Premio-PRIVIGEN]])</f>
        <v>0</v>
      </c>
    </row>
    <row r="229" spans="1:40" hidden="1" x14ac:dyDescent="0.2">
      <c r="A229" s="7" t="s">
        <v>16</v>
      </c>
      <c r="B229" s="7" t="s">
        <v>379</v>
      </c>
      <c r="C229" s="7" t="s">
        <v>377</v>
      </c>
      <c r="D229" s="8" t="s">
        <v>161</v>
      </c>
      <c r="E229" s="8" t="s">
        <v>162</v>
      </c>
      <c r="F229" s="8" t="s">
        <v>556</v>
      </c>
      <c r="G229" s="8" t="s">
        <v>208</v>
      </c>
      <c r="H229" s="13" t="b">
        <v>1</v>
      </c>
      <c r="I229" s="13" t="b">
        <v>1</v>
      </c>
      <c r="J229" s="10">
        <v>26</v>
      </c>
      <c r="K229" s="10">
        <v>0</v>
      </c>
      <c r="L229" s="10">
        <v>0</v>
      </c>
      <c r="M229" s="10">
        <v>684</v>
      </c>
      <c r="N229" s="10">
        <v>8330</v>
      </c>
      <c r="O229" s="10"/>
      <c r="P229" s="10"/>
      <c r="Q229" s="10"/>
      <c r="R229" s="10"/>
      <c r="S229" s="10"/>
      <c r="T229" s="14" t="b">
        <v>0</v>
      </c>
      <c r="U229" s="14" t="b">
        <v>0</v>
      </c>
      <c r="V229" s="14" t="b">
        <v>0</v>
      </c>
      <c r="W229" s="14" t="b">
        <v>0</v>
      </c>
      <c r="X229" s="14" t="b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0.1</v>
      </c>
      <c r="AE229" s="55">
        <v>0</v>
      </c>
      <c r="AF229" s="55">
        <v>0</v>
      </c>
      <c r="AG229" s="55">
        <v>0.4</v>
      </c>
      <c r="AH229" s="55">
        <v>0.2</v>
      </c>
      <c r="AI22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2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2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2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2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29" s="102">
        <f>SUM(VIEW_IV_2019_REP_CALCULO[[#This Row],[Premio-BERINERT]:[Premio-PRIVIGEN]])</f>
        <v>0</v>
      </c>
    </row>
    <row r="230" spans="1:40" hidden="1" x14ac:dyDescent="0.2">
      <c r="A230" s="7" t="s">
        <v>16</v>
      </c>
      <c r="B230" s="7" t="s">
        <v>379</v>
      </c>
      <c r="C230" s="7" t="s">
        <v>377</v>
      </c>
      <c r="D230" s="8" t="s">
        <v>175</v>
      </c>
      <c r="E230" s="8" t="s">
        <v>176</v>
      </c>
      <c r="F230" s="8" t="s">
        <v>556</v>
      </c>
      <c r="G230" s="8" t="s">
        <v>206</v>
      </c>
      <c r="H230" s="13" t="b">
        <v>1</v>
      </c>
      <c r="I230" s="13" t="b">
        <v>1</v>
      </c>
      <c r="J230" s="10">
        <v>65</v>
      </c>
      <c r="K230" s="10">
        <v>0</v>
      </c>
      <c r="L230" s="10">
        <v>0</v>
      </c>
      <c r="M230" s="10">
        <v>741</v>
      </c>
      <c r="N230" s="10">
        <v>13090</v>
      </c>
      <c r="O230" s="10"/>
      <c r="P230" s="10"/>
      <c r="Q230" s="10"/>
      <c r="R230" s="10"/>
      <c r="S230" s="10"/>
      <c r="T230" s="14" t="b">
        <v>0</v>
      </c>
      <c r="U230" s="14" t="b">
        <v>0</v>
      </c>
      <c r="V230" s="14" t="b">
        <v>0</v>
      </c>
      <c r="W230" s="14" t="b">
        <v>0</v>
      </c>
      <c r="X230" s="14" t="b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0.1</v>
      </c>
      <c r="AE230" s="55">
        <v>0</v>
      </c>
      <c r="AF230" s="55">
        <v>0</v>
      </c>
      <c r="AG230" s="55">
        <v>0.4</v>
      </c>
      <c r="AH230" s="55">
        <v>0.2</v>
      </c>
      <c r="AI23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0" s="102">
        <f>SUM(VIEW_IV_2019_REP_CALCULO[[#This Row],[Premio-BERINERT]:[Premio-PRIVIGEN]])</f>
        <v>0</v>
      </c>
    </row>
    <row r="231" spans="1:40" hidden="1" x14ac:dyDescent="0.2">
      <c r="A231" s="7" t="s">
        <v>16</v>
      </c>
      <c r="B231" s="7" t="s">
        <v>379</v>
      </c>
      <c r="C231" s="7" t="s">
        <v>377</v>
      </c>
      <c r="D231" s="8" t="s">
        <v>199</v>
      </c>
      <c r="E231" s="8" t="s">
        <v>200</v>
      </c>
      <c r="F231" s="8" t="s">
        <v>556</v>
      </c>
      <c r="G231" s="8" t="s">
        <v>212</v>
      </c>
      <c r="H231" s="13" t="b">
        <v>1</v>
      </c>
      <c r="I231" s="13" t="b">
        <v>1</v>
      </c>
      <c r="J231" s="10">
        <v>65</v>
      </c>
      <c r="K231" s="10">
        <v>0</v>
      </c>
      <c r="L231" s="10">
        <v>0</v>
      </c>
      <c r="M231" s="10">
        <v>684</v>
      </c>
      <c r="N231" s="10">
        <v>8925</v>
      </c>
      <c r="O231" s="10"/>
      <c r="P231" s="10"/>
      <c r="Q231" s="10"/>
      <c r="R231" s="10"/>
      <c r="S231" s="10"/>
      <c r="T231" s="14" t="b">
        <v>0</v>
      </c>
      <c r="U231" s="14" t="b">
        <v>0</v>
      </c>
      <c r="V231" s="14" t="b">
        <v>0</v>
      </c>
      <c r="W231" s="14" t="b">
        <v>0</v>
      </c>
      <c r="X231" s="14" t="b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0.1</v>
      </c>
      <c r="AE231" s="55">
        <v>0</v>
      </c>
      <c r="AF231" s="55">
        <v>0</v>
      </c>
      <c r="AG231" s="55">
        <v>0.4</v>
      </c>
      <c r="AH231" s="55">
        <v>0.2</v>
      </c>
      <c r="AI23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1" s="102">
        <f>SUM(VIEW_IV_2019_REP_CALCULO[[#This Row],[Premio-BERINERT]:[Premio-PRIVIGEN]])</f>
        <v>0</v>
      </c>
    </row>
    <row r="232" spans="1:40" hidden="1" x14ac:dyDescent="0.2">
      <c r="A232" s="7" t="s">
        <v>16</v>
      </c>
      <c r="B232" s="7" t="s">
        <v>379</v>
      </c>
      <c r="C232" s="7" t="s">
        <v>377</v>
      </c>
      <c r="D232" s="8" t="s">
        <v>144</v>
      </c>
      <c r="E232" s="8" t="s">
        <v>145</v>
      </c>
      <c r="F232" s="8" t="s">
        <v>557</v>
      </c>
      <c r="G232" s="8" t="s">
        <v>206</v>
      </c>
      <c r="H232" s="13" t="b">
        <v>1</v>
      </c>
      <c r="I232" s="13" t="b">
        <v>1</v>
      </c>
      <c r="J232" s="10">
        <v>0</v>
      </c>
      <c r="K232" s="10">
        <v>138</v>
      </c>
      <c r="L232" s="10">
        <v>150</v>
      </c>
      <c r="M232" s="10">
        <v>0</v>
      </c>
      <c r="N232" s="10">
        <v>3570</v>
      </c>
      <c r="O232" s="10"/>
      <c r="P232" s="10"/>
      <c r="Q232" s="10"/>
      <c r="R232" s="10"/>
      <c r="S232" s="10"/>
      <c r="T232" s="14" t="b">
        <v>0</v>
      </c>
      <c r="U232" s="14" t="b">
        <v>0</v>
      </c>
      <c r="V232" s="14" t="b">
        <v>0</v>
      </c>
      <c r="W232" s="14" t="b">
        <v>0</v>
      </c>
      <c r="X232" s="14" t="b">
        <v>0</v>
      </c>
      <c r="Y232" s="55">
        <v>0</v>
      </c>
      <c r="Z232" s="55">
        <v>0</v>
      </c>
      <c r="AA232" s="55">
        <v>0</v>
      </c>
      <c r="AB232" s="55">
        <v>0</v>
      </c>
      <c r="AC232" s="55">
        <v>0</v>
      </c>
      <c r="AD232" s="55">
        <v>0</v>
      </c>
      <c r="AE232" s="55">
        <v>0.25</v>
      </c>
      <c r="AF232" s="55">
        <v>0.25</v>
      </c>
      <c r="AG232" s="55">
        <v>0</v>
      </c>
      <c r="AH232" s="55">
        <v>0.2</v>
      </c>
      <c r="AI23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2" s="102">
        <f>SUM(VIEW_IV_2019_REP_CALCULO[[#This Row],[Premio-BERINERT]:[Premio-PRIVIGEN]])</f>
        <v>0</v>
      </c>
    </row>
    <row r="233" spans="1:40" hidden="1" x14ac:dyDescent="0.2">
      <c r="A233" s="7" t="s">
        <v>16</v>
      </c>
      <c r="B233" s="7" t="s">
        <v>379</v>
      </c>
      <c r="C233" s="7" t="s">
        <v>377</v>
      </c>
      <c r="D233" s="8" t="s">
        <v>147</v>
      </c>
      <c r="E233" s="8" t="s">
        <v>148</v>
      </c>
      <c r="F233" s="8" t="s">
        <v>557</v>
      </c>
      <c r="G233" s="8" t="s">
        <v>208</v>
      </c>
      <c r="H233" s="13" t="b">
        <v>1</v>
      </c>
      <c r="I233" s="13" t="b">
        <v>1</v>
      </c>
      <c r="J233" s="10">
        <v>0</v>
      </c>
      <c r="K233" s="10">
        <v>161</v>
      </c>
      <c r="L233" s="10">
        <v>180</v>
      </c>
      <c r="M233" s="10">
        <v>0</v>
      </c>
      <c r="N233" s="10">
        <v>4760</v>
      </c>
      <c r="O233" s="10"/>
      <c r="P233" s="10"/>
      <c r="Q233" s="10"/>
      <c r="R233" s="10"/>
      <c r="S233" s="10"/>
      <c r="T233" s="14" t="b">
        <v>0</v>
      </c>
      <c r="U233" s="14" t="b">
        <v>0</v>
      </c>
      <c r="V233" s="14" t="b">
        <v>0</v>
      </c>
      <c r="W233" s="14" t="b">
        <v>0</v>
      </c>
      <c r="X233" s="14" t="b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5">
        <v>0.25</v>
      </c>
      <c r="AF233" s="55">
        <v>0.25</v>
      </c>
      <c r="AG233" s="55">
        <v>0</v>
      </c>
      <c r="AH233" s="55">
        <v>0.2</v>
      </c>
      <c r="AI23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3" s="102">
        <f>SUM(VIEW_IV_2019_REP_CALCULO[[#This Row],[Premio-BERINERT]:[Premio-PRIVIGEN]])</f>
        <v>0</v>
      </c>
    </row>
    <row r="234" spans="1:40" hidden="1" x14ac:dyDescent="0.2">
      <c r="A234" s="7" t="s">
        <v>16</v>
      </c>
      <c r="B234" s="7" t="s">
        <v>379</v>
      </c>
      <c r="C234" s="7" t="s">
        <v>377</v>
      </c>
      <c r="D234" s="8" t="s">
        <v>149</v>
      </c>
      <c r="E234" s="8" t="s">
        <v>150</v>
      </c>
      <c r="F234" s="8" t="s">
        <v>557</v>
      </c>
      <c r="G234" s="8" t="s">
        <v>208</v>
      </c>
      <c r="H234" s="13" t="b">
        <v>1</v>
      </c>
      <c r="I234" s="13" t="b">
        <v>1</v>
      </c>
      <c r="J234" s="10">
        <v>0</v>
      </c>
      <c r="K234" s="10">
        <v>138</v>
      </c>
      <c r="L234" s="10">
        <v>75</v>
      </c>
      <c r="M234" s="10">
        <v>0</v>
      </c>
      <c r="N234" s="10">
        <v>8330</v>
      </c>
      <c r="O234" s="10"/>
      <c r="P234" s="10"/>
      <c r="Q234" s="10"/>
      <c r="R234" s="10"/>
      <c r="S234" s="10"/>
      <c r="T234" s="14" t="b">
        <v>0</v>
      </c>
      <c r="U234" s="14" t="b">
        <v>0</v>
      </c>
      <c r="V234" s="14" t="b">
        <v>0</v>
      </c>
      <c r="W234" s="14" t="b">
        <v>0</v>
      </c>
      <c r="X234" s="14" t="b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0.25</v>
      </c>
      <c r="AF234" s="55">
        <v>0.25</v>
      </c>
      <c r="AG234" s="55">
        <v>0</v>
      </c>
      <c r="AH234" s="55">
        <v>0.2</v>
      </c>
      <c r="AI23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4" s="102">
        <f>SUM(VIEW_IV_2019_REP_CALCULO[[#This Row],[Premio-BERINERT]:[Premio-PRIVIGEN]])</f>
        <v>0</v>
      </c>
    </row>
    <row r="235" spans="1:40" hidden="1" x14ac:dyDescent="0.2">
      <c r="A235" s="7" t="s">
        <v>16</v>
      </c>
      <c r="B235" s="7" t="s">
        <v>379</v>
      </c>
      <c r="C235" s="7" t="s">
        <v>377</v>
      </c>
      <c r="D235" s="8" t="s">
        <v>157</v>
      </c>
      <c r="E235" s="8" t="s">
        <v>158</v>
      </c>
      <c r="F235" s="8" t="s">
        <v>557</v>
      </c>
      <c r="G235" s="8" t="s">
        <v>206</v>
      </c>
      <c r="H235" s="13" t="b">
        <v>1</v>
      </c>
      <c r="I235" s="13" t="b">
        <v>1</v>
      </c>
      <c r="J235" s="10">
        <v>0</v>
      </c>
      <c r="K235" s="10">
        <v>92</v>
      </c>
      <c r="L235" s="10">
        <v>60</v>
      </c>
      <c r="M235" s="10">
        <v>0</v>
      </c>
      <c r="N235" s="10">
        <v>9520</v>
      </c>
      <c r="O235" s="10"/>
      <c r="P235" s="10"/>
      <c r="Q235" s="10"/>
      <c r="R235" s="10"/>
      <c r="S235" s="10"/>
      <c r="T235" s="14" t="b">
        <v>0</v>
      </c>
      <c r="U235" s="14" t="b">
        <v>0</v>
      </c>
      <c r="V235" s="14" t="b">
        <v>0</v>
      </c>
      <c r="W235" s="14" t="b">
        <v>0</v>
      </c>
      <c r="X235" s="14" t="b">
        <v>0</v>
      </c>
      <c r="Y235" s="55">
        <v>0</v>
      </c>
      <c r="Z235" s="55">
        <v>0</v>
      </c>
      <c r="AA235" s="55">
        <v>0</v>
      </c>
      <c r="AB235" s="55">
        <v>0</v>
      </c>
      <c r="AC235" s="55">
        <v>0</v>
      </c>
      <c r="AD235" s="55">
        <v>0</v>
      </c>
      <c r="AE235" s="55">
        <v>0.25</v>
      </c>
      <c r="AF235" s="55">
        <v>0.25</v>
      </c>
      <c r="AG235" s="55">
        <v>0</v>
      </c>
      <c r="AH235" s="55">
        <v>0.2</v>
      </c>
      <c r="AI23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5" s="102">
        <f>SUM(VIEW_IV_2019_REP_CALCULO[[#This Row],[Premio-BERINERT]:[Premio-PRIVIGEN]])</f>
        <v>0</v>
      </c>
    </row>
    <row r="236" spans="1:40" hidden="1" x14ac:dyDescent="0.2">
      <c r="A236" s="7" t="s">
        <v>16</v>
      </c>
      <c r="B236" s="7" t="s">
        <v>379</v>
      </c>
      <c r="C236" s="7" t="s">
        <v>377</v>
      </c>
      <c r="D236" s="8" t="s">
        <v>163</v>
      </c>
      <c r="E236" s="8" t="s">
        <v>164</v>
      </c>
      <c r="F236" s="8" t="s">
        <v>557</v>
      </c>
      <c r="G236" s="8" t="s">
        <v>212</v>
      </c>
      <c r="H236" s="13" t="b">
        <v>1</v>
      </c>
      <c r="I236" s="13" t="b">
        <v>1</v>
      </c>
      <c r="J236" s="10">
        <v>0</v>
      </c>
      <c r="K236" s="10">
        <v>253</v>
      </c>
      <c r="L236" s="10">
        <v>105</v>
      </c>
      <c r="M236" s="10">
        <v>0</v>
      </c>
      <c r="N236" s="10">
        <v>4165</v>
      </c>
      <c r="O236" s="10"/>
      <c r="P236" s="10"/>
      <c r="Q236" s="10"/>
      <c r="R236" s="10"/>
      <c r="S236" s="10"/>
      <c r="T236" s="14" t="b">
        <v>0</v>
      </c>
      <c r="U236" s="14" t="b">
        <v>0</v>
      </c>
      <c r="V236" s="14" t="b">
        <v>0</v>
      </c>
      <c r="W236" s="14" t="b">
        <v>0</v>
      </c>
      <c r="X236" s="14" t="b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0.25</v>
      </c>
      <c r="AF236" s="55">
        <v>0.25</v>
      </c>
      <c r="AG236" s="55">
        <v>0</v>
      </c>
      <c r="AH236" s="55">
        <v>0.2</v>
      </c>
      <c r="AI236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6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6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6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6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6" s="102">
        <f>SUM(VIEW_IV_2019_REP_CALCULO[[#This Row],[Premio-BERINERT]:[Premio-PRIVIGEN]])</f>
        <v>0</v>
      </c>
    </row>
    <row r="237" spans="1:40" hidden="1" x14ac:dyDescent="0.2">
      <c r="A237" s="7" t="s">
        <v>16</v>
      </c>
      <c r="B237" s="7" t="s">
        <v>379</v>
      </c>
      <c r="C237" s="7" t="s">
        <v>377</v>
      </c>
      <c r="D237" s="8" t="s">
        <v>165</v>
      </c>
      <c r="E237" s="8" t="s">
        <v>166</v>
      </c>
      <c r="F237" s="8" t="s">
        <v>557</v>
      </c>
      <c r="G237" s="8" t="s">
        <v>212</v>
      </c>
      <c r="H237" s="13" t="b">
        <v>1</v>
      </c>
      <c r="I237" s="13" t="b">
        <v>1</v>
      </c>
      <c r="J237" s="10">
        <v>0</v>
      </c>
      <c r="K237" s="10">
        <v>207</v>
      </c>
      <c r="L237" s="10">
        <v>165</v>
      </c>
      <c r="M237" s="10">
        <v>0</v>
      </c>
      <c r="N237" s="10">
        <v>2380</v>
      </c>
      <c r="O237" s="10"/>
      <c r="P237" s="10"/>
      <c r="Q237" s="10"/>
      <c r="R237" s="10"/>
      <c r="S237" s="10"/>
      <c r="T237" s="14" t="b">
        <v>0</v>
      </c>
      <c r="U237" s="14" t="b">
        <v>0</v>
      </c>
      <c r="V237" s="14" t="b">
        <v>0</v>
      </c>
      <c r="W237" s="14" t="b">
        <v>0</v>
      </c>
      <c r="X237" s="14" t="b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0.25</v>
      </c>
      <c r="AF237" s="55">
        <v>0.25</v>
      </c>
      <c r="AG237" s="55">
        <v>0</v>
      </c>
      <c r="AH237" s="55">
        <v>0.2</v>
      </c>
      <c r="AI237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7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7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7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7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7" s="102">
        <f>SUM(VIEW_IV_2019_REP_CALCULO[[#This Row],[Premio-BERINERT]:[Premio-PRIVIGEN]])</f>
        <v>0</v>
      </c>
    </row>
    <row r="238" spans="1:40" hidden="1" x14ac:dyDescent="0.2">
      <c r="A238" s="7" t="s">
        <v>16</v>
      </c>
      <c r="B238" s="7" t="s">
        <v>379</v>
      </c>
      <c r="C238" s="7" t="s">
        <v>377</v>
      </c>
      <c r="D238" s="8" t="s">
        <v>167</v>
      </c>
      <c r="E238" s="8" t="s">
        <v>168</v>
      </c>
      <c r="F238" s="8" t="s">
        <v>557</v>
      </c>
      <c r="G238" s="8" t="s">
        <v>212</v>
      </c>
      <c r="H238" s="13" t="b">
        <v>1</v>
      </c>
      <c r="I238" s="13" t="b">
        <v>1</v>
      </c>
      <c r="J238" s="10">
        <v>0</v>
      </c>
      <c r="K238" s="10">
        <v>184</v>
      </c>
      <c r="L238" s="10">
        <v>105</v>
      </c>
      <c r="M238" s="10">
        <v>0</v>
      </c>
      <c r="N238" s="10">
        <v>4165</v>
      </c>
      <c r="O238" s="10"/>
      <c r="P238" s="10"/>
      <c r="Q238" s="10"/>
      <c r="R238" s="10"/>
      <c r="S238" s="10"/>
      <c r="T238" s="14" t="b">
        <v>0</v>
      </c>
      <c r="U238" s="14" t="b">
        <v>0</v>
      </c>
      <c r="V238" s="14" t="b">
        <v>0</v>
      </c>
      <c r="W238" s="14" t="b">
        <v>0</v>
      </c>
      <c r="X238" s="14" t="b">
        <v>0</v>
      </c>
      <c r="Y238" s="55">
        <v>0</v>
      </c>
      <c r="Z238" s="55">
        <v>0</v>
      </c>
      <c r="AA238" s="55">
        <v>0</v>
      </c>
      <c r="AB238" s="55">
        <v>0</v>
      </c>
      <c r="AC238" s="55">
        <v>0</v>
      </c>
      <c r="AD238" s="55">
        <v>0</v>
      </c>
      <c r="AE238" s="55">
        <v>0.25</v>
      </c>
      <c r="AF238" s="55">
        <v>0.25</v>
      </c>
      <c r="AG238" s="55">
        <v>0</v>
      </c>
      <c r="AH238" s="55">
        <v>0.2</v>
      </c>
      <c r="AI238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8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8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8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8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8" s="102">
        <f>SUM(VIEW_IV_2019_REP_CALCULO[[#This Row],[Premio-BERINERT]:[Premio-PRIVIGEN]])</f>
        <v>0</v>
      </c>
    </row>
    <row r="239" spans="1:40" hidden="1" x14ac:dyDescent="0.2">
      <c r="A239" s="7" t="s">
        <v>16</v>
      </c>
      <c r="B239" s="7" t="s">
        <v>379</v>
      </c>
      <c r="C239" s="7" t="s">
        <v>377</v>
      </c>
      <c r="D239" s="8" t="s">
        <v>169</v>
      </c>
      <c r="E239" s="8" t="s">
        <v>170</v>
      </c>
      <c r="F239" s="8" t="s">
        <v>557</v>
      </c>
      <c r="G239" s="8" t="s">
        <v>212</v>
      </c>
      <c r="H239" s="13" t="b">
        <v>1</v>
      </c>
      <c r="I239" s="13" t="b">
        <v>1</v>
      </c>
      <c r="J239" s="10">
        <v>0</v>
      </c>
      <c r="K239" s="10">
        <v>230</v>
      </c>
      <c r="L239" s="10">
        <v>60</v>
      </c>
      <c r="M239" s="10">
        <v>0</v>
      </c>
      <c r="N239" s="10">
        <v>2380</v>
      </c>
      <c r="O239" s="10"/>
      <c r="P239" s="10"/>
      <c r="Q239" s="10"/>
      <c r="R239" s="10"/>
      <c r="S239" s="10"/>
      <c r="T239" s="14" t="b">
        <v>0</v>
      </c>
      <c r="U239" s="14" t="b">
        <v>0</v>
      </c>
      <c r="V239" s="14" t="b">
        <v>0</v>
      </c>
      <c r="W239" s="14" t="b">
        <v>0</v>
      </c>
      <c r="X239" s="14" t="b">
        <v>0</v>
      </c>
      <c r="Y239" s="55">
        <v>0</v>
      </c>
      <c r="Z239" s="55">
        <v>0</v>
      </c>
      <c r="AA239" s="55">
        <v>0</v>
      </c>
      <c r="AB239" s="55">
        <v>0</v>
      </c>
      <c r="AC239" s="55">
        <v>0</v>
      </c>
      <c r="AD239" s="55">
        <v>0</v>
      </c>
      <c r="AE239" s="55">
        <v>0.25</v>
      </c>
      <c r="AF239" s="55">
        <v>0.25</v>
      </c>
      <c r="AG239" s="55">
        <v>0</v>
      </c>
      <c r="AH239" s="55">
        <v>0.2</v>
      </c>
      <c r="AI239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39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39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39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39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39" s="102">
        <f>SUM(VIEW_IV_2019_REP_CALCULO[[#This Row],[Premio-BERINERT]:[Premio-PRIVIGEN]])</f>
        <v>0</v>
      </c>
    </row>
    <row r="240" spans="1:40" hidden="1" x14ac:dyDescent="0.2">
      <c r="A240" s="7" t="s">
        <v>16</v>
      </c>
      <c r="B240" s="7" t="s">
        <v>379</v>
      </c>
      <c r="C240" s="7" t="s">
        <v>377</v>
      </c>
      <c r="D240" s="8" t="s">
        <v>173</v>
      </c>
      <c r="E240" s="8" t="s">
        <v>174</v>
      </c>
      <c r="F240" s="8" t="s">
        <v>557</v>
      </c>
      <c r="G240" s="8" t="s">
        <v>206</v>
      </c>
      <c r="H240" s="13" t="b">
        <v>1</v>
      </c>
      <c r="I240" s="13" t="b">
        <v>1</v>
      </c>
      <c r="J240" s="10">
        <v>0</v>
      </c>
      <c r="K240" s="10">
        <v>138</v>
      </c>
      <c r="L240" s="10">
        <v>90</v>
      </c>
      <c r="M240" s="10">
        <v>0</v>
      </c>
      <c r="N240" s="10">
        <v>3570</v>
      </c>
      <c r="O240" s="10"/>
      <c r="P240" s="10"/>
      <c r="Q240" s="10"/>
      <c r="R240" s="10"/>
      <c r="S240" s="10"/>
      <c r="T240" s="14" t="b">
        <v>0</v>
      </c>
      <c r="U240" s="14" t="b">
        <v>0</v>
      </c>
      <c r="V240" s="14" t="b">
        <v>0</v>
      </c>
      <c r="W240" s="14" t="b">
        <v>0</v>
      </c>
      <c r="X240" s="14" t="b">
        <v>0</v>
      </c>
      <c r="Y240" s="55">
        <v>0</v>
      </c>
      <c r="Z240" s="55">
        <v>0</v>
      </c>
      <c r="AA240" s="55">
        <v>0</v>
      </c>
      <c r="AB240" s="55">
        <v>0</v>
      </c>
      <c r="AC240" s="55">
        <v>0</v>
      </c>
      <c r="AD240" s="55">
        <v>0</v>
      </c>
      <c r="AE240" s="55">
        <v>0.25</v>
      </c>
      <c r="AF240" s="55">
        <v>0.25</v>
      </c>
      <c r="AG240" s="55">
        <v>0</v>
      </c>
      <c r="AH240" s="55">
        <v>0.2</v>
      </c>
      <c r="AI240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0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0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0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0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0" s="102">
        <f>SUM(VIEW_IV_2019_REP_CALCULO[[#This Row],[Premio-BERINERT]:[Premio-PRIVIGEN]])</f>
        <v>0</v>
      </c>
    </row>
    <row r="241" spans="1:40" hidden="1" x14ac:dyDescent="0.2">
      <c r="A241" s="7" t="s">
        <v>16</v>
      </c>
      <c r="B241" s="7" t="s">
        <v>379</v>
      </c>
      <c r="C241" s="7" t="s">
        <v>377</v>
      </c>
      <c r="D241" s="8" t="s">
        <v>177</v>
      </c>
      <c r="E241" s="8" t="s">
        <v>178</v>
      </c>
      <c r="F241" s="8" t="s">
        <v>557</v>
      </c>
      <c r="G241" s="8" t="s">
        <v>208</v>
      </c>
      <c r="H241" s="13" t="b">
        <v>1</v>
      </c>
      <c r="I241" s="13" t="b">
        <v>1</v>
      </c>
      <c r="J241" s="10">
        <v>0</v>
      </c>
      <c r="K241" s="10">
        <v>161</v>
      </c>
      <c r="L241" s="10">
        <v>150</v>
      </c>
      <c r="M241" s="10">
        <v>0</v>
      </c>
      <c r="N241" s="10">
        <v>4760</v>
      </c>
      <c r="O241" s="10"/>
      <c r="P241" s="10"/>
      <c r="Q241" s="10"/>
      <c r="R241" s="10"/>
      <c r="S241" s="10"/>
      <c r="T241" s="14" t="b">
        <v>0</v>
      </c>
      <c r="U241" s="14" t="b">
        <v>0</v>
      </c>
      <c r="V241" s="14" t="b">
        <v>0</v>
      </c>
      <c r="W241" s="14" t="b">
        <v>0</v>
      </c>
      <c r="X241" s="14" t="b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0.25</v>
      </c>
      <c r="AF241" s="55">
        <v>0.25</v>
      </c>
      <c r="AG241" s="55">
        <v>0</v>
      </c>
      <c r="AH241" s="55">
        <v>0.2</v>
      </c>
      <c r="AI241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1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1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1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1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1" s="102">
        <f>SUM(VIEW_IV_2019_REP_CALCULO[[#This Row],[Premio-BERINERT]:[Premio-PRIVIGEN]])</f>
        <v>0</v>
      </c>
    </row>
    <row r="242" spans="1:40" hidden="1" x14ac:dyDescent="0.2">
      <c r="A242" s="7" t="s">
        <v>16</v>
      </c>
      <c r="B242" s="7" t="s">
        <v>379</v>
      </c>
      <c r="C242" s="7" t="s">
        <v>377</v>
      </c>
      <c r="D242" s="8" t="s">
        <v>181</v>
      </c>
      <c r="E242" s="8" t="s">
        <v>182</v>
      </c>
      <c r="F242" s="8" t="s">
        <v>557</v>
      </c>
      <c r="G242" s="8" t="s">
        <v>206</v>
      </c>
      <c r="H242" s="13" t="b">
        <v>1</v>
      </c>
      <c r="I242" s="13" t="b">
        <v>1</v>
      </c>
      <c r="J242" s="10">
        <v>0</v>
      </c>
      <c r="K242" s="10">
        <v>253</v>
      </c>
      <c r="L242" s="10">
        <v>180</v>
      </c>
      <c r="M242" s="10">
        <v>0</v>
      </c>
      <c r="N242" s="10">
        <v>5355</v>
      </c>
      <c r="O242" s="10"/>
      <c r="P242" s="10"/>
      <c r="Q242" s="10"/>
      <c r="R242" s="10"/>
      <c r="S242" s="10"/>
      <c r="T242" s="14" t="b">
        <v>0</v>
      </c>
      <c r="U242" s="14" t="b">
        <v>0</v>
      </c>
      <c r="V242" s="14" t="b">
        <v>0</v>
      </c>
      <c r="W242" s="14" t="b">
        <v>0</v>
      </c>
      <c r="X242" s="14" t="b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0.25</v>
      </c>
      <c r="AF242" s="55">
        <v>0.25</v>
      </c>
      <c r="AG242" s="55">
        <v>0</v>
      </c>
      <c r="AH242" s="55">
        <v>0.2</v>
      </c>
      <c r="AI242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2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2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2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2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2" s="102">
        <f>SUM(VIEW_IV_2019_REP_CALCULO[[#This Row],[Premio-BERINERT]:[Premio-PRIVIGEN]])</f>
        <v>0</v>
      </c>
    </row>
    <row r="243" spans="1:40" hidden="1" x14ac:dyDescent="0.2">
      <c r="A243" s="7" t="s">
        <v>16</v>
      </c>
      <c r="B243" s="7" t="s">
        <v>379</v>
      </c>
      <c r="C243" s="7" t="s">
        <v>377</v>
      </c>
      <c r="D243" s="8" t="s">
        <v>183</v>
      </c>
      <c r="E243" s="8" t="s">
        <v>184</v>
      </c>
      <c r="F243" s="8" t="s">
        <v>557</v>
      </c>
      <c r="G243" s="8" t="s">
        <v>208</v>
      </c>
      <c r="H243" s="13" t="b">
        <v>1</v>
      </c>
      <c r="I243" s="13" t="b">
        <v>1</v>
      </c>
      <c r="J243" s="10">
        <v>0</v>
      </c>
      <c r="K243" s="10">
        <v>207</v>
      </c>
      <c r="L243" s="10">
        <v>105</v>
      </c>
      <c r="M243" s="10">
        <v>0</v>
      </c>
      <c r="N243" s="10">
        <v>6545</v>
      </c>
      <c r="O243" s="10"/>
      <c r="P243" s="10"/>
      <c r="Q243" s="10"/>
      <c r="R243" s="10"/>
      <c r="S243" s="10"/>
      <c r="T243" s="14" t="b">
        <v>0</v>
      </c>
      <c r="U243" s="14" t="b">
        <v>0</v>
      </c>
      <c r="V243" s="14" t="b">
        <v>0</v>
      </c>
      <c r="W243" s="14" t="b">
        <v>0</v>
      </c>
      <c r="X243" s="14" t="b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0.25</v>
      </c>
      <c r="AF243" s="55">
        <v>0.25</v>
      </c>
      <c r="AG243" s="55">
        <v>0</v>
      </c>
      <c r="AH243" s="55">
        <v>0.2</v>
      </c>
      <c r="AI243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3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3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3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3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3" s="102">
        <f>SUM(VIEW_IV_2019_REP_CALCULO[[#This Row],[Premio-BERINERT]:[Premio-PRIVIGEN]])</f>
        <v>0</v>
      </c>
    </row>
    <row r="244" spans="1:40" hidden="1" x14ac:dyDescent="0.2">
      <c r="A244" s="7" t="s">
        <v>16</v>
      </c>
      <c r="B244" s="7" t="s">
        <v>379</v>
      </c>
      <c r="C244" s="7" t="s">
        <v>377</v>
      </c>
      <c r="D244" s="8" t="s">
        <v>159</v>
      </c>
      <c r="E244" s="8" t="s">
        <v>160</v>
      </c>
      <c r="F244" s="8" t="s">
        <v>740</v>
      </c>
      <c r="G244" s="8" t="s">
        <v>206</v>
      </c>
      <c r="H244" s="13" t="b">
        <v>1</v>
      </c>
      <c r="I244" s="13" t="b">
        <v>1</v>
      </c>
      <c r="J244" s="10">
        <v>8</v>
      </c>
      <c r="K244" s="10">
        <v>92</v>
      </c>
      <c r="L244" s="10">
        <v>60</v>
      </c>
      <c r="M244" s="10">
        <v>285</v>
      </c>
      <c r="N244" s="10">
        <v>5355</v>
      </c>
      <c r="O244" s="10"/>
      <c r="P244" s="10"/>
      <c r="Q244" s="10"/>
      <c r="R244" s="10"/>
      <c r="S244" s="10"/>
      <c r="T244" s="14" t="b">
        <v>0</v>
      </c>
      <c r="U244" s="14" t="b">
        <v>0</v>
      </c>
      <c r="V244" s="14" t="b">
        <v>0</v>
      </c>
      <c r="W244" s="14" t="b">
        <v>0</v>
      </c>
      <c r="X244" s="14" t="b">
        <v>0</v>
      </c>
      <c r="Y244" s="55">
        <v>0</v>
      </c>
      <c r="Z244" s="55">
        <v>0</v>
      </c>
      <c r="AA244" s="55">
        <v>0</v>
      </c>
      <c r="AB244" s="55">
        <v>0</v>
      </c>
      <c r="AC244" s="55">
        <v>0</v>
      </c>
      <c r="AD244" s="55">
        <v>0.05</v>
      </c>
      <c r="AE244" s="55">
        <v>0.15</v>
      </c>
      <c r="AF244" s="55">
        <v>0.15</v>
      </c>
      <c r="AG244" s="55">
        <v>0.2</v>
      </c>
      <c r="AH244" s="55">
        <v>0.15</v>
      </c>
      <c r="AI244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4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4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4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4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4" s="102">
        <f>SUM(VIEW_IV_2019_REP_CALCULO[[#This Row],[Premio-BERINERT]:[Premio-PRIVIGEN]])</f>
        <v>0</v>
      </c>
    </row>
    <row r="245" spans="1:40" hidden="1" x14ac:dyDescent="0.2">
      <c r="A245" s="7" t="s">
        <v>16</v>
      </c>
      <c r="B245" s="7" t="s">
        <v>379</v>
      </c>
      <c r="C245" s="7" t="s">
        <v>377</v>
      </c>
      <c r="D245" s="8" t="s">
        <v>201</v>
      </c>
      <c r="E245" s="8" t="s">
        <v>202</v>
      </c>
      <c r="F245" s="8" t="s">
        <v>740</v>
      </c>
      <c r="G245" s="8" t="s">
        <v>212</v>
      </c>
      <c r="H245" s="13" t="b">
        <v>1</v>
      </c>
      <c r="I245" s="13" t="b">
        <v>1</v>
      </c>
      <c r="J245" s="10">
        <v>26</v>
      </c>
      <c r="K245" s="10">
        <v>46</v>
      </c>
      <c r="L245" s="10">
        <v>15</v>
      </c>
      <c r="M245" s="10">
        <v>456</v>
      </c>
      <c r="N245" s="10">
        <v>4165</v>
      </c>
      <c r="O245" s="10"/>
      <c r="P245" s="10"/>
      <c r="Q245" s="10"/>
      <c r="R245" s="10"/>
      <c r="S245" s="10"/>
      <c r="T245" s="14" t="b">
        <v>0</v>
      </c>
      <c r="U245" s="14" t="b">
        <v>0</v>
      </c>
      <c r="V245" s="14" t="b">
        <v>0</v>
      </c>
      <c r="W245" s="14" t="b">
        <v>0</v>
      </c>
      <c r="X245" s="14" t="b">
        <v>0</v>
      </c>
      <c r="Y245" s="55">
        <v>0</v>
      </c>
      <c r="Z245" s="55">
        <v>0</v>
      </c>
      <c r="AA245" s="55">
        <v>0</v>
      </c>
      <c r="AB245" s="55">
        <v>0</v>
      </c>
      <c r="AC245" s="55">
        <v>0</v>
      </c>
      <c r="AD245" s="55">
        <v>0.05</v>
      </c>
      <c r="AE245" s="55">
        <v>0.15</v>
      </c>
      <c r="AF245" s="55">
        <v>0.15</v>
      </c>
      <c r="AG245" s="55">
        <v>0.2</v>
      </c>
      <c r="AH245" s="55">
        <v>0.15</v>
      </c>
      <c r="AI245" s="66">
        <f>IF(VIEW_IV_2019_REP_CALCULO[[#This Row],[Cobertura-BERINERT]]&lt;Cob_Min_REP,0,IF(VIEW_IV_2019_REP_CALCULO[[#This Row],[Cobertura-BERINERT]]&gt;Cob_Max_REP,Vlr_Max_REP,VLOOKUP(VIEW_IV_2019_REP_CALCULO[[#This Row],[Cobertura-BERINERT]],Tabela_Valores_REP,2,1)))*VIEW_IV_2019_REP_CALCULO[[#This Row],[Peso-BERINERT]]</f>
        <v>0</v>
      </c>
      <c r="AJ245" s="65">
        <f>IF(VIEW_IV_2019_REP_CALCULO[[#This Row],[Cobertura-BERIPLEX]]&lt;Cob_Min_REP,0,IF(VIEW_IV_2019_REP_CALCULO[[#This Row],[Cobertura-BERIPLEX]]&gt;Cob_Max_REP,Vlr_Max_REP,VLOOKUP(VIEW_IV_2019_REP_CALCULO[[#This Row],[Cobertura-BERIPLEX]],Tabela_Valores_REP,2,1)))*VIEW_IV_2019_REP_CALCULO[[#This Row],[Peso-BERIPLEX]]</f>
        <v>0</v>
      </c>
      <c r="AK245" s="65">
        <f>IF(VIEW_IV_2019_REP_CALCULO[[#This Row],[Cobertura-HAEMO]]&lt;Cob_Min_REP,0,IF(VIEW_IV_2019_REP_CALCULO[[#This Row],[Cobertura-HAEMO]]&gt;Cob_Max_REP,Vlr_Max_REP,VLOOKUP(VIEW_IV_2019_REP_CALCULO[[#This Row],[Cobertura-HAEMO]],Tabela_Valores_REP,2,1)))*VIEW_IV_2019_REP_CALCULO[[#This Row],[Peso-HAEMO]]</f>
        <v>0</v>
      </c>
      <c r="AL245" s="65">
        <f>IF(VIEW_IV_2019_REP_CALCULO[[#This Row],[Cobertura-HIZENTRA]]&lt;Cob_Min_REP,0,IF(VIEW_IV_2019_REP_CALCULO[[#This Row],[Cobertura-HIZENTRA]]&gt;Cob_Max_REP,Vlr_Max_REP,VLOOKUP(VIEW_IV_2019_REP_CALCULO[[#This Row],[Cobertura-HIZENTRA]],Tabela_Valores_REP,2,1)))*VIEW_IV_2019_REP_CALCULO[[#This Row],[Peso-HIZENTRA]]</f>
        <v>0</v>
      </c>
      <c r="AM245" s="65">
        <f>IF(VIEW_IV_2019_REP_CALCULO[[#This Row],[Cobertura-PRIVIGEN]]&lt;Cob_Min_REP,0,IF(VIEW_IV_2019_REP_CALCULO[[#This Row],[Cobertura-PRIVIGEN]]&gt;Cob_Max_REP,Vlr_Max_REP,VLOOKUP(VIEW_IV_2019_REP_CALCULO[[#This Row],[Cobertura-PRIVIGEN]],Tabela_Valores_REP,2,1)))*VIEW_IV_2019_REP_CALCULO[[#This Row],[Peso-PRIVIGEN]]</f>
        <v>0</v>
      </c>
      <c r="AN245" s="102">
        <f>SUM(VIEW_IV_2019_REP_CALCULO[[#This Row],[Premio-BERINERT]:[Premio-PRIVIGEN]])</f>
        <v>0</v>
      </c>
    </row>
  </sheetData>
  <phoneticPr fontId="5" type="noConversion"/>
  <conditionalFormatting sqref="H6:I245 T6:X245">
    <cfRule type="cellIs" dxfId="1651" priority="3" operator="equal">
      <formula>FALSE</formula>
    </cfRule>
    <cfRule type="cellIs" dxfId="1650" priority="4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B9BB6-A9BA-469C-8E5B-33C8F0B72D05}">
  <sheetPr codeName="Planilha14">
    <tabColor theme="9" tint="0.39997558519241921"/>
  </sheetPr>
  <dimension ref="A1:AR85"/>
  <sheetViews>
    <sheetView showGridLines="0" workbookViewId="0">
      <pane xSplit="4" ySplit="5" topLeftCell="E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defaultRowHeight="12.75" x14ac:dyDescent="0.25"/>
  <cols>
    <col min="1" max="1" width="13.28515625" style="3" bestFit="1" customWidth="1"/>
    <col min="2" max="2" width="12.140625" style="3" bestFit="1" customWidth="1"/>
    <col min="3" max="3" width="32.42578125" style="3" bestFit="1" customWidth="1"/>
    <col min="4" max="4" width="46.85546875" style="3" bestFit="1" customWidth="1"/>
    <col min="5" max="5" width="16.42578125" style="3" bestFit="1" customWidth="1"/>
    <col min="6" max="6" width="24.85546875" style="3" bestFit="1" customWidth="1"/>
    <col min="7" max="7" width="12" style="3" bestFit="1" customWidth="1"/>
    <col min="8" max="8" width="10.85546875" style="3" bestFit="1" customWidth="1"/>
    <col min="9" max="9" width="17" style="74" bestFit="1" customWidth="1"/>
    <col min="10" max="10" width="16.7109375" style="74" bestFit="1" customWidth="1"/>
    <col min="11" max="11" width="15.7109375" style="74" bestFit="1" customWidth="1"/>
    <col min="12" max="12" width="17.28515625" style="74" bestFit="1" customWidth="1"/>
    <col min="13" max="13" width="17" style="74" bestFit="1" customWidth="1"/>
    <col min="14" max="14" width="21" style="74" bestFit="1" customWidth="1"/>
    <col min="15" max="15" width="20.7109375" style="74" bestFit="1" customWidth="1"/>
    <col min="16" max="16" width="19.7109375" style="74" bestFit="1" customWidth="1"/>
    <col min="17" max="17" width="21.28515625" style="74" bestFit="1" customWidth="1"/>
    <col min="18" max="18" width="21" style="74" bestFit="1" customWidth="1"/>
    <col min="19" max="19" width="17.140625" style="3" bestFit="1" customWidth="1"/>
    <col min="20" max="20" width="16.85546875" style="3" bestFit="1" customWidth="1"/>
    <col min="21" max="21" width="15.85546875" style="3" bestFit="1" customWidth="1"/>
    <col min="22" max="22" width="17.42578125" style="3" bestFit="1" customWidth="1"/>
    <col min="23" max="23" width="17.140625" style="3" bestFit="1" customWidth="1"/>
    <col min="24" max="24" width="21.5703125" style="3" bestFit="1" customWidth="1"/>
    <col min="25" max="25" width="21.28515625" style="3" bestFit="1" customWidth="1"/>
    <col min="26" max="26" width="20.28515625" style="3" bestFit="1" customWidth="1"/>
    <col min="27" max="27" width="22" style="3" bestFit="1" customWidth="1"/>
    <col min="28" max="28" width="21.5703125" style="3" bestFit="1" customWidth="1"/>
    <col min="29" max="29" width="19.28515625" style="3" bestFit="1" customWidth="1"/>
    <col min="30" max="30" width="19" style="3" bestFit="1" customWidth="1"/>
    <col min="31" max="31" width="18" style="3" bestFit="1" customWidth="1"/>
    <col min="32" max="32" width="19.5703125" style="3" bestFit="1" customWidth="1"/>
    <col min="33" max="33" width="19.28515625" style="3" bestFit="1" customWidth="1"/>
    <col min="34" max="34" width="20.7109375" style="3" bestFit="1" customWidth="1"/>
    <col min="35" max="35" width="20.42578125" style="3" bestFit="1" customWidth="1"/>
    <col min="36" max="36" width="19.42578125" style="3" bestFit="1" customWidth="1"/>
    <col min="37" max="37" width="21" style="3" bestFit="1" customWidth="1"/>
    <col min="38" max="38" width="20.7109375" style="3" bestFit="1" customWidth="1"/>
    <col min="39" max="39" width="23.28515625" style="3" bestFit="1" customWidth="1"/>
    <col min="40" max="40" width="23" style="3" bestFit="1" customWidth="1"/>
    <col min="41" max="41" width="22" style="3" bestFit="1" customWidth="1"/>
    <col min="42" max="42" width="23.5703125" style="3" bestFit="1" customWidth="1"/>
    <col min="43" max="43" width="23.28515625" style="3" bestFit="1" customWidth="1"/>
    <col min="44" max="44" width="19.7109375" style="3" bestFit="1" customWidth="1"/>
    <col min="45" max="16384" width="9.140625" style="3"/>
  </cols>
  <sheetData>
    <row r="1" spans="1:44" ht="15.75" x14ac:dyDescent="0.25">
      <c r="A1" s="49" t="s">
        <v>342</v>
      </c>
      <c r="I1" s="6" t="str">
        <f>IF(I2&lt;&gt;'IV Demanda REP Mensal'!J2,"Erro","OK")</f>
        <v>OK</v>
      </c>
      <c r="J1" s="6" t="str">
        <f>IF(J2&lt;&gt;'IV Demanda REP Mensal'!K2,"Erro","OK")</f>
        <v>OK</v>
      </c>
      <c r="K1" s="6" t="str">
        <f>IF(K2&lt;&gt;'IV Demanda REP Mensal'!L2,"Erro","OK")</f>
        <v>OK</v>
      </c>
      <c r="L1" s="6" t="str">
        <f>IF(L2&lt;&gt;'IV Demanda REP Mensal'!M2,"Erro","OK")</f>
        <v>OK</v>
      </c>
      <c r="M1" s="6" t="str">
        <f>IF(M2&lt;&gt;'IV Demanda REP Mensal'!N2,"Erro","OK")</f>
        <v>OK</v>
      </c>
      <c r="N1" s="6" t="str">
        <f>IF(N2&lt;&gt;'IV Demanda REP Mensal'!O2,"Erro","OK")</f>
        <v>OK</v>
      </c>
      <c r="O1" s="6" t="str">
        <f>IF(O2&lt;&gt;'IV Demanda REP Mensal'!P2,"Erro","OK")</f>
        <v>OK</v>
      </c>
      <c r="P1" s="6" t="str">
        <f>IF(P2&lt;&gt;'IV Demanda REP Mensal'!Q2,"Erro","OK")</f>
        <v>OK</v>
      </c>
      <c r="Q1" s="6" t="str">
        <f>IF(Q2&lt;&gt;'IV Demanda REP Mensal'!R2,"Erro","OK")</f>
        <v>OK</v>
      </c>
      <c r="R1" s="6" t="str">
        <f>IF(R2&lt;&gt;'IV Demanda REP Mensal'!S2,"Erro","OK")</f>
        <v>OK</v>
      </c>
      <c r="X1" s="6" t="str">
        <f>IF(X2&lt;&gt;'IV Demanda REP Mensal'!Y2,"Erro","OK")</f>
        <v>OK</v>
      </c>
      <c r="Y1" s="6" t="str">
        <f>IF(Y2&lt;&gt;'IV Demanda REP Mensal'!Z2,"Erro","OK")</f>
        <v>OK</v>
      </c>
      <c r="Z1" s="6" t="str">
        <f>IF(Z2&lt;&gt;'IV Demanda REP Mensal'!AA2,"Erro","OK")</f>
        <v>OK</v>
      </c>
      <c r="AA1" s="6" t="str">
        <f>IF(AA2&lt;&gt;'IV Demanda REP Mensal'!AB2,"Erro","OK")</f>
        <v>OK</v>
      </c>
      <c r="AB1" s="6" t="str">
        <f>IF(AB2&lt;&gt;'IV Demanda REP Mensal'!AC2,"Erro","OK")</f>
        <v>OK</v>
      </c>
      <c r="AH1" s="6" t="str">
        <f>IF(AH2&lt;&gt;'IV Demanda REP Mensal'!AI2,"Erro","OK")</f>
        <v>OK</v>
      </c>
      <c r="AI1" s="6" t="str">
        <f>IF(AI2&lt;&gt;'IV Demanda REP Mensal'!AJ2,"Erro","OK")</f>
        <v>OK</v>
      </c>
      <c r="AJ1" s="6" t="str">
        <f>IF(AJ2&lt;&gt;'IV Demanda REP Mensal'!AK2,"Erro","OK")</f>
        <v>OK</v>
      </c>
      <c r="AK1" s="6" t="str">
        <f>IF(AK2&lt;&gt;'IV Demanda REP Mensal'!AL2,"Erro","OK")</f>
        <v>OK</v>
      </c>
      <c r="AL1" s="6" t="str">
        <f>IF(AL2&lt;&gt;'IV Demanda REP Mensal'!AM2,"Erro","OK")</f>
        <v>OK</v>
      </c>
    </row>
    <row r="2" spans="1:44" x14ac:dyDescent="0.25">
      <c r="A2" s="63" t="s">
        <v>317</v>
      </c>
      <c r="I2" s="50">
        <f>SUM(VIEW_IV_2019_REP_CALCULO_TRI[Cota-BERINERT])</f>
        <v>2900</v>
      </c>
      <c r="J2" s="50">
        <f>SUM(VIEW_IV_2019_REP_CALCULO_TRI[Cota-BERIPLEX])</f>
        <v>23700</v>
      </c>
      <c r="K2" s="50">
        <f>SUM(VIEW_IV_2019_REP_CALCULO_TRI[Cota-HAEMO])</f>
        <v>17000</v>
      </c>
      <c r="L2" s="50">
        <f>SUM(VIEW_IV_2019_REP_CALCULO_TRI[Cota-HIZENTRA])</f>
        <v>74640</v>
      </c>
      <c r="M2" s="50">
        <f>SUM(VIEW_IV_2019_REP_CALCULO_TRI[Cota-PRIVIGEN])</f>
        <v>1285260</v>
      </c>
      <c r="N2" s="50">
        <f>SUM(VIEW_IV_2019_REP_CALCULO_TRI[Demanda-BERINERT])</f>
        <v>1290</v>
      </c>
      <c r="O2" s="50">
        <f>SUM(VIEW_IV_2019_REP_CALCULO_TRI[Demanda-BERIPLEX])</f>
        <v>12345</v>
      </c>
      <c r="P2" s="50">
        <f>SUM(VIEW_IV_2019_REP_CALCULO_TRI[Demanda-HAEMO])</f>
        <v>9958</v>
      </c>
      <c r="Q2" s="50">
        <f>SUM(VIEW_IV_2019_REP_CALCULO_TRI[Demanda-HIZENTRA])</f>
        <v>30749</v>
      </c>
      <c r="R2" s="50">
        <f>SUM(VIEW_IV_2019_REP_CALCULO_TRI[Demanda-PRIVIGEN])</f>
        <v>877814</v>
      </c>
      <c r="X2" s="76">
        <f>IFERROR(N2/I2,0)</f>
        <v>0.44482758620689655</v>
      </c>
      <c r="Y2" s="76">
        <f t="shared" ref="Y2:AB3" si="0">IFERROR(O2/J2,0)</f>
        <v>0.52088607594936709</v>
      </c>
      <c r="Z2" s="76">
        <f t="shared" si="0"/>
        <v>0.58576470588235297</v>
      </c>
      <c r="AA2" s="76">
        <f t="shared" si="0"/>
        <v>0.41196409431939979</v>
      </c>
      <c r="AB2" s="76">
        <f t="shared" si="0"/>
        <v>0.68298554378102483</v>
      </c>
      <c r="AC2" s="59">
        <f>SUM(VIEW_IV_2019_REP_CALCULO_TRI[Premio-BERINERT])</f>
        <v>6781.9403588314035</v>
      </c>
      <c r="AD2" s="59">
        <f>SUM(VIEW_IV_2019_REP_CALCULO_TRI[Premio-BERIPLEX])</f>
        <v>53343.722657211394</v>
      </c>
      <c r="AE2" s="59">
        <f>SUM(VIEW_IV_2019_REP_CALCULO_TRI[Premio-HAEMO])</f>
        <v>56954.180203183932</v>
      </c>
      <c r="AF2" s="59">
        <f>SUM(VIEW_IV_2019_REP_CALCULO_TRI[Premio-HIZENTRA])</f>
        <v>14586.120711138465</v>
      </c>
      <c r="AG2" s="59">
        <f>SUM(VIEW_IV_2019_REP_CALCULO_TRI[Premio-PRIVIGEN])</f>
        <v>139426.94896383694</v>
      </c>
      <c r="AH2" s="59">
        <f>SUM(VIEW_IV_2019_REP_CALCULO_TRI[Recebido-BERINERT])</f>
        <v>8966.8728756799574</v>
      </c>
      <c r="AI2" s="59">
        <f>SUM(VIEW_IV_2019_REP_CALCULO_TRI[Recebido-BERIPLEX])</f>
        <v>62878.117215618426</v>
      </c>
      <c r="AJ2" s="59">
        <f>SUM(VIEW_IV_2019_REP_CALCULO_TRI[Recebido-HAEMO])</f>
        <v>57934.910762511841</v>
      </c>
      <c r="AK2" s="59">
        <f>SUM(VIEW_IV_2019_REP_CALCULO_TRI[Recebido-HIZENTRA])</f>
        <v>22308.601191233276</v>
      </c>
      <c r="AL2" s="59">
        <f>SUM(VIEW_IV_2019_REP_CALCULO_TRI[Recebido-PRIVIGEN])</f>
        <v>132255.73546883746</v>
      </c>
      <c r="AM2" s="59">
        <f>SUM(VIEW_IV_2019_REP_CALCULO_TRI[Recuperavel-BERINERT])</f>
        <v>1268.5078843906601</v>
      </c>
      <c r="AN2" s="59">
        <f>SUM(VIEW_IV_2019_REP_CALCULO_TRI[Recuperavel-BERIPLEX])</f>
        <v>9442.5984887283466</v>
      </c>
      <c r="AO2" s="59">
        <f>SUM(VIEW_IV_2019_REP_CALCULO_TRI[Recuperavel-HAEMO])</f>
        <v>9524.0203549317866</v>
      </c>
      <c r="AP2" s="59">
        <f>SUM(VIEW_IV_2019_REP_CALCULO_TRI[Recuperavel-HIZENTRA])</f>
        <v>498.33388380356519</v>
      </c>
      <c r="AQ2" s="59">
        <f>SUM(VIEW_IV_2019_REP_CALCULO_TRI[Recuperavel-PRIVIGEN])</f>
        <v>19272.800635258005</v>
      </c>
      <c r="AR2" s="59">
        <f>SUM(VIEW_IV_2019_REP_CALCULO_TRI[Recuperavel-Total])</f>
        <v>40006.261247112358</v>
      </c>
    </row>
    <row r="3" spans="1:44" x14ac:dyDescent="0.25">
      <c r="I3" s="58">
        <f>SUBTOTAL(9,VIEW_IV_2019_REP_CALCULO_TRI[Cota-BERINERT])</f>
        <v>2900</v>
      </c>
      <c r="J3" s="58">
        <f>SUBTOTAL(9,VIEW_IV_2019_REP_CALCULO_TRI[Cota-BERIPLEX])</f>
        <v>23700</v>
      </c>
      <c r="K3" s="58">
        <f>SUBTOTAL(9,VIEW_IV_2019_REP_CALCULO_TRI[Cota-HAEMO])</f>
        <v>17000</v>
      </c>
      <c r="L3" s="58">
        <f>SUBTOTAL(9,VIEW_IV_2019_REP_CALCULO_TRI[Cota-HIZENTRA])</f>
        <v>74640</v>
      </c>
      <c r="M3" s="58">
        <f>SUBTOTAL(9,VIEW_IV_2019_REP_CALCULO_TRI[Cota-PRIVIGEN])</f>
        <v>1285260</v>
      </c>
      <c r="N3" s="58">
        <f>SUBTOTAL(9,VIEW_IV_2019_REP_CALCULO_TRI[Demanda-BERINERT])</f>
        <v>1290</v>
      </c>
      <c r="O3" s="58">
        <f>SUBTOTAL(9,VIEW_IV_2019_REP_CALCULO_TRI[Demanda-BERIPLEX])</f>
        <v>12345</v>
      </c>
      <c r="P3" s="58">
        <f>SUBTOTAL(9,VIEW_IV_2019_REP_CALCULO_TRI[Demanda-HAEMO])</f>
        <v>9958</v>
      </c>
      <c r="Q3" s="58">
        <f>SUBTOTAL(9,VIEW_IV_2019_REP_CALCULO_TRI[Demanda-HIZENTRA])</f>
        <v>30749</v>
      </c>
      <c r="R3" s="58">
        <f>SUBTOTAL(9,VIEW_IV_2019_REP_CALCULO_TRI[Demanda-PRIVIGEN])</f>
        <v>877814</v>
      </c>
      <c r="X3" s="77">
        <f>IFERROR(N3/I3,0)</f>
        <v>0.44482758620689655</v>
      </c>
      <c r="Y3" s="77">
        <f t="shared" si="0"/>
        <v>0.52088607594936709</v>
      </c>
      <c r="Z3" s="77">
        <f t="shared" si="0"/>
        <v>0.58576470588235297</v>
      </c>
      <c r="AA3" s="77">
        <f t="shared" si="0"/>
        <v>0.41196409431939979</v>
      </c>
      <c r="AB3" s="77">
        <f t="shared" si="0"/>
        <v>0.68298554378102483</v>
      </c>
      <c r="AC3" s="60">
        <f>SUBTOTAL(9,VIEW_IV_2019_REP_CALCULO_TRI[Premio-BERINERT])</f>
        <v>6781.9403588314035</v>
      </c>
      <c r="AD3" s="60">
        <f>SUBTOTAL(9,VIEW_IV_2019_REP_CALCULO_TRI[Premio-BERIPLEX])</f>
        <v>53343.722657211394</v>
      </c>
      <c r="AE3" s="60">
        <f>SUBTOTAL(9,VIEW_IV_2019_REP_CALCULO_TRI[Premio-HAEMO])</f>
        <v>56954.180203183932</v>
      </c>
      <c r="AF3" s="60">
        <f>SUBTOTAL(9,VIEW_IV_2019_REP_CALCULO_TRI[Premio-HIZENTRA])</f>
        <v>14586.120711138465</v>
      </c>
      <c r="AG3" s="60">
        <f>SUBTOTAL(9,VIEW_IV_2019_REP_CALCULO_TRI[Premio-PRIVIGEN])</f>
        <v>139426.94896383694</v>
      </c>
      <c r="AH3" s="60">
        <f>SUBTOTAL(9,VIEW_IV_2019_REP_CALCULO_TRI[Recebido-BERINERT])</f>
        <v>8966.8728756799574</v>
      </c>
      <c r="AI3" s="60">
        <f>SUBTOTAL(9,VIEW_IV_2019_REP_CALCULO_TRI[Recebido-BERIPLEX])</f>
        <v>62878.117215618426</v>
      </c>
      <c r="AJ3" s="60">
        <f>SUBTOTAL(9,VIEW_IV_2019_REP_CALCULO_TRI[Recebido-HAEMO])</f>
        <v>57934.910762511841</v>
      </c>
      <c r="AK3" s="60">
        <f>SUBTOTAL(9,VIEW_IV_2019_REP_CALCULO_TRI[Recebido-HIZENTRA])</f>
        <v>22308.601191233276</v>
      </c>
      <c r="AL3" s="60">
        <f>SUBTOTAL(9,VIEW_IV_2019_REP_CALCULO_TRI[Recebido-PRIVIGEN])</f>
        <v>132255.73546883746</v>
      </c>
      <c r="AM3" s="60">
        <f>SUBTOTAL(9,VIEW_IV_2019_REP_CALCULO_TRI[Recuperavel-BERINERT])</f>
        <v>1268.5078843906601</v>
      </c>
      <c r="AN3" s="60">
        <f>SUBTOTAL(9,VIEW_IV_2019_REP_CALCULO_TRI[Recuperavel-BERIPLEX])</f>
        <v>9442.5984887283466</v>
      </c>
      <c r="AO3" s="60">
        <f>SUBTOTAL(9,VIEW_IV_2019_REP_CALCULO_TRI[Recuperavel-HAEMO])</f>
        <v>9524.0203549317866</v>
      </c>
      <c r="AP3" s="60">
        <f>SUBTOTAL(9,VIEW_IV_2019_REP_CALCULO_TRI[Recuperavel-HIZENTRA])</f>
        <v>498.33388380356519</v>
      </c>
      <c r="AQ3" s="60">
        <f>SUBTOTAL(9,VIEW_IV_2019_REP_CALCULO_TRI[Recuperavel-PRIVIGEN])</f>
        <v>19272.800635258005</v>
      </c>
      <c r="AR3" s="60">
        <f>SUBTOTAL(9,VIEW_IV_2019_REP_CALCULO_TRI[Recuperavel-Total])</f>
        <v>40006.261247112358</v>
      </c>
    </row>
    <row r="5" spans="1:44" x14ac:dyDescent="0.25">
      <c r="A5" s="6" t="s">
        <v>2</v>
      </c>
      <c r="B5" s="6" t="s">
        <v>4</v>
      </c>
      <c r="C5" s="6" t="s">
        <v>132</v>
      </c>
      <c r="D5" s="6" t="s">
        <v>133</v>
      </c>
      <c r="E5" s="6" t="s">
        <v>136</v>
      </c>
      <c r="F5" s="6" t="s">
        <v>204</v>
      </c>
      <c r="G5" s="6" t="s">
        <v>137</v>
      </c>
      <c r="H5" s="6" t="s">
        <v>138</v>
      </c>
      <c r="I5" s="10" t="s">
        <v>231</v>
      </c>
      <c r="J5" s="10" t="s">
        <v>234</v>
      </c>
      <c r="K5" s="10" t="s">
        <v>237</v>
      </c>
      <c r="L5" s="10" t="s">
        <v>240</v>
      </c>
      <c r="M5" s="10" t="s">
        <v>243</v>
      </c>
      <c r="N5" s="10" t="s">
        <v>232</v>
      </c>
      <c r="O5" s="10" t="s">
        <v>235</v>
      </c>
      <c r="P5" s="10" t="s">
        <v>238</v>
      </c>
      <c r="Q5" s="10" t="s">
        <v>241</v>
      </c>
      <c r="R5" s="10" t="s">
        <v>244</v>
      </c>
      <c r="S5" s="6" t="s">
        <v>312</v>
      </c>
      <c r="T5" s="6" t="s">
        <v>313</v>
      </c>
      <c r="U5" s="6" t="s">
        <v>314</v>
      </c>
      <c r="V5" s="6" t="s">
        <v>315</v>
      </c>
      <c r="W5" s="6" t="s">
        <v>316</v>
      </c>
      <c r="X5" s="6" t="s">
        <v>233</v>
      </c>
      <c r="Y5" s="6" t="s">
        <v>236</v>
      </c>
      <c r="Z5" s="6" t="s">
        <v>239</v>
      </c>
      <c r="AA5" s="6" t="s">
        <v>242</v>
      </c>
      <c r="AB5" s="6" t="s">
        <v>245</v>
      </c>
      <c r="AC5" s="36" t="s">
        <v>343</v>
      </c>
      <c r="AD5" s="36" t="s">
        <v>344</v>
      </c>
      <c r="AE5" s="36" t="s">
        <v>345</v>
      </c>
      <c r="AF5" s="36" t="s">
        <v>346</v>
      </c>
      <c r="AG5" s="36" t="s">
        <v>347</v>
      </c>
      <c r="AH5" s="6" t="s">
        <v>348</v>
      </c>
      <c r="AI5" s="6" t="s">
        <v>349</v>
      </c>
      <c r="AJ5" s="6" t="s">
        <v>350</v>
      </c>
      <c r="AK5" s="6" t="s">
        <v>351</v>
      </c>
      <c r="AL5" s="6" t="s">
        <v>352</v>
      </c>
      <c r="AM5" s="36" t="s">
        <v>354</v>
      </c>
      <c r="AN5" s="36" t="s">
        <v>353</v>
      </c>
      <c r="AO5" s="36" t="s">
        <v>355</v>
      </c>
      <c r="AP5" s="36" t="s">
        <v>356</v>
      </c>
      <c r="AQ5" s="36" t="s">
        <v>357</v>
      </c>
      <c r="AR5" s="36" t="s">
        <v>390</v>
      </c>
    </row>
    <row r="6" spans="1:44" x14ac:dyDescent="0.25">
      <c r="A6" s="7" t="s">
        <v>16</v>
      </c>
      <c r="B6" s="7" t="s">
        <v>18</v>
      </c>
      <c r="C6" s="8" t="s">
        <v>151</v>
      </c>
      <c r="D6" s="8" t="s">
        <v>152</v>
      </c>
      <c r="E6" s="8" t="s">
        <v>556</v>
      </c>
      <c r="F6" s="8" t="s">
        <v>208</v>
      </c>
      <c r="G6" s="3" t="b">
        <v>1</v>
      </c>
      <c r="H6" s="3" t="b">
        <v>1</v>
      </c>
      <c r="I6" s="10">
        <v>68</v>
      </c>
      <c r="J6" s="10">
        <v>0</v>
      </c>
      <c r="K6" s="10">
        <v>0</v>
      </c>
      <c r="L6" s="10">
        <v>3186</v>
      </c>
      <c r="M6" s="10">
        <v>19670</v>
      </c>
      <c r="N6" s="10">
        <v>29</v>
      </c>
      <c r="O6" s="10">
        <v>0</v>
      </c>
      <c r="P6" s="10">
        <v>0</v>
      </c>
      <c r="Q6" s="10">
        <v>2221</v>
      </c>
      <c r="R6" s="10">
        <v>23775</v>
      </c>
      <c r="S6" s="75">
        <v>0.1</v>
      </c>
      <c r="T6" s="75">
        <v>0</v>
      </c>
      <c r="U6" s="75">
        <v>0</v>
      </c>
      <c r="V6" s="75">
        <v>0.4</v>
      </c>
      <c r="W6" s="75">
        <v>0.2</v>
      </c>
      <c r="X6" s="75">
        <f>IFERROR(VIEW_IV_2019_REP_CALCULO_TRI[[#This Row],[Demanda-BERINERT]]/VIEW_IV_2019_REP_CALCULO_TRI[[#This Row],[Cota-BERINERT]],0)</f>
        <v>0.4264705882352941</v>
      </c>
      <c r="Y6" s="75">
        <f>IFERROR(VIEW_IV_2019_REP_CALCULO_TRI[[#This Row],[Demanda-BERIPLEX]]/VIEW_IV_2019_REP_CALCULO_TRI[[#This Row],[Cota-BERIPLEX]],0)</f>
        <v>0</v>
      </c>
      <c r="Z6" s="75">
        <f>IFERROR(VIEW_IV_2019_REP_CALCULO_TRI[[#This Row],[Demanda-HAEMO]]/VIEW_IV_2019_REP_CALCULO_TRI[[#This Row],[Cota-HAEMO]],0)</f>
        <v>0</v>
      </c>
      <c r="AA6" s="75">
        <f>IFERROR(VIEW_IV_2019_REP_CALCULO_TRI[[#This Row],[Demanda-HIZENTRA]]/VIEW_IV_2019_REP_CALCULO_TRI[[#This Row],[Cota-HIZENTRA]],0)</f>
        <v>0.69711236660389198</v>
      </c>
      <c r="AB6" s="75">
        <f>IFERROR(VIEW_IV_2019_REP_CALCULO_TRI[[#This Row],[Demanda-PRIVIGEN]]/VIEW_IV_2019_REP_CALCULO_TRI[[#This Row],[Cota-PRIVIGEN]],0)</f>
        <v>1.2086934417895272</v>
      </c>
      <c r="AC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3909.1841971876192</v>
      </c>
      <c r="AH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814.90736693298118</v>
      </c>
      <c r="AI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2017.3644851843526</v>
      </c>
      <c r="AL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3543.26771241193</v>
      </c>
      <c r="AM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365.91648477568924</v>
      </c>
      <c r="AR6" s="102">
        <f>SUM(VIEW_IV_2019_REP_CALCULO_TRI[[#This Row],[Recuperavel-BERINERT]:[Recuperavel-PRIVIGEN]])</f>
        <v>365.91648477568924</v>
      </c>
    </row>
    <row r="7" spans="1:44" x14ac:dyDescent="0.25">
      <c r="A7" s="7" t="s">
        <v>16</v>
      </c>
      <c r="B7" s="7" t="s">
        <v>18</v>
      </c>
      <c r="C7" s="8" t="s">
        <v>1355</v>
      </c>
      <c r="D7" s="8" t="s">
        <v>1356</v>
      </c>
      <c r="E7" s="8" t="s">
        <v>556</v>
      </c>
      <c r="F7" s="8" t="s">
        <v>208</v>
      </c>
      <c r="G7" s="3" t="b">
        <v>1</v>
      </c>
      <c r="H7" s="3" t="b">
        <v>1</v>
      </c>
      <c r="I7" s="10">
        <v>68</v>
      </c>
      <c r="J7" s="10">
        <v>0</v>
      </c>
      <c r="K7" s="10">
        <v>0</v>
      </c>
      <c r="L7" s="10">
        <v>2249</v>
      </c>
      <c r="M7" s="10">
        <v>18265</v>
      </c>
      <c r="N7" s="10">
        <v>28</v>
      </c>
      <c r="O7" s="10">
        <v>0</v>
      </c>
      <c r="P7" s="10">
        <v>0</v>
      </c>
      <c r="Q7" s="10">
        <v>1044</v>
      </c>
      <c r="R7" s="10">
        <v>44062</v>
      </c>
      <c r="S7" s="75">
        <v>0.1</v>
      </c>
      <c r="T7" s="75">
        <v>0</v>
      </c>
      <c r="U7" s="75">
        <v>0</v>
      </c>
      <c r="V7" s="75">
        <v>0.4</v>
      </c>
      <c r="W7" s="75">
        <v>0.2</v>
      </c>
      <c r="X7" s="75">
        <f>IFERROR(VIEW_IV_2019_REP_CALCULO_TRI[[#This Row],[Demanda-BERINERT]]/VIEW_IV_2019_REP_CALCULO_TRI[[#This Row],[Cota-BERINERT]],0)</f>
        <v>0.41176470588235292</v>
      </c>
      <c r="Y7" s="75">
        <f>IFERROR(VIEW_IV_2019_REP_CALCULO_TRI[[#This Row],[Demanda-BERIPLEX]]/VIEW_IV_2019_REP_CALCULO_TRI[[#This Row],[Cota-BERIPLEX]],0)</f>
        <v>0</v>
      </c>
      <c r="Z7" s="75">
        <f>IFERROR(VIEW_IV_2019_REP_CALCULO_TRI[[#This Row],[Demanda-HAEMO]]/VIEW_IV_2019_REP_CALCULO_TRI[[#This Row],[Cota-HAEMO]],0)</f>
        <v>0</v>
      </c>
      <c r="AA7" s="75">
        <f>IFERROR(VIEW_IV_2019_REP_CALCULO_TRI[[#This Row],[Demanda-HIZENTRA]]/VIEW_IV_2019_REP_CALCULO_TRI[[#This Row],[Cota-HIZENTRA]],0)</f>
        <v>0.46420631391729655</v>
      </c>
      <c r="AB7" s="75">
        <f>IFERROR(VIEW_IV_2019_REP_CALCULO_TRI[[#This Row],[Demanda-PRIVIGEN]]/VIEW_IV_2019_REP_CALCULO_TRI[[#This Row],[Cota-PRIVIGEN]],0)</f>
        <v>2.4123733917328223</v>
      </c>
      <c r="AC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3762.6364486485204</v>
      </c>
      <c r="AM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1126.8077529493671</v>
      </c>
      <c r="AR7" s="102">
        <f>SUM(VIEW_IV_2019_REP_CALCULO_TRI[[#This Row],[Recuperavel-BERINERT]:[Recuperavel-PRIVIGEN]])</f>
        <v>1126.8077529493671</v>
      </c>
    </row>
    <row r="8" spans="1:44" x14ac:dyDescent="0.25">
      <c r="A8" s="7" t="s">
        <v>16</v>
      </c>
      <c r="B8" s="7" t="s">
        <v>18</v>
      </c>
      <c r="C8" s="8" t="s">
        <v>155</v>
      </c>
      <c r="D8" s="8" t="s">
        <v>156</v>
      </c>
      <c r="E8" s="8" t="s">
        <v>556</v>
      </c>
      <c r="F8" s="8" t="s">
        <v>206</v>
      </c>
      <c r="G8" s="3" t="b">
        <v>1</v>
      </c>
      <c r="H8" s="3" t="b">
        <v>1</v>
      </c>
      <c r="I8" s="10">
        <v>47</v>
      </c>
      <c r="J8" s="10">
        <v>0</v>
      </c>
      <c r="K8" s="10">
        <v>0</v>
      </c>
      <c r="L8" s="10">
        <v>3935</v>
      </c>
      <c r="M8" s="10">
        <v>18265</v>
      </c>
      <c r="N8" s="10">
        <v>6</v>
      </c>
      <c r="O8" s="10">
        <v>0</v>
      </c>
      <c r="P8" s="10">
        <v>0</v>
      </c>
      <c r="Q8" s="10">
        <v>3652</v>
      </c>
      <c r="R8" s="10">
        <v>26402</v>
      </c>
      <c r="S8" s="75">
        <v>0.1</v>
      </c>
      <c r="T8" s="75">
        <v>0</v>
      </c>
      <c r="U8" s="75">
        <v>0</v>
      </c>
      <c r="V8" s="75">
        <v>0.4</v>
      </c>
      <c r="W8" s="75">
        <v>0.2</v>
      </c>
      <c r="X8" s="75">
        <f>IFERROR(VIEW_IV_2019_REP_CALCULO_TRI[[#This Row],[Demanda-BERINERT]]/VIEW_IV_2019_REP_CALCULO_TRI[[#This Row],[Cota-BERINERT]],0)</f>
        <v>0.1276595744680851</v>
      </c>
      <c r="Y8" s="75">
        <f>IFERROR(VIEW_IV_2019_REP_CALCULO_TRI[[#This Row],[Demanda-BERIPLEX]]/VIEW_IV_2019_REP_CALCULO_TRI[[#This Row],[Cota-BERIPLEX]],0)</f>
        <v>0</v>
      </c>
      <c r="Z8" s="75">
        <f>IFERROR(VIEW_IV_2019_REP_CALCULO_TRI[[#This Row],[Demanda-HAEMO]]/VIEW_IV_2019_REP_CALCULO_TRI[[#This Row],[Cota-HAEMO]],0)</f>
        <v>0</v>
      </c>
      <c r="AA8" s="75">
        <f>IFERROR(VIEW_IV_2019_REP_CALCULO_TRI[[#This Row],[Demanda-HIZENTRA]]/VIEW_IV_2019_REP_CALCULO_TRI[[#This Row],[Cota-HIZENTRA]],0)</f>
        <v>0.92808132147395173</v>
      </c>
      <c r="AB8" s="75">
        <f>IFERROR(VIEW_IV_2019_REP_CALCULO_TRI[[#This Row],[Demanda-PRIVIGEN]]/VIEW_IV_2019_REP_CALCULO_TRI[[#This Row],[Cota-PRIVIGEN]],0)</f>
        <v>1.445496851902546</v>
      </c>
      <c r="AC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3011.551472842586</v>
      </c>
      <c r="AG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4689.9613685853474</v>
      </c>
      <c r="AH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2786.9831949107911</v>
      </c>
      <c r="AL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4675.5202004235525</v>
      </c>
      <c r="AM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224.56827793179491</v>
      </c>
      <c r="AQ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14.441168161794849</v>
      </c>
      <c r="AR8" s="102">
        <f>SUM(VIEW_IV_2019_REP_CALCULO_TRI[[#This Row],[Recuperavel-BERINERT]:[Recuperavel-PRIVIGEN]])</f>
        <v>239.00944609358976</v>
      </c>
    </row>
    <row r="9" spans="1:44" x14ac:dyDescent="0.25">
      <c r="A9" s="7" t="s">
        <v>16</v>
      </c>
      <c r="B9" s="7" t="s">
        <v>18</v>
      </c>
      <c r="C9" s="8" t="s">
        <v>161</v>
      </c>
      <c r="D9" s="8" t="s">
        <v>162</v>
      </c>
      <c r="E9" s="8" t="s">
        <v>556</v>
      </c>
      <c r="F9" s="8" t="s">
        <v>208</v>
      </c>
      <c r="G9" s="3" t="b">
        <v>1</v>
      </c>
      <c r="H9" s="3" t="b">
        <v>1</v>
      </c>
      <c r="I9" s="10">
        <v>68</v>
      </c>
      <c r="J9" s="10">
        <v>0</v>
      </c>
      <c r="K9" s="10">
        <v>0</v>
      </c>
      <c r="L9" s="10">
        <v>2249</v>
      </c>
      <c r="M9" s="10">
        <v>19670</v>
      </c>
      <c r="N9" s="10">
        <v>13</v>
      </c>
      <c r="O9" s="10">
        <v>0</v>
      </c>
      <c r="P9" s="10">
        <v>0</v>
      </c>
      <c r="Q9" s="10">
        <v>1359</v>
      </c>
      <c r="R9" s="10">
        <v>27570</v>
      </c>
      <c r="S9" s="75">
        <v>0.1</v>
      </c>
      <c r="T9" s="75">
        <v>0</v>
      </c>
      <c r="U9" s="75">
        <v>0</v>
      </c>
      <c r="V9" s="75">
        <v>0.4</v>
      </c>
      <c r="W9" s="75">
        <v>0.2</v>
      </c>
      <c r="X9" s="75">
        <f>IFERROR(VIEW_IV_2019_REP_CALCULO_TRI[[#This Row],[Demanda-BERINERT]]/VIEW_IV_2019_REP_CALCULO_TRI[[#This Row],[Cota-BERINERT]],0)</f>
        <v>0.19117647058823528</v>
      </c>
      <c r="Y9" s="75">
        <f>IFERROR(VIEW_IV_2019_REP_CALCULO_TRI[[#This Row],[Demanda-BERIPLEX]]/VIEW_IV_2019_REP_CALCULO_TRI[[#This Row],[Cota-BERIPLEX]],0)</f>
        <v>0</v>
      </c>
      <c r="Z9" s="75">
        <f>IFERROR(VIEW_IV_2019_REP_CALCULO_TRI[[#This Row],[Demanda-HAEMO]]/VIEW_IV_2019_REP_CALCULO_TRI[[#This Row],[Cota-HAEMO]],0)</f>
        <v>0</v>
      </c>
      <c r="AA9" s="75">
        <f>IFERROR(VIEW_IV_2019_REP_CALCULO_TRI[[#This Row],[Demanda-HIZENTRA]]/VIEW_IV_2019_REP_CALCULO_TRI[[#This Row],[Cota-HIZENTRA]],0)</f>
        <v>0.60426856380613603</v>
      </c>
      <c r="AB9" s="75">
        <f>IFERROR(VIEW_IV_2019_REP_CALCULO_TRI[[#This Row],[Demanda-PRIVIGEN]]/VIEW_IV_2019_REP_CALCULO_TRI[[#This Row],[Cota-PRIVIGEN]],0)</f>
        <v>1.4016268429079817</v>
      </c>
      <c r="AC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4553.7405877404781</v>
      </c>
      <c r="AH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4542.0773161958705</v>
      </c>
      <c r="AM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11.663271544607596</v>
      </c>
      <c r="AR9" s="102">
        <f>SUM(VIEW_IV_2019_REP_CALCULO_TRI[[#This Row],[Recuperavel-BERINERT]:[Recuperavel-PRIVIGEN]])</f>
        <v>11.663271544607596</v>
      </c>
    </row>
    <row r="10" spans="1:44" x14ac:dyDescent="0.25">
      <c r="A10" s="7" t="s">
        <v>16</v>
      </c>
      <c r="B10" s="7" t="s">
        <v>18</v>
      </c>
      <c r="C10" s="8" t="s">
        <v>175</v>
      </c>
      <c r="D10" s="8" t="s">
        <v>176</v>
      </c>
      <c r="E10" s="8" t="s">
        <v>556</v>
      </c>
      <c r="F10" s="8" t="s">
        <v>206</v>
      </c>
      <c r="G10" s="3" t="b">
        <v>1</v>
      </c>
      <c r="H10" s="3" t="b">
        <v>1</v>
      </c>
      <c r="I10" s="10">
        <v>171</v>
      </c>
      <c r="J10" s="10">
        <v>0</v>
      </c>
      <c r="K10" s="10">
        <v>0</v>
      </c>
      <c r="L10" s="10">
        <v>2436</v>
      </c>
      <c r="M10" s="10">
        <v>28100</v>
      </c>
      <c r="N10" s="10">
        <v>305</v>
      </c>
      <c r="O10" s="10">
        <v>0</v>
      </c>
      <c r="P10" s="10">
        <v>0</v>
      </c>
      <c r="Q10" s="10">
        <v>1432</v>
      </c>
      <c r="R10" s="10">
        <v>52387</v>
      </c>
      <c r="S10" s="75">
        <v>0.1</v>
      </c>
      <c r="T10" s="75">
        <v>0</v>
      </c>
      <c r="U10" s="75">
        <v>0</v>
      </c>
      <c r="V10" s="75">
        <v>0.4</v>
      </c>
      <c r="W10" s="75">
        <v>0.2</v>
      </c>
      <c r="X10" s="75">
        <f>IFERROR(VIEW_IV_2019_REP_CALCULO_TRI[[#This Row],[Demanda-BERINERT]]/VIEW_IV_2019_REP_CALCULO_TRI[[#This Row],[Cota-BERINERT]],0)</f>
        <v>1.7836257309941521</v>
      </c>
      <c r="Y10" s="75">
        <f>IFERROR(VIEW_IV_2019_REP_CALCULO_TRI[[#This Row],[Demanda-BERIPLEX]]/VIEW_IV_2019_REP_CALCULO_TRI[[#This Row],[Cota-BERIPLEX]],0)</f>
        <v>0</v>
      </c>
      <c r="Z10" s="75">
        <f>IFERROR(VIEW_IV_2019_REP_CALCULO_TRI[[#This Row],[Demanda-HAEMO]]/VIEW_IV_2019_REP_CALCULO_TRI[[#This Row],[Cota-HAEMO]],0)</f>
        <v>0</v>
      </c>
      <c r="AA10" s="75">
        <f>IFERROR(VIEW_IV_2019_REP_CALCULO_TRI[[#This Row],[Demanda-HIZENTRA]]/VIEW_IV_2019_REP_CALCULO_TRI[[#This Row],[Cota-HIZENTRA]],0)</f>
        <v>0.58784893267651883</v>
      </c>
      <c r="AB10" s="75">
        <f>IFERROR(VIEW_IV_2019_REP_CALCULO_TRI[[#This Row],[Demanda-PRIVIGEN]]/VIEW_IV_2019_REP_CALCULO_TRI[[#This Row],[Cota-PRIVIGEN]],0)</f>
        <v>1.864306049822064</v>
      </c>
      <c r="AC1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2444.7221007989438</v>
      </c>
      <c r="AD1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1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2398.5752668077557</v>
      </c>
      <c r="AI1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576.9255695100735</v>
      </c>
      <c r="AL1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4039.2001435324123</v>
      </c>
      <c r="AM1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46.146833991188032</v>
      </c>
      <c r="AN1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850.2440580654752</v>
      </c>
      <c r="AR10" s="102">
        <f>SUM(VIEW_IV_2019_REP_CALCULO_TRI[[#This Row],[Recuperavel-BERINERT]:[Recuperavel-PRIVIGEN]])</f>
        <v>896.39089205666323</v>
      </c>
    </row>
    <row r="11" spans="1:44" x14ac:dyDescent="0.25">
      <c r="A11" s="7" t="s">
        <v>16</v>
      </c>
      <c r="B11" s="7" t="s">
        <v>18</v>
      </c>
      <c r="C11" s="8" t="s">
        <v>199</v>
      </c>
      <c r="D11" s="8" t="s">
        <v>200</v>
      </c>
      <c r="E11" s="8" t="s">
        <v>556</v>
      </c>
      <c r="F11" s="8" t="s">
        <v>212</v>
      </c>
      <c r="G11" s="3" t="b">
        <v>1</v>
      </c>
      <c r="H11" s="3" t="b">
        <v>1</v>
      </c>
      <c r="I11" s="10">
        <v>171</v>
      </c>
      <c r="J11" s="10">
        <v>0</v>
      </c>
      <c r="K11" s="10">
        <v>0</v>
      </c>
      <c r="L11" s="10">
        <v>2249</v>
      </c>
      <c r="M11" s="10">
        <v>16860</v>
      </c>
      <c r="N11" s="10">
        <v>420</v>
      </c>
      <c r="O11" s="10">
        <v>0</v>
      </c>
      <c r="P11" s="10">
        <v>0</v>
      </c>
      <c r="Q11" s="10">
        <v>890</v>
      </c>
      <c r="R11" s="10">
        <v>17893</v>
      </c>
      <c r="S11" s="75">
        <v>0.1</v>
      </c>
      <c r="T11" s="75">
        <v>0</v>
      </c>
      <c r="U11" s="75">
        <v>0</v>
      </c>
      <c r="V11" s="75">
        <v>0.4</v>
      </c>
      <c r="W11" s="75">
        <v>0.2</v>
      </c>
      <c r="X11" s="75">
        <f>IFERROR(VIEW_IV_2019_REP_CALCULO_TRI[[#This Row],[Demanda-BERINERT]]/VIEW_IV_2019_REP_CALCULO_TRI[[#This Row],[Cota-BERINERT]],0)</f>
        <v>2.4561403508771931</v>
      </c>
      <c r="Y11" s="75">
        <f>IFERROR(VIEW_IV_2019_REP_CALCULO_TRI[[#This Row],[Demanda-BERIPLEX]]/VIEW_IV_2019_REP_CALCULO_TRI[[#This Row],[Cota-BERIPLEX]],0)</f>
        <v>0</v>
      </c>
      <c r="Z11" s="75">
        <f>IFERROR(VIEW_IV_2019_REP_CALCULO_TRI[[#This Row],[Demanda-HAEMO]]/VIEW_IV_2019_REP_CALCULO_TRI[[#This Row],[Cota-HAEMO]],0)</f>
        <v>0</v>
      </c>
      <c r="AA11" s="75">
        <f>IFERROR(VIEW_IV_2019_REP_CALCULO_TRI[[#This Row],[Demanda-HIZENTRA]]/VIEW_IV_2019_REP_CALCULO_TRI[[#This Row],[Cota-HIZENTRA]],0)</f>
        <v>0.39573143619386392</v>
      </c>
      <c r="AB11" s="75">
        <f>IFERROR(VIEW_IV_2019_REP_CALCULO_TRI[[#This Row],[Demanda-PRIVIGEN]]/VIEW_IV_2019_REP_CALCULO_TRI[[#This Row],[Cota-PRIVIGEN]],0)</f>
        <v>1.0612692763938316</v>
      </c>
      <c r="AC1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2444.7221007989438</v>
      </c>
      <c r="AD1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2282.2454372856623</v>
      </c>
      <c r="AH1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I1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2350.9716957535547</v>
      </c>
      <c r="AM1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814.9073669329814</v>
      </c>
      <c r="AN1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1" s="102">
        <f>SUM(VIEW_IV_2019_REP_CALCULO_TRI[[#This Row],[Recuperavel-BERINERT]:[Recuperavel-PRIVIGEN]])</f>
        <v>814.9073669329814</v>
      </c>
    </row>
    <row r="12" spans="1:44" x14ac:dyDescent="0.25">
      <c r="A12" s="7" t="s">
        <v>16</v>
      </c>
      <c r="B12" s="7" t="s">
        <v>18</v>
      </c>
      <c r="C12" s="8" t="s">
        <v>144</v>
      </c>
      <c r="D12" s="8" t="s">
        <v>145</v>
      </c>
      <c r="E12" s="8" t="s">
        <v>557</v>
      </c>
      <c r="F12" s="8" t="s">
        <v>206</v>
      </c>
      <c r="G12" s="3" t="b">
        <v>1</v>
      </c>
      <c r="H12" s="3" t="b">
        <v>1</v>
      </c>
      <c r="I12" s="10">
        <v>0</v>
      </c>
      <c r="J12" s="10">
        <v>300</v>
      </c>
      <c r="K12" s="10">
        <v>400</v>
      </c>
      <c r="L12" s="10">
        <v>0</v>
      </c>
      <c r="M12" s="10">
        <v>7025</v>
      </c>
      <c r="N12" s="10">
        <v>0</v>
      </c>
      <c r="O12" s="10">
        <v>312</v>
      </c>
      <c r="P12" s="10">
        <v>376</v>
      </c>
      <c r="Q12" s="10">
        <v>0</v>
      </c>
      <c r="R12" s="10">
        <v>5100</v>
      </c>
      <c r="S12" s="75">
        <v>0</v>
      </c>
      <c r="T12" s="75">
        <v>0.25</v>
      </c>
      <c r="U12" s="75">
        <v>0.25</v>
      </c>
      <c r="V12" s="75">
        <v>0</v>
      </c>
      <c r="W12" s="75">
        <v>0.2</v>
      </c>
      <c r="X12" s="75">
        <f>IFERROR(VIEW_IV_2019_REP_CALCULO_TRI[[#This Row],[Demanda-BERINERT]]/VIEW_IV_2019_REP_CALCULO_TRI[[#This Row],[Cota-BERINERT]],0)</f>
        <v>0</v>
      </c>
      <c r="Y12" s="75">
        <f>IFERROR(VIEW_IV_2019_REP_CALCULO_TRI[[#This Row],[Demanda-BERIPLEX]]/VIEW_IV_2019_REP_CALCULO_TRI[[#This Row],[Cota-BERIPLEX]],0)</f>
        <v>1.04</v>
      </c>
      <c r="Z12" s="75">
        <f>IFERROR(VIEW_IV_2019_REP_CALCULO_TRI[[#This Row],[Demanda-HAEMO]]/VIEW_IV_2019_REP_CALCULO_TRI[[#This Row],[Cota-HAEMO]],0)</f>
        <v>0.94</v>
      </c>
      <c r="AA12" s="75">
        <f>IFERROR(VIEW_IV_2019_REP_CALCULO_TRI[[#This Row],[Demanda-HIZENTRA]]/VIEW_IV_2019_REP_CALCULO_TRI[[#This Row],[Cota-HIZENTRA]],0)</f>
        <v>0</v>
      </c>
      <c r="AB12" s="75">
        <f>IFERROR(VIEW_IV_2019_REP_CALCULO_TRI[[#This Row],[Demanda-PRIVIGEN]]/VIEW_IV_2019_REP_CALCULO_TRI[[#This Row],[Cota-PRIVIGEN]],0)</f>
        <v>0.72597864768683273</v>
      </c>
      <c r="AC1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2801.6947969332959</v>
      </c>
      <c r="AE1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1906.5587179903218</v>
      </c>
      <c r="AF1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1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3118.3367899740942</v>
      </c>
      <c r="AJ1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2121.6437818732993</v>
      </c>
      <c r="AK1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1516.8815536343645</v>
      </c>
      <c r="AM1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2" s="102">
        <f>SUM(VIEW_IV_2019_REP_CALCULO_TRI[[#This Row],[Recuperavel-BERINERT]:[Recuperavel-PRIVIGEN]])</f>
        <v>0</v>
      </c>
    </row>
    <row r="13" spans="1:44" x14ac:dyDescent="0.25">
      <c r="A13" s="7" t="s">
        <v>16</v>
      </c>
      <c r="B13" s="7" t="s">
        <v>18</v>
      </c>
      <c r="C13" s="8" t="s">
        <v>147</v>
      </c>
      <c r="D13" s="8" t="s">
        <v>148</v>
      </c>
      <c r="E13" s="8" t="s">
        <v>557</v>
      </c>
      <c r="F13" s="8" t="s">
        <v>208</v>
      </c>
      <c r="G13" s="3" t="b">
        <v>1</v>
      </c>
      <c r="H13" s="3" t="b">
        <v>1</v>
      </c>
      <c r="I13" s="10">
        <v>0</v>
      </c>
      <c r="J13" s="10">
        <v>350</v>
      </c>
      <c r="K13" s="10">
        <v>480</v>
      </c>
      <c r="L13" s="10">
        <v>0</v>
      </c>
      <c r="M13" s="10">
        <v>12645</v>
      </c>
      <c r="N13" s="10">
        <v>0</v>
      </c>
      <c r="O13" s="10">
        <v>246</v>
      </c>
      <c r="P13" s="10">
        <v>459</v>
      </c>
      <c r="Q13" s="10">
        <v>0</v>
      </c>
      <c r="R13" s="10">
        <v>9055</v>
      </c>
      <c r="S13" s="75">
        <v>0</v>
      </c>
      <c r="T13" s="75">
        <v>0.25</v>
      </c>
      <c r="U13" s="75">
        <v>0.25</v>
      </c>
      <c r="V13" s="75">
        <v>0</v>
      </c>
      <c r="W13" s="75">
        <v>0.2</v>
      </c>
      <c r="X13" s="75">
        <f>IFERROR(VIEW_IV_2019_REP_CALCULO_TRI[[#This Row],[Demanda-BERINERT]]/VIEW_IV_2019_REP_CALCULO_TRI[[#This Row],[Cota-BERINERT]],0)</f>
        <v>0</v>
      </c>
      <c r="Y13" s="75">
        <f>IFERROR(VIEW_IV_2019_REP_CALCULO_TRI[[#This Row],[Demanda-BERIPLEX]]/VIEW_IV_2019_REP_CALCULO_TRI[[#This Row],[Cota-BERIPLEX]],0)</f>
        <v>0.70285714285714285</v>
      </c>
      <c r="Z13" s="75">
        <f>IFERROR(VIEW_IV_2019_REP_CALCULO_TRI[[#This Row],[Demanda-HAEMO]]/VIEW_IV_2019_REP_CALCULO_TRI[[#This Row],[Cota-HAEMO]],0)</f>
        <v>0.95625000000000004</v>
      </c>
      <c r="AA13" s="75">
        <f>IFERROR(VIEW_IV_2019_REP_CALCULO_TRI[[#This Row],[Demanda-HIZENTRA]]/VIEW_IV_2019_REP_CALCULO_TRI[[#This Row],[Cota-HIZENTRA]],0)</f>
        <v>0</v>
      </c>
      <c r="AB13" s="75">
        <f>IFERROR(VIEW_IV_2019_REP_CALCULO_TRI[[#This Row],[Demanda-PRIVIGEN]]/VIEW_IV_2019_REP_CALCULO_TRI[[#This Row],[Cota-PRIVIGEN]],0)</f>
        <v>0.71609331751680505</v>
      </c>
      <c r="AC1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1939.0107812752644</v>
      </c>
      <c r="AF1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1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383.11463600278285</v>
      </c>
      <c r="AJ1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1906.1079948891429</v>
      </c>
      <c r="AK1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524.64168977322345</v>
      </c>
      <c r="AM1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32.902786386121534</v>
      </c>
      <c r="AP1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3" s="102">
        <f>SUM(VIEW_IV_2019_REP_CALCULO_TRI[[#This Row],[Recuperavel-BERINERT]:[Recuperavel-PRIVIGEN]])</f>
        <v>32.902786386121534</v>
      </c>
    </row>
    <row r="14" spans="1:44" x14ac:dyDescent="0.25">
      <c r="A14" s="7" t="s">
        <v>16</v>
      </c>
      <c r="B14" s="7" t="s">
        <v>18</v>
      </c>
      <c r="C14" s="8" t="s">
        <v>149</v>
      </c>
      <c r="D14" s="8" t="s">
        <v>150</v>
      </c>
      <c r="E14" s="8" t="s">
        <v>557</v>
      </c>
      <c r="F14" s="8" t="s">
        <v>208</v>
      </c>
      <c r="G14" s="3" t="b">
        <v>1</v>
      </c>
      <c r="H14" s="3" t="b">
        <v>1</v>
      </c>
      <c r="I14" s="10">
        <v>0</v>
      </c>
      <c r="J14" s="10">
        <v>300</v>
      </c>
      <c r="K14" s="10">
        <v>200</v>
      </c>
      <c r="L14" s="10">
        <v>0</v>
      </c>
      <c r="M14" s="10">
        <v>16860</v>
      </c>
      <c r="N14" s="10">
        <v>0</v>
      </c>
      <c r="O14" s="10">
        <v>79</v>
      </c>
      <c r="P14" s="10">
        <v>59</v>
      </c>
      <c r="Q14" s="10">
        <v>0</v>
      </c>
      <c r="R14" s="10">
        <v>22300</v>
      </c>
      <c r="S14" s="75">
        <v>0</v>
      </c>
      <c r="T14" s="75">
        <v>0.25</v>
      </c>
      <c r="U14" s="75">
        <v>0.25</v>
      </c>
      <c r="V14" s="75">
        <v>0</v>
      </c>
      <c r="W14" s="75">
        <v>0.2</v>
      </c>
      <c r="X14" s="75">
        <f>IFERROR(VIEW_IV_2019_REP_CALCULO_TRI[[#This Row],[Demanda-BERINERT]]/VIEW_IV_2019_REP_CALCULO_TRI[[#This Row],[Cota-BERINERT]],0)</f>
        <v>0</v>
      </c>
      <c r="Y14" s="75">
        <f>IFERROR(VIEW_IV_2019_REP_CALCULO_TRI[[#This Row],[Demanda-BERIPLEX]]/VIEW_IV_2019_REP_CALCULO_TRI[[#This Row],[Cota-BERIPLEX]],0)</f>
        <v>0.26333333333333331</v>
      </c>
      <c r="Z14" s="75">
        <f>IFERROR(VIEW_IV_2019_REP_CALCULO_TRI[[#This Row],[Demanda-HAEMO]]/VIEW_IV_2019_REP_CALCULO_TRI[[#This Row],[Cota-HAEMO]],0)</f>
        <v>0.29499999999999998</v>
      </c>
      <c r="AA14" s="75">
        <f>IFERROR(VIEW_IV_2019_REP_CALCULO_TRI[[#This Row],[Demanda-HIZENTRA]]/VIEW_IV_2019_REP_CALCULO_TRI[[#This Row],[Cota-HIZENTRA]],0)</f>
        <v>0</v>
      </c>
      <c r="AB14" s="75">
        <f>IFERROR(VIEW_IV_2019_REP_CALCULO_TRI[[#This Row],[Demanda-PRIVIGEN]]/VIEW_IV_2019_REP_CALCULO_TRI[[#This Row],[Cota-PRIVIGEN]],0)</f>
        <v>1.3226571767497035</v>
      </c>
      <c r="AC1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4283.4213909895698</v>
      </c>
      <c r="AH1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4083.3349495999346</v>
      </c>
      <c r="AM1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200.08644138963518</v>
      </c>
      <c r="AR14" s="102">
        <f>SUM(VIEW_IV_2019_REP_CALCULO_TRI[[#This Row],[Recuperavel-BERINERT]:[Recuperavel-PRIVIGEN]])</f>
        <v>200.08644138963518</v>
      </c>
    </row>
    <row r="15" spans="1:44" x14ac:dyDescent="0.25">
      <c r="A15" s="7" t="s">
        <v>16</v>
      </c>
      <c r="B15" s="7" t="s">
        <v>18</v>
      </c>
      <c r="C15" s="8" t="s">
        <v>157</v>
      </c>
      <c r="D15" s="8" t="s">
        <v>158</v>
      </c>
      <c r="E15" s="8" t="s">
        <v>557</v>
      </c>
      <c r="F15" s="8" t="s">
        <v>206</v>
      </c>
      <c r="G15" s="3" t="b">
        <v>1</v>
      </c>
      <c r="H15" s="3" t="b">
        <v>1</v>
      </c>
      <c r="I15" s="10">
        <v>0</v>
      </c>
      <c r="J15" s="10">
        <v>200</v>
      </c>
      <c r="K15" s="10">
        <v>160</v>
      </c>
      <c r="L15" s="10">
        <v>0</v>
      </c>
      <c r="M15" s="10">
        <v>21075</v>
      </c>
      <c r="N15" s="10">
        <v>0</v>
      </c>
      <c r="O15" s="10">
        <v>14</v>
      </c>
      <c r="P15" s="10">
        <v>40</v>
      </c>
      <c r="Q15" s="10">
        <v>0</v>
      </c>
      <c r="R15" s="10">
        <v>47287</v>
      </c>
      <c r="S15" s="75">
        <v>0</v>
      </c>
      <c r="T15" s="75">
        <v>0.25</v>
      </c>
      <c r="U15" s="75">
        <v>0.25</v>
      </c>
      <c r="V15" s="75">
        <v>0</v>
      </c>
      <c r="W15" s="75">
        <v>0.2</v>
      </c>
      <c r="X15" s="75">
        <f>IFERROR(VIEW_IV_2019_REP_CALCULO_TRI[[#This Row],[Demanda-BERINERT]]/VIEW_IV_2019_REP_CALCULO_TRI[[#This Row],[Cota-BERINERT]],0)</f>
        <v>0</v>
      </c>
      <c r="Y15" s="75">
        <f>IFERROR(VIEW_IV_2019_REP_CALCULO_TRI[[#This Row],[Demanda-BERIPLEX]]/VIEW_IV_2019_REP_CALCULO_TRI[[#This Row],[Cota-BERIPLEX]],0)</f>
        <v>7.0000000000000007E-2</v>
      </c>
      <c r="Z15" s="75">
        <f>IFERROR(VIEW_IV_2019_REP_CALCULO_TRI[[#This Row],[Demanda-HAEMO]]/VIEW_IV_2019_REP_CALCULO_TRI[[#This Row],[Cota-HAEMO]],0)</f>
        <v>0.25</v>
      </c>
      <c r="AA15" s="75">
        <f>IFERROR(VIEW_IV_2019_REP_CALCULO_TRI[[#This Row],[Demanda-HIZENTRA]]/VIEW_IV_2019_REP_CALCULO_TRI[[#This Row],[Cota-HIZENTRA]],0)</f>
        <v>0</v>
      </c>
      <c r="AB15" s="75">
        <f>IFERROR(VIEW_IV_2019_REP_CALCULO_TRI[[#This Row],[Demanda-PRIVIGEN]]/VIEW_IV_2019_REP_CALCULO_TRI[[#This Row],[Cota-PRIVIGEN]],0)</f>
        <v>2.2437485172004745</v>
      </c>
      <c r="AC1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1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1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1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4705.8953316582574</v>
      </c>
      <c r="AM1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183.54886993963009</v>
      </c>
      <c r="AR15" s="102">
        <f>SUM(VIEW_IV_2019_REP_CALCULO_TRI[[#This Row],[Recuperavel-BERINERT]:[Recuperavel-PRIVIGEN]])</f>
        <v>183.54886993963009</v>
      </c>
    </row>
    <row r="16" spans="1:44" x14ac:dyDescent="0.25">
      <c r="A16" s="7" t="s">
        <v>16</v>
      </c>
      <c r="B16" s="7" t="s">
        <v>18</v>
      </c>
      <c r="C16" s="8" t="s">
        <v>163</v>
      </c>
      <c r="D16" s="8" t="s">
        <v>164</v>
      </c>
      <c r="E16" s="8" t="s">
        <v>557</v>
      </c>
      <c r="F16" s="8" t="s">
        <v>212</v>
      </c>
      <c r="G16" s="3" t="b">
        <v>1</v>
      </c>
      <c r="H16" s="3" t="b">
        <v>1</v>
      </c>
      <c r="I16" s="10">
        <v>0</v>
      </c>
      <c r="J16" s="10">
        <v>550</v>
      </c>
      <c r="K16" s="10">
        <v>280</v>
      </c>
      <c r="L16" s="10">
        <v>0</v>
      </c>
      <c r="M16" s="10">
        <v>7025</v>
      </c>
      <c r="N16" s="10">
        <v>0</v>
      </c>
      <c r="O16" s="10">
        <v>759</v>
      </c>
      <c r="P16" s="10">
        <v>141</v>
      </c>
      <c r="Q16" s="10">
        <v>0</v>
      </c>
      <c r="R16" s="10">
        <v>14792</v>
      </c>
      <c r="S16" s="75">
        <v>0</v>
      </c>
      <c r="T16" s="75">
        <v>0.25</v>
      </c>
      <c r="U16" s="75">
        <v>0.25</v>
      </c>
      <c r="V16" s="75">
        <v>0</v>
      </c>
      <c r="W16" s="75">
        <v>0.2</v>
      </c>
      <c r="X16" s="75">
        <f>IFERROR(VIEW_IV_2019_REP_CALCULO_TRI[[#This Row],[Demanda-BERINERT]]/VIEW_IV_2019_REP_CALCULO_TRI[[#This Row],[Cota-BERINERT]],0)</f>
        <v>0</v>
      </c>
      <c r="Y16" s="75">
        <f>IFERROR(VIEW_IV_2019_REP_CALCULO_TRI[[#This Row],[Demanda-BERIPLEX]]/VIEW_IV_2019_REP_CALCULO_TRI[[#This Row],[Cota-BERIPLEX]],0)</f>
        <v>1.38</v>
      </c>
      <c r="Z16" s="75">
        <f>IFERROR(VIEW_IV_2019_REP_CALCULO_TRI[[#This Row],[Demanda-HAEMO]]/VIEW_IV_2019_REP_CALCULO_TRI[[#This Row],[Cota-HAEMO]],0)</f>
        <v>0.50357142857142856</v>
      </c>
      <c r="AA16" s="75">
        <f>IFERROR(VIEW_IV_2019_REP_CALCULO_TRI[[#This Row],[Demanda-HIZENTRA]]/VIEW_IV_2019_REP_CALCULO_TRI[[#This Row],[Cota-HIZENTRA]],0)</f>
        <v>0</v>
      </c>
      <c r="AB16" s="75">
        <f>IFERROR(VIEW_IV_2019_REP_CALCULO_TRI[[#This Row],[Demanda-PRIVIGEN]]/VIEW_IV_2019_REP_CALCULO_TRI[[#This Row],[Cota-PRIVIGEN]],0)</f>
        <v>2.1056227758007116</v>
      </c>
      <c r="AC1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5577.3197696943662</v>
      </c>
      <c r="AE1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1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2666.0271434781971</v>
      </c>
      <c r="AJ1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642.28041918113706</v>
      </c>
      <c r="AK1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4646.2484393405321</v>
      </c>
      <c r="AM1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2911.2926262161691</v>
      </c>
      <c r="AO1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243.19576225735545</v>
      </c>
      <c r="AR16" s="102">
        <f>SUM(VIEW_IV_2019_REP_CALCULO_TRI[[#This Row],[Recuperavel-BERINERT]:[Recuperavel-PRIVIGEN]])</f>
        <v>3154.4883884735245</v>
      </c>
    </row>
    <row r="17" spans="1:44" x14ac:dyDescent="0.25">
      <c r="A17" s="7" t="s">
        <v>16</v>
      </c>
      <c r="B17" s="7" t="s">
        <v>18</v>
      </c>
      <c r="C17" s="8" t="s">
        <v>165</v>
      </c>
      <c r="D17" s="8" t="s">
        <v>166</v>
      </c>
      <c r="E17" s="8" t="s">
        <v>557</v>
      </c>
      <c r="F17" s="8" t="s">
        <v>212</v>
      </c>
      <c r="G17" s="3" t="b">
        <v>1</v>
      </c>
      <c r="H17" s="3" t="b">
        <v>1</v>
      </c>
      <c r="I17" s="10">
        <v>0</v>
      </c>
      <c r="J17" s="10">
        <v>450</v>
      </c>
      <c r="K17" s="10">
        <v>440</v>
      </c>
      <c r="L17" s="10">
        <v>0</v>
      </c>
      <c r="M17" s="10">
        <v>4215</v>
      </c>
      <c r="N17" s="10">
        <v>0</v>
      </c>
      <c r="O17" s="10">
        <v>1133</v>
      </c>
      <c r="P17" s="10">
        <v>741</v>
      </c>
      <c r="Q17" s="10">
        <v>0</v>
      </c>
      <c r="R17" s="10">
        <v>4668</v>
      </c>
      <c r="S17" s="75">
        <v>0</v>
      </c>
      <c r="T17" s="75">
        <v>0.25</v>
      </c>
      <c r="U17" s="75">
        <v>0.25</v>
      </c>
      <c r="V17" s="75">
        <v>0</v>
      </c>
      <c r="W17" s="75">
        <v>0.2</v>
      </c>
      <c r="X17" s="75">
        <f>IFERROR(VIEW_IV_2019_REP_CALCULO_TRI[[#This Row],[Demanda-BERINERT]]/VIEW_IV_2019_REP_CALCULO_TRI[[#This Row],[Cota-BERINERT]],0)</f>
        <v>0</v>
      </c>
      <c r="Y17" s="75">
        <f>IFERROR(VIEW_IV_2019_REP_CALCULO_TRI[[#This Row],[Demanda-BERIPLEX]]/VIEW_IV_2019_REP_CALCULO_TRI[[#This Row],[Cota-BERIPLEX]],0)</f>
        <v>2.5177777777777779</v>
      </c>
      <c r="Z17" s="75">
        <f>IFERROR(VIEW_IV_2019_REP_CALCULO_TRI[[#This Row],[Demanda-HAEMO]]/VIEW_IV_2019_REP_CALCULO_TRI[[#This Row],[Cota-HAEMO]],0)</f>
        <v>1.6840909090909091</v>
      </c>
      <c r="AA17" s="75">
        <f>IFERROR(VIEW_IV_2019_REP_CALCULO_TRI[[#This Row],[Demanda-HIZENTRA]]/VIEW_IV_2019_REP_CALCULO_TRI[[#This Row],[Cota-HIZENTRA]],0)</f>
        <v>0</v>
      </c>
      <c r="AB17" s="75">
        <f>IFERROR(VIEW_IV_2019_REP_CALCULO_TRI[[#This Row],[Demanda-PRIVIGEN]]/VIEW_IV_2019_REP_CALCULO_TRI[[#This Row],[Cota-PRIVIGEN]],0)</f>
        <v>1.107473309608541</v>
      </c>
      <c r="AC1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1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1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3018.4529449678544</v>
      </c>
      <c r="AH1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3870.7378772354718</v>
      </c>
      <c r="AJ1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4074.5368346649057</v>
      </c>
      <c r="AK1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2843.3343999126901</v>
      </c>
      <c r="AM1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2241.0673747618871</v>
      </c>
      <c r="AO1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2037.2684173324533</v>
      </c>
      <c r="AP1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175.1185450551643</v>
      </c>
      <c r="AR17" s="102">
        <f>SUM(VIEW_IV_2019_REP_CALCULO_TRI[[#This Row],[Recuperavel-BERINERT]:[Recuperavel-PRIVIGEN]])</f>
        <v>4453.4543371495038</v>
      </c>
    </row>
    <row r="18" spans="1:44" x14ac:dyDescent="0.25">
      <c r="A18" s="7" t="s">
        <v>16</v>
      </c>
      <c r="B18" s="7" t="s">
        <v>18</v>
      </c>
      <c r="C18" s="8" t="s">
        <v>167</v>
      </c>
      <c r="D18" s="8" t="s">
        <v>168</v>
      </c>
      <c r="E18" s="8" t="s">
        <v>557</v>
      </c>
      <c r="F18" s="8" t="s">
        <v>212</v>
      </c>
      <c r="G18" s="3" t="b">
        <v>1</v>
      </c>
      <c r="H18" s="3" t="b">
        <v>1</v>
      </c>
      <c r="I18" s="10">
        <v>0</v>
      </c>
      <c r="J18" s="10">
        <v>400</v>
      </c>
      <c r="K18" s="10">
        <v>280</v>
      </c>
      <c r="L18" s="10">
        <v>0</v>
      </c>
      <c r="M18" s="10">
        <v>8430</v>
      </c>
      <c r="N18" s="10">
        <v>0</v>
      </c>
      <c r="O18" s="10">
        <v>354</v>
      </c>
      <c r="P18" s="10">
        <v>135</v>
      </c>
      <c r="Q18" s="10">
        <v>0</v>
      </c>
      <c r="R18" s="10">
        <v>10795</v>
      </c>
      <c r="S18" s="75">
        <v>0</v>
      </c>
      <c r="T18" s="75">
        <v>0.25</v>
      </c>
      <c r="U18" s="75">
        <v>0.25</v>
      </c>
      <c r="V18" s="75">
        <v>0</v>
      </c>
      <c r="W18" s="75">
        <v>0.2</v>
      </c>
      <c r="X18" s="75">
        <f>IFERROR(VIEW_IV_2019_REP_CALCULO_TRI[[#This Row],[Demanda-BERINERT]]/VIEW_IV_2019_REP_CALCULO_TRI[[#This Row],[Cota-BERINERT]],0)</f>
        <v>0</v>
      </c>
      <c r="Y18" s="75">
        <f>IFERROR(VIEW_IV_2019_REP_CALCULO_TRI[[#This Row],[Demanda-BERIPLEX]]/VIEW_IV_2019_REP_CALCULO_TRI[[#This Row],[Cota-BERIPLEX]],0)</f>
        <v>0.88500000000000001</v>
      </c>
      <c r="Z18" s="75">
        <f>IFERROR(VIEW_IV_2019_REP_CALCULO_TRI[[#This Row],[Demanda-HAEMO]]/VIEW_IV_2019_REP_CALCULO_TRI[[#This Row],[Cota-HAEMO]],0)</f>
        <v>0.48214285714285715</v>
      </c>
      <c r="AA18" s="75">
        <f>IFERROR(VIEW_IV_2019_REP_CALCULO_TRI[[#This Row],[Demanda-HIZENTRA]]/VIEW_IV_2019_REP_CALCULO_TRI[[#This Row],[Cota-HIZENTRA]],0)</f>
        <v>0</v>
      </c>
      <c r="AB18" s="75">
        <f>IFERROR(VIEW_IV_2019_REP_CALCULO_TRI[[#This Row],[Demanda-PRIVIGEN]]/VIEW_IV_2019_REP_CALCULO_TRI[[#This Row],[Cota-PRIVIGEN]],0)</f>
        <v>1.2805456702253855</v>
      </c>
      <c r="AC1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1196.6698336322222</v>
      </c>
      <c r="AE1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4129.2870712114072</v>
      </c>
      <c r="AH1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1541.022282933548</v>
      </c>
      <c r="AJ1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2127.4130375684008</v>
      </c>
      <c r="AM1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2001.8740336430064</v>
      </c>
      <c r="AR18" s="102">
        <f>SUM(VIEW_IV_2019_REP_CALCULO_TRI[[#This Row],[Recuperavel-BERINERT]:[Recuperavel-PRIVIGEN]])</f>
        <v>2001.8740336430064</v>
      </c>
    </row>
    <row r="19" spans="1:44" x14ac:dyDescent="0.25">
      <c r="A19" s="7" t="s">
        <v>16</v>
      </c>
      <c r="B19" s="7" t="s">
        <v>18</v>
      </c>
      <c r="C19" s="8" t="s">
        <v>169</v>
      </c>
      <c r="D19" s="8" t="s">
        <v>170</v>
      </c>
      <c r="E19" s="8" t="s">
        <v>557</v>
      </c>
      <c r="F19" s="8" t="s">
        <v>212</v>
      </c>
      <c r="G19" s="3" t="b">
        <v>1</v>
      </c>
      <c r="H19" s="3" t="b">
        <v>1</v>
      </c>
      <c r="I19" s="10">
        <v>0</v>
      </c>
      <c r="J19" s="10">
        <v>500</v>
      </c>
      <c r="K19" s="10">
        <v>160</v>
      </c>
      <c r="L19" s="10">
        <v>0</v>
      </c>
      <c r="M19" s="10">
        <v>4215</v>
      </c>
      <c r="N19" s="10">
        <v>0</v>
      </c>
      <c r="O19" s="10">
        <v>959</v>
      </c>
      <c r="P19" s="10">
        <v>70</v>
      </c>
      <c r="Q19" s="10">
        <v>0</v>
      </c>
      <c r="R19" s="10">
        <v>4655</v>
      </c>
      <c r="S19" s="75">
        <v>0</v>
      </c>
      <c r="T19" s="75">
        <v>0.25</v>
      </c>
      <c r="U19" s="75">
        <v>0.25</v>
      </c>
      <c r="V19" s="75">
        <v>0</v>
      </c>
      <c r="W19" s="75">
        <v>0.2</v>
      </c>
      <c r="X19" s="75">
        <f>IFERROR(VIEW_IV_2019_REP_CALCULO_TRI[[#This Row],[Demanda-BERINERT]]/VIEW_IV_2019_REP_CALCULO_TRI[[#This Row],[Cota-BERINERT]],0)</f>
        <v>0</v>
      </c>
      <c r="Y19" s="75">
        <f>IFERROR(VIEW_IV_2019_REP_CALCULO_TRI[[#This Row],[Demanda-BERIPLEX]]/VIEW_IV_2019_REP_CALCULO_TRI[[#This Row],[Cota-BERIPLEX]],0)</f>
        <v>1.9179999999999999</v>
      </c>
      <c r="Z19" s="75">
        <f>IFERROR(VIEW_IV_2019_REP_CALCULO_TRI[[#This Row],[Demanda-HAEMO]]/VIEW_IV_2019_REP_CALCULO_TRI[[#This Row],[Cota-HAEMO]],0)</f>
        <v>0.4375</v>
      </c>
      <c r="AA19" s="75">
        <f>IFERROR(VIEW_IV_2019_REP_CALCULO_TRI[[#This Row],[Demanda-HIZENTRA]]/VIEW_IV_2019_REP_CALCULO_TRI[[#This Row],[Cota-HIZENTRA]],0)</f>
        <v>0</v>
      </c>
      <c r="AB19" s="75">
        <f>IFERROR(VIEW_IV_2019_REP_CALCULO_TRI[[#This Row],[Demanda-PRIVIGEN]]/VIEW_IV_2019_REP_CALCULO_TRI[[#This Row],[Cota-PRIVIGEN]],0)</f>
        <v>1.1043890865954924</v>
      </c>
      <c r="AC1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1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1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1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1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3010.8591621591759</v>
      </c>
      <c r="AH1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1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6111.8052519973589</v>
      </c>
      <c r="AJ1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1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1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3106.8451537864189</v>
      </c>
      <c r="AM1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1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1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1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1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19" s="102">
        <f>SUM(VIEW_IV_2019_REP_CALCULO_TRI[[#This Row],[Recuperavel-BERINERT]:[Recuperavel-PRIVIGEN]])</f>
        <v>0</v>
      </c>
    </row>
    <row r="20" spans="1:44" x14ac:dyDescent="0.25">
      <c r="A20" s="7" t="s">
        <v>16</v>
      </c>
      <c r="B20" s="7" t="s">
        <v>18</v>
      </c>
      <c r="C20" s="8" t="s">
        <v>173</v>
      </c>
      <c r="D20" s="8" t="s">
        <v>174</v>
      </c>
      <c r="E20" s="8" t="s">
        <v>557</v>
      </c>
      <c r="F20" s="8" t="s">
        <v>206</v>
      </c>
      <c r="G20" s="3" t="b">
        <v>1</v>
      </c>
      <c r="H20" s="3" t="b">
        <v>1</v>
      </c>
      <c r="I20" s="10">
        <v>0</v>
      </c>
      <c r="J20" s="10">
        <v>300</v>
      </c>
      <c r="K20" s="10">
        <v>240</v>
      </c>
      <c r="L20" s="10">
        <v>0</v>
      </c>
      <c r="M20" s="10">
        <v>7025</v>
      </c>
      <c r="N20" s="10">
        <v>0</v>
      </c>
      <c r="O20" s="10">
        <v>306</v>
      </c>
      <c r="P20" s="10">
        <v>113</v>
      </c>
      <c r="Q20" s="10">
        <v>0</v>
      </c>
      <c r="R20" s="10">
        <v>12232</v>
      </c>
      <c r="S20" s="75">
        <v>0</v>
      </c>
      <c r="T20" s="75">
        <v>0.25</v>
      </c>
      <c r="U20" s="75">
        <v>0.25</v>
      </c>
      <c r="V20" s="75">
        <v>0</v>
      </c>
      <c r="W20" s="75">
        <v>0.2</v>
      </c>
      <c r="X20" s="75">
        <f>IFERROR(VIEW_IV_2019_REP_CALCULO_TRI[[#This Row],[Demanda-BERINERT]]/VIEW_IV_2019_REP_CALCULO_TRI[[#This Row],[Cota-BERINERT]],0)</f>
        <v>0</v>
      </c>
      <c r="Y20" s="75">
        <f>IFERROR(VIEW_IV_2019_REP_CALCULO_TRI[[#This Row],[Demanda-BERIPLEX]]/VIEW_IV_2019_REP_CALCULO_TRI[[#This Row],[Cota-BERIPLEX]],0)</f>
        <v>1.02</v>
      </c>
      <c r="Z20" s="75">
        <f>IFERROR(VIEW_IV_2019_REP_CALCULO_TRI[[#This Row],[Demanda-HAEMO]]/VIEW_IV_2019_REP_CALCULO_TRI[[#This Row],[Cota-HAEMO]],0)</f>
        <v>0.47083333333333333</v>
      </c>
      <c r="AA20" s="75">
        <f>IFERROR(VIEW_IV_2019_REP_CALCULO_TRI[[#This Row],[Demanda-HIZENTRA]]/VIEW_IV_2019_REP_CALCULO_TRI[[#This Row],[Cota-HIZENTRA]],0)</f>
        <v>0</v>
      </c>
      <c r="AB20" s="75">
        <f>IFERROR(VIEW_IV_2019_REP_CALCULO_TRI[[#This Row],[Demanda-PRIVIGEN]]/VIEW_IV_2019_REP_CALCULO_TRI[[#This Row],[Cota-PRIVIGEN]],0)</f>
        <v>1.7412099644128114</v>
      </c>
      <c r="AC2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2753.0167020058839</v>
      </c>
      <c r="AE2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2864.8861757186969</v>
      </c>
      <c r="AJ2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4786.8307774909008</v>
      </c>
      <c r="AM2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102.61342410698671</v>
      </c>
      <c r="AR20" s="102">
        <f>SUM(VIEW_IV_2019_REP_CALCULO_TRI[[#This Row],[Recuperavel-BERINERT]:[Recuperavel-PRIVIGEN]])</f>
        <v>102.61342410698671</v>
      </c>
    </row>
    <row r="21" spans="1:44" x14ac:dyDescent="0.25">
      <c r="A21" s="7" t="s">
        <v>16</v>
      </c>
      <c r="B21" s="7" t="s">
        <v>18</v>
      </c>
      <c r="C21" s="8" t="s">
        <v>177</v>
      </c>
      <c r="D21" s="8" t="s">
        <v>178</v>
      </c>
      <c r="E21" s="8" t="s">
        <v>557</v>
      </c>
      <c r="F21" s="8" t="s">
        <v>208</v>
      </c>
      <c r="G21" s="3" t="b">
        <v>1</v>
      </c>
      <c r="H21" s="3" t="b">
        <v>1</v>
      </c>
      <c r="I21" s="10">
        <v>0</v>
      </c>
      <c r="J21" s="10">
        <v>350</v>
      </c>
      <c r="K21" s="10">
        <v>400</v>
      </c>
      <c r="L21" s="10">
        <v>0</v>
      </c>
      <c r="M21" s="10">
        <v>12645</v>
      </c>
      <c r="N21" s="10">
        <v>0</v>
      </c>
      <c r="O21" s="10">
        <v>360</v>
      </c>
      <c r="P21" s="10">
        <v>468</v>
      </c>
      <c r="Q21" s="10">
        <v>0</v>
      </c>
      <c r="R21" s="10">
        <v>31363</v>
      </c>
      <c r="S21" s="75">
        <v>0</v>
      </c>
      <c r="T21" s="75">
        <v>0.25</v>
      </c>
      <c r="U21" s="75">
        <v>0.25</v>
      </c>
      <c r="V21" s="75">
        <v>0</v>
      </c>
      <c r="W21" s="75">
        <v>0.2</v>
      </c>
      <c r="X21" s="75">
        <f>IFERROR(VIEW_IV_2019_REP_CALCULO_TRI[[#This Row],[Demanda-BERINERT]]/VIEW_IV_2019_REP_CALCULO_TRI[[#This Row],[Cota-BERINERT]],0)</f>
        <v>0</v>
      </c>
      <c r="Y21" s="75">
        <f>IFERROR(VIEW_IV_2019_REP_CALCULO_TRI[[#This Row],[Demanda-BERIPLEX]]/VIEW_IV_2019_REP_CALCULO_TRI[[#This Row],[Cota-BERIPLEX]],0)</f>
        <v>1.0285714285714285</v>
      </c>
      <c r="Z21" s="75">
        <f>IFERROR(VIEW_IV_2019_REP_CALCULO_TRI[[#This Row],[Demanda-HAEMO]]/VIEW_IV_2019_REP_CALCULO_TRI[[#This Row],[Cota-HAEMO]],0)</f>
        <v>1.17</v>
      </c>
      <c r="AA21" s="75">
        <f>IFERROR(VIEW_IV_2019_REP_CALCULO_TRI[[#This Row],[Demanda-HIZENTRA]]/VIEW_IV_2019_REP_CALCULO_TRI[[#This Row],[Cota-HIZENTRA]],0)</f>
        <v>0</v>
      </c>
      <c r="AB21" s="75">
        <f>IFERROR(VIEW_IV_2019_REP_CALCULO_TRI[[#This Row],[Demanda-PRIVIGEN]]/VIEW_IV_2019_REP_CALCULO_TRI[[#This Row],[Cota-PRIVIGEN]],0)</f>
        <v>2.4802688809806246</v>
      </c>
      <c r="AC2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2772.4879399768483</v>
      </c>
      <c r="AE2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3972.4029799375694</v>
      </c>
      <c r="AF2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2639.8852036097687</v>
      </c>
      <c r="AJ2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3857.9193122379202</v>
      </c>
      <c r="AK2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2630.0594400040536</v>
      </c>
      <c r="AM2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132.60273636707961</v>
      </c>
      <c r="AO2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114.48366769964923</v>
      </c>
      <c r="AP2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2259.3847615938339</v>
      </c>
      <c r="AR21" s="102">
        <f>SUM(VIEW_IV_2019_REP_CALCULO_TRI[[#This Row],[Recuperavel-BERINERT]:[Recuperavel-PRIVIGEN]])</f>
        <v>2506.4711656605627</v>
      </c>
    </row>
    <row r="22" spans="1:44" x14ac:dyDescent="0.25">
      <c r="A22" s="7" t="s">
        <v>16</v>
      </c>
      <c r="B22" s="7" t="s">
        <v>18</v>
      </c>
      <c r="C22" s="8" t="s">
        <v>181</v>
      </c>
      <c r="D22" s="8" t="s">
        <v>182</v>
      </c>
      <c r="E22" s="8" t="s">
        <v>557</v>
      </c>
      <c r="F22" s="8" t="s">
        <v>206</v>
      </c>
      <c r="G22" s="3" t="b">
        <v>1</v>
      </c>
      <c r="H22" s="3" t="b">
        <v>1</v>
      </c>
      <c r="I22" s="10">
        <v>0</v>
      </c>
      <c r="J22" s="10">
        <v>550</v>
      </c>
      <c r="K22" s="10">
        <v>480</v>
      </c>
      <c r="L22" s="10">
        <v>0</v>
      </c>
      <c r="M22" s="10">
        <v>11240</v>
      </c>
      <c r="N22" s="10">
        <v>0</v>
      </c>
      <c r="O22" s="10">
        <v>885</v>
      </c>
      <c r="P22" s="10">
        <v>1102</v>
      </c>
      <c r="Q22" s="10">
        <v>0</v>
      </c>
      <c r="R22" s="10">
        <v>14170</v>
      </c>
      <c r="S22" s="75">
        <v>0</v>
      </c>
      <c r="T22" s="75">
        <v>0.25</v>
      </c>
      <c r="U22" s="75">
        <v>0.25</v>
      </c>
      <c r="V22" s="75">
        <v>0</v>
      </c>
      <c r="W22" s="75">
        <v>0.2</v>
      </c>
      <c r="X22" s="75">
        <f>IFERROR(VIEW_IV_2019_REP_CALCULO_TRI[[#This Row],[Demanda-BERINERT]]/VIEW_IV_2019_REP_CALCULO_TRI[[#This Row],[Cota-BERINERT]],0)</f>
        <v>0</v>
      </c>
      <c r="Y22" s="75">
        <f>IFERROR(VIEW_IV_2019_REP_CALCULO_TRI[[#This Row],[Demanda-BERIPLEX]]/VIEW_IV_2019_REP_CALCULO_TRI[[#This Row],[Cota-BERIPLEX]],0)</f>
        <v>1.6090909090909091</v>
      </c>
      <c r="Z22" s="75">
        <f>IFERROR(VIEW_IV_2019_REP_CALCULO_TRI[[#This Row],[Demanda-HAEMO]]/VIEW_IV_2019_REP_CALCULO_TRI[[#This Row],[Cota-HAEMO]],0)</f>
        <v>2.2958333333333334</v>
      </c>
      <c r="AA22" s="75">
        <f>IFERROR(VIEW_IV_2019_REP_CALCULO_TRI[[#This Row],[Demanda-HIZENTRA]]/VIEW_IV_2019_REP_CALCULO_TRI[[#This Row],[Cota-HIZENTRA]],0)</f>
        <v>0</v>
      </c>
      <c r="AB22" s="75">
        <f>IFERROR(VIEW_IV_2019_REP_CALCULO_TRI[[#This Row],[Demanda-PRIVIGEN]]/VIEW_IV_2019_REP_CALCULO_TRI[[#This Row],[Cota-PRIVIGEN]],0)</f>
        <v>1.26067615658363</v>
      </c>
      <c r="AC2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2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2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4068.1473839825767</v>
      </c>
      <c r="AH2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5326.7087109764052</v>
      </c>
      <c r="AJ2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6022.2375573309182</v>
      </c>
      <c r="AK2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3698.7130955468024</v>
      </c>
      <c r="AM2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785.09654102095374</v>
      </c>
      <c r="AO2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89.56769466644073</v>
      </c>
      <c r="AP2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369.43428843577431</v>
      </c>
      <c r="AR22" s="102">
        <f>SUM(VIEW_IV_2019_REP_CALCULO_TRI[[#This Row],[Recuperavel-BERINERT]:[Recuperavel-PRIVIGEN]])</f>
        <v>1244.0985241231688</v>
      </c>
    </row>
    <row r="23" spans="1:44" x14ac:dyDescent="0.25">
      <c r="A23" s="7" t="s">
        <v>16</v>
      </c>
      <c r="B23" s="7" t="s">
        <v>18</v>
      </c>
      <c r="C23" s="8" t="s">
        <v>183</v>
      </c>
      <c r="D23" s="8" t="s">
        <v>184</v>
      </c>
      <c r="E23" s="8" t="s">
        <v>557</v>
      </c>
      <c r="F23" s="8" t="s">
        <v>208</v>
      </c>
      <c r="G23" s="3" t="b">
        <v>1</v>
      </c>
      <c r="H23" s="3" t="b">
        <v>1</v>
      </c>
      <c r="I23" s="10">
        <v>0</v>
      </c>
      <c r="J23" s="10">
        <v>450</v>
      </c>
      <c r="K23" s="10">
        <v>280</v>
      </c>
      <c r="L23" s="10">
        <v>0</v>
      </c>
      <c r="M23" s="10">
        <v>15455</v>
      </c>
      <c r="N23" s="10">
        <v>0</v>
      </c>
      <c r="O23" s="10">
        <v>543</v>
      </c>
      <c r="P23" s="10">
        <v>285</v>
      </c>
      <c r="Q23" s="10">
        <v>0</v>
      </c>
      <c r="R23" s="10">
        <v>32690</v>
      </c>
      <c r="S23" s="75">
        <v>0</v>
      </c>
      <c r="T23" s="75">
        <v>0.25</v>
      </c>
      <c r="U23" s="75">
        <v>0.25</v>
      </c>
      <c r="V23" s="75">
        <v>0</v>
      </c>
      <c r="W23" s="75">
        <v>0.2</v>
      </c>
      <c r="X23" s="75">
        <f>IFERROR(VIEW_IV_2019_REP_CALCULO_TRI[[#This Row],[Demanda-BERINERT]]/VIEW_IV_2019_REP_CALCULO_TRI[[#This Row],[Cota-BERINERT]],0)</f>
        <v>0</v>
      </c>
      <c r="Y23" s="75">
        <f>IFERROR(VIEW_IV_2019_REP_CALCULO_TRI[[#This Row],[Demanda-BERIPLEX]]/VIEW_IV_2019_REP_CALCULO_TRI[[#This Row],[Cota-BERIPLEX]],0)</f>
        <v>1.2066666666666668</v>
      </c>
      <c r="Z23" s="75">
        <f>IFERROR(VIEW_IV_2019_REP_CALCULO_TRI[[#This Row],[Demanda-HAEMO]]/VIEW_IV_2019_REP_CALCULO_TRI[[#This Row],[Cota-HAEMO]],0)</f>
        <v>1.0178571428571428</v>
      </c>
      <c r="AA23" s="75">
        <f>IFERROR(VIEW_IV_2019_REP_CALCULO_TRI[[#This Row],[Demanda-HIZENTRA]]/VIEW_IV_2019_REP_CALCULO_TRI[[#This Row],[Cota-HIZENTRA]],0)</f>
        <v>0</v>
      </c>
      <c r="AB23" s="75">
        <f>IFERROR(VIEW_IV_2019_REP_CALCULO_TRI[[#This Row],[Demanda-PRIVIGEN]]/VIEW_IV_2019_REP_CALCULO_TRI[[#This Row],[Cota-PRIVIGEN]],0)</f>
        <v>2.1151730831446134</v>
      </c>
      <c r="AC2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4878.8377855809194</v>
      </c>
      <c r="AE2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2745.7149877667721</v>
      </c>
      <c r="AF2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2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4407.0983676393653</v>
      </c>
      <c r="AJ2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2601.123016908311</v>
      </c>
      <c r="AK2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4889.4442015978875</v>
      </c>
      <c r="AM2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471.73941794155417</v>
      </c>
      <c r="AO2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144.59197085846108</v>
      </c>
      <c r="AP2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3" s="102">
        <f>SUM(VIEW_IV_2019_REP_CALCULO_TRI[[#This Row],[Recuperavel-BERINERT]:[Recuperavel-PRIVIGEN]])</f>
        <v>616.33138880001525</v>
      </c>
    </row>
    <row r="24" spans="1:44" x14ac:dyDescent="0.25">
      <c r="A24" s="7" t="s">
        <v>16</v>
      </c>
      <c r="B24" s="7" t="s">
        <v>18</v>
      </c>
      <c r="C24" s="8" t="s">
        <v>159</v>
      </c>
      <c r="D24" s="8" t="s">
        <v>160</v>
      </c>
      <c r="E24" s="8" t="s">
        <v>740</v>
      </c>
      <c r="F24" s="8" t="s">
        <v>206</v>
      </c>
      <c r="G24" s="3" t="b">
        <v>1</v>
      </c>
      <c r="H24" s="3" t="b">
        <v>1</v>
      </c>
      <c r="I24" s="10">
        <v>19</v>
      </c>
      <c r="J24" s="10">
        <v>200</v>
      </c>
      <c r="K24" s="10">
        <v>160</v>
      </c>
      <c r="L24" s="10">
        <v>375</v>
      </c>
      <c r="M24" s="10">
        <v>8430</v>
      </c>
      <c r="N24" s="10">
        <v>62</v>
      </c>
      <c r="O24" s="10">
        <v>29</v>
      </c>
      <c r="P24" s="10">
        <v>83</v>
      </c>
      <c r="Q24" s="10">
        <v>725</v>
      </c>
      <c r="R24" s="10">
        <v>10671</v>
      </c>
      <c r="S24" s="75">
        <v>0.05</v>
      </c>
      <c r="T24" s="75">
        <v>0.15</v>
      </c>
      <c r="U24" s="75">
        <v>0.15</v>
      </c>
      <c r="V24" s="75">
        <v>0.2</v>
      </c>
      <c r="W24" s="75">
        <v>0.15</v>
      </c>
      <c r="X24" s="75">
        <f>IFERROR(VIEW_IV_2019_REP_CALCULO_TRI[[#This Row],[Demanda-BERINERT]]/VIEW_IV_2019_REP_CALCULO_TRI[[#This Row],[Cota-BERINERT]],0)</f>
        <v>3.263157894736842</v>
      </c>
      <c r="Y24" s="75">
        <f>IFERROR(VIEW_IV_2019_REP_CALCULO_TRI[[#This Row],[Demanda-BERIPLEX]]/VIEW_IV_2019_REP_CALCULO_TRI[[#This Row],[Cota-BERIPLEX]],0)</f>
        <v>0.14499999999999999</v>
      </c>
      <c r="Z24" s="75">
        <f>IFERROR(VIEW_IV_2019_REP_CALCULO_TRI[[#This Row],[Demanda-HAEMO]]/VIEW_IV_2019_REP_CALCULO_TRI[[#This Row],[Cota-HAEMO]],0)</f>
        <v>0.51875000000000004</v>
      </c>
      <c r="AA24" s="75">
        <f>IFERROR(VIEW_IV_2019_REP_CALCULO_TRI[[#This Row],[Demanda-HIZENTRA]]/VIEW_IV_2019_REP_CALCULO_TRI[[#This Row],[Cota-HIZENTRA]],0)</f>
        <v>1.9333333333333333</v>
      </c>
      <c r="AB24" s="75">
        <f>IFERROR(VIEW_IV_2019_REP_CALCULO_TRI[[#This Row],[Demanda-PRIVIGEN]]/VIEW_IV_2019_REP_CALCULO_TRI[[#This Row],[Cota-PRIVIGEN]],0)</f>
        <v>1.2658362989323844</v>
      </c>
      <c r="AC2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1222.3610503994719</v>
      </c>
      <c r="AD2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4889.4442015978875</v>
      </c>
      <c r="AG2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3062.5742293423373</v>
      </c>
      <c r="AH2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814.90736693298118</v>
      </c>
      <c r="AI2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4889.4442015978875</v>
      </c>
      <c r="AL2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3058.7529988905358</v>
      </c>
      <c r="AM2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407.4536834664907</v>
      </c>
      <c r="AN2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3.8212304518015117</v>
      </c>
      <c r="AR24" s="102">
        <f>SUM(VIEW_IV_2019_REP_CALCULO_TRI[[#This Row],[Recuperavel-BERINERT]:[Recuperavel-PRIVIGEN]])</f>
        <v>411.27491391829221</v>
      </c>
    </row>
    <row r="25" spans="1:44" x14ac:dyDescent="0.25">
      <c r="A25" s="7" t="s">
        <v>16</v>
      </c>
      <c r="B25" s="7" t="s">
        <v>18</v>
      </c>
      <c r="C25" s="8" t="s">
        <v>201</v>
      </c>
      <c r="D25" s="8" t="s">
        <v>202</v>
      </c>
      <c r="E25" s="8" t="s">
        <v>740</v>
      </c>
      <c r="F25" s="8" t="s">
        <v>212</v>
      </c>
      <c r="G25" s="3" t="b">
        <v>1</v>
      </c>
      <c r="H25" s="3" t="b">
        <v>1</v>
      </c>
      <c r="I25" s="10">
        <v>68</v>
      </c>
      <c r="J25" s="10">
        <v>100</v>
      </c>
      <c r="K25" s="10">
        <v>40</v>
      </c>
      <c r="L25" s="10">
        <v>2061</v>
      </c>
      <c r="M25" s="10">
        <v>4215</v>
      </c>
      <c r="N25" s="10">
        <v>3</v>
      </c>
      <c r="O25" s="10">
        <v>14</v>
      </c>
      <c r="P25" s="10">
        <v>7</v>
      </c>
      <c r="Q25" s="10">
        <v>1324</v>
      </c>
      <c r="R25" s="10">
        <v>14268</v>
      </c>
      <c r="S25" s="75">
        <v>0.05</v>
      </c>
      <c r="T25" s="75">
        <v>0.15</v>
      </c>
      <c r="U25" s="75">
        <v>0.15</v>
      </c>
      <c r="V25" s="75">
        <v>0.2</v>
      </c>
      <c r="W25" s="75">
        <v>0.15</v>
      </c>
      <c r="X25" s="75">
        <f>IFERROR(VIEW_IV_2019_REP_CALCULO_TRI[[#This Row],[Demanda-BERINERT]]/VIEW_IV_2019_REP_CALCULO_TRI[[#This Row],[Cota-BERINERT]],0)</f>
        <v>4.4117647058823532E-2</v>
      </c>
      <c r="Y25" s="75">
        <f>IFERROR(VIEW_IV_2019_REP_CALCULO_TRI[[#This Row],[Demanda-BERIPLEX]]/VIEW_IV_2019_REP_CALCULO_TRI[[#This Row],[Cota-BERIPLEX]],0)</f>
        <v>0.14000000000000001</v>
      </c>
      <c r="Z25" s="75">
        <f>IFERROR(VIEW_IV_2019_REP_CALCULO_TRI[[#This Row],[Demanda-HAEMO]]/VIEW_IV_2019_REP_CALCULO_TRI[[#This Row],[Cota-HAEMO]],0)</f>
        <v>0.17499999999999999</v>
      </c>
      <c r="AA25" s="75">
        <f>IFERROR(VIEW_IV_2019_REP_CALCULO_TRI[[#This Row],[Demanda-HIZENTRA]]/VIEW_IV_2019_REP_CALCULO_TRI[[#This Row],[Cota-HIZENTRA]],0)</f>
        <v>0.6424065987384765</v>
      </c>
      <c r="AB25" s="75">
        <f>IFERROR(VIEW_IV_2019_REP_CALCULO_TRI[[#This Row],[Demanda-PRIVIGEN]]/VIEW_IV_2019_REP_CALCULO_TRI[[#This Row],[Cota-PRIVIGEN]],0)</f>
        <v>3.3850533807829182</v>
      </c>
      <c r="AC2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3667.0831511984152</v>
      </c>
      <c r="AH2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3667.0831511984152</v>
      </c>
      <c r="AM2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5" s="102">
        <f>SUM(VIEW_IV_2019_REP_CALCULO_TRI[[#This Row],[Recuperavel-BERINERT]:[Recuperavel-PRIVIGEN]])</f>
        <v>0</v>
      </c>
    </row>
    <row r="26" spans="1:44" x14ac:dyDescent="0.25">
      <c r="A26" s="7" t="s">
        <v>16</v>
      </c>
      <c r="B26" s="7" t="s">
        <v>24</v>
      </c>
      <c r="C26" s="8" t="s">
        <v>151</v>
      </c>
      <c r="D26" s="8" t="s">
        <v>152</v>
      </c>
      <c r="E26" s="8" t="s">
        <v>556</v>
      </c>
      <c r="F26" s="8" t="s">
        <v>208</v>
      </c>
      <c r="G26" s="3" t="b">
        <v>1</v>
      </c>
      <c r="H26" s="3" t="b">
        <v>1</v>
      </c>
      <c r="I26" s="10">
        <v>116</v>
      </c>
      <c r="J26" s="10">
        <v>0</v>
      </c>
      <c r="K26" s="10">
        <v>0</v>
      </c>
      <c r="L26" s="10">
        <v>3689</v>
      </c>
      <c r="M26" s="10">
        <v>21070</v>
      </c>
      <c r="N26" s="10">
        <v>7</v>
      </c>
      <c r="O26" s="10">
        <v>0</v>
      </c>
      <c r="P26" s="10">
        <v>0</v>
      </c>
      <c r="Q26" s="10">
        <v>2236</v>
      </c>
      <c r="R26" s="10">
        <v>14925</v>
      </c>
      <c r="S26" s="75">
        <v>0.1</v>
      </c>
      <c r="T26" s="75">
        <v>0</v>
      </c>
      <c r="U26" s="75">
        <v>0</v>
      </c>
      <c r="V26" s="75">
        <v>0.4</v>
      </c>
      <c r="W26" s="75">
        <v>0.2</v>
      </c>
      <c r="X26" s="75">
        <f>IFERROR(VIEW_IV_2019_REP_CALCULO_TRI[[#This Row],[Demanda-BERINERT]]/VIEW_IV_2019_REP_CALCULO_TRI[[#This Row],[Cota-BERINERT]],0)</f>
        <v>6.0344827586206899E-2</v>
      </c>
      <c r="Y26" s="75">
        <f>IFERROR(VIEW_IV_2019_REP_CALCULO_TRI[[#This Row],[Demanda-BERIPLEX]]/VIEW_IV_2019_REP_CALCULO_TRI[[#This Row],[Cota-BERIPLEX]],0)</f>
        <v>0</v>
      </c>
      <c r="Z26" s="75">
        <f>IFERROR(VIEW_IV_2019_REP_CALCULO_TRI[[#This Row],[Demanda-HAEMO]]/VIEW_IV_2019_REP_CALCULO_TRI[[#This Row],[Cota-HAEMO]],0)</f>
        <v>0</v>
      </c>
      <c r="AA26" s="75">
        <f>IFERROR(VIEW_IV_2019_REP_CALCULO_TRI[[#This Row],[Demanda-HIZENTRA]]/VIEW_IV_2019_REP_CALCULO_TRI[[#This Row],[Cota-HIZENTRA]],0)</f>
        <v>0.60612632149634049</v>
      </c>
      <c r="AB26" s="75">
        <f>IFERROR(VIEW_IV_2019_REP_CALCULO_TRI[[#This Row],[Demanda-PRIVIGEN]]/VIEW_IV_2019_REP_CALCULO_TRI[[#This Row],[Cota-PRIVIGEN]],0)</f>
        <v>0.70835310868533463</v>
      </c>
      <c r="AC2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2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2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2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26" s="102">
        <f>SUM(VIEW_IV_2019_REP_CALCULO_TRI[[#This Row],[Recuperavel-BERINERT]:[Recuperavel-PRIVIGEN]])</f>
        <v>0</v>
      </c>
    </row>
    <row r="27" spans="1:44" x14ac:dyDescent="0.25">
      <c r="A27" s="7" t="s">
        <v>16</v>
      </c>
      <c r="B27" s="7" t="s">
        <v>24</v>
      </c>
      <c r="C27" s="8" t="s">
        <v>1355</v>
      </c>
      <c r="D27" s="8" t="s">
        <v>1356</v>
      </c>
      <c r="E27" s="8" t="s">
        <v>556</v>
      </c>
      <c r="F27" s="8" t="s">
        <v>208</v>
      </c>
      <c r="G27" s="3" t="b">
        <v>1</v>
      </c>
      <c r="H27" s="3" t="b">
        <v>1</v>
      </c>
      <c r="I27" s="10">
        <v>116</v>
      </c>
      <c r="J27" s="10">
        <v>0</v>
      </c>
      <c r="K27" s="10">
        <v>0</v>
      </c>
      <c r="L27" s="10">
        <v>2604</v>
      </c>
      <c r="M27" s="10">
        <v>19565</v>
      </c>
      <c r="N27" s="10">
        <v>0</v>
      </c>
      <c r="O27" s="10">
        <v>0</v>
      </c>
      <c r="P27" s="10">
        <v>0</v>
      </c>
      <c r="Q27" s="10">
        <v>1304</v>
      </c>
      <c r="R27" s="10">
        <v>23767</v>
      </c>
      <c r="S27" s="75">
        <v>0.1</v>
      </c>
      <c r="T27" s="75">
        <v>0</v>
      </c>
      <c r="U27" s="75">
        <v>0</v>
      </c>
      <c r="V27" s="75">
        <v>0.4</v>
      </c>
      <c r="W27" s="75">
        <v>0.2</v>
      </c>
      <c r="X27" s="75">
        <f>IFERROR(VIEW_IV_2019_REP_CALCULO_TRI[[#This Row],[Demanda-BERINERT]]/VIEW_IV_2019_REP_CALCULO_TRI[[#This Row],[Cota-BERINERT]],0)</f>
        <v>0</v>
      </c>
      <c r="Y27" s="75">
        <f>IFERROR(VIEW_IV_2019_REP_CALCULO_TRI[[#This Row],[Demanda-BERIPLEX]]/VIEW_IV_2019_REP_CALCULO_TRI[[#This Row],[Cota-BERIPLEX]],0)</f>
        <v>0</v>
      </c>
      <c r="Z27" s="75">
        <f>IFERROR(VIEW_IV_2019_REP_CALCULO_TRI[[#This Row],[Demanda-HAEMO]]/VIEW_IV_2019_REP_CALCULO_TRI[[#This Row],[Cota-HAEMO]],0)</f>
        <v>0</v>
      </c>
      <c r="AA27" s="75">
        <f>IFERROR(VIEW_IV_2019_REP_CALCULO_TRI[[#This Row],[Demanda-HIZENTRA]]/VIEW_IV_2019_REP_CALCULO_TRI[[#This Row],[Cota-HIZENTRA]],0)</f>
        <v>0.50076804915514594</v>
      </c>
      <c r="AB27" s="75">
        <f>IFERROR(VIEW_IV_2019_REP_CALCULO_TRI[[#This Row],[Demanda-PRIVIGEN]]/VIEW_IV_2019_REP_CALCULO_TRI[[#This Row],[Cota-PRIVIGEN]],0)</f>
        <v>1.2147712752363915</v>
      </c>
      <c r="AC2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3927.5261033562679</v>
      </c>
      <c r="AH2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360.57848094379619</v>
      </c>
      <c r="AI2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1442.3139237751848</v>
      </c>
      <c r="AL2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2154.4564236391857</v>
      </c>
      <c r="AM2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1773.0696797170822</v>
      </c>
      <c r="AR27" s="102">
        <f>SUM(VIEW_IV_2019_REP_CALCULO_TRI[[#This Row],[Recuperavel-BERINERT]:[Recuperavel-PRIVIGEN]])</f>
        <v>1773.0696797170822</v>
      </c>
    </row>
    <row r="28" spans="1:44" x14ac:dyDescent="0.25">
      <c r="A28" s="7" t="s">
        <v>16</v>
      </c>
      <c r="B28" s="7" t="s">
        <v>24</v>
      </c>
      <c r="C28" s="8" t="s">
        <v>155</v>
      </c>
      <c r="D28" s="8" t="s">
        <v>156</v>
      </c>
      <c r="E28" s="8" t="s">
        <v>556</v>
      </c>
      <c r="F28" s="8" t="s">
        <v>206</v>
      </c>
      <c r="G28" s="3" t="b">
        <v>1</v>
      </c>
      <c r="H28" s="3" t="b">
        <v>1</v>
      </c>
      <c r="I28" s="10">
        <v>82</v>
      </c>
      <c r="J28" s="10">
        <v>0</v>
      </c>
      <c r="K28" s="10">
        <v>0</v>
      </c>
      <c r="L28" s="10">
        <v>4557</v>
      </c>
      <c r="M28" s="10">
        <v>19565</v>
      </c>
      <c r="N28" s="10">
        <v>18</v>
      </c>
      <c r="O28" s="10">
        <v>0</v>
      </c>
      <c r="P28" s="10">
        <v>0</v>
      </c>
      <c r="Q28" s="10">
        <v>3784</v>
      </c>
      <c r="R28" s="10">
        <v>28727</v>
      </c>
      <c r="S28" s="75">
        <v>0.1</v>
      </c>
      <c r="T28" s="75">
        <v>0</v>
      </c>
      <c r="U28" s="75">
        <v>0</v>
      </c>
      <c r="V28" s="75">
        <v>0.4</v>
      </c>
      <c r="W28" s="75">
        <v>0.2</v>
      </c>
      <c r="X28" s="75">
        <f>IFERROR(VIEW_IV_2019_REP_CALCULO_TRI[[#This Row],[Demanda-BERINERT]]/VIEW_IV_2019_REP_CALCULO_TRI[[#This Row],[Cota-BERINERT]],0)</f>
        <v>0.21951219512195122</v>
      </c>
      <c r="Y28" s="75">
        <f>IFERROR(VIEW_IV_2019_REP_CALCULO_TRI[[#This Row],[Demanda-BERIPLEX]]/VIEW_IV_2019_REP_CALCULO_TRI[[#This Row],[Cota-BERIPLEX]],0)</f>
        <v>0</v>
      </c>
      <c r="Z28" s="75">
        <f>IFERROR(VIEW_IV_2019_REP_CALCULO_TRI[[#This Row],[Demanda-HAEMO]]/VIEW_IV_2019_REP_CALCULO_TRI[[#This Row],[Cota-HAEMO]],0)</f>
        <v>0</v>
      </c>
      <c r="AA28" s="75">
        <f>IFERROR(VIEW_IV_2019_REP_CALCULO_TRI[[#This Row],[Demanda-HIZENTRA]]/VIEW_IV_2019_REP_CALCULO_TRI[[#This Row],[Cota-HIZENTRA]],0)</f>
        <v>0.8303708580206276</v>
      </c>
      <c r="AB28" s="75">
        <f>IFERROR(VIEW_IV_2019_REP_CALCULO_TRI[[#This Row],[Demanda-PRIVIGEN]]/VIEW_IV_2019_REP_CALCULO_TRI[[#This Row],[Cota-PRIVIGEN]],0)</f>
        <v>1.4682852031689242</v>
      </c>
      <c r="AC2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1795.6808351001041</v>
      </c>
      <c r="AG2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4761.1676858451701</v>
      </c>
      <c r="AH2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383.29492524325519</v>
      </c>
      <c r="AI2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2851.512319860497</v>
      </c>
      <c r="AL2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4006.1639431083408</v>
      </c>
      <c r="AM2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755.00374273682928</v>
      </c>
      <c r="AR28" s="102">
        <f>SUM(VIEW_IV_2019_REP_CALCULO_TRI[[#This Row],[Recuperavel-BERINERT]:[Recuperavel-PRIVIGEN]])</f>
        <v>755.00374273682928</v>
      </c>
    </row>
    <row r="29" spans="1:44" x14ac:dyDescent="0.25">
      <c r="A29" s="7" t="s">
        <v>16</v>
      </c>
      <c r="B29" s="7" t="s">
        <v>24</v>
      </c>
      <c r="C29" s="8" t="s">
        <v>161</v>
      </c>
      <c r="D29" s="8" t="s">
        <v>162</v>
      </c>
      <c r="E29" s="8" t="s">
        <v>556</v>
      </c>
      <c r="F29" s="8" t="s">
        <v>208</v>
      </c>
      <c r="G29" s="3" t="b">
        <v>1</v>
      </c>
      <c r="H29" s="3" t="b">
        <v>1</v>
      </c>
      <c r="I29" s="10">
        <v>116</v>
      </c>
      <c r="J29" s="10">
        <v>0</v>
      </c>
      <c r="K29" s="10">
        <v>0</v>
      </c>
      <c r="L29" s="10">
        <v>2604</v>
      </c>
      <c r="M29" s="10">
        <v>21070</v>
      </c>
      <c r="N29" s="10">
        <v>35</v>
      </c>
      <c r="O29" s="10">
        <v>0</v>
      </c>
      <c r="P29" s="10">
        <v>0</v>
      </c>
      <c r="Q29" s="10">
        <v>1243</v>
      </c>
      <c r="R29" s="10">
        <v>23742</v>
      </c>
      <c r="S29" s="75">
        <v>0.1</v>
      </c>
      <c r="T29" s="75">
        <v>0</v>
      </c>
      <c r="U29" s="75">
        <v>0</v>
      </c>
      <c r="V29" s="75">
        <v>0.4</v>
      </c>
      <c r="W29" s="75">
        <v>0.2</v>
      </c>
      <c r="X29" s="75">
        <f>IFERROR(VIEW_IV_2019_REP_CALCULO_TRI[[#This Row],[Demanda-BERINERT]]/VIEW_IV_2019_REP_CALCULO_TRI[[#This Row],[Cota-BERINERT]],0)</f>
        <v>0.30172413793103448</v>
      </c>
      <c r="Y29" s="75">
        <f>IFERROR(VIEW_IV_2019_REP_CALCULO_TRI[[#This Row],[Demanda-BERIPLEX]]/VIEW_IV_2019_REP_CALCULO_TRI[[#This Row],[Cota-BERIPLEX]],0)</f>
        <v>0</v>
      </c>
      <c r="Z29" s="75">
        <f>IFERROR(VIEW_IV_2019_REP_CALCULO_TRI[[#This Row],[Demanda-HAEMO]]/VIEW_IV_2019_REP_CALCULO_TRI[[#This Row],[Cota-HAEMO]],0)</f>
        <v>0</v>
      </c>
      <c r="AA29" s="75">
        <f>IFERROR(VIEW_IV_2019_REP_CALCULO_TRI[[#This Row],[Demanda-HIZENTRA]]/VIEW_IV_2019_REP_CALCULO_TRI[[#This Row],[Cota-HIZENTRA]],0)</f>
        <v>0.47734254992319508</v>
      </c>
      <c r="AB29" s="75">
        <f>IFERROR(VIEW_IV_2019_REP_CALCULO_TRI[[#This Row],[Demanda-PRIVIGEN]]/VIEW_IV_2019_REP_CALCULO_TRI[[#This Row],[Cota-PRIVIGEN]],0)</f>
        <v>1.1268153773137162</v>
      </c>
      <c r="AC2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2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2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2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2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3066.5469027561371</v>
      </c>
      <c r="AH2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814.90736693298118</v>
      </c>
      <c r="AI2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2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2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2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2924.7241746313248</v>
      </c>
      <c r="AM2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2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2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2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2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141.82272812481233</v>
      </c>
      <c r="AR29" s="102">
        <f>SUM(VIEW_IV_2019_REP_CALCULO_TRI[[#This Row],[Recuperavel-BERINERT]:[Recuperavel-PRIVIGEN]])</f>
        <v>141.82272812481233</v>
      </c>
    </row>
    <row r="30" spans="1:44" x14ac:dyDescent="0.25">
      <c r="A30" s="7" t="s">
        <v>16</v>
      </c>
      <c r="B30" s="7" t="s">
        <v>24</v>
      </c>
      <c r="C30" s="8" t="s">
        <v>175</v>
      </c>
      <c r="D30" s="8" t="s">
        <v>176</v>
      </c>
      <c r="E30" s="8" t="s">
        <v>556</v>
      </c>
      <c r="F30" s="8" t="s">
        <v>206</v>
      </c>
      <c r="G30" s="3" t="b">
        <v>1</v>
      </c>
      <c r="H30" s="3" t="b">
        <v>1</v>
      </c>
      <c r="I30" s="10">
        <v>290</v>
      </c>
      <c r="J30" s="10">
        <v>0</v>
      </c>
      <c r="K30" s="10">
        <v>0</v>
      </c>
      <c r="L30" s="10">
        <v>2821</v>
      </c>
      <c r="M30" s="10">
        <v>30100</v>
      </c>
      <c r="N30" s="10">
        <v>236</v>
      </c>
      <c r="O30" s="10">
        <v>0</v>
      </c>
      <c r="P30" s="10">
        <v>0</v>
      </c>
      <c r="Q30" s="10">
        <v>1772</v>
      </c>
      <c r="R30" s="10">
        <v>34320</v>
      </c>
      <c r="S30" s="75">
        <v>0.1</v>
      </c>
      <c r="T30" s="75">
        <v>0</v>
      </c>
      <c r="U30" s="75">
        <v>0</v>
      </c>
      <c r="V30" s="75">
        <v>0.4</v>
      </c>
      <c r="W30" s="75">
        <v>0.2</v>
      </c>
      <c r="X30" s="75">
        <f>IFERROR(VIEW_IV_2019_REP_CALCULO_TRI[[#This Row],[Demanda-BERINERT]]/VIEW_IV_2019_REP_CALCULO_TRI[[#This Row],[Cota-BERINERT]],0)</f>
        <v>0.81379310344827582</v>
      </c>
      <c r="Y30" s="75">
        <f>IFERROR(VIEW_IV_2019_REP_CALCULO_TRI[[#This Row],[Demanda-BERIPLEX]]/VIEW_IV_2019_REP_CALCULO_TRI[[#This Row],[Cota-BERIPLEX]],0)</f>
        <v>0</v>
      </c>
      <c r="Z30" s="75">
        <f>IFERROR(VIEW_IV_2019_REP_CALCULO_TRI[[#This Row],[Demanda-HAEMO]]/VIEW_IV_2019_REP_CALCULO_TRI[[#This Row],[Cota-HAEMO]],0)</f>
        <v>0</v>
      </c>
      <c r="AA30" s="75">
        <f>IFERROR(VIEW_IV_2019_REP_CALCULO_TRI[[#This Row],[Demanda-HIZENTRA]]/VIEW_IV_2019_REP_CALCULO_TRI[[#This Row],[Cota-HIZENTRA]],0)</f>
        <v>0.62814604750088621</v>
      </c>
      <c r="AB30" s="75">
        <f>IFERROR(VIEW_IV_2019_REP_CALCULO_TRI[[#This Row],[Demanda-PRIVIGEN]]/VIEW_IV_2019_REP_CALCULO_TRI[[#This Row],[Cota-PRIVIGEN]],0)</f>
        <v>1.1401993355481728</v>
      </c>
      <c r="AC3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439.72545751095902</v>
      </c>
      <c r="AD3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3101.9845558632933</v>
      </c>
      <c r="AH3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1198.2022921762364</v>
      </c>
      <c r="AI3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1520.1988756590442</v>
      </c>
      <c r="AL3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2884.3826541833314</v>
      </c>
      <c r="AM3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217.60190167996188</v>
      </c>
      <c r="AR30" s="102">
        <f>SUM(VIEW_IV_2019_REP_CALCULO_TRI[[#This Row],[Recuperavel-BERINERT]:[Recuperavel-PRIVIGEN]])</f>
        <v>217.60190167996188</v>
      </c>
    </row>
    <row r="31" spans="1:44" x14ac:dyDescent="0.25">
      <c r="A31" s="7" t="s">
        <v>16</v>
      </c>
      <c r="B31" s="7" t="s">
        <v>24</v>
      </c>
      <c r="C31" s="8" t="s">
        <v>199</v>
      </c>
      <c r="D31" s="8" t="s">
        <v>200</v>
      </c>
      <c r="E31" s="8" t="s">
        <v>556</v>
      </c>
      <c r="F31" s="8" t="s">
        <v>212</v>
      </c>
      <c r="G31" s="3" t="b">
        <v>1</v>
      </c>
      <c r="H31" s="3" t="b">
        <v>1</v>
      </c>
      <c r="I31" s="10">
        <v>290</v>
      </c>
      <c r="J31" s="10">
        <v>0</v>
      </c>
      <c r="K31" s="10">
        <v>0</v>
      </c>
      <c r="L31" s="10">
        <v>2604</v>
      </c>
      <c r="M31" s="10">
        <v>18060</v>
      </c>
      <c r="N31" s="10">
        <v>78</v>
      </c>
      <c r="O31" s="10">
        <v>0</v>
      </c>
      <c r="P31" s="10">
        <v>0</v>
      </c>
      <c r="Q31" s="10">
        <v>1453</v>
      </c>
      <c r="R31" s="10">
        <v>23560</v>
      </c>
      <c r="S31" s="75">
        <v>0.1</v>
      </c>
      <c r="T31" s="75">
        <v>0</v>
      </c>
      <c r="U31" s="75">
        <v>0</v>
      </c>
      <c r="V31" s="75">
        <v>0.4</v>
      </c>
      <c r="W31" s="75">
        <v>0.2</v>
      </c>
      <c r="X31" s="75">
        <f>IFERROR(VIEW_IV_2019_REP_CALCULO_TRI[[#This Row],[Demanda-BERINERT]]/VIEW_IV_2019_REP_CALCULO_TRI[[#This Row],[Cota-BERINERT]],0)</f>
        <v>0.26896551724137929</v>
      </c>
      <c r="Y31" s="75">
        <f>IFERROR(VIEW_IV_2019_REP_CALCULO_TRI[[#This Row],[Demanda-BERIPLEX]]/VIEW_IV_2019_REP_CALCULO_TRI[[#This Row],[Cota-BERIPLEX]],0)</f>
        <v>0</v>
      </c>
      <c r="Z31" s="75">
        <f>IFERROR(VIEW_IV_2019_REP_CALCULO_TRI[[#This Row],[Demanda-HAEMO]]/VIEW_IV_2019_REP_CALCULO_TRI[[#This Row],[Cota-HAEMO]],0)</f>
        <v>0</v>
      </c>
      <c r="AA31" s="75">
        <f>IFERROR(VIEW_IV_2019_REP_CALCULO_TRI[[#This Row],[Demanda-HIZENTRA]]/VIEW_IV_2019_REP_CALCULO_TRI[[#This Row],[Cota-HIZENTRA]],0)</f>
        <v>0.55798771121351765</v>
      </c>
      <c r="AB31" s="75">
        <f>IFERROR(VIEW_IV_2019_REP_CALCULO_TRI[[#This Row],[Demanda-PRIVIGEN]]/VIEW_IV_2019_REP_CALCULO_TRI[[#This Row],[Cota-PRIVIGEN]],0)</f>
        <v>1.3045404208194906</v>
      </c>
      <c r="AC3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4228.0451902001432</v>
      </c>
      <c r="AH3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3429.7503950412047</v>
      </c>
      <c r="AM3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798.29479515893854</v>
      </c>
      <c r="AR31" s="102">
        <f>SUM(VIEW_IV_2019_REP_CALCULO_TRI[[#This Row],[Recuperavel-BERINERT]:[Recuperavel-PRIVIGEN]])</f>
        <v>798.29479515893854</v>
      </c>
    </row>
    <row r="32" spans="1:44" x14ac:dyDescent="0.25">
      <c r="A32" s="7" t="s">
        <v>16</v>
      </c>
      <c r="B32" s="7" t="s">
        <v>24</v>
      </c>
      <c r="C32" s="8" t="s">
        <v>144</v>
      </c>
      <c r="D32" s="8" t="s">
        <v>145</v>
      </c>
      <c r="E32" s="8" t="s">
        <v>557</v>
      </c>
      <c r="F32" s="8" t="s">
        <v>206</v>
      </c>
      <c r="G32" s="3" t="b">
        <v>1</v>
      </c>
      <c r="H32" s="3" t="b">
        <v>1</v>
      </c>
      <c r="I32" s="10">
        <v>0</v>
      </c>
      <c r="J32" s="10">
        <v>366</v>
      </c>
      <c r="K32" s="10">
        <v>420</v>
      </c>
      <c r="L32" s="10">
        <v>0</v>
      </c>
      <c r="M32" s="10">
        <v>7525</v>
      </c>
      <c r="N32" s="10">
        <v>0</v>
      </c>
      <c r="O32" s="10">
        <v>329</v>
      </c>
      <c r="P32" s="10">
        <v>633</v>
      </c>
      <c r="Q32" s="10">
        <v>0</v>
      </c>
      <c r="R32" s="10">
        <v>3760</v>
      </c>
      <c r="S32" s="75">
        <v>0</v>
      </c>
      <c r="T32" s="75">
        <v>0.25</v>
      </c>
      <c r="U32" s="75">
        <v>0.25</v>
      </c>
      <c r="V32" s="75">
        <v>0</v>
      </c>
      <c r="W32" s="75">
        <v>0.2</v>
      </c>
      <c r="X32" s="75">
        <f>IFERROR(VIEW_IV_2019_REP_CALCULO_TRI[[#This Row],[Demanda-BERINERT]]/VIEW_IV_2019_REP_CALCULO_TRI[[#This Row],[Cota-BERINERT]],0)</f>
        <v>0</v>
      </c>
      <c r="Y32" s="75">
        <f>IFERROR(VIEW_IV_2019_REP_CALCULO_TRI[[#This Row],[Demanda-BERIPLEX]]/VIEW_IV_2019_REP_CALCULO_TRI[[#This Row],[Cota-BERIPLEX]],0)</f>
        <v>0.89890710382513661</v>
      </c>
      <c r="Z32" s="75">
        <f>IFERROR(VIEW_IV_2019_REP_CALCULO_TRI[[#This Row],[Demanda-HAEMO]]/VIEW_IV_2019_REP_CALCULO_TRI[[#This Row],[Cota-HAEMO]],0)</f>
        <v>1.5071428571428571</v>
      </c>
      <c r="AA32" s="75">
        <f>IFERROR(VIEW_IV_2019_REP_CALCULO_TRI[[#This Row],[Demanda-HIZENTRA]]/VIEW_IV_2019_REP_CALCULO_TRI[[#This Row],[Cota-HIZENTRA]],0)</f>
        <v>0</v>
      </c>
      <c r="AB32" s="75">
        <f>IFERROR(VIEW_IV_2019_REP_CALCULO_TRI[[#This Row],[Demanda-PRIVIGEN]]/VIEW_IV_2019_REP_CALCULO_TRI[[#This Row],[Cota-PRIVIGEN]],0)</f>
        <v>0.49966777408637875</v>
      </c>
      <c r="AC3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1214.2480345782324</v>
      </c>
      <c r="AE3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3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2398.8384890988427</v>
      </c>
      <c r="AJ3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3076.1851655517653</v>
      </c>
      <c r="AK3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3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3035.6200864455936</v>
      </c>
      <c r="AP3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2" s="102">
        <f>SUM(VIEW_IV_2019_REP_CALCULO_TRI[[#This Row],[Recuperavel-BERINERT]:[Recuperavel-PRIVIGEN]])</f>
        <v>3035.6200864455936</v>
      </c>
    </row>
    <row r="33" spans="1:44" x14ac:dyDescent="0.25">
      <c r="A33" s="7" t="s">
        <v>16</v>
      </c>
      <c r="B33" s="7" t="s">
        <v>24</v>
      </c>
      <c r="C33" s="8" t="s">
        <v>147</v>
      </c>
      <c r="D33" s="8" t="s">
        <v>148</v>
      </c>
      <c r="E33" s="8" t="s">
        <v>557</v>
      </c>
      <c r="F33" s="8" t="s">
        <v>208</v>
      </c>
      <c r="G33" s="3" t="b">
        <v>1</v>
      </c>
      <c r="H33" s="3" t="b">
        <v>1</v>
      </c>
      <c r="I33" s="10">
        <v>0</v>
      </c>
      <c r="J33" s="10">
        <v>427</v>
      </c>
      <c r="K33" s="10">
        <v>504</v>
      </c>
      <c r="L33" s="10">
        <v>0</v>
      </c>
      <c r="M33" s="10">
        <v>13545</v>
      </c>
      <c r="N33" s="10">
        <v>0</v>
      </c>
      <c r="O33" s="10">
        <v>296</v>
      </c>
      <c r="P33" s="10">
        <v>834</v>
      </c>
      <c r="Q33" s="10">
        <v>0</v>
      </c>
      <c r="R33" s="10">
        <v>10755</v>
      </c>
      <c r="S33" s="75">
        <v>0</v>
      </c>
      <c r="T33" s="75">
        <v>0.25</v>
      </c>
      <c r="U33" s="75">
        <v>0.25</v>
      </c>
      <c r="V33" s="75">
        <v>0</v>
      </c>
      <c r="W33" s="75">
        <v>0.2</v>
      </c>
      <c r="X33" s="75">
        <f>IFERROR(VIEW_IV_2019_REP_CALCULO_TRI[[#This Row],[Demanda-BERINERT]]/VIEW_IV_2019_REP_CALCULO_TRI[[#This Row],[Cota-BERINERT]],0)</f>
        <v>0</v>
      </c>
      <c r="Y33" s="75">
        <f>IFERROR(VIEW_IV_2019_REP_CALCULO_TRI[[#This Row],[Demanda-BERIPLEX]]/VIEW_IV_2019_REP_CALCULO_TRI[[#This Row],[Cota-BERIPLEX]],0)</f>
        <v>0.69320843091334894</v>
      </c>
      <c r="Z33" s="75">
        <f>IFERROR(VIEW_IV_2019_REP_CALCULO_TRI[[#This Row],[Demanda-HAEMO]]/VIEW_IV_2019_REP_CALCULO_TRI[[#This Row],[Cota-HAEMO]],0)</f>
        <v>1.6547619047619047</v>
      </c>
      <c r="AA33" s="75">
        <f>IFERROR(VIEW_IV_2019_REP_CALCULO_TRI[[#This Row],[Demanda-HIZENTRA]]/VIEW_IV_2019_REP_CALCULO_TRI[[#This Row],[Cota-HIZENTRA]],0)</f>
        <v>0</v>
      </c>
      <c r="AB33" s="75">
        <f>IFERROR(VIEW_IV_2019_REP_CALCULO_TRI[[#This Row],[Demanda-PRIVIGEN]]/VIEW_IV_2019_REP_CALCULO_TRI[[#This Row],[Cota-PRIVIGEN]],0)</f>
        <v>0.79401993355481726</v>
      </c>
      <c r="AC3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3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3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1720.5362796714194</v>
      </c>
      <c r="AJ3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5932.6698626644793</v>
      </c>
      <c r="AK3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1477.0304199204566</v>
      </c>
      <c r="AM3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179.13538933287964</v>
      </c>
      <c r="AP3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33" s="102">
        <f>SUM(VIEW_IV_2019_REP_CALCULO_TRI[[#This Row],[Recuperavel-BERINERT]:[Recuperavel-PRIVIGEN]])</f>
        <v>179.13538933287964</v>
      </c>
    </row>
    <row r="34" spans="1:44" x14ac:dyDescent="0.25">
      <c r="A34" s="7" t="s">
        <v>16</v>
      </c>
      <c r="B34" s="7" t="s">
        <v>24</v>
      </c>
      <c r="C34" s="8" t="s">
        <v>149</v>
      </c>
      <c r="D34" s="8" t="s">
        <v>150</v>
      </c>
      <c r="E34" s="8" t="s">
        <v>557</v>
      </c>
      <c r="F34" s="8" t="s">
        <v>208</v>
      </c>
      <c r="G34" s="3" t="b">
        <v>1</v>
      </c>
      <c r="H34" s="3" t="b">
        <v>1</v>
      </c>
      <c r="I34" s="10">
        <v>0</v>
      </c>
      <c r="J34" s="10">
        <v>366</v>
      </c>
      <c r="K34" s="10">
        <v>210</v>
      </c>
      <c r="L34" s="10">
        <v>0</v>
      </c>
      <c r="M34" s="10">
        <v>18060</v>
      </c>
      <c r="N34" s="10">
        <v>0</v>
      </c>
      <c r="O34" s="10">
        <v>147</v>
      </c>
      <c r="P34" s="10">
        <v>82</v>
      </c>
      <c r="Q34" s="10">
        <v>0</v>
      </c>
      <c r="R34" s="10">
        <v>14415</v>
      </c>
      <c r="S34" s="75">
        <v>0</v>
      </c>
      <c r="T34" s="75">
        <v>0.25</v>
      </c>
      <c r="U34" s="75">
        <v>0.25</v>
      </c>
      <c r="V34" s="75">
        <v>0</v>
      </c>
      <c r="W34" s="75">
        <v>0.2</v>
      </c>
      <c r="X34" s="75">
        <f>IFERROR(VIEW_IV_2019_REP_CALCULO_TRI[[#This Row],[Demanda-BERINERT]]/VIEW_IV_2019_REP_CALCULO_TRI[[#This Row],[Cota-BERINERT]],0)</f>
        <v>0</v>
      </c>
      <c r="Y34" s="75">
        <f>IFERROR(VIEW_IV_2019_REP_CALCULO_TRI[[#This Row],[Demanda-BERIPLEX]]/VIEW_IV_2019_REP_CALCULO_TRI[[#This Row],[Cota-BERIPLEX]],0)</f>
        <v>0.40163934426229508</v>
      </c>
      <c r="Z34" s="75">
        <f>IFERROR(VIEW_IV_2019_REP_CALCULO_TRI[[#This Row],[Demanda-HAEMO]]/VIEW_IV_2019_REP_CALCULO_TRI[[#This Row],[Cota-HAEMO]],0)</f>
        <v>0.39047619047619048</v>
      </c>
      <c r="AA34" s="75">
        <f>IFERROR(VIEW_IV_2019_REP_CALCULO_TRI[[#This Row],[Demanda-HIZENTRA]]/VIEW_IV_2019_REP_CALCULO_TRI[[#This Row],[Cota-HIZENTRA]],0)</f>
        <v>0</v>
      </c>
      <c r="AB34" s="75">
        <f>IFERROR(VIEW_IV_2019_REP_CALCULO_TRI[[#This Row],[Demanda-PRIVIGEN]]/VIEW_IV_2019_REP_CALCULO_TRI[[#This Row],[Cota-PRIVIGEN]],0)</f>
        <v>0.79817275747508309</v>
      </c>
      <c r="AC3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865.38835426511025</v>
      </c>
      <c r="AH3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609.37763279501496</v>
      </c>
      <c r="AM3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256.01072147009529</v>
      </c>
      <c r="AR34" s="102">
        <f>SUM(VIEW_IV_2019_REP_CALCULO_TRI[[#This Row],[Recuperavel-BERINERT]:[Recuperavel-PRIVIGEN]])</f>
        <v>256.01072147009529</v>
      </c>
    </row>
    <row r="35" spans="1:44" x14ac:dyDescent="0.25">
      <c r="A35" s="7" t="s">
        <v>16</v>
      </c>
      <c r="B35" s="7" t="s">
        <v>24</v>
      </c>
      <c r="C35" s="8" t="s">
        <v>157</v>
      </c>
      <c r="D35" s="8" t="s">
        <v>158</v>
      </c>
      <c r="E35" s="8" t="s">
        <v>557</v>
      </c>
      <c r="F35" s="8" t="s">
        <v>206</v>
      </c>
      <c r="G35" s="3" t="b">
        <v>1</v>
      </c>
      <c r="H35" s="3" t="b">
        <v>1</v>
      </c>
      <c r="I35" s="10">
        <v>0</v>
      </c>
      <c r="J35" s="10">
        <v>244</v>
      </c>
      <c r="K35" s="10">
        <v>168</v>
      </c>
      <c r="L35" s="10">
        <v>0</v>
      </c>
      <c r="M35" s="10">
        <v>22575</v>
      </c>
      <c r="N35" s="10">
        <v>0</v>
      </c>
      <c r="O35" s="10">
        <v>23</v>
      </c>
      <c r="P35" s="10">
        <v>53</v>
      </c>
      <c r="Q35" s="10">
        <v>0</v>
      </c>
      <c r="R35" s="10">
        <v>30560</v>
      </c>
      <c r="S35" s="75">
        <v>0</v>
      </c>
      <c r="T35" s="75">
        <v>0.25</v>
      </c>
      <c r="U35" s="75">
        <v>0.25</v>
      </c>
      <c r="V35" s="75">
        <v>0</v>
      </c>
      <c r="W35" s="75">
        <v>0.2</v>
      </c>
      <c r="X35" s="75">
        <f>IFERROR(VIEW_IV_2019_REP_CALCULO_TRI[[#This Row],[Demanda-BERINERT]]/VIEW_IV_2019_REP_CALCULO_TRI[[#This Row],[Cota-BERINERT]],0)</f>
        <v>0</v>
      </c>
      <c r="Y35" s="75">
        <f>IFERROR(VIEW_IV_2019_REP_CALCULO_TRI[[#This Row],[Demanda-BERIPLEX]]/VIEW_IV_2019_REP_CALCULO_TRI[[#This Row],[Cota-BERIPLEX]],0)</f>
        <v>9.4262295081967207E-2</v>
      </c>
      <c r="Z35" s="75">
        <f>IFERROR(VIEW_IV_2019_REP_CALCULO_TRI[[#This Row],[Demanda-HAEMO]]/VIEW_IV_2019_REP_CALCULO_TRI[[#This Row],[Cota-HAEMO]],0)</f>
        <v>0.31547619047619047</v>
      </c>
      <c r="AA35" s="75">
        <f>IFERROR(VIEW_IV_2019_REP_CALCULO_TRI[[#This Row],[Demanda-HIZENTRA]]/VIEW_IV_2019_REP_CALCULO_TRI[[#This Row],[Cota-HIZENTRA]],0)</f>
        <v>0</v>
      </c>
      <c r="AB35" s="75">
        <f>IFERROR(VIEW_IV_2019_REP_CALCULO_TRI[[#This Row],[Demanda-PRIVIGEN]]/VIEW_IV_2019_REP_CALCULO_TRI[[#This Row],[Cota-PRIVIGEN]],0)</f>
        <v>1.3537098560354375</v>
      </c>
      <c r="AC3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4378.7915145713587</v>
      </c>
      <c r="AH3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3935.0939245143177</v>
      </c>
      <c r="AM3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443.697590057041</v>
      </c>
      <c r="AR35" s="102">
        <f>SUM(VIEW_IV_2019_REP_CALCULO_TRI[[#This Row],[Recuperavel-BERINERT]:[Recuperavel-PRIVIGEN]])</f>
        <v>443.697590057041</v>
      </c>
    </row>
    <row r="36" spans="1:44" x14ac:dyDescent="0.25">
      <c r="A36" s="7" t="s">
        <v>16</v>
      </c>
      <c r="B36" s="7" t="s">
        <v>24</v>
      </c>
      <c r="C36" s="8" t="s">
        <v>163</v>
      </c>
      <c r="D36" s="8" t="s">
        <v>164</v>
      </c>
      <c r="E36" s="8" t="s">
        <v>557</v>
      </c>
      <c r="F36" s="8" t="s">
        <v>212</v>
      </c>
      <c r="G36" s="3" t="b">
        <v>1</v>
      </c>
      <c r="H36" s="3" t="b">
        <v>1</v>
      </c>
      <c r="I36" s="10">
        <v>0</v>
      </c>
      <c r="J36" s="10">
        <v>671</v>
      </c>
      <c r="K36" s="10">
        <v>294</v>
      </c>
      <c r="L36" s="10">
        <v>0</v>
      </c>
      <c r="M36" s="10">
        <v>7525</v>
      </c>
      <c r="N36" s="10">
        <v>0</v>
      </c>
      <c r="O36" s="10">
        <v>371</v>
      </c>
      <c r="P36" s="10">
        <v>116</v>
      </c>
      <c r="Q36" s="10">
        <v>0</v>
      </c>
      <c r="R36" s="10">
        <v>13075</v>
      </c>
      <c r="S36" s="75">
        <v>0</v>
      </c>
      <c r="T36" s="75">
        <v>0.25</v>
      </c>
      <c r="U36" s="75">
        <v>0.25</v>
      </c>
      <c r="V36" s="75">
        <v>0</v>
      </c>
      <c r="W36" s="75">
        <v>0.2</v>
      </c>
      <c r="X36" s="75">
        <f>IFERROR(VIEW_IV_2019_REP_CALCULO_TRI[[#This Row],[Demanda-BERINERT]]/VIEW_IV_2019_REP_CALCULO_TRI[[#This Row],[Cota-BERINERT]],0)</f>
        <v>0</v>
      </c>
      <c r="Y36" s="75">
        <f>IFERROR(VIEW_IV_2019_REP_CALCULO_TRI[[#This Row],[Demanda-BERIPLEX]]/VIEW_IV_2019_REP_CALCULO_TRI[[#This Row],[Cota-BERIPLEX]],0)</f>
        <v>0.5529061102831595</v>
      </c>
      <c r="Z36" s="75">
        <f>IFERROR(VIEW_IV_2019_REP_CALCULO_TRI[[#This Row],[Demanda-HAEMO]]/VIEW_IV_2019_REP_CALCULO_TRI[[#This Row],[Cota-HAEMO]],0)</f>
        <v>0.39455782312925169</v>
      </c>
      <c r="AA36" s="75">
        <f>IFERROR(VIEW_IV_2019_REP_CALCULO_TRI[[#This Row],[Demanda-HIZENTRA]]/VIEW_IV_2019_REP_CALCULO_TRI[[#This Row],[Cota-HIZENTRA]],0)</f>
        <v>0</v>
      </c>
      <c r="AB36" s="75">
        <f>IFERROR(VIEW_IV_2019_REP_CALCULO_TRI[[#This Row],[Demanda-PRIVIGEN]]/VIEW_IV_2019_REP_CALCULO_TRI[[#This Row],[Cota-PRIVIGEN]],0)</f>
        <v>1.7375415282392026</v>
      </c>
      <c r="AC3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3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4675.1307756641309</v>
      </c>
      <c r="AM3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214.31342593375666</v>
      </c>
      <c r="AR36" s="102">
        <f>SUM(VIEW_IV_2019_REP_CALCULO_TRI[[#This Row],[Recuperavel-BERINERT]:[Recuperavel-PRIVIGEN]])</f>
        <v>214.31342593375666</v>
      </c>
    </row>
    <row r="37" spans="1:44" x14ac:dyDescent="0.25">
      <c r="A37" s="7" t="s">
        <v>16</v>
      </c>
      <c r="B37" s="7" t="s">
        <v>24</v>
      </c>
      <c r="C37" s="8" t="s">
        <v>165</v>
      </c>
      <c r="D37" s="8" t="s">
        <v>166</v>
      </c>
      <c r="E37" s="8" t="s">
        <v>557</v>
      </c>
      <c r="F37" s="8" t="s">
        <v>212</v>
      </c>
      <c r="G37" s="3" t="b">
        <v>1</v>
      </c>
      <c r="H37" s="3" t="b">
        <v>1</v>
      </c>
      <c r="I37" s="10">
        <v>0</v>
      </c>
      <c r="J37" s="10">
        <v>549</v>
      </c>
      <c r="K37" s="10">
        <v>462</v>
      </c>
      <c r="L37" s="10">
        <v>0</v>
      </c>
      <c r="M37" s="10">
        <v>4515</v>
      </c>
      <c r="N37" s="10">
        <v>0</v>
      </c>
      <c r="O37" s="10">
        <v>232</v>
      </c>
      <c r="P37" s="10">
        <v>1049</v>
      </c>
      <c r="Q37" s="10">
        <v>0</v>
      </c>
      <c r="R37" s="10">
        <v>5975</v>
      </c>
      <c r="S37" s="75">
        <v>0</v>
      </c>
      <c r="T37" s="75">
        <v>0.25</v>
      </c>
      <c r="U37" s="75">
        <v>0.25</v>
      </c>
      <c r="V37" s="75">
        <v>0</v>
      </c>
      <c r="W37" s="75">
        <v>0.2</v>
      </c>
      <c r="X37" s="75">
        <f>IFERROR(VIEW_IV_2019_REP_CALCULO_TRI[[#This Row],[Demanda-BERINERT]]/VIEW_IV_2019_REP_CALCULO_TRI[[#This Row],[Cota-BERINERT]],0)</f>
        <v>0</v>
      </c>
      <c r="Y37" s="75">
        <f>IFERROR(VIEW_IV_2019_REP_CALCULO_TRI[[#This Row],[Demanda-BERIPLEX]]/VIEW_IV_2019_REP_CALCULO_TRI[[#This Row],[Cota-BERIPLEX]],0)</f>
        <v>0.42258652094717669</v>
      </c>
      <c r="Z37" s="75">
        <f>IFERROR(VIEW_IV_2019_REP_CALCULO_TRI[[#This Row],[Demanda-HAEMO]]/VIEW_IV_2019_REP_CALCULO_TRI[[#This Row],[Cota-HAEMO]],0)</f>
        <v>2.2705627705627704</v>
      </c>
      <c r="AA37" s="75">
        <f>IFERROR(VIEW_IV_2019_REP_CALCULO_TRI[[#This Row],[Demanda-HIZENTRA]]/VIEW_IV_2019_REP_CALCULO_TRI[[#This Row],[Cota-HIZENTRA]],0)</f>
        <v>0</v>
      </c>
      <c r="AB37" s="75">
        <f>IFERROR(VIEW_IV_2019_REP_CALCULO_TRI[[#This Row],[Demanda-PRIVIGEN]]/VIEW_IV_2019_REP_CALCULO_TRI[[#This Row],[Cota-PRIVIGEN]],0)</f>
        <v>1.3233665559246954</v>
      </c>
      <c r="AC3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3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3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4286.4978465889835</v>
      </c>
      <c r="AH3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3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4074.5368346649057</v>
      </c>
      <c r="AK3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2889.6759462835862</v>
      </c>
      <c r="AM3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2037.2684173324533</v>
      </c>
      <c r="AP3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1396.8219003053973</v>
      </c>
      <c r="AR37" s="102">
        <f>SUM(VIEW_IV_2019_REP_CALCULO_TRI[[#This Row],[Recuperavel-BERINERT]:[Recuperavel-PRIVIGEN]])</f>
        <v>3434.0903176378506</v>
      </c>
    </row>
    <row r="38" spans="1:44" x14ac:dyDescent="0.25">
      <c r="A38" s="7" t="s">
        <v>16</v>
      </c>
      <c r="B38" s="7" t="s">
        <v>24</v>
      </c>
      <c r="C38" s="8" t="s">
        <v>167</v>
      </c>
      <c r="D38" s="8" t="s">
        <v>168</v>
      </c>
      <c r="E38" s="8" t="s">
        <v>557</v>
      </c>
      <c r="F38" s="8" t="s">
        <v>212</v>
      </c>
      <c r="G38" s="3" t="b">
        <v>1</v>
      </c>
      <c r="H38" s="3" t="b">
        <v>1</v>
      </c>
      <c r="I38" s="10">
        <v>0</v>
      </c>
      <c r="J38" s="10">
        <v>488</v>
      </c>
      <c r="K38" s="10">
        <v>294</v>
      </c>
      <c r="L38" s="10">
        <v>0</v>
      </c>
      <c r="M38" s="10">
        <v>9030</v>
      </c>
      <c r="N38" s="10">
        <v>0</v>
      </c>
      <c r="O38" s="10">
        <v>389</v>
      </c>
      <c r="P38" s="10">
        <v>150</v>
      </c>
      <c r="Q38" s="10">
        <v>0</v>
      </c>
      <c r="R38" s="10">
        <v>13670</v>
      </c>
      <c r="S38" s="75">
        <v>0</v>
      </c>
      <c r="T38" s="75">
        <v>0.25</v>
      </c>
      <c r="U38" s="75">
        <v>0.25</v>
      </c>
      <c r="V38" s="75">
        <v>0</v>
      </c>
      <c r="W38" s="75">
        <v>0.2</v>
      </c>
      <c r="X38" s="75">
        <f>IFERROR(VIEW_IV_2019_REP_CALCULO_TRI[[#This Row],[Demanda-BERINERT]]/VIEW_IV_2019_REP_CALCULO_TRI[[#This Row],[Cota-BERINERT]],0)</f>
        <v>0</v>
      </c>
      <c r="Y38" s="75">
        <f>IFERROR(VIEW_IV_2019_REP_CALCULO_TRI[[#This Row],[Demanda-BERIPLEX]]/VIEW_IV_2019_REP_CALCULO_TRI[[#This Row],[Cota-BERIPLEX]],0)</f>
        <v>0.79713114754098358</v>
      </c>
      <c r="Z38" s="75">
        <f>IFERROR(VIEW_IV_2019_REP_CALCULO_TRI[[#This Row],[Demanda-HAEMO]]/VIEW_IV_2019_REP_CALCULO_TRI[[#This Row],[Cota-HAEMO]],0)</f>
        <v>0.51020408163265307</v>
      </c>
      <c r="AA38" s="75">
        <f>IFERROR(VIEW_IV_2019_REP_CALCULO_TRI[[#This Row],[Demanda-HIZENTRA]]/VIEW_IV_2019_REP_CALCULO_TRI[[#This Row],[Cota-HIZENTRA]],0)</f>
        <v>0</v>
      </c>
      <c r="AB38" s="75">
        <f>IFERROR(VIEW_IV_2019_REP_CALCULO_TRI[[#This Row],[Demanda-PRIVIGEN]]/VIEW_IV_2019_REP_CALCULO_TRI[[#This Row],[Cota-PRIVIGEN]],0)</f>
        <v>1.5138427464008859</v>
      </c>
      <c r="AC3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1081.7354428313877</v>
      </c>
      <c r="AE3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3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1564.0091610937154</v>
      </c>
      <c r="AJ3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3259.6294677319247</v>
      </c>
      <c r="AM3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3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1629.8147338659628</v>
      </c>
      <c r="AR38" s="102">
        <f>SUM(VIEW_IV_2019_REP_CALCULO_TRI[[#This Row],[Recuperavel-BERINERT]:[Recuperavel-PRIVIGEN]])</f>
        <v>1629.8147338659628</v>
      </c>
    </row>
    <row r="39" spans="1:44" x14ac:dyDescent="0.25">
      <c r="A39" s="7" t="s">
        <v>16</v>
      </c>
      <c r="B39" s="7" t="s">
        <v>24</v>
      </c>
      <c r="C39" s="8" t="s">
        <v>169</v>
      </c>
      <c r="D39" s="8" t="s">
        <v>170</v>
      </c>
      <c r="E39" s="8" t="s">
        <v>557</v>
      </c>
      <c r="F39" s="8" t="s">
        <v>212</v>
      </c>
      <c r="G39" s="3" t="b">
        <v>1</v>
      </c>
      <c r="H39" s="3" t="b">
        <v>1</v>
      </c>
      <c r="I39" s="10">
        <v>0</v>
      </c>
      <c r="J39" s="10">
        <v>610</v>
      </c>
      <c r="K39" s="10">
        <v>168</v>
      </c>
      <c r="L39" s="10">
        <v>0</v>
      </c>
      <c r="M39" s="10">
        <v>4515</v>
      </c>
      <c r="N39" s="10">
        <v>0</v>
      </c>
      <c r="O39" s="10">
        <v>946</v>
      </c>
      <c r="P39" s="10">
        <v>53</v>
      </c>
      <c r="Q39" s="10">
        <v>0</v>
      </c>
      <c r="R39" s="10">
        <v>6085</v>
      </c>
      <c r="S39" s="75">
        <v>0</v>
      </c>
      <c r="T39" s="75">
        <v>0.25</v>
      </c>
      <c r="U39" s="75">
        <v>0.25</v>
      </c>
      <c r="V39" s="75">
        <v>0</v>
      </c>
      <c r="W39" s="75">
        <v>0.2</v>
      </c>
      <c r="X39" s="75">
        <f>IFERROR(VIEW_IV_2019_REP_CALCULO_TRI[[#This Row],[Demanda-BERINERT]]/VIEW_IV_2019_REP_CALCULO_TRI[[#This Row],[Cota-BERINERT]],0)</f>
        <v>0</v>
      </c>
      <c r="Y39" s="75">
        <f>IFERROR(VIEW_IV_2019_REP_CALCULO_TRI[[#This Row],[Demanda-BERIPLEX]]/VIEW_IV_2019_REP_CALCULO_TRI[[#This Row],[Cota-BERIPLEX]],0)</f>
        <v>1.5508196721311476</v>
      </c>
      <c r="Z39" s="75">
        <f>IFERROR(VIEW_IV_2019_REP_CALCULO_TRI[[#This Row],[Demanda-HAEMO]]/VIEW_IV_2019_REP_CALCULO_TRI[[#This Row],[Cota-HAEMO]],0)</f>
        <v>0.31547619047619047</v>
      </c>
      <c r="AA39" s="75">
        <f>IFERROR(VIEW_IV_2019_REP_CALCULO_TRI[[#This Row],[Demanda-HIZENTRA]]/VIEW_IV_2019_REP_CALCULO_TRI[[#This Row],[Cota-HIZENTRA]],0)</f>
        <v>0</v>
      </c>
      <c r="AB39" s="75">
        <f>IFERROR(VIEW_IV_2019_REP_CALCULO_TRI[[#This Row],[Demanda-PRIVIGEN]]/VIEW_IV_2019_REP_CALCULO_TRI[[#This Row],[Cota-PRIVIGEN]],0)</f>
        <v>1.3477297895902547</v>
      </c>
      <c r="AC3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3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6111.8052519973589</v>
      </c>
      <c r="AE3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3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3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4360.3327809748826</v>
      </c>
      <c r="AH3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3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3681.3800879678352</v>
      </c>
      <c r="AJ3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3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3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2389.9141716954846</v>
      </c>
      <c r="AM3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3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2430.4251640295238</v>
      </c>
      <c r="AO3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3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3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1970.418609279398</v>
      </c>
      <c r="AR39" s="102">
        <f>SUM(VIEW_IV_2019_REP_CALCULO_TRI[[#This Row],[Recuperavel-BERINERT]:[Recuperavel-PRIVIGEN]])</f>
        <v>4400.8437733089213</v>
      </c>
    </row>
    <row r="40" spans="1:44" x14ac:dyDescent="0.25">
      <c r="A40" s="7" t="s">
        <v>16</v>
      </c>
      <c r="B40" s="7" t="s">
        <v>24</v>
      </c>
      <c r="C40" s="8" t="s">
        <v>173</v>
      </c>
      <c r="D40" s="8" t="s">
        <v>174</v>
      </c>
      <c r="E40" s="8" t="s">
        <v>557</v>
      </c>
      <c r="F40" s="8" t="s">
        <v>206</v>
      </c>
      <c r="G40" s="3" t="b">
        <v>1</v>
      </c>
      <c r="H40" s="3" t="b">
        <v>1</v>
      </c>
      <c r="I40" s="10">
        <v>0</v>
      </c>
      <c r="J40" s="10">
        <v>366</v>
      </c>
      <c r="K40" s="10">
        <v>252</v>
      </c>
      <c r="L40" s="10">
        <v>0</v>
      </c>
      <c r="M40" s="10">
        <v>7525</v>
      </c>
      <c r="N40" s="10">
        <v>0</v>
      </c>
      <c r="O40" s="10">
        <v>338</v>
      </c>
      <c r="P40" s="10">
        <v>237</v>
      </c>
      <c r="Q40" s="10">
        <v>0</v>
      </c>
      <c r="R40" s="10">
        <v>11222</v>
      </c>
      <c r="S40" s="75">
        <v>0</v>
      </c>
      <c r="T40" s="75">
        <v>0.25</v>
      </c>
      <c r="U40" s="75">
        <v>0.25</v>
      </c>
      <c r="V40" s="75">
        <v>0</v>
      </c>
      <c r="W40" s="75">
        <v>0.2</v>
      </c>
      <c r="X40" s="75">
        <f>IFERROR(VIEW_IV_2019_REP_CALCULO_TRI[[#This Row],[Demanda-BERINERT]]/VIEW_IV_2019_REP_CALCULO_TRI[[#This Row],[Cota-BERINERT]],0)</f>
        <v>0</v>
      </c>
      <c r="Y40" s="75">
        <f>IFERROR(VIEW_IV_2019_REP_CALCULO_TRI[[#This Row],[Demanda-BERIPLEX]]/VIEW_IV_2019_REP_CALCULO_TRI[[#This Row],[Cota-BERIPLEX]],0)</f>
        <v>0.92349726775956287</v>
      </c>
      <c r="Z40" s="75">
        <f>IFERROR(VIEW_IV_2019_REP_CALCULO_TRI[[#This Row],[Demanda-HAEMO]]/VIEW_IV_2019_REP_CALCULO_TRI[[#This Row],[Cota-HAEMO]],0)</f>
        <v>0.94047619047619047</v>
      </c>
      <c r="AA40" s="75">
        <f>IFERROR(VIEW_IV_2019_REP_CALCULO_TRI[[#This Row],[Demanda-HIZENTRA]]/VIEW_IV_2019_REP_CALCULO_TRI[[#This Row],[Cota-HIZENTRA]],0)</f>
        <v>0</v>
      </c>
      <c r="AB40" s="75">
        <f>IFERROR(VIEW_IV_2019_REP_CALCULO_TRI[[#This Row],[Demanda-PRIVIGEN]]/VIEW_IV_2019_REP_CALCULO_TRI[[#This Row],[Cota-PRIVIGEN]],0)</f>
        <v>1.4912956810631228</v>
      </c>
      <c r="AC4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1872.0784007500711</v>
      </c>
      <c r="AE4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1906.5587179903218</v>
      </c>
      <c r="AF4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4832.3740031049902</v>
      </c>
      <c r="AH4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2287.9606062086241</v>
      </c>
      <c r="AJ4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2462.2281860487637</v>
      </c>
      <c r="AK4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4370.7304220513761</v>
      </c>
      <c r="AM4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461.64358105361407</v>
      </c>
      <c r="AR40" s="102">
        <f>SUM(VIEW_IV_2019_REP_CALCULO_TRI[[#This Row],[Recuperavel-BERINERT]:[Recuperavel-PRIVIGEN]])</f>
        <v>461.64358105361407</v>
      </c>
    </row>
    <row r="41" spans="1:44" x14ac:dyDescent="0.25">
      <c r="A41" s="7" t="s">
        <v>16</v>
      </c>
      <c r="B41" s="7" t="s">
        <v>24</v>
      </c>
      <c r="C41" s="8" t="s">
        <v>177</v>
      </c>
      <c r="D41" s="8" t="s">
        <v>178</v>
      </c>
      <c r="E41" s="8" t="s">
        <v>557</v>
      </c>
      <c r="F41" s="8" t="s">
        <v>208</v>
      </c>
      <c r="G41" s="3" t="b">
        <v>1</v>
      </c>
      <c r="H41" s="3" t="b">
        <v>1</v>
      </c>
      <c r="I41" s="10">
        <v>0</v>
      </c>
      <c r="J41" s="10">
        <v>427</v>
      </c>
      <c r="K41" s="10">
        <v>420</v>
      </c>
      <c r="L41" s="10">
        <v>0</v>
      </c>
      <c r="M41" s="10">
        <v>13545</v>
      </c>
      <c r="N41" s="10">
        <v>0</v>
      </c>
      <c r="O41" s="10">
        <v>338</v>
      </c>
      <c r="P41" s="10">
        <v>467</v>
      </c>
      <c r="Q41" s="10">
        <v>0</v>
      </c>
      <c r="R41" s="10">
        <v>7082</v>
      </c>
      <c r="S41" s="75">
        <v>0</v>
      </c>
      <c r="T41" s="75">
        <v>0.25</v>
      </c>
      <c r="U41" s="75">
        <v>0.25</v>
      </c>
      <c r="V41" s="75">
        <v>0</v>
      </c>
      <c r="W41" s="75">
        <v>0.2</v>
      </c>
      <c r="X41" s="75">
        <f>IFERROR(VIEW_IV_2019_REP_CALCULO_TRI[[#This Row],[Demanda-BERINERT]]/VIEW_IV_2019_REP_CALCULO_TRI[[#This Row],[Cota-BERINERT]],0)</f>
        <v>0</v>
      </c>
      <c r="Y41" s="75">
        <f>IFERROR(VIEW_IV_2019_REP_CALCULO_TRI[[#This Row],[Demanda-BERIPLEX]]/VIEW_IV_2019_REP_CALCULO_TRI[[#This Row],[Cota-BERIPLEX]],0)</f>
        <v>0.79156908665105385</v>
      </c>
      <c r="Z41" s="75">
        <f>IFERROR(VIEW_IV_2019_REP_CALCULO_TRI[[#This Row],[Demanda-HAEMO]]/VIEW_IV_2019_REP_CALCULO_TRI[[#This Row],[Cota-HAEMO]],0)</f>
        <v>1.111904761904762</v>
      </c>
      <c r="AA41" s="75">
        <f>IFERROR(VIEW_IV_2019_REP_CALCULO_TRI[[#This Row],[Demanda-HIZENTRA]]/VIEW_IV_2019_REP_CALCULO_TRI[[#This Row],[Cota-HIZENTRA]],0)</f>
        <v>0</v>
      </c>
      <c r="AB41" s="75">
        <f>IFERROR(VIEW_IV_2019_REP_CALCULO_TRI[[#This Row],[Demanda-PRIVIGEN]]/VIEW_IV_2019_REP_CALCULO_TRI[[#This Row],[Cota-PRIVIGEN]],0)</f>
        <v>0.52284976005906236</v>
      </c>
      <c r="AC4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3785.722485890944</v>
      </c>
      <c r="AF4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1574.8265155220297</v>
      </c>
      <c r="AJ4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3365.0986734079816</v>
      </c>
      <c r="AK4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508.41565813075249</v>
      </c>
      <c r="AM4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420.62381248296242</v>
      </c>
      <c r="AP4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1" s="102">
        <f>SUM(VIEW_IV_2019_REP_CALCULO_TRI[[#This Row],[Recuperavel-BERINERT]:[Recuperavel-PRIVIGEN]])</f>
        <v>420.62381248296242</v>
      </c>
    </row>
    <row r="42" spans="1:44" x14ac:dyDescent="0.25">
      <c r="A42" s="7" t="s">
        <v>16</v>
      </c>
      <c r="B42" s="7" t="s">
        <v>24</v>
      </c>
      <c r="C42" s="8" t="s">
        <v>181</v>
      </c>
      <c r="D42" s="8" t="s">
        <v>182</v>
      </c>
      <c r="E42" s="8" t="s">
        <v>557</v>
      </c>
      <c r="F42" s="8" t="s">
        <v>206</v>
      </c>
      <c r="G42" s="3" t="b">
        <v>1</v>
      </c>
      <c r="H42" s="3" t="b">
        <v>1</v>
      </c>
      <c r="I42" s="10">
        <v>0</v>
      </c>
      <c r="J42" s="10">
        <v>671</v>
      </c>
      <c r="K42" s="10">
        <v>504</v>
      </c>
      <c r="L42" s="10">
        <v>0</v>
      </c>
      <c r="M42" s="10">
        <v>12040</v>
      </c>
      <c r="N42" s="10">
        <v>0</v>
      </c>
      <c r="O42" s="10">
        <v>728</v>
      </c>
      <c r="P42" s="10">
        <v>403</v>
      </c>
      <c r="Q42" s="10">
        <v>0</v>
      </c>
      <c r="R42" s="10">
        <v>17505</v>
      </c>
      <c r="S42" s="75">
        <v>0</v>
      </c>
      <c r="T42" s="75">
        <v>0.25</v>
      </c>
      <c r="U42" s="75">
        <v>0.25</v>
      </c>
      <c r="V42" s="75">
        <v>0</v>
      </c>
      <c r="W42" s="75">
        <v>0.2</v>
      </c>
      <c r="X42" s="75">
        <f>IFERROR(VIEW_IV_2019_REP_CALCULO_TRI[[#This Row],[Demanda-BERINERT]]/VIEW_IV_2019_REP_CALCULO_TRI[[#This Row],[Cota-BERINERT]],0)</f>
        <v>0</v>
      </c>
      <c r="Y42" s="75">
        <f>IFERROR(VIEW_IV_2019_REP_CALCULO_TRI[[#This Row],[Demanda-BERIPLEX]]/VIEW_IV_2019_REP_CALCULO_TRI[[#This Row],[Cota-BERIPLEX]],0)</f>
        <v>1.0849478390461997</v>
      </c>
      <c r="Z42" s="75">
        <f>IFERROR(VIEW_IV_2019_REP_CALCULO_TRI[[#This Row],[Demanda-HAEMO]]/VIEW_IV_2019_REP_CALCULO_TRI[[#This Row],[Cota-HAEMO]],0)</f>
        <v>0.79960317460317465</v>
      </c>
      <c r="AA42" s="75">
        <f>IFERROR(VIEW_IV_2019_REP_CALCULO_TRI[[#This Row],[Demanda-HIZENTRA]]/VIEW_IV_2019_REP_CALCULO_TRI[[#This Row],[Cota-HIZENTRA]],0)</f>
        <v>0</v>
      </c>
      <c r="AB42" s="75">
        <f>IFERROR(VIEW_IV_2019_REP_CALCULO_TRI[[#This Row],[Demanda-PRIVIGEN]]/VIEW_IV_2019_REP_CALCULO_TRI[[#This Row],[Cota-PRIVIGEN]],0)</f>
        <v>1.4539036544850499</v>
      </c>
      <c r="AC4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2908.7866057736037</v>
      </c>
      <c r="AE4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1081.7354428313877</v>
      </c>
      <c r="AF4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4714.7287832844158</v>
      </c>
      <c r="AH4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2438.4119773824254</v>
      </c>
      <c r="AJ4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925.7852498231963</v>
      </c>
      <c r="AK4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3723.1170471370792</v>
      </c>
      <c r="AM4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470.37462839117825</v>
      </c>
      <c r="AO4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155.95019300819138</v>
      </c>
      <c r="AP4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991.61173614733661</v>
      </c>
      <c r="AR42" s="102">
        <f>SUM(VIEW_IV_2019_REP_CALCULO_TRI[[#This Row],[Recuperavel-BERINERT]:[Recuperavel-PRIVIGEN]])</f>
        <v>1617.9365575467064</v>
      </c>
    </row>
    <row r="43" spans="1:44" x14ac:dyDescent="0.25">
      <c r="A43" s="7" t="s">
        <v>16</v>
      </c>
      <c r="B43" s="7" t="s">
        <v>24</v>
      </c>
      <c r="C43" s="8" t="s">
        <v>183</v>
      </c>
      <c r="D43" s="8" t="s">
        <v>184</v>
      </c>
      <c r="E43" s="8" t="s">
        <v>557</v>
      </c>
      <c r="F43" s="8" t="s">
        <v>208</v>
      </c>
      <c r="G43" s="3" t="b">
        <v>1</v>
      </c>
      <c r="H43" s="3" t="b">
        <v>1</v>
      </c>
      <c r="I43" s="10">
        <v>0</v>
      </c>
      <c r="J43" s="10">
        <v>549</v>
      </c>
      <c r="K43" s="10">
        <v>294</v>
      </c>
      <c r="L43" s="10">
        <v>0</v>
      </c>
      <c r="M43" s="10">
        <v>16555</v>
      </c>
      <c r="N43" s="10">
        <v>0</v>
      </c>
      <c r="O43" s="10">
        <v>498</v>
      </c>
      <c r="P43" s="10">
        <v>491</v>
      </c>
      <c r="Q43" s="10">
        <v>0</v>
      </c>
      <c r="R43" s="10">
        <v>30183</v>
      </c>
      <c r="S43" s="75">
        <v>0</v>
      </c>
      <c r="T43" s="75">
        <v>0.25</v>
      </c>
      <c r="U43" s="75">
        <v>0.25</v>
      </c>
      <c r="V43" s="75">
        <v>0</v>
      </c>
      <c r="W43" s="75">
        <v>0.2</v>
      </c>
      <c r="X43" s="75">
        <f>IFERROR(VIEW_IV_2019_REP_CALCULO_TRI[[#This Row],[Demanda-BERINERT]]/VIEW_IV_2019_REP_CALCULO_TRI[[#This Row],[Cota-BERINERT]],0)</f>
        <v>0</v>
      </c>
      <c r="Y43" s="75">
        <f>IFERROR(VIEW_IV_2019_REP_CALCULO_TRI[[#This Row],[Demanda-BERIPLEX]]/VIEW_IV_2019_REP_CALCULO_TRI[[#This Row],[Cota-BERIPLEX]],0)</f>
        <v>0.90710382513661203</v>
      </c>
      <c r="Z43" s="75">
        <f>IFERROR(VIEW_IV_2019_REP_CALCULO_TRI[[#This Row],[Demanda-HAEMO]]/VIEW_IV_2019_REP_CALCULO_TRI[[#This Row],[Cota-HAEMO]],0)</f>
        <v>1.6700680272108843</v>
      </c>
      <c r="AA43" s="75">
        <f>IFERROR(VIEW_IV_2019_REP_CALCULO_TRI[[#This Row],[Demanda-HIZENTRA]]/VIEW_IV_2019_REP_CALCULO_TRI[[#This Row],[Cota-HIZENTRA]],0)</f>
        <v>0</v>
      </c>
      <c r="AB43" s="75">
        <f>IFERROR(VIEW_IV_2019_REP_CALCULO_TRI[[#This Row],[Demanda-PRIVIGEN]]/VIEW_IV_2019_REP_CALCULO_TRI[[#This Row],[Cota-PRIVIGEN]],0)</f>
        <v>1.8231954092419209</v>
      </c>
      <c r="AC4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1839.6263374651282</v>
      </c>
      <c r="AE4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6111.8052519973589</v>
      </c>
      <c r="AF4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4889.4442015978875</v>
      </c>
      <c r="AH4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3230.7831892564177</v>
      </c>
      <c r="AJ4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5983.5384718636251</v>
      </c>
      <c r="AK4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4574.9188042402311</v>
      </c>
      <c r="AM4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128.26678013373385</v>
      </c>
      <c r="AP4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314.5253973576564</v>
      </c>
      <c r="AR43" s="102">
        <f>SUM(VIEW_IV_2019_REP_CALCULO_TRI[[#This Row],[Recuperavel-BERINERT]:[Recuperavel-PRIVIGEN]])</f>
        <v>442.79217749139025</v>
      </c>
    </row>
    <row r="44" spans="1:44" x14ac:dyDescent="0.25">
      <c r="A44" s="7" t="s">
        <v>16</v>
      </c>
      <c r="B44" s="7" t="s">
        <v>24</v>
      </c>
      <c r="C44" s="8" t="s">
        <v>159</v>
      </c>
      <c r="D44" s="8" t="s">
        <v>160</v>
      </c>
      <c r="E44" s="8" t="s">
        <v>740</v>
      </c>
      <c r="F44" s="8" t="s">
        <v>206</v>
      </c>
      <c r="G44" s="3" t="b">
        <v>1</v>
      </c>
      <c r="H44" s="3" t="b">
        <v>1</v>
      </c>
      <c r="I44" s="10">
        <v>34</v>
      </c>
      <c r="J44" s="10">
        <v>244</v>
      </c>
      <c r="K44" s="10">
        <v>168</v>
      </c>
      <c r="L44" s="10">
        <v>434</v>
      </c>
      <c r="M44" s="10">
        <v>9030</v>
      </c>
      <c r="N44" s="10">
        <v>29</v>
      </c>
      <c r="O44" s="10">
        <v>42</v>
      </c>
      <c r="P44" s="10">
        <v>131</v>
      </c>
      <c r="Q44" s="10">
        <v>883</v>
      </c>
      <c r="R44" s="10">
        <v>16648</v>
      </c>
      <c r="S44" s="75">
        <v>0.05</v>
      </c>
      <c r="T44" s="75">
        <v>0.15</v>
      </c>
      <c r="U44" s="75">
        <v>0.15</v>
      </c>
      <c r="V44" s="75">
        <v>0.2</v>
      </c>
      <c r="W44" s="75">
        <v>0.15</v>
      </c>
      <c r="X44" s="75">
        <f>IFERROR(VIEW_IV_2019_REP_CALCULO_TRI[[#This Row],[Demanda-BERINERT]]/VIEW_IV_2019_REP_CALCULO_TRI[[#This Row],[Cota-BERINERT]],0)</f>
        <v>0.8529411764705882</v>
      </c>
      <c r="Y44" s="75">
        <f>IFERROR(VIEW_IV_2019_REP_CALCULO_TRI[[#This Row],[Demanda-BERIPLEX]]/VIEW_IV_2019_REP_CALCULO_TRI[[#This Row],[Cota-BERIPLEX]],0)</f>
        <v>0.1721311475409836</v>
      </c>
      <c r="Z44" s="75">
        <f>IFERROR(VIEW_IV_2019_REP_CALCULO_TRI[[#This Row],[Demanda-HAEMO]]/VIEW_IV_2019_REP_CALCULO_TRI[[#This Row],[Cota-HAEMO]],0)</f>
        <v>0.77976190476190477</v>
      </c>
      <c r="AA44" s="75">
        <f>IFERROR(VIEW_IV_2019_REP_CALCULO_TRI[[#This Row],[Demanda-HIZENTRA]]/VIEW_IV_2019_REP_CALCULO_TRI[[#This Row],[Cota-HIZENTRA]],0)</f>
        <v>2.0345622119815667</v>
      </c>
      <c r="AB44" s="75">
        <f>IFERROR(VIEW_IV_2019_REP_CALCULO_TRI[[#This Row],[Demanda-PRIVIGEN]]/VIEW_IV_2019_REP_CALCULO_TRI[[#This Row],[Cota-PRIVIGEN]],0)</f>
        <v>1.8436323366555925</v>
      </c>
      <c r="AC4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230.40964932308538</v>
      </c>
      <c r="AD4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4889.4442015978875</v>
      </c>
      <c r="AG4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3667.0831511984152</v>
      </c>
      <c r="AH4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407.45368346649059</v>
      </c>
      <c r="AI4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579.81019735762402</v>
      </c>
      <c r="AK4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4615.6785957261172</v>
      </c>
      <c r="AL4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3667.0831511984152</v>
      </c>
      <c r="AM4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273.76560587177028</v>
      </c>
      <c r="AQ4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4" s="102">
        <f>SUM(VIEW_IV_2019_REP_CALCULO_TRI[[#This Row],[Recuperavel-BERINERT]:[Recuperavel-PRIVIGEN]])</f>
        <v>273.76560587177028</v>
      </c>
    </row>
    <row r="45" spans="1:44" x14ac:dyDescent="0.25">
      <c r="A45" s="7" t="s">
        <v>16</v>
      </c>
      <c r="B45" s="7" t="s">
        <v>24</v>
      </c>
      <c r="C45" s="8" t="s">
        <v>201</v>
      </c>
      <c r="D45" s="8" t="s">
        <v>202</v>
      </c>
      <c r="E45" s="8" t="s">
        <v>740</v>
      </c>
      <c r="F45" s="8" t="s">
        <v>212</v>
      </c>
      <c r="G45" s="3" t="b">
        <v>1</v>
      </c>
      <c r="H45" s="3" t="b">
        <v>1</v>
      </c>
      <c r="I45" s="10">
        <v>116</v>
      </c>
      <c r="J45" s="10">
        <v>122</v>
      </c>
      <c r="K45" s="10">
        <v>42</v>
      </c>
      <c r="L45" s="10">
        <v>2387</v>
      </c>
      <c r="M45" s="10">
        <v>4515</v>
      </c>
      <c r="N45" s="10">
        <v>0</v>
      </c>
      <c r="O45" s="10">
        <v>50</v>
      </c>
      <c r="P45" s="10">
        <v>51</v>
      </c>
      <c r="Q45" s="10">
        <v>1492</v>
      </c>
      <c r="R45" s="10">
        <v>12665</v>
      </c>
      <c r="S45" s="75">
        <v>0.05</v>
      </c>
      <c r="T45" s="75">
        <v>0.15</v>
      </c>
      <c r="U45" s="75">
        <v>0.15</v>
      </c>
      <c r="V45" s="75">
        <v>0.2</v>
      </c>
      <c r="W45" s="75">
        <v>0.15</v>
      </c>
      <c r="X45" s="75">
        <f>IFERROR(VIEW_IV_2019_REP_CALCULO_TRI[[#This Row],[Demanda-BERINERT]]/VIEW_IV_2019_REP_CALCULO_TRI[[#This Row],[Cota-BERINERT]],0)</f>
        <v>0</v>
      </c>
      <c r="Y45" s="75">
        <f>IFERROR(VIEW_IV_2019_REP_CALCULO_TRI[[#This Row],[Demanda-BERIPLEX]]/VIEW_IV_2019_REP_CALCULO_TRI[[#This Row],[Cota-BERIPLEX]],0)</f>
        <v>0.4098360655737705</v>
      </c>
      <c r="Z45" s="75">
        <f>IFERROR(VIEW_IV_2019_REP_CALCULO_TRI[[#This Row],[Demanda-HAEMO]]/VIEW_IV_2019_REP_CALCULO_TRI[[#This Row],[Cota-HAEMO]],0)</f>
        <v>1.2142857142857142</v>
      </c>
      <c r="AA45" s="75">
        <f>IFERROR(VIEW_IV_2019_REP_CALCULO_TRI[[#This Row],[Demanda-HIZENTRA]]/VIEW_IV_2019_REP_CALCULO_TRI[[#This Row],[Cota-HIZENTRA]],0)</f>
        <v>0.62505236698785083</v>
      </c>
      <c r="AB45" s="75">
        <f>IFERROR(VIEW_IV_2019_REP_CALCULO_TRI[[#This Row],[Demanda-PRIVIGEN]]/VIEW_IV_2019_REP_CALCULO_TRI[[#This Row],[Cota-PRIVIGEN]],0)</f>
        <v>2.8050941306755259</v>
      </c>
      <c r="AC4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2945.6445775172006</v>
      </c>
      <c r="AF4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3667.0831511984152</v>
      </c>
      <c r="AH4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232.57312020874824</v>
      </c>
      <c r="AJ4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1797.3034382643543</v>
      </c>
      <c r="AK4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3667.0831511984152</v>
      </c>
      <c r="AM4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1148.3411392528462</v>
      </c>
      <c r="AP4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5" s="102">
        <f>SUM(VIEW_IV_2019_REP_CALCULO_TRI[[#This Row],[Recuperavel-BERINERT]:[Recuperavel-PRIVIGEN]])</f>
        <v>1148.3411392528462</v>
      </c>
    </row>
    <row r="46" spans="1:44" x14ac:dyDescent="0.25">
      <c r="A46" s="7" t="s">
        <v>16</v>
      </c>
      <c r="B46" s="7" t="s">
        <v>373</v>
      </c>
      <c r="C46" s="8" t="s">
        <v>151</v>
      </c>
      <c r="D46" s="8" t="s">
        <v>152</v>
      </c>
      <c r="E46" s="8" t="s">
        <v>556</v>
      </c>
      <c r="F46" s="8" t="s">
        <v>208</v>
      </c>
      <c r="G46" s="3" t="b">
        <v>1</v>
      </c>
      <c r="H46" s="3" t="b">
        <v>1</v>
      </c>
      <c r="I46" s="10">
        <v>44</v>
      </c>
      <c r="J46" s="10">
        <v>0</v>
      </c>
      <c r="K46" s="10">
        <v>0</v>
      </c>
      <c r="L46" s="10">
        <v>2907</v>
      </c>
      <c r="M46" s="10">
        <v>24765</v>
      </c>
      <c r="N46" s="10">
        <v>5</v>
      </c>
      <c r="O46" s="10">
        <v>0</v>
      </c>
      <c r="P46" s="10">
        <v>0</v>
      </c>
      <c r="Q46" s="10">
        <v>793</v>
      </c>
      <c r="R46" s="10">
        <v>5655</v>
      </c>
      <c r="S46" s="75">
        <v>0.1</v>
      </c>
      <c r="T46" s="75">
        <v>0</v>
      </c>
      <c r="U46" s="75">
        <v>0</v>
      </c>
      <c r="V46" s="75">
        <v>0.4</v>
      </c>
      <c r="W46" s="75">
        <v>0.2</v>
      </c>
      <c r="X46" s="75">
        <f>IFERROR(VIEW_IV_2019_REP_CALCULO_TRI[[#This Row],[Demanda-BERINERT]]/VIEW_IV_2019_REP_CALCULO_TRI[[#This Row],[Cota-BERINERT]],0)</f>
        <v>0.11363636363636363</v>
      </c>
      <c r="Y46" s="75">
        <f>IFERROR(VIEW_IV_2019_REP_CALCULO_TRI[[#This Row],[Demanda-BERIPLEX]]/VIEW_IV_2019_REP_CALCULO_TRI[[#This Row],[Cota-BERIPLEX]],0)</f>
        <v>0</v>
      </c>
      <c r="Z46" s="75">
        <f>IFERROR(VIEW_IV_2019_REP_CALCULO_TRI[[#This Row],[Demanda-HAEMO]]/VIEW_IV_2019_REP_CALCULO_TRI[[#This Row],[Cota-HAEMO]],0)</f>
        <v>0</v>
      </c>
      <c r="AA46" s="75">
        <f>IFERROR(VIEW_IV_2019_REP_CALCULO_TRI[[#This Row],[Demanda-HIZENTRA]]/VIEW_IV_2019_REP_CALCULO_TRI[[#This Row],[Cota-HIZENTRA]],0)</f>
        <v>0.27278981768145855</v>
      </c>
      <c r="AB46" s="75">
        <f>IFERROR(VIEW_IV_2019_REP_CALCULO_TRI[[#This Row],[Demanda-PRIVIGEN]]/VIEW_IV_2019_REP_CALCULO_TRI[[#This Row],[Cota-PRIVIGEN]],0)</f>
        <v>0.2283464566929134</v>
      </c>
      <c r="AC4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591.3487087478253</v>
      </c>
      <c r="AL4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4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6" s="102">
        <f>SUM(VIEW_IV_2019_REP_CALCULO_TRI[[#This Row],[Recuperavel-BERINERT]:[Recuperavel-PRIVIGEN]])</f>
        <v>0</v>
      </c>
    </row>
    <row r="47" spans="1:44" x14ac:dyDescent="0.25">
      <c r="A47" s="7" t="s">
        <v>16</v>
      </c>
      <c r="B47" s="7" t="s">
        <v>373</v>
      </c>
      <c r="C47" s="8" t="s">
        <v>1355</v>
      </c>
      <c r="D47" s="8" t="s">
        <v>1356</v>
      </c>
      <c r="E47" s="8" t="s">
        <v>556</v>
      </c>
      <c r="F47" s="8" t="s">
        <v>208</v>
      </c>
      <c r="G47" s="3" t="b">
        <v>1</v>
      </c>
      <c r="H47" s="3" t="b">
        <v>1</v>
      </c>
      <c r="I47" s="10">
        <v>44</v>
      </c>
      <c r="J47" s="10">
        <v>0</v>
      </c>
      <c r="K47" s="10">
        <v>0</v>
      </c>
      <c r="L47" s="10">
        <v>2052</v>
      </c>
      <c r="M47" s="10">
        <v>15240</v>
      </c>
      <c r="N47" s="10">
        <v>0</v>
      </c>
      <c r="O47" s="10">
        <v>0</v>
      </c>
      <c r="P47" s="10">
        <v>0</v>
      </c>
      <c r="Q47" s="10">
        <v>211</v>
      </c>
      <c r="R47" s="10">
        <v>11505</v>
      </c>
      <c r="S47" s="75">
        <v>0.1</v>
      </c>
      <c r="T47" s="75">
        <v>0</v>
      </c>
      <c r="U47" s="75">
        <v>0</v>
      </c>
      <c r="V47" s="75">
        <v>0.4</v>
      </c>
      <c r="W47" s="75">
        <v>0.2</v>
      </c>
      <c r="X47" s="75">
        <f>IFERROR(VIEW_IV_2019_REP_CALCULO_TRI[[#This Row],[Demanda-BERINERT]]/VIEW_IV_2019_REP_CALCULO_TRI[[#This Row],[Cota-BERINERT]],0)</f>
        <v>0</v>
      </c>
      <c r="Y47" s="75">
        <f>IFERROR(VIEW_IV_2019_REP_CALCULO_TRI[[#This Row],[Demanda-BERIPLEX]]/VIEW_IV_2019_REP_CALCULO_TRI[[#This Row],[Cota-BERIPLEX]],0)</f>
        <v>0</v>
      </c>
      <c r="Z47" s="75">
        <f>IFERROR(VIEW_IV_2019_REP_CALCULO_TRI[[#This Row],[Demanda-HAEMO]]/VIEW_IV_2019_REP_CALCULO_TRI[[#This Row],[Cota-HAEMO]],0)</f>
        <v>0</v>
      </c>
      <c r="AA47" s="75">
        <f>IFERROR(VIEW_IV_2019_REP_CALCULO_TRI[[#This Row],[Demanda-HIZENTRA]]/VIEW_IV_2019_REP_CALCULO_TRI[[#This Row],[Cota-HIZENTRA]],0)</f>
        <v>0.10282651072124756</v>
      </c>
      <c r="AB47" s="75">
        <f>IFERROR(VIEW_IV_2019_REP_CALCULO_TRI[[#This Row],[Demanda-PRIVIGEN]]/VIEW_IV_2019_REP_CALCULO_TRI[[#This Row],[Cota-PRIVIGEN]],0)</f>
        <v>0.75492125984251968</v>
      </c>
      <c r="AC4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M4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7" s="102">
        <f>SUM(VIEW_IV_2019_REP_CALCULO_TRI[[#This Row],[Recuperavel-BERINERT]:[Recuperavel-PRIVIGEN]])</f>
        <v>0</v>
      </c>
    </row>
    <row r="48" spans="1:44" x14ac:dyDescent="0.25">
      <c r="A48" s="7" t="s">
        <v>16</v>
      </c>
      <c r="B48" s="7" t="s">
        <v>373</v>
      </c>
      <c r="C48" s="8" t="s">
        <v>155</v>
      </c>
      <c r="D48" s="8" t="s">
        <v>156</v>
      </c>
      <c r="E48" s="8" t="s">
        <v>556</v>
      </c>
      <c r="F48" s="8" t="s">
        <v>206</v>
      </c>
      <c r="G48" s="3" t="b">
        <v>1</v>
      </c>
      <c r="H48" s="3" t="b">
        <v>1</v>
      </c>
      <c r="I48" s="10">
        <v>31</v>
      </c>
      <c r="J48" s="10">
        <v>0</v>
      </c>
      <c r="K48" s="10">
        <v>0</v>
      </c>
      <c r="L48" s="10">
        <v>3591</v>
      </c>
      <c r="M48" s="10">
        <v>22860</v>
      </c>
      <c r="N48" s="10">
        <v>0</v>
      </c>
      <c r="O48" s="10">
        <v>0</v>
      </c>
      <c r="P48" s="10">
        <v>0</v>
      </c>
      <c r="Q48" s="10">
        <v>901</v>
      </c>
      <c r="R48" s="10">
        <v>6640</v>
      </c>
      <c r="S48" s="75">
        <v>0.1</v>
      </c>
      <c r="T48" s="75">
        <v>0</v>
      </c>
      <c r="U48" s="75">
        <v>0</v>
      </c>
      <c r="V48" s="75">
        <v>0.4</v>
      </c>
      <c r="W48" s="75">
        <v>0.2</v>
      </c>
      <c r="X48" s="75">
        <f>IFERROR(VIEW_IV_2019_REP_CALCULO_TRI[[#This Row],[Demanda-BERINERT]]/VIEW_IV_2019_REP_CALCULO_TRI[[#This Row],[Cota-BERINERT]],0)</f>
        <v>0</v>
      </c>
      <c r="Y48" s="75">
        <f>IFERROR(VIEW_IV_2019_REP_CALCULO_TRI[[#This Row],[Demanda-BERIPLEX]]/VIEW_IV_2019_REP_CALCULO_TRI[[#This Row],[Cota-BERIPLEX]],0)</f>
        <v>0</v>
      </c>
      <c r="Z48" s="75">
        <f>IFERROR(VIEW_IV_2019_REP_CALCULO_TRI[[#This Row],[Demanda-HAEMO]]/VIEW_IV_2019_REP_CALCULO_TRI[[#This Row],[Cota-HAEMO]],0)</f>
        <v>0</v>
      </c>
      <c r="AA48" s="75">
        <f>IFERROR(VIEW_IV_2019_REP_CALCULO_TRI[[#This Row],[Demanda-HIZENTRA]]/VIEW_IV_2019_REP_CALCULO_TRI[[#This Row],[Cota-HIZENTRA]],0)</f>
        <v>0.25090504037872458</v>
      </c>
      <c r="AB48" s="75">
        <f>IFERROR(VIEW_IV_2019_REP_CALCULO_TRI[[#This Row],[Demanda-PRIVIGEN]]/VIEW_IV_2019_REP_CALCULO_TRI[[#This Row],[Cota-PRIVIGEN]],0)</f>
        <v>0.2904636920384952</v>
      </c>
      <c r="AC4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313.70327842110237</v>
      </c>
      <c r="AM4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8" s="102">
        <f>SUM(VIEW_IV_2019_REP_CALCULO_TRI[[#This Row],[Recuperavel-BERINERT]:[Recuperavel-PRIVIGEN]])</f>
        <v>0</v>
      </c>
    </row>
    <row r="49" spans="1:44" x14ac:dyDescent="0.25">
      <c r="A49" s="7" t="s">
        <v>16</v>
      </c>
      <c r="B49" s="7" t="s">
        <v>373</v>
      </c>
      <c r="C49" s="8" t="s">
        <v>161</v>
      </c>
      <c r="D49" s="8" t="s">
        <v>162</v>
      </c>
      <c r="E49" s="8" t="s">
        <v>556</v>
      </c>
      <c r="F49" s="8" t="s">
        <v>208</v>
      </c>
      <c r="G49" s="3" t="b">
        <v>1</v>
      </c>
      <c r="H49" s="3" t="b">
        <v>1</v>
      </c>
      <c r="I49" s="10">
        <v>44</v>
      </c>
      <c r="J49" s="10">
        <v>0</v>
      </c>
      <c r="K49" s="10">
        <v>0</v>
      </c>
      <c r="L49" s="10">
        <v>2052</v>
      </c>
      <c r="M49" s="10">
        <v>26670</v>
      </c>
      <c r="N49" s="10">
        <v>0</v>
      </c>
      <c r="O49" s="10">
        <v>0</v>
      </c>
      <c r="P49" s="10">
        <v>0</v>
      </c>
      <c r="Q49" s="10">
        <v>531</v>
      </c>
      <c r="R49" s="10">
        <v>6900</v>
      </c>
      <c r="S49" s="75">
        <v>0.1</v>
      </c>
      <c r="T49" s="75">
        <v>0</v>
      </c>
      <c r="U49" s="75">
        <v>0</v>
      </c>
      <c r="V49" s="75">
        <v>0.4</v>
      </c>
      <c r="W49" s="75">
        <v>0.2</v>
      </c>
      <c r="X49" s="75">
        <f>IFERROR(VIEW_IV_2019_REP_CALCULO_TRI[[#This Row],[Demanda-BERINERT]]/VIEW_IV_2019_REP_CALCULO_TRI[[#This Row],[Cota-BERINERT]],0)</f>
        <v>0</v>
      </c>
      <c r="Y49" s="75">
        <f>IFERROR(VIEW_IV_2019_REP_CALCULO_TRI[[#This Row],[Demanda-BERIPLEX]]/VIEW_IV_2019_REP_CALCULO_TRI[[#This Row],[Cota-BERIPLEX]],0)</f>
        <v>0</v>
      </c>
      <c r="Z49" s="75">
        <f>IFERROR(VIEW_IV_2019_REP_CALCULO_TRI[[#This Row],[Demanda-HAEMO]]/VIEW_IV_2019_REP_CALCULO_TRI[[#This Row],[Cota-HAEMO]],0)</f>
        <v>0</v>
      </c>
      <c r="AA49" s="75">
        <f>IFERROR(VIEW_IV_2019_REP_CALCULO_TRI[[#This Row],[Demanda-HIZENTRA]]/VIEW_IV_2019_REP_CALCULO_TRI[[#This Row],[Cota-HIZENTRA]],0)</f>
        <v>0.25877192982456143</v>
      </c>
      <c r="AB49" s="75">
        <f>IFERROR(VIEW_IV_2019_REP_CALCULO_TRI[[#This Row],[Demanda-PRIVIGEN]]/VIEW_IV_2019_REP_CALCULO_TRI[[#This Row],[Cota-PRIVIGEN]],0)</f>
        <v>0.25871766029246346</v>
      </c>
      <c r="AC4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4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4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4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4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4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4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4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4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4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4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4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4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4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4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49" s="102">
        <f>SUM(VIEW_IV_2019_REP_CALCULO_TRI[[#This Row],[Recuperavel-BERINERT]:[Recuperavel-PRIVIGEN]])</f>
        <v>0</v>
      </c>
    </row>
    <row r="50" spans="1:44" x14ac:dyDescent="0.25">
      <c r="A50" s="7" t="s">
        <v>16</v>
      </c>
      <c r="B50" s="7" t="s">
        <v>373</v>
      </c>
      <c r="C50" s="8" t="s">
        <v>175</v>
      </c>
      <c r="D50" s="8" t="s">
        <v>176</v>
      </c>
      <c r="E50" s="8" t="s">
        <v>556</v>
      </c>
      <c r="F50" s="8" t="s">
        <v>206</v>
      </c>
      <c r="G50" s="3" t="b">
        <v>1</v>
      </c>
      <c r="H50" s="3" t="b">
        <v>1</v>
      </c>
      <c r="I50" s="10">
        <v>110</v>
      </c>
      <c r="J50" s="10">
        <v>0</v>
      </c>
      <c r="K50" s="10">
        <v>0</v>
      </c>
      <c r="L50" s="10">
        <v>2223</v>
      </c>
      <c r="M50" s="10">
        <v>41910</v>
      </c>
      <c r="N50" s="10">
        <v>0</v>
      </c>
      <c r="O50" s="10">
        <v>0</v>
      </c>
      <c r="P50" s="10">
        <v>0</v>
      </c>
      <c r="Q50" s="10">
        <v>549</v>
      </c>
      <c r="R50" s="10">
        <v>10710</v>
      </c>
      <c r="S50" s="75">
        <v>0.1</v>
      </c>
      <c r="T50" s="75">
        <v>0</v>
      </c>
      <c r="U50" s="75">
        <v>0</v>
      </c>
      <c r="V50" s="75">
        <v>0.4</v>
      </c>
      <c r="W50" s="75">
        <v>0.2</v>
      </c>
      <c r="X50" s="75">
        <f>IFERROR(VIEW_IV_2019_REP_CALCULO_TRI[[#This Row],[Demanda-BERINERT]]/VIEW_IV_2019_REP_CALCULO_TRI[[#This Row],[Cota-BERINERT]],0)</f>
        <v>0</v>
      </c>
      <c r="Y50" s="75">
        <f>IFERROR(VIEW_IV_2019_REP_CALCULO_TRI[[#This Row],[Demanda-BERIPLEX]]/VIEW_IV_2019_REP_CALCULO_TRI[[#This Row],[Cota-BERIPLEX]],0)</f>
        <v>0</v>
      </c>
      <c r="Z50" s="75">
        <f>IFERROR(VIEW_IV_2019_REP_CALCULO_TRI[[#This Row],[Demanda-HAEMO]]/VIEW_IV_2019_REP_CALCULO_TRI[[#This Row],[Cota-HAEMO]],0)</f>
        <v>0</v>
      </c>
      <c r="AA50" s="75">
        <f>IFERROR(VIEW_IV_2019_REP_CALCULO_TRI[[#This Row],[Demanda-HIZENTRA]]/VIEW_IV_2019_REP_CALCULO_TRI[[#This Row],[Cota-HIZENTRA]],0)</f>
        <v>0.24696356275303644</v>
      </c>
      <c r="AB50" s="75">
        <f>IFERROR(VIEW_IV_2019_REP_CALCULO_TRI[[#This Row],[Demanda-PRIVIGEN]]/VIEW_IV_2019_REP_CALCULO_TRI[[#This Row],[Cota-PRIVIGEN]],0)</f>
        <v>0.25554760200429494</v>
      </c>
      <c r="AC5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0" s="102">
        <f>SUM(VIEW_IV_2019_REP_CALCULO_TRI[[#This Row],[Recuperavel-BERINERT]:[Recuperavel-PRIVIGEN]])</f>
        <v>0</v>
      </c>
    </row>
    <row r="51" spans="1:44" x14ac:dyDescent="0.25">
      <c r="A51" s="7" t="s">
        <v>16</v>
      </c>
      <c r="B51" s="7" t="s">
        <v>373</v>
      </c>
      <c r="C51" s="8" t="s">
        <v>199</v>
      </c>
      <c r="D51" s="8" t="s">
        <v>200</v>
      </c>
      <c r="E51" s="8" t="s">
        <v>556</v>
      </c>
      <c r="F51" s="8" t="s">
        <v>212</v>
      </c>
      <c r="G51" s="3" t="b">
        <v>1</v>
      </c>
      <c r="H51" s="3" t="b">
        <v>1</v>
      </c>
      <c r="I51" s="10">
        <v>110</v>
      </c>
      <c r="J51" s="10">
        <v>0</v>
      </c>
      <c r="K51" s="10">
        <v>0</v>
      </c>
      <c r="L51" s="10">
        <v>2052</v>
      </c>
      <c r="M51" s="10">
        <v>28575</v>
      </c>
      <c r="N51" s="10">
        <v>16</v>
      </c>
      <c r="O51" s="10">
        <v>0</v>
      </c>
      <c r="P51" s="10">
        <v>0</v>
      </c>
      <c r="Q51" s="10">
        <v>642</v>
      </c>
      <c r="R51" s="10">
        <v>3440</v>
      </c>
      <c r="S51" s="75">
        <v>0.1</v>
      </c>
      <c r="T51" s="75">
        <v>0</v>
      </c>
      <c r="U51" s="75">
        <v>0</v>
      </c>
      <c r="V51" s="75">
        <v>0.4</v>
      </c>
      <c r="W51" s="75">
        <v>0.2</v>
      </c>
      <c r="X51" s="75">
        <f>IFERROR(VIEW_IV_2019_REP_CALCULO_TRI[[#This Row],[Demanda-BERINERT]]/VIEW_IV_2019_REP_CALCULO_TRI[[#This Row],[Cota-BERINERT]],0)</f>
        <v>0.14545454545454545</v>
      </c>
      <c r="Y51" s="75">
        <f>IFERROR(VIEW_IV_2019_REP_CALCULO_TRI[[#This Row],[Demanda-BERIPLEX]]/VIEW_IV_2019_REP_CALCULO_TRI[[#This Row],[Cota-BERIPLEX]],0)</f>
        <v>0</v>
      </c>
      <c r="Z51" s="75">
        <f>IFERROR(VIEW_IV_2019_REP_CALCULO_TRI[[#This Row],[Demanda-HAEMO]]/VIEW_IV_2019_REP_CALCULO_TRI[[#This Row],[Cota-HAEMO]],0)</f>
        <v>0</v>
      </c>
      <c r="AA51" s="75">
        <f>IFERROR(VIEW_IV_2019_REP_CALCULO_TRI[[#This Row],[Demanda-HIZENTRA]]/VIEW_IV_2019_REP_CALCULO_TRI[[#This Row],[Cota-HIZENTRA]],0)</f>
        <v>0.3128654970760234</v>
      </c>
      <c r="AB51" s="75">
        <f>IFERROR(VIEW_IV_2019_REP_CALCULO_TRI[[#This Row],[Demanda-PRIVIGEN]]/VIEW_IV_2019_REP_CALCULO_TRI[[#This Row],[Cota-PRIVIGEN]],0)</f>
        <v>0.12038495188101488</v>
      </c>
      <c r="AC5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144.23139237751838</v>
      </c>
      <c r="AI5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1016.831316261505</v>
      </c>
      <c r="AL5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1" s="102">
        <f>SUM(VIEW_IV_2019_REP_CALCULO_TRI[[#This Row],[Recuperavel-BERINERT]:[Recuperavel-PRIVIGEN]])</f>
        <v>0</v>
      </c>
    </row>
    <row r="52" spans="1:44" x14ac:dyDescent="0.25">
      <c r="A52" s="7" t="s">
        <v>16</v>
      </c>
      <c r="B52" s="7" t="s">
        <v>373</v>
      </c>
      <c r="C52" s="8" t="s">
        <v>144</v>
      </c>
      <c r="D52" s="8" t="s">
        <v>145</v>
      </c>
      <c r="E52" s="8" t="s">
        <v>557</v>
      </c>
      <c r="F52" s="8" t="s">
        <v>206</v>
      </c>
      <c r="G52" s="3" t="b">
        <v>1</v>
      </c>
      <c r="H52" s="3" t="b">
        <v>1</v>
      </c>
      <c r="I52" s="10">
        <v>0</v>
      </c>
      <c r="J52" s="10">
        <v>342</v>
      </c>
      <c r="K52" s="10">
        <v>430</v>
      </c>
      <c r="L52" s="10">
        <v>0</v>
      </c>
      <c r="M52" s="10">
        <v>11430</v>
      </c>
      <c r="N52" s="10">
        <v>0</v>
      </c>
      <c r="O52" s="10">
        <v>62</v>
      </c>
      <c r="P52" s="10">
        <v>25</v>
      </c>
      <c r="Q52" s="10">
        <v>0</v>
      </c>
      <c r="R52" s="10">
        <v>968</v>
      </c>
      <c r="S52" s="75">
        <v>0</v>
      </c>
      <c r="T52" s="75">
        <v>0.25</v>
      </c>
      <c r="U52" s="75">
        <v>0.25</v>
      </c>
      <c r="V52" s="75">
        <v>0</v>
      </c>
      <c r="W52" s="75">
        <v>0.2</v>
      </c>
      <c r="X52" s="75">
        <f>IFERROR(VIEW_IV_2019_REP_CALCULO_TRI[[#This Row],[Demanda-BERINERT]]/VIEW_IV_2019_REP_CALCULO_TRI[[#This Row],[Cota-BERINERT]],0)</f>
        <v>0</v>
      </c>
      <c r="Y52" s="75">
        <f>IFERROR(VIEW_IV_2019_REP_CALCULO_TRI[[#This Row],[Demanda-BERIPLEX]]/VIEW_IV_2019_REP_CALCULO_TRI[[#This Row],[Cota-BERIPLEX]],0)</f>
        <v>0.18128654970760233</v>
      </c>
      <c r="Z52" s="75">
        <f>IFERROR(VIEW_IV_2019_REP_CALCULO_TRI[[#This Row],[Demanda-HAEMO]]/VIEW_IV_2019_REP_CALCULO_TRI[[#This Row],[Cota-HAEMO]],0)</f>
        <v>5.8139534883720929E-2</v>
      </c>
      <c r="AA52" s="75">
        <f>IFERROR(VIEW_IV_2019_REP_CALCULO_TRI[[#This Row],[Demanda-HIZENTRA]]/VIEW_IV_2019_REP_CALCULO_TRI[[#This Row],[Cota-HIZENTRA]],0)</f>
        <v>0</v>
      </c>
      <c r="AB52" s="75">
        <f>IFERROR(VIEW_IV_2019_REP_CALCULO_TRI[[#This Row],[Demanda-PRIVIGEN]]/VIEW_IV_2019_REP_CALCULO_TRI[[#This Row],[Cota-PRIVIGEN]],0)</f>
        <v>8.4689413823272094E-2</v>
      </c>
      <c r="AC5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2" s="102">
        <f>SUM(VIEW_IV_2019_REP_CALCULO_TRI[[#This Row],[Recuperavel-BERINERT]:[Recuperavel-PRIVIGEN]])</f>
        <v>0</v>
      </c>
    </row>
    <row r="53" spans="1:44" x14ac:dyDescent="0.25">
      <c r="A53" s="7" t="s">
        <v>16</v>
      </c>
      <c r="B53" s="7" t="s">
        <v>373</v>
      </c>
      <c r="C53" s="8" t="s">
        <v>147</v>
      </c>
      <c r="D53" s="8" t="s">
        <v>148</v>
      </c>
      <c r="E53" s="8" t="s">
        <v>557</v>
      </c>
      <c r="F53" s="8" t="s">
        <v>208</v>
      </c>
      <c r="G53" s="3" t="b">
        <v>1</v>
      </c>
      <c r="H53" s="3" t="b">
        <v>1</v>
      </c>
      <c r="I53" s="10">
        <v>0</v>
      </c>
      <c r="J53" s="10">
        <v>399</v>
      </c>
      <c r="K53" s="10">
        <v>516</v>
      </c>
      <c r="L53" s="10">
        <v>0</v>
      </c>
      <c r="M53" s="10">
        <v>15240</v>
      </c>
      <c r="N53" s="10">
        <v>0</v>
      </c>
      <c r="O53" s="10">
        <v>199</v>
      </c>
      <c r="P53" s="10">
        <v>211</v>
      </c>
      <c r="Q53" s="10">
        <v>0</v>
      </c>
      <c r="R53" s="10">
        <v>6120</v>
      </c>
      <c r="S53" s="75">
        <v>0</v>
      </c>
      <c r="T53" s="75">
        <v>0.25</v>
      </c>
      <c r="U53" s="75">
        <v>0.25</v>
      </c>
      <c r="V53" s="75">
        <v>0</v>
      </c>
      <c r="W53" s="75">
        <v>0.2</v>
      </c>
      <c r="X53" s="75">
        <f>IFERROR(VIEW_IV_2019_REP_CALCULO_TRI[[#This Row],[Demanda-BERINERT]]/VIEW_IV_2019_REP_CALCULO_TRI[[#This Row],[Cota-BERINERT]],0)</f>
        <v>0</v>
      </c>
      <c r="Y53" s="75">
        <f>IFERROR(VIEW_IV_2019_REP_CALCULO_TRI[[#This Row],[Demanda-BERIPLEX]]/VIEW_IV_2019_REP_CALCULO_TRI[[#This Row],[Cota-BERIPLEX]],0)</f>
        <v>0.49874686716791977</v>
      </c>
      <c r="Z53" s="75">
        <f>IFERROR(VIEW_IV_2019_REP_CALCULO_TRI[[#This Row],[Demanda-HAEMO]]/VIEW_IV_2019_REP_CALCULO_TRI[[#This Row],[Cota-HAEMO]],0)</f>
        <v>0.40891472868217055</v>
      </c>
      <c r="AA53" s="75">
        <f>IFERROR(VIEW_IV_2019_REP_CALCULO_TRI[[#This Row],[Demanda-HIZENTRA]]/VIEW_IV_2019_REP_CALCULO_TRI[[#This Row],[Cota-HIZENTRA]],0)</f>
        <v>0</v>
      </c>
      <c r="AB53" s="75">
        <f>IFERROR(VIEW_IV_2019_REP_CALCULO_TRI[[#This Row],[Demanda-PRIVIGEN]]/VIEW_IV_2019_REP_CALCULO_TRI[[#This Row],[Cota-PRIVIGEN]],0)</f>
        <v>0.40157480314960631</v>
      </c>
      <c r="AC5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J5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1820.6508949054671</v>
      </c>
      <c r="AK5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1294.9094407653622</v>
      </c>
      <c r="AM5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3" s="102">
        <f>SUM(VIEW_IV_2019_REP_CALCULO_TRI[[#This Row],[Recuperavel-BERINERT]:[Recuperavel-PRIVIGEN]])</f>
        <v>0</v>
      </c>
    </row>
    <row r="54" spans="1:44" x14ac:dyDescent="0.25">
      <c r="A54" s="7" t="s">
        <v>16</v>
      </c>
      <c r="B54" s="7" t="s">
        <v>373</v>
      </c>
      <c r="C54" s="8" t="s">
        <v>149</v>
      </c>
      <c r="D54" s="8" t="s">
        <v>150</v>
      </c>
      <c r="E54" s="8" t="s">
        <v>557</v>
      </c>
      <c r="F54" s="8" t="s">
        <v>208</v>
      </c>
      <c r="G54" s="3" t="b">
        <v>1</v>
      </c>
      <c r="H54" s="3" t="b">
        <v>1</v>
      </c>
      <c r="I54" s="10">
        <v>0</v>
      </c>
      <c r="J54" s="10">
        <v>342</v>
      </c>
      <c r="K54" s="10">
        <v>215</v>
      </c>
      <c r="L54" s="10">
        <v>0</v>
      </c>
      <c r="M54" s="10">
        <v>26670</v>
      </c>
      <c r="N54" s="10">
        <v>0</v>
      </c>
      <c r="O54" s="10">
        <v>24</v>
      </c>
      <c r="P54" s="10">
        <v>8</v>
      </c>
      <c r="Q54" s="10">
        <v>0</v>
      </c>
      <c r="R54" s="10">
        <v>5655</v>
      </c>
      <c r="S54" s="75">
        <v>0</v>
      </c>
      <c r="T54" s="75">
        <v>0.25</v>
      </c>
      <c r="U54" s="75">
        <v>0.25</v>
      </c>
      <c r="V54" s="75">
        <v>0</v>
      </c>
      <c r="W54" s="75">
        <v>0.2</v>
      </c>
      <c r="X54" s="75">
        <f>IFERROR(VIEW_IV_2019_REP_CALCULO_TRI[[#This Row],[Demanda-BERINERT]]/VIEW_IV_2019_REP_CALCULO_TRI[[#This Row],[Cota-BERINERT]],0)</f>
        <v>0</v>
      </c>
      <c r="Y54" s="75">
        <f>IFERROR(VIEW_IV_2019_REP_CALCULO_TRI[[#This Row],[Demanda-BERIPLEX]]/VIEW_IV_2019_REP_CALCULO_TRI[[#This Row],[Cota-BERIPLEX]],0)</f>
        <v>7.0175438596491224E-2</v>
      </c>
      <c r="Z54" s="75">
        <f>IFERROR(VIEW_IV_2019_REP_CALCULO_TRI[[#This Row],[Demanda-HAEMO]]/VIEW_IV_2019_REP_CALCULO_TRI[[#This Row],[Cota-HAEMO]],0)</f>
        <v>3.7209302325581395E-2</v>
      </c>
      <c r="AA54" s="75">
        <f>IFERROR(VIEW_IV_2019_REP_CALCULO_TRI[[#This Row],[Demanda-HIZENTRA]]/VIEW_IV_2019_REP_CALCULO_TRI[[#This Row],[Cota-HIZENTRA]],0)</f>
        <v>0</v>
      </c>
      <c r="AB54" s="75">
        <f>IFERROR(VIEW_IV_2019_REP_CALCULO_TRI[[#This Row],[Demanda-PRIVIGEN]]/VIEW_IV_2019_REP_CALCULO_TRI[[#This Row],[Cota-PRIVIGEN]],0)</f>
        <v>0.21203599550056243</v>
      </c>
      <c r="AC5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4" s="102">
        <f>SUM(VIEW_IV_2019_REP_CALCULO_TRI[[#This Row],[Recuperavel-BERINERT]:[Recuperavel-PRIVIGEN]])</f>
        <v>0</v>
      </c>
    </row>
    <row r="55" spans="1:44" x14ac:dyDescent="0.25">
      <c r="A55" s="7" t="s">
        <v>16</v>
      </c>
      <c r="B55" s="7" t="s">
        <v>373</v>
      </c>
      <c r="C55" s="8" t="s">
        <v>157</v>
      </c>
      <c r="D55" s="8" t="s">
        <v>158</v>
      </c>
      <c r="E55" s="8" t="s">
        <v>557</v>
      </c>
      <c r="F55" s="8" t="s">
        <v>206</v>
      </c>
      <c r="G55" s="3" t="b">
        <v>1</v>
      </c>
      <c r="H55" s="3" t="b">
        <v>1</v>
      </c>
      <c r="I55" s="10">
        <v>0</v>
      </c>
      <c r="J55" s="10">
        <v>228</v>
      </c>
      <c r="K55" s="10">
        <v>172</v>
      </c>
      <c r="L55" s="10">
        <v>0</v>
      </c>
      <c r="M55" s="10">
        <v>30480</v>
      </c>
      <c r="N55" s="10">
        <v>0</v>
      </c>
      <c r="O55" s="10">
        <v>18</v>
      </c>
      <c r="P55" s="10">
        <v>9</v>
      </c>
      <c r="Q55" s="10">
        <v>0</v>
      </c>
      <c r="R55" s="10">
        <v>9742</v>
      </c>
      <c r="S55" s="75">
        <v>0</v>
      </c>
      <c r="T55" s="75">
        <v>0.25</v>
      </c>
      <c r="U55" s="75">
        <v>0.25</v>
      </c>
      <c r="V55" s="75">
        <v>0</v>
      </c>
      <c r="W55" s="75">
        <v>0.2</v>
      </c>
      <c r="X55" s="75">
        <f>IFERROR(VIEW_IV_2019_REP_CALCULO_TRI[[#This Row],[Demanda-BERINERT]]/VIEW_IV_2019_REP_CALCULO_TRI[[#This Row],[Cota-BERINERT]],0)</f>
        <v>0</v>
      </c>
      <c r="Y55" s="75">
        <f>IFERROR(VIEW_IV_2019_REP_CALCULO_TRI[[#This Row],[Demanda-BERIPLEX]]/VIEW_IV_2019_REP_CALCULO_TRI[[#This Row],[Cota-BERIPLEX]],0)</f>
        <v>7.8947368421052627E-2</v>
      </c>
      <c r="Z55" s="75">
        <f>IFERROR(VIEW_IV_2019_REP_CALCULO_TRI[[#This Row],[Demanda-HAEMO]]/VIEW_IV_2019_REP_CALCULO_TRI[[#This Row],[Cota-HAEMO]],0)</f>
        <v>5.232558139534884E-2</v>
      </c>
      <c r="AA55" s="75">
        <f>IFERROR(VIEW_IV_2019_REP_CALCULO_TRI[[#This Row],[Demanda-HIZENTRA]]/VIEW_IV_2019_REP_CALCULO_TRI[[#This Row],[Cota-HIZENTRA]],0)</f>
        <v>0</v>
      </c>
      <c r="AB55" s="75">
        <f>IFERROR(VIEW_IV_2019_REP_CALCULO_TRI[[#This Row],[Demanda-PRIVIGEN]]/VIEW_IV_2019_REP_CALCULO_TRI[[#This Row],[Cota-PRIVIGEN]],0)</f>
        <v>0.31961942257217846</v>
      </c>
      <c r="AC5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519.23301255906665</v>
      </c>
      <c r="AM5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5" s="102">
        <f>SUM(VIEW_IV_2019_REP_CALCULO_TRI[[#This Row],[Recuperavel-BERINERT]:[Recuperavel-PRIVIGEN]])</f>
        <v>0</v>
      </c>
    </row>
    <row r="56" spans="1:44" x14ac:dyDescent="0.25">
      <c r="A56" s="7" t="s">
        <v>16</v>
      </c>
      <c r="B56" s="7" t="s">
        <v>373</v>
      </c>
      <c r="C56" s="8" t="s">
        <v>163</v>
      </c>
      <c r="D56" s="8" t="s">
        <v>164</v>
      </c>
      <c r="E56" s="8" t="s">
        <v>557</v>
      </c>
      <c r="F56" s="8" t="s">
        <v>212</v>
      </c>
      <c r="G56" s="3" t="b">
        <v>1</v>
      </c>
      <c r="H56" s="3" t="b">
        <v>1</v>
      </c>
      <c r="I56" s="10">
        <v>0</v>
      </c>
      <c r="J56" s="10">
        <v>627</v>
      </c>
      <c r="K56" s="10">
        <v>301</v>
      </c>
      <c r="L56" s="10">
        <v>0</v>
      </c>
      <c r="M56" s="10">
        <v>13335</v>
      </c>
      <c r="N56" s="10">
        <v>0</v>
      </c>
      <c r="O56" s="10">
        <v>158</v>
      </c>
      <c r="P56" s="10">
        <v>32</v>
      </c>
      <c r="Q56" s="10">
        <v>0</v>
      </c>
      <c r="R56" s="10">
        <v>7255</v>
      </c>
      <c r="S56" s="75">
        <v>0</v>
      </c>
      <c r="T56" s="75">
        <v>0.25</v>
      </c>
      <c r="U56" s="75">
        <v>0.25</v>
      </c>
      <c r="V56" s="75">
        <v>0</v>
      </c>
      <c r="W56" s="75">
        <v>0.2</v>
      </c>
      <c r="X56" s="75">
        <f>IFERROR(VIEW_IV_2019_REP_CALCULO_TRI[[#This Row],[Demanda-BERINERT]]/VIEW_IV_2019_REP_CALCULO_TRI[[#This Row],[Cota-BERINERT]],0)</f>
        <v>0</v>
      </c>
      <c r="Y56" s="75">
        <f>IFERROR(VIEW_IV_2019_REP_CALCULO_TRI[[#This Row],[Demanda-BERIPLEX]]/VIEW_IV_2019_REP_CALCULO_TRI[[#This Row],[Cota-BERIPLEX]],0)</f>
        <v>0.25199362041467305</v>
      </c>
      <c r="Z56" s="75">
        <f>IFERROR(VIEW_IV_2019_REP_CALCULO_TRI[[#This Row],[Demanda-HAEMO]]/VIEW_IV_2019_REP_CALCULO_TRI[[#This Row],[Cota-HAEMO]],0)</f>
        <v>0.10631229235880399</v>
      </c>
      <c r="AA56" s="75">
        <f>IFERROR(VIEW_IV_2019_REP_CALCULO_TRI[[#This Row],[Demanda-HIZENTRA]]/VIEW_IV_2019_REP_CALCULO_TRI[[#This Row],[Cota-HIZENTRA]],0)</f>
        <v>0</v>
      </c>
      <c r="AB56" s="75">
        <f>IFERROR(VIEW_IV_2019_REP_CALCULO_TRI[[#This Row],[Demanda-PRIVIGEN]]/VIEW_IV_2019_REP_CALCULO_TRI[[#This Row],[Cota-PRIVIGEN]],0)</f>
        <v>0.54405699287589049</v>
      </c>
      <c r="AC5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378.60740499098563</v>
      </c>
      <c r="AJ5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1629.8147338659624</v>
      </c>
      <c r="AM5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6" s="102">
        <f>SUM(VIEW_IV_2019_REP_CALCULO_TRI[[#This Row],[Recuperavel-BERINERT]:[Recuperavel-PRIVIGEN]])</f>
        <v>0</v>
      </c>
    </row>
    <row r="57" spans="1:44" x14ac:dyDescent="0.25">
      <c r="A57" s="7" t="s">
        <v>16</v>
      </c>
      <c r="B57" s="7" t="s">
        <v>373</v>
      </c>
      <c r="C57" s="8" t="s">
        <v>165</v>
      </c>
      <c r="D57" s="8" t="s">
        <v>166</v>
      </c>
      <c r="E57" s="8" t="s">
        <v>557</v>
      </c>
      <c r="F57" s="8" t="s">
        <v>212</v>
      </c>
      <c r="G57" s="3" t="b">
        <v>1</v>
      </c>
      <c r="H57" s="3" t="b">
        <v>1</v>
      </c>
      <c r="I57" s="10">
        <v>0</v>
      </c>
      <c r="J57" s="10">
        <v>513</v>
      </c>
      <c r="K57" s="10">
        <v>473</v>
      </c>
      <c r="L57" s="10">
        <v>0</v>
      </c>
      <c r="M57" s="10">
        <v>7620</v>
      </c>
      <c r="N57" s="10">
        <v>0</v>
      </c>
      <c r="O57" s="10">
        <v>75</v>
      </c>
      <c r="P57" s="10">
        <v>151</v>
      </c>
      <c r="Q57" s="10">
        <v>0</v>
      </c>
      <c r="R57" s="10">
        <v>1115</v>
      </c>
      <c r="S57" s="75">
        <v>0</v>
      </c>
      <c r="T57" s="75">
        <v>0.25</v>
      </c>
      <c r="U57" s="75">
        <v>0.25</v>
      </c>
      <c r="V57" s="75">
        <v>0</v>
      </c>
      <c r="W57" s="75">
        <v>0.2</v>
      </c>
      <c r="X57" s="75">
        <f>IFERROR(VIEW_IV_2019_REP_CALCULO_TRI[[#This Row],[Demanda-BERINERT]]/VIEW_IV_2019_REP_CALCULO_TRI[[#This Row],[Cota-BERINERT]],0)</f>
        <v>0</v>
      </c>
      <c r="Y57" s="75">
        <f>IFERROR(VIEW_IV_2019_REP_CALCULO_TRI[[#This Row],[Demanda-BERIPLEX]]/VIEW_IV_2019_REP_CALCULO_TRI[[#This Row],[Cota-BERIPLEX]],0)</f>
        <v>0.14619883040935672</v>
      </c>
      <c r="Z57" s="75">
        <f>IFERROR(VIEW_IV_2019_REP_CALCULO_TRI[[#This Row],[Demanda-HAEMO]]/VIEW_IV_2019_REP_CALCULO_TRI[[#This Row],[Cota-HAEMO]],0)</f>
        <v>0.31923890063424948</v>
      </c>
      <c r="AA57" s="75">
        <f>IFERROR(VIEW_IV_2019_REP_CALCULO_TRI[[#This Row],[Demanda-HIZENTRA]]/VIEW_IV_2019_REP_CALCULO_TRI[[#This Row],[Cota-HIZENTRA]],0)</f>
        <v>0</v>
      </c>
      <c r="AB57" s="75">
        <f>IFERROR(VIEW_IV_2019_REP_CALCULO_TRI[[#This Row],[Demanda-PRIVIGEN]]/VIEW_IV_2019_REP_CALCULO_TRI[[#This Row],[Cota-PRIVIGEN]],0)</f>
        <v>0.14632545931758531</v>
      </c>
      <c r="AC5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5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950.12429728690256</v>
      </c>
      <c r="AK5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7" s="102">
        <f>SUM(VIEW_IV_2019_REP_CALCULO_TRI[[#This Row],[Recuperavel-BERINERT]:[Recuperavel-PRIVIGEN]])</f>
        <v>0</v>
      </c>
    </row>
    <row r="58" spans="1:44" x14ac:dyDescent="0.25">
      <c r="A58" s="7" t="s">
        <v>16</v>
      </c>
      <c r="B58" s="7" t="s">
        <v>373</v>
      </c>
      <c r="C58" s="8" t="s">
        <v>167</v>
      </c>
      <c r="D58" s="8" t="s">
        <v>168</v>
      </c>
      <c r="E58" s="8" t="s">
        <v>557</v>
      </c>
      <c r="F58" s="8" t="s">
        <v>212</v>
      </c>
      <c r="G58" s="3" t="b">
        <v>1</v>
      </c>
      <c r="H58" s="3" t="b">
        <v>1</v>
      </c>
      <c r="I58" s="10">
        <v>0</v>
      </c>
      <c r="J58" s="10">
        <v>456</v>
      </c>
      <c r="K58" s="10">
        <v>301</v>
      </c>
      <c r="L58" s="10">
        <v>0</v>
      </c>
      <c r="M58" s="10">
        <v>13335</v>
      </c>
      <c r="N58" s="10">
        <v>0</v>
      </c>
      <c r="O58" s="10">
        <v>193</v>
      </c>
      <c r="P58" s="10">
        <v>104</v>
      </c>
      <c r="Q58" s="10">
        <v>0</v>
      </c>
      <c r="R58" s="10">
        <v>2150</v>
      </c>
      <c r="S58" s="75">
        <v>0</v>
      </c>
      <c r="T58" s="75">
        <v>0.25</v>
      </c>
      <c r="U58" s="75">
        <v>0.25</v>
      </c>
      <c r="V58" s="75">
        <v>0</v>
      </c>
      <c r="W58" s="75">
        <v>0.2</v>
      </c>
      <c r="X58" s="75">
        <f>IFERROR(VIEW_IV_2019_REP_CALCULO_TRI[[#This Row],[Demanda-BERINERT]]/VIEW_IV_2019_REP_CALCULO_TRI[[#This Row],[Cota-BERINERT]],0)</f>
        <v>0</v>
      </c>
      <c r="Y58" s="75">
        <f>IFERROR(VIEW_IV_2019_REP_CALCULO_TRI[[#This Row],[Demanda-BERIPLEX]]/VIEW_IV_2019_REP_CALCULO_TRI[[#This Row],[Cota-BERIPLEX]],0)</f>
        <v>0.4232456140350877</v>
      </c>
      <c r="Z58" s="75">
        <f>IFERROR(VIEW_IV_2019_REP_CALCULO_TRI[[#This Row],[Demanda-HAEMO]]/VIEW_IV_2019_REP_CALCULO_TRI[[#This Row],[Cota-HAEMO]],0)</f>
        <v>0.34551495016611294</v>
      </c>
      <c r="AA58" s="75">
        <f>IFERROR(VIEW_IV_2019_REP_CALCULO_TRI[[#This Row],[Demanda-HIZENTRA]]/VIEW_IV_2019_REP_CALCULO_TRI[[#This Row],[Cota-HIZENTRA]],0)</f>
        <v>0</v>
      </c>
      <c r="AB58" s="75">
        <f>IFERROR(VIEW_IV_2019_REP_CALCULO_TRI[[#This Row],[Demanda-PRIVIGEN]]/VIEW_IV_2019_REP_CALCULO_TRI[[#This Row],[Cota-PRIVIGEN]],0)</f>
        <v>0.16122984626921635</v>
      </c>
      <c r="AC5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1921.9013323544837</v>
      </c>
      <c r="AJ5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1292.4935649430388</v>
      </c>
      <c r="AK5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8" s="102">
        <f>SUM(VIEW_IV_2019_REP_CALCULO_TRI[[#This Row],[Recuperavel-BERINERT]:[Recuperavel-PRIVIGEN]])</f>
        <v>0</v>
      </c>
    </row>
    <row r="59" spans="1:44" x14ac:dyDescent="0.25">
      <c r="A59" s="7" t="s">
        <v>16</v>
      </c>
      <c r="B59" s="7" t="s">
        <v>373</v>
      </c>
      <c r="C59" s="8" t="s">
        <v>169</v>
      </c>
      <c r="D59" s="8" t="s">
        <v>170</v>
      </c>
      <c r="E59" s="8" t="s">
        <v>557</v>
      </c>
      <c r="F59" s="8" t="s">
        <v>212</v>
      </c>
      <c r="G59" s="3" t="b">
        <v>1</v>
      </c>
      <c r="H59" s="3" t="b">
        <v>1</v>
      </c>
      <c r="I59" s="10">
        <v>0</v>
      </c>
      <c r="J59" s="10">
        <v>570</v>
      </c>
      <c r="K59" s="10">
        <v>172</v>
      </c>
      <c r="L59" s="10">
        <v>0</v>
      </c>
      <c r="M59" s="10">
        <v>7620</v>
      </c>
      <c r="N59" s="10">
        <v>0</v>
      </c>
      <c r="O59" s="10">
        <v>139</v>
      </c>
      <c r="P59" s="10">
        <v>8</v>
      </c>
      <c r="Q59" s="10">
        <v>0</v>
      </c>
      <c r="R59" s="10">
        <v>985</v>
      </c>
      <c r="S59" s="75">
        <v>0</v>
      </c>
      <c r="T59" s="75">
        <v>0.25</v>
      </c>
      <c r="U59" s="75">
        <v>0.25</v>
      </c>
      <c r="V59" s="75">
        <v>0</v>
      </c>
      <c r="W59" s="75">
        <v>0.2</v>
      </c>
      <c r="X59" s="75">
        <f>IFERROR(VIEW_IV_2019_REP_CALCULO_TRI[[#This Row],[Demanda-BERINERT]]/VIEW_IV_2019_REP_CALCULO_TRI[[#This Row],[Cota-BERINERT]],0)</f>
        <v>0</v>
      </c>
      <c r="Y59" s="75">
        <f>IFERROR(VIEW_IV_2019_REP_CALCULO_TRI[[#This Row],[Demanda-BERIPLEX]]/VIEW_IV_2019_REP_CALCULO_TRI[[#This Row],[Cota-BERIPLEX]],0)</f>
        <v>0.24385964912280703</v>
      </c>
      <c r="Z59" s="75">
        <f>IFERROR(VIEW_IV_2019_REP_CALCULO_TRI[[#This Row],[Demanda-HAEMO]]/VIEW_IV_2019_REP_CALCULO_TRI[[#This Row],[Cota-HAEMO]],0)</f>
        <v>4.6511627906976744E-2</v>
      </c>
      <c r="AA59" s="75">
        <f>IFERROR(VIEW_IV_2019_REP_CALCULO_TRI[[#This Row],[Demanda-HIZENTRA]]/VIEW_IV_2019_REP_CALCULO_TRI[[#This Row],[Cota-HIZENTRA]],0)</f>
        <v>0</v>
      </c>
      <c r="AB59" s="75">
        <f>IFERROR(VIEW_IV_2019_REP_CALCULO_TRI[[#This Row],[Demanda-PRIVIGEN]]/VIEW_IV_2019_REP_CALCULO_TRI[[#This Row],[Cota-PRIVIGEN]],0)</f>
        <v>0.12926509186351706</v>
      </c>
      <c r="AC5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5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5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5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5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5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5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369.5929429673908</v>
      </c>
      <c r="AJ5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5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5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5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5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5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5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5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59" s="102">
        <f>SUM(VIEW_IV_2019_REP_CALCULO_TRI[[#This Row],[Recuperavel-BERINERT]:[Recuperavel-PRIVIGEN]])</f>
        <v>0</v>
      </c>
    </row>
    <row r="60" spans="1:44" x14ac:dyDescent="0.25">
      <c r="A60" s="7" t="s">
        <v>16</v>
      </c>
      <c r="B60" s="7" t="s">
        <v>373</v>
      </c>
      <c r="C60" s="8" t="s">
        <v>173</v>
      </c>
      <c r="D60" s="8" t="s">
        <v>174</v>
      </c>
      <c r="E60" s="8" t="s">
        <v>557</v>
      </c>
      <c r="F60" s="8" t="s">
        <v>206</v>
      </c>
      <c r="G60" s="3" t="b">
        <v>1</v>
      </c>
      <c r="H60" s="3" t="b">
        <v>1</v>
      </c>
      <c r="I60" s="10">
        <v>0</v>
      </c>
      <c r="J60" s="10">
        <v>342</v>
      </c>
      <c r="K60" s="10">
        <v>258</v>
      </c>
      <c r="L60" s="10">
        <v>0</v>
      </c>
      <c r="M60" s="10">
        <v>11430</v>
      </c>
      <c r="N60" s="10">
        <v>0</v>
      </c>
      <c r="O60" s="10">
        <v>182</v>
      </c>
      <c r="P60" s="10">
        <v>181</v>
      </c>
      <c r="Q60" s="10">
        <v>0</v>
      </c>
      <c r="R60" s="10">
        <v>2515</v>
      </c>
      <c r="S60" s="75">
        <v>0</v>
      </c>
      <c r="T60" s="75">
        <v>0.25</v>
      </c>
      <c r="U60" s="75">
        <v>0.25</v>
      </c>
      <c r="V60" s="75">
        <v>0</v>
      </c>
      <c r="W60" s="75">
        <v>0.2</v>
      </c>
      <c r="X60" s="75">
        <f>IFERROR(VIEW_IV_2019_REP_CALCULO_TRI[[#This Row],[Demanda-BERINERT]]/VIEW_IV_2019_REP_CALCULO_TRI[[#This Row],[Cota-BERINERT]],0)</f>
        <v>0</v>
      </c>
      <c r="Y60" s="75">
        <f>IFERROR(VIEW_IV_2019_REP_CALCULO_TRI[[#This Row],[Demanda-BERIPLEX]]/VIEW_IV_2019_REP_CALCULO_TRI[[#This Row],[Cota-BERIPLEX]],0)</f>
        <v>0.53216374269005851</v>
      </c>
      <c r="Z60" s="75">
        <f>IFERROR(VIEW_IV_2019_REP_CALCULO_TRI[[#This Row],[Demanda-HAEMO]]/VIEW_IV_2019_REP_CALCULO_TRI[[#This Row],[Cota-HAEMO]],0)</f>
        <v>0.70155038759689925</v>
      </c>
      <c r="AA60" s="75">
        <f>IFERROR(VIEW_IV_2019_REP_CALCULO_TRI[[#This Row],[Demanda-HIZENTRA]]/VIEW_IV_2019_REP_CALCULO_TRI[[#This Row],[Cota-HIZENTRA]],0)</f>
        <v>0</v>
      </c>
      <c r="AB60" s="75">
        <f>IFERROR(VIEW_IV_2019_REP_CALCULO_TRI[[#This Row],[Demanda-PRIVIGEN]]/VIEW_IV_2019_REP_CALCULO_TRI[[#This Row],[Cota-PRIVIGEN]],0)</f>
        <v>0.22003499562554682</v>
      </c>
      <c r="AC6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J6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K6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0" s="102">
        <f>SUM(VIEW_IV_2019_REP_CALCULO_TRI[[#This Row],[Recuperavel-BERINERT]:[Recuperavel-PRIVIGEN]])</f>
        <v>0</v>
      </c>
    </row>
    <row r="61" spans="1:44" x14ac:dyDescent="0.25">
      <c r="A61" s="7" t="s">
        <v>16</v>
      </c>
      <c r="B61" s="7" t="s">
        <v>373</v>
      </c>
      <c r="C61" s="8" t="s">
        <v>177</v>
      </c>
      <c r="D61" s="8" t="s">
        <v>178</v>
      </c>
      <c r="E61" s="8" t="s">
        <v>557</v>
      </c>
      <c r="F61" s="8" t="s">
        <v>208</v>
      </c>
      <c r="G61" s="3" t="b">
        <v>1</v>
      </c>
      <c r="H61" s="3" t="b">
        <v>1</v>
      </c>
      <c r="I61" s="10">
        <v>0</v>
      </c>
      <c r="J61" s="10">
        <v>399</v>
      </c>
      <c r="K61" s="10">
        <v>430</v>
      </c>
      <c r="L61" s="10">
        <v>0</v>
      </c>
      <c r="M61" s="10">
        <v>15240</v>
      </c>
      <c r="N61" s="10">
        <v>0</v>
      </c>
      <c r="O61" s="10">
        <v>222</v>
      </c>
      <c r="P61" s="10">
        <v>224</v>
      </c>
      <c r="Q61" s="10">
        <v>0</v>
      </c>
      <c r="R61" s="10">
        <v>4010</v>
      </c>
      <c r="S61" s="75">
        <v>0</v>
      </c>
      <c r="T61" s="75">
        <v>0.25</v>
      </c>
      <c r="U61" s="75">
        <v>0.25</v>
      </c>
      <c r="V61" s="75">
        <v>0</v>
      </c>
      <c r="W61" s="75">
        <v>0.2</v>
      </c>
      <c r="X61" s="75">
        <f>IFERROR(VIEW_IV_2019_REP_CALCULO_TRI[[#This Row],[Demanda-BERINERT]]/VIEW_IV_2019_REP_CALCULO_TRI[[#This Row],[Cota-BERINERT]],0)</f>
        <v>0</v>
      </c>
      <c r="Y61" s="75">
        <f>IFERROR(VIEW_IV_2019_REP_CALCULO_TRI[[#This Row],[Demanda-BERIPLEX]]/VIEW_IV_2019_REP_CALCULO_TRI[[#This Row],[Cota-BERIPLEX]],0)</f>
        <v>0.55639097744360899</v>
      </c>
      <c r="Z61" s="75">
        <f>IFERROR(VIEW_IV_2019_REP_CALCULO_TRI[[#This Row],[Demanda-HAEMO]]/VIEW_IV_2019_REP_CALCULO_TRI[[#This Row],[Cota-HAEMO]],0)</f>
        <v>0.52093023255813953</v>
      </c>
      <c r="AA61" s="75">
        <f>IFERROR(VIEW_IV_2019_REP_CALCULO_TRI[[#This Row],[Demanda-HIZENTRA]]/VIEW_IV_2019_REP_CALCULO_TRI[[#This Row],[Cota-HIZENTRA]],0)</f>
        <v>0</v>
      </c>
      <c r="AB61" s="75">
        <f>IFERROR(VIEW_IV_2019_REP_CALCULO_TRI[[#This Row],[Demanda-PRIVIGEN]]/VIEW_IV_2019_REP_CALCULO_TRI[[#This Row],[Cota-PRIVIGEN]],0)</f>
        <v>0.26312335958005251</v>
      </c>
      <c r="AC6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J6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K6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1" s="102">
        <f>SUM(VIEW_IV_2019_REP_CALCULO_TRI[[#This Row],[Recuperavel-BERINERT]:[Recuperavel-PRIVIGEN]])</f>
        <v>0</v>
      </c>
    </row>
    <row r="62" spans="1:44" x14ac:dyDescent="0.25">
      <c r="A62" s="7" t="s">
        <v>16</v>
      </c>
      <c r="B62" s="7" t="s">
        <v>373</v>
      </c>
      <c r="C62" s="8" t="s">
        <v>181</v>
      </c>
      <c r="D62" s="8" t="s">
        <v>182</v>
      </c>
      <c r="E62" s="8" t="s">
        <v>557</v>
      </c>
      <c r="F62" s="8" t="s">
        <v>206</v>
      </c>
      <c r="G62" s="3" t="b">
        <v>1</v>
      </c>
      <c r="H62" s="3" t="b">
        <v>1</v>
      </c>
      <c r="I62" s="10">
        <v>0</v>
      </c>
      <c r="J62" s="10">
        <v>627</v>
      </c>
      <c r="K62" s="10">
        <v>516</v>
      </c>
      <c r="L62" s="10">
        <v>0</v>
      </c>
      <c r="M62" s="10">
        <v>17145</v>
      </c>
      <c r="N62" s="10">
        <v>0</v>
      </c>
      <c r="O62" s="10">
        <v>287</v>
      </c>
      <c r="P62" s="10">
        <v>129</v>
      </c>
      <c r="Q62" s="10">
        <v>0</v>
      </c>
      <c r="R62" s="10">
        <v>4125</v>
      </c>
      <c r="S62" s="75">
        <v>0</v>
      </c>
      <c r="T62" s="75">
        <v>0.25</v>
      </c>
      <c r="U62" s="75">
        <v>0.25</v>
      </c>
      <c r="V62" s="75">
        <v>0</v>
      </c>
      <c r="W62" s="75">
        <v>0.2</v>
      </c>
      <c r="X62" s="75">
        <f>IFERROR(VIEW_IV_2019_REP_CALCULO_TRI[[#This Row],[Demanda-BERINERT]]/VIEW_IV_2019_REP_CALCULO_TRI[[#This Row],[Cota-BERINERT]],0)</f>
        <v>0</v>
      </c>
      <c r="Y62" s="75">
        <f>IFERROR(VIEW_IV_2019_REP_CALCULO_TRI[[#This Row],[Demanda-BERIPLEX]]/VIEW_IV_2019_REP_CALCULO_TRI[[#This Row],[Cota-BERIPLEX]],0)</f>
        <v>0.45773524720893144</v>
      </c>
      <c r="Z62" s="75">
        <f>IFERROR(VIEW_IV_2019_REP_CALCULO_TRI[[#This Row],[Demanda-HAEMO]]/VIEW_IV_2019_REP_CALCULO_TRI[[#This Row],[Cota-HAEMO]],0)</f>
        <v>0.25</v>
      </c>
      <c r="AA62" s="75">
        <f>IFERROR(VIEW_IV_2019_REP_CALCULO_TRI[[#This Row],[Demanda-HIZENTRA]]/VIEW_IV_2019_REP_CALCULO_TRI[[#This Row],[Cota-HIZENTRA]],0)</f>
        <v>0</v>
      </c>
      <c r="AB62" s="75">
        <f>IFERROR(VIEW_IV_2019_REP_CALCULO_TRI[[#This Row],[Demanda-PRIVIGEN]]/VIEW_IV_2019_REP_CALCULO_TRI[[#This Row],[Cota-PRIVIGEN]],0)</f>
        <v>0.24059492563429571</v>
      </c>
      <c r="AC6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2037.2684173324528</v>
      </c>
      <c r="AJ6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374.10017397918836</v>
      </c>
      <c r="AK6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2" s="102">
        <f>SUM(VIEW_IV_2019_REP_CALCULO_TRI[[#This Row],[Recuperavel-BERINERT]:[Recuperavel-PRIVIGEN]])</f>
        <v>0</v>
      </c>
    </row>
    <row r="63" spans="1:44" x14ac:dyDescent="0.25">
      <c r="A63" s="7" t="s">
        <v>16</v>
      </c>
      <c r="B63" s="7" t="s">
        <v>373</v>
      </c>
      <c r="C63" s="8" t="s">
        <v>183</v>
      </c>
      <c r="D63" s="8" t="s">
        <v>184</v>
      </c>
      <c r="E63" s="8" t="s">
        <v>557</v>
      </c>
      <c r="F63" s="8" t="s">
        <v>208</v>
      </c>
      <c r="G63" s="3" t="b">
        <v>1</v>
      </c>
      <c r="H63" s="3" t="b">
        <v>1</v>
      </c>
      <c r="I63" s="10">
        <v>0</v>
      </c>
      <c r="J63" s="10">
        <v>513</v>
      </c>
      <c r="K63" s="10">
        <v>301</v>
      </c>
      <c r="L63" s="10">
        <v>0</v>
      </c>
      <c r="M63" s="10">
        <v>20955</v>
      </c>
      <c r="N63" s="10">
        <v>0</v>
      </c>
      <c r="O63" s="10">
        <v>63</v>
      </c>
      <c r="P63" s="10">
        <v>23</v>
      </c>
      <c r="Q63" s="10">
        <v>0</v>
      </c>
      <c r="R63" s="10">
        <v>8275</v>
      </c>
      <c r="S63" s="75">
        <v>0</v>
      </c>
      <c r="T63" s="75">
        <v>0.25</v>
      </c>
      <c r="U63" s="75">
        <v>0.25</v>
      </c>
      <c r="V63" s="75">
        <v>0</v>
      </c>
      <c r="W63" s="75">
        <v>0.2</v>
      </c>
      <c r="X63" s="75">
        <f>IFERROR(VIEW_IV_2019_REP_CALCULO_TRI[[#This Row],[Demanda-BERINERT]]/VIEW_IV_2019_REP_CALCULO_TRI[[#This Row],[Cota-BERINERT]],0)</f>
        <v>0</v>
      </c>
      <c r="Y63" s="75">
        <f>IFERROR(VIEW_IV_2019_REP_CALCULO_TRI[[#This Row],[Demanda-BERIPLEX]]/VIEW_IV_2019_REP_CALCULO_TRI[[#This Row],[Cota-BERIPLEX]],0)</f>
        <v>0.12280701754385964</v>
      </c>
      <c r="Z63" s="75">
        <f>IFERROR(VIEW_IV_2019_REP_CALCULO_TRI[[#This Row],[Demanda-HAEMO]]/VIEW_IV_2019_REP_CALCULO_TRI[[#This Row],[Cota-HAEMO]],0)</f>
        <v>7.6411960132890366E-2</v>
      </c>
      <c r="AA63" s="75">
        <f>IFERROR(VIEW_IV_2019_REP_CALCULO_TRI[[#This Row],[Demanda-HIZENTRA]]/VIEW_IV_2019_REP_CALCULO_TRI[[#This Row],[Cota-HIZENTRA]],0)</f>
        <v>0</v>
      </c>
      <c r="AB63" s="75">
        <f>IFERROR(VIEW_IV_2019_REP_CALCULO_TRI[[#This Row],[Demanda-PRIVIGEN]]/VIEW_IV_2019_REP_CALCULO_TRI[[#This Row],[Cota-PRIVIGEN]],0)</f>
        <v>0.39489382009067048</v>
      </c>
      <c r="AC6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1067.7449977707699</v>
      </c>
      <c r="AM6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3" s="102">
        <f>SUM(VIEW_IV_2019_REP_CALCULO_TRI[[#This Row],[Recuperavel-BERINERT]:[Recuperavel-PRIVIGEN]])</f>
        <v>0</v>
      </c>
    </row>
    <row r="64" spans="1:44" x14ac:dyDescent="0.25">
      <c r="A64" s="7" t="s">
        <v>16</v>
      </c>
      <c r="B64" s="7" t="s">
        <v>373</v>
      </c>
      <c r="C64" s="8" t="s">
        <v>159</v>
      </c>
      <c r="D64" s="8" t="s">
        <v>160</v>
      </c>
      <c r="E64" s="8" t="s">
        <v>740</v>
      </c>
      <c r="F64" s="8" t="s">
        <v>206</v>
      </c>
      <c r="G64" s="3" t="b">
        <v>1</v>
      </c>
      <c r="H64" s="3" t="b">
        <v>1</v>
      </c>
      <c r="I64" s="10">
        <v>13</v>
      </c>
      <c r="J64" s="10">
        <v>228</v>
      </c>
      <c r="K64" s="10">
        <v>172</v>
      </c>
      <c r="L64" s="10">
        <v>855</v>
      </c>
      <c r="M64" s="10">
        <v>17145</v>
      </c>
      <c r="N64" s="10">
        <v>0</v>
      </c>
      <c r="O64" s="10">
        <v>0</v>
      </c>
      <c r="P64" s="10">
        <v>21</v>
      </c>
      <c r="Q64" s="10">
        <v>60</v>
      </c>
      <c r="R64" s="10">
        <v>5418</v>
      </c>
      <c r="S64" s="75">
        <v>0.05</v>
      </c>
      <c r="T64" s="75">
        <v>0.15</v>
      </c>
      <c r="U64" s="75">
        <v>0.15</v>
      </c>
      <c r="V64" s="75">
        <v>0.2</v>
      </c>
      <c r="W64" s="75">
        <v>0.15</v>
      </c>
      <c r="X64" s="75">
        <f>IFERROR(VIEW_IV_2019_REP_CALCULO_TRI[[#This Row],[Demanda-BERINERT]]/VIEW_IV_2019_REP_CALCULO_TRI[[#This Row],[Cota-BERINERT]],0)</f>
        <v>0</v>
      </c>
      <c r="Y64" s="75">
        <f>IFERROR(VIEW_IV_2019_REP_CALCULO_TRI[[#This Row],[Demanda-BERIPLEX]]/VIEW_IV_2019_REP_CALCULO_TRI[[#This Row],[Cota-BERIPLEX]],0)</f>
        <v>0</v>
      </c>
      <c r="Z64" s="75">
        <f>IFERROR(VIEW_IV_2019_REP_CALCULO_TRI[[#This Row],[Demanda-HAEMO]]/VIEW_IV_2019_REP_CALCULO_TRI[[#This Row],[Cota-HAEMO]],0)</f>
        <v>0.12209302325581395</v>
      </c>
      <c r="AA64" s="75">
        <f>IFERROR(VIEW_IV_2019_REP_CALCULO_TRI[[#This Row],[Demanda-HIZENTRA]]/VIEW_IV_2019_REP_CALCULO_TRI[[#This Row],[Cota-HIZENTRA]],0)</f>
        <v>7.0175438596491224E-2</v>
      </c>
      <c r="AB64" s="75">
        <f>IFERROR(VIEW_IV_2019_REP_CALCULO_TRI[[#This Row],[Demanda-PRIVIGEN]]/VIEW_IV_2019_REP_CALCULO_TRI[[#This Row],[Cota-PRIVIGEN]],0)</f>
        <v>0.31601049868766407</v>
      </c>
      <c r="AC6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385.36825150868225</v>
      </c>
      <c r="AM6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4" s="102">
        <f>SUM(VIEW_IV_2019_REP_CALCULO_TRI[[#This Row],[Recuperavel-BERINERT]:[Recuperavel-PRIVIGEN]])</f>
        <v>0</v>
      </c>
    </row>
    <row r="65" spans="1:44" x14ac:dyDescent="0.25">
      <c r="A65" s="7" t="s">
        <v>16</v>
      </c>
      <c r="B65" s="7" t="s">
        <v>373</v>
      </c>
      <c r="C65" s="8" t="s">
        <v>201</v>
      </c>
      <c r="D65" s="8" t="s">
        <v>202</v>
      </c>
      <c r="E65" s="8" t="s">
        <v>740</v>
      </c>
      <c r="F65" s="8" t="s">
        <v>212</v>
      </c>
      <c r="G65" s="3" t="b">
        <v>1</v>
      </c>
      <c r="H65" s="3" t="b">
        <v>1</v>
      </c>
      <c r="I65" s="10">
        <v>44</v>
      </c>
      <c r="J65" s="10">
        <v>114</v>
      </c>
      <c r="K65" s="10">
        <v>43</v>
      </c>
      <c r="L65" s="10">
        <v>1368</v>
      </c>
      <c r="M65" s="10">
        <v>13335</v>
      </c>
      <c r="N65" s="10">
        <v>0</v>
      </c>
      <c r="O65" s="10">
        <v>3</v>
      </c>
      <c r="P65" s="10">
        <v>3</v>
      </c>
      <c r="Q65" s="10">
        <v>248</v>
      </c>
      <c r="R65" s="10">
        <v>5855</v>
      </c>
      <c r="S65" s="75">
        <v>0.05</v>
      </c>
      <c r="T65" s="75">
        <v>0.15</v>
      </c>
      <c r="U65" s="75">
        <v>0.15</v>
      </c>
      <c r="V65" s="75">
        <v>0.2</v>
      </c>
      <c r="W65" s="75">
        <v>0.15</v>
      </c>
      <c r="X65" s="75">
        <f>IFERROR(VIEW_IV_2019_REP_CALCULO_TRI[[#This Row],[Demanda-BERINERT]]/VIEW_IV_2019_REP_CALCULO_TRI[[#This Row],[Cota-BERINERT]],0)</f>
        <v>0</v>
      </c>
      <c r="Y65" s="75">
        <f>IFERROR(VIEW_IV_2019_REP_CALCULO_TRI[[#This Row],[Demanda-BERIPLEX]]/VIEW_IV_2019_REP_CALCULO_TRI[[#This Row],[Cota-BERIPLEX]],0)</f>
        <v>2.6315789473684209E-2</v>
      </c>
      <c r="Z65" s="75">
        <f>IFERROR(VIEW_IV_2019_REP_CALCULO_TRI[[#This Row],[Demanda-HAEMO]]/VIEW_IV_2019_REP_CALCULO_TRI[[#This Row],[Cota-HAEMO]],0)</f>
        <v>6.9767441860465115E-2</v>
      </c>
      <c r="AA65" s="75">
        <f>IFERROR(VIEW_IV_2019_REP_CALCULO_TRI[[#This Row],[Demanda-HIZENTRA]]/VIEW_IV_2019_REP_CALCULO_TRI[[#This Row],[Cota-HIZENTRA]],0)</f>
        <v>0.18128654970760233</v>
      </c>
      <c r="AB65" s="75">
        <f>IFERROR(VIEW_IV_2019_REP_CALCULO_TRI[[#This Row],[Demanda-PRIVIGEN]]/VIEW_IV_2019_REP_CALCULO_TRI[[#This Row],[Cota-PRIVIGEN]],0)</f>
        <v>0.43907011623547054</v>
      </c>
      <c r="AC6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1069.3171199476863</v>
      </c>
      <c r="AM6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5" s="102">
        <f>SUM(VIEW_IV_2019_REP_CALCULO_TRI[[#This Row],[Recuperavel-BERINERT]:[Recuperavel-PRIVIGEN]])</f>
        <v>0</v>
      </c>
    </row>
    <row r="66" spans="1:44" x14ac:dyDescent="0.25">
      <c r="A66" s="7" t="s">
        <v>16</v>
      </c>
      <c r="B66" s="7" t="s">
        <v>377</v>
      </c>
      <c r="C66" s="8" t="s">
        <v>151</v>
      </c>
      <c r="D66" s="8" t="s">
        <v>152</v>
      </c>
      <c r="E66" s="8" t="s">
        <v>556</v>
      </c>
      <c r="F66" s="8" t="s">
        <v>208</v>
      </c>
      <c r="G66" s="3" t="b">
        <v>1</v>
      </c>
      <c r="H66" s="3" t="b">
        <v>1</v>
      </c>
      <c r="I66" s="10">
        <v>62</v>
      </c>
      <c r="J66" s="10">
        <v>0</v>
      </c>
      <c r="K66" s="10">
        <v>0</v>
      </c>
      <c r="L66" s="10">
        <v>2907</v>
      </c>
      <c r="M66" s="10">
        <v>23595</v>
      </c>
      <c r="N66" s="10"/>
      <c r="O66" s="10"/>
      <c r="P66" s="10"/>
      <c r="Q66" s="10"/>
      <c r="R66" s="10"/>
      <c r="S66" s="75">
        <v>0.1</v>
      </c>
      <c r="T66" s="75">
        <v>0</v>
      </c>
      <c r="U66" s="75">
        <v>0</v>
      </c>
      <c r="V66" s="75">
        <v>0.4</v>
      </c>
      <c r="W66" s="75">
        <v>0.2</v>
      </c>
      <c r="X66" s="75">
        <f>IFERROR(VIEW_IV_2019_REP_CALCULO_TRI[[#This Row],[Demanda-BERINERT]]/VIEW_IV_2019_REP_CALCULO_TRI[[#This Row],[Cota-BERINERT]],0)</f>
        <v>0</v>
      </c>
      <c r="Y66" s="75">
        <f>IFERROR(VIEW_IV_2019_REP_CALCULO_TRI[[#This Row],[Demanda-BERIPLEX]]/VIEW_IV_2019_REP_CALCULO_TRI[[#This Row],[Cota-BERIPLEX]],0)</f>
        <v>0</v>
      </c>
      <c r="Z66" s="75">
        <f>IFERROR(VIEW_IV_2019_REP_CALCULO_TRI[[#This Row],[Demanda-HAEMO]]/VIEW_IV_2019_REP_CALCULO_TRI[[#This Row],[Cota-HAEMO]],0)</f>
        <v>0</v>
      </c>
      <c r="AA66" s="75">
        <f>IFERROR(VIEW_IV_2019_REP_CALCULO_TRI[[#This Row],[Demanda-HIZENTRA]]/VIEW_IV_2019_REP_CALCULO_TRI[[#This Row],[Cota-HIZENTRA]],0)</f>
        <v>0</v>
      </c>
      <c r="AB66" s="75">
        <f>IFERROR(VIEW_IV_2019_REP_CALCULO_TRI[[#This Row],[Demanda-PRIVIGEN]]/VIEW_IV_2019_REP_CALCULO_TRI[[#This Row],[Cota-PRIVIGEN]],0)</f>
        <v>0</v>
      </c>
      <c r="AC6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6" s="102">
        <f>SUM(VIEW_IV_2019_REP_CALCULO_TRI[[#This Row],[Recuperavel-BERINERT]:[Recuperavel-PRIVIGEN]])</f>
        <v>0</v>
      </c>
    </row>
    <row r="67" spans="1:44" x14ac:dyDescent="0.25">
      <c r="A67" s="7" t="s">
        <v>16</v>
      </c>
      <c r="B67" s="7" t="s">
        <v>377</v>
      </c>
      <c r="C67" s="8" t="s">
        <v>1355</v>
      </c>
      <c r="D67" s="8" t="s">
        <v>1356</v>
      </c>
      <c r="E67" s="8" t="s">
        <v>556</v>
      </c>
      <c r="F67" s="8" t="s">
        <v>208</v>
      </c>
      <c r="G67" s="3" t="b">
        <v>1</v>
      </c>
      <c r="H67" s="3" t="b">
        <v>1</v>
      </c>
      <c r="I67" s="10">
        <v>62</v>
      </c>
      <c r="J67" s="10">
        <v>0</v>
      </c>
      <c r="K67" s="10">
        <v>0</v>
      </c>
      <c r="L67" s="10">
        <v>2052</v>
      </c>
      <c r="M67" s="10">
        <v>14520</v>
      </c>
      <c r="N67" s="10"/>
      <c r="O67" s="10"/>
      <c r="P67" s="10"/>
      <c r="Q67" s="10"/>
      <c r="R67" s="10"/>
      <c r="S67" s="75">
        <v>0.1</v>
      </c>
      <c r="T67" s="75">
        <v>0</v>
      </c>
      <c r="U67" s="75">
        <v>0</v>
      </c>
      <c r="V67" s="75">
        <v>0.4</v>
      </c>
      <c r="W67" s="75">
        <v>0.2</v>
      </c>
      <c r="X67" s="75">
        <f>IFERROR(VIEW_IV_2019_REP_CALCULO_TRI[[#This Row],[Demanda-BERINERT]]/VIEW_IV_2019_REP_CALCULO_TRI[[#This Row],[Cota-BERINERT]],0)</f>
        <v>0</v>
      </c>
      <c r="Y67" s="75">
        <f>IFERROR(VIEW_IV_2019_REP_CALCULO_TRI[[#This Row],[Demanda-BERIPLEX]]/VIEW_IV_2019_REP_CALCULO_TRI[[#This Row],[Cota-BERIPLEX]],0)</f>
        <v>0</v>
      </c>
      <c r="Z67" s="75">
        <f>IFERROR(VIEW_IV_2019_REP_CALCULO_TRI[[#This Row],[Demanda-HAEMO]]/VIEW_IV_2019_REP_CALCULO_TRI[[#This Row],[Cota-HAEMO]],0)</f>
        <v>0</v>
      </c>
      <c r="AA67" s="75">
        <f>IFERROR(VIEW_IV_2019_REP_CALCULO_TRI[[#This Row],[Demanda-HIZENTRA]]/VIEW_IV_2019_REP_CALCULO_TRI[[#This Row],[Cota-HIZENTRA]],0)</f>
        <v>0</v>
      </c>
      <c r="AB67" s="75">
        <f>IFERROR(VIEW_IV_2019_REP_CALCULO_TRI[[#This Row],[Demanda-PRIVIGEN]]/VIEW_IV_2019_REP_CALCULO_TRI[[#This Row],[Cota-PRIVIGEN]],0)</f>
        <v>0</v>
      </c>
      <c r="AC6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7" s="102">
        <f>SUM(VIEW_IV_2019_REP_CALCULO_TRI[[#This Row],[Recuperavel-BERINERT]:[Recuperavel-PRIVIGEN]])</f>
        <v>0</v>
      </c>
    </row>
    <row r="68" spans="1:44" x14ac:dyDescent="0.25">
      <c r="A68" s="7" t="s">
        <v>16</v>
      </c>
      <c r="B68" s="7" t="s">
        <v>377</v>
      </c>
      <c r="C68" s="8" t="s">
        <v>155</v>
      </c>
      <c r="D68" s="8" t="s">
        <v>156</v>
      </c>
      <c r="E68" s="8" t="s">
        <v>556</v>
      </c>
      <c r="F68" s="8" t="s">
        <v>206</v>
      </c>
      <c r="G68" s="3" t="b">
        <v>1</v>
      </c>
      <c r="H68" s="3" t="b">
        <v>1</v>
      </c>
      <c r="I68" s="10">
        <v>44</v>
      </c>
      <c r="J68" s="10">
        <v>0</v>
      </c>
      <c r="K68" s="10">
        <v>0</v>
      </c>
      <c r="L68" s="10">
        <v>3591</v>
      </c>
      <c r="M68" s="10">
        <v>21780</v>
      </c>
      <c r="N68" s="10"/>
      <c r="O68" s="10"/>
      <c r="P68" s="10"/>
      <c r="Q68" s="10"/>
      <c r="R68" s="10"/>
      <c r="S68" s="75">
        <v>0.1</v>
      </c>
      <c r="T68" s="75">
        <v>0</v>
      </c>
      <c r="U68" s="75">
        <v>0</v>
      </c>
      <c r="V68" s="75">
        <v>0.4</v>
      </c>
      <c r="W68" s="75">
        <v>0.2</v>
      </c>
      <c r="X68" s="75">
        <f>IFERROR(VIEW_IV_2019_REP_CALCULO_TRI[[#This Row],[Demanda-BERINERT]]/VIEW_IV_2019_REP_CALCULO_TRI[[#This Row],[Cota-BERINERT]],0)</f>
        <v>0</v>
      </c>
      <c r="Y68" s="75">
        <f>IFERROR(VIEW_IV_2019_REP_CALCULO_TRI[[#This Row],[Demanda-BERIPLEX]]/VIEW_IV_2019_REP_CALCULO_TRI[[#This Row],[Cota-BERIPLEX]],0)</f>
        <v>0</v>
      </c>
      <c r="Z68" s="75">
        <f>IFERROR(VIEW_IV_2019_REP_CALCULO_TRI[[#This Row],[Demanda-HAEMO]]/VIEW_IV_2019_REP_CALCULO_TRI[[#This Row],[Cota-HAEMO]],0)</f>
        <v>0</v>
      </c>
      <c r="AA68" s="75">
        <f>IFERROR(VIEW_IV_2019_REP_CALCULO_TRI[[#This Row],[Demanda-HIZENTRA]]/VIEW_IV_2019_REP_CALCULO_TRI[[#This Row],[Cota-HIZENTRA]],0)</f>
        <v>0</v>
      </c>
      <c r="AB68" s="75">
        <f>IFERROR(VIEW_IV_2019_REP_CALCULO_TRI[[#This Row],[Demanda-PRIVIGEN]]/VIEW_IV_2019_REP_CALCULO_TRI[[#This Row],[Cota-PRIVIGEN]],0)</f>
        <v>0</v>
      </c>
      <c r="AC6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8" s="102">
        <f>SUM(VIEW_IV_2019_REP_CALCULO_TRI[[#This Row],[Recuperavel-BERINERT]:[Recuperavel-PRIVIGEN]])</f>
        <v>0</v>
      </c>
    </row>
    <row r="69" spans="1:44" x14ac:dyDescent="0.25">
      <c r="A69" s="7" t="s">
        <v>16</v>
      </c>
      <c r="B69" s="7" t="s">
        <v>377</v>
      </c>
      <c r="C69" s="8" t="s">
        <v>161</v>
      </c>
      <c r="D69" s="8" t="s">
        <v>162</v>
      </c>
      <c r="E69" s="8" t="s">
        <v>556</v>
      </c>
      <c r="F69" s="8" t="s">
        <v>208</v>
      </c>
      <c r="G69" s="3" t="b">
        <v>1</v>
      </c>
      <c r="H69" s="3" t="b">
        <v>1</v>
      </c>
      <c r="I69" s="10">
        <v>62</v>
      </c>
      <c r="J69" s="10">
        <v>0</v>
      </c>
      <c r="K69" s="10">
        <v>0</v>
      </c>
      <c r="L69" s="10">
        <v>2052</v>
      </c>
      <c r="M69" s="10">
        <v>25410</v>
      </c>
      <c r="N69" s="10"/>
      <c r="O69" s="10"/>
      <c r="P69" s="10"/>
      <c r="Q69" s="10"/>
      <c r="R69" s="10"/>
      <c r="S69" s="75">
        <v>0.1</v>
      </c>
      <c r="T69" s="75">
        <v>0</v>
      </c>
      <c r="U69" s="75">
        <v>0</v>
      </c>
      <c r="V69" s="75">
        <v>0.4</v>
      </c>
      <c r="W69" s="75">
        <v>0.2</v>
      </c>
      <c r="X69" s="75">
        <f>IFERROR(VIEW_IV_2019_REP_CALCULO_TRI[[#This Row],[Demanda-BERINERT]]/VIEW_IV_2019_REP_CALCULO_TRI[[#This Row],[Cota-BERINERT]],0)</f>
        <v>0</v>
      </c>
      <c r="Y69" s="75">
        <f>IFERROR(VIEW_IV_2019_REP_CALCULO_TRI[[#This Row],[Demanda-BERIPLEX]]/VIEW_IV_2019_REP_CALCULO_TRI[[#This Row],[Cota-BERIPLEX]],0)</f>
        <v>0</v>
      </c>
      <c r="Z69" s="75">
        <f>IFERROR(VIEW_IV_2019_REP_CALCULO_TRI[[#This Row],[Demanda-HAEMO]]/VIEW_IV_2019_REP_CALCULO_TRI[[#This Row],[Cota-HAEMO]],0)</f>
        <v>0</v>
      </c>
      <c r="AA69" s="75">
        <f>IFERROR(VIEW_IV_2019_REP_CALCULO_TRI[[#This Row],[Demanda-HIZENTRA]]/VIEW_IV_2019_REP_CALCULO_TRI[[#This Row],[Cota-HIZENTRA]],0)</f>
        <v>0</v>
      </c>
      <c r="AB69" s="75">
        <f>IFERROR(VIEW_IV_2019_REP_CALCULO_TRI[[#This Row],[Demanda-PRIVIGEN]]/VIEW_IV_2019_REP_CALCULO_TRI[[#This Row],[Cota-PRIVIGEN]],0)</f>
        <v>0</v>
      </c>
      <c r="AC6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6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6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6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6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6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6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6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6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6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6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6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6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6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6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69" s="102">
        <f>SUM(VIEW_IV_2019_REP_CALCULO_TRI[[#This Row],[Recuperavel-BERINERT]:[Recuperavel-PRIVIGEN]])</f>
        <v>0</v>
      </c>
    </row>
    <row r="70" spans="1:44" x14ac:dyDescent="0.25">
      <c r="A70" s="7" t="s">
        <v>16</v>
      </c>
      <c r="B70" s="7" t="s">
        <v>377</v>
      </c>
      <c r="C70" s="8" t="s">
        <v>175</v>
      </c>
      <c r="D70" s="8" t="s">
        <v>176</v>
      </c>
      <c r="E70" s="8" t="s">
        <v>556</v>
      </c>
      <c r="F70" s="8" t="s">
        <v>206</v>
      </c>
      <c r="G70" s="3" t="b">
        <v>1</v>
      </c>
      <c r="H70" s="3" t="b">
        <v>1</v>
      </c>
      <c r="I70" s="10">
        <v>155</v>
      </c>
      <c r="J70" s="10">
        <v>0</v>
      </c>
      <c r="K70" s="10">
        <v>0</v>
      </c>
      <c r="L70" s="10">
        <v>2223</v>
      </c>
      <c r="M70" s="10">
        <v>39930</v>
      </c>
      <c r="N70" s="10"/>
      <c r="O70" s="10"/>
      <c r="P70" s="10"/>
      <c r="Q70" s="10"/>
      <c r="R70" s="10"/>
      <c r="S70" s="75">
        <v>0.1</v>
      </c>
      <c r="T70" s="75">
        <v>0</v>
      </c>
      <c r="U70" s="75">
        <v>0</v>
      </c>
      <c r="V70" s="75">
        <v>0.4</v>
      </c>
      <c r="W70" s="75">
        <v>0.2</v>
      </c>
      <c r="X70" s="75">
        <f>IFERROR(VIEW_IV_2019_REP_CALCULO_TRI[[#This Row],[Demanda-BERINERT]]/VIEW_IV_2019_REP_CALCULO_TRI[[#This Row],[Cota-BERINERT]],0)</f>
        <v>0</v>
      </c>
      <c r="Y70" s="75">
        <f>IFERROR(VIEW_IV_2019_REP_CALCULO_TRI[[#This Row],[Demanda-BERIPLEX]]/VIEW_IV_2019_REP_CALCULO_TRI[[#This Row],[Cota-BERIPLEX]],0)</f>
        <v>0</v>
      </c>
      <c r="Z70" s="75">
        <f>IFERROR(VIEW_IV_2019_REP_CALCULO_TRI[[#This Row],[Demanda-HAEMO]]/VIEW_IV_2019_REP_CALCULO_TRI[[#This Row],[Cota-HAEMO]],0)</f>
        <v>0</v>
      </c>
      <c r="AA70" s="75">
        <f>IFERROR(VIEW_IV_2019_REP_CALCULO_TRI[[#This Row],[Demanda-HIZENTRA]]/VIEW_IV_2019_REP_CALCULO_TRI[[#This Row],[Cota-HIZENTRA]],0)</f>
        <v>0</v>
      </c>
      <c r="AB70" s="75">
        <f>IFERROR(VIEW_IV_2019_REP_CALCULO_TRI[[#This Row],[Demanda-PRIVIGEN]]/VIEW_IV_2019_REP_CALCULO_TRI[[#This Row],[Cota-PRIVIGEN]],0)</f>
        <v>0</v>
      </c>
      <c r="AC7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0" s="102">
        <f>SUM(VIEW_IV_2019_REP_CALCULO_TRI[[#This Row],[Recuperavel-BERINERT]:[Recuperavel-PRIVIGEN]])</f>
        <v>0</v>
      </c>
    </row>
    <row r="71" spans="1:44" x14ac:dyDescent="0.25">
      <c r="A71" s="7" t="s">
        <v>16</v>
      </c>
      <c r="B71" s="7" t="s">
        <v>377</v>
      </c>
      <c r="C71" s="8" t="s">
        <v>199</v>
      </c>
      <c r="D71" s="8" t="s">
        <v>200</v>
      </c>
      <c r="E71" s="8" t="s">
        <v>556</v>
      </c>
      <c r="F71" s="8" t="s">
        <v>212</v>
      </c>
      <c r="G71" s="3" t="b">
        <v>1</v>
      </c>
      <c r="H71" s="3" t="b">
        <v>1</v>
      </c>
      <c r="I71" s="10">
        <v>155</v>
      </c>
      <c r="J71" s="10">
        <v>0</v>
      </c>
      <c r="K71" s="10">
        <v>0</v>
      </c>
      <c r="L71" s="10">
        <v>2052</v>
      </c>
      <c r="M71" s="10">
        <v>27225</v>
      </c>
      <c r="N71" s="10"/>
      <c r="O71" s="10"/>
      <c r="P71" s="10"/>
      <c r="Q71" s="10"/>
      <c r="R71" s="10"/>
      <c r="S71" s="75">
        <v>0.1</v>
      </c>
      <c r="T71" s="75">
        <v>0</v>
      </c>
      <c r="U71" s="75">
        <v>0</v>
      </c>
      <c r="V71" s="75">
        <v>0.4</v>
      </c>
      <c r="W71" s="75">
        <v>0.2</v>
      </c>
      <c r="X71" s="75">
        <f>IFERROR(VIEW_IV_2019_REP_CALCULO_TRI[[#This Row],[Demanda-BERINERT]]/VIEW_IV_2019_REP_CALCULO_TRI[[#This Row],[Cota-BERINERT]],0)</f>
        <v>0</v>
      </c>
      <c r="Y71" s="75">
        <f>IFERROR(VIEW_IV_2019_REP_CALCULO_TRI[[#This Row],[Demanda-BERIPLEX]]/VIEW_IV_2019_REP_CALCULO_TRI[[#This Row],[Cota-BERIPLEX]],0)</f>
        <v>0</v>
      </c>
      <c r="Z71" s="75">
        <f>IFERROR(VIEW_IV_2019_REP_CALCULO_TRI[[#This Row],[Demanda-HAEMO]]/VIEW_IV_2019_REP_CALCULO_TRI[[#This Row],[Cota-HAEMO]],0)</f>
        <v>0</v>
      </c>
      <c r="AA71" s="75">
        <f>IFERROR(VIEW_IV_2019_REP_CALCULO_TRI[[#This Row],[Demanda-HIZENTRA]]/VIEW_IV_2019_REP_CALCULO_TRI[[#This Row],[Cota-HIZENTRA]],0)</f>
        <v>0</v>
      </c>
      <c r="AB71" s="75">
        <f>IFERROR(VIEW_IV_2019_REP_CALCULO_TRI[[#This Row],[Demanda-PRIVIGEN]]/VIEW_IV_2019_REP_CALCULO_TRI[[#This Row],[Cota-PRIVIGEN]],0)</f>
        <v>0</v>
      </c>
      <c r="AC7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1" s="102">
        <f>SUM(VIEW_IV_2019_REP_CALCULO_TRI[[#This Row],[Recuperavel-BERINERT]:[Recuperavel-PRIVIGEN]])</f>
        <v>0</v>
      </c>
    </row>
    <row r="72" spans="1:44" x14ac:dyDescent="0.25">
      <c r="A72" s="7" t="s">
        <v>16</v>
      </c>
      <c r="B72" s="7" t="s">
        <v>377</v>
      </c>
      <c r="C72" s="8" t="s">
        <v>144</v>
      </c>
      <c r="D72" s="8" t="s">
        <v>145</v>
      </c>
      <c r="E72" s="8" t="s">
        <v>557</v>
      </c>
      <c r="F72" s="8" t="s">
        <v>206</v>
      </c>
      <c r="G72" s="3" t="b">
        <v>1</v>
      </c>
      <c r="H72" s="3" t="b">
        <v>1</v>
      </c>
      <c r="I72" s="10">
        <v>0</v>
      </c>
      <c r="J72" s="10">
        <v>414</v>
      </c>
      <c r="K72" s="10">
        <v>450</v>
      </c>
      <c r="L72" s="10">
        <v>0</v>
      </c>
      <c r="M72" s="10">
        <v>10890</v>
      </c>
      <c r="N72" s="10"/>
      <c r="O72" s="10"/>
      <c r="P72" s="10"/>
      <c r="Q72" s="10"/>
      <c r="R72" s="10"/>
      <c r="S72" s="75">
        <v>0</v>
      </c>
      <c r="T72" s="75">
        <v>0.25</v>
      </c>
      <c r="U72" s="75">
        <v>0.25</v>
      </c>
      <c r="V72" s="75">
        <v>0</v>
      </c>
      <c r="W72" s="75">
        <v>0.2</v>
      </c>
      <c r="X72" s="75">
        <f>IFERROR(VIEW_IV_2019_REP_CALCULO_TRI[[#This Row],[Demanda-BERINERT]]/VIEW_IV_2019_REP_CALCULO_TRI[[#This Row],[Cota-BERINERT]],0)</f>
        <v>0</v>
      </c>
      <c r="Y72" s="75">
        <f>IFERROR(VIEW_IV_2019_REP_CALCULO_TRI[[#This Row],[Demanda-BERIPLEX]]/VIEW_IV_2019_REP_CALCULO_TRI[[#This Row],[Cota-BERIPLEX]],0)</f>
        <v>0</v>
      </c>
      <c r="Z72" s="75">
        <f>IFERROR(VIEW_IV_2019_REP_CALCULO_TRI[[#This Row],[Demanda-HAEMO]]/VIEW_IV_2019_REP_CALCULO_TRI[[#This Row],[Cota-HAEMO]],0)</f>
        <v>0</v>
      </c>
      <c r="AA72" s="75">
        <f>IFERROR(VIEW_IV_2019_REP_CALCULO_TRI[[#This Row],[Demanda-HIZENTRA]]/VIEW_IV_2019_REP_CALCULO_TRI[[#This Row],[Cota-HIZENTRA]],0)</f>
        <v>0</v>
      </c>
      <c r="AB72" s="75">
        <f>IFERROR(VIEW_IV_2019_REP_CALCULO_TRI[[#This Row],[Demanda-PRIVIGEN]]/VIEW_IV_2019_REP_CALCULO_TRI[[#This Row],[Cota-PRIVIGEN]],0)</f>
        <v>0</v>
      </c>
      <c r="AC7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2" s="102">
        <f>SUM(VIEW_IV_2019_REP_CALCULO_TRI[[#This Row],[Recuperavel-BERINERT]:[Recuperavel-PRIVIGEN]])</f>
        <v>0</v>
      </c>
    </row>
    <row r="73" spans="1:44" x14ac:dyDescent="0.25">
      <c r="A73" s="7" t="s">
        <v>16</v>
      </c>
      <c r="B73" s="7" t="s">
        <v>377</v>
      </c>
      <c r="C73" s="8" t="s">
        <v>147</v>
      </c>
      <c r="D73" s="8" t="s">
        <v>148</v>
      </c>
      <c r="E73" s="8" t="s">
        <v>557</v>
      </c>
      <c r="F73" s="8" t="s">
        <v>208</v>
      </c>
      <c r="G73" s="3" t="b">
        <v>1</v>
      </c>
      <c r="H73" s="3" t="b">
        <v>1</v>
      </c>
      <c r="I73" s="10">
        <v>0</v>
      </c>
      <c r="J73" s="10">
        <v>483</v>
      </c>
      <c r="K73" s="10">
        <v>540</v>
      </c>
      <c r="L73" s="10">
        <v>0</v>
      </c>
      <c r="M73" s="10">
        <v>14520</v>
      </c>
      <c r="N73" s="10"/>
      <c r="O73" s="10"/>
      <c r="P73" s="10"/>
      <c r="Q73" s="10"/>
      <c r="R73" s="10"/>
      <c r="S73" s="75">
        <v>0</v>
      </c>
      <c r="T73" s="75">
        <v>0.25</v>
      </c>
      <c r="U73" s="75">
        <v>0.25</v>
      </c>
      <c r="V73" s="75">
        <v>0</v>
      </c>
      <c r="W73" s="75">
        <v>0.2</v>
      </c>
      <c r="X73" s="75">
        <f>IFERROR(VIEW_IV_2019_REP_CALCULO_TRI[[#This Row],[Demanda-BERINERT]]/VIEW_IV_2019_REP_CALCULO_TRI[[#This Row],[Cota-BERINERT]],0)</f>
        <v>0</v>
      </c>
      <c r="Y73" s="75">
        <f>IFERROR(VIEW_IV_2019_REP_CALCULO_TRI[[#This Row],[Demanda-BERIPLEX]]/VIEW_IV_2019_REP_CALCULO_TRI[[#This Row],[Cota-BERIPLEX]],0)</f>
        <v>0</v>
      </c>
      <c r="Z73" s="75">
        <f>IFERROR(VIEW_IV_2019_REP_CALCULO_TRI[[#This Row],[Demanda-HAEMO]]/VIEW_IV_2019_REP_CALCULO_TRI[[#This Row],[Cota-HAEMO]],0)</f>
        <v>0</v>
      </c>
      <c r="AA73" s="75">
        <f>IFERROR(VIEW_IV_2019_REP_CALCULO_TRI[[#This Row],[Demanda-HIZENTRA]]/VIEW_IV_2019_REP_CALCULO_TRI[[#This Row],[Cota-HIZENTRA]],0)</f>
        <v>0</v>
      </c>
      <c r="AB73" s="75">
        <f>IFERROR(VIEW_IV_2019_REP_CALCULO_TRI[[#This Row],[Demanda-PRIVIGEN]]/VIEW_IV_2019_REP_CALCULO_TRI[[#This Row],[Cota-PRIVIGEN]],0)</f>
        <v>0</v>
      </c>
      <c r="AC7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3" s="102">
        <f>SUM(VIEW_IV_2019_REP_CALCULO_TRI[[#This Row],[Recuperavel-BERINERT]:[Recuperavel-PRIVIGEN]])</f>
        <v>0</v>
      </c>
    </row>
    <row r="74" spans="1:44" x14ac:dyDescent="0.25">
      <c r="A74" s="7" t="s">
        <v>16</v>
      </c>
      <c r="B74" s="7" t="s">
        <v>377</v>
      </c>
      <c r="C74" s="8" t="s">
        <v>149</v>
      </c>
      <c r="D74" s="8" t="s">
        <v>150</v>
      </c>
      <c r="E74" s="8" t="s">
        <v>557</v>
      </c>
      <c r="F74" s="8" t="s">
        <v>208</v>
      </c>
      <c r="G74" s="3" t="b">
        <v>1</v>
      </c>
      <c r="H74" s="3" t="b">
        <v>1</v>
      </c>
      <c r="I74" s="10">
        <v>0</v>
      </c>
      <c r="J74" s="10">
        <v>414</v>
      </c>
      <c r="K74" s="10">
        <v>225</v>
      </c>
      <c r="L74" s="10">
        <v>0</v>
      </c>
      <c r="M74" s="10">
        <v>25410</v>
      </c>
      <c r="N74" s="10"/>
      <c r="O74" s="10"/>
      <c r="P74" s="10"/>
      <c r="Q74" s="10"/>
      <c r="R74" s="10"/>
      <c r="S74" s="75">
        <v>0</v>
      </c>
      <c r="T74" s="75">
        <v>0.25</v>
      </c>
      <c r="U74" s="75">
        <v>0.25</v>
      </c>
      <c r="V74" s="75">
        <v>0</v>
      </c>
      <c r="W74" s="75">
        <v>0.2</v>
      </c>
      <c r="X74" s="75">
        <f>IFERROR(VIEW_IV_2019_REP_CALCULO_TRI[[#This Row],[Demanda-BERINERT]]/VIEW_IV_2019_REP_CALCULO_TRI[[#This Row],[Cota-BERINERT]],0)</f>
        <v>0</v>
      </c>
      <c r="Y74" s="75">
        <f>IFERROR(VIEW_IV_2019_REP_CALCULO_TRI[[#This Row],[Demanda-BERIPLEX]]/VIEW_IV_2019_REP_CALCULO_TRI[[#This Row],[Cota-BERIPLEX]],0)</f>
        <v>0</v>
      </c>
      <c r="Z74" s="75">
        <f>IFERROR(VIEW_IV_2019_REP_CALCULO_TRI[[#This Row],[Demanda-HAEMO]]/VIEW_IV_2019_REP_CALCULO_TRI[[#This Row],[Cota-HAEMO]],0)</f>
        <v>0</v>
      </c>
      <c r="AA74" s="75">
        <f>IFERROR(VIEW_IV_2019_REP_CALCULO_TRI[[#This Row],[Demanda-HIZENTRA]]/VIEW_IV_2019_REP_CALCULO_TRI[[#This Row],[Cota-HIZENTRA]],0)</f>
        <v>0</v>
      </c>
      <c r="AB74" s="75">
        <f>IFERROR(VIEW_IV_2019_REP_CALCULO_TRI[[#This Row],[Demanda-PRIVIGEN]]/VIEW_IV_2019_REP_CALCULO_TRI[[#This Row],[Cota-PRIVIGEN]],0)</f>
        <v>0</v>
      </c>
      <c r="AC7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4" s="102">
        <f>SUM(VIEW_IV_2019_REP_CALCULO_TRI[[#This Row],[Recuperavel-BERINERT]:[Recuperavel-PRIVIGEN]])</f>
        <v>0</v>
      </c>
    </row>
    <row r="75" spans="1:44" x14ac:dyDescent="0.25">
      <c r="A75" s="7" t="s">
        <v>16</v>
      </c>
      <c r="B75" s="7" t="s">
        <v>377</v>
      </c>
      <c r="C75" s="8" t="s">
        <v>157</v>
      </c>
      <c r="D75" s="8" t="s">
        <v>158</v>
      </c>
      <c r="E75" s="8" t="s">
        <v>557</v>
      </c>
      <c r="F75" s="8" t="s">
        <v>206</v>
      </c>
      <c r="G75" s="3" t="b">
        <v>1</v>
      </c>
      <c r="H75" s="3" t="b">
        <v>1</v>
      </c>
      <c r="I75" s="10">
        <v>0</v>
      </c>
      <c r="J75" s="10">
        <v>276</v>
      </c>
      <c r="K75" s="10">
        <v>180</v>
      </c>
      <c r="L75" s="10">
        <v>0</v>
      </c>
      <c r="M75" s="10">
        <v>29040</v>
      </c>
      <c r="N75" s="10"/>
      <c r="O75" s="10"/>
      <c r="P75" s="10"/>
      <c r="Q75" s="10"/>
      <c r="R75" s="10"/>
      <c r="S75" s="75">
        <v>0</v>
      </c>
      <c r="T75" s="75">
        <v>0.25</v>
      </c>
      <c r="U75" s="75">
        <v>0.25</v>
      </c>
      <c r="V75" s="75">
        <v>0</v>
      </c>
      <c r="W75" s="75">
        <v>0.2</v>
      </c>
      <c r="X75" s="75">
        <f>IFERROR(VIEW_IV_2019_REP_CALCULO_TRI[[#This Row],[Demanda-BERINERT]]/VIEW_IV_2019_REP_CALCULO_TRI[[#This Row],[Cota-BERINERT]],0)</f>
        <v>0</v>
      </c>
      <c r="Y75" s="75">
        <f>IFERROR(VIEW_IV_2019_REP_CALCULO_TRI[[#This Row],[Demanda-BERIPLEX]]/VIEW_IV_2019_REP_CALCULO_TRI[[#This Row],[Cota-BERIPLEX]],0)</f>
        <v>0</v>
      </c>
      <c r="Z75" s="75">
        <f>IFERROR(VIEW_IV_2019_REP_CALCULO_TRI[[#This Row],[Demanda-HAEMO]]/VIEW_IV_2019_REP_CALCULO_TRI[[#This Row],[Cota-HAEMO]],0)</f>
        <v>0</v>
      </c>
      <c r="AA75" s="75">
        <f>IFERROR(VIEW_IV_2019_REP_CALCULO_TRI[[#This Row],[Demanda-HIZENTRA]]/VIEW_IV_2019_REP_CALCULO_TRI[[#This Row],[Cota-HIZENTRA]],0)</f>
        <v>0</v>
      </c>
      <c r="AB75" s="75">
        <f>IFERROR(VIEW_IV_2019_REP_CALCULO_TRI[[#This Row],[Demanda-PRIVIGEN]]/VIEW_IV_2019_REP_CALCULO_TRI[[#This Row],[Cota-PRIVIGEN]],0)</f>
        <v>0</v>
      </c>
      <c r="AC7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5" s="102">
        <f>SUM(VIEW_IV_2019_REP_CALCULO_TRI[[#This Row],[Recuperavel-BERINERT]:[Recuperavel-PRIVIGEN]])</f>
        <v>0</v>
      </c>
    </row>
    <row r="76" spans="1:44" x14ac:dyDescent="0.25">
      <c r="A76" s="7" t="s">
        <v>16</v>
      </c>
      <c r="B76" s="7" t="s">
        <v>377</v>
      </c>
      <c r="C76" s="8" t="s">
        <v>163</v>
      </c>
      <c r="D76" s="8" t="s">
        <v>164</v>
      </c>
      <c r="E76" s="8" t="s">
        <v>557</v>
      </c>
      <c r="F76" s="8" t="s">
        <v>212</v>
      </c>
      <c r="G76" s="3" t="b">
        <v>1</v>
      </c>
      <c r="H76" s="3" t="b">
        <v>1</v>
      </c>
      <c r="I76" s="10">
        <v>0</v>
      </c>
      <c r="J76" s="10">
        <v>759</v>
      </c>
      <c r="K76" s="10">
        <v>315</v>
      </c>
      <c r="L76" s="10">
        <v>0</v>
      </c>
      <c r="M76" s="10">
        <v>12705</v>
      </c>
      <c r="N76" s="10"/>
      <c r="O76" s="10"/>
      <c r="P76" s="10"/>
      <c r="Q76" s="10"/>
      <c r="R76" s="10"/>
      <c r="S76" s="75">
        <v>0</v>
      </c>
      <c r="T76" s="75">
        <v>0.25</v>
      </c>
      <c r="U76" s="75">
        <v>0.25</v>
      </c>
      <c r="V76" s="75">
        <v>0</v>
      </c>
      <c r="W76" s="75">
        <v>0.2</v>
      </c>
      <c r="X76" s="75">
        <f>IFERROR(VIEW_IV_2019_REP_CALCULO_TRI[[#This Row],[Demanda-BERINERT]]/VIEW_IV_2019_REP_CALCULO_TRI[[#This Row],[Cota-BERINERT]],0)</f>
        <v>0</v>
      </c>
      <c r="Y76" s="75">
        <f>IFERROR(VIEW_IV_2019_REP_CALCULO_TRI[[#This Row],[Demanda-BERIPLEX]]/VIEW_IV_2019_REP_CALCULO_TRI[[#This Row],[Cota-BERIPLEX]],0)</f>
        <v>0</v>
      </c>
      <c r="Z76" s="75">
        <f>IFERROR(VIEW_IV_2019_REP_CALCULO_TRI[[#This Row],[Demanda-HAEMO]]/VIEW_IV_2019_REP_CALCULO_TRI[[#This Row],[Cota-HAEMO]],0)</f>
        <v>0</v>
      </c>
      <c r="AA76" s="75">
        <f>IFERROR(VIEW_IV_2019_REP_CALCULO_TRI[[#This Row],[Demanda-HIZENTRA]]/VIEW_IV_2019_REP_CALCULO_TRI[[#This Row],[Cota-HIZENTRA]],0)</f>
        <v>0</v>
      </c>
      <c r="AB76" s="75">
        <f>IFERROR(VIEW_IV_2019_REP_CALCULO_TRI[[#This Row],[Demanda-PRIVIGEN]]/VIEW_IV_2019_REP_CALCULO_TRI[[#This Row],[Cota-PRIVIGEN]],0)</f>
        <v>0</v>
      </c>
      <c r="AC76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6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6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6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6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6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6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6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6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6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6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6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6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6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6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6" s="102">
        <f>SUM(VIEW_IV_2019_REP_CALCULO_TRI[[#This Row],[Recuperavel-BERINERT]:[Recuperavel-PRIVIGEN]])</f>
        <v>0</v>
      </c>
    </row>
    <row r="77" spans="1:44" x14ac:dyDescent="0.25">
      <c r="A77" s="7" t="s">
        <v>16</v>
      </c>
      <c r="B77" s="7" t="s">
        <v>377</v>
      </c>
      <c r="C77" s="8" t="s">
        <v>165</v>
      </c>
      <c r="D77" s="8" t="s">
        <v>166</v>
      </c>
      <c r="E77" s="8" t="s">
        <v>557</v>
      </c>
      <c r="F77" s="8" t="s">
        <v>212</v>
      </c>
      <c r="G77" s="3" t="b">
        <v>1</v>
      </c>
      <c r="H77" s="3" t="b">
        <v>1</v>
      </c>
      <c r="I77" s="10">
        <v>0</v>
      </c>
      <c r="J77" s="10">
        <v>621</v>
      </c>
      <c r="K77" s="10">
        <v>495</v>
      </c>
      <c r="L77" s="10">
        <v>0</v>
      </c>
      <c r="M77" s="10">
        <v>7260</v>
      </c>
      <c r="N77" s="10"/>
      <c r="O77" s="10"/>
      <c r="P77" s="10"/>
      <c r="Q77" s="10"/>
      <c r="R77" s="10"/>
      <c r="S77" s="75">
        <v>0</v>
      </c>
      <c r="T77" s="75">
        <v>0.25</v>
      </c>
      <c r="U77" s="75">
        <v>0.25</v>
      </c>
      <c r="V77" s="75">
        <v>0</v>
      </c>
      <c r="W77" s="75">
        <v>0.2</v>
      </c>
      <c r="X77" s="75">
        <f>IFERROR(VIEW_IV_2019_REP_CALCULO_TRI[[#This Row],[Demanda-BERINERT]]/VIEW_IV_2019_REP_CALCULO_TRI[[#This Row],[Cota-BERINERT]],0)</f>
        <v>0</v>
      </c>
      <c r="Y77" s="75">
        <f>IFERROR(VIEW_IV_2019_REP_CALCULO_TRI[[#This Row],[Demanda-BERIPLEX]]/VIEW_IV_2019_REP_CALCULO_TRI[[#This Row],[Cota-BERIPLEX]],0)</f>
        <v>0</v>
      </c>
      <c r="Z77" s="75">
        <f>IFERROR(VIEW_IV_2019_REP_CALCULO_TRI[[#This Row],[Demanda-HAEMO]]/VIEW_IV_2019_REP_CALCULO_TRI[[#This Row],[Cota-HAEMO]],0)</f>
        <v>0</v>
      </c>
      <c r="AA77" s="75">
        <f>IFERROR(VIEW_IV_2019_REP_CALCULO_TRI[[#This Row],[Demanda-HIZENTRA]]/VIEW_IV_2019_REP_CALCULO_TRI[[#This Row],[Cota-HIZENTRA]],0)</f>
        <v>0</v>
      </c>
      <c r="AB77" s="75">
        <f>IFERROR(VIEW_IV_2019_REP_CALCULO_TRI[[#This Row],[Demanda-PRIVIGEN]]/VIEW_IV_2019_REP_CALCULO_TRI[[#This Row],[Cota-PRIVIGEN]],0)</f>
        <v>0</v>
      </c>
      <c r="AC77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7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7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7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7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7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7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7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7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7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7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7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7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7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7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7" s="102">
        <f>SUM(VIEW_IV_2019_REP_CALCULO_TRI[[#This Row],[Recuperavel-BERINERT]:[Recuperavel-PRIVIGEN]])</f>
        <v>0</v>
      </c>
    </row>
    <row r="78" spans="1:44" x14ac:dyDescent="0.25">
      <c r="A78" s="7" t="s">
        <v>16</v>
      </c>
      <c r="B78" s="7" t="s">
        <v>377</v>
      </c>
      <c r="C78" s="8" t="s">
        <v>167</v>
      </c>
      <c r="D78" s="8" t="s">
        <v>168</v>
      </c>
      <c r="E78" s="8" t="s">
        <v>557</v>
      </c>
      <c r="F78" s="8" t="s">
        <v>212</v>
      </c>
      <c r="G78" s="3" t="b">
        <v>1</v>
      </c>
      <c r="H78" s="3" t="b">
        <v>1</v>
      </c>
      <c r="I78" s="10">
        <v>0</v>
      </c>
      <c r="J78" s="10">
        <v>552</v>
      </c>
      <c r="K78" s="10">
        <v>315</v>
      </c>
      <c r="L78" s="10">
        <v>0</v>
      </c>
      <c r="M78" s="10">
        <v>12705</v>
      </c>
      <c r="N78" s="10"/>
      <c r="O78" s="10"/>
      <c r="P78" s="10"/>
      <c r="Q78" s="10"/>
      <c r="R78" s="10"/>
      <c r="S78" s="75">
        <v>0</v>
      </c>
      <c r="T78" s="75">
        <v>0.25</v>
      </c>
      <c r="U78" s="75">
        <v>0.25</v>
      </c>
      <c r="V78" s="75">
        <v>0</v>
      </c>
      <c r="W78" s="75">
        <v>0.2</v>
      </c>
      <c r="X78" s="75">
        <f>IFERROR(VIEW_IV_2019_REP_CALCULO_TRI[[#This Row],[Demanda-BERINERT]]/VIEW_IV_2019_REP_CALCULO_TRI[[#This Row],[Cota-BERINERT]],0)</f>
        <v>0</v>
      </c>
      <c r="Y78" s="75">
        <f>IFERROR(VIEW_IV_2019_REP_CALCULO_TRI[[#This Row],[Demanda-BERIPLEX]]/VIEW_IV_2019_REP_CALCULO_TRI[[#This Row],[Cota-BERIPLEX]],0)</f>
        <v>0</v>
      </c>
      <c r="Z78" s="75">
        <f>IFERROR(VIEW_IV_2019_REP_CALCULO_TRI[[#This Row],[Demanda-HAEMO]]/VIEW_IV_2019_REP_CALCULO_TRI[[#This Row],[Cota-HAEMO]],0)</f>
        <v>0</v>
      </c>
      <c r="AA78" s="75">
        <f>IFERROR(VIEW_IV_2019_REP_CALCULO_TRI[[#This Row],[Demanda-HIZENTRA]]/VIEW_IV_2019_REP_CALCULO_TRI[[#This Row],[Cota-HIZENTRA]],0)</f>
        <v>0</v>
      </c>
      <c r="AB78" s="75">
        <f>IFERROR(VIEW_IV_2019_REP_CALCULO_TRI[[#This Row],[Demanda-PRIVIGEN]]/VIEW_IV_2019_REP_CALCULO_TRI[[#This Row],[Cota-PRIVIGEN]],0)</f>
        <v>0</v>
      </c>
      <c r="AC78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8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8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8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8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8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8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8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8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8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8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8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8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8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8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8" s="102">
        <f>SUM(VIEW_IV_2019_REP_CALCULO_TRI[[#This Row],[Recuperavel-BERINERT]:[Recuperavel-PRIVIGEN]])</f>
        <v>0</v>
      </c>
    </row>
    <row r="79" spans="1:44" x14ac:dyDescent="0.25">
      <c r="A79" s="7" t="s">
        <v>16</v>
      </c>
      <c r="B79" s="7" t="s">
        <v>377</v>
      </c>
      <c r="C79" s="8" t="s">
        <v>169</v>
      </c>
      <c r="D79" s="8" t="s">
        <v>170</v>
      </c>
      <c r="E79" s="8" t="s">
        <v>557</v>
      </c>
      <c r="F79" s="8" t="s">
        <v>212</v>
      </c>
      <c r="G79" s="3" t="b">
        <v>1</v>
      </c>
      <c r="H79" s="3" t="b">
        <v>1</v>
      </c>
      <c r="I79" s="10">
        <v>0</v>
      </c>
      <c r="J79" s="10">
        <v>690</v>
      </c>
      <c r="K79" s="10">
        <v>180</v>
      </c>
      <c r="L79" s="10">
        <v>0</v>
      </c>
      <c r="M79" s="10">
        <v>7260</v>
      </c>
      <c r="N79" s="10"/>
      <c r="O79" s="10"/>
      <c r="P79" s="10"/>
      <c r="Q79" s="10"/>
      <c r="R79" s="10"/>
      <c r="S79" s="75">
        <v>0</v>
      </c>
      <c r="T79" s="75">
        <v>0.25</v>
      </c>
      <c r="U79" s="75">
        <v>0.25</v>
      </c>
      <c r="V79" s="75">
        <v>0</v>
      </c>
      <c r="W79" s="75">
        <v>0.2</v>
      </c>
      <c r="X79" s="75">
        <f>IFERROR(VIEW_IV_2019_REP_CALCULO_TRI[[#This Row],[Demanda-BERINERT]]/VIEW_IV_2019_REP_CALCULO_TRI[[#This Row],[Cota-BERINERT]],0)</f>
        <v>0</v>
      </c>
      <c r="Y79" s="75">
        <f>IFERROR(VIEW_IV_2019_REP_CALCULO_TRI[[#This Row],[Demanda-BERIPLEX]]/VIEW_IV_2019_REP_CALCULO_TRI[[#This Row],[Cota-BERIPLEX]],0)</f>
        <v>0</v>
      </c>
      <c r="Z79" s="75">
        <f>IFERROR(VIEW_IV_2019_REP_CALCULO_TRI[[#This Row],[Demanda-HAEMO]]/VIEW_IV_2019_REP_CALCULO_TRI[[#This Row],[Cota-HAEMO]],0)</f>
        <v>0</v>
      </c>
      <c r="AA79" s="75">
        <f>IFERROR(VIEW_IV_2019_REP_CALCULO_TRI[[#This Row],[Demanda-HIZENTRA]]/VIEW_IV_2019_REP_CALCULO_TRI[[#This Row],[Cota-HIZENTRA]],0)</f>
        <v>0</v>
      </c>
      <c r="AB79" s="75">
        <f>IFERROR(VIEW_IV_2019_REP_CALCULO_TRI[[#This Row],[Demanda-PRIVIGEN]]/VIEW_IV_2019_REP_CALCULO_TRI[[#This Row],[Cota-PRIVIGEN]],0)</f>
        <v>0</v>
      </c>
      <c r="AC79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79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79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79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79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79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79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79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79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79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79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79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79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79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79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79" s="102">
        <f>SUM(VIEW_IV_2019_REP_CALCULO_TRI[[#This Row],[Recuperavel-BERINERT]:[Recuperavel-PRIVIGEN]])</f>
        <v>0</v>
      </c>
    </row>
    <row r="80" spans="1:44" x14ac:dyDescent="0.25">
      <c r="A80" s="7" t="s">
        <v>16</v>
      </c>
      <c r="B80" s="7" t="s">
        <v>377</v>
      </c>
      <c r="C80" s="8" t="s">
        <v>173</v>
      </c>
      <c r="D80" s="8" t="s">
        <v>174</v>
      </c>
      <c r="E80" s="8" t="s">
        <v>557</v>
      </c>
      <c r="F80" s="8" t="s">
        <v>206</v>
      </c>
      <c r="G80" s="3" t="b">
        <v>1</v>
      </c>
      <c r="H80" s="3" t="b">
        <v>1</v>
      </c>
      <c r="I80" s="10">
        <v>0</v>
      </c>
      <c r="J80" s="10">
        <v>414</v>
      </c>
      <c r="K80" s="10">
        <v>270</v>
      </c>
      <c r="L80" s="10">
        <v>0</v>
      </c>
      <c r="M80" s="10">
        <v>10890</v>
      </c>
      <c r="N80" s="10"/>
      <c r="O80" s="10"/>
      <c r="P80" s="10"/>
      <c r="Q80" s="10"/>
      <c r="R80" s="10"/>
      <c r="S80" s="75">
        <v>0</v>
      </c>
      <c r="T80" s="75">
        <v>0.25</v>
      </c>
      <c r="U80" s="75">
        <v>0.25</v>
      </c>
      <c r="V80" s="75">
        <v>0</v>
      </c>
      <c r="W80" s="75">
        <v>0.2</v>
      </c>
      <c r="X80" s="75">
        <f>IFERROR(VIEW_IV_2019_REP_CALCULO_TRI[[#This Row],[Demanda-BERINERT]]/VIEW_IV_2019_REP_CALCULO_TRI[[#This Row],[Cota-BERINERT]],0)</f>
        <v>0</v>
      </c>
      <c r="Y80" s="75">
        <f>IFERROR(VIEW_IV_2019_REP_CALCULO_TRI[[#This Row],[Demanda-BERIPLEX]]/VIEW_IV_2019_REP_CALCULO_TRI[[#This Row],[Cota-BERIPLEX]],0)</f>
        <v>0</v>
      </c>
      <c r="Z80" s="75">
        <f>IFERROR(VIEW_IV_2019_REP_CALCULO_TRI[[#This Row],[Demanda-HAEMO]]/VIEW_IV_2019_REP_CALCULO_TRI[[#This Row],[Cota-HAEMO]],0)</f>
        <v>0</v>
      </c>
      <c r="AA80" s="75">
        <f>IFERROR(VIEW_IV_2019_REP_CALCULO_TRI[[#This Row],[Demanda-HIZENTRA]]/VIEW_IV_2019_REP_CALCULO_TRI[[#This Row],[Cota-HIZENTRA]],0)</f>
        <v>0</v>
      </c>
      <c r="AB80" s="75">
        <f>IFERROR(VIEW_IV_2019_REP_CALCULO_TRI[[#This Row],[Demanda-PRIVIGEN]]/VIEW_IV_2019_REP_CALCULO_TRI[[#This Row],[Cota-PRIVIGEN]],0)</f>
        <v>0</v>
      </c>
      <c r="AC80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0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0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0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0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0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0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0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0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0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0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0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0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0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0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0" s="102">
        <f>SUM(VIEW_IV_2019_REP_CALCULO_TRI[[#This Row],[Recuperavel-BERINERT]:[Recuperavel-PRIVIGEN]])</f>
        <v>0</v>
      </c>
    </row>
    <row r="81" spans="1:44" x14ac:dyDescent="0.25">
      <c r="A81" s="7" t="s">
        <v>16</v>
      </c>
      <c r="B81" s="7" t="s">
        <v>377</v>
      </c>
      <c r="C81" s="8" t="s">
        <v>177</v>
      </c>
      <c r="D81" s="8" t="s">
        <v>178</v>
      </c>
      <c r="E81" s="8" t="s">
        <v>557</v>
      </c>
      <c r="F81" s="8" t="s">
        <v>208</v>
      </c>
      <c r="G81" s="3" t="b">
        <v>1</v>
      </c>
      <c r="H81" s="3" t="b">
        <v>1</v>
      </c>
      <c r="I81" s="10">
        <v>0</v>
      </c>
      <c r="J81" s="10">
        <v>483</v>
      </c>
      <c r="K81" s="10">
        <v>450</v>
      </c>
      <c r="L81" s="10">
        <v>0</v>
      </c>
      <c r="M81" s="10">
        <v>14520</v>
      </c>
      <c r="N81" s="10"/>
      <c r="O81" s="10"/>
      <c r="P81" s="10"/>
      <c r="Q81" s="10"/>
      <c r="R81" s="10"/>
      <c r="S81" s="75">
        <v>0</v>
      </c>
      <c r="T81" s="75">
        <v>0.25</v>
      </c>
      <c r="U81" s="75">
        <v>0.25</v>
      </c>
      <c r="V81" s="75">
        <v>0</v>
      </c>
      <c r="W81" s="75">
        <v>0.2</v>
      </c>
      <c r="X81" s="75">
        <f>IFERROR(VIEW_IV_2019_REP_CALCULO_TRI[[#This Row],[Demanda-BERINERT]]/VIEW_IV_2019_REP_CALCULO_TRI[[#This Row],[Cota-BERINERT]],0)</f>
        <v>0</v>
      </c>
      <c r="Y81" s="75">
        <f>IFERROR(VIEW_IV_2019_REP_CALCULO_TRI[[#This Row],[Demanda-BERIPLEX]]/VIEW_IV_2019_REP_CALCULO_TRI[[#This Row],[Cota-BERIPLEX]],0)</f>
        <v>0</v>
      </c>
      <c r="Z81" s="75">
        <f>IFERROR(VIEW_IV_2019_REP_CALCULO_TRI[[#This Row],[Demanda-HAEMO]]/VIEW_IV_2019_REP_CALCULO_TRI[[#This Row],[Cota-HAEMO]],0)</f>
        <v>0</v>
      </c>
      <c r="AA81" s="75">
        <f>IFERROR(VIEW_IV_2019_REP_CALCULO_TRI[[#This Row],[Demanda-HIZENTRA]]/VIEW_IV_2019_REP_CALCULO_TRI[[#This Row],[Cota-HIZENTRA]],0)</f>
        <v>0</v>
      </c>
      <c r="AB81" s="75">
        <f>IFERROR(VIEW_IV_2019_REP_CALCULO_TRI[[#This Row],[Demanda-PRIVIGEN]]/VIEW_IV_2019_REP_CALCULO_TRI[[#This Row],[Cota-PRIVIGEN]],0)</f>
        <v>0</v>
      </c>
      <c r="AC81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1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1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1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1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1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1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1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1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1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1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1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1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1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1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1" s="102">
        <f>SUM(VIEW_IV_2019_REP_CALCULO_TRI[[#This Row],[Recuperavel-BERINERT]:[Recuperavel-PRIVIGEN]])</f>
        <v>0</v>
      </c>
    </row>
    <row r="82" spans="1:44" x14ac:dyDescent="0.25">
      <c r="A82" s="7" t="s">
        <v>16</v>
      </c>
      <c r="B82" s="7" t="s">
        <v>377</v>
      </c>
      <c r="C82" s="8" t="s">
        <v>181</v>
      </c>
      <c r="D82" s="8" t="s">
        <v>182</v>
      </c>
      <c r="E82" s="8" t="s">
        <v>557</v>
      </c>
      <c r="F82" s="8" t="s">
        <v>206</v>
      </c>
      <c r="G82" s="3" t="b">
        <v>1</v>
      </c>
      <c r="H82" s="3" t="b">
        <v>1</v>
      </c>
      <c r="I82" s="10">
        <v>0</v>
      </c>
      <c r="J82" s="10">
        <v>759</v>
      </c>
      <c r="K82" s="10">
        <v>540</v>
      </c>
      <c r="L82" s="10">
        <v>0</v>
      </c>
      <c r="M82" s="10">
        <v>16335</v>
      </c>
      <c r="N82" s="10"/>
      <c r="O82" s="10"/>
      <c r="P82" s="10"/>
      <c r="Q82" s="10"/>
      <c r="R82" s="10"/>
      <c r="S82" s="75">
        <v>0</v>
      </c>
      <c r="T82" s="75">
        <v>0.25</v>
      </c>
      <c r="U82" s="75">
        <v>0.25</v>
      </c>
      <c r="V82" s="75">
        <v>0</v>
      </c>
      <c r="W82" s="75">
        <v>0.2</v>
      </c>
      <c r="X82" s="75">
        <f>IFERROR(VIEW_IV_2019_REP_CALCULO_TRI[[#This Row],[Demanda-BERINERT]]/VIEW_IV_2019_REP_CALCULO_TRI[[#This Row],[Cota-BERINERT]],0)</f>
        <v>0</v>
      </c>
      <c r="Y82" s="75">
        <f>IFERROR(VIEW_IV_2019_REP_CALCULO_TRI[[#This Row],[Demanda-BERIPLEX]]/VIEW_IV_2019_REP_CALCULO_TRI[[#This Row],[Cota-BERIPLEX]],0)</f>
        <v>0</v>
      </c>
      <c r="Z82" s="75">
        <f>IFERROR(VIEW_IV_2019_REP_CALCULO_TRI[[#This Row],[Demanda-HAEMO]]/VIEW_IV_2019_REP_CALCULO_TRI[[#This Row],[Cota-HAEMO]],0)</f>
        <v>0</v>
      </c>
      <c r="AA82" s="75">
        <f>IFERROR(VIEW_IV_2019_REP_CALCULO_TRI[[#This Row],[Demanda-HIZENTRA]]/VIEW_IV_2019_REP_CALCULO_TRI[[#This Row],[Cota-HIZENTRA]],0)</f>
        <v>0</v>
      </c>
      <c r="AB82" s="75">
        <f>IFERROR(VIEW_IV_2019_REP_CALCULO_TRI[[#This Row],[Demanda-PRIVIGEN]]/VIEW_IV_2019_REP_CALCULO_TRI[[#This Row],[Cota-PRIVIGEN]],0)</f>
        <v>0</v>
      </c>
      <c r="AC82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2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2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2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2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2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2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2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2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2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2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2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2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2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2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2" s="102">
        <f>SUM(VIEW_IV_2019_REP_CALCULO_TRI[[#This Row],[Recuperavel-BERINERT]:[Recuperavel-PRIVIGEN]])</f>
        <v>0</v>
      </c>
    </row>
    <row r="83" spans="1:44" x14ac:dyDescent="0.25">
      <c r="A83" s="7" t="s">
        <v>16</v>
      </c>
      <c r="B83" s="7" t="s">
        <v>377</v>
      </c>
      <c r="C83" s="8" t="s">
        <v>183</v>
      </c>
      <c r="D83" s="8" t="s">
        <v>184</v>
      </c>
      <c r="E83" s="8" t="s">
        <v>557</v>
      </c>
      <c r="F83" s="8" t="s">
        <v>208</v>
      </c>
      <c r="G83" s="3" t="b">
        <v>1</v>
      </c>
      <c r="H83" s="3" t="b">
        <v>1</v>
      </c>
      <c r="I83" s="10">
        <v>0</v>
      </c>
      <c r="J83" s="10">
        <v>621</v>
      </c>
      <c r="K83" s="10">
        <v>315</v>
      </c>
      <c r="L83" s="10">
        <v>0</v>
      </c>
      <c r="M83" s="10">
        <v>19965</v>
      </c>
      <c r="N83" s="10"/>
      <c r="O83" s="10"/>
      <c r="P83" s="10"/>
      <c r="Q83" s="10"/>
      <c r="R83" s="10"/>
      <c r="S83" s="75">
        <v>0</v>
      </c>
      <c r="T83" s="75">
        <v>0.25</v>
      </c>
      <c r="U83" s="75">
        <v>0.25</v>
      </c>
      <c r="V83" s="75">
        <v>0</v>
      </c>
      <c r="W83" s="75">
        <v>0.2</v>
      </c>
      <c r="X83" s="75">
        <f>IFERROR(VIEW_IV_2019_REP_CALCULO_TRI[[#This Row],[Demanda-BERINERT]]/VIEW_IV_2019_REP_CALCULO_TRI[[#This Row],[Cota-BERINERT]],0)</f>
        <v>0</v>
      </c>
      <c r="Y83" s="75">
        <f>IFERROR(VIEW_IV_2019_REP_CALCULO_TRI[[#This Row],[Demanda-BERIPLEX]]/VIEW_IV_2019_REP_CALCULO_TRI[[#This Row],[Cota-BERIPLEX]],0)</f>
        <v>0</v>
      </c>
      <c r="Z83" s="75">
        <f>IFERROR(VIEW_IV_2019_REP_CALCULO_TRI[[#This Row],[Demanda-HAEMO]]/VIEW_IV_2019_REP_CALCULO_TRI[[#This Row],[Cota-HAEMO]],0)</f>
        <v>0</v>
      </c>
      <c r="AA83" s="75">
        <f>IFERROR(VIEW_IV_2019_REP_CALCULO_TRI[[#This Row],[Demanda-HIZENTRA]]/VIEW_IV_2019_REP_CALCULO_TRI[[#This Row],[Cota-HIZENTRA]],0)</f>
        <v>0</v>
      </c>
      <c r="AB83" s="75">
        <f>IFERROR(VIEW_IV_2019_REP_CALCULO_TRI[[#This Row],[Demanda-PRIVIGEN]]/VIEW_IV_2019_REP_CALCULO_TRI[[#This Row],[Cota-PRIVIGEN]],0)</f>
        <v>0</v>
      </c>
      <c r="AC83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3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3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3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3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3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3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3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3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3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3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3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3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3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3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3" s="102">
        <f>SUM(VIEW_IV_2019_REP_CALCULO_TRI[[#This Row],[Recuperavel-BERINERT]:[Recuperavel-PRIVIGEN]])</f>
        <v>0</v>
      </c>
    </row>
    <row r="84" spans="1:44" x14ac:dyDescent="0.25">
      <c r="A84" s="7" t="s">
        <v>16</v>
      </c>
      <c r="B84" s="7" t="s">
        <v>377</v>
      </c>
      <c r="C84" s="8" t="s">
        <v>159</v>
      </c>
      <c r="D84" s="8" t="s">
        <v>160</v>
      </c>
      <c r="E84" s="8" t="s">
        <v>740</v>
      </c>
      <c r="F84" s="8" t="s">
        <v>206</v>
      </c>
      <c r="G84" s="3" t="b">
        <v>1</v>
      </c>
      <c r="H84" s="3" t="b">
        <v>1</v>
      </c>
      <c r="I84" s="10">
        <v>18</v>
      </c>
      <c r="J84" s="10">
        <v>276</v>
      </c>
      <c r="K84" s="10">
        <v>180</v>
      </c>
      <c r="L84" s="10">
        <v>855</v>
      </c>
      <c r="M84" s="10">
        <v>16335</v>
      </c>
      <c r="N84" s="10"/>
      <c r="O84" s="10"/>
      <c r="P84" s="10"/>
      <c r="Q84" s="10"/>
      <c r="R84" s="10"/>
      <c r="S84" s="75">
        <v>0.05</v>
      </c>
      <c r="T84" s="75">
        <v>0.15</v>
      </c>
      <c r="U84" s="75">
        <v>0.15</v>
      </c>
      <c r="V84" s="75">
        <v>0.2</v>
      </c>
      <c r="W84" s="75">
        <v>0.15</v>
      </c>
      <c r="X84" s="75">
        <f>IFERROR(VIEW_IV_2019_REP_CALCULO_TRI[[#This Row],[Demanda-BERINERT]]/VIEW_IV_2019_REP_CALCULO_TRI[[#This Row],[Cota-BERINERT]],0)</f>
        <v>0</v>
      </c>
      <c r="Y84" s="75">
        <f>IFERROR(VIEW_IV_2019_REP_CALCULO_TRI[[#This Row],[Demanda-BERIPLEX]]/VIEW_IV_2019_REP_CALCULO_TRI[[#This Row],[Cota-BERIPLEX]],0)</f>
        <v>0</v>
      </c>
      <c r="Z84" s="75">
        <f>IFERROR(VIEW_IV_2019_REP_CALCULO_TRI[[#This Row],[Demanda-HAEMO]]/VIEW_IV_2019_REP_CALCULO_TRI[[#This Row],[Cota-HAEMO]],0)</f>
        <v>0</v>
      </c>
      <c r="AA84" s="75">
        <f>IFERROR(VIEW_IV_2019_REP_CALCULO_TRI[[#This Row],[Demanda-HIZENTRA]]/VIEW_IV_2019_REP_CALCULO_TRI[[#This Row],[Cota-HIZENTRA]],0)</f>
        <v>0</v>
      </c>
      <c r="AB84" s="75">
        <f>IFERROR(VIEW_IV_2019_REP_CALCULO_TRI[[#This Row],[Demanda-PRIVIGEN]]/VIEW_IV_2019_REP_CALCULO_TRI[[#This Row],[Cota-PRIVIGEN]],0)</f>
        <v>0</v>
      </c>
      <c r="AC84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4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4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4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4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4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4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4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4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4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4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4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4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4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4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4" s="102">
        <f>SUM(VIEW_IV_2019_REP_CALCULO_TRI[[#This Row],[Recuperavel-BERINERT]:[Recuperavel-PRIVIGEN]])</f>
        <v>0</v>
      </c>
    </row>
    <row r="85" spans="1:44" x14ac:dyDescent="0.25">
      <c r="A85" s="7" t="s">
        <v>16</v>
      </c>
      <c r="B85" s="7" t="s">
        <v>377</v>
      </c>
      <c r="C85" s="8" t="s">
        <v>201</v>
      </c>
      <c r="D85" s="8" t="s">
        <v>202</v>
      </c>
      <c r="E85" s="8" t="s">
        <v>740</v>
      </c>
      <c r="F85" s="8" t="s">
        <v>212</v>
      </c>
      <c r="G85" s="3" t="b">
        <v>1</v>
      </c>
      <c r="H85" s="3" t="b">
        <v>1</v>
      </c>
      <c r="I85" s="10">
        <v>62</v>
      </c>
      <c r="J85" s="10">
        <v>138</v>
      </c>
      <c r="K85" s="10">
        <v>45</v>
      </c>
      <c r="L85" s="10">
        <v>1368</v>
      </c>
      <c r="M85" s="10">
        <v>12705</v>
      </c>
      <c r="N85" s="10"/>
      <c r="O85" s="10"/>
      <c r="P85" s="10"/>
      <c r="Q85" s="10"/>
      <c r="R85" s="10"/>
      <c r="S85" s="75">
        <v>0.05</v>
      </c>
      <c r="T85" s="75">
        <v>0.15</v>
      </c>
      <c r="U85" s="75">
        <v>0.15</v>
      </c>
      <c r="V85" s="75">
        <v>0.2</v>
      </c>
      <c r="W85" s="75">
        <v>0.15</v>
      </c>
      <c r="X85" s="75">
        <f>IFERROR(VIEW_IV_2019_REP_CALCULO_TRI[[#This Row],[Demanda-BERINERT]]/VIEW_IV_2019_REP_CALCULO_TRI[[#This Row],[Cota-BERINERT]],0)</f>
        <v>0</v>
      </c>
      <c r="Y85" s="75">
        <f>IFERROR(VIEW_IV_2019_REP_CALCULO_TRI[[#This Row],[Demanda-BERIPLEX]]/VIEW_IV_2019_REP_CALCULO_TRI[[#This Row],[Cota-BERIPLEX]],0)</f>
        <v>0</v>
      </c>
      <c r="Z85" s="75">
        <f>IFERROR(VIEW_IV_2019_REP_CALCULO_TRI[[#This Row],[Demanda-HAEMO]]/VIEW_IV_2019_REP_CALCULO_TRI[[#This Row],[Cota-HAEMO]],0)</f>
        <v>0</v>
      </c>
      <c r="AA85" s="75">
        <f>IFERROR(VIEW_IV_2019_REP_CALCULO_TRI[[#This Row],[Demanda-HIZENTRA]]/VIEW_IV_2019_REP_CALCULO_TRI[[#This Row],[Cota-HIZENTRA]],0)</f>
        <v>0</v>
      </c>
      <c r="AB85" s="75">
        <f>IFERROR(VIEW_IV_2019_REP_CALCULO_TRI[[#This Row],[Demanda-PRIVIGEN]]/VIEW_IV_2019_REP_CALCULO_TRI[[#This Row],[Cota-PRIVIGEN]],0)</f>
        <v>0</v>
      </c>
      <c r="AC85" s="65">
        <f>(IF(VIEW_IV_2019_REP_CALCULO_TRI[[#This Row],[Cobertura-BERINERT]]&lt;Cob_Min_REP,0,IF(VIEW_IV_2019_REP_CALCULO_TRI[[#This Row],[Cobertura-BERINERT]]&gt;Cob_Max_REP,Vlr_Max_REP,VLOOKUP(VIEW_IV_2019_REP_CALCULO_TRI[[#This Row],[Cobertura-BERINERT]],Tabela_Valores_REP,2,1)))*VIEW_IV_2019_REP_CALCULO_TRI[[#This Row],[Peso-BERINERT]])*3</f>
        <v>0</v>
      </c>
      <c r="AD85" s="65">
        <f>(IF(VIEW_IV_2019_REP_CALCULO_TRI[[#This Row],[Cobertura-BERIPLEX]]&lt;Cob_Min_REP,0,IF(VIEW_IV_2019_REP_CALCULO_TRI[[#This Row],[Cobertura-BERIPLEX]]&gt;Cob_Max_REP,Vlr_Max_REP,VLOOKUP(VIEW_IV_2019_REP_CALCULO_TRI[[#This Row],[Cobertura-BERIPLEX]],Tabela_Valores_REP,2,1)))*VIEW_IV_2019_REP_CALCULO_TRI[[#This Row],[Peso-BERIPLEX]])*3</f>
        <v>0</v>
      </c>
      <c r="AE85" s="65">
        <f>(IF(VIEW_IV_2019_REP_CALCULO_TRI[[#This Row],[Cobertura-HAEMO]]&lt;Cob_Min_REP,0,IF(VIEW_IV_2019_REP_CALCULO_TRI[[#This Row],[Cobertura-HAEMO]]&gt;Cob_Max_REP,Vlr_Max_REP,VLOOKUP(VIEW_IV_2019_REP_CALCULO_TRI[[#This Row],[Cobertura-HAEMO]],Tabela_Valores_REP,2,1)))*VIEW_IV_2019_REP_CALCULO_TRI[[#This Row],[Peso-HAEMO]])*3</f>
        <v>0</v>
      </c>
      <c r="AF85" s="65">
        <f>(IF(VIEW_IV_2019_REP_CALCULO_TRI[[#This Row],[Cobertura-HIZENTRA]]&lt;Cob_Min_REP,0,IF(VIEW_IV_2019_REP_CALCULO_TRI[[#This Row],[Cobertura-HIZENTRA]]&gt;Cob_Max_REP,Vlr_Max_REP,VLOOKUP(VIEW_IV_2019_REP_CALCULO_TRI[[#This Row],[Cobertura-HIZENTRA]],Tabela_Valores_REP,2,1)))*VIEW_IV_2019_REP_CALCULO_TRI[[#This Row],[Peso-HIZENTRA]])*3</f>
        <v>0</v>
      </c>
      <c r="AG85" s="65">
        <f>(IF(VIEW_IV_2019_REP_CALCULO_TRI[[#This Row],[Cobertura-PRIVIGEN]]&lt;Cob_Min_REP,0,IF(VIEW_IV_2019_REP_CALCULO_TRI[[#This Row],[Cobertura-PRIVIGEN]]&gt;Cob_Max_REP,Vlr_Max_REP,VLOOKUP(VIEW_IV_2019_REP_CALCULO_TRI[[#This Row],[Cobertura-PRIVIGEN]],Tabela_Valores_REP,2,1)))*VIEW_IV_2019_REP_CALCULO_TRI[[#This Row],[Peso-PRIVIGEN]])*3</f>
        <v>0</v>
      </c>
      <c r="AH85" s="65">
        <f>SUMIFS(VIEW_IV_2019_REP_CALCULO[Premio-BERINERT],VIEW_IV_2019_REP_CALCULO[Ano-Fiscal],VIEW_IV_2019_REP_CALCULO_TRI[[#This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I85" s="65">
        <f>SUMIFS(VIEW_IV_2019_REP_CALCULO[Premio-BERIPLEX],VIEW_IV_2019_REP_CALCULO[Ano-Fiscal],VIEW_IV_2019_REP_CALCULO_TRI[[#This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J85" s="65">
        <f>SUMIFS(VIEW_IV_2019_REP_CALCULO[Premio-HAEMO],VIEW_IV_2019_REP_CALCULO[Ano-Fiscal],VIEW_IV_2019_REP_CALCULO_TRI[[#This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K85" s="65">
        <f>SUMIFS(VIEW_IV_2019_REP_CALCULO[Premio-HIZENTRA],VIEW_IV_2019_REP_CALCULO[Ano-Fiscal],VIEW_IV_2019_REP_CALCULO_TRI[[#This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L85" s="65">
        <f>SUMIFS(VIEW_IV_2019_REP_CALCULO[Premio-PRIVIGEN],VIEW_IV_2019_REP_CALCULO[Ano-Fiscal],VIEW_IV_2019_REP_CALCULO_TRI[[#This Row],[Ano-Fiscal]],VIEW_IV_2019_REP_CALCULO[Tri-Fiscal],VIEW_IV_2019_REP_CALCULO_TRI[[#This Row],[Tri-Fiscal]],VIEW_IV_2019_REP_CALCULO['#PK-Email],VIEW_IV_2019_REP_CALCULO_TRI[[#This Row],['#PK-Email]])</f>
        <v>0</v>
      </c>
      <c r="AM85" s="65">
        <f>IF((VIEW_IV_2019_REP_CALCULO_TRI[[#This Row],[Premio-BERINERT]]-VIEW_IV_2019_REP_CALCULO_TRI[[#This Row],[Recebido-BERINERT]])&lt;=0,0,VIEW_IV_2019_REP_CALCULO_TRI[[#This Row],[Premio-BERINERT]]-VIEW_IV_2019_REP_CALCULO_TRI[[#This Row],[Recebido-BERINERT]])</f>
        <v>0</v>
      </c>
      <c r="AN85" s="65">
        <f>IF((VIEW_IV_2019_REP_CALCULO_TRI[[#This Row],[Premio-BERIPLEX]]-VIEW_IV_2019_REP_CALCULO_TRI[[#This Row],[Recebido-BERIPLEX]])&lt;=0,0,VIEW_IV_2019_REP_CALCULO_TRI[[#This Row],[Premio-BERIPLEX]]-VIEW_IV_2019_REP_CALCULO_TRI[[#This Row],[Recebido-BERIPLEX]])</f>
        <v>0</v>
      </c>
      <c r="AO85" s="65">
        <f>IF((VIEW_IV_2019_REP_CALCULO_TRI[[#This Row],[Premio-HAEMO]]-VIEW_IV_2019_REP_CALCULO_TRI[[#This Row],[Recebido-HAEMO]])&lt;=0,0,VIEW_IV_2019_REP_CALCULO_TRI[[#This Row],[Premio-HAEMO]]-VIEW_IV_2019_REP_CALCULO_TRI[[#This Row],[Recebido-HAEMO]])</f>
        <v>0</v>
      </c>
      <c r="AP85" s="65">
        <f>IF((VIEW_IV_2019_REP_CALCULO_TRI[[#This Row],[Premio-HIZENTRA]]-VIEW_IV_2019_REP_CALCULO_TRI[[#This Row],[Recebido-HIZENTRA]])&lt;=0,0,VIEW_IV_2019_REP_CALCULO_TRI[[#This Row],[Premio-HIZENTRA]]-VIEW_IV_2019_REP_CALCULO_TRI[[#This Row],[Recebido-HIZENTRA]])</f>
        <v>0</v>
      </c>
      <c r="AQ85" s="65">
        <f>IF((VIEW_IV_2019_REP_CALCULO_TRI[[#This Row],[Premio-PRIVIGEN]]-VIEW_IV_2019_REP_CALCULO_TRI[[#This Row],[Recebido-PRIVIGEN]])&lt;=0,0,VIEW_IV_2019_REP_CALCULO_TRI[[#This Row],[Premio-PRIVIGEN]]-VIEW_IV_2019_REP_CALCULO_TRI[[#This Row],[Recebido-PRIVIGEN]])</f>
        <v>0</v>
      </c>
      <c r="AR85" s="102">
        <f>SUM(VIEW_IV_2019_REP_CALCULO_TRI[[#This Row],[Recuperavel-BERINERT]:[Recuperavel-PRIVIGEN]])</f>
        <v>0</v>
      </c>
    </row>
  </sheetData>
  <conditionalFormatting sqref="I1:R1">
    <cfRule type="cellIs" dxfId="1607" priority="5" operator="equal">
      <formula>"erro"</formula>
    </cfRule>
    <cfRule type="cellIs" dxfId="1606" priority="6" operator="equal">
      <formula>"ok"</formula>
    </cfRule>
  </conditionalFormatting>
  <conditionalFormatting sqref="X1:AB1">
    <cfRule type="cellIs" dxfId="1605" priority="3" operator="equal">
      <formula>"erro"</formula>
    </cfRule>
    <cfRule type="cellIs" dxfId="1604" priority="4" operator="equal">
      <formula>"ok"</formula>
    </cfRule>
  </conditionalFormatting>
  <conditionalFormatting sqref="AH1:AL1">
    <cfRule type="cellIs" dxfId="1603" priority="1" operator="equal">
      <formula>"erro"</formula>
    </cfRule>
    <cfRule type="cellIs" dxfId="1602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D7202-5C1E-4B3F-9ED4-B08EDE0A10B7}">
  <sheetPr codeName="Planilha15">
    <tabColor theme="9" tint="0.39997558519241921"/>
  </sheetPr>
  <dimension ref="A1:S119"/>
  <sheetViews>
    <sheetView showGridLines="0" workbookViewId="0">
      <pane xSplit="5" ySplit="5" topLeftCell="J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defaultRowHeight="15" x14ac:dyDescent="0.25"/>
  <cols>
    <col min="1" max="1" width="11" style="6" bestFit="1" customWidth="1"/>
    <col min="2" max="2" width="11.140625" style="6" bestFit="1" customWidth="1"/>
    <col min="3" max="3" width="9.85546875" style="3" bestFit="1" customWidth="1"/>
    <col min="4" max="4" width="32.42578125" style="3" bestFit="1" customWidth="1"/>
    <col min="5" max="5" width="46.85546875" style="3" bestFit="1" customWidth="1"/>
    <col min="6" max="6" width="16.42578125" style="3" bestFit="1" customWidth="1"/>
    <col min="7" max="7" width="9.7109375" style="3" bestFit="1" customWidth="1"/>
    <col min="8" max="8" width="9.5703125" style="3" bestFit="1" customWidth="1"/>
    <col min="9" max="9" width="24.85546875" style="3" bestFit="1" customWidth="1"/>
    <col min="10" max="11" width="11" style="3" bestFit="1" customWidth="1"/>
    <col min="12" max="12" width="13.140625" style="3" bestFit="1" customWidth="1"/>
    <col min="13" max="14" width="11.28515625" style="3" bestFit="1" customWidth="1"/>
    <col min="15" max="15" width="14.85546875" style="3" bestFit="1" customWidth="1"/>
    <col min="16" max="16" width="16.85546875" style="3" bestFit="1" customWidth="1"/>
    <col min="17" max="17" width="17" style="3" bestFit="1" customWidth="1"/>
    <col min="18" max="18" width="16.85546875" style="3" bestFit="1" customWidth="1"/>
    <col min="19" max="19" width="14.5703125" bestFit="1" customWidth="1"/>
    <col min="20" max="20" width="12.42578125" style="3" bestFit="1" customWidth="1"/>
    <col min="21" max="21" width="30.7109375" style="3" bestFit="1" customWidth="1"/>
    <col min="22" max="22" width="29.140625" style="3" bestFit="1" customWidth="1"/>
    <col min="23" max="23" width="12.42578125" style="3" bestFit="1" customWidth="1"/>
    <col min="24" max="24" width="14.7109375" style="3" bestFit="1" customWidth="1"/>
    <col min="25" max="26" width="12.7109375" style="3" bestFit="1" customWidth="1"/>
    <col min="27" max="27" width="17" style="3" bestFit="1" customWidth="1"/>
    <col min="28" max="28" width="19.28515625" style="3" bestFit="1" customWidth="1"/>
    <col min="29" max="29" width="11.42578125" style="3" bestFit="1" customWidth="1"/>
    <col min="30" max="30" width="18.85546875" style="3" bestFit="1" customWidth="1"/>
    <col min="31" max="16384" width="9.140625" style="3"/>
  </cols>
  <sheetData>
    <row r="1" spans="1:18" ht="15.75" x14ac:dyDescent="0.25">
      <c r="A1" s="49" t="s">
        <v>367</v>
      </c>
      <c r="B1" s="3"/>
      <c r="R1" s="79">
        <v>0.05</v>
      </c>
    </row>
    <row r="2" spans="1:18" x14ac:dyDescent="0.25">
      <c r="A2" s="63" t="s">
        <v>317</v>
      </c>
      <c r="B2" s="3"/>
      <c r="R2" s="78">
        <f>SUM(VIEW_IV_2019_VISITAS_REP[Visitas-Premio])</f>
        <v>10030.482038274286</v>
      </c>
    </row>
    <row r="3" spans="1:18" x14ac:dyDescent="0.25">
      <c r="R3" s="60">
        <f>SUBTOTAL(9,VIEW_IV_2019_VISITAS_REP[Visitas-Premio])</f>
        <v>10030.482038274286</v>
      </c>
    </row>
    <row r="5" spans="1:18" x14ac:dyDescent="0.25">
      <c r="A5" s="3" t="s">
        <v>2</v>
      </c>
      <c r="B5" s="3" t="s">
        <v>3</v>
      </c>
      <c r="C5" s="3" t="s">
        <v>4</v>
      </c>
      <c r="D5" s="3" t="s">
        <v>132</v>
      </c>
      <c r="E5" s="3" t="s">
        <v>133</v>
      </c>
      <c r="F5" s="3" t="s">
        <v>136</v>
      </c>
      <c r="G5" s="3" t="s">
        <v>137</v>
      </c>
      <c r="H5" s="3" t="s">
        <v>138</v>
      </c>
      <c r="I5" s="3" t="s">
        <v>204</v>
      </c>
      <c r="J5" s="3" t="s">
        <v>365</v>
      </c>
      <c r="K5" s="3" t="s">
        <v>360</v>
      </c>
      <c r="L5" s="3" t="s">
        <v>361</v>
      </c>
      <c r="M5" s="3" t="s">
        <v>362</v>
      </c>
      <c r="N5" s="3" t="s">
        <v>363</v>
      </c>
      <c r="O5" s="3" t="s">
        <v>358</v>
      </c>
      <c r="P5" s="3" t="s">
        <v>359</v>
      </c>
      <c r="Q5" s="3" t="s">
        <v>364</v>
      </c>
      <c r="R5" s="36" t="s">
        <v>366</v>
      </c>
    </row>
    <row r="6" spans="1:18" x14ac:dyDescent="0.25">
      <c r="A6" s="7" t="s">
        <v>16</v>
      </c>
      <c r="B6" s="7" t="s">
        <v>17</v>
      </c>
      <c r="C6" s="7" t="s">
        <v>18</v>
      </c>
      <c r="D6" s="8" t="s">
        <v>144</v>
      </c>
      <c r="E6" s="8" t="s">
        <v>145</v>
      </c>
      <c r="F6" s="8" t="s">
        <v>557</v>
      </c>
      <c r="G6" s="14" t="b">
        <v>1</v>
      </c>
      <c r="H6" s="14" t="b">
        <v>1</v>
      </c>
      <c r="I6" s="8" t="s">
        <v>206</v>
      </c>
      <c r="J6" s="14" t="b">
        <v>0</v>
      </c>
      <c r="K6" s="6">
        <v>23</v>
      </c>
      <c r="L6" s="6">
        <v>3</v>
      </c>
      <c r="M6" s="6">
        <v>20</v>
      </c>
      <c r="N6" s="6">
        <v>8</v>
      </c>
      <c r="O6" s="6">
        <v>160</v>
      </c>
      <c r="P6" s="6">
        <v>2</v>
      </c>
      <c r="Q6" s="75">
        <v>1.2500000000000001E-2</v>
      </c>
      <c r="R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" spans="1:18" x14ac:dyDescent="0.25">
      <c r="A7" s="7" t="s">
        <v>16</v>
      </c>
      <c r="B7" s="7" t="s">
        <v>17</v>
      </c>
      <c r="C7" s="7" t="s">
        <v>18</v>
      </c>
      <c r="D7" s="8" t="s">
        <v>147</v>
      </c>
      <c r="E7" s="8" t="s">
        <v>148</v>
      </c>
      <c r="F7" s="8" t="s">
        <v>557</v>
      </c>
      <c r="G7" s="14" t="b">
        <v>1</v>
      </c>
      <c r="H7" s="14" t="b">
        <v>1</v>
      </c>
      <c r="I7" s="8" t="s">
        <v>208</v>
      </c>
      <c r="J7" s="14" t="b">
        <v>0</v>
      </c>
      <c r="K7" s="6">
        <v>23</v>
      </c>
      <c r="L7" s="6">
        <v>5</v>
      </c>
      <c r="M7" s="6">
        <v>18</v>
      </c>
      <c r="N7" s="6">
        <v>8</v>
      </c>
      <c r="O7" s="6">
        <v>144</v>
      </c>
      <c r="P7" s="6">
        <v>96</v>
      </c>
      <c r="Q7" s="75">
        <v>0.66666666666666674</v>
      </c>
      <c r="R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" spans="1:18" x14ac:dyDescent="0.25">
      <c r="A8" s="7" t="s">
        <v>16</v>
      </c>
      <c r="B8" s="7" t="s">
        <v>17</v>
      </c>
      <c r="C8" s="7" t="s">
        <v>18</v>
      </c>
      <c r="D8" s="8" t="s">
        <v>149</v>
      </c>
      <c r="E8" s="8" t="s">
        <v>150</v>
      </c>
      <c r="F8" s="8" t="s">
        <v>557</v>
      </c>
      <c r="G8" s="14" t="b">
        <v>1</v>
      </c>
      <c r="H8" s="14" t="b">
        <v>1</v>
      </c>
      <c r="I8" s="8" t="s">
        <v>208</v>
      </c>
      <c r="J8" s="14" t="b">
        <v>0</v>
      </c>
      <c r="K8" s="6">
        <v>23</v>
      </c>
      <c r="L8" s="6">
        <v>3</v>
      </c>
      <c r="M8" s="6">
        <v>20</v>
      </c>
      <c r="N8" s="6">
        <v>8</v>
      </c>
      <c r="O8" s="6">
        <v>160</v>
      </c>
      <c r="P8" s="6">
        <v>111</v>
      </c>
      <c r="Q8" s="75">
        <v>0.69374999999999998</v>
      </c>
      <c r="R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" spans="1:18" x14ac:dyDescent="0.25">
      <c r="A9" s="7" t="s">
        <v>16</v>
      </c>
      <c r="B9" s="7" t="s">
        <v>17</v>
      </c>
      <c r="C9" s="7" t="s">
        <v>18</v>
      </c>
      <c r="D9" s="8" t="s">
        <v>151</v>
      </c>
      <c r="E9" s="8" t="s">
        <v>152</v>
      </c>
      <c r="F9" s="8" t="s">
        <v>556</v>
      </c>
      <c r="G9" s="14" t="b">
        <v>1</v>
      </c>
      <c r="H9" s="14" t="b">
        <v>1</v>
      </c>
      <c r="I9" s="8" t="s">
        <v>208</v>
      </c>
      <c r="J9" s="14" t="b">
        <v>0</v>
      </c>
      <c r="K9" s="6">
        <v>23</v>
      </c>
      <c r="L9" s="6">
        <v>3</v>
      </c>
      <c r="M9" s="6">
        <v>20</v>
      </c>
      <c r="N9" s="6">
        <v>6</v>
      </c>
      <c r="O9" s="6">
        <v>120</v>
      </c>
      <c r="P9" s="6">
        <v>74</v>
      </c>
      <c r="Q9" s="75">
        <v>0.61666666666666659</v>
      </c>
      <c r="R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" spans="1:18" x14ac:dyDescent="0.25">
      <c r="A10" s="7" t="s">
        <v>16</v>
      </c>
      <c r="B10" s="7" t="s">
        <v>17</v>
      </c>
      <c r="C10" s="7" t="s">
        <v>18</v>
      </c>
      <c r="D10" s="8" t="s">
        <v>155</v>
      </c>
      <c r="E10" s="8" t="s">
        <v>156</v>
      </c>
      <c r="F10" s="8" t="s">
        <v>556</v>
      </c>
      <c r="G10" s="14" t="b">
        <v>1</v>
      </c>
      <c r="H10" s="14" t="b">
        <v>1</v>
      </c>
      <c r="I10" s="8" t="s">
        <v>206</v>
      </c>
      <c r="J10" s="14" t="b">
        <v>0</v>
      </c>
      <c r="K10" s="6">
        <v>23</v>
      </c>
      <c r="L10" s="6">
        <v>6</v>
      </c>
      <c r="M10" s="6">
        <v>17</v>
      </c>
      <c r="N10" s="6">
        <v>6</v>
      </c>
      <c r="O10" s="6">
        <v>102</v>
      </c>
      <c r="P10" s="6">
        <v>66</v>
      </c>
      <c r="Q10" s="75">
        <v>0.6470588235294118</v>
      </c>
      <c r="R1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1" spans="1:18" x14ac:dyDescent="0.25">
      <c r="A11" s="7" t="s">
        <v>16</v>
      </c>
      <c r="B11" s="7" t="s">
        <v>17</v>
      </c>
      <c r="C11" s="7" t="s">
        <v>18</v>
      </c>
      <c r="D11" s="8" t="s">
        <v>157</v>
      </c>
      <c r="E11" s="8" t="s">
        <v>158</v>
      </c>
      <c r="F11" s="8" t="s">
        <v>557</v>
      </c>
      <c r="G11" s="14" t="b">
        <v>1</v>
      </c>
      <c r="H11" s="14" t="b">
        <v>1</v>
      </c>
      <c r="I11" s="8" t="s">
        <v>206</v>
      </c>
      <c r="J11" s="14" t="b">
        <v>0</v>
      </c>
      <c r="K11" s="6">
        <v>23</v>
      </c>
      <c r="L11" s="6">
        <v>5</v>
      </c>
      <c r="M11" s="6">
        <v>18</v>
      </c>
      <c r="N11" s="6">
        <v>8</v>
      </c>
      <c r="O11" s="6">
        <v>144</v>
      </c>
      <c r="P11" s="6">
        <v>19</v>
      </c>
      <c r="Q11" s="75">
        <v>0.13194444444444445</v>
      </c>
      <c r="R1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2" spans="1:18" x14ac:dyDescent="0.25">
      <c r="A12" s="7" t="s">
        <v>16</v>
      </c>
      <c r="B12" s="7" t="s">
        <v>17</v>
      </c>
      <c r="C12" s="7" t="s">
        <v>18</v>
      </c>
      <c r="D12" s="8" t="s">
        <v>159</v>
      </c>
      <c r="E12" s="8" t="s">
        <v>160</v>
      </c>
      <c r="F12" s="8" t="s">
        <v>740</v>
      </c>
      <c r="G12" s="14" t="b">
        <v>1</v>
      </c>
      <c r="H12" s="14" t="b">
        <v>1</v>
      </c>
      <c r="I12" s="8" t="s">
        <v>206</v>
      </c>
      <c r="J12" s="14" t="b">
        <v>0</v>
      </c>
      <c r="K12" s="6">
        <v>23</v>
      </c>
      <c r="L12" s="6">
        <v>3</v>
      </c>
      <c r="M12" s="6">
        <v>20</v>
      </c>
      <c r="N12" s="6">
        <v>8</v>
      </c>
      <c r="O12" s="6">
        <v>160</v>
      </c>
      <c r="P12" s="6">
        <v>37</v>
      </c>
      <c r="Q12" s="75">
        <v>0.23125000000000001</v>
      </c>
      <c r="R1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3" spans="1:18" x14ac:dyDescent="0.25">
      <c r="A13" s="7" t="s">
        <v>16</v>
      </c>
      <c r="B13" s="7" t="s">
        <v>17</v>
      </c>
      <c r="C13" s="7" t="s">
        <v>18</v>
      </c>
      <c r="D13" s="8" t="s">
        <v>161</v>
      </c>
      <c r="E13" s="8" t="s">
        <v>162</v>
      </c>
      <c r="F13" s="8" t="s">
        <v>556</v>
      </c>
      <c r="G13" s="14" t="b">
        <v>1</v>
      </c>
      <c r="H13" s="14" t="b">
        <v>1</v>
      </c>
      <c r="I13" s="8" t="s">
        <v>208</v>
      </c>
      <c r="J13" s="14" t="b">
        <v>0</v>
      </c>
      <c r="K13" s="6">
        <v>23</v>
      </c>
      <c r="L13" s="6">
        <v>3</v>
      </c>
      <c r="M13" s="6">
        <v>20</v>
      </c>
      <c r="N13" s="6">
        <v>6</v>
      </c>
      <c r="O13" s="6">
        <v>120</v>
      </c>
      <c r="P13" s="6">
        <v>84</v>
      </c>
      <c r="Q13" s="75">
        <v>0.7</v>
      </c>
      <c r="R1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4" spans="1:18" x14ac:dyDescent="0.25">
      <c r="A14" s="7" t="s">
        <v>16</v>
      </c>
      <c r="B14" s="7" t="s">
        <v>17</v>
      </c>
      <c r="C14" s="7" t="s">
        <v>18</v>
      </c>
      <c r="D14" s="8" t="s">
        <v>163</v>
      </c>
      <c r="E14" s="8" t="s">
        <v>164</v>
      </c>
      <c r="F14" s="8" t="s">
        <v>557</v>
      </c>
      <c r="G14" s="14" t="b">
        <v>1</v>
      </c>
      <c r="H14" s="14" t="b">
        <v>1</v>
      </c>
      <c r="I14" s="8" t="s">
        <v>212</v>
      </c>
      <c r="J14" s="14" t="b">
        <v>0</v>
      </c>
      <c r="K14" s="6">
        <v>23</v>
      </c>
      <c r="L14" s="6">
        <v>3</v>
      </c>
      <c r="M14" s="6">
        <v>20</v>
      </c>
      <c r="N14" s="6">
        <v>8</v>
      </c>
      <c r="O14" s="6">
        <v>160</v>
      </c>
      <c r="P14" s="6">
        <v>161</v>
      </c>
      <c r="Q14" s="75">
        <v>1.0062500000000001</v>
      </c>
      <c r="R1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5" spans="1:18" x14ac:dyDescent="0.25">
      <c r="A15" s="7" t="s">
        <v>16</v>
      </c>
      <c r="B15" s="7" t="s">
        <v>17</v>
      </c>
      <c r="C15" s="7" t="s">
        <v>18</v>
      </c>
      <c r="D15" s="8" t="s">
        <v>165</v>
      </c>
      <c r="E15" s="8" t="s">
        <v>166</v>
      </c>
      <c r="F15" s="8" t="s">
        <v>557</v>
      </c>
      <c r="G15" s="14" t="b">
        <v>1</v>
      </c>
      <c r="H15" s="14" t="b">
        <v>1</v>
      </c>
      <c r="I15" s="8" t="s">
        <v>212</v>
      </c>
      <c r="J15" s="14" t="b">
        <v>0</v>
      </c>
      <c r="K15" s="6">
        <v>23</v>
      </c>
      <c r="L15" s="6">
        <v>3</v>
      </c>
      <c r="M15" s="6">
        <v>20</v>
      </c>
      <c r="N15" s="6">
        <v>8</v>
      </c>
      <c r="O15" s="6">
        <v>160</v>
      </c>
      <c r="P15" s="6">
        <v>76</v>
      </c>
      <c r="Q15" s="75">
        <v>0.47499999999999998</v>
      </c>
      <c r="R1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6" spans="1:18" x14ac:dyDescent="0.25">
      <c r="A16" s="7" t="s">
        <v>16</v>
      </c>
      <c r="B16" s="7" t="s">
        <v>17</v>
      </c>
      <c r="C16" s="7" t="s">
        <v>18</v>
      </c>
      <c r="D16" s="8" t="s">
        <v>167</v>
      </c>
      <c r="E16" s="8" t="s">
        <v>168</v>
      </c>
      <c r="F16" s="8" t="s">
        <v>557</v>
      </c>
      <c r="G16" s="14" t="b">
        <v>1</v>
      </c>
      <c r="H16" s="14" t="b">
        <v>1</v>
      </c>
      <c r="I16" s="8" t="s">
        <v>212</v>
      </c>
      <c r="J16" s="14" t="b">
        <v>0</v>
      </c>
      <c r="K16" s="6">
        <v>23</v>
      </c>
      <c r="L16" s="6">
        <v>3</v>
      </c>
      <c r="M16" s="6">
        <v>20</v>
      </c>
      <c r="N16" s="6">
        <v>8</v>
      </c>
      <c r="O16" s="6">
        <v>160</v>
      </c>
      <c r="P16" s="6">
        <v>96</v>
      </c>
      <c r="Q16" s="75">
        <v>0.6</v>
      </c>
      <c r="R1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7" spans="1:18" x14ac:dyDescent="0.25">
      <c r="A17" s="7" t="s">
        <v>16</v>
      </c>
      <c r="B17" s="7" t="s">
        <v>17</v>
      </c>
      <c r="C17" s="7" t="s">
        <v>18</v>
      </c>
      <c r="D17" s="8" t="s">
        <v>169</v>
      </c>
      <c r="E17" s="8" t="s">
        <v>170</v>
      </c>
      <c r="F17" s="8" t="s">
        <v>557</v>
      </c>
      <c r="G17" s="14" t="b">
        <v>1</v>
      </c>
      <c r="H17" s="14" t="b">
        <v>1</v>
      </c>
      <c r="I17" s="8" t="s">
        <v>212</v>
      </c>
      <c r="J17" s="14" t="b">
        <v>0</v>
      </c>
      <c r="K17" s="6">
        <v>23</v>
      </c>
      <c r="L17" s="6">
        <v>3</v>
      </c>
      <c r="M17" s="6">
        <v>20</v>
      </c>
      <c r="N17" s="6">
        <v>8</v>
      </c>
      <c r="O17" s="6">
        <v>160</v>
      </c>
      <c r="P17" s="6">
        <v>68</v>
      </c>
      <c r="Q17" s="75">
        <v>0.42499999999999999</v>
      </c>
      <c r="R1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8" spans="1:18" x14ac:dyDescent="0.25">
      <c r="A18" s="7" t="s">
        <v>16</v>
      </c>
      <c r="B18" s="7" t="s">
        <v>17</v>
      </c>
      <c r="C18" s="7" t="s">
        <v>18</v>
      </c>
      <c r="D18" s="8" t="s">
        <v>173</v>
      </c>
      <c r="E18" s="8" t="s">
        <v>174</v>
      </c>
      <c r="F18" s="8" t="s">
        <v>557</v>
      </c>
      <c r="G18" s="14" t="b">
        <v>1</v>
      </c>
      <c r="H18" s="14" t="b">
        <v>1</v>
      </c>
      <c r="I18" s="8" t="s">
        <v>206</v>
      </c>
      <c r="J18" s="14" t="b">
        <v>0</v>
      </c>
      <c r="K18" s="6">
        <v>23</v>
      </c>
      <c r="L18" s="6">
        <v>3</v>
      </c>
      <c r="M18" s="6">
        <v>20</v>
      </c>
      <c r="N18" s="6">
        <v>8</v>
      </c>
      <c r="O18" s="6">
        <v>160</v>
      </c>
      <c r="P18" s="6">
        <v>85</v>
      </c>
      <c r="Q18" s="75">
        <v>0.53125</v>
      </c>
      <c r="R1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9" spans="1:18" x14ac:dyDescent="0.25">
      <c r="A19" s="7" t="s">
        <v>16</v>
      </c>
      <c r="B19" s="7" t="s">
        <v>17</v>
      </c>
      <c r="C19" s="7" t="s">
        <v>18</v>
      </c>
      <c r="D19" s="8" t="s">
        <v>175</v>
      </c>
      <c r="E19" s="8" t="s">
        <v>176</v>
      </c>
      <c r="F19" s="8" t="s">
        <v>556</v>
      </c>
      <c r="G19" s="14" t="b">
        <v>1</v>
      </c>
      <c r="H19" s="14" t="b">
        <v>1</v>
      </c>
      <c r="I19" s="8" t="s">
        <v>206</v>
      </c>
      <c r="J19" s="14" t="b">
        <v>0</v>
      </c>
      <c r="K19" s="6">
        <v>23</v>
      </c>
      <c r="L19" s="6">
        <v>6</v>
      </c>
      <c r="M19" s="6">
        <v>17</v>
      </c>
      <c r="N19" s="6">
        <v>6</v>
      </c>
      <c r="O19" s="6">
        <v>102</v>
      </c>
      <c r="P19" s="6">
        <v>26</v>
      </c>
      <c r="Q19" s="75">
        <v>0.25490196078431371</v>
      </c>
      <c r="R1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0" spans="1:18" x14ac:dyDescent="0.25">
      <c r="A20" s="7" t="s">
        <v>16</v>
      </c>
      <c r="B20" s="7" t="s">
        <v>17</v>
      </c>
      <c r="C20" s="7" t="s">
        <v>18</v>
      </c>
      <c r="D20" s="8" t="s">
        <v>177</v>
      </c>
      <c r="E20" s="8" t="s">
        <v>178</v>
      </c>
      <c r="F20" s="8" t="s">
        <v>557</v>
      </c>
      <c r="G20" s="14" t="b">
        <v>1</v>
      </c>
      <c r="H20" s="14" t="b">
        <v>1</v>
      </c>
      <c r="I20" s="8" t="s">
        <v>208</v>
      </c>
      <c r="J20" s="14" t="b">
        <v>0</v>
      </c>
      <c r="K20" s="6">
        <v>23</v>
      </c>
      <c r="L20" s="6">
        <v>12</v>
      </c>
      <c r="M20" s="6">
        <v>11</v>
      </c>
      <c r="N20" s="6">
        <v>8</v>
      </c>
      <c r="O20" s="6">
        <v>88</v>
      </c>
      <c r="P20" s="6">
        <v>91</v>
      </c>
      <c r="Q20" s="75">
        <v>1.0340909090909092</v>
      </c>
      <c r="R2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1" spans="1:18" x14ac:dyDescent="0.25">
      <c r="A21" s="7" t="s">
        <v>16</v>
      </c>
      <c r="B21" s="7" t="s">
        <v>17</v>
      </c>
      <c r="C21" s="7" t="s">
        <v>18</v>
      </c>
      <c r="D21" s="8" t="s">
        <v>181</v>
      </c>
      <c r="E21" s="8" t="s">
        <v>182</v>
      </c>
      <c r="F21" s="8" t="s">
        <v>557</v>
      </c>
      <c r="G21" s="14" t="b">
        <v>1</v>
      </c>
      <c r="H21" s="14" t="b">
        <v>1</v>
      </c>
      <c r="I21" s="8" t="s">
        <v>206</v>
      </c>
      <c r="J21" s="14" t="b">
        <v>0</v>
      </c>
      <c r="K21" s="6">
        <v>23</v>
      </c>
      <c r="L21" s="6">
        <v>4</v>
      </c>
      <c r="M21" s="6">
        <v>19</v>
      </c>
      <c r="N21" s="6">
        <v>8</v>
      </c>
      <c r="O21" s="6">
        <v>152</v>
      </c>
      <c r="P21" s="6">
        <v>90</v>
      </c>
      <c r="Q21" s="75">
        <v>0.5921052631578948</v>
      </c>
      <c r="R2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2" spans="1:18" x14ac:dyDescent="0.25">
      <c r="A22" s="7" t="s">
        <v>16</v>
      </c>
      <c r="B22" s="7" t="s">
        <v>17</v>
      </c>
      <c r="C22" s="7" t="s">
        <v>18</v>
      </c>
      <c r="D22" s="8" t="s">
        <v>183</v>
      </c>
      <c r="E22" s="8" t="s">
        <v>184</v>
      </c>
      <c r="F22" s="8" t="s">
        <v>557</v>
      </c>
      <c r="G22" s="14" t="b">
        <v>1</v>
      </c>
      <c r="H22" s="14" t="b">
        <v>1</v>
      </c>
      <c r="I22" s="8" t="s">
        <v>208</v>
      </c>
      <c r="J22" s="14" t="b">
        <v>0</v>
      </c>
      <c r="K22" s="6">
        <v>23</v>
      </c>
      <c r="L22" s="6">
        <v>4</v>
      </c>
      <c r="M22" s="6">
        <v>19</v>
      </c>
      <c r="N22" s="6">
        <v>8</v>
      </c>
      <c r="O22" s="6">
        <v>152</v>
      </c>
      <c r="P22" s="6">
        <v>145</v>
      </c>
      <c r="Q22" s="75">
        <v>0.95394736842105254</v>
      </c>
      <c r="R2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128.8617346272892</v>
      </c>
    </row>
    <row r="23" spans="1:18" x14ac:dyDescent="0.25">
      <c r="A23" s="7" t="s">
        <v>16</v>
      </c>
      <c r="B23" s="7" t="s">
        <v>17</v>
      </c>
      <c r="C23" s="7" t="s">
        <v>18</v>
      </c>
      <c r="D23" s="8" t="s">
        <v>199</v>
      </c>
      <c r="E23" s="8" t="s">
        <v>200</v>
      </c>
      <c r="F23" s="8" t="s">
        <v>556</v>
      </c>
      <c r="G23" s="14" t="b">
        <v>1</v>
      </c>
      <c r="H23" s="14" t="b">
        <v>1</v>
      </c>
      <c r="I23" s="8" t="s">
        <v>212</v>
      </c>
      <c r="J23" s="14" t="b">
        <v>0</v>
      </c>
      <c r="K23" s="6">
        <v>23</v>
      </c>
      <c r="L23" s="6">
        <v>6</v>
      </c>
      <c r="M23" s="6">
        <v>17</v>
      </c>
      <c r="N23" s="6">
        <v>6</v>
      </c>
      <c r="O23" s="6">
        <v>102</v>
      </c>
      <c r="P23" s="6">
        <v>29</v>
      </c>
      <c r="Q23" s="75">
        <v>0.28431372549019607</v>
      </c>
      <c r="R2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4" spans="1:18" x14ac:dyDescent="0.25">
      <c r="A24" s="7" t="s">
        <v>16</v>
      </c>
      <c r="B24" s="7" t="s">
        <v>17</v>
      </c>
      <c r="C24" s="7" t="s">
        <v>18</v>
      </c>
      <c r="D24" s="8" t="s">
        <v>201</v>
      </c>
      <c r="E24" s="8" t="s">
        <v>202</v>
      </c>
      <c r="F24" s="8" t="s">
        <v>740</v>
      </c>
      <c r="G24" s="14" t="b">
        <v>1</v>
      </c>
      <c r="H24" s="14" t="b">
        <v>1</v>
      </c>
      <c r="I24" s="8" t="s">
        <v>212</v>
      </c>
      <c r="J24" s="14" t="b">
        <v>0</v>
      </c>
      <c r="K24" s="6">
        <v>23</v>
      </c>
      <c r="L24" s="6">
        <v>3</v>
      </c>
      <c r="M24" s="6">
        <v>20</v>
      </c>
      <c r="N24" s="6">
        <v>6</v>
      </c>
      <c r="O24" s="6">
        <v>120</v>
      </c>
      <c r="P24" s="6">
        <v>64</v>
      </c>
      <c r="Q24" s="75">
        <v>0.53333333333333333</v>
      </c>
      <c r="R2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25" spans="1:18" x14ac:dyDescent="0.25">
      <c r="A25" s="7" t="s">
        <v>16</v>
      </c>
      <c r="B25" s="7" t="s">
        <v>21</v>
      </c>
      <c r="C25" s="7" t="s">
        <v>18</v>
      </c>
      <c r="D25" s="8" t="s">
        <v>147</v>
      </c>
      <c r="E25" s="8" t="s">
        <v>148</v>
      </c>
      <c r="F25" s="8" t="s">
        <v>557</v>
      </c>
      <c r="G25" s="14" t="b">
        <v>1</v>
      </c>
      <c r="H25" s="14" t="b">
        <v>1</v>
      </c>
      <c r="I25" s="8" t="s">
        <v>208</v>
      </c>
      <c r="J25" s="14" t="b">
        <v>0</v>
      </c>
      <c r="K25" s="6">
        <v>22</v>
      </c>
      <c r="L25" s="6">
        <v>2</v>
      </c>
      <c r="M25" s="6">
        <v>20</v>
      </c>
      <c r="N25" s="6">
        <v>8</v>
      </c>
      <c r="O25" s="6">
        <v>160</v>
      </c>
      <c r="P25" s="6">
        <v>164</v>
      </c>
      <c r="Q25" s="75">
        <v>1.0249999999999999</v>
      </c>
      <c r="R2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6" spans="1:18" x14ac:dyDescent="0.25">
      <c r="A26" s="7" t="s">
        <v>16</v>
      </c>
      <c r="B26" s="7" t="s">
        <v>21</v>
      </c>
      <c r="C26" s="7" t="s">
        <v>18</v>
      </c>
      <c r="D26" s="8" t="s">
        <v>149</v>
      </c>
      <c r="E26" s="8" t="s">
        <v>150</v>
      </c>
      <c r="F26" s="8" t="s">
        <v>557</v>
      </c>
      <c r="G26" s="14" t="b">
        <v>1</v>
      </c>
      <c r="H26" s="14" t="b">
        <v>1</v>
      </c>
      <c r="I26" s="8" t="s">
        <v>208</v>
      </c>
      <c r="J26" s="14" t="b">
        <v>0</v>
      </c>
      <c r="K26" s="6">
        <v>22</v>
      </c>
      <c r="L26" s="6">
        <v>2</v>
      </c>
      <c r="M26" s="6">
        <v>20</v>
      </c>
      <c r="N26" s="6">
        <v>8</v>
      </c>
      <c r="O26" s="6">
        <v>160</v>
      </c>
      <c r="P26" s="6">
        <v>168</v>
      </c>
      <c r="Q26" s="75">
        <v>1.05</v>
      </c>
      <c r="R2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7" spans="1:18" x14ac:dyDescent="0.25">
      <c r="A27" s="7" t="s">
        <v>16</v>
      </c>
      <c r="B27" s="7" t="s">
        <v>21</v>
      </c>
      <c r="C27" s="7" t="s">
        <v>18</v>
      </c>
      <c r="D27" s="8" t="s">
        <v>151</v>
      </c>
      <c r="E27" s="8" t="s">
        <v>152</v>
      </c>
      <c r="F27" s="8" t="s">
        <v>556</v>
      </c>
      <c r="G27" s="14" t="b">
        <v>1</v>
      </c>
      <c r="H27" s="14" t="b">
        <v>1</v>
      </c>
      <c r="I27" s="8" t="s">
        <v>208</v>
      </c>
      <c r="J27" s="14" t="b">
        <v>0</v>
      </c>
      <c r="K27" s="6">
        <v>22</v>
      </c>
      <c r="L27" s="6">
        <v>2</v>
      </c>
      <c r="M27" s="6">
        <v>20</v>
      </c>
      <c r="N27" s="6">
        <v>6</v>
      </c>
      <c r="O27" s="6">
        <v>120</v>
      </c>
      <c r="P27" s="6">
        <v>137</v>
      </c>
      <c r="Q27" s="75">
        <v>1.1416666666666668</v>
      </c>
      <c r="R2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8" spans="1:18" x14ac:dyDescent="0.25">
      <c r="A28" s="7" t="s">
        <v>16</v>
      </c>
      <c r="B28" s="7" t="s">
        <v>21</v>
      </c>
      <c r="C28" s="7" t="s">
        <v>18</v>
      </c>
      <c r="D28" s="8" t="s">
        <v>155</v>
      </c>
      <c r="E28" s="8" t="s">
        <v>156</v>
      </c>
      <c r="F28" s="8" t="s">
        <v>556</v>
      </c>
      <c r="G28" s="14" t="b">
        <v>1</v>
      </c>
      <c r="H28" s="14" t="b">
        <v>1</v>
      </c>
      <c r="I28" s="8" t="s">
        <v>206</v>
      </c>
      <c r="J28" s="14" t="b">
        <v>0</v>
      </c>
      <c r="K28" s="6">
        <v>22</v>
      </c>
      <c r="L28" s="6">
        <v>7</v>
      </c>
      <c r="M28" s="6">
        <v>15</v>
      </c>
      <c r="N28" s="6">
        <v>6</v>
      </c>
      <c r="O28" s="6">
        <v>90</v>
      </c>
      <c r="P28" s="6">
        <v>109</v>
      </c>
      <c r="Q28" s="75">
        <v>1.2111111111111112</v>
      </c>
      <c r="R2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29" spans="1:18" x14ac:dyDescent="0.25">
      <c r="A29" s="7" t="s">
        <v>16</v>
      </c>
      <c r="B29" s="7" t="s">
        <v>21</v>
      </c>
      <c r="C29" s="7" t="s">
        <v>18</v>
      </c>
      <c r="D29" s="8" t="s">
        <v>157</v>
      </c>
      <c r="E29" s="8" t="s">
        <v>158</v>
      </c>
      <c r="F29" s="8" t="s">
        <v>557</v>
      </c>
      <c r="G29" s="14" t="b">
        <v>1</v>
      </c>
      <c r="H29" s="14" t="b">
        <v>1</v>
      </c>
      <c r="I29" s="8" t="s">
        <v>206</v>
      </c>
      <c r="J29" s="14" t="b">
        <v>0</v>
      </c>
      <c r="K29" s="6">
        <v>22</v>
      </c>
      <c r="L29" s="6">
        <v>4</v>
      </c>
      <c r="M29" s="6">
        <v>18</v>
      </c>
      <c r="N29" s="6">
        <v>8</v>
      </c>
      <c r="O29" s="6">
        <v>144</v>
      </c>
      <c r="P29" s="6">
        <v>69</v>
      </c>
      <c r="Q29" s="75">
        <v>0.47916666666666674</v>
      </c>
      <c r="R2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0" spans="1:18" x14ac:dyDescent="0.25">
      <c r="A30" s="7" t="s">
        <v>16</v>
      </c>
      <c r="B30" s="7" t="s">
        <v>21</v>
      </c>
      <c r="C30" s="7" t="s">
        <v>18</v>
      </c>
      <c r="D30" s="8" t="s">
        <v>159</v>
      </c>
      <c r="E30" s="8" t="s">
        <v>160</v>
      </c>
      <c r="F30" s="8" t="s">
        <v>740</v>
      </c>
      <c r="G30" s="14" t="b">
        <v>1</v>
      </c>
      <c r="H30" s="14" t="b">
        <v>1</v>
      </c>
      <c r="I30" s="8" t="s">
        <v>206</v>
      </c>
      <c r="J30" s="14" t="b">
        <v>0</v>
      </c>
      <c r="K30" s="6">
        <v>22</v>
      </c>
      <c r="L30" s="6">
        <v>4</v>
      </c>
      <c r="M30" s="6">
        <v>18</v>
      </c>
      <c r="N30" s="6">
        <v>8</v>
      </c>
      <c r="O30" s="6">
        <v>144</v>
      </c>
      <c r="P30" s="6">
        <v>39</v>
      </c>
      <c r="Q30" s="75">
        <v>0.27083333333333331</v>
      </c>
      <c r="R3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1" spans="1:18" x14ac:dyDescent="0.25">
      <c r="A31" s="7" t="s">
        <v>16</v>
      </c>
      <c r="B31" s="7" t="s">
        <v>21</v>
      </c>
      <c r="C31" s="7" t="s">
        <v>18</v>
      </c>
      <c r="D31" s="8" t="s">
        <v>161</v>
      </c>
      <c r="E31" s="8" t="s">
        <v>162</v>
      </c>
      <c r="F31" s="8" t="s">
        <v>556</v>
      </c>
      <c r="G31" s="14" t="b">
        <v>1</v>
      </c>
      <c r="H31" s="14" t="b">
        <v>1</v>
      </c>
      <c r="I31" s="8" t="s">
        <v>208</v>
      </c>
      <c r="J31" s="14" t="b">
        <v>0</v>
      </c>
      <c r="K31" s="6">
        <v>22</v>
      </c>
      <c r="L31" s="6">
        <v>5</v>
      </c>
      <c r="M31" s="6">
        <v>17</v>
      </c>
      <c r="N31" s="6">
        <v>6</v>
      </c>
      <c r="O31" s="6">
        <v>102</v>
      </c>
      <c r="P31" s="6">
        <v>84</v>
      </c>
      <c r="Q31" s="75">
        <v>0.82352941176470584</v>
      </c>
      <c r="R3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74.189022454186016</v>
      </c>
    </row>
    <row r="32" spans="1:18" x14ac:dyDescent="0.25">
      <c r="A32" s="7" t="s">
        <v>16</v>
      </c>
      <c r="B32" s="7" t="s">
        <v>21</v>
      </c>
      <c r="C32" s="7" t="s">
        <v>18</v>
      </c>
      <c r="D32" s="8" t="s">
        <v>163</v>
      </c>
      <c r="E32" s="8" t="s">
        <v>164</v>
      </c>
      <c r="F32" s="8" t="s">
        <v>557</v>
      </c>
      <c r="G32" s="14" t="b">
        <v>1</v>
      </c>
      <c r="H32" s="14" t="b">
        <v>1</v>
      </c>
      <c r="I32" s="8" t="s">
        <v>212</v>
      </c>
      <c r="J32" s="14" t="b">
        <v>0</v>
      </c>
      <c r="K32" s="6">
        <v>22</v>
      </c>
      <c r="L32" s="6">
        <v>2</v>
      </c>
      <c r="M32" s="6">
        <v>20</v>
      </c>
      <c r="N32" s="6">
        <v>8</v>
      </c>
      <c r="O32" s="6">
        <v>160</v>
      </c>
      <c r="P32" s="6">
        <v>159</v>
      </c>
      <c r="Q32" s="75">
        <v>0.99375000000000002</v>
      </c>
      <c r="R3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134.2704118414461</v>
      </c>
    </row>
    <row r="33" spans="1:18" x14ac:dyDescent="0.25">
      <c r="A33" s="7" t="s">
        <v>16</v>
      </c>
      <c r="B33" s="7" t="s">
        <v>21</v>
      </c>
      <c r="C33" s="7" t="s">
        <v>18</v>
      </c>
      <c r="D33" s="8" t="s">
        <v>165</v>
      </c>
      <c r="E33" s="8" t="s">
        <v>166</v>
      </c>
      <c r="F33" s="8" t="s">
        <v>557</v>
      </c>
      <c r="G33" s="14" t="b">
        <v>1</v>
      </c>
      <c r="H33" s="14" t="b">
        <v>1</v>
      </c>
      <c r="I33" s="8" t="s">
        <v>212</v>
      </c>
      <c r="J33" s="14" t="b">
        <v>0</v>
      </c>
      <c r="K33" s="6">
        <v>22</v>
      </c>
      <c r="L33" s="6">
        <v>2</v>
      </c>
      <c r="M33" s="6">
        <v>20</v>
      </c>
      <c r="N33" s="6">
        <v>8</v>
      </c>
      <c r="O33" s="6">
        <v>160</v>
      </c>
      <c r="P33" s="6">
        <v>122</v>
      </c>
      <c r="Q33" s="75">
        <v>0.76249999999999996</v>
      </c>
      <c r="R3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4" spans="1:18" x14ac:dyDescent="0.25">
      <c r="A34" s="7" t="s">
        <v>16</v>
      </c>
      <c r="B34" s="7" t="s">
        <v>21</v>
      </c>
      <c r="C34" s="7" t="s">
        <v>18</v>
      </c>
      <c r="D34" s="8" t="s">
        <v>167</v>
      </c>
      <c r="E34" s="8" t="s">
        <v>168</v>
      </c>
      <c r="F34" s="8" t="s">
        <v>557</v>
      </c>
      <c r="G34" s="14" t="b">
        <v>1</v>
      </c>
      <c r="H34" s="14" t="b">
        <v>1</v>
      </c>
      <c r="I34" s="8" t="s">
        <v>212</v>
      </c>
      <c r="J34" s="14" t="b">
        <v>0</v>
      </c>
      <c r="K34" s="6">
        <v>22</v>
      </c>
      <c r="L34" s="6">
        <v>2</v>
      </c>
      <c r="M34" s="6">
        <v>20</v>
      </c>
      <c r="N34" s="6">
        <v>8</v>
      </c>
      <c r="O34" s="6">
        <v>160</v>
      </c>
      <c r="P34" s="6">
        <v>159</v>
      </c>
      <c r="Q34" s="75">
        <v>0.99375000000000002</v>
      </c>
      <c r="R3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134.2704118414461</v>
      </c>
    </row>
    <row r="35" spans="1:18" x14ac:dyDescent="0.25">
      <c r="A35" s="7" t="s">
        <v>16</v>
      </c>
      <c r="B35" s="7" t="s">
        <v>21</v>
      </c>
      <c r="C35" s="7" t="s">
        <v>18</v>
      </c>
      <c r="D35" s="8" t="s">
        <v>169</v>
      </c>
      <c r="E35" s="8" t="s">
        <v>170</v>
      </c>
      <c r="F35" s="8" t="s">
        <v>557</v>
      </c>
      <c r="G35" s="14" t="b">
        <v>1</v>
      </c>
      <c r="H35" s="14" t="b">
        <v>1</v>
      </c>
      <c r="I35" s="8" t="s">
        <v>212</v>
      </c>
      <c r="J35" s="14" t="b">
        <v>0</v>
      </c>
      <c r="K35" s="6">
        <v>22</v>
      </c>
      <c r="L35" s="6">
        <v>2</v>
      </c>
      <c r="M35" s="6">
        <v>20</v>
      </c>
      <c r="N35" s="6">
        <v>8</v>
      </c>
      <c r="O35" s="6">
        <v>160</v>
      </c>
      <c r="P35" s="6">
        <v>105</v>
      </c>
      <c r="Q35" s="75">
        <v>0.65625</v>
      </c>
      <c r="R3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6" spans="1:18" x14ac:dyDescent="0.25">
      <c r="A36" s="7" t="s">
        <v>16</v>
      </c>
      <c r="B36" s="7" t="s">
        <v>21</v>
      </c>
      <c r="C36" s="7" t="s">
        <v>18</v>
      </c>
      <c r="D36" s="8" t="s">
        <v>173</v>
      </c>
      <c r="E36" s="8" t="s">
        <v>174</v>
      </c>
      <c r="F36" s="8" t="s">
        <v>557</v>
      </c>
      <c r="G36" s="14" t="b">
        <v>1</v>
      </c>
      <c r="H36" s="14" t="b">
        <v>1</v>
      </c>
      <c r="I36" s="8" t="s">
        <v>206</v>
      </c>
      <c r="J36" s="14" t="b">
        <v>0</v>
      </c>
      <c r="K36" s="6">
        <v>22</v>
      </c>
      <c r="L36" s="6">
        <v>3</v>
      </c>
      <c r="M36" s="6">
        <v>19</v>
      </c>
      <c r="N36" s="6">
        <v>8</v>
      </c>
      <c r="O36" s="6">
        <v>152</v>
      </c>
      <c r="P36" s="6">
        <v>105</v>
      </c>
      <c r="Q36" s="75">
        <v>0.69078947368421051</v>
      </c>
      <c r="R3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7" spans="1:18" x14ac:dyDescent="0.25">
      <c r="A37" s="7" t="s">
        <v>16</v>
      </c>
      <c r="B37" s="7" t="s">
        <v>21</v>
      </c>
      <c r="C37" s="7" t="s">
        <v>18</v>
      </c>
      <c r="D37" s="8" t="s">
        <v>175</v>
      </c>
      <c r="E37" s="8" t="s">
        <v>176</v>
      </c>
      <c r="F37" s="8" t="s">
        <v>556</v>
      </c>
      <c r="G37" s="14" t="b">
        <v>1</v>
      </c>
      <c r="H37" s="14" t="b">
        <v>1</v>
      </c>
      <c r="I37" s="8" t="s">
        <v>206</v>
      </c>
      <c r="J37" s="14" t="b">
        <v>0</v>
      </c>
      <c r="K37" s="6">
        <v>22</v>
      </c>
      <c r="L37" s="6">
        <v>9</v>
      </c>
      <c r="M37" s="6">
        <v>13</v>
      </c>
      <c r="N37" s="6">
        <v>6</v>
      </c>
      <c r="O37" s="6">
        <v>78</v>
      </c>
      <c r="P37" s="6">
        <v>47</v>
      </c>
      <c r="Q37" s="75">
        <v>0.60256410256410253</v>
      </c>
      <c r="R3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38" spans="1:18" x14ac:dyDescent="0.25">
      <c r="A38" s="7" t="s">
        <v>16</v>
      </c>
      <c r="B38" s="7" t="s">
        <v>21</v>
      </c>
      <c r="C38" s="7" t="s">
        <v>18</v>
      </c>
      <c r="D38" s="8" t="s">
        <v>177</v>
      </c>
      <c r="E38" s="8" t="s">
        <v>178</v>
      </c>
      <c r="F38" s="8" t="s">
        <v>557</v>
      </c>
      <c r="G38" s="14" t="b">
        <v>1</v>
      </c>
      <c r="H38" s="14" t="b">
        <v>1</v>
      </c>
      <c r="I38" s="8" t="s">
        <v>208</v>
      </c>
      <c r="J38" s="14" t="b">
        <v>0</v>
      </c>
      <c r="K38" s="6">
        <v>22</v>
      </c>
      <c r="L38" s="6">
        <v>8</v>
      </c>
      <c r="M38" s="6">
        <v>14</v>
      </c>
      <c r="N38" s="6">
        <v>8</v>
      </c>
      <c r="O38" s="6">
        <v>112</v>
      </c>
      <c r="P38" s="6">
        <v>124</v>
      </c>
      <c r="Q38" s="75">
        <v>1.107142857142857</v>
      </c>
      <c r="R3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39" spans="1:18" x14ac:dyDescent="0.25">
      <c r="A39" s="7" t="s">
        <v>16</v>
      </c>
      <c r="B39" s="7" t="s">
        <v>21</v>
      </c>
      <c r="C39" s="7" t="s">
        <v>18</v>
      </c>
      <c r="D39" s="8" t="s">
        <v>181</v>
      </c>
      <c r="E39" s="8" t="s">
        <v>182</v>
      </c>
      <c r="F39" s="8" t="s">
        <v>557</v>
      </c>
      <c r="G39" s="14" t="b">
        <v>1</v>
      </c>
      <c r="H39" s="14" t="b">
        <v>1</v>
      </c>
      <c r="I39" s="8" t="s">
        <v>206</v>
      </c>
      <c r="J39" s="14" t="b">
        <v>0</v>
      </c>
      <c r="K39" s="6">
        <v>22</v>
      </c>
      <c r="L39" s="6">
        <v>5</v>
      </c>
      <c r="M39" s="6">
        <v>17</v>
      </c>
      <c r="N39" s="6">
        <v>8</v>
      </c>
      <c r="O39" s="6">
        <v>136</v>
      </c>
      <c r="P39" s="6">
        <v>154</v>
      </c>
      <c r="Q39" s="75">
        <v>1.1323529411764706</v>
      </c>
      <c r="R3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0" spans="1:18" x14ac:dyDescent="0.25">
      <c r="A40" s="7" t="s">
        <v>16</v>
      </c>
      <c r="B40" s="7" t="s">
        <v>21</v>
      </c>
      <c r="C40" s="7" t="s">
        <v>18</v>
      </c>
      <c r="D40" s="8" t="s">
        <v>183</v>
      </c>
      <c r="E40" s="8" t="s">
        <v>184</v>
      </c>
      <c r="F40" s="8" t="s">
        <v>557</v>
      </c>
      <c r="G40" s="14" t="b">
        <v>1</v>
      </c>
      <c r="H40" s="14" t="b">
        <v>1</v>
      </c>
      <c r="I40" s="8" t="s">
        <v>208</v>
      </c>
      <c r="J40" s="14" t="b">
        <v>0</v>
      </c>
      <c r="K40" s="6">
        <v>22</v>
      </c>
      <c r="L40" s="6">
        <v>2</v>
      </c>
      <c r="M40" s="6">
        <v>20</v>
      </c>
      <c r="N40" s="6">
        <v>8</v>
      </c>
      <c r="O40" s="6">
        <v>160</v>
      </c>
      <c r="P40" s="6">
        <v>188</v>
      </c>
      <c r="Q40" s="75">
        <v>1.175</v>
      </c>
      <c r="R4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1" spans="1:18" x14ac:dyDescent="0.25">
      <c r="A41" s="7" t="s">
        <v>16</v>
      </c>
      <c r="B41" s="7" t="s">
        <v>21</v>
      </c>
      <c r="C41" s="7" t="s">
        <v>18</v>
      </c>
      <c r="D41" s="8" t="s">
        <v>199</v>
      </c>
      <c r="E41" s="8" t="s">
        <v>200</v>
      </c>
      <c r="F41" s="8" t="s">
        <v>556</v>
      </c>
      <c r="G41" s="14" t="b">
        <v>1</v>
      </c>
      <c r="H41" s="14" t="b">
        <v>1</v>
      </c>
      <c r="I41" s="8" t="s">
        <v>212</v>
      </c>
      <c r="J41" s="14" t="b">
        <v>0</v>
      </c>
      <c r="K41" s="6">
        <v>22</v>
      </c>
      <c r="L41" s="6">
        <v>5</v>
      </c>
      <c r="M41" s="6">
        <v>17</v>
      </c>
      <c r="N41" s="6">
        <v>6</v>
      </c>
      <c r="O41" s="6">
        <v>102</v>
      </c>
      <c r="P41" s="6">
        <v>29</v>
      </c>
      <c r="Q41" s="75">
        <v>0.28431372549019607</v>
      </c>
      <c r="R4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2" spans="1:18" x14ac:dyDescent="0.25">
      <c r="A42" s="7" t="s">
        <v>16</v>
      </c>
      <c r="B42" s="7" t="s">
        <v>21</v>
      </c>
      <c r="C42" s="7" t="s">
        <v>18</v>
      </c>
      <c r="D42" s="8" t="s">
        <v>201</v>
      </c>
      <c r="E42" s="8" t="s">
        <v>202</v>
      </c>
      <c r="F42" s="8" t="s">
        <v>740</v>
      </c>
      <c r="G42" s="14" t="b">
        <v>1</v>
      </c>
      <c r="H42" s="14" t="b">
        <v>1</v>
      </c>
      <c r="I42" s="8" t="s">
        <v>212</v>
      </c>
      <c r="J42" s="14" t="b">
        <v>0</v>
      </c>
      <c r="K42" s="6">
        <v>22</v>
      </c>
      <c r="L42" s="6">
        <v>6</v>
      </c>
      <c r="M42" s="6">
        <v>16</v>
      </c>
      <c r="N42" s="6">
        <v>6</v>
      </c>
      <c r="O42" s="6">
        <v>96</v>
      </c>
      <c r="P42" s="6">
        <v>104</v>
      </c>
      <c r="Q42" s="75">
        <v>1.0833333333333333</v>
      </c>
      <c r="R4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3" spans="1:18" x14ac:dyDescent="0.25">
      <c r="A43" s="7" t="s">
        <v>16</v>
      </c>
      <c r="B43" s="7" t="s">
        <v>22</v>
      </c>
      <c r="C43" s="7" t="s">
        <v>18</v>
      </c>
      <c r="D43" s="8" t="s">
        <v>144</v>
      </c>
      <c r="E43" s="8" t="s">
        <v>145</v>
      </c>
      <c r="F43" s="8" t="s">
        <v>557</v>
      </c>
      <c r="G43" s="14" t="b">
        <v>1</v>
      </c>
      <c r="H43" s="14" t="b">
        <v>1</v>
      </c>
      <c r="I43" s="8" t="s">
        <v>206</v>
      </c>
      <c r="J43" s="14" t="b">
        <v>0</v>
      </c>
      <c r="K43" s="6">
        <v>21</v>
      </c>
      <c r="L43" s="6">
        <v>0</v>
      </c>
      <c r="M43" s="6">
        <v>21</v>
      </c>
      <c r="N43" s="6">
        <v>6</v>
      </c>
      <c r="O43" s="6">
        <v>126</v>
      </c>
      <c r="P43" s="6">
        <v>0</v>
      </c>
      <c r="Q43" s="75">
        <v>0</v>
      </c>
      <c r="R4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4" spans="1:18" x14ac:dyDescent="0.25">
      <c r="A44" s="7" t="s">
        <v>16</v>
      </c>
      <c r="B44" s="7" t="s">
        <v>22</v>
      </c>
      <c r="C44" s="7" t="s">
        <v>18</v>
      </c>
      <c r="D44" s="8" t="s">
        <v>147</v>
      </c>
      <c r="E44" s="8" t="s">
        <v>148</v>
      </c>
      <c r="F44" s="8" t="s">
        <v>557</v>
      </c>
      <c r="G44" s="14" t="b">
        <v>1</v>
      </c>
      <c r="H44" s="14" t="b">
        <v>1</v>
      </c>
      <c r="I44" s="8" t="s">
        <v>208</v>
      </c>
      <c r="J44" s="14" t="b">
        <v>0</v>
      </c>
      <c r="K44" s="6">
        <v>21</v>
      </c>
      <c r="L44" s="6">
        <v>0</v>
      </c>
      <c r="M44" s="6">
        <v>21</v>
      </c>
      <c r="N44" s="6">
        <v>8</v>
      </c>
      <c r="O44" s="6">
        <v>168</v>
      </c>
      <c r="P44" s="6">
        <v>170</v>
      </c>
      <c r="Q44" s="75">
        <v>1.0119047619047619</v>
      </c>
      <c r="R4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5" spans="1:18" x14ac:dyDescent="0.25">
      <c r="A45" s="7" t="s">
        <v>16</v>
      </c>
      <c r="B45" s="7" t="s">
        <v>22</v>
      </c>
      <c r="C45" s="7" t="s">
        <v>18</v>
      </c>
      <c r="D45" s="8" t="s">
        <v>149</v>
      </c>
      <c r="E45" s="8" t="s">
        <v>150</v>
      </c>
      <c r="F45" s="8" t="s">
        <v>557</v>
      </c>
      <c r="G45" s="14" t="b">
        <v>1</v>
      </c>
      <c r="H45" s="14" t="b">
        <v>1</v>
      </c>
      <c r="I45" s="8" t="s">
        <v>208</v>
      </c>
      <c r="J45" s="14" t="b">
        <v>0</v>
      </c>
      <c r="K45" s="6">
        <v>21</v>
      </c>
      <c r="L45" s="6">
        <v>0</v>
      </c>
      <c r="M45" s="6">
        <v>21</v>
      </c>
      <c r="N45" s="6">
        <v>8</v>
      </c>
      <c r="O45" s="6">
        <v>168</v>
      </c>
      <c r="P45" s="6">
        <v>187</v>
      </c>
      <c r="Q45" s="75">
        <v>1.1130952380952381</v>
      </c>
      <c r="R4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6" spans="1:18" x14ac:dyDescent="0.25">
      <c r="A46" s="7" t="s">
        <v>16</v>
      </c>
      <c r="B46" s="7" t="s">
        <v>22</v>
      </c>
      <c r="C46" s="7" t="s">
        <v>18</v>
      </c>
      <c r="D46" s="8" t="s">
        <v>151</v>
      </c>
      <c r="E46" s="8" t="s">
        <v>152</v>
      </c>
      <c r="F46" s="8" t="s">
        <v>556</v>
      </c>
      <c r="G46" s="14" t="b">
        <v>1</v>
      </c>
      <c r="H46" s="14" t="b">
        <v>1</v>
      </c>
      <c r="I46" s="8" t="s">
        <v>208</v>
      </c>
      <c r="J46" s="14" t="b">
        <v>0</v>
      </c>
      <c r="K46" s="6">
        <v>21</v>
      </c>
      <c r="L46" s="6">
        <v>0</v>
      </c>
      <c r="M46" s="6">
        <v>21</v>
      </c>
      <c r="N46" s="6">
        <v>6</v>
      </c>
      <c r="O46" s="6">
        <v>126</v>
      </c>
      <c r="P46" s="6">
        <v>131</v>
      </c>
      <c r="Q46" s="75">
        <v>1.0396825396825398</v>
      </c>
      <c r="R4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47" spans="1:18" x14ac:dyDescent="0.25">
      <c r="A47" s="7" t="s">
        <v>16</v>
      </c>
      <c r="B47" s="7" t="s">
        <v>22</v>
      </c>
      <c r="C47" s="7" t="s">
        <v>18</v>
      </c>
      <c r="D47" s="8" t="s">
        <v>155</v>
      </c>
      <c r="E47" s="8" t="s">
        <v>156</v>
      </c>
      <c r="F47" s="8" t="s">
        <v>556</v>
      </c>
      <c r="G47" s="14" t="b">
        <v>1</v>
      </c>
      <c r="H47" s="14" t="b">
        <v>1</v>
      </c>
      <c r="I47" s="8" t="s">
        <v>206</v>
      </c>
      <c r="J47" s="14" t="b">
        <v>0</v>
      </c>
      <c r="K47" s="6">
        <v>21</v>
      </c>
      <c r="L47" s="6">
        <v>2</v>
      </c>
      <c r="M47" s="6">
        <v>19</v>
      </c>
      <c r="N47" s="6">
        <v>6</v>
      </c>
      <c r="O47" s="6">
        <v>114</v>
      </c>
      <c r="P47" s="6">
        <v>107</v>
      </c>
      <c r="Q47" s="75">
        <v>0.93859649122807021</v>
      </c>
      <c r="R4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126.83348067198027</v>
      </c>
    </row>
    <row r="48" spans="1:18" x14ac:dyDescent="0.25">
      <c r="A48" s="7" t="s">
        <v>16</v>
      </c>
      <c r="B48" s="7" t="s">
        <v>22</v>
      </c>
      <c r="C48" s="7" t="s">
        <v>18</v>
      </c>
      <c r="D48" s="8" t="s">
        <v>157</v>
      </c>
      <c r="E48" s="8" t="s">
        <v>158</v>
      </c>
      <c r="F48" s="8" t="s">
        <v>557</v>
      </c>
      <c r="G48" s="14" t="b">
        <v>1</v>
      </c>
      <c r="H48" s="14" t="b">
        <v>1</v>
      </c>
      <c r="I48" s="8" t="s">
        <v>206</v>
      </c>
      <c r="J48" s="14" t="b">
        <v>0</v>
      </c>
      <c r="K48" s="6">
        <v>21</v>
      </c>
      <c r="L48" s="6">
        <v>8</v>
      </c>
      <c r="M48" s="6">
        <v>13</v>
      </c>
      <c r="N48" s="6">
        <v>8</v>
      </c>
      <c r="O48" s="6">
        <v>104</v>
      </c>
      <c r="P48" s="6">
        <v>73</v>
      </c>
      <c r="Q48" s="75">
        <v>0.70192307692307698</v>
      </c>
      <c r="R4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49" spans="1:18" x14ac:dyDescent="0.25">
      <c r="A49" s="7" t="s">
        <v>16</v>
      </c>
      <c r="B49" s="7" t="s">
        <v>22</v>
      </c>
      <c r="C49" s="7" t="s">
        <v>18</v>
      </c>
      <c r="D49" s="8" t="s">
        <v>159</v>
      </c>
      <c r="E49" s="8" t="s">
        <v>160</v>
      </c>
      <c r="F49" s="8" t="s">
        <v>740</v>
      </c>
      <c r="G49" s="14" t="b">
        <v>1</v>
      </c>
      <c r="H49" s="14" t="b">
        <v>1</v>
      </c>
      <c r="I49" s="8" t="s">
        <v>206</v>
      </c>
      <c r="J49" s="14" t="b">
        <v>0</v>
      </c>
      <c r="K49" s="6">
        <v>21</v>
      </c>
      <c r="L49" s="6">
        <v>7</v>
      </c>
      <c r="M49" s="6">
        <v>14</v>
      </c>
      <c r="N49" s="6">
        <v>8</v>
      </c>
      <c r="O49" s="6">
        <v>112</v>
      </c>
      <c r="P49" s="6">
        <v>71</v>
      </c>
      <c r="Q49" s="75">
        <v>0.63392857142857151</v>
      </c>
      <c r="R4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0" spans="1:18" x14ac:dyDescent="0.25">
      <c r="A50" s="7" t="s">
        <v>16</v>
      </c>
      <c r="B50" s="7" t="s">
        <v>22</v>
      </c>
      <c r="C50" s="7" t="s">
        <v>18</v>
      </c>
      <c r="D50" s="8" t="s">
        <v>161</v>
      </c>
      <c r="E50" s="8" t="s">
        <v>162</v>
      </c>
      <c r="F50" s="8" t="s">
        <v>556</v>
      </c>
      <c r="G50" s="14" t="b">
        <v>1</v>
      </c>
      <c r="H50" s="14" t="b">
        <v>1</v>
      </c>
      <c r="I50" s="8" t="s">
        <v>208</v>
      </c>
      <c r="J50" s="14" t="b">
        <v>0</v>
      </c>
      <c r="K50" s="6">
        <v>21</v>
      </c>
      <c r="L50" s="6">
        <v>3</v>
      </c>
      <c r="M50" s="6">
        <v>18</v>
      </c>
      <c r="N50" s="6">
        <v>6</v>
      </c>
      <c r="O50" s="6">
        <v>108</v>
      </c>
      <c r="P50" s="6">
        <v>108</v>
      </c>
      <c r="Q50" s="75">
        <v>1</v>
      </c>
      <c r="R5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1" spans="1:18" x14ac:dyDescent="0.25">
      <c r="A51" s="7" t="s">
        <v>16</v>
      </c>
      <c r="B51" s="7" t="s">
        <v>22</v>
      </c>
      <c r="C51" s="7" t="s">
        <v>18</v>
      </c>
      <c r="D51" s="8" t="s">
        <v>163</v>
      </c>
      <c r="E51" s="8" t="s">
        <v>164</v>
      </c>
      <c r="F51" s="8" t="s">
        <v>557</v>
      </c>
      <c r="G51" s="14" t="b">
        <v>1</v>
      </c>
      <c r="H51" s="14" t="b">
        <v>1</v>
      </c>
      <c r="I51" s="8" t="s">
        <v>212</v>
      </c>
      <c r="J51" s="14" t="b">
        <v>0</v>
      </c>
      <c r="K51" s="6">
        <v>21</v>
      </c>
      <c r="L51" s="6">
        <v>0</v>
      </c>
      <c r="M51" s="6">
        <v>21</v>
      </c>
      <c r="N51" s="6">
        <v>8</v>
      </c>
      <c r="O51" s="6">
        <v>168</v>
      </c>
      <c r="P51" s="6">
        <v>265</v>
      </c>
      <c r="Q51" s="75">
        <v>1.5773809523809523</v>
      </c>
      <c r="R5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2" spans="1:18" x14ac:dyDescent="0.25">
      <c r="A52" s="7" t="s">
        <v>16</v>
      </c>
      <c r="B52" s="7" t="s">
        <v>22</v>
      </c>
      <c r="C52" s="7" t="s">
        <v>18</v>
      </c>
      <c r="D52" s="8" t="s">
        <v>165</v>
      </c>
      <c r="E52" s="8" t="s">
        <v>166</v>
      </c>
      <c r="F52" s="8" t="s">
        <v>557</v>
      </c>
      <c r="G52" s="14" t="b">
        <v>1</v>
      </c>
      <c r="H52" s="14" t="b">
        <v>1</v>
      </c>
      <c r="I52" s="8" t="s">
        <v>212</v>
      </c>
      <c r="J52" s="14" t="b">
        <v>0</v>
      </c>
      <c r="K52" s="6">
        <v>21</v>
      </c>
      <c r="L52" s="6">
        <v>0</v>
      </c>
      <c r="M52" s="6">
        <v>21</v>
      </c>
      <c r="N52" s="6">
        <v>8</v>
      </c>
      <c r="O52" s="6">
        <v>168</v>
      </c>
      <c r="P52" s="6">
        <v>131</v>
      </c>
      <c r="Q52" s="75">
        <v>0.77976190476190488</v>
      </c>
      <c r="R5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3" spans="1:18" x14ac:dyDescent="0.25">
      <c r="A53" s="7" t="s">
        <v>16</v>
      </c>
      <c r="B53" s="7" t="s">
        <v>22</v>
      </c>
      <c r="C53" s="7" t="s">
        <v>18</v>
      </c>
      <c r="D53" s="8" t="s">
        <v>167</v>
      </c>
      <c r="E53" s="8" t="s">
        <v>168</v>
      </c>
      <c r="F53" s="8" t="s">
        <v>557</v>
      </c>
      <c r="G53" s="14" t="b">
        <v>1</v>
      </c>
      <c r="H53" s="14" t="b">
        <v>1</v>
      </c>
      <c r="I53" s="8" t="s">
        <v>212</v>
      </c>
      <c r="J53" s="14" t="b">
        <v>0</v>
      </c>
      <c r="K53" s="6">
        <v>21</v>
      </c>
      <c r="L53" s="6">
        <v>0</v>
      </c>
      <c r="M53" s="6">
        <v>21</v>
      </c>
      <c r="N53" s="6">
        <v>8</v>
      </c>
      <c r="O53" s="6">
        <v>168</v>
      </c>
      <c r="P53" s="6">
        <v>168</v>
      </c>
      <c r="Q53" s="75">
        <v>1</v>
      </c>
      <c r="R5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4" spans="1:18" x14ac:dyDescent="0.25">
      <c r="A54" s="7" t="s">
        <v>16</v>
      </c>
      <c r="B54" s="7" t="s">
        <v>22</v>
      </c>
      <c r="C54" s="7" t="s">
        <v>18</v>
      </c>
      <c r="D54" s="8" t="s">
        <v>169</v>
      </c>
      <c r="E54" s="8" t="s">
        <v>170</v>
      </c>
      <c r="F54" s="8" t="s">
        <v>557</v>
      </c>
      <c r="G54" s="14" t="b">
        <v>1</v>
      </c>
      <c r="H54" s="14" t="b">
        <v>1</v>
      </c>
      <c r="I54" s="8" t="s">
        <v>212</v>
      </c>
      <c r="J54" s="14" t="b">
        <v>0</v>
      </c>
      <c r="K54" s="6">
        <v>21</v>
      </c>
      <c r="L54" s="6">
        <v>2</v>
      </c>
      <c r="M54" s="6">
        <v>19</v>
      </c>
      <c r="N54" s="6">
        <v>8</v>
      </c>
      <c r="O54" s="6">
        <v>152</v>
      </c>
      <c r="P54" s="6">
        <v>118</v>
      </c>
      <c r="Q54" s="75">
        <v>0.77631578947368418</v>
      </c>
      <c r="R5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5" spans="1:18" x14ac:dyDescent="0.25">
      <c r="A55" s="7" t="s">
        <v>16</v>
      </c>
      <c r="B55" s="7" t="s">
        <v>22</v>
      </c>
      <c r="C55" s="7" t="s">
        <v>18</v>
      </c>
      <c r="D55" s="8" t="s">
        <v>173</v>
      </c>
      <c r="E55" s="8" t="s">
        <v>174</v>
      </c>
      <c r="F55" s="8" t="s">
        <v>557</v>
      </c>
      <c r="G55" s="14" t="b">
        <v>1</v>
      </c>
      <c r="H55" s="14" t="b">
        <v>1</v>
      </c>
      <c r="I55" s="8" t="s">
        <v>206</v>
      </c>
      <c r="J55" s="14" t="b">
        <v>0</v>
      </c>
      <c r="K55" s="6">
        <v>21</v>
      </c>
      <c r="L55" s="6">
        <v>0</v>
      </c>
      <c r="M55" s="6">
        <v>21</v>
      </c>
      <c r="N55" s="6">
        <v>8</v>
      </c>
      <c r="O55" s="6">
        <v>168</v>
      </c>
      <c r="P55" s="6">
        <v>122</v>
      </c>
      <c r="Q55" s="75">
        <v>0.72619047619047616</v>
      </c>
      <c r="R5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56" spans="1:18" x14ac:dyDescent="0.25">
      <c r="A56" s="7" t="s">
        <v>16</v>
      </c>
      <c r="B56" s="7" t="s">
        <v>22</v>
      </c>
      <c r="C56" s="7" t="s">
        <v>18</v>
      </c>
      <c r="D56" s="8" t="s">
        <v>175</v>
      </c>
      <c r="E56" s="8" t="s">
        <v>176</v>
      </c>
      <c r="F56" s="8" t="s">
        <v>556</v>
      </c>
      <c r="G56" s="14" t="b">
        <v>1</v>
      </c>
      <c r="H56" s="14" t="b">
        <v>1</v>
      </c>
      <c r="I56" s="8" t="s">
        <v>206</v>
      </c>
      <c r="J56" s="14" t="b">
        <v>0</v>
      </c>
      <c r="K56" s="6">
        <v>21</v>
      </c>
      <c r="L56" s="6">
        <v>15</v>
      </c>
      <c r="M56" s="6">
        <v>6</v>
      </c>
      <c r="N56" s="6">
        <v>6</v>
      </c>
      <c r="O56" s="6">
        <v>36</v>
      </c>
      <c r="P56" s="6">
        <v>43</v>
      </c>
      <c r="Q56" s="75">
        <v>1.1944444444444444</v>
      </c>
      <c r="R5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7" spans="1:18" x14ac:dyDescent="0.25">
      <c r="A57" s="7" t="s">
        <v>16</v>
      </c>
      <c r="B57" s="7" t="s">
        <v>22</v>
      </c>
      <c r="C57" s="7" t="s">
        <v>18</v>
      </c>
      <c r="D57" s="8" t="s">
        <v>177</v>
      </c>
      <c r="E57" s="8" t="s">
        <v>178</v>
      </c>
      <c r="F57" s="8" t="s">
        <v>557</v>
      </c>
      <c r="G57" s="14" t="b">
        <v>1</v>
      </c>
      <c r="H57" s="14" t="b">
        <v>1</v>
      </c>
      <c r="I57" s="8" t="s">
        <v>208</v>
      </c>
      <c r="J57" s="14" t="b">
        <v>0</v>
      </c>
      <c r="K57" s="6">
        <v>21</v>
      </c>
      <c r="L57" s="6">
        <v>12</v>
      </c>
      <c r="M57" s="6">
        <v>9</v>
      </c>
      <c r="N57" s="6">
        <v>8</v>
      </c>
      <c r="O57" s="6">
        <v>72</v>
      </c>
      <c r="P57" s="6">
        <v>86</v>
      </c>
      <c r="Q57" s="75">
        <v>1.1944444444444444</v>
      </c>
      <c r="R5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8" spans="1:18" x14ac:dyDescent="0.25">
      <c r="A58" s="7" t="s">
        <v>16</v>
      </c>
      <c r="B58" s="7" t="s">
        <v>22</v>
      </c>
      <c r="C58" s="7" t="s">
        <v>18</v>
      </c>
      <c r="D58" s="8" t="s">
        <v>181</v>
      </c>
      <c r="E58" s="8" t="s">
        <v>182</v>
      </c>
      <c r="F58" s="8" t="s">
        <v>557</v>
      </c>
      <c r="G58" s="14" t="b">
        <v>1</v>
      </c>
      <c r="H58" s="14" t="b">
        <v>1</v>
      </c>
      <c r="I58" s="8" t="s">
        <v>206</v>
      </c>
      <c r="J58" s="14" t="b">
        <v>0</v>
      </c>
      <c r="K58" s="6">
        <v>21</v>
      </c>
      <c r="L58" s="6">
        <v>1</v>
      </c>
      <c r="M58" s="6">
        <v>20</v>
      </c>
      <c r="N58" s="6">
        <v>8</v>
      </c>
      <c r="O58" s="6">
        <v>160</v>
      </c>
      <c r="P58" s="6">
        <v>162</v>
      </c>
      <c r="Q58" s="75">
        <v>1.0125</v>
      </c>
      <c r="R5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59" spans="1:18" x14ac:dyDescent="0.25">
      <c r="A59" s="7" t="s">
        <v>16</v>
      </c>
      <c r="B59" s="7" t="s">
        <v>22</v>
      </c>
      <c r="C59" s="7" t="s">
        <v>18</v>
      </c>
      <c r="D59" s="8" t="s">
        <v>183</v>
      </c>
      <c r="E59" s="8" t="s">
        <v>184</v>
      </c>
      <c r="F59" s="8" t="s">
        <v>557</v>
      </c>
      <c r="G59" s="14" t="b">
        <v>1</v>
      </c>
      <c r="H59" s="14" t="b">
        <v>1</v>
      </c>
      <c r="I59" s="8" t="s">
        <v>208</v>
      </c>
      <c r="J59" s="14" t="b">
        <v>0</v>
      </c>
      <c r="K59" s="6">
        <v>21</v>
      </c>
      <c r="L59" s="6">
        <v>2</v>
      </c>
      <c r="M59" s="6">
        <v>19</v>
      </c>
      <c r="N59" s="6">
        <v>8</v>
      </c>
      <c r="O59" s="6">
        <v>152</v>
      </c>
      <c r="P59" s="6">
        <v>161</v>
      </c>
      <c r="Q59" s="75">
        <v>1.0592105263157896</v>
      </c>
      <c r="R5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0" spans="1:18" x14ac:dyDescent="0.25">
      <c r="A60" s="7" t="s">
        <v>16</v>
      </c>
      <c r="B60" s="7" t="s">
        <v>22</v>
      </c>
      <c r="C60" s="7" t="s">
        <v>18</v>
      </c>
      <c r="D60" s="8" t="s">
        <v>199</v>
      </c>
      <c r="E60" s="8" t="s">
        <v>200</v>
      </c>
      <c r="F60" s="8" t="s">
        <v>556</v>
      </c>
      <c r="G60" s="14" t="b">
        <v>1</v>
      </c>
      <c r="H60" s="14" t="b">
        <v>1</v>
      </c>
      <c r="I60" s="8" t="s">
        <v>212</v>
      </c>
      <c r="J60" s="14" t="b">
        <v>0</v>
      </c>
      <c r="K60" s="6">
        <v>21</v>
      </c>
      <c r="L60" s="6">
        <v>1</v>
      </c>
      <c r="M60" s="6">
        <v>20</v>
      </c>
      <c r="N60" s="6">
        <v>6</v>
      </c>
      <c r="O60" s="6">
        <v>120</v>
      </c>
      <c r="P60" s="6">
        <v>57</v>
      </c>
      <c r="Q60" s="75">
        <v>0.47499999999999998</v>
      </c>
      <c r="R6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1" spans="1:18" x14ac:dyDescent="0.25">
      <c r="A61" s="7" t="s">
        <v>16</v>
      </c>
      <c r="B61" s="7" t="s">
        <v>22</v>
      </c>
      <c r="C61" s="7" t="s">
        <v>18</v>
      </c>
      <c r="D61" s="8" t="s">
        <v>201</v>
      </c>
      <c r="E61" s="8" t="s">
        <v>202</v>
      </c>
      <c r="F61" s="8" t="s">
        <v>740</v>
      </c>
      <c r="G61" s="14" t="b">
        <v>1</v>
      </c>
      <c r="H61" s="14" t="b">
        <v>1</v>
      </c>
      <c r="I61" s="8" t="s">
        <v>212</v>
      </c>
      <c r="J61" s="14" t="b">
        <v>0</v>
      </c>
      <c r="K61" s="6">
        <v>21</v>
      </c>
      <c r="L61" s="6">
        <v>7</v>
      </c>
      <c r="M61" s="6">
        <v>14</v>
      </c>
      <c r="N61" s="6">
        <v>6</v>
      </c>
      <c r="O61" s="6">
        <v>84</v>
      </c>
      <c r="P61" s="6">
        <v>80</v>
      </c>
      <c r="Q61" s="75">
        <v>0.95238095238095244</v>
      </c>
      <c r="R6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128.72651769693525</v>
      </c>
    </row>
    <row r="62" spans="1:18" x14ac:dyDescent="0.25">
      <c r="A62" s="7" t="s">
        <v>16</v>
      </c>
      <c r="B62" s="7" t="s">
        <v>23</v>
      </c>
      <c r="C62" s="7" t="s">
        <v>24</v>
      </c>
      <c r="D62" s="8" t="s">
        <v>144</v>
      </c>
      <c r="E62" s="8" t="s">
        <v>145</v>
      </c>
      <c r="F62" s="8" t="s">
        <v>557</v>
      </c>
      <c r="G62" s="14" t="b">
        <v>1</v>
      </c>
      <c r="H62" s="14" t="b">
        <v>1</v>
      </c>
      <c r="I62" s="8" t="s">
        <v>206</v>
      </c>
      <c r="J62" s="14" t="b">
        <v>0</v>
      </c>
      <c r="K62" s="6">
        <v>23</v>
      </c>
      <c r="L62" s="6">
        <v>4</v>
      </c>
      <c r="M62" s="6">
        <v>19</v>
      </c>
      <c r="N62" s="6">
        <v>8</v>
      </c>
      <c r="O62" s="6">
        <v>152</v>
      </c>
      <c r="P62" s="6">
        <v>60</v>
      </c>
      <c r="Q62" s="75">
        <v>0.39473684210526316</v>
      </c>
      <c r="R6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3" spans="1:18" x14ac:dyDescent="0.25">
      <c r="A63" s="7" t="s">
        <v>16</v>
      </c>
      <c r="B63" s="7" t="s">
        <v>23</v>
      </c>
      <c r="C63" s="7" t="s">
        <v>24</v>
      </c>
      <c r="D63" s="8" t="s">
        <v>147</v>
      </c>
      <c r="E63" s="8" t="s">
        <v>148</v>
      </c>
      <c r="F63" s="8" t="s">
        <v>557</v>
      </c>
      <c r="G63" s="14" t="b">
        <v>1</v>
      </c>
      <c r="H63" s="14" t="b">
        <v>1</v>
      </c>
      <c r="I63" s="8" t="s">
        <v>208</v>
      </c>
      <c r="J63" s="14" t="b">
        <v>0</v>
      </c>
      <c r="K63" s="6">
        <v>23</v>
      </c>
      <c r="L63" s="6">
        <v>0</v>
      </c>
      <c r="M63" s="6">
        <v>23</v>
      </c>
      <c r="N63" s="6">
        <v>8</v>
      </c>
      <c r="O63" s="6">
        <v>184</v>
      </c>
      <c r="P63" s="6">
        <v>185</v>
      </c>
      <c r="Q63" s="75">
        <v>1.0054347826086956</v>
      </c>
      <c r="R6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4" spans="1:18" x14ac:dyDescent="0.25">
      <c r="A64" s="7" t="s">
        <v>16</v>
      </c>
      <c r="B64" s="7" t="s">
        <v>23</v>
      </c>
      <c r="C64" s="7" t="s">
        <v>24</v>
      </c>
      <c r="D64" s="8" t="s">
        <v>149</v>
      </c>
      <c r="E64" s="8" t="s">
        <v>150</v>
      </c>
      <c r="F64" s="8" t="s">
        <v>557</v>
      </c>
      <c r="G64" s="14" t="b">
        <v>1</v>
      </c>
      <c r="H64" s="14" t="b">
        <v>1</v>
      </c>
      <c r="I64" s="8" t="s">
        <v>208</v>
      </c>
      <c r="J64" s="14" t="b">
        <v>0</v>
      </c>
      <c r="K64" s="6">
        <v>23</v>
      </c>
      <c r="L64" s="6">
        <v>0</v>
      </c>
      <c r="M64" s="6">
        <v>23</v>
      </c>
      <c r="N64" s="6">
        <v>8</v>
      </c>
      <c r="O64" s="6">
        <v>184</v>
      </c>
      <c r="P64" s="6">
        <v>197</v>
      </c>
      <c r="Q64" s="75">
        <v>1.0706521739130435</v>
      </c>
      <c r="R6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5" spans="1:18" x14ac:dyDescent="0.25">
      <c r="A65" s="7" t="s">
        <v>16</v>
      </c>
      <c r="B65" s="7" t="s">
        <v>23</v>
      </c>
      <c r="C65" s="7" t="s">
        <v>24</v>
      </c>
      <c r="D65" s="8" t="s">
        <v>151</v>
      </c>
      <c r="E65" s="8" t="s">
        <v>152</v>
      </c>
      <c r="F65" s="8" t="s">
        <v>556</v>
      </c>
      <c r="G65" s="14" t="b">
        <v>1</v>
      </c>
      <c r="H65" s="14" t="b">
        <v>1</v>
      </c>
      <c r="I65" s="8" t="s">
        <v>208</v>
      </c>
      <c r="J65" s="14" t="b">
        <v>0</v>
      </c>
      <c r="K65" s="6">
        <v>23</v>
      </c>
      <c r="L65" s="6">
        <v>1</v>
      </c>
      <c r="M65" s="6">
        <v>22</v>
      </c>
      <c r="N65" s="6">
        <v>6</v>
      </c>
      <c r="O65" s="6">
        <v>132</v>
      </c>
      <c r="P65" s="6">
        <v>137</v>
      </c>
      <c r="Q65" s="75">
        <v>1.0378787878787878</v>
      </c>
      <c r="R6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6" spans="1:18" x14ac:dyDescent="0.25">
      <c r="A66" s="7" t="s">
        <v>16</v>
      </c>
      <c r="B66" s="7" t="s">
        <v>23</v>
      </c>
      <c r="C66" s="7" t="s">
        <v>24</v>
      </c>
      <c r="D66" s="8" t="s">
        <v>155</v>
      </c>
      <c r="E66" s="8" t="s">
        <v>156</v>
      </c>
      <c r="F66" s="8" t="s">
        <v>556</v>
      </c>
      <c r="G66" s="14" t="b">
        <v>1</v>
      </c>
      <c r="H66" s="14" t="b">
        <v>1</v>
      </c>
      <c r="I66" s="8" t="s">
        <v>206</v>
      </c>
      <c r="J66" s="14" t="b">
        <v>0</v>
      </c>
      <c r="K66" s="6">
        <v>23</v>
      </c>
      <c r="L66" s="6">
        <v>2</v>
      </c>
      <c r="M66" s="6">
        <v>21</v>
      </c>
      <c r="N66" s="6">
        <v>6</v>
      </c>
      <c r="O66" s="6">
        <v>126</v>
      </c>
      <c r="P66" s="6">
        <v>132</v>
      </c>
      <c r="Q66" s="75">
        <v>1.0476190476190477</v>
      </c>
      <c r="R6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67" spans="1:18" x14ac:dyDescent="0.25">
      <c r="A67" s="7" t="s">
        <v>16</v>
      </c>
      <c r="B67" s="7" t="s">
        <v>23</v>
      </c>
      <c r="C67" s="7" t="s">
        <v>24</v>
      </c>
      <c r="D67" s="8" t="s">
        <v>157</v>
      </c>
      <c r="E67" s="8" t="s">
        <v>158</v>
      </c>
      <c r="F67" s="8" t="s">
        <v>557</v>
      </c>
      <c r="G67" s="14" t="b">
        <v>1</v>
      </c>
      <c r="H67" s="14" t="b">
        <v>1</v>
      </c>
      <c r="I67" s="8" t="s">
        <v>206</v>
      </c>
      <c r="J67" s="14" t="b">
        <v>0</v>
      </c>
      <c r="K67" s="6">
        <v>23</v>
      </c>
      <c r="L67" s="6">
        <v>2</v>
      </c>
      <c r="M67" s="6">
        <v>21</v>
      </c>
      <c r="N67" s="6">
        <v>8</v>
      </c>
      <c r="O67" s="6">
        <v>168</v>
      </c>
      <c r="P67" s="6">
        <v>97</v>
      </c>
      <c r="Q67" s="75">
        <v>0.57738095238095244</v>
      </c>
      <c r="R6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8" spans="1:18" x14ac:dyDescent="0.25">
      <c r="A68" s="7" t="s">
        <v>16</v>
      </c>
      <c r="B68" s="7" t="s">
        <v>23</v>
      </c>
      <c r="C68" s="7" t="s">
        <v>24</v>
      </c>
      <c r="D68" s="8" t="s">
        <v>159</v>
      </c>
      <c r="E68" s="8" t="s">
        <v>160</v>
      </c>
      <c r="F68" s="8" t="s">
        <v>740</v>
      </c>
      <c r="G68" s="14" t="b">
        <v>1</v>
      </c>
      <c r="H68" s="14" t="b">
        <v>1</v>
      </c>
      <c r="I68" s="8" t="s">
        <v>206</v>
      </c>
      <c r="J68" s="14" t="b">
        <v>0</v>
      </c>
      <c r="K68" s="6">
        <v>23</v>
      </c>
      <c r="L68" s="6">
        <v>3</v>
      </c>
      <c r="M68" s="6">
        <v>20</v>
      </c>
      <c r="N68" s="6">
        <v>7</v>
      </c>
      <c r="O68" s="6">
        <v>140</v>
      </c>
      <c r="P68" s="6">
        <v>27</v>
      </c>
      <c r="Q68" s="75">
        <v>0.19285714285714284</v>
      </c>
      <c r="R6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69" spans="1:18" x14ac:dyDescent="0.25">
      <c r="A69" s="7" t="s">
        <v>16</v>
      </c>
      <c r="B69" s="7" t="s">
        <v>23</v>
      </c>
      <c r="C69" s="7" t="s">
        <v>24</v>
      </c>
      <c r="D69" s="8" t="s">
        <v>161</v>
      </c>
      <c r="E69" s="8" t="s">
        <v>162</v>
      </c>
      <c r="F69" s="8" t="s">
        <v>556</v>
      </c>
      <c r="G69" s="14" t="b">
        <v>1</v>
      </c>
      <c r="H69" s="14" t="b">
        <v>1</v>
      </c>
      <c r="I69" s="8" t="s">
        <v>208</v>
      </c>
      <c r="J69" s="14" t="b">
        <v>0</v>
      </c>
      <c r="K69" s="6">
        <v>23</v>
      </c>
      <c r="L69" s="6">
        <v>4</v>
      </c>
      <c r="M69" s="6">
        <v>19</v>
      </c>
      <c r="N69" s="6">
        <v>6</v>
      </c>
      <c r="O69" s="6">
        <v>114</v>
      </c>
      <c r="P69" s="6">
        <v>114</v>
      </c>
      <c r="Q69" s="75">
        <v>1</v>
      </c>
      <c r="R6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0" spans="1:18" x14ac:dyDescent="0.25">
      <c r="A70" s="7" t="s">
        <v>16</v>
      </c>
      <c r="B70" s="7" t="s">
        <v>23</v>
      </c>
      <c r="C70" s="7" t="s">
        <v>24</v>
      </c>
      <c r="D70" s="8" t="s">
        <v>163</v>
      </c>
      <c r="E70" s="8" t="s">
        <v>164</v>
      </c>
      <c r="F70" s="8" t="s">
        <v>557</v>
      </c>
      <c r="G70" s="14" t="b">
        <v>1</v>
      </c>
      <c r="H70" s="14" t="b">
        <v>1</v>
      </c>
      <c r="I70" s="8" t="s">
        <v>212</v>
      </c>
      <c r="J70" s="14" t="b">
        <v>0</v>
      </c>
      <c r="K70" s="6">
        <v>23</v>
      </c>
      <c r="L70" s="6">
        <v>0</v>
      </c>
      <c r="M70" s="6">
        <v>23</v>
      </c>
      <c r="N70" s="6">
        <v>8</v>
      </c>
      <c r="O70" s="6">
        <v>184</v>
      </c>
      <c r="P70" s="6">
        <v>204</v>
      </c>
      <c r="Q70" s="75">
        <v>1.1086956521739129</v>
      </c>
      <c r="R7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1" spans="1:18" x14ac:dyDescent="0.25">
      <c r="A71" s="7" t="s">
        <v>16</v>
      </c>
      <c r="B71" s="7" t="s">
        <v>23</v>
      </c>
      <c r="C71" s="7" t="s">
        <v>24</v>
      </c>
      <c r="D71" s="8" t="s">
        <v>165</v>
      </c>
      <c r="E71" s="8" t="s">
        <v>166</v>
      </c>
      <c r="F71" s="8" t="s">
        <v>557</v>
      </c>
      <c r="G71" s="14" t="b">
        <v>1</v>
      </c>
      <c r="H71" s="14" t="b">
        <v>1</v>
      </c>
      <c r="I71" s="8" t="s">
        <v>212</v>
      </c>
      <c r="J71" s="14" t="b">
        <v>0</v>
      </c>
      <c r="K71" s="6">
        <v>23</v>
      </c>
      <c r="L71" s="6">
        <v>0</v>
      </c>
      <c r="M71" s="6">
        <v>23</v>
      </c>
      <c r="N71" s="6">
        <v>8</v>
      </c>
      <c r="O71" s="6">
        <v>184</v>
      </c>
      <c r="P71" s="6">
        <v>140</v>
      </c>
      <c r="Q71" s="75">
        <v>0.76086956521739124</v>
      </c>
      <c r="R7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2" spans="1:18" x14ac:dyDescent="0.25">
      <c r="A72" s="7" t="s">
        <v>16</v>
      </c>
      <c r="B72" s="7" t="s">
        <v>23</v>
      </c>
      <c r="C72" s="7" t="s">
        <v>24</v>
      </c>
      <c r="D72" s="8" t="s">
        <v>167</v>
      </c>
      <c r="E72" s="8" t="s">
        <v>168</v>
      </c>
      <c r="F72" s="8" t="s">
        <v>557</v>
      </c>
      <c r="G72" s="14" t="b">
        <v>1</v>
      </c>
      <c r="H72" s="14" t="b">
        <v>1</v>
      </c>
      <c r="I72" s="8" t="s">
        <v>212</v>
      </c>
      <c r="J72" s="14" t="b">
        <v>0</v>
      </c>
      <c r="K72" s="6">
        <v>23</v>
      </c>
      <c r="L72" s="6">
        <v>0</v>
      </c>
      <c r="M72" s="6">
        <v>23</v>
      </c>
      <c r="N72" s="6">
        <v>8</v>
      </c>
      <c r="O72" s="6">
        <v>184</v>
      </c>
      <c r="P72" s="6">
        <v>184</v>
      </c>
      <c r="Q72" s="75">
        <v>1</v>
      </c>
      <c r="R7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3" spans="1:18" x14ac:dyDescent="0.25">
      <c r="A73" s="7" t="s">
        <v>16</v>
      </c>
      <c r="B73" s="7" t="s">
        <v>23</v>
      </c>
      <c r="C73" s="7" t="s">
        <v>24</v>
      </c>
      <c r="D73" s="8" t="s">
        <v>169</v>
      </c>
      <c r="E73" s="8" t="s">
        <v>170</v>
      </c>
      <c r="F73" s="8" t="s">
        <v>557</v>
      </c>
      <c r="G73" s="14" t="b">
        <v>1</v>
      </c>
      <c r="H73" s="14" t="b">
        <v>1</v>
      </c>
      <c r="I73" s="8" t="s">
        <v>212</v>
      </c>
      <c r="J73" s="14" t="b">
        <v>0</v>
      </c>
      <c r="K73" s="6">
        <v>23</v>
      </c>
      <c r="L73" s="6">
        <v>0</v>
      </c>
      <c r="M73" s="6">
        <v>23</v>
      </c>
      <c r="N73" s="6">
        <v>8</v>
      </c>
      <c r="O73" s="6">
        <v>184</v>
      </c>
      <c r="P73" s="6">
        <v>139</v>
      </c>
      <c r="Q73" s="75">
        <v>0.75543478260869568</v>
      </c>
      <c r="R7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74" spans="1:18" x14ac:dyDescent="0.25">
      <c r="A74" s="7" t="s">
        <v>16</v>
      </c>
      <c r="B74" s="7" t="s">
        <v>23</v>
      </c>
      <c r="C74" s="7" t="s">
        <v>24</v>
      </c>
      <c r="D74" s="8" t="s">
        <v>173</v>
      </c>
      <c r="E74" s="8" t="s">
        <v>174</v>
      </c>
      <c r="F74" s="8" t="s">
        <v>557</v>
      </c>
      <c r="G74" s="14" t="b">
        <v>1</v>
      </c>
      <c r="H74" s="14" t="b">
        <v>1</v>
      </c>
      <c r="I74" s="8" t="s">
        <v>206</v>
      </c>
      <c r="J74" s="14" t="b">
        <v>0</v>
      </c>
      <c r="K74" s="6">
        <v>23</v>
      </c>
      <c r="L74" s="6">
        <v>0</v>
      </c>
      <c r="M74" s="6">
        <v>23</v>
      </c>
      <c r="N74" s="6">
        <v>8</v>
      </c>
      <c r="O74" s="6">
        <v>184</v>
      </c>
      <c r="P74" s="6">
        <v>186</v>
      </c>
      <c r="Q74" s="75">
        <v>1.0108695652173914</v>
      </c>
      <c r="R7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5" spans="1:18" x14ac:dyDescent="0.25">
      <c r="A75" s="7" t="s">
        <v>16</v>
      </c>
      <c r="B75" s="7" t="s">
        <v>23</v>
      </c>
      <c r="C75" s="7" t="s">
        <v>24</v>
      </c>
      <c r="D75" s="8" t="s">
        <v>175</v>
      </c>
      <c r="E75" s="8" t="s">
        <v>176</v>
      </c>
      <c r="F75" s="8" t="s">
        <v>556</v>
      </c>
      <c r="G75" s="14" t="b">
        <v>1</v>
      </c>
      <c r="H75" s="14" t="b">
        <v>1</v>
      </c>
      <c r="I75" s="8" t="s">
        <v>206</v>
      </c>
      <c r="J75" s="14" t="b">
        <v>0</v>
      </c>
      <c r="K75" s="6">
        <v>23</v>
      </c>
      <c r="L75" s="6">
        <v>15</v>
      </c>
      <c r="M75" s="6">
        <v>8</v>
      </c>
      <c r="N75" s="6">
        <v>6</v>
      </c>
      <c r="O75" s="6">
        <v>48</v>
      </c>
      <c r="P75" s="6">
        <v>54</v>
      </c>
      <c r="Q75" s="75">
        <v>1.125</v>
      </c>
      <c r="R7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6" spans="1:18" x14ac:dyDescent="0.25">
      <c r="A76" s="7" t="s">
        <v>16</v>
      </c>
      <c r="B76" s="7" t="s">
        <v>23</v>
      </c>
      <c r="C76" s="7" t="s">
        <v>24</v>
      </c>
      <c r="D76" s="8" t="s">
        <v>177</v>
      </c>
      <c r="E76" s="8" t="s">
        <v>178</v>
      </c>
      <c r="F76" s="8" t="s">
        <v>557</v>
      </c>
      <c r="G76" s="14" t="b">
        <v>1</v>
      </c>
      <c r="H76" s="14" t="b">
        <v>1</v>
      </c>
      <c r="I76" s="8" t="s">
        <v>208</v>
      </c>
      <c r="J76" s="14" t="b">
        <v>0</v>
      </c>
      <c r="K76" s="6">
        <v>23</v>
      </c>
      <c r="L76" s="6">
        <v>2</v>
      </c>
      <c r="M76" s="6">
        <v>21</v>
      </c>
      <c r="N76" s="6">
        <v>8</v>
      </c>
      <c r="O76" s="6">
        <v>168</v>
      </c>
      <c r="P76" s="6">
        <v>180</v>
      </c>
      <c r="Q76" s="75">
        <v>1.0714285714285714</v>
      </c>
      <c r="R7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77" spans="1:18" x14ac:dyDescent="0.25">
      <c r="A77" s="7" t="s">
        <v>16</v>
      </c>
      <c r="B77" s="7" t="s">
        <v>23</v>
      </c>
      <c r="C77" s="7" t="s">
        <v>24</v>
      </c>
      <c r="D77" s="8" t="s">
        <v>181</v>
      </c>
      <c r="E77" s="8" t="s">
        <v>182</v>
      </c>
      <c r="F77" s="8" t="s">
        <v>557</v>
      </c>
      <c r="G77" s="14" t="b">
        <v>1</v>
      </c>
      <c r="H77" s="14" t="b">
        <v>1</v>
      </c>
      <c r="I77" s="8" t="s">
        <v>206</v>
      </c>
      <c r="J77" s="14" t="b">
        <v>0</v>
      </c>
      <c r="K77" s="6">
        <v>23</v>
      </c>
      <c r="L77" s="6">
        <v>0</v>
      </c>
      <c r="M77" s="6">
        <v>23</v>
      </c>
      <c r="N77" s="6">
        <v>8</v>
      </c>
      <c r="O77" s="6">
        <v>184</v>
      </c>
      <c r="P77" s="6">
        <v>183</v>
      </c>
      <c r="Q77" s="75">
        <v>0.99456521739130432</v>
      </c>
      <c r="R7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134.4056287718</v>
      </c>
    </row>
    <row r="78" spans="1:18" x14ac:dyDescent="0.25">
      <c r="A78" s="7" t="s">
        <v>16</v>
      </c>
      <c r="B78" s="7" t="s">
        <v>23</v>
      </c>
      <c r="C78" s="7" t="s">
        <v>24</v>
      </c>
      <c r="D78" s="8" t="s">
        <v>183</v>
      </c>
      <c r="E78" s="8" t="s">
        <v>184</v>
      </c>
      <c r="F78" s="8" t="s">
        <v>557</v>
      </c>
      <c r="G78" s="14" t="b">
        <v>1</v>
      </c>
      <c r="H78" s="14" t="b">
        <v>1</v>
      </c>
      <c r="I78" s="8" t="s">
        <v>208</v>
      </c>
      <c r="J78" s="14" t="b">
        <v>0</v>
      </c>
      <c r="K78" s="6">
        <v>23</v>
      </c>
      <c r="L78" s="6">
        <v>0</v>
      </c>
      <c r="M78" s="6">
        <v>23</v>
      </c>
      <c r="N78" s="6">
        <v>8</v>
      </c>
      <c r="O78" s="6">
        <v>184</v>
      </c>
      <c r="P78" s="6">
        <v>180</v>
      </c>
      <c r="Q78" s="75">
        <v>0.97826086956521729</v>
      </c>
      <c r="R7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132.24215788613728</v>
      </c>
    </row>
    <row r="79" spans="1:18" x14ac:dyDescent="0.25">
      <c r="A79" s="7" t="s">
        <v>16</v>
      </c>
      <c r="B79" s="7" t="s">
        <v>23</v>
      </c>
      <c r="C79" s="7" t="s">
        <v>24</v>
      </c>
      <c r="D79" s="8" t="s">
        <v>199</v>
      </c>
      <c r="E79" s="8" t="s">
        <v>200</v>
      </c>
      <c r="F79" s="8" t="s">
        <v>556</v>
      </c>
      <c r="G79" s="14" t="b">
        <v>1</v>
      </c>
      <c r="H79" s="14" t="b">
        <v>1</v>
      </c>
      <c r="I79" s="8" t="s">
        <v>212</v>
      </c>
      <c r="J79" s="14" t="b">
        <v>0</v>
      </c>
      <c r="K79" s="6">
        <v>23</v>
      </c>
      <c r="L79" s="6">
        <v>0</v>
      </c>
      <c r="M79" s="6">
        <v>23</v>
      </c>
      <c r="N79" s="6">
        <v>6</v>
      </c>
      <c r="O79" s="6">
        <v>138</v>
      </c>
      <c r="P79" s="6">
        <v>56</v>
      </c>
      <c r="Q79" s="75">
        <v>0.40579710144927539</v>
      </c>
      <c r="R7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0" spans="1:18" x14ac:dyDescent="0.25">
      <c r="A80" s="7" t="s">
        <v>16</v>
      </c>
      <c r="B80" s="7" t="s">
        <v>23</v>
      </c>
      <c r="C80" s="7" t="s">
        <v>24</v>
      </c>
      <c r="D80" s="8" t="s">
        <v>201</v>
      </c>
      <c r="E80" s="8" t="s">
        <v>202</v>
      </c>
      <c r="F80" s="8" t="s">
        <v>740</v>
      </c>
      <c r="G80" s="14" t="b">
        <v>1</v>
      </c>
      <c r="H80" s="14" t="b">
        <v>1</v>
      </c>
      <c r="I80" s="8" t="s">
        <v>212</v>
      </c>
      <c r="J80" s="14" t="b">
        <v>0</v>
      </c>
      <c r="K80" s="6">
        <v>23</v>
      </c>
      <c r="L80" s="6">
        <v>1</v>
      </c>
      <c r="M80" s="6">
        <v>22</v>
      </c>
      <c r="N80" s="6">
        <v>6</v>
      </c>
      <c r="O80" s="6">
        <v>132</v>
      </c>
      <c r="P80" s="6">
        <v>136</v>
      </c>
      <c r="Q80" s="75">
        <v>1.0303030303030303</v>
      </c>
      <c r="R8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81" spans="1:18" x14ac:dyDescent="0.25">
      <c r="A81" s="7" t="s">
        <v>16</v>
      </c>
      <c r="B81" s="7" t="s">
        <v>229</v>
      </c>
      <c r="C81" s="7" t="s">
        <v>24</v>
      </c>
      <c r="D81" s="8" t="s">
        <v>144</v>
      </c>
      <c r="E81" s="8" t="s">
        <v>145</v>
      </c>
      <c r="F81" s="8" t="s">
        <v>557</v>
      </c>
      <c r="G81" s="14" t="b">
        <v>1</v>
      </c>
      <c r="H81" s="14" t="b">
        <v>1</v>
      </c>
      <c r="I81" s="8" t="s">
        <v>206</v>
      </c>
      <c r="J81" s="14" t="b">
        <v>0</v>
      </c>
      <c r="K81" s="6">
        <v>21</v>
      </c>
      <c r="L81" s="6">
        <v>11</v>
      </c>
      <c r="M81" s="6">
        <v>9</v>
      </c>
      <c r="N81" s="6">
        <v>8</v>
      </c>
      <c r="O81" s="6">
        <v>72</v>
      </c>
      <c r="P81" s="6">
        <v>57</v>
      </c>
      <c r="Q81" s="75">
        <v>0.79166666666666674</v>
      </c>
      <c r="R8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2" spans="1:18" x14ac:dyDescent="0.25">
      <c r="A82" s="7" t="s">
        <v>16</v>
      </c>
      <c r="B82" s="7" t="s">
        <v>229</v>
      </c>
      <c r="C82" s="7" t="s">
        <v>24</v>
      </c>
      <c r="D82" s="8" t="s">
        <v>147</v>
      </c>
      <c r="E82" s="8" t="s">
        <v>148</v>
      </c>
      <c r="F82" s="8" t="s">
        <v>557</v>
      </c>
      <c r="G82" s="14" t="b">
        <v>1</v>
      </c>
      <c r="H82" s="14" t="b">
        <v>1</v>
      </c>
      <c r="I82" s="8" t="s">
        <v>208</v>
      </c>
      <c r="J82" s="14" t="b">
        <v>0</v>
      </c>
      <c r="K82" s="6">
        <v>21</v>
      </c>
      <c r="L82" s="6">
        <v>3</v>
      </c>
      <c r="M82" s="6">
        <v>15</v>
      </c>
      <c r="N82" s="6">
        <v>8</v>
      </c>
      <c r="O82" s="6">
        <v>120</v>
      </c>
      <c r="P82" s="6">
        <v>118</v>
      </c>
      <c r="Q82" s="75">
        <v>0.98333333333333328</v>
      </c>
      <c r="R8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132.91824253790685</v>
      </c>
    </row>
    <row r="83" spans="1:18" x14ac:dyDescent="0.25">
      <c r="A83" s="7" t="s">
        <v>16</v>
      </c>
      <c r="B83" s="7" t="s">
        <v>229</v>
      </c>
      <c r="C83" s="7" t="s">
        <v>24</v>
      </c>
      <c r="D83" s="8" t="s">
        <v>149</v>
      </c>
      <c r="E83" s="8" t="s">
        <v>150</v>
      </c>
      <c r="F83" s="8" t="s">
        <v>557</v>
      </c>
      <c r="G83" s="14" t="b">
        <v>1</v>
      </c>
      <c r="H83" s="14" t="b">
        <v>1</v>
      </c>
      <c r="I83" s="8" t="s">
        <v>208</v>
      </c>
      <c r="J83" s="14" t="b">
        <v>0</v>
      </c>
      <c r="K83" s="6">
        <v>21</v>
      </c>
      <c r="L83" s="6">
        <v>0</v>
      </c>
      <c r="M83" s="6">
        <v>20</v>
      </c>
      <c r="N83" s="6">
        <v>8</v>
      </c>
      <c r="O83" s="6">
        <v>160</v>
      </c>
      <c r="P83" s="6">
        <v>171</v>
      </c>
      <c r="Q83" s="75">
        <v>1.0687500000000001</v>
      </c>
      <c r="R8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84" spans="1:18" x14ac:dyDescent="0.25">
      <c r="A84" s="7" t="s">
        <v>16</v>
      </c>
      <c r="B84" s="7" t="s">
        <v>229</v>
      </c>
      <c r="C84" s="7" t="s">
        <v>24</v>
      </c>
      <c r="D84" s="8" t="s">
        <v>151</v>
      </c>
      <c r="E84" s="8" t="s">
        <v>152</v>
      </c>
      <c r="F84" s="8" t="s">
        <v>556</v>
      </c>
      <c r="G84" s="14" t="b">
        <v>1</v>
      </c>
      <c r="H84" s="14" t="b">
        <v>1</v>
      </c>
      <c r="I84" s="8" t="s">
        <v>208</v>
      </c>
      <c r="J84" s="14" t="b">
        <v>0</v>
      </c>
      <c r="K84" s="6">
        <v>21</v>
      </c>
      <c r="L84" s="6">
        <v>3</v>
      </c>
      <c r="M84" s="6">
        <v>16</v>
      </c>
      <c r="N84" s="6">
        <v>6</v>
      </c>
      <c r="O84" s="6">
        <v>96</v>
      </c>
      <c r="P84" s="6">
        <v>99</v>
      </c>
      <c r="Q84" s="75">
        <v>1.03125</v>
      </c>
      <c r="R8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85" spans="1:18" x14ac:dyDescent="0.25">
      <c r="A85" s="7" t="s">
        <v>16</v>
      </c>
      <c r="B85" s="7" t="s">
        <v>229</v>
      </c>
      <c r="C85" s="7" t="s">
        <v>24</v>
      </c>
      <c r="D85" s="8" t="s">
        <v>155</v>
      </c>
      <c r="E85" s="8" t="s">
        <v>156</v>
      </c>
      <c r="F85" s="8" t="s">
        <v>556</v>
      </c>
      <c r="G85" s="14" t="b">
        <v>1</v>
      </c>
      <c r="H85" s="14" t="b">
        <v>1</v>
      </c>
      <c r="I85" s="8" t="s">
        <v>206</v>
      </c>
      <c r="J85" s="14" t="b">
        <v>0</v>
      </c>
      <c r="K85" s="6">
        <v>21</v>
      </c>
      <c r="L85" s="6">
        <v>3</v>
      </c>
      <c r="M85" s="6">
        <v>16</v>
      </c>
      <c r="N85" s="6">
        <v>6</v>
      </c>
      <c r="O85" s="6">
        <v>96</v>
      </c>
      <c r="P85" s="6">
        <v>94</v>
      </c>
      <c r="Q85" s="75">
        <v>0.97916666666666674</v>
      </c>
      <c r="R8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132.37737481649117</v>
      </c>
    </row>
    <row r="86" spans="1:18" x14ac:dyDescent="0.25">
      <c r="A86" s="7" t="s">
        <v>16</v>
      </c>
      <c r="B86" s="7" t="s">
        <v>229</v>
      </c>
      <c r="C86" s="7" t="s">
        <v>24</v>
      </c>
      <c r="D86" s="8" t="s">
        <v>157</v>
      </c>
      <c r="E86" s="8" t="s">
        <v>158</v>
      </c>
      <c r="F86" s="8" t="s">
        <v>557</v>
      </c>
      <c r="G86" s="14" t="b">
        <v>1</v>
      </c>
      <c r="H86" s="14" t="b">
        <v>1</v>
      </c>
      <c r="I86" s="8" t="s">
        <v>206</v>
      </c>
      <c r="J86" s="14" t="b">
        <v>0</v>
      </c>
      <c r="K86" s="6">
        <v>21</v>
      </c>
      <c r="L86" s="6">
        <v>5</v>
      </c>
      <c r="M86" s="6">
        <v>15</v>
      </c>
      <c r="N86" s="6">
        <v>8</v>
      </c>
      <c r="O86" s="6">
        <v>120</v>
      </c>
      <c r="P86" s="6">
        <v>75</v>
      </c>
      <c r="Q86" s="75">
        <v>0.625</v>
      </c>
      <c r="R8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7" spans="1:18" x14ac:dyDescent="0.25">
      <c r="A87" s="7" t="s">
        <v>16</v>
      </c>
      <c r="B87" s="7" t="s">
        <v>229</v>
      </c>
      <c r="C87" s="7" t="s">
        <v>24</v>
      </c>
      <c r="D87" s="8" t="s">
        <v>159</v>
      </c>
      <c r="E87" s="8" t="s">
        <v>160</v>
      </c>
      <c r="F87" s="8" t="s">
        <v>740</v>
      </c>
      <c r="G87" s="14" t="b">
        <v>1</v>
      </c>
      <c r="H87" s="14" t="b">
        <v>1</v>
      </c>
      <c r="I87" s="8" t="s">
        <v>206</v>
      </c>
      <c r="J87" s="14" t="b">
        <v>0</v>
      </c>
      <c r="K87" s="6">
        <v>21</v>
      </c>
      <c r="L87" s="6">
        <v>8</v>
      </c>
      <c r="M87" s="6">
        <v>12</v>
      </c>
      <c r="N87" s="6">
        <v>7</v>
      </c>
      <c r="O87" s="6">
        <v>84</v>
      </c>
      <c r="P87" s="6">
        <v>71</v>
      </c>
      <c r="Q87" s="75">
        <v>0.84523809523809512</v>
      </c>
      <c r="R8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76.172204099376856</v>
      </c>
    </row>
    <row r="88" spans="1:18" x14ac:dyDescent="0.25">
      <c r="A88" s="7" t="s">
        <v>16</v>
      </c>
      <c r="B88" s="7" t="s">
        <v>229</v>
      </c>
      <c r="C88" s="7" t="s">
        <v>24</v>
      </c>
      <c r="D88" s="8" t="s">
        <v>161</v>
      </c>
      <c r="E88" s="8" t="s">
        <v>162</v>
      </c>
      <c r="F88" s="8" t="s">
        <v>556</v>
      </c>
      <c r="G88" s="14" t="b">
        <v>1</v>
      </c>
      <c r="H88" s="14" t="b">
        <v>1</v>
      </c>
      <c r="I88" s="8" t="s">
        <v>208</v>
      </c>
      <c r="J88" s="14" t="b">
        <v>0</v>
      </c>
      <c r="K88" s="6">
        <v>21</v>
      </c>
      <c r="L88" s="6">
        <v>2</v>
      </c>
      <c r="M88" s="6">
        <v>4</v>
      </c>
      <c r="N88" s="6">
        <v>6</v>
      </c>
      <c r="O88" s="6">
        <v>24</v>
      </c>
      <c r="P88" s="6">
        <v>18</v>
      </c>
      <c r="Q88" s="75">
        <v>0.75</v>
      </c>
      <c r="R8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89" spans="1:18" x14ac:dyDescent="0.25">
      <c r="A89" s="7" t="s">
        <v>16</v>
      </c>
      <c r="B89" s="7" t="s">
        <v>229</v>
      </c>
      <c r="C89" s="7" t="s">
        <v>24</v>
      </c>
      <c r="D89" s="8" t="s">
        <v>163</v>
      </c>
      <c r="E89" s="8" t="s">
        <v>164</v>
      </c>
      <c r="F89" s="8" t="s">
        <v>557</v>
      </c>
      <c r="G89" s="14" t="b">
        <v>1</v>
      </c>
      <c r="H89" s="14" t="b">
        <v>1</v>
      </c>
      <c r="I89" s="8" t="s">
        <v>212</v>
      </c>
      <c r="J89" s="14" t="b">
        <v>0</v>
      </c>
      <c r="K89" s="6">
        <v>21</v>
      </c>
      <c r="L89" s="6">
        <v>0</v>
      </c>
      <c r="M89" s="6">
        <v>20</v>
      </c>
      <c r="N89" s="6">
        <v>8</v>
      </c>
      <c r="O89" s="6">
        <v>160</v>
      </c>
      <c r="P89" s="6">
        <v>126</v>
      </c>
      <c r="Q89" s="75">
        <v>0.78749999999999998</v>
      </c>
      <c r="R8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0" spans="1:18" x14ac:dyDescent="0.25">
      <c r="A90" s="7" t="s">
        <v>16</v>
      </c>
      <c r="B90" s="7" t="s">
        <v>229</v>
      </c>
      <c r="C90" s="7" t="s">
        <v>24</v>
      </c>
      <c r="D90" s="8" t="s">
        <v>165</v>
      </c>
      <c r="E90" s="8" t="s">
        <v>166</v>
      </c>
      <c r="F90" s="8" t="s">
        <v>557</v>
      </c>
      <c r="G90" s="14" t="b">
        <v>1</v>
      </c>
      <c r="H90" s="14" t="b">
        <v>1</v>
      </c>
      <c r="I90" s="8" t="s">
        <v>212</v>
      </c>
      <c r="J90" s="14" t="b">
        <v>0</v>
      </c>
      <c r="K90" s="6">
        <v>21</v>
      </c>
      <c r="L90" s="6">
        <v>0</v>
      </c>
      <c r="M90" s="6">
        <v>20</v>
      </c>
      <c r="N90" s="6">
        <v>8</v>
      </c>
      <c r="O90" s="6">
        <v>160</v>
      </c>
      <c r="P90" s="6">
        <v>127</v>
      </c>
      <c r="Q90" s="75">
        <v>0.79374999999999996</v>
      </c>
      <c r="R9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1" spans="1:18" x14ac:dyDescent="0.25">
      <c r="A91" s="7" t="s">
        <v>16</v>
      </c>
      <c r="B91" s="7" t="s">
        <v>229</v>
      </c>
      <c r="C91" s="7" t="s">
        <v>24</v>
      </c>
      <c r="D91" s="8" t="s">
        <v>167</v>
      </c>
      <c r="E91" s="8" t="s">
        <v>168</v>
      </c>
      <c r="F91" s="8" t="s">
        <v>557</v>
      </c>
      <c r="G91" s="14" t="b">
        <v>1</v>
      </c>
      <c r="H91" s="14" t="b">
        <v>1</v>
      </c>
      <c r="I91" s="8" t="s">
        <v>212</v>
      </c>
      <c r="J91" s="14" t="b">
        <v>0</v>
      </c>
      <c r="K91" s="6">
        <v>21</v>
      </c>
      <c r="L91" s="6">
        <v>0</v>
      </c>
      <c r="M91" s="6">
        <v>20</v>
      </c>
      <c r="N91" s="6">
        <v>8</v>
      </c>
      <c r="O91" s="6">
        <v>160</v>
      </c>
      <c r="P91" s="6">
        <v>160</v>
      </c>
      <c r="Q91" s="75">
        <v>1</v>
      </c>
      <c r="R9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92" spans="1:18" x14ac:dyDescent="0.25">
      <c r="A92" s="7" t="s">
        <v>16</v>
      </c>
      <c r="B92" s="7" t="s">
        <v>229</v>
      </c>
      <c r="C92" s="7" t="s">
        <v>24</v>
      </c>
      <c r="D92" s="8" t="s">
        <v>169</v>
      </c>
      <c r="E92" s="8" t="s">
        <v>170</v>
      </c>
      <c r="F92" s="8" t="s">
        <v>557</v>
      </c>
      <c r="G92" s="14" t="b">
        <v>1</v>
      </c>
      <c r="H92" s="14" t="b">
        <v>1</v>
      </c>
      <c r="I92" s="8" t="s">
        <v>212</v>
      </c>
      <c r="J92" s="14" t="b">
        <v>0</v>
      </c>
      <c r="K92" s="6">
        <v>21</v>
      </c>
      <c r="L92" s="6">
        <v>3</v>
      </c>
      <c r="M92" s="6">
        <v>17</v>
      </c>
      <c r="N92" s="6">
        <v>8</v>
      </c>
      <c r="O92" s="6">
        <v>136</v>
      </c>
      <c r="P92" s="6">
        <v>116</v>
      </c>
      <c r="Q92" s="75">
        <v>0.85294117647058831</v>
      </c>
      <c r="R9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76.803216441028454</v>
      </c>
    </row>
    <row r="93" spans="1:18" x14ac:dyDescent="0.25">
      <c r="A93" s="7" t="s">
        <v>16</v>
      </c>
      <c r="B93" s="7" t="s">
        <v>229</v>
      </c>
      <c r="C93" s="7" t="s">
        <v>24</v>
      </c>
      <c r="D93" s="8" t="s">
        <v>173</v>
      </c>
      <c r="E93" s="8" t="s">
        <v>174</v>
      </c>
      <c r="F93" s="8" t="s">
        <v>557</v>
      </c>
      <c r="G93" s="14" t="b">
        <v>1</v>
      </c>
      <c r="H93" s="14" t="b">
        <v>1</v>
      </c>
      <c r="I93" s="8" t="s">
        <v>206</v>
      </c>
      <c r="J93" s="14" t="b">
        <v>0</v>
      </c>
      <c r="K93" s="6">
        <v>21</v>
      </c>
      <c r="L93" s="6">
        <v>2</v>
      </c>
      <c r="M93" s="6">
        <v>18</v>
      </c>
      <c r="N93" s="6">
        <v>8</v>
      </c>
      <c r="O93" s="6">
        <v>144</v>
      </c>
      <c r="P93" s="6">
        <v>145</v>
      </c>
      <c r="Q93" s="75">
        <v>1.0069444444444444</v>
      </c>
      <c r="R9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94" spans="1:18" x14ac:dyDescent="0.25">
      <c r="A94" s="7" t="s">
        <v>16</v>
      </c>
      <c r="B94" s="7" t="s">
        <v>229</v>
      </c>
      <c r="C94" s="7" t="s">
        <v>24</v>
      </c>
      <c r="D94" s="8" t="s">
        <v>175</v>
      </c>
      <c r="E94" s="8" t="s">
        <v>176</v>
      </c>
      <c r="F94" s="8" t="s">
        <v>556</v>
      </c>
      <c r="G94" s="14" t="b">
        <v>1</v>
      </c>
      <c r="H94" s="14" t="b">
        <v>1</v>
      </c>
      <c r="I94" s="8" t="s">
        <v>206</v>
      </c>
      <c r="J94" s="14" t="b">
        <v>0</v>
      </c>
      <c r="K94" s="6">
        <v>21</v>
      </c>
      <c r="L94" s="6">
        <v>7</v>
      </c>
      <c r="M94" s="6">
        <v>13</v>
      </c>
      <c r="N94" s="6">
        <v>6</v>
      </c>
      <c r="O94" s="6">
        <v>78</v>
      </c>
      <c r="P94" s="6">
        <v>49</v>
      </c>
      <c r="Q94" s="75">
        <v>0.62820512820512819</v>
      </c>
      <c r="R9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5" spans="1:18" x14ac:dyDescent="0.25">
      <c r="A95" s="7" t="s">
        <v>16</v>
      </c>
      <c r="B95" s="7" t="s">
        <v>229</v>
      </c>
      <c r="C95" s="7" t="s">
        <v>24</v>
      </c>
      <c r="D95" s="8" t="s">
        <v>177</v>
      </c>
      <c r="E95" s="8" t="s">
        <v>178</v>
      </c>
      <c r="F95" s="8" t="s">
        <v>557</v>
      </c>
      <c r="G95" s="14" t="b">
        <v>1</v>
      </c>
      <c r="H95" s="14" t="b">
        <v>1</v>
      </c>
      <c r="I95" s="8" t="s">
        <v>208</v>
      </c>
      <c r="J95" s="14" t="b">
        <v>0</v>
      </c>
      <c r="K95" s="6">
        <v>21</v>
      </c>
      <c r="L95" s="6">
        <v>5</v>
      </c>
      <c r="M95" s="6">
        <v>14</v>
      </c>
      <c r="N95" s="6">
        <v>8</v>
      </c>
      <c r="O95" s="6">
        <v>112</v>
      </c>
      <c r="P95" s="6">
        <v>103</v>
      </c>
      <c r="Q95" s="75">
        <v>0.9196428571428571</v>
      </c>
      <c r="R9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124.26435899525566</v>
      </c>
    </row>
    <row r="96" spans="1:18" x14ac:dyDescent="0.25">
      <c r="A96" s="7" t="s">
        <v>16</v>
      </c>
      <c r="B96" s="7" t="s">
        <v>229</v>
      </c>
      <c r="C96" s="7" t="s">
        <v>24</v>
      </c>
      <c r="D96" s="8" t="s">
        <v>181</v>
      </c>
      <c r="E96" s="8" t="s">
        <v>182</v>
      </c>
      <c r="F96" s="8" t="s">
        <v>557</v>
      </c>
      <c r="G96" s="14" t="b">
        <v>1</v>
      </c>
      <c r="H96" s="14" t="b">
        <v>1</v>
      </c>
      <c r="I96" s="8" t="s">
        <v>206</v>
      </c>
      <c r="J96" s="14" t="b">
        <v>0</v>
      </c>
      <c r="K96" s="6">
        <v>21</v>
      </c>
      <c r="L96" s="6">
        <v>3</v>
      </c>
      <c r="M96" s="6">
        <v>16</v>
      </c>
      <c r="N96" s="6">
        <v>8</v>
      </c>
      <c r="O96" s="6">
        <v>128</v>
      </c>
      <c r="P96" s="6">
        <v>60</v>
      </c>
      <c r="Q96" s="75">
        <v>0.46875</v>
      </c>
      <c r="R9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7" spans="1:18" x14ac:dyDescent="0.25">
      <c r="A97" s="7" t="s">
        <v>16</v>
      </c>
      <c r="B97" s="7" t="s">
        <v>229</v>
      </c>
      <c r="C97" s="7" t="s">
        <v>24</v>
      </c>
      <c r="D97" s="8" t="s">
        <v>183</v>
      </c>
      <c r="E97" s="8" t="s">
        <v>184</v>
      </c>
      <c r="F97" s="8" t="s">
        <v>557</v>
      </c>
      <c r="G97" s="14" t="b">
        <v>1</v>
      </c>
      <c r="H97" s="14" t="b">
        <v>1</v>
      </c>
      <c r="I97" s="8" t="s">
        <v>208</v>
      </c>
      <c r="J97" s="14" t="b">
        <v>0</v>
      </c>
      <c r="K97" s="6">
        <v>21</v>
      </c>
      <c r="L97" s="6">
        <v>2</v>
      </c>
      <c r="M97" s="6">
        <v>18</v>
      </c>
      <c r="N97" s="6">
        <v>8</v>
      </c>
      <c r="O97" s="6">
        <v>144</v>
      </c>
      <c r="P97" s="6">
        <v>134</v>
      </c>
      <c r="Q97" s="75">
        <v>0.93055555555555558</v>
      </c>
      <c r="R9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125.75174522914891</v>
      </c>
    </row>
    <row r="98" spans="1:18" x14ac:dyDescent="0.25">
      <c r="A98" s="7" t="s">
        <v>16</v>
      </c>
      <c r="B98" s="7" t="s">
        <v>229</v>
      </c>
      <c r="C98" s="7" t="s">
        <v>24</v>
      </c>
      <c r="D98" s="8" t="s">
        <v>199</v>
      </c>
      <c r="E98" s="8" t="s">
        <v>200</v>
      </c>
      <c r="F98" s="8" t="s">
        <v>556</v>
      </c>
      <c r="G98" s="14" t="b">
        <v>1</v>
      </c>
      <c r="H98" s="14" t="b">
        <v>1</v>
      </c>
      <c r="I98" s="8" t="s">
        <v>212</v>
      </c>
      <c r="J98" s="14" t="b">
        <v>0</v>
      </c>
      <c r="K98" s="6">
        <v>21</v>
      </c>
      <c r="L98" s="6">
        <v>0</v>
      </c>
      <c r="M98" s="6">
        <v>20</v>
      </c>
      <c r="N98" s="6">
        <v>6</v>
      </c>
      <c r="O98" s="6">
        <v>120</v>
      </c>
      <c r="P98" s="6">
        <v>64</v>
      </c>
      <c r="Q98" s="75">
        <v>0.53333333333333333</v>
      </c>
      <c r="R9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99" spans="1:18" x14ac:dyDescent="0.25">
      <c r="A99" s="7" t="s">
        <v>16</v>
      </c>
      <c r="B99" s="7" t="s">
        <v>229</v>
      </c>
      <c r="C99" s="7" t="s">
        <v>24</v>
      </c>
      <c r="D99" s="8" t="s">
        <v>201</v>
      </c>
      <c r="E99" s="8" t="s">
        <v>202</v>
      </c>
      <c r="F99" s="8" t="s">
        <v>740</v>
      </c>
      <c r="G99" s="14" t="b">
        <v>1</v>
      </c>
      <c r="H99" s="14" t="b">
        <v>1</v>
      </c>
      <c r="I99" s="8" t="s">
        <v>212</v>
      </c>
      <c r="J99" s="14" t="b">
        <v>0</v>
      </c>
      <c r="K99" s="6">
        <v>21</v>
      </c>
      <c r="L99" s="6">
        <v>4</v>
      </c>
      <c r="M99" s="6">
        <v>16</v>
      </c>
      <c r="N99" s="6">
        <v>7</v>
      </c>
      <c r="O99" s="6">
        <v>112</v>
      </c>
      <c r="P99" s="6">
        <v>107</v>
      </c>
      <c r="Q99" s="75">
        <v>0.9553571428571429</v>
      </c>
      <c r="R9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129.13216848799703</v>
      </c>
    </row>
    <row r="100" spans="1:18" x14ac:dyDescent="0.25">
      <c r="A100" s="7" t="s">
        <v>16</v>
      </c>
      <c r="B100" s="7" t="s">
        <v>230</v>
      </c>
      <c r="C100" s="7" t="s">
        <v>24</v>
      </c>
      <c r="D100" s="8" t="s">
        <v>144</v>
      </c>
      <c r="E100" s="8" t="s">
        <v>145</v>
      </c>
      <c r="F100" s="8" t="s">
        <v>557</v>
      </c>
      <c r="G100" s="14" t="b">
        <v>1</v>
      </c>
      <c r="H100" s="14" t="b">
        <v>1</v>
      </c>
      <c r="I100" s="8" t="s">
        <v>206</v>
      </c>
      <c r="J100" s="14" t="b">
        <v>0</v>
      </c>
      <c r="K100" s="6">
        <v>22</v>
      </c>
      <c r="L100" s="6">
        <v>3</v>
      </c>
      <c r="M100" s="6">
        <v>12</v>
      </c>
      <c r="N100" s="6">
        <v>8</v>
      </c>
      <c r="O100" s="6">
        <v>96</v>
      </c>
      <c r="P100" s="6">
        <v>0</v>
      </c>
      <c r="Q100" s="75">
        <v>0</v>
      </c>
      <c r="R10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1" spans="1:18" x14ac:dyDescent="0.25">
      <c r="A101" s="7" t="s">
        <v>16</v>
      </c>
      <c r="B101" s="7" t="s">
        <v>230</v>
      </c>
      <c r="C101" s="7" t="s">
        <v>24</v>
      </c>
      <c r="D101" s="8" t="s">
        <v>147</v>
      </c>
      <c r="E101" s="8" t="s">
        <v>148</v>
      </c>
      <c r="F101" s="8" t="s">
        <v>557</v>
      </c>
      <c r="G101" s="14" t="b">
        <v>1</v>
      </c>
      <c r="H101" s="14" t="b">
        <v>1</v>
      </c>
      <c r="I101" s="8" t="s">
        <v>208</v>
      </c>
      <c r="J101" s="14" t="b">
        <v>0</v>
      </c>
      <c r="K101" s="6">
        <v>22</v>
      </c>
      <c r="L101" s="6">
        <v>1</v>
      </c>
      <c r="M101" s="6">
        <v>14</v>
      </c>
      <c r="N101" s="6">
        <v>8</v>
      </c>
      <c r="O101" s="6">
        <v>112</v>
      </c>
      <c r="P101" s="6">
        <v>109</v>
      </c>
      <c r="Q101" s="75">
        <v>0.9732142857142857</v>
      </c>
      <c r="R10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131.56607323436762</v>
      </c>
    </row>
    <row r="102" spans="1:18" x14ac:dyDescent="0.25">
      <c r="A102" s="7" t="s">
        <v>16</v>
      </c>
      <c r="B102" s="7" t="s">
        <v>230</v>
      </c>
      <c r="C102" s="7" t="s">
        <v>24</v>
      </c>
      <c r="D102" s="8" t="s">
        <v>149</v>
      </c>
      <c r="E102" s="8" t="s">
        <v>150</v>
      </c>
      <c r="F102" s="8" t="s">
        <v>557</v>
      </c>
      <c r="G102" s="14" t="b">
        <v>1</v>
      </c>
      <c r="H102" s="14" t="b">
        <v>1</v>
      </c>
      <c r="I102" s="8" t="s">
        <v>208</v>
      </c>
      <c r="J102" s="14" t="b">
        <v>0</v>
      </c>
      <c r="K102" s="6">
        <v>22</v>
      </c>
      <c r="L102" s="6">
        <v>3</v>
      </c>
      <c r="M102" s="6">
        <v>12</v>
      </c>
      <c r="N102" s="6">
        <v>8</v>
      </c>
      <c r="O102" s="6">
        <v>96</v>
      </c>
      <c r="P102" s="6">
        <v>106</v>
      </c>
      <c r="Q102" s="75">
        <v>1.1041666666666667</v>
      </c>
      <c r="R10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03" spans="1:18" x14ac:dyDescent="0.25">
      <c r="A103" s="7" t="s">
        <v>16</v>
      </c>
      <c r="B103" s="7" t="s">
        <v>230</v>
      </c>
      <c r="C103" s="7" t="s">
        <v>24</v>
      </c>
      <c r="D103" s="8" t="s">
        <v>151</v>
      </c>
      <c r="E103" s="8" t="s">
        <v>152</v>
      </c>
      <c r="F103" s="8" t="s">
        <v>556</v>
      </c>
      <c r="G103" s="14" t="b">
        <v>1</v>
      </c>
      <c r="H103" s="14" t="b">
        <v>1</v>
      </c>
      <c r="I103" s="8" t="s">
        <v>208</v>
      </c>
      <c r="J103" s="14" t="b">
        <v>0</v>
      </c>
      <c r="K103" s="6">
        <v>22</v>
      </c>
      <c r="L103" s="6">
        <v>0</v>
      </c>
      <c r="M103" s="6">
        <v>15</v>
      </c>
      <c r="N103" s="6">
        <v>6</v>
      </c>
      <c r="O103" s="6">
        <v>90</v>
      </c>
      <c r="P103" s="6">
        <v>90</v>
      </c>
      <c r="Q103" s="75">
        <v>1</v>
      </c>
      <c r="R10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04" spans="1:18" x14ac:dyDescent="0.25">
      <c r="A104" s="7" t="s">
        <v>16</v>
      </c>
      <c r="B104" s="7" t="s">
        <v>230</v>
      </c>
      <c r="C104" s="7" t="s">
        <v>24</v>
      </c>
      <c r="D104" s="8" t="s">
        <v>1355</v>
      </c>
      <c r="E104" s="8" t="s">
        <v>1356</v>
      </c>
      <c r="F104" s="8" t="s">
        <v>556</v>
      </c>
      <c r="G104" s="14" t="b">
        <v>1</v>
      </c>
      <c r="H104" s="14" t="b">
        <v>1</v>
      </c>
      <c r="I104" s="8" t="s">
        <v>208</v>
      </c>
      <c r="J104" s="14" t="b">
        <v>1</v>
      </c>
      <c r="K104" s="6">
        <v>22</v>
      </c>
      <c r="L104" s="6">
        <v>0</v>
      </c>
      <c r="M104" s="6">
        <v>15</v>
      </c>
      <c r="N104" s="6">
        <v>6</v>
      </c>
      <c r="O104" s="6">
        <v>90</v>
      </c>
      <c r="P104" s="6">
        <v>0</v>
      </c>
      <c r="Q104" s="75">
        <v>1</v>
      </c>
      <c r="R10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05" spans="1:18" x14ac:dyDescent="0.25">
      <c r="A105" s="7" t="s">
        <v>16</v>
      </c>
      <c r="B105" s="7" t="s">
        <v>230</v>
      </c>
      <c r="C105" s="7" t="s">
        <v>24</v>
      </c>
      <c r="D105" s="8" t="s">
        <v>155</v>
      </c>
      <c r="E105" s="8" t="s">
        <v>156</v>
      </c>
      <c r="F105" s="8" t="s">
        <v>556</v>
      </c>
      <c r="G105" s="14" t="b">
        <v>1</v>
      </c>
      <c r="H105" s="14" t="b">
        <v>1</v>
      </c>
      <c r="I105" s="8" t="s">
        <v>206</v>
      </c>
      <c r="J105" s="14" t="b">
        <v>0</v>
      </c>
      <c r="K105" s="6">
        <v>22</v>
      </c>
      <c r="L105" s="6">
        <v>6</v>
      </c>
      <c r="M105" s="6">
        <v>9</v>
      </c>
      <c r="N105" s="6">
        <v>6</v>
      </c>
      <c r="O105" s="6">
        <v>54</v>
      </c>
      <c r="P105" s="6">
        <v>15</v>
      </c>
      <c r="Q105" s="75">
        <v>0.27777777777777779</v>
      </c>
      <c r="R10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6" spans="1:18" x14ac:dyDescent="0.25">
      <c r="A106" s="7" t="s">
        <v>16</v>
      </c>
      <c r="B106" s="7" t="s">
        <v>230</v>
      </c>
      <c r="C106" s="7" t="s">
        <v>24</v>
      </c>
      <c r="D106" s="8" t="s">
        <v>157</v>
      </c>
      <c r="E106" s="8" t="s">
        <v>158</v>
      </c>
      <c r="F106" s="8" t="s">
        <v>557</v>
      </c>
      <c r="G106" s="14" t="b">
        <v>1</v>
      </c>
      <c r="H106" s="14" t="b">
        <v>1</v>
      </c>
      <c r="I106" s="8" t="s">
        <v>206</v>
      </c>
      <c r="J106" s="14" t="b">
        <v>0</v>
      </c>
      <c r="K106" s="6">
        <v>22</v>
      </c>
      <c r="L106" s="6">
        <v>6</v>
      </c>
      <c r="M106" s="6">
        <v>9</v>
      </c>
      <c r="N106" s="6">
        <v>8</v>
      </c>
      <c r="O106" s="6">
        <v>72</v>
      </c>
      <c r="P106" s="6">
        <v>42</v>
      </c>
      <c r="Q106" s="75">
        <v>0.58333333333333337</v>
      </c>
      <c r="R10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7" spans="1:18" x14ac:dyDescent="0.25">
      <c r="A107" s="7" t="s">
        <v>16</v>
      </c>
      <c r="B107" s="7" t="s">
        <v>230</v>
      </c>
      <c r="C107" s="7" t="s">
        <v>24</v>
      </c>
      <c r="D107" s="8" t="s">
        <v>159</v>
      </c>
      <c r="E107" s="8" t="s">
        <v>160</v>
      </c>
      <c r="F107" s="8" t="s">
        <v>740</v>
      </c>
      <c r="G107" s="14" t="b">
        <v>1</v>
      </c>
      <c r="H107" s="14" t="b">
        <v>1</v>
      </c>
      <c r="I107" s="8" t="s">
        <v>206</v>
      </c>
      <c r="J107" s="14" t="b">
        <v>0</v>
      </c>
      <c r="K107" s="6">
        <v>22</v>
      </c>
      <c r="L107" s="6">
        <v>3</v>
      </c>
      <c r="M107" s="6">
        <v>12</v>
      </c>
      <c r="N107" s="6">
        <v>7</v>
      </c>
      <c r="O107" s="6">
        <v>84</v>
      </c>
      <c r="P107" s="6">
        <v>0</v>
      </c>
      <c r="Q107" s="75">
        <v>0</v>
      </c>
      <c r="R10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08" spans="1:18" x14ac:dyDescent="0.25">
      <c r="A108" s="7" t="s">
        <v>16</v>
      </c>
      <c r="B108" s="7" t="s">
        <v>230</v>
      </c>
      <c r="C108" s="7" t="s">
        <v>24</v>
      </c>
      <c r="D108" s="8" t="s">
        <v>161</v>
      </c>
      <c r="E108" s="8" t="s">
        <v>162</v>
      </c>
      <c r="F108" s="8" t="s">
        <v>556</v>
      </c>
      <c r="G108" s="14" t="b">
        <v>1</v>
      </c>
      <c r="H108" s="14" t="b">
        <v>1</v>
      </c>
      <c r="I108" s="8" t="s">
        <v>208</v>
      </c>
      <c r="J108" s="14" t="b">
        <v>0</v>
      </c>
      <c r="K108" s="6">
        <v>22</v>
      </c>
      <c r="L108" s="6">
        <v>4</v>
      </c>
      <c r="M108" s="6">
        <v>11</v>
      </c>
      <c r="N108" s="6">
        <v>6</v>
      </c>
      <c r="O108" s="6">
        <v>66</v>
      </c>
      <c r="P108" s="6">
        <v>68</v>
      </c>
      <c r="Q108" s="75">
        <v>1.0303030303030303</v>
      </c>
      <c r="R10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09" spans="1:18" x14ac:dyDescent="0.25">
      <c r="A109" s="7" t="s">
        <v>16</v>
      </c>
      <c r="B109" s="7" t="s">
        <v>230</v>
      </c>
      <c r="C109" s="7" t="s">
        <v>24</v>
      </c>
      <c r="D109" s="8" t="s">
        <v>163</v>
      </c>
      <c r="E109" s="8" t="s">
        <v>164</v>
      </c>
      <c r="F109" s="8" t="s">
        <v>557</v>
      </c>
      <c r="G109" s="14" t="b">
        <v>1</v>
      </c>
      <c r="H109" s="14" t="b">
        <v>1</v>
      </c>
      <c r="I109" s="8" t="s">
        <v>212</v>
      </c>
      <c r="J109" s="14" t="b">
        <v>0</v>
      </c>
      <c r="K109" s="6">
        <v>22</v>
      </c>
      <c r="L109" s="6">
        <v>3</v>
      </c>
      <c r="M109" s="6">
        <v>12</v>
      </c>
      <c r="N109" s="6">
        <v>8</v>
      </c>
      <c r="O109" s="6">
        <v>96</v>
      </c>
      <c r="P109" s="6">
        <v>150</v>
      </c>
      <c r="Q109" s="75">
        <v>1.5625</v>
      </c>
      <c r="R10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10" spans="1:18" x14ac:dyDescent="0.25">
      <c r="A110" s="7" t="s">
        <v>16</v>
      </c>
      <c r="B110" s="7" t="s">
        <v>230</v>
      </c>
      <c r="C110" s="7" t="s">
        <v>24</v>
      </c>
      <c r="D110" s="8" t="s">
        <v>165</v>
      </c>
      <c r="E110" s="8" t="s">
        <v>166</v>
      </c>
      <c r="F110" s="8" t="s">
        <v>557</v>
      </c>
      <c r="G110" s="14" t="b">
        <v>1</v>
      </c>
      <c r="H110" s="14" t="b">
        <v>1</v>
      </c>
      <c r="I110" s="8" t="s">
        <v>212</v>
      </c>
      <c r="J110" s="14" t="b">
        <v>0</v>
      </c>
      <c r="K110" s="6">
        <v>22</v>
      </c>
      <c r="L110" s="6">
        <v>3</v>
      </c>
      <c r="M110" s="6">
        <v>12</v>
      </c>
      <c r="N110" s="6">
        <v>8</v>
      </c>
      <c r="O110" s="6">
        <v>96</v>
      </c>
      <c r="P110" s="6">
        <v>73</v>
      </c>
      <c r="Q110" s="75">
        <v>0.76041666666666674</v>
      </c>
      <c r="R110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11" spans="1:18" x14ac:dyDescent="0.25">
      <c r="A111" s="7" t="s">
        <v>16</v>
      </c>
      <c r="B111" s="7" t="s">
        <v>230</v>
      </c>
      <c r="C111" s="7" t="s">
        <v>24</v>
      </c>
      <c r="D111" s="8" t="s">
        <v>167</v>
      </c>
      <c r="E111" s="8" t="s">
        <v>168</v>
      </c>
      <c r="F111" s="8" t="s">
        <v>557</v>
      </c>
      <c r="G111" s="14" t="b">
        <v>1</v>
      </c>
      <c r="H111" s="14" t="b">
        <v>1</v>
      </c>
      <c r="I111" s="8" t="s">
        <v>212</v>
      </c>
      <c r="J111" s="14" t="b">
        <v>0</v>
      </c>
      <c r="K111" s="6">
        <v>22</v>
      </c>
      <c r="L111" s="6">
        <v>3</v>
      </c>
      <c r="M111" s="6">
        <v>12</v>
      </c>
      <c r="N111" s="6">
        <v>8</v>
      </c>
      <c r="O111" s="6">
        <v>96</v>
      </c>
      <c r="P111" s="6">
        <v>96</v>
      </c>
      <c r="Q111" s="75">
        <v>1</v>
      </c>
      <c r="R111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12" spans="1:18" x14ac:dyDescent="0.25">
      <c r="A112" s="7" t="s">
        <v>16</v>
      </c>
      <c r="B112" s="7" t="s">
        <v>230</v>
      </c>
      <c r="C112" s="7" t="s">
        <v>24</v>
      </c>
      <c r="D112" s="8" t="s">
        <v>169</v>
      </c>
      <c r="E112" s="8" t="s">
        <v>170</v>
      </c>
      <c r="F112" s="8" t="s">
        <v>557</v>
      </c>
      <c r="G112" s="14" t="b">
        <v>1</v>
      </c>
      <c r="H112" s="14" t="b">
        <v>1</v>
      </c>
      <c r="I112" s="8" t="s">
        <v>212</v>
      </c>
      <c r="J112" s="14" t="b">
        <v>0</v>
      </c>
      <c r="K112" s="6">
        <v>22</v>
      </c>
      <c r="L112" s="6">
        <v>3</v>
      </c>
      <c r="M112" s="6">
        <v>12</v>
      </c>
      <c r="N112" s="6">
        <v>8</v>
      </c>
      <c r="O112" s="6">
        <v>96</v>
      </c>
      <c r="P112" s="6">
        <v>81</v>
      </c>
      <c r="Q112" s="75">
        <v>0.84375</v>
      </c>
      <c r="R112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75.991914858904977</v>
      </c>
    </row>
    <row r="113" spans="1:18" x14ac:dyDescent="0.25">
      <c r="A113" s="7" t="s">
        <v>16</v>
      </c>
      <c r="B113" s="7" t="s">
        <v>230</v>
      </c>
      <c r="C113" s="7" t="s">
        <v>24</v>
      </c>
      <c r="D113" s="8" t="s">
        <v>173</v>
      </c>
      <c r="E113" s="8" t="s">
        <v>174</v>
      </c>
      <c r="F113" s="8" t="s">
        <v>557</v>
      </c>
      <c r="G113" s="14" t="b">
        <v>1</v>
      </c>
      <c r="H113" s="14" t="b">
        <v>1</v>
      </c>
      <c r="I113" s="8" t="s">
        <v>206</v>
      </c>
      <c r="J113" s="14" t="b">
        <v>0</v>
      </c>
      <c r="K113" s="6">
        <v>22</v>
      </c>
      <c r="L113" s="6">
        <v>3</v>
      </c>
      <c r="M113" s="6">
        <v>12</v>
      </c>
      <c r="N113" s="6">
        <v>8</v>
      </c>
      <c r="O113" s="6">
        <v>96</v>
      </c>
      <c r="P113" s="6">
        <v>79</v>
      </c>
      <c r="Q113" s="75">
        <v>0.82291666666666674</v>
      </c>
      <c r="R113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74.098877833950056</v>
      </c>
    </row>
    <row r="114" spans="1:18" x14ac:dyDescent="0.25">
      <c r="A114" s="7" t="s">
        <v>16</v>
      </c>
      <c r="B114" s="7" t="s">
        <v>230</v>
      </c>
      <c r="C114" s="7" t="s">
        <v>24</v>
      </c>
      <c r="D114" s="8" t="s">
        <v>175</v>
      </c>
      <c r="E114" s="8" t="s">
        <v>176</v>
      </c>
      <c r="F114" s="8" t="s">
        <v>556</v>
      </c>
      <c r="G114" s="14" t="b">
        <v>1</v>
      </c>
      <c r="H114" s="14" t="b">
        <v>1</v>
      </c>
      <c r="I114" s="8" t="s">
        <v>206</v>
      </c>
      <c r="J114" s="14" t="b">
        <v>0</v>
      </c>
      <c r="K114" s="6">
        <v>22</v>
      </c>
      <c r="L114" s="6">
        <v>7</v>
      </c>
      <c r="M114" s="6">
        <v>8</v>
      </c>
      <c r="N114" s="6">
        <v>6</v>
      </c>
      <c r="O114" s="6">
        <v>48</v>
      </c>
      <c r="P114" s="6">
        <v>39</v>
      </c>
      <c r="Q114" s="75">
        <v>0.8125</v>
      </c>
      <c r="R114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73.197431631590561</v>
      </c>
    </row>
    <row r="115" spans="1:18" x14ac:dyDescent="0.25">
      <c r="A115" s="7" t="s">
        <v>16</v>
      </c>
      <c r="B115" s="7" t="s">
        <v>230</v>
      </c>
      <c r="C115" s="7" t="s">
        <v>24</v>
      </c>
      <c r="D115" s="8" t="s">
        <v>177</v>
      </c>
      <c r="E115" s="8" t="s">
        <v>178</v>
      </c>
      <c r="F115" s="8" t="s">
        <v>557</v>
      </c>
      <c r="G115" s="14" t="b">
        <v>1</v>
      </c>
      <c r="H115" s="14" t="b">
        <v>1</v>
      </c>
      <c r="I115" s="8" t="s">
        <v>208</v>
      </c>
      <c r="J115" s="14" t="b">
        <v>0</v>
      </c>
      <c r="K115" s="6">
        <v>22</v>
      </c>
      <c r="L115" s="6">
        <v>4</v>
      </c>
      <c r="M115" s="6">
        <v>11</v>
      </c>
      <c r="N115" s="6">
        <v>8</v>
      </c>
      <c r="O115" s="6">
        <v>88</v>
      </c>
      <c r="P115" s="6">
        <v>45</v>
      </c>
      <c r="Q115" s="75">
        <v>0.51136363636363635</v>
      </c>
      <c r="R115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16" spans="1:18" x14ac:dyDescent="0.25">
      <c r="A116" s="7" t="s">
        <v>16</v>
      </c>
      <c r="B116" s="7" t="s">
        <v>230</v>
      </c>
      <c r="C116" s="7" t="s">
        <v>24</v>
      </c>
      <c r="D116" s="8" t="s">
        <v>181</v>
      </c>
      <c r="E116" s="8" t="s">
        <v>182</v>
      </c>
      <c r="F116" s="8" t="s">
        <v>557</v>
      </c>
      <c r="G116" s="14" t="b">
        <v>1</v>
      </c>
      <c r="H116" s="14" t="b">
        <v>1</v>
      </c>
      <c r="I116" s="8" t="s">
        <v>206</v>
      </c>
      <c r="J116" s="14" t="b">
        <v>0</v>
      </c>
      <c r="K116" s="6">
        <v>22</v>
      </c>
      <c r="L116" s="6">
        <v>3</v>
      </c>
      <c r="M116" s="6">
        <v>12</v>
      </c>
      <c r="N116" s="6">
        <v>8</v>
      </c>
      <c r="O116" s="6">
        <v>96</v>
      </c>
      <c r="P116" s="6">
        <v>97</v>
      </c>
      <c r="Q116" s="75">
        <v>1.0104166666666667</v>
      </c>
      <c r="R116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17" spans="1:18" x14ac:dyDescent="0.25">
      <c r="A117" s="7" t="s">
        <v>16</v>
      </c>
      <c r="B117" s="7" t="s">
        <v>230</v>
      </c>
      <c r="C117" s="7" t="s">
        <v>24</v>
      </c>
      <c r="D117" s="8" t="s">
        <v>183</v>
      </c>
      <c r="E117" s="8" t="s">
        <v>184</v>
      </c>
      <c r="F117" s="8" t="s">
        <v>557</v>
      </c>
      <c r="G117" s="14" t="b">
        <v>1</v>
      </c>
      <c r="H117" s="14" t="b">
        <v>1</v>
      </c>
      <c r="I117" s="8" t="s">
        <v>208</v>
      </c>
      <c r="J117" s="14" t="b">
        <v>0</v>
      </c>
      <c r="K117" s="6">
        <v>22</v>
      </c>
      <c r="L117" s="6">
        <v>2</v>
      </c>
      <c r="M117" s="6">
        <v>13</v>
      </c>
      <c r="N117" s="6">
        <v>8</v>
      </c>
      <c r="O117" s="6">
        <v>104</v>
      </c>
      <c r="P117" s="6">
        <v>119</v>
      </c>
      <c r="Q117" s="75">
        <v>1.1442307692307692</v>
      </c>
      <c r="R117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180.2892404718981</v>
      </c>
    </row>
    <row r="118" spans="1:18" x14ac:dyDescent="0.25">
      <c r="A118" s="7" t="s">
        <v>16</v>
      </c>
      <c r="B118" s="7" t="s">
        <v>230</v>
      </c>
      <c r="C118" s="7" t="s">
        <v>24</v>
      </c>
      <c r="D118" s="8" t="s">
        <v>199</v>
      </c>
      <c r="E118" s="8" t="s">
        <v>200</v>
      </c>
      <c r="F118" s="8" t="s">
        <v>556</v>
      </c>
      <c r="G118" s="14" t="b">
        <v>1</v>
      </c>
      <c r="H118" s="14" t="b">
        <v>1</v>
      </c>
      <c r="I118" s="8" t="s">
        <v>212</v>
      </c>
      <c r="J118" s="14" t="b">
        <v>0</v>
      </c>
      <c r="K118" s="6">
        <v>22</v>
      </c>
      <c r="L118" s="6">
        <v>3</v>
      </c>
      <c r="M118" s="6">
        <v>12</v>
      </c>
      <c r="N118" s="6">
        <v>6</v>
      </c>
      <c r="O118" s="6">
        <v>72</v>
      </c>
      <c r="P118" s="6">
        <v>39</v>
      </c>
      <c r="Q118" s="75">
        <v>0.54166666666666663</v>
      </c>
      <c r="R118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0</v>
      </c>
    </row>
    <row r="119" spans="1:18" x14ac:dyDescent="0.25">
      <c r="A119" s="7" t="s">
        <v>16</v>
      </c>
      <c r="B119" s="7" t="s">
        <v>230</v>
      </c>
      <c r="C119" s="7" t="s">
        <v>24</v>
      </c>
      <c r="D119" s="8" t="s">
        <v>201</v>
      </c>
      <c r="E119" s="8" t="s">
        <v>202</v>
      </c>
      <c r="F119" s="8" t="s">
        <v>740</v>
      </c>
      <c r="G119" s="14" t="b">
        <v>1</v>
      </c>
      <c r="H119" s="14" t="b">
        <v>1</v>
      </c>
      <c r="I119" s="8" t="s">
        <v>212</v>
      </c>
      <c r="J119" s="14" t="b">
        <v>0</v>
      </c>
      <c r="K119" s="6">
        <v>22</v>
      </c>
      <c r="L119" s="6">
        <v>3</v>
      </c>
      <c r="M119" s="6">
        <v>12</v>
      </c>
      <c r="N119" s="6">
        <v>7</v>
      </c>
      <c r="O119" s="6">
        <v>84</v>
      </c>
      <c r="P119" s="6">
        <v>82</v>
      </c>
      <c r="Q119" s="75">
        <v>0.97619047619047616</v>
      </c>
      <c r="R119" s="102">
        <f>(IF(VIEW_IV_2019_VISITAS_REP[[#This Row],[Visitas-Cobertura]]&lt;Cob_Min_REP,0,IF(VIEW_IV_2019_VISITAS_REP[[#This Row],[Visitas-Cobertura]]&gt;Cob_100_REP,Vlr_100_REP,VLOOKUP(VIEW_IV_2019_VISITAS_REP[[#This Row],[Visitas-Cobertura]],Tabela_Valores_REP,2,1)))*R$1)</f>
        <v>131.97172402542941</v>
      </c>
    </row>
  </sheetData>
  <conditionalFormatting sqref="J6:J119 G6:H119">
    <cfRule type="cellIs" dxfId="1555" priority="1" operator="equal">
      <formula>FALSE</formula>
    </cfRule>
    <cfRule type="cellIs" dxfId="1554" priority="2" operator="equal">
      <formula>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FF4E-82FD-44A9-91CC-8464CF2E4EAD}">
  <sheetPr codeName="Planilha1">
    <tabColor theme="9" tint="0.39997558519241921"/>
  </sheetPr>
  <dimension ref="A1:O45"/>
  <sheetViews>
    <sheetView showGridLines="0" workbookViewId="0">
      <pane xSplit="2" ySplit="5" topLeftCell="C6" activePane="bottomRight" state="frozen"/>
      <selection activeCell="C15" sqref="C15"/>
      <selection pane="topRight" activeCell="C15" sqref="C15"/>
      <selection pane="bottomLeft" activeCell="C15" sqref="C15"/>
      <selection pane="bottomRight" activeCell="D29" sqref="D29"/>
    </sheetView>
  </sheetViews>
  <sheetFormatPr defaultRowHeight="15" x14ac:dyDescent="0.25"/>
  <cols>
    <col min="1" max="1" width="32.5703125" bestFit="1" customWidth="1"/>
    <col min="2" max="2" width="46.85546875" bestFit="1" customWidth="1"/>
    <col min="3" max="3" width="12.140625" bestFit="1" customWidth="1"/>
    <col min="4" max="4" width="15.5703125" bestFit="1" customWidth="1"/>
    <col min="5" max="5" width="16.42578125" bestFit="1" customWidth="1"/>
    <col min="6" max="6" width="27.140625" bestFit="1" customWidth="1"/>
    <col min="7" max="7" width="24.85546875" bestFit="1" customWidth="1"/>
    <col min="8" max="8" width="12" bestFit="1" customWidth="1"/>
    <col min="9" max="9" width="9.5703125" bestFit="1" customWidth="1"/>
    <col min="10" max="10" width="14.7109375" bestFit="1" customWidth="1"/>
    <col min="11" max="11" width="14.42578125" bestFit="1" customWidth="1"/>
    <col min="12" max="12" width="13.42578125" bestFit="1" customWidth="1"/>
    <col min="13" max="13" width="15" bestFit="1" customWidth="1"/>
    <col min="14" max="14" width="14.7109375" bestFit="1" customWidth="1"/>
    <col min="15" max="15" width="15.42578125" bestFit="1" customWidth="1"/>
  </cols>
  <sheetData>
    <row r="1" spans="1:15" ht="15.75" x14ac:dyDescent="0.25">
      <c r="A1" s="49" t="s">
        <v>387</v>
      </c>
    </row>
    <row r="4" spans="1:15" x14ac:dyDescent="0.25">
      <c r="A4" s="110">
        <v>1</v>
      </c>
      <c r="B4" s="110">
        <v>2</v>
      </c>
      <c r="C4" s="110">
        <v>3</v>
      </c>
      <c r="D4" s="110">
        <v>4</v>
      </c>
      <c r="E4" s="110">
        <v>5</v>
      </c>
      <c r="F4" s="110">
        <v>6</v>
      </c>
      <c r="G4" s="110">
        <v>7</v>
      </c>
      <c r="H4" s="110">
        <v>8</v>
      </c>
      <c r="I4" s="110">
        <v>9</v>
      </c>
      <c r="J4" s="110">
        <v>10</v>
      </c>
      <c r="K4" s="110">
        <v>11</v>
      </c>
      <c r="L4" s="110">
        <v>12</v>
      </c>
      <c r="M4" s="110">
        <v>13</v>
      </c>
      <c r="N4" s="110">
        <v>14</v>
      </c>
      <c r="O4" s="110"/>
    </row>
    <row r="5" spans="1:15" x14ac:dyDescent="0.25">
      <c r="A5" s="3" t="s">
        <v>132</v>
      </c>
      <c r="B5" s="3" t="s">
        <v>133</v>
      </c>
      <c r="C5" s="3" t="s">
        <v>134</v>
      </c>
      <c r="D5" s="3" t="s">
        <v>135</v>
      </c>
      <c r="E5" s="6" t="s">
        <v>136</v>
      </c>
      <c r="F5" s="3" t="s">
        <v>203</v>
      </c>
      <c r="G5" s="3" t="s">
        <v>204</v>
      </c>
      <c r="H5" s="6" t="s">
        <v>137</v>
      </c>
      <c r="I5" s="6" t="s">
        <v>138</v>
      </c>
      <c r="J5" s="6" t="s">
        <v>139</v>
      </c>
      <c r="K5" s="6" t="s">
        <v>140</v>
      </c>
      <c r="L5" s="6" t="s">
        <v>141</v>
      </c>
      <c r="M5" s="6" t="s">
        <v>142</v>
      </c>
      <c r="N5" s="6" t="s">
        <v>143</v>
      </c>
      <c r="O5" s="14" t="s">
        <v>1307</v>
      </c>
    </row>
    <row r="6" spans="1:15" x14ac:dyDescent="0.25">
      <c r="A6" s="8" t="s">
        <v>144</v>
      </c>
      <c r="B6" s="8" t="s">
        <v>145</v>
      </c>
      <c r="C6" s="8" t="s">
        <v>146</v>
      </c>
      <c r="D6" s="6">
        <v>20</v>
      </c>
      <c r="E6" s="7" t="s">
        <v>557</v>
      </c>
      <c r="F6" s="8" t="s">
        <v>205</v>
      </c>
      <c r="G6" s="8" t="s">
        <v>206</v>
      </c>
      <c r="H6" s="13" t="b">
        <v>1</v>
      </c>
      <c r="I6" s="13" t="b">
        <v>1</v>
      </c>
      <c r="J6" s="12">
        <v>0</v>
      </c>
      <c r="K6" s="12">
        <v>0.25</v>
      </c>
      <c r="L6" s="12">
        <v>0.25</v>
      </c>
      <c r="M6" s="12">
        <v>0</v>
      </c>
      <c r="N6" s="12">
        <v>0.2</v>
      </c>
      <c r="O6" s="191" t="b">
        <v>1</v>
      </c>
    </row>
    <row r="7" spans="1:15" x14ac:dyDescent="0.25">
      <c r="A7" s="8" t="s">
        <v>147</v>
      </c>
      <c r="B7" s="8" t="s">
        <v>148</v>
      </c>
      <c r="C7" s="8" t="s">
        <v>146</v>
      </c>
      <c r="D7" s="6">
        <v>20</v>
      </c>
      <c r="E7" s="7" t="s">
        <v>557</v>
      </c>
      <c r="F7" s="8" t="s">
        <v>207</v>
      </c>
      <c r="G7" s="8" t="s">
        <v>208</v>
      </c>
      <c r="H7" s="13" t="b">
        <v>1</v>
      </c>
      <c r="I7" s="13" t="b">
        <v>1</v>
      </c>
      <c r="J7" s="12">
        <v>0</v>
      </c>
      <c r="K7" s="12">
        <v>0.25</v>
      </c>
      <c r="L7" s="12">
        <v>0.25</v>
      </c>
      <c r="M7" s="12">
        <v>0</v>
      </c>
      <c r="N7" s="12">
        <v>0.2</v>
      </c>
      <c r="O7" s="191" t="b">
        <v>1</v>
      </c>
    </row>
    <row r="8" spans="1:15" x14ac:dyDescent="0.25">
      <c r="A8" s="8" t="s">
        <v>149</v>
      </c>
      <c r="B8" s="8" t="s">
        <v>150</v>
      </c>
      <c r="C8" s="8" t="s">
        <v>146</v>
      </c>
      <c r="D8" s="6">
        <v>20</v>
      </c>
      <c r="E8" s="7" t="s">
        <v>557</v>
      </c>
      <c r="F8" s="8" t="s">
        <v>207</v>
      </c>
      <c r="G8" s="8" t="s">
        <v>208</v>
      </c>
      <c r="H8" s="13" t="b">
        <v>1</v>
      </c>
      <c r="I8" s="13" t="b">
        <v>1</v>
      </c>
      <c r="J8" s="12">
        <v>0</v>
      </c>
      <c r="K8" s="12">
        <v>0.25</v>
      </c>
      <c r="L8" s="12">
        <v>0.25</v>
      </c>
      <c r="M8" s="12">
        <v>0</v>
      </c>
      <c r="N8" s="12">
        <v>0.2</v>
      </c>
      <c r="O8" s="191" t="b">
        <v>1</v>
      </c>
    </row>
    <row r="9" spans="1:15" x14ac:dyDescent="0.25">
      <c r="A9" s="8" t="s">
        <v>151</v>
      </c>
      <c r="B9" s="8" t="s">
        <v>152</v>
      </c>
      <c r="C9" s="8" t="s">
        <v>146</v>
      </c>
      <c r="D9" s="6">
        <v>10</v>
      </c>
      <c r="E9" s="7" t="s">
        <v>556</v>
      </c>
      <c r="F9" s="8" t="s">
        <v>207</v>
      </c>
      <c r="G9" s="8" t="s">
        <v>208</v>
      </c>
      <c r="H9" s="13" t="b">
        <v>1</v>
      </c>
      <c r="I9" s="13" t="b">
        <v>1</v>
      </c>
      <c r="J9" s="12">
        <v>0.1</v>
      </c>
      <c r="K9" s="12">
        <v>0</v>
      </c>
      <c r="L9" s="12">
        <v>0</v>
      </c>
      <c r="M9" s="12">
        <v>0.4</v>
      </c>
      <c r="N9" s="12">
        <v>0.2</v>
      </c>
      <c r="O9" s="191" t="b">
        <v>1</v>
      </c>
    </row>
    <row r="10" spans="1:15" x14ac:dyDescent="0.25">
      <c r="A10" s="8" t="s">
        <v>1355</v>
      </c>
      <c r="B10" s="8" t="s">
        <v>1356</v>
      </c>
      <c r="C10" s="8" t="s">
        <v>146</v>
      </c>
      <c r="D10" s="6">
        <v>10</v>
      </c>
      <c r="E10" s="7" t="s">
        <v>556</v>
      </c>
      <c r="F10" s="8" t="s">
        <v>207</v>
      </c>
      <c r="G10" s="8" t="s">
        <v>208</v>
      </c>
      <c r="H10" s="13" t="b">
        <v>1</v>
      </c>
      <c r="I10" s="13" t="b">
        <v>1</v>
      </c>
      <c r="J10" s="12">
        <v>0.1</v>
      </c>
      <c r="K10" s="12">
        <v>0</v>
      </c>
      <c r="L10" s="12">
        <v>0</v>
      </c>
      <c r="M10" s="12">
        <v>0.4</v>
      </c>
      <c r="N10" s="12">
        <v>0.2</v>
      </c>
      <c r="O10" s="191" t="b">
        <v>1</v>
      </c>
    </row>
    <row r="11" spans="1:15" x14ac:dyDescent="0.25">
      <c r="A11" s="8" t="s">
        <v>153</v>
      </c>
      <c r="B11" s="8" t="s">
        <v>154</v>
      </c>
      <c r="C11" s="8" t="s">
        <v>146</v>
      </c>
      <c r="D11" s="6"/>
      <c r="E11" s="7"/>
      <c r="F11" s="8" t="s">
        <v>209</v>
      </c>
      <c r="G11" s="8" t="s">
        <v>210</v>
      </c>
      <c r="H11" s="13" t="b">
        <v>1</v>
      </c>
      <c r="I11" s="13" t="b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91" t="b">
        <v>1</v>
      </c>
    </row>
    <row r="12" spans="1:15" x14ac:dyDescent="0.25">
      <c r="A12" s="8" t="s">
        <v>155</v>
      </c>
      <c r="B12" s="8" t="s">
        <v>156</v>
      </c>
      <c r="C12" s="8" t="s">
        <v>146</v>
      </c>
      <c r="D12" s="6">
        <v>10</v>
      </c>
      <c r="E12" s="7" t="s">
        <v>556</v>
      </c>
      <c r="F12" s="8" t="s">
        <v>205</v>
      </c>
      <c r="G12" s="8" t="s">
        <v>206</v>
      </c>
      <c r="H12" s="13" t="b">
        <v>1</v>
      </c>
      <c r="I12" s="13" t="b">
        <v>1</v>
      </c>
      <c r="J12" s="12">
        <v>0.1</v>
      </c>
      <c r="K12" s="12">
        <v>0</v>
      </c>
      <c r="L12" s="12">
        <v>0</v>
      </c>
      <c r="M12" s="12">
        <v>0.4</v>
      </c>
      <c r="N12" s="12">
        <v>0.2</v>
      </c>
      <c r="O12" s="191" t="b">
        <v>1</v>
      </c>
    </row>
    <row r="13" spans="1:15" x14ac:dyDescent="0.25">
      <c r="A13" s="8" t="s">
        <v>157</v>
      </c>
      <c r="B13" s="8" t="s">
        <v>158</v>
      </c>
      <c r="C13" s="8" t="s">
        <v>146</v>
      </c>
      <c r="D13" s="6">
        <v>20</v>
      </c>
      <c r="E13" s="7" t="s">
        <v>557</v>
      </c>
      <c r="F13" s="8" t="s">
        <v>205</v>
      </c>
      <c r="G13" s="8" t="s">
        <v>206</v>
      </c>
      <c r="H13" s="13" t="b">
        <v>1</v>
      </c>
      <c r="I13" s="13" t="b">
        <v>1</v>
      </c>
      <c r="J13" s="12">
        <v>0</v>
      </c>
      <c r="K13" s="12">
        <v>0.25</v>
      </c>
      <c r="L13" s="12">
        <v>0.25</v>
      </c>
      <c r="M13" s="12">
        <v>0</v>
      </c>
      <c r="N13" s="12">
        <v>0.2</v>
      </c>
      <c r="O13" s="191" t="b">
        <v>1</v>
      </c>
    </row>
    <row r="14" spans="1:15" x14ac:dyDescent="0.25">
      <c r="A14" s="8" t="s">
        <v>159</v>
      </c>
      <c r="B14" s="8" t="s">
        <v>160</v>
      </c>
      <c r="C14" s="8" t="s">
        <v>146</v>
      </c>
      <c r="D14" s="6">
        <v>30</v>
      </c>
      <c r="E14" s="7" t="s">
        <v>740</v>
      </c>
      <c r="F14" s="8" t="s">
        <v>205</v>
      </c>
      <c r="G14" s="8" t="s">
        <v>206</v>
      </c>
      <c r="H14" s="13" t="b">
        <v>1</v>
      </c>
      <c r="I14" s="13" t="b">
        <v>1</v>
      </c>
      <c r="J14" s="12">
        <v>0.05</v>
      </c>
      <c r="K14" s="12">
        <v>0.15</v>
      </c>
      <c r="L14" s="12">
        <v>0.15</v>
      </c>
      <c r="M14" s="12">
        <v>0.2</v>
      </c>
      <c r="N14" s="12">
        <v>0.15</v>
      </c>
      <c r="O14" s="191" t="b">
        <v>1</v>
      </c>
    </row>
    <row r="15" spans="1:15" x14ac:dyDescent="0.25">
      <c r="A15" s="8" t="s">
        <v>161</v>
      </c>
      <c r="B15" s="8" t="s">
        <v>162</v>
      </c>
      <c r="C15" s="8" t="s">
        <v>146</v>
      </c>
      <c r="D15" s="6">
        <v>10</v>
      </c>
      <c r="E15" s="7" t="s">
        <v>556</v>
      </c>
      <c r="F15" s="8" t="s">
        <v>207</v>
      </c>
      <c r="G15" s="8" t="s">
        <v>208</v>
      </c>
      <c r="H15" s="13" t="b">
        <v>1</v>
      </c>
      <c r="I15" s="13" t="b">
        <v>1</v>
      </c>
      <c r="J15" s="12">
        <v>0.1</v>
      </c>
      <c r="K15" s="12">
        <v>0</v>
      </c>
      <c r="L15" s="12">
        <v>0</v>
      </c>
      <c r="M15" s="12">
        <v>0.4</v>
      </c>
      <c r="N15" s="12">
        <v>0.2</v>
      </c>
      <c r="O15" s="191" t="b">
        <v>1</v>
      </c>
    </row>
    <row r="16" spans="1:15" x14ac:dyDescent="0.25">
      <c r="A16" s="8" t="s">
        <v>163</v>
      </c>
      <c r="B16" s="8" t="s">
        <v>164</v>
      </c>
      <c r="C16" s="8" t="s">
        <v>146</v>
      </c>
      <c r="D16" s="6">
        <v>20</v>
      </c>
      <c r="E16" s="7" t="s">
        <v>557</v>
      </c>
      <c r="F16" s="8" t="s">
        <v>211</v>
      </c>
      <c r="G16" s="8" t="s">
        <v>212</v>
      </c>
      <c r="H16" s="13" t="b">
        <v>1</v>
      </c>
      <c r="I16" s="13" t="b">
        <v>1</v>
      </c>
      <c r="J16" s="12">
        <v>0</v>
      </c>
      <c r="K16" s="12">
        <v>0.25</v>
      </c>
      <c r="L16" s="12">
        <v>0.25</v>
      </c>
      <c r="M16" s="12">
        <v>0</v>
      </c>
      <c r="N16" s="12">
        <v>0.2</v>
      </c>
      <c r="O16" s="191" t="b">
        <v>1</v>
      </c>
    </row>
    <row r="17" spans="1:15" x14ac:dyDescent="0.25">
      <c r="A17" s="8" t="s">
        <v>165</v>
      </c>
      <c r="B17" s="8" t="s">
        <v>166</v>
      </c>
      <c r="C17" s="8" t="s">
        <v>146</v>
      </c>
      <c r="D17" s="6">
        <v>20</v>
      </c>
      <c r="E17" s="7" t="s">
        <v>557</v>
      </c>
      <c r="F17" s="8" t="s">
        <v>211</v>
      </c>
      <c r="G17" s="8" t="s">
        <v>212</v>
      </c>
      <c r="H17" s="13" t="b">
        <v>1</v>
      </c>
      <c r="I17" s="13" t="b">
        <v>1</v>
      </c>
      <c r="J17" s="12">
        <v>0</v>
      </c>
      <c r="K17" s="12">
        <v>0.25</v>
      </c>
      <c r="L17" s="12">
        <v>0.25</v>
      </c>
      <c r="M17" s="12">
        <v>0</v>
      </c>
      <c r="N17" s="12">
        <v>0.2</v>
      </c>
      <c r="O17" s="191" t="b">
        <v>1</v>
      </c>
    </row>
    <row r="18" spans="1:15" x14ac:dyDescent="0.25">
      <c r="A18" s="8" t="s">
        <v>167</v>
      </c>
      <c r="B18" s="8" t="s">
        <v>168</v>
      </c>
      <c r="C18" s="8" t="s">
        <v>146</v>
      </c>
      <c r="D18" s="6">
        <v>20</v>
      </c>
      <c r="E18" s="7" t="s">
        <v>557</v>
      </c>
      <c r="F18" s="8" t="s">
        <v>211</v>
      </c>
      <c r="G18" s="8" t="s">
        <v>212</v>
      </c>
      <c r="H18" s="13" t="b">
        <v>1</v>
      </c>
      <c r="I18" s="13" t="b">
        <v>1</v>
      </c>
      <c r="J18" s="12">
        <v>0</v>
      </c>
      <c r="K18" s="12">
        <v>0.25</v>
      </c>
      <c r="L18" s="12">
        <v>0.25</v>
      </c>
      <c r="M18" s="12">
        <v>0</v>
      </c>
      <c r="N18" s="12">
        <v>0.2</v>
      </c>
      <c r="O18" s="191" t="b">
        <v>1</v>
      </c>
    </row>
    <row r="19" spans="1:15" x14ac:dyDescent="0.25">
      <c r="A19" s="8" t="s">
        <v>169</v>
      </c>
      <c r="B19" s="8" t="s">
        <v>170</v>
      </c>
      <c r="C19" s="8" t="s">
        <v>146</v>
      </c>
      <c r="D19" s="6">
        <v>20</v>
      </c>
      <c r="E19" s="7" t="s">
        <v>557</v>
      </c>
      <c r="F19" s="8" t="s">
        <v>211</v>
      </c>
      <c r="G19" s="8" t="s">
        <v>212</v>
      </c>
      <c r="H19" s="13" t="b">
        <v>1</v>
      </c>
      <c r="I19" s="13" t="b">
        <v>1</v>
      </c>
      <c r="J19" s="12">
        <v>0</v>
      </c>
      <c r="K19" s="12">
        <v>0.25</v>
      </c>
      <c r="L19" s="12">
        <v>0.25</v>
      </c>
      <c r="M19" s="12">
        <v>0</v>
      </c>
      <c r="N19" s="12">
        <v>0.2</v>
      </c>
      <c r="O19" s="191" t="b">
        <v>1</v>
      </c>
    </row>
    <row r="20" spans="1:15" x14ac:dyDescent="0.25">
      <c r="A20" s="8" t="s">
        <v>171</v>
      </c>
      <c r="B20" s="8" t="s">
        <v>172</v>
      </c>
      <c r="C20" s="8" t="s">
        <v>146</v>
      </c>
      <c r="D20" s="6">
        <v>20</v>
      </c>
      <c r="E20" s="7" t="s">
        <v>557</v>
      </c>
      <c r="F20" s="8" t="s">
        <v>205</v>
      </c>
      <c r="G20" s="8" t="s">
        <v>206</v>
      </c>
      <c r="H20" s="13" t="b">
        <v>0</v>
      </c>
      <c r="I20" s="13" t="b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91" t="b">
        <v>1</v>
      </c>
    </row>
    <row r="21" spans="1:15" x14ac:dyDescent="0.25">
      <c r="A21" s="8" t="s">
        <v>173</v>
      </c>
      <c r="B21" s="8" t="s">
        <v>174</v>
      </c>
      <c r="C21" s="8" t="s">
        <v>146</v>
      </c>
      <c r="D21" s="6">
        <v>20</v>
      </c>
      <c r="E21" s="7" t="s">
        <v>557</v>
      </c>
      <c r="F21" s="8" t="s">
        <v>205</v>
      </c>
      <c r="G21" s="8" t="s">
        <v>206</v>
      </c>
      <c r="H21" s="13" t="b">
        <v>1</v>
      </c>
      <c r="I21" s="13" t="b">
        <v>1</v>
      </c>
      <c r="J21" s="12">
        <v>0</v>
      </c>
      <c r="K21" s="12">
        <v>0.25</v>
      </c>
      <c r="L21" s="12">
        <v>0.25</v>
      </c>
      <c r="M21" s="12">
        <v>0</v>
      </c>
      <c r="N21" s="12">
        <v>0.2</v>
      </c>
      <c r="O21" s="191" t="b">
        <v>1</v>
      </c>
    </row>
    <row r="22" spans="1:15" x14ac:dyDescent="0.25">
      <c r="A22" s="8" t="s">
        <v>175</v>
      </c>
      <c r="B22" s="8" t="s">
        <v>176</v>
      </c>
      <c r="C22" s="8" t="s">
        <v>146</v>
      </c>
      <c r="D22" s="6">
        <v>10</v>
      </c>
      <c r="E22" s="7" t="s">
        <v>556</v>
      </c>
      <c r="F22" s="8" t="s">
        <v>205</v>
      </c>
      <c r="G22" s="8" t="s">
        <v>206</v>
      </c>
      <c r="H22" s="13" t="b">
        <v>1</v>
      </c>
      <c r="I22" s="13" t="b">
        <v>1</v>
      </c>
      <c r="J22" s="12">
        <v>0.1</v>
      </c>
      <c r="K22" s="12">
        <v>0</v>
      </c>
      <c r="L22" s="12">
        <v>0</v>
      </c>
      <c r="M22" s="12">
        <v>0.4</v>
      </c>
      <c r="N22" s="12">
        <v>0.2</v>
      </c>
      <c r="O22" s="191" t="b">
        <v>1</v>
      </c>
    </row>
    <row r="23" spans="1:15" x14ac:dyDescent="0.25">
      <c r="A23" s="8" t="s">
        <v>1508</v>
      </c>
      <c r="B23" s="8" t="s">
        <v>1509</v>
      </c>
      <c r="C23" s="8" t="s">
        <v>146</v>
      </c>
      <c r="D23" s="6"/>
      <c r="E23" s="7"/>
      <c r="F23" s="8" t="s">
        <v>1510</v>
      </c>
      <c r="G23" s="8" t="s">
        <v>1382</v>
      </c>
      <c r="H23" s="13" t="b">
        <v>1</v>
      </c>
      <c r="I23" s="13" t="b">
        <v>0</v>
      </c>
      <c r="J23" s="12"/>
      <c r="K23" s="12"/>
      <c r="L23" s="12"/>
      <c r="M23" s="12"/>
      <c r="N23" s="12"/>
      <c r="O23" s="191" t="b">
        <v>0</v>
      </c>
    </row>
    <row r="24" spans="1:15" x14ac:dyDescent="0.25">
      <c r="A24" s="8" t="s">
        <v>1380</v>
      </c>
      <c r="B24" s="8" t="s">
        <v>1381</v>
      </c>
      <c r="C24" s="8" t="s">
        <v>146</v>
      </c>
      <c r="D24" s="6"/>
      <c r="E24" s="7"/>
      <c r="F24" s="8" t="s">
        <v>1510</v>
      </c>
      <c r="G24" s="8" t="s">
        <v>1382</v>
      </c>
      <c r="H24" s="13" t="b">
        <v>1</v>
      </c>
      <c r="I24" s="13" t="b">
        <v>0</v>
      </c>
      <c r="J24" s="12"/>
      <c r="K24" s="12"/>
      <c r="L24" s="12"/>
      <c r="M24" s="12"/>
      <c r="N24" s="12"/>
      <c r="O24" s="191" t="b">
        <v>0</v>
      </c>
    </row>
    <row r="25" spans="1:15" x14ac:dyDescent="0.25">
      <c r="A25" s="8" t="s">
        <v>1383</v>
      </c>
      <c r="B25" s="8" t="s">
        <v>1384</v>
      </c>
      <c r="C25" s="8" t="s">
        <v>146</v>
      </c>
      <c r="D25" s="6"/>
      <c r="E25" s="7"/>
      <c r="F25" s="8" t="s">
        <v>1510</v>
      </c>
      <c r="G25" s="8" t="s">
        <v>1382</v>
      </c>
      <c r="H25" s="13" t="b">
        <v>1</v>
      </c>
      <c r="I25" s="13" t="b">
        <v>0</v>
      </c>
      <c r="J25" s="12"/>
      <c r="K25" s="12"/>
      <c r="L25" s="12"/>
      <c r="M25" s="12"/>
      <c r="N25" s="12"/>
      <c r="O25" s="191" t="b">
        <v>0</v>
      </c>
    </row>
    <row r="26" spans="1:15" x14ac:dyDescent="0.25">
      <c r="A26" s="8" t="s">
        <v>177</v>
      </c>
      <c r="B26" s="8" t="s">
        <v>178</v>
      </c>
      <c r="C26" s="8" t="s">
        <v>146</v>
      </c>
      <c r="D26" s="6">
        <v>20</v>
      </c>
      <c r="E26" s="7" t="s">
        <v>557</v>
      </c>
      <c r="F26" s="8" t="s">
        <v>207</v>
      </c>
      <c r="G26" s="8" t="s">
        <v>208</v>
      </c>
      <c r="H26" s="13" t="b">
        <v>1</v>
      </c>
      <c r="I26" s="13" t="b">
        <v>1</v>
      </c>
      <c r="J26" s="12">
        <v>0</v>
      </c>
      <c r="K26" s="12">
        <v>0.25</v>
      </c>
      <c r="L26" s="12">
        <v>0.25</v>
      </c>
      <c r="M26" s="12">
        <v>0</v>
      </c>
      <c r="N26" s="12">
        <v>0.2</v>
      </c>
      <c r="O26" s="191" t="b">
        <v>1</v>
      </c>
    </row>
    <row r="27" spans="1:15" x14ac:dyDescent="0.25">
      <c r="A27" s="8" t="s">
        <v>179</v>
      </c>
      <c r="B27" s="8" t="s">
        <v>180</v>
      </c>
      <c r="C27" s="8" t="s">
        <v>146</v>
      </c>
      <c r="D27" s="6"/>
      <c r="E27" s="7"/>
      <c r="F27" s="8" t="s">
        <v>209</v>
      </c>
      <c r="G27" s="8" t="s">
        <v>210</v>
      </c>
      <c r="H27" s="13" t="b">
        <v>1</v>
      </c>
      <c r="I27" s="13" t="b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91" t="b">
        <v>1</v>
      </c>
    </row>
    <row r="28" spans="1:15" x14ac:dyDescent="0.25">
      <c r="A28" s="8" t="s">
        <v>1312</v>
      </c>
      <c r="B28" s="8" t="s">
        <v>1313</v>
      </c>
      <c r="C28" s="8" t="s">
        <v>146</v>
      </c>
      <c r="D28" s="6">
        <v>30</v>
      </c>
      <c r="E28" s="7" t="s">
        <v>740</v>
      </c>
      <c r="F28" s="8" t="s">
        <v>1308</v>
      </c>
      <c r="G28" s="8" t="s">
        <v>1309</v>
      </c>
      <c r="H28" s="13" t="b">
        <v>1</v>
      </c>
      <c r="I28" s="13" t="b">
        <v>0</v>
      </c>
      <c r="J28" s="12"/>
      <c r="K28" s="12"/>
      <c r="L28" s="12"/>
      <c r="M28" s="12"/>
      <c r="N28" s="12"/>
      <c r="O28" s="191" t="b">
        <v>0</v>
      </c>
    </row>
    <row r="29" spans="1:15" x14ac:dyDescent="0.25">
      <c r="A29" s="8" t="s">
        <v>181</v>
      </c>
      <c r="B29" s="8" t="s">
        <v>182</v>
      </c>
      <c r="C29" s="8" t="s">
        <v>146</v>
      </c>
      <c r="D29" s="6">
        <v>20</v>
      </c>
      <c r="E29" s="7" t="s">
        <v>557</v>
      </c>
      <c r="F29" s="8" t="s">
        <v>205</v>
      </c>
      <c r="G29" s="8" t="s">
        <v>206</v>
      </c>
      <c r="H29" s="13" t="b">
        <v>1</v>
      </c>
      <c r="I29" s="13" t="b">
        <v>1</v>
      </c>
      <c r="J29" s="12">
        <v>0</v>
      </c>
      <c r="K29" s="12">
        <v>0.25</v>
      </c>
      <c r="L29" s="12">
        <v>0.25</v>
      </c>
      <c r="M29" s="12">
        <v>0</v>
      </c>
      <c r="N29" s="12">
        <v>0.2</v>
      </c>
      <c r="O29" s="191" t="b">
        <v>1</v>
      </c>
    </row>
    <row r="30" spans="1:15" x14ac:dyDescent="0.25">
      <c r="A30" s="8" t="s">
        <v>183</v>
      </c>
      <c r="B30" s="8" t="s">
        <v>184</v>
      </c>
      <c r="C30" s="8" t="s">
        <v>146</v>
      </c>
      <c r="D30" s="6">
        <v>20</v>
      </c>
      <c r="E30" s="7" t="s">
        <v>557</v>
      </c>
      <c r="F30" s="8" t="s">
        <v>207</v>
      </c>
      <c r="G30" s="8" t="s">
        <v>208</v>
      </c>
      <c r="H30" s="13" t="b">
        <v>1</v>
      </c>
      <c r="I30" s="13" t="b">
        <v>1</v>
      </c>
      <c r="J30" s="12">
        <v>0</v>
      </c>
      <c r="K30" s="12">
        <v>0.25</v>
      </c>
      <c r="L30" s="12">
        <v>0.25</v>
      </c>
      <c r="M30" s="12">
        <v>0</v>
      </c>
      <c r="N30" s="12">
        <v>0.2</v>
      </c>
      <c r="O30" s="191" t="b">
        <v>1</v>
      </c>
    </row>
    <row r="31" spans="1:15" x14ac:dyDescent="0.25">
      <c r="A31" s="8" t="s">
        <v>1314</v>
      </c>
      <c r="B31" s="8" t="s">
        <v>1315</v>
      </c>
      <c r="C31" s="8" t="s">
        <v>146</v>
      </c>
      <c r="D31" s="6">
        <v>30</v>
      </c>
      <c r="E31" s="7" t="s">
        <v>740</v>
      </c>
      <c r="F31" s="8" t="s">
        <v>211</v>
      </c>
      <c r="G31" s="8" t="s">
        <v>212</v>
      </c>
      <c r="H31" s="13" t="b">
        <v>1</v>
      </c>
      <c r="I31" s="13" t="b">
        <v>0</v>
      </c>
      <c r="J31" s="12"/>
      <c r="K31" s="12"/>
      <c r="L31" s="12"/>
      <c r="M31" s="12"/>
      <c r="N31" s="12"/>
      <c r="O31" s="191" t="b">
        <v>0</v>
      </c>
    </row>
    <row r="32" spans="1:15" x14ac:dyDescent="0.25">
      <c r="A32" s="8" t="s">
        <v>1316</v>
      </c>
      <c r="B32" s="8" t="s">
        <v>1317</v>
      </c>
      <c r="C32" s="8" t="s">
        <v>146</v>
      </c>
      <c r="D32" s="6">
        <v>30</v>
      </c>
      <c r="E32" s="7" t="s">
        <v>740</v>
      </c>
      <c r="F32" s="8" t="s">
        <v>205</v>
      </c>
      <c r="G32" s="8" t="s">
        <v>206</v>
      </c>
      <c r="H32" s="13" t="b">
        <v>1</v>
      </c>
      <c r="I32" s="13" t="b">
        <v>0</v>
      </c>
      <c r="J32" s="12"/>
      <c r="K32" s="12"/>
      <c r="L32" s="12"/>
      <c r="M32" s="12"/>
      <c r="N32" s="12"/>
      <c r="O32" s="191" t="b">
        <v>0</v>
      </c>
    </row>
    <row r="33" spans="1:15" x14ac:dyDescent="0.25">
      <c r="A33" s="8" t="s">
        <v>1318</v>
      </c>
      <c r="B33" s="8" t="s">
        <v>1319</v>
      </c>
      <c r="C33" s="8" t="s">
        <v>146</v>
      </c>
      <c r="D33" s="6">
        <v>30</v>
      </c>
      <c r="E33" s="7" t="s">
        <v>740</v>
      </c>
      <c r="F33" s="8" t="s">
        <v>207</v>
      </c>
      <c r="G33" s="8" t="s">
        <v>208</v>
      </c>
      <c r="H33" s="13" t="b">
        <v>1</v>
      </c>
      <c r="I33" s="13" t="b">
        <v>0</v>
      </c>
      <c r="J33" s="12"/>
      <c r="K33" s="12"/>
      <c r="L33" s="12"/>
      <c r="M33" s="12"/>
      <c r="N33" s="12"/>
      <c r="O33" s="191" t="b">
        <v>0</v>
      </c>
    </row>
    <row r="34" spans="1:15" x14ac:dyDescent="0.25">
      <c r="A34" s="8" t="s">
        <v>1320</v>
      </c>
      <c r="B34" s="8" t="s">
        <v>1321</v>
      </c>
      <c r="C34" s="8" t="s">
        <v>146</v>
      </c>
      <c r="D34" s="6">
        <v>30</v>
      </c>
      <c r="E34" s="7" t="s">
        <v>740</v>
      </c>
      <c r="F34" s="8" t="s">
        <v>207</v>
      </c>
      <c r="G34" s="8" t="s">
        <v>208</v>
      </c>
      <c r="H34" s="13" t="b">
        <v>1</v>
      </c>
      <c r="I34" s="13" t="b">
        <v>0</v>
      </c>
      <c r="J34" s="12"/>
      <c r="K34" s="12"/>
      <c r="L34" s="12"/>
      <c r="M34" s="12"/>
      <c r="N34" s="12"/>
      <c r="O34" s="191" t="b">
        <v>0</v>
      </c>
    </row>
    <row r="35" spans="1:15" x14ac:dyDescent="0.25">
      <c r="A35" s="8" t="s">
        <v>1310</v>
      </c>
      <c r="B35" s="8" t="s">
        <v>1311</v>
      </c>
      <c r="C35" s="8" t="s">
        <v>146</v>
      </c>
      <c r="D35" s="6">
        <v>30</v>
      </c>
      <c r="E35" s="7" t="s">
        <v>740</v>
      </c>
      <c r="F35" s="8" t="s">
        <v>205</v>
      </c>
      <c r="G35" s="8" t="s">
        <v>206</v>
      </c>
      <c r="H35" s="13" t="b">
        <v>1</v>
      </c>
      <c r="I35" s="13" t="b">
        <v>0</v>
      </c>
      <c r="J35" s="12"/>
      <c r="K35" s="12"/>
      <c r="L35" s="12"/>
      <c r="M35" s="12"/>
      <c r="N35" s="12"/>
      <c r="O35" s="191" t="b">
        <v>0</v>
      </c>
    </row>
    <row r="36" spans="1:15" x14ac:dyDescent="0.25">
      <c r="A36" s="8" t="s">
        <v>185</v>
      </c>
      <c r="B36" s="8" t="s">
        <v>186</v>
      </c>
      <c r="C36" s="8" t="s">
        <v>146</v>
      </c>
      <c r="D36" s="6">
        <v>10</v>
      </c>
      <c r="E36" s="7" t="s">
        <v>556</v>
      </c>
      <c r="F36" s="8" t="s">
        <v>211</v>
      </c>
      <c r="G36" s="8" t="s">
        <v>212</v>
      </c>
      <c r="H36" s="13" t="b">
        <v>1</v>
      </c>
      <c r="I36" s="13" t="b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91" t="b">
        <v>1</v>
      </c>
    </row>
    <row r="37" spans="1:15" x14ac:dyDescent="0.25">
      <c r="A37" s="8" t="s">
        <v>187</v>
      </c>
      <c r="B37" s="8" t="s">
        <v>188</v>
      </c>
      <c r="C37" s="8" t="s">
        <v>146</v>
      </c>
      <c r="D37" s="6">
        <v>10</v>
      </c>
      <c r="E37" s="7" t="s">
        <v>556</v>
      </c>
      <c r="F37" s="8" t="s">
        <v>211</v>
      </c>
      <c r="G37" s="8" t="s">
        <v>212</v>
      </c>
      <c r="H37" s="13" t="b">
        <v>1</v>
      </c>
      <c r="I37" s="13" t="b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191" t="b">
        <v>1</v>
      </c>
    </row>
    <row r="38" spans="1:15" x14ac:dyDescent="0.25">
      <c r="A38" s="8" t="s">
        <v>189</v>
      </c>
      <c r="B38" s="8" t="s">
        <v>190</v>
      </c>
      <c r="C38" s="8" t="s">
        <v>146</v>
      </c>
      <c r="D38" s="6">
        <v>10</v>
      </c>
      <c r="E38" s="7" t="s">
        <v>556</v>
      </c>
      <c r="F38" s="8" t="s">
        <v>205</v>
      </c>
      <c r="G38" s="8" t="s">
        <v>206</v>
      </c>
      <c r="H38" s="13" t="b">
        <v>1</v>
      </c>
      <c r="I38" s="13" t="b">
        <v>0</v>
      </c>
      <c r="J38" s="12">
        <v>0</v>
      </c>
      <c r="K38" s="12">
        <v>0</v>
      </c>
      <c r="L38" s="12">
        <v>0</v>
      </c>
      <c r="M38" s="12">
        <v>0</v>
      </c>
      <c r="N38" s="12">
        <v>0</v>
      </c>
      <c r="O38" s="191" t="b">
        <v>1</v>
      </c>
    </row>
    <row r="39" spans="1:15" x14ac:dyDescent="0.25">
      <c r="A39" s="8" t="s">
        <v>191</v>
      </c>
      <c r="B39" s="8" t="s">
        <v>192</v>
      </c>
      <c r="C39" s="8" t="s">
        <v>146</v>
      </c>
      <c r="D39" s="6">
        <v>10</v>
      </c>
      <c r="E39" s="7" t="s">
        <v>556</v>
      </c>
      <c r="F39" s="8" t="s">
        <v>207</v>
      </c>
      <c r="G39" s="8" t="s">
        <v>208</v>
      </c>
      <c r="H39" s="13" t="b">
        <v>1</v>
      </c>
      <c r="I39" s="13" t="b">
        <v>0</v>
      </c>
      <c r="J39" s="12">
        <v>0</v>
      </c>
      <c r="K39" s="12">
        <v>0</v>
      </c>
      <c r="L39" s="12">
        <v>0</v>
      </c>
      <c r="M39" s="12">
        <v>0</v>
      </c>
      <c r="N39" s="12">
        <v>0</v>
      </c>
      <c r="O39" s="191" t="b">
        <v>1</v>
      </c>
    </row>
    <row r="40" spans="1:15" x14ac:dyDescent="0.25">
      <c r="A40" s="8" t="s">
        <v>1322</v>
      </c>
      <c r="B40" s="8" t="s">
        <v>1323</v>
      </c>
      <c r="C40" s="8" t="s">
        <v>146</v>
      </c>
      <c r="D40" s="6">
        <v>20</v>
      </c>
      <c r="E40" s="7" t="s">
        <v>557</v>
      </c>
      <c r="F40" s="8" t="s">
        <v>211</v>
      </c>
      <c r="G40" s="8" t="s">
        <v>212</v>
      </c>
      <c r="H40" s="13" t="b">
        <v>1</v>
      </c>
      <c r="I40" s="13" t="b">
        <v>0</v>
      </c>
      <c r="J40" s="12"/>
      <c r="K40" s="12"/>
      <c r="L40" s="12"/>
      <c r="M40" s="12"/>
      <c r="N40" s="12"/>
      <c r="O40" s="191" t="b">
        <v>0</v>
      </c>
    </row>
    <row r="41" spans="1:15" x14ac:dyDescent="0.25">
      <c r="A41" s="8" t="s">
        <v>193</v>
      </c>
      <c r="B41" s="8" t="s">
        <v>194</v>
      </c>
      <c r="C41" s="8" t="s">
        <v>146</v>
      </c>
      <c r="D41" s="6">
        <v>20</v>
      </c>
      <c r="E41" s="7" t="s">
        <v>557</v>
      </c>
      <c r="F41" s="8" t="s">
        <v>211</v>
      </c>
      <c r="G41" s="8" t="s">
        <v>212</v>
      </c>
      <c r="H41" s="13" t="b">
        <v>1</v>
      </c>
      <c r="I41" s="13" t="b">
        <v>0</v>
      </c>
      <c r="J41" s="12">
        <v>0</v>
      </c>
      <c r="K41" s="12">
        <v>0</v>
      </c>
      <c r="L41" s="12">
        <v>0</v>
      </c>
      <c r="M41" s="12">
        <v>0</v>
      </c>
      <c r="N41" s="12">
        <v>0</v>
      </c>
      <c r="O41" s="191" t="b">
        <v>1</v>
      </c>
    </row>
    <row r="42" spans="1:15" x14ac:dyDescent="0.25">
      <c r="A42" s="8" t="s">
        <v>195</v>
      </c>
      <c r="B42" s="8" t="s">
        <v>196</v>
      </c>
      <c r="C42" s="8" t="s">
        <v>146</v>
      </c>
      <c r="D42" s="6">
        <v>20</v>
      </c>
      <c r="E42" s="7" t="s">
        <v>557</v>
      </c>
      <c r="F42" s="8" t="s">
        <v>205</v>
      </c>
      <c r="G42" s="8" t="s">
        <v>206</v>
      </c>
      <c r="H42" s="13" t="b">
        <v>1</v>
      </c>
      <c r="I42" s="13" t="b">
        <v>0</v>
      </c>
      <c r="J42" s="12">
        <v>0</v>
      </c>
      <c r="K42" s="12">
        <v>0</v>
      </c>
      <c r="L42" s="12">
        <v>0</v>
      </c>
      <c r="M42" s="12">
        <v>0</v>
      </c>
      <c r="N42" s="12">
        <v>0</v>
      </c>
      <c r="O42" s="191" t="b">
        <v>1</v>
      </c>
    </row>
    <row r="43" spans="1:15" x14ac:dyDescent="0.25">
      <c r="A43" s="8" t="s">
        <v>197</v>
      </c>
      <c r="B43" s="8" t="s">
        <v>198</v>
      </c>
      <c r="C43" s="8" t="s">
        <v>146</v>
      </c>
      <c r="D43" s="6">
        <v>20</v>
      </c>
      <c r="E43" s="7" t="s">
        <v>557</v>
      </c>
      <c r="F43" s="8" t="s">
        <v>207</v>
      </c>
      <c r="G43" s="8" t="s">
        <v>208</v>
      </c>
      <c r="H43" s="13" t="b">
        <v>1</v>
      </c>
      <c r="I43" s="13" t="b">
        <v>0</v>
      </c>
      <c r="J43" s="12">
        <v>0</v>
      </c>
      <c r="K43" s="12">
        <v>0</v>
      </c>
      <c r="L43" s="12">
        <v>0</v>
      </c>
      <c r="M43" s="12">
        <v>0</v>
      </c>
      <c r="N43" s="12">
        <v>0</v>
      </c>
      <c r="O43" s="191" t="b">
        <v>1</v>
      </c>
    </row>
    <row r="44" spans="1:15" x14ac:dyDescent="0.25">
      <c r="A44" s="8" t="s">
        <v>199</v>
      </c>
      <c r="B44" s="8" t="s">
        <v>200</v>
      </c>
      <c r="C44" s="8" t="s">
        <v>146</v>
      </c>
      <c r="D44" s="6">
        <v>10</v>
      </c>
      <c r="E44" s="7" t="s">
        <v>556</v>
      </c>
      <c r="F44" s="8" t="s">
        <v>211</v>
      </c>
      <c r="G44" s="8" t="s">
        <v>212</v>
      </c>
      <c r="H44" s="13" t="b">
        <v>1</v>
      </c>
      <c r="I44" s="13" t="b">
        <v>1</v>
      </c>
      <c r="J44" s="12">
        <v>0.1</v>
      </c>
      <c r="K44" s="12">
        <v>0</v>
      </c>
      <c r="L44" s="12">
        <v>0</v>
      </c>
      <c r="M44" s="12">
        <v>0.4</v>
      </c>
      <c r="N44" s="12">
        <v>0.2</v>
      </c>
      <c r="O44" s="191" t="b">
        <v>1</v>
      </c>
    </row>
    <row r="45" spans="1:15" x14ac:dyDescent="0.25">
      <c r="A45" s="8" t="s">
        <v>201</v>
      </c>
      <c r="B45" s="8" t="s">
        <v>202</v>
      </c>
      <c r="C45" s="8" t="s">
        <v>146</v>
      </c>
      <c r="D45" s="6">
        <v>30</v>
      </c>
      <c r="E45" s="7" t="s">
        <v>740</v>
      </c>
      <c r="F45" s="8" t="s">
        <v>211</v>
      </c>
      <c r="G45" s="8" t="s">
        <v>212</v>
      </c>
      <c r="H45" s="13" t="b">
        <v>1</v>
      </c>
      <c r="I45" s="13" t="b">
        <v>1</v>
      </c>
      <c r="J45" s="12">
        <v>0.05</v>
      </c>
      <c r="K45" s="12">
        <v>0.15</v>
      </c>
      <c r="L45" s="12">
        <v>0.15</v>
      </c>
      <c r="M45" s="12">
        <v>0.2</v>
      </c>
      <c r="N45" s="12">
        <v>0.15</v>
      </c>
      <c r="O45" s="191" t="b">
        <v>1</v>
      </c>
    </row>
  </sheetData>
  <conditionalFormatting sqref="H45:N45 H42:O44 H6:N41">
    <cfRule type="cellIs" dxfId="1533" priority="8" operator="equal">
      <formula>FALSE</formula>
    </cfRule>
    <cfRule type="cellIs" dxfId="1532" priority="9" operator="equal">
      <formula>TRUE</formula>
    </cfRule>
  </conditionalFormatting>
  <conditionalFormatting sqref="J6:N45">
    <cfRule type="cellIs" dxfId="1531" priority="6" operator="greaterThan">
      <formula>0</formula>
    </cfRule>
    <cfRule type="cellIs" dxfId="1530" priority="7" operator="equal">
      <formula>0</formula>
    </cfRule>
  </conditionalFormatting>
  <conditionalFormatting sqref="E6:E45">
    <cfRule type="cellIs" dxfId="1529" priority="3" operator="equal">
      <formula>"Hosp-Esp"</formula>
    </cfRule>
    <cfRule type="cellIs" dxfId="1528" priority="4" operator="equal">
      <formula>"Hospitalar"</formula>
    </cfRule>
    <cfRule type="cellIs" dxfId="1527" priority="5" operator="equal">
      <formula>"Especialidade"</formula>
    </cfRule>
  </conditionalFormatting>
  <conditionalFormatting sqref="O5:O40">
    <cfRule type="cellIs" dxfId="1526" priority="1" operator="equal">
      <formula>FALSE</formula>
    </cfRule>
    <cfRule type="cellIs" dxfId="1525" priority="2" operator="equal">
      <formula>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B804-8B4C-4AA6-812E-898CDBA79797}">
  <dimension ref="A1:B60"/>
  <sheetViews>
    <sheetView workbookViewId="0">
      <selection activeCell="J20" sqref="J20"/>
    </sheetView>
  </sheetViews>
  <sheetFormatPr defaultRowHeight="15" x14ac:dyDescent="0.25"/>
  <cols>
    <col min="1" max="1" width="108.140625" bestFit="1" customWidth="1"/>
    <col min="2" max="2" width="34.140625" bestFit="1" customWidth="1"/>
  </cols>
  <sheetData>
    <row r="1" spans="1:2" x14ac:dyDescent="0.25">
      <c r="A1" s="186" t="s">
        <v>3</v>
      </c>
      <c r="B1" t="s">
        <v>229</v>
      </c>
    </row>
    <row r="2" spans="1:2" x14ac:dyDescent="0.25">
      <c r="A2" s="186" t="s">
        <v>146</v>
      </c>
      <c r="B2" t="s">
        <v>176</v>
      </c>
    </row>
    <row r="4" spans="1:2" x14ac:dyDescent="0.25">
      <c r="A4" s="186" t="s">
        <v>1351</v>
      </c>
      <c r="B4" t="s">
        <v>1353</v>
      </c>
    </row>
    <row r="5" spans="1:2" x14ac:dyDescent="0.25">
      <c r="A5" s="187" t="s">
        <v>992</v>
      </c>
      <c r="B5" s="1">
        <v>75</v>
      </c>
    </row>
    <row r="6" spans="1:2" x14ac:dyDescent="0.25">
      <c r="A6" s="187" t="s">
        <v>1029</v>
      </c>
      <c r="B6" s="1">
        <v>0</v>
      </c>
    </row>
    <row r="7" spans="1:2" x14ac:dyDescent="0.25">
      <c r="A7" s="187" t="s">
        <v>1000</v>
      </c>
      <c r="B7" s="1">
        <v>0</v>
      </c>
    </row>
    <row r="8" spans="1:2" x14ac:dyDescent="0.25">
      <c r="A8" s="187" t="s">
        <v>955</v>
      </c>
      <c r="B8" s="1">
        <v>290</v>
      </c>
    </row>
    <row r="9" spans="1:2" x14ac:dyDescent="0.25">
      <c r="A9" s="187" t="s">
        <v>1236</v>
      </c>
      <c r="B9" s="1">
        <v>0</v>
      </c>
    </row>
    <row r="10" spans="1:2" x14ac:dyDescent="0.25">
      <c r="A10" s="187" t="s">
        <v>935</v>
      </c>
      <c r="B10" s="1">
        <v>140</v>
      </c>
    </row>
    <row r="11" spans="1:2" x14ac:dyDescent="0.25">
      <c r="A11" s="187" t="s">
        <v>954</v>
      </c>
      <c r="B11" s="1">
        <v>5000</v>
      </c>
    </row>
    <row r="12" spans="1:2" x14ac:dyDescent="0.25">
      <c r="A12" s="187" t="s">
        <v>1143</v>
      </c>
      <c r="B12" s="1">
        <v>15</v>
      </c>
    </row>
    <row r="13" spans="1:2" x14ac:dyDescent="0.25">
      <c r="A13" s="187" t="s">
        <v>965</v>
      </c>
      <c r="B13" s="1">
        <v>20</v>
      </c>
    </row>
    <row r="14" spans="1:2" x14ac:dyDescent="0.25">
      <c r="A14" s="187" t="s">
        <v>997</v>
      </c>
      <c r="B14" s="1">
        <v>60</v>
      </c>
    </row>
    <row r="15" spans="1:2" x14ac:dyDescent="0.25">
      <c r="A15" s="187" t="s">
        <v>953</v>
      </c>
      <c r="B15" s="1">
        <v>45</v>
      </c>
    </row>
    <row r="16" spans="1:2" x14ac:dyDescent="0.25">
      <c r="A16" s="187" t="s">
        <v>966</v>
      </c>
      <c r="B16" s="1">
        <v>0</v>
      </c>
    </row>
    <row r="17" spans="1:2" x14ac:dyDescent="0.25">
      <c r="A17" s="187" t="s">
        <v>999</v>
      </c>
      <c r="B17" s="1">
        <v>1000</v>
      </c>
    </row>
    <row r="18" spans="1:2" x14ac:dyDescent="0.25">
      <c r="A18" s="187" t="s">
        <v>971</v>
      </c>
      <c r="B18" s="1">
        <v>20</v>
      </c>
    </row>
    <row r="19" spans="1:2" x14ac:dyDescent="0.25">
      <c r="A19" s="187" t="s">
        <v>1034</v>
      </c>
      <c r="B19" s="1">
        <v>0</v>
      </c>
    </row>
    <row r="20" spans="1:2" x14ac:dyDescent="0.25">
      <c r="A20" s="187" t="s">
        <v>1032</v>
      </c>
      <c r="B20" s="1">
        <v>0</v>
      </c>
    </row>
    <row r="21" spans="1:2" x14ac:dyDescent="0.25">
      <c r="A21" s="187" t="s">
        <v>1037</v>
      </c>
      <c r="B21" s="1">
        <v>750</v>
      </c>
    </row>
    <row r="22" spans="1:2" x14ac:dyDescent="0.25">
      <c r="A22" s="187" t="s">
        <v>962</v>
      </c>
      <c r="B22" s="1">
        <v>100</v>
      </c>
    </row>
    <row r="23" spans="1:2" x14ac:dyDescent="0.25">
      <c r="A23" s="187" t="s">
        <v>1028</v>
      </c>
      <c r="B23" s="1">
        <v>0</v>
      </c>
    </row>
    <row r="24" spans="1:2" x14ac:dyDescent="0.25">
      <c r="A24" s="187" t="s">
        <v>1015</v>
      </c>
      <c r="B24" s="1">
        <v>130</v>
      </c>
    </row>
    <row r="25" spans="1:2" x14ac:dyDescent="0.25">
      <c r="A25" s="187" t="s">
        <v>995</v>
      </c>
      <c r="B25" s="1">
        <v>25</v>
      </c>
    </row>
    <row r="26" spans="1:2" x14ac:dyDescent="0.25">
      <c r="A26" s="187" t="s">
        <v>1025</v>
      </c>
      <c r="B26" s="1">
        <v>0</v>
      </c>
    </row>
    <row r="27" spans="1:2" x14ac:dyDescent="0.25">
      <c r="A27" s="187" t="s">
        <v>937</v>
      </c>
      <c r="B27" s="1">
        <v>0</v>
      </c>
    </row>
    <row r="28" spans="1:2" x14ac:dyDescent="0.25">
      <c r="A28" s="187" t="s">
        <v>996</v>
      </c>
      <c r="B28" s="1">
        <v>175</v>
      </c>
    </row>
    <row r="29" spans="1:2" x14ac:dyDescent="0.25">
      <c r="A29" s="187" t="s">
        <v>1030</v>
      </c>
      <c r="B29" s="1">
        <v>0</v>
      </c>
    </row>
    <row r="30" spans="1:2" x14ac:dyDescent="0.25">
      <c r="A30" s="187" t="s">
        <v>989</v>
      </c>
      <c r="B30" s="1">
        <v>10</v>
      </c>
    </row>
    <row r="31" spans="1:2" x14ac:dyDescent="0.25">
      <c r="A31" s="187" t="s">
        <v>985</v>
      </c>
      <c r="B31" s="1">
        <v>375</v>
      </c>
    </row>
    <row r="32" spans="1:2" x14ac:dyDescent="0.25">
      <c r="A32" s="187" t="s">
        <v>1023</v>
      </c>
      <c r="B32" s="1">
        <v>0</v>
      </c>
    </row>
    <row r="33" spans="1:2" x14ac:dyDescent="0.25">
      <c r="A33" s="187" t="s">
        <v>982</v>
      </c>
      <c r="B33" s="1">
        <v>210</v>
      </c>
    </row>
    <row r="34" spans="1:2" x14ac:dyDescent="0.25">
      <c r="A34" s="187" t="s">
        <v>987</v>
      </c>
      <c r="B34" s="1">
        <v>175</v>
      </c>
    </row>
    <row r="35" spans="1:2" x14ac:dyDescent="0.25">
      <c r="A35" s="187" t="s">
        <v>941</v>
      </c>
      <c r="B35" s="1">
        <v>20</v>
      </c>
    </row>
    <row r="36" spans="1:2" x14ac:dyDescent="0.25">
      <c r="A36" s="187" t="s">
        <v>983</v>
      </c>
      <c r="B36" s="1">
        <v>285</v>
      </c>
    </row>
    <row r="37" spans="1:2" x14ac:dyDescent="0.25">
      <c r="A37" s="187" t="s">
        <v>977</v>
      </c>
      <c r="B37" s="1">
        <v>0</v>
      </c>
    </row>
    <row r="38" spans="1:2" x14ac:dyDescent="0.25">
      <c r="A38" s="187" t="s">
        <v>1024</v>
      </c>
      <c r="B38" s="1">
        <v>0</v>
      </c>
    </row>
    <row r="39" spans="1:2" x14ac:dyDescent="0.25">
      <c r="A39" s="187" t="s">
        <v>1001</v>
      </c>
      <c r="B39" s="1">
        <v>115</v>
      </c>
    </row>
    <row r="40" spans="1:2" x14ac:dyDescent="0.25">
      <c r="A40" s="187" t="s">
        <v>1007</v>
      </c>
      <c r="B40" s="1">
        <v>15</v>
      </c>
    </row>
    <row r="41" spans="1:2" x14ac:dyDescent="0.25">
      <c r="A41" s="187" t="s">
        <v>1021</v>
      </c>
      <c r="B41" s="1">
        <v>0</v>
      </c>
    </row>
    <row r="42" spans="1:2" x14ac:dyDescent="0.25">
      <c r="A42" s="187" t="s">
        <v>946</v>
      </c>
      <c r="B42" s="1">
        <v>10</v>
      </c>
    </row>
    <row r="43" spans="1:2" x14ac:dyDescent="0.25">
      <c r="A43" s="187" t="s">
        <v>1012</v>
      </c>
      <c r="B43" s="1">
        <v>0</v>
      </c>
    </row>
    <row r="44" spans="1:2" x14ac:dyDescent="0.25">
      <c r="A44" s="187" t="s">
        <v>967</v>
      </c>
      <c r="B44" s="1">
        <v>0</v>
      </c>
    </row>
    <row r="45" spans="1:2" x14ac:dyDescent="0.25">
      <c r="A45" s="187" t="s">
        <v>951</v>
      </c>
      <c r="B45" s="1">
        <v>170</v>
      </c>
    </row>
    <row r="46" spans="1:2" x14ac:dyDescent="0.25">
      <c r="A46" s="187" t="s">
        <v>974</v>
      </c>
      <c r="B46" s="1">
        <v>55</v>
      </c>
    </row>
    <row r="47" spans="1:2" x14ac:dyDescent="0.25">
      <c r="A47" s="187" t="s">
        <v>1010</v>
      </c>
      <c r="B47" s="1">
        <v>300</v>
      </c>
    </row>
    <row r="48" spans="1:2" x14ac:dyDescent="0.25">
      <c r="A48" s="187" t="s">
        <v>945</v>
      </c>
      <c r="B48" s="1">
        <v>630</v>
      </c>
    </row>
    <row r="49" spans="1:2" x14ac:dyDescent="0.25">
      <c r="A49" s="187" t="s">
        <v>1036</v>
      </c>
      <c r="B49" s="1">
        <v>30</v>
      </c>
    </row>
    <row r="50" spans="1:2" x14ac:dyDescent="0.25">
      <c r="A50" s="187" t="s">
        <v>1033</v>
      </c>
      <c r="B50" s="1">
        <v>0</v>
      </c>
    </row>
    <row r="51" spans="1:2" x14ac:dyDescent="0.25">
      <c r="A51" s="187" t="s">
        <v>976</v>
      </c>
      <c r="B51" s="1">
        <v>60</v>
      </c>
    </row>
    <row r="52" spans="1:2" x14ac:dyDescent="0.25">
      <c r="A52" s="187" t="s">
        <v>981</v>
      </c>
      <c r="B52" s="1">
        <v>630</v>
      </c>
    </row>
    <row r="53" spans="1:2" x14ac:dyDescent="0.25">
      <c r="A53" s="187" t="s">
        <v>940</v>
      </c>
      <c r="B53" s="1">
        <v>70</v>
      </c>
    </row>
    <row r="54" spans="1:2" x14ac:dyDescent="0.25">
      <c r="A54" s="187" t="s">
        <v>1020</v>
      </c>
      <c r="B54" s="1">
        <v>10</v>
      </c>
    </row>
    <row r="55" spans="1:2" x14ac:dyDescent="0.25">
      <c r="A55" s="187" t="s">
        <v>1005</v>
      </c>
      <c r="B55" s="1">
        <v>60</v>
      </c>
    </row>
    <row r="56" spans="1:2" x14ac:dyDescent="0.25">
      <c r="A56" s="187" t="s">
        <v>991</v>
      </c>
      <c r="B56" s="1">
        <v>325</v>
      </c>
    </row>
    <row r="57" spans="1:2" x14ac:dyDescent="0.25">
      <c r="A57" s="187" t="s">
        <v>1019</v>
      </c>
      <c r="B57" s="1">
        <v>145</v>
      </c>
    </row>
    <row r="58" spans="1:2" x14ac:dyDescent="0.25">
      <c r="A58" s="187" t="s">
        <v>958</v>
      </c>
      <c r="B58" s="1">
        <v>0</v>
      </c>
    </row>
    <row r="59" spans="1:2" x14ac:dyDescent="0.25">
      <c r="A59" s="187" t="s">
        <v>949</v>
      </c>
      <c r="B59" s="1">
        <v>355</v>
      </c>
    </row>
    <row r="60" spans="1:2" x14ac:dyDescent="0.25">
      <c r="A60" s="187" t="s">
        <v>522</v>
      </c>
      <c r="B60" s="1">
        <v>11900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7ECD8-E454-4FF6-AD77-333B212E63B1}">
  <sheetPr codeName="Planilha9">
    <tabColor theme="9" tint="0.59999389629810485"/>
  </sheetPr>
  <dimension ref="A1:S4416"/>
  <sheetViews>
    <sheetView showGridLines="0" workbookViewId="0">
      <pane ySplit="5" topLeftCell="A2723" activePane="bottomLeft" state="frozen"/>
      <selection activeCell="G39" sqref="G39"/>
      <selection pane="bottomLeft" activeCell="F2723" sqref="F2723"/>
    </sheetView>
  </sheetViews>
  <sheetFormatPr defaultRowHeight="12.75" x14ac:dyDescent="0.25"/>
  <cols>
    <col min="1" max="1" width="11" style="3" bestFit="1" customWidth="1"/>
    <col min="2" max="2" width="11.140625" style="3" bestFit="1" customWidth="1"/>
    <col min="3" max="3" width="9.85546875" style="3" bestFit="1" customWidth="1"/>
    <col min="4" max="4" width="15.140625" style="3" bestFit="1" customWidth="1"/>
    <col min="5" max="5" width="81.140625" style="3" bestFit="1" customWidth="1"/>
    <col min="6" max="6" width="23.5703125" style="3" bestFit="1" customWidth="1"/>
    <col min="7" max="7" width="5.28515625" style="3" bestFit="1" customWidth="1"/>
    <col min="8" max="9" width="10.85546875" style="3" bestFit="1" customWidth="1"/>
    <col min="10" max="10" width="32.42578125" style="3" bestFit="1" customWidth="1"/>
    <col min="11" max="11" width="46.85546875" style="3" bestFit="1" customWidth="1"/>
    <col min="12" max="12" width="16.42578125" style="3" bestFit="1" customWidth="1"/>
    <col min="13" max="13" width="30.7109375" style="3" bestFit="1" customWidth="1"/>
    <col min="14" max="14" width="24.85546875" style="3" bestFit="1" customWidth="1"/>
    <col min="15" max="15" width="18.5703125" style="3" bestFit="1" customWidth="1"/>
    <col min="16" max="16" width="18.28515625" style="3" bestFit="1" customWidth="1"/>
    <col min="17" max="17" width="17.28515625" style="3" bestFit="1" customWidth="1"/>
    <col min="18" max="18" width="18.85546875" style="3" bestFit="1" customWidth="1"/>
    <col min="19" max="19" width="18.5703125" style="3" customWidth="1"/>
    <col min="20" max="20" width="10.85546875" style="3" bestFit="1" customWidth="1"/>
    <col min="21" max="21" width="8.5703125" style="3" bestFit="1" customWidth="1"/>
    <col min="22" max="22" width="32.42578125" style="3" bestFit="1" customWidth="1"/>
    <col min="23" max="23" width="46.85546875" style="3" bestFit="1" customWidth="1"/>
    <col min="24" max="24" width="12.140625" style="3" bestFit="1" customWidth="1"/>
    <col min="25" max="25" width="13.28515625" style="3" bestFit="1" customWidth="1"/>
    <col min="26" max="26" width="12" style="3" bestFit="1" customWidth="1"/>
    <col min="27" max="27" width="27.140625" style="3" bestFit="1" customWidth="1"/>
    <col min="28" max="28" width="24.85546875" style="3" bestFit="1" customWidth="1"/>
    <col min="29" max="29" width="10.5703125" style="3" bestFit="1" customWidth="1"/>
    <col min="30" max="30" width="10.28515625" style="3" bestFit="1" customWidth="1"/>
    <col min="31" max="31" width="9.5703125" style="3" bestFit="1" customWidth="1"/>
    <col min="32" max="32" width="10.85546875" style="3" bestFit="1" customWidth="1"/>
    <col min="33" max="33" width="10.5703125" style="3" bestFit="1" customWidth="1"/>
    <col min="34" max="34" width="8.7109375" style="3" bestFit="1" customWidth="1"/>
    <col min="35" max="35" width="17.42578125" style="3" bestFit="1" customWidth="1"/>
    <col min="36" max="36" width="6.42578125" style="3" bestFit="1" customWidth="1"/>
    <col min="37" max="37" width="8.28515625" style="3" bestFit="1" customWidth="1"/>
    <col min="38" max="38" width="8" style="3" bestFit="1" customWidth="1"/>
    <col min="39" max="39" width="7" style="3" bestFit="1" customWidth="1"/>
    <col min="40" max="40" width="8.5703125" style="3" bestFit="1" customWidth="1"/>
    <col min="41" max="41" width="8.28515625" style="3" bestFit="1" customWidth="1"/>
    <col min="42" max="16384" width="9.140625" style="3"/>
  </cols>
  <sheetData>
    <row r="1" spans="1:19" ht="18.75" x14ac:dyDescent="0.25">
      <c r="A1" s="48" t="s">
        <v>311</v>
      </c>
    </row>
    <row r="2" spans="1:19" x14ac:dyDescent="0.25">
      <c r="N2" s="111" t="s">
        <v>266</v>
      </c>
      <c r="O2" s="170">
        <f>SUM(VIEW_IV_2019_DEMANDA_SETORIZADA_REP[Demanda.BERINERT])</f>
        <v>1652</v>
      </c>
      <c r="P2" s="170">
        <f>SUM(VIEW_IV_2019_DEMANDA_SETORIZADA_REP[Demanda.BERIPLEX])</f>
        <v>12345</v>
      </c>
      <c r="Q2" s="170">
        <f>SUM(VIEW_IV_2019_DEMANDA_SETORIZADA_REP[Demanda.HAEMO])</f>
        <v>11008</v>
      </c>
      <c r="R2" s="170">
        <f>SUM(VIEW_IV_2019_DEMANDA_SETORIZADA_REP[Demanda.HIZENTRA])</f>
        <v>31399</v>
      </c>
      <c r="S2" s="171">
        <f>SUM(VIEW_IV_2019_DEMANDA_SETORIZADA_REP[Demanda.PRIVIGEN])</f>
        <v>888693</v>
      </c>
    </row>
    <row r="3" spans="1:19" x14ac:dyDescent="0.25">
      <c r="N3" s="111" t="s">
        <v>1324</v>
      </c>
      <c r="O3" s="172">
        <f>SUBTOTAL(9,VIEW_IV_2019_DEMANDA_SETORIZADA_REP[Demanda.BERINERT])</f>
        <v>0</v>
      </c>
      <c r="P3" s="172">
        <f>SUBTOTAL(9,VIEW_IV_2019_DEMANDA_SETORIZADA_REP[Demanda.BERIPLEX])</f>
        <v>0</v>
      </c>
      <c r="Q3" s="172">
        <f>SUBTOTAL(9,VIEW_IV_2019_DEMANDA_SETORIZADA_REP[Demanda.HAEMO])</f>
        <v>0</v>
      </c>
      <c r="R3" s="172">
        <f>SUBTOTAL(9,VIEW_IV_2019_DEMANDA_SETORIZADA_REP[Demanda.HIZENTRA])</f>
        <v>97</v>
      </c>
      <c r="S3" s="172">
        <f>SUBTOTAL(9,VIEW_IV_2019_DEMANDA_SETORIZADA_REP[Demanda.PRIVIGEN])</f>
        <v>6235</v>
      </c>
    </row>
    <row r="5" spans="1:19" ht="15" x14ac:dyDescent="0.25">
      <c r="A5" s="3" t="s">
        <v>2</v>
      </c>
      <c r="B5" s="3" t="s">
        <v>3</v>
      </c>
      <c r="C5" s="3" t="s">
        <v>4</v>
      </c>
      <c r="D5" s="3" t="s">
        <v>216</v>
      </c>
      <c r="E5" s="3" t="s">
        <v>10</v>
      </c>
      <c r="F5" s="3" t="s">
        <v>11</v>
      </c>
      <c r="G5" s="3" t="s">
        <v>12</v>
      </c>
      <c r="H5" s="3" t="s">
        <v>213</v>
      </c>
      <c r="I5" s="3" t="s">
        <v>214</v>
      </c>
      <c r="J5" s="3" t="s">
        <v>217</v>
      </c>
      <c r="K5" s="3" t="s">
        <v>146</v>
      </c>
      <c r="L5" s="3" t="s">
        <v>136</v>
      </c>
      <c r="M5" t="s">
        <v>203</v>
      </c>
      <c r="N5" s="3" t="s">
        <v>204</v>
      </c>
      <c r="O5" s="3" t="s">
        <v>268</v>
      </c>
      <c r="P5" s="3" t="s">
        <v>269</v>
      </c>
      <c r="Q5" s="3" t="s">
        <v>270</v>
      </c>
      <c r="R5" s="3" t="s">
        <v>271</v>
      </c>
      <c r="S5" s="3" t="s">
        <v>272</v>
      </c>
    </row>
    <row r="6" spans="1:19" ht="15" hidden="1" x14ac:dyDescent="0.25">
      <c r="A6" s="7" t="s">
        <v>16</v>
      </c>
      <c r="B6" s="7" t="s">
        <v>17</v>
      </c>
      <c r="C6" s="7" t="s">
        <v>18</v>
      </c>
      <c r="D6" s="4">
        <v>1454407000151</v>
      </c>
      <c r="E6" s="8" t="s">
        <v>764</v>
      </c>
      <c r="F6" s="8" t="s">
        <v>742</v>
      </c>
      <c r="G6" s="8" t="s">
        <v>91</v>
      </c>
      <c r="H6" s="8" t="s">
        <v>215</v>
      </c>
      <c r="I6" s="3">
        <v>2</v>
      </c>
      <c r="J6" s="8" t="s">
        <v>199</v>
      </c>
      <c r="K6" s="8" t="s">
        <v>200</v>
      </c>
      <c r="L6" s="8" t="s">
        <v>556</v>
      </c>
      <c r="M6" s="1" t="s">
        <v>211</v>
      </c>
      <c r="N6" s="8" t="s">
        <v>212</v>
      </c>
      <c r="O6" s="6">
        <v>0</v>
      </c>
      <c r="P6" s="6">
        <v>0</v>
      </c>
      <c r="Q6" s="6">
        <v>0</v>
      </c>
      <c r="R6" s="6">
        <v>0</v>
      </c>
      <c r="S6" s="6">
        <v>480</v>
      </c>
    </row>
    <row r="7" spans="1:19" ht="15" hidden="1" x14ac:dyDescent="0.25">
      <c r="A7" s="7" t="s">
        <v>16</v>
      </c>
      <c r="B7" s="7" t="s">
        <v>17</v>
      </c>
      <c r="C7" s="7" t="s">
        <v>18</v>
      </c>
      <c r="D7" s="4">
        <v>1454407000151</v>
      </c>
      <c r="E7" s="8" t="s">
        <v>764</v>
      </c>
      <c r="F7" s="8" t="s">
        <v>742</v>
      </c>
      <c r="G7" s="8" t="s">
        <v>91</v>
      </c>
      <c r="H7" s="8" t="s">
        <v>215</v>
      </c>
      <c r="I7" s="3">
        <v>2</v>
      </c>
      <c r="J7" s="8" t="s">
        <v>167</v>
      </c>
      <c r="K7" s="8" t="s">
        <v>168</v>
      </c>
      <c r="L7" s="8" t="s">
        <v>557</v>
      </c>
      <c r="M7" s="1" t="s">
        <v>211</v>
      </c>
      <c r="N7" s="8" t="s">
        <v>212</v>
      </c>
      <c r="O7" s="6">
        <v>0</v>
      </c>
      <c r="P7" s="6">
        <v>0</v>
      </c>
      <c r="Q7" s="6">
        <v>0</v>
      </c>
      <c r="R7" s="6">
        <v>0</v>
      </c>
      <c r="S7" s="6">
        <v>480</v>
      </c>
    </row>
    <row r="8" spans="1:19" ht="15" hidden="1" x14ac:dyDescent="0.25">
      <c r="A8" s="7" t="s">
        <v>16</v>
      </c>
      <c r="B8" s="7" t="s">
        <v>17</v>
      </c>
      <c r="C8" s="7" t="s">
        <v>18</v>
      </c>
      <c r="D8" s="4">
        <v>12442737000496</v>
      </c>
      <c r="E8" s="8" t="s">
        <v>865</v>
      </c>
      <c r="F8" s="8" t="s">
        <v>742</v>
      </c>
      <c r="G8" s="8" t="s">
        <v>91</v>
      </c>
      <c r="H8" s="8" t="s">
        <v>215</v>
      </c>
      <c r="I8" s="3">
        <v>2</v>
      </c>
      <c r="J8" s="8" t="s">
        <v>199</v>
      </c>
      <c r="K8" s="8" t="s">
        <v>200</v>
      </c>
      <c r="L8" s="8" t="s">
        <v>556</v>
      </c>
      <c r="M8" s="1" t="s">
        <v>211</v>
      </c>
      <c r="N8" s="8" t="s">
        <v>212</v>
      </c>
      <c r="O8" s="6">
        <v>0</v>
      </c>
      <c r="P8" s="6">
        <v>0</v>
      </c>
      <c r="Q8" s="6">
        <v>0</v>
      </c>
      <c r="R8" s="6">
        <v>0</v>
      </c>
      <c r="S8" s="6">
        <v>400</v>
      </c>
    </row>
    <row r="9" spans="1:19" ht="15" hidden="1" x14ac:dyDescent="0.25">
      <c r="A9" s="7" t="s">
        <v>16</v>
      </c>
      <c r="B9" s="7" t="s">
        <v>17</v>
      </c>
      <c r="C9" s="7" t="s">
        <v>18</v>
      </c>
      <c r="D9" s="4">
        <v>12442737000496</v>
      </c>
      <c r="E9" s="8" t="s">
        <v>865</v>
      </c>
      <c r="F9" s="8" t="s">
        <v>742</v>
      </c>
      <c r="G9" s="8" t="s">
        <v>91</v>
      </c>
      <c r="H9" s="8" t="s">
        <v>215</v>
      </c>
      <c r="I9" s="3">
        <v>2</v>
      </c>
      <c r="J9" s="8" t="s">
        <v>167</v>
      </c>
      <c r="K9" s="8" t="s">
        <v>168</v>
      </c>
      <c r="L9" s="8" t="s">
        <v>557</v>
      </c>
      <c r="M9" s="1" t="s">
        <v>211</v>
      </c>
      <c r="N9" s="8" t="s">
        <v>212</v>
      </c>
      <c r="O9" s="6">
        <v>0</v>
      </c>
      <c r="P9" s="6">
        <v>0</v>
      </c>
      <c r="Q9" s="6">
        <v>0</v>
      </c>
      <c r="R9" s="6">
        <v>0</v>
      </c>
      <c r="S9" s="6">
        <v>400</v>
      </c>
    </row>
    <row r="10" spans="1:19" ht="15" hidden="1" x14ac:dyDescent="0.25">
      <c r="A10" s="7" t="s">
        <v>16</v>
      </c>
      <c r="B10" s="7" t="s">
        <v>17</v>
      </c>
      <c r="C10" s="7" t="s">
        <v>18</v>
      </c>
      <c r="D10" s="4">
        <v>24464109000229</v>
      </c>
      <c r="E10" s="8" t="s">
        <v>905</v>
      </c>
      <c r="F10" s="8" t="s">
        <v>742</v>
      </c>
      <c r="G10" s="8" t="s">
        <v>91</v>
      </c>
      <c r="H10" s="8" t="s">
        <v>215</v>
      </c>
      <c r="I10" s="3">
        <v>2</v>
      </c>
      <c r="J10" s="8" t="s">
        <v>199</v>
      </c>
      <c r="K10" s="8" t="s">
        <v>200</v>
      </c>
      <c r="L10" s="8" t="s">
        <v>556</v>
      </c>
      <c r="M10" s="1" t="s">
        <v>211</v>
      </c>
      <c r="N10" s="8" t="s">
        <v>212</v>
      </c>
      <c r="O10" s="6">
        <v>50</v>
      </c>
      <c r="P10" s="6">
        <v>0</v>
      </c>
      <c r="Q10" s="6">
        <v>0</v>
      </c>
      <c r="R10" s="6">
        <v>0</v>
      </c>
      <c r="S10" s="6">
        <v>0</v>
      </c>
    </row>
    <row r="11" spans="1:19" ht="15" hidden="1" x14ac:dyDescent="0.25">
      <c r="A11" s="7" t="s">
        <v>16</v>
      </c>
      <c r="B11" s="7" t="s">
        <v>17</v>
      </c>
      <c r="C11" s="7" t="s">
        <v>18</v>
      </c>
      <c r="D11" s="4">
        <v>24464109000229</v>
      </c>
      <c r="E11" s="8" t="s">
        <v>905</v>
      </c>
      <c r="F11" s="8" t="s">
        <v>742</v>
      </c>
      <c r="G11" s="8" t="s">
        <v>91</v>
      </c>
      <c r="H11" s="8" t="s">
        <v>215</v>
      </c>
      <c r="I11" s="3">
        <v>2</v>
      </c>
      <c r="J11" s="8" t="s">
        <v>167</v>
      </c>
      <c r="K11" s="8" t="s">
        <v>168</v>
      </c>
      <c r="L11" s="8" t="s">
        <v>557</v>
      </c>
      <c r="M11" s="1" t="s">
        <v>211</v>
      </c>
      <c r="N11" s="8" t="s">
        <v>212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</row>
    <row r="12" spans="1:19" ht="15" hidden="1" x14ac:dyDescent="0.25">
      <c r="A12" s="7" t="s">
        <v>16</v>
      </c>
      <c r="B12" s="7" t="s">
        <v>17</v>
      </c>
      <c r="C12" s="7" t="s">
        <v>18</v>
      </c>
      <c r="D12" s="4">
        <v>12361267011632</v>
      </c>
      <c r="E12" s="8" t="s">
        <v>1160</v>
      </c>
      <c r="F12" s="8" t="s">
        <v>109</v>
      </c>
      <c r="G12" s="8" t="s">
        <v>110</v>
      </c>
      <c r="H12" s="8" t="s">
        <v>215</v>
      </c>
      <c r="I12" s="3">
        <v>1</v>
      </c>
      <c r="J12" s="8" t="s">
        <v>201</v>
      </c>
      <c r="K12" s="8" t="s">
        <v>202</v>
      </c>
      <c r="L12" s="8" t="s">
        <v>740</v>
      </c>
      <c r="M12" s="1" t="s">
        <v>211</v>
      </c>
      <c r="N12" s="8" t="s">
        <v>212</v>
      </c>
      <c r="O12" s="6">
        <v>0</v>
      </c>
      <c r="P12" s="6">
        <v>0</v>
      </c>
      <c r="Q12" s="6">
        <v>0</v>
      </c>
      <c r="R12" s="6">
        <v>0</v>
      </c>
      <c r="S12" s="6">
        <v>125</v>
      </c>
    </row>
    <row r="13" spans="1:19" ht="15" hidden="1" x14ac:dyDescent="0.25">
      <c r="A13" s="7" t="s">
        <v>16</v>
      </c>
      <c r="B13" s="7" t="s">
        <v>17</v>
      </c>
      <c r="C13" s="7" t="s">
        <v>18</v>
      </c>
      <c r="D13" s="4">
        <v>6070425000153</v>
      </c>
      <c r="E13" s="8" t="s">
        <v>1150</v>
      </c>
      <c r="F13" s="8" t="s">
        <v>1151</v>
      </c>
      <c r="G13" s="8" t="s">
        <v>79</v>
      </c>
      <c r="H13" s="8" t="s">
        <v>215</v>
      </c>
      <c r="I13" s="3">
        <v>1</v>
      </c>
      <c r="J13" s="8" t="s">
        <v>201</v>
      </c>
      <c r="K13" s="8" t="s">
        <v>202</v>
      </c>
      <c r="L13" s="8" t="s">
        <v>740</v>
      </c>
      <c r="M13" s="1" t="s">
        <v>211</v>
      </c>
      <c r="N13" s="8" t="s">
        <v>212</v>
      </c>
      <c r="O13" s="6">
        <v>0</v>
      </c>
      <c r="P13" s="6">
        <v>0</v>
      </c>
      <c r="Q13" s="6">
        <v>0</v>
      </c>
      <c r="R13" s="6">
        <v>12</v>
      </c>
      <c r="S13" s="6">
        <v>0</v>
      </c>
    </row>
    <row r="14" spans="1:19" ht="15" hidden="1" x14ac:dyDescent="0.25">
      <c r="A14" s="7" t="s">
        <v>16</v>
      </c>
      <c r="B14" s="7" t="s">
        <v>17</v>
      </c>
      <c r="C14" s="7" t="s">
        <v>18</v>
      </c>
      <c r="D14" s="4">
        <v>14074546000100</v>
      </c>
      <c r="E14" s="8" t="s">
        <v>876</v>
      </c>
      <c r="F14" s="8" t="s">
        <v>86</v>
      </c>
      <c r="G14" s="8" t="s">
        <v>74</v>
      </c>
      <c r="H14" s="8" t="s">
        <v>215</v>
      </c>
      <c r="I14" s="3">
        <v>2</v>
      </c>
      <c r="J14" s="8" t="s">
        <v>199</v>
      </c>
      <c r="K14" s="8" t="s">
        <v>200</v>
      </c>
      <c r="L14" s="8" t="s">
        <v>556</v>
      </c>
      <c r="M14" s="1" t="s">
        <v>211</v>
      </c>
      <c r="N14" s="8" t="s">
        <v>212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</row>
    <row r="15" spans="1:19" ht="15" hidden="1" x14ac:dyDescent="0.25">
      <c r="A15" s="7" t="s">
        <v>16</v>
      </c>
      <c r="B15" s="7" t="s">
        <v>17</v>
      </c>
      <c r="C15" s="7" t="s">
        <v>18</v>
      </c>
      <c r="D15" s="4">
        <v>14074546000100</v>
      </c>
      <c r="E15" s="8" t="s">
        <v>876</v>
      </c>
      <c r="F15" s="8" t="s">
        <v>86</v>
      </c>
      <c r="G15" s="8" t="s">
        <v>74</v>
      </c>
      <c r="H15" s="8" t="s">
        <v>215</v>
      </c>
      <c r="I15" s="3">
        <v>2</v>
      </c>
      <c r="J15" s="8" t="s">
        <v>167</v>
      </c>
      <c r="K15" s="8" t="s">
        <v>168</v>
      </c>
      <c r="L15" s="8" t="s">
        <v>557</v>
      </c>
      <c r="M15" s="1" t="s">
        <v>211</v>
      </c>
      <c r="N15" s="8" t="s">
        <v>212</v>
      </c>
      <c r="O15" s="6">
        <v>0</v>
      </c>
      <c r="P15" s="6">
        <v>1</v>
      </c>
      <c r="Q15" s="6">
        <v>0</v>
      </c>
      <c r="R15" s="6">
        <v>0</v>
      </c>
      <c r="S15" s="6">
        <v>0</v>
      </c>
    </row>
    <row r="16" spans="1:19" ht="15" hidden="1" x14ac:dyDescent="0.25">
      <c r="A16" s="7" t="s">
        <v>16</v>
      </c>
      <c r="B16" s="7" t="s">
        <v>17</v>
      </c>
      <c r="C16" s="7" t="s">
        <v>18</v>
      </c>
      <c r="D16" s="4">
        <v>15170723000530</v>
      </c>
      <c r="E16" s="8" t="s">
        <v>891</v>
      </c>
      <c r="F16" s="8" t="s">
        <v>86</v>
      </c>
      <c r="G16" s="8" t="s">
        <v>74</v>
      </c>
      <c r="H16" s="8" t="s">
        <v>215</v>
      </c>
      <c r="I16" s="3">
        <v>2</v>
      </c>
      <c r="J16" s="8" t="s">
        <v>199</v>
      </c>
      <c r="K16" s="8" t="s">
        <v>200</v>
      </c>
      <c r="L16" s="8" t="s">
        <v>556</v>
      </c>
      <c r="M16" s="1" t="s">
        <v>211</v>
      </c>
      <c r="N16" s="8" t="s">
        <v>212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</row>
    <row r="17" spans="1:19" ht="15" hidden="1" x14ac:dyDescent="0.25">
      <c r="A17" s="7" t="s">
        <v>16</v>
      </c>
      <c r="B17" s="7" t="s">
        <v>17</v>
      </c>
      <c r="C17" s="7" t="s">
        <v>18</v>
      </c>
      <c r="D17" s="4">
        <v>15170723000530</v>
      </c>
      <c r="E17" s="8" t="s">
        <v>891</v>
      </c>
      <c r="F17" s="8" t="s">
        <v>86</v>
      </c>
      <c r="G17" s="8" t="s">
        <v>74</v>
      </c>
      <c r="H17" s="8" t="s">
        <v>215</v>
      </c>
      <c r="I17" s="3">
        <v>2</v>
      </c>
      <c r="J17" s="8" t="s">
        <v>167</v>
      </c>
      <c r="K17" s="8" t="s">
        <v>168</v>
      </c>
      <c r="L17" s="8" t="s">
        <v>557</v>
      </c>
      <c r="M17" s="1" t="s">
        <v>211</v>
      </c>
      <c r="N17" s="8" t="s">
        <v>212</v>
      </c>
      <c r="O17" s="6">
        <v>0</v>
      </c>
      <c r="P17" s="6">
        <v>1</v>
      </c>
      <c r="Q17" s="6">
        <v>0</v>
      </c>
      <c r="R17" s="6">
        <v>0</v>
      </c>
      <c r="S17" s="6">
        <v>0</v>
      </c>
    </row>
    <row r="18" spans="1:19" ht="15" hidden="1" x14ac:dyDescent="0.25">
      <c r="A18" s="7" t="s">
        <v>16</v>
      </c>
      <c r="B18" s="7" t="s">
        <v>17</v>
      </c>
      <c r="C18" s="7" t="s">
        <v>18</v>
      </c>
      <c r="D18" s="4">
        <v>4602792000125</v>
      </c>
      <c r="E18" s="8" t="s">
        <v>797</v>
      </c>
      <c r="F18" s="8" t="s">
        <v>73</v>
      </c>
      <c r="G18" s="8" t="s">
        <v>74</v>
      </c>
      <c r="H18" s="8" t="s">
        <v>215</v>
      </c>
      <c r="I18" s="3">
        <v>2</v>
      </c>
      <c r="J18" s="8" t="s">
        <v>199</v>
      </c>
      <c r="K18" s="8" t="s">
        <v>200</v>
      </c>
      <c r="L18" s="8" t="s">
        <v>556</v>
      </c>
      <c r="M18" s="1" t="s">
        <v>211</v>
      </c>
      <c r="N18" s="8" t="s">
        <v>212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</row>
    <row r="19" spans="1:19" ht="15" hidden="1" x14ac:dyDescent="0.25">
      <c r="A19" s="7" t="s">
        <v>16</v>
      </c>
      <c r="B19" s="7" t="s">
        <v>17</v>
      </c>
      <c r="C19" s="7" t="s">
        <v>18</v>
      </c>
      <c r="D19" s="4">
        <v>4602792000125</v>
      </c>
      <c r="E19" s="8" t="s">
        <v>797</v>
      </c>
      <c r="F19" s="8" t="s">
        <v>73</v>
      </c>
      <c r="G19" s="8" t="s">
        <v>74</v>
      </c>
      <c r="H19" s="8" t="s">
        <v>215</v>
      </c>
      <c r="I19" s="3">
        <v>2</v>
      </c>
      <c r="J19" s="8" t="s">
        <v>167</v>
      </c>
      <c r="K19" s="8" t="s">
        <v>168</v>
      </c>
      <c r="L19" s="8" t="s">
        <v>557</v>
      </c>
      <c r="M19" s="1" t="s">
        <v>211</v>
      </c>
      <c r="N19" s="8" t="s">
        <v>212</v>
      </c>
      <c r="O19" s="6">
        <v>0</v>
      </c>
      <c r="P19" s="6">
        <v>2</v>
      </c>
      <c r="Q19" s="6">
        <v>0</v>
      </c>
      <c r="R19" s="6">
        <v>0</v>
      </c>
      <c r="S19" s="6">
        <v>0</v>
      </c>
    </row>
    <row r="20" spans="1:19" ht="15" hidden="1" x14ac:dyDescent="0.25">
      <c r="A20" s="7" t="s">
        <v>16</v>
      </c>
      <c r="B20" s="7" t="s">
        <v>17</v>
      </c>
      <c r="C20" s="7" t="s">
        <v>18</v>
      </c>
      <c r="D20" s="4">
        <v>13952064000134</v>
      </c>
      <c r="E20" s="8" t="s">
        <v>875</v>
      </c>
      <c r="F20" s="8" t="s">
        <v>75</v>
      </c>
      <c r="G20" s="8" t="s">
        <v>74</v>
      </c>
      <c r="H20" s="8" t="s">
        <v>215</v>
      </c>
      <c r="I20" s="3">
        <v>2</v>
      </c>
      <c r="J20" s="8" t="s">
        <v>199</v>
      </c>
      <c r="K20" s="8" t="s">
        <v>200</v>
      </c>
      <c r="L20" s="8" t="s">
        <v>556</v>
      </c>
      <c r="M20" s="1" t="s">
        <v>211</v>
      </c>
      <c r="N20" s="8" t="s">
        <v>212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</row>
    <row r="21" spans="1:19" ht="15" hidden="1" x14ac:dyDescent="0.25">
      <c r="A21" s="7" t="s">
        <v>16</v>
      </c>
      <c r="B21" s="7" t="s">
        <v>17</v>
      </c>
      <c r="C21" s="7" t="s">
        <v>18</v>
      </c>
      <c r="D21" s="4">
        <v>13952064000134</v>
      </c>
      <c r="E21" s="8" t="s">
        <v>875</v>
      </c>
      <c r="F21" s="8" t="s">
        <v>75</v>
      </c>
      <c r="G21" s="8" t="s">
        <v>74</v>
      </c>
      <c r="H21" s="8" t="s">
        <v>215</v>
      </c>
      <c r="I21" s="3">
        <v>2</v>
      </c>
      <c r="J21" s="8" t="s">
        <v>167</v>
      </c>
      <c r="K21" s="8" t="s">
        <v>168</v>
      </c>
      <c r="L21" s="8" t="s">
        <v>557</v>
      </c>
      <c r="M21" s="1" t="s">
        <v>211</v>
      </c>
      <c r="N21" s="8" t="s">
        <v>212</v>
      </c>
      <c r="O21" s="6">
        <v>0</v>
      </c>
      <c r="P21" s="6">
        <v>0</v>
      </c>
      <c r="Q21" s="6">
        <v>3</v>
      </c>
      <c r="R21" s="6">
        <v>0</v>
      </c>
      <c r="S21" s="6">
        <v>0</v>
      </c>
    </row>
    <row r="22" spans="1:19" ht="15" hidden="1" x14ac:dyDescent="0.25">
      <c r="A22" s="7" t="s">
        <v>16</v>
      </c>
      <c r="B22" s="7" t="s">
        <v>17</v>
      </c>
      <c r="C22" s="7" t="s">
        <v>18</v>
      </c>
      <c r="D22" s="4">
        <v>5816630000152</v>
      </c>
      <c r="E22" s="8" t="s">
        <v>803</v>
      </c>
      <c r="F22" s="8" t="s">
        <v>75</v>
      </c>
      <c r="G22" s="8" t="s">
        <v>74</v>
      </c>
      <c r="H22" s="8" t="s">
        <v>215</v>
      </c>
      <c r="I22" s="3">
        <v>2</v>
      </c>
      <c r="J22" s="8" t="s">
        <v>199</v>
      </c>
      <c r="K22" s="8" t="s">
        <v>200</v>
      </c>
      <c r="L22" s="8" t="s">
        <v>556</v>
      </c>
      <c r="M22" s="1" t="s">
        <v>211</v>
      </c>
      <c r="N22" s="8" t="s">
        <v>212</v>
      </c>
      <c r="O22" s="6">
        <v>0</v>
      </c>
      <c r="P22" s="6">
        <v>0</v>
      </c>
      <c r="Q22" s="6">
        <v>0</v>
      </c>
      <c r="R22" s="6">
        <v>0</v>
      </c>
      <c r="S22" s="6">
        <v>150</v>
      </c>
    </row>
    <row r="23" spans="1:19" ht="15" hidden="1" x14ac:dyDescent="0.25">
      <c r="A23" s="7" t="s">
        <v>16</v>
      </c>
      <c r="B23" s="7" t="s">
        <v>17</v>
      </c>
      <c r="C23" s="7" t="s">
        <v>18</v>
      </c>
      <c r="D23" s="4">
        <v>5816630000152</v>
      </c>
      <c r="E23" s="8" t="s">
        <v>803</v>
      </c>
      <c r="F23" s="8" t="s">
        <v>75</v>
      </c>
      <c r="G23" s="8" t="s">
        <v>74</v>
      </c>
      <c r="H23" s="8" t="s">
        <v>215</v>
      </c>
      <c r="I23" s="3">
        <v>2</v>
      </c>
      <c r="J23" s="8" t="s">
        <v>167</v>
      </c>
      <c r="K23" s="8" t="s">
        <v>168</v>
      </c>
      <c r="L23" s="8" t="s">
        <v>557</v>
      </c>
      <c r="M23" s="1" t="s">
        <v>211</v>
      </c>
      <c r="N23" s="8" t="s">
        <v>212</v>
      </c>
      <c r="O23" s="6">
        <v>0</v>
      </c>
      <c r="P23" s="6">
        <v>18</v>
      </c>
      <c r="Q23" s="6">
        <v>0</v>
      </c>
      <c r="R23" s="6">
        <v>0</v>
      </c>
      <c r="S23" s="6">
        <v>150</v>
      </c>
    </row>
    <row r="24" spans="1:19" ht="15" hidden="1" x14ac:dyDescent="0.25">
      <c r="A24" s="7" t="s">
        <v>16</v>
      </c>
      <c r="B24" s="7" t="s">
        <v>17</v>
      </c>
      <c r="C24" s="7" t="s">
        <v>18</v>
      </c>
      <c r="D24" s="4">
        <v>15194004000125</v>
      </c>
      <c r="E24" s="8" t="s">
        <v>895</v>
      </c>
      <c r="F24" s="8" t="s">
        <v>75</v>
      </c>
      <c r="G24" s="8" t="s">
        <v>74</v>
      </c>
      <c r="H24" s="8" t="s">
        <v>215</v>
      </c>
      <c r="I24" s="3">
        <v>2</v>
      </c>
      <c r="J24" s="8" t="s">
        <v>199</v>
      </c>
      <c r="K24" s="8" t="s">
        <v>200</v>
      </c>
      <c r="L24" s="8" t="s">
        <v>556</v>
      </c>
      <c r="M24" s="1" t="s">
        <v>211</v>
      </c>
      <c r="N24" s="8" t="s">
        <v>212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</row>
    <row r="25" spans="1:19" ht="15" hidden="1" x14ac:dyDescent="0.25">
      <c r="A25" s="7" t="s">
        <v>16</v>
      </c>
      <c r="B25" s="7" t="s">
        <v>17</v>
      </c>
      <c r="C25" s="7" t="s">
        <v>18</v>
      </c>
      <c r="D25" s="4">
        <v>15194004000125</v>
      </c>
      <c r="E25" s="8" t="s">
        <v>895</v>
      </c>
      <c r="F25" s="8" t="s">
        <v>75</v>
      </c>
      <c r="G25" s="8" t="s">
        <v>74</v>
      </c>
      <c r="H25" s="8" t="s">
        <v>215</v>
      </c>
      <c r="I25" s="3">
        <v>2</v>
      </c>
      <c r="J25" s="8" t="s">
        <v>167</v>
      </c>
      <c r="K25" s="8" t="s">
        <v>168</v>
      </c>
      <c r="L25" s="8" t="s">
        <v>557</v>
      </c>
      <c r="M25" s="1" t="s">
        <v>211</v>
      </c>
      <c r="N25" s="8" t="s">
        <v>212</v>
      </c>
      <c r="O25" s="6">
        <v>0</v>
      </c>
      <c r="P25" s="6">
        <v>2</v>
      </c>
      <c r="Q25" s="6">
        <v>0</v>
      </c>
      <c r="R25" s="6">
        <v>0</v>
      </c>
      <c r="S25" s="6">
        <v>0</v>
      </c>
    </row>
    <row r="26" spans="1:19" ht="15" hidden="1" x14ac:dyDescent="0.25">
      <c r="A26" s="7" t="s">
        <v>16</v>
      </c>
      <c r="B26" s="7" t="s">
        <v>17</v>
      </c>
      <c r="C26" s="7" t="s">
        <v>18</v>
      </c>
      <c r="D26" s="4">
        <v>5469172000122</v>
      </c>
      <c r="E26" s="8" t="s">
        <v>799</v>
      </c>
      <c r="F26" s="8" t="s">
        <v>75</v>
      </c>
      <c r="G26" s="8" t="s">
        <v>74</v>
      </c>
      <c r="H26" s="8" t="s">
        <v>215</v>
      </c>
      <c r="I26" s="3">
        <v>2</v>
      </c>
      <c r="J26" s="8" t="s">
        <v>199</v>
      </c>
      <c r="K26" s="8" t="s">
        <v>200</v>
      </c>
      <c r="L26" s="8" t="s">
        <v>556</v>
      </c>
      <c r="M26" s="1" t="s">
        <v>211</v>
      </c>
      <c r="N26" s="8" t="s">
        <v>212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</row>
    <row r="27" spans="1:19" ht="15" hidden="1" x14ac:dyDescent="0.25">
      <c r="A27" s="7" t="s">
        <v>16</v>
      </c>
      <c r="B27" s="7" t="s">
        <v>17</v>
      </c>
      <c r="C27" s="7" t="s">
        <v>18</v>
      </c>
      <c r="D27" s="4">
        <v>5469172000122</v>
      </c>
      <c r="E27" s="8" t="s">
        <v>799</v>
      </c>
      <c r="F27" s="8" t="s">
        <v>75</v>
      </c>
      <c r="G27" s="8" t="s">
        <v>74</v>
      </c>
      <c r="H27" s="8" t="s">
        <v>215</v>
      </c>
      <c r="I27" s="3">
        <v>2</v>
      </c>
      <c r="J27" s="8" t="s">
        <v>167</v>
      </c>
      <c r="K27" s="8" t="s">
        <v>168</v>
      </c>
      <c r="L27" s="8" t="s">
        <v>557</v>
      </c>
      <c r="M27" s="1" t="s">
        <v>211</v>
      </c>
      <c r="N27" s="8" t="s">
        <v>212</v>
      </c>
      <c r="O27" s="6">
        <v>0</v>
      </c>
      <c r="P27" s="6">
        <v>6</v>
      </c>
      <c r="Q27" s="6">
        <v>0</v>
      </c>
      <c r="R27" s="6">
        <v>0</v>
      </c>
      <c r="S27" s="6">
        <v>0</v>
      </c>
    </row>
    <row r="28" spans="1:19" ht="15" hidden="1" x14ac:dyDescent="0.25">
      <c r="A28" s="7" t="s">
        <v>16</v>
      </c>
      <c r="B28" s="7" t="s">
        <v>17</v>
      </c>
      <c r="C28" s="7" t="s">
        <v>18</v>
      </c>
      <c r="D28" s="4">
        <v>13016092000140</v>
      </c>
      <c r="E28" s="8" t="s">
        <v>867</v>
      </c>
      <c r="F28" s="8" t="s">
        <v>75</v>
      </c>
      <c r="G28" s="8" t="s">
        <v>74</v>
      </c>
      <c r="H28" s="8" t="s">
        <v>215</v>
      </c>
      <c r="I28" s="3">
        <v>2</v>
      </c>
      <c r="J28" s="8" t="s">
        <v>199</v>
      </c>
      <c r="K28" s="8" t="s">
        <v>200</v>
      </c>
      <c r="L28" s="8" t="s">
        <v>556</v>
      </c>
      <c r="M28" s="1" t="s">
        <v>211</v>
      </c>
      <c r="N28" s="8" t="s">
        <v>212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</row>
    <row r="29" spans="1:19" ht="15" hidden="1" x14ac:dyDescent="0.25">
      <c r="A29" s="7" t="s">
        <v>16</v>
      </c>
      <c r="B29" s="7" t="s">
        <v>17</v>
      </c>
      <c r="C29" s="7" t="s">
        <v>18</v>
      </c>
      <c r="D29" s="4">
        <v>13016092000140</v>
      </c>
      <c r="E29" s="8" t="s">
        <v>867</v>
      </c>
      <c r="F29" s="8" t="s">
        <v>75</v>
      </c>
      <c r="G29" s="8" t="s">
        <v>74</v>
      </c>
      <c r="H29" s="8" t="s">
        <v>215</v>
      </c>
      <c r="I29" s="3">
        <v>2</v>
      </c>
      <c r="J29" s="8" t="s">
        <v>167</v>
      </c>
      <c r="K29" s="8" t="s">
        <v>168</v>
      </c>
      <c r="L29" s="8" t="s">
        <v>557</v>
      </c>
      <c r="M29" s="1" t="s">
        <v>211</v>
      </c>
      <c r="N29" s="8" t="s">
        <v>212</v>
      </c>
      <c r="O29" s="6">
        <v>0</v>
      </c>
      <c r="P29" s="6">
        <v>10</v>
      </c>
      <c r="Q29" s="6">
        <v>0</v>
      </c>
      <c r="R29" s="6">
        <v>0</v>
      </c>
      <c r="S29" s="6">
        <v>0</v>
      </c>
    </row>
    <row r="30" spans="1:19" ht="15" hidden="1" x14ac:dyDescent="0.25">
      <c r="A30" s="7" t="s">
        <v>16</v>
      </c>
      <c r="B30" s="7" t="s">
        <v>17</v>
      </c>
      <c r="C30" s="7" t="s">
        <v>18</v>
      </c>
      <c r="D30" s="4">
        <v>15153745002705</v>
      </c>
      <c r="E30" s="8" t="s">
        <v>888</v>
      </c>
      <c r="F30" s="8" t="s">
        <v>75</v>
      </c>
      <c r="G30" s="8" t="s">
        <v>74</v>
      </c>
      <c r="H30" s="8" t="s">
        <v>215</v>
      </c>
      <c r="I30" s="3">
        <v>2</v>
      </c>
      <c r="J30" s="8" t="s">
        <v>199</v>
      </c>
      <c r="K30" s="8" t="s">
        <v>200</v>
      </c>
      <c r="L30" s="8" t="s">
        <v>556</v>
      </c>
      <c r="M30" s="1" t="s">
        <v>211</v>
      </c>
      <c r="N30" s="8" t="s">
        <v>212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</row>
    <row r="31" spans="1:19" ht="15" hidden="1" x14ac:dyDescent="0.25">
      <c r="A31" s="7" t="s">
        <v>16</v>
      </c>
      <c r="B31" s="7" t="s">
        <v>17</v>
      </c>
      <c r="C31" s="7" t="s">
        <v>18</v>
      </c>
      <c r="D31" s="4">
        <v>15153745002705</v>
      </c>
      <c r="E31" s="8" t="s">
        <v>888</v>
      </c>
      <c r="F31" s="8" t="s">
        <v>75</v>
      </c>
      <c r="G31" s="8" t="s">
        <v>74</v>
      </c>
      <c r="H31" s="8" t="s">
        <v>215</v>
      </c>
      <c r="I31" s="3">
        <v>2</v>
      </c>
      <c r="J31" s="8" t="s">
        <v>167</v>
      </c>
      <c r="K31" s="8" t="s">
        <v>168</v>
      </c>
      <c r="L31" s="8" t="s">
        <v>557</v>
      </c>
      <c r="M31" s="1" t="s">
        <v>211</v>
      </c>
      <c r="N31" s="8" t="s">
        <v>212</v>
      </c>
      <c r="O31" s="6">
        <v>0</v>
      </c>
      <c r="P31" s="6">
        <v>11</v>
      </c>
      <c r="Q31" s="6">
        <v>0</v>
      </c>
      <c r="R31" s="6">
        <v>0</v>
      </c>
      <c r="S31" s="6">
        <v>0</v>
      </c>
    </row>
    <row r="32" spans="1:19" ht="15" hidden="1" x14ac:dyDescent="0.25">
      <c r="A32" s="7" t="s">
        <v>16</v>
      </c>
      <c r="B32" s="7" t="s">
        <v>17</v>
      </c>
      <c r="C32" s="7" t="s">
        <v>18</v>
      </c>
      <c r="D32" s="4">
        <v>15166416000151</v>
      </c>
      <c r="E32" s="8" t="s">
        <v>889</v>
      </c>
      <c r="F32" s="8" t="s">
        <v>75</v>
      </c>
      <c r="G32" s="8" t="s">
        <v>74</v>
      </c>
      <c r="H32" s="8" t="s">
        <v>215</v>
      </c>
      <c r="I32" s="3">
        <v>2</v>
      </c>
      <c r="J32" s="8" t="s">
        <v>199</v>
      </c>
      <c r="K32" s="8" t="s">
        <v>200</v>
      </c>
      <c r="L32" s="8" t="s">
        <v>556</v>
      </c>
      <c r="M32" s="1" t="s">
        <v>211</v>
      </c>
      <c r="N32" s="8" t="s">
        <v>212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</row>
    <row r="33" spans="1:19" ht="15" hidden="1" x14ac:dyDescent="0.25">
      <c r="A33" s="7" t="s">
        <v>16</v>
      </c>
      <c r="B33" s="7" t="s">
        <v>17</v>
      </c>
      <c r="C33" s="7" t="s">
        <v>18</v>
      </c>
      <c r="D33" s="4">
        <v>15166416000151</v>
      </c>
      <c r="E33" s="8" t="s">
        <v>889</v>
      </c>
      <c r="F33" s="8" t="s">
        <v>75</v>
      </c>
      <c r="G33" s="8" t="s">
        <v>74</v>
      </c>
      <c r="H33" s="8" t="s">
        <v>215</v>
      </c>
      <c r="I33" s="3">
        <v>2</v>
      </c>
      <c r="J33" s="8" t="s">
        <v>167</v>
      </c>
      <c r="K33" s="8" t="s">
        <v>168</v>
      </c>
      <c r="L33" s="8" t="s">
        <v>557</v>
      </c>
      <c r="M33" s="1" t="s">
        <v>211</v>
      </c>
      <c r="N33" s="8" t="s">
        <v>212</v>
      </c>
      <c r="O33" s="6">
        <v>0</v>
      </c>
      <c r="P33" s="6">
        <v>17</v>
      </c>
      <c r="Q33" s="6">
        <v>11</v>
      </c>
      <c r="R33" s="6">
        <v>0</v>
      </c>
      <c r="S33" s="6">
        <v>0</v>
      </c>
    </row>
    <row r="34" spans="1:19" ht="15" hidden="1" x14ac:dyDescent="0.25">
      <c r="A34" s="7" t="s">
        <v>16</v>
      </c>
      <c r="B34" s="7" t="s">
        <v>17</v>
      </c>
      <c r="C34" s="7" t="s">
        <v>18</v>
      </c>
      <c r="D34" s="4">
        <v>15153745000249</v>
      </c>
      <c r="E34" s="8" t="s">
        <v>887</v>
      </c>
      <c r="F34" s="8" t="s">
        <v>75</v>
      </c>
      <c r="G34" s="8" t="s">
        <v>74</v>
      </c>
      <c r="H34" s="8" t="s">
        <v>215</v>
      </c>
      <c r="I34" s="3">
        <v>2</v>
      </c>
      <c r="J34" s="8" t="s">
        <v>199</v>
      </c>
      <c r="K34" s="8" t="s">
        <v>200</v>
      </c>
      <c r="L34" s="8" t="s">
        <v>556</v>
      </c>
      <c r="M34" s="1" t="s">
        <v>211</v>
      </c>
      <c r="N34" s="8" t="s">
        <v>212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</row>
    <row r="35" spans="1:19" ht="15" hidden="1" x14ac:dyDescent="0.25">
      <c r="A35" s="7" t="s">
        <v>16</v>
      </c>
      <c r="B35" s="7" t="s">
        <v>17</v>
      </c>
      <c r="C35" s="7" t="s">
        <v>18</v>
      </c>
      <c r="D35" s="4">
        <v>15153745000249</v>
      </c>
      <c r="E35" s="8" t="s">
        <v>887</v>
      </c>
      <c r="F35" s="8" t="s">
        <v>75</v>
      </c>
      <c r="G35" s="8" t="s">
        <v>74</v>
      </c>
      <c r="H35" s="8" t="s">
        <v>215</v>
      </c>
      <c r="I35" s="3">
        <v>2</v>
      </c>
      <c r="J35" s="8" t="s">
        <v>167</v>
      </c>
      <c r="K35" s="8" t="s">
        <v>168</v>
      </c>
      <c r="L35" s="8" t="s">
        <v>557</v>
      </c>
      <c r="M35" s="1" t="s">
        <v>211</v>
      </c>
      <c r="N35" s="8" t="s">
        <v>212</v>
      </c>
      <c r="O35" s="6">
        <v>0</v>
      </c>
      <c r="P35" s="6">
        <v>0</v>
      </c>
      <c r="Q35" s="6">
        <v>2</v>
      </c>
      <c r="R35" s="6">
        <v>0</v>
      </c>
      <c r="S35" s="6">
        <v>0</v>
      </c>
    </row>
    <row r="36" spans="1:19" ht="15" hidden="1" x14ac:dyDescent="0.25">
      <c r="A36" s="7" t="s">
        <v>16</v>
      </c>
      <c r="B36" s="7" t="s">
        <v>17</v>
      </c>
      <c r="C36" s="7" t="s">
        <v>18</v>
      </c>
      <c r="D36" s="4">
        <v>27372066000169</v>
      </c>
      <c r="E36" s="8" t="s">
        <v>908</v>
      </c>
      <c r="F36" s="8" t="s">
        <v>75</v>
      </c>
      <c r="G36" s="8" t="s">
        <v>74</v>
      </c>
      <c r="H36" s="8" t="s">
        <v>215</v>
      </c>
      <c r="I36" s="3">
        <v>2</v>
      </c>
      <c r="J36" s="8" t="s">
        <v>199</v>
      </c>
      <c r="K36" s="8" t="s">
        <v>200</v>
      </c>
      <c r="L36" s="8" t="s">
        <v>556</v>
      </c>
      <c r="M36" s="1" t="s">
        <v>211</v>
      </c>
      <c r="N36" s="8" t="s">
        <v>212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</row>
    <row r="37" spans="1:19" ht="15" hidden="1" x14ac:dyDescent="0.25">
      <c r="A37" s="7" t="s">
        <v>16</v>
      </c>
      <c r="B37" s="7" t="s">
        <v>17</v>
      </c>
      <c r="C37" s="7" t="s">
        <v>18</v>
      </c>
      <c r="D37" s="4">
        <v>27372066000169</v>
      </c>
      <c r="E37" s="8" t="s">
        <v>908</v>
      </c>
      <c r="F37" s="8" t="s">
        <v>75</v>
      </c>
      <c r="G37" s="8" t="s">
        <v>74</v>
      </c>
      <c r="H37" s="8" t="s">
        <v>215</v>
      </c>
      <c r="I37" s="3">
        <v>2</v>
      </c>
      <c r="J37" s="8" t="s">
        <v>167</v>
      </c>
      <c r="K37" s="8" t="s">
        <v>168</v>
      </c>
      <c r="L37" s="8" t="s">
        <v>557</v>
      </c>
      <c r="M37" s="1" t="s">
        <v>211</v>
      </c>
      <c r="N37" s="8" t="s">
        <v>212</v>
      </c>
      <c r="O37" s="6">
        <v>0</v>
      </c>
      <c r="P37" s="6">
        <v>17</v>
      </c>
      <c r="Q37" s="6">
        <v>0</v>
      </c>
      <c r="R37" s="6">
        <v>0</v>
      </c>
      <c r="S37" s="6">
        <v>0</v>
      </c>
    </row>
    <row r="38" spans="1:19" ht="15" hidden="1" x14ac:dyDescent="0.25">
      <c r="A38" s="7" t="s">
        <v>16</v>
      </c>
      <c r="B38" s="7" t="s">
        <v>17</v>
      </c>
      <c r="C38" s="7" t="s">
        <v>18</v>
      </c>
      <c r="D38" s="4">
        <v>12361267010318</v>
      </c>
      <c r="E38" s="8" t="s">
        <v>861</v>
      </c>
      <c r="F38" s="8" t="s">
        <v>75</v>
      </c>
      <c r="G38" s="8" t="s">
        <v>74</v>
      </c>
      <c r="H38" s="8" t="s">
        <v>215</v>
      </c>
      <c r="I38" s="3">
        <v>2</v>
      </c>
      <c r="J38" s="8" t="s">
        <v>199</v>
      </c>
      <c r="K38" s="8" t="s">
        <v>200</v>
      </c>
      <c r="L38" s="8" t="s">
        <v>556</v>
      </c>
      <c r="M38" s="1" t="s">
        <v>211</v>
      </c>
      <c r="N38" s="8" t="s">
        <v>212</v>
      </c>
      <c r="O38" s="6">
        <v>0</v>
      </c>
      <c r="P38" s="6">
        <v>0</v>
      </c>
      <c r="Q38" s="6">
        <v>0</v>
      </c>
      <c r="R38" s="6">
        <v>0</v>
      </c>
      <c r="S38" s="6">
        <v>290</v>
      </c>
    </row>
    <row r="39" spans="1:19" ht="15" hidden="1" x14ac:dyDescent="0.25">
      <c r="A39" s="7" t="s">
        <v>16</v>
      </c>
      <c r="B39" s="7" t="s">
        <v>17</v>
      </c>
      <c r="C39" s="7" t="s">
        <v>18</v>
      </c>
      <c r="D39" s="4">
        <v>12361267010318</v>
      </c>
      <c r="E39" s="8" t="s">
        <v>861</v>
      </c>
      <c r="F39" s="8" t="s">
        <v>75</v>
      </c>
      <c r="G39" s="8" t="s">
        <v>74</v>
      </c>
      <c r="H39" s="8" t="s">
        <v>215</v>
      </c>
      <c r="I39" s="3">
        <v>2</v>
      </c>
      <c r="J39" s="8" t="s">
        <v>167</v>
      </c>
      <c r="K39" s="8" t="s">
        <v>168</v>
      </c>
      <c r="L39" s="8" t="s">
        <v>557</v>
      </c>
      <c r="M39" s="1" t="s">
        <v>211</v>
      </c>
      <c r="N39" s="8" t="s">
        <v>212</v>
      </c>
      <c r="O39" s="6">
        <v>0</v>
      </c>
      <c r="P39" s="6">
        <v>7</v>
      </c>
      <c r="Q39" s="6">
        <v>0</v>
      </c>
      <c r="R39" s="6">
        <v>0</v>
      </c>
      <c r="S39" s="6">
        <v>290</v>
      </c>
    </row>
    <row r="40" spans="1:19" ht="15" hidden="1" x14ac:dyDescent="0.25">
      <c r="A40" s="7" t="s">
        <v>16</v>
      </c>
      <c r="B40" s="7" t="s">
        <v>17</v>
      </c>
      <c r="C40" s="7" t="s">
        <v>18</v>
      </c>
      <c r="D40" s="4">
        <v>15170723000106</v>
      </c>
      <c r="E40" s="8" t="s">
        <v>890</v>
      </c>
      <c r="F40" s="8" t="s">
        <v>75</v>
      </c>
      <c r="G40" s="8" t="s">
        <v>74</v>
      </c>
      <c r="H40" s="8" t="s">
        <v>215</v>
      </c>
      <c r="I40" s="3">
        <v>2</v>
      </c>
      <c r="J40" s="8" t="s">
        <v>199</v>
      </c>
      <c r="K40" s="8" t="s">
        <v>200</v>
      </c>
      <c r="L40" s="8" t="s">
        <v>556</v>
      </c>
      <c r="M40" s="1" t="s">
        <v>211</v>
      </c>
      <c r="N40" s="8" t="s">
        <v>212</v>
      </c>
      <c r="O40" s="6">
        <v>0</v>
      </c>
      <c r="P40" s="6">
        <v>0</v>
      </c>
      <c r="Q40" s="6">
        <v>0</v>
      </c>
      <c r="R40" s="6">
        <v>0</v>
      </c>
      <c r="S40" s="6">
        <v>300</v>
      </c>
    </row>
    <row r="41" spans="1:19" ht="15" hidden="1" x14ac:dyDescent="0.25">
      <c r="A41" s="7" t="s">
        <v>16</v>
      </c>
      <c r="B41" s="7" t="s">
        <v>17</v>
      </c>
      <c r="C41" s="7" t="s">
        <v>18</v>
      </c>
      <c r="D41" s="4">
        <v>15170723000106</v>
      </c>
      <c r="E41" s="8" t="s">
        <v>890</v>
      </c>
      <c r="F41" s="8" t="s">
        <v>75</v>
      </c>
      <c r="G41" s="8" t="s">
        <v>74</v>
      </c>
      <c r="H41" s="8" t="s">
        <v>215</v>
      </c>
      <c r="I41" s="3">
        <v>2</v>
      </c>
      <c r="J41" s="8" t="s">
        <v>167</v>
      </c>
      <c r="K41" s="8" t="s">
        <v>168</v>
      </c>
      <c r="L41" s="8" t="s">
        <v>557</v>
      </c>
      <c r="M41" s="1" t="s">
        <v>211</v>
      </c>
      <c r="N41" s="8" t="s">
        <v>212</v>
      </c>
      <c r="O41" s="6">
        <v>0</v>
      </c>
      <c r="P41" s="6">
        <v>11</v>
      </c>
      <c r="Q41" s="6">
        <v>1</v>
      </c>
      <c r="R41" s="6">
        <v>0</v>
      </c>
      <c r="S41" s="6">
        <v>300</v>
      </c>
    </row>
    <row r="42" spans="1:19" ht="15" hidden="1" x14ac:dyDescent="0.25">
      <c r="A42" s="7" t="s">
        <v>16</v>
      </c>
      <c r="B42" s="7" t="s">
        <v>17</v>
      </c>
      <c r="C42" s="7" t="s">
        <v>18</v>
      </c>
      <c r="D42" s="4">
        <v>15180714000368</v>
      </c>
      <c r="E42" s="8" t="s">
        <v>893</v>
      </c>
      <c r="F42" s="8" t="s">
        <v>75</v>
      </c>
      <c r="G42" s="8" t="s">
        <v>74</v>
      </c>
      <c r="H42" s="8" t="s">
        <v>215</v>
      </c>
      <c r="I42" s="3">
        <v>2</v>
      </c>
      <c r="J42" s="8" t="s">
        <v>199</v>
      </c>
      <c r="K42" s="8" t="s">
        <v>200</v>
      </c>
      <c r="L42" s="8" t="s">
        <v>556</v>
      </c>
      <c r="M42" s="1" t="s">
        <v>211</v>
      </c>
      <c r="N42" s="8" t="s">
        <v>212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</row>
    <row r="43" spans="1:19" ht="15" hidden="1" x14ac:dyDescent="0.25">
      <c r="A43" s="7" t="s">
        <v>16</v>
      </c>
      <c r="B43" s="7" t="s">
        <v>17</v>
      </c>
      <c r="C43" s="7" t="s">
        <v>18</v>
      </c>
      <c r="D43" s="4">
        <v>15180714000368</v>
      </c>
      <c r="E43" s="8" t="s">
        <v>893</v>
      </c>
      <c r="F43" s="8" t="s">
        <v>75</v>
      </c>
      <c r="G43" s="8" t="s">
        <v>74</v>
      </c>
      <c r="H43" s="8" t="s">
        <v>215</v>
      </c>
      <c r="I43" s="3">
        <v>2</v>
      </c>
      <c r="J43" s="8" t="s">
        <v>167</v>
      </c>
      <c r="K43" s="8" t="s">
        <v>168</v>
      </c>
      <c r="L43" s="8" t="s">
        <v>557</v>
      </c>
      <c r="M43" s="1" t="s">
        <v>211</v>
      </c>
      <c r="N43" s="8" t="s">
        <v>212</v>
      </c>
      <c r="O43" s="6">
        <v>0</v>
      </c>
      <c r="P43" s="6">
        <v>12</v>
      </c>
      <c r="Q43" s="6">
        <v>0</v>
      </c>
      <c r="R43" s="6">
        <v>0</v>
      </c>
      <c r="S43" s="6">
        <v>0</v>
      </c>
    </row>
    <row r="44" spans="1:19" ht="15" hidden="1" x14ac:dyDescent="0.25">
      <c r="A44" s="7" t="s">
        <v>16</v>
      </c>
      <c r="B44" s="7" t="s">
        <v>17</v>
      </c>
      <c r="C44" s="7" t="s">
        <v>18</v>
      </c>
      <c r="D44" s="4">
        <v>15242761000127</v>
      </c>
      <c r="E44" s="8" t="s">
        <v>896</v>
      </c>
      <c r="F44" s="8" t="s">
        <v>75</v>
      </c>
      <c r="G44" s="8" t="s">
        <v>74</v>
      </c>
      <c r="H44" s="8" t="s">
        <v>215</v>
      </c>
      <c r="I44" s="3">
        <v>2</v>
      </c>
      <c r="J44" s="8" t="s">
        <v>199</v>
      </c>
      <c r="K44" s="8" t="s">
        <v>200</v>
      </c>
      <c r="L44" s="8" t="s">
        <v>556</v>
      </c>
      <c r="M44" s="1" t="s">
        <v>211</v>
      </c>
      <c r="N44" s="8" t="s">
        <v>212</v>
      </c>
      <c r="O44" s="6">
        <v>0</v>
      </c>
      <c r="P44" s="6">
        <v>0</v>
      </c>
      <c r="Q44" s="6">
        <v>0</v>
      </c>
      <c r="R44" s="6">
        <v>114</v>
      </c>
      <c r="S44" s="6">
        <v>100</v>
      </c>
    </row>
    <row r="45" spans="1:19" ht="15" hidden="1" x14ac:dyDescent="0.25">
      <c r="A45" s="7" t="s">
        <v>16</v>
      </c>
      <c r="B45" s="7" t="s">
        <v>17</v>
      </c>
      <c r="C45" s="7" t="s">
        <v>18</v>
      </c>
      <c r="D45" s="4">
        <v>15242761000127</v>
      </c>
      <c r="E45" s="8" t="s">
        <v>896</v>
      </c>
      <c r="F45" s="8" t="s">
        <v>75</v>
      </c>
      <c r="G45" s="8" t="s">
        <v>74</v>
      </c>
      <c r="H45" s="8" t="s">
        <v>215</v>
      </c>
      <c r="I45" s="3">
        <v>2</v>
      </c>
      <c r="J45" s="8" t="s">
        <v>167</v>
      </c>
      <c r="K45" s="8" t="s">
        <v>168</v>
      </c>
      <c r="L45" s="8" t="s">
        <v>557</v>
      </c>
      <c r="M45" s="1" t="s">
        <v>211</v>
      </c>
      <c r="N45" s="8" t="s">
        <v>212</v>
      </c>
      <c r="O45" s="6">
        <v>0</v>
      </c>
      <c r="P45" s="6">
        <v>0</v>
      </c>
      <c r="Q45" s="6">
        <v>0</v>
      </c>
      <c r="R45" s="6">
        <v>0</v>
      </c>
      <c r="S45" s="6">
        <v>100</v>
      </c>
    </row>
    <row r="46" spans="1:19" ht="15" hidden="1" x14ac:dyDescent="0.25">
      <c r="A46" s="7" t="s">
        <v>16</v>
      </c>
      <c r="B46" s="7" t="s">
        <v>17</v>
      </c>
      <c r="C46" s="7" t="s">
        <v>18</v>
      </c>
      <c r="D46" s="4">
        <v>15180714000520</v>
      </c>
      <c r="E46" s="8" t="s">
        <v>894</v>
      </c>
      <c r="F46" s="8" t="s">
        <v>75</v>
      </c>
      <c r="G46" s="8" t="s">
        <v>74</v>
      </c>
      <c r="H46" s="8" t="s">
        <v>215</v>
      </c>
      <c r="I46" s="3">
        <v>2</v>
      </c>
      <c r="J46" s="8" t="s">
        <v>199</v>
      </c>
      <c r="K46" s="8" t="s">
        <v>200</v>
      </c>
      <c r="L46" s="8" t="s">
        <v>556</v>
      </c>
      <c r="M46" s="1" t="s">
        <v>211</v>
      </c>
      <c r="N46" s="8" t="s">
        <v>212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</row>
    <row r="47" spans="1:19" ht="15" hidden="1" x14ac:dyDescent="0.25">
      <c r="A47" s="7" t="s">
        <v>16</v>
      </c>
      <c r="B47" s="7" t="s">
        <v>17</v>
      </c>
      <c r="C47" s="7" t="s">
        <v>18</v>
      </c>
      <c r="D47" s="4">
        <v>15180714000520</v>
      </c>
      <c r="E47" s="8" t="s">
        <v>894</v>
      </c>
      <c r="F47" s="8" t="s">
        <v>75</v>
      </c>
      <c r="G47" s="8" t="s">
        <v>74</v>
      </c>
      <c r="H47" s="8" t="s">
        <v>215</v>
      </c>
      <c r="I47" s="3">
        <v>2</v>
      </c>
      <c r="J47" s="8" t="s">
        <v>167</v>
      </c>
      <c r="K47" s="8" t="s">
        <v>168</v>
      </c>
      <c r="L47" s="8" t="s">
        <v>557</v>
      </c>
      <c r="M47" s="1" t="s">
        <v>211</v>
      </c>
      <c r="N47" s="8" t="s">
        <v>212</v>
      </c>
      <c r="O47" s="6">
        <v>0</v>
      </c>
      <c r="P47" s="6">
        <v>0</v>
      </c>
      <c r="Q47" s="6">
        <v>5</v>
      </c>
      <c r="R47" s="6">
        <v>0</v>
      </c>
      <c r="S47" s="6">
        <v>0</v>
      </c>
    </row>
    <row r="48" spans="1:19" ht="15" hidden="1" x14ac:dyDescent="0.25">
      <c r="A48" s="7" t="s">
        <v>16</v>
      </c>
      <c r="B48" s="7" t="s">
        <v>17</v>
      </c>
      <c r="C48" s="7" t="s">
        <v>18</v>
      </c>
      <c r="D48" s="4">
        <v>13284872000170</v>
      </c>
      <c r="E48" s="8" t="s">
        <v>872</v>
      </c>
      <c r="F48" s="8" t="s">
        <v>873</v>
      </c>
      <c r="G48" s="8" t="s">
        <v>74</v>
      </c>
      <c r="H48" s="8" t="s">
        <v>215</v>
      </c>
      <c r="I48" s="3">
        <v>2</v>
      </c>
      <c r="J48" s="8" t="s">
        <v>199</v>
      </c>
      <c r="K48" s="8" t="s">
        <v>200</v>
      </c>
      <c r="L48" s="8" t="s">
        <v>556</v>
      </c>
      <c r="M48" s="1" t="s">
        <v>211</v>
      </c>
      <c r="N48" s="8" t="s">
        <v>212</v>
      </c>
      <c r="O48" s="6">
        <v>0</v>
      </c>
      <c r="P48" s="6">
        <v>0</v>
      </c>
      <c r="Q48" s="6">
        <v>0</v>
      </c>
      <c r="R48" s="6">
        <v>0</v>
      </c>
      <c r="S48" s="6">
        <v>5</v>
      </c>
    </row>
    <row r="49" spans="1:19" ht="15" hidden="1" x14ac:dyDescent="0.25">
      <c r="A49" s="7" t="s">
        <v>16</v>
      </c>
      <c r="B49" s="7" t="s">
        <v>17</v>
      </c>
      <c r="C49" s="7" t="s">
        <v>18</v>
      </c>
      <c r="D49" s="4">
        <v>13284872000170</v>
      </c>
      <c r="E49" s="8" t="s">
        <v>872</v>
      </c>
      <c r="F49" s="8" t="s">
        <v>873</v>
      </c>
      <c r="G49" s="8" t="s">
        <v>74</v>
      </c>
      <c r="H49" s="8" t="s">
        <v>215</v>
      </c>
      <c r="I49" s="3">
        <v>2</v>
      </c>
      <c r="J49" s="8" t="s">
        <v>167</v>
      </c>
      <c r="K49" s="8" t="s">
        <v>168</v>
      </c>
      <c r="L49" s="8" t="s">
        <v>557</v>
      </c>
      <c r="M49" s="1" t="s">
        <v>211</v>
      </c>
      <c r="N49" s="8" t="s">
        <v>212</v>
      </c>
      <c r="O49" s="6">
        <v>0</v>
      </c>
      <c r="P49" s="6">
        <v>0</v>
      </c>
      <c r="Q49" s="6">
        <v>0</v>
      </c>
      <c r="R49" s="6">
        <v>0</v>
      </c>
      <c r="S49" s="6">
        <v>5</v>
      </c>
    </row>
    <row r="50" spans="1:19" ht="15" hidden="1" x14ac:dyDescent="0.25">
      <c r="A50" s="7" t="s">
        <v>16</v>
      </c>
      <c r="B50" s="7" t="s">
        <v>17</v>
      </c>
      <c r="C50" s="7" t="s">
        <v>18</v>
      </c>
      <c r="D50" s="4">
        <v>12361267011802</v>
      </c>
      <c r="E50" s="8" t="s">
        <v>863</v>
      </c>
      <c r="F50" s="8" t="s">
        <v>76</v>
      </c>
      <c r="G50" s="8" t="s">
        <v>77</v>
      </c>
      <c r="H50" s="8" t="s">
        <v>215</v>
      </c>
      <c r="I50" s="3">
        <v>2</v>
      </c>
      <c r="J50" s="8" t="s">
        <v>199</v>
      </c>
      <c r="K50" s="8" t="s">
        <v>200</v>
      </c>
      <c r="L50" s="8" t="s">
        <v>556</v>
      </c>
      <c r="M50" s="1" t="s">
        <v>211</v>
      </c>
      <c r="N50" s="8" t="s">
        <v>212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</row>
    <row r="51" spans="1:19" ht="15" hidden="1" x14ac:dyDescent="0.25">
      <c r="A51" s="7" t="s">
        <v>16</v>
      </c>
      <c r="B51" s="7" t="s">
        <v>17</v>
      </c>
      <c r="C51" s="7" t="s">
        <v>18</v>
      </c>
      <c r="D51" s="4">
        <v>12361267011802</v>
      </c>
      <c r="E51" s="8" t="s">
        <v>863</v>
      </c>
      <c r="F51" s="8" t="s">
        <v>76</v>
      </c>
      <c r="G51" s="8" t="s">
        <v>77</v>
      </c>
      <c r="H51" s="8" t="s">
        <v>215</v>
      </c>
      <c r="I51" s="3">
        <v>2</v>
      </c>
      <c r="J51" s="8" t="s">
        <v>165</v>
      </c>
      <c r="K51" s="8" t="s">
        <v>166</v>
      </c>
      <c r="L51" s="8" t="s">
        <v>557</v>
      </c>
      <c r="M51" s="1" t="s">
        <v>211</v>
      </c>
      <c r="N51" s="8" t="s">
        <v>212</v>
      </c>
      <c r="O51" s="6">
        <v>0</v>
      </c>
      <c r="P51" s="6">
        <v>4</v>
      </c>
      <c r="Q51" s="6">
        <v>6</v>
      </c>
      <c r="R51" s="6">
        <v>0</v>
      </c>
      <c r="S51" s="6">
        <v>0</v>
      </c>
    </row>
    <row r="52" spans="1:19" ht="15" hidden="1" x14ac:dyDescent="0.25">
      <c r="A52" s="7" t="s">
        <v>16</v>
      </c>
      <c r="B52" s="7" t="s">
        <v>17</v>
      </c>
      <c r="C52" s="7" t="s">
        <v>18</v>
      </c>
      <c r="D52" s="4">
        <v>74031865000151</v>
      </c>
      <c r="E52" s="8" t="s">
        <v>926</v>
      </c>
      <c r="F52" s="8" t="s">
        <v>76</v>
      </c>
      <c r="G52" s="8" t="s">
        <v>77</v>
      </c>
      <c r="H52" s="8" t="s">
        <v>215</v>
      </c>
      <c r="I52" s="3">
        <v>2</v>
      </c>
      <c r="J52" s="8" t="s">
        <v>199</v>
      </c>
      <c r="K52" s="8" t="s">
        <v>200</v>
      </c>
      <c r="L52" s="8" t="s">
        <v>556</v>
      </c>
      <c r="M52" s="1" t="s">
        <v>211</v>
      </c>
      <c r="N52" s="8" t="s">
        <v>212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</row>
    <row r="53" spans="1:19" ht="15" hidden="1" x14ac:dyDescent="0.25">
      <c r="A53" s="7" t="s">
        <v>16</v>
      </c>
      <c r="B53" s="7" t="s">
        <v>17</v>
      </c>
      <c r="C53" s="7" t="s">
        <v>18</v>
      </c>
      <c r="D53" s="4">
        <v>74031865000151</v>
      </c>
      <c r="E53" s="8" t="s">
        <v>926</v>
      </c>
      <c r="F53" s="8" t="s">
        <v>76</v>
      </c>
      <c r="G53" s="8" t="s">
        <v>77</v>
      </c>
      <c r="H53" s="8" t="s">
        <v>215</v>
      </c>
      <c r="I53" s="3">
        <v>2</v>
      </c>
      <c r="J53" s="8" t="s">
        <v>165</v>
      </c>
      <c r="K53" s="8" t="s">
        <v>166</v>
      </c>
      <c r="L53" s="8" t="s">
        <v>557</v>
      </c>
      <c r="M53" s="1" t="s">
        <v>211</v>
      </c>
      <c r="N53" s="8" t="s">
        <v>212</v>
      </c>
      <c r="O53" s="6">
        <v>0</v>
      </c>
      <c r="P53" s="6">
        <v>100</v>
      </c>
      <c r="Q53" s="6">
        <v>420</v>
      </c>
      <c r="R53" s="6">
        <v>0</v>
      </c>
      <c r="S53" s="6">
        <v>0</v>
      </c>
    </row>
    <row r="54" spans="1:19" ht="15" hidden="1" x14ac:dyDescent="0.25">
      <c r="A54" s="7" t="s">
        <v>16</v>
      </c>
      <c r="B54" s="7" t="s">
        <v>17</v>
      </c>
      <c r="C54" s="7" t="s">
        <v>18</v>
      </c>
      <c r="D54" s="4">
        <v>7272404000183</v>
      </c>
      <c r="E54" s="8" t="s">
        <v>817</v>
      </c>
      <c r="F54" s="8" t="s">
        <v>76</v>
      </c>
      <c r="G54" s="8" t="s">
        <v>77</v>
      </c>
      <c r="H54" s="8" t="s">
        <v>215</v>
      </c>
      <c r="I54" s="3">
        <v>2</v>
      </c>
      <c r="J54" s="8" t="s">
        <v>199</v>
      </c>
      <c r="K54" s="8" t="s">
        <v>200</v>
      </c>
      <c r="L54" s="8" t="s">
        <v>556</v>
      </c>
      <c r="M54" s="1" t="s">
        <v>211</v>
      </c>
      <c r="N54" s="8" t="s">
        <v>212</v>
      </c>
      <c r="O54" s="6">
        <v>0</v>
      </c>
      <c r="P54" s="6">
        <v>0</v>
      </c>
      <c r="Q54" s="6">
        <v>0</v>
      </c>
      <c r="R54" s="6">
        <v>0</v>
      </c>
      <c r="S54" s="6">
        <v>120</v>
      </c>
    </row>
    <row r="55" spans="1:19" ht="15" hidden="1" x14ac:dyDescent="0.25">
      <c r="A55" s="7" t="s">
        <v>16</v>
      </c>
      <c r="B55" s="7" t="s">
        <v>17</v>
      </c>
      <c r="C55" s="7" t="s">
        <v>18</v>
      </c>
      <c r="D55" s="4">
        <v>7272404000183</v>
      </c>
      <c r="E55" s="8" t="s">
        <v>817</v>
      </c>
      <c r="F55" s="8" t="s">
        <v>76</v>
      </c>
      <c r="G55" s="8" t="s">
        <v>77</v>
      </c>
      <c r="H55" s="8" t="s">
        <v>215</v>
      </c>
      <c r="I55" s="3">
        <v>2</v>
      </c>
      <c r="J55" s="8" t="s">
        <v>165</v>
      </c>
      <c r="K55" s="8" t="s">
        <v>166</v>
      </c>
      <c r="L55" s="8" t="s">
        <v>557</v>
      </c>
      <c r="M55" s="1" t="s">
        <v>211</v>
      </c>
      <c r="N55" s="8" t="s">
        <v>212</v>
      </c>
      <c r="O55" s="6">
        <v>0</v>
      </c>
      <c r="P55" s="6">
        <v>0</v>
      </c>
      <c r="Q55" s="6">
        <v>0</v>
      </c>
      <c r="R55" s="6">
        <v>0</v>
      </c>
      <c r="S55" s="6">
        <v>120</v>
      </c>
    </row>
    <row r="56" spans="1:19" ht="15" hidden="1" x14ac:dyDescent="0.25">
      <c r="A56" s="7" t="s">
        <v>16</v>
      </c>
      <c r="B56" s="7" t="s">
        <v>17</v>
      </c>
      <c r="C56" s="7" t="s">
        <v>18</v>
      </c>
      <c r="D56" s="4">
        <v>5874946000109</v>
      </c>
      <c r="E56" s="8" t="s">
        <v>806</v>
      </c>
      <c r="F56" s="8" t="s">
        <v>76</v>
      </c>
      <c r="G56" s="8" t="s">
        <v>77</v>
      </c>
      <c r="H56" s="8" t="s">
        <v>215</v>
      </c>
      <c r="I56" s="3">
        <v>2</v>
      </c>
      <c r="J56" s="8" t="s">
        <v>199</v>
      </c>
      <c r="K56" s="8" t="s">
        <v>200</v>
      </c>
      <c r="L56" s="8" t="s">
        <v>556</v>
      </c>
      <c r="M56" s="1" t="s">
        <v>211</v>
      </c>
      <c r="N56" s="8" t="s">
        <v>212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</row>
    <row r="57" spans="1:19" ht="15" hidden="1" x14ac:dyDescent="0.25">
      <c r="A57" s="7" t="s">
        <v>16</v>
      </c>
      <c r="B57" s="7" t="s">
        <v>17</v>
      </c>
      <c r="C57" s="7" t="s">
        <v>18</v>
      </c>
      <c r="D57" s="4">
        <v>5874946000109</v>
      </c>
      <c r="E57" s="8" t="s">
        <v>806</v>
      </c>
      <c r="F57" s="8" t="s">
        <v>76</v>
      </c>
      <c r="G57" s="8" t="s">
        <v>77</v>
      </c>
      <c r="H57" s="8" t="s">
        <v>215</v>
      </c>
      <c r="I57" s="3">
        <v>2</v>
      </c>
      <c r="J57" s="8" t="s">
        <v>165</v>
      </c>
      <c r="K57" s="8" t="s">
        <v>166</v>
      </c>
      <c r="L57" s="8" t="s">
        <v>557</v>
      </c>
      <c r="M57" s="1" t="s">
        <v>211</v>
      </c>
      <c r="N57" s="8" t="s">
        <v>212</v>
      </c>
      <c r="O57" s="6">
        <v>0</v>
      </c>
      <c r="P57" s="6">
        <v>2</v>
      </c>
      <c r="Q57" s="6">
        <v>6</v>
      </c>
      <c r="R57" s="6">
        <v>0</v>
      </c>
      <c r="S57" s="6">
        <v>0</v>
      </c>
    </row>
    <row r="58" spans="1:19" ht="15" hidden="1" x14ac:dyDescent="0.25">
      <c r="A58" s="7" t="s">
        <v>16</v>
      </c>
      <c r="B58" s="7" t="s">
        <v>17</v>
      </c>
      <c r="C58" s="7" t="s">
        <v>18</v>
      </c>
      <c r="D58" s="4">
        <v>60975737003509</v>
      </c>
      <c r="E58" s="8" t="s">
        <v>921</v>
      </c>
      <c r="F58" s="8" t="s">
        <v>76</v>
      </c>
      <c r="G58" s="8" t="s">
        <v>77</v>
      </c>
      <c r="H58" s="8" t="s">
        <v>215</v>
      </c>
      <c r="I58" s="3">
        <v>2</v>
      </c>
      <c r="J58" s="8" t="s">
        <v>199</v>
      </c>
      <c r="K58" s="8" t="s">
        <v>200</v>
      </c>
      <c r="L58" s="8" t="s">
        <v>556</v>
      </c>
      <c r="M58" s="1" t="s">
        <v>211</v>
      </c>
      <c r="N58" s="8" t="s">
        <v>212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</row>
    <row r="59" spans="1:19" ht="15" hidden="1" x14ac:dyDescent="0.25">
      <c r="A59" s="7" t="s">
        <v>16</v>
      </c>
      <c r="B59" s="7" t="s">
        <v>17</v>
      </c>
      <c r="C59" s="7" t="s">
        <v>18</v>
      </c>
      <c r="D59" s="4">
        <v>60975737003509</v>
      </c>
      <c r="E59" s="8" t="s">
        <v>921</v>
      </c>
      <c r="F59" s="8" t="s">
        <v>76</v>
      </c>
      <c r="G59" s="8" t="s">
        <v>77</v>
      </c>
      <c r="H59" s="8" t="s">
        <v>215</v>
      </c>
      <c r="I59" s="3">
        <v>2</v>
      </c>
      <c r="J59" s="8" t="s">
        <v>165</v>
      </c>
      <c r="K59" s="8" t="s">
        <v>166</v>
      </c>
      <c r="L59" s="8" t="s">
        <v>557</v>
      </c>
      <c r="M59" s="1" t="s">
        <v>211</v>
      </c>
      <c r="N59" s="8" t="s">
        <v>212</v>
      </c>
      <c r="O59" s="6">
        <v>0</v>
      </c>
      <c r="P59" s="6">
        <v>4</v>
      </c>
      <c r="Q59" s="6">
        <v>12</v>
      </c>
      <c r="R59" s="6">
        <v>0</v>
      </c>
      <c r="S59" s="6">
        <v>0</v>
      </c>
    </row>
    <row r="60" spans="1:19" ht="15" hidden="1" x14ac:dyDescent="0.25">
      <c r="A60" s="7" t="s">
        <v>16</v>
      </c>
      <c r="B60" s="7" t="s">
        <v>17</v>
      </c>
      <c r="C60" s="7" t="s">
        <v>18</v>
      </c>
      <c r="D60" s="4">
        <v>29435005007484</v>
      </c>
      <c r="E60" s="8" t="s">
        <v>912</v>
      </c>
      <c r="F60" s="8" t="s">
        <v>76</v>
      </c>
      <c r="G60" s="8" t="s">
        <v>77</v>
      </c>
      <c r="H60" s="8" t="s">
        <v>215</v>
      </c>
      <c r="I60" s="3">
        <v>2</v>
      </c>
      <c r="J60" s="8" t="s">
        <v>199</v>
      </c>
      <c r="K60" s="8" t="s">
        <v>200</v>
      </c>
      <c r="L60" s="8" t="s">
        <v>556</v>
      </c>
      <c r="M60" s="1" t="s">
        <v>211</v>
      </c>
      <c r="N60" s="8" t="s">
        <v>212</v>
      </c>
      <c r="O60" s="6">
        <v>0</v>
      </c>
      <c r="P60" s="6">
        <v>0</v>
      </c>
      <c r="Q60" s="6">
        <v>0</v>
      </c>
      <c r="R60" s="6">
        <v>0</v>
      </c>
      <c r="S60" s="6">
        <v>15</v>
      </c>
    </row>
    <row r="61" spans="1:19" ht="15" hidden="1" x14ac:dyDescent="0.25">
      <c r="A61" s="7" t="s">
        <v>16</v>
      </c>
      <c r="B61" s="7" t="s">
        <v>17</v>
      </c>
      <c r="C61" s="7" t="s">
        <v>18</v>
      </c>
      <c r="D61" s="4">
        <v>29435005007484</v>
      </c>
      <c r="E61" s="8" t="s">
        <v>912</v>
      </c>
      <c r="F61" s="8" t="s">
        <v>76</v>
      </c>
      <c r="G61" s="8" t="s">
        <v>77</v>
      </c>
      <c r="H61" s="8" t="s">
        <v>215</v>
      </c>
      <c r="I61" s="3">
        <v>2</v>
      </c>
      <c r="J61" s="8" t="s">
        <v>165</v>
      </c>
      <c r="K61" s="8" t="s">
        <v>166</v>
      </c>
      <c r="L61" s="8" t="s">
        <v>557</v>
      </c>
      <c r="M61" s="1" t="s">
        <v>211</v>
      </c>
      <c r="N61" s="8" t="s">
        <v>212</v>
      </c>
      <c r="O61" s="6">
        <v>0</v>
      </c>
      <c r="P61" s="6">
        <v>36</v>
      </c>
      <c r="Q61" s="6">
        <v>7</v>
      </c>
      <c r="R61" s="6">
        <v>0</v>
      </c>
      <c r="S61" s="6">
        <v>15</v>
      </c>
    </row>
    <row r="62" spans="1:19" ht="15" hidden="1" x14ac:dyDescent="0.25">
      <c r="A62" s="7" t="s">
        <v>16</v>
      </c>
      <c r="B62" s="7" t="s">
        <v>17</v>
      </c>
      <c r="C62" s="7" t="s">
        <v>18</v>
      </c>
      <c r="D62" s="4">
        <v>5868278000280</v>
      </c>
      <c r="E62" s="8" t="s">
        <v>805</v>
      </c>
      <c r="F62" s="8" t="s">
        <v>76</v>
      </c>
      <c r="G62" s="8" t="s">
        <v>77</v>
      </c>
      <c r="H62" s="8" t="s">
        <v>215</v>
      </c>
      <c r="I62" s="3">
        <v>2</v>
      </c>
      <c r="J62" s="8" t="s">
        <v>199</v>
      </c>
      <c r="K62" s="8" t="s">
        <v>200</v>
      </c>
      <c r="L62" s="8" t="s">
        <v>556</v>
      </c>
      <c r="M62" s="1" t="s">
        <v>211</v>
      </c>
      <c r="N62" s="8" t="s">
        <v>212</v>
      </c>
      <c r="O62" s="6">
        <v>0</v>
      </c>
      <c r="P62" s="6">
        <v>0</v>
      </c>
      <c r="Q62" s="6">
        <v>0</v>
      </c>
      <c r="R62" s="6">
        <v>16</v>
      </c>
      <c r="S62" s="6">
        <v>80</v>
      </c>
    </row>
    <row r="63" spans="1:19" ht="15" hidden="1" x14ac:dyDescent="0.25">
      <c r="A63" s="7" t="s">
        <v>16</v>
      </c>
      <c r="B63" s="7" t="s">
        <v>17</v>
      </c>
      <c r="C63" s="7" t="s">
        <v>18</v>
      </c>
      <c r="D63" s="4">
        <v>5868278000280</v>
      </c>
      <c r="E63" s="8" t="s">
        <v>805</v>
      </c>
      <c r="F63" s="8" t="s">
        <v>76</v>
      </c>
      <c r="G63" s="8" t="s">
        <v>77</v>
      </c>
      <c r="H63" s="8" t="s">
        <v>215</v>
      </c>
      <c r="I63" s="3">
        <v>2</v>
      </c>
      <c r="J63" s="8" t="s">
        <v>165</v>
      </c>
      <c r="K63" s="8" t="s">
        <v>166</v>
      </c>
      <c r="L63" s="8" t="s">
        <v>557</v>
      </c>
      <c r="M63" s="1" t="s">
        <v>211</v>
      </c>
      <c r="N63" s="8" t="s">
        <v>212</v>
      </c>
      <c r="O63" s="6">
        <v>0</v>
      </c>
      <c r="P63" s="6">
        <v>20</v>
      </c>
      <c r="Q63" s="6">
        <v>0</v>
      </c>
      <c r="R63" s="6">
        <v>0</v>
      </c>
      <c r="S63" s="6">
        <v>80</v>
      </c>
    </row>
    <row r="64" spans="1:19" ht="15" hidden="1" x14ac:dyDescent="0.25">
      <c r="A64" s="7" t="s">
        <v>16</v>
      </c>
      <c r="B64" s="7" t="s">
        <v>17</v>
      </c>
      <c r="C64" s="7" t="s">
        <v>18</v>
      </c>
      <c r="D64" s="4">
        <v>7272636000212</v>
      </c>
      <c r="E64" s="8" t="s">
        <v>818</v>
      </c>
      <c r="F64" s="8" t="s">
        <v>76</v>
      </c>
      <c r="G64" s="8" t="s">
        <v>77</v>
      </c>
      <c r="H64" s="8" t="s">
        <v>215</v>
      </c>
      <c r="I64" s="3">
        <v>2</v>
      </c>
      <c r="J64" s="8" t="s">
        <v>199</v>
      </c>
      <c r="K64" s="8" t="s">
        <v>200</v>
      </c>
      <c r="L64" s="8" t="s">
        <v>556</v>
      </c>
      <c r="M64" s="1" t="s">
        <v>211</v>
      </c>
      <c r="N64" s="8" t="s">
        <v>212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</row>
    <row r="65" spans="1:19" ht="15" hidden="1" x14ac:dyDescent="0.25">
      <c r="A65" s="7" t="s">
        <v>16</v>
      </c>
      <c r="B65" s="7" t="s">
        <v>17</v>
      </c>
      <c r="C65" s="7" t="s">
        <v>18</v>
      </c>
      <c r="D65" s="4">
        <v>7272636000212</v>
      </c>
      <c r="E65" s="8" t="s">
        <v>818</v>
      </c>
      <c r="F65" s="8" t="s">
        <v>76</v>
      </c>
      <c r="G65" s="8" t="s">
        <v>77</v>
      </c>
      <c r="H65" s="8" t="s">
        <v>215</v>
      </c>
      <c r="I65" s="3">
        <v>2</v>
      </c>
      <c r="J65" s="8" t="s">
        <v>165</v>
      </c>
      <c r="K65" s="8" t="s">
        <v>166</v>
      </c>
      <c r="L65" s="8" t="s">
        <v>557</v>
      </c>
      <c r="M65" s="1" t="s">
        <v>211</v>
      </c>
      <c r="N65" s="8" t="s">
        <v>212</v>
      </c>
      <c r="O65" s="6">
        <v>0</v>
      </c>
      <c r="P65" s="6">
        <v>0</v>
      </c>
      <c r="Q65" s="6">
        <v>30</v>
      </c>
      <c r="R65" s="6">
        <v>0</v>
      </c>
      <c r="S65" s="6">
        <v>0</v>
      </c>
    </row>
    <row r="66" spans="1:19" ht="15" hidden="1" x14ac:dyDescent="0.25">
      <c r="A66" s="7" t="s">
        <v>16</v>
      </c>
      <c r="B66" s="7" t="s">
        <v>17</v>
      </c>
      <c r="C66" s="7" t="s">
        <v>18</v>
      </c>
      <c r="D66" s="4">
        <v>7835044000180</v>
      </c>
      <c r="E66" s="8" t="s">
        <v>822</v>
      </c>
      <c r="F66" s="8" t="s">
        <v>76</v>
      </c>
      <c r="G66" s="8" t="s">
        <v>77</v>
      </c>
      <c r="H66" s="8" t="s">
        <v>215</v>
      </c>
      <c r="I66" s="3">
        <v>2</v>
      </c>
      <c r="J66" s="8" t="s">
        <v>199</v>
      </c>
      <c r="K66" s="8" t="s">
        <v>200</v>
      </c>
      <c r="L66" s="8" t="s">
        <v>556</v>
      </c>
      <c r="M66" s="1" t="s">
        <v>211</v>
      </c>
      <c r="N66" s="8" t="s">
        <v>212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</row>
    <row r="67" spans="1:19" ht="15" hidden="1" x14ac:dyDescent="0.25">
      <c r="A67" s="7" t="s">
        <v>16</v>
      </c>
      <c r="B67" s="7" t="s">
        <v>17</v>
      </c>
      <c r="C67" s="7" t="s">
        <v>18</v>
      </c>
      <c r="D67" s="4">
        <v>7835044000180</v>
      </c>
      <c r="E67" s="8" t="s">
        <v>822</v>
      </c>
      <c r="F67" s="8" t="s">
        <v>76</v>
      </c>
      <c r="G67" s="8" t="s">
        <v>77</v>
      </c>
      <c r="H67" s="8" t="s">
        <v>215</v>
      </c>
      <c r="I67" s="3">
        <v>2</v>
      </c>
      <c r="J67" s="8" t="s">
        <v>165</v>
      </c>
      <c r="K67" s="8" t="s">
        <v>166</v>
      </c>
      <c r="L67" s="8" t="s">
        <v>557</v>
      </c>
      <c r="M67" s="1" t="s">
        <v>211</v>
      </c>
      <c r="N67" s="8" t="s">
        <v>212</v>
      </c>
      <c r="O67" s="6">
        <v>0</v>
      </c>
      <c r="P67" s="6">
        <v>0</v>
      </c>
      <c r="Q67" s="6">
        <v>10</v>
      </c>
      <c r="R67" s="6">
        <v>0</v>
      </c>
      <c r="S67" s="6">
        <v>0</v>
      </c>
    </row>
    <row r="68" spans="1:19" ht="15" hidden="1" x14ac:dyDescent="0.25">
      <c r="A68" s="7" t="s">
        <v>16</v>
      </c>
      <c r="B68" s="7" t="s">
        <v>17</v>
      </c>
      <c r="C68" s="7" t="s">
        <v>18</v>
      </c>
      <c r="D68" s="4">
        <v>12568570000161</v>
      </c>
      <c r="E68" s="8" t="s">
        <v>866</v>
      </c>
      <c r="F68" s="8" t="s">
        <v>76</v>
      </c>
      <c r="G68" s="8" t="s">
        <v>77</v>
      </c>
      <c r="H68" s="8" t="s">
        <v>215</v>
      </c>
      <c r="I68" s="3">
        <v>2</v>
      </c>
      <c r="J68" s="8" t="s">
        <v>199</v>
      </c>
      <c r="K68" s="8" t="s">
        <v>200</v>
      </c>
      <c r="L68" s="8" t="s">
        <v>556</v>
      </c>
      <c r="M68" s="1" t="s">
        <v>211</v>
      </c>
      <c r="N68" s="8" t="s">
        <v>212</v>
      </c>
      <c r="O68" s="6">
        <v>0</v>
      </c>
      <c r="P68" s="6">
        <v>0</v>
      </c>
      <c r="Q68" s="6">
        <v>0</v>
      </c>
      <c r="R68" s="6">
        <v>0</v>
      </c>
      <c r="S68" s="6">
        <v>130</v>
      </c>
    </row>
    <row r="69" spans="1:19" ht="15" hidden="1" x14ac:dyDescent="0.25">
      <c r="A69" s="7" t="s">
        <v>16</v>
      </c>
      <c r="B69" s="7" t="s">
        <v>17</v>
      </c>
      <c r="C69" s="7" t="s">
        <v>18</v>
      </c>
      <c r="D69" s="4">
        <v>12568570000161</v>
      </c>
      <c r="E69" s="8" t="s">
        <v>866</v>
      </c>
      <c r="F69" s="8" t="s">
        <v>76</v>
      </c>
      <c r="G69" s="8" t="s">
        <v>77</v>
      </c>
      <c r="H69" s="8" t="s">
        <v>215</v>
      </c>
      <c r="I69" s="3">
        <v>2</v>
      </c>
      <c r="J69" s="8" t="s">
        <v>165</v>
      </c>
      <c r="K69" s="8" t="s">
        <v>166</v>
      </c>
      <c r="L69" s="8" t="s">
        <v>557</v>
      </c>
      <c r="M69" s="1" t="s">
        <v>211</v>
      </c>
      <c r="N69" s="8" t="s">
        <v>212</v>
      </c>
      <c r="O69" s="6">
        <v>0</v>
      </c>
      <c r="P69" s="6">
        <v>0</v>
      </c>
      <c r="Q69" s="6">
        <v>0</v>
      </c>
      <c r="R69" s="6">
        <v>0</v>
      </c>
      <c r="S69" s="6">
        <v>130</v>
      </c>
    </row>
    <row r="70" spans="1:19" ht="15" hidden="1" x14ac:dyDescent="0.25">
      <c r="A70" s="7" t="s">
        <v>16</v>
      </c>
      <c r="B70" s="7" t="s">
        <v>17</v>
      </c>
      <c r="C70" s="7" t="s">
        <v>18</v>
      </c>
      <c r="D70" s="4">
        <v>5867015000175</v>
      </c>
      <c r="E70" s="8" t="s">
        <v>804</v>
      </c>
      <c r="F70" s="8" t="s">
        <v>76</v>
      </c>
      <c r="G70" s="8" t="s">
        <v>77</v>
      </c>
      <c r="H70" s="8" t="s">
        <v>215</v>
      </c>
      <c r="I70" s="3">
        <v>2</v>
      </c>
      <c r="J70" s="8" t="s">
        <v>199</v>
      </c>
      <c r="K70" s="8" t="s">
        <v>200</v>
      </c>
      <c r="L70" s="8" t="s">
        <v>556</v>
      </c>
      <c r="M70" s="1" t="s">
        <v>211</v>
      </c>
      <c r="N70" s="8" t="s">
        <v>212</v>
      </c>
      <c r="O70" s="6">
        <v>0</v>
      </c>
      <c r="P70" s="6">
        <v>0</v>
      </c>
      <c r="Q70" s="6">
        <v>0</v>
      </c>
      <c r="R70" s="6">
        <v>8</v>
      </c>
      <c r="S70" s="6">
        <v>0</v>
      </c>
    </row>
    <row r="71" spans="1:19" ht="15" hidden="1" x14ac:dyDescent="0.25">
      <c r="A71" s="7" t="s">
        <v>16</v>
      </c>
      <c r="B71" s="7" t="s">
        <v>17</v>
      </c>
      <c r="C71" s="7" t="s">
        <v>18</v>
      </c>
      <c r="D71" s="4">
        <v>5867015000175</v>
      </c>
      <c r="E71" s="8" t="s">
        <v>804</v>
      </c>
      <c r="F71" s="8" t="s">
        <v>76</v>
      </c>
      <c r="G71" s="8" t="s">
        <v>77</v>
      </c>
      <c r="H71" s="8" t="s">
        <v>215</v>
      </c>
      <c r="I71" s="3">
        <v>2</v>
      </c>
      <c r="J71" s="8" t="s">
        <v>165</v>
      </c>
      <c r="K71" s="8" t="s">
        <v>166</v>
      </c>
      <c r="L71" s="8" t="s">
        <v>557</v>
      </c>
      <c r="M71" s="1" t="s">
        <v>211</v>
      </c>
      <c r="N71" s="8" t="s">
        <v>212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</row>
    <row r="72" spans="1:19" ht="15" hidden="1" x14ac:dyDescent="0.25">
      <c r="A72" s="7" t="s">
        <v>16</v>
      </c>
      <c r="B72" s="7" t="s">
        <v>17</v>
      </c>
      <c r="C72" s="7" t="s">
        <v>18</v>
      </c>
      <c r="D72" s="4">
        <v>9104513000974</v>
      </c>
      <c r="E72" s="8" t="s">
        <v>830</v>
      </c>
      <c r="F72" s="8" t="s">
        <v>739</v>
      </c>
      <c r="G72" s="8" t="s">
        <v>55</v>
      </c>
      <c r="H72" s="8" t="s">
        <v>215</v>
      </c>
      <c r="I72" s="3">
        <v>2</v>
      </c>
      <c r="J72" s="8" t="s">
        <v>163</v>
      </c>
      <c r="K72" s="8" t="s">
        <v>164</v>
      </c>
      <c r="L72" s="8" t="s">
        <v>557</v>
      </c>
      <c r="M72" s="1" t="s">
        <v>211</v>
      </c>
      <c r="N72" s="8" t="s">
        <v>212</v>
      </c>
      <c r="O72" s="6">
        <v>0</v>
      </c>
      <c r="P72" s="6">
        <v>0</v>
      </c>
      <c r="Q72" s="6">
        <v>0</v>
      </c>
      <c r="R72" s="6">
        <v>0</v>
      </c>
      <c r="S72" s="6">
        <v>505</v>
      </c>
    </row>
    <row r="73" spans="1:19" ht="15" hidden="1" x14ac:dyDescent="0.25">
      <c r="A73" s="7" t="s">
        <v>16</v>
      </c>
      <c r="B73" s="7" t="s">
        <v>17</v>
      </c>
      <c r="C73" s="7" t="s">
        <v>18</v>
      </c>
      <c r="D73" s="4">
        <v>9104513000974</v>
      </c>
      <c r="E73" s="8" t="s">
        <v>830</v>
      </c>
      <c r="F73" s="8" t="s">
        <v>739</v>
      </c>
      <c r="G73" s="8" t="s">
        <v>55</v>
      </c>
      <c r="H73" s="8" t="s">
        <v>215</v>
      </c>
      <c r="I73" s="3">
        <v>2</v>
      </c>
      <c r="J73" s="8" t="s">
        <v>201</v>
      </c>
      <c r="K73" s="8" t="s">
        <v>202</v>
      </c>
      <c r="L73" s="8" t="s">
        <v>740</v>
      </c>
      <c r="M73" s="1" t="s">
        <v>211</v>
      </c>
      <c r="N73" s="8" t="s">
        <v>212</v>
      </c>
      <c r="O73" s="6">
        <v>0</v>
      </c>
      <c r="P73" s="6">
        <v>0</v>
      </c>
      <c r="Q73" s="6">
        <v>0</v>
      </c>
      <c r="R73" s="6">
        <v>0</v>
      </c>
      <c r="S73" s="6">
        <v>505</v>
      </c>
    </row>
    <row r="74" spans="1:19" ht="15" hidden="1" x14ac:dyDescent="0.25">
      <c r="A74" s="7" t="s">
        <v>16</v>
      </c>
      <c r="B74" s="7" t="s">
        <v>17</v>
      </c>
      <c r="C74" s="7" t="s">
        <v>18</v>
      </c>
      <c r="D74" s="4">
        <v>7794623005191</v>
      </c>
      <c r="E74" s="8" t="s">
        <v>821</v>
      </c>
      <c r="F74" s="8" t="s">
        <v>739</v>
      </c>
      <c r="G74" s="8" t="s">
        <v>55</v>
      </c>
      <c r="H74" s="8" t="s">
        <v>215</v>
      </c>
      <c r="I74" s="3">
        <v>2</v>
      </c>
      <c r="J74" s="8" t="s">
        <v>163</v>
      </c>
      <c r="K74" s="8" t="s">
        <v>164</v>
      </c>
      <c r="L74" s="8" t="s">
        <v>557</v>
      </c>
      <c r="M74" s="1" t="s">
        <v>211</v>
      </c>
      <c r="N74" s="8" t="s">
        <v>212</v>
      </c>
      <c r="O74" s="6">
        <v>0</v>
      </c>
      <c r="P74" s="6">
        <v>0</v>
      </c>
      <c r="Q74" s="6">
        <v>0</v>
      </c>
      <c r="R74" s="6">
        <v>0</v>
      </c>
      <c r="S74" s="6">
        <v>25</v>
      </c>
    </row>
    <row r="75" spans="1:19" ht="15" hidden="1" x14ac:dyDescent="0.25">
      <c r="A75" s="7" t="s">
        <v>16</v>
      </c>
      <c r="B75" s="7" t="s">
        <v>17</v>
      </c>
      <c r="C75" s="7" t="s">
        <v>18</v>
      </c>
      <c r="D75" s="4">
        <v>7794623005191</v>
      </c>
      <c r="E75" s="8" t="s">
        <v>821</v>
      </c>
      <c r="F75" s="8" t="s">
        <v>739</v>
      </c>
      <c r="G75" s="8" t="s">
        <v>55</v>
      </c>
      <c r="H75" s="8" t="s">
        <v>215</v>
      </c>
      <c r="I75" s="3">
        <v>2</v>
      </c>
      <c r="J75" s="8" t="s">
        <v>201</v>
      </c>
      <c r="K75" s="8" t="s">
        <v>202</v>
      </c>
      <c r="L75" s="8" t="s">
        <v>740</v>
      </c>
      <c r="M75" s="1" t="s">
        <v>211</v>
      </c>
      <c r="N75" s="8" t="s">
        <v>212</v>
      </c>
      <c r="O75" s="6">
        <v>0</v>
      </c>
      <c r="P75" s="6">
        <v>0</v>
      </c>
      <c r="Q75" s="6">
        <v>0</v>
      </c>
      <c r="R75" s="6">
        <v>0</v>
      </c>
      <c r="S75" s="6">
        <v>25</v>
      </c>
    </row>
    <row r="76" spans="1:19" ht="15" hidden="1" x14ac:dyDescent="0.25">
      <c r="A76" s="7" t="s">
        <v>16</v>
      </c>
      <c r="B76" s="7" t="s">
        <v>17</v>
      </c>
      <c r="C76" s="7" t="s">
        <v>18</v>
      </c>
      <c r="D76" s="4">
        <v>520237000101</v>
      </c>
      <c r="E76" s="8" t="s">
        <v>755</v>
      </c>
      <c r="F76" s="8" t="s">
        <v>739</v>
      </c>
      <c r="G76" s="8" t="s">
        <v>55</v>
      </c>
      <c r="H76" s="8" t="s">
        <v>215</v>
      </c>
      <c r="I76" s="3">
        <v>2</v>
      </c>
      <c r="J76" s="8" t="s">
        <v>163</v>
      </c>
      <c r="K76" s="8" t="s">
        <v>164</v>
      </c>
      <c r="L76" s="8" t="s">
        <v>557</v>
      </c>
      <c r="M76" s="1" t="s">
        <v>211</v>
      </c>
      <c r="N76" s="8" t="s">
        <v>212</v>
      </c>
      <c r="O76" s="6">
        <v>0</v>
      </c>
      <c r="P76" s="6">
        <v>0</v>
      </c>
      <c r="Q76" s="6">
        <v>0</v>
      </c>
      <c r="R76" s="6">
        <v>0</v>
      </c>
      <c r="S76" s="6">
        <v>35</v>
      </c>
    </row>
    <row r="77" spans="1:19" ht="15" hidden="1" x14ac:dyDescent="0.25">
      <c r="A77" s="7" t="s">
        <v>16</v>
      </c>
      <c r="B77" s="7" t="s">
        <v>17</v>
      </c>
      <c r="C77" s="7" t="s">
        <v>18</v>
      </c>
      <c r="D77" s="4">
        <v>520237000101</v>
      </c>
      <c r="E77" s="8" t="s">
        <v>755</v>
      </c>
      <c r="F77" s="8" t="s">
        <v>739</v>
      </c>
      <c r="G77" s="8" t="s">
        <v>55</v>
      </c>
      <c r="H77" s="8" t="s">
        <v>215</v>
      </c>
      <c r="I77" s="3">
        <v>2</v>
      </c>
      <c r="J77" s="8" t="s">
        <v>201</v>
      </c>
      <c r="K77" s="8" t="s">
        <v>202</v>
      </c>
      <c r="L77" s="8" t="s">
        <v>740</v>
      </c>
      <c r="M77" s="1" t="s">
        <v>211</v>
      </c>
      <c r="N77" s="8" t="s">
        <v>212</v>
      </c>
      <c r="O77" s="6">
        <v>0</v>
      </c>
      <c r="P77" s="6">
        <v>0</v>
      </c>
      <c r="Q77" s="6">
        <v>0</v>
      </c>
      <c r="R77" s="6">
        <v>102</v>
      </c>
      <c r="S77" s="6">
        <v>35</v>
      </c>
    </row>
    <row r="78" spans="1:19" ht="15" hidden="1" x14ac:dyDescent="0.25">
      <c r="A78" s="7" t="s">
        <v>16</v>
      </c>
      <c r="B78" s="7" t="s">
        <v>17</v>
      </c>
      <c r="C78" s="7" t="s">
        <v>18</v>
      </c>
      <c r="D78" s="4">
        <v>3989821000190</v>
      </c>
      <c r="E78" s="8" t="s">
        <v>796</v>
      </c>
      <c r="F78" s="8" t="s">
        <v>739</v>
      </c>
      <c r="G78" s="8" t="s">
        <v>55</v>
      </c>
      <c r="H78" s="8" t="s">
        <v>215</v>
      </c>
      <c r="I78" s="3">
        <v>2</v>
      </c>
      <c r="J78" s="8" t="s">
        <v>163</v>
      </c>
      <c r="K78" s="8" t="s">
        <v>164</v>
      </c>
      <c r="L78" s="8" t="s">
        <v>557</v>
      </c>
      <c r="M78" s="1" t="s">
        <v>211</v>
      </c>
      <c r="N78" s="8" t="s">
        <v>212</v>
      </c>
      <c r="O78" s="6">
        <v>0</v>
      </c>
      <c r="P78" s="6">
        <v>0</v>
      </c>
      <c r="Q78" s="6">
        <v>0</v>
      </c>
      <c r="R78" s="6">
        <v>0</v>
      </c>
      <c r="S78" s="6">
        <v>245</v>
      </c>
    </row>
    <row r="79" spans="1:19" ht="15" hidden="1" x14ac:dyDescent="0.25">
      <c r="A79" s="7" t="s">
        <v>16</v>
      </c>
      <c r="B79" s="7" t="s">
        <v>17</v>
      </c>
      <c r="C79" s="7" t="s">
        <v>18</v>
      </c>
      <c r="D79" s="4">
        <v>3989821000190</v>
      </c>
      <c r="E79" s="8" t="s">
        <v>796</v>
      </c>
      <c r="F79" s="8" t="s">
        <v>739</v>
      </c>
      <c r="G79" s="8" t="s">
        <v>55</v>
      </c>
      <c r="H79" s="8" t="s">
        <v>215</v>
      </c>
      <c r="I79" s="3">
        <v>2</v>
      </c>
      <c r="J79" s="8" t="s">
        <v>201</v>
      </c>
      <c r="K79" s="8" t="s">
        <v>202</v>
      </c>
      <c r="L79" s="8" t="s">
        <v>740</v>
      </c>
      <c r="M79" s="1" t="s">
        <v>211</v>
      </c>
      <c r="N79" s="8" t="s">
        <v>212</v>
      </c>
      <c r="O79" s="6">
        <v>0</v>
      </c>
      <c r="P79" s="6">
        <v>0</v>
      </c>
      <c r="Q79" s="6">
        <v>0</v>
      </c>
      <c r="R79" s="6">
        <v>0</v>
      </c>
      <c r="S79" s="6">
        <v>245</v>
      </c>
    </row>
    <row r="80" spans="1:19" ht="15" hidden="1" x14ac:dyDescent="0.25">
      <c r="A80" s="7" t="s">
        <v>16</v>
      </c>
      <c r="B80" s="7" t="s">
        <v>17</v>
      </c>
      <c r="C80" s="7" t="s">
        <v>18</v>
      </c>
      <c r="D80" s="4">
        <v>37108388000159</v>
      </c>
      <c r="E80" s="8" t="s">
        <v>916</v>
      </c>
      <c r="F80" s="8" t="s">
        <v>739</v>
      </c>
      <c r="G80" s="8" t="s">
        <v>55</v>
      </c>
      <c r="H80" s="8" t="s">
        <v>215</v>
      </c>
      <c r="I80" s="3">
        <v>2</v>
      </c>
      <c r="J80" s="8" t="s">
        <v>163</v>
      </c>
      <c r="K80" s="8" t="s">
        <v>164</v>
      </c>
      <c r="L80" s="8" t="s">
        <v>557</v>
      </c>
      <c r="M80" s="1" t="s">
        <v>211</v>
      </c>
      <c r="N80" s="8" t="s">
        <v>212</v>
      </c>
      <c r="O80" s="6">
        <v>0</v>
      </c>
      <c r="P80" s="6">
        <v>37</v>
      </c>
      <c r="Q80" s="6">
        <v>15</v>
      </c>
      <c r="R80" s="6">
        <v>0</v>
      </c>
      <c r="S80" s="6">
        <v>0</v>
      </c>
    </row>
    <row r="81" spans="1:19" ht="15" hidden="1" x14ac:dyDescent="0.25">
      <c r="A81" s="7" t="s">
        <v>16</v>
      </c>
      <c r="B81" s="7" t="s">
        <v>17</v>
      </c>
      <c r="C81" s="7" t="s">
        <v>18</v>
      </c>
      <c r="D81" s="4">
        <v>37108388000159</v>
      </c>
      <c r="E81" s="8" t="s">
        <v>916</v>
      </c>
      <c r="F81" s="8" t="s">
        <v>739</v>
      </c>
      <c r="G81" s="8" t="s">
        <v>55</v>
      </c>
      <c r="H81" s="8" t="s">
        <v>215</v>
      </c>
      <c r="I81" s="3">
        <v>2</v>
      </c>
      <c r="J81" s="8" t="s">
        <v>201</v>
      </c>
      <c r="K81" s="8" t="s">
        <v>202</v>
      </c>
      <c r="L81" s="8" t="s">
        <v>740</v>
      </c>
      <c r="M81" s="1" t="s">
        <v>211</v>
      </c>
      <c r="N81" s="8" t="s">
        <v>212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</row>
    <row r="82" spans="1:19" ht="15" hidden="1" x14ac:dyDescent="0.25">
      <c r="A82" s="7" t="s">
        <v>16</v>
      </c>
      <c r="B82" s="7" t="s">
        <v>17</v>
      </c>
      <c r="C82" s="7" t="s">
        <v>18</v>
      </c>
      <c r="D82" s="4">
        <v>29435005004620</v>
      </c>
      <c r="E82" s="8" t="s">
        <v>911</v>
      </c>
      <c r="F82" s="8" t="s">
        <v>739</v>
      </c>
      <c r="G82" s="8" t="s">
        <v>55</v>
      </c>
      <c r="H82" s="8" t="s">
        <v>215</v>
      </c>
      <c r="I82" s="3">
        <v>2</v>
      </c>
      <c r="J82" s="8" t="s">
        <v>163</v>
      </c>
      <c r="K82" s="8" t="s">
        <v>164</v>
      </c>
      <c r="L82" s="8" t="s">
        <v>557</v>
      </c>
      <c r="M82" s="1" t="s">
        <v>211</v>
      </c>
      <c r="N82" s="8" t="s">
        <v>212</v>
      </c>
      <c r="O82" s="6">
        <v>0</v>
      </c>
      <c r="P82" s="6">
        <v>10</v>
      </c>
      <c r="Q82" s="6">
        <v>5</v>
      </c>
      <c r="R82" s="6">
        <v>0</v>
      </c>
      <c r="S82" s="6">
        <v>0</v>
      </c>
    </row>
    <row r="83" spans="1:19" ht="15" hidden="1" x14ac:dyDescent="0.25">
      <c r="A83" s="7" t="s">
        <v>16</v>
      </c>
      <c r="B83" s="7" t="s">
        <v>17</v>
      </c>
      <c r="C83" s="7" t="s">
        <v>18</v>
      </c>
      <c r="D83" s="4">
        <v>29435005004620</v>
      </c>
      <c r="E83" s="8" t="s">
        <v>911</v>
      </c>
      <c r="F83" s="8" t="s">
        <v>739</v>
      </c>
      <c r="G83" s="8" t="s">
        <v>55</v>
      </c>
      <c r="H83" s="8" t="s">
        <v>215</v>
      </c>
      <c r="I83" s="3">
        <v>2</v>
      </c>
      <c r="J83" s="8" t="s">
        <v>201</v>
      </c>
      <c r="K83" s="8" t="s">
        <v>202</v>
      </c>
      <c r="L83" s="8" t="s">
        <v>740</v>
      </c>
      <c r="M83" s="1" t="s">
        <v>211</v>
      </c>
      <c r="N83" s="8" t="s">
        <v>212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</row>
    <row r="84" spans="1:19" ht="15" hidden="1" x14ac:dyDescent="0.25">
      <c r="A84" s="7" t="s">
        <v>16</v>
      </c>
      <c r="B84" s="7" t="s">
        <v>17</v>
      </c>
      <c r="C84" s="7" t="s">
        <v>18</v>
      </c>
      <c r="D84" s="4">
        <v>2560878000107</v>
      </c>
      <c r="E84" s="8" t="s">
        <v>781</v>
      </c>
      <c r="F84" s="8" t="s">
        <v>739</v>
      </c>
      <c r="G84" s="8" t="s">
        <v>55</v>
      </c>
      <c r="H84" s="8" t="s">
        <v>215</v>
      </c>
      <c r="I84" s="3">
        <v>2</v>
      </c>
      <c r="J84" s="8" t="s">
        <v>163</v>
      </c>
      <c r="K84" s="8" t="s">
        <v>164</v>
      </c>
      <c r="L84" s="8" t="s">
        <v>557</v>
      </c>
      <c r="M84" s="1" t="s">
        <v>211</v>
      </c>
      <c r="N84" s="8" t="s">
        <v>212</v>
      </c>
      <c r="O84" s="6">
        <v>0</v>
      </c>
      <c r="P84" s="6">
        <v>7</v>
      </c>
      <c r="Q84" s="6">
        <v>1</v>
      </c>
      <c r="R84" s="6">
        <v>0</v>
      </c>
      <c r="S84" s="6">
        <v>275</v>
      </c>
    </row>
    <row r="85" spans="1:19" ht="15" hidden="1" x14ac:dyDescent="0.25">
      <c r="A85" s="7" t="s">
        <v>16</v>
      </c>
      <c r="B85" s="7" t="s">
        <v>17</v>
      </c>
      <c r="C85" s="7" t="s">
        <v>18</v>
      </c>
      <c r="D85" s="4">
        <v>2560878000107</v>
      </c>
      <c r="E85" s="8" t="s">
        <v>781</v>
      </c>
      <c r="F85" s="8" t="s">
        <v>739</v>
      </c>
      <c r="G85" s="8" t="s">
        <v>55</v>
      </c>
      <c r="H85" s="8" t="s">
        <v>215</v>
      </c>
      <c r="I85" s="3">
        <v>2</v>
      </c>
      <c r="J85" s="8" t="s">
        <v>201</v>
      </c>
      <c r="K85" s="8" t="s">
        <v>202</v>
      </c>
      <c r="L85" s="8" t="s">
        <v>740</v>
      </c>
      <c r="M85" s="1" t="s">
        <v>211</v>
      </c>
      <c r="N85" s="8" t="s">
        <v>212</v>
      </c>
      <c r="O85" s="6">
        <v>0</v>
      </c>
      <c r="P85" s="6">
        <v>0</v>
      </c>
      <c r="Q85" s="6">
        <v>0</v>
      </c>
      <c r="R85" s="6">
        <v>0</v>
      </c>
      <c r="S85" s="6">
        <v>275</v>
      </c>
    </row>
    <row r="86" spans="1:19" ht="15" hidden="1" x14ac:dyDescent="0.25">
      <c r="A86" s="7" t="s">
        <v>16</v>
      </c>
      <c r="B86" s="7" t="s">
        <v>17</v>
      </c>
      <c r="C86" s="7" t="s">
        <v>18</v>
      </c>
      <c r="D86" s="4">
        <v>60884855002289</v>
      </c>
      <c r="E86" s="8" t="s">
        <v>920</v>
      </c>
      <c r="F86" s="8" t="s">
        <v>739</v>
      </c>
      <c r="G86" s="8" t="s">
        <v>55</v>
      </c>
      <c r="H86" s="8" t="s">
        <v>215</v>
      </c>
      <c r="I86" s="3">
        <v>2</v>
      </c>
      <c r="J86" s="8" t="s">
        <v>163</v>
      </c>
      <c r="K86" s="8" t="s">
        <v>164</v>
      </c>
      <c r="L86" s="8" t="s">
        <v>557</v>
      </c>
      <c r="M86" s="1" t="s">
        <v>211</v>
      </c>
      <c r="N86" s="8" t="s">
        <v>212</v>
      </c>
      <c r="O86" s="6">
        <v>0</v>
      </c>
      <c r="P86" s="6">
        <v>90</v>
      </c>
      <c r="Q86" s="6">
        <v>11</v>
      </c>
      <c r="R86" s="6">
        <v>0</v>
      </c>
      <c r="S86" s="6">
        <v>370</v>
      </c>
    </row>
    <row r="87" spans="1:19" ht="15" hidden="1" x14ac:dyDescent="0.25">
      <c r="A87" s="7" t="s">
        <v>16</v>
      </c>
      <c r="B87" s="7" t="s">
        <v>17</v>
      </c>
      <c r="C87" s="7" t="s">
        <v>18</v>
      </c>
      <c r="D87" s="4">
        <v>60884855002289</v>
      </c>
      <c r="E87" s="8" t="s">
        <v>920</v>
      </c>
      <c r="F87" s="8" t="s">
        <v>739</v>
      </c>
      <c r="G87" s="8" t="s">
        <v>55</v>
      </c>
      <c r="H87" s="8" t="s">
        <v>215</v>
      </c>
      <c r="I87" s="3">
        <v>2</v>
      </c>
      <c r="J87" s="8" t="s">
        <v>201</v>
      </c>
      <c r="K87" s="8" t="s">
        <v>202</v>
      </c>
      <c r="L87" s="8" t="s">
        <v>740</v>
      </c>
      <c r="M87" s="1" t="s">
        <v>211</v>
      </c>
      <c r="N87" s="8" t="s">
        <v>212</v>
      </c>
      <c r="O87" s="6">
        <v>0</v>
      </c>
      <c r="P87" s="6">
        <v>0</v>
      </c>
      <c r="Q87" s="6">
        <v>0</v>
      </c>
      <c r="R87" s="6">
        <v>0</v>
      </c>
      <c r="S87" s="6">
        <v>370</v>
      </c>
    </row>
    <row r="88" spans="1:19" ht="15" hidden="1" x14ac:dyDescent="0.25">
      <c r="A88" s="7" t="s">
        <v>16</v>
      </c>
      <c r="B88" s="7" t="s">
        <v>17</v>
      </c>
      <c r="C88" s="7" t="s">
        <v>18</v>
      </c>
      <c r="D88" s="4">
        <v>6047087004207</v>
      </c>
      <c r="E88" s="8" t="s">
        <v>811</v>
      </c>
      <c r="F88" s="8" t="s">
        <v>739</v>
      </c>
      <c r="G88" s="8" t="s">
        <v>55</v>
      </c>
      <c r="H88" s="8" t="s">
        <v>215</v>
      </c>
      <c r="I88" s="3">
        <v>2</v>
      </c>
      <c r="J88" s="8" t="s">
        <v>163</v>
      </c>
      <c r="K88" s="8" t="s">
        <v>164</v>
      </c>
      <c r="L88" s="8" t="s">
        <v>557</v>
      </c>
      <c r="M88" s="1" t="s">
        <v>211</v>
      </c>
      <c r="N88" s="8" t="s">
        <v>212</v>
      </c>
      <c r="O88" s="6">
        <v>0</v>
      </c>
      <c r="P88" s="6">
        <v>45</v>
      </c>
      <c r="Q88" s="6">
        <v>0</v>
      </c>
      <c r="R88" s="6">
        <v>0</v>
      </c>
      <c r="S88" s="6">
        <v>0</v>
      </c>
    </row>
    <row r="89" spans="1:19" ht="15" hidden="1" x14ac:dyDescent="0.25">
      <c r="A89" s="7" t="s">
        <v>16</v>
      </c>
      <c r="B89" s="7" t="s">
        <v>17</v>
      </c>
      <c r="C89" s="7" t="s">
        <v>18</v>
      </c>
      <c r="D89" s="4">
        <v>6047087004207</v>
      </c>
      <c r="E89" s="8" t="s">
        <v>811</v>
      </c>
      <c r="F89" s="8" t="s">
        <v>739</v>
      </c>
      <c r="G89" s="8" t="s">
        <v>55</v>
      </c>
      <c r="H89" s="8" t="s">
        <v>215</v>
      </c>
      <c r="I89" s="3">
        <v>2</v>
      </c>
      <c r="J89" s="8" t="s">
        <v>201</v>
      </c>
      <c r="K89" s="8" t="s">
        <v>202</v>
      </c>
      <c r="L89" s="8" t="s">
        <v>740</v>
      </c>
      <c r="M89" s="1" t="s">
        <v>211</v>
      </c>
      <c r="N89" s="8" t="s">
        <v>212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</row>
    <row r="90" spans="1:19" ht="15" hidden="1" x14ac:dyDescent="0.25">
      <c r="A90" s="7" t="s">
        <v>16</v>
      </c>
      <c r="B90" s="7" t="s">
        <v>17</v>
      </c>
      <c r="C90" s="7" t="s">
        <v>18</v>
      </c>
      <c r="D90" s="4">
        <v>38000485000196</v>
      </c>
      <c r="E90" s="8" t="s">
        <v>917</v>
      </c>
      <c r="F90" s="8" t="s">
        <v>739</v>
      </c>
      <c r="G90" s="8" t="s">
        <v>55</v>
      </c>
      <c r="H90" s="8" t="s">
        <v>215</v>
      </c>
      <c r="I90" s="3">
        <v>2</v>
      </c>
      <c r="J90" s="8" t="s">
        <v>163</v>
      </c>
      <c r="K90" s="8" t="s">
        <v>164</v>
      </c>
      <c r="L90" s="8" t="s">
        <v>557</v>
      </c>
      <c r="M90" s="1" t="s">
        <v>211</v>
      </c>
      <c r="N90" s="8" t="s">
        <v>212</v>
      </c>
      <c r="O90" s="6">
        <v>0</v>
      </c>
      <c r="P90" s="6">
        <v>3</v>
      </c>
      <c r="Q90" s="6">
        <v>0</v>
      </c>
      <c r="R90" s="6">
        <v>0</v>
      </c>
      <c r="S90" s="6">
        <v>0</v>
      </c>
    </row>
    <row r="91" spans="1:19" ht="15" hidden="1" x14ac:dyDescent="0.25">
      <c r="A91" s="7" t="s">
        <v>16</v>
      </c>
      <c r="B91" s="7" t="s">
        <v>17</v>
      </c>
      <c r="C91" s="7" t="s">
        <v>18</v>
      </c>
      <c r="D91" s="4">
        <v>38000485000196</v>
      </c>
      <c r="E91" s="8" t="s">
        <v>917</v>
      </c>
      <c r="F91" s="8" t="s">
        <v>739</v>
      </c>
      <c r="G91" s="8" t="s">
        <v>55</v>
      </c>
      <c r="H91" s="8" t="s">
        <v>215</v>
      </c>
      <c r="I91" s="3">
        <v>2</v>
      </c>
      <c r="J91" s="8" t="s">
        <v>201</v>
      </c>
      <c r="K91" s="8" t="s">
        <v>202</v>
      </c>
      <c r="L91" s="8" t="s">
        <v>740</v>
      </c>
      <c r="M91" s="1" t="s">
        <v>211</v>
      </c>
      <c r="N91" s="8" t="s">
        <v>212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</row>
    <row r="92" spans="1:19" ht="15" hidden="1" x14ac:dyDescent="0.25">
      <c r="A92" s="7" t="s">
        <v>16</v>
      </c>
      <c r="B92" s="7" t="s">
        <v>17</v>
      </c>
      <c r="C92" s="7" t="s">
        <v>18</v>
      </c>
      <c r="D92" s="4">
        <v>49791000144</v>
      </c>
      <c r="E92" s="8" t="s">
        <v>743</v>
      </c>
      <c r="F92" s="8" t="s">
        <v>739</v>
      </c>
      <c r="G92" s="8" t="s">
        <v>55</v>
      </c>
      <c r="H92" s="8" t="s">
        <v>215</v>
      </c>
      <c r="I92" s="3">
        <v>2</v>
      </c>
      <c r="J92" s="8" t="s">
        <v>163</v>
      </c>
      <c r="K92" s="8" t="s">
        <v>164</v>
      </c>
      <c r="L92" s="8" t="s">
        <v>557</v>
      </c>
      <c r="M92" s="1" t="s">
        <v>211</v>
      </c>
      <c r="N92" s="8" t="s">
        <v>212</v>
      </c>
      <c r="O92" s="6">
        <v>0</v>
      </c>
      <c r="P92" s="6">
        <v>13</v>
      </c>
      <c r="Q92" s="6">
        <v>4</v>
      </c>
      <c r="R92" s="6">
        <v>0</v>
      </c>
      <c r="S92" s="6">
        <v>0</v>
      </c>
    </row>
    <row r="93" spans="1:19" ht="15" hidden="1" x14ac:dyDescent="0.25">
      <c r="A93" s="7" t="s">
        <v>16</v>
      </c>
      <c r="B93" s="7" t="s">
        <v>17</v>
      </c>
      <c r="C93" s="7" t="s">
        <v>18</v>
      </c>
      <c r="D93" s="4">
        <v>49791000144</v>
      </c>
      <c r="E93" s="8" t="s">
        <v>743</v>
      </c>
      <c r="F93" s="8" t="s">
        <v>739</v>
      </c>
      <c r="G93" s="8" t="s">
        <v>55</v>
      </c>
      <c r="H93" s="8" t="s">
        <v>215</v>
      </c>
      <c r="I93" s="3">
        <v>2</v>
      </c>
      <c r="J93" s="8" t="s">
        <v>201</v>
      </c>
      <c r="K93" s="8" t="s">
        <v>202</v>
      </c>
      <c r="L93" s="8" t="s">
        <v>740</v>
      </c>
      <c r="M93" s="1" t="s">
        <v>211</v>
      </c>
      <c r="N93" s="8" t="s">
        <v>212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</row>
    <row r="94" spans="1:19" ht="15" hidden="1" x14ac:dyDescent="0.25">
      <c r="A94" s="7" t="s">
        <v>16</v>
      </c>
      <c r="B94" s="7" t="s">
        <v>17</v>
      </c>
      <c r="C94" s="7" t="s">
        <v>18</v>
      </c>
      <c r="D94" s="4">
        <v>6047087004126</v>
      </c>
      <c r="E94" s="8" t="s">
        <v>810</v>
      </c>
      <c r="F94" s="8" t="s">
        <v>739</v>
      </c>
      <c r="G94" s="8" t="s">
        <v>55</v>
      </c>
      <c r="H94" s="8" t="s">
        <v>215</v>
      </c>
      <c r="I94" s="3">
        <v>2</v>
      </c>
      <c r="J94" s="8" t="s">
        <v>163</v>
      </c>
      <c r="K94" s="8" t="s">
        <v>164</v>
      </c>
      <c r="L94" s="8" t="s">
        <v>557</v>
      </c>
      <c r="M94" s="1" t="s">
        <v>211</v>
      </c>
      <c r="N94" s="8" t="s">
        <v>212</v>
      </c>
      <c r="O94" s="6">
        <v>0</v>
      </c>
      <c r="P94" s="6">
        <v>3</v>
      </c>
      <c r="Q94" s="6">
        <v>0</v>
      </c>
      <c r="R94" s="6">
        <v>0</v>
      </c>
      <c r="S94" s="6">
        <v>0</v>
      </c>
    </row>
    <row r="95" spans="1:19" ht="15" hidden="1" x14ac:dyDescent="0.25">
      <c r="A95" s="7" t="s">
        <v>16</v>
      </c>
      <c r="B95" s="7" t="s">
        <v>17</v>
      </c>
      <c r="C95" s="7" t="s">
        <v>18</v>
      </c>
      <c r="D95" s="4">
        <v>6047087004126</v>
      </c>
      <c r="E95" s="8" t="s">
        <v>810</v>
      </c>
      <c r="F95" s="8" t="s">
        <v>739</v>
      </c>
      <c r="G95" s="8" t="s">
        <v>55</v>
      </c>
      <c r="H95" s="8" t="s">
        <v>215</v>
      </c>
      <c r="I95" s="3">
        <v>2</v>
      </c>
      <c r="J95" s="8" t="s">
        <v>201</v>
      </c>
      <c r="K95" s="8" t="s">
        <v>202</v>
      </c>
      <c r="L95" s="8" t="s">
        <v>740</v>
      </c>
      <c r="M95" s="1" t="s">
        <v>211</v>
      </c>
      <c r="N95" s="8" t="s">
        <v>212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</row>
    <row r="96" spans="1:19" ht="15" hidden="1" x14ac:dyDescent="0.25">
      <c r="A96" s="7" t="s">
        <v>16</v>
      </c>
      <c r="B96" s="7" t="s">
        <v>17</v>
      </c>
      <c r="C96" s="7" t="s">
        <v>18</v>
      </c>
      <c r="D96" s="4">
        <v>610980000144</v>
      </c>
      <c r="E96" s="8" t="s">
        <v>756</v>
      </c>
      <c r="F96" s="8" t="s">
        <v>739</v>
      </c>
      <c r="G96" s="8" t="s">
        <v>55</v>
      </c>
      <c r="H96" s="8" t="s">
        <v>215</v>
      </c>
      <c r="I96" s="3">
        <v>2</v>
      </c>
      <c r="J96" s="8" t="s">
        <v>163</v>
      </c>
      <c r="K96" s="8" t="s">
        <v>164</v>
      </c>
      <c r="L96" s="8" t="s">
        <v>557</v>
      </c>
      <c r="M96" s="1" t="s">
        <v>211</v>
      </c>
      <c r="N96" s="8" t="s">
        <v>212</v>
      </c>
      <c r="O96" s="6">
        <v>0</v>
      </c>
      <c r="P96" s="6">
        <v>24</v>
      </c>
      <c r="Q96" s="6">
        <v>0</v>
      </c>
      <c r="R96" s="6">
        <v>0</v>
      </c>
      <c r="S96" s="6">
        <v>0</v>
      </c>
    </row>
    <row r="97" spans="1:19" ht="15" hidden="1" x14ac:dyDescent="0.25">
      <c r="A97" s="7" t="s">
        <v>16</v>
      </c>
      <c r="B97" s="7" t="s">
        <v>17</v>
      </c>
      <c r="C97" s="7" t="s">
        <v>18</v>
      </c>
      <c r="D97" s="4">
        <v>610980000144</v>
      </c>
      <c r="E97" s="8" t="s">
        <v>756</v>
      </c>
      <c r="F97" s="8" t="s">
        <v>739</v>
      </c>
      <c r="G97" s="8" t="s">
        <v>55</v>
      </c>
      <c r="H97" s="8" t="s">
        <v>215</v>
      </c>
      <c r="I97" s="3">
        <v>2</v>
      </c>
      <c r="J97" s="8" t="s">
        <v>201</v>
      </c>
      <c r="K97" s="8" t="s">
        <v>202</v>
      </c>
      <c r="L97" s="8" t="s">
        <v>740</v>
      </c>
      <c r="M97" s="1" t="s">
        <v>211</v>
      </c>
      <c r="N97" s="8" t="s">
        <v>212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</row>
    <row r="98" spans="1:19" ht="15" hidden="1" x14ac:dyDescent="0.25">
      <c r="A98" s="7" t="s">
        <v>16</v>
      </c>
      <c r="B98" s="7" t="s">
        <v>17</v>
      </c>
      <c r="C98" s="7" t="s">
        <v>18</v>
      </c>
      <c r="D98" s="4">
        <v>61590410000558</v>
      </c>
      <c r="E98" s="8" t="s">
        <v>922</v>
      </c>
      <c r="F98" s="8" t="s">
        <v>739</v>
      </c>
      <c r="G98" s="8" t="s">
        <v>55</v>
      </c>
      <c r="H98" s="8" t="s">
        <v>215</v>
      </c>
      <c r="I98" s="3">
        <v>2</v>
      </c>
      <c r="J98" s="8" t="s">
        <v>163</v>
      </c>
      <c r="K98" s="8" t="s">
        <v>164</v>
      </c>
      <c r="L98" s="8" t="s">
        <v>557</v>
      </c>
      <c r="M98" s="1" t="s">
        <v>211</v>
      </c>
      <c r="N98" s="8" t="s">
        <v>212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</row>
    <row r="99" spans="1:19" ht="15" hidden="1" x14ac:dyDescent="0.25">
      <c r="A99" s="7" t="s">
        <v>16</v>
      </c>
      <c r="B99" s="7" t="s">
        <v>17</v>
      </c>
      <c r="C99" s="7" t="s">
        <v>18</v>
      </c>
      <c r="D99" s="4">
        <v>61590410000558</v>
      </c>
      <c r="E99" s="8" t="s">
        <v>922</v>
      </c>
      <c r="F99" s="8" t="s">
        <v>739</v>
      </c>
      <c r="G99" s="8" t="s">
        <v>55</v>
      </c>
      <c r="H99" s="8" t="s">
        <v>215</v>
      </c>
      <c r="I99" s="3">
        <v>2</v>
      </c>
      <c r="J99" s="8" t="s">
        <v>201</v>
      </c>
      <c r="K99" s="8" t="s">
        <v>202</v>
      </c>
      <c r="L99" s="8" t="s">
        <v>740</v>
      </c>
      <c r="M99" s="1" t="s">
        <v>211</v>
      </c>
      <c r="N99" s="8" t="s">
        <v>212</v>
      </c>
      <c r="O99" s="6">
        <v>0</v>
      </c>
      <c r="P99" s="6">
        <v>0</v>
      </c>
      <c r="Q99" s="6">
        <v>0</v>
      </c>
      <c r="R99" s="6">
        <v>16</v>
      </c>
      <c r="S99" s="6">
        <v>0</v>
      </c>
    </row>
    <row r="100" spans="1:19" ht="15" hidden="1" x14ac:dyDescent="0.25">
      <c r="A100" s="7" t="s">
        <v>16</v>
      </c>
      <c r="B100" s="7" t="s">
        <v>17</v>
      </c>
      <c r="C100" s="7" t="s">
        <v>18</v>
      </c>
      <c r="D100" s="4">
        <v>28481233000172</v>
      </c>
      <c r="E100" s="8" t="s">
        <v>910</v>
      </c>
      <c r="F100" s="8" t="s">
        <v>739</v>
      </c>
      <c r="G100" s="8" t="s">
        <v>55</v>
      </c>
      <c r="H100" s="8" t="s">
        <v>215</v>
      </c>
      <c r="I100" s="3">
        <v>2</v>
      </c>
      <c r="J100" s="8" t="s">
        <v>163</v>
      </c>
      <c r="K100" s="8" t="s">
        <v>164</v>
      </c>
      <c r="L100" s="8" t="s">
        <v>557</v>
      </c>
      <c r="M100" s="1" t="s">
        <v>211</v>
      </c>
      <c r="N100" s="8" t="s">
        <v>212</v>
      </c>
      <c r="O100" s="6">
        <v>0</v>
      </c>
      <c r="P100" s="6">
        <v>130</v>
      </c>
      <c r="Q100" s="6">
        <v>0</v>
      </c>
      <c r="R100" s="6">
        <v>0</v>
      </c>
      <c r="S100" s="6">
        <v>0</v>
      </c>
    </row>
    <row r="101" spans="1:19" ht="15" hidden="1" x14ac:dyDescent="0.25">
      <c r="A101" s="7" t="s">
        <v>16</v>
      </c>
      <c r="B101" s="7" t="s">
        <v>17</v>
      </c>
      <c r="C101" s="7" t="s">
        <v>18</v>
      </c>
      <c r="D101" s="4">
        <v>28481233000172</v>
      </c>
      <c r="E101" s="8" t="s">
        <v>910</v>
      </c>
      <c r="F101" s="8" t="s">
        <v>739</v>
      </c>
      <c r="G101" s="8" t="s">
        <v>55</v>
      </c>
      <c r="H101" s="8" t="s">
        <v>215</v>
      </c>
      <c r="I101" s="3">
        <v>2</v>
      </c>
      <c r="J101" s="8" t="s">
        <v>201</v>
      </c>
      <c r="K101" s="8" t="s">
        <v>202</v>
      </c>
      <c r="L101" s="8" t="s">
        <v>740</v>
      </c>
      <c r="M101" s="1" t="s">
        <v>211</v>
      </c>
      <c r="N101" s="8" t="s">
        <v>212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</row>
    <row r="102" spans="1:19" ht="15" hidden="1" x14ac:dyDescent="0.25">
      <c r="A102" s="7" t="s">
        <v>16</v>
      </c>
      <c r="B102" s="7" t="s">
        <v>17</v>
      </c>
      <c r="C102" s="7" t="s">
        <v>18</v>
      </c>
      <c r="D102" s="4">
        <v>11859927000106</v>
      </c>
      <c r="E102" s="8" t="s">
        <v>846</v>
      </c>
      <c r="F102" s="8" t="s">
        <v>739</v>
      </c>
      <c r="G102" s="8" t="s">
        <v>55</v>
      </c>
      <c r="H102" s="8" t="s">
        <v>215</v>
      </c>
      <c r="I102" s="3">
        <v>2</v>
      </c>
      <c r="J102" s="8" t="s">
        <v>163</v>
      </c>
      <c r="K102" s="8" t="s">
        <v>164</v>
      </c>
      <c r="L102" s="8" t="s">
        <v>557</v>
      </c>
      <c r="M102" s="1" t="s">
        <v>211</v>
      </c>
      <c r="N102" s="8" t="s">
        <v>212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</row>
    <row r="103" spans="1:19" ht="15" hidden="1" x14ac:dyDescent="0.25">
      <c r="A103" s="7" t="s">
        <v>16</v>
      </c>
      <c r="B103" s="7" t="s">
        <v>17</v>
      </c>
      <c r="C103" s="7" t="s">
        <v>18</v>
      </c>
      <c r="D103" s="4">
        <v>11859927000106</v>
      </c>
      <c r="E103" s="8" t="s">
        <v>846</v>
      </c>
      <c r="F103" s="8" t="s">
        <v>739</v>
      </c>
      <c r="G103" s="8" t="s">
        <v>55</v>
      </c>
      <c r="H103" s="8" t="s">
        <v>215</v>
      </c>
      <c r="I103" s="3">
        <v>2</v>
      </c>
      <c r="J103" s="8" t="s">
        <v>201</v>
      </c>
      <c r="K103" s="8" t="s">
        <v>202</v>
      </c>
      <c r="L103" s="8" t="s">
        <v>740</v>
      </c>
      <c r="M103" s="1" t="s">
        <v>211</v>
      </c>
      <c r="N103" s="8" t="s">
        <v>212</v>
      </c>
      <c r="O103" s="6">
        <v>0</v>
      </c>
      <c r="P103" s="6">
        <v>0</v>
      </c>
      <c r="Q103" s="6">
        <v>0</v>
      </c>
      <c r="R103" s="6">
        <v>44</v>
      </c>
      <c r="S103" s="6">
        <v>0</v>
      </c>
    </row>
    <row r="104" spans="1:19" ht="15" hidden="1" x14ac:dyDescent="0.25">
      <c r="A104" s="7" t="s">
        <v>16</v>
      </c>
      <c r="B104" s="7" t="s">
        <v>17</v>
      </c>
      <c r="C104" s="7" t="s">
        <v>18</v>
      </c>
      <c r="D104" s="4">
        <v>92898550000600</v>
      </c>
      <c r="E104" s="8" t="s">
        <v>927</v>
      </c>
      <c r="F104" s="8" t="s">
        <v>739</v>
      </c>
      <c r="G104" s="8" t="s">
        <v>55</v>
      </c>
      <c r="H104" s="8" t="s">
        <v>215</v>
      </c>
      <c r="I104" s="3">
        <v>2</v>
      </c>
      <c r="J104" s="8" t="s">
        <v>163</v>
      </c>
      <c r="K104" s="8" t="s">
        <v>164</v>
      </c>
      <c r="L104" s="8" t="s">
        <v>557</v>
      </c>
      <c r="M104" s="1" t="s">
        <v>211</v>
      </c>
      <c r="N104" s="8" t="s">
        <v>212</v>
      </c>
      <c r="O104" s="6">
        <v>0</v>
      </c>
      <c r="P104" s="6">
        <v>4</v>
      </c>
      <c r="Q104" s="6">
        <v>0</v>
      </c>
      <c r="R104" s="6">
        <v>0</v>
      </c>
      <c r="S104" s="6">
        <v>0</v>
      </c>
    </row>
    <row r="105" spans="1:19" ht="15" hidden="1" x14ac:dyDescent="0.25">
      <c r="A105" s="7" t="s">
        <v>16</v>
      </c>
      <c r="B105" s="7" t="s">
        <v>17</v>
      </c>
      <c r="C105" s="7" t="s">
        <v>18</v>
      </c>
      <c r="D105" s="4">
        <v>92898550000600</v>
      </c>
      <c r="E105" s="8" t="s">
        <v>927</v>
      </c>
      <c r="F105" s="8" t="s">
        <v>739</v>
      </c>
      <c r="G105" s="8" t="s">
        <v>55</v>
      </c>
      <c r="H105" s="8" t="s">
        <v>215</v>
      </c>
      <c r="I105" s="3">
        <v>2</v>
      </c>
      <c r="J105" s="8" t="s">
        <v>201</v>
      </c>
      <c r="K105" s="8" t="s">
        <v>202</v>
      </c>
      <c r="L105" s="8" t="s">
        <v>740</v>
      </c>
      <c r="M105" s="1" t="s">
        <v>211</v>
      </c>
      <c r="N105" s="8" t="s">
        <v>212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</row>
    <row r="106" spans="1:19" ht="15" hidden="1" x14ac:dyDescent="0.25">
      <c r="A106" s="7" t="s">
        <v>16</v>
      </c>
      <c r="B106" s="7" t="s">
        <v>17</v>
      </c>
      <c r="C106" s="7" t="s">
        <v>18</v>
      </c>
      <c r="D106" s="4">
        <v>1682668000129</v>
      </c>
      <c r="E106" s="8" t="s">
        <v>769</v>
      </c>
      <c r="F106" s="8" t="s">
        <v>739</v>
      </c>
      <c r="G106" s="8" t="s">
        <v>55</v>
      </c>
      <c r="H106" s="8" t="s">
        <v>215</v>
      </c>
      <c r="I106" s="3">
        <v>2</v>
      </c>
      <c r="J106" s="8" t="s">
        <v>163</v>
      </c>
      <c r="K106" s="8" t="s">
        <v>164</v>
      </c>
      <c r="L106" s="8" t="s">
        <v>557</v>
      </c>
      <c r="M106" s="1" t="s">
        <v>211</v>
      </c>
      <c r="N106" s="8" t="s">
        <v>212</v>
      </c>
      <c r="O106" s="6">
        <v>0</v>
      </c>
      <c r="P106" s="6">
        <v>0</v>
      </c>
      <c r="Q106" s="6">
        <v>0</v>
      </c>
      <c r="R106" s="6">
        <v>0</v>
      </c>
      <c r="S106" s="6">
        <v>50</v>
      </c>
    </row>
    <row r="107" spans="1:19" ht="15" hidden="1" x14ac:dyDescent="0.25">
      <c r="A107" s="7" t="s">
        <v>16</v>
      </c>
      <c r="B107" s="7" t="s">
        <v>17</v>
      </c>
      <c r="C107" s="7" t="s">
        <v>18</v>
      </c>
      <c r="D107" s="4">
        <v>1682668000129</v>
      </c>
      <c r="E107" s="8" t="s">
        <v>769</v>
      </c>
      <c r="F107" s="8" t="s">
        <v>739</v>
      </c>
      <c r="G107" s="8" t="s">
        <v>55</v>
      </c>
      <c r="H107" s="8" t="s">
        <v>215</v>
      </c>
      <c r="I107" s="3">
        <v>2</v>
      </c>
      <c r="J107" s="8" t="s">
        <v>201</v>
      </c>
      <c r="K107" s="8" t="s">
        <v>202</v>
      </c>
      <c r="L107" s="8" t="s">
        <v>740</v>
      </c>
      <c r="M107" s="1" t="s">
        <v>211</v>
      </c>
      <c r="N107" s="8" t="s">
        <v>212</v>
      </c>
      <c r="O107" s="6">
        <v>0</v>
      </c>
      <c r="P107" s="6">
        <v>0</v>
      </c>
      <c r="Q107" s="6">
        <v>0</v>
      </c>
      <c r="R107" s="6">
        <v>0</v>
      </c>
      <c r="S107" s="6">
        <v>50</v>
      </c>
    </row>
    <row r="108" spans="1:19" ht="15" hidden="1" x14ac:dyDescent="0.25">
      <c r="A108" s="7" t="s">
        <v>16</v>
      </c>
      <c r="B108" s="7" t="s">
        <v>17</v>
      </c>
      <c r="C108" s="7" t="s">
        <v>18</v>
      </c>
      <c r="D108" s="4">
        <v>16739984000167</v>
      </c>
      <c r="E108" s="8" t="s">
        <v>900</v>
      </c>
      <c r="F108" s="8" t="s">
        <v>739</v>
      </c>
      <c r="G108" s="8" t="s">
        <v>55</v>
      </c>
      <c r="H108" s="8" t="s">
        <v>215</v>
      </c>
      <c r="I108" s="3">
        <v>2</v>
      </c>
      <c r="J108" s="8" t="s">
        <v>163</v>
      </c>
      <c r="K108" s="8" t="s">
        <v>164</v>
      </c>
      <c r="L108" s="8" t="s">
        <v>557</v>
      </c>
      <c r="M108" s="1" t="s">
        <v>211</v>
      </c>
      <c r="N108" s="8" t="s">
        <v>212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</row>
    <row r="109" spans="1:19" ht="15" hidden="1" x14ac:dyDescent="0.25">
      <c r="A109" s="7" t="s">
        <v>16</v>
      </c>
      <c r="B109" s="7" t="s">
        <v>17</v>
      </c>
      <c r="C109" s="7" t="s">
        <v>18</v>
      </c>
      <c r="D109" s="4">
        <v>16739984000167</v>
      </c>
      <c r="E109" s="8" t="s">
        <v>900</v>
      </c>
      <c r="F109" s="8" t="s">
        <v>739</v>
      </c>
      <c r="G109" s="8" t="s">
        <v>55</v>
      </c>
      <c r="H109" s="8" t="s">
        <v>215</v>
      </c>
      <c r="I109" s="3">
        <v>2</v>
      </c>
      <c r="J109" s="8" t="s">
        <v>201</v>
      </c>
      <c r="K109" s="8" t="s">
        <v>202</v>
      </c>
      <c r="L109" s="8" t="s">
        <v>740</v>
      </c>
      <c r="M109" s="1" t="s">
        <v>211</v>
      </c>
      <c r="N109" s="8" t="s">
        <v>212</v>
      </c>
      <c r="O109" s="6">
        <v>0</v>
      </c>
      <c r="P109" s="6">
        <v>0</v>
      </c>
      <c r="Q109" s="6">
        <v>0</v>
      </c>
      <c r="R109" s="6">
        <v>41</v>
      </c>
      <c r="S109" s="6">
        <v>0</v>
      </c>
    </row>
    <row r="110" spans="1:19" ht="15" hidden="1" x14ac:dyDescent="0.25">
      <c r="A110" s="7" t="s">
        <v>16</v>
      </c>
      <c r="B110" s="7" t="s">
        <v>17</v>
      </c>
      <c r="C110" s="7" t="s">
        <v>18</v>
      </c>
      <c r="D110" s="4">
        <v>511816000180</v>
      </c>
      <c r="E110" s="8" t="s">
        <v>754</v>
      </c>
      <c r="F110" s="8" t="s">
        <v>739</v>
      </c>
      <c r="G110" s="8" t="s">
        <v>55</v>
      </c>
      <c r="H110" s="8" t="s">
        <v>215</v>
      </c>
      <c r="I110" s="3">
        <v>2</v>
      </c>
      <c r="J110" s="8" t="s">
        <v>163</v>
      </c>
      <c r="K110" s="8" t="s">
        <v>164</v>
      </c>
      <c r="L110" s="8" t="s">
        <v>557</v>
      </c>
      <c r="M110" s="1" t="s">
        <v>211</v>
      </c>
      <c r="N110" s="8" t="s">
        <v>212</v>
      </c>
      <c r="O110" s="6">
        <v>0</v>
      </c>
      <c r="P110" s="6">
        <v>8</v>
      </c>
      <c r="Q110" s="6">
        <v>0</v>
      </c>
      <c r="R110" s="6">
        <v>0</v>
      </c>
      <c r="S110" s="6">
        <v>0</v>
      </c>
    </row>
    <row r="111" spans="1:19" ht="15" hidden="1" x14ac:dyDescent="0.25">
      <c r="A111" s="7" t="s">
        <v>16</v>
      </c>
      <c r="B111" s="7" t="s">
        <v>17</v>
      </c>
      <c r="C111" s="7" t="s">
        <v>18</v>
      </c>
      <c r="D111" s="4">
        <v>511816000180</v>
      </c>
      <c r="E111" s="8" t="s">
        <v>754</v>
      </c>
      <c r="F111" s="8" t="s">
        <v>739</v>
      </c>
      <c r="G111" s="8" t="s">
        <v>55</v>
      </c>
      <c r="H111" s="8" t="s">
        <v>215</v>
      </c>
      <c r="I111" s="3">
        <v>2</v>
      </c>
      <c r="J111" s="8" t="s">
        <v>201</v>
      </c>
      <c r="K111" s="8" t="s">
        <v>202</v>
      </c>
      <c r="L111" s="8" t="s">
        <v>740</v>
      </c>
      <c r="M111" s="1" t="s">
        <v>211</v>
      </c>
      <c r="N111" s="8" t="s">
        <v>212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</row>
    <row r="112" spans="1:19" ht="15" hidden="1" x14ac:dyDescent="0.25">
      <c r="A112" s="7" t="s">
        <v>16</v>
      </c>
      <c r="B112" s="7" t="s">
        <v>17</v>
      </c>
      <c r="C112" s="7" t="s">
        <v>18</v>
      </c>
      <c r="D112" s="4">
        <v>61590410001287</v>
      </c>
      <c r="E112" s="8" t="s">
        <v>923</v>
      </c>
      <c r="F112" s="8" t="s">
        <v>739</v>
      </c>
      <c r="G112" s="8" t="s">
        <v>55</v>
      </c>
      <c r="H112" s="8" t="s">
        <v>215</v>
      </c>
      <c r="I112" s="3">
        <v>2</v>
      </c>
      <c r="J112" s="8" t="s">
        <v>163</v>
      </c>
      <c r="K112" s="8" t="s">
        <v>164</v>
      </c>
      <c r="L112" s="8" t="s">
        <v>557</v>
      </c>
      <c r="M112" s="1" t="s">
        <v>211</v>
      </c>
      <c r="N112" s="8" t="s">
        <v>212</v>
      </c>
      <c r="O112" s="6">
        <v>0</v>
      </c>
      <c r="P112" s="6">
        <v>0</v>
      </c>
      <c r="Q112" s="6">
        <v>0</v>
      </c>
      <c r="R112" s="6">
        <v>0</v>
      </c>
      <c r="S112" s="6">
        <v>610</v>
      </c>
    </row>
    <row r="113" spans="1:19" ht="15" hidden="1" x14ac:dyDescent="0.25">
      <c r="A113" s="7" t="s">
        <v>16</v>
      </c>
      <c r="B113" s="7" t="s">
        <v>17</v>
      </c>
      <c r="C113" s="7" t="s">
        <v>18</v>
      </c>
      <c r="D113" s="4">
        <v>61590410001287</v>
      </c>
      <c r="E113" s="8" t="s">
        <v>923</v>
      </c>
      <c r="F113" s="8" t="s">
        <v>739</v>
      </c>
      <c r="G113" s="8" t="s">
        <v>55</v>
      </c>
      <c r="H113" s="8" t="s">
        <v>215</v>
      </c>
      <c r="I113" s="3">
        <v>2</v>
      </c>
      <c r="J113" s="8" t="s">
        <v>201</v>
      </c>
      <c r="K113" s="8" t="s">
        <v>202</v>
      </c>
      <c r="L113" s="8" t="s">
        <v>740</v>
      </c>
      <c r="M113" s="1" t="s">
        <v>211</v>
      </c>
      <c r="N113" s="8" t="s">
        <v>212</v>
      </c>
      <c r="O113" s="6">
        <v>0</v>
      </c>
      <c r="P113" s="6">
        <v>0</v>
      </c>
      <c r="Q113" s="6">
        <v>0</v>
      </c>
      <c r="R113" s="6">
        <v>0</v>
      </c>
      <c r="S113" s="6">
        <v>610</v>
      </c>
    </row>
    <row r="114" spans="1:19" ht="15" hidden="1" x14ac:dyDescent="0.25">
      <c r="A114" s="7" t="s">
        <v>16</v>
      </c>
      <c r="B114" s="7" t="s">
        <v>17</v>
      </c>
      <c r="C114" s="7" t="s">
        <v>18</v>
      </c>
      <c r="D114" s="4">
        <v>7039651000134</v>
      </c>
      <c r="E114" s="8" t="s">
        <v>1153</v>
      </c>
      <c r="F114" s="8" t="s">
        <v>116</v>
      </c>
      <c r="G114" s="8" t="s">
        <v>98</v>
      </c>
      <c r="H114" s="8" t="s">
        <v>215</v>
      </c>
      <c r="I114" s="3">
        <v>1</v>
      </c>
      <c r="J114" s="8" t="s">
        <v>159</v>
      </c>
      <c r="K114" s="8" t="s">
        <v>160</v>
      </c>
      <c r="L114" s="8" t="s">
        <v>740</v>
      </c>
      <c r="M114" s="1" t="s">
        <v>205</v>
      </c>
      <c r="N114" s="8" t="s">
        <v>206</v>
      </c>
      <c r="O114" s="6">
        <v>0</v>
      </c>
      <c r="P114" s="6">
        <v>0</v>
      </c>
      <c r="Q114" s="6">
        <v>0</v>
      </c>
      <c r="R114" s="6">
        <v>0</v>
      </c>
      <c r="S114" s="6">
        <v>15</v>
      </c>
    </row>
    <row r="115" spans="1:19" ht="15" hidden="1" x14ac:dyDescent="0.25">
      <c r="A115" s="7" t="s">
        <v>16</v>
      </c>
      <c r="B115" s="7" t="s">
        <v>17</v>
      </c>
      <c r="C115" s="7" t="s">
        <v>18</v>
      </c>
      <c r="D115" s="4">
        <v>1396804000114</v>
      </c>
      <c r="E115" s="8" t="s">
        <v>1140</v>
      </c>
      <c r="F115" s="8" t="s">
        <v>97</v>
      </c>
      <c r="G115" s="8" t="s">
        <v>98</v>
      </c>
      <c r="H115" s="8" t="s">
        <v>215</v>
      </c>
      <c r="I115" s="3">
        <v>1</v>
      </c>
      <c r="J115" s="8" t="s">
        <v>159</v>
      </c>
      <c r="K115" s="8" t="s">
        <v>160</v>
      </c>
      <c r="L115" s="8" t="s">
        <v>740</v>
      </c>
      <c r="M115" s="1" t="s">
        <v>205</v>
      </c>
      <c r="N115" s="8" t="s">
        <v>206</v>
      </c>
      <c r="O115" s="6">
        <v>0</v>
      </c>
      <c r="P115" s="6">
        <v>0</v>
      </c>
      <c r="Q115" s="6">
        <v>0</v>
      </c>
      <c r="R115" s="6">
        <v>0</v>
      </c>
      <c r="S115" s="6">
        <v>40</v>
      </c>
    </row>
    <row r="116" spans="1:19" ht="15" hidden="1" x14ac:dyDescent="0.25">
      <c r="A116" s="7" t="s">
        <v>16</v>
      </c>
      <c r="B116" s="7" t="s">
        <v>17</v>
      </c>
      <c r="C116" s="7" t="s">
        <v>18</v>
      </c>
      <c r="D116" s="4">
        <v>27080605001591</v>
      </c>
      <c r="E116" s="8" t="s">
        <v>1207</v>
      </c>
      <c r="F116" s="8" t="s">
        <v>97</v>
      </c>
      <c r="G116" s="8" t="s">
        <v>98</v>
      </c>
      <c r="H116" s="8" t="s">
        <v>215</v>
      </c>
      <c r="I116" s="3">
        <v>1</v>
      </c>
      <c r="J116" s="8" t="s">
        <v>159</v>
      </c>
      <c r="K116" s="8" t="s">
        <v>160</v>
      </c>
      <c r="L116" s="8" t="s">
        <v>740</v>
      </c>
      <c r="M116" s="1" t="s">
        <v>205</v>
      </c>
      <c r="N116" s="8" t="s">
        <v>206</v>
      </c>
      <c r="O116" s="6">
        <v>0</v>
      </c>
      <c r="P116" s="6">
        <v>0</v>
      </c>
      <c r="Q116" s="6">
        <v>0</v>
      </c>
      <c r="R116" s="6">
        <v>0</v>
      </c>
      <c r="S116" s="6">
        <v>1000</v>
      </c>
    </row>
    <row r="117" spans="1:19" ht="15" hidden="1" x14ac:dyDescent="0.25">
      <c r="A117" s="7" t="s">
        <v>16</v>
      </c>
      <c r="B117" s="7" t="s">
        <v>17</v>
      </c>
      <c r="C117" s="7" t="s">
        <v>18</v>
      </c>
      <c r="D117" s="4">
        <v>28137925000106</v>
      </c>
      <c r="E117" s="8" t="s">
        <v>1210</v>
      </c>
      <c r="F117" s="8" t="s">
        <v>1157</v>
      </c>
      <c r="G117" s="8" t="s">
        <v>98</v>
      </c>
      <c r="H117" s="8" t="s">
        <v>215</v>
      </c>
      <c r="I117" s="3">
        <v>1</v>
      </c>
      <c r="J117" s="8" t="s">
        <v>159</v>
      </c>
      <c r="K117" s="8" t="s">
        <v>160</v>
      </c>
      <c r="L117" s="8" t="s">
        <v>740</v>
      </c>
      <c r="M117" s="1" t="s">
        <v>205</v>
      </c>
      <c r="N117" s="8" t="s">
        <v>206</v>
      </c>
      <c r="O117" s="6">
        <v>0</v>
      </c>
      <c r="P117" s="6">
        <v>0</v>
      </c>
      <c r="Q117" s="6">
        <v>0</v>
      </c>
      <c r="R117" s="6">
        <v>0</v>
      </c>
      <c r="S117" s="6">
        <v>100</v>
      </c>
    </row>
    <row r="118" spans="1:19" ht="15" hidden="1" x14ac:dyDescent="0.25">
      <c r="A118" s="7" t="s">
        <v>16</v>
      </c>
      <c r="B118" s="7" t="s">
        <v>17</v>
      </c>
      <c r="C118" s="7" t="s">
        <v>18</v>
      </c>
      <c r="D118" s="4">
        <v>39387477000107</v>
      </c>
      <c r="E118" s="8" t="s">
        <v>1218</v>
      </c>
      <c r="F118" s="8" t="s">
        <v>1157</v>
      </c>
      <c r="G118" s="8" t="s">
        <v>98</v>
      </c>
      <c r="H118" s="8" t="s">
        <v>215</v>
      </c>
      <c r="I118" s="3">
        <v>1</v>
      </c>
      <c r="J118" s="8" t="s">
        <v>159</v>
      </c>
      <c r="K118" s="8" t="s">
        <v>160</v>
      </c>
      <c r="L118" s="8" t="s">
        <v>740</v>
      </c>
      <c r="M118" s="1" t="s">
        <v>205</v>
      </c>
      <c r="N118" s="8" t="s">
        <v>206</v>
      </c>
      <c r="O118" s="6">
        <v>0</v>
      </c>
      <c r="P118" s="6">
        <v>0</v>
      </c>
      <c r="Q118" s="6">
        <v>0</v>
      </c>
      <c r="R118" s="6">
        <v>0</v>
      </c>
      <c r="S118" s="6">
        <v>180</v>
      </c>
    </row>
    <row r="119" spans="1:19" ht="15" hidden="1" x14ac:dyDescent="0.25">
      <c r="A119" s="7" t="s">
        <v>16</v>
      </c>
      <c r="B119" s="7" t="s">
        <v>17</v>
      </c>
      <c r="C119" s="7" t="s">
        <v>18</v>
      </c>
      <c r="D119" s="4">
        <v>1326206000179</v>
      </c>
      <c r="E119" s="8" t="s">
        <v>761</v>
      </c>
      <c r="F119" s="8" t="s">
        <v>762</v>
      </c>
      <c r="G119" s="8" t="s">
        <v>59</v>
      </c>
      <c r="H119" s="8" t="s">
        <v>215</v>
      </c>
      <c r="I119" s="3">
        <v>2</v>
      </c>
      <c r="J119" s="8" t="s">
        <v>187</v>
      </c>
      <c r="K119" s="8" t="s">
        <v>188</v>
      </c>
      <c r="L119" s="8" t="s">
        <v>556</v>
      </c>
      <c r="M119" s="1" t="s">
        <v>211</v>
      </c>
      <c r="N119" s="8" t="s">
        <v>212</v>
      </c>
      <c r="O119" s="6">
        <v>0</v>
      </c>
      <c r="P119" s="6">
        <v>0</v>
      </c>
      <c r="Q119" s="6">
        <v>0</v>
      </c>
      <c r="R119" s="6">
        <v>10</v>
      </c>
      <c r="S119" s="6">
        <v>0</v>
      </c>
    </row>
    <row r="120" spans="1:19" ht="15" hidden="1" x14ac:dyDescent="0.25">
      <c r="A120" s="7" t="s">
        <v>16</v>
      </c>
      <c r="B120" s="7" t="s">
        <v>17</v>
      </c>
      <c r="C120" s="7" t="s">
        <v>18</v>
      </c>
      <c r="D120" s="4">
        <v>1326206000179</v>
      </c>
      <c r="E120" s="8" t="s">
        <v>761</v>
      </c>
      <c r="F120" s="8" t="s">
        <v>762</v>
      </c>
      <c r="G120" s="8" t="s">
        <v>59</v>
      </c>
      <c r="H120" s="8" t="s">
        <v>215</v>
      </c>
      <c r="I120" s="3">
        <v>2</v>
      </c>
      <c r="J120" s="8" t="s">
        <v>163</v>
      </c>
      <c r="K120" s="8" t="s">
        <v>164</v>
      </c>
      <c r="L120" s="8" t="s">
        <v>557</v>
      </c>
      <c r="M120" s="1" t="s">
        <v>211</v>
      </c>
      <c r="N120" s="8" t="s">
        <v>212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</row>
    <row r="121" spans="1:19" ht="15" hidden="1" x14ac:dyDescent="0.25">
      <c r="A121" s="7" t="s">
        <v>16</v>
      </c>
      <c r="B121" s="7" t="s">
        <v>17</v>
      </c>
      <c r="C121" s="7" t="s">
        <v>18</v>
      </c>
      <c r="D121" s="4">
        <v>2476067000394</v>
      </c>
      <c r="E121" s="8" t="s">
        <v>780</v>
      </c>
      <c r="F121" s="8" t="s">
        <v>745</v>
      </c>
      <c r="G121" s="8" t="s">
        <v>59</v>
      </c>
      <c r="H121" s="8" t="s">
        <v>215</v>
      </c>
      <c r="I121" s="3">
        <v>2</v>
      </c>
      <c r="J121" s="8" t="s">
        <v>187</v>
      </c>
      <c r="K121" s="8" t="s">
        <v>188</v>
      </c>
      <c r="L121" s="8" t="s">
        <v>556</v>
      </c>
      <c r="M121" s="1" t="s">
        <v>211</v>
      </c>
      <c r="N121" s="8" t="s">
        <v>212</v>
      </c>
      <c r="O121" s="6">
        <v>0</v>
      </c>
      <c r="P121" s="6">
        <v>0</v>
      </c>
      <c r="Q121" s="6">
        <v>0</v>
      </c>
      <c r="R121" s="6">
        <v>0</v>
      </c>
      <c r="S121" s="6">
        <v>118</v>
      </c>
    </row>
    <row r="122" spans="1:19" ht="15" hidden="1" x14ac:dyDescent="0.25">
      <c r="A122" s="7" t="s">
        <v>16</v>
      </c>
      <c r="B122" s="7" t="s">
        <v>17</v>
      </c>
      <c r="C122" s="7" t="s">
        <v>18</v>
      </c>
      <c r="D122" s="4">
        <v>2476067000394</v>
      </c>
      <c r="E122" s="8" t="s">
        <v>780</v>
      </c>
      <c r="F122" s="8" t="s">
        <v>745</v>
      </c>
      <c r="G122" s="8" t="s">
        <v>59</v>
      </c>
      <c r="H122" s="8" t="s">
        <v>215</v>
      </c>
      <c r="I122" s="3">
        <v>2</v>
      </c>
      <c r="J122" s="8" t="s">
        <v>163</v>
      </c>
      <c r="K122" s="8" t="s">
        <v>164</v>
      </c>
      <c r="L122" s="8" t="s">
        <v>557</v>
      </c>
      <c r="M122" s="1" t="s">
        <v>211</v>
      </c>
      <c r="N122" s="8" t="s">
        <v>212</v>
      </c>
      <c r="O122" s="6">
        <v>0</v>
      </c>
      <c r="P122" s="6">
        <v>0</v>
      </c>
      <c r="Q122" s="6">
        <v>0</v>
      </c>
      <c r="R122" s="6">
        <v>0</v>
      </c>
      <c r="S122" s="6">
        <v>118</v>
      </c>
    </row>
    <row r="123" spans="1:19" ht="15" hidden="1" x14ac:dyDescent="0.25">
      <c r="A123" s="7" t="s">
        <v>16</v>
      </c>
      <c r="B123" s="7" t="s">
        <v>17</v>
      </c>
      <c r="C123" s="7" t="s">
        <v>18</v>
      </c>
      <c r="D123" s="4">
        <v>418954000119</v>
      </c>
      <c r="E123" s="8" t="s">
        <v>751</v>
      </c>
      <c r="F123" s="8" t="s">
        <v>745</v>
      </c>
      <c r="G123" s="8" t="s">
        <v>59</v>
      </c>
      <c r="H123" s="8" t="s">
        <v>215</v>
      </c>
      <c r="I123" s="3">
        <v>2</v>
      </c>
      <c r="J123" s="8" t="s">
        <v>187</v>
      </c>
      <c r="K123" s="8" t="s">
        <v>188</v>
      </c>
      <c r="L123" s="8" t="s">
        <v>556</v>
      </c>
      <c r="M123" s="1" t="s">
        <v>211</v>
      </c>
      <c r="N123" s="8" t="s">
        <v>212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</row>
    <row r="124" spans="1:19" ht="15" hidden="1" x14ac:dyDescent="0.25">
      <c r="A124" s="7" t="s">
        <v>16</v>
      </c>
      <c r="B124" s="7" t="s">
        <v>17</v>
      </c>
      <c r="C124" s="7" t="s">
        <v>18</v>
      </c>
      <c r="D124" s="4">
        <v>418954000119</v>
      </c>
      <c r="E124" s="8" t="s">
        <v>751</v>
      </c>
      <c r="F124" s="8" t="s">
        <v>745</v>
      </c>
      <c r="G124" s="8" t="s">
        <v>59</v>
      </c>
      <c r="H124" s="8" t="s">
        <v>215</v>
      </c>
      <c r="I124" s="3">
        <v>2</v>
      </c>
      <c r="J124" s="8" t="s">
        <v>163</v>
      </c>
      <c r="K124" s="8" t="s">
        <v>164</v>
      </c>
      <c r="L124" s="8" t="s">
        <v>557</v>
      </c>
      <c r="M124" s="1" t="s">
        <v>211</v>
      </c>
      <c r="N124" s="8" t="s">
        <v>212</v>
      </c>
      <c r="O124" s="6">
        <v>0</v>
      </c>
      <c r="P124" s="6">
        <v>10</v>
      </c>
      <c r="Q124" s="6">
        <v>0</v>
      </c>
      <c r="R124" s="6">
        <v>0</v>
      </c>
      <c r="S124" s="6">
        <v>0</v>
      </c>
    </row>
    <row r="125" spans="1:19" ht="15" hidden="1" x14ac:dyDescent="0.25">
      <c r="A125" s="7" t="s">
        <v>16</v>
      </c>
      <c r="B125" s="7" t="s">
        <v>17</v>
      </c>
      <c r="C125" s="7" t="s">
        <v>18</v>
      </c>
      <c r="D125" s="4">
        <v>1011865000116</v>
      </c>
      <c r="E125" s="8" t="s">
        <v>759</v>
      </c>
      <c r="F125" s="8" t="s">
        <v>745</v>
      </c>
      <c r="G125" s="8" t="s">
        <v>59</v>
      </c>
      <c r="H125" s="8" t="s">
        <v>215</v>
      </c>
      <c r="I125" s="3">
        <v>2</v>
      </c>
      <c r="J125" s="8" t="s">
        <v>187</v>
      </c>
      <c r="K125" s="8" t="s">
        <v>188</v>
      </c>
      <c r="L125" s="8" t="s">
        <v>556</v>
      </c>
      <c r="M125" s="1" t="s">
        <v>211</v>
      </c>
      <c r="N125" s="8" t="s">
        <v>212</v>
      </c>
      <c r="O125" s="6">
        <v>0</v>
      </c>
      <c r="P125" s="6">
        <v>0</v>
      </c>
      <c r="Q125" s="6">
        <v>0</v>
      </c>
      <c r="R125" s="6">
        <v>0</v>
      </c>
      <c r="S125" s="6">
        <v>350</v>
      </c>
    </row>
    <row r="126" spans="1:19" ht="15" hidden="1" x14ac:dyDescent="0.25">
      <c r="A126" s="7" t="s">
        <v>16</v>
      </c>
      <c r="B126" s="7" t="s">
        <v>17</v>
      </c>
      <c r="C126" s="7" t="s">
        <v>18</v>
      </c>
      <c r="D126" s="4">
        <v>1011865000116</v>
      </c>
      <c r="E126" s="8" t="s">
        <v>759</v>
      </c>
      <c r="F126" s="8" t="s">
        <v>745</v>
      </c>
      <c r="G126" s="8" t="s">
        <v>59</v>
      </c>
      <c r="H126" s="8" t="s">
        <v>215</v>
      </c>
      <c r="I126" s="3">
        <v>2</v>
      </c>
      <c r="J126" s="8" t="s">
        <v>163</v>
      </c>
      <c r="K126" s="8" t="s">
        <v>164</v>
      </c>
      <c r="L126" s="8" t="s">
        <v>557</v>
      </c>
      <c r="M126" s="1" t="s">
        <v>211</v>
      </c>
      <c r="N126" s="8" t="s">
        <v>212</v>
      </c>
      <c r="O126" s="6">
        <v>0</v>
      </c>
      <c r="P126" s="6">
        <v>0</v>
      </c>
      <c r="Q126" s="6">
        <v>0</v>
      </c>
      <c r="R126" s="6">
        <v>0</v>
      </c>
      <c r="S126" s="6">
        <v>350</v>
      </c>
    </row>
    <row r="127" spans="1:19" ht="15" hidden="1" x14ac:dyDescent="0.25">
      <c r="A127" s="7" t="s">
        <v>16</v>
      </c>
      <c r="B127" s="7" t="s">
        <v>17</v>
      </c>
      <c r="C127" s="7" t="s">
        <v>18</v>
      </c>
      <c r="D127" s="4">
        <v>2476067000203</v>
      </c>
      <c r="E127" s="8" t="s">
        <v>779</v>
      </c>
      <c r="F127" s="8" t="s">
        <v>745</v>
      </c>
      <c r="G127" s="8" t="s">
        <v>59</v>
      </c>
      <c r="H127" s="8" t="s">
        <v>215</v>
      </c>
      <c r="I127" s="3">
        <v>2</v>
      </c>
      <c r="J127" s="8" t="s">
        <v>187</v>
      </c>
      <c r="K127" s="8" t="s">
        <v>188</v>
      </c>
      <c r="L127" s="8" t="s">
        <v>556</v>
      </c>
      <c r="M127" s="1" t="s">
        <v>211</v>
      </c>
      <c r="N127" s="8" t="s">
        <v>212</v>
      </c>
      <c r="O127" s="6">
        <v>0</v>
      </c>
      <c r="P127" s="6">
        <v>0</v>
      </c>
      <c r="Q127" s="6">
        <v>0</v>
      </c>
      <c r="R127" s="6">
        <v>20</v>
      </c>
      <c r="S127" s="6">
        <v>0</v>
      </c>
    </row>
    <row r="128" spans="1:19" ht="15" hidden="1" x14ac:dyDescent="0.25">
      <c r="A128" s="7" t="s">
        <v>16</v>
      </c>
      <c r="B128" s="7" t="s">
        <v>17</v>
      </c>
      <c r="C128" s="7" t="s">
        <v>18</v>
      </c>
      <c r="D128" s="4">
        <v>2476067000203</v>
      </c>
      <c r="E128" s="8" t="s">
        <v>779</v>
      </c>
      <c r="F128" s="8" t="s">
        <v>745</v>
      </c>
      <c r="G128" s="8" t="s">
        <v>59</v>
      </c>
      <c r="H128" s="8" t="s">
        <v>215</v>
      </c>
      <c r="I128" s="3">
        <v>2</v>
      </c>
      <c r="J128" s="8" t="s">
        <v>163</v>
      </c>
      <c r="K128" s="8" t="s">
        <v>164</v>
      </c>
      <c r="L128" s="8" t="s">
        <v>557</v>
      </c>
      <c r="M128" s="1" t="s">
        <v>211</v>
      </c>
      <c r="N128" s="8" t="s">
        <v>212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</row>
    <row r="129" spans="1:19" ht="15" hidden="1" x14ac:dyDescent="0.25">
      <c r="A129" s="7" t="s">
        <v>16</v>
      </c>
      <c r="B129" s="7" t="s">
        <v>17</v>
      </c>
      <c r="C129" s="7" t="s">
        <v>18</v>
      </c>
      <c r="D129" s="4">
        <v>2476067000122</v>
      </c>
      <c r="E129" s="8" t="s">
        <v>778</v>
      </c>
      <c r="F129" s="8" t="s">
        <v>745</v>
      </c>
      <c r="G129" s="8" t="s">
        <v>59</v>
      </c>
      <c r="H129" s="8" t="s">
        <v>215</v>
      </c>
      <c r="I129" s="3">
        <v>2</v>
      </c>
      <c r="J129" s="8" t="s">
        <v>187</v>
      </c>
      <c r="K129" s="8" t="s">
        <v>188</v>
      </c>
      <c r="L129" s="8" t="s">
        <v>556</v>
      </c>
      <c r="M129" s="1" t="s">
        <v>211</v>
      </c>
      <c r="N129" s="8" t="s">
        <v>212</v>
      </c>
      <c r="O129" s="6">
        <v>0</v>
      </c>
      <c r="P129" s="6">
        <v>0</v>
      </c>
      <c r="Q129" s="6">
        <v>0</v>
      </c>
      <c r="R129" s="6">
        <v>0</v>
      </c>
      <c r="S129" s="6">
        <v>15</v>
      </c>
    </row>
    <row r="130" spans="1:19" ht="15" hidden="1" x14ac:dyDescent="0.25">
      <c r="A130" s="7" t="s">
        <v>16</v>
      </c>
      <c r="B130" s="7" t="s">
        <v>17</v>
      </c>
      <c r="C130" s="7" t="s">
        <v>18</v>
      </c>
      <c r="D130" s="4">
        <v>2476067000122</v>
      </c>
      <c r="E130" s="8" t="s">
        <v>778</v>
      </c>
      <c r="F130" s="8" t="s">
        <v>745</v>
      </c>
      <c r="G130" s="8" t="s">
        <v>59</v>
      </c>
      <c r="H130" s="8" t="s">
        <v>215</v>
      </c>
      <c r="I130" s="3">
        <v>2</v>
      </c>
      <c r="J130" s="8" t="s">
        <v>163</v>
      </c>
      <c r="K130" s="8" t="s">
        <v>164</v>
      </c>
      <c r="L130" s="8" t="s">
        <v>557</v>
      </c>
      <c r="M130" s="1" t="s">
        <v>211</v>
      </c>
      <c r="N130" s="8" t="s">
        <v>212</v>
      </c>
      <c r="O130" s="6">
        <v>0</v>
      </c>
      <c r="P130" s="6">
        <v>0</v>
      </c>
      <c r="Q130" s="6">
        <v>0</v>
      </c>
      <c r="R130" s="6">
        <v>0</v>
      </c>
      <c r="S130" s="6">
        <v>15</v>
      </c>
    </row>
    <row r="131" spans="1:19" ht="15" hidden="1" x14ac:dyDescent="0.25">
      <c r="A131" s="7" t="s">
        <v>16</v>
      </c>
      <c r="B131" s="7" t="s">
        <v>17</v>
      </c>
      <c r="C131" s="7" t="s">
        <v>18</v>
      </c>
      <c r="D131" s="4">
        <v>6190522000180</v>
      </c>
      <c r="E131" s="8" t="s">
        <v>813</v>
      </c>
      <c r="F131" s="8" t="s">
        <v>80</v>
      </c>
      <c r="G131" s="8" t="s">
        <v>59</v>
      </c>
      <c r="H131" s="8" t="s">
        <v>215</v>
      </c>
      <c r="I131" s="3">
        <v>2</v>
      </c>
      <c r="J131" s="8" t="s">
        <v>187</v>
      </c>
      <c r="K131" s="8" t="s">
        <v>188</v>
      </c>
      <c r="L131" s="8" t="s">
        <v>556</v>
      </c>
      <c r="M131" s="1" t="s">
        <v>211</v>
      </c>
      <c r="N131" s="8" t="s">
        <v>212</v>
      </c>
      <c r="O131" s="6">
        <v>24</v>
      </c>
      <c r="P131" s="6">
        <v>0</v>
      </c>
      <c r="Q131" s="6">
        <v>0</v>
      </c>
      <c r="R131" s="6">
        <v>0</v>
      </c>
      <c r="S131" s="6">
        <v>0</v>
      </c>
    </row>
    <row r="132" spans="1:19" ht="15" hidden="1" x14ac:dyDescent="0.25">
      <c r="A132" s="7" t="s">
        <v>16</v>
      </c>
      <c r="B132" s="7" t="s">
        <v>17</v>
      </c>
      <c r="C132" s="7" t="s">
        <v>18</v>
      </c>
      <c r="D132" s="4">
        <v>6190522000180</v>
      </c>
      <c r="E132" s="8" t="s">
        <v>813</v>
      </c>
      <c r="F132" s="8" t="s">
        <v>80</v>
      </c>
      <c r="G132" s="8" t="s">
        <v>59</v>
      </c>
      <c r="H132" s="8" t="s">
        <v>215</v>
      </c>
      <c r="I132" s="3">
        <v>2</v>
      </c>
      <c r="J132" s="8" t="s">
        <v>163</v>
      </c>
      <c r="K132" s="8" t="s">
        <v>164</v>
      </c>
      <c r="L132" s="8" t="s">
        <v>557</v>
      </c>
      <c r="M132" s="1" t="s">
        <v>211</v>
      </c>
      <c r="N132" s="8" t="s">
        <v>212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</row>
    <row r="133" spans="1:19" ht="15" hidden="1" x14ac:dyDescent="0.25">
      <c r="A133" s="7" t="s">
        <v>16</v>
      </c>
      <c r="B133" s="7" t="s">
        <v>17</v>
      </c>
      <c r="C133" s="7" t="s">
        <v>18</v>
      </c>
      <c r="D133" s="4">
        <v>15126437000496</v>
      </c>
      <c r="E133" s="8" t="s">
        <v>880</v>
      </c>
      <c r="F133" s="8" t="s">
        <v>777</v>
      </c>
      <c r="G133" s="8" t="s">
        <v>72</v>
      </c>
      <c r="H133" s="8" t="s">
        <v>215</v>
      </c>
      <c r="I133" s="3">
        <v>2</v>
      </c>
      <c r="J133" s="8" t="s">
        <v>165</v>
      </c>
      <c r="K133" s="8" t="s">
        <v>166</v>
      </c>
      <c r="L133" s="8" t="s">
        <v>557</v>
      </c>
      <c r="M133" s="1" t="s">
        <v>211</v>
      </c>
      <c r="N133" s="8" t="s">
        <v>212</v>
      </c>
      <c r="O133" s="6">
        <v>0</v>
      </c>
      <c r="P133" s="6">
        <v>0</v>
      </c>
      <c r="Q133" s="6">
        <v>1</v>
      </c>
      <c r="R133" s="6">
        <v>0</v>
      </c>
      <c r="S133" s="6">
        <v>0</v>
      </c>
    </row>
    <row r="134" spans="1:19" ht="15" hidden="1" x14ac:dyDescent="0.25">
      <c r="A134" s="7" t="s">
        <v>16</v>
      </c>
      <c r="B134" s="7" t="s">
        <v>17</v>
      </c>
      <c r="C134" s="7" t="s">
        <v>18</v>
      </c>
      <c r="D134" s="4">
        <v>15126437000496</v>
      </c>
      <c r="E134" s="8" t="s">
        <v>880</v>
      </c>
      <c r="F134" s="8" t="s">
        <v>777</v>
      </c>
      <c r="G134" s="8" t="s">
        <v>72</v>
      </c>
      <c r="H134" s="8" t="s">
        <v>215</v>
      </c>
      <c r="I134" s="3">
        <v>2</v>
      </c>
      <c r="J134" s="8" t="s">
        <v>201</v>
      </c>
      <c r="K134" s="8" t="s">
        <v>202</v>
      </c>
      <c r="L134" s="8" t="s">
        <v>740</v>
      </c>
      <c r="M134" s="1" t="s">
        <v>211</v>
      </c>
      <c r="N134" s="8" t="s">
        <v>212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</row>
    <row r="135" spans="1:19" ht="15" hidden="1" x14ac:dyDescent="0.25">
      <c r="A135" s="7" t="s">
        <v>16</v>
      </c>
      <c r="B135" s="7" t="s">
        <v>17</v>
      </c>
      <c r="C135" s="7" t="s">
        <v>18</v>
      </c>
      <c r="D135" s="4">
        <v>11006293000130</v>
      </c>
      <c r="E135" s="8" t="s">
        <v>838</v>
      </c>
      <c r="F135" s="8" t="s">
        <v>777</v>
      </c>
      <c r="G135" s="8" t="s">
        <v>72</v>
      </c>
      <c r="H135" s="8" t="s">
        <v>215</v>
      </c>
      <c r="I135" s="3">
        <v>2</v>
      </c>
      <c r="J135" s="8" t="s">
        <v>165</v>
      </c>
      <c r="K135" s="8" t="s">
        <v>166</v>
      </c>
      <c r="L135" s="8" t="s">
        <v>557</v>
      </c>
      <c r="M135" s="1" t="s">
        <v>211</v>
      </c>
      <c r="N135" s="8" t="s">
        <v>212</v>
      </c>
      <c r="O135" s="6">
        <v>0</v>
      </c>
      <c r="P135" s="6">
        <v>0</v>
      </c>
      <c r="Q135" s="6">
        <v>0</v>
      </c>
      <c r="R135" s="6">
        <v>0</v>
      </c>
      <c r="S135" s="6">
        <v>500</v>
      </c>
    </row>
    <row r="136" spans="1:19" ht="15" hidden="1" x14ac:dyDescent="0.25">
      <c r="A136" s="7" t="s">
        <v>16</v>
      </c>
      <c r="B136" s="7" t="s">
        <v>17</v>
      </c>
      <c r="C136" s="7" t="s">
        <v>18</v>
      </c>
      <c r="D136" s="4">
        <v>11006293000130</v>
      </c>
      <c r="E136" s="8" t="s">
        <v>838</v>
      </c>
      <c r="F136" s="8" t="s">
        <v>777</v>
      </c>
      <c r="G136" s="8" t="s">
        <v>72</v>
      </c>
      <c r="H136" s="8" t="s">
        <v>215</v>
      </c>
      <c r="I136" s="3">
        <v>2</v>
      </c>
      <c r="J136" s="8" t="s">
        <v>201</v>
      </c>
      <c r="K136" s="8" t="s">
        <v>202</v>
      </c>
      <c r="L136" s="8" t="s">
        <v>740</v>
      </c>
      <c r="M136" s="1" t="s">
        <v>211</v>
      </c>
      <c r="N136" s="8" t="s">
        <v>212</v>
      </c>
      <c r="O136" s="6">
        <v>0</v>
      </c>
      <c r="P136" s="6">
        <v>0</v>
      </c>
      <c r="Q136" s="6">
        <v>0</v>
      </c>
      <c r="R136" s="6">
        <v>40</v>
      </c>
      <c r="S136" s="6">
        <v>500</v>
      </c>
    </row>
    <row r="137" spans="1:19" ht="15" hidden="1" x14ac:dyDescent="0.25">
      <c r="A137" s="7" t="s">
        <v>16</v>
      </c>
      <c r="B137" s="7" t="s">
        <v>17</v>
      </c>
      <c r="C137" s="7" t="s">
        <v>18</v>
      </c>
      <c r="D137" s="4">
        <v>2284062001170</v>
      </c>
      <c r="E137" s="8" t="s">
        <v>776</v>
      </c>
      <c r="F137" s="8" t="s">
        <v>777</v>
      </c>
      <c r="G137" s="8" t="s">
        <v>72</v>
      </c>
      <c r="H137" s="8" t="s">
        <v>215</v>
      </c>
      <c r="I137" s="3">
        <v>2</v>
      </c>
      <c r="J137" s="8" t="s">
        <v>165</v>
      </c>
      <c r="K137" s="8" t="s">
        <v>166</v>
      </c>
      <c r="L137" s="8" t="s">
        <v>557</v>
      </c>
      <c r="M137" s="1" t="s">
        <v>211</v>
      </c>
      <c r="N137" s="8" t="s">
        <v>212</v>
      </c>
      <c r="O137" s="6">
        <v>0</v>
      </c>
      <c r="P137" s="6">
        <v>0</v>
      </c>
      <c r="Q137" s="6">
        <v>5</v>
      </c>
      <c r="R137" s="6">
        <v>0</v>
      </c>
      <c r="S137" s="6">
        <v>0</v>
      </c>
    </row>
    <row r="138" spans="1:19" ht="15" hidden="1" x14ac:dyDescent="0.25">
      <c r="A138" s="7" t="s">
        <v>16</v>
      </c>
      <c r="B138" s="7" t="s">
        <v>17</v>
      </c>
      <c r="C138" s="7" t="s">
        <v>18</v>
      </c>
      <c r="D138" s="4">
        <v>2284062001170</v>
      </c>
      <c r="E138" s="8" t="s">
        <v>776</v>
      </c>
      <c r="F138" s="8" t="s">
        <v>777</v>
      </c>
      <c r="G138" s="8" t="s">
        <v>72</v>
      </c>
      <c r="H138" s="8" t="s">
        <v>215</v>
      </c>
      <c r="I138" s="3">
        <v>2</v>
      </c>
      <c r="J138" s="8" t="s">
        <v>201</v>
      </c>
      <c r="K138" s="8" t="s">
        <v>202</v>
      </c>
      <c r="L138" s="8" t="s">
        <v>740</v>
      </c>
      <c r="M138" s="1" t="s">
        <v>211</v>
      </c>
      <c r="N138" s="8" t="s">
        <v>212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</row>
    <row r="139" spans="1:19" ht="15" hidden="1" x14ac:dyDescent="0.25">
      <c r="A139" s="7" t="s">
        <v>16</v>
      </c>
      <c r="B139" s="7" t="s">
        <v>17</v>
      </c>
      <c r="C139" s="7" t="s">
        <v>18</v>
      </c>
      <c r="D139" s="4">
        <v>17214149000176</v>
      </c>
      <c r="E139" s="8" t="s">
        <v>1172</v>
      </c>
      <c r="F139" s="8" t="s">
        <v>58</v>
      </c>
      <c r="G139" s="8" t="s">
        <v>54</v>
      </c>
      <c r="H139" s="8" t="s">
        <v>215</v>
      </c>
      <c r="I139" s="3">
        <v>1</v>
      </c>
      <c r="J139" s="8" t="s">
        <v>159</v>
      </c>
      <c r="K139" s="8" t="s">
        <v>160</v>
      </c>
      <c r="L139" s="8" t="s">
        <v>740</v>
      </c>
      <c r="M139" s="1" t="s">
        <v>205</v>
      </c>
      <c r="N139" s="8" t="s">
        <v>206</v>
      </c>
      <c r="O139" s="6">
        <v>0</v>
      </c>
      <c r="P139" s="6">
        <v>0</v>
      </c>
      <c r="Q139" s="6">
        <v>10</v>
      </c>
      <c r="R139" s="6">
        <v>0</v>
      </c>
      <c r="S139" s="6">
        <v>0</v>
      </c>
    </row>
    <row r="140" spans="1:19" ht="15" hidden="1" x14ac:dyDescent="0.25">
      <c r="A140" s="7" t="s">
        <v>16</v>
      </c>
      <c r="B140" s="7" t="s">
        <v>17</v>
      </c>
      <c r="C140" s="7" t="s">
        <v>18</v>
      </c>
      <c r="D140" s="4">
        <v>410960000120</v>
      </c>
      <c r="E140" s="8" t="s">
        <v>1137</v>
      </c>
      <c r="F140" s="8" t="s">
        <v>58</v>
      </c>
      <c r="G140" s="8" t="s">
        <v>54</v>
      </c>
      <c r="H140" s="8" t="s">
        <v>215</v>
      </c>
      <c r="I140" s="3">
        <v>1</v>
      </c>
      <c r="J140" s="8" t="s">
        <v>159</v>
      </c>
      <c r="K140" s="8" t="s">
        <v>160</v>
      </c>
      <c r="L140" s="8" t="s">
        <v>740</v>
      </c>
      <c r="M140" s="1" t="s">
        <v>205</v>
      </c>
      <c r="N140" s="8" t="s">
        <v>206</v>
      </c>
      <c r="O140" s="6">
        <v>0</v>
      </c>
      <c r="P140" s="6">
        <v>0</v>
      </c>
      <c r="Q140" s="6">
        <v>0</v>
      </c>
      <c r="R140" s="6">
        <v>36</v>
      </c>
      <c r="S140" s="6">
        <v>882</v>
      </c>
    </row>
    <row r="141" spans="1:19" ht="15" hidden="1" x14ac:dyDescent="0.25">
      <c r="A141" s="7" t="s">
        <v>16</v>
      </c>
      <c r="B141" s="7" t="s">
        <v>17</v>
      </c>
      <c r="C141" s="7" t="s">
        <v>18</v>
      </c>
      <c r="D141" s="4">
        <v>16676520000159</v>
      </c>
      <c r="E141" s="8" t="s">
        <v>1168</v>
      </c>
      <c r="F141" s="8" t="s">
        <v>58</v>
      </c>
      <c r="G141" s="8" t="s">
        <v>54</v>
      </c>
      <c r="H141" s="8" t="s">
        <v>215</v>
      </c>
      <c r="I141" s="3">
        <v>1</v>
      </c>
      <c r="J141" s="8" t="s">
        <v>159</v>
      </c>
      <c r="K141" s="8" t="s">
        <v>160</v>
      </c>
      <c r="L141" s="8" t="s">
        <v>740</v>
      </c>
      <c r="M141" s="1" t="s">
        <v>205</v>
      </c>
      <c r="N141" s="8" t="s">
        <v>206</v>
      </c>
      <c r="O141" s="6">
        <v>2</v>
      </c>
      <c r="P141" s="6">
        <v>0</v>
      </c>
      <c r="Q141" s="6">
        <v>0</v>
      </c>
      <c r="R141" s="6">
        <v>0</v>
      </c>
      <c r="S141" s="6">
        <v>0</v>
      </c>
    </row>
    <row r="142" spans="1:19" ht="15" hidden="1" x14ac:dyDescent="0.25">
      <c r="A142" s="7" t="s">
        <v>16</v>
      </c>
      <c r="B142" s="7" t="s">
        <v>17</v>
      </c>
      <c r="C142" s="7" t="s">
        <v>18</v>
      </c>
      <c r="D142" s="4">
        <v>2623693000102</v>
      </c>
      <c r="E142" s="8" t="s">
        <v>1142</v>
      </c>
      <c r="F142" s="8" t="s">
        <v>58</v>
      </c>
      <c r="G142" s="8" t="s">
        <v>54</v>
      </c>
      <c r="H142" s="8" t="s">
        <v>215</v>
      </c>
      <c r="I142" s="3">
        <v>1</v>
      </c>
      <c r="J142" s="8" t="s">
        <v>159</v>
      </c>
      <c r="K142" s="8" t="s">
        <v>160</v>
      </c>
      <c r="L142" s="8" t="s">
        <v>740</v>
      </c>
      <c r="M142" s="1" t="s">
        <v>205</v>
      </c>
      <c r="N142" s="8" t="s">
        <v>206</v>
      </c>
      <c r="O142" s="6">
        <v>0</v>
      </c>
      <c r="P142" s="6">
        <v>0</v>
      </c>
      <c r="Q142" s="6">
        <v>0</v>
      </c>
      <c r="R142" s="6">
        <v>0</v>
      </c>
      <c r="S142" s="6">
        <v>20</v>
      </c>
    </row>
    <row r="143" spans="1:19" ht="15" hidden="1" x14ac:dyDescent="0.25">
      <c r="A143" s="7" t="s">
        <v>16</v>
      </c>
      <c r="B143" s="7" t="s">
        <v>17</v>
      </c>
      <c r="C143" s="7" t="s">
        <v>18</v>
      </c>
      <c r="D143" s="4">
        <v>132229000180</v>
      </c>
      <c r="E143" s="8" t="s">
        <v>1135</v>
      </c>
      <c r="F143" s="8" t="s">
        <v>58</v>
      </c>
      <c r="G143" s="8" t="s">
        <v>54</v>
      </c>
      <c r="H143" s="8" t="s">
        <v>215</v>
      </c>
      <c r="I143" s="3">
        <v>1</v>
      </c>
      <c r="J143" s="8" t="s">
        <v>159</v>
      </c>
      <c r="K143" s="8" t="s">
        <v>160</v>
      </c>
      <c r="L143" s="8" t="s">
        <v>740</v>
      </c>
      <c r="M143" s="1" t="s">
        <v>205</v>
      </c>
      <c r="N143" s="8" t="s">
        <v>206</v>
      </c>
      <c r="O143" s="6">
        <v>0</v>
      </c>
      <c r="P143" s="6">
        <v>0</v>
      </c>
      <c r="Q143" s="6">
        <v>0</v>
      </c>
      <c r="R143" s="6">
        <v>0</v>
      </c>
      <c r="S143" s="6">
        <v>120</v>
      </c>
    </row>
    <row r="144" spans="1:19" ht="15" hidden="1" x14ac:dyDescent="0.25">
      <c r="A144" s="7" t="s">
        <v>16</v>
      </c>
      <c r="B144" s="7" t="s">
        <v>17</v>
      </c>
      <c r="C144" s="7" t="s">
        <v>18</v>
      </c>
      <c r="D144" s="4">
        <v>17376968601</v>
      </c>
      <c r="E144" s="8" t="s">
        <v>1130</v>
      </c>
      <c r="F144" s="8" t="s">
        <v>53</v>
      </c>
      <c r="G144" s="8" t="s">
        <v>54</v>
      </c>
      <c r="H144" s="8" t="s">
        <v>215</v>
      </c>
      <c r="I144" s="3">
        <v>1</v>
      </c>
      <c r="J144" s="8" t="s">
        <v>159</v>
      </c>
      <c r="K144" s="8" t="s">
        <v>160</v>
      </c>
      <c r="L144" s="8" t="s">
        <v>740</v>
      </c>
      <c r="M144" s="1" t="s">
        <v>205</v>
      </c>
      <c r="N144" s="8" t="s">
        <v>206</v>
      </c>
      <c r="O144" s="6">
        <v>24</v>
      </c>
      <c r="P144" s="6">
        <v>0</v>
      </c>
      <c r="Q144" s="6">
        <v>0</v>
      </c>
      <c r="R144" s="6">
        <v>0</v>
      </c>
      <c r="S144" s="6">
        <v>0</v>
      </c>
    </row>
    <row r="145" spans="1:19" ht="15" hidden="1" x14ac:dyDescent="0.25">
      <c r="A145" s="7" t="s">
        <v>16</v>
      </c>
      <c r="B145" s="7" t="s">
        <v>17</v>
      </c>
      <c r="C145" s="7" t="s">
        <v>18</v>
      </c>
      <c r="D145" s="4">
        <v>19878404000100</v>
      </c>
      <c r="E145" s="8" t="s">
        <v>1184</v>
      </c>
      <c r="F145" s="8" t="s">
        <v>89</v>
      </c>
      <c r="G145" s="8" t="s">
        <v>54</v>
      </c>
      <c r="H145" s="8" t="s">
        <v>215</v>
      </c>
      <c r="I145" s="3">
        <v>1</v>
      </c>
      <c r="J145" s="8" t="s">
        <v>159</v>
      </c>
      <c r="K145" s="8" t="s">
        <v>160</v>
      </c>
      <c r="L145" s="8" t="s">
        <v>740</v>
      </c>
      <c r="M145" s="1" t="s">
        <v>205</v>
      </c>
      <c r="N145" s="8" t="s">
        <v>206</v>
      </c>
      <c r="O145" s="6">
        <v>0</v>
      </c>
      <c r="P145" s="6">
        <v>0</v>
      </c>
      <c r="Q145" s="6">
        <v>0</v>
      </c>
      <c r="R145" s="6">
        <v>120</v>
      </c>
      <c r="S145" s="6">
        <v>0</v>
      </c>
    </row>
    <row r="146" spans="1:19" ht="15" hidden="1" x14ac:dyDescent="0.25">
      <c r="A146" s="7" t="s">
        <v>16</v>
      </c>
      <c r="B146" s="7" t="s">
        <v>17</v>
      </c>
      <c r="C146" s="7" t="s">
        <v>18</v>
      </c>
      <c r="D146" s="4">
        <v>21040696000311</v>
      </c>
      <c r="E146" s="8" t="s">
        <v>1190</v>
      </c>
      <c r="F146" s="8" t="s">
        <v>1191</v>
      </c>
      <c r="G146" s="8" t="s">
        <v>54</v>
      </c>
      <c r="H146" s="8" t="s">
        <v>215</v>
      </c>
      <c r="I146" s="3">
        <v>1</v>
      </c>
      <c r="J146" s="8" t="s">
        <v>159</v>
      </c>
      <c r="K146" s="8" t="s">
        <v>160</v>
      </c>
      <c r="L146" s="8" t="s">
        <v>740</v>
      </c>
      <c r="M146" s="1" t="s">
        <v>205</v>
      </c>
      <c r="N146" s="8" t="s">
        <v>206</v>
      </c>
      <c r="O146" s="6">
        <v>0</v>
      </c>
      <c r="P146" s="6">
        <v>0</v>
      </c>
      <c r="Q146" s="6">
        <v>2</v>
      </c>
      <c r="R146" s="6">
        <v>0</v>
      </c>
      <c r="S146" s="6">
        <v>0</v>
      </c>
    </row>
    <row r="147" spans="1:19" ht="15" hidden="1" x14ac:dyDescent="0.25">
      <c r="A147" s="7" t="s">
        <v>16</v>
      </c>
      <c r="B147" s="7" t="s">
        <v>17</v>
      </c>
      <c r="C147" s="7" t="s">
        <v>18</v>
      </c>
      <c r="D147" s="4">
        <v>17689407000928</v>
      </c>
      <c r="E147" s="8" t="s">
        <v>1174</v>
      </c>
      <c r="F147" s="8" t="s">
        <v>88</v>
      </c>
      <c r="G147" s="8" t="s">
        <v>54</v>
      </c>
      <c r="H147" s="8" t="s">
        <v>215</v>
      </c>
      <c r="I147" s="3">
        <v>1</v>
      </c>
      <c r="J147" s="8" t="s">
        <v>159</v>
      </c>
      <c r="K147" s="8" t="s">
        <v>160</v>
      </c>
      <c r="L147" s="8" t="s">
        <v>740</v>
      </c>
      <c r="M147" s="1" t="s">
        <v>205</v>
      </c>
      <c r="N147" s="8" t="s">
        <v>206</v>
      </c>
      <c r="O147" s="6">
        <v>0</v>
      </c>
      <c r="P147" s="6">
        <v>0</v>
      </c>
      <c r="Q147" s="6">
        <v>0</v>
      </c>
      <c r="R147" s="6">
        <v>4</v>
      </c>
      <c r="S147" s="6">
        <v>0</v>
      </c>
    </row>
    <row r="148" spans="1:19" ht="15" hidden="1" x14ac:dyDescent="0.25">
      <c r="A148" s="7" t="s">
        <v>16</v>
      </c>
      <c r="B148" s="7" t="s">
        <v>17</v>
      </c>
      <c r="C148" s="7" t="s">
        <v>18</v>
      </c>
      <c r="D148" s="4">
        <v>23278898000160</v>
      </c>
      <c r="E148" s="8" t="s">
        <v>1194</v>
      </c>
      <c r="F148" s="8" t="s">
        <v>119</v>
      </c>
      <c r="G148" s="8" t="s">
        <v>54</v>
      </c>
      <c r="H148" s="8" t="s">
        <v>215</v>
      </c>
      <c r="I148" s="3">
        <v>1</v>
      </c>
      <c r="J148" s="8" t="s">
        <v>159</v>
      </c>
      <c r="K148" s="8" t="s">
        <v>160</v>
      </c>
      <c r="L148" s="8" t="s">
        <v>740</v>
      </c>
      <c r="M148" s="1" t="s">
        <v>205</v>
      </c>
      <c r="N148" s="8" t="s">
        <v>206</v>
      </c>
      <c r="O148" s="6">
        <v>0</v>
      </c>
      <c r="P148" s="6">
        <v>0</v>
      </c>
      <c r="Q148" s="6">
        <v>0</v>
      </c>
      <c r="R148" s="6">
        <v>0</v>
      </c>
      <c r="S148" s="6">
        <v>120</v>
      </c>
    </row>
    <row r="149" spans="1:19" ht="15" hidden="1" x14ac:dyDescent="0.25">
      <c r="A149" s="7" t="s">
        <v>16</v>
      </c>
      <c r="B149" s="7" t="s">
        <v>17</v>
      </c>
      <c r="C149" s="7" t="s">
        <v>18</v>
      </c>
      <c r="D149" s="4">
        <v>23338387000196</v>
      </c>
      <c r="E149" s="8" t="s">
        <v>1195</v>
      </c>
      <c r="F149" s="8" t="s">
        <v>90</v>
      </c>
      <c r="G149" s="8" t="s">
        <v>54</v>
      </c>
      <c r="H149" s="8" t="s">
        <v>215</v>
      </c>
      <c r="I149" s="3">
        <v>1</v>
      </c>
      <c r="J149" s="8" t="s">
        <v>159</v>
      </c>
      <c r="K149" s="8" t="s">
        <v>160</v>
      </c>
      <c r="L149" s="8" t="s">
        <v>740</v>
      </c>
      <c r="M149" s="1" t="s">
        <v>205</v>
      </c>
      <c r="N149" s="8" t="s">
        <v>206</v>
      </c>
      <c r="O149" s="6">
        <v>0</v>
      </c>
      <c r="P149" s="6">
        <v>0</v>
      </c>
      <c r="Q149" s="6">
        <v>0</v>
      </c>
      <c r="R149" s="6">
        <v>10</v>
      </c>
      <c r="S149" s="6">
        <v>0</v>
      </c>
    </row>
    <row r="150" spans="1:19" ht="15" hidden="1" x14ac:dyDescent="0.25">
      <c r="A150" s="7" t="s">
        <v>16</v>
      </c>
      <c r="B150" s="7" t="s">
        <v>17</v>
      </c>
      <c r="C150" s="7" t="s">
        <v>18</v>
      </c>
      <c r="D150" s="4">
        <v>41781949000234</v>
      </c>
      <c r="E150" s="8" t="s">
        <v>1219</v>
      </c>
      <c r="F150" s="8" t="s">
        <v>1220</v>
      </c>
      <c r="G150" s="8" t="s">
        <v>54</v>
      </c>
      <c r="H150" s="8" t="s">
        <v>215</v>
      </c>
      <c r="I150" s="3">
        <v>1</v>
      </c>
      <c r="J150" s="8" t="s">
        <v>159</v>
      </c>
      <c r="K150" s="8" t="s">
        <v>160</v>
      </c>
      <c r="L150" s="8" t="s">
        <v>740</v>
      </c>
      <c r="M150" s="1" t="s">
        <v>205</v>
      </c>
      <c r="N150" s="8" t="s">
        <v>206</v>
      </c>
      <c r="O150" s="6">
        <v>0</v>
      </c>
      <c r="P150" s="6">
        <v>0</v>
      </c>
      <c r="Q150" s="6">
        <v>0</v>
      </c>
      <c r="R150" s="6">
        <v>0</v>
      </c>
      <c r="S150" s="6">
        <v>150</v>
      </c>
    </row>
    <row r="151" spans="1:19" ht="15" hidden="1" x14ac:dyDescent="0.25">
      <c r="A151" s="7" t="s">
        <v>16</v>
      </c>
      <c r="B151" s="7" t="s">
        <v>17</v>
      </c>
      <c r="C151" s="7" t="s">
        <v>18</v>
      </c>
      <c r="D151" s="4">
        <v>20207543000191</v>
      </c>
      <c r="E151" s="8" t="s">
        <v>1186</v>
      </c>
      <c r="F151" s="8" t="s">
        <v>1171</v>
      </c>
      <c r="G151" s="8" t="s">
        <v>54</v>
      </c>
      <c r="H151" s="8" t="s">
        <v>215</v>
      </c>
      <c r="I151" s="3">
        <v>1</v>
      </c>
      <c r="J151" s="8" t="s">
        <v>159</v>
      </c>
      <c r="K151" s="8" t="s">
        <v>160</v>
      </c>
      <c r="L151" s="8" t="s">
        <v>740</v>
      </c>
      <c r="M151" s="1" t="s">
        <v>205</v>
      </c>
      <c r="N151" s="8" t="s">
        <v>206</v>
      </c>
      <c r="O151" s="6">
        <v>0</v>
      </c>
      <c r="P151" s="6">
        <v>0</v>
      </c>
      <c r="Q151" s="6">
        <v>0</v>
      </c>
      <c r="R151" s="6">
        <v>0</v>
      </c>
      <c r="S151" s="6">
        <v>310</v>
      </c>
    </row>
    <row r="152" spans="1:19" ht="15" hidden="1" x14ac:dyDescent="0.25">
      <c r="A152" s="7" t="s">
        <v>16</v>
      </c>
      <c r="B152" s="7" t="s">
        <v>17</v>
      </c>
      <c r="C152" s="7" t="s">
        <v>18</v>
      </c>
      <c r="D152" s="4">
        <v>25648387000207</v>
      </c>
      <c r="E152" s="8" t="s">
        <v>1201</v>
      </c>
      <c r="F152" s="8" t="s">
        <v>1171</v>
      </c>
      <c r="G152" s="8" t="s">
        <v>54</v>
      </c>
      <c r="H152" s="8" t="s">
        <v>215</v>
      </c>
      <c r="I152" s="3">
        <v>1</v>
      </c>
      <c r="J152" s="8" t="s">
        <v>159</v>
      </c>
      <c r="K152" s="8" t="s">
        <v>160</v>
      </c>
      <c r="L152" s="8" t="s">
        <v>740</v>
      </c>
      <c r="M152" s="1" t="s">
        <v>205</v>
      </c>
      <c r="N152" s="8" t="s">
        <v>206</v>
      </c>
      <c r="O152" s="6">
        <v>0</v>
      </c>
      <c r="P152" s="6">
        <v>0</v>
      </c>
      <c r="Q152" s="6">
        <v>0</v>
      </c>
      <c r="R152" s="6">
        <v>0</v>
      </c>
      <c r="S152" s="6">
        <v>400</v>
      </c>
    </row>
    <row r="153" spans="1:19" ht="15" hidden="1" x14ac:dyDescent="0.25">
      <c r="A153" s="7" t="s">
        <v>16</v>
      </c>
      <c r="B153" s="7" t="s">
        <v>17</v>
      </c>
      <c r="C153" s="7" t="s">
        <v>18</v>
      </c>
      <c r="D153" s="4">
        <v>20150900000122</v>
      </c>
      <c r="E153" s="8" t="s">
        <v>1185</v>
      </c>
      <c r="F153" s="8" t="s">
        <v>1171</v>
      </c>
      <c r="G153" s="8" t="s">
        <v>54</v>
      </c>
      <c r="H153" s="8" t="s">
        <v>215</v>
      </c>
      <c r="I153" s="3">
        <v>1</v>
      </c>
      <c r="J153" s="8" t="s">
        <v>159</v>
      </c>
      <c r="K153" s="8" t="s">
        <v>160</v>
      </c>
      <c r="L153" s="8" t="s">
        <v>740</v>
      </c>
      <c r="M153" s="1" t="s">
        <v>205</v>
      </c>
      <c r="N153" s="8" t="s">
        <v>206</v>
      </c>
      <c r="O153" s="6">
        <v>0</v>
      </c>
      <c r="P153" s="6">
        <v>0</v>
      </c>
      <c r="Q153" s="6">
        <v>0</v>
      </c>
      <c r="R153" s="6">
        <v>6</v>
      </c>
      <c r="S153" s="6">
        <v>0</v>
      </c>
    </row>
    <row r="154" spans="1:19" ht="15" hidden="1" x14ac:dyDescent="0.25">
      <c r="A154" s="7" t="s">
        <v>16</v>
      </c>
      <c r="B154" s="7" t="s">
        <v>17</v>
      </c>
      <c r="C154" s="7" t="s">
        <v>18</v>
      </c>
      <c r="D154" s="4">
        <v>18484378000173</v>
      </c>
      <c r="E154" s="8" t="s">
        <v>1176</v>
      </c>
      <c r="F154" s="8" t="s">
        <v>1171</v>
      </c>
      <c r="G154" s="8" t="s">
        <v>54</v>
      </c>
      <c r="H154" s="8" t="s">
        <v>215</v>
      </c>
      <c r="I154" s="3">
        <v>1</v>
      </c>
      <c r="J154" s="8" t="s">
        <v>159</v>
      </c>
      <c r="K154" s="8" t="s">
        <v>160</v>
      </c>
      <c r="L154" s="8" t="s">
        <v>740</v>
      </c>
      <c r="M154" s="1" t="s">
        <v>205</v>
      </c>
      <c r="N154" s="8" t="s">
        <v>206</v>
      </c>
      <c r="O154" s="6">
        <v>0</v>
      </c>
      <c r="P154" s="6">
        <v>0</v>
      </c>
      <c r="Q154" s="6">
        <v>3</v>
      </c>
      <c r="R154" s="6">
        <v>0</v>
      </c>
      <c r="S154" s="6">
        <v>0</v>
      </c>
    </row>
    <row r="155" spans="1:19" ht="15" hidden="1" x14ac:dyDescent="0.25">
      <c r="A155" s="7" t="s">
        <v>16</v>
      </c>
      <c r="B155" s="7" t="s">
        <v>17</v>
      </c>
      <c r="C155" s="7" t="s">
        <v>18</v>
      </c>
      <c r="D155" s="4">
        <v>17087591000189</v>
      </c>
      <c r="E155" s="8" t="s">
        <v>1170</v>
      </c>
      <c r="F155" s="8" t="s">
        <v>1171</v>
      </c>
      <c r="G155" s="8" t="s">
        <v>54</v>
      </c>
      <c r="H155" s="8" t="s">
        <v>215</v>
      </c>
      <c r="I155" s="3">
        <v>1</v>
      </c>
      <c r="J155" s="8" t="s">
        <v>159</v>
      </c>
      <c r="K155" s="8" t="s">
        <v>160</v>
      </c>
      <c r="L155" s="8" t="s">
        <v>740</v>
      </c>
      <c r="M155" s="1" t="s">
        <v>205</v>
      </c>
      <c r="N155" s="8" t="s">
        <v>206</v>
      </c>
      <c r="O155" s="6">
        <v>0</v>
      </c>
      <c r="P155" s="6">
        <v>0</v>
      </c>
      <c r="Q155" s="6">
        <v>7</v>
      </c>
      <c r="R155" s="6">
        <v>0</v>
      </c>
      <c r="S155" s="6">
        <v>0</v>
      </c>
    </row>
    <row r="156" spans="1:19" ht="15" hidden="1" x14ac:dyDescent="0.25">
      <c r="A156" s="7" t="s">
        <v>16</v>
      </c>
      <c r="B156" s="7" t="s">
        <v>17</v>
      </c>
      <c r="C156" s="7" t="s">
        <v>18</v>
      </c>
      <c r="D156" s="4">
        <v>14408631000159</v>
      </c>
      <c r="E156" s="8" t="s">
        <v>1163</v>
      </c>
      <c r="F156" s="8" t="s">
        <v>1164</v>
      </c>
      <c r="G156" s="8" t="s">
        <v>54</v>
      </c>
      <c r="H156" s="8" t="s">
        <v>215</v>
      </c>
      <c r="I156" s="3">
        <v>1</v>
      </c>
      <c r="J156" s="8" t="s">
        <v>159</v>
      </c>
      <c r="K156" s="8" t="s">
        <v>160</v>
      </c>
      <c r="L156" s="8" t="s">
        <v>740</v>
      </c>
      <c r="M156" s="1" t="s">
        <v>205</v>
      </c>
      <c r="N156" s="8" t="s">
        <v>206</v>
      </c>
      <c r="O156" s="6">
        <v>0</v>
      </c>
      <c r="P156" s="6">
        <v>0</v>
      </c>
      <c r="Q156" s="6">
        <v>0</v>
      </c>
      <c r="R156" s="6">
        <v>8</v>
      </c>
      <c r="S156" s="6">
        <v>0</v>
      </c>
    </row>
    <row r="157" spans="1:19" ht="15" hidden="1" x14ac:dyDescent="0.25">
      <c r="A157" s="7" t="s">
        <v>16</v>
      </c>
      <c r="B157" s="7" t="s">
        <v>17</v>
      </c>
      <c r="C157" s="7" t="s">
        <v>18</v>
      </c>
      <c r="D157" s="4">
        <v>860841000179</v>
      </c>
      <c r="E157" s="8" t="s">
        <v>758</v>
      </c>
      <c r="F157" s="8" t="s">
        <v>64</v>
      </c>
      <c r="G157" s="8" t="s">
        <v>65</v>
      </c>
      <c r="H157" s="8" t="s">
        <v>215</v>
      </c>
      <c r="I157" s="3">
        <v>2</v>
      </c>
      <c r="J157" s="8" t="s">
        <v>187</v>
      </c>
      <c r="K157" s="8" t="s">
        <v>188</v>
      </c>
      <c r="L157" s="8" t="s">
        <v>556</v>
      </c>
      <c r="M157" s="1" t="s">
        <v>211</v>
      </c>
      <c r="N157" s="8" t="s">
        <v>212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</row>
    <row r="158" spans="1:19" ht="15" hidden="1" x14ac:dyDescent="0.25">
      <c r="A158" s="7" t="s">
        <v>16</v>
      </c>
      <c r="B158" s="7" t="s">
        <v>17</v>
      </c>
      <c r="C158" s="7" t="s">
        <v>18</v>
      </c>
      <c r="D158" s="4">
        <v>860841000179</v>
      </c>
      <c r="E158" s="8" t="s">
        <v>758</v>
      </c>
      <c r="F158" s="8" t="s">
        <v>64</v>
      </c>
      <c r="G158" s="8" t="s">
        <v>65</v>
      </c>
      <c r="H158" s="8" t="s">
        <v>215</v>
      </c>
      <c r="I158" s="3">
        <v>2</v>
      </c>
      <c r="J158" s="8" t="s">
        <v>163</v>
      </c>
      <c r="K158" s="8" t="s">
        <v>164</v>
      </c>
      <c r="L158" s="8" t="s">
        <v>557</v>
      </c>
      <c r="M158" s="1" t="s">
        <v>211</v>
      </c>
      <c r="N158" s="8" t="s">
        <v>212</v>
      </c>
      <c r="O158" s="6">
        <v>0</v>
      </c>
      <c r="P158" s="6">
        <v>2</v>
      </c>
      <c r="Q158" s="6">
        <v>0</v>
      </c>
      <c r="R158" s="6">
        <v>0</v>
      </c>
      <c r="S158" s="6">
        <v>0</v>
      </c>
    </row>
    <row r="159" spans="1:19" ht="15" hidden="1" x14ac:dyDescent="0.25">
      <c r="A159" s="7" t="s">
        <v>16</v>
      </c>
      <c r="B159" s="7" t="s">
        <v>17</v>
      </c>
      <c r="C159" s="7" t="s">
        <v>18</v>
      </c>
      <c r="D159" s="4">
        <v>3533726001583</v>
      </c>
      <c r="E159" s="8" t="s">
        <v>788</v>
      </c>
      <c r="F159" s="8" t="s">
        <v>789</v>
      </c>
      <c r="G159" s="8" t="s">
        <v>69</v>
      </c>
      <c r="H159" s="8" t="s">
        <v>215</v>
      </c>
      <c r="I159" s="3">
        <v>2</v>
      </c>
      <c r="J159" s="8" t="s">
        <v>187</v>
      </c>
      <c r="K159" s="8" t="s">
        <v>188</v>
      </c>
      <c r="L159" s="8" t="s">
        <v>556</v>
      </c>
      <c r="M159" s="1" t="s">
        <v>211</v>
      </c>
      <c r="N159" s="8" t="s">
        <v>212</v>
      </c>
      <c r="O159" s="6">
        <v>0</v>
      </c>
      <c r="P159" s="6">
        <v>0</v>
      </c>
      <c r="Q159" s="6">
        <v>0</v>
      </c>
      <c r="R159" s="6">
        <v>36</v>
      </c>
      <c r="S159" s="6">
        <v>130</v>
      </c>
    </row>
    <row r="160" spans="1:19" ht="15" hidden="1" x14ac:dyDescent="0.25">
      <c r="A160" s="7" t="s">
        <v>16</v>
      </c>
      <c r="B160" s="7" t="s">
        <v>17</v>
      </c>
      <c r="C160" s="7" t="s">
        <v>18</v>
      </c>
      <c r="D160" s="4">
        <v>3533726001583</v>
      </c>
      <c r="E160" s="8" t="s">
        <v>788</v>
      </c>
      <c r="F160" s="8" t="s">
        <v>789</v>
      </c>
      <c r="G160" s="8" t="s">
        <v>69</v>
      </c>
      <c r="H160" s="8" t="s">
        <v>215</v>
      </c>
      <c r="I160" s="3">
        <v>2</v>
      </c>
      <c r="J160" s="8" t="s">
        <v>163</v>
      </c>
      <c r="K160" s="8" t="s">
        <v>164</v>
      </c>
      <c r="L160" s="8" t="s">
        <v>557</v>
      </c>
      <c r="M160" s="1" t="s">
        <v>211</v>
      </c>
      <c r="N160" s="8" t="s">
        <v>212</v>
      </c>
      <c r="O160" s="6">
        <v>0</v>
      </c>
      <c r="P160" s="6">
        <v>0</v>
      </c>
      <c r="Q160" s="6">
        <v>0</v>
      </c>
      <c r="R160" s="6">
        <v>0</v>
      </c>
      <c r="S160" s="6">
        <v>130</v>
      </c>
    </row>
    <row r="161" spans="1:19" ht="15" hidden="1" x14ac:dyDescent="0.25">
      <c r="A161" s="7" t="s">
        <v>16</v>
      </c>
      <c r="B161" s="7" t="s">
        <v>17</v>
      </c>
      <c r="C161" s="7" t="s">
        <v>18</v>
      </c>
      <c r="D161" s="4">
        <v>15016827000160</v>
      </c>
      <c r="E161" s="8" t="s">
        <v>877</v>
      </c>
      <c r="F161" s="8" t="s">
        <v>772</v>
      </c>
      <c r="G161" s="8" t="s">
        <v>69</v>
      </c>
      <c r="H161" s="8" t="s">
        <v>215</v>
      </c>
      <c r="I161" s="3">
        <v>2</v>
      </c>
      <c r="J161" s="8" t="s">
        <v>187</v>
      </c>
      <c r="K161" s="8" t="s">
        <v>188</v>
      </c>
      <c r="L161" s="8" t="s">
        <v>556</v>
      </c>
      <c r="M161" s="1" t="s">
        <v>211</v>
      </c>
      <c r="N161" s="8" t="s">
        <v>212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</row>
    <row r="162" spans="1:19" ht="15" hidden="1" x14ac:dyDescent="0.25">
      <c r="A162" s="7" t="s">
        <v>16</v>
      </c>
      <c r="B162" s="7" t="s">
        <v>17</v>
      </c>
      <c r="C162" s="7" t="s">
        <v>18</v>
      </c>
      <c r="D162" s="4">
        <v>15016827000160</v>
      </c>
      <c r="E162" s="8" t="s">
        <v>877</v>
      </c>
      <c r="F162" s="8" t="s">
        <v>772</v>
      </c>
      <c r="G162" s="8" t="s">
        <v>69</v>
      </c>
      <c r="H162" s="8" t="s">
        <v>215</v>
      </c>
      <c r="I162" s="3">
        <v>2</v>
      </c>
      <c r="J162" s="8" t="s">
        <v>163</v>
      </c>
      <c r="K162" s="8" t="s">
        <v>164</v>
      </c>
      <c r="L162" s="8" t="s">
        <v>557</v>
      </c>
      <c r="M162" s="1" t="s">
        <v>211</v>
      </c>
      <c r="N162" s="8" t="s">
        <v>212</v>
      </c>
      <c r="O162" s="6">
        <v>0</v>
      </c>
      <c r="P162" s="6">
        <v>10</v>
      </c>
      <c r="Q162" s="6">
        <v>4</v>
      </c>
      <c r="R162" s="6">
        <v>0</v>
      </c>
      <c r="S162" s="6">
        <v>0</v>
      </c>
    </row>
    <row r="163" spans="1:19" ht="15" hidden="1" x14ac:dyDescent="0.25">
      <c r="A163" s="7" t="s">
        <v>16</v>
      </c>
      <c r="B163" s="7" t="s">
        <v>17</v>
      </c>
      <c r="C163" s="7" t="s">
        <v>18</v>
      </c>
      <c r="D163" s="4">
        <v>1757351000104</v>
      </c>
      <c r="E163" s="8" t="s">
        <v>771</v>
      </c>
      <c r="F163" s="8" t="s">
        <v>772</v>
      </c>
      <c r="G163" s="8" t="s">
        <v>69</v>
      </c>
      <c r="H163" s="8" t="s">
        <v>215</v>
      </c>
      <c r="I163" s="3">
        <v>2</v>
      </c>
      <c r="J163" s="8" t="s">
        <v>187</v>
      </c>
      <c r="K163" s="8" t="s">
        <v>188</v>
      </c>
      <c r="L163" s="8" t="s">
        <v>556</v>
      </c>
      <c r="M163" s="1" t="s">
        <v>211</v>
      </c>
      <c r="N163" s="8" t="s">
        <v>212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</row>
    <row r="164" spans="1:19" ht="15" hidden="1" x14ac:dyDescent="0.25">
      <c r="A164" s="7" t="s">
        <v>16</v>
      </c>
      <c r="B164" s="7" t="s">
        <v>17</v>
      </c>
      <c r="C164" s="7" t="s">
        <v>18</v>
      </c>
      <c r="D164" s="4">
        <v>1757351000104</v>
      </c>
      <c r="E164" s="8" t="s">
        <v>771</v>
      </c>
      <c r="F164" s="8" t="s">
        <v>772</v>
      </c>
      <c r="G164" s="8" t="s">
        <v>69</v>
      </c>
      <c r="H164" s="8" t="s">
        <v>215</v>
      </c>
      <c r="I164" s="3">
        <v>2</v>
      </c>
      <c r="J164" s="8" t="s">
        <v>163</v>
      </c>
      <c r="K164" s="8" t="s">
        <v>164</v>
      </c>
      <c r="L164" s="8" t="s">
        <v>557</v>
      </c>
      <c r="M164" s="1" t="s">
        <v>211</v>
      </c>
      <c r="N164" s="8" t="s">
        <v>212</v>
      </c>
      <c r="O164" s="6">
        <v>0</v>
      </c>
      <c r="P164" s="6">
        <v>6</v>
      </c>
      <c r="Q164" s="6">
        <v>0</v>
      </c>
      <c r="R164" s="6">
        <v>0</v>
      </c>
      <c r="S164" s="6">
        <v>0</v>
      </c>
    </row>
    <row r="165" spans="1:19" ht="15" hidden="1" x14ac:dyDescent="0.25">
      <c r="A165" s="7" t="s">
        <v>16</v>
      </c>
      <c r="B165" s="7" t="s">
        <v>17</v>
      </c>
      <c r="C165" s="7" t="s">
        <v>18</v>
      </c>
      <c r="D165" s="4">
        <v>3925419000142</v>
      </c>
      <c r="E165" s="8" t="s">
        <v>795</v>
      </c>
      <c r="F165" s="8" t="s">
        <v>772</v>
      </c>
      <c r="G165" s="8" t="s">
        <v>69</v>
      </c>
      <c r="H165" s="8" t="s">
        <v>215</v>
      </c>
      <c r="I165" s="3">
        <v>2</v>
      </c>
      <c r="J165" s="8" t="s">
        <v>187</v>
      </c>
      <c r="K165" s="8" t="s">
        <v>188</v>
      </c>
      <c r="L165" s="8" t="s">
        <v>556</v>
      </c>
      <c r="M165" s="1" t="s">
        <v>211</v>
      </c>
      <c r="N165" s="8" t="s">
        <v>212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</row>
    <row r="166" spans="1:19" ht="15" hidden="1" x14ac:dyDescent="0.25">
      <c r="A166" s="7" t="s">
        <v>16</v>
      </c>
      <c r="B166" s="7" t="s">
        <v>17</v>
      </c>
      <c r="C166" s="7" t="s">
        <v>18</v>
      </c>
      <c r="D166" s="4">
        <v>3925419000142</v>
      </c>
      <c r="E166" s="8" t="s">
        <v>795</v>
      </c>
      <c r="F166" s="8" t="s">
        <v>772</v>
      </c>
      <c r="G166" s="8" t="s">
        <v>69</v>
      </c>
      <c r="H166" s="8" t="s">
        <v>215</v>
      </c>
      <c r="I166" s="3">
        <v>2</v>
      </c>
      <c r="J166" s="8" t="s">
        <v>163</v>
      </c>
      <c r="K166" s="8" t="s">
        <v>164</v>
      </c>
      <c r="L166" s="8" t="s">
        <v>557</v>
      </c>
      <c r="M166" s="1" t="s">
        <v>211</v>
      </c>
      <c r="N166" s="8" t="s">
        <v>212</v>
      </c>
      <c r="O166" s="6">
        <v>0</v>
      </c>
      <c r="P166" s="6">
        <v>13</v>
      </c>
      <c r="Q166" s="6">
        <v>0</v>
      </c>
      <c r="R166" s="6">
        <v>0</v>
      </c>
      <c r="S166" s="6">
        <v>0</v>
      </c>
    </row>
    <row r="167" spans="1:19" ht="15" hidden="1" x14ac:dyDescent="0.25">
      <c r="A167" s="7" t="s">
        <v>16</v>
      </c>
      <c r="B167" s="7" t="s">
        <v>17</v>
      </c>
      <c r="C167" s="7" t="s">
        <v>18</v>
      </c>
      <c r="D167" s="4">
        <v>3533726000773</v>
      </c>
      <c r="E167" s="8" t="s">
        <v>787</v>
      </c>
      <c r="F167" s="8" t="s">
        <v>772</v>
      </c>
      <c r="G167" s="8" t="s">
        <v>69</v>
      </c>
      <c r="H167" s="8" t="s">
        <v>215</v>
      </c>
      <c r="I167" s="3">
        <v>2</v>
      </c>
      <c r="J167" s="8" t="s">
        <v>187</v>
      </c>
      <c r="K167" s="8" t="s">
        <v>188</v>
      </c>
      <c r="L167" s="8" t="s">
        <v>556</v>
      </c>
      <c r="M167" s="1" t="s">
        <v>211</v>
      </c>
      <c r="N167" s="8" t="s">
        <v>212</v>
      </c>
      <c r="O167" s="6">
        <v>0</v>
      </c>
      <c r="P167" s="6">
        <v>0</v>
      </c>
      <c r="Q167" s="6">
        <v>0</v>
      </c>
      <c r="R167" s="6">
        <v>0</v>
      </c>
      <c r="S167" s="6">
        <v>30</v>
      </c>
    </row>
    <row r="168" spans="1:19" ht="15" hidden="1" x14ac:dyDescent="0.25">
      <c r="A168" s="7" t="s">
        <v>16</v>
      </c>
      <c r="B168" s="7" t="s">
        <v>17</v>
      </c>
      <c r="C168" s="7" t="s">
        <v>18</v>
      </c>
      <c r="D168" s="4">
        <v>3533726000773</v>
      </c>
      <c r="E168" s="8" t="s">
        <v>787</v>
      </c>
      <c r="F168" s="8" t="s">
        <v>772</v>
      </c>
      <c r="G168" s="8" t="s">
        <v>69</v>
      </c>
      <c r="H168" s="8" t="s">
        <v>215</v>
      </c>
      <c r="I168" s="3">
        <v>2</v>
      </c>
      <c r="J168" s="8" t="s">
        <v>163</v>
      </c>
      <c r="K168" s="8" t="s">
        <v>164</v>
      </c>
      <c r="L168" s="8" t="s">
        <v>557</v>
      </c>
      <c r="M168" s="1" t="s">
        <v>211</v>
      </c>
      <c r="N168" s="8" t="s">
        <v>212</v>
      </c>
      <c r="O168" s="6">
        <v>0</v>
      </c>
      <c r="P168" s="6">
        <v>0</v>
      </c>
      <c r="Q168" s="6">
        <v>0</v>
      </c>
      <c r="R168" s="6">
        <v>0</v>
      </c>
      <c r="S168" s="6">
        <v>30</v>
      </c>
    </row>
    <row r="169" spans="1:19" ht="15" hidden="1" x14ac:dyDescent="0.25">
      <c r="A169" s="7" t="s">
        <v>16</v>
      </c>
      <c r="B169" s="7" t="s">
        <v>17</v>
      </c>
      <c r="C169" s="7" t="s">
        <v>18</v>
      </c>
      <c r="D169" s="4">
        <v>1383835000130</v>
      </c>
      <c r="E169" s="8" t="s">
        <v>763</v>
      </c>
      <c r="F169" s="8" t="s">
        <v>114</v>
      </c>
      <c r="G169" s="8" t="s">
        <v>69</v>
      </c>
      <c r="H169" s="8" t="s">
        <v>215</v>
      </c>
      <c r="I169" s="3">
        <v>2</v>
      </c>
      <c r="J169" s="8" t="s">
        <v>187</v>
      </c>
      <c r="K169" s="8" t="s">
        <v>188</v>
      </c>
      <c r="L169" s="8" t="s">
        <v>556</v>
      </c>
      <c r="M169" s="1" t="s">
        <v>211</v>
      </c>
      <c r="N169" s="8" t="s">
        <v>212</v>
      </c>
      <c r="O169" s="6">
        <v>0</v>
      </c>
      <c r="P169" s="6">
        <v>0</v>
      </c>
      <c r="Q169" s="6">
        <v>0</v>
      </c>
      <c r="R169" s="6">
        <v>0</v>
      </c>
      <c r="S169" s="6">
        <v>30</v>
      </c>
    </row>
    <row r="170" spans="1:19" ht="15" hidden="1" x14ac:dyDescent="0.25">
      <c r="A170" s="7" t="s">
        <v>16</v>
      </c>
      <c r="B170" s="7" t="s">
        <v>17</v>
      </c>
      <c r="C170" s="7" t="s">
        <v>18</v>
      </c>
      <c r="D170" s="4">
        <v>1383835000130</v>
      </c>
      <c r="E170" s="8" t="s">
        <v>763</v>
      </c>
      <c r="F170" s="8" t="s">
        <v>114</v>
      </c>
      <c r="G170" s="8" t="s">
        <v>69</v>
      </c>
      <c r="H170" s="8" t="s">
        <v>215</v>
      </c>
      <c r="I170" s="3">
        <v>2</v>
      </c>
      <c r="J170" s="8" t="s">
        <v>163</v>
      </c>
      <c r="K170" s="8" t="s">
        <v>164</v>
      </c>
      <c r="L170" s="8" t="s">
        <v>557</v>
      </c>
      <c r="M170" s="1" t="s">
        <v>211</v>
      </c>
      <c r="N170" s="8" t="s">
        <v>212</v>
      </c>
      <c r="O170" s="6">
        <v>0</v>
      </c>
      <c r="P170" s="6">
        <v>0</v>
      </c>
      <c r="Q170" s="6">
        <v>0</v>
      </c>
      <c r="R170" s="6">
        <v>0</v>
      </c>
      <c r="S170" s="6">
        <v>30</v>
      </c>
    </row>
    <row r="171" spans="1:19" ht="15" hidden="1" x14ac:dyDescent="0.25">
      <c r="A171" s="7" t="s">
        <v>16</v>
      </c>
      <c r="B171" s="7" t="s">
        <v>17</v>
      </c>
      <c r="C171" s="7" t="s">
        <v>18</v>
      </c>
      <c r="D171" s="4">
        <v>24676884000752</v>
      </c>
      <c r="E171" s="8" t="s">
        <v>906</v>
      </c>
      <c r="F171" s="8" t="s">
        <v>907</v>
      </c>
      <c r="G171" s="8" t="s">
        <v>69</v>
      </c>
      <c r="H171" s="8" t="s">
        <v>215</v>
      </c>
      <c r="I171" s="3">
        <v>2</v>
      </c>
      <c r="J171" s="8" t="s">
        <v>187</v>
      </c>
      <c r="K171" s="8" t="s">
        <v>188</v>
      </c>
      <c r="L171" s="8" t="s">
        <v>556</v>
      </c>
      <c r="M171" s="1" t="s">
        <v>211</v>
      </c>
      <c r="N171" s="8" t="s">
        <v>212</v>
      </c>
      <c r="O171" s="6">
        <v>0</v>
      </c>
      <c r="P171" s="6">
        <v>0</v>
      </c>
      <c r="Q171" s="6">
        <v>0</v>
      </c>
      <c r="R171" s="6">
        <v>0</v>
      </c>
      <c r="S171" s="6">
        <v>25</v>
      </c>
    </row>
    <row r="172" spans="1:19" ht="15" hidden="1" x14ac:dyDescent="0.25">
      <c r="A172" s="7" t="s">
        <v>16</v>
      </c>
      <c r="B172" s="7" t="s">
        <v>17</v>
      </c>
      <c r="C172" s="7" t="s">
        <v>18</v>
      </c>
      <c r="D172" s="4">
        <v>24676884000752</v>
      </c>
      <c r="E172" s="8" t="s">
        <v>906</v>
      </c>
      <c r="F172" s="8" t="s">
        <v>907</v>
      </c>
      <c r="G172" s="8" t="s">
        <v>69</v>
      </c>
      <c r="H172" s="8" t="s">
        <v>215</v>
      </c>
      <c r="I172" s="3">
        <v>2</v>
      </c>
      <c r="J172" s="8" t="s">
        <v>163</v>
      </c>
      <c r="K172" s="8" t="s">
        <v>164</v>
      </c>
      <c r="L172" s="8" t="s">
        <v>557</v>
      </c>
      <c r="M172" s="1" t="s">
        <v>211</v>
      </c>
      <c r="N172" s="8" t="s">
        <v>212</v>
      </c>
      <c r="O172" s="6">
        <v>0</v>
      </c>
      <c r="P172" s="6">
        <v>0</v>
      </c>
      <c r="Q172" s="6">
        <v>0</v>
      </c>
      <c r="R172" s="6">
        <v>0</v>
      </c>
      <c r="S172" s="6">
        <v>25</v>
      </c>
    </row>
    <row r="173" spans="1:19" ht="15" hidden="1" x14ac:dyDescent="0.25">
      <c r="A173" s="7" t="s">
        <v>16</v>
      </c>
      <c r="B173" s="7" t="s">
        <v>17</v>
      </c>
      <c r="C173" s="7" t="s">
        <v>18</v>
      </c>
      <c r="D173" s="4">
        <v>4966545000370</v>
      </c>
      <c r="E173" s="8" t="s">
        <v>1148</v>
      </c>
      <c r="F173" s="8" t="s">
        <v>1129</v>
      </c>
      <c r="G173" s="8" t="s">
        <v>52</v>
      </c>
      <c r="H173" s="8" t="s">
        <v>215</v>
      </c>
      <c r="I173" s="3">
        <v>1</v>
      </c>
      <c r="J173" s="8" t="s">
        <v>201</v>
      </c>
      <c r="K173" s="8" t="s">
        <v>202</v>
      </c>
      <c r="L173" s="8" t="s">
        <v>740</v>
      </c>
      <c r="M173" s="1" t="s">
        <v>211</v>
      </c>
      <c r="N173" s="8" t="s">
        <v>212</v>
      </c>
      <c r="O173" s="6">
        <v>0</v>
      </c>
      <c r="P173" s="6">
        <v>0</v>
      </c>
      <c r="Q173" s="6">
        <v>0</v>
      </c>
      <c r="R173" s="6">
        <v>0</v>
      </c>
      <c r="S173" s="6">
        <v>80</v>
      </c>
    </row>
    <row r="174" spans="1:19" ht="15" hidden="1" x14ac:dyDescent="0.25">
      <c r="A174" s="7" t="s">
        <v>16</v>
      </c>
      <c r="B174" s="7" t="s">
        <v>17</v>
      </c>
      <c r="C174" s="7" t="s">
        <v>18</v>
      </c>
      <c r="D174" s="4">
        <v>83367342000252</v>
      </c>
      <c r="E174" s="8" t="s">
        <v>1237</v>
      </c>
      <c r="F174" s="8" t="s">
        <v>1129</v>
      </c>
      <c r="G174" s="8" t="s">
        <v>52</v>
      </c>
      <c r="H174" s="8" t="s">
        <v>215</v>
      </c>
      <c r="I174" s="3">
        <v>1</v>
      </c>
      <c r="J174" s="8" t="s">
        <v>201</v>
      </c>
      <c r="K174" s="8" t="s">
        <v>202</v>
      </c>
      <c r="L174" s="8" t="s">
        <v>740</v>
      </c>
      <c r="M174" s="1" t="s">
        <v>211</v>
      </c>
      <c r="N174" s="8" t="s">
        <v>212</v>
      </c>
      <c r="O174" s="6">
        <v>0</v>
      </c>
      <c r="P174" s="6">
        <v>0</v>
      </c>
      <c r="Q174" s="6">
        <v>0</v>
      </c>
      <c r="R174" s="6">
        <v>0</v>
      </c>
      <c r="S174" s="6">
        <v>25</v>
      </c>
    </row>
    <row r="175" spans="1:19" ht="15" hidden="1" x14ac:dyDescent="0.25">
      <c r="A175" s="7" t="s">
        <v>16</v>
      </c>
      <c r="B175" s="7" t="s">
        <v>17</v>
      </c>
      <c r="C175" s="7" t="s">
        <v>18</v>
      </c>
      <c r="D175" s="4">
        <v>91777186234</v>
      </c>
      <c r="E175" s="8" t="s">
        <v>1133</v>
      </c>
      <c r="F175" s="8" t="s">
        <v>1129</v>
      </c>
      <c r="G175" s="8" t="s">
        <v>52</v>
      </c>
      <c r="H175" s="8" t="s">
        <v>215</v>
      </c>
      <c r="I175" s="3">
        <v>1</v>
      </c>
      <c r="J175" s="8" t="s">
        <v>201</v>
      </c>
      <c r="K175" s="8" t="s">
        <v>202</v>
      </c>
      <c r="L175" s="8" t="s">
        <v>740</v>
      </c>
      <c r="M175" s="1" t="s">
        <v>211</v>
      </c>
      <c r="N175" s="8" t="s">
        <v>212</v>
      </c>
      <c r="O175" s="6">
        <v>0</v>
      </c>
      <c r="P175" s="6">
        <v>0</v>
      </c>
      <c r="Q175" s="6">
        <v>0</v>
      </c>
      <c r="R175" s="6">
        <v>36</v>
      </c>
      <c r="S175" s="6">
        <v>0</v>
      </c>
    </row>
    <row r="176" spans="1:19" ht="15" hidden="1" x14ac:dyDescent="0.25">
      <c r="A176" s="7" t="s">
        <v>16</v>
      </c>
      <c r="B176" s="7" t="s">
        <v>17</v>
      </c>
      <c r="C176" s="7" t="s">
        <v>18</v>
      </c>
      <c r="D176" s="4">
        <v>12371009253</v>
      </c>
      <c r="E176" s="8" t="s">
        <v>1128</v>
      </c>
      <c r="F176" s="8" t="s">
        <v>1129</v>
      </c>
      <c r="G176" s="8" t="s">
        <v>52</v>
      </c>
      <c r="H176" s="8" t="s">
        <v>215</v>
      </c>
      <c r="I176" s="3">
        <v>1</v>
      </c>
      <c r="J176" s="8" t="s">
        <v>201</v>
      </c>
      <c r="K176" s="8" t="s">
        <v>202</v>
      </c>
      <c r="L176" s="8" t="s">
        <v>740</v>
      </c>
      <c r="M176" s="1" t="s">
        <v>211</v>
      </c>
      <c r="N176" s="8" t="s">
        <v>212</v>
      </c>
      <c r="O176" s="6">
        <v>0</v>
      </c>
      <c r="P176" s="6">
        <v>0</v>
      </c>
      <c r="Q176" s="6">
        <v>0</v>
      </c>
      <c r="R176" s="6">
        <v>24</v>
      </c>
      <c r="S176" s="6">
        <v>0</v>
      </c>
    </row>
    <row r="177" spans="1:19" ht="15" hidden="1" x14ac:dyDescent="0.25">
      <c r="A177" s="7" t="s">
        <v>16</v>
      </c>
      <c r="B177" s="7" t="s">
        <v>17</v>
      </c>
      <c r="C177" s="7" t="s">
        <v>18</v>
      </c>
      <c r="D177" s="4">
        <v>4201372001028</v>
      </c>
      <c r="E177" s="8" t="s">
        <v>1145</v>
      </c>
      <c r="F177" s="8" t="s">
        <v>1129</v>
      </c>
      <c r="G177" s="8" t="s">
        <v>52</v>
      </c>
      <c r="H177" s="8" t="s">
        <v>215</v>
      </c>
      <c r="I177" s="3">
        <v>1</v>
      </c>
      <c r="J177" s="8" t="s">
        <v>201</v>
      </c>
      <c r="K177" s="8" t="s">
        <v>202</v>
      </c>
      <c r="L177" s="8" t="s">
        <v>740</v>
      </c>
      <c r="M177" s="1" t="s">
        <v>211</v>
      </c>
      <c r="N177" s="8" t="s">
        <v>212</v>
      </c>
      <c r="O177" s="6">
        <v>0</v>
      </c>
      <c r="P177" s="6">
        <v>0</v>
      </c>
      <c r="Q177" s="6">
        <v>0</v>
      </c>
      <c r="R177" s="6">
        <v>40</v>
      </c>
      <c r="S177" s="6">
        <v>0</v>
      </c>
    </row>
    <row r="178" spans="1:19" ht="15" hidden="1" x14ac:dyDescent="0.25">
      <c r="A178" s="7" t="s">
        <v>16</v>
      </c>
      <c r="B178" s="7" t="s">
        <v>17</v>
      </c>
      <c r="C178" s="7" t="s">
        <v>18</v>
      </c>
      <c r="D178" s="4">
        <v>24232886008303</v>
      </c>
      <c r="E178" s="8" t="s">
        <v>1198</v>
      </c>
      <c r="F178" s="8" t="s">
        <v>1199</v>
      </c>
      <c r="G178" s="8" t="s">
        <v>52</v>
      </c>
      <c r="H178" s="8" t="s">
        <v>215</v>
      </c>
      <c r="I178" s="3">
        <v>1</v>
      </c>
      <c r="J178" s="8" t="s">
        <v>201</v>
      </c>
      <c r="K178" s="8" t="s">
        <v>202</v>
      </c>
      <c r="L178" s="8" t="s">
        <v>740</v>
      </c>
      <c r="M178" s="1" t="s">
        <v>211</v>
      </c>
      <c r="N178" s="8" t="s">
        <v>212</v>
      </c>
      <c r="O178" s="6">
        <v>0</v>
      </c>
      <c r="P178" s="6">
        <v>3</v>
      </c>
      <c r="Q178" s="6">
        <v>3</v>
      </c>
      <c r="R178" s="6">
        <v>0</v>
      </c>
      <c r="S178" s="6">
        <v>0</v>
      </c>
    </row>
    <row r="179" spans="1:19" ht="15" hidden="1" x14ac:dyDescent="0.25">
      <c r="A179" s="7" t="s">
        <v>16</v>
      </c>
      <c r="B179" s="7" t="s">
        <v>17</v>
      </c>
      <c r="C179" s="7" t="s">
        <v>18</v>
      </c>
      <c r="D179" s="4">
        <v>83925694404</v>
      </c>
      <c r="E179" s="8" t="s">
        <v>746</v>
      </c>
      <c r="F179" s="8" t="s">
        <v>747</v>
      </c>
      <c r="G179" s="8" t="s">
        <v>56</v>
      </c>
      <c r="H179" s="8" t="s">
        <v>215</v>
      </c>
      <c r="I179" s="3">
        <v>2</v>
      </c>
      <c r="J179" s="8" t="s">
        <v>199</v>
      </c>
      <c r="K179" s="8" t="s">
        <v>200</v>
      </c>
      <c r="L179" s="8" t="s">
        <v>556</v>
      </c>
      <c r="M179" s="1" t="s">
        <v>211</v>
      </c>
      <c r="N179" s="8" t="s">
        <v>212</v>
      </c>
      <c r="O179" s="6">
        <v>24</v>
      </c>
      <c r="P179" s="6">
        <v>0</v>
      </c>
      <c r="Q179" s="6">
        <v>0</v>
      </c>
      <c r="R179" s="6">
        <v>0</v>
      </c>
      <c r="S179" s="6">
        <v>0</v>
      </c>
    </row>
    <row r="180" spans="1:19" ht="15" hidden="1" x14ac:dyDescent="0.25">
      <c r="A180" s="7" t="s">
        <v>16</v>
      </c>
      <c r="B180" s="7" t="s">
        <v>17</v>
      </c>
      <c r="C180" s="7" t="s">
        <v>18</v>
      </c>
      <c r="D180" s="4">
        <v>83925694404</v>
      </c>
      <c r="E180" s="8" t="s">
        <v>746</v>
      </c>
      <c r="F180" s="8" t="s">
        <v>747</v>
      </c>
      <c r="G180" s="8" t="s">
        <v>56</v>
      </c>
      <c r="H180" s="8" t="s">
        <v>215</v>
      </c>
      <c r="I180" s="3">
        <v>2</v>
      </c>
      <c r="J180" s="8" t="s">
        <v>169</v>
      </c>
      <c r="K180" s="8" t="s">
        <v>170</v>
      </c>
      <c r="L180" s="8" t="s">
        <v>557</v>
      </c>
      <c r="M180" s="1" t="s">
        <v>211</v>
      </c>
      <c r="N180" s="8" t="s">
        <v>212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</row>
    <row r="181" spans="1:19" ht="15" hidden="1" x14ac:dyDescent="0.25">
      <c r="A181" s="7" t="s">
        <v>16</v>
      </c>
      <c r="B181" s="7" t="s">
        <v>17</v>
      </c>
      <c r="C181" s="7" t="s">
        <v>18</v>
      </c>
      <c r="D181" s="4">
        <v>8680639000681</v>
      </c>
      <c r="E181" s="8" t="s">
        <v>827</v>
      </c>
      <c r="F181" s="8" t="s">
        <v>747</v>
      </c>
      <c r="G181" s="8" t="s">
        <v>56</v>
      </c>
      <c r="H181" s="8" t="s">
        <v>215</v>
      </c>
      <c r="I181" s="3">
        <v>2</v>
      </c>
      <c r="J181" s="8" t="s">
        <v>199</v>
      </c>
      <c r="K181" s="8" t="s">
        <v>200</v>
      </c>
      <c r="L181" s="8" t="s">
        <v>556</v>
      </c>
      <c r="M181" s="1" t="s">
        <v>211</v>
      </c>
      <c r="N181" s="8" t="s">
        <v>212</v>
      </c>
      <c r="O181" s="6">
        <v>0</v>
      </c>
      <c r="P181" s="6">
        <v>0</v>
      </c>
      <c r="Q181" s="6">
        <v>0</v>
      </c>
      <c r="R181" s="6">
        <v>36</v>
      </c>
      <c r="S181" s="6">
        <v>80</v>
      </c>
    </row>
    <row r="182" spans="1:19" ht="15" hidden="1" x14ac:dyDescent="0.25">
      <c r="A182" s="7" t="s">
        <v>16</v>
      </c>
      <c r="B182" s="7" t="s">
        <v>17</v>
      </c>
      <c r="C182" s="7" t="s">
        <v>18</v>
      </c>
      <c r="D182" s="4">
        <v>8680639000681</v>
      </c>
      <c r="E182" s="8" t="s">
        <v>827</v>
      </c>
      <c r="F182" s="8" t="s">
        <v>747</v>
      </c>
      <c r="G182" s="8" t="s">
        <v>56</v>
      </c>
      <c r="H182" s="8" t="s">
        <v>215</v>
      </c>
      <c r="I182" s="3">
        <v>2</v>
      </c>
      <c r="J182" s="8" t="s">
        <v>169</v>
      </c>
      <c r="K182" s="8" t="s">
        <v>170</v>
      </c>
      <c r="L182" s="8" t="s">
        <v>557</v>
      </c>
      <c r="M182" s="1" t="s">
        <v>211</v>
      </c>
      <c r="N182" s="8" t="s">
        <v>212</v>
      </c>
      <c r="O182" s="6">
        <v>0</v>
      </c>
      <c r="P182" s="6">
        <v>0</v>
      </c>
      <c r="Q182" s="6">
        <v>0</v>
      </c>
      <c r="R182" s="6">
        <v>0</v>
      </c>
      <c r="S182" s="6">
        <v>80</v>
      </c>
    </row>
    <row r="183" spans="1:19" ht="15" hidden="1" x14ac:dyDescent="0.25">
      <c r="A183" s="7" t="s">
        <v>16</v>
      </c>
      <c r="B183" s="7" t="s">
        <v>17</v>
      </c>
      <c r="C183" s="7" t="s">
        <v>18</v>
      </c>
      <c r="D183" s="4">
        <v>3858924000111</v>
      </c>
      <c r="E183" s="8" t="s">
        <v>791</v>
      </c>
      <c r="F183" s="8" t="s">
        <v>115</v>
      </c>
      <c r="G183" s="8" t="s">
        <v>71</v>
      </c>
      <c r="H183" s="8" t="s">
        <v>215</v>
      </c>
      <c r="I183" s="3">
        <v>2</v>
      </c>
      <c r="J183" s="8" t="s">
        <v>199</v>
      </c>
      <c r="K183" s="8" t="s">
        <v>200</v>
      </c>
      <c r="L183" s="8" t="s">
        <v>556</v>
      </c>
      <c r="M183" s="1" t="s">
        <v>211</v>
      </c>
      <c r="N183" s="8" t="s">
        <v>212</v>
      </c>
      <c r="O183" s="6">
        <v>0</v>
      </c>
      <c r="P183" s="6">
        <v>0</v>
      </c>
      <c r="Q183" s="6">
        <v>0</v>
      </c>
      <c r="R183" s="6">
        <v>0</v>
      </c>
      <c r="S183" s="6">
        <v>120</v>
      </c>
    </row>
    <row r="184" spans="1:19" ht="15" hidden="1" x14ac:dyDescent="0.25">
      <c r="A184" s="7" t="s">
        <v>16</v>
      </c>
      <c r="B184" s="7" t="s">
        <v>17</v>
      </c>
      <c r="C184" s="7" t="s">
        <v>18</v>
      </c>
      <c r="D184" s="4">
        <v>3858924000111</v>
      </c>
      <c r="E184" s="8" t="s">
        <v>791</v>
      </c>
      <c r="F184" s="8" t="s">
        <v>115</v>
      </c>
      <c r="G184" s="8" t="s">
        <v>71</v>
      </c>
      <c r="H184" s="8" t="s">
        <v>215</v>
      </c>
      <c r="I184" s="3">
        <v>2</v>
      </c>
      <c r="J184" s="8" t="s">
        <v>169</v>
      </c>
      <c r="K184" s="8" t="s">
        <v>170</v>
      </c>
      <c r="L184" s="8" t="s">
        <v>557</v>
      </c>
      <c r="M184" s="1" t="s">
        <v>211</v>
      </c>
      <c r="N184" s="8" t="s">
        <v>212</v>
      </c>
      <c r="O184" s="6">
        <v>0</v>
      </c>
      <c r="P184" s="6">
        <v>0</v>
      </c>
      <c r="Q184" s="6">
        <v>0</v>
      </c>
      <c r="R184" s="6">
        <v>0</v>
      </c>
      <c r="S184" s="6">
        <v>120</v>
      </c>
    </row>
    <row r="185" spans="1:19" ht="15" hidden="1" x14ac:dyDescent="0.25">
      <c r="A185" s="7" t="s">
        <v>16</v>
      </c>
      <c r="B185" s="7" t="s">
        <v>17</v>
      </c>
      <c r="C185" s="7" t="s">
        <v>18</v>
      </c>
      <c r="D185" s="4">
        <v>10572048000209</v>
      </c>
      <c r="E185" s="8" t="s">
        <v>833</v>
      </c>
      <c r="F185" s="8" t="s">
        <v>70</v>
      </c>
      <c r="G185" s="8" t="s">
        <v>71</v>
      </c>
      <c r="H185" s="8" t="s">
        <v>215</v>
      </c>
      <c r="I185" s="3">
        <v>2</v>
      </c>
      <c r="J185" s="8" t="s">
        <v>199</v>
      </c>
      <c r="K185" s="8" t="s">
        <v>200</v>
      </c>
      <c r="L185" s="8" t="s">
        <v>556</v>
      </c>
      <c r="M185" s="1" t="s">
        <v>211</v>
      </c>
      <c r="N185" s="8" t="s">
        <v>212</v>
      </c>
      <c r="O185" s="6">
        <v>0</v>
      </c>
      <c r="P185" s="6">
        <v>0</v>
      </c>
      <c r="Q185" s="6">
        <v>0</v>
      </c>
      <c r="R185" s="6">
        <v>0</v>
      </c>
      <c r="S185" s="6">
        <v>1535</v>
      </c>
    </row>
    <row r="186" spans="1:19" ht="15" hidden="1" x14ac:dyDescent="0.25">
      <c r="A186" s="7" t="s">
        <v>16</v>
      </c>
      <c r="B186" s="7" t="s">
        <v>17</v>
      </c>
      <c r="C186" s="7" t="s">
        <v>18</v>
      </c>
      <c r="D186" s="4">
        <v>10572048000209</v>
      </c>
      <c r="E186" s="8" t="s">
        <v>833</v>
      </c>
      <c r="F186" s="8" t="s">
        <v>70</v>
      </c>
      <c r="G186" s="8" t="s">
        <v>71</v>
      </c>
      <c r="H186" s="8" t="s">
        <v>215</v>
      </c>
      <c r="I186" s="3">
        <v>2</v>
      </c>
      <c r="J186" s="8" t="s">
        <v>169</v>
      </c>
      <c r="K186" s="8" t="s">
        <v>170</v>
      </c>
      <c r="L186" s="8" t="s">
        <v>557</v>
      </c>
      <c r="M186" s="1" t="s">
        <v>211</v>
      </c>
      <c r="N186" s="8" t="s">
        <v>212</v>
      </c>
      <c r="O186" s="6">
        <v>0</v>
      </c>
      <c r="P186" s="6">
        <v>0</v>
      </c>
      <c r="Q186" s="6">
        <v>0</v>
      </c>
      <c r="R186" s="6">
        <v>0</v>
      </c>
      <c r="S186" s="6">
        <v>1535</v>
      </c>
    </row>
    <row r="187" spans="1:19" ht="15" hidden="1" x14ac:dyDescent="0.25">
      <c r="A187" s="7" t="s">
        <v>16</v>
      </c>
      <c r="B187" s="7" t="s">
        <v>17</v>
      </c>
      <c r="C187" s="7" t="s">
        <v>18</v>
      </c>
      <c r="D187" s="4">
        <v>11452240000143</v>
      </c>
      <c r="E187" s="8" t="s">
        <v>844</v>
      </c>
      <c r="F187" s="8" t="s">
        <v>70</v>
      </c>
      <c r="G187" s="8" t="s">
        <v>71</v>
      </c>
      <c r="H187" s="8" t="s">
        <v>215</v>
      </c>
      <c r="I187" s="3">
        <v>2</v>
      </c>
      <c r="J187" s="8" t="s">
        <v>199</v>
      </c>
      <c r="K187" s="8" t="s">
        <v>200</v>
      </c>
      <c r="L187" s="8" t="s">
        <v>556</v>
      </c>
      <c r="M187" s="1" t="s">
        <v>211</v>
      </c>
      <c r="N187" s="8" t="s">
        <v>212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</row>
    <row r="188" spans="1:19" ht="15" hidden="1" x14ac:dyDescent="0.25">
      <c r="A188" s="7" t="s">
        <v>16</v>
      </c>
      <c r="B188" s="7" t="s">
        <v>17</v>
      </c>
      <c r="C188" s="7" t="s">
        <v>18</v>
      </c>
      <c r="D188" s="4">
        <v>11452240000143</v>
      </c>
      <c r="E188" s="8" t="s">
        <v>844</v>
      </c>
      <c r="F188" s="8" t="s">
        <v>70</v>
      </c>
      <c r="G188" s="8" t="s">
        <v>71</v>
      </c>
      <c r="H188" s="8" t="s">
        <v>215</v>
      </c>
      <c r="I188" s="3">
        <v>2</v>
      </c>
      <c r="J188" s="8" t="s">
        <v>169</v>
      </c>
      <c r="K188" s="8" t="s">
        <v>170</v>
      </c>
      <c r="L188" s="8" t="s">
        <v>557</v>
      </c>
      <c r="M188" s="1" t="s">
        <v>211</v>
      </c>
      <c r="N188" s="8" t="s">
        <v>212</v>
      </c>
      <c r="O188" s="6">
        <v>0</v>
      </c>
      <c r="P188" s="6">
        <v>0</v>
      </c>
      <c r="Q188" s="6">
        <v>6</v>
      </c>
      <c r="R188" s="6">
        <v>0</v>
      </c>
      <c r="S188" s="6">
        <v>0</v>
      </c>
    </row>
    <row r="189" spans="1:19" ht="15" hidden="1" x14ac:dyDescent="0.25">
      <c r="A189" s="7" t="s">
        <v>16</v>
      </c>
      <c r="B189" s="7" t="s">
        <v>17</v>
      </c>
      <c r="C189" s="7" t="s">
        <v>18</v>
      </c>
      <c r="D189" s="4">
        <v>6047087009276</v>
      </c>
      <c r="E189" s="8" t="s">
        <v>812</v>
      </c>
      <c r="F189" s="8" t="s">
        <v>70</v>
      </c>
      <c r="G189" s="8" t="s">
        <v>71</v>
      </c>
      <c r="H189" s="8" t="s">
        <v>215</v>
      </c>
      <c r="I189" s="3">
        <v>2</v>
      </c>
      <c r="J189" s="8" t="s">
        <v>199</v>
      </c>
      <c r="K189" s="8" t="s">
        <v>200</v>
      </c>
      <c r="L189" s="8" t="s">
        <v>556</v>
      </c>
      <c r="M189" s="1" t="s">
        <v>211</v>
      </c>
      <c r="N189" s="8" t="s">
        <v>212</v>
      </c>
      <c r="O189" s="6">
        <v>0</v>
      </c>
      <c r="P189" s="6">
        <v>0</v>
      </c>
      <c r="Q189" s="6">
        <v>0</v>
      </c>
      <c r="R189" s="6">
        <v>0</v>
      </c>
      <c r="S189" s="6">
        <v>300</v>
      </c>
    </row>
    <row r="190" spans="1:19" ht="15" hidden="1" x14ac:dyDescent="0.25">
      <c r="A190" s="7" t="s">
        <v>16</v>
      </c>
      <c r="B190" s="7" t="s">
        <v>17</v>
      </c>
      <c r="C190" s="7" t="s">
        <v>18</v>
      </c>
      <c r="D190" s="4">
        <v>6047087009276</v>
      </c>
      <c r="E190" s="8" t="s">
        <v>812</v>
      </c>
      <c r="F190" s="8" t="s">
        <v>70</v>
      </c>
      <c r="G190" s="8" t="s">
        <v>71</v>
      </c>
      <c r="H190" s="8" t="s">
        <v>215</v>
      </c>
      <c r="I190" s="3">
        <v>2</v>
      </c>
      <c r="J190" s="8" t="s">
        <v>169</v>
      </c>
      <c r="K190" s="8" t="s">
        <v>170</v>
      </c>
      <c r="L190" s="8" t="s">
        <v>557</v>
      </c>
      <c r="M190" s="1" t="s">
        <v>211</v>
      </c>
      <c r="N190" s="8" t="s">
        <v>212</v>
      </c>
      <c r="O190" s="6">
        <v>0</v>
      </c>
      <c r="P190" s="6">
        <v>0</v>
      </c>
      <c r="Q190" s="6">
        <v>0</v>
      </c>
      <c r="R190" s="6">
        <v>0</v>
      </c>
      <c r="S190" s="6">
        <v>300</v>
      </c>
    </row>
    <row r="191" spans="1:19" ht="15" hidden="1" x14ac:dyDescent="0.25">
      <c r="A191" s="7" t="s">
        <v>16</v>
      </c>
      <c r="B191" s="7" t="s">
        <v>17</v>
      </c>
      <c r="C191" s="7" t="s">
        <v>18</v>
      </c>
      <c r="D191" s="4">
        <v>10892164000124</v>
      </c>
      <c r="E191" s="8" t="s">
        <v>835</v>
      </c>
      <c r="F191" s="8" t="s">
        <v>70</v>
      </c>
      <c r="G191" s="8" t="s">
        <v>71</v>
      </c>
      <c r="H191" s="8" t="s">
        <v>215</v>
      </c>
      <c r="I191" s="3">
        <v>2</v>
      </c>
      <c r="J191" s="8" t="s">
        <v>199</v>
      </c>
      <c r="K191" s="8" t="s">
        <v>200</v>
      </c>
      <c r="L191" s="8" t="s">
        <v>556</v>
      </c>
      <c r="M191" s="1" t="s">
        <v>211</v>
      </c>
      <c r="N191" s="8" t="s">
        <v>212</v>
      </c>
      <c r="O191" s="6">
        <v>0</v>
      </c>
      <c r="P191" s="6">
        <v>0</v>
      </c>
      <c r="Q191" s="6">
        <v>0</v>
      </c>
      <c r="R191" s="6">
        <v>0</v>
      </c>
      <c r="S191" s="6">
        <v>0</v>
      </c>
    </row>
    <row r="192" spans="1:19" ht="15" hidden="1" x14ac:dyDescent="0.25">
      <c r="A192" s="7" t="s">
        <v>16</v>
      </c>
      <c r="B192" s="7" t="s">
        <v>17</v>
      </c>
      <c r="C192" s="7" t="s">
        <v>18</v>
      </c>
      <c r="D192" s="4">
        <v>10892164000124</v>
      </c>
      <c r="E192" s="8" t="s">
        <v>835</v>
      </c>
      <c r="F192" s="8" t="s">
        <v>70</v>
      </c>
      <c r="G192" s="8" t="s">
        <v>71</v>
      </c>
      <c r="H192" s="8" t="s">
        <v>215</v>
      </c>
      <c r="I192" s="3">
        <v>2</v>
      </c>
      <c r="J192" s="8" t="s">
        <v>169</v>
      </c>
      <c r="K192" s="8" t="s">
        <v>170</v>
      </c>
      <c r="L192" s="8" t="s">
        <v>557</v>
      </c>
      <c r="M192" s="1" t="s">
        <v>211</v>
      </c>
      <c r="N192" s="8" t="s">
        <v>212</v>
      </c>
      <c r="O192" s="6">
        <v>0</v>
      </c>
      <c r="P192" s="6">
        <v>45</v>
      </c>
      <c r="Q192" s="6">
        <v>17</v>
      </c>
      <c r="R192" s="6">
        <v>0</v>
      </c>
      <c r="S192" s="6">
        <v>0</v>
      </c>
    </row>
    <row r="193" spans="1:19" ht="15" hidden="1" x14ac:dyDescent="0.25">
      <c r="A193" s="7" t="s">
        <v>16</v>
      </c>
      <c r="B193" s="7" t="s">
        <v>17</v>
      </c>
      <c r="C193" s="7" t="s">
        <v>18</v>
      </c>
      <c r="D193" s="4">
        <v>2284062000440</v>
      </c>
      <c r="E193" s="8" t="s">
        <v>775</v>
      </c>
      <c r="F193" s="8" t="s">
        <v>70</v>
      </c>
      <c r="G193" s="8" t="s">
        <v>71</v>
      </c>
      <c r="H193" s="8" t="s">
        <v>215</v>
      </c>
      <c r="I193" s="3">
        <v>2</v>
      </c>
      <c r="J193" s="8" t="s">
        <v>199</v>
      </c>
      <c r="K193" s="8" t="s">
        <v>200</v>
      </c>
      <c r="L193" s="8" t="s">
        <v>556</v>
      </c>
      <c r="M193" s="1" t="s">
        <v>211</v>
      </c>
      <c r="N193" s="8" t="s">
        <v>212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</row>
    <row r="194" spans="1:19" ht="15" hidden="1" x14ac:dyDescent="0.25">
      <c r="A194" s="7" t="s">
        <v>16</v>
      </c>
      <c r="B194" s="7" t="s">
        <v>17</v>
      </c>
      <c r="C194" s="7" t="s">
        <v>18</v>
      </c>
      <c r="D194" s="4">
        <v>2284062000440</v>
      </c>
      <c r="E194" s="8" t="s">
        <v>775</v>
      </c>
      <c r="F194" s="8" t="s">
        <v>70</v>
      </c>
      <c r="G194" s="8" t="s">
        <v>71</v>
      </c>
      <c r="H194" s="8" t="s">
        <v>215</v>
      </c>
      <c r="I194" s="3">
        <v>2</v>
      </c>
      <c r="J194" s="8" t="s">
        <v>169</v>
      </c>
      <c r="K194" s="8" t="s">
        <v>170</v>
      </c>
      <c r="L194" s="8" t="s">
        <v>557</v>
      </c>
      <c r="M194" s="1" t="s">
        <v>211</v>
      </c>
      <c r="N194" s="8" t="s">
        <v>212</v>
      </c>
      <c r="O194" s="6">
        <v>0</v>
      </c>
      <c r="P194" s="6">
        <v>21</v>
      </c>
      <c r="Q194" s="6">
        <v>0</v>
      </c>
      <c r="R194" s="6">
        <v>0</v>
      </c>
      <c r="S194" s="6">
        <v>0</v>
      </c>
    </row>
    <row r="195" spans="1:19" ht="15" hidden="1" x14ac:dyDescent="0.25">
      <c r="A195" s="7" t="s">
        <v>16</v>
      </c>
      <c r="B195" s="7" t="s">
        <v>17</v>
      </c>
      <c r="C195" s="7" t="s">
        <v>18</v>
      </c>
      <c r="D195" s="4">
        <v>10988301000129</v>
      </c>
      <c r="E195" s="8" t="s">
        <v>837</v>
      </c>
      <c r="F195" s="8" t="s">
        <v>70</v>
      </c>
      <c r="G195" s="8" t="s">
        <v>71</v>
      </c>
      <c r="H195" s="8" t="s">
        <v>215</v>
      </c>
      <c r="I195" s="3">
        <v>2</v>
      </c>
      <c r="J195" s="8" t="s">
        <v>199</v>
      </c>
      <c r="K195" s="8" t="s">
        <v>200</v>
      </c>
      <c r="L195" s="8" t="s">
        <v>556</v>
      </c>
      <c r="M195" s="1" t="s">
        <v>211</v>
      </c>
      <c r="N195" s="8" t="s">
        <v>212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</row>
    <row r="196" spans="1:19" ht="15" hidden="1" x14ac:dyDescent="0.25">
      <c r="A196" s="7" t="s">
        <v>16</v>
      </c>
      <c r="B196" s="7" t="s">
        <v>17</v>
      </c>
      <c r="C196" s="7" t="s">
        <v>18</v>
      </c>
      <c r="D196" s="4">
        <v>10988301000129</v>
      </c>
      <c r="E196" s="8" t="s">
        <v>837</v>
      </c>
      <c r="F196" s="8" t="s">
        <v>70</v>
      </c>
      <c r="G196" s="8" t="s">
        <v>71</v>
      </c>
      <c r="H196" s="8" t="s">
        <v>215</v>
      </c>
      <c r="I196" s="3">
        <v>2</v>
      </c>
      <c r="J196" s="8" t="s">
        <v>169</v>
      </c>
      <c r="K196" s="8" t="s">
        <v>170</v>
      </c>
      <c r="L196" s="8" t="s">
        <v>557</v>
      </c>
      <c r="M196" s="1" t="s">
        <v>211</v>
      </c>
      <c r="N196" s="8" t="s">
        <v>212</v>
      </c>
      <c r="O196" s="6">
        <v>0</v>
      </c>
      <c r="P196" s="6">
        <v>10</v>
      </c>
      <c r="Q196" s="6">
        <v>0</v>
      </c>
      <c r="R196" s="6">
        <v>0</v>
      </c>
      <c r="S196" s="6">
        <v>0</v>
      </c>
    </row>
    <row r="197" spans="1:19" ht="15" hidden="1" x14ac:dyDescent="0.25">
      <c r="A197" s="7" t="s">
        <v>16</v>
      </c>
      <c r="B197" s="7" t="s">
        <v>17</v>
      </c>
      <c r="C197" s="7" t="s">
        <v>18</v>
      </c>
      <c r="D197" s="4">
        <v>10839561000132</v>
      </c>
      <c r="E197" s="8" t="s">
        <v>834</v>
      </c>
      <c r="F197" s="8" t="s">
        <v>70</v>
      </c>
      <c r="G197" s="8" t="s">
        <v>71</v>
      </c>
      <c r="H197" s="8" t="s">
        <v>215</v>
      </c>
      <c r="I197" s="3">
        <v>2</v>
      </c>
      <c r="J197" s="8" t="s">
        <v>199</v>
      </c>
      <c r="K197" s="8" t="s">
        <v>200</v>
      </c>
      <c r="L197" s="8" t="s">
        <v>556</v>
      </c>
      <c r="M197" s="1" t="s">
        <v>211</v>
      </c>
      <c r="N197" s="8" t="s">
        <v>212</v>
      </c>
      <c r="O197" s="6">
        <v>0</v>
      </c>
      <c r="P197" s="6">
        <v>0</v>
      </c>
      <c r="Q197" s="6">
        <v>0</v>
      </c>
      <c r="R197" s="6">
        <v>60</v>
      </c>
      <c r="S197" s="6">
        <v>0</v>
      </c>
    </row>
    <row r="198" spans="1:19" ht="15" hidden="1" x14ac:dyDescent="0.25">
      <c r="A198" s="7" t="s">
        <v>16</v>
      </c>
      <c r="B198" s="7" t="s">
        <v>17</v>
      </c>
      <c r="C198" s="7" t="s">
        <v>18</v>
      </c>
      <c r="D198" s="4">
        <v>10839561000132</v>
      </c>
      <c r="E198" s="8" t="s">
        <v>834</v>
      </c>
      <c r="F198" s="8" t="s">
        <v>70</v>
      </c>
      <c r="G198" s="8" t="s">
        <v>71</v>
      </c>
      <c r="H198" s="8" t="s">
        <v>215</v>
      </c>
      <c r="I198" s="3">
        <v>2</v>
      </c>
      <c r="J198" s="8" t="s">
        <v>169</v>
      </c>
      <c r="K198" s="8" t="s">
        <v>170</v>
      </c>
      <c r="L198" s="8" t="s">
        <v>557</v>
      </c>
      <c r="M198" s="1" t="s">
        <v>211</v>
      </c>
      <c r="N198" s="8" t="s">
        <v>212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</row>
    <row r="199" spans="1:19" ht="15" hidden="1" x14ac:dyDescent="0.25">
      <c r="A199" s="7" t="s">
        <v>16</v>
      </c>
      <c r="B199" s="7" t="s">
        <v>17</v>
      </c>
      <c r="C199" s="7" t="s">
        <v>18</v>
      </c>
      <c r="D199" s="4">
        <v>15126437000224</v>
      </c>
      <c r="E199" s="8" t="s">
        <v>878</v>
      </c>
      <c r="F199" s="8" t="s">
        <v>81</v>
      </c>
      <c r="G199" s="8" t="s">
        <v>82</v>
      </c>
      <c r="H199" s="8" t="s">
        <v>215</v>
      </c>
      <c r="I199" s="3">
        <v>2</v>
      </c>
      <c r="J199" s="8" t="s">
        <v>199</v>
      </c>
      <c r="K199" s="8" t="s">
        <v>200</v>
      </c>
      <c r="L199" s="8" t="s">
        <v>556</v>
      </c>
      <c r="M199" s="1" t="s">
        <v>211</v>
      </c>
      <c r="N199" s="8" t="s">
        <v>212</v>
      </c>
      <c r="O199" s="6">
        <v>0</v>
      </c>
      <c r="P199" s="6">
        <v>0</v>
      </c>
      <c r="Q199" s="6">
        <v>0</v>
      </c>
      <c r="R199" s="6">
        <v>0</v>
      </c>
      <c r="S199" s="6">
        <v>0</v>
      </c>
    </row>
    <row r="200" spans="1:19" ht="15" hidden="1" x14ac:dyDescent="0.25">
      <c r="A200" s="7" t="s">
        <v>16</v>
      </c>
      <c r="B200" s="7" t="s">
        <v>17</v>
      </c>
      <c r="C200" s="7" t="s">
        <v>18</v>
      </c>
      <c r="D200" s="4">
        <v>15126437000224</v>
      </c>
      <c r="E200" s="8" t="s">
        <v>878</v>
      </c>
      <c r="F200" s="8" t="s">
        <v>81</v>
      </c>
      <c r="G200" s="8" t="s">
        <v>82</v>
      </c>
      <c r="H200" s="8" t="s">
        <v>215</v>
      </c>
      <c r="I200" s="3">
        <v>2</v>
      </c>
      <c r="J200" s="8" t="s">
        <v>165</v>
      </c>
      <c r="K200" s="8" t="s">
        <v>166</v>
      </c>
      <c r="L200" s="8" t="s">
        <v>557</v>
      </c>
      <c r="M200" s="1" t="s">
        <v>211</v>
      </c>
      <c r="N200" s="8" t="s">
        <v>212</v>
      </c>
      <c r="O200" s="6">
        <v>0</v>
      </c>
      <c r="P200" s="6">
        <v>5</v>
      </c>
      <c r="Q200" s="6">
        <v>0</v>
      </c>
      <c r="R200" s="6">
        <v>0</v>
      </c>
      <c r="S200" s="6">
        <v>0</v>
      </c>
    </row>
    <row r="201" spans="1:19" ht="15" hidden="1" x14ac:dyDescent="0.25">
      <c r="A201" s="7" t="s">
        <v>16</v>
      </c>
      <c r="B201" s="7" t="s">
        <v>17</v>
      </c>
      <c r="C201" s="7" t="s">
        <v>18</v>
      </c>
      <c r="D201" s="4">
        <v>6555031000276</v>
      </c>
      <c r="E201" s="8" t="s">
        <v>815</v>
      </c>
      <c r="F201" s="8" t="s">
        <v>81</v>
      </c>
      <c r="G201" s="8" t="s">
        <v>82</v>
      </c>
      <c r="H201" s="8" t="s">
        <v>215</v>
      </c>
      <c r="I201" s="3">
        <v>2</v>
      </c>
      <c r="J201" s="8" t="s">
        <v>199</v>
      </c>
      <c r="K201" s="8" t="s">
        <v>200</v>
      </c>
      <c r="L201" s="8" t="s">
        <v>556</v>
      </c>
      <c r="M201" s="1" t="s">
        <v>211</v>
      </c>
      <c r="N201" s="8" t="s">
        <v>212</v>
      </c>
      <c r="O201" s="6">
        <v>0</v>
      </c>
      <c r="P201" s="6">
        <v>0</v>
      </c>
      <c r="Q201" s="6">
        <v>0</v>
      </c>
      <c r="R201" s="6">
        <v>12</v>
      </c>
      <c r="S201" s="6">
        <v>0</v>
      </c>
    </row>
    <row r="202" spans="1:19" ht="15" hidden="1" x14ac:dyDescent="0.25">
      <c r="A202" s="7" t="s">
        <v>16</v>
      </c>
      <c r="B202" s="7" t="s">
        <v>17</v>
      </c>
      <c r="C202" s="7" t="s">
        <v>18</v>
      </c>
      <c r="D202" s="4">
        <v>6555031000276</v>
      </c>
      <c r="E202" s="8" t="s">
        <v>815</v>
      </c>
      <c r="F202" s="8" t="s">
        <v>81</v>
      </c>
      <c r="G202" s="8" t="s">
        <v>82</v>
      </c>
      <c r="H202" s="8" t="s">
        <v>215</v>
      </c>
      <c r="I202" s="3">
        <v>2</v>
      </c>
      <c r="J202" s="8" t="s">
        <v>165</v>
      </c>
      <c r="K202" s="8" t="s">
        <v>166</v>
      </c>
      <c r="L202" s="8" t="s">
        <v>557</v>
      </c>
      <c r="M202" s="1" t="s">
        <v>211</v>
      </c>
      <c r="N202" s="8" t="s">
        <v>212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</row>
    <row r="203" spans="1:19" ht="15" hidden="1" x14ac:dyDescent="0.25">
      <c r="A203" s="7" t="s">
        <v>16</v>
      </c>
      <c r="B203" s="7" t="s">
        <v>17</v>
      </c>
      <c r="C203" s="7" t="s">
        <v>18</v>
      </c>
      <c r="D203" s="4">
        <v>63326243000487</v>
      </c>
      <c r="E203" s="8" t="s">
        <v>924</v>
      </c>
      <c r="F203" s="8" t="s">
        <v>81</v>
      </c>
      <c r="G203" s="8" t="s">
        <v>82</v>
      </c>
      <c r="H203" s="8" t="s">
        <v>215</v>
      </c>
      <c r="I203" s="3">
        <v>2</v>
      </c>
      <c r="J203" s="8" t="s">
        <v>199</v>
      </c>
      <c r="K203" s="8" t="s">
        <v>200</v>
      </c>
      <c r="L203" s="8" t="s">
        <v>556</v>
      </c>
      <c r="M203" s="1" t="s">
        <v>211</v>
      </c>
      <c r="N203" s="8" t="s">
        <v>212</v>
      </c>
      <c r="O203" s="6">
        <v>0</v>
      </c>
      <c r="P203" s="6">
        <v>0</v>
      </c>
      <c r="Q203" s="6">
        <v>0</v>
      </c>
      <c r="R203" s="6">
        <v>0</v>
      </c>
      <c r="S203" s="6">
        <v>2</v>
      </c>
    </row>
    <row r="204" spans="1:19" ht="15" hidden="1" x14ac:dyDescent="0.25">
      <c r="A204" s="7" t="s">
        <v>16</v>
      </c>
      <c r="B204" s="7" t="s">
        <v>17</v>
      </c>
      <c r="C204" s="7" t="s">
        <v>18</v>
      </c>
      <c r="D204" s="4">
        <v>63326243000487</v>
      </c>
      <c r="E204" s="8" t="s">
        <v>924</v>
      </c>
      <c r="F204" s="8" t="s">
        <v>81</v>
      </c>
      <c r="G204" s="8" t="s">
        <v>82</v>
      </c>
      <c r="H204" s="8" t="s">
        <v>215</v>
      </c>
      <c r="I204" s="3">
        <v>2</v>
      </c>
      <c r="J204" s="8" t="s">
        <v>165</v>
      </c>
      <c r="K204" s="8" t="s">
        <v>166</v>
      </c>
      <c r="L204" s="8" t="s">
        <v>557</v>
      </c>
      <c r="M204" s="1" t="s">
        <v>211</v>
      </c>
      <c r="N204" s="8" t="s">
        <v>212</v>
      </c>
      <c r="O204" s="6">
        <v>0</v>
      </c>
      <c r="P204" s="6">
        <v>0</v>
      </c>
      <c r="Q204" s="6">
        <v>0</v>
      </c>
      <c r="R204" s="6">
        <v>0</v>
      </c>
      <c r="S204" s="6">
        <v>2</v>
      </c>
    </row>
    <row r="205" spans="1:19" ht="15" hidden="1" x14ac:dyDescent="0.25">
      <c r="A205" s="7" t="s">
        <v>16</v>
      </c>
      <c r="B205" s="7" t="s">
        <v>17</v>
      </c>
      <c r="C205" s="7" t="s">
        <v>18</v>
      </c>
      <c r="D205" s="4">
        <v>7088017000191</v>
      </c>
      <c r="E205" s="8" t="s">
        <v>952</v>
      </c>
      <c r="F205" s="8" t="s">
        <v>117</v>
      </c>
      <c r="G205" s="8" t="s">
        <v>57</v>
      </c>
      <c r="H205" s="8" t="s">
        <v>215</v>
      </c>
      <c r="I205" s="3">
        <v>2</v>
      </c>
      <c r="J205" s="8" t="s">
        <v>175</v>
      </c>
      <c r="K205" s="8" t="s">
        <v>176</v>
      </c>
      <c r="L205" s="8" t="s">
        <v>556</v>
      </c>
      <c r="M205" s="1" t="s">
        <v>205</v>
      </c>
      <c r="N205" s="8" t="s">
        <v>206</v>
      </c>
      <c r="O205" s="6">
        <v>0</v>
      </c>
      <c r="P205" s="6">
        <v>0</v>
      </c>
      <c r="Q205" s="6">
        <v>0</v>
      </c>
      <c r="R205" s="6">
        <v>0</v>
      </c>
      <c r="S205" s="6">
        <v>120</v>
      </c>
    </row>
    <row r="206" spans="1:19" ht="15" hidden="1" x14ac:dyDescent="0.25">
      <c r="A206" s="7" t="s">
        <v>16</v>
      </c>
      <c r="B206" s="7" t="s">
        <v>17</v>
      </c>
      <c r="C206" s="7" t="s">
        <v>18</v>
      </c>
      <c r="D206" s="4">
        <v>7088017000191</v>
      </c>
      <c r="E206" s="8" t="s">
        <v>952</v>
      </c>
      <c r="F206" s="8" t="s">
        <v>117</v>
      </c>
      <c r="G206" s="8" t="s">
        <v>57</v>
      </c>
      <c r="H206" s="8" t="s">
        <v>215</v>
      </c>
      <c r="I206" s="3">
        <v>2</v>
      </c>
      <c r="J206" s="8" t="s">
        <v>157</v>
      </c>
      <c r="K206" s="8" t="s">
        <v>158</v>
      </c>
      <c r="L206" s="8" t="s">
        <v>557</v>
      </c>
      <c r="M206" s="1" t="s">
        <v>205</v>
      </c>
      <c r="N206" s="8" t="s">
        <v>206</v>
      </c>
      <c r="O206" s="6">
        <v>0</v>
      </c>
      <c r="P206" s="6">
        <v>0</v>
      </c>
      <c r="Q206" s="6">
        <v>0</v>
      </c>
      <c r="R206" s="6">
        <v>0</v>
      </c>
      <c r="S206" s="6">
        <v>120</v>
      </c>
    </row>
    <row r="207" spans="1:19" ht="15" hidden="1" x14ac:dyDescent="0.25">
      <c r="A207" s="7" t="s">
        <v>16</v>
      </c>
      <c r="B207" s="7" t="s">
        <v>17</v>
      </c>
      <c r="C207" s="7" t="s">
        <v>18</v>
      </c>
      <c r="D207" s="4">
        <v>21998635000108</v>
      </c>
      <c r="E207" s="8" t="s">
        <v>971</v>
      </c>
      <c r="F207" s="8" t="s">
        <v>112</v>
      </c>
      <c r="G207" s="8" t="s">
        <v>57</v>
      </c>
      <c r="H207" s="8" t="s">
        <v>215</v>
      </c>
      <c r="I207" s="3">
        <v>2</v>
      </c>
      <c r="J207" s="8" t="s">
        <v>175</v>
      </c>
      <c r="K207" s="8" t="s">
        <v>176</v>
      </c>
      <c r="L207" s="8" t="s">
        <v>556</v>
      </c>
      <c r="M207" s="1" t="s">
        <v>205</v>
      </c>
      <c r="N207" s="8" t="s">
        <v>206</v>
      </c>
      <c r="O207" s="6">
        <v>0</v>
      </c>
      <c r="P207" s="6">
        <v>0</v>
      </c>
      <c r="Q207" s="6">
        <v>0</v>
      </c>
      <c r="R207" s="6">
        <v>0</v>
      </c>
      <c r="S207" s="6">
        <v>20</v>
      </c>
    </row>
    <row r="208" spans="1:19" ht="15" hidden="1" x14ac:dyDescent="0.25">
      <c r="A208" s="7" t="s">
        <v>16</v>
      </c>
      <c r="B208" s="7" t="s">
        <v>17</v>
      </c>
      <c r="C208" s="7" t="s">
        <v>18</v>
      </c>
      <c r="D208" s="4">
        <v>21998635000108</v>
      </c>
      <c r="E208" s="8" t="s">
        <v>971</v>
      </c>
      <c r="F208" s="8" t="s">
        <v>112</v>
      </c>
      <c r="G208" s="8" t="s">
        <v>57</v>
      </c>
      <c r="H208" s="8" t="s">
        <v>215</v>
      </c>
      <c r="I208" s="3">
        <v>2</v>
      </c>
      <c r="J208" s="8" t="s">
        <v>157</v>
      </c>
      <c r="K208" s="8" t="s">
        <v>158</v>
      </c>
      <c r="L208" s="8" t="s">
        <v>557</v>
      </c>
      <c r="M208" s="1" t="s">
        <v>205</v>
      </c>
      <c r="N208" s="8" t="s">
        <v>206</v>
      </c>
      <c r="O208" s="6">
        <v>0</v>
      </c>
      <c r="P208" s="6">
        <v>0</v>
      </c>
      <c r="Q208" s="6">
        <v>0</v>
      </c>
      <c r="R208" s="6">
        <v>0</v>
      </c>
      <c r="S208" s="6">
        <v>20</v>
      </c>
    </row>
    <row r="209" spans="1:19" ht="15" hidden="1" x14ac:dyDescent="0.25">
      <c r="A209" s="7" t="s">
        <v>16</v>
      </c>
      <c r="B209" s="7" t="s">
        <v>17</v>
      </c>
      <c r="C209" s="7" t="s">
        <v>18</v>
      </c>
      <c r="D209" s="4">
        <v>7734165000136</v>
      </c>
      <c r="E209" s="8" t="s">
        <v>954</v>
      </c>
      <c r="F209" s="8" t="s">
        <v>94</v>
      </c>
      <c r="G209" s="8" t="s">
        <v>57</v>
      </c>
      <c r="H209" s="8" t="s">
        <v>215</v>
      </c>
      <c r="I209" s="3">
        <v>2</v>
      </c>
      <c r="J209" s="8" t="s">
        <v>175</v>
      </c>
      <c r="K209" s="8" t="s">
        <v>176</v>
      </c>
      <c r="L209" s="8" t="s">
        <v>556</v>
      </c>
      <c r="M209" s="1" t="s">
        <v>205</v>
      </c>
      <c r="N209" s="8" t="s">
        <v>206</v>
      </c>
      <c r="O209" s="6">
        <v>0</v>
      </c>
      <c r="P209" s="6">
        <v>0</v>
      </c>
      <c r="Q209" s="6">
        <v>0</v>
      </c>
      <c r="R209" s="6">
        <v>0</v>
      </c>
      <c r="S209" s="6">
        <v>4500</v>
      </c>
    </row>
    <row r="210" spans="1:19" ht="15" hidden="1" x14ac:dyDescent="0.25">
      <c r="A210" s="7" t="s">
        <v>16</v>
      </c>
      <c r="B210" s="7" t="s">
        <v>17</v>
      </c>
      <c r="C210" s="7" t="s">
        <v>18</v>
      </c>
      <c r="D210" s="4">
        <v>7734165000136</v>
      </c>
      <c r="E210" s="8" t="s">
        <v>954</v>
      </c>
      <c r="F210" s="8" t="s">
        <v>94</v>
      </c>
      <c r="G210" s="8" t="s">
        <v>57</v>
      </c>
      <c r="H210" s="8" t="s">
        <v>215</v>
      </c>
      <c r="I210" s="3">
        <v>2</v>
      </c>
      <c r="J210" s="8" t="s">
        <v>157</v>
      </c>
      <c r="K210" s="8" t="s">
        <v>158</v>
      </c>
      <c r="L210" s="8" t="s">
        <v>557</v>
      </c>
      <c r="M210" s="1" t="s">
        <v>205</v>
      </c>
      <c r="N210" s="8" t="s">
        <v>206</v>
      </c>
      <c r="O210" s="6">
        <v>0</v>
      </c>
      <c r="P210" s="6">
        <v>0</v>
      </c>
      <c r="Q210" s="6">
        <v>0</v>
      </c>
      <c r="R210" s="6">
        <v>0</v>
      </c>
      <c r="S210" s="6">
        <v>4500</v>
      </c>
    </row>
    <row r="211" spans="1:19" ht="15" hidden="1" x14ac:dyDescent="0.25">
      <c r="A211" s="7" t="s">
        <v>16</v>
      </c>
      <c r="B211" s="7" t="s">
        <v>17</v>
      </c>
      <c r="C211" s="7" t="s">
        <v>18</v>
      </c>
      <c r="D211" s="4">
        <v>7404052000172</v>
      </c>
      <c r="E211" s="8" t="s">
        <v>953</v>
      </c>
      <c r="F211" s="8" t="s">
        <v>94</v>
      </c>
      <c r="G211" s="8" t="s">
        <v>57</v>
      </c>
      <c r="H211" s="8" t="s">
        <v>215</v>
      </c>
      <c r="I211" s="3">
        <v>2</v>
      </c>
      <c r="J211" s="8" t="s">
        <v>175</v>
      </c>
      <c r="K211" s="8" t="s">
        <v>176</v>
      </c>
      <c r="L211" s="8" t="s">
        <v>556</v>
      </c>
      <c r="M211" s="1" t="s">
        <v>205</v>
      </c>
      <c r="N211" s="8" t="s">
        <v>206</v>
      </c>
      <c r="O211" s="6">
        <v>0</v>
      </c>
      <c r="P211" s="6">
        <v>0</v>
      </c>
      <c r="Q211" s="6">
        <v>0</v>
      </c>
      <c r="R211" s="6">
        <v>0</v>
      </c>
      <c r="S211" s="6">
        <v>105</v>
      </c>
    </row>
    <row r="212" spans="1:19" ht="15" hidden="1" x14ac:dyDescent="0.25">
      <c r="A212" s="7" t="s">
        <v>16</v>
      </c>
      <c r="B212" s="7" t="s">
        <v>17</v>
      </c>
      <c r="C212" s="7" t="s">
        <v>18</v>
      </c>
      <c r="D212" s="4">
        <v>7404052000172</v>
      </c>
      <c r="E212" s="8" t="s">
        <v>953</v>
      </c>
      <c r="F212" s="8" t="s">
        <v>94</v>
      </c>
      <c r="G212" s="8" t="s">
        <v>57</v>
      </c>
      <c r="H212" s="8" t="s">
        <v>215</v>
      </c>
      <c r="I212" s="3">
        <v>2</v>
      </c>
      <c r="J212" s="8" t="s">
        <v>157</v>
      </c>
      <c r="K212" s="8" t="s">
        <v>158</v>
      </c>
      <c r="L212" s="8" t="s">
        <v>557</v>
      </c>
      <c r="M212" s="1" t="s">
        <v>205</v>
      </c>
      <c r="N212" s="8" t="s">
        <v>206</v>
      </c>
      <c r="O212" s="6">
        <v>0</v>
      </c>
      <c r="P212" s="6">
        <v>0</v>
      </c>
      <c r="Q212" s="6">
        <v>0</v>
      </c>
      <c r="R212" s="6">
        <v>0</v>
      </c>
      <c r="S212" s="6">
        <v>105</v>
      </c>
    </row>
    <row r="213" spans="1:19" ht="15" hidden="1" x14ac:dyDescent="0.25">
      <c r="A213" s="7" t="s">
        <v>16</v>
      </c>
      <c r="B213" s="7" t="s">
        <v>17</v>
      </c>
      <c r="C213" s="7" t="s">
        <v>18</v>
      </c>
      <c r="D213" s="4">
        <v>8597121000174</v>
      </c>
      <c r="E213" s="8" t="s">
        <v>957</v>
      </c>
      <c r="F213" s="8" t="s">
        <v>94</v>
      </c>
      <c r="G213" s="8" t="s">
        <v>57</v>
      </c>
      <c r="H213" s="8" t="s">
        <v>215</v>
      </c>
      <c r="I213" s="3">
        <v>2</v>
      </c>
      <c r="J213" s="8" t="s">
        <v>175</v>
      </c>
      <c r="K213" s="8" t="s">
        <v>176</v>
      </c>
      <c r="L213" s="8" t="s">
        <v>556</v>
      </c>
      <c r="M213" s="1" t="s">
        <v>205</v>
      </c>
      <c r="N213" s="8" t="s">
        <v>206</v>
      </c>
      <c r="O213" s="6">
        <v>0</v>
      </c>
      <c r="P213" s="6">
        <v>0</v>
      </c>
      <c r="Q213" s="6">
        <v>0</v>
      </c>
      <c r="R213" s="6">
        <v>0</v>
      </c>
      <c r="S213" s="6">
        <v>14000</v>
      </c>
    </row>
    <row r="214" spans="1:19" ht="15" hidden="1" x14ac:dyDescent="0.25">
      <c r="A214" s="7" t="s">
        <v>16</v>
      </c>
      <c r="B214" s="7" t="s">
        <v>17</v>
      </c>
      <c r="C214" s="7" t="s">
        <v>18</v>
      </c>
      <c r="D214" s="4">
        <v>8597121000174</v>
      </c>
      <c r="E214" s="8" t="s">
        <v>957</v>
      </c>
      <c r="F214" s="8" t="s">
        <v>94</v>
      </c>
      <c r="G214" s="8" t="s">
        <v>57</v>
      </c>
      <c r="H214" s="8" t="s">
        <v>215</v>
      </c>
      <c r="I214" s="3">
        <v>2</v>
      </c>
      <c r="J214" s="8" t="s">
        <v>157</v>
      </c>
      <c r="K214" s="8" t="s">
        <v>158</v>
      </c>
      <c r="L214" s="8" t="s">
        <v>557</v>
      </c>
      <c r="M214" s="1" t="s">
        <v>205</v>
      </c>
      <c r="N214" s="8" t="s">
        <v>206</v>
      </c>
      <c r="O214" s="6">
        <v>0</v>
      </c>
      <c r="P214" s="6">
        <v>0</v>
      </c>
      <c r="Q214" s="6">
        <v>0</v>
      </c>
      <c r="R214" s="6">
        <v>0</v>
      </c>
      <c r="S214" s="6">
        <v>14000</v>
      </c>
    </row>
    <row r="215" spans="1:19" ht="15" hidden="1" x14ac:dyDescent="0.25">
      <c r="A215" s="7" t="s">
        <v>16</v>
      </c>
      <c r="B215" s="7" t="s">
        <v>17</v>
      </c>
      <c r="C215" s="7" t="s">
        <v>18</v>
      </c>
      <c r="D215" s="4">
        <v>942063000167</v>
      </c>
      <c r="E215" s="8" t="s">
        <v>934</v>
      </c>
      <c r="F215" s="8" t="s">
        <v>94</v>
      </c>
      <c r="G215" s="8" t="s">
        <v>57</v>
      </c>
      <c r="H215" s="8" t="s">
        <v>215</v>
      </c>
      <c r="I215" s="3">
        <v>2</v>
      </c>
      <c r="J215" s="8" t="s">
        <v>175</v>
      </c>
      <c r="K215" s="8" t="s">
        <v>176</v>
      </c>
      <c r="L215" s="8" t="s">
        <v>556</v>
      </c>
      <c r="M215" s="1" t="s">
        <v>205</v>
      </c>
      <c r="N215" s="8" t="s">
        <v>206</v>
      </c>
      <c r="O215" s="6">
        <v>0</v>
      </c>
      <c r="P215" s="6">
        <v>0</v>
      </c>
      <c r="Q215" s="6">
        <v>0</v>
      </c>
      <c r="R215" s="6">
        <v>0</v>
      </c>
      <c r="S215" s="6">
        <v>1115</v>
      </c>
    </row>
    <row r="216" spans="1:19" ht="15" hidden="1" x14ac:dyDescent="0.25">
      <c r="A216" s="7" t="s">
        <v>16</v>
      </c>
      <c r="B216" s="7" t="s">
        <v>17</v>
      </c>
      <c r="C216" s="7" t="s">
        <v>18</v>
      </c>
      <c r="D216" s="4">
        <v>942063000167</v>
      </c>
      <c r="E216" s="8" t="s">
        <v>934</v>
      </c>
      <c r="F216" s="8" t="s">
        <v>94</v>
      </c>
      <c r="G216" s="8" t="s">
        <v>57</v>
      </c>
      <c r="H216" s="8" t="s">
        <v>215</v>
      </c>
      <c r="I216" s="3">
        <v>2</v>
      </c>
      <c r="J216" s="8" t="s">
        <v>157</v>
      </c>
      <c r="K216" s="8" t="s">
        <v>158</v>
      </c>
      <c r="L216" s="8" t="s">
        <v>557</v>
      </c>
      <c r="M216" s="1" t="s">
        <v>205</v>
      </c>
      <c r="N216" s="8" t="s">
        <v>206</v>
      </c>
      <c r="O216" s="6">
        <v>0</v>
      </c>
      <c r="P216" s="6">
        <v>0</v>
      </c>
      <c r="Q216" s="6">
        <v>0</v>
      </c>
      <c r="R216" s="6">
        <v>0</v>
      </c>
      <c r="S216" s="6">
        <v>1115</v>
      </c>
    </row>
    <row r="217" spans="1:19" ht="15" hidden="1" x14ac:dyDescent="0.25">
      <c r="A217" s="7" t="s">
        <v>16</v>
      </c>
      <c r="B217" s="7" t="s">
        <v>17</v>
      </c>
      <c r="C217" s="7" t="s">
        <v>18</v>
      </c>
      <c r="D217" s="4">
        <v>76591569000130</v>
      </c>
      <c r="E217" s="8" t="s">
        <v>985</v>
      </c>
      <c r="F217" s="8" t="s">
        <v>94</v>
      </c>
      <c r="G217" s="8" t="s">
        <v>57</v>
      </c>
      <c r="H217" s="8" t="s">
        <v>215</v>
      </c>
      <c r="I217" s="3">
        <v>2</v>
      </c>
      <c r="J217" s="8" t="s">
        <v>175</v>
      </c>
      <c r="K217" s="8" t="s">
        <v>176</v>
      </c>
      <c r="L217" s="8" t="s">
        <v>556</v>
      </c>
      <c r="M217" s="1" t="s">
        <v>205</v>
      </c>
      <c r="N217" s="8" t="s">
        <v>206</v>
      </c>
      <c r="O217" s="6">
        <v>0</v>
      </c>
      <c r="P217" s="6">
        <v>0</v>
      </c>
      <c r="Q217" s="6">
        <v>0</v>
      </c>
      <c r="R217" s="6">
        <v>24</v>
      </c>
      <c r="S217" s="6">
        <v>200</v>
      </c>
    </row>
    <row r="218" spans="1:19" ht="15" hidden="1" x14ac:dyDescent="0.25">
      <c r="A218" s="7" t="s">
        <v>16</v>
      </c>
      <c r="B218" s="7" t="s">
        <v>17</v>
      </c>
      <c r="C218" s="7" t="s">
        <v>18</v>
      </c>
      <c r="D218" s="4">
        <v>76591569000130</v>
      </c>
      <c r="E218" s="8" t="s">
        <v>985</v>
      </c>
      <c r="F218" s="8" t="s">
        <v>94</v>
      </c>
      <c r="G218" s="8" t="s">
        <v>57</v>
      </c>
      <c r="H218" s="8" t="s">
        <v>215</v>
      </c>
      <c r="I218" s="3">
        <v>2</v>
      </c>
      <c r="J218" s="8" t="s">
        <v>157</v>
      </c>
      <c r="K218" s="8" t="s">
        <v>158</v>
      </c>
      <c r="L218" s="8" t="s">
        <v>557</v>
      </c>
      <c r="M218" s="1" t="s">
        <v>205</v>
      </c>
      <c r="N218" s="8" t="s">
        <v>206</v>
      </c>
      <c r="O218" s="6">
        <v>0</v>
      </c>
      <c r="P218" s="6">
        <v>0</v>
      </c>
      <c r="Q218" s="6">
        <v>0</v>
      </c>
      <c r="R218" s="6">
        <v>0</v>
      </c>
      <c r="S218" s="6">
        <v>200</v>
      </c>
    </row>
    <row r="219" spans="1:19" ht="15" hidden="1" x14ac:dyDescent="0.25">
      <c r="A219" s="7" t="s">
        <v>16</v>
      </c>
      <c r="B219" s="7" t="s">
        <v>17</v>
      </c>
      <c r="C219" s="7" t="s">
        <v>18</v>
      </c>
      <c r="D219" s="4">
        <v>76659820002367</v>
      </c>
      <c r="E219" s="8" t="s">
        <v>986</v>
      </c>
      <c r="F219" s="8" t="s">
        <v>94</v>
      </c>
      <c r="G219" s="8" t="s">
        <v>57</v>
      </c>
      <c r="H219" s="8" t="s">
        <v>215</v>
      </c>
      <c r="I219" s="3">
        <v>2</v>
      </c>
      <c r="J219" s="8" t="s">
        <v>175</v>
      </c>
      <c r="K219" s="8" t="s">
        <v>176</v>
      </c>
      <c r="L219" s="8" t="s">
        <v>556</v>
      </c>
      <c r="M219" s="1" t="s">
        <v>205</v>
      </c>
      <c r="N219" s="8" t="s">
        <v>206</v>
      </c>
      <c r="O219" s="6">
        <v>0</v>
      </c>
      <c r="P219" s="6">
        <v>0</v>
      </c>
      <c r="Q219" s="6">
        <v>0</v>
      </c>
      <c r="R219" s="6">
        <v>0</v>
      </c>
      <c r="S219" s="6">
        <v>40</v>
      </c>
    </row>
    <row r="220" spans="1:19" ht="15" hidden="1" x14ac:dyDescent="0.25">
      <c r="A220" s="7" t="s">
        <v>16</v>
      </c>
      <c r="B220" s="7" t="s">
        <v>17</v>
      </c>
      <c r="C220" s="7" t="s">
        <v>18</v>
      </c>
      <c r="D220" s="4">
        <v>76659820002367</v>
      </c>
      <c r="E220" s="8" t="s">
        <v>986</v>
      </c>
      <c r="F220" s="8" t="s">
        <v>94</v>
      </c>
      <c r="G220" s="8" t="s">
        <v>57</v>
      </c>
      <c r="H220" s="8" t="s">
        <v>215</v>
      </c>
      <c r="I220" s="3">
        <v>2</v>
      </c>
      <c r="J220" s="8" t="s">
        <v>157</v>
      </c>
      <c r="K220" s="8" t="s">
        <v>158</v>
      </c>
      <c r="L220" s="8" t="s">
        <v>557</v>
      </c>
      <c r="M220" s="1" t="s">
        <v>205</v>
      </c>
      <c r="N220" s="8" t="s">
        <v>206</v>
      </c>
      <c r="O220" s="6">
        <v>0</v>
      </c>
      <c r="P220" s="6">
        <v>0</v>
      </c>
      <c r="Q220" s="6">
        <v>0</v>
      </c>
      <c r="R220" s="6">
        <v>0</v>
      </c>
      <c r="S220" s="6">
        <v>40</v>
      </c>
    </row>
    <row r="221" spans="1:19" ht="15" hidden="1" x14ac:dyDescent="0.25">
      <c r="A221" s="7" t="s">
        <v>16</v>
      </c>
      <c r="B221" s="7" t="s">
        <v>17</v>
      </c>
      <c r="C221" s="7" t="s">
        <v>18</v>
      </c>
      <c r="D221" s="4">
        <v>76562198000169</v>
      </c>
      <c r="E221" s="8" t="s">
        <v>984</v>
      </c>
      <c r="F221" s="8" t="s">
        <v>94</v>
      </c>
      <c r="G221" s="8" t="s">
        <v>57</v>
      </c>
      <c r="H221" s="8" t="s">
        <v>215</v>
      </c>
      <c r="I221" s="3">
        <v>2</v>
      </c>
      <c r="J221" s="8" t="s">
        <v>175</v>
      </c>
      <c r="K221" s="8" t="s">
        <v>176</v>
      </c>
      <c r="L221" s="8" t="s">
        <v>556</v>
      </c>
      <c r="M221" s="1" t="s">
        <v>205</v>
      </c>
      <c r="N221" s="8" t="s">
        <v>206</v>
      </c>
      <c r="O221" s="6">
        <v>0</v>
      </c>
      <c r="P221" s="6">
        <v>0</v>
      </c>
      <c r="Q221" s="6">
        <v>0</v>
      </c>
      <c r="R221" s="6">
        <v>0</v>
      </c>
      <c r="S221" s="6">
        <v>28</v>
      </c>
    </row>
    <row r="222" spans="1:19" ht="15" hidden="1" x14ac:dyDescent="0.25">
      <c r="A222" s="7" t="s">
        <v>16</v>
      </c>
      <c r="B222" s="7" t="s">
        <v>17</v>
      </c>
      <c r="C222" s="7" t="s">
        <v>18</v>
      </c>
      <c r="D222" s="4">
        <v>76562198000169</v>
      </c>
      <c r="E222" s="8" t="s">
        <v>984</v>
      </c>
      <c r="F222" s="8" t="s">
        <v>94</v>
      </c>
      <c r="G222" s="8" t="s">
        <v>57</v>
      </c>
      <c r="H222" s="8" t="s">
        <v>215</v>
      </c>
      <c r="I222" s="3">
        <v>2</v>
      </c>
      <c r="J222" s="8" t="s">
        <v>157</v>
      </c>
      <c r="K222" s="8" t="s">
        <v>158</v>
      </c>
      <c r="L222" s="8" t="s">
        <v>557</v>
      </c>
      <c r="M222" s="1" t="s">
        <v>205</v>
      </c>
      <c r="N222" s="8" t="s">
        <v>206</v>
      </c>
      <c r="O222" s="6">
        <v>0</v>
      </c>
      <c r="P222" s="6">
        <v>0</v>
      </c>
      <c r="Q222" s="6">
        <v>0</v>
      </c>
      <c r="R222" s="6">
        <v>0</v>
      </c>
      <c r="S222" s="6">
        <v>28</v>
      </c>
    </row>
    <row r="223" spans="1:19" ht="15" hidden="1" x14ac:dyDescent="0.25">
      <c r="A223" s="7" t="s">
        <v>16</v>
      </c>
      <c r="B223" s="7" t="s">
        <v>17</v>
      </c>
      <c r="C223" s="7" t="s">
        <v>18</v>
      </c>
      <c r="D223" s="4">
        <v>76555069000143</v>
      </c>
      <c r="E223" s="8" t="s">
        <v>983</v>
      </c>
      <c r="F223" s="8" t="s">
        <v>94</v>
      </c>
      <c r="G223" s="8" t="s">
        <v>57</v>
      </c>
      <c r="H223" s="8" t="s">
        <v>215</v>
      </c>
      <c r="I223" s="3">
        <v>2</v>
      </c>
      <c r="J223" s="8" t="s">
        <v>175</v>
      </c>
      <c r="K223" s="8" t="s">
        <v>176</v>
      </c>
      <c r="L223" s="8" t="s">
        <v>556</v>
      </c>
      <c r="M223" s="1" t="s">
        <v>205</v>
      </c>
      <c r="N223" s="8" t="s">
        <v>206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</row>
    <row r="224" spans="1:19" ht="15" hidden="1" x14ac:dyDescent="0.25">
      <c r="A224" s="7" t="s">
        <v>16</v>
      </c>
      <c r="B224" s="7" t="s">
        <v>17</v>
      </c>
      <c r="C224" s="7" t="s">
        <v>18</v>
      </c>
      <c r="D224" s="4">
        <v>76555069000143</v>
      </c>
      <c r="E224" s="8" t="s">
        <v>983</v>
      </c>
      <c r="F224" s="8" t="s">
        <v>94</v>
      </c>
      <c r="G224" s="8" t="s">
        <v>57</v>
      </c>
      <c r="H224" s="8" t="s">
        <v>215</v>
      </c>
      <c r="I224" s="3">
        <v>2</v>
      </c>
      <c r="J224" s="8" t="s">
        <v>157</v>
      </c>
      <c r="K224" s="8" t="s">
        <v>158</v>
      </c>
      <c r="L224" s="8" t="s">
        <v>557</v>
      </c>
      <c r="M224" s="1" t="s">
        <v>205</v>
      </c>
      <c r="N224" s="8" t="s">
        <v>206</v>
      </c>
      <c r="O224" s="6">
        <v>0</v>
      </c>
      <c r="P224" s="6">
        <v>0</v>
      </c>
      <c r="Q224" s="6">
        <v>2</v>
      </c>
      <c r="R224" s="6">
        <v>0</v>
      </c>
      <c r="S224" s="6">
        <v>0</v>
      </c>
    </row>
    <row r="225" spans="1:19" ht="15" hidden="1" x14ac:dyDescent="0.25">
      <c r="A225" s="7" t="s">
        <v>16</v>
      </c>
      <c r="B225" s="7" t="s">
        <v>17</v>
      </c>
      <c r="C225" s="7" t="s">
        <v>18</v>
      </c>
      <c r="D225" s="4">
        <v>29435005005600</v>
      </c>
      <c r="E225" s="8" t="s">
        <v>974</v>
      </c>
      <c r="F225" s="8" t="s">
        <v>94</v>
      </c>
      <c r="G225" s="8" t="s">
        <v>57</v>
      </c>
      <c r="H225" s="8" t="s">
        <v>215</v>
      </c>
      <c r="I225" s="3">
        <v>2</v>
      </c>
      <c r="J225" s="8" t="s">
        <v>175</v>
      </c>
      <c r="K225" s="8" t="s">
        <v>176</v>
      </c>
      <c r="L225" s="8" t="s">
        <v>556</v>
      </c>
      <c r="M225" s="1" t="s">
        <v>205</v>
      </c>
      <c r="N225" s="8" t="s">
        <v>206</v>
      </c>
      <c r="O225" s="6">
        <v>0</v>
      </c>
      <c r="P225" s="6">
        <v>0</v>
      </c>
      <c r="Q225" s="6">
        <v>0</v>
      </c>
      <c r="R225" s="6">
        <v>0</v>
      </c>
      <c r="S225" s="6">
        <v>180</v>
      </c>
    </row>
    <row r="226" spans="1:19" ht="15" hidden="1" x14ac:dyDescent="0.25">
      <c r="A226" s="7" t="s">
        <v>16</v>
      </c>
      <c r="B226" s="7" t="s">
        <v>17</v>
      </c>
      <c r="C226" s="7" t="s">
        <v>18</v>
      </c>
      <c r="D226" s="4">
        <v>29435005005600</v>
      </c>
      <c r="E226" s="8" t="s">
        <v>974</v>
      </c>
      <c r="F226" s="8" t="s">
        <v>94</v>
      </c>
      <c r="G226" s="8" t="s">
        <v>57</v>
      </c>
      <c r="H226" s="8" t="s">
        <v>215</v>
      </c>
      <c r="I226" s="3">
        <v>2</v>
      </c>
      <c r="J226" s="8" t="s">
        <v>157</v>
      </c>
      <c r="K226" s="8" t="s">
        <v>158</v>
      </c>
      <c r="L226" s="8" t="s">
        <v>557</v>
      </c>
      <c r="M226" s="1" t="s">
        <v>205</v>
      </c>
      <c r="N226" s="8" t="s">
        <v>206</v>
      </c>
      <c r="O226" s="6">
        <v>0</v>
      </c>
      <c r="P226" s="6">
        <v>0</v>
      </c>
      <c r="Q226" s="6">
        <v>0</v>
      </c>
      <c r="R226" s="6">
        <v>0</v>
      </c>
      <c r="S226" s="6">
        <v>180</v>
      </c>
    </row>
    <row r="227" spans="1:19" ht="15" hidden="1" x14ac:dyDescent="0.25">
      <c r="A227" s="7" t="s">
        <v>16</v>
      </c>
      <c r="B227" s="7" t="s">
        <v>17</v>
      </c>
      <c r="C227" s="7" t="s">
        <v>18</v>
      </c>
      <c r="D227" s="4">
        <v>3824198000116</v>
      </c>
      <c r="E227" s="8" t="s">
        <v>944</v>
      </c>
      <c r="F227" s="8" t="s">
        <v>94</v>
      </c>
      <c r="G227" s="8" t="s">
        <v>57</v>
      </c>
      <c r="H227" s="8" t="s">
        <v>215</v>
      </c>
      <c r="I227" s="3">
        <v>2</v>
      </c>
      <c r="J227" s="8" t="s">
        <v>175</v>
      </c>
      <c r="K227" s="8" t="s">
        <v>176</v>
      </c>
      <c r="L227" s="8" t="s">
        <v>556</v>
      </c>
      <c r="M227" s="1" t="s">
        <v>205</v>
      </c>
      <c r="N227" s="8" t="s">
        <v>206</v>
      </c>
      <c r="O227" s="6">
        <v>0</v>
      </c>
      <c r="P227" s="6">
        <v>0</v>
      </c>
      <c r="Q227" s="6">
        <v>0</v>
      </c>
      <c r="R227" s="6">
        <v>0</v>
      </c>
      <c r="S227" s="6">
        <v>250</v>
      </c>
    </row>
    <row r="228" spans="1:19" ht="15" hidden="1" x14ac:dyDescent="0.25">
      <c r="A228" s="7" t="s">
        <v>16</v>
      </c>
      <c r="B228" s="7" t="s">
        <v>17</v>
      </c>
      <c r="C228" s="7" t="s">
        <v>18</v>
      </c>
      <c r="D228" s="4">
        <v>3824198000116</v>
      </c>
      <c r="E228" s="8" t="s">
        <v>944</v>
      </c>
      <c r="F228" s="8" t="s">
        <v>94</v>
      </c>
      <c r="G228" s="8" t="s">
        <v>57</v>
      </c>
      <c r="H228" s="8" t="s">
        <v>215</v>
      </c>
      <c r="I228" s="3">
        <v>2</v>
      </c>
      <c r="J228" s="8" t="s">
        <v>157</v>
      </c>
      <c r="K228" s="8" t="s">
        <v>158</v>
      </c>
      <c r="L228" s="8" t="s">
        <v>557</v>
      </c>
      <c r="M228" s="1" t="s">
        <v>205</v>
      </c>
      <c r="N228" s="8" t="s">
        <v>206</v>
      </c>
      <c r="O228" s="6">
        <v>0</v>
      </c>
      <c r="P228" s="6">
        <v>0</v>
      </c>
      <c r="Q228" s="6">
        <v>0</v>
      </c>
      <c r="R228" s="6">
        <v>0</v>
      </c>
      <c r="S228" s="6">
        <v>250</v>
      </c>
    </row>
    <row r="229" spans="1:19" ht="15" hidden="1" x14ac:dyDescent="0.25">
      <c r="A229" s="7" t="s">
        <v>16</v>
      </c>
      <c r="B229" s="7" t="s">
        <v>17</v>
      </c>
      <c r="C229" s="7" t="s">
        <v>18</v>
      </c>
      <c r="D229" s="4">
        <v>3850913000195</v>
      </c>
      <c r="E229" s="8" t="s">
        <v>945</v>
      </c>
      <c r="F229" s="8" t="s">
        <v>94</v>
      </c>
      <c r="G229" s="8" t="s">
        <v>57</v>
      </c>
      <c r="H229" s="8" t="s">
        <v>215</v>
      </c>
      <c r="I229" s="3">
        <v>2</v>
      </c>
      <c r="J229" s="8" t="s">
        <v>175</v>
      </c>
      <c r="K229" s="8" t="s">
        <v>176</v>
      </c>
      <c r="L229" s="8" t="s">
        <v>556</v>
      </c>
      <c r="M229" s="1" t="s">
        <v>205</v>
      </c>
      <c r="N229" s="8" t="s">
        <v>206</v>
      </c>
      <c r="O229" s="6">
        <v>0</v>
      </c>
      <c r="P229" s="6">
        <v>0</v>
      </c>
      <c r="Q229" s="6">
        <v>0</v>
      </c>
      <c r="R229" s="6">
        <v>0</v>
      </c>
      <c r="S229" s="6">
        <v>665</v>
      </c>
    </row>
    <row r="230" spans="1:19" ht="15" hidden="1" x14ac:dyDescent="0.25">
      <c r="A230" s="7" t="s">
        <v>16</v>
      </c>
      <c r="B230" s="7" t="s">
        <v>17</v>
      </c>
      <c r="C230" s="7" t="s">
        <v>18</v>
      </c>
      <c r="D230" s="4">
        <v>3850913000195</v>
      </c>
      <c r="E230" s="8" t="s">
        <v>945</v>
      </c>
      <c r="F230" s="8" t="s">
        <v>94</v>
      </c>
      <c r="G230" s="8" t="s">
        <v>57</v>
      </c>
      <c r="H230" s="8" t="s">
        <v>215</v>
      </c>
      <c r="I230" s="3">
        <v>2</v>
      </c>
      <c r="J230" s="8" t="s">
        <v>157</v>
      </c>
      <c r="K230" s="8" t="s">
        <v>158</v>
      </c>
      <c r="L230" s="8" t="s">
        <v>557</v>
      </c>
      <c r="M230" s="1" t="s">
        <v>205</v>
      </c>
      <c r="N230" s="8" t="s">
        <v>206</v>
      </c>
      <c r="O230" s="6">
        <v>0</v>
      </c>
      <c r="P230" s="6">
        <v>0</v>
      </c>
      <c r="Q230" s="6">
        <v>0</v>
      </c>
      <c r="R230" s="6">
        <v>0</v>
      </c>
      <c r="S230" s="6">
        <v>665</v>
      </c>
    </row>
    <row r="231" spans="1:19" ht="15" hidden="1" x14ac:dyDescent="0.25">
      <c r="A231" s="7" t="s">
        <v>16</v>
      </c>
      <c r="B231" s="7" t="s">
        <v>17</v>
      </c>
      <c r="C231" s="7" t="s">
        <v>18</v>
      </c>
      <c r="D231" s="4">
        <v>2862447000286</v>
      </c>
      <c r="E231" s="8" t="s">
        <v>942</v>
      </c>
      <c r="F231" s="8" t="s">
        <v>94</v>
      </c>
      <c r="G231" s="8" t="s">
        <v>57</v>
      </c>
      <c r="H231" s="8" t="s">
        <v>215</v>
      </c>
      <c r="I231" s="3">
        <v>2</v>
      </c>
      <c r="J231" s="8" t="s">
        <v>175</v>
      </c>
      <c r="K231" s="8" t="s">
        <v>176</v>
      </c>
      <c r="L231" s="8" t="s">
        <v>556</v>
      </c>
      <c r="M231" s="1" t="s">
        <v>205</v>
      </c>
      <c r="N231" s="8" t="s">
        <v>206</v>
      </c>
      <c r="O231" s="6">
        <v>0</v>
      </c>
      <c r="P231" s="6">
        <v>0</v>
      </c>
      <c r="Q231" s="6">
        <v>0</v>
      </c>
      <c r="R231" s="6">
        <v>0</v>
      </c>
      <c r="S231" s="6">
        <v>40</v>
      </c>
    </row>
    <row r="232" spans="1:19" ht="15" hidden="1" x14ac:dyDescent="0.25">
      <c r="A232" s="7" t="s">
        <v>16</v>
      </c>
      <c r="B232" s="7" t="s">
        <v>17</v>
      </c>
      <c r="C232" s="7" t="s">
        <v>18</v>
      </c>
      <c r="D232" s="4">
        <v>2862447000286</v>
      </c>
      <c r="E232" s="8" t="s">
        <v>942</v>
      </c>
      <c r="F232" s="8" t="s">
        <v>94</v>
      </c>
      <c r="G232" s="8" t="s">
        <v>57</v>
      </c>
      <c r="H232" s="8" t="s">
        <v>215</v>
      </c>
      <c r="I232" s="3">
        <v>2</v>
      </c>
      <c r="J232" s="8" t="s">
        <v>157</v>
      </c>
      <c r="K232" s="8" t="s">
        <v>158</v>
      </c>
      <c r="L232" s="8" t="s">
        <v>557</v>
      </c>
      <c r="M232" s="1" t="s">
        <v>205</v>
      </c>
      <c r="N232" s="8" t="s">
        <v>206</v>
      </c>
      <c r="O232" s="6">
        <v>0</v>
      </c>
      <c r="P232" s="6">
        <v>0</v>
      </c>
      <c r="Q232" s="6">
        <v>0</v>
      </c>
      <c r="R232" s="6">
        <v>0</v>
      </c>
      <c r="S232" s="6">
        <v>40</v>
      </c>
    </row>
    <row r="233" spans="1:19" ht="15" hidden="1" x14ac:dyDescent="0.25">
      <c r="A233" s="7" t="s">
        <v>16</v>
      </c>
      <c r="B233" s="7" t="s">
        <v>17</v>
      </c>
      <c r="C233" s="7" t="s">
        <v>18</v>
      </c>
      <c r="D233" s="4">
        <v>30117769000155</v>
      </c>
      <c r="E233" s="8" t="s">
        <v>976</v>
      </c>
      <c r="F233" s="8" t="s">
        <v>94</v>
      </c>
      <c r="G233" s="8" t="s">
        <v>57</v>
      </c>
      <c r="H233" s="8" t="s">
        <v>215</v>
      </c>
      <c r="I233" s="3">
        <v>2</v>
      </c>
      <c r="J233" s="8" t="s">
        <v>175</v>
      </c>
      <c r="K233" s="8" t="s">
        <v>176</v>
      </c>
      <c r="L233" s="8" t="s">
        <v>556</v>
      </c>
      <c r="M233" s="1" t="s">
        <v>205</v>
      </c>
      <c r="N233" s="8" t="s">
        <v>206</v>
      </c>
      <c r="O233" s="6">
        <v>0</v>
      </c>
      <c r="P233" s="6">
        <v>0</v>
      </c>
      <c r="Q233" s="6">
        <v>0</v>
      </c>
      <c r="R233" s="6">
        <v>0</v>
      </c>
      <c r="S233" s="6">
        <v>265</v>
      </c>
    </row>
    <row r="234" spans="1:19" ht="15" hidden="1" x14ac:dyDescent="0.25">
      <c r="A234" s="7" t="s">
        <v>16</v>
      </c>
      <c r="B234" s="7" t="s">
        <v>17</v>
      </c>
      <c r="C234" s="7" t="s">
        <v>18</v>
      </c>
      <c r="D234" s="4">
        <v>30117769000155</v>
      </c>
      <c r="E234" s="8" t="s">
        <v>976</v>
      </c>
      <c r="F234" s="8" t="s">
        <v>94</v>
      </c>
      <c r="G234" s="8" t="s">
        <v>57</v>
      </c>
      <c r="H234" s="8" t="s">
        <v>215</v>
      </c>
      <c r="I234" s="3">
        <v>2</v>
      </c>
      <c r="J234" s="8" t="s">
        <v>157</v>
      </c>
      <c r="K234" s="8" t="s">
        <v>158</v>
      </c>
      <c r="L234" s="8" t="s">
        <v>557</v>
      </c>
      <c r="M234" s="1" t="s">
        <v>205</v>
      </c>
      <c r="N234" s="8" t="s">
        <v>206</v>
      </c>
      <c r="O234" s="6">
        <v>0</v>
      </c>
      <c r="P234" s="6">
        <v>0</v>
      </c>
      <c r="Q234" s="6">
        <v>0</v>
      </c>
      <c r="R234" s="6">
        <v>0</v>
      </c>
      <c r="S234" s="6">
        <v>265</v>
      </c>
    </row>
    <row r="235" spans="1:19" ht="15" hidden="1" x14ac:dyDescent="0.25">
      <c r="A235" s="7" t="s">
        <v>16</v>
      </c>
      <c r="B235" s="7" t="s">
        <v>17</v>
      </c>
      <c r="C235" s="7" t="s">
        <v>18</v>
      </c>
      <c r="D235" s="4">
        <v>304148000110</v>
      </c>
      <c r="E235" s="8" t="s">
        <v>932</v>
      </c>
      <c r="F235" s="8" t="s">
        <v>933</v>
      </c>
      <c r="G235" s="8" t="s">
        <v>57</v>
      </c>
      <c r="H235" s="8" t="s">
        <v>215</v>
      </c>
      <c r="I235" s="3">
        <v>2</v>
      </c>
      <c r="J235" s="8" t="s">
        <v>175</v>
      </c>
      <c r="K235" s="8" t="s">
        <v>176</v>
      </c>
      <c r="L235" s="8" t="s">
        <v>556</v>
      </c>
      <c r="M235" s="1" t="s">
        <v>205</v>
      </c>
      <c r="N235" s="8" t="s">
        <v>206</v>
      </c>
      <c r="O235" s="6">
        <v>0</v>
      </c>
      <c r="P235" s="6">
        <v>0</v>
      </c>
      <c r="Q235" s="6">
        <v>0</v>
      </c>
      <c r="R235" s="6">
        <v>48</v>
      </c>
      <c r="S235" s="6">
        <v>0</v>
      </c>
    </row>
    <row r="236" spans="1:19" ht="15" hidden="1" x14ac:dyDescent="0.25">
      <c r="A236" s="7" t="s">
        <v>16</v>
      </c>
      <c r="B236" s="7" t="s">
        <v>17</v>
      </c>
      <c r="C236" s="7" t="s">
        <v>18</v>
      </c>
      <c r="D236" s="4">
        <v>304148000110</v>
      </c>
      <c r="E236" s="8" t="s">
        <v>932</v>
      </c>
      <c r="F236" s="8" t="s">
        <v>933</v>
      </c>
      <c r="G236" s="8" t="s">
        <v>57</v>
      </c>
      <c r="H236" s="8" t="s">
        <v>215</v>
      </c>
      <c r="I236" s="3">
        <v>2</v>
      </c>
      <c r="J236" s="8" t="s">
        <v>157</v>
      </c>
      <c r="K236" s="8" t="s">
        <v>158</v>
      </c>
      <c r="L236" s="8" t="s">
        <v>557</v>
      </c>
      <c r="M236" s="1" t="s">
        <v>205</v>
      </c>
      <c r="N236" s="8" t="s">
        <v>206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</row>
    <row r="237" spans="1:19" ht="15" hidden="1" x14ac:dyDescent="0.25">
      <c r="A237" s="7" t="s">
        <v>16</v>
      </c>
      <c r="B237" s="7" t="s">
        <v>17</v>
      </c>
      <c r="C237" s="7" t="s">
        <v>18</v>
      </c>
      <c r="D237" s="4">
        <v>73863342000109</v>
      </c>
      <c r="E237" s="8" t="s">
        <v>978</v>
      </c>
      <c r="F237" s="8" t="s">
        <v>121</v>
      </c>
      <c r="G237" s="8" t="s">
        <v>57</v>
      </c>
      <c r="H237" s="8" t="s">
        <v>215</v>
      </c>
      <c r="I237" s="3">
        <v>2</v>
      </c>
      <c r="J237" s="8" t="s">
        <v>175</v>
      </c>
      <c r="K237" s="8" t="s">
        <v>176</v>
      </c>
      <c r="L237" s="8" t="s">
        <v>556</v>
      </c>
      <c r="M237" s="1" t="s">
        <v>205</v>
      </c>
      <c r="N237" s="8" t="s">
        <v>206</v>
      </c>
      <c r="O237" s="6">
        <v>0</v>
      </c>
      <c r="P237" s="6">
        <v>0</v>
      </c>
      <c r="Q237" s="6">
        <v>0</v>
      </c>
      <c r="R237" s="6">
        <v>0</v>
      </c>
      <c r="S237" s="6">
        <v>10</v>
      </c>
    </row>
    <row r="238" spans="1:19" ht="15" hidden="1" x14ac:dyDescent="0.25">
      <c r="A238" s="7" t="s">
        <v>16</v>
      </c>
      <c r="B238" s="7" t="s">
        <v>17</v>
      </c>
      <c r="C238" s="7" t="s">
        <v>18</v>
      </c>
      <c r="D238" s="4">
        <v>73863342000109</v>
      </c>
      <c r="E238" s="8" t="s">
        <v>978</v>
      </c>
      <c r="F238" s="8" t="s">
        <v>121</v>
      </c>
      <c r="G238" s="8" t="s">
        <v>57</v>
      </c>
      <c r="H238" s="8" t="s">
        <v>215</v>
      </c>
      <c r="I238" s="3">
        <v>2</v>
      </c>
      <c r="J238" s="8" t="s">
        <v>157</v>
      </c>
      <c r="K238" s="8" t="s">
        <v>158</v>
      </c>
      <c r="L238" s="8" t="s">
        <v>557</v>
      </c>
      <c r="M238" s="1" t="s">
        <v>205</v>
      </c>
      <c r="N238" s="8" t="s">
        <v>206</v>
      </c>
      <c r="O238" s="6">
        <v>0</v>
      </c>
      <c r="P238" s="6">
        <v>0</v>
      </c>
      <c r="Q238" s="6">
        <v>0</v>
      </c>
      <c r="R238" s="6">
        <v>0</v>
      </c>
      <c r="S238" s="6">
        <v>10</v>
      </c>
    </row>
    <row r="239" spans="1:19" ht="15" hidden="1" x14ac:dyDescent="0.25">
      <c r="A239" s="7" t="s">
        <v>16</v>
      </c>
      <c r="B239" s="7" t="s">
        <v>17</v>
      </c>
      <c r="C239" s="7" t="s">
        <v>18</v>
      </c>
      <c r="D239" s="4">
        <v>75222224001895</v>
      </c>
      <c r="E239" s="8" t="s">
        <v>981</v>
      </c>
      <c r="F239" s="8" t="s">
        <v>121</v>
      </c>
      <c r="G239" s="8" t="s">
        <v>57</v>
      </c>
      <c r="H239" s="8" t="s">
        <v>215</v>
      </c>
      <c r="I239" s="3">
        <v>2</v>
      </c>
      <c r="J239" s="8" t="s">
        <v>175</v>
      </c>
      <c r="K239" s="8" t="s">
        <v>176</v>
      </c>
      <c r="L239" s="8" t="s">
        <v>556</v>
      </c>
      <c r="M239" s="1" t="s">
        <v>205</v>
      </c>
      <c r="N239" s="8" t="s">
        <v>206</v>
      </c>
      <c r="O239" s="6">
        <v>0</v>
      </c>
      <c r="P239" s="6">
        <v>0</v>
      </c>
      <c r="Q239" s="6">
        <v>0</v>
      </c>
      <c r="R239" s="6">
        <v>0</v>
      </c>
      <c r="S239" s="6">
        <v>600</v>
      </c>
    </row>
    <row r="240" spans="1:19" ht="15" hidden="1" x14ac:dyDescent="0.25">
      <c r="A240" s="7" t="s">
        <v>16</v>
      </c>
      <c r="B240" s="7" t="s">
        <v>17</v>
      </c>
      <c r="C240" s="7" t="s">
        <v>18</v>
      </c>
      <c r="D240" s="4">
        <v>75222224001895</v>
      </c>
      <c r="E240" s="8" t="s">
        <v>981</v>
      </c>
      <c r="F240" s="8" t="s">
        <v>121</v>
      </c>
      <c r="G240" s="8" t="s">
        <v>57</v>
      </c>
      <c r="H240" s="8" t="s">
        <v>215</v>
      </c>
      <c r="I240" s="3">
        <v>2</v>
      </c>
      <c r="J240" s="8" t="s">
        <v>157</v>
      </c>
      <c r="K240" s="8" t="s">
        <v>158</v>
      </c>
      <c r="L240" s="8" t="s">
        <v>557</v>
      </c>
      <c r="M240" s="1" t="s">
        <v>205</v>
      </c>
      <c r="N240" s="8" t="s">
        <v>206</v>
      </c>
      <c r="O240" s="6">
        <v>0</v>
      </c>
      <c r="P240" s="6">
        <v>0</v>
      </c>
      <c r="Q240" s="6">
        <v>0</v>
      </c>
      <c r="R240" s="6">
        <v>0</v>
      </c>
      <c r="S240" s="6">
        <v>600</v>
      </c>
    </row>
    <row r="241" spans="1:19" ht="15" hidden="1" x14ac:dyDescent="0.25">
      <c r="A241" s="7" t="s">
        <v>16</v>
      </c>
      <c r="B241" s="7" t="s">
        <v>17</v>
      </c>
      <c r="C241" s="7" t="s">
        <v>18</v>
      </c>
      <c r="D241" s="4">
        <v>77265361000194</v>
      </c>
      <c r="E241" s="8" t="s">
        <v>987</v>
      </c>
      <c r="F241" s="8" t="s">
        <v>988</v>
      </c>
      <c r="G241" s="8" t="s">
        <v>57</v>
      </c>
      <c r="H241" s="8" t="s">
        <v>215</v>
      </c>
      <c r="I241" s="3">
        <v>2</v>
      </c>
      <c r="J241" s="8" t="s">
        <v>175</v>
      </c>
      <c r="K241" s="8" t="s">
        <v>176</v>
      </c>
      <c r="L241" s="8" t="s">
        <v>556</v>
      </c>
      <c r="M241" s="1" t="s">
        <v>205</v>
      </c>
      <c r="N241" s="8" t="s">
        <v>206</v>
      </c>
      <c r="O241" s="6">
        <v>0</v>
      </c>
      <c r="P241" s="6">
        <v>0</v>
      </c>
      <c r="Q241" s="6">
        <v>0</v>
      </c>
      <c r="R241" s="6">
        <v>0</v>
      </c>
      <c r="S241" s="6">
        <v>100</v>
      </c>
    </row>
    <row r="242" spans="1:19" ht="15" hidden="1" x14ac:dyDescent="0.25">
      <c r="A242" s="7" t="s">
        <v>16</v>
      </c>
      <c r="B242" s="7" t="s">
        <v>17</v>
      </c>
      <c r="C242" s="7" t="s">
        <v>18</v>
      </c>
      <c r="D242" s="4">
        <v>77265361000194</v>
      </c>
      <c r="E242" s="8" t="s">
        <v>987</v>
      </c>
      <c r="F242" s="8" t="s">
        <v>988</v>
      </c>
      <c r="G242" s="8" t="s">
        <v>57</v>
      </c>
      <c r="H242" s="8" t="s">
        <v>215</v>
      </c>
      <c r="I242" s="3">
        <v>2</v>
      </c>
      <c r="J242" s="8" t="s">
        <v>157</v>
      </c>
      <c r="K242" s="8" t="s">
        <v>158</v>
      </c>
      <c r="L242" s="8" t="s">
        <v>557</v>
      </c>
      <c r="M242" s="1" t="s">
        <v>205</v>
      </c>
      <c r="N242" s="8" t="s">
        <v>206</v>
      </c>
      <c r="O242" s="6">
        <v>0</v>
      </c>
      <c r="P242" s="6">
        <v>0</v>
      </c>
      <c r="Q242" s="6">
        <v>0</v>
      </c>
      <c r="R242" s="6">
        <v>0</v>
      </c>
      <c r="S242" s="6">
        <v>100</v>
      </c>
    </row>
    <row r="243" spans="1:19" ht="15" hidden="1" x14ac:dyDescent="0.25">
      <c r="A243" s="7" t="s">
        <v>16</v>
      </c>
      <c r="B243" s="7" t="s">
        <v>17</v>
      </c>
      <c r="C243" s="7" t="s">
        <v>18</v>
      </c>
      <c r="D243" s="4">
        <v>7794623002257</v>
      </c>
      <c r="E243" s="8" t="s">
        <v>955</v>
      </c>
      <c r="F243" s="8" t="s">
        <v>956</v>
      </c>
      <c r="G243" s="8" t="s">
        <v>57</v>
      </c>
      <c r="H243" s="8" t="s">
        <v>215</v>
      </c>
      <c r="I243" s="3">
        <v>2</v>
      </c>
      <c r="J243" s="8" t="s">
        <v>175</v>
      </c>
      <c r="K243" s="8" t="s">
        <v>176</v>
      </c>
      <c r="L243" s="8" t="s">
        <v>556</v>
      </c>
      <c r="M243" s="1" t="s">
        <v>205</v>
      </c>
      <c r="N243" s="8" t="s">
        <v>206</v>
      </c>
      <c r="O243" s="6">
        <v>0</v>
      </c>
      <c r="P243" s="6">
        <v>0</v>
      </c>
      <c r="Q243" s="6">
        <v>0</v>
      </c>
      <c r="R243" s="6">
        <v>0</v>
      </c>
      <c r="S243" s="6">
        <v>515</v>
      </c>
    </row>
    <row r="244" spans="1:19" ht="15" hidden="1" x14ac:dyDescent="0.25">
      <c r="A244" s="7" t="s">
        <v>16</v>
      </c>
      <c r="B244" s="7" t="s">
        <v>17</v>
      </c>
      <c r="C244" s="7" t="s">
        <v>18</v>
      </c>
      <c r="D244" s="4">
        <v>7794623002257</v>
      </c>
      <c r="E244" s="8" t="s">
        <v>955</v>
      </c>
      <c r="F244" s="8" t="s">
        <v>956</v>
      </c>
      <c r="G244" s="8" t="s">
        <v>57</v>
      </c>
      <c r="H244" s="8" t="s">
        <v>215</v>
      </c>
      <c r="I244" s="3">
        <v>2</v>
      </c>
      <c r="J244" s="8" t="s">
        <v>157</v>
      </c>
      <c r="K244" s="8" t="s">
        <v>158</v>
      </c>
      <c r="L244" s="8" t="s">
        <v>557</v>
      </c>
      <c r="M244" s="1" t="s">
        <v>205</v>
      </c>
      <c r="N244" s="8" t="s">
        <v>206</v>
      </c>
      <c r="O244" s="6">
        <v>0</v>
      </c>
      <c r="P244" s="6">
        <v>0</v>
      </c>
      <c r="Q244" s="6">
        <v>0</v>
      </c>
      <c r="R244" s="6">
        <v>0</v>
      </c>
      <c r="S244" s="6">
        <v>515</v>
      </c>
    </row>
    <row r="245" spans="1:19" ht="15" hidden="1" x14ac:dyDescent="0.25">
      <c r="A245" s="7" t="s">
        <v>16</v>
      </c>
      <c r="B245" s="7" t="s">
        <v>17</v>
      </c>
      <c r="C245" s="7" t="s">
        <v>18</v>
      </c>
      <c r="D245" s="4">
        <v>6047087001372</v>
      </c>
      <c r="E245" s="8" t="s">
        <v>1041</v>
      </c>
      <c r="F245" s="8" t="s">
        <v>78</v>
      </c>
      <c r="G245" s="8" t="s">
        <v>61</v>
      </c>
      <c r="H245" s="8" t="s">
        <v>215</v>
      </c>
      <c r="I245" s="3">
        <v>2</v>
      </c>
      <c r="J245" s="8" t="s">
        <v>155</v>
      </c>
      <c r="K245" s="8" t="s">
        <v>156</v>
      </c>
      <c r="L245" s="8" t="s">
        <v>556</v>
      </c>
      <c r="M245" s="1" t="s">
        <v>205</v>
      </c>
      <c r="N245" s="8" t="s">
        <v>206</v>
      </c>
      <c r="O245" s="6">
        <v>0</v>
      </c>
      <c r="P245" s="6">
        <v>0</v>
      </c>
      <c r="Q245" s="6">
        <v>0</v>
      </c>
      <c r="R245" s="6">
        <v>0</v>
      </c>
      <c r="S245" s="6">
        <v>0</v>
      </c>
    </row>
    <row r="246" spans="1:19" ht="15" hidden="1" x14ac:dyDescent="0.25">
      <c r="A246" s="7" t="s">
        <v>16</v>
      </c>
      <c r="B246" s="7" t="s">
        <v>17</v>
      </c>
      <c r="C246" s="7" t="s">
        <v>18</v>
      </c>
      <c r="D246" s="4">
        <v>6047087001372</v>
      </c>
      <c r="E246" s="8" t="s">
        <v>1041</v>
      </c>
      <c r="F246" s="8" t="s">
        <v>78</v>
      </c>
      <c r="G246" s="8" t="s">
        <v>61</v>
      </c>
      <c r="H246" s="8" t="s">
        <v>215</v>
      </c>
      <c r="I246" s="3">
        <v>2</v>
      </c>
      <c r="J246" s="8" t="s">
        <v>181</v>
      </c>
      <c r="K246" s="8" t="s">
        <v>182</v>
      </c>
      <c r="L246" s="8" t="s">
        <v>557</v>
      </c>
      <c r="M246" s="1" t="s">
        <v>205</v>
      </c>
      <c r="N246" s="8" t="s">
        <v>206</v>
      </c>
      <c r="O246" s="6">
        <v>0</v>
      </c>
      <c r="P246" s="6">
        <v>0</v>
      </c>
      <c r="Q246" s="6">
        <v>12</v>
      </c>
      <c r="R246" s="6">
        <v>0</v>
      </c>
      <c r="S246" s="6">
        <v>0</v>
      </c>
    </row>
    <row r="247" spans="1:19" ht="15" hidden="1" x14ac:dyDescent="0.25">
      <c r="A247" s="7" t="s">
        <v>16</v>
      </c>
      <c r="B247" s="7" t="s">
        <v>17</v>
      </c>
      <c r="C247" s="7" t="s">
        <v>18</v>
      </c>
      <c r="D247" s="4">
        <v>35830868000446</v>
      </c>
      <c r="E247" s="8" t="s">
        <v>1060</v>
      </c>
      <c r="F247" s="8" t="s">
        <v>1061</v>
      </c>
      <c r="G247" s="8" t="s">
        <v>61</v>
      </c>
      <c r="H247" s="8" t="s">
        <v>215</v>
      </c>
      <c r="I247" s="3">
        <v>2</v>
      </c>
      <c r="J247" s="8" t="s">
        <v>155</v>
      </c>
      <c r="K247" s="8" t="s">
        <v>156</v>
      </c>
      <c r="L247" s="8" t="s">
        <v>556</v>
      </c>
      <c r="M247" s="1" t="s">
        <v>205</v>
      </c>
      <c r="N247" s="8" t="s">
        <v>206</v>
      </c>
      <c r="O247" s="6">
        <v>0</v>
      </c>
      <c r="P247" s="6">
        <v>0</v>
      </c>
      <c r="Q247" s="6">
        <v>0</v>
      </c>
      <c r="R247" s="6">
        <v>0</v>
      </c>
      <c r="S247" s="6">
        <v>0</v>
      </c>
    </row>
    <row r="248" spans="1:19" ht="15" hidden="1" x14ac:dyDescent="0.25">
      <c r="A248" s="7" t="s">
        <v>16</v>
      </c>
      <c r="B248" s="7" t="s">
        <v>17</v>
      </c>
      <c r="C248" s="7" t="s">
        <v>18</v>
      </c>
      <c r="D248" s="4">
        <v>35830868000446</v>
      </c>
      <c r="E248" s="8" t="s">
        <v>1060</v>
      </c>
      <c r="F248" s="8" t="s">
        <v>1061</v>
      </c>
      <c r="G248" s="8" t="s">
        <v>61</v>
      </c>
      <c r="H248" s="8" t="s">
        <v>215</v>
      </c>
      <c r="I248" s="3">
        <v>2</v>
      </c>
      <c r="J248" s="8" t="s">
        <v>173</v>
      </c>
      <c r="K248" s="8" t="s">
        <v>174</v>
      </c>
      <c r="L248" s="8" t="s">
        <v>557</v>
      </c>
      <c r="M248" s="1" t="s">
        <v>205</v>
      </c>
      <c r="N248" s="8" t="s">
        <v>206</v>
      </c>
      <c r="O248" s="6">
        <v>0</v>
      </c>
      <c r="P248" s="6">
        <v>3</v>
      </c>
      <c r="Q248" s="6">
        <v>0</v>
      </c>
      <c r="R248" s="6">
        <v>0</v>
      </c>
      <c r="S248" s="6">
        <v>0</v>
      </c>
    </row>
    <row r="249" spans="1:19" ht="15" hidden="1" x14ac:dyDescent="0.25">
      <c r="A249" s="7" t="s">
        <v>16</v>
      </c>
      <c r="B249" s="7" t="s">
        <v>17</v>
      </c>
      <c r="C249" s="7" t="s">
        <v>18</v>
      </c>
      <c r="D249" s="4">
        <v>437007000175</v>
      </c>
      <c r="E249" s="8" t="s">
        <v>1038</v>
      </c>
      <c r="F249" s="8" t="s">
        <v>1039</v>
      </c>
      <c r="G249" s="8" t="s">
        <v>61</v>
      </c>
      <c r="H249" s="8" t="s">
        <v>215</v>
      </c>
      <c r="I249" s="3">
        <v>2</v>
      </c>
      <c r="J249" s="8" t="s">
        <v>155</v>
      </c>
      <c r="K249" s="8" t="s">
        <v>156</v>
      </c>
      <c r="L249" s="8" t="s">
        <v>556</v>
      </c>
      <c r="M249" s="1" t="s">
        <v>205</v>
      </c>
      <c r="N249" s="8" t="s">
        <v>206</v>
      </c>
      <c r="O249" s="6">
        <v>0</v>
      </c>
      <c r="P249" s="6">
        <v>0</v>
      </c>
      <c r="Q249" s="6">
        <v>0</v>
      </c>
      <c r="R249" s="6">
        <v>358</v>
      </c>
      <c r="S249" s="6">
        <v>420</v>
      </c>
    </row>
    <row r="250" spans="1:19" ht="15" hidden="1" x14ac:dyDescent="0.25">
      <c r="A250" s="7" t="s">
        <v>16</v>
      </c>
      <c r="B250" s="7" t="s">
        <v>17</v>
      </c>
      <c r="C250" s="7" t="s">
        <v>18</v>
      </c>
      <c r="D250" s="4">
        <v>437007000175</v>
      </c>
      <c r="E250" s="8" t="s">
        <v>1038</v>
      </c>
      <c r="F250" s="8" t="s">
        <v>1039</v>
      </c>
      <c r="G250" s="8" t="s">
        <v>61</v>
      </c>
      <c r="H250" s="8" t="s">
        <v>215</v>
      </c>
      <c r="I250" s="3">
        <v>2</v>
      </c>
      <c r="J250" s="8" t="s">
        <v>181</v>
      </c>
      <c r="K250" s="8" t="s">
        <v>182</v>
      </c>
      <c r="L250" s="8" t="s">
        <v>557</v>
      </c>
      <c r="M250" s="1" t="s">
        <v>205</v>
      </c>
      <c r="N250" s="8" t="s">
        <v>206</v>
      </c>
      <c r="O250" s="6">
        <v>0</v>
      </c>
      <c r="P250" s="6">
        <v>0</v>
      </c>
      <c r="Q250" s="6">
        <v>0</v>
      </c>
      <c r="R250" s="6">
        <v>0</v>
      </c>
      <c r="S250" s="6">
        <v>420</v>
      </c>
    </row>
    <row r="251" spans="1:19" ht="15" hidden="1" x14ac:dyDescent="0.25">
      <c r="A251" s="7" t="s">
        <v>16</v>
      </c>
      <c r="B251" s="7" t="s">
        <v>17</v>
      </c>
      <c r="C251" s="7" t="s">
        <v>18</v>
      </c>
      <c r="D251" s="4">
        <v>60884855001207</v>
      </c>
      <c r="E251" s="8" t="s">
        <v>1065</v>
      </c>
      <c r="F251" s="8" t="s">
        <v>1039</v>
      </c>
      <c r="G251" s="8" t="s">
        <v>61</v>
      </c>
      <c r="H251" s="8" t="s">
        <v>215</v>
      </c>
      <c r="I251" s="3">
        <v>2</v>
      </c>
      <c r="J251" s="8" t="s">
        <v>155</v>
      </c>
      <c r="K251" s="8" t="s">
        <v>156</v>
      </c>
      <c r="L251" s="8" t="s">
        <v>556</v>
      </c>
      <c r="M251" s="1" t="s">
        <v>205</v>
      </c>
      <c r="N251" s="8" t="s">
        <v>206</v>
      </c>
      <c r="O251" s="6">
        <v>0</v>
      </c>
      <c r="P251" s="6">
        <v>0</v>
      </c>
      <c r="Q251" s="6">
        <v>0</v>
      </c>
      <c r="R251" s="6">
        <v>18</v>
      </c>
      <c r="S251" s="6">
        <v>440</v>
      </c>
    </row>
    <row r="252" spans="1:19" ht="15" hidden="1" x14ac:dyDescent="0.25">
      <c r="A252" s="7" t="s">
        <v>16</v>
      </c>
      <c r="B252" s="7" t="s">
        <v>17</v>
      </c>
      <c r="C252" s="7" t="s">
        <v>18</v>
      </c>
      <c r="D252" s="4">
        <v>60884855001207</v>
      </c>
      <c r="E252" s="8" t="s">
        <v>1065</v>
      </c>
      <c r="F252" s="8" t="s">
        <v>1039</v>
      </c>
      <c r="G252" s="8" t="s">
        <v>61</v>
      </c>
      <c r="H252" s="8" t="s">
        <v>215</v>
      </c>
      <c r="I252" s="3">
        <v>2</v>
      </c>
      <c r="J252" s="8" t="s">
        <v>181</v>
      </c>
      <c r="K252" s="8" t="s">
        <v>182</v>
      </c>
      <c r="L252" s="8" t="s">
        <v>557</v>
      </c>
      <c r="M252" s="1" t="s">
        <v>205</v>
      </c>
      <c r="N252" s="8" t="s">
        <v>206</v>
      </c>
      <c r="O252" s="6">
        <v>0</v>
      </c>
      <c r="P252" s="6">
        <v>83</v>
      </c>
      <c r="Q252" s="6">
        <v>24</v>
      </c>
      <c r="R252" s="6">
        <v>0</v>
      </c>
      <c r="S252" s="6">
        <v>440</v>
      </c>
    </row>
    <row r="253" spans="1:19" ht="15" hidden="1" x14ac:dyDescent="0.25">
      <c r="A253" s="7" t="s">
        <v>16</v>
      </c>
      <c r="B253" s="7" t="s">
        <v>17</v>
      </c>
      <c r="C253" s="7" t="s">
        <v>18</v>
      </c>
      <c r="D253" s="4">
        <v>521197000104</v>
      </c>
      <c r="E253" s="8" t="s">
        <v>1040</v>
      </c>
      <c r="F253" s="8" t="s">
        <v>1039</v>
      </c>
      <c r="G253" s="8" t="s">
        <v>61</v>
      </c>
      <c r="H253" s="8" t="s">
        <v>215</v>
      </c>
      <c r="I253" s="3">
        <v>2</v>
      </c>
      <c r="J253" s="8" t="s">
        <v>155</v>
      </c>
      <c r="K253" s="8" t="s">
        <v>156</v>
      </c>
      <c r="L253" s="8" t="s">
        <v>556</v>
      </c>
      <c r="M253" s="1" t="s">
        <v>205</v>
      </c>
      <c r="N253" s="8" t="s">
        <v>206</v>
      </c>
      <c r="O253" s="6">
        <v>0</v>
      </c>
      <c r="P253" s="6">
        <v>0</v>
      </c>
      <c r="Q253" s="6">
        <v>0</v>
      </c>
      <c r="R253" s="6">
        <v>0</v>
      </c>
      <c r="S253" s="6">
        <v>238</v>
      </c>
    </row>
    <row r="254" spans="1:19" ht="15" hidden="1" x14ac:dyDescent="0.25">
      <c r="A254" s="7" t="s">
        <v>16</v>
      </c>
      <c r="B254" s="7" t="s">
        <v>17</v>
      </c>
      <c r="C254" s="7" t="s">
        <v>18</v>
      </c>
      <c r="D254" s="4">
        <v>521197000104</v>
      </c>
      <c r="E254" s="8" t="s">
        <v>1040</v>
      </c>
      <c r="F254" s="8" t="s">
        <v>1039</v>
      </c>
      <c r="G254" s="8" t="s">
        <v>61</v>
      </c>
      <c r="H254" s="8" t="s">
        <v>215</v>
      </c>
      <c r="I254" s="3">
        <v>2</v>
      </c>
      <c r="J254" s="8" t="s">
        <v>173</v>
      </c>
      <c r="K254" s="8" t="s">
        <v>174</v>
      </c>
      <c r="L254" s="8" t="s">
        <v>557</v>
      </c>
      <c r="M254" s="1" t="s">
        <v>205</v>
      </c>
      <c r="N254" s="8" t="s">
        <v>206</v>
      </c>
      <c r="O254" s="6">
        <v>0</v>
      </c>
      <c r="P254" s="6">
        <v>0</v>
      </c>
      <c r="Q254" s="6">
        <v>0</v>
      </c>
      <c r="R254" s="6">
        <v>0</v>
      </c>
      <c r="S254" s="6">
        <v>238</v>
      </c>
    </row>
    <row r="255" spans="1:19" ht="15" hidden="1" x14ac:dyDescent="0.25">
      <c r="A255" s="7" t="s">
        <v>16</v>
      </c>
      <c r="B255" s="7" t="s">
        <v>17</v>
      </c>
      <c r="C255" s="7" t="s">
        <v>18</v>
      </c>
      <c r="D255" s="4">
        <v>29135795000208</v>
      </c>
      <c r="E255" s="8" t="s">
        <v>1053</v>
      </c>
      <c r="F255" s="8" t="s">
        <v>120</v>
      </c>
      <c r="G255" s="8" t="s">
        <v>61</v>
      </c>
      <c r="H255" s="8" t="s">
        <v>215</v>
      </c>
      <c r="I255" s="3">
        <v>2</v>
      </c>
      <c r="J255" s="8" t="s">
        <v>155</v>
      </c>
      <c r="K255" s="8" t="s">
        <v>156</v>
      </c>
      <c r="L255" s="8" t="s">
        <v>556</v>
      </c>
      <c r="M255" s="1" t="s">
        <v>205</v>
      </c>
      <c r="N255" s="8" t="s">
        <v>206</v>
      </c>
      <c r="O255" s="6">
        <v>0</v>
      </c>
      <c r="P255" s="6">
        <v>0</v>
      </c>
      <c r="Q255" s="6">
        <v>0</v>
      </c>
      <c r="R255" s="6">
        <v>0</v>
      </c>
      <c r="S255" s="6">
        <v>100</v>
      </c>
    </row>
    <row r="256" spans="1:19" ht="15" hidden="1" x14ac:dyDescent="0.25">
      <c r="A256" s="7" t="s">
        <v>16</v>
      </c>
      <c r="B256" s="7" t="s">
        <v>17</v>
      </c>
      <c r="C256" s="7" t="s">
        <v>18</v>
      </c>
      <c r="D256" s="4">
        <v>29135795000208</v>
      </c>
      <c r="E256" s="8" t="s">
        <v>1053</v>
      </c>
      <c r="F256" s="8" t="s">
        <v>120</v>
      </c>
      <c r="G256" s="8" t="s">
        <v>61</v>
      </c>
      <c r="H256" s="8" t="s">
        <v>215</v>
      </c>
      <c r="I256" s="3">
        <v>2</v>
      </c>
      <c r="J256" s="8" t="s">
        <v>173</v>
      </c>
      <c r="K256" s="8" t="s">
        <v>174</v>
      </c>
      <c r="L256" s="8" t="s">
        <v>557</v>
      </c>
      <c r="M256" s="1" t="s">
        <v>205</v>
      </c>
      <c r="N256" s="8" t="s">
        <v>206</v>
      </c>
      <c r="O256" s="6">
        <v>0</v>
      </c>
      <c r="P256" s="6">
        <v>0</v>
      </c>
      <c r="Q256" s="6">
        <v>0</v>
      </c>
      <c r="R256" s="6">
        <v>0</v>
      </c>
      <c r="S256" s="6">
        <v>100</v>
      </c>
    </row>
    <row r="257" spans="1:19" ht="15" hidden="1" x14ac:dyDescent="0.25">
      <c r="A257" s="7" t="s">
        <v>16</v>
      </c>
      <c r="B257" s="7" t="s">
        <v>17</v>
      </c>
      <c r="C257" s="7" t="s">
        <v>18</v>
      </c>
      <c r="D257" s="4">
        <v>7794623001528</v>
      </c>
      <c r="E257" s="8" t="s">
        <v>1042</v>
      </c>
      <c r="F257" s="8" t="s">
        <v>1043</v>
      </c>
      <c r="G257" s="8" t="s">
        <v>61</v>
      </c>
      <c r="H257" s="8" t="s">
        <v>215</v>
      </c>
      <c r="I257" s="3">
        <v>2</v>
      </c>
      <c r="J257" s="8" t="s">
        <v>155</v>
      </c>
      <c r="K257" s="8" t="s">
        <v>156</v>
      </c>
      <c r="L257" s="8" t="s">
        <v>556</v>
      </c>
      <c r="M257" s="1" t="s">
        <v>205</v>
      </c>
      <c r="N257" s="8" t="s">
        <v>206</v>
      </c>
      <c r="O257" s="6">
        <v>0</v>
      </c>
      <c r="P257" s="6">
        <v>0</v>
      </c>
      <c r="Q257" s="6">
        <v>0</v>
      </c>
      <c r="R257" s="6">
        <v>28</v>
      </c>
      <c r="S257" s="6">
        <v>0</v>
      </c>
    </row>
    <row r="258" spans="1:19" ht="15" hidden="1" x14ac:dyDescent="0.25">
      <c r="A258" s="7" t="s">
        <v>16</v>
      </c>
      <c r="B258" s="7" t="s">
        <v>17</v>
      </c>
      <c r="C258" s="7" t="s">
        <v>18</v>
      </c>
      <c r="D258" s="4">
        <v>7794623001528</v>
      </c>
      <c r="E258" s="8" t="s">
        <v>1042</v>
      </c>
      <c r="F258" s="8" t="s">
        <v>1043</v>
      </c>
      <c r="G258" s="8" t="s">
        <v>61</v>
      </c>
      <c r="H258" s="8" t="s">
        <v>215</v>
      </c>
      <c r="I258" s="3">
        <v>2</v>
      </c>
      <c r="J258" s="8" t="s">
        <v>181</v>
      </c>
      <c r="K258" s="8" t="s">
        <v>182</v>
      </c>
      <c r="L258" s="8" t="s">
        <v>557</v>
      </c>
      <c r="M258" s="1" t="s">
        <v>205</v>
      </c>
      <c r="N258" s="8" t="s">
        <v>206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</row>
    <row r="259" spans="1:19" ht="15" hidden="1" x14ac:dyDescent="0.25">
      <c r="A259" s="7" t="s">
        <v>16</v>
      </c>
      <c r="B259" s="7" t="s">
        <v>17</v>
      </c>
      <c r="C259" s="7" t="s">
        <v>18</v>
      </c>
      <c r="D259" s="4">
        <v>28806545000532</v>
      </c>
      <c r="E259" s="8" t="s">
        <v>1050</v>
      </c>
      <c r="F259" s="8" t="s">
        <v>1051</v>
      </c>
      <c r="G259" s="8" t="s">
        <v>61</v>
      </c>
      <c r="H259" s="8" t="s">
        <v>215</v>
      </c>
      <c r="I259" s="3">
        <v>2</v>
      </c>
      <c r="J259" s="8" t="s">
        <v>155</v>
      </c>
      <c r="K259" s="8" t="s">
        <v>156</v>
      </c>
      <c r="L259" s="8" t="s">
        <v>556</v>
      </c>
      <c r="M259" s="1" t="s">
        <v>205</v>
      </c>
      <c r="N259" s="8" t="s">
        <v>206</v>
      </c>
      <c r="O259" s="6">
        <v>0</v>
      </c>
      <c r="P259" s="6">
        <v>0</v>
      </c>
      <c r="Q259" s="6">
        <v>0</v>
      </c>
      <c r="R259" s="6">
        <v>128</v>
      </c>
      <c r="S259" s="6">
        <v>0</v>
      </c>
    </row>
    <row r="260" spans="1:19" ht="15" hidden="1" x14ac:dyDescent="0.25">
      <c r="A260" s="7" t="s">
        <v>16</v>
      </c>
      <c r="B260" s="7" t="s">
        <v>17</v>
      </c>
      <c r="C260" s="7" t="s">
        <v>18</v>
      </c>
      <c r="D260" s="4">
        <v>28806545000532</v>
      </c>
      <c r="E260" s="8" t="s">
        <v>1050</v>
      </c>
      <c r="F260" s="8" t="s">
        <v>1051</v>
      </c>
      <c r="G260" s="8" t="s">
        <v>61</v>
      </c>
      <c r="H260" s="8" t="s">
        <v>215</v>
      </c>
      <c r="I260" s="3">
        <v>2</v>
      </c>
      <c r="J260" s="8" t="s">
        <v>173</v>
      </c>
      <c r="K260" s="8" t="s">
        <v>174</v>
      </c>
      <c r="L260" s="8" t="s">
        <v>557</v>
      </c>
      <c r="M260" s="1" t="s">
        <v>205</v>
      </c>
      <c r="N260" s="8" t="s">
        <v>206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</row>
    <row r="261" spans="1:19" ht="15" hidden="1" x14ac:dyDescent="0.25">
      <c r="A261" s="7" t="s">
        <v>16</v>
      </c>
      <c r="B261" s="7" t="s">
        <v>17</v>
      </c>
      <c r="C261" s="7" t="s">
        <v>18</v>
      </c>
      <c r="D261" s="4">
        <v>68709211000212</v>
      </c>
      <c r="E261" s="8" t="s">
        <v>1066</v>
      </c>
      <c r="F261" s="8" t="s">
        <v>92</v>
      </c>
      <c r="G261" s="8" t="s">
        <v>61</v>
      </c>
      <c r="H261" s="8" t="s">
        <v>215</v>
      </c>
      <c r="I261" s="3">
        <v>2</v>
      </c>
      <c r="J261" s="8" t="s">
        <v>155</v>
      </c>
      <c r="K261" s="8" t="s">
        <v>156</v>
      </c>
      <c r="L261" s="8" t="s">
        <v>556</v>
      </c>
      <c r="M261" s="1" t="s">
        <v>205</v>
      </c>
      <c r="N261" s="8" t="s">
        <v>206</v>
      </c>
      <c r="O261" s="6">
        <v>0</v>
      </c>
      <c r="P261" s="6">
        <v>0</v>
      </c>
      <c r="Q261" s="6">
        <v>0</v>
      </c>
      <c r="R261" s="6">
        <v>0</v>
      </c>
      <c r="S261" s="6">
        <v>300</v>
      </c>
    </row>
    <row r="262" spans="1:19" ht="15" hidden="1" x14ac:dyDescent="0.25">
      <c r="A262" s="7" t="s">
        <v>16</v>
      </c>
      <c r="B262" s="7" t="s">
        <v>17</v>
      </c>
      <c r="C262" s="7" t="s">
        <v>18</v>
      </c>
      <c r="D262" s="4">
        <v>68709211000212</v>
      </c>
      <c r="E262" s="8" t="s">
        <v>1066</v>
      </c>
      <c r="F262" s="8" t="s">
        <v>92</v>
      </c>
      <c r="G262" s="8" t="s">
        <v>61</v>
      </c>
      <c r="H262" s="8" t="s">
        <v>215</v>
      </c>
      <c r="I262" s="3">
        <v>2</v>
      </c>
      <c r="J262" s="8" t="s">
        <v>173</v>
      </c>
      <c r="K262" s="8" t="s">
        <v>174</v>
      </c>
      <c r="L262" s="8" t="s">
        <v>557</v>
      </c>
      <c r="M262" s="1" t="s">
        <v>205</v>
      </c>
      <c r="N262" s="8" t="s">
        <v>206</v>
      </c>
      <c r="O262" s="6">
        <v>0</v>
      </c>
      <c r="P262" s="6">
        <v>0</v>
      </c>
      <c r="Q262" s="6">
        <v>0</v>
      </c>
      <c r="R262" s="6">
        <v>0</v>
      </c>
      <c r="S262" s="6">
        <v>300</v>
      </c>
    </row>
    <row r="263" spans="1:19" ht="15" hidden="1" x14ac:dyDescent="0.25">
      <c r="A263" s="7" t="s">
        <v>16</v>
      </c>
      <c r="B263" s="7" t="s">
        <v>17</v>
      </c>
      <c r="C263" s="7" t="s">
        <v>18</v>
      </c>
      <c r="D263" s="4">
        <v>29072642000188</v>
      </c>
      <c r="E263" s="8" t="s">
        <v>1052</v>
      </c>
      <c r="F263" s="8" t="s">
        <v>92</v>
      </c>
      <c r="G263" s="8" t="s">
        <v>61</v>
      </c>
      <c r="H263" s="8" t="s">
        <v>215</v>
      </c>
      <c r="I263" s="3">
        <v>2</v>
      </c>
      <c r="J263" s="8" t="s">
        <v>155</v>
      </c>
      <c r="K263" s="8" t="s">
        <v>156</v>
      </c>
      <c r="L263" s="8" t="s">
        <v>556</v>
      </c>
      <c r="M263" s="1" t="s">
        <v>205</v>
      </c>
      <c r="N263" s="8" t="s">
        <v>206</v>
      </c>
      <c r="O263" s="6">
        <v>0</v>
      </c>
      <c r="P263" s="6">
        <v>0</v>
      </c>
      <c r="Q263" s="6">
        <v>0</v>
      </c>
      <c r="R263" s="6">
        <v>0</v>
      </c>
      <c r="S263" s="6">
        <v>0</v>
      </c>
    </row>
    <row r="264" spans="1:19" ht="15" hidden="1" x14ac:dyDescent="0.25">
      <c r="A264" s="7" t="s">
        <v>16</v>
      </c>
      <c r="B264" s="7" t="s">
        <v>17</v>
      </c>
      <c r="C264" s="7" t="s">
        <v>18</v>
      </c>
      <c r="D264" s="4">
        <v>29072642000188</v>
      </c>
      <c r="E264" s="8" t="s">
        <v>1052</v>
      </c>
      <c r="F264" s="8" t="s">
        <v>92</v>
      </c>
      <c r="G264" s="8" t="s">
        <v>61</v>
      </c>
      <c r="H264" s="8" t="s">
        <v>215</v>
      </c>
      <c r="I264" s="3">
        <v>2</v>
      </c>
      <c r="J264" s="8" t="s">
        <v>173</v>
      </c>
      <c r="K264" s="8" t="s">
        <v>174</v>
      </c>
      <c r="L264" s="8" t="s">
        <v>557</v>
      </c>
      <c r="M264" s="1" t="s">
        <v>205</v>
      </c>
      <c r="N264" s="8" t="s">
        <v>206</v>
      </c>
      <c r="O264" s="6">
        <v>0</v>
      </c>
      <c r="P264" s="6">
        <v>2</v>
      </c>
      <c r="Q264" s="6">
        <v>0</v>
      </c>
      <c r="R264" s="6">
        <v>0</v>
      </c>
      <c r="S264" s="6">
        <v>0</v>
      </c>
    </row>
    <row r="265" spans="1:19" ht="15" hidden="1" x14ac:dyDescent="0.25">
      <c r="A265" s="7" t="s">
        <v>16</v>
      </c>
      <c r="B265" s="7" t="s">
        <v>17</v>
      </c>
      <c r="C265" s="7" t="s">
        <v>18</v>
      </c>
      <c r="D265" s="4">
        <v>21109731000140</v>
      </c>
      <c r="E265" s="8" t="s">
        <v>1093</v>
      </c>
      <c r="F265" s="8" t="s">
        <v>131</v>
      </c>
      <c r="G265" s="8" t="s">
        <v>61</v>
      </c>
      <c r="H265" s="8" t="s">
        <v>215</v>
      </c>
      <c r="I265" s="3">
        <v>2</v>
      </c>
      <c r="J265" s="8" t="s">
        <v>155</v>
      </c>
      <c r="K265" s="8" t="s">
        <v>156</v>
      </c>
      <c r="L265" s="8" t="s">
        <v>556</v>
      </c>
      <c r="M265" s="1" t="s">
        <v>205</v>
      </c>
      <c r="N265" s="8" t="s">
        <v>206</v>
      </c>
      <c r="O265" s="6">
        <v>0</v>
      </c>
      <c r="P265" s="6">
        <v>0</v>
      </c>
      <c r="Q265" s="6">
        <v>0</v>
      </c>
      <c r="R265" s="6">
        <v>112</v>
      </c>
      <c r="S265" s="6">
        <v>0</v>
      </c>
    </row>
    <row r="266" spans="1:19" ht="15" hidden="1" x14ac:dyDescent="0.25">
      <c r="A266" s="7" t="s">
        <v>16</v>
      </c>
      <c r="B266" s="7" t="s">
        <v>17</v>
      </c>
      <c r="C266" s="7" t="s">
        <v>18</v>
      </c>
      <c r="D266" s="4">
        <v>21109731000140</v>
      </c>
      <c r="E266" s="8" t="s">
        <v>1093</v>
      </c>
      <c r="F266" s="8" t="s">
        <v>131</v>
      </c>
      <c r="G266" s="8" t="s">
        <v>61</v>
      </c>
      <c r="H266" s="8" t="s">
        <v>215</v>
      </c>
      <c r="I266" s="3">
        <v>2</v>
      </c>
      <c r="J266" s="8" t="s">
        <v>181</v>
      </c>
      <c r="K266" s="8" t="s">
        <v>182</v>
      </c>
      <c r="L266" s="8" t="s">
        <v>557</v>
      </c>
      <c r="M266" s="1" t="s">
        <v>205</v>
      </c>
      <c r="N266" s="8" t="s">
        <v>206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</row>
    <row r="267" spans="1:19" ht="15" hidden="1" x14ac:dyDescent="0.25">
      <c r="A267" s="7" t="s">
        <v>16</v>
      </c>
      <c r="B267" s="7" t="s">
        <v>17</v>
      </c>
      <c r="C267" s="7" t="s">
        <v>18</v>
      </c>
      <c r="D267" s="4">
        <v>60922168000348</v>
      </c>
      <c r="E267" s="8" t="s">
        <v>1125</v>
      </c>
      <c r="F267" s="8" t="s">
        <v>131</v>
      </c>
      <c r="G267" s="8" t="s">
        <v>61</v>
      </c>
      <c r="H267" s="8" t="s">
        <v>215</v>
      </c>
      <c r="I267" s="3">
        <v>2</v>
      </c>
      <c r="J267" s="8" t="s">
        <v>155</v>
      </c>
      <c r="K267" s="8" t="s">
        <v>156</v>
      </c>
      <c r="L267" s="8" t="s">
        <v>556</v>
      </c>
      <c r="M267" s="1" t="s">
        <v>205</v>
      </c>
      <c r="N267" s="8" t="s">
        <v>206</v>
      </c>
      <c r="O267" s="6">
        <v>0</v>
      </c>
      <c r="P267" s="6">
        <v>0</v>
      </c>
      <c r="Q267" s="6">
        <v>0</v>
      </c>
      <c r="R267" s="6">
        <v>0</v>
      </c>
      <c r="S267" s="6">
        <v>330</v>
      </c>
    </row>
    <row r="268" spans="1:19" ht="15" hidden="1" x14ac:dyDescent="0.25">
      <c r="A268" s="7" t="s">
        <v>16</v>
      </c>
      <c r="B268" s="7" t="s">
        <v>17</v>
      </c>
      <c r="C268" s="7" t="s">
        <v>18</v>
      </c>
      <c r="D268" s="4">
        <v>60922168000348</v>
      </c>
      <c r="E268" s="8" t="s">
        <v>1125</v>
      </c>
      <c r="F268" s="8" t="s">
        <v>131</v>
      </c>
      <c r="G268" s="8" t="s">
        <v>61</v>
      </c>
      <c r="H268" s="8" t="s">
        <v>215</v>
      </c>
      <c r="I268" s="3">
        <v>2</v>
      </c>
      <c r="J268" s="8" t="s">
        <v>181</v>
      </c>
      <c r="K268" s="8" t="s">
        <v>182</v>
      </c>
      <c r="L268" s="8" t="s">
        <v>557</v>
      </c>
      <c r="M268" s="1" t="s">
        <v>205</v>
      </c>
      <c r="N268" s="8" t="s">
        <v>206</v>
      </c>
      <c r="O268" s="6">
        <v>0</v>
      </c>
      <c r="P268" s="6">
        <v>3</v>
      </c>
      <c r="Q268" s="6">
        <v>2</v>
      </c>
      <c r="R268" s="6">
        <v>0</v>
      </c>
      <c r="S268" s="6">
        <v>330</v>
      </c>
    </row>
    <row r="269" spans="1:19" ht="15" hidden="1" x14ac:dyDescent="0.25">
      <c r="A269" s="7" t="s">
        <v>16</v>
      </c>
      <c r="B269" s="7" t="s">
        <v>17</v>
      </c>
      <c r="C269" s="7" t="s">
        <v>18</v>
      </c>
      <c r="D269" s="4">
        <v>7794623004896</v>
      </c>
      <c r="E269" s="8" t="s">
        <v>1084</v>
      </c>
      <c r="F269" s="8" t="s">
        <v>131</v>
      </c>
      <c r="G269" s="8" t="s">
        <v>61</v>
      </c>
      <c r="H269" s="8" t="s">
        <v>215</v>
      </c>
      <c r="I269" s="3">
        <v>2</v>
      </c>
      <c r="J269" s="8" t="s">
        <v>155</v>
      </c>
      <c r="K269" s="8" t="s">
        <v>156</v>
      </c>
      <c r="L269" s="8" t="s">
        <v>556</v>
      </c>
      <c r="M269" s="1" t="s">
        <v>205</v>
      </c>
      <c r="N269" s="8" t="s">
        <v>206</v>
      </c>
      <c r="O269" s="6">
        <v>0</v>
      </c>
      <c r="P269" s="6">
        <v>0</v>
      </c>
      <c r="Q269" s="6">
        <v>0</v>
      </c>
      <c r="R269" s="6">
        <v>0</v>
      </c>
      <c r="S269" s="6">
        <v>1850</v>
      </c>
    </row>
    <row r="270" spans="1:19" ht="15" hidden="1" x14ac:dyDescent="0.25">
      <c r="A270" s="7" t="s">
        <v>16</v>
      </c>
      <c r="B270" s="7" t="s">
        <v>17</v>
      </c>
      <c r="C270" s="7" t="s">
        <v>18</v>
      </c>
      <c r="D270" s="4">
        <v>7794623004896</v>
      </c>
      <c r="E270" s="8" t="s">
        <v>1084</v>
      </c>
      <c r="F270" s="8" t="s">
        <v>131</v>
      </c>
      <c r="G270" s="8" t="s">
        <v>61</v>
      </c>
      <c r="H270" s="8" t="s">
        <v>215</v>
      </c>
      <c r="I270" s="3">
        <v>2</v>
      </c>
      <c r="J270" s="8" t="s">
        <v>181</v>
      </c>
      <c r="K270" s="8" t="s">
        <v>182</v>
      </c>
      <c r="L270" s="8" t="s">
        <v>557</v>
      </c>
      <c r="M270" s="1" t="s">
        <v>205</v>
      </c>
      <c r="N270" s="8" t="s">
        <v>206</v>
      </c>
      <c r="O270" s="6">
        <v>0</v>
      </c>
      <c r="P270" s="6">
        <v>0</v>
      </c>
      <c r="Q270" s="6">
        <v>0</v>
      </c>
      <c r="R270" s="6">
        <v>0</v>
      </c>
      <c r="S270" s="6">
        <v>1850</v>
      </c>
    </row>
    <row r="271" spans="1:19" ht="15" hidden="1" x14ac:dyDescent="0.25">
      <c r="A271" s="7" t="s">
        <v>16</v>
      </c>
      <c r="B271" s="7" t="s">
        <v>17</v>
      </c>
      <c r="C271" s="7" t="s">
        <v>18</v>
      </c>
      <c r="D271" s="4">
        <v>33927377000140</v>
      </c>
      <c r="E271" s="8" t="s">
        <v>1117</v>
      </c>
      <c r="F271" s="8" t="s">
        <v>131</v>
      </c>
      <c r="G271" s="8" t="s">
        <v>61</v>
      </c>
      <c r="H271" s="8" t="s">
        <v>215</v>
      </c>
      <c r="I271" s="3">
        <v>2</v>
      </c>
      <c r="J271" s="8" t="s">
        <v>155</v>
      </c>
      <c r="K271" s="8" t="s">
        <v>156</v>
      </c>
      <c r="L271" s="8" t="s">
        <v>556</v>
      </c>
      <c r="M271" s="1" t="s">
        <v>205</v>
      </c>
      <c r="N271" s="8" t="s">
        <v>206</v>
      </c>
      <c r="O271" s="6">
        <v>0</v>
      </c>
      <c r="P271" s="6">
        <v>0</v>
      </c>
      <c r="Q271" s="6">
        <v>0</v>
      </c>
      <c r="R271" s="6">
        <v>0</v>
      </c>
      <c r="S271" s="6">
        <v>-5</v>
      </c>
    </row>
    <row r="272" spans="1:19" ht="15" hidden="1" x14ac:dyDescent="0.25">
      <c r="A272" s="7" t="s">
        <v>16</v>
      </c>
      <c r="B272" s="7" t="s">
        <v>17</v>
      </c>
      <c r="C272" s="7" t="s">
        <v>18</v>
      </c>
      <c r="D272" s="4">
        <v>33927377000140</v>
      </c>
      <c r="E272" s="8" t="s">
        <v>1117</v>
      </c>
      <c r="F272" s="8" t="s">
        <v>131</v>
      </c>
      <c r="G272" s="8" t="s">
        <v>61</v>
      </c>
      <c r="H272" s="8" t="s">
        <v>215</v>
      </c>
      <c r="I272" s="3">
        <v>2</v>
      </c>
      <c r="J272" s="8" t="s">
        <v>181</v>
      </c>
      <c r="K272" s="8" t="s">
        <v>182</v>
      </c>
      <c r="L272" s="8" t="s">
        <v>557</v>
      </c>
      <c r="M272" s="1" t="s">
        <v>205</v>
      </c>
      <c r="N272" s="8" t="s">
        <v>206</v>
      </c>
      <c r="O272" s="6">
        <v>0</v>
      </c>
      <c r="P272" s="6">
        <v>0</v>
      </c>
      <c r="Q272" s="6">
        <v>0</v>
      </c>
      <c r="R272" s="6">
        <v>0</v>
      </c>
      <c r="S272" s="6">
        <v>-5</v>
      </c>
    </row>
    <row r="273" spans="1:19" ht="15" hidden="1" x14ac:dyDescent="0.25">
      <c r="A273" s="7" t="s">
        <v>16</v>
      </c>
      <c r="B273" s="7" t="s">
        <v>17</v>
      </c>
      <c r="C273" s="7" t="s">
        <v>18</v>
      </c>
      <c r="D273" s="4">
        <v>2864097000106</v>
      </c>
      <c r="E273" s="8" t="s">
        <v>1078</v>
      </c>
      <c r="F273" s="8" t="s">
        <v>131</v>
      </c>
      <c r="G273" s="8" t="s">
        <v>61</v>
      </c>
      <c r="H273" s="8" t="s">
        <v>215</v>
      </c>
      <c r="I273" s="3">
        <v>2</v>
      </c>
      <c r="J273" s="8" t="s">
        <v>155</v>
      </c>
      <c r="K273" s="8" t="s">
        <v>156</v>
      </c>
      <c r="L273" s="8" t="s">
        <v>556</v>
      </c>
      <c r="M273" s="1" t="s">
        <v>205</v>
      </c>
      <c r="N273" s="8" t="s">
        <v>206</v>
      </c>
      <c r="O273" s="6">
        <v>0</v>
      </c>
      <c r="P273" s="6">
        <v>0</v>
      </c>
      <c r="Q273" s="6">
        <v>0</v>
      </c>
      <c r="R273" s="6">
        <v>0</v>
      </c>
      <c r="S273" s="6">
        <v>315</v>
      </c>
    </row>
    <row r="274" spans="1:19" ht="15" hidden="1" x14ac:dyDescent="0.25">
      <c r="A274" s="7" t="s">
        <v>16</v>
      </c>
      <c r="B274" s="7" t="s">
        <v>17</v>
      </c>
      <c r="C274" s="7" t="s">
        <v>18</v>
      </c>
      <c r="D274" s="4">
        <v>2864097000106</v>
      </c>
      <c r="E274" s="8" t="s">
        <v>1078</v>
      </c>
      <c r="F274" s="8" t="s">
        <v>131</v>
      </c>
      <c r="G274" s="8" t="s">
        <v>61</v>
      </c>
      <c r="H274" s="8" t="s">
        <v>215</v>
      </c>
      <c r="I274" s="3">
        <v>2</v>
      </c>
      <c r="J274" s="8" t="s">
        <v>181</v>
      </c>
      <c r="K274" s="8" t="s">
        <v>182</v>
      </c>
      <c r="L274" s="8" t="s">
        <v>557</v>
      </c>
      <c r="M274" s="1" t="s">
        <v>205</v>
      </c>
      <c r="N274" s="8" t="s">
        <v>206</v>
      </c>
      <c r="O274" s="6">
        <v>0</v>
      </c>
      <c r="P274" s="6">
        <v>0</v>
      </c>
      <c r="Q274" s="6">
        <v>0</v>
      </c>
      <c r="R274" s="6">
        <v>0</v>
      </c>
      <c r="S274" s="6">
        <v>315</v>
      </c>
    </row>
    <row r="275" spans="1:19" ht="15" hidden="1" x14ac:dyDescent="0.25">
      <c r="A275" s="7" t="s">
        <v>16</v>
      </c>
      <c r="B275" s="7" t="s">
        <v>17</v>
      </c>
      <c r="C275" s="7" t="s">
        <v>18</v>
      </c>
      <c r="D275" s="4">
        <v>31635857000101</v>
      </c>
      <c r="E275" s="8" t="s">
        <v>1106</v>
      </c>
      <c r="F275" s="8" t="s">
        <v>131</v>
      </c>
      <c r="G275" s="8" t="s">
        <v>61</v>
      </c>
      <c r="H275" s="8" t="s">
        <v>215</v>
      </c>
      <c r="I275" s="3">
        <v>2</v>
      </c>
      <c r="J275" s="8" t="s">
        <v>155</v>
      </c>
      <c r="K275" s="8" t="s">
        <v>156</v>
      </c>
      <c r="L275" s="8" t="s">
        <v>556</v>
      </c>
      <c r="M275" s="1" t="s">
        <v>205</v>
      </c>
      <c r="N275" s="8" t="s">
        <v>206</v>
      </c>
      <c r="O275" s="6">
        <v>0</v>
      </c>
      <c r="P275" s="6">
        <v>0</v>
      </c>
      <c r="Q275" s="6">
        <v>0</v>
      </c>
      <c r="R275" s="6">
        <v>0</v>
      </c>
      <c r="S275" s="6">
        <v>0</v>
      </c>
    </row>
    <row r="276" spans="1:19" ht="15" hidden="1" x14ac:dyDescent="0.25">
      <c r="A276" s="7" t="s">
        <v>16</v>
      </c>
      <c r="B276" s="7" t="s">
        <v>17</v>
      </c>
      <c r="C276" s="7" t="s">
        <v>18</v>
      </c>
      <c r="D276" s="4">
        <v>31635857000101</v>
      </c>
      <c r="E276" s="8" t="s">
        <v>1106</v>
      </c>
      <c r="F276" s="8" t="s">
        <v>131</v>
      </c>
      <c r="G276" s="8" t="s">
        <v>61</v>
      </c>
      <c r="H276" s="8" t="s">
        <v>215</v>
      </c>
      <c r="I276" s="3">
        <v>2</v>
      </c>
      <c r="J276" s="8" t="s">
        <v>173</v>
      </c>
      <c r="K276" s="8" t="s">
        <v>174</v>
      </c>
      <c r="L276" s="8" t="s">
        <v>557</v>
      </c>
      <c r="M276" s="1" t="s">
        <v>205</v>
      </c>
      <c r="N276" s="8" t="s">
        <v>206</v>
      </c>
      <c r="O276" s="6">
        <v>0</v>
      </c>
      <c r="P276" s="6">
        <v>0</v>
      </c>
      <c r="Q276" s="6">
        <v>1</v>
      </c>
      <c r="R276" s="6">
        <v>0</v>
      </c>
      <c r="S276" s="6">
        <v>0</v>
      </c>
    </row>
    <row r="277" spans="1:19" ht="15" hidden="1" x14ac:dyDescent="0.25">
      <c r="A277" s="7" t="s">
        <v>16</v>
      </c>
      <c r="B277" s="7" t="s">
        <v>17</v>
      </c>
      <c r="C277" s="7" t="s">
        <v>18</v>
      </c>
      <c r="D277" s="4">
        <v>39086160000130</v>
      </c>
      <c r="E277" s="8" t="s">
        <v>1119</v>
      </c>
      <c r="F277" s="8" t="s">
        <v>131</v>
      </c>
      <c r="G277" s="8" t="s">
        <v>61</v>
      </c>
      <c r="H277" s="8" t="s">
        <v>215</v>
      </c>
      <c r="I277" s="3">
        <v>2</v>
      </c>
      <c r="J277" s="8" t="s">
        <v>155</v>
      </c>
      <c r="K277" s="8" t="s">
        <v>156</v>
      </c>
      <c r="L277" s="8" t="s">
        <v>556</v>
      </c>
      <c r="M277" s="1" t="s">
        <v>205</v>
      </c>
      <c r="N277" s="8" t="s">
        <v>206</v>
      </c>
      <c r="O277" s="6">
        <v>0</v>
      </c>
      <c r="P277" s="6">
        <v>0</v>
      </c>
      <c r="Q277" s="6">
        <v>0</v>
      </c>
      <c r="R277" s="6">
        <v>100</v>
      </c>
      <c r="S277" s="6">
        <v>200</v>
      </c>
    </row>
    <row r="278" spans="1:19" ht="15" hidden="1" x14ac:dyDescent="0.25">
      <c r="A278" s="7" t="s">
        <v>16</v>
      </c>
      <c r="B278" s="7" t="s">
        <v>17</v>
      </c>
      <c r="C278" s="7" t="s">
        <v>18</v>
      </c>
      <c r="D278" s="4">
        <v>39086160000130</v>
      </c>
      <c r="E278" s="8" t="s">
        <v>1119</v>
      </c>
      <c r="F278" s="8" t="s">
        <v>131</v>
      </c>
      <c r="G278" s="8" t="s">
        <v>61</v>
      </c>
      <c r="H278" s="8" t="s">
        <v>215</v>
      </c>
      <c r="I278" s="3">
        <v>2</v>
      </c>
      <c r="J278" s="8" t="s">
        <v>181</v>
      </c>
      <c r="K278" s="8" t="s">
        <v>182</v>
      </c>
      <c r="L278" s="8" t="s">
        <v>557</v>
      </c>
      <c r="M278" s="1" t="s">
        <v>205</v>
      </c>
      <c r="N278" s="8" t="s">
        <v>206</v>
      </c>
      <c r="O278" s="6">
        <v>0</v>
      </c>
      <c r="P278" s="6">
        <v>0</v>
      </c>
      <c r="Q278" s="6">
        <v>0</v>
      </c>
      <c r="R278" s="6">
        <v>0</v>
      </c>
      <c r="S278" s="6">
        <v>200</v>
      </c>
    </row>
    <row r="279" spans="1:19" ht="15" hidden="1" x14ac:dyDescent="0.25">
      <c r="A279" s="7" t="s">
        <v>16</v>
      </c>
      <c r="B279" s="7" t="s">
        <v>17</v>
      </c>
      <c r="C279" s="7" t="s">
        <v>18</v>
      </c>
      <c r="D279" s="4">
        <v>21265360000195</v>
      </c>
      <c r="E279" s="8" t="s">
        <v>1094</v>
      </c>
      <c r="F279" s="8" t="s">
        <v>131</v>
      </c>
      <c r="G279" s="8" t="s">
        <v>61</v>
      </c>
      <c r="H279" s="8" t="s">
        <v>215</v>
      </c>
      <c r="I279" s="3">
        <v>2</v>
      </c>
      <c r="J279" s="8" t="s">
        <v>155</v>
      </c>
      <c r="K279" s="8" t="s">
        <v>156</v>
      </c>
      <c r="L279" s="8" t="s">
        <v>556</v>
      </c>
      <c r="M279" s="1" t="s">
        <v>205</v>
      </c>
      <c r="N279" s="8" t="s">
        <v>206</v>
      </c>
      <c r="O279" s="6">
        <v>0</v>
      </c>
      <c r="P279" s="6">
        <v>0</v>
      </c>
      <c r="Q279" s="6">
        <v>0</v>
      </c>
      <c r="R279" s="6">
        <v>16</v>
      </c>
      <c r="S279" s="6">
        <v>0</v>
      </c>
    </row>
    <row r="280" spans="1:19" ht="15" hidden="1" x14ac:dyDescent="0.25">
      <c r="A280" s="7" t="s">
        <v>16</v>
      </c>
      <c r="B280" s="7" t="s">
        <v>17</v>
      </c>
      <c r="C280" s="7" t="s">
        <v>18</v>
      </c>
      <c r="D280" s="4">
        <v>21265360000195</v>
      </c>
      <c r="E280" s="8" t="s">
        <v>1094</v>
      </c>
      <c r="F280" s="8" t="s">
        <v>131</v>
      </c>
      <c r="G280" s="8" t="s">
        <v>61</v>
      </c>
      <c r="H280" s="8" t="s">
        <v>215</v>
      </c>
      <c r="I280" s="3">
        <v>2</v>
      </c>
      <c r="J280" s="8" t="s">
        <v>173</v>
      </c>
      <c r="K280" s="8" t="s">
        <v>174</v>
      </c>
      <c r="L280" s="8" t="s">
        <v>557</v>
      </c>
      <c r="M280" s="1" t="s">
        <v>205</v>
      </c>
      <c r="N280" s="8" t="s">
        <v>206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</row>
    <row r="281" spans="1:19" ht="15" hidden="1" x14ac:dyDescent="0.25">
      <c r="A281" s="7" t="s">
        <v>16</v>
      </c>
      <c r="B281" s="7" t="s">
        <v>17</v>
      </c>
      <c r="C281" s="7" t="s">
        <v>18</v>
      </c>
      <c r="D281" s="4">
        <v>31635857000292</v>
      </c>
      <c r="E281" s="8" t="s">
        <v>1107</v>
      </c>
      <c r="F281" s="8" t="s">
        <v>131</v>
      </c>
      <c r="G281" s="8" t="s">
        <v>61</v>
      </c>
      <c r="H281" s="8" t="s">
        <v>215</v>
      </c>
      <c r="I281" s="3">
        <v>2</v>
      </c>
      <c r="J281" s="8" t="s">
        <v>155</v>
      </c>
      <c r="K281" s="8" t="s">
        <v>156</v>
      </c>
      <c r="L281" s="8" t="s">
        <v>556</v>
      </c>
      <c r="M281" s="1" t="s">
        <v>205</v>
      </c>
      <c r="N281" s="8" t="s">
        <v>206</v>
      </c>
      <c r="O281" s="6">
        <v>0</v>
      </c>
      <c r="P281" s="6">
        <v>0</v>
      </c>
      <c r="Q281" s="6">
        <v>0</v>
      </c>
      <c r="R281" s="6">
        <v>12</v>
      </c>
      <c r="S281" s="6">
        <v>0</v>
      </c>
    </row>
    <row r="282" spans="1:19" ht="15" hidden="1" x14ac:dyDescent="0.25">
      <c r="A282" s="7" t="s">
        <v>16</v>
      </c>
      <c r="B282" s="7" t="s">
        <v>17</v>
      </c>
      <c r="C282" s="7" t="s">
        <v>18</v>
      </c>
      <c r="D282" s="4">
        <v>31635857000292</v>
      </c>
      <c r="E282" s="8" t="s">
        <v>1107</v>
      </c>
      <c r="F282" s="8" t="s">
        <v>131</v>
      </c>
      <c r="G282" s="8" t="s">
        <v>61</v>
      </c>
      <c r="H282" s="8" t="s">
        <v>215</v>
      </c>
      <c r="I282" s="3">
        <v>2</v>
      </c>
      <c r="J282" s="8" t="s">
        <v>181</v>
      </c>
      <c r="K282" s="8" t="s">
        <v>182</v>
      </c>
      <c r="L282" s="8" t="s">
        <v>557</v>
      </c>
      <c r="M282" s="1" t="s">
        <v>205</v>
      </c>
      <c r="N282" s="8" t="s">
        <v>206</v>
      </c>
      <c r="O282" s="6">
        <v>0</v>
      </c>
      <c r="P282" s="6">
        <v>0</v>
      </c>
      <c r="Q282" s="6">
        <v>7</v>
      </c>
      <c r="R282" s="6">
        <v>0</v>
      </c>
      <c r="S282" s="6">
        <v>0</v>
      </c>
    </row>
    <row r="283" spans="1:19" ht="15" hidden="1" x14ac:dyDescent="0.25">
      <c r="A283" s="7" t="s">
        <v>16</v>
      </c>
      <c r="B283" s="7" t="s">
        <v>17</v>
      </c>
      <c r="C283" s="7" t="s">
        <v>18</v>
      </c>
      <c r="D283" s="4">
        <v>73696718000219</v>
      </c>
      <c r="E283" s="8" t="s">
        <v>1127</v>
      </c>
      <c r="F283" s="8" t="s">
        <v>131</v>
      </c>
      <c r="G283" s="8" t="s">
        <v>61</v>
      </c>
      <c r="H283" s="8" t="s">
        <v>215</v>
      </c>
      <c r="I283" s="3">
        <v>2</v>
      </c>
      <c r="J283" s="8" t="s">
        <v>155</v>
      </c>
      <c r="K283" s="8" t="s">
        <v>156</v>
      </c>
      <c r="L283" s="8" t="s">
        <v>556</v>
      </c>
      <c r="M283" s="1" t="s">
        <v>205</v>
      </c>
      <c r="N283" s="8" t="s">
        <v>206</v>
      </c>
      <c r="O283" s="6">
        <v>0</v>
      </c>
      <c r="P283" s="6">
        <v>0</v>
      </c>
      <c r="Q283" s="6">
        <v>0</v>
      </c>
      <c r="R283" s="6">
        <v>0</v>
      </c>
      <c r="S283" s="6">
        <v>0</v>
      </c>
    </row>
    <row r="284" spans="1:19" ht="15" hidden="1" x14ac:dyDescent="0.25">
      <c r="A284" s="7" t="s">
        <v>16</v>
      </c>
      <c r="B284" s="7" t="s">
        <v>17</v>
      </c>
      <c r="C284" s="7" t="s">
        <v>18</v>
      </c>
      <c r="D284" s="4">
        <v>73696718000219</v>
      </c>
      <c r="E284" s="8" t="s">
        <v>1127</v>
      </c>
      <c r="F284" s="8" t="s">
        <v>131</v>
      </c>
      <c r="G284" s="8" t="s">
        <v>61</v>
      </c>
      <c r="H284" s="8" t="s">
        <v>215</v>
      </c>
      <c r="I284" s="3">
        <v>2</v>
      </c>
      <c r="J284" s="8" t="s">
        <v>173</v>
      </c>
      <c r="K284" s="8" t="s">
        <v>174</v>
      </c>
      <c r="L284" s="8" t="s">
        <v>557</v>
      </c>
      <c r="M284" s="1" t="s">
        <v>205</v>
      </c>
      <c r="N284" s="8" t="s">
        <v>206</v>
      </c>
      <c r="O284" s="6">
        <v>0</v>
      </c>
      <c r="P284" s="6">
        <v>3</v>
      </c>
      <c r="Q284" s="6">
        <v>9</v>
      </c>
      <c r="R284" s="6">
        <v>0</v>
      </c>
      <c r="S284" s="6">
        <v>0</v>
      </c>
    </row>
    <row r="285" spans="1:19" ht="15" hidden="1" x14ac:dyDescent="0.25">
      <c r="A285" s="7" t="s">
        <v>16</v>
      </c>
      <c r="B285" s="7" t="s">
        <v>17</v>
      </c>
      <c r="C285" s="7" t="s">
        <v>18</v>
      </c>
      <c r="D285" s="4">
        <v>2284062000521</v>
      </c>
      <c r="E285" s="8" t="s">
        <v>1077</v>
      </c>
      <c r="F285" s="8" t="s">
        <v>131</v>
      </c>
      <c r="G285" s="8" t="s">
        <v>61</v>
      </c>
      <c r="H285" s="8" t="s">
        <v>215</v>
      </c>
      <c r="I285" s="3">
        <v>2</v>
      </c>
      <c r="J285" s="8" t="s">
        <v>155</v>
      </c>
      <c r="K285" s="8" t="s">
        <v>156</v>
      </c>
      <c r="L285" s="8" t="s">
        <v>556</v>
      </c>
      <c r="M285" s="1" t="s">
        <v>205</v>
      </c>
      <c r="N285" s="8" t="s">
        <v>206</v>
      </c>
      <c r="O285" s="6">
        <v>0</v>
      </c>
      <c r="P285" s="6">
        <v>0</v>
      </c>
      <c r="Q285" s="6">
        <v>0</v>
      </c>
      <c r="R285" s="6">
        <v>0</v>
      </c>
      <c r="S285" s="6">
        <v>0</v>
      </c>
    </row>
    <row r="286" spans="1:19" ht="15" hidden="1" x14ac:dyDescent="0.25">
      <c r="A286" s="7" t="s">
        <v>16</v>
      </c>
      <c r="B286" s="7" t="s">
        <v>17</v>
      </c>
      <c r="C286" s="7" t="s">
        <v>18</v>
      </c>
      <c r="D286" s="4">
        <v>2284062000521</v>
      </c>
      <c r="E286" s="8" t="s">
        <v>1077</v>
      </c>
      <c r="F286" s="8" t="s">
        <v>131</v>
      </c>
      <c r="G286" s="8" t="s">
        <v>61</v>
      </c>
      <c r="H286" s="8" t="s">
        <v>215</v>
      </c>
      <c r="I286" s="3">
        <v>2</v>
      </c>
      <c r="J286" s="8" t="s">
        <v>173</v>
      </c>
      <c r="K286" s="8" t="s">
        <v>174</v>
      </c>
      <c r="L286" s="8" t="s">
        <v>557</v>
      </c>
      <c r="M286" s="1" t="s">
        <v>205</v>
      </c>
      <c r="N286" s="8" t="s">
        <v>206</v>
      </c>
      <c r="O286" s="6">
        <v>0</v>
      </c>
      <c r="P286" s="6">
        <v>8</v>
      </c>
      <c r="Q286" s="6">
        <v>1</v>
      </c>
      <c r="R286" s="6">
        <v>0</v>
      </c>
      <c r="S286" s="6">
        <v>0</v>
      </c>
    </row>
    <row r="287" spans="1:19" ht="15" hidden="1" x14ac:dyDescent="0.25">
      <c r="A287" s="7" t="s">
        <v>16</v>
      </c>
      <c r="B287" s="7" t="s">
        <v>17</v>
      </c>
      <c r="C287" s="7" t="s">
        <v>18</v>
      </c>
      <c r="D287" s="4">
        <v>24217779000160</v>
      </c>
      <c r="E287" s="8" t="s">
        <v>1097</v>
      </c>
      <c r="F287" s="8" t="s">
        <v>131</v>
      </c>
      <c r="G287" s="8" t="s">
        <v>61</v>
      </c>
      <c r="H287" s="8" t="s">
        <v>215</v>
      </c>
      <c r="I287" s="3">
        <v>2</v>
      </c>
      <c r="J287" s="8" t="s">
        <v>155</v>
      </c>
      <c r="K287" s="8" t="s">
        <v>156</v>
      </c>
      <c r="L287" s="8" t="s">
        <v>556</v>
      </c>
      <c r="M287" s="1" t="s">
        <v>205</v>
      </c>
      <c r="N287" s="8" t="s">
        <v>206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</row>
    <row r="288" spans="1:19" ht="15" hidden="1" x14ac:dyDescent="0.25">
      <c r="A288" s="7" t="s">
        <v>16</v>
      </c>
      <c r="B288" s="7" t="s">
        <v>17</v>
      </c>
      <c r="C288" s="7" t="s">
        <v>18</v>
      </c>
      <c r="D288" s="4">
        <v>24217779000160</v>
      </c>
      <c r="E288" s="8" t="s">
        <v>1097</v>
      </c>
      <c r="F288" s="8" t="s">
        <v>131</v>
      </c>
      <c r="G288" s="8" t="s">
        <v>61</v>
      </c>
      <c r="H288" s="8" t="s">
        <v>215</v>
      </c>
      <c r="I288" s="3">
        <v>2</v>
      </c>
      <c r="J288" s="8" t="s">
        <v>173</v>
      </c>
      <c r="K288" s="8" t="s">
        <v>174</v>
      </c>
      <c r="L288" s="8" t="s">
        <v>557</v>
      </c>
      <c r="M288" s="1" t="s">
        <v>205</v>
      </c>
      <c r="N288" s="8" t="s">
        <v>206</v>
      </c>
      <c r="O288" s="6">
        <v>0</v>
      </c>
      <c r="P288" s="6">
        <v>6</v>
      </c>
      <c r="Q288" s="6">
        <v>0</v>
      </c>
      <c r="R288" s="6">
        <v>0</v>
      </c>
      <c r="S288" s="6">
        <v>0</v>
      </c>
    </row>
    <row r="289" spans="1:19" ht="15" hidden="1" x14ac:dyDescent="0.25">
      <c r="A289" s="7" t="s">
        <v>16</v>
      </c>
      <c r="B289" s="7" t="s">
        <v>17</v>
      </c>
      <c r="C289" s="7" t="s">
        <v>18</v>
      </c>
      <c r="D289" s="4">
        <v>11279865000155</v>
      </c>
      <c r="E289" s="8" t="s">
        <v>1091</v>
      </c>
      <c r="F289" s="8" t="s">
        <v>131</v>
      </c>
      <c r="G289" s="8" t="s">
        <v>61</v>
      </c>
      <c r="H289" s="8" t="s">
        <v>215</v>
      </c>
      <c r="I289" s="3">
        <v>2</v>
      </c>
      <c r="J289" s="8" t="s">
        <v>155</v>
      </c>
      <c r="K289" s="8" t="s">
        <v>156</v>
      </c>
      <c r="L289" s="8" t="s">
        <v>556</v>
      </c>
      <c r="M289" s="1" t="s">
        <v>205</v>
      </c>
      <c r="N289" s="8" t="s">
        <v>206</v>
      </c>
      <c r="O289" s="6">
        <v>0</v>
      </c>
      <c r="P289" s="6">
        <v>0</v>
      </c>
      <c r="Q289" s="6">
        <v>0</v>
      </c>
      <c r="R289" s="6">
        <v>0</v>
      </c>
      <c r="S289" s="6">
        <v>0</v>
      </c>
    </row>
    <row r="290" spans="1:19" ht="15" hidden="1" x14ac:dyDescent="0.25">
      <c r="A290" s="7" t="s">
        <v>16</v>
      </c>
      <c r="B290" s="7" t="s">
        <v>17</v>
      </c>
      <c r="C290" s="7" t="s">
        <v>18</v>
      </c>
      <c r="D290" s="4">
        <v>11279865000155</v>
      </c>
      <c r="E290" s="8" t="s">
        <v>1091</v>
      </c>
      <c r="F290" s="8" t="s">
        <v>131</v>
      </c>
      <c r="G290" s="8" t="s">
        <v>61</v>
      </c>
      <c r="H290" s="8" t="s">
        <v>215</v>
      </c>
      <c r="I290" s="3">
        <v>2</v>
      </c>
      <c r="J290" s="8" t="s">
        <v>173</v>
      </c>
      <c r="K290" s="8" t="s">
        <v>174</v>
      </c>
      <c r="L290" s="8" t="s">
        <v>557</v>
      </c>
      <c r="M290" s="1" t="s">
        <v>205</v>
      </c>
      <c r="N290" s="8" t="s">
        <v>206</v>
      </c>
      <c r="O290" s="6">
        <v>0</v>
      </c>
      <c r="P290" s="6">
        <v>8</v>
      </c>
      <c r="Q290" s="6">
        <v>0</v>
      </c>
      <c r="R290" s="6">
        <v>0</v>
      </c>
      <c r="S290" s="6">
        <v>0</v>
      </c>
    </row>
    <row r="291" spans="1:19" ht="15" hidden="1" x14ac:dyDescent="0.25">
      <c r="A291" s="7" t="s">
        <v>16</v>
      </c>
      <c r="B291" s="7" t="s">
        <v>17</v>
      </c>
      <c r="C291" s="7" t="s">
        <v>18</v>
      </c>
      <c r="D291" s="4">
        <v>9609235000230</v>
      </c>
      <c r="E291" s="8" t="s">
        <v>1090</v>
      </c>
      <c r="F291" s="8" t="s">
        <v>131</v>
      </c>
      <c r="G291" s="8" t="s">
        <v>61</v>
      </c>
      <c r="H291" s="8" t="s">
        <v>215</v>
      </c>
      <c r="I291" s="3">
        <v>2</v>
      </c>
      <c r="J291" s="8" t="s">
        <v>155</v>
      </c>
      <c r="K291" s="8" t="s">
        <v>156</v>
      </c>
      <c r="L291" s="8" t="s">
        <v>556</v>
      </c>
      <c r="M291" s="1" t="s">
        <v>205</v>
      </c>
      <c r="N291" s="8" t="s">
        <v>206</v>
      </c>
      <c r="O291" s="6">
        <v>0</v>
      </c>
      <c r="P291" s="6">
        <v>0</v>
      </c>
      <c r="Q291" s="6">
        <v>0</v>
      </c>
      <c r="R291" s="6">
        <v>0</v>
      </c>
      <c r="S291" s="6">
        <v>450</v>
      </c>
    </row>
    <row r="292" spans="1:19" ht="15" hidden="1" x14ac:dyDescent="0.25">
      <c r="A292" s="7" t="s">
        <v>16</v>
      </c>
      <c r="B292" s="7" t="s">
        <v>17</v>
      </c>
      <c r="C292" s="7" t="s">
        <v>18</v>
      </c>
      <c r="D292" s="4">
        <v>9609235000230</v>
      </c>
      <c r="E292" s="8" t="s">
        <v>1090</v>
      </c>
      <c r="F292" s="8" t="s">
        <v>131</v>
      </c>
      <c r="G292" s="8" t="s">
        <v>61</v>
      </c>
      <c r="H292" s="8" t="s">
        <v>215</v>
      </c>
      <c r="I292" s="3">
        <v>2</v>
      </c>
      <c r="J292" s="8" t="s">
        <v>173</v>
      </c>
      <c r="K292" s="8" t="s">
        <v>174</v>
      </c>
      <c r="L292" s="8" t="s">
        <v>557</v>
      </c>
      <c r="M292" s="1" t="s">
        <v>205</v>
      </c>
      <c r="N292" s="8" t="s">
        <v>206</v>
      </c>
      <c r="O292" s="6">
        <v>0</v>
      </c>
      <c r="P292" s="6">
        <v>0</v>
      </c>
      <c r="Q292" s="6">
        <v>0</v>
      </c>
      <c r="R292" s="6">
        <v>0</v>
      </c>
      <c r="S292" s="6">
        <v>450</v>
      </c>
    </row>
    <row r="293" spans="1:19" ht="15" hidden="1" x14ac:dyDescent="0.25">
      <c r="A293" s="7" t="s">
        <v>16</v>
      </c>
      <c r="B293" s="7" t="s">
        <v>17</v>
      </c>
      <c r="C293" s="7" t="s">
        <v>18</v>
      </c>
      <c r="D293" s="4">
        <v>6047087000996</v>
      </c>
      <c r="E293" s="8" t="s">
        <v>1080</v>
      </c>
      <c r="F293" s="8" t="s">
        <v>131</v>
      </c>
      <c r="G293" s="8" t="s">
        <v>61</v>
      </c>
      <c r="H293" s="8" t="s">
        <v>215</v>
      </c>
      <c r="I293" s="3">
        <v>2</v>
      </c>
      <c r="J293" s="8" t="s">
        <v>155</v>
      </c>
      <c r="K293" s="8" t="s">
        <v>156</v>
      </c>
      <c r="L293" s="8" t="s">
        <v>556</v>
      </c>
      <c r="M293" s="1" t="s">
        <v>205</v>
      </c>
      <c r="N293" s="8" t="s">
        <v>206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</row>
    <row r="294" spans="1:19" ht="15" hidden="1" x14ac:dyDescent="0.25">
      <c r="A294" s="7" t="s">
        <v>16</v>
      </c>
      <c r="B294" s="7" t="s">
        <v>17</v>
      </c>
      <c r="C294" s="7" t="s">
        <v>18</v>
      </c>
      <c r="D294" s="4">
        <v>6047087000996</v>
      </c>
      <c r="E294" s="8" t="s">
        <v>1080</v>
      </c>
      <c r="F294" s="8" t="s">
        <v>131</v>
      </c>
      <c r="G294" s="8" t="s">
        <v>61</v>
      </c>
      <c r="H294" s="8" t="s">
        <v>215</v>
      </c>
      <c r="I294" s="3">
        <v>2</v>
      </c>
      <c r="J294" s="8" t="s">
        <v>181</v>
      </c>
      <c r="K294" s="8" t="s">
        <v>182</v>
      </c>
      <c r="L294" s="8" t="s">
        <v>557</v>
      </c>
      <c r="M294" s="1" t="s">
        <v>205</v>
      </c>
      <c r="N294" s="8" t="s">
        <v>206</v>
      </c>
      <c r="O294" s="6">
        <v>0</v>
      </c>
      <c r="P294" s="6">
        <v>30</v>
      </c>
      <c r="Q294" s="6">
        <v>20</v>
      </c>
      <c r="R294" s="6">
        <v>0</v>
      </c>
      <c r="S294" s="6">
        <v>0</v>
      </c>
    </row>
    <row r="295" spans="1:19" ht="15" hidden="1" x14ac:dyDescent="0.25">
      <c r="A295" s="7" t="s">
        <v>16</v>
      </c>
      <c r="B295" s="7" t="s">
        <v>17</v>
      </c>
      <c r="C295" s="7" t="s">
        <v>18</v>
      </c>
      <c r="D295" s="4">
        <v>6047087002697</v>
      </c>
      <c r="E295" s="8" t="s">
        <v>1082</v>
      </c>
      <c r="F295" s="8" t="s">
        <v>131</v>
      </c>
      <c r="G295" s="8" t="s">
        <v>61</v>
      </c>
      <c r="H295" s="8" t="s">
        <v>215</v>
      </c>
      <c r="I295" s="3">
        <v>2</v>
      </c>
      <c r="J295" s="8" t="s">
        <v>155</v>
      </c>
      <c r="K295" s="8" t="s">
        <v>156</v>
      </c>
      <c r="L295" s="8" t="s">
        <v>556</v>
      </c>
      <c r="M295" s="1" t="s">
        <v>205</v>
      </c>
      <c r="N295" s="8" t="s">
        <v>206</v>
      </c>
      <c r="O295" s="6">
        <v>0</v>
      </c>
      <c r="P295" s="6">
        <v>0</v>
      </c>
      <c r="Q295" s="6">
        <v>0</v>
      </c>
      <c r="R295" s="6">
        <v>0</v>
      </c>
      <c r="S295" s="6">
        <v>0</v>
      </c>
    </row>
    <row r="296" spans="1:19" ht="15" hidden="1" x14ac:dyDescent="0.25">
      <c r="A296" s="7" t="s">
        <v>16</v>
      </c>
      <c r="B296" s="7" t="s">
        <v>17</v>
      </c>
      <c r="C296" s="7" t="s">
        <v>18</v>
      </c>
      <c r="D296" s="4">
        <v>6047087002697</v>
      </c>
      <c r="E296" s="8" t="s">
        <v>1082</v>
      </c>
      <c r="F296" s="8" t="s">
        <v>131</v>
      </c>
      <c r="G296" s="8" t="s">
        <v>61</v>
      </c>
      <c r="H296" s="8" t="s">
        <v>215</v>
      </c>
      <c r="I296" s="3">
        <v>2</v>
      </c>
      <c r="J296" s="8" t="s">
        <v>181</v>
      </c>
      <c r="K296" s="8" t="s">
        <v>182</v>
      </c>
      <c r="L296" s="8" t="s">
        <v>557</v>
      </c>
      <c r="M296" s="1" t="s">
        <v>205</v>
      </c>
      <c r="N296" s="8" t="s">
        <v>206</v>
      </c>
      <c r="O296" s="6">
        <v>0</v>
      </c>
      <c r="P296" s="6">
        <v>8</v>
      </c>
      <c r="Q296" s="6">
        <v>14</v>
      </c>
      <c r="R296" s="6">
        <v>0</v>
      </c>
      <c r="S296" s="6">
        <v>0</v>
      </c>
    </row>
    <row r="297" spans="1:19" ht="15" hidden="1" x14ac:dyDescent="0.25">
      <c r="A297" s="7" t="s">
        <v>16</v>
      </c>
      <c r="B297" s="7" t="s">
        <v>17</v>
      </c>
      <c r="C297" s="7" t="s">
        <v>18</v>
      </c>
      <c r="D297" s="4">
        <v>394544020453</v>
      </c>
      <c r="E297" s="8" t="s">
        <v>1074</v>
      </c>
      <c r="F297" s="8" t="s">
        <v>131</v>
      </c>
      <c r="G297" s="8" t="s">
        <v>61</v>
      </c>
      <c r="H297" s="8" t="s">
        <v>215</v>
      </c>
      <c r="I297" s="3">
        <v>2</v>
      </c>
      <c r="J297" s="8" t="s">
        <v>155</v>
      </c>
      <c r="K297" s="8" t="s">
        <v>156</v>
      </c>
      <c r="L297" s="8" t="s">
        <v>556</v>
      </c>
      <c r="M297" s="1" t="s">
        <v>205</v>
      </c>
      <c r="N297" s="8" t="s">
        <v>206</v>
      </c>
      <c r="O297" s="6">
        <v>0</v>
      </c>
      <c r="P297" s="6">
        <v>0</v>
      </c>
      <c r="Q297" s="6">
        <v>0</v>
      </c>
      <c r="R297" s="6">
        <v>0</v>
      </c>
      <c r="S297" s="6">
        <v>600</v>
      </c>
    </row>
    <row r="298" spans="1:19" ht="15" hidden="1" x14ac:dyDescent="0.25">
      <c r="A298" s="7" t="s">
        <v>16</v>
      </c>
      <c r="B298" s="7" t="s">
        <v>17</v>
      </c>
      <c r="C298" s="7" t="s">
        <v>18</v>
      </c>
      <c r="D298" s="4">
        <v>394544020453</v>
      </c>
      <c r="E298" s="8" t="s">
        <v>1074</v>
      </c>
      <c r="F298" s="8" t="s">
        <v>131</v>
      </c>
      <c r="G298" s="8" t="s">
        <v>61</v>
      </c>
      <c r="H298" s="8" t="s">
        <v>215</v>
      </c>
      <c r="I298" s="3">
        <v>2</v>
      </c>
      <c r="J298" s="8" t="s">
        <v>181</v>
      </c>
      <c r="K298" s="8" t="s">
        <v>182</v>
      </c>
      <c r="L298" s="8" t="s">
        <v>557</v>
      </c>
      <c r="M298" s="1" t="s">
        <v>205</v>
      </c>
      <c r="N298" s="8" t="s">
        <v>206</v>
      </c>
      <c r="O298" s="6">
        <v>0</v>
      </c>
      <c r="P298" s="6">
        <v>0</v>
      </c>
      <c r="Q298" s="6">
        <v>0</v>
      </c>
      <c r="R298" s="6">
        <v>0</v>
      </c>
      <c r="S298" s="6">
        <v>600</v>
      </c>
    </row>
    <row r="299" spans="1:19" ht="15" hidden="1" x14ac:dyDescent="0.25">
      <c r="A299" s="7" t="s">
        <v>16</v>
      </c>
      <c r="B299" s="7" t="s">
        <v>17</v>
      </c>
      <c r="C299" s="7" t="s">
        <v>18</v>
      </c>
      <c r="D299" s="4">
        <v>32154700000127</v>
      </c>
      <c r="E299" s="8" t="s">
        <v>1109</v>
      </c>
      <c r="F299" s="8" t="s">
        <v>131</v>
      </c>
      <c r="G299" s="8" t="s">
        <v>61</v>
      </c>
      <c r="H299" s="8" t="s">
        <v>215</v>
      </c>
      <c r="I299" s="3">
        <v>2</v>
      </c>
      <c r="J299" s="8" t="s">
        <v>155</v>
      </c>
      <c r="K299" s="8" t="s">
        <v>156</v>
      </c>
      <c r="L299" s="8" t="s">
        <v>556</v>
      </c>
      <c r="M299" s="1" t="s">
        <v>205</v>
      </c>
      <c r="N299" s="8" t="s">
        <v>206</v>
      </c>
      <c r="O299" s="6">
        <v>0</v>
      </c>
      <c r="P299" s="6">
        <v>0</v>
      </c>
      <c r="Q299" s="6">
        <v>0</v>
      </c>
      <c r="R299" s="6">
        <v>0</v>
      </c>
      <c r="S299" s="6">
        <v>0</v>
      </c>
    </row>
    <row r="300" spans="1:19" ht="15" hidden="1" x14ac:dyDescent="0.25">
      <c r="A300" s="7" t="s">
        <v>16</v>
      </c>
      <c r="B300" s="7" t="s">
        <v>17</v>
      </c>
      <c r="C300" s="7" t="s">
        <v>18</v>
      </c>
      <c r="D300" s="4">
        <v>32154700000127</v>
      </c>
      <c r="E300" s="8" t="s">
        <v>1109</v>
      </c>
      <c r="F300" s="8" t="s">
        <v>131</v>
      </c>
      <c r="G300" s="8" t="s">
        <v>61</v>
      </c>
      <c r="H300" s="8" t="s">
        <v>215</v>
      </c>
      <c r="I300" s="3">
        <v>2</v>
      </c>
      <c r="J300" s="8" t="s">
        <v>181</v>
      </c>
      <c r="K300" s="8" t="s">
        <v>182</v>
      </c>
      <c r="L300" s="8" t="s">
        <v>557</v>
      </c>
      <c r="M300" s="1" t="s">
        <v>205</v>
      </c>
      <c r="N300" s="8" t="s">
        <v>206</v>
      </c>
      <c r="O300" s="6">
        <v>0</v>
      </c>
      <c r="P300" s="6">
        <v>8</v>
      </c>
      <c r="Q300" s="6">
        <v>5</v>
      </c>
      <c r="R300" s="6">
        <v>0</v>
      </c>
      <c r="S300" s="6">
        <v>0</v>
      </c>
    </row>
    <row r="301" spans="1:19" ht="15" hidden="1" x14ac:dyDescent="0.25">
      <c r="A301" s="7" t="s">
        <v>16</v>
      </c>
      <c r="B301" s="7" t="s">
        <v>17</v>
      </c>
      <c r="C301" s="7" t="s">
        <v>18</v>
      </c>
      <c r="D301" s="4">
        <v>27901222000131</v>
      </c>
      <c r="E301" s="8" t="s">
        <v>1098</v>
      </c>
      <c r="F301" s="8" t="s">
        <v>131</v>
      </c>
      <c r="G301" s="8" t="s">
        <v>61</v>
      </c>
      <c r="H301" s="8" t="s">
        <v>215</v>
      </c>
      <c r="I301" s="3">
        <v>2</v>
      </c>
      <c r="J301" s="8" t="s">
        <v>155</v>
      </c>
      <c r="K301" s="8" t="s">
        <v>156</v>
      </c>
      <c r="L301" s="8" t="s">
        <v>556</v>
      </c>
      <c r="M301" s="1" t="s">
        <v>205</v>
      </c>
      <c r="N301" s="8" t="s">
        <v>206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</row>
    <row r="302" spans="1:19" ht="15" hidden="1" x14ac:dyDescent="0.25">
      <c r="A302" s="7" t="s">
        <v>16</v>
      </c>
      <c r="B302" s="7" t="s">
        <v>17</v>
      </c>
      <c r="C302" s="7" t="s">
        <v>18</v>
      </c>
      <c r="D302" s="4">
        <v>27901222000131</v>
      </c>
      <c r="E302" s="8" t="s">
        <v>1098</v>
      </c>
      <c r="F302" s="8" t="s">
        <v>131</v>
      </c>
      <c r="G302" s="8" t="s">
        <v>61</v>
      </c>
      <c r="H302" s="8" t="s">
        <v>215</v>
      </c>
      <c r="I302" s="3">
        <v>2</v>
      </c>
      <c r="J302" s="8" t="s">
        <v>181</v>
      </c>
      <c r="K302" s="8" t="s">
        <v>182</v>
      </c>
      <c r="L302" s="8" t="s">
        <v>557</v>
      </c>
      <c r="M302" s="1" t="s">
        <v>205</v>
      </c>
      <c r="N302" s="8" t="s">
        <v>206</v>
      </c>
      <c r="O302" s="6">
        <v>0</v>
      </c>
      <c r="P302" s="6">
        <v>0</v>
      </c>
      <c r="Q302" s="6">
        <v>5</v>
      </c>
      <c r="R302" s="6">
        <v>0</v>
      </c>
      <c r="S302" s="6">
        <v>0</v>
      </c>
    </row>
    <row r="303" spans="1:19" ht="15" hidden="1" x14ac:dyDescent="0.25">
      <c r="A303" s="7" t="s">
        <v>16</v>
      </c>
      <c r="B303" s="7" t="s">
        <v>17</v>
      </c>
      <c r="C303" s="7" t="s">
        <v>18</v>
      </c>
      <c r="D303" s="4">
        <v>394544020372</v>
      </c>
      <c r="E303" s="8" t="s">
        <v>1073</v>
      </c>
      <c r="F303" s="8" t="s">
        <v>131</v>
      </c>
      <c r="G303" s="8" t="s">
        <v>61</v>
      </c>
      <c r="H303" s="8" t="s">
        <v>215</v>
      </c>
      <c r="I303" s="3">
        <v>2</v>
      </c>
      <c r="J303" s="8" t="s">
        <v>155</v>
      </c>
      <c r="K303" s="8" t="s">
        <v>156</v>
      </c>
      <c r="L303" s="8" t="s">
        <v>556</v>
      </c>
      <c r="M303" s="1" t="s">
        <v>205</v>
      </c>
      <c r="N303" s="8" t="s">
        <v>206</v>
      </c>
      <c r="O303" s="6">
        <v>0</v>
      </c>
      <c r="P303" s="6">
        <v>0</v>
      </c>
      <c r="Q303" s="6">
        <v>0</v>
      </c>
      <c r="R303" s="6">
        <v>0</v>
      </c>
      <c r="S303" s="6">
        <v>390</v>
      </c>
    </row>
    <row r="304" spans="1:19" ht="15" hidden="1" x14ac:dyDescent="0.25">
      <c r="A304" s="7" t="s">
        <v>16</v>
      </c>
      <c r="B304" s="7" t="s">
        <v>17</v>
      </c>
      <c r="C304" s="7" t="s">
        <v>18</v>
      </c>
      <c r="D304" s="4">
        <v>394544020372</v>
      </c>
      <c r="E304" s="8" t="s">
        <v>1073</v>
      </c>
      <c r="F304" s="8" t="s">
        <v>131</v>
      </c>
      <c r="G304" s="8" t="s">
        <v>61</v>
      </c>
      <c r="H304" s="8" t="s">
        <v>215</v>
      </c>
      <c r="I304" s="3">
        <v>2</v>
      </c>
      <c r="J304" s="8" t="s">
        <v>181</v>
      </c>
      <c r="K304" s="8" t="s">
        <v>182</v>
      </c>
      <c r="L304" s="8" t="s">
        <v>557</v>
      </c>
      <c r="M304" s="1" t="s">
        <v>205</v>
      </c>
      <c r="N304" s="8" t="s">
        <v>206</v>
      </c>
      <c r="O304" s="6">
        <v>0</v>
      </c>
      <c r="P304" s="6">
        <v>0</v>
      </c>
      <c r="Q304" s="6">
        <v>0</v>
      </c>
      <c r="R304" s="6">
        <v>0</v>
      </c>
      <c r="S304" s="6">
        <v>390</v>
      </c>
    </row>
    <row r="305" spans="1:19" ht="15" hidden="1" x14ac:dyDescent="0.25">
      <c r="A305" s="7" t="s">
        <v>16</v>
      </c>
      <c r="B305" s="7" t="s">
        <v>17</v>
      </c>
      <c r="C305" s="7" t="s">
        <v>18</v>
      </c>
      <c r="D305" s="4">
        <v>394544020291</v>
      </c>
      <c r="E305" s="8" t="s">
        <v>1072</v>
      </c>
      <c r="F305" s="8" t="s">
        <v>131</v>
      </c>
      <c r="G305" s="8" t="s">
        <v>61</v>
      </c>
      <c r="H305" s="8" t="s">
        <v>215</v>
      </c>
      <c r="I305" s="3">
        <v>2</v>
      </c>
      <c r="J305" s="8" t="s">
        <v>155</v>
      </c>
      <c r="K305" s="8" t="s">
        <v>156</v>
      </c>
      <c r="L305" s="8" t="s">
        <v>556</v>
      </c>
      <c r="M305" s="1" t="s">
        <v>205</v>
      </c>
      <c r="N305" s="8" t="s">
        <v>206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</row>
    <row r="306" spans="1:19" ht="15" hidden="1" x14ac:dyDescent="0.25">
      <c r="A306" s="7" t="s">
        <v>16</v>
      </c>
      <c r="B306" s="7" t="s">
        <v>17</v>
      </c>
      <c r="C306" s="7" t="s">
        <v>18</v>
      </c>
      <c r="D306" s="4">
        <v>394544020291</v>
      </c>
      <c r="E306" s="8" t="s">
        <v>1072</v>
      </c>
      <c r="F306" s="8" t="s">
        <v>131</v>
      </c>
      <c r="G306" s="8" t="s">
        <v>61</v>
      </c>
      <c r="H306" s="8" t="s">
        <v>215</v>
      </c>
      <c r="I306" s="3">
        <v>2</v>
      </c>
      <c r="J306" s="8" t="s">
        <v>173</v>
      </c>
      <c r="K306" s="8" t="s">
        <v>174</v>
      </c>
      <c r="L306" s="8" t="s">
        <v>557</v>
      </c>
      <c r="M306" s="1" t="s">
        <v>205</v>
      </c>
      <c r="N306" s="8" t="s">
        <v>206</v>
      </c>
      <c r="O306" s="6">
        <v>0</v>
      </c>
      <c r="P306" s="6">
        <v>60</v>
      </c>
      <c r="Q306" s="6">
        <v>0</v>
      </c>
      <c r="R306" s="6">
        <v>0</v>
      </c>
      <c r="S306" s="6">
        <v>0</v>
      </c>
    </row>
    <row r="307" spans="1:19" ht="15" hidden="1" x14ac:dyDescent="0.25">
      <c r="A307" s="7" t="s">
        <v>16</v>
      </c>
      <c r="B307" s="7" t="s">
        <v>17</v>
      </c>
      <c r="C307" s="7" t="s">
        <v>18</v>
      </c>
      <c r="D307" s="4">
        <v>394544021000</v>
      </c>
      <c r="E307" s="8" t="s">
        <v>1075</v>
      </c>
      <c r="F307" s="8" t="s">
        <v>131</v>
      </c>
      <c r="G307" s="8" t="s">
        <v>61</v>
      </c>
      <c r="H307" s="8" t="s">
        <v>215</v>
      </c>
      <c r="I307" s="3">
        <v>2</v>
      </c>
      <c r="J307" s="8" t="s">
        <v>155</v>
      </c>
      <c r="K307" s="8" t="s">
        <v>156</v>
      </c>
      <c r="L307" s="8" t="s">
        <v>556</v>
      </c>
      <c r="M307" s="1" t="s">
        <v>205</v>
      </c>
      <c r="N307" s="8" t="s">
        <v>206</v>
      </c>
      <c r="O307" s="6">
        <v>0</v>
      </c>
      <c r="P307" s="6">
        <v>0</v>
      </c>
      <c r="Q307" s="6">
        <v>0</v>
      </c>
      <c r="R307" s="6">
        <v>0</v>
      </c>
      <c r="S307" s="6">
        <v>150</v>
      </c>
    </row>
    <row r="308" spans="1:19" ht="15" hidden="1" x14ac:dyDescent="0.25">
      <c r="A308" s="7" t="s">
        <v>16</v>
      </c>
      <c r="B308" s="7" t="s">
        <v>17</v>
      </c>
      <c r="C308" s="7" t="s">
        <v>18</v>
      </c>
      <c r="D308" s="4">
        <v>394544021000</v>
      </c>
      <c r="E308" s="8" t="s">
        <v>1075</v>
      </c>
      <c r="F308" s="8" t="s">
        <v>131</v>
      </c>
      <c r="G308" s="8" t="s">
        <v>61</v>
      </c>
      <c r="H308" s="8" t="s">
        <v>215</v>
      </c>
      <c r="I308" s="3">
        <v>2</v>
      </c>
      <c r="J308" s="8" t="s">
        <v>181</v>
      </c>
      <c r="K308" s="8" t="s">
        <v>182</v>
      </c>
      <c r="L308" s="8" t="s">
        <v>557</v>
      </c>
      <c r="M308" s="1" t="s">
        <v>205</v>
      </c>
      <c r="N308" s="8" t="s">
        <v>206</v>
      </c>
      <c r="O308" s="6">
        <v>0</v>
      </c>
      <c r="P308" s="6">
        <v>0</v>
      </c>
      <c r="Q308" s="6">
        <v>0</v>
      </c>
      <c r="R308" s="6">
        <v>0</v>
      </c>
      <c r="S308" s="6">
        <v>150</v>
      </c>
    </row>
    <row r="309" spans="1:19" ht="15" hidden="1" x14ac:dyDescent="0.25">
      <c r="A309" s="7" t="s">
        <v>16</v>
      </c>
      <c r="B309" s="7" t="s">
        <v>17</v>
      </c>
      <c r="C309" s="7" t="s">
        <v>18</v>
      </c>
      <c r="D309" s="4">
        <v>9578217000158</v>
      </c>
      <c r="E309" s="8" t="s">
        <v>1089</v>
      </c>
      <c r="F309" s="8" t="s">
        <v>131</v>
      </c>
      <c r="G309" s="8" t="s">
        <v>61</v>
      </c>
      <c r="H309" s="8" t="s">
        <v>215</v>
      </c>
      <c r="I309" s="3">
        <v>2</v>
      </c>
      <c r="J309" s="8" t="s">
        <v>155</v>
      </c>
      <c r="K309" s="8" t="s">
        <v>156</v>
      </c>
      <c r="L309" s="8" t="s">
        <v>556</v>
      </c>
      <c r="M309" s="1" t="s">
        <v>205</v>
      </c>
      <c r="N309" s="8" t="s">
        <v>206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</row>
    <row r="310" spans="1:19" ht="15" hidden="1" x14ac:dyDescent="0.25">
      <c r="A310" s="7" t="s">
        <v>16</v>
      </c>
      <c r="B310" s="7" t="s">
        <v>17</v>
      </c>
      <c r="C310" s="7" t="s">
        <v>18</v>
      </c>
      <c r="D310" s="4">
        <v>9578217000158</v>
      </c>
      <c r="E310" s="8" t="s">
        <v>1089</v>
      </c>
      <c r="F310" s="8" t="s">
        <v>131</v>
      </c>
      <c r="G310" s="8" t="s">
        <v>61</v>
      </c>
      <c r="H310" s="8" t="s">
        <v>215</v>
      </c>
      <c r="I310" s="3">
        <v>2</v>
      </c>
      <c r="J310" s="8" t="s">
        <v>181</v>
      </c>
      <c r="K310" s="8" t="s">
        <v>182</v>
      </c>
      <c r="L310" s="8" t="s">
        <v>557</v>
      </c>
      <c r="M310" s="1" t="s">
        <v>205</v>
      </c>
      <c r="N310" s="8" t="s">
        <v>206</v>
      </c>
      <c r="O310" s="6">
        <v>0</v>
      </c>
      <c r="P310" s="6">
        <v>3</v>
      </c>
      <c r="Q310" s="6">
        <v>4</v>
      </c>
      <c r="R310" s="6">
        <v>0</v>
      </c>
      <c r="S310" s="6">
        <v>0</v>
      </c>
    </row>
    <row r="311" spans="1:19" ht="15" hidden="1" x14ac:dyDescent="0.25">
      <c r="A311" s="7" t="s">
        <v>16</v>
      </c>
      <c r="B311" s="7" t="s">
        <v>17</v>
      </c>
      <c r="C311" s="7" t="s">
        <v>18</v>
      </c>
      <c r="D311" s="4">
        <v>6047087003316</v>
      </c>
      <c r="E311" s="8" t="s">
        <v>1083</v>
      </c>
      <c r="F311" s="8" t="s">
        <v>131</v>
      </c>
      <c r="G311" s="8" t="s">
        <v>61</v>
      </c>
      <c r="H311" s="8" t="s">
        <v>215</v>
      </c>
      <c r="I311" s="3">
        <v>2</v>
      </c>
      <c r="J311" s="8" t="s">
        <v>155</v>
      </c>
      <c r="K311" s="8" t="s">
        <v>156</v>
      </c>
      <c r="L311" s="8" t="s">
        <v>556</v>
      </c>
      <c r="M311" s="1" t="s">
        <v>205</v>
      </c>
      <c r="N311" s="8" t="s">
        <v>206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</row>
    <row r="312" spans="1:19" ht="15" hidden="1" x14ac:dyDescent="0.25">
      <c r="A312" s="7" t="s">
        <v>16</v>
      </c>
      <c r="B312" s="7" t="s">
        <v>17</v>
      </c>
      <c r="C312" s="7" t="s">
        <v>18</v>
      </c>
      <c r="D312" s="4">
        <v>6047087003316</v>
      </c>
      <c r="E312" s="8" t="s">
        <v>1083</v>
      </c>
      <c r="F312" s="8" t="s">
        <v>131</v>
      </c>
      <c r="G312" s="8" t="s">
        <v>61</v>
      </c>
      <c r="H312" s="8" t="s">
        <v>215</v>
      </c>
      <c r="I312" s="3">
        <v>2</v>
      </c>
      <c r="J312" s="8" t="s">
        <v>181</v>
      </c>
      <c r="K312" s="8" t="s">
        <v>182</v>
      </c>
      <c r="L312" s="8" t="s">
        <v>557</v>
      </c>
      <c r="M312" s="1" t="s">
        <v>205</v>
      </c>
      <c r="N312" s="8" t="s">
        <v>206</v>
      </c>
      <c r="O312" s="6">
        <v>0</v>
      </c>
      <c r="P312" s="6">
        <v>3</v>
      </c>
      <c r="Q312" s="6">
        <v>1</v>
      </c>
      <c r="R312" s="6">
        <v>0</v>
      </c>
      <c r="S312" s="6">
        <v>0</v>
      </c>
    </row>
    <row r="313" spans="1:19" ht="15" hidden="1" x14ac:dyDescent="0.25">
      <c r="A313" s="7" t="s">
        <v>16</v>
      </c>
      <c r="B313" s="7" t="s">
        <v>17</v>
      </c>
      <c r="C313" s="7" t="s">
        <v>18</v>
      </c>
      <c r="D313" s="4">
        <v>29435005005783</v>
      </c>
      <c r="E313" s="8" t="s">
        <v>1104</v>
      </c>
      <c r="F313" s="8" t="s">
        <v>131</v>
      </c>
      <c r="G313" s="8" t="s">
        <v>61</v>
      </c>
      <c r="H313" s="8" t="s">
        <v>215</v>
      </c>
      <c r="I313" s="3">
        <v>2</v>
      </c>
      <c r="J313" s="8" t="s">
        <v>155</v>
      </c>
      <c r="K313" s="8" t="s">
        <v>156</v>
      </c>
      <c r="L313" s="8" t="s">
        <v>556</v>
      </c>
      <c r="M313" s="1" t="s">
        <v>205</v>
      </c>
      <c r="N313" s="8" t="s">
        <v>206</v>
      </c>
      <c r="O313" s="6">
        <v>0</v>
      </c>
      <c r="P313" s="6">
        <v>0</v>
      </c>
      <c r="Q313" s="6">
        <v>0</v>
      </c>
      <c r="R313" s="6">
        <v>0</v>
      </c>
      <c r="S313" s="6">
        <v>225</v>
      </c>
    </row>
    <row r="314" spans="1:19" ht="15" hidden="1" x14ac:dyDescent="0.25">
      <c r="A314" s="7" t="s">
        <v>16</v>
      </c>
      <c r="B314" s="7" t="s">
        <v>17</v>
      </c>
      <c r="C314" s="7" t="s">
        <v>18</v>
      </c>
      <c r="D314" s="4">
        <v>29435005005783</v>
      </c>
      <c r="E314" s="8" t="s">
        <v>1104</v>
      </c>
      <c r="F314" s="8" t="s">
        <v>131</v>
      </c>
      <c r="G314" s="8" t="s">
        <v>61</v>
      </c>
      <c r="H314" s="8" t="s">
        <v>215</v>
      </c>
      <c r="I314" s="3">
        <v>2</v>
      </c>
      <c r="J314" s="8" t="s">
        <v>173</v>
      </c>
      <c r="K314" s="8" t="s">
        <v>174</v>
      </c>
      <c r="L314" s="8" t="s">
        <v>557</v>
      </c>
      <c r="M314" s="1" t="s">
        <v>205</v>
      </c>
      <c r="N314" s="8" t="s">
        <v>206</v>
      </c>
      <c r="O314" s="6">
        <v>0</v>
      </c>
      <c r="P314" s="6">
        <v>0</v>
      </c>
      <c r="Q314" s="6">
        <v>0</v>
      </c>
      <c r="R314" s="6">
        <v>0</v>
      </c>
      <c r="S314" s="6">
        <v>225</v>
      </c>
    </row>
    <row r="315" spans="1:19" ht="15" hidden="1" x14ac:dyDescent="0.25">
      <c r="A315" s="7" t="s">
        <v>16</v>
      </c>
      <c r="B315" s="7" t="s">
        <v>17</v>
      </c>
      <c r="C315" s="7" t="s">
        <v>18</v>
      </c>
      <c r="D315" s="4">
        <v>29435005005198</v>
      </c>
      <c r="E315" s="8" t="s">
        <v>1102</v>
      </c>
      <c r="F315" s="8" t="s">
        <v>131</v>
      </c>
      <c r="G315" s="8" t="s">
        <v>61</v>
      </c>
      <c r="H315" s="8" t="s">
        <v>215</v>
      </c>
      <c r="I315" s="3">
        <v>2</v>
      </c>
      <c r="J315" s="8" t="s">
        <v>155</v>
      </c>
      <c r="K315" s="8" t="s">
        <v>156</v>
      </c>
      <c r="L315" s="8" t="s">
        <v>556</v>
      </c>
      <c r="M315" s="1" t="s">
        <v>205</v>
      </c>
      <c r="N315" s="8" t="s">
        <v>206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</row>
    <row r="316" spans="1:19" ht="15" hidden="1" x14ac:dyDescent="0.25">
      <c r="A316" s="7" t="s">
        <v>16</v>
      </c>
      <c r="B316" s="7" t="s">
        <v>17</v>
      </c>
      <c r="C316" s="7" t="s">
        <v>18</v>
      </c>
      <c r="D316" s="4">
        <v>29435005005198</v>
      </c>
      <c r="E316" s="8" t="s">
        <v>1102</v>
      </c>
      <c r="F316" s="8" t="s">
        <v>131</v>
      </c>
      <c r="G316" s="8" t="s">
        <v>61</v>
      </c>
      <c r="H316" s="8" t="s">
        <v>215</v>
      </c>
      <c r="I316" s="3">
        <v>2</v>
      </c>
      <c r="J316" s="8" t="s">
        <v>181</v>
      </c>
      <c r="K316" s="8" t="s">
        <v>182</v>
      </c>
      <c r="L316" s="8" t="s">
        <v>557</v>
      </c>
      <c r="M316" s="1" t="s">
        <v>205</v>
      </c>
      <c r="N316" s="8" t="s">
        <v>206</v>
      </c>
      <c r="O316" s="6">
        <v>0</v>
      </c>
      <c r="P316" s="6">
        <v>16</v>
      </c>
      <c r="Q316" s="6">
        <v>17</v>
      </c>
      <c r="R316" s="6">
        <v>0</v>
      </c>
      <c r="S316" s="6">
        <v>0</v>
      </c>
    </row>
    <row r="317" spans="1:19" ht="15" hidden="1" x14ac:dyDescent="0.25">
      <c r="A317" s="7" t="s">
        <v>16</v>
      </c>
      <c r="B317" s="7" t="s">
        <v>17</v>
      </c>
      <c r="C317" s="7" t="s">
        <v>18</v>
      </c>
      <c r="D317" s="4">
        <v>6047087001020</v>
      </c>
      <c r="E317" s="8" t="s">
        <v>1081</v>
      </c>
      <c r="F317" s="8" t="s">
        <v>131</v>
      </c>
      <c r="G317" s="8" t="s">
        <v>61</v>
      </c>
      <c r="H317" s="8" t="s">
        <v>215</v>
      </c>
      <c r="I317" s="3">
        <v>2</v>
      </c>
      <c r="J317" s="8" t="s">
        <v>155</v>
      </c>
      <c r="K317" s="8" t="s">
        <v>156</v>
      </c>
      <c r="L317" s="8" t="s">
        <v>556</v>
      </c>
      <c r="M317" s="1" t="s">
        <v>205</v>
      </c>
      <c r="N317" s="8" t="s">
        <v>206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</row>
    <row r="318" spans="1:19" ht="15" hidden="1" x14ac:dyDescent="0.25">
      <c r="A318" s="7" t="s">
        <v>16</v>
      </c>
      <c r="B318" s="7" t="s">
        <v>17</v>
      </c>
      <c r="C318" s="7" t="s">
        <v>18</v>
      </c>
      <c r="D318" s="4">
        <v>6047087001020</v>
      </c>
      <c r="E318" s="8" t="s">
        <v>1081</v>
      </c>
      <c r="F318" s="8" t="s">
        <v>131</v>
      </c>
      <c r="G318" s="8" t="s">
        <v>61</v>
      </c>
      <c r="H318" s="8" t="s">
        <v>215</v>
      </c>
      <c r="I318" s="3">
        <v>2</v>
      </c>
      <c r="J318" s="8" t="s">
        <v>181</v>
      </c>
      <c r="K318" s="8" t="s">
        <v>182</v>
      </c>
      <c r="L318" s="8" t="s">
        <v>557</v>
      </c>
      <c r="M318" s="1" t="s">
        <v>205</v>
      </c>
      <c r="N318" s="8" t="s">
        <v>206</v>
      </c>
      <c r="O318" s="6">
        <v>0</v>
      </c>
      <c r="P318" s="6">
        <v>80</v>
      </c>
      <c r="Q318" s="6">
        <v>100</v>
      </c>
      <c r="R318" s="6">
        <v>0</v>
      </c>
      <c r="S318" s="6">
        <v>0</v>
      </c>
    </row>
    <row r="319" spans="1:19" ht="15" hidden="1" x14ac:dyDescent="0.25">
      <c r="A319" s="7" t="s">
        <v>16</v>
      </c>
      <c r="B319" s="7" t="s">
        <v>17</v>
      </c>
      <c r="C319" s="7" t="s">
        <v>18</v>
      </c>
      <c r="D319" s="4">
        <v>29259736000403</v>
      </c>
      <c r="E319" s="8" t="s">
        <v>1101</v>
      </c>
      <c r="F319" s="8" t="s">
        <v>131</v>
      </c>
      <c r="G319" s="8" t="s">
        <v>61</v>
      </c>
      <c r="H319" s="8" t="s">
        <v>215</v>
      </c>
      <c r="I319" s="3">
        <v>2</v>
      </c>
      <c r="J319" s="8" t="s">
        <v>155</v>
      </c>
      <c r="K319" s="8" t="s">
        <v>156</v>
      </c>
      <c r="L319" s="8" t="s">
        <v>556</v>
      </c>
      <c r="M319" s="1" t="s">
        <v>205</v>
      </c>
      <c r="N319" s="8" t="s">
        <v>206</v>
      </c>
      <c r="O319" s="6">
        <v>0</v>
      </c>
      <c r="P319" s="6">
        <v>0</v>
      </c>
      <c r="Q319" s="6">
        <v>0</v>
      </c>
      <c r="R319" s="6">
        <v>40</v>
      </c>
      <c r="S319" s="6">
        <v>0</v>
      </c>
    </row>
    <row r="320" spans="1:19" ht="15" hidden="1" x14ac:dyDescent="0.25">
      <c r="A320" s="7" t="s">
        <v>16</v>
      </c>
      <c r="B320" s="7" t="s">
        <v>17</v>
      </c>
      <c r="C320" s="7" t="s">
        <v>18</v>
      </c>
      <c r="D320" s="4">
        <v>29259736000403</v>
      </c>
      <c r="E320" s="8" t="s">
        <v>1101</v>
      </c>
      <c r="F320" s="8" t="s">
        <v>131</v>
      </c>
      <c r="G320" s="8" t="s">
        <v>61</v>
      </c>
      <c r="H320" s="8" t="s">
        <v>215</v>
      </c>
      <c r="I320" s="3">
        <v>2</v>
      </c>
      <c r="J320" s="8" t="s">
        <v>181</v>
      </c>
      <c r="K320" s="8" t="s">
        <v>182</v>
      </c>
      <c r="L320" s="8" t="s">
        <v>557</v>
      </c>
      <c r="M320" s="1" t="s">
        <v>205</v>
      </c>
      <c r="N320" s="8" t="s">
        <v>206</v>
      </c>
      <c r="O320" s="6">
        <v>0</v>
      </c>
      <c r="P320" s="6">
        <v>5</v>
      </c>
      <c r="Q320" s="6">
        <v>0</v>
      </c>
      <c r="R320" s="6">
        <v>0</v>
      </c>
      <c r="S320" s="6">
        <v>0</v>
      </c>
    </row>
    <row r="321" spans="1:19" ht="15" hidden="1" x14ac:dyDescent="0.25">
      <c r="A321" s="7" t="s">
        <v>16</v>
      </c>
      <c r="B321" s="7" t="s">
        <v>17</v>
      </c>
      <c r="C321" s="7" t="s">
        <v>18</v>
      </c>
      <c r="D321" s="4">
        <v>8100676002102</v>
      </c>
      <c r="E321" s="8" t="s">
        <v>1085</v>
      </c>
      <c r="F321" s="8" t="s">
        <v>131</v>
      </c>
      <c r="G321" s="8" t="s">
        <v>61</v>
      </c>
      <c r="H321" s="8" t="s">
        <v>215</v>
      </c>
      <c r="I321" s="3">
        <v>2</v>
      </c>
      <c r="J321" s="8" t="s">
        <v>155</v>
      </c>
      <c r="K321" s="8" t="s">
        <v>156</v>
      </c>
      <c r="L321" s="8" t="s">
        <v>556</v>
      </c>
      <c r="M321" s="1" t="s">
        <v>205</v>
      </c>
      <c r="N321" s="8" t="s">
        <v>206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</row>
    <row r="322" spans="1:19" ht="15" hidden="1" x14ac:dyDescent="0.25">
      <c r="A322" s="7" t="s">
        <v>16</v>
      </c>
      <c r="B322" s="7" t="s">
        <v>17</v>
      </c>
      <c r="C322" s="7" t="s">
        <v>18</v>
      </c>
      <c r="D322" s="4">
        <v>8100676002102</v>
      </c>
      <c r="E322" s="8" t="s">
        <v>1085</v>
      </c>
      <c r="F322" s="8" t="s">
        <v>131</v>
      </c>
      <c r="G322" s="8" t="s">
        <v>61</v>
      </c>
      <c r="H322" s="8" t="s">
        <v>215</v>
      </c>
      <c r="I322" s="3">
        <v>2</v>
      </c>
      <c r="J322" s="8" t="s">
        <v>181</v>
      </c>
      <c r="K322" s="8" t="s">
        <v>182</v>
      </c>
      <c r="L322" s="8" t="s">
        <v>557</v>
      </c>
      <c r="M322" s="1" t="s">
        <v>205</v>
      </c>
      <c r="N322" s="8" t="s">
        <v>206</v>
      </c>
      <c r="O322" s="6">
        <v>0</v>
      </c>
      <c r="P322" s="6">
        <v>31</v>
      </c>
      <c r="Q322" s="6">
        <v>19</v>
      </c>
      <c r="R322" s="6">
        <v>0</v>
      </c>
      <c r="S322" s="6">
        <v>0</v>
      </c>
    </row>
    <row r="323" spans="1:19" ht="15" hidden="1" x14ac:dyDescent="0.25">
      <c r="A323" s="7" t="s">
        <v>16</v>
      </c>
      <c r="B323" s="7" t="s">
        <v>17</v>
      </c>
      <c r="C323" s="7" t="s">
        <v>18</v>
      </c>
      <c r="D323" s="4">
        <v>29435005006160</v>
      </c>
      <c r="E323" s="8" t="s">
        <v>1105</v>
      </c>
      <c r="F323" s="8" t="s">
        <v>131</v>
      </c>
      <c r="G323" s="8" t="s">
        <v>61</v>
      </c>
      <c r="H323" s="8" t="s">
        <v>215</v>
      </c>
      <c r="I323" s="3">
        <v>2</v>
      </c>
      <c r="J323" s="8" t="s">
        <v>155</v>
      </c>
      <c r="K323" s="8" t="s">
        <v>156</v>
      </c>
      <c r="L323" s="8" t="s">
        <v>556</v>
      </c>
      <c r="M323" s="1" t="s">
        <v>205</v>
      </c>
      <c r="N323" s="8" t="s">
        <v>206</v>
      </c>
      <c r="O323" s="6">
        <v>0</v>
      </c>
      <c r="P323" s="6">
        <v>0</v>
      </c>
      <c r="Q323" s="6">
        <v>0</v>
      </c>
      <c r="R323" s="6">
        <v>0</v>
      </c>
      <c r="S323" s="6">
        <v>50</v>
      </c>
    </row>
    <row r="324" spans="1:19" ht="15" hidden="1" x14ac:dyDescent="0.25">
      <c r="A324" s="7" t="s">
        <v>16</v>
      </c>
      <c r="B324" s="7" t="s">
        <v>17</v>
      </c>
      <c r="C324" s="7" t="s">
        <v>18</v>
      </c>
      <c r="D324" s="4">
        <v>29435005006160</v>
      </c>
      <c r="E324" s="8" t="s">
        <v>1105</v>
      </c>
      <c r="F324" s="8" t="s">
        <v>131</v>
      </c>
      <c r="G324" s="8" t="s">
        <v>61</v>
      </c>
      <c r="H324" s="8" t="s">
        <v>215</v>
      </c>
      <c r="I324" s="3">
        <v>2</v>
      </c>
      <c r="J324" s="8" t="s">
        <v>181</v>
      </c>
      <c r="K324" s="8" t="s">
        <v>182</v>
      </c>
      <c r="L324" s="8" t="s">
        <v>557</v>
      </c>
      <c r="M324" s="1" t="s">
        <v>205</v>
      </c>
      <c r="N324" s="8" t="s">
        <v>206</v>
      </c>
      <c r="O324" s="6">
        <v>0</v>
      </c>
      <c r="P324" s="6">
        <v>5</v>
      </c>
      <c r="Q324" s="6">
        <v>6</v>
      </c>
      <c r="R324" s="6">
        <v>0</v>
      </c>
      <c r="S324" s="6">
        <v>50</v>
      </c>
    </row>
    <row r="325" spans="1:19" ht="15" hidden="1" x14ac:dyDescent="0.25">
      <c r="A325" s="7" t="s">
        <v>16</v>
      </c>
      <c r="B325" s="7" t="s">
        <v>17</v>
      </c>
      <c r="C325" s="7" t="s">
        <v>18</v>
      </c>
      <c r="D325" s="4">
        <v>53221255004995</v>
      </c>
      <c r="E325" s="8" t="s">
        <v>1123</v>
      </c>
      <c r="F325" s="8" t="s">
        <v>131</v>
      </c>
      <c r="G325" s="8" t="s">
        <v>61</v>
      </c>
      <c r="H325" s="8" t="s">
        <v>215</v>
      </c>
      <c r="I325" s="3">
        <v>2</v>
      </c>
      <c r="J325" s="8" t="s">
        <v>155</v>
      </c>
      <c r="K325" s="8" t="s">
        <v>156</v>
      </c>
      <c r="L325" s="8" t="s">
        <v>556</v>
      </c>
      <c r="M325" s="1" t="s">
        <v>205</v>
      </c>
      <c r="N325" s="8" t="s">
        <v>206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</row>
    <row r="326" spans="1:19" ht="15" hidden="1" x14ac:dyDescent="0.25">
      <c r="A326" s="7" t="s">
        <v>16</v>
      </c>
      <c r="B326" s="7" t="s">
        <v>17</v>
      </c>
      <c r="C326" s="7" t="s">
        <v>18</v>
      </c>
      <c r="D326" s="4">
        <v>53221255004995</v>
      </c>
      <c r="E326" s="8" t="s">
        <v>1123</v>
      </c>
      <c r="F326" s="8" t="s">
        <v>131</v>
      </c>
      <c r="G326" s="8" t="s">
        <v>61</v>
      </c>
      <c r="H326" s="8" t="s">
        <v>215</v>
      </c>
      <c r="I326" s="3">
        <v>2</v>
      </c>
      <c r="J326" s="8" t="s">
        <v>181</v>
      </c>
      <c r="K326" s="8" t="s">
        <v>182</v>
      </c>
      <c r="L326" s="8" t="s">
        <v>557</v>
      </c>
      <c r="M326" s="1" t="s">
        <v>205</v>
      </c>
      <c r="N326" s="8" t="s">
        <v>206</v>
      </c>
      <c r="O326" s="6">
        <v>0</v>
      </c>
      <c r="P326" s="6">
        <v>0</v>
      </c>
      <c r="Q326" s="6">
        <v>2</v>
      </c>
      <c r="R326" s="6">
        <v>0</v>
      </c>
      <c r="S326" s="6">
        <v>0</v>
      </c>
    </row>
    <row r="327" spans="1:19" ht="15" hidden="1" x14ac:dyDescent="0.25">
      <c r="A327" s="7" t="s">
        <v>16</v>
      </c>
      <c r="B327" s="7" t="s">
        <v>17</v>
      </c>
      <c r="C327" s="7" t="s">
        <v>18</v>
      </c>
      <c r="D327" s="4">
        <v>60884855001630</v>
      </c>
      <c r="E327" s="8" t="s">
        <v>1124</v>
      </c>
      <c r="F327" s="8" t="s">
        <v>131</v>
      </c>
      <c r="G327" s="8" t="s">
        <v>61</v>
      </c>
      <c r="H327" s="8" t="s">
        <v>215</v>
      </c>
      <c r="I327" s="3">
        <v>2</v>
      </c>
      <c r="J327" s="8" t="s">
        <v>155</v>
      </c>
      <c r="K327" s="8" t="s">
        <v>156</v>
      </c>
      <c r="L327" s="8" t="s">
        <v>556</v>
      </c>
      <c r="M327" s="1" t="s">
        <v>205</v>
      </c>
      <c r="N327" s="8" t="s">
        <v>206</v>
      </c>
      <c r="O327" s="6">
        <v>0</v>
      </c>
      <c r="P327" s="6">
        <v>0</v>
      </c>
      <c r="Q327" s="6">
        <v>0</v>
      </c>
      <c r="R327" s="6">
        <v>0</v>
      </c>
      <c r="S327" s="6">
        <v>375</v>
      </c>
    </row>
    <row r="328" spans="1:19" ht="15" hidden="1" x14ac:dyDescent="0.25">
      <c r="A328" s="7" t="s">
        <v>16</v>
      </c>
      <c r="B328" s="7" t="s">
        <v>17</v>
      </c>
      <c r="C328" s="7" t="s">
        <v>18</v>
      </c>
      <c r="D328" s="4">
        <v>60884855001630</v>
      </c>
      <c r="E328" s="8" t="s">
        <v>1124</v>
      </c>
      <c r="F328" s="8" t="s">
        <v>131</v>
      </c>
      <c r="G328" s="8" t="s">
        <v>61</v>
      </c>
      <c r="H328" s="8" t="s">
        <v>215</v>
      </c>
      <c r="I328" s="3">
        <v>2</v>
      </c>
      <c r="J328" s="8" t="s">
        <v>173</v>
      </c>
      <c r="K328" s="8" t="s">
        <v>174</v>
      </c>
      <c r="L328" s="8" t="s">
        <v>557</v>
      </c>
      <c r="M328" s="1" t="s">
        <v>205</v>
      </c>
      <c r="N328" s="8" t="s">
        <v>206</v>
      </c>
      <c r="O328" s="6">
        <v>0</v>
      </c>
      <c r="P328" s="6">
        <v>9</v>
      </c>
      <c r="Q328" s="6">
        <v>25</v>
      </c>
      <c r="R328" s="6">
        <v>0</v>
      </c>
      <c r="S328" s="6">
        <v>375</v>
      </c>
    </row>
    <row r="329" spans="1:19" ht="15" hidden="1" x14ac:dyDescent="0.25">
      <c r="A329" s="7" t="s">
        <v>16</v>
      </c>
      <c r="B329" s="7" t="s">
        <v>17</v>
      </c>
      <c r="C329" s="7" t="s">
        <v>18</v>
      </c>
      <c r="D329" s="4">
        <v>18010750000100</v>
      </c>
      <c r="E329" s="8" t="s">
        <v>1092</v>
      </c>
      <c r="F329" s="8" t="s">
        <v>131</v>
      </c>
      <c r="G329" s="8" t="s">
        <v>61</v>
      </c>
      <c r="H329" s="8" t="s">
        <v>215</v>
      </c>
      <c r="I329" s="3">
        <v>2</v>
      </c>
      <c r="J329" s="8" t="s">
        <v>155</v>
      </c>
      <c r="K329" s="8" t="s">
        <v>156</v>
      </c>
      <c r="L329" s="8" t="s">
        <v>556</v>
      </c>
      <c r="M329" s="1" t="s">
        <v>205</v>
      </c>
      <c r="N329" s="8" t="s">
        <v>206</v>
      </c>
      <c r="O329" s="6">
        <v>0</v>
      </c>
      <c r="P329" s="6">
        <v>0</v>
      </c>
      <c r="Q329" s="6">
        <v>0</v>
      </c>
      <c r="R329" s="6">
        <v>0</v>
      </c>
      <c r="S329" s="6">
        <v>150</v>
      </c>
    </row>
    <row r="330" spans="1:19" ht="15" hidden="1" x14ac:dyDescent="0.25">
      <c r="A330" s="7" t="s">
        <v>16</v>
      </c>
      <c r="B330" s="7" t="s">
        <v>17</v>
      </c>
      <c r="C330" s="7" t="s">
        <v>18</v>
      </c>
      <c r="D330" s="4">
        <v>18010750000100</v>
      </c>
      <c r="E330" s="8" t="s">
        <v>1092</v>
      </c>
      <c r="F330" s="8" t="s">
        <v>131</v>
      </c>
      <c r="G330" s="8" t="s">
        <v>61</v>
      </c>
      <c r="H330" s="8" t="s">
        <v>215</v>
      </c>
      <c r="I330" s="3">
        <v>2</v>
      </c>
      <c r="J330" s="8" t="s">
        <v>173</v>
      </c>
      <c r="K330" s="8" t="s">
        <v>174</v>
      </c>
      <c r="L330" s="8" t="s">
        <v>557</v>
      </c>
      <c r="M330" s="1" t="s">
        <v>205</v>
      </c>
      <c r="N330" s="8" t="s">
        <v>206</v>
      </c>
      <c r="O330" s="6">
        <v>0</v>
      </c>
      <c r="P330" s="6">
        <v>0</v>
      </c>
      <c r="Q330" s="6">
        <v>0</v>
      </c>
      <c r="R330" s="6">
        <v>0</v>
      </c>
      <c r="S330" s="6">
        <v>150</v>
      </c>
    </row>
    <row r="331" spans="1:19" ht="15" hidden="1" x14ac:dyDescent="0.25">
      <c r="A331" s="7" t="s">
        <v>16</v>
      </c>
      <c r="B331" s="7" t="s">
        <v>17</v>
      </c>
      <c r="C331" s="7" t="s">
        <v>18</v>
      </c>
      <c r="D331" s="4">
        <v>33663683005347</v>
      </c>
      <c r="E331" s="8" t="s">
        <v>1114</v>
      </c>
      <c r="F331" s="8" t="s">
        <v>131</v>
      </c>
      <c r="G331" s="8" t="s">
        <v>61</v>
      </c>
      <c r="H331" s="8" t="s">
        <v>215</v>
      </c>
      <c r="I331" s="3">
        <v>2</v>
      </c>
      <c r="J331" s="8" t="s">
        <v>155</v>
      </c>
      <c r="K331" s="8" t="s">
        <v>156</v>
      </c>
      <c r="L331" s="8" t="s">
        <v>556</v>
      </c>
      <c r="M331" s="1" t="s">
        <v>205</v>
      </c>
      <c r="N331" s="8" t="s">
        <v>206</v>
      </c>
      <c r="O331" s="6">
        <v>0</v>
      </c>
      <c r="P331" s="6">
        <v>0</v>
      </c>
      <c r="Q331" s="6">
        <v>0</v>
      </c>
      <c r="R331" s="6">
        <v>0</v>
      </c>
      <c r="S331" s="6">
        <v>800</v>
      </c>
    </row>
    <row r="332" spans="1:19" ht="15" hidden="1" x14ac:dyDescent="0.25">
      <c r="A332" s="7" t="s">
        <v>16</v>
      </c>
      <c r="B332" s="7" t="s">
        <v>17</v>
      </c>
      <c r="C332" s="7" t="s">
        <v>18</v>
      </c>
      <c r="D332" s="4">
        <v>33663683005347</v>
      </c>
      <c r="E332" s="8" t="s">
        <v>1114</v>
      </c>
      <c r="F332" s="8" t="s">
        <v>131</v>
      </c>
      <c r="G332" s="8" t="s">
        <v>61</v>
      </c>
      <c r="H332" s="8" t="s">
        <v>215</v>
      </c>
      <c r="I332" s="3">
        <v>2</v>
      </c>
      <c r="J332" s="8" t="s">
        <v>173</v>
      </c>
      <c r="K332" s="8" t="s">
        <v>174</v>
      </c>
      <c r="L332" s="8" t="s">
        <v>557</v>
      </c>
      <c r="M332" s="1" t="s">
        <v>205</v>
      </c>
      <c r="N332" s="8" t="s">
        <v>206</v>
      </c>
      <c r="O332" s="6">
        <v>0</v>
      </c>
      <c r="P332" s="6">
        <v>0</v>
      </c>
      <c r="Q332" s="6">
        <v>0</v>
      </c>
      <c r="R332" s="6">
        <v>0</v>
      </c>
      <c r="S332" s="6">
        <v>800</v>
      </c>
    </row>
    <row r="333" spans="1:19" ht="15" hidden="1" x14ac:dyDescent="0.25">
      <c r="A333" s="7" t="s">
        <v>16</v>
      </c>
      <c r="B333" s="7" t="s">
        <v>17</v>
      </c>
      <c r="C333" s="7" t="s">
        <v>18</v>
      </c>
      <c r="D333" s="4">
        <v>33663683002674</v>
      </c>
      <c r="E333" s="8" t="s">
        <v>1113</v>
      </c>
      <c r="F333" s="8" t="s">
        <v>131</v>
      </c>
      <c r="G333" s="8" t="s">
        <v>61</v>
      </c>
      <c r="H333" s="8" t="s">
        <v>215</v>
      </c>
      <c r="I333" s="3">
        <v>2</v>
      </c>
      <c r="J333" s="8" t="s">
        <v>155</v>
      </c>
      <c r="K333" s="8" t="s">
        <v>156</v>
      </c>
      <c r="L333" s="8" t="s">
        <v>556</v>
      </c>
      <c r="M333" s="1" t="s">
        <v>205</v>
      </c>
      <c r="N333" s="8" t="s">
        <v>206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</row>
    <row r="334" spans="1:19" ht="15" hidden="1" x14ac:dyDescent="0.25">
      <c r="A334" s="7" t="s">
        <v>16</v>
      </c>
      <c r="B334" s="7" t="s">
        <v>17</v>
      </c>
      <c r="C334" s="7" t="s">
        <v>18</v>
      </c>
      <c r="D334" s="4">
        <v>33663683002674</v>
      </c>
      <c r="E334" s="8" t="s">
        <v>1113</v>
      </c>
      <c r="F334" s="8" t="s">
        <v>131</v>
      </c>
      <c r="G334" s="8" t="s">
        <v>61</v>
      </c>
      <c r="H334" s="8" t="s">
        <v>215</v>
      </c>
      <c r="I334" s="3">
        <v>2</v>
      </c>
      <c r="J334" s="8" t="s">
        <v>181</v>
      </c>
      <c r="K334" s="8" t="s">
        <v>182</v>
      </c>
      <c r="L334" s="8" t="s">
        <v>557</v>
      </c>
      <c r="M334" s="1" t="s">
        <v>205</v>
      </c>
      <c r="N334" s="8" t="s">
        <v>206</v>
      </c>
      <c r="O334" s="6">
        <v>0</v>
      </c>
      <c r="P334" s="6">
        <v>2</v>
      </c>
      <c r="Q334" s="6">
        <v>0</v>
      </c>
      <c r="R334" s="6">
        <v>0</v>
      </c>
      <c r="S334" s="6">
        <v>0</v>
      </c>
    </row>
    <row r="335" spans="1:19" ht="15" hidden="1" x14ac:dyDescent="0.25">
      <c r="A335" s="7" t="s">
        <v>16</v>
      </c>
      <c r="B335" s="7" t="s">
        <v>17</v>
      </c>
      <c r="C335" s="7" t="s">
        <v>18</v>
      </c>
      <c r="D335" s="4">
        <v>8850962000222</v>
      </c>
      <c r="E335" s="8" t="s">
        <v>1086</v>
      </c>
      <c r="F335" s="8" t="s">
        <v>131</v>
      </c>
      <c r="G335" s="8" t="s">
        <v>61</v>
      </c>
      <c r="H335" s="8" t="s">
        <v>215</v>
      </c>
      <c r="I335" s="3">
        <v>2</v>
      </c>
      <c r="J335" s="8" t="s">
        <v>155</v>
      </c>
      <c r="K335" s="8" t="s">
        <v>156</v>
      </c>
      <c r="L335" s="8" t="s">
        <v>556</v>
      </c>
      <c r="M335" s="1" t="s">
        <v>205</v>
      </c>
      <c r="N335" s="8" t="s">
        <v>206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</row>
    <row r="336" spans="1:19" ht="15" hidden="1" x14ac:dyDescent="0.25">
      <c r="A336" s="7" t="s">
        <v>16</v>
      </c>
      <c r="B336" s="7" t="s">
        <v>17</v>
      </c>
      <c r="C336" s="7" t="s">
        <v>18</v>
      </c>
      <c r="D336" s="4">
        <v>8850962000222</v>
      </c>
      <c r="E336" s="8" t="s">
        <v>1086</v>
      </c>
      <c r="F336" s="8" t="s">
        <v>131</v>
      </c>
      <c r="G336" s="8" t="s">
        <v>61</v>
      </c>
      <c r="H336" s="8" t="s">
        <v>215</v>
      </c>
      <c r="I336" s="3">
        <v>2</v>
      </c>
      <c r="J336" s="8" t="s">
        <v>181</v>
      </c>
      <c r="K336" s="8" t="s">
        <v>182</v>
      </c>
      <c r="L336" s="8" t="s">
        <v>557</v>
      </c>
      <c r="M336" s="1" t="s">
        <v>205</v>
      </c>
      <c r="N336" s="8" t="s">
        <v>206</v>
      </c>
      <c r="O336" s="6">
        <v>0</v>
      </c>
      <c r="P336" s="6">
        <v>1</v>
      </c>
      <c r="Q336" s="6">
        <v>1</v>
      </c>
      <c r="R336" s="6">
        <v>0</v>
      </c>
      <c r="S336" s="6">
        <v>0</v>
      </c>
    </row>
    <row r="337" spans="1:19" ht="15" hidden="1" x14ac:dyDescent="0.25">
      <c r="A337" s="7" t="s">
        <v>16</v>
      </c>
      <c r="B337" s="7" t="s">
        <v>17</v>
      </c>
      <c r="C337" s="7" t="s">
        <v>18</v>
      </c>
      <c r="D337" s="4">
        <v>33781055000216</v>
      </c>
      <c r="E337" s="8" t="s">
        <v>1116</v>
      </c>
      <c r="F337" s="8" t="s">
        <v>131</v>
      </c>
      <c r="G337" s="8" t="s">
        <v>61</v>
      </c>
      <c r="H337" s="8" t="s">
        <v>215</v>
      </c>
      <c r="I337" s="3">
        <v>2</v>
      </c>
      <c r="J337" s="8" t="s">
        <v>155</v>
      </c>
      <c r="K337" s="8" t="s">
        <v>156</v>
      </c>
      <c r="L337" s="8" t="s">
        <v>556</v>
      </c>
      <c r="M337" s="1" t="s">
        <v>205</v>
      </c>
      <c r="N337" s="8" t="s">
        <v>206</v>
      </c>
      <c r="O337" s="6">
        <v>0</v>
      </c>
      <c r="P337" s="6">
        <v>0</v>
      </c>
      <c r="Q337" s="6">
        <v>0</v>
      </c>
      <c r="R337" s="6">
        <v>0</v>
      </c>
      <c r="S337" s="6">
        <v>270</v>
      </c>
    </row>
    <row r="338" spans="1:19" ht="15" hidden="1" x14ac:dyDescent="0.25">
      <c r="A338" s="7" t="s">
        <v>16</v>
      </c>
      <c r="B338" s="7" t="s">
        <v>17</v>
      </c>
      <c r="C338" s="7" t="s">
        <v>18</v>
      </c>
      <c r="D338" s="4">
        <v>33781055000216</v>
      </c>
      <c r="E338" s="8" t="s">
        <v>1116</v>
      </c>
      <c r="F338" s="8" t="s">
        <v>131</v>
      </c>
      <c r="G338" s="8" t="s">
        <v>61</v>
      </c>
      <c r="H338" s="8" t="s">
        <v>215</v>
      </c>
      <c r="I338" s="3">
        <v>2</v>
      </c>
      <c r="J338" s="8" t="s">
        <v>181</v>
      </c>
      <c r="K338" s="8" t="s">
        <v>182</v>
      </c>
      <c r="L338" s="8" t="s">
        <v>557</v>
      </c>
      <c r="M338" s="1" t="s">
        <v>205</v>
      </c>
      <c r="N338" s="8" t="s">
        <v>206</v>
      </c>
      <c r="O338" s="6">
        <v>0</v>
      </c>
      <c r="P338" s="6">
        <v>0</v>
      </c>
      <c r="Q338" s="6">
        <v>0</v>
      </c>
      <c r="R338" s="6">
        <v>0</v>
      </c>
      <c r="S338" s="6">
        <v>270</v>
      </c>
    </row>
    <row r="339" spans="1:19" ht="15" hidden="1" x14ac:dyDescent="0.25">
      <c r="A339" s="7" t="s">
        <v>16</v>
      </c>
      <c r="B339" s="7" t="s">
        <v>17</v>
      </c>
      <c r="C339" s="7" t="s">
        <v>18</v>
      </c>
      <c r="D339" s="4">
        <v>394544021344</v>
      </c>
      <c r="E339" s="8" t="s">
        <v>1076</v>
      </c>
      <c r="F339" s="8" t="s">
        <v>131</v>
      </c>
      <c r="G339" s="8" t="s">
        <v>61</v>
      </c>
      <c r="H339" s="8" t="s">
        <v>215</v>
      </c>
      <c r="I339" s="3">
        <v>2</v>
      </c>
      <c r="J339" s="8" t="s">
        <v>155</v>
      </c>
      <c r="K339" s="8" t="s">
        <v>156</v>
      </c>
      <c r="L339" s="8" t="s">
        <v>556</v>
      </c>
      <c r="M339" s="1" t="s">
        <v>205</v>
      </c>
      <c r="N339" s="8" t="s">
        <v>206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</row>
    <row r="340" spans="1:19" ht="15" hidden="1" x14ac:dyDescent="0.25">
      <c r="A340" s="7" t="s">
        <v>16</v>
      </c>
      <c r="B340" s="7" t="s">
        <v>17</v>
      </c>
      <c r="C340" s="7" t="s">
        <v>18</v>
      </c>
      <c r="D340" s="4">
        <v>394544021344</v>
      </c>
      <c r="E340" s="8" t="s">
        <v>1076</v>
      </c>
      <c r="F340" s="8" t="s">
        <v>131</v>
      </c>
      <c r="G340" s="8" t="s">
        <v>61</v>
      </c>
      <c r="H340" s="8" t="s">
        <v>215</v>
      </c>
      <c r="I340" s="3">
        <v>2</v>
      </c>
      <c r="J340" s="8" t="s">
        <v>181</v>
      </c>
      <c r="K340" s="8" t="s">
        <v>182</v>
      </c>
      <c r="L340" s="8" t="s">
        <v>557</v>
      </c>
      <c r="M340" s="1" t="s">
        <v>205</v>
      </c>
      <c r="N340" s="8" t="s">
        <v>206</v>
      </c>
      <c r="O340" s="6">
        <v>0</v>
      </c>
      <c r="P340" s="6">
        <v>70</v>
      </c>
      <c r="Q340" s="6">
        <v>190</v>
      </c>
      <c r="R340" s="6">
        <v>0</v>
      </c>
      <c r="S340" s="6">
        <v>0</v>
      </c>
    </row>
    <row r="341" spans="1:19" ht="15" hidden="1" x14ac:dyDescent="0.25">
      <c r="A341" s="7" t="s">
        <v>16</v>
      </c>
      <c r="B341" s="7" t="s">
        <v>17</v>
      </c>
      <c r="C341" s="7" t="s">
        <v>18</v>
      </c>
      <c r="D341" s="4">
        <v>33419482000259</v>
      </c>
      <c r="E341" s="8" t="s">
        <v>1111</v>
      </c>
      <c r="F341" s="8" t="s">
        <v>131</v>
      </c>
      <c r="G341" s="8" t="s">
        <v>61</v>
      </c>
      <c r="H341" s="8" t="s">
        <v>215</v>
      </c>
      <c r="I341" s="3">
        <v>2</v>
      </c>
      <c r="J341" s="8" t="s">
        <v>155</v>
      </c>
      <c r="K341" s="8" t="s">
        <v>156</v>
      </c>
      <c r="L341" s="8" t="s">
        <v>556</v>
      </c>
      <c r="M341" s="1" t="s">
        <v>205</v>
      </c>
      <c r="N341" s="8" t="s">
        <v>206</v>
      </c>
      <c r="O341" s="6">
        <v>0</v>
      </c>
      <c r="P341" s="6">
        <v>0</v>
      </c>
      <c r="Q341" s="6">
        <v>0</v>
      </c>
      <c r="R341" s="6">
        <v>0</v>
      </c>
      <c r="S341" s="6">
        <v>10</v>
      </c>
    </row>
    <row r="342" spans="1:19" ht="15" hidden="1" x14ac:dyDescent="0.25">
      <c r="A342" s="7" t="s">
        <v>16</v>
      </c>
      <c r="B342" s="7" t="s">
        <v>17</v>
      </c>
      <c r="C342" s="7" t="s">
        <v>18</v>
      </c>
      <c r="D342" s="4">
        <v>33419482000259</v>
      </c>
      <c r="E342" s="8" t="s">
        <v>1111</v>
      </c>
      <c r="F342" s="8" t="s">
        <v>131</v>
      </c>
      <c r="G342" s="8" t="s">
        <v>61</v>
      </c>
      <c r="H342" s="8" t="s">
        <v>215</v>
      </c>
      <c r="I342" s="3">
        <v>2</v>
      </c>
      <c r="J342" s="8" t="s">
        <v>181</v>
      </c>
      <c r="K342" s="8" t="s">
        <v>182</v>
      </c>
      <c r="L342" s="8" t="s">
        <v>557</v>
      </c>
      <c r="M342" s="1" t="s">
        <v>205</v>
      </c>
      <c r="N342" s="8" t="s">
        <v>206</v>
      </c>
      <c r="O342" s="6">
        <v>0</v>
      </c>
      <c r="P342" s="6">
        <v>9</v>
      </c>
      <c r="Q342" s="6">
        <v>11</v>
      </c>
      <c r="R342" s="6">
        <v>0</v>
      </c>
      <c r="S342" s="6">
        <v>10</v>
      </c>
    </row>
    <row r="343" spans="1:19" ht="15" hidden="1" x14ac:dyDescent="0.25">
      <c r="A343" s="7" t="s">
        <v>16</v>
      </c>
      <c r="B343" s="7" t="s">
        <v>17</v>
      </c>
      <c r="C343" s="7" t="s">
        <v>18</v>
      </c>
      <c r="D343" s="4">
        <v>11114987760</v>
      </c>
      <c r="E343" s="8" t="s">
        <v>1069</v>
      </c>
      <c r="F343" s="8" t="s">
        <v>131</v>
      </c>
      <c r="G343" s="8" t="s">
        <v>61</v>
      </c>
      <c r="H343" s="8" t="s">
        <v>215</v>
      </c>
      <c r="I343" s="3">
        <v>2</v>
      </c>
      <c r="J343" s="8" t="s">
        <v>155</v>
      </c>
      <c r="K343" s="8" t="s">
        <v>156</v>
      </c>
      <c r="L343" s="8" t="s">
        <v>556</v>
      </c>
      <c r="M343" s="1" t="s">
        <v>205</v>
      </c>
      <c r="N343" s="8" t="s">
        <v>206</v>
      </c>
      <c r="O343" s="6">
        <v>0</v>
      </c>
      <c r="P343" s="6">
        <v>0</v>
      </c>
      <c r="Q343" s="6">
        <v>0</v>
      </c>
      <c r="R343" s="6">
        <v>0</v>
      </c>
      <c r="S343" s="6">
        <v>15</v>
      </c>
    </row>
    <row r="344" spans="1:19" ht="15" hidden="1" x14ac:dyDescent="0.25">
      <c r="A344" s="7" t="s">
        <v>16</v>
      </c>
      <c r="B344" s="7" t="s">
        <v>17</v>
      </c>
      <c r="C344" s="7" t="s">
        <v>18</v>
      </c>
      <c r="D344" s="4">
        <v>11114987760</v>
      </c>
      <c r="E344" s="8" t="s">
        <v>1069</v>
      </c>
      <c r="F344" s="8" t="s">
        <v>131</v>
      </c>
      <c r="G344" s="8" t="s">
        <v>61</v>
      </c>
      <c r="H344" s="8" t="s">
        <v>215</v>
      </c>
      <c r="I344" s="3">
        <v>2</v>
      </c>
      <c r="J344" s="8" t="s">
        <v>173</v>
      </c>
      <c r="K344" s="8" t="s">
        <v>174</v>
      </c>
      <c r="L344" s="8" t="s">
        <v>557</v>
      </c>
      <c r="M344" s="1" t="s">
        <v>205</v>
      </c>
      <c r="N344" s="8" t="s">
        <v>206</v>
      </c>
      <c r="O344" s="6">
        <v>0</v>
      </c>
      <c r="P344" s="6">
        <v>0</v>
      </c>
      <c r="Q344" s="6">
        <v>0</v>
      </c>
      <c r="R344" s="6">
        <v>0</v>
      </c>
      <c r="S344" s="6">
        <v>15</v>
      </c>
    </row>
    <row r="345" spans="1:19" ht="15" hidden="1" x14ac:dyDescent="0.25">
      <c r="A345" s="7" t="s">
        <v>16</v>
      </c>
      <c r="B345" s="7" t="s">
        <v>17</v>
      </c>
      <c r="C345" s="7" t="s">
        <v>18</v>
      </c>
      <c r="D345" s="4">
        <v>72101124000506</v>
      </c>
      <c r="E345" s="8" t="s">
        <v>1126</v>
      </c>
      <c r="F345" s="8" t="s">
        <v>131</v>
      </c>
      <c r="G345" s="8" t="s">
        <v>61</v>
      </c>
      <c r="H345" s="8" t="s">
        <v>215</v>
      </c>
      <c r="I345" s="3">
        <v>2</v>
      </c>
      <c r="J345" s="8" t="s">
        <v>155</v>
      </c>
      <c r="K345" s="8" t="s">
        <v>156</v>
      </c>
      <c r="L345" s="8" t="s">
        <v>556</v>
      </c>
      <c r="M345" s="1" t="s">
        <v>205</v>
      </c>
      <c r="N345" s="8" t="s">
        <v>206</v>
      </c>
      <c r="O345" s="6">
        <v>0</v>
      </c>
      <c r="P345" s="6">
        <v>0</v>
      </c>
      <c r="Q345" s="6">
        <v>0</v>
      </c>
      <c r="R345" s="6">
        <v>229</v>
      </c>
      <c r="S345" s="6">
        <v>0</v>
      </c>
    </row>
    <row r="346" spans="1:19" ht="15" hidden="1" x14ac:dyDescent="0.25">
      <c r="A346" s="7" t="s">
        <v>16</v>
      </c>
      <c r="B346" s="7" t="s">
        <v>17</v>
      </c>
      <c r="C346" s="7" t="s">
        <v>18</v>
      </c>
      <c r="D346" s="4">
        <v>72101124000506</v>
      </c>
      <c r="E346" s="8" t="s">
        <v>1126</v>
      </c>
      <c r="F346" s="8" t="s">
        <v>131</v>
      </c>
      <c r="G346" s="8" t="s">
        <v>61</v>
      </c>
      <c r="H346" s="8" t="s">
        <v>215</v>
      </c>
      <c r="I346" s="3">
        <v>2</v>
      </c>
      <c r="J346" s="8" t="s">
        <v>181</v>
      </c>
      <c r="K346" s="8" t="s">
        <v>182</v>
      </c>
      <c r="L346" s="8" t="s">
        <v>557</v>
      </c>
      <c r="M346" s="1" t="s">
        <v>205</v>
      </c>
      <c r="N346" s="8" t="s">
        <v>206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</row>
    <row r="347" spans="1:19" ht="15" hidden="1" x14ac:dyDescent="0.25">
      <c r="A347" s="7" t="s">
        <v>16</v>
      </c>
      <c r="B347" s="7" t="s">
        <v>17</v>
      </c>
      <c r="C347" s="7" t="s">
        <v>18</v>
      </c>
      <c r="D347" s="4">
        <v>28000107000159</v>
      </c>
      <c r="E347" s="8" t="s">
        <v>1099</v>
      </c>
      <c r="F347" s="8" t="s">
        <v>131</v>
      </c>
      <c r="G347" s="8" t="s">
        <v>61</v>
      </c>
      <c r="H347" s="8" t="s">
        <v>215</v>
      </c>
      <c r="I347" s="3">
        <v>2</v>
      </c>
      <c r="J347" s="8" t="s">
        <v>155</v>
      </c>
      <c r="K347" s="8" t="s">
        <v>156</v>
      </c>
      <c r="L347" s="8" t="s">
        <v>556</v>
      </c>
      <c r="M347" s="1" t="s">
        <v>205</v>
      </c>
      <c r="N347" s="8" t="s">
        <v>206</v>
      </c>
      <c r="O347" s="6">
        <v>0</v>
      </c>
      <c r="P347" s="6">
        <v>0</v>
      </c>
      <c r="Q347" s="6">
        <v>0</v>
      </c>
      <c r="R347" s="6">
        <v>150</v>
      </c>
      <c r="S347" s="6">
        <v>120</v>
      </c>
    </row>
    <row r="348" spans="1:19" ht="15" hidden="1" x14ac:dyDescent="0.25">
      <c r="A348" s="7" t="s">
        <v>16</v>
      </c>
      <c r="B348" s="7" t="s">
        <v>17</v>
      </c>
      <c r="C348" s="7" t="s">
        <v>18</v>
      </c>
      <c r="D348" s="4">
        <v>28000107000159</v>
      </c>
      <c r="E348" s="8" t="s">
        <v>1099</v>
      </c>
      <c r="F348" s="8" t="s">
        <v>131</v>
      </c>
      <c r="G348" s="8" t="s">
        <v>61</v>
      </c>
      <c r="H348" s="8" t="s">
        <v>215</v>
      </c>
      <c r="I348" s="3">
        <v>2</v>
      </c>
      <c r="J348" s="8" t="s">
        <v>181</v>
      </c>
      <c r="K348" s="8" t="s">
        <v>182</v>
      </c>
      <c r="L348" s="8" t="s">
        <v>557</v>
      </c>
      <c r="M348" s="1" t="s">
        <v>205</v>
      </c>
      <c r="N348" s="8" t="s">
        <v>206</v>
      </c>
      <c r="O348" s="6">
        <v>0</v>
      </c>
      <c r="P348" s="6">
        <v>0</v>
      </c>
      <c r="Q348" s="6">
        <v>0</v>
      </c>
      <c r="R348" s="6">
        <v>0</v>
      </c>
      <c r="S348" s="6">
        <v>120</v>
      </c>
    </row>
    <row r="349" spans="1:19" ht="15" hidden="1" x14ac:dyDescent="0.25">
      <c r="A349" s="7" t="s">
        <v>16</v>
      </c>
      <c r="B349" s="7" t="s">
        <v>17</v>
      </c>
      <c r="C349" s="7" t="s">
        <v>18</v>
      </c>
      <c r="D349" s="4">
        <v>33000167000101</v>
      </c>
      <c r="E349" s="8" t="s">
        <v>1110</v>
      </c>
      <c r="F349" s="8" t="s">
        <v>131</v>
      </c>
      <c r="G349" s="8" t="s">
        <v>61</v>
      </c>
      <c r="H349" s="8" t="s">
        <v>215</v>
      </c>
      <c r="I349" s="3">
        <v>2</v>
      </c>
      <c r="J349" s="8" t="s">
        <v>155</v>
      </c>
      <c r="K349" s="8" t="s">
        <v>156</v>
      </c>
      <c r="L349" s="8" t="s">
        <v>556</v>
      </c>
      <c r="M349" s="1" t="s">
        <v>205</v>
      </c>
      <c r="N349" s="8" t="s">
        <v>206</v>
      </c>
      <c r="O349" s="6">
        <v>0</v>
      </c>
      <c r="P349" s="6">
        <v>0</v>
      </c>
      <c r="Q349" s="6">
        <v>0</v>
      </c>
      <c r="R349" s="6">
        <v>0</v>
      </c>
      <c r="S349" s="6">
        <v>140</v>
      </c>
    </row>
    <row r="350" spans="1:19" ht="15" hidden="1" x14ac:dyDescent="0.25">
      <c r="A350" s="7" t="s">
        <v>16</v>
      </c>
      <c r="B350" s="7" t="s">
        <v>17</v>
      </c>
      <c r="C350" s="7" t="s">
        <v>18</v>
      </c>
      <c r="D350" s="4">
        <v>33000167000101</v>
      </c>
      <c r="E350" s="8" t="s">
        <v>1110</v>
      </c>
      <c r="F350" s="8" t="s">
        <v>131</v>
      </c>
      <c r="G350" s="8" t="s">
        <v>61</v>
      </c>
      <c r="H350" s="8" t="s">
        <v>215</v>
      </c>
      <c r="I350" s="3">
        <v>2</v>
      </c>
      <c r="J350" s="8" t="s">
        <v>181</v>
      </c>
      <c r="K350" s="8" t="s">
        <v>182</v>
      </c>
      <c r="L350" s="8" t="s">
        <v>557</v>
      </c>
      <c r="M350" s="1" t="s">
        <v>205</v>
      </c>
      <c r="N350" s="8" t="s">
        <v>206</v>
      </c>
      <c r="O350" s="6">
        <v>0</v>
      </c>
      <c r="P350" s="6">
        <v>0</v>
      </c>
      <c r="Q350" s="6">
        <v>0</v>
      </c>
      <c r="R350" s="6">
        <v>0</v>
      </c>
      <c r="S350" s="6">
        <v>140</v>
      </c>
    </row>
    <row r="351" spans="1:19" ht="15" hidden="1" x14ac:dyDescent="0.25">
      <c r="A351" s="7" t="s">
        <v>16</v>
      </c>
      <c r="B351" s="7" t="s">
        <v>17</v>
      </c>
      <c r="C351" s="7" t="s">
        <v>18</v>
      </c>
      <c r="D351" s="4">
        <v>9219138000584</v>
      </c>
      <c r="E351" s="8" t="s">
        <v>1088</v>
      </c>
      <c r="F351" s="8" t="s">
        <v>131</v>
      </c>
      <c r="G351" s="8" t="s">
        <v>61</v>
      </c>
      <c r="H351" s="8" t="s">
        <v>215</v>
      </c>
      <c r="I351" s="3">
        <v>2</v>
      </c>
      <c r="J351" s="8" t="s">
        <v>155</v>
      </c>
      <c r="K351" s="8" t="s">
        <v>156</v>
      </c>
      <c r="L351" s="8" t="s">
        <v>556</v>
      </c>
      <c r="M351" s="1" t="s">
        <v>205</v>
      </c>
      <c r="N351" s="8" t="s">
        <v>206</v>
      </c>
      <c r="O351" s="6">
        <v>0</v>
      </c>
      <c r="P351" s="6">
        <v>0</v>
      </c>
      <c r="Q351" s="6">
        <v>0</v>
      </c>
      <c r="R351" s="6">
        <v>84</v>
      </c>
      <c r="S351" s="6">
        <v>420</v>
      </c>
    </row>
    <row r="352" spans="1:19" ht="15" hidden="1" x14ac:dyDescent="0.25">
      <c r="A352" s="7" t="s">
        <v>16</v>
      </c>
      <c r="B352" s="7" t="s">
        <v>17</v>
      </c>
      <c r="C352" s="7" t="s">
        <v>18</v>
      </c>
      <c r="D352" s="4">
        <v>9219138000584</v>
      </c>
      <c r="E352" s="8" t="s">
        <v>1088</v>
      </c>
      <c r="F352" s="8" t="s">
        <v>131</v>
      </c>
      <c r="G352" s="8" t="s">
        <v>61</v>
      </c>
      <c r="H352" s="8" t="s">
        <v>215</v>
      </c>
      <c r="I352" s="3">
        <v>2</v>
      </c>
      <c r="J352" s="8" t="s">
        <v>173</v>
      </c>
      <c r="K352" s="8" t="s">
        <v>174</v>
      </c>
      <c r="L352" s="8" t="s">
        <v>557</v>
      </c>
      <c r="M352" s="1" t="s">
        <v>205</v>
      </c>
      <c r="N352" s="8" t="s">
        <v>206</v>
      </c>
      <c r="O352" s="6">
        <v>0</v>
      </c>
      <c r="P352" s="6">
        <v>0</v>
      </c>
      <c r="Q352" s="6">
        <v>4</v>
      </c>
      <c r="R352" s="6">
        <v>0</v>
      </c>
      <c r="S352" s="6">
        <v>420</v>
      </c>
    </row>
    <row r="353" spans="1:19" ht="15" hidden="1" x14ac:dyDescent="0.25">
      <c r="A353" s="7" t="s">
        <v>16</v>
      </c>
      <c r="B353" s="7" t="s">
        <v>17</v>
      </c>
      <c r="C353" s="7" t="s">
        <v>18</v>
      </c>
      <c r="D353" s="4">
        <v>28602407000108</v>
      </c>
      <c r="E353" s="8" t="s">
        <v>1100</v>
      </c>
      <c r="F353" s="8" t="s">
        <v>131</v>
      </c>
      <c r="G353" s="8" t="s">
        <v>61</v>
      </c>
      <c r="H353" s="8" t="s">
        <v>215</v>
      </c>
      <c r="I353" s="3">
        <v>2</v>
      </c>
      <c r="J353" s="8" t="s">
        <v>155</v>
      </c>
      <c r="K353" s="8" t="s">
        <v>156</v>
      </c>
      <c r="L353" s="8" t="s">
        <v>556</v>
      </c>
      <c r="M353" s="1" t="s">
        <v>205</v>
      </c>
      <c r="N353" s="8" t="s">
        <v>206</v>
      </c>
      <c r="O353" s="6">
        <v>0</v>
      </c>
      <c r="P353" s="6">
        <v>0</v>
      </c>
      <c r="Q353" s="6">
        <v>0</v>
      </c>
      <c r="R353" s="6">
        <v>0</v>
      </c>
      <c r="S353" s="6">
        <v>0</v>
      </c>
    </row>
    <row r="354" spans="1:19" ht="15" hidden="1" x14ac:dyDescent="0.25">
      <c r="A354" s="7" t="s">
        <v>16</v>
      </c>
      <c r="B354" s="7" t="s">
        <v>17</v>
      </c>
      <c r="C354" s="7" t="s">
        <v>18</v>
      </c>
      <c r="D354" s="4">
        <v>28602407000108</v>
      </c>
      <c r="E354" s="8" t="s">
        <v>1100</v>
      </c>
      <c r="F354" s="8" t="s">
        <v>131</v>
      </c>
      <c r="G354" s="8" t="s">
        <v>61</v>
      </c>
      <c r="H354" s="8" t="s">
        <v>215</v>
      </c>
      <c r="I354" s="3">
        <v>2</v>
      </c>
      <c r="J354" s="8" t="s">
        <v>181</v>
      </c>
      <c r="K354" s="8" t="s">
        <v>182</v>
      </c>
      <c r="L354" s="8" t="s">
        <v>557</v>
      </c>
      <c r="M354" s="1" t="s">
        <v>205</v>
      </c>
      <c r="N354" s="8" t="s">
        <v>206</v>
      </c>
      <c r="O354" s="6">
        <v>0</v>
      </c>
      <c r="P354" s="6">
        <v>1</v>
      </c>
      <c r="Q354" s="6">
        <v>0</v>
      </c>
      <c r="R354" s="6">
        <v>0</v>
      </c>
      <c r="S354" s="6">
        <v>0</v>
      </c>
    </row>
    <row r="355" spans="1:19" ht="15" hidden="1" x14ac:dyDescent="0.25">
      <c r="A355" s="7" t="s">
        <v>16</v>
      </c>
      <c r="B355" s="7" t="s">
        <v>17</v>
      </c>
      <c r="C355" s="7" t="s">
        <v>18</v>
      </c>
      <c r="D355" s="4">
        <v>12361267009140</v>
      </c>
      <c r="E355" s="8" t="s">
        <v>858</v>
      </c>
      <c r="F355" s="8" t="s">
        <v>859</v>
      </c>
      <c r="G355" s="8" t="s">
        <v>63</v>
      </c>
      <c r="H355" s="8" t="s">
        <v>215</v>
      </c>
      <c r="I355" s="3">
        <v>2</v>
      </c>
      <c r="J355" s="8" t="s">
        <v>199</v>
      </c>
      <c r="K355" s="8" t="s">
        <v>200</v>
      </c>
      <c r="L355" s="8" t="s">
        <v>556</v>
      </c>
      <c r="M355" s="1" t="s">
        <v>211</v>
      </c>
      <c r="N355" s="8" t="s">
        <v>212</v>
      </c>
      <c r="O355" s="6">
        <v>0</v>
      </c>
      <c r="P355" s="6">
        <v>0</v>
      </c>
      <c r="Q355" s="6">
        <v>0</v>
      </c>
      <c r="R355" s="6">
        <v>0</v>
      </c>
      <c r="S355" s="6">
        <v>10</v>
      </c>
    </row>
    <row r="356" spans="1:19" ht="15" hidden="1" x14ac:dyDescent="0.25">
      <c r="A356" s="7" t="s">
        <v>16</v>
      </c>
      <c r="B356" s="7" t="s">
        <v>17</v>
      </c>
      <c r="C356" s="7" t="s">
        <v>18</v>
      </c>
      <c r="D356" s="4">
        <v>12361267009140</v>
      </c>
      <c r="E356" s="8" t="s">
        <v>858</v>
      </c>
      <c r="F356" s="8" t="s">
        <v>859</v>
      </c>
      <c r="G356" s="8" t="s">
        <v>63</v>
      </c>
      <c r="H356" s="8" t="s">
        <v>215</v>
      </c>
      <c r="I356" s="3">
        <v>2</v>
      </c>
      <c r="J356" s="8" t="s">
        <v>169</v>
      </c>
      <c r="K356" s="8" t="s">
        <v>170</v>
      </c>
      <c r="L356" s="8" t="s">
        <v>557</v>
      </c>
      <c r="M356" s="1" t="s">
        <v>211</v>
      </c>
      <c r="N356" s="8" t="s">
        <v>212</v>
      </c>
      <c r="O356" s="6">
        <v>0</v>
      </c>
      <c r="P356" s="6">
        <v>0</v>
      </c>
      <c r="Q356" s="6">
        <v>0</v>
      </c>
      <c r="R356" s="6">
        <v>0</v>
      </c>
      <c r="S356" s="6">
        <v>10</v>
      </c>
    </row>
    <row r="357" spans="1:19" ht="15" hidden="1" x14ac:dyDescent="0.25">
      <c r="A357" s="7" t="s">
        <v>16</v>
      </c>
      <c r="B357" s="7" t="s">
        <v>17</v>
      </c>
      <c r="C357" s="7" t="s">
        <v>18</v>
      </c>
      <c r="D357" s="4">
        <v>8319329000121</v>
      </c>
      <c r="E357" s="8" t="s">
        <v>823</v>
      </c>
      <c r="F357" s="8" t="s">
        <v>62</v>
      </c>
      <c r="G357" s="8" t="s">
        <v>63</v>
      </c>
      <c r="H357" s="8" t="s">
        <v>215</v>
      </c>
      <c r="I357" s="3">
        <v>2</v>
      </c>
      <c r="J357" s="8" t="s">
        <v>199</v>
      </c>
      <c r="K357" s="8" t="s">
        <v>200</v>
      </c>
      <c r="L357" s="8" t="s">
        <v>556</v>
      </c>
      <c r="M357" s="1" t="s">
        <v>211</v>
      </c>
      <c r="N357" s="8" t="s">
        <v>212</v>
      </c>
      <c r="O357" s="6">
        <v>0</v>
      </c>
      <c r="P357" s="6">
        <v>0</v>
      </c>
      <c r="Q357" s="6">
        <v>0</v>
      </c>
      <c r="R357" s="6">
        <v>0</v>
      </c>
      <c r="S357" s="6">
        <v>0</v>
      </c>
    </row>
    <row r="358" spans="1:19" ht="15" hidden="1" x14ac:dyDescent="0.25">
      <c r="A358" s="7" t="s">
        <v>16</v>
      </c>
      <c r="B358" s="7" t="s">
        <v>17</v>
      </c>
      <c r="C358" s="7" t="s">
        <v>18</v>
      </c>
      <c r="D358" s="4">
        <v>8319329000121</v>
      </c>
      <c r="E358" s="8" t="s">
        <v>823</v>
      </c>
      <c r="F358" s="8" t="s">
        <v>62</v>
      </c>
      <c r="G358" s="8" t="s">
        <v>63</v>
      </c>
      <c r="H358" s="8" t="s">
        <v>215</v>
      </c>
      <c r="I358" s="3">
        <v>2</v>
      </c>
      <c r="J358" s="8" t="s">
        <v>169</v>
      </c>
      <c r="K358" s="8" t="s">
        <v>170</v>
      </c>
      <c r="L358" s="8" t="s">
        <v>557</v>
      </c>
      <c r="M358" s="1" t="s">
        <v>211</v>
      </c>
      <c r="N358" s="8" t="s">
        <v>212</v>
      </c>
      <c r="O358" s="6">
        <v>0</v>
      </c>
      <c r="P358" s="6">
        <v>4</v>
      </c>
      <c r="Q358" s="6">
        <v>0</v>
      </c>
      <c r="R358" s="6">
        <v>0</v>
      </c>
      <c r="S358" s="6">
        <v>0</v>
      </c>
    </row>
    <row r="359" spans="1:19" ht="15" hidden="1" x14ac:dyDescent="0.25">
      <c r="A359" s="7" t="s">
        <v>16</v>
      </c>
      <c r="B359" s="7" t="s">
        <v>17</v>
      </c>
      <c r="C359" s="7" t="s">
        <v>18</v>
      </c>
      <c r="D359" s="4">
        <v>15126437000739</v>
      </c>
      <c r="E359" s="8" t="s">
        <v>881</v>
      </c>
      <c r="F359" s="8" t="s">
        <v>62</v>
      </c>
      <c r="G359" s="8" t="s">
        <v>63</v>
      </c>
      <c r="H359" s="8" t="s">
        <v>215</v>
      </c>
      <c r="I359" s="3">
        <v>2</v>
      </c>
      <c r="J359" s="8" t="s">
        <v>199</v>
      </c>
      <c r="K359" s="8" t="s">
        <v>200</v>
      </c>
      <c r="L359" s="8" t="s">
        <v>556</v>
      </c>
      <c r="M359" s="1" t="s">
        <v>211</v>
      </c>
      <c r="N359" s="8" t="s">
        <v>212</v>
      </c>
      <c r="O359" s="6">
        <v>0</v>
      </c>
      <c r="P359" s="6">
        <v>0</v>
      </c>
      <c r="Q359" s="6">
        <v>0</v>
      </c>
      <c r="R359" s="6">
        <v>0</v>
      </c>
      <c r="S359" s="6">
        <v>0</v>
      </c>
    </row>
    <row r="360" spans="1:19" ht="15" hidden="1" x14ac:dyDescent="0.25">
      <c r="A360" s="7" t="s">
        <v>16</v>
      </c>
      <c r="B360" s="7" t="s">
        <v>17</v>
      </c>
      <c r="C360" s="7" t="s">
        <v>18</v>
      </c>
      <c r="D360" s="4">
        <v>15126437000739</v>
      </c>
      <c r="E360" s="8" t="s">
        <v>881</v>
      </c>
      <c r="F360" s="8" t="s">
        <v>62</v>
      </c>
      <c r="G360" s="8" t="s">
        <v>63</v>
      </c>
      <c r="H360" s="8" t="s">
        <v>215</v>
      </c>
      <c r="I360" s="3">
        <v>2</v>
      </c>
      <c r="J360" s="8" t="s">
        <v>169</v>
      </c>
      <c r="K360" s="8" t="s">
        <v>170</v>
      </c>
      <c r="L360" s="8" t="s">
        <v>557</v>
      </c>
      <c r="M360" s="1" t="s">
        <v>211</v>
      </c>
      <c r="N360" s="8" t="s">
        <v>212</v>
      </c>
      <c r="O360" s="6">
        <v>0</v>
      </c>
      <c r="P360" s="6">
        <v>100</v>
      </c>
      <c r="Q360" s="6">
        <v>0</v>
      </c>
      <c r="R360" s="6">
        <v>0</v>
      </c>
      <c r="S360" s="6">
        <v>0</v>
      </c>
    </row>
    <row r="361" spans="1:19" ht="15" hidden="1" x14ac:dyDescent="0.25">
      <c r="A361" s="7" t="s">
        <v>16</v>
      </c>
      <c r="B361" s="7" t="s">
        <v>17</v>
      </c>
      <c r="C361" s="7" t="s">
        <v>18</v>
      </c>
      <c r="D361" s="4">
        <v>29435005009851</v>
      </c>
      <c r="E361" s="8" t="s">
        <v>913</v>
      </c>
      <c r="F361" s="8" t="s">
        <v>62</v>
      </c>
      <c r="G361" s="8" t="s">
        <v>63</v>
      </c>
      <c r="H361" s="8" t="s">
        <v>215</v>
      </c>
      <c r="I361" s="3">
        <v>2</v>
      </c>
      <c r="J361" s="8" t="s">
        <v>199</v>
      </c>
      <c r="K361" s="8" t="s">
        <v>200</v>
      </c>
      <c r="L361" s="8" t="s">
        <v>556</v>
      </c>
      <c r="M361" s="1" t="s">
        <v>211</v>
      </c>
      <c r="N361" s="8" t="s">
        <v>212</v>
      </c>
      <c r="O361" s="6">
        <v>0</v>
      </c>
      <c r="P361" s="6">
        <v>0</v>
      </c>
      <c r="Q361" s="6">
        <v>0</v>
      </c>
      <c r="R361" s="6">
        <v>0</v>
      </c>
      <c r="S361" s="6">
        <v>175</v>
      </c>
    </row>
    <row r="362" spans="1:19" ht="15" hidden="1" x14ac:dyDescent="0.25">
      <c r="A362" s="7" t="s">
        <v>16</v>
      </c>
      <c r="B362" s="7" t="s">
        <v>17</v>
      </c>
      <c r="C362" s="7" t="s">
        <v>18</v>
      </c>
      <c r="D362" s="4">
        <v>29435005009851</v>
      </c>
      <c r="E362" s="8" t="s">
        <v>913</v>
      </c>
      <c r="F362" s="8" t="s">
        <v>62</v>
      </c>
      <c r="G362" s="8" t="s">
        <v>63</v>
      </c>
      <c r="H362" s="8" t="s">
        <v>215</v>
      </c>
      <c r="I362" s="3">
        <v>2</v>
      </c>
      <c r="J362" s="8" t="s">
        <v>169</v>
      </c>
      <c r="K362" s="8" t="s">
        <v>170</v>
      </c>
      <c r="L362" s="8" t="s">
        <v>557</v>
      </c>
      <c r="M362" s="1" t="s">
        <v>211</v>
      </c>
      <c r="N362" s="8" t="s">
        <v>212</v>
      </c>
      <c r="O362" s="6">
        <v>0</v>
      </c>
      <c r="P362" s="6">
        <v>15</v>
      </c>
      <c r="Q362" s="6">
        <v>0</v>
      </c>
      <c r="R362" s="6">
        <v>0</v>
      </c>
      <c r="S362" s="6">
        <v>175</v>
      </c>
    </row>
    <row r="363" spans="1:19" ht="15" hidden="1" x14ac:dyDescent="0.25">
      <c r="A363" s="7" t="s">
        <v>16</v>
      </c>
      <c r="B363" s="7" t="s">
        <v>17</v>
      </c>
      <c r="C363" s="7" t="s">
        <v>18</v>
      </c>
      <c r="D363" s="4">
        <v>8337586000196</v>
      </c>
      <c r="E363" s="8" t="s">
        <v>824</v>
      </c>
      <c r="F363" s="8" t="s">
        <v>62</v>
      </c>
      <c r="G363" s="8" t="s">
        <v>63</v>
      </c>
      <c r="H363" s="8" t="s">
        <v>215</v>
      </c>
      <c r="I363" s="3">
        <v>2</v>
      </c>
      <c r="J363" s="8" t="s">
        <v>199</v>
      </c>
      <c r="K363" s="8" t="s">
        <v>200</v>
      </c>
      <c r="L363" s="8" t="s">
        <v>556</v>
      </c>
      <c r="M363" s="1" t="s">
        <v>211</v>
      </c>
      <c r="N363" s="8" t="s">
        <v>212</v>
      </c>
      <c r="O363" s="6">
        <v>0</v>
      </c>
      <c r="P363" s="6">
        <v>0</v>
      </c>
      <c r="Q363" s="6">
        <v>0</v>
      </c>
      <c r="R363" s="6">
        <v>0</v>
      </c>
      <c r="S363" s="6">
        <v>0</v>
      </c>
    </row>
    <row r="364" spans="1:19" ht="15" hidden="1" x14ac:dyDescent="0.25">
      <c r="A364" s="7" t="s">
        <v>16</v>
      </c>
      <c r="B364" s="7" t="s">
        <v>17</v>
      </c>
      <c r="C364" s="7" t="s">
        <v>18</v>
      </c>
      <c r="D364" s="4">
        <v>8337586000196</v>
      </c>
      <c r="E364" s="8" t="s">
        <v>824</v>
      </c>
      <c r="F364" s="8" t="s">
        <v>62</v>
      </c>
      <c r="G364" s="8" t="s">
        <v>63</v>
      </c>
      <c r="H364" s="8" t="s">
        <v>215</v>
      </c>
      <c r="I364" s="3">
        <v>2</v>
      </c>
      <c r="J364" s="8" t="s">
        <v>169</v>
      </c>
      <c r="K364" s="8" t="s">
        <v>170</v>
      </c>
      <c r="L364" s="8" t="s">
        <v>557</v>
      </c>
      <c r="M364" s="1" t="s">
        <v>211</v>
      </c>
      <c r="N364" s="8" t="s">
        <v>212</v>
      </c>
      <c r="O364" s="6">
        <v>0</v>
      </c>
      <c r="P364" s="6">
        <v>1</v>
      </c>
      <c r="Q364" s="6">
        <v>0</v>
      </c>
      <c r="R364" s="6">
        <v>0</v>
      </c>
      <c r="S364" s="6">
        <v>0</v>
      </c>
    </row>
    <row r="365" spans="1:19" ht="15" hidden="1" x14ac:dyDescent="0.25">
      <c r="A365" s="7" t="s">
        <v>16</v>
      </c>
      <c r="B365" s="7" t="s">
        <v>17</v>
      </c>
      <c r="C365" s="7" t="s">
        <v>18</v>
      </c>
      <c r="D365" s="4">
        <v>820737000150</v>
      </c>
      <c r="E365" s="8" t="s">
        <v>757</v>
      </c>
      <c r="F365" s="8" t="s">
        <v>62</v>
      </c>
      <c r="G365" s="8" t="s">
        <v>63</v>
      </c>
      <c r="H365" s="8" t="s">
        <v>215</v>
      </c>
      <c r="I365" s="3">
        <v>2</v>
      </c>
      <c r="J365" s="8" t="s">
        <v>199</v>
      </c>
      <c r="K365" s="8" t="s">
        <v>200</v>
      </c>
      <c r="L365" s="8" t="s">
        <v>556</v>
      </c>
      <c r="M365" s="1" t="s">
        <v>211</v>
      </c>
      <c r="N365" s="8" t="s">
        <v>212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</row>
    <row r="366" spans="1:19" ht="15" hidden="1" x14ac:dyDescent="0.25">
      <c r="A366" s="7" t="s">
        <v>16</v>
      </c>
      <c r="B366" s="7" t="s">
        <v>17</v>
      </c>
      <c r="C366" s="7" t="s">
        <v>18</v>
      </c>
      <c r="D366" s="4">
        <v>820737000150</v>
      </c>
      <c r="E366" s="8" t="s">
        <v>757</v>
      </c>
      <c r="F366" s="8" t="s">
        <v>62</v>
      </c>
      <c r="G366" s="8" t="s">
        <v>63</v>
      </c>
      <c r="H366" s="8" t="s">
        <v>215</v>
      </c>
      <c r="I366" s="3">
        <v>2</v>
      </c>
      <c r="J366" s="8" t="s">
        <v>169</v>
      </c>
      <c r="K366" s="8" t="s">
        <v>170</v>
      </c>
      <c r="L366" s="8" t="s">
        <v>557</v>
      </c>
      <c r="M366" s="1" t="s">
        <v>211</v>
      </c>
      <c r="N366" s="8" t="s">
        <v>212</v>
      </c>
      <c r="O366" s="6">
        <v>0</v>
      </c>
      <c r="P366" s="6">
        <v>30</v>
      </c>
      <c r="Q366" s="6">
        <v>0</v>
      </c>
      <c r="R366" s="6">
        <v>0</v>
      </c>
      <c r="S366" s="6">
        <v>0</v>
      </c>
    </row>
    <row r="367" spans="1:19" ht="15" hidden="1" x14ac:dyDescent="0.25">
      <c r="A367" s="7" t="s">
        <v>16</v>
      </c>
      <c r="B367" s="7" t="s">
        <v>17</v>
      </c>
      <c r="C367" s="7" t="s">
        <v>18</v>
      </c>
      <c r="D367" s="4">
        <v>8380701000610</v>
      </c>
      <c r="E367" s="8" t="s">
        <v>825</v>
      </c>
      <c r="F367" s="8" t="s">
        <v>62</v>
      </c>
      <c r="G367" s="8" t="s">
        <v>63</v>
      </c>
      <c r="H367" s="8" t="s">
        <v>215</v>
      </c>
      <c r="I367" s="3">
        <v>2</v>
      </c>
      <c r="J367" s="8" t="s">
        <v>199</v>
      </c>
      <c r="K367" s="8" t="s">
        <v>200</v>
      </c>
      <c r="L367" s="8" t="s">
        <v>556</v>
      </c>
      <c r="M367" s="1" t="s">
        <v>211</v>
      </c>
      <c r="N367" s="8" t="s">
        <v>212</v>
      </c>
      <c r="O367" s="6">
        <v>0</v>
      </c>
      <c r="P367" s="6">
        <v>0</v>
      </c>
      <c r="Q367" s="6">
        <v>0</v>
      </c>
      <c r="R367" s="6">
        <v>0</v>
      </c>
      <c r="S367" s="6">
        <v>250</v>
      </c>
    </row>
    <row r="368" spans="1:19" ht="15" hidden="1" x14ac:dyDescent="0.25">
      <c r="A368" s="7" t="s">
        <v>16</v>
      </c>
      <c r="B368" s="7" t="s">
        <v>17</v>
      </c>
      <c r="C368" s="7" t="s">
        <v>18</v>
      </c>
      <c r="D368" s="4">
        <v>8380701000610</v>
      </c>
      <c r="E368" s="8" t="s">
        <v>825</v>
      </c>
      <c r="F368" s="8" t="s">
        <v>62</v>
      </c>
      <c r="G368" s="8" t="s">
        <v>63</v>
      </c>
      <c r="H368" s="8" t="s">
        <v>215</v>
      </c>
      <c r="I368" s="3">
        <v>2</v>
      </c>
      <c r="J368" s="8" t="s">
        <v>169</v>
      </c>
      <c r="K368" s="8" t="s">
        <v>170</v>
      </c>
      <c r="L368" s="8" t="s">
        <v>557</v>
      </c>
      <c r="M368" s="1" t="s">
        <v>211</v>
      </c>
      <c r="N368" s="8" t="s">
        <v>212</v>
      </c>
      <c r="O368" s="6">
        <v>0</v>
      </c>
      <c r="P368" s="6">
        <v>0</v>
      </c>
      <c r="Q368" s="6">
        <v>0</v>
      </c>
      <c r="R368" s="6">
        <v>0</v>
      </c>
      <c r="S368" s="6">
        <v>250</v>
      </c>
    </row>
    <row r="369" spans="1:19" ht="15" hidden="1" x14ac:dyDescent="0.25">
      <c r="A369" s="7" t="s">
        <v>16</v>
      </c>
      <c r="B369" s="7" t="s">
        <v>17</v>
      </c>
      <c r="C369" s="7" t="s">
        <v>18</v>
      </c>
      <c r="D369" s="4">
        <v>1507901000137</v>
      </c>
      <c r="E369" s="8" t="s">
        <v>765</v>
      </c>
      <c r="F369" s="8" t="s">
        <v>62</v>
      </c>
      <c r="G369" s="8" t="s">
        <v>63</v>
      </c>
      <c r="H369" s="8" t="s">
        <v>215</v>
      </c>
      <c r="I369" s="3">
        <v>2</v>
      </c>
      <c r="J369" s="8" t="s">
        <v>199</v>
      </c>
      <c r="K369" s="8" t="s">
        <v>200</v>
      </c>
      <c r="L369" s="8" t="s">
        <v>556</v>
      </c>
      <c r="M369" s="1" t="s">
        <v>211</v>
      </c>
      <c r="N369" s="8" t="s">
        <v>212</v>
      </c>
      <c r="O369" s="6">
        <v>0</v>
      </c>
      <c r="P369" s="6">
        <v>0</v>
      </c>
      <c r="Q369" s="6">
        <v>0</v>
      </c>
      <c r="R369" s="6">
        <v>0</v>
      </c>
      <c r="S369" s="6">
        <v>0</v>
      </c>
    </row>
    <row r="370" spans="1:19" ht="15" hidden="1" x14ac:dyDescent="0.25">
      <c r="A370" s="7" t="s">
        <v>16</v>
      </c>
      <c r="B370" s="7" t="s">
        <v>17</v>
      </c>
      <c r="C370" s="7" t="s">
        <v>18</v>
      </c>
      <c r="D370" s="4">
        <v>1507901000137</v>
      </c>
      <c r="E370" s="8" t="s">
        <v>765</v>
      </c>
      <c r="F370" s="8" t="s">
        <v>62</v>
      </c>
      <c r="G370" s="8" t="s">
        <v>63</v>
      </c>
      <c r="H370" s="8" t="s">
        <v>215</v>
      </c>
      <c r="I370" s="3">
        <v>2</v>
      </c>
      <c r="J370" s="8" t="s">
        <v>169</v>
      </c>
      <c r="K370" s="8" t="s">
        <v>170</v>
      </c>
      <c r="L370" s="8" t="s">
        <v>557</v>
      </c>
      <c r="M370" s="1" t="s">
        <v>211</v>
      </c>
      <c r="N370" s="8" t="s">
        <v>212</v>
      </c>
      <c r="O370" s="6">
        <v>0</v>
      </c>
      <c r="P370" s="6">
        <v>10</v>
      </c>
      <c r="Q370" s="6">
        <v>3</v>
      </c>
      <c r="R370" s="6">
        <v>0</v>
      </c>
      <c r="S370" s="6">
        <v>0</v>
      </c>
    </row>
    <row r="371" spans="1:19" ht="15" hidden="1" x14ac:dyDescent="0.25">
      <c r="A371" s="7" t="s">
        <v>16</v>
      </c>
      <c r="B371" s="7" t="s">
        <v>17</v>
      </c>
      <c r="C371" s="7" t="s">
        <v>18</v>
      </c>
      <c r="D371" s="4">
        <v>87547444000120</v>
      </c>
      <c r="E371" s="8" t="s">
        <v>1017</v>
      </c>
      <c r="F371" s="8" t="s">
        <v>1018</v>
      </c>
      <c r="G371" s="8" t="s">
        <v>67</v>
      </c>
      <c r="H371" s="8" t="s">
        <v>215</v>
      </c>
      <c r="I371" s="3">
        <v>2</v>
      </c>
      <c r="J371" s="8" t="s">
        <v>175</v>
      </c>
      <c r="K371" s="8" t="s">
        <v>176</v>
      </c>
      <c r="L371" s="8" t="s">
        <v>556</v>
      </c>
      <c r="M371" s="1" t="s">
        <v>205</v>
      </c>
      <c r="N371" s="8" t="s">
        <v>206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</row>
    <row r="372" spans="1:19" ht="15" hidden="1" x14ac:dyDescent="0.25">
      <c r="A372" s="7" t="s">
        <v>16</v>
      </c>
      <c r="B372" s="7" t="s">
        <v>17</v>
      </c>
      <c r="C372" s="7" t="s">
        <v>18</v>
      </c>
      <c r="D372" s="4">
        <v>87547444000120</v>
      </c>
      <c r="E372" s="8" t="s">
        <v>1017</v>
      </c>
      <c r="F372" s="8" t="s">
        <v>1018</v>
      </c>
      <c r="G372" s="8" t="s">
        <v>67</v>
      </c>
      <c r="H372" s="8" t="s">
        <v>215</v>
      </c>
      <c r="I372" s="3">
        <v>2</v>
      </c>
      <c r="J372" s="8" t="s">
        <v>144</v>
      </c>
      <c r="K372" s="8" t="s">
        <v>145</v>
      </c>
      <c r="L372" s="8" t="s">
        <v>557</v>
      </c>
      <c r="M372" s="1" t="s">
        <v>205</v>
      </c>
      <c r="N372" s="8" t="s">
        <v>206</v>
      </c>
      <c r="O372" s="6">
        <v>0</v>
      </c>
      <c r="P372" s="6">
        <v>2</v>
      </c>
      <c r="Q372" s="6">
        <v>0</v>
      </c>
      <c r="R372" s="6">
        <v>0</v>
      </c>
      <c r="S372" s="6">
        <v>0</v>
      </c>
    </row>
    <row r="373" spans="1:19" ht="15" hidden="1" x14ac:dyDescent="0.25">
      <c r="A373" s="7" t="s">
        <v>16</v>
      </c>
      <c r="B373" s="7" t="s">
        <v>17</v>
      </c>
      <c r="C373" s="7" t="s">
        <v>18</v>
      </c>
      <c r="D373" s="4">
        <v>87827689002405</v>
      </c>
      <c r="E373" s="8" t="s">
        <v>1021</v>
      </c>
      <c r="F373" s="8" t="s">
        <v>66</v>
      </c>
      <c r="G373" s="8" t="s">
        <v>67</v>
      </c>
      <c r="H373" s="8" t="s">
        <v>215</v>
      </c>
      <c r="I373" s="3">
        <v>2</v>
      </c>
      <c r="J373" s="8" t="s">
        <v>175</v>
      </c>
      <c r="K373" s="8" t="s">
        <v>176</v>
      </c>
      <c r="L373" s="8" t="s">
        <v>556</v>
      </c>
      <c r="M373" s="1" t="s">
        <v>205</v>
      </c>
      <c r="N373" s="8" t="s">
        <v>206</v>
      </c>
      <c r="O373" s="6">
        <v>0</v>
      </c>
      <c r="P373" s="6">
        <v>0</v>
      </c>
      <c r="Q373" s="6">
        <v>0</v>
      </c>
      <c r="R373" s="6">
        <v>38</v>
      </c>
      <c r="S373" s="6">
        <v>90</v>
      </c>
    </row>
    <row r="374" spans="1:19" ht="15" hidden="1" x14ac:dyDescent="0.25">
      <c r="A374" s="7" t="s">
        <v>16</v>
      </c>
      <c r="B374" s="7" t="s">
        <v>17</v>
      </c>
      <c r="C374" s="7" t="s">
        <v>18</v>
      </c>
      <c r="D374" s="4">
        <v>87827689002405</v>
      </c>
      <c r="E374" s="8" t="s">
        <v>1021</v>
      </c>
      <c r="F374" s="8" t="s">
        <v>66</v>
      </c>
      <c r="G374" s="8" t="s">
        <v>67</v>
      </c>
      <c r="H374" s="8" t="s">
        <v>215</v>
      </c>
      <c r="I374" s="3">
        <v>2</v>
      </c>
      <c r="J374" s="8" t="s">
        <v>144</v>
      </c>
      <c r="K374" s="8" t="s">
        <v>145</v>
      </c>
      <c r="L374" s="8" t="s">
        <v>557</v>
      </c>
      <c r="M374" s="1" t="s">
        <v>205</v>
      </c>
      <c r="N374" s="8" t="s">
        <v>206</v>
      </c>
      <c r="O374" s="6">
        <v>0</v>
      </c>
      <c r="P374" s="6">
        <v>0</v>
      </c>
      <c r="Q374" s="6">
        <v>0</v>
      </c>
      <c r="R374" s="6">
        <v>0</v>
      </c>
      <c r="S374" s="6">
        <v>90</v>
      </c>
    </row>
    <row r="375" spans="1:19" ht="15" hidden="1" x14ac:dyDescent="0.25">
      <c r="A375" s="7" t="s">
        <v>16</v>
      </c>
      <c r="B375" s="7" t="s">
        <v>17</v>
      </c>
      <c r="C375" s="7" t="s">
        <v>18</v>
      </c>
      <c r="D375" s="4">
        <v>1140803000104</v>
      </c>
      <c r="E375" s="8" t="s">
        <v>936</v>
      </c>
      <c r="F375" s="8" t="s">
        <v>66</v>
      </c>
      <c r="G375" s="8" t="s">
        <v>67</v>
      </c>
      <c r="H375" s="8" t="s">
        <v>215</v>
      </c>
      <c r="I375" s="3">
        <v>2</v>
      </c>
      <c r="J375" s="8" t="s">
        <v>175</v>
      </c>
      <c r="K375" s="8" t="s">
        <v>176</v>
      </c>
      <c r="L375" s="8" t="s">
        <v>556</v>
      </c>
      <c r="M375" s="1" t="s">
        <v>205</v>
      </c>
      <c r="N375" s="8" t="s">
        <v>206</v>
      </c>
      <c r="O375" s="6">
        <v>0</v>
      </c>
      <c r="P375" s="6">
        <v>0</v>
      </c>
      <c r="Q375" s="6">
        <v>0</v>
      </c>
      <c r="R375" s="6">
        <v>32</v>
      </c>
      <c r="S375" s="6">
        <v>0</v>
      </c>
    </row>
    <row r="376" spans="1:19" ht="15" hidden="1" x14ac:dyDescent="0.25">
      <c r="A376" s="7" t="s">
        <v>16</v>
      </c>
      <c r="B376" s="7" t="s">
        <v>17</v>
      </c>
      <c r="C376" s="7" t="s">
        <v>18</v>
      </c>
      <c r="D376" s="4">
        <v>1140803000104</v>
      </c>
      <c r="E376" s="8" t="s">
        <v>936</v>
      </c>
      <c r="F376" s="8" t="s">
        <v>66</v>
      </c>
      <c r="G376" s="8" t="s">
        <v>67</v>
      </c>
      <c r="H376" s="8" t="s">
        <v>215</v>
      </c>
      <c r="I376" s="3">
        <v>2</v>
      </c>
      <c r="J376" s="8" t="s">
        <v>144</v>
      </c>
      <c r="K376" s="8" t="s">
        <v>145</v>
      </c>
      <c r="L376" s="8" t="s">
        <v>557</v>
      </c>
      <c r="M376" s="1" t="s">
        <v>205</v>
      </c>
      <c r="N376" s="8" t="s">
        <v>206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</row>
    <row r="377" spans="1:19" ht="15" hidden="1" x14ac:dyDescent="0.25">
      <c r="A377" s="7" t="s">
        <v>16</v>
      </c>
      <c r="B377" s="7" t="s">
        <v>17</v>
      </c>
      <c r="C377" s="7" t="s">
        <v>18</v>
      </c>
      <c r="D377" s="4">
        <v>9572216000287</v>
      </c>
      <c r="E377" s="8" t="s">
        <v>960</v>
      </c>
      <c r="F377" s="8" t="s">
        <v>118</v>
      </c>
      <c r="G377" s="8" t="s">
        <v>67</v>
      </c>
      <c r="H377" s="8" t="s">
        <v>215</v>
      </c>
      <c r="I377" s="3">
        <v>2</v>
      </c>
      <c r="J377" s="8" t="s">
        <v>175</v>
      </c>
      <c r="K377" s="8" t="s">
        <v>176</v>
      </c>
      <c r="L377" s="8" t="s">
        <v>556</v>
      </c>
      <c r="M377" s="1" t="s">
        <v>205</v>
      </c>
      <c r="N377" s="8" t="s">
        <v>206</v>
      </c>
      <c r="O377" s="6">
        <v>0</v>
      </c>
      <c r="P377" s="6">
        <v>0</v>
      </c>
      <c r="Q377" s="6">
        <v>0</v>
      </c>
      <c r="R377" s="6">
        <v>0</v>
      </c>
      <c r="S377" s="6">
        <v>90</v>
      </c>
    </row>
    <row r="378" spans="1:19" ht="15" hidden="1" x14ac:dyDescent="0.25">
      <c r="A378" s="7" t="s">
        <v>16</v>
      </c>
      <c r="B378" s="7" t="s">
        <v>17</v>
      </c>
      <c r="C378" s="7" t="s">
        <v>18</v>
      </c>
      <c r="D378" s="4">
        <v>9572216000287</v>
      </c>
      <c r="E378" s="8" t="s">
        <v>960</v>
      </c>
      <c r="F378" s="8" t="s">
        <v>118</v>
      </c>
      <c r="G378" s="8" t="s">
        <v>67</v>
      </c>
      <c r="H378" s="8" t="s">
        <v>215</v>
      </c>
      <c r="I378" s="3">
        <v>2</v>
      </c>
      <c r="J378" s="8" t="s">
        <v>144</v>
      </c>
      <c r="K378" s="8" t="s">
        <v>145</v>
      </c>
      <c r="L378" s="8" t="s">
        <v>557</v>
      </c>
      <c r="M378" s="1" t="s">
        <v>205</v>
      </c>
      <c r="N378" s="8" t="s">
        <v>206</v>
      </c>
      <c r="O378" s="6">
        <v>0</v>
      </c>
      <c r="P378" s="6">
        <v>0</v>
      </c>
      <c r="Q378" s="6">
        <v>0</v>
      </c>
      <c r="R378" s="6">
        <v>0</v>
      </c>
      <c r="S378" s="6">
        <v>90</v>
      </c>
    </row>
    <row r="379" spans="1:19" ht="15" hidden="1" x14ac:dyDescent="0.25">
      <c r="A379" s="7" t="s">
        <v>16</v>
      </c>
      <c r="B379" s="7" t="s">
        <v>17</v>
      </c>
      <c r="C379" s="7" t="s">
        <v>18</v>
      </c>
      <c r="D379" s="4">
        <v>92021062000360</v>
      </c>
      <c r="E379" s="8" t="s">
        <v>1027</v>
      </c>
      <c r="F379" s="8" t="s">
        <v>96</v>
      </c>
      <c r="G379" s="8" t="s">
        <v>67</v>
      </c>
      <c r="H379" s="8" t="s">
        <v>215</v>
      </c>
      <c r="I379" s="3">
        <v>2</v>
      </c>
      <c r="J379" s="8" t="s">
        <v>175</v>
      </c>
      <c r="K379" s="8" t="s">
        <v>176</v>
      </c>
      <c r="L379" s="8" t="s">
        <v>556</v>
      </c>
      <c r="M379" s="1" t="s">
        <v>205</v>
      </c>
      <c r="N379" s="8" t="s">
        <v>206</v>
      </c>
      <c r="O379" s="6">
        <v>0</v>
      </c>
      <c r="P379" s="6">
        <v>0</v>
      </c>
      <c r="Q379" s="6">
        <v>0</v>
      </c>
      <c r="R379" s="6">
        <v>144</v>
      </c>
      <c r="S379" s="6">
        <v>0</v>
      </c>
    </row>
    <row r="380" spans="1:19" ht="15" hidden="1" x14ac:dyDescent="0.25">
      <c r="A380" s="7" t="s">
        <v>16</v>
      </c>
      <c r="B380" s="7" t="s">
        <v>17</v>
      </c>
      <c r="C380" s="7" t="s">
        <v>18</v>
      </c>
      <c r="D380" s="4">
        <v>92021062000360</v>
      </c>
      <c r="E380" s="8" t="s">
        <v>1027</v>
      </c>
      <c r="F380" s="8" t="s">
        <v>96</v>
      </c>
      <c r="G380" s="8" t="s">
        <v>67</v>
      </c>
      <c r="H380" s="8" t="s">
        <v>215</v>
      </c>
      <c r="I380" s="3">
        <v>2</v>
      </c>
      <c r="J380" s="8" t="s">
        <v>144</v>
      </c>
      <c r="K380" s="8" t="s">
        <v>145</v>
      </c>
      <c r="L380" s="8" t="s">
        <v>557</v>
      </c>
      <c r="M380" s="1" t="s">
        <v>205</v>
      </c>
      <c r="N380" s="8" t="s">
        <v>206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</row>
    <row r="381" spans="1:19" ht="15" hidden="1" x14ac:dyDescent="0.25">
      <c r="A381" s="7" t="s">
        <v>16</v>
      </c>
      <c r="B381" s="7" t="s">
        <v>17</v>
      </c>
      <c r="C381" s="7" t="s">
        <v>18</v>
      </c>
      <c r="D381" s="4">
        <v>87607149000626</v>
      </c>
      <c r="E381" s="8" t="s">
        <v>1019</v>
      </c>
      <c r="F381" s="8" t="s">
        <v>96</v>
      </c>
      <c r="G381" s="8" t="s">
        <v>67</v>
      </c>
      <c r="H381" s="8" t="s">
        <v>215</v>
      </c>
      <c r="I381" s="3">
        <v>2</v>
      </c>
      <c r="J381" s="8" t="s">
        <v>175</v>
      </c>
      <c r="K381" s="8" t="s">
        <v>176</v>
      </c>
      <c r="L381" s="8" t="s">
        <v>556</v>
      </c>
      <c r="M381" s="1" t="s">
        <v>205</v>
      </c>
      <c r="N381" s="8" t="s">
        <v>206</v>
      </c>
      <c r="O381" s="6">
        <v>0</v>
      </c>
      <c r="P381" s="6">
        <v>0</v>
      </c>
      <c r="Q381" s="6">
        <v>0</v>
      </c>
      <c r="R381" s="6">
        <v>0</v>
      </c>
      <c r="S381" s="6">
        <v>240</v>
      </c>
    </row>
    <row r="382" spans="1:19" ht="15" hidden="1" x14ac:dyDescent="0.25">
      <c r="A382" s="7" t="s">
        <v>16</v>
      </c>
      <c r="B382" s="7" t="s">
        <v>17</v>
      </c>
      <c r="C382" s="7" t="s">
        <v>18</v>
      </c>
      <c r="D382" s="4">
        <v>87607149000626</v>
      </c>
      <c r="E382" s="8" t="s">
        <v>1019</v>
      </c>
      <c r="F382" s="8" t="s">
        <v>96</v>
      </c>
      <c r="G382" s="8" t="s">
        <v>67</v>
      </c>
      <c r="H382" s="8" t="s">
        <v>215</v>
      </c>
      <c r="I382" s="3">
        <v>2</v>
      </c>
      <c r="J382" s="8" t="s">
        <v>144</v>
      </c>
      <c r="K382" s="8" t="s">
        <v>145</v>
      </c>
      <c r="L382" s="8" t="s">
        <v>557</v>
      </c>
      <c r="M382" s="1" t="s">
        <v>205</v>
      </c>
      <c r="N382" s="8" t="s">
        <v>206</v>
      </c>
      <c r="O382" s="6">
        <v>0</v>
      </c>
      <c r="P382" s="6">
        <v>0</v>
      </c>
      <c r="Q382" s="6">
        <v>0</v>
      </c>
      <c r="R382" s="6">
        <v>0</v>
      </c>
      <c r="S382" s="6">
        <v>240</v>
      </c>
    </row>
    <row r="383" spans="1:19" ht="15" hidden="1" x14ac:dyDescent="0.25">
      <c r="A383" s="7" t="s">
        <v>16</v>
      </c>
      <c r="B383" s="7" t="s">
        <v>17</v>
      </c>
      <c r="C383" s="7" t="s">
        <v>18</v>
      </c>
      <c r="D383" s="4">
        <v>92685833000151</v>
      </c>
      <c r="E383" s="8" t="s">
        <v>1029</v>
      </c>
      <c r="F383" s="8" t="s">
        <v>83</v>
      </c>
      <c r="G383" s="8" t="s">
        <v>67</v>
      </c>
      <c r="H383" s="8" t="s">
        <v>215</v>
      </c>
      <c r="I383" s="3">
        <v>2</v>
      </c>
      <c r="J383" s="8" t="s">
        <v>175</v>
      </c>
      <c r="K383" s="8" t="s">
        <v>176</v>
      </c>
      <c r="L383" s="8" t="s">
        <v>556</v>
      </c>
      <c r="M383" s="1" t="s">
        <v>205</v>
      </c>
      <c r="N383" s="8" t="s">
        <v>206</v>
      </c>
      <c r="O383" s="6">
        <v>0</v>
      </c>
      <c r="P383" s="6">
        <v>0</v>
      </c>
      <c r="Q383" s="6">
        <v>0</v>
      </c>
      <c r="R383" s="6">
        <v>4</v>
      </c>
      <c r="S383" s="6">
        <v>0</v>
      </c>
    </row>
    <row r="384" spans="1:19" ht="15" hidden="1" x14ac:dyDescent="0.25">
      <c r="A384" s="7" t="s">
        <v>16</v>
      </c>
      <c r="B384" s="7" t="s">
        <v>17</v>
      </c>
      <c r="C384" s="7" t="s">
        <v>18</v>
      </c>
      <c r="D384" s="4">
        <v>92685833000151</v>
      </c>
      <c r="E384" s="8" t="s">
        <v>1029</v>
      </c>
      <c r="F384" s="8" t="s">
        <v>83</v>
      </c>
      <c r="G384" s="8" t="s">
        <v>67</v>
      </c>
      <c r="H384" s="8" t="s">
        <v>215</v>
      </c>
      <c r="I384" s="3">
        <v>2</v>
      </c>
      <c r="J384" s="8" t="s">
        <v>144</v>
      </c>
      <c r="K384" s="8" t="s">
        <v>145</v>
      </c>
      <c r="L384" s="8" t="s">
        <v>557</v>
      </c>
      <c r="M384" s="1" t="s">
        <v>205</v>
      </c>
      <c r="N384" s="8" t="s">
        <v>206</v>
      </c>
      <c r="O384" s="6">
        <v>0</v>
      </c>
      <c r="P384" s="6">
        <v>16</v>
      </c>
      <c r="Q384" s="6">
        <v>40</v>
      </c>
      <c r="R384" s="6">
        <v>0</v>
      </c>
      <c r="S384" s="6">
        <v>0</v>
      </c>
    </row>
    <row r="385" spans="1:19" ht="15" hidden="1" x14ac:dyDescent="0.25">
      <c r="A385" s="7" t="s">
        <v>16</v>
      </c>
      <c r="B385" s="7" t="s">
        <v>17</v>
      </c>
      <c r="C385" s="7" t="s">
        <v>18</v>
      </c>
      <c r="D385" s="4">
        <v>92898550000198</v>
      </c>
      <c r="E385" s="8" t="s">
        <v>1034</v>
      </c>
      <c r="F385" s="8" t="s">
        <v>83</v>
      </c>
      <c r="G385" s="8" t="s">
        <v>67</v>
      </c>
      <c r="H385" s="8" t="s">
        <v>215</v>
      </c>
      <c r="I385" s="3">
        <v>2</v>
      </c>
      <c r="J385" s="8" t="s">
        <v>175</v>
      </c>
      <c r="K385" s="8" t="s">
        <v>176</v>
      </c>
      <c r="L385" s="8" t="s">
        <v>556</v>
      </c>
      <c r="M385" s="1" t="s">
        <v>205</v>
      </c>
      <c r="N385" s="8" t="s">
        <v>206</v>
      </c>
      <c r="O385" s="6">
        <v>0</v>
      </c>
      <c r="P385" s="6">
        <v>0</v>
      </c>
      <c r="Q385" s="6">
        <v>0</v>
      </c>
      <c r="R385" s="6">
        <v>0</v>
      </c>
      <c r="S385" s="6">
        <v>0</v>
      </c>
    </row>
    <row r="386" spans="1:19" ht="15" hidden="1" x14ac:dyDescent="0.25">
      <c r="A386" s="7" t="s">
        <v>16</v>
      </c>
      <c r="B386" s="7" t="s">
        <v>17</v>
      </c>
      <c r="C386" s="7" t="s">
        <v>18</v>
      </c>
      <c r="D386" s="4">
        <v>92898550000198</v>
      </c>
      <c r="E386" s="8" t="s">
        <v>1034</v>
      </c>
      <c r="F386" s="8" t="s">
        <v>83</v>
      </c>
      <c r="G386" s="8" t="s">
        <v>67</v>
      </c>
      <c r="H386" s="8" t="s">
        <v>215</v>
      </c>
      <c r="I386" s="3">
        <v>2</v>
      </c>
      <c r="J386" s="8" t="s">
        <v>144</v>
      </c>
      <c r="K386" s="8" t="s">
        <v>145</v>
      </c>
      <c r="L386" s="8" t="s">
        <v>557</v>
      </c>
      <c r="M386" s="1" t="s">
        <v>205</v>
      </c>
      <c r="N386" s="8" t="s">
        <v>206</v>
      </c>
      <c r="O386" s="6">
        <v>0</v>
      </c>
      <c r="P386" s="6">
        <v>14</v>
      </c>
      <c r="Q386" s="6">
        <v>0</v>
      </c>
      <c r="R386" s="6">
        <v>0</v>
      </c>
      <c r="S386" s="6">
        <v>0</v>
      </c>
    </row>
    <row r="387" spans="1:19" ht="15" hidden="1" x14ac:dyDescent="0.25">
      <c r="A387" s="7" t="s">
        <v>16</v>
      </c>
      <c r="B387" s="7" t="s">
        <v>17</v>
      </c>
      <c r="C387" s="7" t="s">
        <v>18</v>
      </c>
      <c r="D387" s="4">
        <v>26947257000149</v>
      </c>
      <c r="E387" s="8" t="s">
        <v>973</v>
      </c>
      <c r="F387" s="8" t="s">
        <v>83</v>
      </c>
      <c r="G387" s="8" t="s">
        <v>67</v>
      </c>
      <c r="H387" s="8" t="s">
        <v>215</v>
      </c>
      <c r="I387" s="3">
        <v>2</v>
      </c>
      <c r="J387" s="8" t="s">
        <v>175</v>
      </c>
      <c r="K387" s="8" t="s">
        <v>176</v>
      </c>
      <c r="L387" s="8" t="s">
        <v>556</v>
      </c>
      <c r="M387" s="1" t="s">
        <v>205</v>
      </c>
      <c r="N387" s="8" t="s">
        <v>206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</row>
    <row r="388" spans="1:19" ht="15" hidden="1" x14ac:dyDescent="0.25">
      <c r="A388" s="7" t="s">
        <v>16</v>
      </c>
      <c r="B388" s="7" t="s">
        <v>17</v>
      </c>
      <c r="C388" s="7" t="s">
        <v>18</v>
      </c>
      <c r="D388" s="4">
        <v>26947257000149</v>
      </c>
      <c r="E388" s="8" t="s">
        <v>973</v>
      </c>
      <c r="F388" s="8" t="s">
        <v>83</v>
      </c>
      <c r="G388" s="8" t="s">
        <v>67</v>
      </c>
      <c r="H388" s="8" t="s">
        <v>215</v>
      </c>
      <c r="I388" s="3">
        <v>2</v>
      </c>
      <c r="J388" s="8" t="s">
        <v>144</v>
      </c>
      <c r="K388" s="8" t="s">
        <v>145</v>
      </c>
      <c r="L388" s="8" t="s">
        <v>557</v>
      </c>
      <c r="M388" s="1" t="s">
        <v>205</v>
      </c>
      <c r="N388" s="8" t="s">
        <v>206</v>
      </c>
      <c r="O388" s="6">
        <v>0</v>
      </c>
      <c r="P388" s="6">
        <v>0</v>
      </c>
      <c r="Q388" s="6">
        <v>6</v>
      </c>
      <c r="R388" s="6">
        <v>0</v>
      </c>
      <c r="S388" s="6">
        <v>0</v>
      </c>
    </row>
    <row r="389" spans="1:19" ht="15" hidden="1" x14ac:dyDescent="0.25">
      <c r="A389" s="7" t="s">
        <v>16</v>
      </c>
      <c r="B389" s="7" t="s">
        <v>17</v>
      </c>
      <c r="C389" s="7" t="s">
        <v>18</v>
      </c>
      <c r="D389" s="4">
        <v>92787118000391</v>
      </c>
      <c r="E389" s="8" t="s">
        <v>1032</v>
      </c>
      <c r="F389" s="8" t="s">
        <v>83</v>
      </c>
      <c r="G389" s="8" t="s">
        <v>67</v>
      </c>
      <c r="H389" s="8" t="s">
        <v>215</v>
      </c>
      <c r="I389" s="3">
        <v>2</v>
      </c>
      <c r="J389" s="8" t="s">
        <v>175</v>
      </c>
      <c r="K389" s="8" t="s">
        <v>176</v>
      </c>
      <c r="L389" s="8" t="s">
        <v>556</v>
      </c>
      <c r="M389" s="1" t="s">
        <v>205</v>
      </c>
      <c r="N389" s="8" t="s">
        <v>206</v>
      </c>
      <c r="O389" s="6">
        <v>0</v>
      </c>
      <c r="P389" s="6">
        <v>0</v>
      </c>
      <c r="Q389" s="6">
        <v>0</v>
      </c>
      <c r="R389" s="6">
        <v>0</v>
      </c>
      <c r="S389" s="6">
        <v>0</v>
      </c>
    </row>
    <row r="390" spans="1:19" ht="15" hidden="1" x14ac:dyDescent="0.25">
      <c r="A390" s="7" t="s">
        <v>16</v>
      </c>
      <c r="B390" s="7" t="s">
        <v>17</v>
      </c>
      <c r="C390" s="7" t="s">
        <v>18</v>
      </c>
      <c r="D390" s="4">
        <v>92787118000391</v>
      </c>
      <c r="E390" s="8" t="s">
        <v>1032</v>
      </c>
      <c r="F390" s="8" t="s">
        <v>83</v>
      </c>
      <c r="G390" s="8" t="s">
        <v>67</v>
      </c>
      <c r="H390" s="8" t="s">
        <v>215</v>
      </c>
      <c r="I390" s="3">
        <v>2</v>
      </c>
      <c r="J390" s="8" t="s">
        <v>144</v>
      </c>
      <c r="K390" s="8" t="s">
        <v>145</v>
      </c>
      <c r="L390" s="8" t="s">
        <v>557</v>
      </c>
      <c r="M390" s="1" t="s">
        <v>205</v>
      </c>
      <c r="N390" s="8" t="s">
        <v>206</v>
      </c>
      <c r="O390" s="6">
        <v>0</v>
      </c>
      <c r="P390" s="6">
        <v>12</v>
      </c>
      <c r="Q390" s="6">
        <v>0</v>
      </c>
      <c r="R390" s="6">
        <v>0</v>
      </c>
      <c r="S390" s="6">
        <v>0</v>
      </c>
    </row>
    <row r="391" spans="1:19" ht="15" hidden="1" x14ac:dyDescent="0.25">
      <c r="A391" s="7" t="s">
        <v>16</v>
      </c>
      <c r="B391" s="7" t="s">
        <v>17</v>
      </c>
      <c r="C391" s="7" t="s">
        <v>18</v>
      </c>
      <c r="D391" s="4">
        <v>87020517000120</v>
      </c>
      <c r="E391" s="8" t="s">
        <v>1013</v>
      </c>
      <c r="F391" s="8" t="s">
        <v>83</v>
      </c>
      <c r="G391" s="8" t="s">
        <v>67</v>
      </c>
      <c r="H391" s="8" t="s">
        <v>215</v>
      </c>
      <c r="I391" s="3">
        <v>2</v>
      </c>
      <c r="J391" s="8" t="s">
        <v>175</v>
      </c>
      <c r="K391" s="8" t="s">
        <v>176</v>
      </c>
      <c r="L391" s="8" t="s">
        <v>556</v>
      </c>
      <c r="M391" s="1" t="s">
        <v>205</v>
      </c>
      <c r="N391" s="8" t="s">
        <v>206</v>
      </c>
      <c r="O391" s="6">
        <v>0</v>
      </c>
      <c r="P391" s="6">
        <v>0</v>
      </c>
      <c r="Q391" s="6">
        <v>0</v>
      </c>
      <c r="R391" s="6">
        <v>0</v>
      </c>
      <c r="S391" s="6">
        <v>0</v>
      </c>
    </row>
    <row r="392" spans="1:19" ht="15" hidden="1" x14ac:dyDescent="0.25">
      <c r="A392" s="7" t="s">
        <v>16</v>
      </c>
      <c r="B392" s="7" t="s">
        <v>17</v>
      </c>
      <c r="C392" s="7" t="s">
        <v>18</v>
      </c>
      <c r="D392" s="4">
        <v>87020517000120</v>
      </c>
      <c r="E392" s="8" t="s">
        <v>1013</v>
      </c>
      <c r="F392" s="8" t="s">
        <v>83</v>
      </c>
      <c r="G392" s="8" t="s">
        <v>67</v>
      </c>
      <c r="H392" s="8" t="s">
        <v>215</v>
      </c>
      <c r="I392" s="3">
        <v>2</v>
      </c>
      <c r="J392" s="8" t="s">
        <v>144</v>
      </c>
      <c r="K392" s="8" t="s">
        <v>145</v>
      </c>
      <c r="L392" s="8" t="s">
        <v>557</v>
      </c>
      <c r="M392" s="1" t="s">
        <v>205</v>
      </c>
      <c r="N392" s="8" t="s">
        <v>206</v>
      </c>
      <c r="O392" s="6">
        <v>0</v>
      </c>
      <c r="P392" s="6">
        <v>10</v>
      </c>
      <c r="Q392" s="6">
        <v>25</v>
      </c>
      <c r="R392" s="6">
        <v>0</v>
      </c>
      <c r="S392" s="6">
        <v>0</v>
      </c>
    </row>
    <row r="393" spans="1:19" ht="15" hidden="1" x14ac:dyDescent="0.25">
      <c r="A393" s="7" t="s">
        <v>16</v>
      </c>
      <c r="B393" s="7" t="s">
        <v>17</v>
      </c>
      <c r="C393" s="7" t="s">
        <v>18</v>
      </c>
      <c r="D393" s="4">
        <v>87317764001084</v>
      </c>
      <c r="E393" s="8" t="s">
        <v>1015</v>
      </c>
      <c r="F393" s="8" t="s">
        <v>83</v>
      </c>
      <c r="G393" s="8" t="s">
        <v>67</v>
      </c>
      <c r="H393" s="8" t="s">
        <v>215</v>
      </c>
      <c r="I393" s="3">
        <v>2</v>
      </c>
      <c r="J393" s="8" t="s">
        <v>175</v>
      </c>
      <c r="K393" s="8" t="s">
        <v>176</v>
      </c>
      <c r="L393" s="8" t="s">
        <v>556</v>
      </c>
      <c r="M393" s="1" t="s">
        <v>205</v>
      </c>
      <c r="N393" s="8" t="s">
        <v>206</v>
      </c>
      <c r="O393" s="6">
        <v>0</v>
      </c>
      <c r="P393" s="6">
        <v>0</v>
      </c>
      <c r="Q393" s="6">
        <v>0</v>
      </c>
      <c r="R393" s="6">
        <v>0</v>
      </c>
      <c r="S393" s="6">
        <v>330</v>
      </c>
    </row>
    <row r="394" spans="1:19" ht="15" hidden="1" x14ac:dyDescent="0.25">
      <c r="A394" s="7" t="s">
        <v>16</v>
      </c>
      <c r="B394" s="7" t="s">
        <v>17</v>
      </c>
      <c r="C394" s="7" t="s">
        <v>18</v>
      </c>
      <c r="D394" s="4">
        <v>87317764001084</v>
      </c>
      <c r="E394" s="8" t="s">
        <v>1015</v>
      </c>
      <c r="F394" s="8" t="s">
        <v>83</v>
      </c>
      <c r="G394" s="8" t="s">
        <v>67</v>
      </c>
      <c r="H394" s="8" t="s">
        <v>215</v>
      </c>
      <c r="I394" s="3">
        <v>2</v>
      </c>
      <c r="J394" s="8" t="s">
        <v>144</v>
      </c>
      <c r="K394" s="8" t="s">
        <v>145</v>
      </c>
      <c r="L394" s="8" t="s">
        <v>557</v>
      </c>
      <c r="M394" s="1" t="s">
        <v>205</v>
      </c>
      <c r="N394" s="8" t="s">
        <v>206</v>
      </c>
      <c r="O394" s="6">
        <v>0</v>
      </c>
      <c r="P394" s="6">
        <v>0</v>
      </c>
      <c r="Q394" s="6">
        <v>0</v>
      </c>
      <c r="R394" s="6">
        <v>0</v>
      </c>
      <c r="S394" s="6">
        <v>330</v>
      </c>
    </row>
    <row r="395" spans="1:19" ht="15" hidden="1" x14ac:dyDescent="0.25">
      <c r="A395" s="7" t="s">
        <v>16</v>
      </c>
      <c r="B395" s="7" t="s">
        <v>17</v>
      </c>
      <c r="C395" s="7" t="s">
        <v>18</v>
      </c>
      <c r="D395" s="4">
        <v>92741016000254</v>
      </c>
      <c r="E395" s="8" t="s">
        <v>1030</v>
      </c>
      <c r="F395" s="8" t="s">
        <v>83</v>
      </c>
      <c r="G395" s="8" t="s">
        <v>67</v>
      </c>
      <c r="H395" s="8" t="s">
        <v>215</v>
      </c>
      <c r="I395" s="3">
        <v>2</v>
      </c>
      <c r="J395" s="8" t="s">
        <v>175</v>
      </c>
      <c r="K395" s="8" t="s">
        <v>176</v>
      </c>
      <c r="L395" s="8" t="s">
        <v>556</v>
      </c>
      <c r="M395" s="1" t="s">
        <v>205</v>
      </c>
      <c r="N395" s="8" t="s">
        <v>206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</row>
    <row r="396" spans="1:19" ht="15" hidden="1" x14ac:dyDescent="0.25">
      <c r="A396" s="7" t="s">
        <v>16</v>
      </c>
      <c r="B396" s="7" t="s">
        <v>17</v>
      </c>
      <c r="C396" s="7" t="s">
        <v>18</v>
      </c>
      <c r="D396" s="4">
        <v>92741016000254</v>
      </c>
      <c r="E396" s="8" t="s">
        <v>1030</v>
      </c>
      <c r="F396" s="8" t="s">
        <v>83</v>
      </c>
      <c r="G396" s="8" t="s">
        <v>67</v>
      </c>
      <c r="H396" s="8" t="s">
        <v>215</v>
      </c>
      <c r="I396" s="3">
        <v>2</v>
      </c>
      <c r="J396" s="8" t="s">
        <v>144</v>
      </c>
      <c r="K396" s="8" t="s">
        <v>145</v>
      </c>
      <c r="L396" s="8" t="s">
        <v>557</v>
      </c>
      <c r="M396" s="1" t="s">
        <v>205</v>
      </c>
      <c r="N396" s="8" t="s">
        <v>206</v>
      </c>
      <c r="O396" s="6">
        <v>0</v>
      </c>
      <c r="P396" s="6">
        <v>5</v>
      </c>
      <c r="Q396" s="6">
        <v>0</v>
      </c>
      <c r="R396" s="6">
        <v>0</v>
      </c>
      <c r="S396" s="6">
        <v>0</v>
      </c>
    </row>
    <row r="397" spans="1:19" ht="15" hidden="1" x14ac:dyDescent="0.25">
      <c r="A397" s="7" t="s">
        <v>16</v>
      </c>
      <c r="B397" s="7" t="s">
        <v>17</v>
      </c>
      <c r="C397" s="7" t="s">
        <v>18</v>
      </c>
      <c r="D397" s="4">
        <v>88625686002443</v>
      </c>
      <c r="E397" s="8" t="s">
        <v>1023</v>
      </c>
      <c r="F397" s="8" t="s">
        <v>83</v>
      </c>
      <c r="G397" s="8" t="s">
        <v>67</v>
      </c>
      <c r="H397" s="8" t="s">
        <v>215</v>
      </c>
      <c r="I397" s="3">
        <v>2</v>
      </c>
      <c r="J397" s="8" t="s">
        <v>175</v>
      </c>
      <c r="K397" s="8" t="s">
        <v>176</v>
      </c>
      <c r="L397" s="8" t="s">
        <v>556</v>
      </c>
      <c r="M397" s="1" t="s">
        <v>205</v>
      </c>
      <c r="N397" s="8" t="s">
        <v>206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</row>
    <row r="398" spans="1:19" ht="15" hidden="1" x14ac:dyDescent="0.25">
      <c r="A398" s="7" t="s">
        <v>16</v>
      </c>
      <c r="B398" s="7" t="s">
        <v>17</v>
      </c>
      <c r="C398" s="7" t="s">
        <v>18</v>
      </c>
      <c r="D398" s="4">
        <v>88625686002443</v>
      </c>
      <c r="E398" s="8" t="s">
        <v>1023</v>
      </c>
      <c r="F398" s="8" t="s">
        <v>83</v>
      </c>
      <c r="G398" s="8" t="s">
        <v>67</v>
      </c>
      <c r="H398" s="8" t="s">
        <v>215</v>
      </c>
      <c r="I398" s="3">
        <v>2</v>
      </c>
      <c r="J398" s="8" t="s">
        <v>144</v>
      </c>
      <c r="K398" s="8" t="s">
        <v>145</v>
      </c>
      <c r="L398" s="8" t="s">
        <v>557</v>
      </c>
      <c r="M398" s="1" t="s">
        <v>205</v>
      </c>
      <c r="N398" s="8" t="s">
        <v>206</v>
      </c>
      <c r="O398" s="6">
        <v>0</v>
      </c>
      <c r="P398" s="6">
        <v>24</v>
      </c>
      <c r="Q398" s="6">
        <v>5</v>
      </c>
      <c r="R398" s="6">
        <v>0</v>
      </c>
      <c r="S398" s="6">
        <v>0</v>
      </c>
    </row>
    <row r="399" spans="1:19" ht="15" hidden="1" x14ac:dyDescent="0.25">
      <c r="A399" s="7" t="s">
        <v>16</v>
      </c>
      <c r="B399" s="7" t="s">
        <v>17</v>
      </c>
      <c r="C399" s="7" t="s">
        <v>18</v>
      </c>
      <c r="D399" s="4">
        <v>88630413000796</v>
      </c>
      <c r="E399" s="8" t="s">
        <v>1024</v>
      </c>
      <c r="F399" s="8" t="s">
        <v>83</v>
      </c>
      <c r="G399" s="8" t="s">
        <v>67</v>
      </c>
      <c r="H399" s="8" t="s">
        <v>215</v>
      </c>
      <c r="I399" s="3">
        <v>2</v>
      </c>
      <c r="J399" s="8" t="s">
        <v>175</v>
      </c>
      <c r="K399" s="8" t="s">
        <v>176</v>
      </c>
      <c r="L399" s="8" t="s">
        <v>556</v>
      </c>
      <c r="M399" s="1" t="s">
        <v>205</v>
      </c>
      <c r="N399" s="8" t="s">
        <v>206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</row>
    <row r="400" spans="1:19" ht="15" hidden="1" x14ac:dyDescent="0.25">
      <c r="A400" s="7" t="s">
        <v>16</v>
      </c>
      <c r="B400" s="7" t="s">
        <v>17</v>
      </c>
      <c r="C400" s="7" t="s">
        <v>18</v>
      </c>
      <c r="D400" s="4">
        <v>88630413000796</v>
      </c>
      <c r="E400" s="8" t="s">
        <v>1024</v>
      </c>
      <c r="F400" s="8" t="s">
        <v>83</v>
      </c>
      <c r="G400" s="8" t="s">
        <v>67</v>
      </c>
      <c r="H400" s="8" t="s">
        <v>215</v>
      </c>
      <c r="I400" s="3">
        <v>2</v>
      </c>
      <c r="J400" s="8" t="s">
        <v>144</v>
      </c>
      <c r="K400" s="8" t="s">
        <v>145</v>
      </c>
      <c r="L400" s="8" t="s">
        <v>557</v>
      </c>
      <c r="M400" s="1" t="s">
        <v>205</v>
      </c>
      <c r="N400" s="8" t="s">
        <v>206</v>
      </c>
      <c r="O400" s="6">
        <v>0</v>
      </c>
      <c r="P400" s="6">
        <v>6</v>
      </c>
      <c r="Q400" s="6">
        <v>14</v>
      </c>
      <c r="R400" s="6">
        <v>0</v>
      </c>
      <c r="S400" s="6">
        <v>0</v>
      </c>
    </row>
    <row r="401" spans="1:19" ht="15" hidden="1" x14ac:dyDescent="0.25">
      <c r="A401" s="7" t="s">
        <v>16</v>
      </c>
      <c r="B401" s="7" t="s">
        <v>17</v>
      </c>
      <c r="C401" s="7" t="s">
        <v>18</v>
      </c>
      <c r="D401" s="4">
        <v>94831294000147</v>
      </c>
      <c r="E401" s="8" t="s">
        <v>1036</v>
      </c>
      <c r="F401" s="8" t="s">
        <v>83</v>
      </c>
      <c r="G401" s="8" t="s">
        <v>67</v>
      </c>
      <c r="H401" s="8" t="s">
        <v>215</v>
      </c>
      <c r="I401" s="3">
        <v>2</v>
      </c>
      <c r="J401" s="8" t="s">
        <v>175</v>
      </c>
      <c r="K401" s="8" t="s">
        <v>176</v>
      </c>
      <c r="L401" s="8" t="s">
        <v>556</v>
      </c>
      <c r="M401" s="1" t="s">
        <v>205</v>
      </c>
      <c r="N401" s="8" t="s">
        <v>206</v>
      </c>
      <c r="O401" s="6">
        <v>0</v>
      </c>
      <c r="P401" s="6">
        <v>0</v>
      </c>
      <c r="Q401" s="6">
        <v>0</v>
      </c>
      <c r="R401" s="6">
        <v>0</v>
      </c>
      <c r="S401" s="6">
        <v>30</v>
      </c>
    </row>
    <row r="402" spans="1:19" ht="15" hidden="1" x14ac:dyDescent="0.25">
      <c r="A402" s="7" t="s">
        <v>16</v>
      </c>
      <c r="B402" s="7" t="s">
        <v>17</v>
      </c>
      <c r="C402" s="7" t="s">
        <v>18</v>
      </c>
      <c r="D402" s="4">
        <v>94831294000147</v>
      </c>
      <c r="E402" s="8" t="s">
        <v>1036</v>
      </c>
      <c r="F402" s="8" t="s">
        <v>83</v>
      </c>
      <c r="G402" s="8" t="s">
        <v>67</v>
      </c>
      <c r="H402" s="8" t="s">
        <v>215</v>
      </c>
      <c r="I402" s="3">
        <v>2</v>
      </c>
      <c r="J402" s="8" t="s">
        <v>144</v>
      </c>
      <c r="K402" s="8" t="s">
        <v>145</v>
      </c>
      <c r="L402" s="8" t="s">
        <v>557</v>
      </c>
      <c r="M402" s="1" t="s">
        <v>205</v>
      </c>
      <c r="N402" s="8" t="s">
        <v>206</v>
      </c>
      <c r="O402" s="6">
        <v>0</v>
      </c>
      <c r="P402" s="6">
        <v>0</v>
      </c>
      <c r="Q402" s="6">
        <v>0</v>
      </c>
      <c r="R402" s="6">
        <v>0</v>
      </c>
      <c r="S402" s="6">
        <v>30</v>
      </c>
    </row>
    <row r="403" spans="1:19" ht="15" hidden="1" x14ac:dyDescent="0.25">
      <c r="A403" s="7" t="s">
        <v>16</v>
      </c>
      <c r="B403" s="7" t="s">
        <v>17</v>
      </c>
      <c r="C403" s="7" t="s">
        <v>18</v>
      </c>
      <c r="D403" s="4">
        <v>92815000000168</v>
      </c>
      <c r="E403" s="8" t="s">
        <v>1033</v>
      </c>
      <c r="F403" s="8" t="s">
        <v>83</v>
      </c>
      <c r="G403" s="8" t="s">
        <v>67</v>
      </c>
      <c r="H403" s="8" t="s">
        <v>215</v>
      </c>
      <c r="I403" s="3">
        <v>2</v>
      </c>
      <c r="J403" s="8" t="s">
        <v>175</v>
      </c>
      <c r="K403" s="8" t="s">
        <v>176</v>
      </c>
      <c r="L403" s="8" t="s">
        <v>556</v>
      </c>
      <c r="M403" s="1" t="s">
        <v>205</v>
      </c>
      <c r="N403" s="8" t="s">
        <v>206</v>
      </c>
      <c r="O403" s="6">
        <v>0</v>
      </c>
      <c r="P403" s="6">
        <v>0</v>
      </c>
      <c r="Q403" s="6">
        <v>0</v>
      </c>
      <c r="R403" s="6">
        <v>38</v>
      </c>
      <c r="S403" s="6">
        <v>0</v>
      </c>
    </row>
    <row r="404" spans="1:19" ht="15" hidden="1" x14ac:dyDescent="0.25">
      <c r="A404" s="7" t="s">
        <v>16</v>
      </c>
      <c r="B404" s="7" t="s">
        <v>17</v>
      </c>
      <c r="C404" s="7" t="s">
        <v>18</v>
      </c>
      <c r="D404" s="4">
        <v>92815000000168</v>
      </c>
      <c r="E404" s="8" t="s">
        <v>1033</v>
      </c>
      <c r="F404" s="8" t="s">
        <v>83</v>
      </c>
      <c r="G404" s="8" t="s">
        <v>67</v>
      </c>
      <c r="H404" s="8" t="s">
        <v>215</v>
      </c>
      <c r="I404" s="3">
        <v>2</v>
      </c>
      <c r="J404" s="8" t="s">
        <v>144</v>
      </c>
      <c r="K404" s="8" t="s">
        <v>145</v>
      </c>
      <c r="L404" s="8" t="s">
        <v>557</v>
      </c>
      <c r="M404" s="1" t="s">
        <v>205</v>
      </c>
      <c r="N404" s="8" t="s">
        <v>206</v>
      </c>
      <c r="O404" s="6">
        <v>0</v>
      </c>
      <c r="P404" s="6">
        <v>8</v>
      </c>
      <c r="Q404" s="6">
        <v>62</v>
      </c>
      <c r="R404" s="6">
        <v>0</v>
      </c>
      <c r="S404" s="6">
        <v>0</v>
      </c>
    </row>
    <row r="405" spans="1:19" ht="15" hidden="1" x14ac:dyDescent="0.25">
      <c r="A405" s="7" t="s">
        <v>16</v>
      </c>
      <c r="B405" s="7" t="s">
        <v>17</v>
      </c>
      <c r="C405" s="7" t="s">
        <v>18</v>
      </c>
      <c r="D405" s="4">
        <v>87958625000149</v>
      </c>
      <c r="E405" s="8" t="s">
        <v>1022</v>
      </c>
      <c r="F405" s="8" t="s">
        <v>83</v>
      </c>
      <c r="G405" s="8" t="s">
        <v>67</v>
      </c>
      <c r="H405" s="8" t="s">
        <v>215</v>
      </c>
      <c r="I405" s="3">
        <v>2</v>
      </c>
      <c r="J405" s="8" t="s">
        <v>175</v>
      </c>
      <c r="K405" s="8" t="s">
        <v>176</v>
      </c>
      <c r="L405" s="8" t="s">
        <v>556</v>
      </c>
      <c r="M405" s="1" t="s">
        <v>205</v>
      </c>
      <c r="N405" s="8" t="s">
        <v>206</v>
      </c>
      <c r="O405" s="6">
        <v>12</v>
      </c>
      <c r="P405" s="6">
        <v>0</v>
      </c>
      <c r="Q405" s="6">
        <v>0</v>
      </c>
      <c r="R405" s="6">
        <v>0</v>
      </c>
      <c r="S405" s="6">
        <v>0</v>
      </c>
    </row>
    <row r="406" spans="1:19" ht="15" hidden="1" x14ac:dyDescent="0.25">
      <c r="A406" s="7" t="s">
        <v>16</v>
      </c>
      <c r="B406" s="7" t="s">
        <v>17</v>
      </c>
      <c r="C406" s="7" t="s">
        <v>18</v>
      </c>
      <c r="D406" s="4">
        <v>87958625000149</v>
      </c>
      <c r="E406" s="8" t="s">
        <v>1022</v>
      </c>
      <c r="F406" s="8" t="s">
        <v>83</v>
      </c>
      <c r="G406" s="8" t="s">
        <v>67</v>
      </c>
      <c r="H406" s="8" t="s">
        <v>215</v>
      </c>
      <c r="I406" s="3">
        <v>2</v>
      </c>
      <c r="J406" s="8" t="s">
        <v>144</v>
      </c>
      <c r="K406" s="8" t="s">
        <v>145</v>
      </c>
      <c r="L406" s="8" t="s">
        <v>557</v>
      </c>
      <c r="M406" s="1" t="s">
        <v>205</v>
      </c>
      <c r="N406" s="8" t="s">
        <v>206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</row>
    <row r="407" spans="1:19" ht="15" hidden="1" x14ac:dyDescent="0.25">
      <c r="A407" s="7" t="s">
        <v>16</v>
      </c>
      <c r="B407" s="7" t="s">
        <v>17</v>
      </c>
      <c r="C407" s="7" t="s">
        <v>18</v>
      </c>
      <c r="D407" s="4">
        <v>9087150000230</v>
      </c>
      <c r="E407" s="8" t="s">
        <v>958</v>
      </c>
      <c r="F407" s="8" t="s">
        <v>83</v>
      </c>
      <c r="G407" s="8" t="s">
        <v>67</v>
      </c>
      <c r="H407" s="8" t="s">
        <v>215</v>
      </c>
      <c r="I407" s="3">
        <v>2</v>
      </c>
      <c r="J407" s="8" t="s">
        <v>175</v>
      </c>
      <c r="K407" s="8" t="s">
        <v>176</v>
      </c>
      <c r="L407" s="8" t="s">
        <v>556</v>
      </c>
      <c r="M407" s="1" t="s">
        <v>205</v>
      </c>
      <c r="N407" s="8" t="s">
        <v>206</v>
      </c>
      <c r="O407" s="6">
        <v>0</v>
      </c>
      <c r="P407" s="6">
        <v>0</v>
      </c>
      <c r="Q407" s="6">
        <v>0</v>
      </c>
      <c r="R407" s="6">
        <v>8</v>
      </c>
      <c r="S407" s="6">
        <v>0</v>
      </c>
    </row>
    <row r="408" spans="1:19" ht="15" hidden="1" x14ac:dyDescent="0.25">
      <c r="A408" s="7" t="s">
        <v>16</v>
      </c>
      <c r="B408" s="7" t="s">
        <v>17</v>
      </c>
      <c r="C408" s="7" t="s">
        <v>18</v>
      </c>
      <c r="D408" s="4">
        <v>9087150000230</v>
      </c>
      <c r="E408" s="8" t="s">
        <v>958</v>
      </c>
      <c r="F408" s="8" t="s">
        <v>83</v>
      </c>
      <c r="G408" s="8" t="s">
        <v>67</v>
      </c>
      <c r="H408" s="8" t="s">
        <v>215</v>
      </c>
      <c r="I408" s="3">
        <v>2</v>
      </c>
      <c r="J408" s="8" t="s">
        <v>144</v>
      </c>
      <c r="K408" s="8" t="s">
        <v>145</v>
      </c>
      <c r="L408" s="8" t="s">
        <v>557</v>
      </c>
      <c r="M408" s="1" t="s">
        <v>205</v>
      </c>
      <c r="N408" s="8" t="s">
        <v>206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</row>
    <row r="409" spans="1:19" ht="15" hidden="1" x14ac:dyDescent="0.25">
      <c r="A409" s="7" t="s">
        <v>16</v>
      </c>
      <c r="B409" s="7" t="s">
        <v>17</v>
      </c>
      <c r="C409" s="7" t="s">
        <v>18</v>
      </c>
      <c r="D409" s="4">
        <v>15126437001972</v>
      </c>
      <c r="E409" s="8" t="s">
        <v>966</v>
      </c>
      <c r="F409" s="8" t="s">
        <v>87</v>
      </c>
      <c r="G409" s="8" t="s">
        <v>67</v>
      </c>
      <c r="H409" s="8" t="s">
        <v>215</v>
      </c>
      <c r="I409" s="3">
        <v>2</v>
      </c>
      <c r="J409" s="8" t="s">
        <v>175</v>
      </c>
      <c r="K409" s="8" t="s">
        <v>176</v>
      </c>
      <c r="L409" s="8" t="s">
        <v>556</v>
      </c>
      <c r="M409" s="1" t="s">
        <v>205</v>
      </c>
      <c r="N409" s="8" t="s">
        <v>206</v>
      </c>
      <c r="O409" s="6">
        <v>0</v>
      </c>
      <c r="P409" s="6">
        <v>0</v>
      </c>
      <c r="Q409" s="6">
        <v>0</v>
      </c>
      <c r="R409" s="6">
        <v>0</v>
      </c>
      <c r="S409" s="6">
        <v>0</v>
      </c>
    </row>
    <row r="410" spans="1:19" ht="15" hidden="1" x14ac:dyDescent="0.25">
      <c r="A410" s="7" t="s">
        <v>16</v>
      </c>
      <c r="B410" s="7" t="s">
        <v>17</v>
      </c>
      <c r="C410" s="7" t="s">
        <v>18</v>
      </c>
      <c r="D410" s="4">
        <v>15126437001972</v>
      </c>
      <c r="E410" s="8" t="s">
        <v>966</v>
      </c>
      <c r="F410" s="8" t="s">
        <v>87</v>
      </c>
      <c r="G410" s="8" t="s">
        <v>67</v>
      </c>
      <c r="H410" s="8" t="s">
        <v>215</v>
      </c>
      <c r="I410" s="3">
        <v>2</v>
      </c>
      <c r="J410" s="8" t="s">
        <v>144</v>
      </c>
      <c r="K410" s="8" t="s">
        <v>145</v>
      </c>
      <c r="L410" s="8" t="s">
        <v>557</v>
      </c>
      <c r="M410" s="1" t="s">
        <v>205</v>
      </c>
      <c r="N410" s="8" t="s">
        <v>206</v>
      </c>
      <c r="O410" s="6">
        <v>0</v>
      </c>
      <c r="P410" s="6">
        <v>15</v>
      </c>
      <c r="Q410" s="6">
        <v>0</v>
      </c>
      <c r="R410" s="6">
        <v>0</v>
      </c>
      <c r="S410" s="6">
        <v>0</v>
      </c>
    </row>
    <row r="411" spans="1:19" ht="15" hidden="1" x14ac:dyDescent="0.25">
      <c r="A411" s="7" t="s">
        <v>16</v>
      </c>
      <c r="B411" s="7" t="s">
        <v>17</v>
      </c>
      <c r="C411" s="7" t="s">
        <v>18</v>
      </c>
      <c r="D411" s="4">
        <v>95610887000146</v>
      </c>
      <c r="E411" s="8" t="s">
        <v>1037</v>
      </c>
      <c r="F411" s="8" t="s">
        <v>87</v>
      </c>
      <c r="G411" s="8" t="s">
        <v>67</v>
      </c>
      <c r="H411" s="8" t="s">
        <v>215</v>
      </c>
      <c r="I411" s="3">
        <v>2</v>
      </c>
      <c r="J411" s="8" t="s">
        <v>175</v>
      </c>
      <c r="K411" s="8" t="s">
        <v>176</v>
      </c>
      <c r="L411" s="8" t="s">
        <v>556</v>
      </c>
      <c r="M411" s="1" t="s">
        <v>205</v>
      </c>
      <c r="N411" s="8" t="s">
        <v>206</v>
      </c>
      <c r="O411" s="6">
        <v>0</v>
      </c>
      <c r="P411" s="6">
        <v>0</v>
      </c>
      <c r="Q411" s="6">
        <v>0</v>
      </c>
      <c r="R411" s="6">
        <v>0</v>
      </c>
      <c r="S411" s="6">
        <v>300</v>
      </c>
    </row>
    <row r="412" spans="1:19" ht="15" hidden="1" x14ac:dyDescent="0.25">
      <c r="A412" s="7" t="s">
        <v>16</v>
      </c>
      <c r="B412" s="7" t="s">
        <v>17</v>
      </c>
      <c r="C412" s="7" t="s">
        <v>18</v>
      </c>
      <c r="D412" s="4">
        <v>95610887000146</v>
      </c>
      <c r="E412" s="8" t="s">
        <v>1037</v>
      </c>
      <c r="F412" s="8" t="s">
        <v>87</v>
      </c>
      <c r="G412" s="8" t="s">
        <v>67</v>
      </c>
      <c r="H412" s="8" t="s">
        <v>215</v>
      </c>
      <c r="I412" s="3">
        <v>2</v>
      </c>
      <c r="J412" s="8" t="s">
        <v>144</v>
      </c>
      <c r="K412" s="8" t="s">
        <v>145</v>
      </c>
      <c r="L412" s="8" t="s">
        <v>557</v>
      </c>
      <c r="M412" s="1" t="s">
        <v>205</v>
      </c>
      <c r="N412" s="8" t="s">
        <v>206</v>
      </c>
      <c r="O412" s="6">
        <v>0</v>
      </c>
      <c r="P412" s="6">
        <v>0</v>
      </c>
      <c r="Q412" s="6">
        <v>4</v>
      </c>
      <c r="R412" s="6">
        <v>0</v>
      </c>
      <c r="S412" s="6">
        <v>300</v>
      </c>
    </row>
    <row r="413" spans="1:19" ht="15" hidden="1" x14ac:dyDescent="0.25">
      <c r="A413" s="7" t="s">
        <v>16</v>
      </c>
      <c r="B413" s="7" t="s">
        <v>17</v>
      </c>
      <c r="C413" s="7" t="s">
        <v>18</v>
      </c>
      <c r="D413" s="4">
        <v>9605231000284</v>
      </c>
      <c r="E413" s="8" t="s">
        <v>962</v>
      </c>
      <c r="F413" s="8" t="s">
        <v>87</v>
      </c>
      <c r="G413" s="8" t="s">
        <v>67</v>
      </c>
      <c r="H413" s="8" t="s">
        <v>215</v>
      </c>
      <c r="I413" s="3">
        <v>2</v>
      </c>
      <c r="J413" s="8" t="s">
        <v>175</v>
      </c>
      <c r="K413" s="8" t="s">
        <v>176</v>
      </c>
      <c r="L413" s="8" t="s">
        <v>556</v>
      </c>
      <c r="M413" s="1" t="s">
        <v>205</v>
      </c>
      <c r="N413" s="8" t="s">
        <v>206</v>
      </c>
      <c r="O413" s="6">
        <v>0</v>
      </c>
      <c r="P413" s="6">
        <v>0</v>
      </c>
      <c r="Q413" s="6">
        <v>0</v>
      </c>
      <c r="R413" s="6">
        <v>0</v>
      </c>
      <c r="S413" s="6">
        <v>100</v>
      </c>
    </row>
    <row r="414" spans="1:19" ht="15" hidden="1" x14ac:dyDescent="0.25">
      <c r="A414" s="7" t="s">
        <v>16</v>
      </c>
      <c r="B414" s="7" t="s">
        <v>17</v>
      </c>
      <c r="C414" s="7" t="s">
        <v>18</v>
      </c>
      <c r="D414" s="4">
        <v>9605231000284</v>
      </c>
      <c r="E414" s="8" t="s">
        <v>962</v>
      </c>
      <c r="F414" s="8" t="s">
        <v>87</v>
      </c>
      <c r="G414" s="8" t="s">
        <v>67</v>
      </c>
      <c r="H414" s="8" t="s">
        <v>215</v>
      </c>
      <c r="I414" s="3">
        <v>2</v>
      </c>
      <c r="J414" s="8" t="s">
        <v>144</v>
      </c>
      <c r="K414" s="8" t="s">
        <v>145</v>
      </c>
      <c r="L414" s="8" t="s">
        <v>557</v>
      </c>
      <c r="M414" s="1" t="s">
        <v>205</v>
      </c>
      <c r="N414" s="8" t="s">
        <v>206</v>
      </c>
      <c r="O414" s="6">
        <v>0</v>
      </c>
      <c r="P414" s="6">
        <v>0</v>
      </c>
      <c r="Q414" s="6">
        <v>0</v>
      </c>
      <c r="R414" s="6">
        <v>0</v>
      </c>
      <c r="S414" s="6">
        <v>100</v>
      </c>
    </row>
    <row r="415" spans="1:19" ht="15" hidden="1" x14ac:dyDescent="0.25">
      <c r="A415" s="7" t="s">
        <v>16</v>
      </c>
      <c r="B415" s="7" t="s">
        <v>17</v>
      </c>
      <c r="C415" s="7" t="s">
        <v>18</v>
      </c>
      <c r="D415" s="4">
        <v>1517626000132</v>
      </c>
      <c r="E415" s="8" t="s">
        <v>937</v>
      </c>
      <c r="F415" s="8" t="s">
        <v>938</v>
      </c>
      <c r="G415" s="8" t="s">
        <v>68</v>
      </c>
      <c r="H415" s="8" t="s">
        <v>215</v>
      </c>
      <c r="I415" s="3">
        <v>2</v>
      </c>
      <c r="J415" s="8" t="s">
        <v>175</v>
      </c>
      <c r="K415" s="8" t="s">
        <v>176</v>
      </c>
      <c r="L415" s="8" t="s">
        <v>556</v>
      </c>
      <c r="M415" s="1" t="s">
        <v>205</v>
      </c>
      <c r="N415" s="8" t="s">
        <v>206</v>
      </c>
      <c r="O415" s="6">
        <v>0</v>
      </c>
      <c r="P415" s="6">
        <v>0</v>
      </c>
      <c r="Q415" s="6">
        <v>0</v>
      </c>
      <c r="R415" s="6">
        <v>12</v>
      </c>
      <c r="S415" s="6">
        <v>0</v>
      </c>
    </row>
    <row r="416" spans="1:19" ht="15" hidden="1" x14ac:dyDescent="0.25">
      <c r="A416" s="7" t="s">
        <v>16</v>
      </c>
      <c r="B416" s="7" t="s">
        <v>17</v>
      </c>
      <c r="C416" s="7" t="s">
        <v>18</v>
      </c>
      <c r="D416" s="4">
        <v>1517626000132</v>
      </c>
      <c r="E416" s="8" t="s">
        <v>937</v>
      </c>
      <c r="F416" s="8" t="s">
        <v>938</v>
      </c>
      <c r="G416" s="8" t="s">
        <v>68</v>
      </c>
      <c r="H416" s="8" t="s">
        <v>215</v>
      </c>
      <c r="I416" s="3">
        <v>2</v>
      </c>
      <c r="J416" s="8" t="s">
        <v>157</v>
      </c>
      <c r="K416" s="8" t="s">
        <v>158</v>
      </c>
      <c r="L416" s="8" t="s">
        <v>557</v>
      </c>
      <c r="M416" s="1" t="s">
        <v>205</v>
      </c>
      <c r="N416" s="8" t="s">
        <v>206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</row>
    <row r="417" spans="1:19" ht="15" hidden="1" x14ac:dyDescent="0.25">
      <c r="A417" s="7" t="s">
        <v>16</v>
      </c>
      <c r="B417" s="7" t="s">
        <v>17</v>
      </c>
      <c r="C417" s="7" t="s">
        <v>18</v>
      </c>
      <c r="D417" s="4">
        <v>85377174000392</v>
      </c>
      <c r="E417" s="8" t="s">
        <v>1012</v>
      </c>
      <c r="F417" s="8" t="s">
        <v>938</v>
      </c>
      <c r="G417" s="8" t="s">
        <v>68</v>
      </c>
      <c r="H417" s="8" t="s">
        <v>215</v>
      </c>
      <c r="I417" s="3">
        <v>2</v>
      </c>
      <c r="J417" s="8" t="s">
        <v>175</v>
      </c>
      <c r="K417" s="8" t="s">
        <v>176</v>
      </c>
      <c r="L417" s="8" t="s">
        <v>556</v>
      </c>
      <c r="M417" s="1" t="s">
        <v>205</v>
      </c>
      <c r="N417" s="8" t="s">
        <v>206</v>
      </c>
      <c r="O417" s="6">
        <v>0</v>
      </c>
      <c r="P417" s="6">
        <v>0</v>
      </c>
      <c r="Q417" s="6">
        <v>0</v>
      </c>
      <c r="R417" s="6">
        <v>15</v>
      </c>
      <c r="S417" s="6">
        <v>0</v>
      </c>
    </row>
    <row r="418" spans="1:19" ht="15" hidden="1" x14ac:dyDescent="0.25">
      <c r="A418" s="7" t="s">
        <v>16</v>
      </c>
      <c r="B418" s="7" t="s">
        <v>17</v>
      </c>
      <c r="C418" s="7" t="s">
        <v>18</v>
      </c>
      <c r="D418" s="4">
        <v>85377174000392</v>
      </c>
      <c r="E418" s="8" t="s">
        <v>1012</v>
      </c>
      <c r="F418" s="8" t="s">
        <v>938</v>
      </c>
      <c r="G418" s="8" t="s">
        <v>68</v>
      </c>
      <c r="H418" s="8" t="s">
        <v>215</v>
      </c>
      <c r="I418" s="3">
        <v>2</v>
      </c>
      <c r="J418" s="8" t="s">
        <v>157</v>
      </c>
      <c r="K418" s="8" t="s">
        <v>158</v>
      </c>
      <c r="L418" s="8" t="s">
        <v>557</v>
      </c>
      <c r="M418" s="1" t="s">
        <v>205</v>
      </c>
      <c r="N418" s="8" t="s">
        <v>206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</row>
    <row r="419" spans="1:19" ht="15" hidden="1" x14ac:dyDescent="0.25">
      <c r="A419" s="7" t="s">
        <v>16</v>
      </c>
      <c r="B419" s="7" t="s">
        <v>17</v>
      </c>
      <c r="C419" s="7" t="s">
        <v>18</v>
      </c>
      <c r="D419" s="4">
        <v>60922168005226</v>
      </c>
      <c r="E419" s="8" t="s">
        <v>977</v>
      </c>
      <c r="F419" s="8" t="s">
        <v>93</v>
      </c>
      <c r="G419" s="8" t="s">
        <v>68</v>
      </c>
      <c r="H419" s="8" t="s">
        <v>215</v>
      </c>
      <c r="I419" s="3">
        <v>2</v>
      </c>
      <c r="J419" s="8" t="s">
        <v>175</v>
      </c>
      <c r="K419" s="8" t="s">
        <v>176</v>
      </c>
      <c r="L419" s="8" t="s">
        <v>556</v>
      </c>
      <c r="M419" s="1" t="s">
        <v>205</v>
      </c>
      <c r="N419" s="8" t="s">
        <v>206</v>
      </c>
      <c r="O419" s="6">
        <v>0</v>
      </c>
      <c r="P419" s="6">
        <v>0</v>
      </c>
      <c r="Q419" s="6">
        <v>0</v>
      </c>
      <c r="R419" s="6">
        <v>0</v>
      </c>
      <c r="S419" s="6">
        <v>0</v>
      </c>
    </row>
    <row r="420" spans="1:19" ht="15" hidden="1" x14ac:dyDescent="0.25">
      <c r="A420" s="7" t="s">
        <v>16</v>
      </c>
      <c r="B420" s="7" t="s">
        <v>17</v>
      </c>
      <c r="C420" s="7" t="s">
        <v>18</v>
      </c>
      <c r="D420" s="4">
        <v>60922168005226</v>
      </c>
      <c r="E420" s="8" t="s">
        <v>977</v>
      </c>
      <c r="F420" s="8" t="s">
        <v>93</v>
      </c>
      <c r="G420" s="8" t="s">
        <v>68</v>
      </c>
      <c r="H420" s="8" t="s">
        <v>215</v>
      </c>
      <c r="I420" s="3">
        <v>2</v>
      </c>
      <c r="J420" s="8" t="s">
        <v>157</v>
      </c>
      <c r="K420" s="8" t="s">
        <v>158</v>
      </c>
      <c r="L420" s="8" t="s">
        <v>557</v>
      </c>
      <c r="M420" s="1" t="s">
        <v>205</v>
      </c>
      <c r="N420" s="8" t="s">
        <v>206</v>
      </c>
      <c r="O420" s="6">
        <v>0</v>
      </c>
      <c r="P420" s="6">
        <v>1</v>
      </c>
      <c r="Q420" s="6">
        <v>0</v>
      </c>
      <c r="R420" s="6">
        <v>0</v>
      </c>
      <c r="S420" s="6">
        <v>0</v>
      </c>
    </row>
    <row r="421" spans="1:19" ht="15" hidden="1" x14ac:dyDescent="0.25">
      <c r="A421" s="7" t="s">
        <v>16</v>
      </c>
      <c r="B421" s="7" t="s">
        <v>17</v>
      </c>
      <c r="C421" s="7" t="s">
        <v>18</v>
      </c>
      <c r="D421" s="4">
        <v>82624776000651</v>
      </c>
      <c r="E421" s="8" t="s">
        <v>1007</v>
      </c>
      <c r="F421" s="8" t="s">
        <v>93</v>
      </c>
      <c r="G421" s="8" t="s">
        <v>68</v>
      </c>
      <c r="H421" s="8" t="s">
        <v>215</v>
      </c>
      <c r="I421" s="3">
        <v>2</v>
      </c>
      <c r="J421" s="8" t="s">
        <v>175</v>
      </c>
      <c r="K421" s="8" t="s">
        <v>176</v>
      </c>
      <c r="L421" s="8" t="s">
        <v>556</v>
      </c>
      <c r="M421" s="1" t="s">
        <v>205</v>
      </c>
      <c r="N421" s="8" t="s">
        <v>206</v>
      </c>
      <c r="O421" s="6">
        <v>0</v>
      </c>
      <c r="P421" s="6">
        <v>0</v>
      </c>
      <c r="Q421" s="6">
        <v>0</v>
      </c>
      <c r="R421" s="6">
        <v>0</v>
      </c>
      <c r="S421" s="6">
        <v>450</v>
      </c>
    </row>
    <row r="422" spans="1:19" ht="15" hidden="1" x14ac:dyDescent="0.25">
      <c r="A422" s="7" t="s">
        <v>16</v>
      </c>
      <c r="B422" s="7" t="s">
        <v>17</v>
      </c>
      <c r="C422" s="7" t="s">
        <v>18</v>
      </c>
      <c r="D422" s="4">
        <v>82624776000651</v>
      </c>
      <c r="E422" s="8" t="s">
        <v>1007</v>
      </c>
      <c r="F422" s="8" t="s">
        <v>93</v>
      </c>
      <c r="G422" s="8" t="s">
        <v>68</v>
      </c>
      <c r="H422" s="8" t="s">
        <v>215</v>
      </c>
      <c r="I422" s="3">
        <v>2</v>
      </c>
      <c r="J422" s="8" t="s">
        <v>157</v>
      </c>
      <c r="K422" s="8" t="s">
        <v>158</v>
      </c>
      <c r="L422" s="8" t="s">
        <v>557</v>
      </c>
      <c r="M422" s="1" t="s">
        <v>205</v>
      </c>
      <c r="N422" s="8" t="s">
        <v>206</v>
      </c>
      <c r="O422" s="6">
        <v>0</v>
      </c>
      <c r="P422" s="6">
        <v>0</v>
      </c>
      <c r="Q422" s="6">
        <v>0</v>
      </c>
      <c r="R422" s="6">
        <v>0</v>
      </c>
      <c r="S422" s="6">
        <v>450</v>
      </c>
    </row>
    <row r="423" spans="1:19" ht="15" hidden="1" x14ac:dyDescent="0.25">
      <c r="A423" s="7" t="s">
        <v>16</v>
      </c>
      <c r="B423" s="7" t="s">
        <v>17</v>
      </c>
      <c r="C423" s="7" t="s">
        <v>18</v>
      </c>
      <c r="D423" s="4">
        <v>1554266000300</v>
      </c>
      <c r="E423" s="8" t="s">
        <v>940</v>
      </c>
      <c r="F423" s="8" t="s">
        <v>113</v>
      </c>
      <c r="G423" s="8" t="s">
        <v>68</v>
      </c>
      <c r="H423" s="8" t="s">
        <v>215</v>
      </c>
      <c r="I423" s="3">
        <v>2</v>
      </c>
      <c r="J423" s="8" t="s">
        <v>175</v>
      </c>
      <c r="K423" s="8" t="s">
        <v>176</v>
      </c>
      <c r="L423" s="8" t="s">
        <v>556</v>
      </c>
      <c r="M423" s="1" t="s">
        <v>205</v>
      </c>
      <c r="N423" s="8" t="s">
        <v>206</v>
      </c>
      <c r="O423" s="6">
        <v>0</v>
      </c>
      <c r="P423" s="6">
        <v>0</v>
      </c>
      <c r="Q423" s="6">
        <v>0</v>
      </c>
      <c r="R423" s="6">
        <v>0</v>
      </c>
      <c r="S423" s="6">
        <v>35</v>
      </c>
    </row>
    <row r="424" spans="1:19" ht="15" hidden="1" x14ac:dyDescent="0.25">
      <c r="A424" s="7" t="s">
        <v>16</v>
      </c>
      <c r="B424" s="7" t="s">
        <v>17</v>
      </c>
      <c r="C424" s="7" t="s">
        <v>18</v>
      </c>
      <c r="D424" s="4">
        <v>1554266000300</v>
      </c>
      <c r="E424" s="8" t="s">
        <v>940</v>
      </c>
      <c r="F424" s="8" t="s">
        <v>113</v>
      </c>
      <c r="G424" s="8" t="s">
        <v>68</v>
      </c>
      <c r="H424" s="8" t="s">
        <v>215</v>
      </c>
      <c r="I424" s="3">
        <v>2</v>
      </c>
      <c r="J424" s="8" t="s">
        <v>157</v>
      </c>
      <c r="K424" s="8" t="s">
        <v>158</v>
      </c>
      <c r="L424" s="8" t="s">
        <v>557</v>
      </c>
      <c r="M424" s="1" t="s">
        <v>205</v>
      </c>
      <c r="N424" s="8" t="s">
        <v>206</v>
      </c>
      <c r="O424" s="6">
        <v>0</v>
      </c>
      <c r="P424" s="6">
        <v>0</v>
      </c>
      <c r="Q424" s="6">
        <v>0</v>
      </c>
      <c r="R424" s="6">
        <v>0</v>
      </c>
      <c r="S424" s="6">
        <v>35</v>
      </c>
    </row>
    <row r="425" spans="1:19" ht="15" hidden="1" x14ac:dyDescent="0.25">
      <c r="A425" s="7" t="s">
        <v>16</v>
      </c>
      <c r="B425" s="7" t="s">
        <v>17</v>
      </c>
      <c r="C425" s="7" t="s">
        <v>18</v>
      </c>
      <c r="D425" s="4">
        <v>1125832000105</v>
      </c>
      <c r="E425" s="8" t="s">
        <v>935</v>
      </c>
      <c r="F425" s="8" t="s">
        <v>930</v>
      </c>
      <c r="G425" s="8" t="s">
        <v>68</v>
      </c>
      <c r="H425" s="8" t="s">
        <v>215</v>
      </c>
      <c r="I425" s="3">
        <v>2</v>
      </c>
      <c r="J425" s="8" t="s">
        <v>175</v>
      </c>
      <c r="K425" s="8" t="s">
        <v>176</v>
      </c>
      <c r="L425" s="8" t="s">
        <v>556</v>
      </c>
      <c r="M425" s="1" t="s">
        <v>205</v>
      </c>
      <c r="N425" s="8" t="s">
        <v>206</v>
      </c>
      <c r="O425" s="6">
        <v>0</v>
      </c>
      <c r="P425" s="6">
        <v>0</v>
      </c>
      <c r="Q425" s="6">
        <v>0</v>
      </c>
      <c r="R425" s="6">
        <v>0</v>
      </c>
      <c r="S425" s="6">
        <v>120</v>
      </c>
    </row>
    <row r="426" spans="1:19" ht="15" hidden="1" x14ac:dyDescent="0.25">
      <c r="A426" s="7" t="s">
        <v>16</v>
      </c>
      <c r="B426" s="7" t="s">
        <v>17</v>
      </c>
      <c r="C426" s="7" t="s">
        <v>18</v>
      </c>
      <c r="D426" s="4">
        <v>1125832000105</v>
      </c>
      <c r="E426" s="8" t="s">
        <v>935</v>
      </c>
      <c r="F426" s="8" t="s">
        <v>930</v>
      </c>
      <c r="G426" s="8" t="s">
        <v>68</v>
      </c>
      <c r="H426" s="8" t="s">
        <v>215</v>
      </c>
      <c r="I426" s="3">
        <v>2</v>
      </c>
      <c r="J426" s="8" t="s">
        <v>157</v>
      </c>
      <c r="K426" s="8" t="s">
        <v>158</v>
      </c>
      <c r="L426" s="8" t="s">
        <v>557</v>
      </c>
      <c r="M426" s="1" t="s">
        <v>205</v>
      </c>
      <c r="N426" s="8" t="s">
        <v>206</v>
      </c>
      <c r="O426" s="6">
        <v>0</v>
      </c>
      <c r="P426" s="6">
        <v>0</v>
      </c>
      <c r="Q426" s="6">
        <v>0</v>
      </c>
      <c r="R426" s="6">
        <v>0</v>
      </c>
      <c r="S426" s="6">
        <v>120</v>
      </c>
    </row>
    <row r="427" spans="1:19" ht="15" hidden="1" x14ac:dyDescent="0.25">
      <c r="A427" s="7" t="s">
        <v>16</v>
      </c>
      <c r="B427" s="7" t="s">
        <v>17</v>
      </c>
      <c r="C427" s="7" t="s">
        <v>18</v>
      </c>
      <c r="D427" s="4">
        <v>80673411000187</v>
      </c>
      <c r="E427" s="8" t="s">
        <v>999</v>
      </c>
      <c r="F427" s="8" t="s">
        <v>930</v>
      </c>
      <c r="G427" s="8" t="s">
        <v>68</v>
      </c>
      <c r="H427" s="8" t="s">
        <v>215</v>
      </c>
      <c r="I427" s="3">
        <v>2</v>
      </c>
      <c r="J427" s="8" t="s">
        <v>175</v>
      </c>
      <c r="K427" s="8" t="s">
        <v>176</v>
      </c>
      <c r="L427" s="8" t="s">
        <v>556</v>
      </c>
      <c r="M427" s="1" t="s">
        <v>205</v>
      </c>
      <c r="N427" s="8" t="s">
        <v>206</v>
      </c>
      <c r="O427" s="6">
        <v>74</v>
      </c>
      <c r="P427" s="6">
        <v>0</v>
      </c>
      <c r="Q427" s="6">
        <v>0</v>
      </c>
      <c r="R427" s="6">
        <v>0</v>
      </c>
      <c r="S427" s="6">
        <v>240</v>
      </c>
    </row>
    <row r="428" spans="1:19" ht="15" hidden="1" x14ac:dyDescent="0.25">
      <c r="A428" s="7" t="s">
        <v>16</v>
      </c>
      <c r="B428" s="7" t="s">
        <v>17</v>
      </c>
      <c r="C428" s="7" t="s">
        <v>18</v>
      </c>
      <c r="D428" s="4">
        <v>80673411000187</v>
      </c>
      <c r="E428" s="8" t="s">
        <v>999</v>
      </c>
      <c r="F428" s="8" t="s">
        <v>930</v>
      </c>
      <c r="G428" s="8" t="s">
        <v>68</v>
      </c>
      <c r="H428" s="8" t="s">
        <v>215</v>
      </c>
      <c r="I428" s="3">
        <v>2</v>
      </c>
      <c r="J428" s="8" t="s">
        <v>157</v>
      </c>
      <c r="K428" s="8" t="s">
        <v>158</v>
      </c>
      <c r="L428" s="8" t="s">
        <v>557</v>
      </c>
      <c r="M428" s="1" t="s">
        <v>205</v>
      </c>
      <c r="N428" s="8" t="s">
        <v>206</v>
      </c>
      <c r="O428" s="6">
        <v>0</v>
      </c>
      <c r="P428" s="6">
        <v>0</v>
      </c>
      <c r="Q428" s="6">
        <v>0</v>
      </c>
      <c r="R428" s="6">
        <v>0</v>
      </c>
      <c r="S428" s="6">
        <v>240</v>
      </c>
    </row>
    <row r="429" spans="1:19" ht="15" hidden="1" x14ac:dyDescent="0.25">
      <c r="A429" s="7" t="s">
        <v>16</v>
      </c>
      <c r="B429" s="7" t="s">
        <v>17</v>
      </c>
      <c r="C429" s="7" t="s">
        <v>18</v>
      </c>
      <c r="D429" s="4">
        <v>83899526000425</v>
      </c>
      <c r="E429" s="8" t="s">
        <v>1010</v>
      </c>
      <c r="F429" s="8" t="s">
        <v>930</v>
      </c>
      <c r="G429" s="8" t="s">
        <v>68</v>
      </c>
      <c r="H429" s="8" t="s">
        <v>215</v>
      </c>
      <c r="I429" s="3">
        <v>2</v>
      </c>
      <c r="J429" s="8" t="s">
        <v>175</v>
      </c>
      <c r="K429" s="8" t="s">
        <v>176</v>
      </c>
      <c r="L429" s="8" t="s">
        <v>556</v>
      </c>
      <c r="M429" s="1" t="s">
        <v>205</v>
      </c>
      <c r="N429" s="8" t="s">
        <v>206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</row>
    <row r="430" spans="1:19" ht="15" hidden="1" x14ac:dyDescent="0.25">
      <c r="A430" s="7" t="s">
        <v>16</v>
      </c>
      <c r="B430" s="7" t="s">
        <v>17</v>
      </c>
      <c r="C430" s="7" t="s">
        <v>18</v>
      </c>
      <c r="D430" s="4">
        <v>83899526000425</v>
      </c>
      <c r="E430" s="8" t="s">
        <v>1010</v>
      </c>
      <c r="F430" s="8" t="s">
        <v>930</v>
      </c>
      <c r="G430" s="8" t="s">
        <v>68</v>
      </c>
      <c r="H430" s="8" t="s">
        <v>215</v>
      </c>
      <c r="I430" s="3">
        <v>2</v>
      </c>
      <c r="J430" s="8" t="s">
        <v>157</v>
      </c>
      <c r="K430" s="8" t="s">
        <v>158</v>
      </c>
      <c r="L430" s="8" t="s">
        <v>557</v>
      </c>
      <c r="M430" s="1" t="s">
        <v>205</v>
      </c>
      <c r="N430" s="8" t="s">
        <v>206</v>
      </c>
      <c r="O430" s="6">
        <v>0</v>
      </c>
      <c r="P430" s="6">
        <v>0</v>
      </c>
      <c r="Q430" s="6">
        <v>17</v>
      </c>
      <c r="R430" s="6">
        <v>0</v>
      </c>
      <c r="S430" s="6">
        <v>0</v>
      </c>
    </row>
    <row r="431" spans="1:19" ht="15" hidden="1" x14ac:dyDescent="0.25">
      <c r="A431" s="7" t="s">
        <v>16</v>
      </c>
      <c r="B431" s="7" t="s">
        <v>17</v>
      </c>
      <c r="C431" s="7" t="s">
        <v>18</v>
      </c>
      <c r="D431" s="4">
        <v>83884999000106</v>
      </c>
      <c r="E431" s="8" t="s">
        <v>1009</v>
      </c>
      <c r="F431" s="8" t="s">
        <v>930</v>
      </c>
      <c r="G431" s="8" t="s">
        <v>68</v>
      </c>
      <c r="H431" s="8" t="s">
        <v>215</v>
      </c>
      <c r="I431" s="3">
        <v>2</v>
      </c>
      <c r="J431" s="8" t="s">
        <v>175</v>
      </c>
      <c r="K431" s="8" t="s">
        <v>176</v>
      </c>
      <c r="L431" s="8" t="s">
        <v>556</v>
      </c>
      <c r="M431" s="1" t="s">
        <v>205</v>
      </c>
      <c r="N431" s="8" t="s">
        <v>206</v>
      </c>
      <c r="O431" s="6">
        <v>0</v>
      </c>
      <c r="P431" s="6">
        <v>0</v>
      </c>
      <c r="Q431" s="6">
        <v>0</v>
      </c>
      <c r="R431" s="6">
        <v>0</v>
      </c>
      <c r="S431" s="6">
        <v>300</v>
      </c>
    </row>
    <row r="432" spans="1:19" ht="15" hidden="1" x14ac:dyDescent="0.25">
      <c r="A432" s="7" t="s">
        <v>16</v>
      </c>
      <c r="B432" s="7" t="s">
        <v>17</v>
      </c>
      <c r="C432" s="7" t="s">
        <v>18</v>
      </c>
      <c r="D432" s="4">
        <v>83884999000106</v>
      </c>
      <c r="E432" s="8" t="s">
        <v>1009</v>
      </c>
      <c r="F432" s="8" t="s">
        <v>930</v>
      </c>
      <c r="G432" s="8" t="s">
        <v>68</v>
      </c>
      <c r="H432" s="8" t="s">
        <v>215</v>
      </c>
      <c r="I432" s="3">
        <v>2</v>
      </c>
      <c r="J432" s="8" t="s">
        <v>157</v>
      </c>
      <c r="K432" s="8" t="s">
        <v>158</v>
      </c>
      <c r="L432" s="8" t="s">
        <v>557</v>
      </c>
      <c r="M432" s="1" t="s">
        <v>205</v>
      </c>
      <c r="N432" s="8" t="s">
        <v>206</v>
      </c>
      <c r="O432" s="6">
        <v>0</v>
      </c>
      <c r="P432" s="6">
        <v>0</v>
      </c>
      <c r="Q432" s="6">
        <v>0</v>
      </c>
      <c r="R432" s="6">
        <v>0</v>
      </c>
      <c r="S432" s="6">
        <v>300</v>
      </c>
    </row>
    <row r="433" spans="1:19" ht="15" hidden="1" x14ac:dyDescent="0.25">
      <c r="A433" s="7" t="s">
        <v>16</v>
      </c>
      <c r="B433" s="7" t="s">
        <v>17</v>
      </c>
      <c r="C433" s="7" t="s">
        <v>18</v>
      </c>
      <c r="D433" s="4">
        <v>4670913000176</v>
      </c>
      <c r="E433" s="8" t="s">
        <v>949</v>
      </c>
      <c r="F433" s="8" t="s">
        <v>930</v>
      </c>
      <c r="G433" s="8" t="s">
        <v>68</v>
      </c>
      <c r="H433" s="8" t="s">
        <v>215</v>
      </c>
      <c r="I433" s="3">
        <v>2</v>
      </c>
      <c r="J433" s="8" t="s">
        <v>175</v>
      </c>
      <c r="K433" s="8" t="s">
        <v>176</v>
      </c>
      <c r="L433" s="8" t="s">
        <v>556</v>
      </c>
      <c r="M433" s="1" t="s">
        <v>205</v>
      </c>
      <c r="N433" s="8" t="s">
        <v>206</v>
      </c>
      <c r="O433" s="6">
        <v>0</v>
      </c>
      <c r="P433" s="6">
        <v>0</v>
      </c>
      <c r="Q433" s="6">
        <v>0</v>
      </c>
      <c r="R433" s="6">
        <v>0</v>
      </c>
      <c r="S433" s="6">
        <v>215</v>
      </c>
    </row>
    <row r="434" spans="1:19" ht="15" hidden="1" x14ac:dyDescent="0.25">
      <c r="A434" s="7" t="s">
        <v>16</v>
      </c>
      <c r="B434" s="7" t="s">
        <v>17</v>
      </c>
      <c r="C434" s="7" t="s">
        <v>18</v>
      </c>
      <c r="D434" s="4">
        <v>4670913000176</v>
      </c>
      <c r="E434" s="8" t="s">
        <v>949</v>
      </c>
      <c r="F434" s="8" t="s">
        <v>930</v>
      </c>
      <c r="G434" s="8" t="s">
        <v>68</v>
      </c>
      <c r="H434" s="8" t="s">
        <v>215</v>
      </c>
      <c r="I434" s="3">
        <v>2</v>
      </c>
      <c r="J434" s="8" t="s">
        <v>157</v>
      </c>
      <c r="K434" s="8" t="s">
        <v>158</v>
      </c>
      <c r="L434" s="8" t="s">
        <v>557</v>
      </c>
      <c r="M434" s="1" t="s">
        <v>205</v>
      </c>
      <c r="N434" s="8" t="s">
        <v>206</v>
      </c>
      <c r="O434" s="6">
        <v>0</v>
      </c>
      <c r="P434" s="6">
        <v>0</v>
      </c>
      <c r="Q434" s="6">
        <v>0</v>
      </c>
      <c r="R434" s="6">
        <v>0</v>
      </c>
      <c r="S434" s="6">
        <v>215</v>
      </c>
    </row>
    <row r="435" spans="1:19" ht="15" hidden="1" x14ac:dyDescent="0.25">
      <c r="A435" s="7" t="s">
        <v>16</v>
      </c>
      <c r="B435" s="7" t="s">
        <v>17</v>
      </c>
      <c r="C435" s="7" t="s">
        <v>18</v>
      </c>
      <c r="D435" s="4">
        <v>17034086000176</v>
      </c>
      <c r="E435" s="8" t="s">
        <v>968</v>
      </c>
      <c r="F435" s="8" t="s">
        <v>969</v>
      </c>
      <c r="G435" s="8" t="s">
        <v>68</v>
      </c>
      <c r="H435" s="8" t="s">
        <v>215</v>
      </c>
      <c r="I435" s="3">
        <v>2</v>
      </c>
      <c r="J435" s="8" t="s">
        <v>175</v>
      </c>
      <c r="K435" s="8" t="s">
        <v>176</v>
      </c>
      <c r="L435" s="8" t="s">
        <v>556</v>
      </c>
      <c r="M435" s="1" t="s">
        <v>205</v>
      </c>
      <c r="N435" s="8" t="s">
        <v>206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</row>
    <row r="436" spans="1:19" ht="15" hidden="1" x14ac:dyDescent="0.25">
      <c r="A436" s="7" t="s">
        <v>16</v>
      </c>
      <c r="B436" s="7" t="s">
        <v>17</v>
      </c>
      <c r="C436" s="7" t="s">
        <v>18</v>
      </c>
      <c r="D436" s="4">
        <v>17034086000176</v>
      </c>
      <c r="E436" s="8" t="s">
        <v>968</v>
      </c>
      <c r="F436" s="8" t="s">
        <v>969</v>
      </c>
      <c r="G436" s="8" t="s">
        <v>68</v>
      </c>
      <c r="H436" s="8" t="s">
        <v>215</v>
      </c>
      <c r="I436" s="3">
        <v>2</v>
      </c>
      <c r="J436" s="8" t="s">
        <v>157</v>
      </c>
      <c r="K436" s="8" t="s">
        <v>158</v>
      </c>
      <c r="L436" s="8" t="s">
        <v>557</v>
      </c>
      <c r="M436" s="1" t="s">
        <v>205</v>
      </c>
      <c r="N436" s="8" t="s">
        <v>206</v>
      </c>
      <c r="O436" s="6">
        <v>0</v>
      </c>
      <c r="P436" s="6">
        <v>5</v>
      </c>
      <c r="Q436" s="6">
        <v>0</v>
      </c>
      <c r="R436" s="6">
        <v>0</v>
      </c>
      <c r="S436" s="6">
        <v>0</v>
      </c>
    </row>
    <row r="437" spans="1:19" ht="15" hidden="1" x14ac:dyDescent="0.25">
      <c r="A437" s="7" t="s">
        <v>16</v>
      </c>
      <c r="B437" s="7" t="s">
        <v>17</v>
      </c>
      <c r="C437" s="7" t="s">
        <v>18</v>
      </c>
      <c r="D437" s="4">
        <v>77858611001414</v>
      </c>
      <c r="E437" s="8" t="s">
        <v>991</v>
      </c>
      <c r="F437" s="8" t="s">
        <v>969</v>
      </c>
      <c r="G437" s="8" t="s">
        <v>68</v>
      </c>
      <c r="H437" s="8" t="s">
        <v>215</v>
      </c>
      <c r="I437" s="3">
        <v>2</v>
      </c>
      <c r="J437" s="8" t="s">
        <v>175</v>
      </c>
      <c r="K437" s="8" t="s">
        <v>176</v>
      </c>
      <c r="L437" s="8" t="s">
        <v>556</v>
      </c>
      <c r="M437" s="1" t="s">
        <v>205</v>
      </c>
      <c r="N437" s="8" t="s">
        <v>206</v>
      </c>
      <c r="O437" s="6">
        <v>0</v>
      </c>
      <c r="P437" s="6">
        <v>0</v>
      </c>
      <c r="Q437" s="6">
        <v>0</v>
      </c>
      <c r="R437" s="6">
        <v>0</v>
      </c>
      <c r="S437" s="6">
        <v>200</v>
      </c>
    </row>
    <row r="438" spans="1:19" ht="15" hidden="1" x14ac:dyDescent="0.25">
      <c r="A438" s="7" t="s">
        <v>16</v>
      </c>
      <c r="B438" s="7" t="s">
        <v>17</v>
      </c>
      <c r="C438" s="7" t="s">
        <v>18</v>
      </c>
      <c r="D438" s="4">
        <v>77858611001414</v>
      </c>
      <c r="E438" s="8" t="s">
        <v>991</v>
      </c>
      <c r="F438" s="8" t="s">
        <v>969</v>
      </c>
      <c r="G438" s="8" t="s">
        <v>68</v>
      </c>
      <c r="H438" s="8" t="s">
        <v>215</v>
      </c>
      <c r="I438" s="3">
        <v>2</v>
      </c>
      <c r="J438" s="8" t="s">
        <v>157</v>
      </c>
      <c r="K438" s="8" t="s">
        <v>158</v>
      </c>
      <c r="L438" s="8" t="s">
        <v>557</v>
      </c>
      <c r="M438" s="1" t="s">
        <v>205</v>
      </c>
      <c r="N438" s="8" t="s">
        <v>206</v>
      </c>
      <c r="O438" s="6">
        <v>0</v>
      </c>
      <c r="P438" s="6">
        <v>0</v>
      </c>
      <c r="Q438" s="6">
        <v>0</v>
      </c>
      <c r="R438" s="6">
        <v>0</v>
      </c>
      <c r="S438" s="6">
        <v>200</v>
      </c>
    </row>
    <row r="439" spans="1:19" ht="15" hidden="1" x14ac:dyDescent="0.25">
      <c r="A439" s="7" t="s">
        <v>16</v>
      </c>
      <c r="B439" s="7" t="s">
        <v>17</v>
      </c>
      <c r="C439" s="7" t="s">
        <v>18</v>
      </c>
      <c r="D439" s="4">
        <v>80490618000116</v>
      </c>
      <c r="E439" s="8" t="s">
        <v>997</v>
      </c>
      <c r="F439" s="8" t="s">
        <v>998</v>
      </c>
      <c r="G439" s="8" t="s">
        <v>68</v>
      </c>
      <c r="H439" s="8" t="s">
        <v>215</v>
      </c>
      <c r="I439" s="3">
        <v>2</v>
      </c>
      <c r="J439" s="8" t="s">
        <v>175</v>
      </c>
      <c r="K439" s="8" t="s">
        <v>176</v>
      </c>
      <c r="L439" s="8" t="s">
        <v>556</v>
      </c>
      <c r="M439" s="1" t="s">
        <v>205</v>
      </c>
      <c r="N439" s="8" t="s">
        <v>206</v>
      </c>
      <c r="O439" s="6">
        <v>0</v>
      </c>
      <c r="P439" s="6">
        <v>0</v>
      </c>
      <c r="Q439" s="6">
        <v>0</v>
      </c>
      <c r="R439" s="6">
        <v>0</v>
      </c>
      <c r="S439" s="6">
        <v>80</v>
      </c>
    </row>
    <row r="440" spans="1:19" ht="15" hidden="1" x14ac:dyDescent="0.25">
      <c r="A440" s="7" t="s">
        <v>16</v>
      </c>
      <c r="B440" s="7" t="s">
        <v>17</v>
      </c>
      <c r="C440" s="7" t="s">
        <v>18</v>
      </c>
      <c r="D440" s="4">
        <v>80490618000116</v>
      </c>
      <c r="E440" s="8" t="s">
        <v>997</v>
      </c>
      <c r="F440" s="8" t="s">
        <v>998</v>
      </c>
      <c r="G440" s="8" t="s">
        <v>68</v>
      </c>
      <c r="H440" s="8" t="s">
        <v>215</v>
      </c>
      <c r="I440" s="3">
        <v>2</v>
      </c>
      <c r="J440" s="8" t="s">
        <v>157</v>
      </c>
      <c r="K440" s="8" t="s">
        <v>158</v>
      </c>
      <c r="L440" s="8" t="s">
        <v>557</v>
      </c>
      <c r="M440" s="1" t="s">
        <v>205</v>
      </c>
      <c r="N440" s="8" t="s">
        <v>206</v>
      </c>
      <c r="O440" s="6">
        <v>0</v>
      </c>
      <c r="P440" s="6">
        <v>0</v>
      </c>
      <c r="Q440" s="6">
        <v>0</v>
      </c>
      <c r="R440" s="6">
        <v>0</v>
      </c>
      <c r="S440" s="6">
        <v>80</v>
      </c>
    </row>
    <row r="441" spans="1:19" ht="15" hidden="1" x14ac:dyDescent="0.25">
      <c r="A441" s="7" t="s">
        <v>16</v>
      </c>
      <c r="B441" s="7" t="s">
        <v>17</v>
      </c>
      <c r="C441" s="7" t="s">
        <v>18</v>
      </c>
      <c r="D441" s="4">
        <v>12361267000517</v>
      </c>
      <c r="E441" s="8" t="s">
        <v>849</v>
      </c>
      <c r="F441" s="8" t="s">
        <v>84</v>
      </c>
      <c r="G441" s="8" t="s">
        <v>85</v>
      </c>
      <c r="H441" s="8" t="s">
        <v>215</v>
      </c>
      <c r="I441" s="3">
        <v>2</v>
      </c>
      <c r="J441" s="8" t="s">
        <v>199</v>
      </c>
      <c r="K441" s="8" t="s">
        <v>200</v>
      </c>
      <c r="L441" s="8" t="s">
        <v>556</v>
      </c>
      <c r="M441" s="1" t="s">
        <v>211</v>
      </c>
      <c r="N441" s="8" t="s">
        <v>212</v>
      </c>
      <c r="O441" s="6">
        <v>0</v>
      </c>
      <c r="P441" s="6">
        <v>0</v>
      </c>
      <c r="Q441" s="6">
        <v>0</v>
      </c>
      <c r="R441" s="6">
        <v>0</v>
      </c>
      <c r="S441" s="6">
        <v>20</v>
      </c>
    </row>
    <row r="442" spans="1:19" ht="15" hidden="1" x14ac:dyDescent="0.25">
      <c r="A442" s="7" t="s">
        <v>16</v>
      </c>
      <c r="B442" s="7" t="s">
        <v>17</v>
      </c>
      <c r="C442" s="7" t="s">
        <v>18</v>
      </c>
      <c r="D442" s="4">
        <v>12361267000517</v>
      </c>
      <c r="E442" s="8" t="s">
        <v>849</v>
      </c>
      <c r="F442" s="8" t="s">
        <v>84</v>
      </c>
      <c r="G442" s="8" t="s">
        <v>85</v>
      </c>
      <c r="H442" s="8" t="s">
        <v>215</v>
      </c>
      <c r="I442" s="3">
        <v>2</v>
      </c>
      <c r="J442" s="8" t="s">
        <v>167</v>
      </c>
      <c r="K442" s="8" t="s">
        <v>168</v>
      </c>
      <c r="L442" s="8" t="s">
        <v>557</v>
      </c>
      <c r="M442" s="1" t="s">
        <v>211</v>
      </c>
      <c r="N442" s="8" t="s">
        <v>212</v>
      </c>
      <c r="O442" s="6">
        <v>0</v>
      </c>
      <c r="P442" s="6">
        <v>0</v>
      </c>
      <c r="Q442" s="6">
        <v>0</v>
      </c>
      <c r="R442" s="6">
        <v>0</v>
      </c>
      <c r="S442" s="6">
        <v>20</v>
      </c>
    </row>
    <row r="443" spans="1:19" ht="15" hidden="1" x14ac:dyDescent="0.25">
      <c r="A443" s="7" t="s">
        <v>16</v>
      </c>
      <c r="B443" s="7" t="s">
        <v>17</v>
      </c>
      <c r="C443" s="7" t="s">
        <v>18</v>
      </c>
      <c r="D443" s="4">
        <v>13016332000106</v>
      </c>
      <c r="E443" s="8" t="s">
        <v>868</v>
      </c>
      <c r="F443" s="8" t="s">
        <v>84</v>
      </c>
      <c r="G443" s="8" t="s">
        <v>85</v>
      </c>
      <c r="H443" s="8" t="s">
        <v>215</v>
      </c>
      <c r="I443" s="3">
        <v>2</v>
      </c>
      <c r="J443" s="8" t="s">
        <v>199</v>
      </c>
      <c r="K443" s="8" t="s">
        <v>200</v>
      </c>
      <c r="L443" s="8" t="s">
        <v>556</v>
      </c>
      <c r="M443" s="1" t="s">
        <v>211</v>
      </c>
      <c r="N443" s="8" t="s">
        <v>212</v>
      </c>
      <c r="O443" s="6">
        <v>0</v>
      </c>
      <c r="P443" s="6">
        <v>0</v>
      </c>
      <c r="Q443" s="6">
        <v>0</v>
      </c>
      <c r="R443" s="6">
        <v>0</v>
      </c>
      <c r="S443" s="6">
        <v>15</v>
      </c>
    </row>
    <row r="444" spans="1:19" ht="15" hidden="1" x14ac:dyDescent="0.25">
      <c r="A444" s="7" t="s">
        <v>16</v>
      </c>
      <c r="B444" s="7" t="s">
        <v>17</v>
      </c>
      <c r="C444" s="7" t="s">
        <v>18</v>
      </c>
      <c r="D444" s="4">
        <v>13016332000106</v>
      </c>
      <c r="E444" s="8" t="s">
        <v>868</v>
      </c>
      <c r="F444" s="8" t="s">
        <v>84</v>
      </c>
      <c r="G444" s="8" t="s">
        <v>85</v>
      </c>
      <c r="H444" s="8" t="s">
        <v>215</v>
      </c>
      <c r="I444" s="3">
        <v>2</v>
      </c>
      <c r="J444" s="8" t="s">
        <v>167</v>
      </c>
      <c r="K444" s="8" t="s">
        <v>168</v>
      </c>
      <c r="L444" s="8" t="s">
        <v>557</v>
      </c>
      <c r="M444" s="1" t="s">
        <v>211</v>
      </c>
      <c r="N444" s="8" t="s">
        <v>212</v>
      </c>
      <c r="O444" s="6">
        <v>0</v>
      </c>
      <c r="P444" s="6">
        <v>0</v>
      </c>
      <c r="Q444" s="6">
        <v>3</v>
      </c>
      <c r="R444" s="6">
        <v>0</v>
      </c>
      <c r="S444" s="6">
        <v>15</v>
      </c>
    </row>
    <row r="445" spans="1:19" ht="15" hidden="1" x14ac:dyDescent="0.25">
      <c r="A445" s="7" t="s">
        <v>16</v>
      </c>
      <c r="B445" s="7" t="s">
        <v>17</v>
      </c>
      <c r="C445" s="7" t="s">
        <v>18</v>
      </c>
      <c r="D445" s="4">
        <v>13131370000100</v>
      </c>
      <c r="E445" s="8" t="s">
        <v>870</v>
      </c>
      <c r="F445" s="8" t="s">
        <v>84</v>
      </c>
      <c r="G445" s="8" t="s">
        <v>85</v>
      </c>
      <c r="H445" s="8" t="s">
        <v>215</v>
      </c>
      <c r="I445" s="3">
        <v>2</v>
      </c>
      <c r="J445" s="8" t="s">
        <v>199</v>
      </c>
      <c r="K445" s="8" t="s">
        <v>200</v>
      </c>
      <c r="L445" s="8" t="s">
        <v>556</v>
      </c>
      <c r="M445" s="1" t="s">
        <v>211</v>
      </c>
      <c r="N445" s="8" t="s">
        <v>212</v>
      </c>
      <c r="O445" s="6">
        <v>0</v>
      </c>
      <c r="P445" s="6">
        <v>0</v>
      </c>
      <c r="Q445" s="6">
        <v>0</v>
      </c>
      <c r="R445" s="6">
        <v>60</v>
      </c>
      <c r="S445" s="6">
        <v>550</v>
      </c>
    </row>
    <row r="446" spans="1:19" ht="15" hidden="1" x14ac:dyDescent="0.25">
      <c r="A446" s="7" t="s">
        <v>16</v>
      </c>
      <c r="B446" s="7" t="s">
        <v>17</v>
      </c>
      <c r="C446" s="7" t="s">
        <v>18</v>
      </c>
      <c r="D446" s="4">
        <v>13131370000100</v>
      </c>
      <c r="E446" s="8" t="s">
        <v>870</v>
      </c>
      <c r="F446" s="8" t="s">
        <v>84</v>
      </c>
      <c r="G446" s="8" t="s">
        <v>85</v>
      </c>
      <c r="H446" s="8" t="s">
        <v>215</v>
      </c>
      <c r="I446" s="3">
        <v>2</v>
      </c>
      <c r="J446" s="8" t="s">
        <v>167</v>
      </c>
      <c r="K446" s="8" t="s">
        <v>168</v>
      </c>
      <c r="L446" s="8" t="s">
        <v>557</v>
      </c>
      <c r="M446" s="1" t="s">
        <v>211</v>
      </c>
      <c r="N446" s="8" t="s">
        <v>212</v>
      </c>
      <c r="O446" s="6">
        <v>0</v>
      </c>
      <c r="P446" s="6">
        <v>0</v>
      </c>
      <c r="Q446" s="6">
        <v>0</v>
      </c>
      <c r="R446" s="6">
        <v>0</v>
      </c>
      <c r="S446" s="6">
        <v>550</v>
      </c>
    </row>
    <row r="447" spans="1:19" ht="15" hidden="1" x14ac:dyDescent="0.25">
      <c r="A447" s="7" t="s">
        <v>16</v>
      </c>
      <c r="B447" s="7" t="s">
        <v>17</v>
      </c>
      <c r="C447" s="7" t="s">
        <v>18</v>
      </c>
      <c r="D447" s="4">
        <v>15592785000106</v>
      </c>
      <c r="E447" s="8" t="s">
        <v>897</v>
      </c>
      <c r="F447" s="8" t="s">
        <v>84</v>
      </c>
      <c r="G447" s="8" t="s">
        <v>85</v>
      </c>
      <c r="H447" s="8" t="s">
        <v>215</v>
      </c>
      <c r="I447" s="3">
        <v>2</v>
      </c>
      <c r="J447" s="8" t="s">
        <v>199</v>
      </c>
      <c r="K447" s="8" t="s">
        <v>200</v>
      </c>
      <c r="L447" s="8" t="s">
        <v>556</v>
      </c>
      <c r="M447" s="1" t="s">
        <v>211</v>
      </c>
      <c r="N447" s="8" t="s">
        <v>212</v>
      </c>
      <c r="O447" s="6">
        <v>0</v>
      </c>
      <c r="P447" s="6">
        <v>0</v>
      </c>
      <c r="Q447" s="6">
        <v>0</v>
      </c>
      <c r="R447" s="6">
        <v>0</v>
      </c>
      <c r="S447" s="6">
        <v>100</v>
      </c>
    </row>
    <row r="448" spans="1:19" ht="15" hidden="1" x14ac:dyDescent="0.25">
      <c r="A448" s="7" t="s">
        <v>16</v>
      </c>
      <c r="B448" s="7" t="s">
        <v>17</v>
      </c>
      <c r="C448" s="7" t="s">
        <v>18</v>
      </c>
      <c r="D448" s="4">
        <v>15592785000106</v>
      </c>
      <c r="E448" s="8" t="s">
        <v>897</v>
      </c>
      <c r="F448" s="8" t="s">
        <v>84</v>
      </c>
      <c r="G448" s="8" t="s">
        <v>85</v>
      </c>
      <c r="H448" s="8" t="s">
        <v>215</v>
      </c>
      <c r="I448" s="3">
        <v>2</v>
      </c>
      <c r="J448" s="8" t="s">
        <v>167</v>
      </c>
      <c r="K448" s="8" t="s">
        <v>168</v>
      </c>
      <c r="L448" s="8" t="s">
        <v>557</v>
      </c>
      <c r="M448" s="1" t="s">
        <v>211</v>
      </c>
      <c r="N448" s="8" t="s">
        <v>212</v>
      </c>
      <c r="O448" s="6">
        <v>0</v>
      </c>
      <c r="P448" s="6">
        <v>0</v>
      </c>
      <c r="Q448" s="6">
        <v>0</v>
      </c>
      <c r="R448" s="6">
        <v>0</v>
      </c>
      <c r="S448" s="6">
        <v>100</v>
      </c>
    </row>
    <row r="449" spans="1:19" ht="15" hidden="1" x14ac:dyDescent="0.25">
      <c r="A449" s="7" t="s">
        <v>16</v>
      </c>
      <c r="B449" s="7" t="s">
        <v>17</v>
      </c>
      <c r="C449" s="7" t="s">
        <v>18</v>
      </c>
      <c r="D449" s="4">
        <v>13356779000124</v>
      </c>
      <c r="E449" s="8" t="s">
        <v>874</v>
      </c>
      <c r="F449" s="8" t="s">
        <v>84</v>
      </c>
      <c r="G449" s="8" t="s">
        <v>85</v>
      </c>
      <c r="H449" s="8" t="s">
        <v>215</v>
      </c>
      <c r="I449" s="3">
        <v>2</v>
      </c>
      <c r="J449" s="8" t="s">
        <v>199</v>
      </c>
      <c r="K449" s="8" t="s">
        <v>200</v>
      </c>
      <c r="L449" s="8" t="s">
        <v>556</v>
      </c>
      <c r="M449" s="1" t="s">
        <v>211</v>
      </c>
      <c r="N449" s="8" t="s">
        <v>212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</row>
    <row r="450" spans="1:19" ht="15" hidden="1" x14ac:dyDescent="0.25">
      <c r="A450" s="7" t="s">
        <v>16</v>
      </c>
      <c r="B450" s="7" t="s">
        <v>17</v>
      </c>
      <c r="C450" s="7" t="s">
        <v>18</v>
      </c>
      <c r="D450" s="4">
        <v>13356779000124</v>
      </c>
      <c r="E450" s="8" t="s">
        <v>874</v>
      </c>
      <c r="F450" s="8" t="s">
        <v>84</v>
      </c>
      <c r="G450" s="8" t="s">
        <v>85</v>
      </c>
      <c r="H450" s="8" t="s">
        <v>215</v>
      </c>
      <c r="I450" s="3">
        <v>2</v>
      </c>
      <c r="J450" s="8" t="s">
        <v>167</v>
      </c>
      <c r="K450" s="8" t="s">
        <v>168</v>
      </c>
      <c r="L450" s="8" t="s">
        <v>557</v>
      </c>
      <c r="M450" s="1" t="s">
        <v>211</v>
      </c>
      <c r="N450" s="8" t="s">
        <v>212</v>
      </c>
      <c r="O450" s="6">
        <v>0</v>
      </c>
      <c r="P450" s="6">
        <v>0</v>
      </c>
      <c r="Q450" s="6">
        <v>4</v>
      </c>
      <c r="R450" s="6">
        <v>0</v>
      </c>
      <c r="S450" s="6">
        <v>0</v>
      </c>
    </row>
    <row r="451" spans="1:19" ht="15" hidden="1" x14ac:dyDescent="0.25">
      <c r="A451" s="7" t="s">
        <v>16</v>
      </c>
      <c r="B451" s="7" t="s">
        <v>17</v>
      </c>
      <c r="C451" s="7" t="s">
        <v>18</v>
      </c>
      <c r="D451" s="4">
        <v>25026561000190</v>
      </c>
      <c r="E451" s="8" t="s">
        <v>666</v>
      </c>
      <c r="F451" s="8" t="s">
        <v>34</v>
      </c>
      <c r="G451" s="8" t="s">
        <v>19</v>
      </c>
      <c r="H451" s="8" t="s">
        <v>215</v>
      </c>
      <c r="I451" s="3">
        <v>2</v>
      </c>
      <c r="J451" s="8" t="s">
        <v>151</v>
      </c>
      <c r="K451" s="8" t="s">
        <v>152</v>
      </c>
      <c r="L451" s="8" t="s">
        <v>556</v>
      </c>
      <c r="M451" s="1" t="s">
        <v>207</v>
      </c>
      <c r="N451" s="8" t="s">
        <v>208</v>
      </c>
      <c r="O451" s="6">
        <v>0</v>
      </c>
      <c r="P451" s="6">
        <v>0</v>
      </c>
      <c r="Q451" s="6">
        <v>0</v>
      </c>
      <c r="R451" s="6">
        <v>0</v>
      </c>
      <c r="S451" s="6">
        <v>25</v>
      </c>
    </row>
    <row r="452" spans="1:19" ht="15" hidden="1" x14ac:dyDescent="0.25">
      <c r="A452" s="7" t="s">
        <v>16</v>
      </c>
      <c r="B452" s="7" t="s">
        <v>17</v>
      </c>
      <c r="C452" s="7" t="s">
        <v>18</v>
      </c>
      <c r="D452" s="4">
        <v>25026561000190</v>
      </c>
      <c r="E452" s="8" t="s">
        <v>666</v>
      </c>
      <c r="F452" s="8" t="s">
        <v>34</v>
      </c>
      <c r="G452" s="8" t="s">
        <v>19</v>
      </c>
      <c r="H452" s="8" t="s">
        <v>215</v>
      </c>
      <c r="I452" s="3">
        <v>2</v>
      </c>
      <c r="J452" s="8" t="s">
        <v>149</v>
      </c>
      <c r="K452" s="8" t="s">
        <v>150</v>
      </c>
      <c r="L452" s="8" t="s">
        <v>557</v>
      </c>
      <c r="M452" s="1" t="s">
        <v>207</v>
      </c>
      <c r="N452" s="8" t="s">
        <v>208</v>
      </c>
      <c r="O452" s="6">
        <v>0</v>
      </c>
      <c r="P452" s="6">
        <v>0</v>
      </c>
      <c r="Q452" s="6">
        <v>0</v>
      </c>
      <c r="R452" s="6">
        <v>0</v>
      </c>
      <c r="S452" s="6">
        <v>25</v>
      </c>
    </row>
    <row r="453" spans="1:19" ht="15" hidden="1" x14ac:dyDescent="0.25">
      <c r="A453" s="7" t="s">
        <v>16</v>
      </c>
      <c r="B453" s="7" t="s">
        <v>17</v>
      </c>
      <c r="C453" s="7" t="s">
        <v>18</v>
      </c>
      <c r="D453" s="4">
        <v>54012406000385</v>
      </c>
      <c r="E453" s="8" t="s">
        <v>718</v>
      </c>
      <c r="F453" s="8" t="s">
        <v>45</v>
      </c>
      <c r="G453" s="8" t="s">
        <v>19</v>
      </c>
      <c r="H453" s="8" t="s">
        <v>215</v>
      </c>
      <c r="I453" s="3">
        <v>2</v>
      </c>
      <c r="J453" s="8" t="s">
        <v>151</v>
      </c>
      <c r="K453" s="8" t="s">
        <v>152</v>
      </c>
      <c r="L453" s="8" t="s">
        <v>556</v>
      </c>
      <c r="M453" s="1" t="s">
        <v>207</v>
      </c>
      <c r="N453" s="8" t="s">
        <v>208</v>
      </c>
      <c r="O453" s="6">
        <v>0</v>
      </c>
      <c r="P453" s="6">
        <v>0</v>
      </c>
      <c r="Q453" s="6">
        <v>0</v>
      </c>
      <c r="R453" s="6">
        <v>0</v>
      </c>
      <c r="S453" s="6">
        <v>70</v>
      </c>
    </row>
    <row r="454" spans="1:19" ht="15" hidden="1" x14ac:dyDescent="0.25">
      <c r="A454" s="7" t="s">
        <v>16</v>
      </c>
      <c r="B454" s="7" t="s">
        <v>17</v>
      </c>
      <c r="C454" s="7" t="s">
        <v>18</v>
      </c>
      <c r="D454" s="4">
        <v>54012406000385</v>
      </c>
      <c r="E454" s="8" t="s">
        <v>718</v>
      </c>
      <c r="F454" s="8" t="s">
        <v>45</v>
      </c>
      <c r="G454" s="8" t="s">
        <v>19</v>
      </c>
      <c r="H454" s="8" t="s">
        <v>215</v>
      </c>
      <c r="I454" s="3">
        <v>2</v>
      </c>
      <c r="J454" s="8" t="s">
        <v>149</v>
      </c>
      <c r="K454" s="8" t="s">
        <v>150</v>
      </c>
      <c r="L454" s="8" t="s">
        <v>557</v>
      </c>
      <c r="M454" s="1" t="s">
        <v>207</v>
      </c>
      <c r="N454" s="8" t="s">
        <v>208</v>
      </c>
      <c r="O454" s="6">
        <v>0</v>
      </c>
      <c r="P454" s="6">
        <v>0</v>
      </c>
      <c r="Q454" s="6">
        <v>0</v>
      </c>
      <c r="R454" s="6">
        <v>0</v>
      </c>
      <c r="S454" s="6">
        <v>70</v>
      </c>
    </row>
    <row r="455" spans="1:19" ht="15" hidden="1" x14ac:dyDescent="0.25">
      <c r="A455" s="7" t="s">
        <v>16</v>
      </c>
      <c r="B455" s="7" t="s">
        <v>17</v>
      </c>
      <c r="C455" s="7" t="s">
        <v>18</v>
      </c>
      <c r="D455" s="4">
        <v>4275687000129</v>
      </c>
      <c r="E455" s="8" t="s">
        <v>645</v>
      </c>
      <c r="F455" s="8" t="s">
        <v>31</v>
      </c>
      <c r="G455" s="8" t="s">
        <v>19</v>
      </c>
      <c r="H455" s="8" t="s">
        <v>215</v>
      </c>
      <c r="I455" s="3">
        <v>2</v>
      </c>
      <c r="J455" s="8" t="s">
        <v>151</v>
      </c>
      <c r="K455" s="8" t="s">
        <v>152</v>
      </c>
      <c r="L455" s="8" t="s">
        <v>556</v>
      </c>
      <c r="M455" s="1" t="s">
        <v>207</v>
      </c>
      <c r="N455" s="8" t="s">
        <v>208</v>
      </c>
      <c r="O455" s="6">
        <v>0</v>
      </c>
      <c r="P455" s="6">
        <v>0</v>
      </c>
      <c r="Q455" s="6">
        <v>0</v>
      </c>
      <c r="R455" s="6">
        <v>36</v>
      </c>
      <c r="S455" s="6">
        <v>0</v>
      </c>
    </row>
    <row r="456" spans="1:19" ht="15" hidden="1" x14ac:dyDescent="0.25">
      <c r="A456" s="7" t="s">
        <v>16</v>
      </c>
      <c r="B456" s="7" t="s">
        <v>17</v>
      </c>
      <c r="C456" s="7" t="s">
        <v>18</v>
      </c>
      <c r="D456" s="4">
        <v>4275687000129</v>
      </c>
      <c r="E456" s="8" t="s">
        <v>645</v>
      </c>
      <c r="F456" s="8" t="s">
        <v>31</v>
      </c>
      <c r="G456" s="8" t="s">
        <v>19</v>
      </c>
      <c r="H456" s="8" t="s">
        <v>215</v>
      </c>
      <c r="I456" s="3">
        <v>2</v>
      </c>
      <c r="J456" s="8" t="s">
        <v>149</v>
      </c>
      <c r="K456" s="8" t="s">
        <v>150</v>
      </c>
      <c r="L456" s="8" t="s">
        <v>557</v>
      </c>
      <c r="M456" s="1" t="s">
        <v>207</v>
      </c>
      <c r="N456" s="8" t="s">
        <v>208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</row>
    <row r="457" spans="1:19" ht="15" hidden="1" x14ac:dyDescent="0.25">
      <c r="A457" s="7" t="s">
        <v>16</v>
      </c>
      <c r="B457" s="7" t="s">
        <v>17</v>
      </c>
      <c r="C457" s="7" t="s">
        <v>18</v>
      </c>
      <c r="D457" s="4">
        <v>44456036000311</v>
      </c>
      <c r="E457" s="8" t="s">
        <v>675</v>
      </c>
      <c r="F457" s="8" t="s">
        <v>37</v>
      </c>
      <c r="G457" s="8" t="s">
        <v>19</v>
      </c>
      <c r="H457" s="8" t="s">
        <v>215</v>
      </c>
      <c r="I457" s="3">
        <v>2</v>
      </c>
      <c r="J457" s="8" t="s">
        <v>151</v>
      </c>
      <c r="K457" s="8" t="s">
        <v>152</v>
      </c>
      <c r="L457" s="8" t="s">
        <v>556</v>
      </c>
      <c r="M457" s="1" t="s">
        <v>207</v>
      </c>
      <c r="N457" s="8" t="s">
        <v>208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</row>
    <row r="458" spans="1:19" ht="15" hidden="1" x14ac:dyDescent="0.25">
      <c r="A458" s="7" t="s">
        <v>16</v>
      </c>
      <c r="B458" s="7" t="s">
        <v>17</v>
      </c>
      <c r="C458" s="7" t="s">
        <v>18</v>
      </c>
      <c r="D458" s="4">
        <v>44456036000311</v>
      </c>
      <c r="E458" s="8" t="s">
        <v>675</v>
      </c>
      <c r="F458" s="8" t="s">
        <v>37</v>
      </c>
      <c r="G458" s="8" t="s">
        <v>19</v>
      </c>
      <c r="H458" s="8" t="s">
        <v>215</v>
      </c>
      <c r="I458" s="3">
        <v>2</v>
      </c>
      <c r="J458" s="8" t="s">
        <v>149</v>
      </c>
      <c r="K458" s="8" t="s">
        <v>150</v>
      </c>
      <c r="L458" s="8" t="s">
        <v>557</v>
      </c>
      <c r="M458" s="1" t="s">
        <v>207</v>
      </c>
      <c r="N458" s="8" t="s">
        <v>208</v>
      </c>
      <c r="O458" s="6">
        <v>0</v>
      </c>
      <c r="P458" s="6">
        <v>2</v>
      </c>
      <c r="Q458" s="6">
        <v>8</v>
      </c>
      <c r="R458" s="6">
        <v>0</v>
      </c>
      <c r="S458" s="6">
        <v>0</v>
      </c>
    </row>
    <row r="459" spans="1:19" ht="15" hidden="1" x14ac:dyDescent="0.25">
      <c r="A459" s="7" t="s">
        <v>16</v>
      </c>
      <c r="B459" s="7" t="s">
        <v>17</v>
      </c>
      <c r="C459" s="7" t="s">
        <v>18</v>
      </c>
      <c r="D459" s="4">
        <v>10447300000177</v>
      </c>
      <c r="E459" s="8" t="s">
        <v>658</v>
      </c>
      <c r="F459" s="8" t="s">
        <v>33</v>
      </c>
      <c r="G459" s="8" t="s">
        <v>19</v>
      </c>
      <c r="H459" s="8" t="s">
        <v>215</v>
      </c>
      <c r="I459" s="3">
        <v>2</v>
      </c>
      <c r="J459" s="8" t="s">
        <v>151</v>
      </c>
      <c r="K459" s="8" t="s">
        <v>152</v>
      </c>
      <c r="L459" s="8" t="s">
        <v>556</v>
      </c>
      <c r="M459" s="1" t="s">
        <v>207</v>
      </c>
      <c r="N459" s="8" t="s">
        <v>208</v>
      </c>
      <c r="O459" s="6">
        <v>0</v>
      </c>
      <c r="P459" s="6">
        <v>0</v>
      </c>
      <c r="Q459" s="6">
        <v>0</v>
      </c>
      <c r="R459" s="6">
        <v>4</v>
      </c>
      <c r="S459" s="6">
        <v>0</v>
      </c>
    </row>
    <row r="460" spans="1:19" ht="15" hidden="1" x14ac:dyDescent="0.25">
      <c r="A460" s="7" t="s">
        <v>16</v>
      </c>
      <c r="B460" s="7" t="s">
        <v>17</v>
      </c>
      <c r="C460" s="7" t="s">
        <v>18</v>
      </c>
      <c r="D460" s="4">
        <v>10447300000177</v>
      </c>
      <c r="E460" s="8" t="s">
        <v>658</v>
      </c>
      <c r="F460" s="8" t="s">
        <v>33</v>
      </c>
      <c r="G460" s="8" t="s">
        <v>19</v>
      </c>
      <c r="H460" s="8" t="s">
        <v>215</v>
      </c>
      <c r="I460" s="3">
        <v>2</v>
      </c>
      <c r="J460" s="8" t="s">
        <v>149</v>
      </c>
      <c r="K460" s="8" t="s">
        <v>150</v>
      </c>
      <c r="L460" s="8" t="s">
        <v>557</v>
      </c>
      <c r="M460" s="1" t="s">
        <v>207</v>
      </c>
      <c r="N460" s="8" t="s">
        <v>208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</row>
    <row r="461" spans="1:19" ht="15" hidden="1" x14ac:dyDescent="0.25">
      <c r="A461" s="7" t="s">
        <v>16</v>
      </c>
      <c r="B461" s="7" t="s">
        <v>17</v>
      </c>
      <c r="C461" s="7" t="s">
        <v>18</v>
      </c>
      <c r="D461" s="4">
        <v>46020301000269</v>
      </c>
      <c r="E461" s="8" t="s">
        <v>691</v>
      </c>
      <c r="F461" s="8" t="s">
        <v>33</v>
      </c>
      <c r="G461" s="8" t="s">
        <v>19</v>
      </c>
      <c r="H461" s="8" t="s">
        <v>215</v>
      </c>
      <c r="I461" s="3">
        <v>2</v>
      </c>
      <c r="J461" s="8" t="s">
        <v>151</v>
      </c>
      <c r="K461" s="8" t="s">
        <v>152</v>
      </c>
      <c r="L461" s="8" t="s">
        <v>556</v>
      </c>
      <c r="M461" s="1" t="s">
        <v>207</v>
      </c>
      <c r="N461" s="8" t="s">
        <v>208</v>
      </c>
      <c r="O461" s="6">
        <v>0</v>
      </c>
      <c r="P461" s="6">
        <v>0</v>
      </c>
      <c r="Q461" s="6">
        <v>0</v>
      </c>
      <c r="R461" s="6">
        <v>50</v>
      </c>
      <c r="S461" s="6">
        <v>0</v>
      </c>
    </row>
    <row r="462" spans="1:19" ht="15" hidden="1" x14ac:dyDescent="0.25">
      <c r="A462" s="7" t="s">
        <v>16</v>
      </c>
      <c r="B462" s="7" t="s">
        <v>17</v>
      </c>
      <c r="C462" s="7" t="s">
        <v>18</v>
      </c>
      <c r="D462" s="4">
        <v>46020301000269</v>
      </c>
      <c r="E462" s="8" t="s">
        <v>691</v>
      </c>
      <c r="F462" s="8" t="s">
        <v>33</v>
      </c>
      <c r="G462" s="8" t="s">
        <v>19</v>
      </c>
      <c r="H462" s="8" t="s">
        <v>215</v>
      </c>
      <c r="I462" s="3">
        <v>2</v>
      </c>
      <c r="J462" s="8" t="s">
        <v>149</v>
      </c>
      <c r="K462" s="8" t="s">
        <v>150</v>
      </c>
      <c r="L462" s="8" t="s">
        <v>557</v>
      </c>
      <c r="M462" s="1" t="s">
        <v>207</v>
      </c>
      <c r="N462" s="8" t="s">
        <v>208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</row>
    <row r="463" spans="1:19" ht="15" hidden="1" x14ac:dyDescent="0.25">
      <c r="A463" s="7" t="s">
        <v>16</v>
      </c>
      <c r="B463" s="7" t="s">
        <v>17</v>
      </c>
      <c r="C463" s="7" t="s">
        <v>18</v>
      </c>
      <c r="D463" s="4">
        <v>46009718000140</v>
      </c>
      <c r="E463" s="8" t="s">
        <v>690</v>
      </c>
      <c r="F463" s="8" t="s">
        <v>33</v>
      </c>
      <c r="G463" s="8" t="s">
        <v>19</v>
      </c>
      <c r="H463" s="8" t="s">
        <v>215</v>
      </c>
      <c r="I463" s="3">
        <v>2</v>
      </c>
      <c r="J463" s="8" t="s">
        <v>151</v>
      </c>
      <c r="K463" s="8" t="s">
        <v>152</v>
      </c>
      <c r="L463" s="8" t="s">
        <v>556</v>
      </c>
      <c r="M463" s="1" t="s">
        <v>207</v>
      </c>
      <c r="N463" s="8" t="s">
        <v>208</v>
      </c>
      <c r="O463" s="6">
        <v>0</v>
      </c>
      <c r="P463" s="6">
        <v>0</v>
      </c>
      <c r="Q463" s="6">
        <v>0</v>
      </c>
      <c r="R463" s="6">
        <v>34</v>
      </c>
      <c r="S463" s="6">
        <v>860</v>
      </c>
    </row>
    <row r="464" spans="1:19" ht="15" hidden="1" x14ac:dyDescent="0.25">
      <c r="A464" s="7" t="s">
        <v>16</v>
      </c>
      <c r="B464" s="7" t="s">
        <v>17</v>
      </c>
      <c r="C464" s="7" t="s">
        <v>18</v>
      </c>
      <c r="D464" s="4">
        <v>46009718000140</v>
      </c>
      <c r="E464" s="8" t="s">
        <v>690</v>
      </c>
      <c r="F464" s="8" t="s">
        <v>33</v>
      </c>
      <c r="G464" s="8" t="s">
        <v>19</v>
      </c>
      <c r="H464" s="8" t="s">
        <v>215</v>
      </c>
      <c r="I464" s="3">
        <v>2</v>
      </c>
      <c r="J464" s="8" t="s">
        <v>149</v>
      </c>
      <c r="K464" s="8" t="s">
        <v>150</v>
      </c>
      <c r="L464" s="8" t="s">
        <v>557</v>
      </c>
      <c r="M464" s="1" t="s">
        <v>207</v>
      </c>
      <c r="N464" s="8" t="s">
        <v>208</v>
      </c>
      <c r="O464" s="6">
        <v>0</v>
      </c>
      <c r="P464" s="6">
        <v>0</v>
      </c>
      <c r="Q464" s="6">
        <v>0</v>
      </c>
      <c r="R464" s="6">
        <v>0</v>
      </c>
      <c r="S464" s="6">
        <v>860</v>
      </c>
    </row>
    <row r="465" spans="1:19" ht="15" hidden="1" x14ac:dyDescent="0.25">
      <c r="A465" s="7" t="s">
        <v>16</v>
      </c>
      <c r="B465" s="7" t="s">
        <v>17</v>
      </c>
      <c r="C465" s="7" t="s">
        <v>18</v>
      </c>
      <c r="D465" s="4">
        <v>51877926000109</v>
      </c>
      <c r="E465" s="8" t="s">
        <v>711</v>
      </c>
      <c r="F465" s="8" t="s">
        <v>33</v>
      </c>
      <c r="G465" s="8" t="s">
        <v>19</v>
      </c>
      <c r="H465" s="8" t="s">
        <v>215</v>
      </c>
      <c r="I465" s="3">
        <v>2</v>
      </c>
      <c r="J465" s="8" t="s">
        <v>151</v>
      </c>
      <c r="K465" s="8" t="s">
        <v>152</v>
      </c>
      <c r="L465" s="8" t="s">
        <v>556</v>
      </c>
      <c r="M465" s="1" t="s">
        <v>207</v>
      </c>
      <c r="N465" s="8" t="s">
        <v>208</v>
      </c>
      <c r="O465" s="6">
        <v>0</v>
      </c>
      <c r="P465" s="6">
        <v>0</v>
      </c>
      <c r="Q465" s="6">
        <v>0</v>
      </c>
      <c r="R465" s="6">
        <v>0</v>
      </c>
      <c r="S465" s="6">
        <v>165</v>
      </c>
    </row>
    <row r="466" spans="1:19" ht="15" hidden="1" x14ac:dyDescent="0.25">
      <c r="A466" s="7" t="s">
        <v>16</v>
      </c>
      <c r="B466" s="7" t="s">
        <v>17</v>
      </c>
      <c r="C466" s="7" t="s">
        <v>18</v>
      </c>
      <c r="D466" s="4">
        <v>51877926000109</v>
      </c>
      <c r="E466" s="8" t="s">
        <v>711</v>
      </c>
      <c r="F466" s="8" t="s">
        <v>33</v>
      </c>
      <c r="G466" s="8" t="s">
        <v>19</v>
      </c>
      <c r="H466" s="8" t="s">
        <v>215</v>
      </c>
      <c r="I466" s="3">
        <v>2</v>
      </c>
      <c r="J466" s="8" t="s">
        <v>149</v>
      </c>
      <c r="K466" s="8" t="s">
        <v>150</v>
      </c>
      <c r="L466" s="8" t="s">
        <v>557</v>
      </c>
      <c r="M466" s="1" t="s">
        <v>207</v>
      </c>
      <c r="N466" s="8" t="s">
        <v>208</v>
      </c>
      <c r="O466" s="6">
        <v>0</v>
      </c>
      <c r="P466" s="6">
        <v>0</v>
      </c>
      <c r="Q466" s="6">
        <v>0</v>
      </c>
      <c r="R466" s="6">
        <v>0</v>
      </c>
      <c r="S466" s="6">
        <v>165</v>
      </c>
    </row>
    <row r="467" spans="1:19" ht="15" hidden="1" x14ac:dyDescent="0.25">
      <c r="A467" s="7" t="s">
        <v>16</v>
      </c>
      <c r="B467" s="7" t="s">
        <v>17</v>
      </c>
      <c r="C467" s="7" t="s">
        <v>18</v>
      </c>
      <c r="D467" s="4">
        <v>44649812019238</v>
      </c>
      <c r="E467" s="8" t="s">
        <v>679</v>
      </c>
      <c r="F467" s="8" t="s">
        <v>33</v>
      </c>
      <c r="G467" s="8" t="s">
        <v>19</v>
      </c>
      <c r="H467" s="8" t="s">
        <v>215</v>
      </c>
      <c r="I467" s="3">
        <v>2</v>
      </c>
      <c r="J467" s="8" t="s">
        <v>151</v>
      </c>
      <c r="K467" s="8" t="s">
        <v>152</v>
      </c>
      <c r="L467" s="8" t="s">
        <v>556</v>
      </c>
      <c r="M467" s="1" t="s">
        <v>207</v>
      </c>
      <c r="N467" s="8" t="s">
        <v>208</v>
      </c>
      <c r="O467" s="6">
        <v>0</v>
      </c>
      <c r="P467" s="6">
        <v>0</v>
      </c>
      <c r="Q467" s="6">
        <v>0</v>
      </c>
      <c r="R467" s="6">
        <v>8</v>
      </c>
      <c r="S467" s="6">
        <v>0</v>
      </c>
    </row>
    <row r="468" spans="1:19" ht="15" hidden="1" x14ac:dyDescent="0.25">
      <c r="A468" s="7" t="s">
        <v>16</v>
      </c>
      <c r="B468" s="7" t="s">
        <v>17</v>
      </c>
      <c r="C468" s="7" t="s">
        <v>18</v>
      </c>
      <c r="D468" s="4">
        <v>44649812019238</v>
      </c>
      <c r="E468" s="8" t="s">
        <v>679</v>
      </c>
      <c r="F468" s="8" t="s">
        <v>33</v>
      </c>
      <c r="G468" s="8" t="s">
        <v>19</v>
      </c>
      <c r="H468" s="8" t="s">
        <v>215</v>
      </c>
      <c r="I468" s="3">
        <v>2</v>
      </c>
      <c r="J468" s="8" t="s">
        <v>149</v>
      </c>
      <c r="K468" s="8" t="s">
        <v>150</v>
      </c>
      <c r="L468" s="8" t="s">
        <v>557</v>
      </c>
      <c r="M468" s="1" t="s">
        <v>207</v>
      </c>
      <c r="N468" s="8" t="s">
        <v>208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</row>
    <row r="469" spans="1:19" ht="15" hidden="1" x14ac:dyDescent="0.25">
      <c r="A469" s="7" t="s">
        <v>16</v>
      </c>
      <c r="B469" s="7" t="s">
        <v>17</v>
      </c>
      <c r="C469" s="7" t="s">
        <v>18</v>
      </c>
      <c r="D469" s="4">
        <v>51885242000140</v>
      </c>
      <c r="E469" s="8" t="s">
        <v>712</v>
      </c>
      <c r="F469" s="8" t="s">
        <v>33</v>
      </c>
      <c r="G469" s="8" t="s">
        <v>19</v>
      </c>
      <c r="H469" s="8" t="s">
        <v>215</v>
      </c>
      <c r="I469" s="3">
        <v>2</v>
      </c>
      <c r="J469" s="8" t="s">
        <v>151</v>
      </c>
      <c r="K469" s="8" t="s">
        <v>152</v>
      </c>
      <c r="L469" s="8" t="s">
        <v>556</v>
      </c>
      <c r="M469" s="1" t="s">
        <v>207</v>
      </c>
      <c r="N469" s="8" t="s">
        <v>208</v>
      </c>
      <c r="O469" s="6">
        <v>0</v>
      </c>
      <c r="P469" s="6">
        <v>0</v>
      </c>
      <c r="Q469" s="6">
        <v>0</v>
      </c>
      <c r="R469" s="6">
        <v>240</v>
      </c>
      <c r="S469" s="6">
        <v>0</v>
      </c>
    </row>
    <row r="470" spans="1:19" ht="15" hidden="1" x14ac:dyDescent="0.25">
      <c r="A470" s="7" t="s">
        <v>16</v>
      </c>
      <c r="B470" s="7" t="s">
        <v>17</v>
      </c>
      <c r="C470" s="7" t="s">
        <v>18</v>
      </c>
      <c r="D470" s="4">
        <v>51885242000140</v>
      </c>
      <c r="E470" s="8" t="s">
        <v>712</v>
      </c>
      <c r="F470" s="8" t="s">
        <v>33</v>
      </c>
      <c r="G470" s="8" t="s">
        <v>19</v>
      </c>
      <c r="H470" s="8" t="s">
        <v>215</v>
      </c>
      <c r="I470" s="3">
        <v>2</v>
      </c>
      <c r="J470" s="8" t="s">
        <v>149</v>
      </c>
      <c r="K470" s="8" t="s">
        <v>150</v>
      </c>
      <c r="L470" s="8" t="s">
        <v>557</v>
      </c>
      <c r="M470" s="1" t="s">
        <v>207</v>
      </c>
      <c r="N470" s="8" t="s">
        <v>208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</row>
    <row r="471" spans="1:19" ht="15" hidden="1" x14ac:dyDescent="0.25">
      <c r="A471" s="7" t="s">
        <v>16</v>
      </c>
      <c r="B471" s="7" t="s">
        <v>17</v>
      </c>
      <c r="C471" s="7" t="s">
        <v>18</v>
      </c>
      <c r="D471" s="4">
        <v>29435005008456</v>
      </c>
      <c r="E471" s="8" t="s">
        <v>672</v>
      </c>
      <c r="F471" s="8" t="s">
        <v>33</v>
      </c>
      <c r="G471" s="8" t="s">
        <v>19</v>
      </c>
      <c r="H471" s="8" t="s">
        <v>215</v>
      </c>
      <c r="I471" s="3">
        <v>2</v>
      </c>
      <c r="J471" s="8" t="s">
        <v>151</v>
      </c>
      <c r="K471" s="8" t="s">
        <v>152</v>
      </c>
      <c r="L471" s="8" t="s">
        <v>556</v>
      </c>
      <c r="M471" s="1" t="s">
        <v>207</v>
      </c>
      <c r="N471" s="8" t="s">
        <v>208</v>
      </c>
      <c r="O471" s="6">
        <v>0</v>
      </c>
      <c r="P471" s="6">
        <v>0</v>
      </c>
      <c r="Q471" s="6">
        <v>0</v>
      </c>
      <c r="R471" s="6">
        <v>0</v>
      </c>
      <c r="S471" s="6">
        <v>125</v>
      </c>
    </row>
    <row r="472" spans="1:19" ht="15" hidden="1" x14ac:dyDescent="0.25">
      <c r="A472" s="7" t="s">
        <v>16</v>
      </c>
      <c r="B472" s="7" t="s">
        <v>17</v>
      </c>
      <c r="C472" s="7" t="s">
        <v>18</v>
      </c>
      <c r="D472" s="4">
        <v>29435005008456</v>
      </c>
      <c r="E472" s="8" t="s">
        <v>672</v>
      </c>
      <c r="F472" s="8" t="s">
        <v>33</v>
      </c>
      <c r="G472" s="8" t="s">
        <v>19</v>
      </c>
      <c r="H472" s="8" t="s">
        <v>215</v>
      </c>
      <c r="I472" s="3">
        <v>2</v>
      </c>
      <c r="J472" s="8" t="s">
        <v>149</v>
      </c>
      <c r="K472" s="8" t="s">
        <v>150</v>
      </c>
      <c r="L472" s="8" t="s">
        <v>557</v>
      </c>
      <c r="M472" s="1" t="s">
        <v>207</v>
      </c>
      <c r="N472" s="8" t="s">
        <v>208</v>
      </c>
      <c r="O472" s="6">
        <v>0</v>
      </c>
      <c r="P472" s="6">
        <v>0</v>
      </c>
      <c r="Q472" s="6">
        <v>0</v>
      </c>
      <c r="R472" s="6">
        <v>0</v>
      </c>
      <c r="S472" s="6">
        <v>125</v>
      </c>
    </row>
    <row r="473" spans="1:19" ht="15" hidden="1" x14ac:dyDescent="0.25">
      <c r="A473" s="7" t="s">
        <v>16</v>
      </c>
      <c r="B473" s="7" t="s">
        <v>17</v>
      </c>
      <c r="C473" s="7" t="s">
        <v>18</v>
      </c>
      <c r="D473" s="4">
        <v>46124624000111</v>
      </c>
      <c r="E473" s="8" t="s">
        <v>693</v>
      </c>
      <c r="F473" s="8" t="s">
        <v>33</v>
      </c>
      <c r="G473" s="8" t="s">
        <v>19</v>
      </c>
      <c r="H473" s="8" t="s">
        <v>215</v>
      </c>
      <c r="I473" s="3">
        <v>2</v>
      </c>
      <c r="J473" s="8" t="s">
        <v>151</v>
      </c>
      <c r="K473" s="8" t="s">
        <v>152</v>
      </c>
      <c r="L473" s="8" t="s">
        <v>556</v>
      </c>
      <c r="M473" s="1" t="s">
        <v>207</v>
      </c>
      <c r="N473" s="8" t="s">
        <v>208</v>
      </c>
      <c r="O473" s="6">
        <v>0</v>
      </c>
      <c r="P473" s="6">
        <v>0</v>
      </c>
      <c r="Q473" s="6">
        <v>0</v>
      </c>
      <c r="R473" s="6">
        <v>208</v>
      </c>
      <c r="S473" s="6">
        <v>545</v>
      </c>
    </row>
    <row r="474" spans="1:19" ht="15" hidden="1" x14ac:dyDescent="0.25">
      <c r="A474" s="7" t="s">
        <v>16</v>
      </c>
      <c r="B474" s="7" t="s">
        <v>17</v>
      </c>
      <c r="C474" s="7" t="s">
        <v>18</v>
      </c>
      <c r="D474" s="4">
        <v>46124624000111</v>
      </c>
      <c r="E474" s="8" t="s">
        <v>693</v>
      </c>
      <c r="F474" s="8" t="s">
        <v>33</v>
      </c>
      <c r="G474" s="8" t="s">
        <v>19</v>
      </c>
      <c r="H474" s="8" t="s">
        <v>215</v>
      </c>
      <c r="I474" s="3">
        <v>2</v>
      </c>
      <c r="J474" s="8" t="s">
        <v>149</v>
      </c>
      <c r="K474" s="8" t="s">
        <v>150</v>
      </c>
      <c r="L474" s="8" t="s">
        <v>557</v>
      </c>
      <c r="M474" s="1" t="s">
        <v>207</v>
      </c>
      <c r="N474" s="8" t="s">
        <v>208</v>
      </c>
      <c r="O474" s="6">
        <v>0</v>
      </c>
      <c r="P474" s="6">
        <v>0</v>
      </c>
      <c r="Q474" s="6">
        <v>0</v>
      </c>
      <c r="R474" s="6">
        <v>0</v>
      </c>
      <c r="S474" s="6">
        <v>545</v>
      </c>
    </row>
    <row r="475" spans="1:19" ht="15" hidden="1" x14ac:dyDescent="0.25">
      <c r="A475" s="7" t="s">
        <v>16</v>
      </c>
      <c r="B475" s="7" t="s">
        <v>17</v>
      </c>
      <c r="C475" s="7" t="s">
        <v>18</v>
      </c>
      <c r="D475" s="4">
        <v>47074851000819</v>
      </c>
      <c r="E475" s="8" t="s">
        <v>702</v>
      </c>
      <c r="F475" s="8" t="s">
        <v>41</v>
      </c>
      <c r="G475" s="8" t="s">
        <v>19</v>
      </c>
      <c r="H475" s="8" t="s">
        <v>215</v>
      </c>
      <c r="I475" s="3">
        <v>2</v>
      </c>
      <c r="J475" s="8" t="s">
        <v>151</v>
      </c>
      <c r="K475" s="8" t="s">
        <v>152</v>
      </c>
      <c r="L475" s="8" t="s">
        <v>556</v>
      </c>
      <c r="M475" s="1" t="s">
        <v>207</v>
      </c>
      <c r="N475" s="8" t="s">
        <v>208</v>
      </c>
      <c r="O475" s="6">
        <v>0</v>
      </c>
      <c r="P475" s="6">
        <v>0</v>
      </c>
      <c r="Q475" s="6">
        <v>0</v>
      </c>
      <c r="R475" s="6">
        <v>12</v>
      </c>
      <c r="S475" s="6">
        <v>40</v>
      </c>
    </row>
    <row r="476" spans="1:19" ht="15" hidden="1" x14ac:dyDescent="0.25">
      <c r="A476" s="7" t="s">
        <v>16</v>
      </c>
      <c r="B476" s="7" t="s">
        <v>17</v>
      </c>
      <c r="C476" s="7" t="s">
        <v>18</v>
      </c>
      <c r="D476" s="4">
        <v>47074851000819</v>
      </c>
      <c r="E476" s="8" t="s">
        <v>702</v>
      </c>
      <c r="F476" s="8" t="s">
        <v>41</v>
      </c>
      <c r="G476" s="8" t="s">
        <v>19</v>
      </c>
      <c r="H476" s="8" t="s">
        <v>215</v>
      </c>
      <c r="I476" s="3">
        <v>2</v>
      </c>
      <c r="J476" s="8" t="s">
        <v>149</v>
      </c>
      <c r="K476" s="8" t="s">
        <v>150</v>
      </c>
      <c r="L476" s="8" t="s">
        <v>557</v>
      </c>
      <c r="M476" s="1" t="s">
        <v>207</v>
      </c>
      <c r="N476" s="8" t="s">
        <v>208</v>
      </c>
      <c r="O476" s="6">
        <v>0</v>
      </c>
      <c r="P476" s="6">
        <v>0</v>
      </c>
      <c r="Q476" s="6">
        <v>0</v>
      </c>
      <c r="R476" s="6">
        <v>0</v>
      </c>
      <c r="S476" s="6">
        <v>40</v>
      </c>
    </row>
    <row r="477" spans="1:19" ht="15" hidden="1" x14ac:dyDescent="0.25">
      <c r="A477" s="7" t="s">
        <v>16</v>
      </c>
      <c r="B477" s="7" t="s">
        <v>17</v>
      </c>
      <c r="C477" s="7" t="s">
        <v>18</v>
      </c>
      <c r="D477" s="4">
        <v>45118429001279</v>
      </c>
      <c r="E477" s="8" t="s">
        <v>683</v>
      </c>
      <c r="F477" s="8" t="s">
        <v>41</v>
      </c>
      <c r="G477" s="8" t="s">
        <v>19</v>
      </c>
      <c r="H477" s="8" t="s">
        <v>215</v>
      </c>
      <c r="I477" s="3">
        <v>2</v>
      </c>
      <c r="J477" s="8" t="s">
        <v>151</v>
      </c>
      <c r="K477" s="8" t="s">
        <v>152</v>
      </c>
      <c r="L477" s="8" t="s">
        <v>556</v>
      </c>
      <c r="M477" s="1" t="s">
        <v>207</v>
      </c>
      <c r="N477" s="8" t="s">
        <v>208</v>
      </c>
      <c r="O477" s="6">
        <v>0</v>
      </c>
      <c r="P477" s="6">
        <v>0</v>
      </c>
      <c r="Q477" s="6">
        <v>0</v>
      </c>
      <c r="R477" s="6">
        <v>12</v>
      </c>
      <c r="S477" s="6">
        <v>100</v>
      </c>
    </row>
    <row r="478" spans="1:19" ht="15" hidden="1" x14ac:dyDescent="0.25">
      <c r="A478" s="7" t="s">
        <v>16</v>
      </c>
      <c r="B478" s="7" t="s">
        <v>17</v>
      </c>
      <c r="C478" s="7" t="s">
        <v>18</v>
      </c>
      <c r="D478" s="4">
        <v>45118429001279</v>
      </c>
      <c r="E478" s="8" t="s">
        <v>683</v>
      </c>
      <c r="F478" s="8" t="s">
        <v>41</v>
      </c>
      <c r="G478" s="8" t="s">
        <v>19</v>
      </c>
      <c r="H478" s="8" t="s">
        <v>215</v>
      </c>
      <c r="I478" s="3">
        <v>2</v>
      </c>
      <c r="J478" s="8" t="s">
        <v>149</v>
      </c>
      <c r="K478" s="8" t="s">
        <v>150</v>
      </c>
      <c r="L478" s="8" t="s">
        <v>557</v>
      </c>
      <c r="M478" s="1" t="s">
        <v>207</v>
      </c>
      <c r="N478" s="8" t="s">
        <v>208</v>
      </c>
      <c r="O478" s="6">
        <v>0</v>
      </c>
      <c r="P478" s="6">
        <v>0</v>
      </c>
      <c r="Q478" s="6">
        <v>0</v>
      </c>
      <c r="R478" s="6">
        <v>0</v>
      </c>
      <c r="S478" s="6">
        <v>100</v>
      </c>
    </row>
    <row r="479" spans="1:19" ht="15" hidden="1" x14ac:dyDescent="0.25">
      <c r="A479" s="7" t="s">
        <v>16</v>
      </c>
      <c r="B479" s="7" t="s">
        <v>17</v>
      </c>
      <c r="C479" s="7" t="s">
        <v>18</v>
      </c>
      <c r="D479" s="4">
        <v>50486026000160</v>
      </c>
      <c r="E479" s="8" t="s">
        <v>706</v>
      </c>
      <c r="F479" s="8" t="s">
        <v>44</v>
      </c>
      <c r="G479" s="8" t="s">
        <v>19</v>
      </c>
      <c r="H479" s="8" t="s">
        <v>215</v>
      </c>
      <c r="I479" s="3">
        <v>2</v>
      </c>
      <c r="J479" s="8" t="s">
        <v>151</v>
      </c>
      <c r="K479" s="8" t="s">
        <v>152</v>
      </c>
      <c r="L479" s="8" t="s">
        <v>556</v>
      </c>
      <c r="M479" s="1" t="s">
        <v>207</v>
      </c>
      <c r="N479" s="8" t="s">
        <v>208</v>
      </c>
      <c r="O479" s="6">
        <v>0</v>
      </c>
      <c r="P479" s="6">
        <v>0</v>
      </c>
      <c r="Q479" s="6">
        <v>0</v>
      </c>
      <c r="R479" s="6">
        <v>0</v>
      </c>
      <c r="S479" s="6">
        <v>100</v>
      </c>
    </row>
    <row r="480" spans="1:19" ht="15" hidden="1" x14ac:dyDescent="0.25">
      <c r="A480" s="7" t="s">
        <v>16</v>
      </c>
      <c r="B480" s="7" t="s">
        <v>17</v>
      </c>
      <c r="C480" s="7" t="s">
        <v>18</v>
      </c>
      <c r="D480" s="4">
        <v>50486026000160</v>
      </c>
      <c r="E480" s="8" t="s">
        <v>706</v>
      </c>
      <c r="F480" s="8" t="s">
        <v>44</v>
      </c>
      <c r="G480" s="8" t="s">
        <v>19</v>
      </c>
      <c r="H480" s="8" t="s">
        <v>215</v>
      </c>
      <c r="I480" s="3">
        <v>2</v>
      </c>
      <c r="J480" s="8" t="s">
        <v>149</v>
      </c>
      <c r="K480" s="8" t="s">
        <v>150</v>
      </c>
      <c r="L480" s="8" t="s">
        <v>557</v>
      </c>
      <c r="M480" s="1" t="s">
        <v>207</v>
      </c>
      <c r="N480" s="8" t="s">
        <v>208</v>
      </c>
      <c r="O480" s="6">
        <v>0</v>
      </c>
      <c r="P480" s="6">
        <v>0</v>
      </c>
      <c r="Q480" s="6">
        <v>0</v>
      </c>
      <c r="R480" s="6">
        <v>0</v>
      </c>
      <c r="S480" s="6">
        <v>100</v>
      </c>
    </row>
    <row r="481" spans="1:19" ht="15" hidden="1" x14ac:dyDescent="0.25">
      <c r="A481" s="7" t="s">
        <v>16</v>
      </c>
      <c r="B481" s="7" t="s">
        <v>17</v>
      </c>
      <c r="C481" s="7" t="s">
        <v>18</v>
      </c>
      <c r="D481" s="4">
        <v>48468284000171</v>
      </c>
      <c r="E481" s="8" t="s">
        <v>705</v>
      </c>
      <c r="F481" s="8" t="s">
        <v>43</v>
      </c>
      <c r="G481" s="8" t="s">
        <v>19</v>
      </c>
      <c r="H481" s="8" t="s">
        <v>215</v>
      </c>
      <c r="I481" s="3">
        <v>2</v>
      </c>
      <c r="J481" s="8" t="s">
        <v>151</v>
      </c>
      <c r="K481" s="8" t="s">
        <v>152</v>
      </c>
      <c r="L481" s="8" t="s">
        <v>556</v>
      </c>
      <c r="M481" s="1" t="s">
        <v>207</v>
      </c>
      <c r="N481" s="8" t="s">
        <v>208</v>
      </c>
      <c r="O481" s="6">
        <v>0</v>
      </c>
      <c r="P481" s="6">
        <v>0</v>
      </c>
      <c r="Q481" s="6">
        <v>0</v>
      </c>
      <c r="R481" s="6">
        <v>0</v>
      </c>
      <c r="S481" s="6">
        <v>100</v>
      </c>
    </row>
    <row r="482" spans="1:19" ht="15" hidden="1" x14ac:dyDescent="0.25">
      <c r="A482" s="7" t="s">
        <v>16</v>
      </c>
      <c r="B482" s="7" t="s">
        <v>17</v>
      </c>
      <c r="C482" s="7" t="s">
        <v>18</v>
      </c>
      <c r="D482" s="4">
        <v>48468284000171</v>
      </c>
      <c r="E482" s="8" t="s">
        <v>705</v>
      </c>
      <c r="F482" s="8" t="s">
        <v>43</v>
      </c>
      <c r="G482" s="8" t="s">
        <v>19</v>
      </c>
      <c r="H482" s="8" t="s">
        <v>215</v>
      </c>
      <c r="I482" s="3">
        <v>2</v>
      </c>
      <c r="J482" s="8" t="s">
        <v>149</v>
      </c>
      <c r="K482" s="8" t="s">
        <v>150</v>
      </c>
      <c r="L482" s="8" t="s">
        <v>557</v>
      </c>
      <c r="M482" s="1" t="s">
        <v>207</v>
      </c>
      <c r="N482" s="8" t="s">
        <v>208</v>
      </c>
      <c r="O482" s="6">
        <v>0</v>
      </c>
      <c r="P482" s="6">
        <v>0</v>
      </c>
      <c r="Q482" s="6">
        <v>0</v>
      </c>
      <c r="R482" s="6">
        <v>0</v>
      </c>
      <c r="S482" s="6">
        <v>100</v>
      </c>
    </row>
    <row r="483" spans="1:19" ht="15" hidden="1" x14ac:dyDescent="0.25">
      <c r="A483" s="7" t="s">
        <v>16</v>
      </c>
      <c r="B483" s="7" t="s">
        <v>17</v>
      </c>
      <c r="C483" s="7" t="s">
        <v>18</v>
      </c>
      <c r="D483" s="4">
        <v>29435005008294</v>
      </c>
      <c r="E483" s="8" t="s">
        <v>671</v>
      </c>
      <c r="F483" s="8" t="s">
        <v>36</v>
      </c>
      <c r="G483" s="8" t="s">
        <v>19</v>
      </c>
      <c r="H483" s="8" t="s">
        <v>215</v>
      </c>
      <c r="I483" s="3">
        <v>2</v>
      </c>
      <c r="J483" s="8" t="s">
        <v>1355</v>
      </c>
      <c r="K483" s="8" t="s">
        <v>1356</v>
      </c>
      <c r="L483" s="8" t="s">
        <v>556</v>
      </c>
      <c r="M483" s="1" t="s">
        <v>207</v>
      </c>
      <c r="N483" s="8" t="s">
        <v>208</v>
      </c>
      <c r="O483" s="6">
        <v>0</v>
      </c>
      <c r="P483" s="6">
        <v>0</v>
      </c>
      <c r="Q483" s="6">
        <v>0</v>
      </c>
      <c r="R483" s="6">
        <v>0</v>
      </c>
      <c r="S483" s="6">
        <v>245</v>
      </c>
    </row>
    <row r="484" spans="1:19" ht="15" hidden="1" x14ac:dyDescent="0.25">
      <c r="A484" s="7" t="s">
        <v>16</v>
      </c>
      <c r="B484" s="7" t="s">
        <v>17</v>
      </c>
      <c r="C484" s="7" t="s">
        <v>18</v>
      </c>
      <c r="D484" s="4">
        <v>29435005008294</v>
      </c>
      <c r="E484" s="8" t="s">
        <v>671</v>
      </c>
      <c r="F484" s="8" t="s">
        <v>36</v>
      </c>
      <c r="G484" s="8" t="s">
        <v>19</v>
      </c>
      <c r="H484" s="8" t="s">
        <v>215</v>
      </c>
      <c r="I484" s="3">
        <v>2</v>
      </c>
      <c r="J484" s="8" t="s">
        <v>147</v>
      </c>
      <c r="K484" s="8" t="s">
        <v>148</v>
      </c>
      <c r="L484" s="8" t="s">
        <v>557</v>
      </c>
      <c r="M484" s="1" t="s">
        <v>207</v>
      </c>
      <c r="N484" s="8" t="s">
        <v>208</v>
      </c>
      <c r="O484" s="6">
        <v>0</v>
      </c>
      <c r="P484" s="6">
        <v>0</v>
      </c>
      <c r="Q484" s="6">
        <v>0</v>
      </c>
      <c r="R484" s="6">
        <v>0</v>
      </c>
      <c r="S484" s="6">
        <v>245</v>
      </c>
    </row>
    <row r="485" spans="1:19" ht="15" hidden="1" x14ac:dyDescent="0.25">
      <c r="A485" s="7" t="s">
        <v>16</v>
      </c>
      <c r="B485" s="7" t="s">
        <v>17</v>
      </c>
      <c r="C485" s="7" t="s">
        <v>18</v>
      </c>
      <c r="D485" s="4">
        <v>6209132000104</v>
      </c>
      <c r="E485" s="8" t="s">
        <v>653</v>
      </c>
      <c r="F485" s="8" t="s">
        <v>654</v>
      </c>
      <c r="G485" s="8" t="s">
        <v>19</v>
      </c>
      <c r="H485" s="8" t="s">
        <v>215</v>
      </c>
      <c r="I485" s="3">
        <v>2</v>
      </c>
      <c r="J485" s="8" t="s">
        <v>151</v>
      </c>
      <c r="K485" s="8" t="s">
        <v>152</v>
      </c>
      <c r="L485" s="8" t="s">
        <v>556</v>
      </c>
      <c r="M485" s="1" t="s">
        <v>207</v>
      </c>
      <c r="N485" s="8" t="s">
        <v>208</v>
      </c>
      <c r="O485" s="6">
        <v>0</v>
      </c>
      <c r="P485" s="6">
        <v>0</v>
      </c>
      <c r="Q485" s="6">
        <v>0</v>
      </c>
      <c r="R485" s="6">
        <v>0</v>
      </c>
      <c r="S485" s="6">
        <v>75</v>
      </c>
    </row>
    <row r="486" spans="1:19" ht="15" hidden="1" x14ac:dyDescent="0.25">
      <c r="A486" s="7" t="s">
        <v>16</v>
      </c>
      <c r="B486" s="7" t="s">
        <v>17</v>
      </c>
      <c r="C486" s="7" t="s">
        <v>18</v>
      </c>
      <c r="D486" s="4">
        <v>6209132000104</v>
      </c>
      <c r="E486" s="8" t="s">
        <v>653</v>
      </c>
      <c r="F486" s="8" t="s">
        <v>654</v>
      </c>
      <c r="G486" s="8" t="s">
        <v>19</v>
      </c>
      <c r="H486" s="8" t="s">
        <v>215</v>
      </c>
      <c r="I486" s="3">
        <v>2</v>
      </c>
      <c r="J486" s="8" t="s">
        <v>149</v>
      </c>
      <c r="K486" s="8" t="s">
        <v>150</v>
      </c>
      <c r="L486" s="8" t="s">
        <v>557</v>
      </c>
      <c r="M486" s="1" t="s">
        <v>207</v>
      </c>
      <c r="N486" s="8" t="s">
        <v>208</v>
      </c>
      <c r="O486" s="6">
        <v>0</v>
      </c>
      <c r="P486" s="6">
        <v>0</v>
      </c>
      <c r="Q486" s="6">
        <v>0</v>
      </c>
      <c r="R486" s="6">
        <v>0</v>
      </c>
      <c r="S486" s="6">
        <v>75</v>
      </c>
    </row>
    <row r="487" spans="1:19" ht="15" hidden="1" x14ac:dyDescent="0.25">
      <c r="A487" s="7" t="s">
        <v>16</v>
      </c>
      <c r="B487" s="7" t="s">
        <v>17</v>
      </c>
      <c r="C487" s="7" t="s">
        <v>18</v>
      </c>
      <c r="D487" s="4">
        <v>45780103000150</v>
      </c>
      <c r="E487" s="8" t="s">
        <v>689</v>
      </c>
      <c r="F487" s="8" t="s">
        <v>678</v>
      </c>
      <c r="G487" s="8" t="s">
        <v>19</v>
      </c>
      <c r="H487" s="8" t="s">
        <v>215</v>
      </c>
      <c r="I487" s="3">
        <v>2</v>
      </c>
      <c r="J487" s="8" t="s">
        <v>151</v>
      </c>
      <c r="K487" s="8" t="s">
        <v>152</v>
      </c>
      <c r="L487" s="8" t="s">
        <v>556</v>
      </c>
      <c r="M487" s="1" t="s">
        <v>207</v>
      </c>
      <c r="N487" s="8" t="s">
        <v>208</v>
      </c>
      <c r="O487" s="6">
        <v>0</v>
      </c>
      <c r="P487" s="6">
        <v>0</v>
      </c>
      <c r="Q487" s="6">
        <v>0</v>
      </c>
      <c r="R487" s="6">
        <v>0</v>
      </c>
      <c r="S487" s="6">
        <v>730</v>
      </c>
    </row>
    <row r="488" spans="1:19" ht="15" hidden="1" x14ac:dyDescent="0.25">
      <c r="A488" s="7" t="s">
        <v>16</v>
      </c>
      <c r="B488" s="7" t="s">
        <v>17</v>
      </c>
      <c r="C488" s="7" t="s">
        <v>18</v>
      </c>
      <c r="D488" s="4">
        <v>45780103000150</v>
      </c>
      <c r="E488" s="8" t="s">
        <v>689</v>
      </c>
      <c r="F488" s="8" t="s">
        <v>678</v>
      </c>
      <c r="G488" s="8" t="s">
        <v>19</v>
      </c>
      <c r="H488" s="8" t="s">
        <v>215</v>
      </c>
      <c r="I488" s="3">
        <v>2</v>
      </c>
      <c r="J488" s="8" t="s">
        <v>149</v>
      </c>
      <c r="K488" s="8" t="s">
        <v>150</v>
      </c>
      <c r="L488" s="8" t="s">
        <v>557</v>
      </c>
      <c r="M488" s="1" t="s">
        <v>207</v>
      </c>
      <c r="N488" s="8" t="s">
        <v>208</v>
      </c>
      <c r="O488" s="6">
        <v>0</v>
      </c>
      <c r="P488" s="6">
        <v>0</v>
      </c>
      <c r="Q488" s="6">
        <v>0</v>
      </c>
      <c r="R488" s="6">
        <v>0</v>
      </c>
      <c r="S488" s="6">
        <v>730</v>
      </c>
    </row>
    <row r="489" spans="1:19" ht="15" hidden="1" x14ac:dyDescent="0.25">
      <c r="A489" s="7" t="s">
        <v>16</v>
      </c>
      <c r="B489" s="7" t="s">
        <v>17</v>
      </c>
      <c r="C489" s="7" t="s">
        <v>18</v>
      </c>
      <c r="D489" s="4">
        <v>44531788000138</v>
      </c>
      <c r="E489" s="8" t="s">
        <v>676</v>
      </c>
      <c r="F489" s="8" t="s">
        <v>38</v>
      </c>
      <c r="G489" s="8" t="s">
        <v>19</v>
      </c>
      <c r="H489" s="8" t="s">
        <v>215</v>
      </c>
      <c r="I489" s="3">
        <v>2</v>
      </c>
      <c r="J489" s="8" t="s">
        <v>151</v>
      </c>
      <c r="K489" s="8" t="s">
        <v>152</v>
      </c>
      <c r="L489" s="8" t="s">
        <v>556</v>
      </c>
      <c r="M489" s="1" t="s">
        <v>207</v>
      </c>
      <c r="N489" s="8" t="s">
        <v>208</v>
      </c>
      <c r="O489" s="6">
        <v>0</v>
      </c>
      <c r="P489" s="6">
        <v>0</v>
      </c>
      <c r="Q489" s="6">
        <v>0</v>
      </c>
      <c r="R489" s="6">
        <v>120</v>
      </c>
      <c r="S489" s="6">
        <v>0</v>
      </c>
    </row>
    <row r="490" spans="1:19" ht="15" hidden="1" x14ac:dyDescent="0.25">
      <c r="A490" s="7" t="s">
        <v>16</v>
      </c>
      <c r="B490" s="7" t="s">
        <v>17</v>
      </c>
      <c r="C490" s="7" t="s">
        <v>18</v>
      </c>
      <c r="D490" s="4">
        <v>44531788000138</v>
      </c>
      <c r="E490" s="8" t="s">
        <v>676</v>
      </c>
      <c r="F490" s="8" t="s">
        <v>38</v>
      </c>
      <c r="G490" s="8" t="s">
        <v>19</v>
      </c>
      <c r="H490" s="8" t="s">
        <v>215</v>
      </c>
      <c r="I490" s="3">
        <v>2</v>
      </c>
      <c r="J490" s="8" t="s">
        <v>149</v>
      </c>
      <c r="K490" s="8" t="s">
        <v>150</v>
      </c>
      <c r="L490" s="8" t="s">
        <v>557</v>
      </c>
      <c r="M490" s="1" t="s">
        <v>207</v>
      </c>
      <c r="N490" s="8" t="s">
        <v>208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</row>
    <row r="491" spans="1:19" ht="15" hidden="1" x14ac:dyDescent="0.25">
      <c r="A491" s="7" t="s">
        <v>16</v>
      </c>
      <c r="B491" s="7" t="s">
        <v>17</v>
      </c>
      <c r="C491" s="7" t="s">
        <v>18</v>
      </c>
      <c r="D491" s="4">
        <v>6047087007656</v>
      </c>
      <c r="E491" s="8" t="s">
        <v>651</v>
      </c>
      <c r="F491" s="8" t="s">
        <v>32</v>
      </c>
      <c r="G491" s="8" t="s">
        <v>19</v>
      </c>
      <c r="H491" s="8" t="s">
        <v>215</v>
      </c>
      <c r="I491" s="3">
        <v>2</v>
      </c>
      <c r="J491" s="8" t="s">
        <v>161</v>
      </c>
      <c r="K491" s="8" t="s">
        <v>162</v>
      </c>
      <c r="L491" s="8" t="s">
        <v>556</v>
      </c>
      <c r="M491" s="1" t="s">
        <v>207</v>
      </c>
      <c r="N491" s="8" t="s">
        <v>208</v>
      </c>
      <c r="O491" s="6">
        <v>0</v>
      </c>
      <c r="P491" s="6">
        <v>0</v>
      </c>
      <c r="Q491" s="6">
        <v>0</v>
      </c>
      <c r="R491" s="6">
        <v>0</v>
      </c>
      <c r="S491" s="6">
        <v>0</v>
      </c>
    </row>
    <row r="492" spans="1:19" ht="15" hidden="1" x14ac:dyDescent="0.25">
      <c r="A492" s="7" t="s">
        <v>16</v>
      </c>
      <c r="B492" s="7" t="s">
        <v>17</v>
      </c>
      <c r="C492" s="7" t="s">
        <v>18</v>
      </c>
      <c r="D492" s="4">
        <v>6047087007656</v>
      </c>
      <c r="E492" s="8" t="s">
        <v>651</v>
      </c>
      <c r="F492" s="8" t="s">
        <v>32</v>
      </c>
      <c r="G492" s="8" t="s">
        <v>19</v>
      </c>
      <c r="H492" s="8" t="s">
        <v>215</v>
      </c>
      <c r="I492" s="3">
        <v>2</v>
      </c>
      <c r="J492" s="8" t="s">
        <v>183</v>
      </c>
      <c r="K492" s="8" t="s">
        <v>184</v>
      </c>
      <c r="L492" s="8" t="s">
        <v>557</v>
      </c>
      <c r="M492" s="1" t="s">
        <v>207</v>
      </c>
      <c r="N492" s="8" t="s">
        <v>208</v>
      </c>
      <c r="O492" s="6">
        <v>0</v>
      </c>
      <c r="P492" s="6">
        <v>0</v>
      </c>
      <c r="Q492" s="6">
        <v>9</v>
      </c>
      <c r="R492" s="6">
        <v>0</v>
      </c>
      <c r="S492" s="6">
        <v>0</v>
      </c>
    </row>
    <row r="493" spans="1:19" ht="15" hidden="1" x14ac:dyDescent="0.25">
      <c r="A493" s="7" t="s">
        <v>16</v>
      </c>
      <c r="B493" s="7" t="s">
        <v>17</v>
      </c>
      <c r="C493" s="7" t="s">
        <v>18</v>
      </c>
      <c r="D493" s="4">
        <v>44803922000293</v>
      </c>
      <c r="E493" s="8" t="s">
        <v>681</v>
      </c>
      <c r="F493" s="8" t="s">
        <v>40</v>
      </c>
      <c r="G493" s="8" t="s">
        <v>19</v>
      </c>
      <c r="H493" s="8" t="s">
        <v>215</v>
      </c>
      <c r="I493" s="3">
        <v>2</v>
      </c>
      <c r="J493" s="8" t="s">
        <v>151</v>
      </c>
      <c r="K493" s="8" t="s">
        <v>152</v>
      </c>
      <c r="L493" s="8" t="s">
        <v>556</v>
      </c>
      <c r="M493" s="1" t="s">
        <v>207</v>
      </c>
      <c r="N493" s="8" t="s">
        <v>208</v>
      </c>
      <c r="O493" s="6">
        <v>0</v>
      </c>
      <c r="P493" s="6">
        <v>0</v>
      </c>
      <c r="Q493" s="6">
        <v>0</v>
      </c>
      <c r="R493" s="6">
        <v>6</v>
      </c>
      <c r="S493" s="6">
        <v>0</v>
      </c>
    </row>
    <row r="494" spans="1:19" ht="15" hidden="1" x14ac:dyDescent="0.25">
      <c r="A494" s="7" t="s">
        <v>16</v>
      </c>
      <c r="B494" s="7" t="s">
        <v>17</v>
      </c>
      <c r="C494" s="7" t="s">
        <v>18</v>
      </c>
      <c r="D494" s="4">
        <v>44803922000293</v>
      </c>
      <c r="E494" s="8" t="s">
        <v>681</v>
      </c>
      <c r="F494" s="8" t="s">
        <v>40</v>
      </c>
      <c r="G494" s="8" t="s">
        <v>19</v>
      </c>
      <c r="H494" s="8" t="s">
        <v>215</v>
      </c>
      <c r="I494" s="3">
        <v>2</v>
      </c>
      <c r="J494" s="8" t="s">
        <v>149</v>
      </c>
      <c r="K494" s="8" t="s">
        <v>150</v>
      </c>
      <c r="L494" s="8" t="s">
        <v>557</v>
      </c>
      <c r="M494" s="1" t="s">
        <v>207</v>
      </c>
      <c r="N494" s="8" t="s">
        <v>208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</row>
    <row r="495" spans="1:19" ht="15" hidden="1" x14ac:dyDescent="0.25">
      <c r="A495" s="7" t="s">
        <v>16</v>
      </c>
      <c r="B495" s="7" t="s">
        <v>17</v>
      </c>
      <c r="C495" s="7" t="s">
        <v>18</v>
      </c>
      <c r="D495" s="4">
        <v>840048000450</v>
      </c>
      <c r="E495" s="8" t="s">
        <v>637</v>
      </c>
      <c r="F495" s="8" t="s">
        <v>30</v>
      </c>
      <c r="G495" s="8" t="s">
        <v>19</v>
      </c>
      <c r="H495" s="8" t="s">
        <v>215</v>
      </c>
      <c r="I495" s="3">
        <v>2</v>
      </c>
      <c r="J495" s="8" t="s">
        <v>151</v>
      </c>
      <c r="K495" s="8" t="s">
        <v>152</v>
      </c>
      <c r="L495" s="8" t="s">
        <v>556</v>
      </c>
      <c r="M495" s="1" t="s">
        <v>207</v>
      </c>
      <c r="N495" s="8" t="s">
        <v>208</v>
      </c>
      <c r="O495" s="6">
        <v>0</v>
      </c>
      <c r="P495" s="6">
        <v>0</v>
      </c>
      <c r="Q495" s="6">
        <v>0</v>
      </c>
      <c r="R495" s="6">
        <v>0</v>
      </c>
      <c r="S495" s="6">
        <v>85</v>
      </c>
    </row>
    <row r="496" spans="1:19" ht="15" hidden="1" x14ac:dyDescent="0.25">
      <c r="A496" s="7" t="s">
        <v>16</v>
      </c>
      <c r="B496" s="7" t="s">
        <v>17</v>
      </c>
      <c r="C496" s="7" t="s">
        <v>18</v>
      </c>
      <c r="D496" s="4">
        <v>840048000450</v>
      </c>
      <c r="E496" s="8" t="s">
        <v>637</v>
      </c>
      <c r="F496" s="8" t="s">
        <v>30</v>
      </c>
      <c r="G496" s="8" t="s">
        <v>19</v>
      </c>
      <c r="H496" s="8" t="s">
        <v>215</v>
      </c>
      <c r="I496" s="3">
        <v>2</v>
      </c>
      <c r="J496" s="8" t="s">
        <v>149</v>
      </c>
      <c r="K496" s="8" t="s">
        <v>150</v>
      </c>
      <c r="L496" s="8" t="s">
        <v>557</v>
      </c>
      <c r="M496" s="1" t="s">
        <v>207</v>
      </c>
      <c r="N496" s="8" t="s">
        <v>208</v>
      </c>
      <c r="O496" s="6">
        <v>0</v>
      </c>
      <c r="P496" s="6">
        <v>0</v>
      </c>
      <c r="Q496" s="6">
        <v>0</v>
      </c>
      <c r="R496" s="6">
        <v>0</v>
      </c>
      <c r="S496" s="6">
        <v>85</v>
      </c>
    </row>
    <row r="497" spans="1:19" ht="15" hidden="1" x14ac:dyDescent="0.25">
      <c r="A497" s="7" t="s">
        <v>16</v>
      </c>
      <c r="B497" s="7" t="s">
        <v>17</v>
      </c>
      <c r="C497" s="7" t="s">
        <v>18</v>
      </c>
      <c r="D497" s="4">
        <v>57722118000302</v>
      </c>
      <c r="E497" s="8" t="s">
        <v>723</v>
      </c>
      <c r="F497" s="8" t="s">
        <v>639</v>
      </c>
      <c r="G497" s="8" t="s">
        <v>19</v>
      </c>
      <c r="H497" s="8" t="s">
        <v>215</v>
      </c>
      <c r="I497" s="3">
        <v>2</v>
      </c>
      <c r="J497" s="8" t="s">
        <v>151</v>
      </c>
      <c r="K497" s="8" t="s">
        <v>152</v>
      </c>
      <c r="L497" s="8" t="s">
        <v>556</v>
      </c>
      <c r="M497" s="1" t="s">
        <v>207</v>
      </c>
      <c r="N497" s="8" t="s">
        <v>208</v>
      </c>
      <c r="O497" s="6">
        <v>0</v>
      </c>
      <c r="P497" s="6">
        <v>0</v>
      </c>
      <c r="Q497" s="6">
        <v>0</v>
      </c>
      <c r="R497" s="6">
        <v>0</v>
      </c>
      <c r="S497" s="6">
        <v>1650</v>
      </c>
    </row>
    <row r="498" spans="1:19" ht="15" hidden="1" x14ac:dyDescent="0.25">
      <c r="A498" s="7" t="s">
        <v>16</v>
      </c>
      <c r="B498" s="7" t="s">
        <v>17</v>
      </c>
      <c r="C498" s="7" t="s">
        <v>18</v>
      </c>
      <c r="D498" s="4">
        <v>57722118000302</v>
      </c>
      <c r="E498" s="8" t="s">
        <v>723</v>
      </c>
      <c r="F498" s="8" t="s">
        <v>639</v>
      </c>
      <c r="G498" s="8" t="s">
        <v>19</v>
      </c>
      <c r="H498" s="8" t="s">
        <v>215</v>
      </c>
      <c r="I498" s="3">
        <v>2</v>
      </c>
      <c r="J498" s="8" t="s">
        <v>149</v>
      </c>
      <c r="K498" s="8" t="s">
        <v>150</v>
      </c>
      <c r="L498" s="8" t="s">
        <v>557</v>
      </c>
      <c r="M498" s="1" t="s">
        <v>207</v>
      </c>
      <c r="N498" s="8" t="s">
        <v>208</v>
      </c>
      <c r="O498" s="6">
        <v>0</v>
      </c>
      <c r="P498" s="6">
        <v>0</v>
      </c>
      <c r="Q498" s="6">
        <v>0</v>
      </c>
      <c r="R498" s="6">
        <v>0</v>
      </c>
      <c r="S498" s="6">
        <v>1650</v>
      </c>
    </row>
    <row r="499" spans="1:19" ht="15" hidden="1" x14ac:dyDescent="0.25">
      <c r="A499" s="7" t="s">
        <v>16</v>
      </c>
      <c r="B499" s="7" t="s">
        <v>17</v>
      </c>
      <c r="C499" s="7" t="s">
        <v>18</v>
      </c>
      <c r="D499" s="4">
        <v>46374500003533</v>
      </c>
      <c r="E499" s="8" t="s">
        <v>696</v>
      </c>
      <c r="F499" s="8" t="s">
        <v>639</v>
      </c>
      <c r="G499" s="8" t="s">
        <v>19</v>
      </c>
      <c r="H499" s="8" t="s">
        <v>215</v>
      </c>
      <c r="I499" s="3">
        <v>2</v>
      </c>
      <c r="J499" s="8" t="s">
        <v>151</v>
      </c>
      <c r="K499" s="8" t="s">
        <v>152</v>
      </c>
      <c r="L499" s="8" t="s">
        <v>556</v>
      </c>
      <c r="M499" s="1" t="s">
        <v>207</v>
      </c>
      <c r="N499" s="8" t="s">
        <v>208</v>
      </c>
      <c r="O499" s="6">
        <v>0</v>
      </c>
      <c r="P499" s="6">
        <v>0</v>
      </c>
      <c r="Q499" s="6">
        <v>0</v>
      </c>
      <c r="R499" s="6">
        <v>0</v>
      </c>
      <c r="S499" s="6">
        <v>1000</v>
      </c>
    </row>
    <row r="500" spans="1:19" ht="15" hidden="1" x14ac:dyDescent="0.25">
      <c r="A500" s="7" t="s">
        <v>16</v>
      </c>
      <c r="B500" s="7" t="s">
        <v>17</v>
      </c>
      <c r="C500" s="7" t="s">
        <v>18</v>
      </c>
      <c r="D500" s="4">
        <v>46374500003533</v>
      </c>
      <c r="E500" s="8" t="s">
        <v>696</v>
      </c>
      <c r="F500" s="8" t="s">
        <v>639</v>
      </c>
      <c r="G500" s="8" t="s">
        <v>19</v>
      </c>
      <c r="H500" s="8" t="s">
        <v>215</v>
      </c>
      <c r="I500" s="3">
        <v>2</v>
      </c>
      <c r="J500" s="8" t="s">
        <v>149</v>
      </c>
      <c r="K500" s="8" t="s">
        <v>150</v>
      </c>
      <c r="L500" s="8" t="s">
        <v>557</v>
      </c>
      <c r="M500" s="1" t="s">
        <v>207</v>
      </c>
      <c r="N500" s="8" t="s">
        <v>208</v>
      </c>
      <c r="O500" s="6">
        <v>0</v>
      </c>
      <c r="P500" s="6">
        <v>0</v>
      </c>
      <c r="Q500" s="6">
        <v>0</v>
      </c>
      <c r="R500" s="6">
        <v>0</v>
      </c>
      <c r="S500" s="6">
        <v>1000</v>
      </c>
    </row>
    <row r="501" spans="1:19" ht="15" hidden="1" x14ac:dyDescent="0.25">
      <c r="A501" s="7" t="s">
        <v>16</v>
      </c>
      <c r="B501" s="7" t="s">
        <v>17</v>
      </c>
      <c r="C501" s="7" t="s">
        <v>18</v>
      </c>
      <c r="D501" s="4">
        <v>1613433006892</v>
      </c>
      <c r="E501" s="8" t="s">
        <v>638</v>
      </c>
      <c r="F501" s="8" t="s">
        <v>639</v>
      </c>
      <c r="G501" s="8" t="s">
        <v>19</v>
      </c>
      <c r="H501" s="8" t="s">
        <v>215</v>
      </c>
      <c r="I501" s="3">
        <v>2</v>
      </c>
      <c r="J501" s="8" t="s">
        <v>151</v>
      </c>
      <c r="K501" s="8" t="s">
        <v>152</v>
      </c>
      <c r="L501" s="8" t="s">
        <v>556</v>
      </c>
      <c r="M501" s="1" t="s">
        <v>207</v>
      </c>
      <c r="N501" s="8" t="s">
        <v>208</v>
      </c>
      <c r="O501" s="6">
        <v>0</v>
      </c>
      <c r="P501" s="6">
        <v>0</v>
      </c>
      <c r="Q501" s="6">
        <v>0</v>
      </c>
      <c r="R501" s="6">
        <v>0</v>
      </c>
      <c r="S501" s="6">
        <v>1200</v>
      </c>
    </row>
    <row r="502" spans="1:19" ht="15" hidden="1" x14ac:dyDescent="0.25">
      <c r="A502" s="7" t="s">
        <v>16</v>
      </c>
      <c r="B502" s="7" t="s">
        <v>17</v>
      </c>
      <c r="C502" s="7" t="s">
        <v>18</v>
      </c>
      <c r="D502" s="4">
        <v>1613433006892</v>
      </c>
      <c r="E502" s="8" t="s">
        <v>638</v>
      </c>
      <c r="F502" s="8" t="s">
        <v>639</v>
      </c>
      <c r="G502" s="8" t="s">
        <v>19</v>
      </c>
      <c r="H502" s="8" t="s">
        <v>215</v>
      </c>
      <c r="I502" s="3">
        <v>2</v>
      </c>
      <c r="J502" s="8" t="s">
        <v>149</v>
      </c>
      <c r="K502" s="8" t="s">
        <v>150</v>
      </c>
      <c r="L502" s="8" t="s">
        <v>557</v>
      </c>
      <c r="M502" s="1" t="s">
        <v>207</v>
      </c>
      <c r="N502" s="8" t="s">
        <v>208</v>
      </c>
      <c r="O502" s="6">
        <v>0</v>
      </c>
      <c r="P502" s="6">
        <v>0</v>
      </c>
      <c r="Q502" s="6">
        <v>0</v>
      </c>
      <c r="R502" s="6">
        <v>0</v>
      </c>
      <c r="S502" s="6">
        <v>1200</v>
      </c>
    </row>
    <row r="503" spans="1:19" ht="15" hidden="1" x14ac:dyDescent="0.25">
      <c r="A503" s="7" t="s">
        <v>16</v>
      </c>
      <c r="B503" s="7" t="s">
        <v>17</v>
      </c>
      <c r="C503" s="7" t="s">
        <v>18</v>
      </c>
      <c r="D503" s="4">
        <v>55980148000121</v>
      </c>
      <c r="E503" s="8" t="s">
        <v>720</v>
      </c>
      <c r="F503" s="8" t="s">
        <v>639</v>
      </c>
      <c r="G503" s="8" t="s">
        <v>19</v>
      </c>
      <c r="H503" s="8" t="s">
        <v>215</v>
      </c>
      <c r="I503" s="3">
        <v>2</v>
      </c>
      <c r="J503" s="8" t="s">
        <v>151</v>
      </c>
      <c r="K503" s="8" t="s">
        <v>152</v>
      </c>
      <c r="L503" s="8" t="s">
        <v>556</v>
      </c>
      <c r="M503" s="1" t="s">
        <v>207</v>
      </c>
      <c r="N503" s="8" t="s">
        <v>208</v>
      </c>
      <c r="O503" s="6">
        <v>0</v>
      </c>
      <c r="P503" s="6">
        <v>0</v>
      </c>
      <c r="Q503" s="6">
        <v>0</v>
      </c>
      <c r="R503" s="6">
        <v>1</v>
      </c>
      <c r="S503" s="6">
        <v>0</v>
      </c>
    </row>
    <row r="504" spans="1:19" ht="15" hidden="1" x14ac:dyDescent="0.25">
      <c r="A504" s="7" t="s">
        <v>16</v>
      </c>
      <c r="B504" s="7" t="s">
        <v>17</v>
      </c>
      <c r="C504" s="7" t="s">
        <v>18</v>
      </c>
      <c r="D504" s="4">
        <v>55980148000121</v>
      </c>
      <c r="E504" s="8" t="s">
        <v>720</v>
      </c>
      <c r="F504" s="8" t="s">
        <v>639</v>
      </c>
      <c r="G504" s="8" t="s">
        <v>19</v>
      </c>
      <c r="H504" s="8" t="s">
        <v>215</v>
      </c>
      <c r="I504" s="3">
        <v>2</v>
      </c>
      <c r="J504" s="8" t="s">
        <v>149</v>
      </c>
      <c r="K504" s="8" t="s">
        <v>150</v>
      </c>
      <c r="L504" s="8" t="s">
        <v>557</v>
      </c>
      <c r="M504" s="1" t="s">
        <v>207</v>
      </c>
      <c r="N504" s="8" t="s">
        <v>208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</row>
    <row r="505" spans="1:19" ht="15" hidden="1" x14ac:dyDescent="0.25">
      <c r="A505" s="7" t="s">
        <v>16</v>
      </c>
      <c r="B505" s="7" t="s">
        <v>17</v>
      </c>
      <c r="C505" s="7" t="s">
        <v>18</v>
      </c>
      <c r="D505" s="4">
        <v>45232246000550</v>
      </c>
      <c r="E505" s="8" t="s">
        <v>685</v>
      </c>
      <c r="F505" s="8" t="s">
        <v>639</v>
      </c>
      <c r="G505" s="8" t="s">
        <v>19</v>
      </c>
      <c r="H505" s="8" t="s">
        <v>215</v>
      </c>
      <c r="I505" s="3">
        <v>2</v>
      </c>
      <c r="J505" s="8" t="s">
        <v>151</v>
      </c>
      <c r="K505" s="8" t="s">
        <v>152</v>
      </c>
      <c r="L505" s="8" t="s">
        <v>556</v>
      </c>
      <c r="M505" s="1" t="s">
        <v>207</v>
      </c>
      <c r="N505" s="8" t="s">
        <v>208</v>
      </c>
      <c r="O505" s="6">
        <v>0</v>
      </c>
      <c r="P505" s="6">
        <v>0</v>
      </c>
      <c r="Q505" s="6">
        <v>0</v>
      </c>
      <c r="R505" s="6">
        <v>35</v>
      </c>
      <c r="S505" s="6">
        <v>235</v>
      </c>
    </row>
    <row r="506" spans="1:19" ht="15" hidden="1" x14ac:dyDescent="0.25">
      <c r="A506" s="7" t="s">
        <v>16</v>
      </c>
      <c r="B506" s="7" t="s">
        <v>17</v>
      </c>
      <c r="C506" s="7" t="s">
        <v>18</v>
      </c>
      <c r="D506" s="4">
        <v>45232246000550</v>
      </c>
      <c r="E506" s="8" t="s">
        <v>685</v>
      </c>
      <c r="F506" s="8" t="s">
        <v>639</v>
      </c>
      <c r="G506" s="8" t="s">
        <v>19</v>
      </c>
      <c r="H506" s="8" t="s">
        <v>215</v>
      </c>
      <c r="I506" s="3">
        <v>2</v>
      </c>
      <c r="J506" s="8" t="s">
        <v>149</v>
      </c>
      <c r="K506" s="8" t="s">
        <v>150</v>
      </c>
      <c r="L506" s="8" t="s">
        <v>557</v>
      </c>
      <c r="M506" s="1" t="s">
        <v>207</v>
      </c>
      <c r="N506" s="8" t="s">
        <v>208</v>
      </c>
      <c r="O506" s="6">
        <v>0</v>
      </c>
      <c r="P506" s="6">
        <v>0</v>
      </c>
      <c r="Q506" s="6">
        <v>0</v>
      </c>
      <c r="R506" s="6">
        <v>0</v>
      </c>
      <c r="S506" s="6">
        <v>235</v>
      </c>
    </row>
    <row r="507" spans="1:19" ht="15" hidden="1" x14ac:dyDescent="0.25">
      <c r="A507" s="7" t="s">
        <v>16</v>
      </c>
      <c r="B507" s="7" t="s">
        <v>17</v>
      </c>
      <c r="C507" s="7" t="s">
        <v>18</v>
      </c>
      <c r="D507" s="4">
        <v>44663631000590</v>
      </c>
      <c r="E507" s="8" t="s">
        <v>680</v>
      </c>
      <c r="F507" s="8" t="s">
        <v>39</v>
      </c>
      <c r="G507" s="8" t="s">
        <v>19</v>
      </c>
      <c r="H507" s="8" t="s">
        <v>215</v>
      </c>
      <c r="I507" s="3">
        <v>2</v>
      </c>
      <c r="J507" s="8" t="s">
        <v>151</v>
      </c>
      <c r="K507" s="8" t="s">
        <v>152</v>
      </c>
      <c r="L507" s="8" t="s">
        <v>556</v>
      </c>
      <c r="M507" s="1" t="s">
        <v>207</v>
      </c>
      <c r="N507" s="8" t="s">
        <v>208</v>
      </c>
      <c r="O507" s="6">
        <v>0</v>
      </c>
      <c r="P507" s="6">
        <v>0</v>
      </c>
      <c r="Q507" s="6">
        <v>0</v>
      </c>
      <c r="R507" s="6">
        <v>32</v>
      </c>
      <c r="S507" s="6">
        <v>225</v>
      </c>
    </row>
    <row r="508" spans="1:19" ht="15" hidden="1" x14ac:dyDescent="0.25">
      <c r="A508" s="7" t="s">
        <v>16</v>
      </c>
      <c r="B508" s="7" t="s">
        <v>17</v>
      </c>
      <c r="C508" s="7" t="s">
        <v>18</v>
      </c>
      <c r="D508" s="4">
        <v>44663631000590</v>
      </c>
      <c r="E508" s="8" t="s">
        <v>680</v>
      </c>
      <c r="F508" s="8" t="s">
        <v>39</v>
      </c>
      <c r="G508" s="8" t="s">
        <v>19</v>
      </c>
      <c r="H508" s="8" t="s">
        <v>215</v>
      </c>
      <c r="I508" s="3">
        <v>2</v>
      </c>
      <c r="J508" s="8" t="s">
        <v>149</v>
      </c>
      <c r="K508" s="8" t="s">
        <v>150</v>
      </c>
      <c r="L508" s="8" t="s">
        <v>557</v>
      </c>
      <c r="M508" s="1" t="s">
        <v>207</v>
      </c>
      <c r="N508" s="8" t="s">
        <v>208</v>
      </c>
      <c r="O508" s="6">
        <v>0</v>
      </c>
      <c r="P508" s="6">
        <v>0</v>
      </c>
      <c r="Q508" s="6">
        <v>0</v>
      </c>
      <c r="R508" s="6">
        <v>0</v>
      </c>
      <c r="S508" s="6">
        <v>225</v>
      </c>
    </row>
    <row r="509" spans="1:19" ht="15" hidden="1" x14ac:dyDescent="0.25">
      <c r="A509" s="7" t="s">
        <v>16</v>
      </c>
      <c r="B509" s="7" t="s">
        <v>17</v>
      </c>
      <c r="C509" s="7" t="s">
        <v>18</v>
      </c>
      <c r="D509" s="4">
        <v>13718999001041</v>
      </c>
      <c r="E509" s="8" t="s">
        <v>662</v>
      </c>
      <c r="F509" s="8" t="s">
        <v>647</v>
      </c>
      <c r="G509" s="8" t="s">
        <v>19</v>
      </c>
      <c r="H509" s="8" t="s">
        <v>215</v>
      </c>
      <c r="I509" s="3">
        <v>2</v>
      </c>
      <c r="J509" s="8" t="s">
        <v>1355</v>
      </c>
      <c r="K509" s="8" t="s">
        <v>1356</v>
      </c>
      <c r="L509" s="8" t="s">
        <v>556</v>
      </c>
      <c r="M509" s="1" t="s">
        <v>207</v>
      </c>
      <c r="N509" s="8" t="s">
        <v>208</v>
      </c>
      <c r="O509" s="6">
        <v>0</v>
      </c>
      <c r="P509" s="6">
        <v>0</v>
      </c>
      <c r="Q509" s="6">
        <v>0</v>
      </c>
      <c r="R509" s="6">
        <v>4</v>
      </c>
      <c r="S509" s="6">
        <v>0</v>
      </c>
    </row>
    <row r="510" spans="1:19" ht="15" hidden="1" x14ac:dyDescent="0.25">
      <c r="A510" s="7" t="s">
        <v>16</v>
      </c>
      <c r="B510" s="7" t="s">
        <v>17</v>
      </c>
      <c r="C510" s="7" t="s">
        <v>18</v>
      </c>
      <c r="D510" s="4">
        <v>13718999001041</v>
      </c>
      <c r="E510" s="8" t="s">
        <v>662</v>
      </c>
      <c r="F510" s="8" t="s">
        <v>647</v>
      </c>
      <c r="G510" s="8" t="s">
        <v>19</v>
      </c>
      <c r="H510" s="8" t="s">
        <v>215</v>
      </c>
      <c r="I510" s="3">
        <v>2</v>
      </c>
      <c r="J510" s="8" t="s">
        <v>147</v>
      </c>
      <c r="K510" s="8" t="s">
        <v>148</v>
      </c>
      <c r="L510" s="8" t="s">
        <v>557</v>
      </c>
      <c r="M510" s="1" t="s">
        <v>207</v>
      </c>
      <c r="N510" s="8" t="s">
        <v>208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</row>
    <row r="511" spans="1:19" ht="15" hidden="1" x14ac:dyDescent="0.25">
      <c r="A511" s="7" t="s">
        <v>16</v>
      </c>
      <c r="B511" s="7" t="s">
        <v>17</v>
      </c>
      <c r="C511" s="7" t="s">
        <v>18</v>
      </c>
      <c r="D511" s="4">
        <v>6033403000113</v>
      </c>
      <c r="E511" s="8" t="s">
        <v>646</v>
      </c>
      <c r="F511" s="8" t="s">
        <v>647</v>
      </c>
      <c r="G511" s="8" t="s">
        <v>19</v>
      </c>
      <c r="H511" s="8" t="s">
        <v>215</v>
      </c>
      <c r="I511" s="3">
        <v>2</v>
      </c>
      <c r="J511" s="8" t="s">
        <v>1355</v>
      </c>
      <c r="K511" s="8" t="s">
        <v>1356</v>
      </c>
      <c r="L511" s="8" t="s">
        <v>556</v>
      </c>
      <c r="M511" s="1" t="s">
        <v>207</v>
      </c>
      <c r="N511" s="8" t="s">
        <v>208</v>
      </c>
      <c r="O511" s="6">
        <v>0</v>
      </c>
      <c r="P511" s="6">
        <v>0</v>
      </c>
      <c r="Q511" s="6">
        <v>0</v>
      </c>
      <c r="R511" s="6">
        <v>0</v>
      </c>
      <c r="S511" s="6">
        <v>20</v>
      </c>
    </row>
    <row r="512" spans="1:19" ht="15" hidden="1" x14ac:dyDescent="0.25">
      <c r="A512" s="7" t="s">
        <v>16</v>
      </c>
      <c r="B512" s="7" t="s">
        <v>17</v>
      </c>
      <c r="C512" s="7" t="s">
        <v>18</v>
      </c>
      <c r="D512" s="4">
        <v>6033403000113</v>
      </c>
      <c r="E512" s="8" t="s">
        <v>646</v>
      </c>
      <c r="F512" s="8" t="s">
        <v>647</v>
      </c>
      <c r="G512" s="8" t="s">
        <v>19</v>
      </c>
      <c r="H512" s="8" t="s">
        <v>215</v>
      </c>
      <c r="I512" s="3">
        <v>2</v>
      </c>
      <c r="J512" s="8" t="s">
        <v>147</v>
      </c>
      <c r="K512" s="8" t="s">
        <v>148</v>
      </c>
      <c r="L512" s="8" t="s">
        <v>557</v>
      </c>
      <c r="M512" s="1" t="s">
        <v>207</v>
      </c>
      <c r="N512" s="8" t="s">
        <v>208</v>
      </c>
      <c r="O512" s="6">
        <v>0</v>
      </c>
      <c r="P512" s="6">
        <v>0</v>
      </c>
      <c r="Q512" s="6">
        <v>0</v>
      </c>
      <c r="R512" s="6">
        <v>0</v>
      </c>
      <c r="S512" s="6">
        <v>20</v>
      </c>
    </row>
    <row r="513" spans="1:19" ht="15" hidden="1" x14ac:dyDescent="0.25">
      <c r="A513" s="7" t="s">
        <v>16</v>
      </c>
      <c r="B513" s="7" t="s">
        <v>17</v>
      </c>
      <c r="C513" s="7" t="s">
        <v>18</v>
      </c>
      <c r="D513" s="4">
        <v>29435005008022</v>
      </c>
      <c r="E513" s="8" t="s">
        <v>668</v>
      </c>
      <c r="F513" s="8" t="s">
        <v>35</v>
      </c>
      <c r="G513" s="8" t="s">
        <v>19</v>
      </c>
      <c r="H513" s="8" t="s">
        <v>215</v>
      </c>
      <c r="I513" s="3">
        <v>2</v>
      </c>
      <c r="J513" s="8" t="s">
        <v>1355</v>
      </c>
      <c r="K513" s="8" t="s">
        <v>1356</v>
      </c>
      <c r="L513" s="8" t="s">
        <v>556</v>
      </c>
      <c r="M513" s="1" t="s">
        <v>207</v>
      </c>
      <c r="N513" s="8" t="s">
        <v>208</v>
      </c>
      <c r="O513" s="6">
        <v>0</v>
      </c>
      <c r="P513" s="6">
        <v>0</v>
      </c>
      <c r="Q513" s="6">
        <v>0</v>
      </c>
      <c r="R513" s="6">
        <v>0</v>
      </c>
      <c r="S513" s="6">
        <v>60</v>
      </c>
    </row>
    <row r="514" spans="1:19" ht="15" hidden="1" x14ac:dyDescent="0.25">
      <c r="A514" s="7" t="s">
        <v>16</v>
      </c>
      <c r="B514" s="7" t="s">
        <v>17</v>
      </c>
      <c r="C514" s="7" t="s">
        <v>18</v>
      </c>
      <c r="D514" s="4">
        <v>29435005008022</v>
      </c>
      <c r="E514" s="8" t="s">
        <v>668</v>
      </c>
      <c r="F514" s="8" t="s">
        <v>35</v>
      </c>
      <c r="G514" s="8" t="s">
        <v>19</v>
      </c>
      <c r="H514" s="8" t="s">
        <v>215</v>
      </c>
      <c r="I514" s="3">
        <v>2</v>
      </c>
      <c r="J514" s="8" t="s">
        <v>147</v>
      </c>
      <c r="K514" s="8" t="s">
        <v>148</v>
      </c>
      <c r="L514" s="8" t="s">
        <v>557</v>
      </c>
      <c r="M514" s="1" t="s">
        <v>207</v>
      </c>
      <c r="N514" s="8" t="s">
        <v>208</v>
      </c>
      <c r="O514" s="6">
        <v>0</v>
      </c>
      <c r="P514" s="6">
        <v>0</v>
      </c>
      <c r="Q514" s="6">
        <v>0</v>
      </c>
      <c r="R514" s="6">
        <v>0</v>
      </c>
      <c r="S514" s="6">
        <v>60</v>
      </c>
    </row>
    <row r="515" spans="1:19" ht="15" hidden="1" x14ac:dyDescent="0.25">
      <c r="A515" s="7" t="s">
        <v>16</v>
      </c>
      <c r="B515" s="7" t="s">
        <v>17</v>
      </c>
      <c r="C515" s="7" t="s">
        <v>18</v>
      </c>
      <c r="D515" s="4">
        <v>58229691001070</v>
      </c>
      <c r="E515" s="8" t="s">
        <v>725</v>
      </c>
      <c r="F515" s="8" t="s">
        <v>35</v>
      </c>
      <c r="G515" s="8" t="s">
        <v>19</v>
      </c>
      <c r="H515" s="8" t="s">
        <v>215</v>
      </c>
      <c r="I515" s="3">
        <v>2</v>
      </c>
      <c r="J515" s="8" t="s">
        <v>1355</v>
      </c>
      <c r="K515" s="8" t="s">
        <v>1356</v>
      </c>
      <c r="L515" s="8" t="s">
        <v>556</v>
      </c>
      <c r="M515" s="1" t="s">
        <v>207</v>
      </c>
      <c r="N515" s="8" t="s">
        <v>208</v>
      </c>
      <c r="O515" s="6">
        <v>0</v>
      </c>
      <c r="P515" s="6">
        <v>0</v>
      </c>
      <c r="Q515" s="6">
        <v>0</v>
      </c>
      <c r="R515" s="6">
        <v>48</v>
      </c>
      <c r="S515" s="6">
        <v>0</v>
      </c>
    </row>
    <row r="516" spans="1:19" ht="15" hidden="1" x14ac:dyDescent="0.25">
      <c r="A516" s="7" t="s">
        <v>16</v>
      </c>
      <c r="B516" s="7" t="s">
        <v>17</v>
      </c>
      <c r="C516" s="7" t="s">
        <v>18</v>
      </c>
      <c r="D516" s="4">
        <v>58229691001070</v>
      </c>
      <c r="E516" s="8" t="s">
        <v>725</v>
      </c>
      <c r="F516" s="8" t="s">
        <v>35</v>
      </c>
      <c r="G516" s="8" t="s">
        <v>19</v>
      </c>
      <c r="H516" s="8" t="s">
        <v>215</v>
      </c>
      <c r="I516" s="3">
        <v>2</v>
      </c>
      <c r="J516" s="8" t="s">
        <v>147</v>
      </c>
      <c r="K516" s="8" t="s">
        <v>148</v>
      </c>
      <c r="L516" s="8" t="s">
        <v>557</v>
      </c>
      <c r="M516" s="1" t="s">
        <v>207</v>
      </c>
      <c r="N516" s="8" t="s">
        <v>208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</row>
    <row r="517" spans="1:19" ht="15" hidden="1" x14ac:dyDescent="0.25">
      <c r="A517" s="7" t="s">
        <v>16</v>
      </c>
      <c r="B517" s="7" t="s">
        <v>17</v>
      </c>
      <c r="C517" s="7" t="s">
        <v>18</v>
      </c>
      <c r="D517" s="4">
        <v>45399961000230</v>
      </c>
      <c r="E517" s="8" t="s">
        <v>688</v>
      </c>
      <c r="F517" s="8" t="s">
        <v>42</v>
      </c>
      <c r="G517" s="8" t="s">
        <v>19</v>
      </c>
      <c r="H517" s="8" t="s">
        <v>215</v>
      </c>
      <c r="I517" s="3">
        <v>2</v>
      </c>
      <c r="J517" s="8" t="s">
        <v>151</v>
      </c>
      <c r="K517" s="8" t="s">
        <v>152</v>
      </c>
      <c r="L517" s="8" t="s">
        <v>556</v>
      </c>
      <c r="M517" s="1" t="s">
        <v>207</v>
      </c>
      <c r="N517" s="8" t="s">
        <v>208</v>
      </c>
      <c r="O517" s="6">
        <v>0</v>
      </c>
      <c r="P517" s="6">
        <v>0</v>
      </c>
      <c r="Q517" s="6">
        <v>0</v>
      </c>
      <c r="R517" s="6">
        <v>0</v>
      </c>
      <c r="S517" s="6">
        <v>725</v>
      </c>
    </row>
    <row r="518" spans="1:19" ht="15" hidden="1" x14ac:dyDescent="0.25">
      <c r="A518" s="7" t="s">
        <v>16</v>
      </c>
      <c r="B518" s="7" t="s">
        <v>17</v>
      </c>
      <c r="C518" s="7" t="s">
        <v>18</v>
      </c>
      <c r="D518" s="4">
        <v>45399961000230</v>
      </c>
      <c r="E518" s="8" t="s">
        <v>688</v>
      </c>
      <c r="F518" s="8" t="s">
        <v>42</v>
      </c>
      <c r="G518" s="8" t="s">
        <v>19</v>
      </c>
      <c r="H518" s="8" t="s">
        <v>215</v>
      </c>
      <c r="I518" s="3">
        <v>2</v>
      </c>
      <c r="J518" s="8" t="s">
        <v>183</v>
      </c>
      <c r="K518" s="8" t="s">
        <v>184</v>
      </c>
      <c r="L518" s="8" t="s">
        <v>557</v>
      </c>
      <c r="M518" s="1" t="s">
        <v>207</v>
      </c>
      <c r="N518" s="8" t="s">
        <v>208</v>
      </c>
      <c r="O518" s="6">
        <v>0</v>
      </c>
      <c r="P518" s="6">
        <v>0</v>
      </c>
      <c r="Q518" s="6">
        <v>0</v>
      </c>
      <c r="R518" s="6">
        <v>0</v>
      </c>
      <c r="S518" s="6">
        <v>725</v>
      </c>
    </row>
    <row r="519" spans="1:19" ht="15" hidden="1" x14ac:dyDescent="0.25">
      <c r="A519" s="7" t="s">
        <v>16</v>
      </c>
      <c r="B519" s="7" t="s">
        <v>17</v>
      </c>
      <c r="C519" s="7" t="s">
        <v>18</v>
      </c>
      <c r="D519" s="4">
        <v>46124624002599</v>
      </c>
      <c r="E519" s="8" t="s">
        <v>694</v>
      </c>
      <c r="F519" s="8" t="s">
        <v>695</v>
      </c>
      <c r="G519" s="8" t="s">
        <v>19</v>
      </c>
      <c r="H519" s="8" t="s">
        <v>215</v>
      </c>
      <c r="I519" s="3">
        <v>2</v>
      </c>
      <c r="J519" s="8" t="s">
        <v>151</v>
      </c>
      <c r="K519" s="8" t="s">
        <v>152</v>
      </c>
      <c r="L519" s="8" t="s">
        <v>556</v>
      </c>
      <c r="M519" s="1" t="s">
        <v>207</v>
      </c>
      <c r="N519" s="8" t="s">
        <v>208</v>
      </c>
      <c r="O519" s="6">
        <v>0</v>
      </c>
      <c r="P519" s="6">
        <v>0</v>
      </c>
      <c r="Q519" s="6">
        <v>0</v>
      </c>
      <c r="R519" s="6">
        <v>120</v>
      </c>
      <c r="S519" s="6">
        <v>400</v>
      </c>
    </row>
    <row r="520" spans="1:19" ht="15" hidden="1" x14ac:dyDescent="0.25">
      <c r="A520" s="7" t="s">
        <v>16</v>
      </c>
      <c r="B520" s="7" t="s">
        <v>17</v>
      </c>
      <c r="C520" s="7" t="s">
        <v>18</v>
      </c>
      <c r="D520" s="4">
        <v>46124624002599</v>
      </c>
      <c r="E520" s="8" t="s">
        <v>694</v>
      </c>
      <c r="F520" s="8" t="s">
        <v>695</v>
      </c>
      <c r="G520" s="8" t="s">
        <v>19</v>
      </c>
      <c r="H520" s="8" t="s">
        <v>215</v>
      </c>
      <c r="I520" s="3">
        <v>2</v>
      </c>
      <c r="J520" s="8" t="s">
        <v>149</v>
      </c>
      <c r="K520" s="8" t="s">
        <v>150</v>
      </c>
      <c r="L520" s="8" t="s">
        <v>557</v>
      </c>
      <c r="M520" s="1" t="s">
        <v>207</v>
      </c>
      <c r="N520" s="8" t="s">
        <v>208</v>
      </c>
      <c r="O520" s="6">
        <v>0</v>
      </c>
      <c r="P520" s="6">
        <v>0</v>
      </c>
      <c r="Q520" s="6">
        <v>0</v>
      </c>
      <c r="R520" s="6">
        <v>0</v>
      </c>
      <c r="S520" s="6">
        <v>400</v>
      </c>
    </row>
    <row r="521" spans="1:19" ht="15" hidden="1" x14ac:dyDescent="0.25">
      <c r="A521" s="7" t="s">
        <v>16</v>
      </c>
      <c r="B521" s="7" t="s">
        <v>17</v>
      </c>
      <c r="C521" s="7" t="s">
        <v>18</v>
      </c>
      <c r="D521" s="4">
        <v>43293604002120</v>
      </c>
      <c r="E521" s="8" t="s">
        <v>673</v>
      </c>
      <c r="F521" s="8" t="s">
        <v>674</v>
      </c>
      <c r="G521" s="8" t="s">
        <v>19</v>
      </c>
      <c r="H521" s="8" t="s">
        <v>215</v>
      </c>
      <c r="I521" s="3">
        <v>2</v>
      </c>
      <c r="J521" s="8" t="s">
        <v>1355</v>
      </c>
      <c r="K521" s="8" t="s">
        <v>1356</v>
      </c>
      <c r="L521" s="8" t="s">
        <v>556</v>
      </c>
      <c r="M521" s="1" t="s">
        <v>207</v>
      </c>
      <c r="N521" s="8" t="s">
        <v>208</v>
      </c>
      <c r="O521" s="6">
        <v>0</v>
      </c>
      <c r="P521" s="6">
        <v>0</v>
      </c>
      <c r="Q521" s="6">
        <v>0</v>
      </c>
      <c r="R521" s="6">
        <v>0</v>
      </c>
      <c r="S521" s="6">
        <v>120</v>
      </c>
    </row>
    <row r="522" spans="1:19" ht="15" hidden="1" x14ac:dyDescent="0.25">
      <c r="A522" s="7" t="s">
        <v>16</v>
      </c>
      <c r="B522" s="7" t="s">
        <v>17</v>
      </c>
      <c r="C522" s="7" t="s">
        <v>18</v>
      </c>
      <c r="D522" s="4">
        <v>43293604002120</v>
      </c>
      <c r="E522" s="8" t="s">
        <v>673</v>
      </c>
      <c r="F522" s="8" t="s">
        <v>674</v>
      </c>
      <c r="G522" s="8" t="s">
        <v>19</v>
      </c>
      <c r="H522" s="8" t="s">
        <v>215</v>
      </c>
      <c r="I522" s="3">
        <v>2</v>
      </c>
      <c r="J522" s="8" t="s">
        <v>147</v>
      </c>
      <c r="K522" s="8" t="s">
        <v>148</v>
      </c>
      <c r="L522" s="8" t="s">
        <v>557</v>
      </c>
      <c r="M522" s="1" t="s">
        <v>207</v>
      </c>
      <c r="N522" s="8" t="s">
        <v>208</v>
      </c>
      <c r="O522" s="6">
        <v>0</v>
      </c>
      <c r="P522" s="6">
        <v>0</v>
      </c>
      <c r="Q522" s="6">
        <v>0</v>
      </c>
      <c r="R522" s="6">
        <v>0</v>
      </c>
      <c r="S522" s="6">
        <v>120</v>
      </c>
    </row>
    <row r="523" spans="1:19" ht="15" hidden="1" x14ac:dyDescent="0.25">
      <c r="A523" s="7" t="s">
        <v>16</v>
      </c>
      <c r="B523" s="7" t="s">
        <v>17</v>
      </c>
      <c r="C523" s="7" t="s">
        <v>18</v>
      </c>
      <c r="D523" s="4">
        <v>45359213000576</v>
      </c>
      <c r="E523" s="8" t="s">
        <v>686</v>
      </c>
      <c r="F523" s="8" t="s">
        <v>687</v>
      </c>
      <c r="G523" s="8" t="s">
        <v>19</v>
      </c>
      <c r="H523" s="8" t="s">
        <v>215</v>
      </c>
      <c r="I523" s="3">
        <v>2</v>
      </c>
      <c r="J523" s="8" t="s">
        <v>151</v>
      </c>
      <c r="K523" s="8" t="s">
        <v>152</v>
      </c>
      <c r="L523" s="8" t="s">
        <v>556</v>
      </c>
      <c r="M523" s="1" t="s">
        <v>207</v>
      </c>
      <c r="N523" s="8" t="s">
        <v>208</v>
      </c>
      <c r="O523" s="6">
        <v>0</v>
      </c>
      <c r="P523" s="6">
        <v>0</v>
      </c>
      <c r="Q523" s="6">
        <v>0</v>
      </c>
      <c r="R523" s="6">
        <v>40</v>
      </c>
      <c r="S523" s="6">
        <v>0</v>
      </c>
    </row>
    <row r="524" spans="1:19" ht="15" hidden="1" x14ac:dyDescent="0.25">
      <c r="A524" s="7" t="s">
        <v>16</v>
      </c>
      <c r="B524" s="7" t="s">
        <v>17</v>
      </c>
      <c r="C524" s="7" t="s">
        <v>18</v>
      </c>
      <c r="D524" s="4">
        <v>45359213000576</v>
      </c>
      <c r="E524" s="8" t="s">
        <v>686</v>
      </c>
      <c r="F524" s="8" t="s">
        <v>687</v>
      </c>
      <c r="G524" s="8" t="s">
        <v>19</v>
      </c>
      <c r="H524" s="8" t="s">
        <v>215</v>
      </c>
      <c r="I524" s="3">
        <v>2</v>
      </c>
      <c r="J524" s="8" t="s">
        <v>149</v>
      </c>
      <c r="K524" s="8" t="s">
        <v>150</v>
      </c>
      <c r="L524" s="8" t="s">
        <v>557</v>
      </c>
      <c r="M524" s="1" t="s">
        <v>207</v>
      </c>
      <c r="N524" s="8" t="s">
        <v>208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</row>
    <row r="525" spans="1:19" ht="15" hidden="1" x14ac:dyDescent="0.25">
      <c r="A525" s="7" t="s">
        <v>16</v>
      </c>
      <c r="B525" s="7" t="s">
        <v>17</v>
      </c>
      <c r="C525" s="7" t="s">
        <v>18</v>
      </c>
      <c r="D525" s="4">
        <v>59970947000178</v>
      </c>
      <c r="E525" s="8" t="s">
        <v>726</v>
      </c>
      <c r="F525" s="8" t="s">
        <v>643</v>
      </c>
      <c r="G525" s="8" t="s">
        <v>19</v>
      </c>
      <c r="H525" s="8" t="s">
        <v>215</v>
      </c>
      <c r="I525" s="3">
        <v>2</v>
      </c>
      <c r="J525" s="8" t="s">
        <v>151</v>
      </c>
      <c r="K525" s="8" t="s">
        <v>152</v>
      </c>
      <c r="L525" s="8" t="s">
        <v>556</v>
      </c>
      <c r="M525" s="1" t="s">
        <v>207</v>
      </c>
      <c r="N525" s="8" t="s">
        <v>208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</row>
    <row r="526" spans="1:19" ht="15" hidden="1" x14ac:dyDescent="0.25">
      <c r="A526" s="7" t="s">
        <v>16</v>
      </c>
      <c r="B526" s="7" t="s">
        <v>17</v>
      </c>
      <c r="C526" s="7" t="s">
        <v>18</v>
      </c>
      <c r="D526" s="4">
        <v>59970947000178</v>
      </c>
      <c r="E526" s="8" t="s">
        <v>726</v>
      </c>
      <c r="F526" s="8" t="s">
        <v>643</v>
      </c>
      <c r="G526" s="8" t="s">
        <v>19</v>
      </c>
      <c r="H526" s="8" t="s">
        <v>215</v>
      </c>
      <c r="I526" s="3">
        <v>2</v>
      </c>
      <c r="J526" s="8" t="s">
        <v>149</v>
      </c>
      <c r="K526" s="8" t="s">
        <v>150</v>
      </c>
      <c r="L526" s="8" t="s">
        <v>557</v>
      </c>
      <c r="M526" s="1" t="s">
        <v>207</v>
      </c>
      <c r="N526" s="8" t="s">
        <v>208</v>
      </c>
      <c r="O526" s="6">
        <v>0</v>
      </c>
      <c r="P526" s="6">
        <v>0</v>
      </c>
      <c r="Q526" s="6">
        <v>1</v>
      </c>
      <c r="R526" s="6">
        <v>0</v>
      </c>
      <c r="S526" s="6">
        <v>0</v>
      </c>
    </row>
    <row r="527" spans="1:19" ht="15" hidden="1" x14ac:dyDescent="0.25">
      <c r="A527" s="7" t="s">
        <v>16</v>
      </c>
      <c r="B527" s="7" t="s">
        <v>17</v>
      </c>
      <c r="C527" s="7" t="s">
        <v>18</v>
      </c>
      <c r="D527" s="4">
        <v>2643405000173</v>
      </c>
      <c r="E527" s="8" t="s">
        <v>642</v>
      </c>
      <c r="F527" s="8" t="s">
        <v>643</v>
      </c>
      <c r="G527" s="8" t="s">
        <v>19</v>
      </c>
      <c r="H527" s="8" t="s">
        <v>215</v>
      </c>
      <c r="I527" s="3">
        <v>2</v>
      </c>
      <c r="J527" s="8" t="s">
        <v>151</v>
      </c>
      <c r="K527" s="8" t="s">
        <v>152</v>
      </c>
      <c r="L527" s="8" t="s">
        <v>556</v>
      </c>
      <c r="M527" s="1" t="s">
        <v>207</v>
      </c>
      <c r="N527" s="8" t="s">
        <v>208</v>
      </c>
      <c r="O527" s="6">
        <v>0</v>
      </c>
      <c r="P527" s="6">
        <v>0</v>
      </c>
      <c r="Q527" s="6">
        <v>0</v>
      </c>
      <c r="R527" s="6">
        <v>6</v>
      </c>
      <c r="S527" s="6">
        <v>0</v>
      </c>
    </row>
    <row r="528" spans="1:19" ht="15" hidden="1" x14ac:dyDescent="0.25">
      <c r="A528" s="7" t="s">
        <v>16</v>
      </c>
      <c r="B528" s="7" t="s">
        <v>17</v>
      </c>
      <c r="C528" s="7" t="s">
        <v>18</v>
      </c>
      <c r="D528" s="4">
        <v>2643405000173</v>
      </c>
      <c r="E528" s="8" t="s">
        <v>642</v>
      </c>
      <c r="F528" s="8" t="s">
        <v>643</v>
      </c>
      <c r="G528" s="8" t="s">
        <v>19</v>
      </c>
      <c r="H528" s="8" t="s">
        <v>215</v>
      </c>
      <c r="I528" s="3">
        <v>2</v>
      </c>
      <c r="J528" s="8" t="s">
        <v>149</v>
      </c>
      <c r="K528" s="8" t="s">
        <v>150</v>
      </c>
      <c r="L528" s="8" t="s">
        <v>557</v>
      </c>
      <c r="M528" s="1" t="s">
        <v>207</v>
      </c>
      <c r="N528" s="8" t="s">
        <v>208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</row>
    <row r="529" spans="1:19" ht="15" hidden="1" x14ac:dyDescent="0.25">
      <c r="A529" s="7" t="s">
        <v>16</v>
      </c>
      <c r="B529" s="7" t="s">
        <v>17</v>
      </c>
      <c r="C529" s="7" t="s">
        <v>18</v>
      </c>
      <c r="D529" s="4">
        <v>60003761000129</v>
      </c>
      <c r="E529" s="8" t="s">
        <v>728</v>
      </c>
      <c r="F529" s="8" t="s">
        <v>643</v>
      </c>
      <c r="G529" s="8" t="s">
        <v>19</v>
      </c>
      <c r="H529" s="8" t="s">
        <v>215</v>
      </c>
      <c r="I529" s="3">
        <v>2</v>
      </c>
      <c r="J529" s="8" t="s">
        <v>151</v>
      </c>
      <c r="K529" s="8" t="s">
        <v>152</v>
      </c>
      <c r="L529" s="8" t="s">
        <v>556</v>
      </c>
      <c r="M529" s="1" t="s">
        <v>207</v>
      </c>
      <c r="N529" s="8" t="s">
        <v>208</v>
      </c>
      <c r="O529" s="6">
        <v>0</v>
      </c>
      <c r="P529" s="6">
        <v>0</v>
      </c>
      <c r="Q529" s="6">
        <v>0</v>
      </c>
      <c r="R529" s="6">
        <v>0</v>
      </c>
      <c r="S529" s="6">
        <v>0</v>
      </c>
    </row>
    <row r="530" spans="1:19" ht="15" hidden="1" x14ac:dyDescent="0.25">
      <c r="A530" s="7" t="s">
        <v>16</v>
      </c>
      <c r="B530" s="7" t="s">
        <v>17</v>
      </c>
      <c r="C530" s="7" t="s">
        <v>18</v>
      </c>
      <c r="D530" s="4">
        <v>60003761000129</v>
      </c>
      <c r="E530" s="8" t="s">
        <v>728</v>
      </c>
      <c r="F530" s="8" t="s">
        <v>643</v>
      </c>
      <c r="G530" s="8" t="s">
        <v>19</v>
      </c>
      <c r="H530" s="8" t="s">
        <v>215</v>
      </c>
      <c r="I530" s="3">
        <v>2</v>
      </c>
      <c r="J530" s="8" t="s">
        <v>149</v>
      </c>
      <c r="K530" s="8" t="s">
        <v>150</v>
      </c>
      <c r="L530" s="8" t="s">
        <v>557</v>
      </c>
      <c r="M530" s="1" t="s">
        <v>207</v>
      </c>
      <c r="N530" s="8" t="s">
        <v>208</v>
      </c>
      <c r="O530" s="6">
        <v>0</v>
      </c>
      <c r="P530" s="6">
        <v>10</v>
      </c>
      <c r="Q530" s="6">
        <v>0</v>
      </c>
      <c r="R530" s="6">
        <v>0</v>
      </c>
      <c r="S530" s="6">
        <v>0</v>
      </c>
    </row>
    <row r="531" spans="1:19" ht="15" hidden="1" x14ac:dyDescent="0.25">
      <c r="A531" s="7" t="s">
        <v>16</v>
      </c>
      <c r="B531" s="7" t="s">
        <v>17</v>
      </c>
      <c r="C531" s="7" t="s">
        <v>18</v>
      </c>
      <c r="D531" s="4">
        <v>59972307000105</v>
      </c>
      <c r="E531" s="8" t="s">
        <v>727</v>
      </c>
      <c r="F531" s="8" t="s">
        <v>643</v>
      </c>
      <c r="G531" s="8" t="s">
        <v>19</v>
      </c>
      <c r="H531" s="8" t="s">
        <v>215</v>
      </c>
      <c r="I531" s="3">
        <v>2</v>
      </c>
      <c r="J531" s="8" t="s">
        <v>151</v>
      </c>
      <c r="K531" s="8" t="s">
        <v>152</v>
      </c>
      <c r="L531" s="8" t="s">
        <v>556</v>
      </c>
      <c r="M531" s="1" t="s">
        <v>207</v>
      </c>
      <c r="N531" s="8" t="s">
        <v>208</v>
      </c>
      <c r="O531" s="6">
        <v>0</v>
      </c>
      <c r="P531" s="6">
        <v>0</v>
      </c>
      <c r="Q531" s="6">
        <v>0</v>
      </c>
      <c r="R531" s="6">
        <v>0</v>
      </c>
      <c r="S531" s="6">
        <v>0</v>
      </c>
    </row>
    <row r="532" spans="1:19" ht="15" hidden="1" x14ac:dyDescent="0.25">
      <c r="A532" s="7" t="s">
        <v>16</v>
      </c>
      <c r="B532" s="7" t="s">
        <v>17</v>
      </c>
      <c r="C532" s="7" t="s">
        <v>18</v>
      </c>
      <c r="D532" s="4">
        <v>59972307000105</v>
      </c>
      <c r="E532" s="8" t="s">
        <v>727</v>
      </c>
      <c r="F532" s="8" t="s">
        <v>643</v>
      </c>
      <c r="G532" s="8" t="s">
        <v>19</v>
      </c>
      <c r="H532" s="8" t="s">
        <v>215</v>
      </c>
      <c r="I532" s="3">
        <v>2</v>
      </c>
      <c r="J532" s="8" t="s">
        <v>149</v>
      </c>
      <c r="K532" s="8" t="s">
        <v>150</v>
      </c>
      <c r="L532" s="8" t="s">
        <v>557</v>
      </c>
      <c r="M532" s="1" t="s">
        <v>207</v>
      </c>
      <c r="N532" s="8" t="s">
        <v>208</v>
      </c>
      <c r="O532" s="6">
        <v>0</v>
      </c>
      <c r="P532" s="6">
        <v>2</v>
      </c>
      <c r="Q532" s="6">
        <v>0</v>
      </c>
      <c r="R532" s="6">
        <v>0</v>
      </c>
      <c r="S532" s="6">
        <v>0</v>
      </c>
    </row>
    <row r="533" spans="1:19" ht="15" hidden="1" x14ac:dyDescent="0.25">
      <c r="A533" s="7" t="s">
        <v>16</v>
      </c>
      <c r="B533" s="7" t="s">
        <v>17</v>
      </c>
      <c r="C533" s="7" t="s">
        <v>18</v>
      </c>
      <c r="D533" s="4">
        <v>45184066000117</v>
      </c>
      <c r="E533" s="8" t="s">
        <v>684</v>
      </c>
      <c r="F533" s="8" t="s">
        <v>650</v>
      </c>
      <c r="G533" s="8" t="s">
        <v>19</v>
      </c>
      <c r="H533" s="8" t="s">
        <v>215</v>
      </c>
      <c r="I533" s="3">
        <v>2</v>
      </c>
      <c r="J533" s="8" t="s">
        <v>161</v>
      </c>
      <c r="K533" s="8" t="s">
        <v>162</v>
      </c>
      <c r="L533" s="8" t="s">
        <v>556</v>
      </c>
      <c r="M533" s="1" t="s">
        <v>207</v>
      </c>
      <c r="N533" s="8" t="s">
        <v>208</v>
      </c>
      <c r="O533" s="6">
        <v>0</v>
      </c>
      <c r="P533" s="6">
        <v>0</v>
      </c>
      <c r="Q533" s="6">
        <v>0</v>
      </c>
      <c r="R533" s="6">
        <v>14</v>
      </c>
      <c r="S533" s="6">
        <v>0</v>
      </c>
    </row>
    <row r="534" spans="1:19" ht="15" hidden="1" x14ac:dyDescent="0.25">
      <c r="A534" s="7" t="s">
        <v>16</v>
      </c>
      <c r="B534" s="7" t="s">
        <v>17</v>
      </c>
      <c r="C534" s="7" t="s">
        <v>18</v>
      </c>
      <c r="D534" s="4">
        <v>45184066000117</v>
      </c>
      <c r="E534" s="8" t="s">
        <v>684</v>
      </c>
      <c r="F534" s="8" t="s">
        <v>650</v>
      </c>
      <c r="G534" s="8" t="s">
        <v>19</v>
      </c>
      <c r="H534" s="8" t="s">
        <v>215</v>
      </c>
      <c r="I534" s="3">
        <v>2</v>
      </c>
      <c r="J534" s="8" t="s">
        <v>183</v>
      </c>
      <c r="K534" s="8" t="s">
        <v>184</v>
      </c>
      <c r="L534" s="8" t="s">
        <v>557</v>
      </c>
      <c r="M534" s="1" t="s">
        <v>207</v>
      </c>
      <c r="N534" s="8" t="s">
        <v>208</v>
      </c>
      <c r="O534" s="6">
        <v>0</v>
      </c>
      <c r="P534" s="6">
        <v>0</v>
      </c>
      <c r="Q534" s="6">
        <v>0</v>
      </c>
      <c r="R534" s="6">
        <v>0</v>
      </c>
      <c r="S534" s="6">
        <v>0</v>
      </c>
    </row>
    <row r="535" spans="1:19" ht="15" hidden="1" x14ac:dyDescent="0.25">
      <c r="A535" s="7" t="s">
        <v>16</v>
      </c>
      <c r="B535" s="7" t="s">
        <v>17</v>
      </c>
      <c r="C535" s="7" t="s">
        <v>18</v>
      </c>
      <c r="D535" s="4">
        <v>60214517001691</v>
      </c>
      <c r="E535" s="8" t="s">
        <v>732</v>
      </c>
      <c r="F535" s="8" t="s">
        <v>650</v>
      </c>
      <c r="G535" s="8" t="s">
        <v>19</v>
      </c>
      <c r="H535" s="8" t="s">
        <v>215</v>
      </c>
      <c r="I535" s="3">
        <v>2</v>
      </c>
      <c r="J535" s="8" t="s">
        <v>161</v>
      </c>
      <c r="K535" s="8" t="s">
        <v>162</v>
      </c>
      <c r="L535" s="8" t="s">
        <v>556</v>
      </c>
      <c r="M535" s="1" t="s">
        <v>207</v>
      </c>
      <c r="N535" s="8" t="s">
        <v>208</v>
      </c>
      <c r="O535" s="6">
        <v>0</v>
      </c>
      <c r="P535" s="6">
        <v>0</v>
      </c>
      <c r="Q535" s="6">
        <v>0</v>
      </c>
      <c r="R535" s="6">
        <v>0</v>
      </c>
      <c r="S535" s="6">
        <v>150</v>
      </c>
    </row>
    <row r="536" spans="1:19" ht="15" hidden="1" x14ac:dyDescent="0.25">
      <c r="A536" s="7" t="s">
        <v>16</v>
      </c>
      <c r="B536" s="7" t="s">
        <v>17</v>
      </c>
      <c r="C536" s="7" t="s">
        <v>18</v>
      </c>
      <c r="D536" s="4">
        <v>60214517001691</v>
      </c>
      <c r="E536" s="8" t="s">
        <v>732</v>
      </c>
      <c r="F536" s="8" t="s">
        <v>650</v>
      </c>
      <c r="G536" s="8" t="s">
        <v>19</v>
      </c>
      <c r="H536" s="8" t="s">
        <v>215</v>
      </c>
      <c r="I536" s="3">
        <v>2</v>
      </c>
      <c r="J536" s="8" t="s">
        <v>183</v>
      </c>
      <c r="K536" s="8" t="s">
        <v>184</v>
      </c>
      <c r="L536" s="8" t="s">
        <v>557</v>
      </c>
      <c r="M536" s="1" t="s">
        <v>207</v>
      </c>
      <c r="N536" s="8" t="s">
        <v>208</v>
      </c>
      <c r="O536" s="6">
        <v>0</v>
      </c>
      <c r="P536" s="6">
        <v>0</v>
      </c>
      <c r="Q536" s="6">
        <v>0</v>
      </c>
      <c r="R536" s="6">
        <v>0</v>
      </c>
      <c r="S536" s="6">
        <v>150</v>
      </c>
    </row>
    <row r="537" spans="1:19" ht="15" hidden="1" x14ac:dyDescent="0.25">
      <c r="A537" s="7" t="s">
        <v>16</v>
      </c>
      <c r="B537" s="7" t="s">
        <v>17</v>
      </c>
      <c r="C537" s="7" t="s">
        <v>18</v>
      </c>
      <c r="D537" s="4">
        <v>6047087003073</v>
      </c>
      <c r="E537" s="8" t="s">
        <v>649</v>
      </c>
      <c r="F537" s="8" t="s">
        <v>650</v>
      </c>
      <c r="G537" s="8" t="s">
        <v>19</v>
      </c>
      <c r="H537" s="8" t="s">
        <v>215</v>
      </c>
      <c r="I537" s="3">
        <v>2</v>
      </c>
      <c r="J537" s="8" t="s">
        <v>161</v>
      </c>
      <c r="K537" s="8" t="s">
        <v>162</v>
      </c>
      <c r="L537" s="8" t="s">
        <v>556</v>
      </c>
      <c r="M537" s="1" t="s">
        <v>207</v>
      </c>
      <c r="N537" s="8" t="s">
        <v>208</v>
      </c>
      <c r="O537" s="6">
        <v>2</v>
      </c>
      <c r="P537" s="6">
        <v>0</v>
      </c>
      <c r="Q537" s="6">
        <v>0</v>
      </c>
      <c r="R537" s="6">
        <v>48</v>
      </c>
      <c r="S537" s="6">
        <v>250</v>
      </c>
    </row>
    <row r="538" spans="1:19" ht="15" hidden="1" x14ac:dyDescent="0.25">
      <c r="A538" s="7" t="s">
        <v>16</v>
      </c>
      <c r="B538" s="7" t="s">
        <v>17</v>
      </c>
      <c r="C538" s="7" t="s">
        <v>18</v>
      </c>
      <c r="D538" s="4">
        <v>6047087003073</v>
      </c>
      <c r="E538" s="8" t="s">
        <v>649</v>
      </c>
      <c r="F538" s="8" t="s">
        <v>650</v>
      </c>
      <c r="G538" s="8" t="s">
        <v>19</v>
      </c>
      <c r="H538" s="8" t="s">
        <v>215</v>
      </c>
      <c r="I538" s="3">
        <v>2</v>
      </c>
      <c r="J538" s="8" t="s">
        <v>183</v>
      </c>
      <c r="K538" s="8" t="s">
        <v>184</v>
      </c>
      <c r="L538" s="8" t="s">
        <v>557</v>
      </c>
      <c r="M538" s="1" t="s">
        <v>207</v>
      </c>
      <c r="N538" s="8" t="s">
        <v>208</v>
      </c>
      <c r="O538" s="6">
        <v>0</v>
      </c>
      <c r="P538" s="6">
        <v>0</v>
      </c>
      <c r="Q538" s="6">
        <v>0</v>
      </c>
      <c r="R538" s="6">
        <v>0</v>
      </c>
      <c r="S538" s="6">
        <v>250</v>
      </c>
    </row>
    <row r="539" spans="1:19" ht="15" hidden="1" x14ac:dyDescent="0.25">
      <c r="A539" s="7" t="s">
        <v>16</v>
      </c>
      <c r="B539" s="7" t="s">
        <v>17</v>
      </c>
      <c r="C539" s="7" t="s">
        <v>18</v>
      </c>
      <c r="D539" s="4">
        <v>18321477000134</v>
      </c>
      <c r="E539" s="8" t="s">
        <v>664</v>
      </c>
      <c r="F539" s="8" t="s">
        <v>650</v>
      </c>
      <c r="G539" s="8" t="s">
        <v>19</v>
      </c>
      <c r="H539" s="8" t="s">
        <v>215</v>
      </c>
      <c r="I539" s="3">
        <v>2</v>
      </c>
      <c r="J539" s="8" t="s">
        <v>161</v>
      </c>
      <c r="K539" s="8" t="s">
        <v>162</v>
      </c>
      <c r="L539" s="8" t="s">
        <v>556</v>
      </c>
      <c r="M539" s="1" t="s">
        <v>207</v>
      </c>
      <c r="N539" s="8" t="s">
        <v>208</v>
      </c>
      <c r="O539" s="6">
        <v>0</v>
      </c>
      <c r="P539" s="6">
        <v>0</v>
      </c>
      <c r="Q539" s="6">
        <v>0</v>
      </c>
      <c r="R539" s="6">
        <v>48</v>
      </c>
      <c r="S539" s="6">
        <v>0</v>
      </c>
    </row>
    <row r="540" spans="1:19" ht="15" hidden="1" x14ac:dyDescent="0.25">
      <c r="A540" s="7" t="s">
        <v>16</v>
      </c>
      <c r="B540" s="7" t="s">
        <v>17</v>
      </c>
      <c r="C540" s="7" t="s">
        <v>18</v>
      </c>
      <c r="D540" s="4">
        <v>18321477000134</v>
      </c>
      <c r="E540" s="8" t="s">
        <v>664</v>
      </c>
      <c r="F540" s="8" t="s">
        <v>650</v>
      </c>
      <c r="G540" s="8" t="s">
        <v>19</v>
      </c>
      <c r="H540" s="8" t="s">
        <v>215</v>
      </c>
      <c r="I540" s="3">
        <v>2</v>
      </c>
      <c r="J540" s="8" t="s">
        <v>183</v>
      </c>
      <c r="K540" s="8" t="s">
        <v>184</v>
      </c>
      <c r="L540" s="8" t="s">
        <v>557</v>
      </c>
      <c r="M540" s="1" t="s">
        <v>207</v>
      </c>
      <c r="N540" s="8" t="s">
        <v>208</v>
      </c>
      <c r="O540" s="6">
        <v>0</v>
      </c>
      <c r="P540" s="6">
        <v>0</v>
      </c>
      <c r="Q540" s="6">
        <v>0</v>
      </c>
      <c r="R540" s="6">
        <v>0</v>
      </c>
      <c r="S540" s="6">
        <v>0</v>
      </c>
    </row>
    <row r="541" spans="1:19" ht="15" hidden="1" x14ac:dyDescent="0.25">
      <c r="A541" s="7" t="s">
        <v>16</v>
      </c>
      <c r="B541" s="7" t="s">
        <v>17</v>
      </c>
      <c r="C541" s="7" t="s">
        <v>18</v>
      </c>
      <c r="D541" s="4">
        <v>60214517000962</v>
      </c>
      <c r="E541" s="8" t="s">
        <v>729</v>
      </c>
      <c r="F541" s="8" t="s">
        <v>650</v>
      </c>
      <c r="G541" s="8" t="s">
        <v>19</v>
      </c>
      <c r="H541" s="8" t="s">
        <v>215</v>
      </c>
      <c r="I541" s="3">
        <v>2</v>
      </c>
      <c r="J541" s="8" t="s">
        <v>161</v>
      </c>
      <c r="K541" s="8" t="s">
        <v>162</v>
      </c>
      <c r="L541" s="8" t="s">
        <v>556</v>
      </c>
      <c r="M541" s="1" t="s">
        <v>207</v>
      </c>
      <c r="N541" s="8" t="s">
        <v>208</v>
      </c>
      <c r="O541" s="6">
        <v>0</v>
      </c>
      <c r="P541" s="6">
        <v>0</v>
      </c>
      <c r="Q541" s="6">
        <v>0</v>
      </c>
      <c r="R541" s="6">
        <v>0</v>
      </c>
      <c r="S541" s="6">
        <v>90</v>
      </c>
    </row>
    <row r="542" spans="1:19" ht="15" hidden="1" x14ac:dyDescent="0.25">
      <c r="A542" s="7" t="s">
        <v>16</v>
      </c>
      <c r="B542" s="7" t="s">
        <v>17</v>
      </c>
      <c r="C542" s="7" t="s">
        <v>18</v>
      </c>
      <c r="D542" s="4">
        <v>60214517000962</v>
      </c>
      <c r="E542" s="8" t="s">
        <v>729</v>
      </c>
      <c r="F542" s="8" t="s">
        <v>650</v>
      </c>
      <c r="G542" s="8" t="s">
        <v>19</v>
      </c>
      <c r="H542" s="8" t="s">
        <v>215</v>
      </c>
      <c r="I542" s="3">
        <v>2</v>
      </c>
      <c r="J542" s="8" t="s">
        <v>183</v>
      </c>
      <c r="K542" s="8" t="s">
        <v>184</v>
      </c>
      <c r="L542" s="8" t="s">
        <v>557</v>
      </c>
      <c r="M542" s="1" t="s">
        <v>207</v>
      </c>
      <c r="N542" s="8" t="s">
        <v>208</v>
      </c>
      <c r="O542" s="6">
        <v>0</v>
      </c>
      <c r="P542" s="6">
        <v>0</v>
      </c>
      <c r="Q542" s="6">
        <v>0</v>
      </c>
      <c r="R542" s="6">
        <v>0</v>
      </c>
      <c r="S542" s="6">
        <v>90</v>
      </c>
    </row>
    <row r="543" spans="1:19" ht="15" hidden="1" x14ac:dyDescent="0.25">
      <c r="A543" s="7" t="s">
        <v>16</v>
      </c>
      <c r="B543" s="7" t="s">
        <v>17</v>
      </c>
      <c r="C543" s="7" t="s">
        <v>18</v>
      </c>
      <c r="D543" s="4">
        <v>60961968000106</v>
      </c>
      <c r="E543" s="8" t="s">
        <v>621</v>
      </c>
      <c r="F543" s="8" t="s">
        <v>29</v>
      </c>
      <c r="G543" s="8" t="s">
        <v>19</v>
      </c>
      <c r="H543" s="8" t="s">
        <v>215</v>
      </c>
      <c r="I543" s="3">
        <v>2</v>
      </c>
      <c r="J543" s="8" t="s">
        <v>1355</v>
      </c>
      <c r="K543" s="8" t="s">
        <v>1356</v>
      </c>
      <c r="L543" s="8" t="s">
        <v>556</v>
      </c>
      <c r="M543" s="1" t="s">
        <v>207</v>
      </c>
      <c r="N543" s="8" t="s">
        <v>208</v>
      </c>
      <c r="O543" s="6">
        <v>0</v>
      </c>
      <c r="P543" s="6">
        <v>0</v>
      </c>
      <c r="Q543" s="6">
        <v>0</v>
      </c>
      <c r="R543" s="6">
        <v>0</v>
      </c>
      <c r="S543" s="6">
        <v>1825</v>
      </c>
    </row>
    <row r="544" spans="1:19" ht="15" hidden="1" x14ac:dyDescent="0.25">
      <c r="A544" s="7" t="s">
        <v>16</v>
      </c>
      <c r="B544" s="7" t="s">
        <v>17</v>
      </c>
      <c r="C544" s="7" t="s">
        <v>18</v>
      </c>
      <c r="D544" s="4">
        <v>60961968000106</v>
      </c>
      <c r="E544" s="8" t="s">
        <v>621</v>
      </c>
      <c r="F544" s="8" t="s">
        <v>29</v>
      </c>
      <c r="G544" s="8" t="s">
        <v>19</v>
      </c>
      <c r="H544" s="8" t="s">
        <v>215</v>
      </c>
      <c r="I544" s="3">
        <v>2</v>
      </c>
      <c r="J544" s="8" t="s">
        <v>177</v>
      </c>
      <c r="K544" s="8" t="s">
        <v>178</v>
      </c>
      <c r="L544" s="8" t="s">
        <v>557</v>
      </c>
      <c r="M544" s="1" t="s">
        <v>207</v>
      </c>
      <c r="N544" s="8" t="s">
        <v>208</v>
      </c>
      <c r="O544" s="6">
        <v>0</v>
      </c>
      <c r="P544" s="6">
        <v>0</v>
      </c>
      <c r="Q544" s="6">
        <v>0</v>
      </c>
      <c r="R544" s="6">
        <v>0</v>
      </c>
      <c r="S544" s="6">
        <v>1825</v>
      </c>
    </row>
    <row r="545" spans="1:19" ht="15" hidden="1" x14ac:dyDescent="0.25">
      <c r="A545" s="7" t="s">
        <v>16</v>
      </c>
      <c r="B545" s="7" t="s">
        <v>17</v>
      </c>
      <c r="C545" s="7" t="s">
        <v>18</v>
      </c>
      <c r="D545" s="4">
        <v>51722957010226</v>
      </c>
      <c r="E545" s="8" t="s">
        <v>603</v>
      </c>
      <c r="F545" s="8" t="s">
        <v>29</v>
      </c>
      <c r="G545" s="8" t="s">
        <v>19</v>
      </c>
      <c r="H545" s="8" t="s">
        <v>215</v>
      </c>
      <c r="I545" s="3">
        <v>2</v>
      </c>
      <c r="J545" s="8" t="s">
        <v>161</v>
      </c>
      <c r="K545" s="8" t="s">
        <v>162</v>
      </c>
      <c r="L545" s="8" t="s">
        <v>556</v>
      </c>
      <c r="M545" s="1" t="s">
        <v>207</v>
      </c>
      <c r="N545" s="8" t="s">
        <v>208</v>
      </c>
      <c r="O545" s="6">
        <v>0</v>
      </c>
      <c r="P545" s="6">
        <v>0</v>
      </c>
      <c r="Q545" s="6">
        <v>0</v>
      </c>
      <c r="R545" s="6">
        <v>7</v>
      </c>
      <c r="S545" s="6">
        <v>535</v>
      </c>
    </row>
    <row r="546" spans="1:19" ht="15" hidden="1" x14ac:dyDescent="0.25">
      <c r="A546" s="7" t="s">
        <v>16</v>
      </c>
      <c r="B546" s="7" t="s">
        <v>17</v>
      </c>
      <c r="C546" s="7" t="s">
        <v>18</v>
      </c>
      <c r="D546" s="4">
        <v>51722957010226</v>
      </c>
      <c r="E546" s="8" t="s">
        <v>603</v>
      </c>
      <c r="F546" s="8" t="s">
        <v>29</v>
      </c>
      <c r="G546" s="8" t="s">
        <v>19</v>
      </c>
      <c r="H546" s="8" t="s">
        <v>215</v>
      </c>
      <c r="I546" s="3">
        <v>2</v>
      </c>
      <c r="J546" s="8" t="s">
        <v>183</v>
      </c>
      <c r="K546" s="8" t="s">
        <v>184</v>
      </c>
      <c r="L546" s="8" t="s">
        <v>557</v>
      </c>
      <c r="M546" s="1" t="s">
        <v>207</v>
      </c>
      <c r="N546" s="8" t="s">
        <v>208</v>
      </c>
      <c r="O546" s="6">
        <v>0</v>
      </c>
      <c r="P546" s="6">
        <v>0</v>
      </c>
      <c r="Q546" s="6">
        <v>0</v>
      </c>
      <c r="R546" s="6">
        <v>0</v>
      </c>
      <c r="S546" s="6">
        <v>535</v>
      </c>
    </row>
    <row r="547" spans="1:19" ht="15" hidden="1" x14ac:dyDescent="0.25">
      <c r="A547" s="7" t="s">
        <v>16</v>
      </c>
      <c r="B547" s="7" t="s">
        <v>17</v>
      </c>
      <c r="C547" s="7" t="s">
        <v>18</v>
      </c>
      <c r="D547" s="4">
        <v>18180008000142</v>
      </c>
      <c r="E547" s="8" t="s">
        <v>585</v>
      </c>
      <c r="F547" s="8" t="s">
        <v>29</v>
      </c>
      <c r="G547" s="8" t="s">
        <v>19</v>
      </c>
      <c r="H547" s="8" t="s">
        <v>215</v>
      </c>
      <c r="I547" s="3">
        <v>2</v>
      </c>
      <c r="J547" s="8" t="s">
        <v>161</v>
      </c>
      <c r="K547" s="8" t="s">
        <v>162</v>
      </c>
      <c r="L547" s="8" t="s">
        <v>556</v>
      </c>
      <c r="M547" s="1" t="s">
        <v>207</v>
      </c>
      <c r="N547" s="8" t="s">
        <v>208</v>
      </c>
      <c r="O547" s="6">
        <v>0</v>
      </c>
      <c r="P547" s="6">
        <v>0</v>
      </c>
      <c r="Q547" s="6">
        <v>0</v>
      </c>
      <c r="R547" s="6">
        <v>0</v>
      </c>
      <c r="S547" s="6">
        <v>0</v>
      </c>
    </row>
    <row r="548" spans="1:19" ht="15" hidden="1" x14ac:dyDescent="0.25">
      <c r="A548" s="7" t="s">
        <v>16</v>
      </c>
      <c r="B548" s="7" t="s">
        <v>17</v>
      </c>
      <c r="C548" s="7" t="s">
        <v>18</v>
      </c>
      <c r="D548" s="4">
        <v>18180008000142</v>
      </c>
      <c r="E548" s="8" t="s">
        <v>585</v>
      </c>
      <c r="F548" s="8" t="s">
        <v>29</v>
      </c>
      <c r="G548" s="8" t="s">
        <v>19</v>
      </c>
      <c r="H548" s="8" t="s">
        <v>215</v>
      </c>
      <c r="I548" s="3">
        <v>2</v>
      </c>
      <c r="J548" s="8" t="s">
        <v>177</v>
      </c>
      <c r="K548" s="8" t="s">
        <v>178</v>
      </c>
      <c r="L548" s="8" t="s">
        <v>557</v>
      </c>
      <c r="M548" s="1" t="s">
        <v>207</v>
      </c>
      <c r="N548" s="8" t="s">
        <v>208</v>
      </c>
      <c r="O548" s="6">
        <v>0</v>
      </c>
      <c r="P548" s="6">
        <v>2</v>
      </c>
      <c r="Q548" s="6">
        <v>0</v>
      </c>
      <c r="R548" s="6">
        <v>0</v>
      </c>
      <c r="S548" s="6">
        <v>0</v>
      </c>
    </row>
    <row r="549" spans="1:19" ht="15" hidden="1" x14ac:dyDescent="0.25">
      <c r="A549" s="7" t="s">
        <v>16</v>
      </c>
      <c r="B549" s="7" t="s">
        <v>17</v>
      </c>
      <c r="C549" s="7" t="s">
        <v>18</v>
      </c>
      <c r="D549" s="4">
        <v>2383508000494</v>
      </c>
      <c r="E549" s="8" t="s">
        <v>562</v>
      </c>
      <c r="F549" s="8" t="s">
        <v>29</v>
      </c>
      <c r="G549" s="8" t="s">
        <v>19</v>
      </c>
      <c r="H549" s="8" t="s">
        <v>215</v>
      </c>
      <c r="I549" s="3">
        <v>2</v>
      </c>
      <c r="J549" s="8" t="s">
        <v>161</v>
      </c>
      <c r="K549" s="8" t="s">
        <v>162</v>
      </c>
      <c r="L549" s="8" t="s">
        <v>556</v>
      </c>
      <c r="M549" s="1" t="s">
        <v>207</v>
      </c>
      <c r="N549" s="8" t="s">
        <v>208</v>
      </c>
      <c r="O549" s="6">
        <v>0</v>
      </c>
      <c r="P549" s="6">
        <v>0</v>
      </c>
      <c r="Q549" s="6">
        <v>0</v>
      </c>
      <c r="R549" s="6">
        <v>31</v>
      </c>
      <c r="S549" s="6">
        <v>0</v>
      </c>
    </row>
    <row r="550" spans="1:19" ht="15" hidden="1" x14ac:dyDescent="0.25">
      <c r="A550" s="7" t="s">
        <v>16</v>
      </c>
      <c r="B550" s="7" t="s">
        <v>17</v>
      </c>
      <c r="C550" s="7" t="s">
        <v>18</v>
      </c>
      <c r="D550" s="4">
        <v>2383508000494</v>
      </c>
      <c r="E550" s="8" t="s">
        <v>562</v>
      </c>
      <c r="F550" s="8" t="s">
        <v>29</v>
      </c>
      <c r="G550" s="8" t="s">
        <v>19</v>
      </c>
      <c r="H550" s="8" t="s">
        <v>215</v>
      </c>
      <c r="I550" s="3">
        <v>2</v>
      </c>
      <c r="J550" s="8" t="s">
        <v>147</v>
      </c>
      <c r="K550" s="8" t="s">
        <v>148</v>
      </c>
      <c r="L550" s="8" t="s">
        <v>557</v>
      </c>
      <c r="M550" s="1" t="s">
        <v>207</v>
      </c>
      <c r="N550" s="8" t="s">
        <v>208</v>
      </c>
      <c r="O550" s="6">
        <v>0</v>
      </c>
      <c r="P550" s="6">
        <v>0</v>
      </c>
      <c r="Q550" s="6">
        <v>0</v>
      </c>
      <c r="R550" s="6">
        <v>0</v>
      </c>
      <c r="S550" s="6">
        <v>0</v>
      </c>
    </row>
    <row r="551" spans="1:19" ht="15" hidden="1" x14ac:dyDescent="0.25">
      <c r="A551" s="7" t="s">
        <v>16</v>
      </c>
      <c r="B551" s="7" t="s">
        <v>17</v>
      </c>
      <c r="C551" s="7" t="s">
        <v>18</v>
      </c>
      <c r="D551" s="4">
        <v>43643139000409</v>
      </c>
      <c r="E551" s="8" t="s">
        <v>596</v>
      </c>
      <c r="F551" s="8" t="s">
        <v>29</v>
      </c>
      <c r="G551" s="8" t="s">
        <v>19</v>
      </c>
      <c r="H551" s="8" t="s">
        <v>215</v>
      </c>
      <c r="I551" s="3">
        <v>2</v>
      </c>
      <c r="J551" s="8" t="s">
        <v>161</v>
      </c>
      <c r="K551" s="8" t="s">
        <v>162</v>
      </c>
      <c r="L551" s="8" t="s">
        <v>556</v>
      </c>
      <c r="M551" s="1" t="s">
        <v>207</v>
      </c>
      <c r="N551" s="8" t="s">
        <v>208</v>
      </c>
      <c r="O551" s="6">
        <v>0</v>
      </c>
      <c r="P551" s="6">
        <v>0</v>
      </c>
      <c r="Q551" s="6">
        <v>0</v>
      </c>
      <c r="R551" s="6">
        <v>0</v>
      </c>
      <c r="S551" s="6">
        <v>160</v>
      </c>
    </row>
    <row r="552" spans="1:19" ht="15" hidden="1" x14ac:dyDescent="0.25">
      <c r="A552" s="7" t="s">
        <v>16</v>
      </c>
      <c r="B552" s="7" t="s">
        <v>17</v>
      </c>
      <c r="C552" s="7" t="s">
        <v>18</v>
      </c>
      <c r="D552" s="4">
        <v>43643139000409</v>
      </c>
      <c r="E552" s="8" t="s">
        <v>596</v>
      </c>
      <c r="F552" s="8" t="s">
        <v>29</v>
      </c>
      <c r="G552" s="8" t="s">
        <v>19</v>
      </c>
      <c r="H552" s="8" t="s">
        <v>215</v>
      </c>
      <c r="I552" s="3">
        <v>2</v>
      </c>
      <c r="J552" s="8" t="s">
        <v>147</v>
      </c>
      <c r="K552" s="8" t="s">
        <v>148</v>
      </c>
      <c r="L552" s="8" t="s">
        <v>557</v>
      </c>
      <c r="M552" s="1" t="s">
        <v>207</v>
      </c>
      <c r="N552" s="8" t="s">
        <v>208</v>
      </c>
      <c r="O552" s="6">
        <v>0</v>
      </c>
      <c r="P552" s="6">
        <v>0</v>
      </c>
      <c r="Q552" s="6">
        <v>0</v>
      </c>
      <c r="R552" s="6">
        <v>0</v>
      </c>
      <c r="S552" s="6">
        <v>160</v>
      </c>
    </row>
    <row r="553" spans="1:19" ht="15" hidden="1" x14ac:dyDescent="0.25">
      <c r="A553" s="7" t="s">
        <v>16</v>
      </c>
      <c r="B553" s="7" t="s">
        <v>17</v>
      </c>
      <c r="C553" s="7" t="s">
        <v>18</v>
      </c>
      <c r="D553" s="4">
        <v>8871521000126</v>
      </c>
      <c r="E553" s="8" t="s">
        <v>577</v>
      </c>
      <c r="F553" s="8" t="s">
        <v>29</v>
      </c>
      <c r="G553" s="8" t="s">
        <v>19</v>
      </c>
      <c r="H553" s="8" t="s">
        <v>215</v>
      </c>
      <c r="I553" s="3">
        <v>2</v>
      </c>
      <c r="J553" s="8" t="s">
        <v>1355</v>
      </c>
      <c r="K553" s="8" t="s">
        <v>1356</v>
      </c>
      <c r="L553" s="8" t="s">
        <v>556</v>
      </c>
      <c r="M553" s="1" t="s">
        <v>207</v>
      </c>
      <c r="N553" s="8" t="s">
        <v>208</v>
      </c>
      <c r="O553" s="6">
        <v>0</v>
      </c>
      <c r="P553" s="6">
        <v>0</v>
      </c>
      <c r="Q553" s="6">
        <v>0</v>
      </c>
      <c r="R553" s="6">
        <v>0</v>
      </c>
      <c r="S553" s="6">
        <v>60</v>
      </c>
    </row>
    <row r="554" spans="1:19" ht="15" hidden="1" x14ac:dyDescent="0.25">
      <c r="A554" s="7" t="s">
        <v>16</v>
      </c>
      <c r="B554" s="7" t="s">
        <v>17</v>
      </c>
      <c r="C554" s="7" t="s">
        <v>18</v>
      </c>
      <c r="D554" s="4">
        <v>8871521000126</v>
      </c>
      <c r="E554" s="8" t="s">
        <v>577</v>
      </c>
      <c r="F554" s="8" t="s">
        <v>29</v>
      </c>
      <c r="G554" s="8" t="s">
        <v>19</v>
      </c>
      <c r="H554" s="8" t="s">
        <v>215</v>
      </c>
      <c r="I554" s="3">
        <v>2</v>
      </c>
      <c r="J554" s="8" t="s">
        <v>177</v>
      </c>
      <c r="K554" s="8" t="s">
        <v>178</v>
      </c>
      <c r="L554" s="8" t="s">
        <v>557</v>
      </c>
      <c r="M554" s="1" t="s">
        <v>207</v>
      </c>
      <c r="N554" s="8" t="s">
        <v>208</v>
      </c>
      <c r="O554" s="6">
        <v>0</v>
      </c>
      <c r="P554" s="6">
        <v>0</v>
      </c>
      <c r="Q554" s="6">
        <v>0</v>
      </c>
      <c r="R554" s="6">
        <v>0</v>
      </c>
      <c r="S554" s="6">
        <v>60</v>
      </c>
    </row>
    <row r="555" spans="1:19" ht="15" hidden="1" x14ac:dyDescent="0.25">
      <c r="A555" s="7" t="s">
        <v>16</v>
      </c>
      <c r="B555" s="7" t="s">
        <v>17</v>
      </c>
      <c r="C555" s="7" t="s">
        <v>18</v>
      </c>
      <c r="D555" s="4">
        <v>59481028000130</v>
      </c>
      <c r="E555" s="8" t="s">
        <v>608</v>
      </c>
      <c r="F555" s="8" t="s">
        <v>29</v>
      </c>
      <c r="G555" s="8" t="s">
        <v>19</v>
      </c>
      <c r="H555" s="8" t="s">
        <v>215</v>
      </c>
      <c r="I555" s="3">
        <v>2</v>
      </c>
      <c r="J555" s="8" t="s">
        <v>161</v>
      </c>
      <c r="K555" s="8" t="s">
        <v>162</v>
      </c>
      <c r="L555" s="8" t="s">
        <v>556</v>
      </c>
      <c r="M555" s="1" t="s">
        <v>207</v>
      </c>
      <c r="N555" s="8" t="s">
        <v>208</v>
      </c>
      <c r="O555" s="6">
        <v>0</v>
      </c>
      <c r="P555" s="6">
        <v>0</v>
      </c>
      <c r="Q555" s="6">
        <v>0</v>
      </c>
      <c r="R555" s="6">
        <v>0</v>
      </c>
      <c r="S555" s="6">
        <v>10</v>
      </c>
    </row>
    <row r="556" spans="1:19" ht="15" hidden="1" x14ac:dyDescent="0.25">
      <c r="A556" s="7" t="s">
        <v>16</v>
      </c>
      <c r="B556" s="7" t="s">
        <v>17</v>
      </c>
      <c r="C556" s="7" t="s">
        <v>18</v>
      </c>
      <c r="D556" s="4">
        <v>59481028000130</v>
      </c>
      <c r="E556" s="8" t="s">
        <v>608</v>
      </c>
      <c r="F556" s="8" t="s">
        <v>29</v>
      </c>
      <c r="G556" s="8" t="s">
        <v>19</v>
      </c>
      <c r="H556" s="8" t="s">
        <v>215</v>
      </c>
      <c r="I556" s="3">
        <v>2</v>
      </c>
      <c r="J556" s="8" t="s">
        <v>147</v>
      </c>
      <c r="K556" s="8" t="s">
        <v>148</v>
      </c>
      <c r="L556" s="8" t="s">
        <v>557</v>
      </c>
      <c r="M556" s="1" t="s">
        <v>207</v>
      </c>
      <c r="N556" s="8" t="s">
        <v>208</v>
      </c>
      <c r="O556" s="6">
        <v>0</v>
      </c>
      <c r="P556" s="6">
        <v>0</v>
      </c>
      <c r="Q556" s="6">
        <v>0</v>
      </c>
      <c r="R556" s="6">
        <v>0</v>
      </c>
      <c r="S556" s="6">
        <v>10</v>
      </c>
    </row>
    <row r="557" spans="1:19" ht="15" hidden="1" x14ac:dyDescent="0.25">
      <c r="A557" s="7" t="s">
        <v>16</v>
      </c>
      <c r="B557" s="7" t="s">
        <v>17</v>
      </c>
      <c r="C557" s="7" t="s">
        <v>18</v>
      </c>
      <c r="D557" s="4">
        <v>10468341000220</v>
      </c>
      <c r="E557" s="8" t="s">
        <v>582</v>
      </c>
      <c r="F557" s="8" t="s">
        <v>29</v>
      </c>
      <c r="G557" s="8" t="s">
        <v>19</v>
      </c>
      <c r="H557" s="8" t="s">
        <v>215</v>
      </c>
      <c r="I557" s="3">
        <v>2</v>
      </c>
      <c r="J557" s="8" t="s">
        <v>161</v>
      </c>
      <c r="K557" s="8" t="s">
        <v>162</v>
      </c>
      <c r="L557" s="8" t="s">
        <v>556</v>
      </c>
      <c r="M557" s="1" t="s">
        <v>207</v>
      </c>
      <c r="N557" s="8" t="s">
        <v>208</v>
      </c>
      <c r="O557" s="6">
        <v>0</v>
      </c>
      <c r="P557" s="6">
        <v>0</v>
      </c>
      <c r="Q557" s="6">
        <v>0</v>
      </c>
      <c r="R557" s="6">
        <v>12</v>
      </c>
      <c r="S557" s="6">
        <v>635</v>
      </c>
    </row>
    <row r="558" spans="1:19" ht="15" hidden="1" x14ac:dyDescent="0.25">
      <c r="A558" s="7" t="s">
        <v>16</v>
      </c>
      <c r="B558" s="7" t="s">
        <v>17</v>
      </c>
      <c r="C558" s="7" t="s">
        <v>18</v>
      </c>
      <c r="D558" s="4">
        <v>10468341000220</v>
      </c>
      <c r="E558" s="8" t="s">
        <v>582</v>
      </c>
      <c r="F558" s="8" t="s">
        <v>29</v>
      </c>
      <c r="G558" s="8" t="s">
        <v>19</v>
      </c>
      <c r="H558" s="8" t="s">
        <v>215</v>
      </c>
      <c r="I558" s="3">
        <v>2</v>
      </c>
      <c r="J558" s="8" t="s">
        <v>183</v>
      </c>
      <c r="K558" s="8" t="s">
        <v>184</v>
      </c>
      <c r="L558" s="8" t="s">
        <v>557</v>
      </c>
      <c r="M558" s="1" t="s">
        <v>207</v>
      </c>
      <c r="N558" s="8" t="s">
        <v>208</v>
      </c>
      <c r="O558" s="6">
        <v>0</v>
      </c>
      <c r="P558" s="6">
        <v>0</v>
      </c>
      <c r="Q558" s="6">
        <v>0</v>
      </c>
      <c r="R558" s="6">
        <v>0</v>
      </c>
      <c r="S558" s="6">
        <v>635</v>
      </c>
    </row>
    <row r="559" spans="1:19" ht="15" hidden="1" x14ac:dyDescent="0.25">
      <c r="A559" s="7" t="s">
        <v>16</v>
      </c>
      <c r="B559" s="7" t="s">
        <v>17</v>
      </c>
      <c r="C559" s="7" t="s">
        <v>18</v>
      </c>
      <c r="D559" s="4">
        <v>10468341000140</v>
      </c>
      <c r="E559" s="8" t="s">
        <v>581</v>
      </c>
      <c r="F559" s="8" t="s">
        <v>29</v>
      </c>
      <c r="G559" s="8" t="s">
        <v>19</v>
      </c>
      <c r="H559" s="8" t="s">
        <v>215</v>
      </c>
      <c r="I559" s="3">
        <v>2</v>
      </c>
      <c r="J559" s="8" t="s">
        <v>161</v>
      </c>
      <c r="K559" s="8" t="s">
        <v>162</v>
      </c>
      <c r="L559" s="8" t="s">
        <v>556</v>
      </c>
      <c r="M559" s="1" t="s">
        <v>207</v>
      </c>
      <c r="N559" s="8" t="s">
        <v>208</v>
      </c>
      <c r="O559" s="6">
        <v>0</v>
      </c>
      <c r="P559" s="6">
        <v>0</v>
      </c>
      <c r="Q559" s="6">
        <v>0</v>
      </c>
      <c r="R559" s="6">
        <v>36</v>
      </c>
      <c r="S559" s="6">
        <v>2065</v>
      </c>
    </row>
    <row r="560" spans="1:19" ht="15" hidden="1" x14ac:dyDescent="0.25">
      <c r="A560" s="7" t="s">
        <v>16</v>
      </c>
      <c r="B560" s="7" t="s">
        <v>17</v>
      </c>
      <c r="C560" s="7" t="s">
        <v>18</v>
      </c>
      <c r="D560" s="4">
        <v>10468341000140</v>
      </c>
      <c r="E560" s="8" t="s">
        <v>581</v>
      </c>
      <c r="F560" s="8" t="s">
        <v>29</v>
      </c>
      <c r="G560" s="8" t="s">
        <v>19</v>
      </c>
      <c r="H560" s="8" t="s">
        <v>215</v>
      </c>
      <c r="I560" s="3">
        <v>2</v>
      </c>
      <c r="J560" s="8" t="s">
        <v>183</v>
      </c>
      <c r="K560" s="8" t="s">
        <v>184</v>
      </c>
      <c r="L560" s="8" t="s">
        <v>557</v>
      </c>
      <c r="M560" s="1" t="s">
        <v>207</v>
      </c>
      <c r="N560" s="8" t="s">
        <v>208</v>
      </c>
      <c r="O560" s="6">
        <v>0</v>
      </c>
      <c r="P560" s="6">
        <v>0</v>
      </c>
      <c r="Q560" s="6">
        <v>0</v>
      </c>
      <c r="R560" s="6">
        <v>0</v>
      </c>
      <c r="S560" s="6">
        <v>2065</v>
      </c>
    </row>
    <row r="561" spans="1:19" ht="15" hidden="1" x14ac:dyDescent="0.25">
      <c r="A561" s="7" t="s">
        <v>16</v>
      </c>
      <c r="B561" s="7" t="s">
        <v>17</v>
      </c>
      <c r="C561" s="7" t="s">
        <v>18</v>
      </c>
      <c r="D561" s="4">
        <v>29435005009932</v>
      </c>
      <c r="E561" s="8" t="s">
        <v>595</v>
      </c>
      <c r="F561" s="8" t="s">
        <v>29</v>
      </c>
      <c r="G561" s="8" t="s">
        <v>19</v>
      </c>
      <c r="H561" s="8" t="s">
        <v>215</v>
      </c>
      <c r="I561" s="3">
        <v>2</v>
      </c>
      <c r="J561" s="8" t="s">
        <v>1355</v>
      </c>
      <c r="K561" s="8" t="s">
        <v>1356</v>
      </c>
      <c r="L561" s="8" t="s">
        <v>556</v>
      </c>
      <c r="M561" s="1" t="s">
        <v>207</v>
      </c>
      <c r="N561" s="8" t="s">
        <v>208</v>
      </c>
      <c r="O561" s="6">
        <v>0</v>
      </c>
      <c r="P561" s="6">
        <v>0</v>
      </c>
      <c r="Q561" s="6">
        <v>0</v>
      </c>
      <c r="R561" s="6">
        <v>0</v>
      </c>
      <c r="S561" s="6">
        <v>350</v>
      </c>
    </row>
    <row r="562" spans="1:19" ht="15" hidden="1" x14ac:dyDescent="0.25">
      <c r="A562" s="7" t="s">
        <v>16</v>
      </c>
      <c r="B562" s="7" t="s">
        <v>17</v>
      </c>
      <c r="C562" s="7" t="s">
        <v>18</v>
      </c>
      <c r="D562" s="4">
        <v>29435005009932</v>
      </c>
      <c r="E562" s="8" t="s">
        <v>595</v>
      </c>
      <c r="F562" s="8" t="s">
        <v>29</v>
      </c>
      <c r="G562" s="8" t="s">
        <v>19</v>
      </c>
      <c r="H562" s="8" t="s">
        <v>215</v>
      </c>
      <c r="I562" s="3">
        <v>2</v>
      </c>
      <c r="J562" s="8" t="s">
        <v>147</v>
      </c>
      <c r="K562" s="8" t="s">
        <v>148</v>
      </c>
      <c r="L562" s="8" t="s">
        <v>557</v>
      </c>
      <c r="M562" s="1" t="s">
        <v>207</v>
      </c>
      <c r="N562" s="8" t="s">
        <v>208</v>
      </c>
      <c r="O562" s="6">
        <v>0</v>
      </c>
      <c r="P562" s="6">
        <v>4</v>
      </c>
      <c r="Q562" s="6">
        <v>6</v>
      </c>
      <c r="R562" s="6">
        <v>0</v>
      </c>
      <c r="S562" s="6">
        <v>350</v>
      </c>
    </row>
    <row r="563" spans="1:19" ht="15" hidden="1" x14ac:dyDescent="0.25">
      <c r="A563" s="7" t="s">
        <v>16</v>
      </c>
      <c r="B563" s="7" t="s">
        <v>17</v>
      </c>
      <c r="C563" s="7" t="s">
        <v>18</v>
      </c>
      <c r="D563" s="4">
        <v>10323381000101</v>
      </c>
      <c r="E563" s="8" t="s">
        <v>580</v>
      </c>
      <c r="F563" s="8" t="s">
        <v>29</v>
      </c>
      <c r="G563" s="8" t="s">
        <v>19</v>
      </c>
      <c r="H563" s="8" t="s">
        <v>215</v>
      </c>
      <c r="I563" s="3">
        <v>2</v>
      </c>
      <c r="J563" s="8" t="s">
        <v>161</v>
      </c>
      <c r="K563" s="8" t="s">
        <v>162</v>
      </c>
      <c r="L563" s="8" t="s">
        <v>556</v>
      </c>
      <c r="M563" s="1" t="s">
        <v>207</v>
      </c>
      <c r="N563" s="8" t="s">
        <v>208</v>
      </c>
      <c r="O563" s="6">
        <v>0</v>
      </c>
      <c r="P563" s="6">
        <v>0</v>
      </c>
      <c r="Q563" s="6">
        <v>0</v>
      </c>
      <c r="R563" s="6">
        <v>3</v>
      </c>
      <c r="S563" s="6">
        <v>0</v>
      </c>
    </row>
    <row r="564" spans="1:19" ht="15" hidden="1" x14ac:dyDescent="0.25">
      <c r="A564" s="7" t="s">
        <v>16</v>
      </c>
      <c r="B564" s="7" t="s">
        <v>17</v>
      </c>
      <c r="C564" s="7" t="s">
        <v>18</v>
      </c>
      <c r="D564" s="4">
        <v>10323381000101</v>
      </c>
      <c r="E564" s="8" t="s">
        <v>580</v>
      </c>
      <c r="F564" s="8" t="s">
        <v>29</v>
      </c>
      <c r="G564" s="8" t="s">
        <v>19</v>
      </c>
      <c r="H564" s="8" t="s">
        <v>215</v>
      </c>
      <c r="I564" s="3">
        <v>2</v>
      </c>
      <c r="J564" s="8" t="s">
        <v>147</v>
      </c>
      <c r="K564" s="8" t="s">
        <v>148</v>
      </c>
      <c r="L564" s="8" t="s">
        <v>557</v>
      </c>
      <c r="M564" s="1" t="s">
        <v>207</v>
      </c>
      <c r="N564" s="8" t="s">
        <v>208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</row>
    <row r="565" spans="1:19" ht="15" hidden="1" x14ac:dyDescent="0.25">
      <c r="A565" s="7" t="s">
        <v>16</v>
      </c>
      <c r="B565" s="7" t="s">
        <v>17</v>
      </c>
      <c r="C565" s="7" t="s">
        <v>18</v>
      </c>
      <c r="D565" s="4">
        <v>28290788000307</v>
      </c>
      <c r="E565" s="8" t="s">
        <v>592</v>
      </c>
      <c r="F565" s="8" t="s">
        <v>29</v>
      </c>
      <c r="G565" s="8" t="s">
        <v>19</v>
      </c>
      <c r="H565" s="8" t="s">
        <v>215</v>
      </c>
      <c r="I565" s="3">
        <v>2</v>
      </c>
      <c r="J565" s="8" t="s">
        <v>1355</v>
      </c>
      <c r="K565" s="8" t="s">
        <v>1356</v>
      </c>
      <c r="L565" s="8" t="s">
        <v>556</v>
      </c>
      <c r="M565" s="1" t="s">
        <v>207</v>
      </c>
      <c r="N565" s="8" t="s">
        <v>208</v>
      </c>
      <c r="O565" s="6">
        <v>0</v>
      </c>
      <c r="P565" s="6">
        <v>0</v>
      </c>
      <c r="Q565" s="6">
        <v>0</v>
      </c>
      <c r="R565" s="6">
        <v>24</v>
      </c>
      <c r="S565" s="6">
        <v>0</v>
      </c>
    </row>
    <row r="566" spans="1:19" ht="15" hidden="1" x14ac:dyDescent="0.25">
      <c r="A566" s="7" t="s">
        <v>16</v>
      </c>
      <c r="B566" s="7" t="s">
        <v>17</v>
      </c>
      <c r="C566" s="7" t="s">
        <v>18</v>
      </c>
      <c r="D566" s="4">
        <v>28290788000307</v>
      </c>
      <c r="E566" s="8" t="s">
        <v>592</v>
      </c>
      <c r="F566" s="8" t="s">
        <v>29</v>
      </c>
      <c r="G566" s="8" t="s">
        <v>19</v>
      </c>
      <c r="H566" s="8" t="s">
        <v>215</v>
      </c>
      <c r="I566" s="3">
        <v>2</v>
      </c>
      <c r="J566" s="8" t="s">
        <v>147</v>
      </c>
      <c r="K566" s="8" t="s">
        <v>148</v>
      </c>
      <c r="L566" s="8" t="s">
        <v>557</v>
      </c>
      <c r="M566" s="1" t="s">
        <v>207</v>
      </c>
      <c r="N566" s="8" t="s">
        <v>208</v>
      </c>
      <c r="O566" s="6">
        <v>0</v>
      </c>
      <c r="P566" s="6">
        <v>0</v>
      </c>
      <c r="Q566" s="6">
        <v>0</v>
      </c>
      <c r="R566" s="6">
        <v>0</v>
      </c>
      <c r="S566" s="6">
        <v>0</v>
      </c>
    </row>
    <row r="567" spans="1:19" ht="15" hidden="1" x14ac:dyDescent="0.25">
      <c r="A567" s="7" t="s">
        <v>16</v>
      </c>
      <c r="B567" s="7" t="s">
        <v>17</v>
      </c>
      <c r="C567" s="7" t="s">
        <v>18</v>
      </c>
      <c r="D567" s="4">
        <v>3872790000193</v>
      </c>
      <c r="E567" s="8" t="s">
        <v>564</v>
      </c>
      <c r="F567" s="8" t="s">
        <v>29</v>
      </c>
      <c r="G567" s="8" t="s">
        <v>19</v>
      </c>
      <c r="H567" s="8" t="s">
        <v>215</v>
      </c>
      <c r="I567" s="3">
        <v>2</v>
      </c>
      <c r="J567" s="8" t="s">
        <v>161</v>
      </c>
      <c r="K567" s="8" t="s">
        <v>162</v>
      </c>
      <c r="L567" s="8" t="s">
        <v>556</v>
      </c>
      <c r="M567" s="1" t="s">
        <v>207</v>
      </c>
      <c r="N567" s="8" t="s">
        <v>208</v>
      </c>
      <c r="O567" s="6">
        <v>0</v>
      </c>
      <c r="P567" s="6">
        <v>0</v>
      </c>
      <c r="Q567" s="6">
        <v>0</v>
      </c>
      <c r="R567" s="6">
        <v>8</v>
      </c>
      <c r="S567" s="6">
        <v>0</v>
      </c>
    </row>
    <row r="568" spans="1:19" ht="15" hidden="1" x14ac:dyDescent="0.25">
      <c r="A568" s="7" t="s">
        <v>16</v>
      </c>
      <c r="B568" s="7" t="s">
        <v>17</v>
      </c>
      <c r="C568" s="7" t="s">
        <v>18</v>
      </c>
      <c r="D568" s="4">
        <v>3872790000193</v>
      </c>
      <c r="E568" s="8" t="s">
        <v>564</v>
      </c>
      <c r="F568" s="8" t="s">
        <v>29</v>
      </c>
      <c r="G568" s="8" t="s">
        <v>19</v>
      </c>
      <c r="H568" s="8" t="s">
        <v>215</v>
      </c>
      <c r="I568" s="3">
        <v>2</v>
      </c>
      <c r="J568" s="8" t="s">
        <v>147</v>
      </c>
      <c r="K568" s="8" t="s">
        <v>148</v>
      </c>
      <c r="L568" s="8" t="s">
        <v>557</v>
      </c>
      <c r="M568" s="1" t="s">
        <v>207</v>
      </c>
      <c r="N568" s="8" t="s">
        <v>208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</row>
    <row r="569" spans="1:19" ht="15" hidden="1" x14ac:dyDescent="0.25">
      <c r="A569" s="7" t="s">
        <v>16</v>
      </c>
      <c r="B569" s="7" t="s">
        <v>17</v>
      </c>
      <c r="C569" s="7" t="s">
        <v>18</v>
      </c>
      <c r="D569" s="4">
        <v>61849980001087</v>
      </c>
      <c r="E569" s="8" t="s">
        <v>632</v>
      </c>
      <c r="F569" s="8" t="s">
        <v>29</v>
      </c>
      <c r="G569" s="8" t="s">
        <v>19</v>
      </c>
      <c r="H569" s="8" t="s">
        <v>215</v>
      </c>
      <c r="I569" s="3">
        <v>2</v>
      </c>
      <c r="J569" s="8" t="s">
        <v>161</v>
      </c>
      <c r="K569" s="8" t="s">
        <v>162</v>
      </c>
      <c r="L569" s="8" t="s">
        <v>556</v>
      </c>
      <c r="M569" s="1" t="s">
        <v>207</v>
      </c>
      <c r="N569" s="8" t="s">
        <v>208</v>
      </c>
      <c r="O569" s="6">
        <v>0</v>
      </c>
      <c r="P569" s="6">
        <v>0</v>
      </c>
      <c r="Q569" s="6">
        <v>0</v>
      </c>
      <c r="R569" s="6">
        <v>0</v>
      </c>
      <c r="S569" s="6">
        <v>40</v>
      </c>
    </row>
    <row r="570" spans="1:19" ht="15" hidden="1" x14ac:dyDescent="0.25">
      <c r="A570" s="7" t="s">
        <v>16</v>
      </c>
      <c r="B570" s="7" t="s">
        <v>17</v>
      </c>
      <c r="C570" s="7" t="s">
        <v>18</v>
      </c>
      <c r="D570" s="4">
        <v>61849980001087</v>
      </c>
      <c r="E570" s="8" t="s">
        <v>632</v>
      </c>
      <c r="F570" s="8" t="s">
        <v>29</v>
      </c>
      <c r="G570" s="8" t="s">
        <v>19</v>
      </c>
      <c r="H570" s="8" t="s">
        <v>215</v>
      </c>
      <c r="I570" s="3">
        <v>2</v>
      </c>
      <c r="J570" s="8" t="s">
        <v>147</v>
      </c>
      <c r="K570" s="8" t="s">
        <v>148</v>
      </c>
      <c r="L570" s="8" t="s">
        <v>557</v>
      </c>
      <c r="M570" s="1" t="s">
        <v>207</v>
      </c>
      <c r="N570" s="8" t="s">
        <v>208</v>
      </c>
      <c r="O570" s="6">
        <v>0</v>
      </c>
      <c r="P570" s="6">
        <v>0</v>
      </c>
      <c r="Q570" s="6">
        <v>0</v>
      </c>
      <c r="R570" s="6">
        <v>0</v>
      </c>
      <c r="S570" s="6">
        <v>40</v>
      </c>
    </row>
    <row r="571" spans="1:19" ht="15" hidden="1" x14ac:dyDescent="0.25">
      <c r="A571" s="7" t="s">
        <v>16</v>
      </c>
      <c r="B571" s="7" t="s">
        <v>17</v>
      </c>
      <c r="C571" s="7" t="s">
        <v>18</v>
      </c>
      <c r="D571" s="4">
        <v>8100676000835</v>
      </c>
      <c r="E571" s="8" t="s">
        <v>573</v>
      </c>
      <c r="F571" s="8" t="s">
        <v>29</v>
      </c>
      <c r="G571" s="8" t="s">
        <v>19</v>
      </c>
      <c r="H571" s="8" t="s">
        <v>215</v>
      </c>
      <c r="I571" s="3">
        <v>2</v>
      </c>
      <c r="J571" s="8" t="s">
        <v>161</v>
      </c>
      <c r="K571" s="8" t="s">
        <v>162</v>
      </c>
      <c r="L571" s="8" t="s">
        <v>556</v>
      </c>
      <c r="M571" s="1" t="s">
        <v>207</v>
      </c>
      <c r="N571" s="8" t="s">
        <v>208</v>
      </c>
      <c r="O571" s="6">
        <v>0</v>
      </c>
      <c r="P571" s="6">
        <v>0</v>
      </c>
      <c r="Q571" s="6">
        <v>0</v>
      </c>
      <c r="R571" s="6">
        <v>0</v>
      </c>
      <c r="S571" s="6">
        <v>25</v>
      </c>
    </row>
    <row r="572" spans="1:19" ht="15" hidden="1" x14ac:dyDescent="0.25">
      <c r="A572" s="7" t="s">
        <v>16</v>
      </c>
      <c r="B572" s="7" t="s">
        <v>17</v>
      </c>
      <c r="C572" s="7" t="s">
        <v>18</v>
      </c>
      <c r="D572" s="4">
        <v>8100676000835</v>
      </c>
      <c r="E572" s="8" t="s">
        <v>573</v>
      </c>
      <c r="F572" s="8" t="s">
        <v>29</v>
      </c>
      <c r="G572" s="8" t="s">
        <v>19</v>
      </c>
      <c r="H572" s="8" t="s">
        <v>215</v>
      </c>
      <c r="I572" s="3">
        <v>2</v>
      </c>
      <c r="J572" s="8" t="s">
        <v>183</v>
      </c>
      <c r="K572" s="8" t="s">
        <v>184</v>
      </c>
      <c r="L572" s="8" t="s">
        <v>557</v>
      </c>
      <c r="M572" s="1" t="s">
        <v>207</v>
      </c>
      <c r="N572" s="8" t="s">
        <v>208</v>
      </c>
      <c r="O572" s="6">
        <v>0</v>
      </c>
      <c r="P572" s="6">
        <v>0</v>
      </c>
      <c r="Q572" s="6">
        <v>0</v>
      </c>
      <c r="R572" s="6">
        <v>0</v>
      </c>
      <c r="S572" s="6">
        <v>25</v>
      </c>
    </row>
    <row r="573" spans="1:19" ht="15" hidden="1" x14ac:dyDescent="0.25">
      <c r="A573" s="7" t="s">
        <v>16</v>
      </c>
      <c r="B573" s="7" t="s">
        <v>17</v>
      </c>
      <c r="C573" s="7" t="s">
        <v>18</v>
      </c>
      <c r="D573" s="4">
        <v>10475230000160</v>
      </c>
      <c r="E573" s="8" t="s">
        <v>583</v>
      </c>
      <c r="F573" s="8" t="s">
        <v>29</v>
      </c>
      <c r="G573" s="8" t="s">
        <v>19</v>
      </c>
      <c r="H573" s="8" t="s">
        <v>215</v>
      </c>
      <c r="I573" s="3">
        <v>2</v>
      </c>
      <c r="J573" s="8" t="s">
        <v>161</v>
      </c>
      <c r="K573" s="8" t="s">
        <v>162</v>
      </c>
      <c r="L573" s="8" t="s">
        <v>556</v>
      </c>
      <c r="M573" s="1" t="s">
        <v>207</v>
      </c>
      <c r="N573" s="8" t="s">
        <v>208</v>
      </c>
      <c r="O573" s="6">
        <v>0</v>
      </c>
      <c r="P573" s="6">
        <v>0</v>
      </c>
      <c r="Q573" s="6">
        <v>0</v>
      </c>
      <c r="R573" s="6">
        <v>0</v>
      </c>
      <c r="S573" s="6">
        <v>45</v>
      </c>
    </row>
    <row r="574" spans="1:19" ht="15" hidden="1" x14ac:dyDescent="0.25">
      <c r="A574" s="7" t="s">
        <v>16</v>
      </c>
      <c r="B574" s="7" t="s">
        <v>17</v>
      </c>
      <c r="C574" s="7" t="s">
        <v>18</v>
      </c>
      <c r="D574" s="4">
        <v>10475230000160</v>
      </c>
      <c r="E574" s="8" t="s">
        <v>583</v>
      </c>
      <c r="F574" s="8" t="s">
        <v>29</v>
      </c>
      <c r="G574" s="8" t="s">
        <v>19</v>
      </c>
      <c r="H574" s="8" t="s">
        <v>215</v>
      </c>
      <c r="I574" s="3">
        <v>2</v>
      </c>
      <c r="J574" s="8" t="s">
        <v>177</v>
      </c>
      <c r="K574" s="8" t="s">
        <v>178</v>
      </c>
      <c r="L574" s="8" t="s">
        <v>557</v>
      </c>
      <c r="M574" s="1" t="s">
        <v>207</v>
      </c>
      <c r="N574" s="8" t="s">
        <v>208</v>
      </c>
      <c r="O574" s="6">
        <v>0</v>
      </c>
      <c r="P574" s="6">
        <v>0</v>
      </c>
      <c r="Q574" s="6">
        <v>0</v>
      </c>
      <c r="R574" s="6">
        <v>0</v>
      </c>
      <c r="S574" s="6">
        <v>45</v>
      </c>
    </row>
    <row r="575" spans="1:19" ht="15" hidden="1" x14ac:dyDescent="0.25">
      <c r="A575" s="7" t="s">
        <v>16</v>
      </c>
      <c r="B575" s="7" t="s">
        <v>17</v>
      </c>
      <c r="C575" s="7" t="s">
        <v>18</v>
      </c>
      <c r="D575" s="4">
        <v>8438844000392</v>
      </c>
      <c r="E575" s="8" t="s">
        <v>575</v>
      </c>
      <c r="F575" s="8" t="s">
        <v>29</v>
      </c>
      <c r="G575" s="8" t="s">
        <v>19</v>
      </c>
      <c r="H575" s="8" t="s">
        <v>215</v>
      </c>
      <c r="I575" s="3">
        <v>2</v>
      </c>
      <c r="J575" s="8" t="s">
        <v>161</v>
      </c>
      <c r="K575" s="8" t="s">
        <v>162</v>
      </c>
      <c r="L575" s="8" t="s">
        <v>556</v>
      </c>
      <c r="M575" s="1" t="s">
        <v>207</v>
      </c>
      <c r="N575" s="8" t="s">
        <v>208</v>
      </c>
      <c r="O575" s="6">
        <v>0</v>
      </c>
      <c r="P575" s="6">
        <v>0</v>
      </c>
      <c r="Q575" s="6">
        <v>0</v>
      </c>
      <c r="R575" s="6">
        <v>2</v>
      </c>
      <c r="S575" s="6">
        <v>0</v>
      </c>
    </row>
    <row r="576" spans="1:19" ht="15" hidden="1" x14ac:dyDescent="0.25">
      <c r="A576" s="7" t="s">
        <v>16</v>
      </c>
      <c r="B576" s="7" t="s">
        <v>17</v>
      </c>
      <c r="C576" s="7" t="s">
        <v>18</v>
      </c>
      <c r="D576" s="4">
        <v>8438844000392</v>
      </c>
      <c r="E576" s="8" t="s">
        <v>575</v>
      </c>
      <c r="F576" s="8" t="s">
        <v>29</v>
      </c>
      <c r="G576" s="8" t="s">
        <v>19</v>
      </c>
      <c r="H576" s="8" t="s">
        <v>215</v>
      </c>
      <c r="I576" s="3">
        <v>2</v>
      </c>
      <c r="J576" s="8" t="s">
        <v>183</v>
      </c>
      <c r="K576" s="8" t="s">
        <v>184</v>
      </c>
      <c r="L576" s="8" t="s">
        <v>557</v>
      </c>
      <c r="M576" s="1" t="s">
        <v>207</v>
      </c>
      <c r="N576" s="8" t="s">
        <v>208</v>
      </c>
      <c r="O576" s="6">
        <v>0</v>
      </c>
      <c r="P576" s="6">
        <v>0</v>
      </c>
      <c r="Q576" s="6">
        <v>0</v>
      </c>
      <c r="R576" s="6">
        <v>0</v>
      </c>
      <c r="S576" s="6">
        <v>0</v>
      </c>
    </row>
    <row r="577" spans="1:19" ht="15" hidden="1" x14ac:dyDescent="0.25">
      <c r="A577" s="7" t="s">
        <v>16</v>
      </c>
      <c r="B577" s="7" t="s">
        <v>17</v>
      </c>
      <c r="C577" s="7" t="s">
        <v>18</v>
      </c>
      <c r="D577" s="4">
        <v>6047087000139</v>
      </c>
      <c r="E577" s="8" t="s">
        <v>568</v>
      </c>
      <c r="F577" s="8" t="s">
        <v>29</v>
      </c>
      <c r="G577" s="8" t="s">
        <v>19</v>
      </c>
      <c r="H577" s="8" t="s">
        <v>215</v>
      </c>
      <c r="I577" s="3">
        <v>2</v>
      </c>
      <c r="J577" s="8" t="s">
        <v>161</v>
      </c>
      <c r="K577" s="8" t="s">
        <v>162</v>
      </c>
      <c r="L577" s="8" t="s">
        <v>556</v>
      </c>
      <c r="M577" s="1" t="s">
        <v>207</v>
      </c>
      <c r="N577" s="8" t="s">
        <v>208</v>
      </c>
      <c r="O577" s="6">
        <v>0</v>
      </c>
      <c r="P577" s="6">
        <v>0</v>
      </c>
      <c r="Q577" s="6">
        <v>0</v>
      </c>
      <c r="R577" s="6">
        <v>0</v>
      </c>
      <c r="S577" s="6">
        <v>0</v>
      </c>
    </row>
    <row r="578" spans="1:19" ht="15" hidden="1" x14ac:dyDescent="0.25">
      <c r="A578" s="7" t="s">
        <v>16</v>
      </c>
      <c r="B578" s="7" t="s">
        <v>17</v>
      </c>
      <c r="C578" s="7" t="s">
        <v>18</v>
      </c>
      <c r="D578" s="4">
        <v>6047087000139</v>
      </c>
      <c r="E578" s="8" t="s">
        <v>568</v>
      </c>
      <c r="F578" s="8" t="s">
        <v>29</v>
      </c>
      <c r="G578" s="8" t="s">
        <v>19</v>
      </c>
      <c r="H578" s="8" t="s">
        <v>215</v>
      </c>
      <c r="I578" s="3">
        <v>2</v>
      </c>
      <c r="J578" s="8" t="s">
        <v>147</v>
      </c>
      <c r="K578" s="8" t="s">
        <v>148</v>
      </c>
      <c r="L578" s="8" t="s">
        <v>557</v>
      </c>
      <c r="M578" s="1" t="s">
        <v>207</v>
      </c>
      <c r="N578" s="8" t="s">
        <v>208</v>
      </c>
      <c r="O578" s="6">
        <v>0</v>
      </c>
      <c r="P578" s="6">
        <v>2</v>
      </c>
      <c r="Q578" s="6">
        <v>0</v>
      </c>
      <c r="R578" s="6">
        <v>0</v>
      </c>
      <c r="S578" s="6">
        <v>0</v>
      </c>
    </row>
    <row r="579" spans="1:19" ht="15" hidden="1" x14ac:dyDescent="0.25">
      <c r="A579" s="7" t="s">
        <v>16</v>
      </c>
      <c r="B579" s="7" t="s">
        <v>17</v>
      </c>
      <c r="C579" s="7" t="s">
        <v>18</v>
      </c>
      <c r="D579" s="4">
        <v>60884855000316</v>
      </c>
      <c r="E579" s="8" t="s">
        <v>617</v>
      </c>
      <c r="F579" s="8" t="s">
        <v>29</v>
      </c>
      <c r="G579" s="8" t="s">
        <v>19</v>
      </c>
      <c r="H579" s="8" t="s">
        <v>215</v>
      </c>
      <c r="I579" s="3">
        <v>2</v>
      </c>
      <c r="J579" s="8" t="s">
        <v>1355</v>
      </c>
      <c r="K579" s="8" t="s">
        <v>1356</v>
      </c>
      <c r="L579" s="8" t="s">
        <v>556</v>
      </c>
      <c r="M579" s="1" t="s">
        <v>207</v>
      </c>
      <c r="N579" s="8" t="s">
        <v>208</v>
      </c>
      <c r="O579" s="6">
        <v>0</v>
      </c>
      <c r="P579" s="6">
        <v>0</v>
      </c>
      <c r="Q579" s="6">
        <v>0</v>
      </c>
      <c r="R579" s="6">
        <v>0</v>
      </c>
      <c r="S579" s="6">
        <v>1930</v>
      </c>
    </row>
    <row r="580" spans="1:19" ht="15" hidden="1" x14ac:dyDescent="0.25">
      <c r="A580" s="7" t="s">
        <v>16</v>
      </c>
      <c r="B580" s="7" t="s">
        <v>17</v>
      </c>
      <c r="C580" s="7" t="s">
        <v>18</v>
      </c>
      <c r="D580" s="4">
        <v>60884855000316</v>
      </c>
      <c r="E580" s="8" t="s">
        <v>617</v>
      </c>
      <c r="F580" s="8" t="s">
        <v>29</v>
      </c>
      <c r="G580" s="8" t="s">
        <v>19</v>
      </c>
      <c r="H580" s="8" t="s">
        <v>215</v>
      </c>
      <c r="I580" s="3">
        <v>2</v>
      </c>
      <c r="J580" s="8" t="s">
        <v>183</v>
      </c>
      <c r="K580" s="8" t="s">
        <v>184</v>
      </c>
      <c r="L580" s="8" t="s">
        <v>557</v>
      </c>
      <c r="M580" s="1" t="s">
        <v>207</v>
      </c>
      <c r="N580" s="8" t="s">
        <v>208</v>
      </c>
      <c r="O580" s="6">
        <v>0</v>
      </c>
      <c r="P580" s="6">
        <v>8</v>
      </c>
      <c r="Q580" s="6">
        <v>38</v>
      </c>
      <c r="R580" s="6">
        <v>0</v>
      </c>
      <c r="S580" s="6">
        <v>1930</v>
      </c>
    </row>
    <row r="581" spans="1:19" ht="15" hidden="1" x14ac:dyDescent="0.25">
      <c r="A581" s="7" t="s">
        <v>16</v>
      </c>
      <c r="B581" s="7" t="s">
        <v>17</v>
      </c>
      <c r="C581" s="7" t="s">
        <v>18</v>
      </c>
      <c r="D581" s="4">
        <v>60726502000126</v>
      </c>
      <c r="E581" s="8" t="s">
        <v>613</v>
      </c>
      <c r="F581" s="8" t="s">
        <v>29</v>
      </c>
      <c r="G581" s="8" t="s">
        <v>19</v>
      </c>
      <c r="H581" s="8" t="s">
        <v>215</v>
      </c>
      <c r="I581" s="3">
        <v>2</v>
      </c>
      <c r="J581" s="8" t="s">
        <v>1355</v>
      </c>
      <c r="K581" s="8" t="s">
        <v>1356</v>
      </c>
      <c r="L581" s="8" t="s">
        <v>556</v>
      </c>
      <c r="M581" s="1" t="s">
        <v>207</v>
      </c>
      <c r="N581" s="8" t="s">
        <v>208</v>
      </c>
      <c r="O581" s="6">
        <v>0</v>
      </c>
      <c r="P581" s="6">
        <v>0</v>
      </c>
      <c r="Q581" s="6">
        <v>0</v>
      </c>
      <c r="R581" s="6">
        <v>0</v>
      </c>
      <c r="S581" s="6">
        <v>390</v>
      </c>
    </row>
    <row r="582" spans="1:19" ht="15" hidden="1" x14ac:dyDescent="0.25">
      <c r="A582" s="7" t="s">
        <v>16</v>
      </c>
      <c r="B582" s="7" t="s">
        <v>17</v>
      </c>
      <c r="C582" s="7" t="s">
        <v>18</v>
      </c>
      <c r="D582" s="4">
        <v>60726502000126</v>
      </c>
      <c r="E582" s="8" t="s">
        <v>613</v>
      </c>
      <c r="F582" s="8" t="s">
        <v>29</v>
      </c>
      <c r="G582" s="8" t="s">
        <v>19</v>
      </c>
      <c r="H582" s="8" t="s">
        <v>215</v>
      </c>
      <c r="I582" s="3">
        <v>2</v>
      </c>
      <c r="J582" s="8" t="s">
        <v>183</v>
      </c>
      <c r="K582" s="8" t="s">
        <v>184</v>
      </c>
      <c r="L582" s="8" t="s">
        <v>557</v>
      </c>
      <c r="M582" s="1" t="s">
        <v>207</v>
      </c>
      <c r="N582" s="8" t="s">
        <v>208</v>
      </c>
      <c r="O582" s="6">
        <v>0</v>
      </c>
      <c r="P582" s="6">
        <v>3</v>
      </c>
      <c r="Q582" s="6">
        <v>6</v>
      </c>
      <c r="R582" s="6">
        <v>0</v>
      </c>
      <c r="S582" s="6">
        <v>390</v>
      </c>
    </row>
    <row r="583" spans="1:19" ht="15" hidden="1" x14ac:dyDescent="0.25">
      <c r="A583" s="7" t="s">
        <v>16</v>
      </c>
      <c r="B583" s="7" t="s">
        <v>17</v>
      </c>
      <c r="C583" s="7" t="s">
        <v>18</v>
      </c>
      <c r="D583" s="4">
        <v>60726502000711</v>
      </c>
      <c r="E583" s="8" t="s">
        <v>614</v>
      </c>
      <c r="F583" s="8" t="s">
        <v>29</v>
      </c>
      <c r="G583" s="8" t="s">
        <v>19</v>
      </c>
      <c r="H583" s="8" t="s">
        <v>215</v>
      </c>
      <c r="I583" s="3">
        <v>2</v>
      </c>
      <c r="J583" s="8" t="s">
        <v>1355</v>
      </c>
      <c r="K583" s="8" t="s">
        <v>1356</v>
      </c>
      <c r="L583" s="8" t="s">
        <v>556</v>
      </c>
      <c r="M583" s="1" t="s">
        <v>207</v>
      </c>
      <c r="N583" s="8" t="s">
        <v>208</v>
      </c>
      <c r="O583" s="6">
        <v>0</v>
      </c>
      <c r="P583" s="6">
        <v>0</v>
      </c>
      <c r="Q583" s="6">
        <v>0</v>
      </c>
      <c r="R583" s="6">
        <v>0</v>
      </c>
      <c r="S583" s="6">
        <v>0</v>
      </c>
    </row>
    <row r="584" spans="1:19" ht="15" hidden="1" x14ac:dyDescent="0.25">
      <c r="A584" s="7" t="s">
        <v>16</v>
      </c>
      <c r="B584" s="7" t="s">
        <v>17</v>
      </c>
      <c r="C584" s="7" t="s">
        <v>18</v>
      </c>
      <c r="D584" s="4">
        <v>60726502000711</v>
      </c>
      <c r="E584" s="8" t="s">
        <v>614</v>
      </c>
      <c r="F584" s="8" t="s">
        <v>29</v>
      </c>
      <c r="G584" s="8" t="s">
        <v>19</v>
      </c>
      <c r="H584" s="8" t="s">
        <v>215</v>
      </c>
      <c r="I584" s="3">
        <v>2</v>
      </c>
      <c r="J584" s="8" t="s">
        <v>183</v>
      </c>
      <c r="K584" s="8" t="s">
        <v>184</v>
      </c>
      <c r="L584" s="8" t="s">
        <v>557</v>
      </c>
      <c r="M584" s="1" t="s">
        <v>207</v>
      </c>
      <c r="N584" s="8" t="s">
        <v>208</v>
      </c>
      <c r="O584" s="6">
        <v>0</v>
      </c>
      <c r="P584" s="6">
        <v>0</v>
      </c>
      <c r="Q584" s="6">
        <v>5</v>
      </c>
      <c r="R584" s="6">
        <v>0</v>
      </c>
      <c r="S584" s="6">
        <v>0</v>
      </c>
    </row>
    <row r="585" spans="1:19" ht="15" hidden="1" x14ac:dyDescent="0.25">
      <c r="A585" s="7" t="s">
        <v>16</v>
      </c>
      <c r="B585" s="7" t="s">
        <v>17</v>
      </c>
      <c r="C585" s="7" t="s">
        <v>18</v>
      </c>
      <c r="D585" s="4">
        <v>8100676000592</v>
      </c>
      <c r="E585" s="8" t="s">
        <v>572</v>
      </c>
      <c r="F585" s="8" t="s">
        <v>29</v>
      </c>
      <c r="G585" s="8" t="s">
        <v>19</v>
      </c>
      <c r="H585" s="8" t="s">
        <v>215</v>
      </c>
      <c r="I585" s="3">
        <v>2</v>
      </c>
      <c r="J585" s="8" t="s">
        <v>161</v>
      </c>
      <c r="K585" s="8" t="s">
        <v>162</v>
      </c>
      <c r="L585" s="8" t="s">
        <v>556</v>
      </c>
      <c r="M585" s="1" t="s">
        <v>207</v>
      </c>
      <c r="N585" s="8" t="s">
        <v>208</v>
      </c>
      <c r="O585" s="6">
        <v>0</v>
      </c>
      <c r="P585" s="6">
        <v>0</v>
      </c>
      <c r="Q585" s="6">
        <v>0</v>
      </c>
      <c r="R585" s="6">
        <v>0</v>
      </c>
      <c r="S585" s="6">
        <v>130</v>
      </c>
    </row>
    <row r="586" spans="1:19" ht="15" hidden="1" x14ac:dyDescent="0.25">
      <c r="A586" s="7" t="s">
        <v>16</v>
      </c>
      <c r="B586" s="7" t="s">
        <v>17</v>
      </c>
      <c r="C586" s="7" t="s">
        <v>18</v>
      </c>
      <c r="D586" s="4">
        <v>8100676000592</v>
      </c>
      <c r="E586" s="8" t="s">
        <v>572</v>
      </c>
      <c r="F586" s="8" t="s">
        <v>29</v>
      </c>
      <c r="G586" s="8" t="s">
        <v>19</v>
      </c>
      <c r="H586" s="8" t="s">
        <v>215</v>
      </c>
      <c r="I586" s="3">
        <v>2</v>
      </c>
      <c r="J586" s="8" t="s">
        <v>183</v>
      </c>
      <c r="K586" s="8" t="s">
        <v>184</v>
      </c>
      <c r="L586" s="8" t="s">
        <v>557</v>
      </c>
      <c r="M586" s="1" t="s">
        <v>207</v>
      </c>
      <c r="N586" s="8" t="s">
        <v>208</v>
      </c>
      <c r="O586" s="6">
        <v>0</v>
      </c>
      <c r="P586" s="6">
        <v>0</v>
      </c>
      <c r="Q586" s="6">
        <v>0</v>
      </c>
      <c r="R586" s="6">
        <v>0</v>
      </c>
      <c r="S586" s="6">
        <v>130</v>
      </c>
    </row>
    <row r="587" spans="1:19" ht="15" hidden="1" x14ac:dyDescent="0.25">
      <c r="A587" s="7" t="s">
        <v>16</v>
      </c>
      <c r="B587" s="7" t="s">
        <v>17</v>
      </c>
      <c r="C587" s="7" t="s">
        <v>18</v>
      </c>
      <c r="D587" s="4">
        <v>8100676002455</v>
      </c>
      <c r="E587" s="8" t="s">
        <v>574</v>
      </c>
      <c r="F587" s="8" t="s">
        <v>29</v>
      </c>
      <c r="G587" s="8" t="s">
        <v>19</v>
      </c>
      <c r="H587" s="8" t="s">
        <v>215</v>
      </c>
      <c r="I587" s="3">
        <v>2</v>
      </c>
      <c r="J587" s="8" t="s">
        <v>161</v>
      </c>
      <c r="K587" s="8" t="s">
        <v>162</v>
      </c>
      <c r="L587" s="8" t="s">
        <v>556</v>
      </c>
      <c r="M587" s="1" t="s">
        <v>207</v>
      </c>
      <c r="N587" s="8" t="s">
        <v>208</v>
      </c>
      <c r="O587" s="6">
        <v>0</v>
      </c>
      <c r="P587" s="6">
        <v>0</v>
      </c>
      <c r="Q587" s="6">
        <v>0</v>
      </c>
      <c r="R587" s="6">
        <v>0</v>
      </c>
      <c r="S587" s="6">
        <v>340</v>
      </c>
    </row>
    <row r="588" spans="1:19" ht="15" hidden="1" x14ac:dyDescent="0.25">
      <c r="A588" s="7" t="s">
        <v>16</v>
      </c>
      <c r="B588" s="7" t="s">
        <v>17</v>
      </c>
      <c r="C588" s="7" t="s">
        <v>18</v>
      </c>
      <c r="D588" s="4">
        <v>8100676002455</v>
      </c>
      <c r="E588" s="8" t="s">
        <v>574</v>
      </c>
      <c r="F588" s="8" t="s">
        <v>29</v>
      </c>
      <c r="G588" s="8" t="s">
        <v>19</v>
      </c>
      <c r="H588" s="8" t="s">
        <v>215</v>
      </c>
      <c r="I588" s="3">
        <v>2</v>
      </c>
      <c r="J588" s="8" t="s">
        <v>183</v>
      </c>
      <c r="K588" s="8" t="s">
        <v>184</v>
      </c>
      <c r="L588" s="8" t="s">
        <v>557</v>
      </c>
      <c r="M588" s="1" t="s">
        <v>207</v>
      </c>
      <c r="N588" s="8" t="s">
        <v>208</v>
      </c>
      <c r="O588" s="6">
        <v>0</v>
      </c>
      <c r="P588" s="6">
        <v>3</v>
      </c>
      <c r="Q588" s="6">
        <v>0</v>
      </c>
      <c r="R588" s="6">
        <v>0</v>
      </c>
      <c r="S588" s="6">
        <v>340</v>
      </c>
    </row>
    <row r="589" spans="1:19" ht="15" hidden="1" x14ac:dyDescent="0.25">
      <c r="A589" s="7" t="s">
        <v>16</v>
      </c>
      <c r="B589" s="7" t="s">
        <v>17</v>
      </c>
      <c r="C589" s="7" t="s">
        <v>18</v>
      </c>
      <c r="D589" s="4">
        <v>60922168004335</v>
      </c>
      <c r="E589" s="8" t="s">
        <v>619</v>
      </c>
      <c r="F589" s="8" t="s">
        <v>29</v>
      </c>
      <c r="G589" s="8" t="s">
        <v>19</v>
      </c>
      <c r="H589" s="8" t="s">
        <v>215</v>
      </c>
      <c r="I589" s="3">
        <v>2</v>
      </c>
      <c r="J589" s="8" t="s">
        <v>161</v>
      </c>
      <c r="K589" s="8" t="s">
        <v>162</v>
      </c>
      <c r="L589" s="8" t="s">
        <v>556</v>
      </c>
      <c r="M589" s="1" t="s">
        <v>207</v>
      </c>
      <c r="N589" s="8" t="s">
        <v>208</v>
      </c>
      <c r="O589" s="6">
        <v>0</v>
      </c>
      <c r="P589" s="6">
        <v>0</v>
      </c>
      <c r="Q589" s="6">
        <v>0</v>
      </c>
      <c r="R589" s="6">
        <v>0</v>
      </c>
      <c r="S589" s="6">
        <v>5</v>
      </c>
    </row>
    <row r="590" spans="1:19" ht="15" hidden="1" x14ac:dyDescent="0.25">
      <c r="A590" s="7" t="s">
        <v>16</v>
      </c>
      <c r="B590" s="7" t="s">
        <v>17</v>
      </c>
      <c r="C590" s="7" t="s">
        <v>18</v>
      </c>
      <c r="D590" s="4">
        <v>60922168004335</v>
      </c>
      <c r="E590" s="8" t="s">
        <v>619</v>
      </c>
      <c r="F590" s="8" t="s">
        <v>29</v>
      </c>
      <c r="G590" s="8" t="s">
        <v>19</v>
      </c>
      <c r="H590" s="8" t="s">
        <v>215</v>
      </c>
      <c r="I590" s="3">
        <v>2</v>
      </c>
      <c r="J590" s="8" t="s">
        <v>183</v>
      </c>
      <c r="K590" s="8" t="s">
        <v>184</v>
      </c>
      <c r="L590" s="8" t="s">
        <v>557</v>
      </c>
      <c r="M590" s="1" t="s">
        <v>207</v>
      </c>
      <c r="N590" s="8" t="s">
        <v>208</v>
      </c>
      <c r="O590" s="6">
        <v>0</v>
      </c>
      <c r="P590" s="6">
        <v>0</v>
      </c>
      <c r="Q590" s="6">
        <v>0</v>
      </c>
      <c r="R590" s="6">
        <v>0</v>
      </c>
      <c r="S590" s="6">
        <v>5</v>
      </c>
    </row>
    <row r="591" spans="1:19" ht="15" hidden="1" x14ac:dyDescent="0.25">
      <c r="A591" s="7" t="s">
        <v>16</v>
      </c>
      <c r="B591" s="7" t="s">
        <v>17</v>
      </c>
      <c r="C591" s="7" t="s">
        <v>18</v>
      </c>
      <c r="D591" s="4">
        <v>21371777000132</v>
      </c>
      <c r="E591" s="8" t="s">
        <v>589</v>
      </c>
      <c r="F591" s="8" t="s">
        <v>29</v>
      </c>
      <c r="G591" s="8" t="s">
        <v>19</v>
      </c>
      <c r="H591" s="8" t="s">
        <v>215</v>
      </c>
      <c r="I591" s="3">
        <v>2</v>
      </c>
      <c r="J591" s="8" t="s">
        <v>161</v>
      </c>
      <c r="K591" s="8" t="s">
        <v>162</v>
      </c>
      <c r="L591" s="8" t="s">
        <v>556</v>
      </c>
      <c r="M591" s="1" t="s">
        <v>207</v>
      </c>
      <c r="N591" s="8" t="s">
        <v>208</v>
      </c>
      <c r="O591" s="6">
        <v>0</v>
      </c>
      <c r="P591" s="6">
        <v>0</v>
      </c>
      <c r="Q591" s="6">
        <v>0</v>
      </c>
      <c r="R591" s="6">
        <v>0</v>
      </c>
      <c r="S591" s="6">
        <v>175</v>
      </c>
    </row>
    <row r="592" spans="1:19" ht="15" hidden="1" x14ac:dyDescent="0.25">
      <c r="A592" s="7" t="s">
        <v>16</v>
      </c>
      <c r="B592" s="7" t="s">
        <v>17</v>
      </c>
      <c r="C592" s="7" t="s">
        <v>18</v>
      </c>
      <c r="D592" s="4">
        <v>21371777000132</v>
      </c>
      <c r="E592" s="8" t="s">
        <v>589</v>
      </c>
      <c r="F592" s="8" t="s">
        <v>29</v>
      </c>
      <c r="G592" s="8" t="s">
        <v>19</v>
      </c>
      <c r="H592" s="8" t="s">
        <v>215</v>
      </c>
      <c r="I592" s="3">
        <v>2</v>
      </c>
      <c r="J592" s="8" t="s">
        <v>183</v>
      </c>
      <c r="K592" s="8" t="s">
        <v>184</v>
      </c>
      <c r="L592" s="8" t="s">
        <v>557</v>
      </c>
      <c r="M592" s="1" t="s">
        <v>207</v>
      </c>
      <c r="N592" s="8" t="s">
        <v>208</v>
      </c>
      <c r="O592" s="6">
        <v>0</v>
      </c>
      <c r="P592" s="6">
        <v>0</v>
      </c>
      <c r="Q592" s="6">
        <v>8</v>
      </c>
      <c r="R592" s="6">
        <v>0</v>
      </c>
      <c r="S592" s="6">
        <v>175</v>
      </c>
    </row>
    <row r="593" spans="1:19" ht="15" hidden="1" x14ac:dyDescent="0.25">
      <c r="A593" s="7" t="s">
        <v>16</v>
      </c>
      <c r="B593" s="7" t="s">
        <v>17</v>
      </c>
      <c r="C593" s="7" t="s">
        <v>18</v>
      </c>
      <c r="D593" s="4">
        <v>60448040000122</v>
      </c>
      <c r="E593" s="8" t="s">
        <v>609</v>
      </c>
      <c r="F593" s="8" t="s">
        <v>29</v>
      </c>
      <c r="G593" s="8" t="s">
        <v>19</v>
      </c>
      <c r="H593" s="8" t="s">
        <v>215</v>
      </c>
      <c r="I593" s="3">
        <v>2</v>
      </c>
      <c r="J593" s="8" t="s">
        <v>1355</v>
      </c>
      <c r="K593" s="8" t="s">
        <v>1356</v>
      </c>
      <c r="L593" s="8" t="s">
        <v>556</v>
      </c>
      <c r="M593" s="1" t="s">
        <v>207</v>
      </c>
      <c r="N593" s="8" t="s">
        <v>208</v>
      </c>
      <c r="O593" s="6">
        <v>0</v>
      </c>
      <c r="P593" s="6">
        <v>0</v>
      </c>
      <c r="Q593" s="6">
        <v>0</v>
      </c>
      <c r="R593" s="6">
        <v>0</v>
      </c>
      <c r="S593" s="6">
        <v>0</v>
      </c>
    </row>
    <row r="594" spans="1:19" ht="15" hidden="1" x14ac:dyDescent="0.25">
      <c r="A594" s="7" t="s">
        <v>16</v>
      </c>
      <c r="B594" s="7" t="s">
        <v>17</v>
      </c>
      <c r="C594" s="7" t="s">
        <v>18</v>
      </c>
      <c r="D594" s="4">
        <v>60448040000122</v>
      </c>
      <c r="E594" s="8" t="s">
        <v>609</v>
      </c>
      <c r="F594" s="8" t="s">
        <v>29</v>
      </c>
      <c r="G594" s="8" t="s">
        <v>19</v>
      </c>
      <c r="H594" s="8" t="s">
        <v>215</v>
      </c>
      <c r="I594" s="3">
        <v>2</v>
      </c>
      <c r="J594" s="8" t="s">
        <v>177</v>
      </c>
      <c r="K594" s="8" t="s">
        <v>178</v>
      </c>
      <c r="L594" s="8" t="s">
        <v>557</v>
      </c>
      <c r="M594" s="1" t="s">
        <v>207</v>
      </c>
      <c r="N594" s="8" t="s">
        <v>208</v>
      </c>
      <c r="O594" s="6">
        <v>0</v>
      </c>
      <c r="P594" s="6">
        <v>60</v>
      </c>
      <c r="Q594" s="6">
        <v>55</v>
      </c>
      <c r="R594" s="6">
        <v>0</v>
      </c>
      <c r="S594" s="6">
        <v>0</v>
      </c>
    </row>
    <row r="595" spans="1:19" ht="15" hidden="1" x14ac:dyDescent="0.25">
      <c r="A595" s="7" t="s">
        <v>16</v>
      </c>
      <c r="B595" s="7" t="s">
        <v>17</v>
      </c>
      <c r="C595" s="7" t="s">
        <v>18</v>
      </c>
      <c r="D595" s="4">
        <v>60453024000390</v>
      </c>
      <c r="E595" s="8" t="s">
        <v>610</v>
      </c>
      <c r="F595" s="8" t="s">
        <v>29</v>
      </c>
      <c r="G595" s="8" t="s">
        <v>19</v>
      </c>
      <c r="H595" s="8" t="s">
        <v>215</v>
      </c>
      <c r="I595" s="3">
        <v>2</v>
      </c>
      <c r="J595" s="8" t="s">
        <v>161</v>
      </c>
      <c r="K595" s="8" t="s">
        <v>162</v>
      </c>
      <c r="L595" s="8" t="s">
        <v>556</v>
      </c>
      <c r="M595" s="1" t="s">
        <v>207</v>
      </c>
      <c r="N595" s="8" t="s">
        <v>208</v>
      </c>
      <c r="O595" s="6">
        <v>0</v>
      </c>
      <c r="P595" s="6">
        <v>0</v>
      </c>
      <c r="Q595" s="6">
        <v>0</v>
      </c>
      <c r="R595" s="6">
        <v>0</v>
      </c>
      <c r="S595" s="6">
        <v>0</v>
      </c>
    </row>
    <row r="596" spans="1:19" ht="15" hidden="1" x14ac:dyDescent="0.25">
      <c r="A596" s="7" t="s">
        <v>16</v>
      </c>
      <c r="B596" s="7" t="s">
        <v>17</v>
      </c>
      <c r="C596" s="7" t="s">
        <v>18</v>
      </c>
      <c r="D596" s="4">
        <v>60453024000390</v>
      </c>
      <c r="E596" s="8" t="s">
        <v>610</v>
      </c>
      <c r="F596" s="8" t="s">
        <v>29</v>
      </c>
      <c r="G596" s="8" t="s">
        <v>19</v>
      </c>
      <c r="H596" s="8" t="s">
        <v>215</v>
      </c>
      <c r="I596" s="3">
        <v>2</v>
      </c>
      <c r="J596" s="8" t="s">
        <v>177</v>
      </c>
      <c r="K596" s="8" t="s">
        <v>178</v>
      </c>
      <c r="L596" s="8" t="s">
        <v>557</v>
      </c>
      <c r="M596" s="1" t="s">
        <v>207</v>
      </c>
      <c r="N596" s="8" t="s">
        <v>208</v>
      </c>
      <c r="O596" s="6">
        <v>0</v>
      </c>
      <c r="P596" s="6">
        <v>5</v>
      </c>
      <c r="Q596" s="6">
        <v>10</v>
      </c>
      <c r="R596" s="6">
        <v>0</v>
      </c>
      <c r="S596" s="6">
        <v>0</v>
      </c>
    </row>
    <row r="597" spans="1:19" ht="15" hidden="1" x14ac:dyDescent="0.25">
      <c r="A597" s="7" t="s">
        <v>16</v>
      </c>
      <c r="B597" s="7" t="s">
        <v>17</v>
      </c>
      <c r="C597" s="7" t="s">
        <v>18</v>
      </c>
      <c r="D597" s="4">
        <v>51722957012512</v>
      </c>
      <c r="E597" s="8" t="s">
        <v>604</v>
      </c>
      <c r="F597" s="8" t="s">
        <v>29</v>
      </c>
      <c r="G597" s="8" t="s">
        <v>19</v>
      </c>
      <c r="H597" s="8" t="s">
        <v>215</v>
      </c>
      <c r="I597" s="3">
        <v>2</v>
      </c>
      <c r="J597" s="8" t="s">
        <v>161</v>
      </c>
      <c r="K597" s="8" t="s">
        <v>162</v>
      </c>
      <c r="L597" s="8" t="s">
        <v>556</v>
      </c>
      <c r="M597" s="1" t="s">
        <v>207</v>
      </c>
      <c r="N597" s="8" t="s">
        <v>208</v>
      </c>
      <c r="O597" s="6">
        <v>0</v>
      </c>
      <c r="P597" s="6">
        <v>0</v>
      </c>
      <c r="Q597" s="6">
        <v>0</v>
      </c>
      <c r="R597" s="6">
        <v>0</v>
      </c>
      <c r="S597" s="6">
        <v>65</v>
      </c>
    </row>
    <row r="598" spans="1:19" ht="15" hidden="1" x14ac:dyDescent="0.25">
      <c r="A598" s="7" t="s">
        <v>16</v>
      </c>
      <c r="B598" s="7" t="s">
        <v>17</v>
      </c>
      <c r="C598" s="7" t="s">
        <v>18</v>
      </c>
      <c r="D598" s="4">
        <v>51722957012512</v>
      </c>
      <c r="E598" s="8" t="s">
        <v>604</v>
      </c>
      <c r="F598" s="8" t="s">
        <v>29</v>
      </c>
      <c r="G598" s="8" t="s">
        <v>19</v>
      </c>
      <c r="H598" s="8" t="s">
        <v>215</v>
      </c>
      <c r="I598" s="3">
        <v>2</v>
      </c>
      <c r="J598" s="8" t="s">
        <v>183</v>
      </c>
      <c r="K598" s="8" t="s">
        <v>184</v>
      </c>
      <c r="L598" s="8" t="s">
        <v>557</v>
      </c>
      <c r="M598" s="1" t="s">
        <v>207</v>
      </c>
      <c r="N598" s="8" t="s">
        <v>208</v>
      </c>
      <c r="O598" s="6">
        <v>0</v>
      </c>
      <c r="P598" s="6">
        <v>0</v>
      </c>
      <c r="Q598" s="6">
        <v>0</v>
      </c>
      <c r="R598" s="6">
        <v>0</v>
      </c>
      <c r="S598" s="6">
        <v>65</v>
      </c>
    </row>
    <row r="599" spans="1:19" ht="15" hidden="1" x14ac:dyDescent="0.25">
      <c r="A599" s="7" t="s">
        <v>16</v>
      </c>
      <c r="B599" s="7" t="s">
        <v>17</v>
      </c>
      <c r="C599" s="7" t="s">
        <v>18</v>
      </c>
      <c r="D599" s="4">
        <v>60678604000113</v>
      </c>
      <c r="E599" s="8" t="s">
        <v>612</v>
      </c>
      <c r="F599" s="8" t="s">
        <v>29</v>
      </c>
      <c r="G599" s="8" t="s">
        <v>19</v>
      </c>
      <c r="H599" s="8" t="s">
        <v>215</v>
      </c>
      <c r="I599" s="3">
        <v>2</v>
      </c>
      <c r="J599" s="8" t="s">
        <v>161</v>
      </c>
      <c r="K599" s="8" t="s">
        <v>162</v>
      </c>
      <c r="L599" s="8" t="s">
        <v>556</v>
      </c>
      <c r="M599" s="1" t="s">
        <v>207</v>
      </c>
      <c r="N599" s="8" t="s">
        <v>208</v>
      </c>
      <c r="O599" s="6">
        <v>0</v>
      </c>
      <c r="P599" s="6">
        <v>0</v>
      </c>
      <c r="Q599" s="6">
        <v>0</v>
      </c>
      <c r="R599" s="6">
        <v>0</v>
      </c>
      <c r="S599" s="6">
        <v>0</v>
      </c>
    </row>
    <row r="600" spans="1:19" ht="15" hidden="1" x14ac:dyDescent="0.25">
      <c r="A600" s="7" t="s">
        <v>16</v>
      </c>
      <c r="B600" s="7" t="s">
        <v>17</v>
      </c>
      <c r="C600" s="7" t="s">
        <v>18</v>
      </c>
      <c r="D600" s="4">
        <v>60678604000113</v>
      </c>
      <c r="E600" s="8" t="s">
        <v>612</v>
      </c>
      <c r="F600" s="8" t="s">
        <v>29</v>
      </c>
      <c r="G600" s="8" t="s">
        <v>19</v>
      </c>
      <c r="H600" s="8" t="s">
        <v>215</v>
      </c>
      <c r="I600" s="3">
        <v>2</v>
      </c>
      <c r="J600" s="8" t="s">
        <v>147</v>
      </c>
      <c r="K600" s="8" t="s">
        <v>148</v>
      </c>
      <c r="L600" s="8" t="s">
        <v>557</v>
      </c>
      <c r="M600" s="1" t="s">
        <v>207</v>
      </c>
      <c r="N600" s="8" t="s">
        <v>208</v>
      </c>
      <c r="O600" s="6">
        <v>0</v>
      </c>
      <c r="P600" s="6">
        <v>2</v>
      </c>
      <c r="Q600" s="6">
        <v>42</v>
      </c>
      <c r="R600" s="6">
        <v>0</v>
      </c>
      <c r="S600" s="6">
        <v>0</v>
      </c>
    </row>
    <row r="601" spans="1:19" ht="15" hidden="1" x14ac:dyDescent="0.25">
      <c r="A601" s="7" t="s">
        <v>16</v>
      </c>
      <c r="B601" s="7" t="s">
        <v>17</v>
      </c>
      <c r="C601" s="7" t="s">
        <v>18</v>
      </c>
      <c r="D601" s="4">
        <v>62106505000192</v>
      </c>
      <c r="E601" s="8" t="s">
        <v>633</v>
      </c>
      <c r="F601" s="8" t="s">
        <v>29</v>
      </c>
      <c r="G601" s="8" t="s">
        <v>19</v>
      </c>
      <c r="H601" s="8" t="s">
        <v>215</v>
      </c>
      <c r="I601" s="3">
        <v>2</v>
      </c>
      <c r="J601" s="8" t="s">
        <v>161</v>
      </c>
      <c r="K601" s="8" t="s">
        <v>162</v>
      </c>
      <c r="L601" s="8" t="s">
        <v>556</v>
      </c>
      <c r="M601" s="1" t="s">
        <v>207</v>
      </c>
      <c r="N601" s="8" t="s">
        <v>208</v>
      </c>
      <c r="O601" s="6">
        <v>0</v>
      </c>
      <c r="P601" s="6">
        <v>0</v>
      </c>
      <c r="Q601" s="6">
        <v>0</v>
      </c>
      <c r="R601" s="6">
        <v>0</v>
      </c>
      <c r="S601" s="6">
        <v>0</v>
      </c>
    </row>
    <row r="602" spans="1:19" ht="15" hidden="1" x14ac:dyDescent="0.25">
      <c r="A602" s="7" t="s">
        <v>16</v>
      </c>
      <c r="B602" s="7" t="s">
        <v>17</v>
      </c>
      <c r="C602" s="7" t="s">
        <v>18</v>
      </c>
      <c r="D602" s="4">
        <v>62106505000192</v>
      </c>
      <c r="E602" s="8" t="s">
        <v>633</v>
      </c>
      <c r="F602" s="8" t="s">
        <v>29</v>
      </c>
      <c r="G602" s="8" t="s">
        <v>19</v>
      </c>
      <c r="H602" s="8" t="s">
        <v>215</v>
      </c>
      <c r="I602" s="3">
        <v>2</v>
      </c>
      <c r="J602" s="8" t="s">
        <v>147</v>
      </c>
      <c r="K602" s="8" t="s">
        <v>148</v>
      </c>
      <c r="L602" s="8" t="s">
        <v>557</v>
      </c>
      <c r="M602" s="1" t="s">
        <v>207</v>
      </c>
      <c r="N602" s="8" t="s">
        <v>208</v>
      </c>
      <c r="O602" s="6">
        <v>0</v>
      </c>
      <c r="P602" s="6">
        <v>0</v>
      </c>
      <c r="Q602" s="6">
        <v>2</v>
      </c>
      <c r="R602" s="6">
        <v>0</v>
      </c>
      <c r="S602" s="6">
        <v>0</v>
      </c>
    </row>
    <row r="603" spans="1:19" ht="15" hidden="1" x14ac:dyDescent="0.25">
      <c r="A603" s="7" t="s">
        <v>16</v>
      </c>
      <c r="B603" s="7" t="s">
        <v>17</v>
      </c>
      <c r="C603" s="7" t="s">
        <v>18</v>
      </c>
      <c r="D603" s="4">
        <v>60975174000363</v>
      </c>
      <c r="E603" s="8" t="s">
        <v>623</v>
      </c>
      <c r="F603" s="8" t="s">
        <v>29</v>
      </c>
      <c r="G603" s="8" t="s">
        <v>19</v>
      </c>
      <c r="H603" s="8" t="s">
        <v>215</v>
      </c>
      <c r="I603" s="3">
        <v>2</v>
      </c>
      <c r="J603" s="8" t="s">
        <v>161</v>
      </c>
      <c r="K603" s="8" t="s">
        <v>162</v>
      </c>
      <c r="L603" s="8" t="s">
        <v>556</v>
      </c>
      <c r="M603" s="1" t="s">
        <v>207</v>
      </c>
      <c r="N603" s="8" t="s">
        <v>208</v>
      </c>
      <c r="O603" s="6">
        <v>0</v>
      </c>
      <c r="P603" s="6">
        <v>0</v>
      </c>
      <c r="Q603" s="6">
        <v>0</v>
      </c>
      <c r="R603" s="6">
        <v>0</v>
      </c>
      <c r="S603" s="6">
        <v>150</v>
      </c>
    </row>
    <row r="604" spans="1:19" ht="15" hidden="1" x14ac:dyDescent="0.25">
      <c r="A604" s="7" t="s">
        <v>16</v>
      </c>
      <c r="B604" s="7" t="s">
        <v>17</v>
      </c>
      <c r="C604" s="7" t="s">
        <v>18</v>
      </c>
      <c r="D604" s="4">
        <v>60975174000363</v>
      </c>
      <c r="E604" s="8" t="s">
        <v>623</v>
      </c>
      <c r="F604" s="8" t="s">
        <v>29</v>
      </c>
      <c r="G604" s="8" t="s">
        <v>19</v>
      </c>
      <c r="H604" s="8" t="s">
        <v>215</v>
      </c>
      <c r="I604" s="3">
        <v>2</v>
      </c>
      <c r="J604" s="8" t="s">
        <v>147</v>
      </c>
      <c r="K604" s="8" t="s">
        <v>148</v>
      </c>
      <c r="L604" s="8" t="s">
        <v>557</v>
      </c>
      <c r="M604" s="1" t="s">
        <v>207</v>
      </c>
      <c r="N604" s="8" t="s">
        <v>208</v>
      </c>
      <c r="O604" s="6">
        <v>0</v>
      </c>
      <c r="P604" s="6">
        <v>0</v>
      </c>
      <c r="Q604" s="6">
        <v>0</v>
      </c>
      <c r="R604" s="6">
        <v>0</v>
      </c>
      <c r="S604" s="6">
        <v>150</v>
      </c>
    </row>
    <row r="605" spans="1:19" ht="15" hidden="1" x14ac:dyDescent="0.25">
      <c r="A605" s="7" t="s">
        <v>16</v>
      </c>
      <c r="B605" s="7" t="s">
        <v>17</v>
      </c>
      <c r="C605" s="7" t="s">
        <v>18</v>
      </c>
      <c r="D605" s="4">
        <v>29435005004540</v>
      </c>
      <c r="E605" s="8" t="s">
        <v>594</v>
      </c>
      <c r="F605" s="8" t="s">
        <v>29</v>
      </c>
      <c r="G605" s="8" t="s">
        <v>19</v>
      </c>
      <c r="H605" s="8" t="s">
        <v>215</v>
      </c>
      <c r="I605" s="3">
        <v>2</v>
      </c>
      <c r="J605" s="8" t="s">
        <v>161</v>
      </c>
      <c r="K605" s="8" t="s">
        <v>162</v>
      </c>
      <c r="L605" s="8" t="s">
        <v>556</v>
      </c>
      <c r="M605" s="1" t="s">
        <v>207</v>
      </c>
      <c r="N605" s="8" t="s">
        <v>208</v>
      </c>
      <c r="O605" s="6">
        <v>0</v>
      </c>
      <c r="P605" s="6">
        <v>0</v>
      </c>
      <c r="Q605" s="6">
        <v>0</v>
      </c>
      <c r="R605" s="6">
        <v>0</v>
      </c>
      <c r="S605" s="6">
        <v>500</v>
      </c>
    </row>
    <row r="606" spans="1:19" ht="15" hidden="1" x14ac:dyDescent="0.25">
      <c r="A606" s="7" t="s">
        <v>16</v>
      </c>
      <c r="B606" s="7" t="s">
        <v>17</v>
      </c>
      <c r="C606" s="7" t="s">
        <v>18</v>
      </c>
      <c r="D606" s="4">
        <v>29435005004540</v>
      </c>
      <c r="E606" s="8" t="s">
        <v>594</v>
      </c>
      <c r="F606" s="8" t="s">
        <v>29</v>
      </c>
      <c r="G606" s="8" t="s">
        <v>19</v>
      </c>
      <c r="H606" s="8" t="s">
        <v>215</v>
      </c>
      <c r="I606" s="3">
        <v>2</v>
      </c>
      <c r="J606" s="8" t="s">
        <v>183</v>
      </c>
      <c r="K606" s="8" t="s">
        <v>184</v>
      </c>
      <c r="L606" s="8" t="s">
        <v>557</v>
      </c>
      <c r="M606" s="1" t="s">
        <v>207</v>
      </c>
      <c r="N606" s="8" t="s">
        <v>208</v>
      </c>
      <c r="O606" s="6">
        <v>0</v>
      </c>
      <c r="P606" s="6">
        <v>0</v>
      </c>
      <c r="Q606" s="6">
        <v>0</v>
      </c>
      <c r="R606" s="6">
        <v>0</v>
      </c>
      <c r="S606" s="6">
        <v>500</v>
      </c>
    </row>
    <row r="607" spans="1:19" ht="15" hidden="1" x14ac:dyDescent="0.25">
      <c r="A607" s="7" t="s">
        <v>16</v>
      </c>
      <c r="B607" s="7" t="s">
        <v>17</v>
      </c>
      <c r="C607" s="7" t="s">
        <v>18</v>
      </c>
      <c r="D607" s="4">
        <v>61213674000240</v>
      </c>
      <c r="E607" s="8" t="s">
        <v>629</v>
      </c>
      <c r="F607" s="8" t="s">
        <v>29</v>
      </c>
      <c r="G607" s="8" t="s">
        <v>19</v>
      </c>
      <c r="H607" s="8" t="s">
        <v>215</v>
      </c>
      <c r="I607" s="3">
        <v>2</v>
      </c>
      <c r="J607" s="8" t="s">
        <v>1355</v>
      </c>
      <c r="K607" s="8" t="s">
        <v>1356</v>
      </c>
      <c r="L607" s="8" t="s">
        <v>556</v>
      </c>
      <c r="M607" s="1" t="s">
        <v>207</v>
      </c>
      <c r="N607" s="8" t="s">
        <v>208</v>
      </c>
      <c r="O607" s="6">
        <v>0</v>
      </c>
      <c r="P607" s="6">
        <v>0</v>
      </c>
      <c r="Q607" s="6">
        <v>0</v>
      </c>
      <c r="R607" s="6">
        <v>49</v>
      </c>
      <c r="S607" s="6">
        <v>5</v>
      </c>
    </row>
    <row r="608" spans="1:19" ht="15" hidden="1" x14ac:dyDescent="0.25">
      <c r="A608" s="7" t="s">
        <v>16</v>
      </c>
      <c r="B608" s="7" t="s">
        <v>17</v>
      </c>
      <c r="C608" s="7" t="s">
        <v>18</v>
      </c>
      <c r="D608" s="4">
        <v>61213674000240</v>
      </c>
      <c r="E608" s="8" t="s">
        <v>629</v>
      </c>
      <c r="F608" s="8" t="s">
        <v>29</v>
      </c>
      <c r="G608" s="8" t="s">
        <v>19</v>
      </c>
      <c r="H608" s="8" t="s">
        <v>215</v>
      </c>
      <c r="I608" s="3">
        <v>2</v>
      </c>
      <c r="J608" s="8" t="s">
        <v>147</v>
      </c>
      <c r="K608" s="8" t="s">
        <v>148</v>
      </c>
      <c r="L608" s="8" t="s">
        <v>557</v>
      </c>
      <c r="M608" s="1" t="s">
        <v>207</v>
      </c>
      <c r="N608" s="8" t="s">
        <v>208</v>
      </c>
      <c r="O608" s="6">
        <v>0</v>
      </c>
      <c r="P608" s="6">
        <v>3</v>
      </c>
      <c r="Q608" s="6">
        <v>1</v>
      </c>
      <c r="R608" s="6">
        <v>0</v>
      </c>
      <c r="S608" s="6">
        <v>5</v>
      </c>
    </row>
    <row r="609" spans="1:19" ht="15" hidden="1" x14ac:dyDescent="0.25">
      <c r="A609" s="7" t="s">
        <v>16</v>
      </c>
      <c r="B609" s="7" t="s">
        <v>17</v>
      </c>
      <c r="C609" s="7" t="s">
        <v>18</v>
      </c>
      <c r="D609" s="4">
        <v>29435005002687</v>
      </c>
      <c r="E609" s="8" t="s">
        <v>593</v>
      </c>
      <c r="F609" s="8" t="s">
        <v>29</v>
      </c>
      <c r="G609" s="8" t="s">
        <v>19</v>
      </c>
      <c r="H609" s="8" t="s">
        <v>215</v>
      </c>
      <c r="I609" s="3">
        <v>2</v>
      </c>
      <c r="J609" s="8" t="s">
        <v>161</v>
      </c>
      <c r="K609" s="8" t="s">
        <v>162</v>
      </c>
      <c r="L609" s="8" t="s">
        <v>556</v>
      </c>
      <c r="M609" s="1" t="s">
        <v>207</v>
      </c>
      <c r="N609" s="8" t="s">
        <v>208</v>
      </c>
      <c r="O609" s="6">
        <v>0</v>
      </c>
      <c r="P609" s="6">
        <v>0</v>
      </c>
      <c r="Q609" s="6">
        <v>0</v>
      </c>
      <c r="R609" s="6">
        <v>0</v>
      </c>
      <c r="S609" s="6">
        <v>500</v>
      </c>
    </row>
    <row r="610" spans="1:19" ht="15" hidden="1" x14ac:dyDescent="0.25">
      <c r="A610" s="7" t="s">
        <v>16</v>
      </c>
      <c r="B610" s="7" t="s">
        <v>17</v>
      </c>
      <c r="C610" s="7" t="s">
        <v>18</v>
      </c>
      <c r="D610" s="4">
        <v>29435005002687</v>
      </c>
      <c r="E610" s="8" t="s">
        <v>593</v>
      </c>
      <c r="F610" s="8" t="s">
        <v>29</v>
      </c>
      <c r="G610" s="8" t="s">
        <v>19</v>
      </c>
      <c r="H610" s="8" t="s">
        <v>215</v>
      </c>
      <c r="I610" s="3">
        <v>2</v>
      </c>
      <c r="J610" s="8" t="s">
        <v>183</v>
      </c>
      <c r="K610" s="8" t="s">
        <v>184</v>
      </c>
      <c r="L610" s="8" t="s">
        <v>557</v>
      </c>
      <c r="M610" s="1" t="s">
        <v>207</v>
      </c>
      <c r="N610" s="8" t="s">
        <v>208</v>
      </c>
      <c r="O610" s="6">
        <v>0</v>
      </c>
      <c r="P610" s="6">
        <v>0</v>
      </c>
      <c r="Q610" s="6">
        <v>0</v>
      </c>
      <c r="R610" s="6">
        <v>0</v>
      </c>
      <c r="S610" s="6">
        <v>500</v>
      </c>
    </row>
    <row r="611" spans="1:19" ht="15" hidden="1" x14ac:dyDescent="0.25">
      <c r="A611" s="7" t="s">
        <v>16</v>
      </c>
      <c r="B611" s="7" t="s">
        <v>17</v>
      </c>
      <c r="C611" s="7" t="s">
        <v>18</v>
      </c>
      <c r="D611" s="4">
        <v>461479001992</v>
      </c>
      <c r="E611" s="8" t="s">
        <v>559</v>
      </c>
      <c r="F611" s="8" t="s">
        <v>29</v>
      </c>
      <c r="G611" s="8" t="s">
        <v>19</v>
      </c>
      <c r="H611" s="8" t="s">
        <v>215</v>
      </c>
      <c r="I611" s="3">
        <v>2</v>
      </c>
      <c r="J611" s="8" t="s">
        <v>1355</v>
      </c>
      <c r="K611" s="8" t="s">
        <v>1356</v>
      </c>
      <c r="L611" s="8" t="s">
        <v>556</v>
      </c>
      <c r="M611" s="1" t="s">
        <v>207</v>
      </c>
      <c r="N611" s="8" t="s">
        <v>208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</row>
    <row r="612" spans="1:19" ht="15" hidden="1" x14ac:dyDescent="0.25">
      <c r="A612" s="7" t="s">
        <v>16</v>
      </c>
      <c r="B612" s="7" t="s">
        <v>17</v>
      </c>
      <c r="C612" s="7" t="s">
        <v>18</v>
      </c>
      <c r="D612" s="4">
        <v>461479001992</v>
      </c>
      <c r="E612" s="8" t="s">
        <v>559</v>
      </c>
      <c r="F612" s="8" t="s">
        <v>29</v>
      </c>
      <c r="G612" s="8" t="s">
        <v>19</v>
      </c>
      <c r="H612" s="8" t="s">
        <v>215</v>
      </c>
      <c r="I612" s="3">
        <v>2</v>
      </c>
      <c r="J612" s="8" t="s">
        <v>183</v>
      </c>
      <c r="K612" s="8" t="s">
        <v>184</v>
      </c>
      <c r="L612" s="8" t="s">
        <v>557</v>
      </c>
      <c r="M612" s="1" t="s">
        <v>207</v>
      </c>
      <c r="N612" s="8" t="s">
        <v>208</v>
      </c>
      <c r="O612" s="6">
        <v>0</v>
      </c>
      <c r="P612" s="6">
        <v>6</v>
      </c>
      <c r="Q612" s="6">
        <v>0</v>
      </c>
      <c r="R612" s="6">
        <v>0</v>
      </c>
      <c r="S612" s="6">
        <v>0</v>
      </c>
    </row>
    <row r="613" spans="1:19" ht="15" hidden="1" x14ac:dyDescent="0.25">
      <c r="A613" s="7" t="s">
        <v>16</v>
      </c>
      <c r="B613" s="7" t="s">
        <v>17</v>
      </c>
      <c r="C613" s="7" t="s">
        <v>18</v>
      </c>
      <c r="D613" s="4">
        <v>60922168000771</v>
      </c>
      <c r="E613" s="8" t="s">
        <v>618</v>
      </c>
      <c r="F613" s="8" t="s">
        <v>29</v>
      </c>
      <c r="G613" s="8" t="s">
        <v>19</v>
      </c>
      <c r="H613" s="8" t="s">
        <v>215</v>
      </c>
      <c r="I613" s="3">
        <v>2</v>
      </c>
      <c r="J613" s="8" t="s">
        <v>1355</v>
      </c>
      <c r="K613" s="8" t="s">
        <v>1356</v>
      </c>
      <c r="L613" s="8" t="s">
        <v>556</v>
      </c>
      <c r="M613" s="1" t="s">
        <v>207</v>
      </c>
      <c r="N613" s="8" t="s">
        <v>208</v>
      </c>
      <c r="O613" s="6">
        <v>0</v>
      </c>
      <c r="P613" s="6">
        <v>0</v>
      </c>
      <c r="Q613" s="6">
        <v>0</v>
      </c>
      <c r="R613" s="6">
        <v>16</v>
      </c>
      <c r="S613" s="6">
        <v>350</v>
      </c>
    </row>
    <row r="614" spans="1:19" ht="15" hidden="1" x14ac:dyDescent="0.25">
      <c r="A614" s="7" t="s">
        <v>16</v>
      </c>
      <c r="B614" s="7" t="s">
        <v>17</v>
      </c>
      <c r="C614" s="7" t="s">
        <v>18</v>
      </c>
      <c r="D614" s="4">
        <v>60922168000771</v>
      </c>
      <c r="E614" s="8" t="s">
        <v>618</v>
      </c>
      <c r="F614" s="8" t="s">
        <v>29</v>
      </c>
      <c r="G614" s="8" t="s">
        <v>19</v>
      </c>
      <c r="H614" s="8" t="s">
        <v>215</v>
      </c>
      <c r="I614" s="3">
        <v>2</v>
      </c>
      <c r="J614" s="8" t="s">
        <v>147</v>
      </c>
      <c r="K614" s="8" t="s">
        <v>148</v>
      </c>
      <c r="L614" s="8" t="s">
        <v>557</v>
      </c>
      <c r="M614" s="1" t="s">
        <v>207</v>
      </c>
      <c r="N614" s="8" t="s">
        <v>208</v>
      </c>
      <c r="O614" s="6">
        <v>0</v>
      </c>
      <c r="P614" s="6">
        <v>0</v>
      </c>
      <c r="Q614" s="6">
        <v>0</v>
      </c>
      <c r="R614" s="6">
        <v>0</v>
      </c>
      <c r="S614" s="6">
        <v>350</v>
      </c>
    </row>
    <row r="615" spans="1:19" ht="15" hidden="1" x14ac:dyDescent="0.25">
      <c r="A615" s="7" t="s">
        <v>16</v>
      </c>
      <c r="B615" s="7" t="s">
        <v>17</v>
      </c>
      <c r="C615" s="7" t="s">
        <v>18</v>
      </c>
      <c r="D615" s="4">
        <v>60552098000111</v>
      </c>
      <c r="E615" s="8" t="s">
        <v>611</v>
      </c>
      <c r="F615" s="8" t="s">
        <v>29</v>
      </c>
      <c r="G615" s="8" t="s">
        <v>19</v>
      </c>
      <c r="H615" s="8" t="s">
        <v>215</v>
      </c>
      <c r="I615" s="3">
        <v>2</v>
      </c>
      <c r="J615" s="8" t="s">
        <v>161</v>
      </c>
      <c r="K615" s="8" t="s">
        <v>162</v>
      </c>
      <c r="L615" s="8" t="s">
        <v>556</v>
      </c>
      <c r="M615" s="1" t="s">
        <v>207</v>
      </c>
      <c r="N615" s="8" t="s">
        <v>208</v>
      </c>
      <c r="O615" s="6">
        <v>0</v>
      </c>
      <c r="P615" s="6">
        <v>0</v>
      </c>
      <c r="Q615" s="6">
        <v>0</v>
      </c>
      <c r="R615" s="6">
        <v>0</v>
      </c>
      <c r="S615" s="6">
        <v>225</v>
      </c>
    </row>
    <row r="616" spans="1:19" ht="15" hidden="1" x14ac:dyDescent="0.25">
      <c r="A616" s="7" t="s">
        <v>16</v>
      </c>
      <c r="B616" s="7" t="s">
        <v>17</v>
      </c>
      <c r="C616" s="7" t="s">
        <v>18</v>
      </c>
      <c r="D616" s="4">
        <v>60552098000111</v>
      </c>
      <c r="E616" s="8" t="s">
        <v>611</v>
      </c>
      <c r="F616" s="8" t="s">
        <v>29</v>
      </c>
      <c r="G616" s="8" t="s">
        <v>19</v>
      </c>
      <c r="H616" s="8" t="s">
        <v>215</v>
      </c>
      <c r="I616" s="3">
        <v>2</v>
      </c>
      <c r="J616" s="8" t="s">
        <v>147</v>
      </c>
      <c r="K616" s="8" t="s">
        <v>148</v>
      </c>
      <c r="L616" s="8" t="s">
        <v>557</v>
      </c>
      <c r="M616" s="1" t="s">
        <v>207</v>
      </c>
      <c r="N616" s="8" t="s">
        <v>208</v>
      </c>
      <c r="O616" s="6">
        <v>0</v>
      </c>
      <c r="P616" s="6">
        <v>0</v>
      </c>
      <c r="Q616" s="6">
        <v>0</v>
      </c>
      <c r="R616" s="6">
        <v>0</v>
      </c>
      <c r="S616" s="6">
        <v>225</v>
      </c>
    </row>
    <row r="617" spans="1:19" ht="15" hidden="1" x14ac:dyDescent="0.25">
      <c r="A617" s="7" t="s">
        <v>16</v>
      </c>
      <c r="B617" s="7" t="s">
        <v>17</v>
      </c>
      <c r="C617" s="7" t="s">
        <v>18</v>
      </c>
      <c r="D617" s="4">
        <v>60777901000116</v>
      </c>
      <c r="E617" s="8" t="s">
        <v>616</v>
      </c>
      <c r="F617" s="8" t="s">
        <v>29</v>
      </c>
      <c r="G617" s="8" t="s">
        <v>19</v>
      </c>
      <c r="H617" s="8" t="s">
        <v>215</v>
      </c>
      <c r="I617" s="3">
        <v>2</v>
      </c>
      <c r="J617" s="8" t="s">
        <v>161</v>
      </c>
      <c r="K617" s="8" t="s">
        <v>162</v>
      </c>
      <c r="L617" s="8" t="s">
        <v>556</v>
      </c>
      <c r="M617" s="1" t="s">
        <v>207</v>
      </c>
      <c r="N617" s="8" t="s">
        <v>208</v>
      </c>
      <c r="O617" s="6">
        <v>0</v>
      </c>
      <c r="P617" s="6">
        <v>0</v>
      </c>
      <c r="Q617" s="6">
        <v>0</v>
      </c>
      <c r="R617" s="6">
        <v>0</v>
      </c>
      <c r="S617" s="6">
        <v>1650</v>
      </c>
    </row>
    <row r="618" spans="1:19" ht="15" hidden="1" x14ac:dyDescent="0.25">
      <c r="A618" s="7" t="s">
        <v>16</v>
      </c>
      <c r="B618" s="7" t="s">
        <v>17</v>
      </c>
      <c r="C618" s="7" t="s">
        <v>18</v>
      </c>
      <c r="D618" s="4">
        <v>60777901000116</v>
      </c>
      <c r="E618" s="8" t="s">
        <v>616</v>
      </c>
      <c r="F618" s="8" t="s">
        <v>29</v>
      </c>
      <c r="G618" s="8" t="s">
        <v>19</v>
      </c>
      <c r="H618" s="8" t="s">
        <v>215</v>
      </c>
      <c r="I618" s="3">
        <v>2</v>
      </c>
      <c r="J618" s="8" t="s">
        <v>183</v>
      </c>
      <c r="K618" s="8" t="s">
        <v>184</v>
      </c>
      <c r="L618" s="8" t="s">
        <v>557</v>
      </c>
      <c r="M618" s="1" t="s">
        <v>207</v>
      </c>
      <c r="N618" s="8" t="s">
        <v>208</v>
      </c>
      <c r="O618" s="6">
        <v>0</v>
      </c>
      <c r="P618" s="6">
        <v>0</v>
      </c>
      <c r="Q618" s="6">
        <v>0</v>
      </c>
      <c r="R618" s="6">
        <v>0</v>
      </c>
      <c r="S618" s="6">
        <v>1650</v>
      </c>
    </row>
    <row r="619" spans="1:19" ht="15" hidden="1" x14ac:dyDescent="0.25">
      <c r="A619" s="7" t="s">
        <v>16</v>
      </c>
      <c r="B619" s="7" t="s">
        <v>17</v>
      </c>
      <c r="C619" s="7" t="s">
        <v>18</v>
      </c>
      <c r="D619" s="4">
        <v>60975737001204</v>
      </c>
      <c r="E619" s="8" t="s">
        <v>625</v>
      </c>
      <c r="F619" s="8" t="s">
        <v>29</v>
      </c>
      <c r="G619" s="8" t="s">
        <v>19</v>
      </c>
      <c r="H619" s="8" t="s">
        <v>215</v>
      </c>
      <c r="I619" s="3">
        <v>2</v>
      </c>
      <c r="J619" s="8" t="s">
        <v>161</v>
      </c>
      <c r="K619" s="8" t="s">
        <v>162</v>
      </c>
      <c r="L619" s="8" t="s">
        <v>556</v>
      </c>
      <c r="M619" s="1" t="s">
        <v>207</v>
      </c>
      <c r="N619" s="8" t="s">
        <v>208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</row>
    <row r="620" spans="1:19" ht="15" hidden="1" x14ac:dyDescent="0.25">
      <c r="A620" s="7" t="s">
        <v>16</v>
      </c>
      <c r="B620" s="7" t="s">
        <v>17</v>
      </c>
      <c r="C620" s="7" t="s">
        <v>18</v>
      </c>
      <c r="D620" s="4">
        <v>60975737001204</v>
      </c>
      <c r="E620" s="8" t="s">
        <v>625</v>
      </c>
      <c r="F620" s="8" t="s">
        <v>29</v>
      </c>
      <c r="G620" s="8" t="s">
        <v>19</v>
      </c>
      <c r="H620" s="8" t="s">
        <v>215</v>
      </c>
      <c r="I620" s="3">
        <v>2</v>
      </c>
      <c r="J620" s="8" t="s">
        <v>177</v>
      </c>
      <c r="K620" s="8" t="s">
        <v>178</v>
      </c>
      <c r="L620" s="8" t="s">
        <v>557</v>
      </c>
      <c r="M620" s="1" t="s">
        <v>207</v>
      </c>
      <c r="N620" s="8" t="s">
        <v>208</v>
      </c>
      <c r="O620" s="6">
        <v>0</v>
      </c>
      <c r="P620" s="6">
        <v>6</v>
      </c>
      <c r="Q620" s="6">
        <v>0</v>
      </c>
      <c r="R620" s="6">
        <v>0</v>
      </c>
      <c r="S620" s="6">
        <v>0</v>
      </c>
    </row>
    <row r="621" spans="1:19" ht="15" hidden="1" x14ac:dyDescent="0.25">
      <c r="A621" s="7" t="s">
        <v>16</v>
      </c>
      <c r="B621" s="7" t="s">
        <v>17</v>
      </c>
      <c r="C621" s="7" t="s">
        <v>18</v>
      </c>
      <c r="D621" s="4">
        <v>6047087003820</v>
      </c>
      <c r="E621" s="8" t="s">
        <v>570</v>
      </c>
      <c r="F621" s="8" t="s">
        <v>29</v>
      </c>
      <c r="G621" s="8" t="s">
        <v>19</v>
      </c>
      <c r="H621" s="8" t="s">
        <v>215</v>
      </c>
      <c r="I621" s="3">
        <v>2</v>
      </c>
      <c r="J621" s="8" t="s">
        <v>161</v>
      </c>
      <c r="K621" s="8" t="s">
        <v>162</v>
      </c>
      <c r="L621" s="8" t="s">
        <v>556</v>
      </c>
      <c r="M621" s="1" t="s">
        <v>207</v>
      </c>
      <c r="N621" s="8" t="s">
        <v>208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</row>
    <row r="622" spans="1:19" ht="15" hidden="1" x14ac:dyDescent="0.25">
      <c r="A622" s="7" t="s">
        <v>16</v>
      </c>
      <c r="B622" s="7" t="s">
        <v>17</v>
      </c>
      <c r="C622" s="7" t="s">
        <v>18</v>
      </c>
      <c r="D622" s="4">
        <v>6047087003820</v>
      </c>
      <c r="E622" s="8" t="s">
        <v>570</v>
      </c>
      <c r="F622" s="8" t="s">
        <v>29</v>
      </c>
      <c r="G622" s="8" t="s">
        <v>19</v>
      </c>
      <c r="H622" s="8" t="s">
        <v>215</v>
      </c>
      <c r="I622" s="3">
        <v>2</v>
      </c>
      <c r="J622" s="8" t="s">
        <v>147</v>
      </c>
      <c r="K622" s="8" t="s">
        <v>148</v>
      </c>
      <c r="L622" s="8" t="s">
        <v>557</v>
      </c>
      <c r="M622" s="1" t="s">
        <v>207</v>
      </c>
      <c r="N622" s="8" t="s">
        <v>208</v>
      </c>
      <c r="O622" s="6">
        <v>0</v>
      </c>
      <c r="P622" s="6">
        <v>3</v>
      </c>
      <c r="Q622" s="6">
        <v>6</v>
      </c>
      <c r="R622" s="6">
        <v>0</v>
      </c>
      <c r="S622" s="6">
        <v>0</v>
      </c>
    </row>
    <row r="623" spans="1:19" ht="15" hidden="1" x14ac:dyDescent="0.25">
      <c r="A623" s="7" t="s">
        <v>16</v>
      </c>
      <c r="B623" s="7" t="s">
        <v>17</v>
      </c>
      <c r="C623" s="7" t="s">
        <v>18</v>
      </c>
      <c r="D623" s="4">
        <v>28290788000137</v>
      </c>
      <c r="E623" s="8" t="s">
        <v>591</v>
      </c>
      <c r="F623" s="8" t="s">
        <v>29</v>
      </c>
      <c r="G623" s="8" t="s">
        <v>19</v>
      </c>
      <c r="H623" s="8" t="s">
        <v>215</v>
      </c>
      <c r="I623" s="3">
        <v>2</v>
      </c>
      <c r="J623" s="8" t="s">
        <v>161</v>
      </c>
      <c r="K623" s="8" t="s">
        <v>162</v>
      </c>
      <c r="L623" s="8" t="s">
        <v>556</v>
      </c>
      <c r="M623" s="1" t="s">
        <v>207</v>
      </c>
      <c r="N623" s="8" t="s">
        <v>208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</row>
    <row r="624" spans="1:19" ht="15" hidden="1" x14ac:dyDescent="0.25">
      <c r="A624" s="7" t="s">
        <v>16</v>
      </c>
      <c r="B624" s="7" t="s">
        <v>17</v>
      </c>
      <c r="C624" s="7" t="s">
        <v>18</v>
      </c>
      <c r="D624" s="4">
        <v>28290788000137</v>
      </c>
      <c r="E624" s="8" t="s">
        <v>591</v>
      </c>
      <c r="F624" s="8" t="s">
        <v>29</v>
      </c>
      <c r="G624" s="8" t="s">
        <v>19</v>
      </c>
      <c r="H624" s="8" t="s">
        <v>215</v>
      </c>
      <c r="I624" s="3">
        <v>2</v>
      </c>
      <c r="J624" s="8" t="s">
        <v>147</v>
      </c>
      <c r="K624" s="8" t="s">
        <v>148</v>
      </c>
      <c r="L624" s="8" t="s">
        <v>557</v>
      </c>
      <c r="M624" s="1" t="s">
        <v>207</v>
      </c>
      <c r="N624" s="8" t="s">
        <v>208</v>
      </c>
      <c r="O624" s="6">
        <v>0</v>
      </c>
      <c r="P624" s="6">
        <v>0</v>
      </c>
      <c r="Q624" s="6">
        <v>34</v>
      </c>
      <c r="R624" s="6">
        <v>0</v>
      </c>
      <c r="S624" s="6">
        <v>0</v>
      </c>
    </row>
    <row r="625" spans="1:19" ht="15" hidden="1" x14ac:dyDescent="0.25">
      <c r="A625" s="7" t="s">
        <v>16</v>
      </c>
      <c r="B625" s="7" t="s">
        <v>17</v>
      </c>
      <c r="C625" s="7" t="s">
        <v>18</v>
      </c>
      <c r="D625" s="4">
        <v>5831510000124</v>
      </c>
      <c r="E625" s="8" t="s">
        <v>567</v>
      </c>
      <c r="F625" s="8" t="s">
        <v>29</v>
      </c>
      <c r="G625" s="8" t="s">
        <v>19</v>
      </c>
      <c r="H625" s="8" t="s">
        <v>215</v>
      </c>
      <c r="I625" s="3">
        <v>2</v>
      </c>
      <c r="J625" s="8" t="s">
        <v>161</v>
      </c>
      <c r="K625" s="8" t="s">
        <v>162</v>
      </c>
      <c r="L625" s="8" t="s">
        <v>556</v>
      </c>
      <c r="M625" s="1" t="s">
        <v>207</v>
      </c>
      <c r="N625" s="8" t="s">
        <v>208</v>
      </c>
      <c r="O625" s="6">
        <v>0</v>
      </c>
      <c r="P625" s="6">
        <v>0</v>
      </c>
      <c r="Q625" s="6">
        <v>0</v>
      </c>
      <c r="R625" s="6">
        <v>0</v>
      </c>
      <c r="S625" s="6">
        <v>195</v>
      </c>
    </row>
    <row r="626" spans="1:19" ht="15" hidden="1" x14ac:dyDescent="0.25">
      <c r="A626" s="7" t="s">
        <v>16</v>
      </c>
      <c r="B626" s="7" t="s">
        <v>17</v>
      </c>
      <c r="C626" s="7" t="s">
        <v>18</v>
      </c>
      <c r="D626" s="4">
        <v>5831510000124</v>
      </c>
      <c r="E626" s="8" t="s">
        <v>567</v>
      </c>
      <c r="F626" s="8" t="s">
        <v>29</v>
      </c>
      <c r="G626" s="8" t="s">
        <v>19</v>
      </c>
      <c r="H626" s="8" t="s">
        <v>215</v>
      </c>
      <c r="I626" s="3">
        <v>2</v>
      </c>
      <c r="J626" s="8" t="s">
        <v>147</v>
      </c>
      <c r="K626" s="8" t="s">
        <v>148</v>
      </c>
      <c r="L626" s="8" t="s">
        <v>557</v>
      </c>
      <c r="M626" s="1" t="s">
        <v>207</v>
      </c>
      <c r="N626" s="8" t="s">
        <v>208</v>
      </c>
      <c r="O626" s="6">
        <v>0</v>
      </c>
      <c r="P626" s="6">
        <v>0</v>
      </c>
      <c r="Q626" s="6">
        <v>0</v>
      </c>
      <c r="R626" s="6">
        <v>0</v>
      </c>
      <c r="S626" s="6">
        <v>195</v>
      </c>
    </row>
    <row r="627" spans="1:19" ht="15" hidden="1" x14ac:dyDescent="0.25">
      <c r="A627" s="7" t="s">
        <v>16</v>
      </c>
      <c r="B627" s="7" t="s">
        <v>17</v>
      </c>
      <c r="C627" s="7" t="s">
        <v>18</v>
      </c>
      <c r="D627" s="4">
        <v>461479004584</v>
      </c>
      <c r="E627" s="8" t="s">
        <v>560</v>
      </c>
      <c r="F627" s="8" t="s">
        <v>29</v>
      </c>
      <c r="G627" s="8" t="s">
        <v>19</v>
      </c>
      <c r="H627" s="8" t="s">
        <v>215</v>
      </c>
      <c r="I627" s="3">
        <v>2</v>
      </c>
      <c r="J627" s="8" t="s">
        <v>1355</v>
      </c>
      <c r="K627" s="8" t="s">
        <v>1356</v>
      </c>
      <c r="L627" s="8" t="s">
        <v>556</v>
      </c>
      <c r="M627" s="1" t="s">
        <v>207</v>
      </c>
      <c r="N627" s="8" t="s">
        <v>208</v>
      </c>
      <c r="O627" s="6">
        <v>0</v>
      </c>
      <c r="P627" s="6">
        <v>0</v>
      </c>
      <c r="Q627" s="6">
        <v>0</v>
      </c>
      <c r="R627" s="6">
        <v>0</v>
      </c>
      <c r="S627" s="6">
        <v>225</v>
      </c>
    </row>
    <row r="628" spans="1:19" ht="15" hidden="1" x14ac:dyDescent="0.25">
      <c r="A628" s="7" t="s">
        <v>16</v>
      </c>
      <c r="B628" s="7" t="s">
        <v>17</v>
      </c>
      <c r="C628" s="7" t="s">
        <v>18</v>
      </c>
      <c r="D628" s="4">
        <v>461479004584</v>
      </c>
      <c r="E628" s="8" t="s">
        <v>560</v>
      </c>
      <c r="F628" s="8" t="s">
        <v>29</v>
      </c>
      <c r="G628" s="8" t="s">
        <v>19</v>
      </c>
      <c r="H628" s="8" t="s">
        <v>215</v>
      </c>
      <c r="I628" s="3">
        <v>2</v>
      </c>
      <c r="J628" s="8" t="s">
        <v>183</v>
      </c>
      <c r="K628" s="8" t="s">
        <v>184</v>
      </c>
      <c r="L628" s="8" t="s">
        <v>557</v>
      </c>
      <c r="M628" s="1" t="s">
        <v>207</v>
      </c>
      <c r="N628" s="8" t="s">
        <v>208</v>
      </c>
      <c r="O628" s="6">
        <v>0</v>
      </c>
      <c r="P628" s="6">
        <v>0</v>
      </c>
      <c r="Q628" s="6">
        <v>0</v>
      </c>
      <c r="R628" s="6">
        <v>0</v>
      </c>
      <c r="S628" s="6">
        <v>225</v>
      </c>
    </row>
    <row r="629" spans="1:19" ht="15" hidden="1" x14ac:dyDescent="0.25">
      <c r="A629" s="7" t="s">
        <v>16</v>
      </c>
      <c r="B629" s="7" t="s">
        <v>17</v>
      </c>
      <c r="C629" s="7" t="s">
        <v>18</v>
      </c>
      <c r="D629" s="4">
        <v>56577059000606</v>
      </c>
      <c r="E629" s="8" t="s">
        <v>606</v>
      </c>
      <c r="F629" s="8" t="s">
        <v>29</v>
      </c>
      <c r="G629" s="8" t="s">
        <v>19</v>
      </c>
      <c r="H629" s="8" t="s">
        <v>215</v>
      </c>
      <c r="I629" s="3">
        <v>2</v>
      </c>
      <c r="J629" s="8" t="s">
        <v>1355</v>
      </c>
      <c r="K629" s="8" t="s">
        <v>1356</v>
      </c>
      <c r="L629" s="8" t="s">
        <v>556</v>
      </c>
      <c r="M629" s="1" t="s">
        <v>207</v>
      </c>
      <c r="N629" s="8" t="s">
        <v>208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</row>
    <row r="630" spans="1:19" ht="15" hidden="1" x14ac:dyDescent="0.25">
      <c r="A630" s="7" t="s">
        <v>16</v>
      </c>
      <c r="B630" s="7" t="s">
        <v>17</v>
      </c>
      <c r="C630" s="7" t="s">
        <v>18</v>
      </c>
      <c r="D630" s="4">
        <v>56577059000606</v>
      </c>
      <c r="E630" s="8" t="s">
        <v>606</v>
      </c>
      <c r="F630" s="8" t="s">
        <v>29</v>
      </c>
      <c r="G630" s="8" t="s">
        <v>19</v>
      </c>
      <c r="H630" s="8" t="s">
        <v>215</v>
      </c>
      <c r="I630" s="3">
        <v>2</v>
      </c>
      <c r="J630" s="8" t="s">
        <v>177</v>
      </c>
      <c r="K630" s="8" t="s">
        <v>178</v>
      </c>
      <c r="L630" s="8" t="s">
        <v>557</v>
      </c>
      <c r="M630" s="1" t="s">
        <v>207</v>
      </c>
      <c r="N630" s="8" t="s">
        <v>208</v>
      </c>
      <c r="O630" s="6">
        <v>0</v>
      </c>
      <c r="P630" s="6">
        <v>30</v>
      </c>
      <c r="Q630" s="6">
        <v>0</v>
      </c>
      <c r="R630" s="6">
        <v>0</v>
      </c>
      <c r="S630" s="6">
        <v>0</v>
      </c>
    </row>
    <row r="631" spans="1:19" ht="15" hidden="1" x14ac:dyDescent="0.25">
      <c r="A631" s="7" t="s">
        <v>16</v>
      </c>
      <c r="B631" s="7" t="s">
        <v>17</v>
      </c>
      <c r="C631" s="7" t="s">
        <v>18</v>
      </c>
      <c r="D631" s="4">
        <v>44649812005520</v>
      </c>
      <c r="E631" s="8" t="s">
        <v>598</v>
      </c>
      <c r="F631" s="8" t="s">
        <v>29</v>
      </c>
      <c r="G631" s="8" t="s">
        <v>19</v>
      </c>
      <c r="H631" s="8" t="s">
        <v>215</v>
      </c>
      <c r="I631" s="3">
        <v>2</v>
      </c>
      <c r="J631" s="8" t="s">
        <v>1355</v>
      </c>
      <c r="K631" s="8" t="s">
        <v>1356</v>
      </c>
      <c r="L631" s="8" t="s">
        <v>556</v>
      </c>
      <c r="M631" s="1" t="s">
        <v>207</v>
      </c>
      <c r="N631" s="8" t="s">
        <v>208</v>
      </c>
      <c r="O631" s="6">
        <v>0</v>
      </c>
      <c r="P631" s="6">
        <v>0</v>
      </c>
      <c r="Q631" s="6">
        <v>0</v>
      </c>
      <c r="R631" s="6">
        <v>0</v>
      </c>
      <c r="S631" s="6">
        <v>10</v>
      </c>
    </row>
    <row r="632" spans="1:19" ht="15" hidden="1" x14ac:dyDescent="0.25">
      <c r="A632" s="7" t="s">
        <v>16</v>
      </c>
      <c r="B632" s="7" t="s">
        <v>17</v>
      </c>
      <c r="C632" s="7" t="s">
        <v>18</v>
      </c>
      <c r="D632" s="4">
        <v>44649812005520</v>
      </c>
      <c r="E632" s="8" t="s">
        <v>598</v>
      </c>
      <c r="F632" s="8" t="s">
        <v>29</v>
      </c>
      <c r="G632" s="8" t="s">
        <v>19</v>
      </c>
      <c r="H632" s="8" t="s">
        <v>215</v>
      </c>
      <c r="I632" s="3">
        <v>2</v>
      </c>
      <c r="J632" s="8" t="s">
        <v>147</v>
      </c>
      <c r="K632" s="8" t="s">
        <v>148</v>
      </c>
      <c r="L632" s="8" t="s">
        <v>557</v>
      </c>
      <c r="M632" s="1" t="s">
        <v>207</v>
      </c>
      <c r="N632" s="8" t="s">
        <v>208</v>
      </c>
      <c r="O632" s="6">
        <v>0</v>
      </c>
      <c r="P632" s="6">
        <v>0</v>
      </c>
      <c r="Q632" s="6">
        <v>0</v>
      </c>
      <c r="R632" s="6">
        <v>0</v>
      </c>
      <c r="S632" s="6">
        <v>10</v>
      </c>
    </row>
    <row r="633" spans="1:19" ht="15" hidden="1" x14ac:dyDescent="0.25">
      <c r="A633" s="7" t="s">
        <v>16</v>
      </c>
      <c r="B633" s="7" t="s">
        <v>17</v>
      </c>
      <c r="C633" s="7" t="s">
        <v>18</v>
      </c>
      <c r="D633" s="4">
        <v>62779145000190</v>
      </c>
      <c r="E633" s="8" t="s">
        <v>634</v>
      </c>
      <c r="F633" s="8" t="s">
        <v>29</v>
      </c>
      <c r="G633" s="8" t="s">
        <v>19</v>
      </c>
      <c r="H633" s="8" t="s">
        <v>215</v>
      </c>
      <c r="I633" s="3">
        <v>2</v>
      </c>
      <c r="J633" s="8" t="s">
        <v>161</v>
      </c>
      <c r="K633" s="8" t="s">
        <v>162</v>
      </c>
      <c r="L633" s="8" t="s">
        <v>556</v>
      </c>
      <c r="M633" s="1" t="s">
        <v>207</v>
      </c>
      <c r="N633" s="8" t="s">
        <v>208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</row>
    <row r="634" spans="1:19" ht="15" hidden="1" x14ac:dyDescent="0.25">
      <c r="A634" s="7" t="s">
        <v>16</v>
      </c>
      <c r="B634" s="7" t="s">
        <v>17</v>
      </c>
      <c r="C634" s="7" t="s">
        <v>18</v>
      </c>
      <c r="D634" s="4">
        <v>62779145000190</v>
      </c>
      <c r="E634" s="8" t="s">
        <v>634</v>
      </c>
      <c r="F634" s="8" t="s">
        <v>29</v>
      </c>
      <c r="G634" s="8" t="s">
        <v>19</v>
      </c>
      <c r="H634" s="8" t="s">
        <v>215</v>
      </c>
      <c r="I634" s="3">
        <v>2</v>
      </c>
      <c r="J634" s="8" t="s">
        <v>177</v>
      </c>
      <c r="K634" s="8" t="s">
        <v>178</v>
      </c>
      <c r="L634" s="8" t="s">
        <v>557</v>
      </c>
      <c r="M634" s="1" t="s">
        <v>207</v>
      </c>
      <c r="N634" s="8" t="s">
        <v>208</v>
      </c>
      <c r="O634" s="6">
        <v>0</v>
      </c>
      <c r="P634" s="6">
        <v>2</v>
      </c>
      <c r="Q634" s="6">
        <v>0</v>
      </c>
      <c r="R634" s="6">
        <v>0</v>
      </c>
      <c r="S634" s="6">
        <v>0</v>
      </c>
    </row>
    <row r="635" spans="1:19" ht="15" hidden="1" x14ac:dyDescent="0.25">
      <c r="A635" s="7" t="s">
        <v>16</v>
      </c>
      <c r="B635" s="7" t="s">
        <v>17</v>
      </c>
      <c r="C635" s="7" t="s">
        <v>18</v>
      </c>
      <c r="D635" s="4">
        <v>23941593838</v>
      </c>
      <c r="E635" s="8" t="s">
        <v>555</v>
      </c>
      <c r="F635" s="8" t="s">
        <v>29</v>
      </c>
      <c r="G635" s="8" t="s">
        <v>19</v>
      </c>
      <c r="H635" s="8" t="s">
        <v>215</v>
      </c>
      <c r="I635" s="3">
        <v>2</v>
      </c>
      <c r="J635" s="8" t="s">
        <v>1355</v>
      </c>
      <c r="K635" s="8" t="s">
        <v>1356</v>
      </c>
      <c r="L635" s="8" t="s">
        <v>556</v>
      </c>
      <c r="M635" s="1" t="s">
        <v>207</v>
      </c>
      <c r="N635" s="8" t="s">
        <v>208</v>
      </c>
      <c r="O635" s="6">
        <v>0</v>
      </c>
      <c r="P635" s="6">
        <v>0</v>
      </c>
      <c r="Q635" s="6">
        <v>0</v>
      </c>
      <c r="R635" s="6">
        <v>60</v>
      </c>
      <c r="S635" s="6">
        <v>0</v>
      </c>
    </row>
    <row r="636" spans="1:19" ht="15" hidden="1" x14ac:dyDescent="0.25">
      <c r="A636" s="7" t="s">
        <v>16</v>
      </c>
      <c r="B636" s="7" t="s">
        <v>17</v>
      </c>
      <c r="C636" s="7" t="s">
        <v>18</v>
      </c>
      <c r="D636" s="4">
        <v>23941593838</v>
      </c>
      <c r="E636" s="8" t="s">
        <v>555</v>
      </c>
      <c r="F636" s="8" t="s">
        <v>29</v>
      </c>
      <c r="G636" s="8" t="s">
        <v>19</v>
      </c>
      <c r="H636" s="8" t="s">
        <v>215</v>
      </c>
      <c r="I636" s="3">
        <v>2</v>
      </c>
      <c r="J636" s="8" t="s">
        <v>183</v>
      </c>
      <c r="K636" s="8" t="s">
        <v>184</v>
      </c>
      <c r="L636" s="8" t="s">
        <v>557</v>
      </c>
      <c r="M636" s="1" t="s">
        <v>207</v>
      </c>
      <c r="N636" s="8" t="s">
        <v>208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</row>
    <row r="637" spans="1:19" ht="15" hidden="1" x14ac:dyDescent="0.25">
      <c r="A637" s="7" t="s">
        <v>16</v>
      </c>
      <c r="B637" s="7" t="s">
        <v>17</v>
      </c>
      <c r="C637" s="7" t="s">
        <v>18</v>
      </c>
      <c r="D637" s="4">
        <v>13718999000150</v>
      </c>
      <c r="E637" s="8" t="s">
        <v>584</v>
      </c>
      <c r="F637" s="8" t="s">
        <v>29</v>
      </c>
      <c r="G637" s="8" t="s">
        <v>19</v>
      </c>
      <c r="H637" s="8" t="s">
        <v>215</v>
      </c>
      <c r="I637" s="3">
        <v>2</v>
      </c>
      <c r="J637" s="8" t="s">
        <v>161</v>
      </c>
      <c r="K637" s="8" t="s">
        <v>162</v>
      </c>
      <c r="L637" s="8" t="s">
        <v>556</v>
      </c>
      <c r="M637" s="1" t="s">
        <v>207</v>
      </c>
      <c r="N637" s="8" t="s">
        <v>208</v>
      </c>
      <c r="O637" s="6">
        <v>0</v>
      </c>
      <c r="P637" s="6">
        <v>0</v>
      </c>
      <c r="Q637" s="6">
        <v>0</v>
      </c>
      <c r="R637" s="6">
        <v>4</v>
      </c>
      <c r="S637" s="6">
        <v>0</v>
      </c>
    </row>
    <row r="638" spans="1:19" ht="15" hidden="1" x14ac:dyDescent="0.25">
      <c r="A638" s="7" t="s">
        <v>16</v>
      </c>
      <c r="B638" s="7" t="s">
        <v>17</v>
      </c>
      <c r="C638" s="7" t="s">
        <v>18</v>
      </c>
      <c r="D638" s="4">
        <v>13718999000150</v>
      </c>
      <c r="E638" s="8" t="s">
        <v>584</v>
      </c>
      <c r="F638" s="8" t="s">
        <v>29</v>
      </c>
      <c r="G638" s="8" t="s">
        <v>19</v>
      </c>
      <c r="H638" s="8" t="s">
        <v>215</v>
      </c>
      <c r="I638" s="3">
        <v>2</v>
      </c>
      <c r="J638" s="8" t="s">
        <v>147</v>
      </c>
      <c r="K638" s="8" t="s">
        <v>148</v>
      </c>
      <c r="L638" s="8" t="s">
        <v>557</v>
      </c>
      <c r="M638" s="1" t="s">
        <v>207</v>
      </c>
      <c r="N638" s="8" t="s">
        <v>208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</row>
    <row r="639" spans="1:19" ht="15" hidden="1" x14ac:dyDescent="0.25">
      <c r="A639" s="7" t="s">
        <v>16</v>
      </c>
      <c r="B639" s="7" t="s">
        <v>17</v>
      </c>
      <c r="C639" s="7" t="s">
        <v>18</v>
      </c>
      <c r="D639" s="4">
        <v>4036348000190</v>
      </c>
      <c r="E639" s="8" t="s">
        <v>565</v>
      </c>
      <c r="F639" s="8" t="s">
        <v>29</v>
      </c>
      <c r="G639" s="8" t="s">
        <v>19</v>
      </c>
      <c r="H639" s="8" t="s">
        <v>215</v>
      </c>
      <c r="I639" s="3">
        <v>2</v>
      </c>
      <c r="J639" s="8" t="s">
        <v>1355</v>
      </c>
      <c r="K639" s="8" t="s">
        <v>1356</v>
      </c>
      <c r="L639" s="8" t="s">
        <v>556</v>
      </c>
      <c r="M639" s="1" t="s">
        <v>207</v>
      </c>
      <c r="N639" s="8" t="s">
        <v>208</v>
      </c>
      <c r="O639" s="6">
        <v>0</v>
      </c>
      <c r="P639" s="6">
        <v>0</v>
      </c>
      <c r="Q639" s="6">
        <v>0</v>
      </c>
      <c r="R639" s="6">
        <v>0</v>
      </c>
      <c r="S639" s="6">
        <v>515</v>
      </c>
    </row>
    <row r="640" spans="1:19" ht="15" hidden="1" x14ac:dyDescent="0.25">
      <c r="A640" s="7" t="s">
        <v>16</v>
      </c>
      <c r="B640" s="7" t="s">
        <v>17</v>
      </c>
      <c r="C640" s="7" t="s">
        <v>18</v>
      </c>
      <c r="D640" s="4">
        <v>4036348000190</v>
      </c>
      <c r="E640" s="8" t="s">
        <v>565</v>
      </c>
      <c r="F640" s="8" t="s">
        <v>29</v>
      </c>
      <c r="G640" s="8" t="s">
        <v>19</v>
      </c>
      <c r="H640" s="8" t="s">
        <v>215</v>
      </c>
      <c r="I640" s="3">
        <v>2</v>
      </c>
      <c r="J640" s="8" t="s">
        <v>147</v>
      </c>
      <c r="K640" s="8" t="s">
        <v>148</v>
      </c>
      <c r="L640" s="8" t="s">
        <v>557</v>
      </c>
      <c r="M640" s="1" t="s">
        <v>207</v>
      </c>
      <c r="N640" s="8" t="s">
        <v>208</v>
      </c>
      <c r="O640" s="6">
        <v>0</v>
      </c>
      <c r="P640" s="6">
        <v>0</v>
      </c>
      <c r="Q640" s="6">
        <v>0</v>
      </c>
      <c r="R640" s="6">
        <v>0</v>
      </c>
      <c r="S640" s="6">
        <v>515</v>
      </c>
    </row>
    <row r="641" spans="1:19" ht="15" hidden="1" x14ac:dyDescent="0.25">
      <c r="A641" s="7" t="s">
        <v>16</v>
      </c>
      <c r="B641" s="7" t="s">
        <v>17</v>
      </c>
      <c r="C641" s="7" t="s">
        <v>18</v>
      </c>
      <c r="D641" s="4">
        <v>10211939000230</v>
      </c>
      <c r="E641" s="8" t="s">
        <v>579</v>
      </c>
      <c r="F641" s="8" t="s">
        <v>29</v>
      </c>
      <c r="G641" s="8" t="s">
        <v>19</v>
      </c>
      <c r="H641" s="8" t="s">
        <v>215</v>
      </c>
      <c r="I641" s="3">
        <v>2</v>
      </c>
      <c r="J641" s="8" t="s">
        <v>1355</v>
      </c>
      <c r="K641" s="8" t="s">
        <v>1356</v>
      </c>
      <c r="L641" s="8" t="s">
        <v>556</v>
      </c>
      <c r="M641" s="1" t="s">
        <v>207</v>
      </c>
      <c r="N641" s="8" t="s">
        <v>208</v>
      </c>
      <c r="O641" s="6">
        <v>0</v>
      </c>
      <c r="P641" s="6">
        <v>0</v>
      </c>
      <c r="Q641" s="6">
        <v>0</v>
      </c>
      <c r="R641" s="6">
        <v>8</v>
      </c>
      <c r="S641" s="6">
        <v>0</v>
      </c>
    </row>
    <row r="642" spans="1:19" ht="15" hidden="1" x14ac:dyDescent="0.25">
      <c r="A642" s="7" t="s">
        <v>16</v>
      </c>
      <c r="B642" s="7" t="s">
        <v>17</v>
      </c>
      <c r="C642" s="7" t="s">
        <v>18</v>
      </c>
      <c r="D642" s="4">
        <v>10211939000230</v>
      </c>
      <c r="E642" s="8" t="s">
        <v>579</v>
      </c>
      <c r="F642" s="8" t="s">
        <v>29</v>
      </c>
      <c r="G642" s="8" t="s">
        <v>19</v>
      </c>
      <c r="H642" s="8" t="s">
        <v>215</v>
      </c>
      <c r="I642" s="3">
        <v>2</v>
      </c>
      <c r="J642" s="8" t="s">
        <v>183</v>
      </c>
      <c r="K642" s="8" t="s">
        <v>184</v>
      </c>
      <c r="L642" s="8" t="s">
        <v>557</v>
      </c>
      <c r="M642" s="1" t="s">
        <v>207</v>
      </c>
      <c r="N642" s="8" t="s">
        <v>208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</row>
    <row r="643" spans="1:19" ht="15" hidden="1" x14ac:dyDescent="0.25">
      <c r="A643" s="7" t="s">
        <v>16</v>
      </c>
      <c r="B643" s="7" t="s">
        <v>17</v>
      </c>
      <c r="C643" s="7" t="s">
        <v>18</v>
      </c>
      <c r="D643" s="4">
        <v>2837922000183</v>
      </c>
      <c r="E643" s="8" t="s">
        <v>563</v>
      </c>
      <c r="F643" s="8" t="s">
        <v>29</v>
      </c>
      <c r="G643" s="8" t="s">
        <v>19</v>
      </c>
      <c r="H643" s="8" t="s">
        <v>215</v>
      </c>
      <c r="I643" s="3">
        <v>2</v>
      </c>
      <c r="J643" s="8" t="s">
        <v>161</v>
      </c>
      <c r="K643" s="8" t="s">
        <v>162</v>
      </c>
      <c r="L643" s="8" t="s">
        <v>556</v>
      </c>
      <c r="M643" s="1" t="s">
        <v>207</v>
      </c>
      <c r="N643" s="8" t="s">
        <v>208</v>
      </c>
      <c r="O643" s="6">
        <v>0</v>
      </c>
      <c r="P643" s="6">
        <v>0</v>
      </c>
      <c r="Q643" s="6">
        <v>0</v>
      </c>
      <c r="R643" s="6">
        <v>100</v>
      </c>
      <c r="S643" s="6">
        <v>0</v>
      </c>
    </row>
    <row r="644" spans="1:19" ht="15" hidden="1" x14ac:dyDescent="0.25">
      <c r="A644" s="7" t="s">
        <v>16</v>
      </c>
      <c r="B644" s="7" t="s">
        <v>17</v>
      </c>
      <c r="C644" s="7" t="s">
        <v>18</v>
      </c>
      <c r="D644" s="4">
        <v>2837922000183</v>
      </c>
      <c r="E644" s="8" t="s">
        <v>563</v>
      </c>
      <c r="F644" s="8" t="s">
        <v>29</v>
      </c>
      <c r="G644" s="8" t="s">
        <v>19</v>
      </c>
      <c r="H644" s="8" t="s">
        <v>215</v>
      </c>
      <c r="I644" s="3">
        <v>2</v>
      </c>
      <c r="J644" s="8" t="s">
        <v>147</v>
      </c>
      <c r="K644" s="8" t="s">
        <v>148</v>
      </c>
      <c r="L644" s="8" t="s">
        <v>557</v>
      </c>
      <c r="M644" s="1" t="s">
        <v>207</v>
      </c>
      <c r="N644" s="8" t="s">
        <v>208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</row>
    <row r="645" spans="1:19" ht="15" hidden="1" x14ac:dyDescent="0.25">
      <c r="A645" s="7" t="s">
        <v>16</v>
      </c>
      <c r="B645" s="7" t="s">
        <v>17</v>
      </c>
      <c r="C645" s="7" t="s">
        <v>18</v>
      </c>
      <c r="D645" s="4">
        <v>61599908000158</v>
      </c>
      <c r="E645" s="8" t="s">
        <v>631</v>
      </c>
      <c r="F645" s="8" t="s">
        <v>29</v>
      </c>
      <c r="G645" s="8" t="s">
        <v>19</v>
      </c>
      <c r="H645" s="8" t="s">
        <v>215</v>
      </c>
      <c r="I645" s="3">
        <v>2</v>
      </c>
      <c r="J645" s="8" t="s">
        <v>1355</v>
      </c>
      <c r="K645" s="8" t="s">
        <v>1356</v>
      </c>
      <c r="L645" s="8" t="s">
        <v>556</v>
      </c>
      <c r="M645" s="1" t="s">
        <v>207</v>
      </c>
      <c r="N645" s="8" t="s">
        <v>208</v>
      </c>
      <c r="O645" s="6">
        <v>0</v>
      </c>
      <c r="P645" s="6">
        <v>0</v>
      </c>
      <c r="Q645" s="6">
        <v>0</v>
      </c>
      <c r="R645" s="6">
        <v>0</v>
      </c>
      <c r="S645" s="6">
        <v>0</v>
      </c>
    </row>
    <row r="646" spans="1:19" ht="15" hidden="1" x14ac:dyDescent="0.25">
      <c r="A646" s="7" t="s">
        <v>16</v>
      </c>
      <c r="B646" s="7" t="s">
        <v>17</v>
      </c>
      <c r="C646" s="7" t="s">
        <v>18</v>
      </c>
      <c r="D646" s="4">
        <v>61599908000158</v>
      </c>
      <c r="E646" s="8" t="s">
        <v>631</v>
      </c>
      <c r="F646" s="8" t="s">
        <v>29</v>
      </c>
      <c r="G646" s="8" t="s">
        <v>19</v>
      </c>
      <c r="H646" s="8" t="s">
        <v>215</v>
      </c>
      <c r="I646" s="3">
        <v>2</v>
      </c>
      <c r="J646" s="8" t="s">
        <v>183</v>
      </c>
      <c r="K646" s="8" t="s">
        <v>184</v>
      </c>
      <c r="L646" s="8" t="s">
        <v>557</v>
      </c>
      <c r="M646" s="1" t="s">
        <v>207</v>
      </c>
      <c r="N646" s="8" t="s">
        <v>208</v>
      </c>
      <c r="O646" s="6">
        <v>0</v>
      </c>
      <c r="P646" s="6">
        <v>130</v>
      </c>
      <c r="Q646" s="6">
        <v>30</v>
      </c>
      <c r="R646" s="6">
        <v>0</v>
      </c>
      <c r="S646" s="6">
        <v>0</v>
      </c>
    </row>
    <row r="647" spans="1:19" ht="15" hidden="1" x14ac:dyDescent="0.25">
      <c r="A647" s="7" t="s">
        <v>16</v>
      </c>
      <c r="B647" s="7" t="s">
        <v>17</v>
      </c>
      <c r="C647" s="7" t="s">
        <v>18</v>
      </c>
      <c r="D647" s="4">
        <v>7045325000130</v>
      </c>
      <c r="E647" s="8" t="s">
        <v>571</v>
      </c>
      <c r="F647" s="8" t="s">
        <v>29</v>
      </c>
      <c r="G647" s="8" t="s">
        <v>19</v>
      </c>
      <c r="H647" s="8" t="s">
        <v>215</v>
      </c>
      <c r="I647" s="3">
        <v>2</v>
      </c>
      <c r="J647" s="8" t="s">
        <v>161</v>
      </c>
      <c r="K647" s="8" t="s">
        <v>162</v>
      </c>
      <c r="L647" s="8" t="s">
        <v>556</v>
      </c>
      <c r="M647" s="1" t="s">
        <v>207</v>
      </c>
      <c r="N647" s="8" t="s">
        <v>208</v>
      </c>
      <c r="O647" s="6">
        <v>0</v>
      </c>
      <c r="P647" s="6">
        <v>0</v>
      </c>
      <c r="Q647" s="6">
        <v>0</v>
      </c>
      <c r="R647" s="6">
        <v>96</v>
      </c>
      <c r="S647" s="6">
        <v>0</v>
      </c>
    </row>
    <row r="648" spans="1:19" ht="15" hidden="1" x14ac:dyDescent="0.25">
      <c r="A648" s="7" t="s">
        <v>16</v>
      </c>
      <c r="B648" s="7" t="s">
        <v>17</v>
      </c>
      <c r="C648" s="7" t="s">
        <v>18</v>
      </c>
      <c r="D648" s="4">
        <v>7045325000130</v>
      </c>
      <c r="E648" s="8" t="s">
        <v>571</v>
      </c>
      <c r="F648" s="8" t="s">
        <v>29</v>
      </c>
      <c r="G648" s="8" t="s">
        <v>19</v>
      </c>
      <c r="H648" s="8" t="s">
        <v>215</v>
      </c>
      <c r="I648" s="3">
        <v>2</v>
      </c>
      <c r="J648" s="8" t="s">
        <v>147</v>
      </c>
      <c r="K648" s="8" t="s">
        <v>148</v>
      </c>
      <c r="L648" s="8" t="s">
        <v>557</v>
      </c>
      <c r="M648" s="1" t="s">
        <v>207</v>
      </c>
      <c r="N648" s="8" t="s">
        <v>208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</row>
    <row r="649" spans="1:19" ht="15" hidden="1" x14ac:dyDescent="0.25">
      <c r="A649" s="7" t="s">
        <v>16</v>
      </c>
      <c r="B649" s="7" t="s">
        <v>17</v>
      </c>
      <c r="C649" s="7" t="s">
        <v>18</v>
      </c>
      <c r="D649" s="4">
        <v>6047087000210</v>
      </c>
      <c r="E649" s="8" t="s">
        <v>569</v>
      </c>
      <c r="F649" s="8" t="s">
        <v>29</v>
      </c>
      <c r="G649" s="8" t="s">
        <v>19</v>
      </c>
      <c r="H649" s="8" t="s">
        <v>215</v>
      </c>
      <c r="I649" s="3">
        <v>2</v>
      </c>
      <c r="J649" s="8" t="s">
        <v>161</v>
      </c>
      <c r="K649" s="8" t="s">
        <v>162</v>
      </c>
      <c r="L649" s="8" t="s">
        <v>556</v>
      </c>
      <c r="M649" s="1" t="s">
        <v>207</v>
      </c>
      <c r="N649" s="8" t="s">
        <v>208</v>
      </c>
      <c r="O649" s="6">
        <v>0</v>
      </c>
      <c r="P649" s="6">
        <v>0</v>
      </c>
      <c r="Q649" s="6">
        <v>0</v>
      </c>
      <c r="R649" s="6">
        <v>0</v>
      </c>
      <c r="S649" s="6">
        <v>0</v>
      </c>
    </row>
    <row r="650" spans="1:19" ht="15" hidden="1" x14ac:dyDescent="0.25">
      <c r="A650" s="7" t="s">
        <v>16</v>
      </c>
      <c r="B650" s="7" t="s">
        <v>17</v>
      </c>
      <c r="C650" s="7" t="s">
        <v>18</v>
      </c>
      <c r="D650" s="4">
        <v>6047087000210</v>
      </c>
      <c r="E650" s="8" t="s">
        <v>569</v>
      </c>
      <c r="F650" s="8" t="s">
        <v>29</v>
      </c>
      <c r="G650" s="8" t="s">
        <v>19</v>
      </c>
      <c r="H650" s="8" t="s">
        <v>215</v>
      </c>
      <c r="I650" s="3">
        <v>2</v>
      </c>
      <c r="J650" s="8" t="s">
        <v>147</v>
      </c>
      <c r="K650" s="8" t="s">
        <v>148</v>
      </c>
      <c r="L650" s="8" t="s">
        <v>557</v>
      </c>
      <c r="M650" s="1" t="s">
        <v>207</v>
      </c>
      <c r="N650" s="8" t="s">
        <v>208</v>
      </c>
      <c r="O650" s="6">
        <v>0</v>
      </c>
      <c r="P650" s="6">
        <v>43</v>
      </c>
      <c r="Q650" s="6">
        <v>10</v>
      </c>
      <c r="R650" s="6">
        <v>0</v>
      </c>
      <c r="S650" s="6">
        <v>0</v>
      </c>
    </row>
    <row r="651" spans="1:19" ht="15" hidden="1" x14ac:dyDescent="0.25">
      <c r="A651" s="7" t="s">
        <v>16</v>
      </c>
      <c r="B651" s="7" t="s">
        <v>17</v>
      </c>
      <c r="C651" s="7" t="s">
        <v>18</v>
      </c>
      <c r="D651" s="4">
        <v>60961422000155</v>
      </c>
      <c r="E651" s="8" t="s">
        <v>620</v>
      </c>
      <c r="F651" s="8" t="s">
        <v>29</v>
      </c>
      <c r="G651" s="8" t="s">
        <v>19</v>
      </c>
      <c r="H651" s="8" t="s">
        <v>215</v>
      </c>
      <c r="I651" s="3">
        <v>2</v>
      </c>
      <c r="J651" s="8" t="s">
        <v>161</v>
      </c>
      <c r="K651" s="8" t="s">
        <v>162</v>
      </c>
      <c r="L651" s="8" t="s">
        <v>556</v>
      </c>
      <c r="M651" s="1" t="s">
        <v>207</v>
      </c>
      <c r="N651" s="8" t="s">
        <v>208</v>
      </c>
      <c r="O651" s="6">
        <v>0</v>
      </c>
      <c r="P651" s="6">
        <v>0</v>
      </c>
      <c r="Q651" s="6">
        <v>0</v>
      </c>
      <c r="R651" s="6">
        <v>0</v>
      </c>
      <c r="S651" s="6">
        <v>20</v>
      </c>
    </row>
    <row r="652" spans="1:19" ht="15" hidden="1" x14ac:dyDescent="0.25">
      <c r="A652" s="7" t="s">
        <v>16</v>
      </c>
      <c r="B652" s="7" t="s">
        <v>17</v>
      </c>
      <c r="C652" s="7" t="s">
        <v>18</v>
      </c>
      <c r="D652" s="4">
        <v>60961422000155</v>
      </c>
      <c r="E652" s="8" t="s">
        <v>620</v>
      </c>
      <c r="F652" s="8" t="s">
        <v>29</v>
      </c>
      <c r="G652" s="8" t="s">
        <v>19</v>
      </c>
      <c r="H652" s="8" t="s">
        <v>215</v>
      </c>
      <c r="I652" s="3">
        <v>2</v>
      </c>
      <c r="J652" s="8" t="s">
        <v>147</v>
      </c>
      <c r="K652" s="8" t="s">
        <v>148</v>
      </c>
      <c r="L652" s="8" t="s">
        <v>557</v>
      </c>
      <c r="M652" s="1" t="s">
        <v>207</v>
      </c>
      <c r="N652" s="8" t="s">
        <v>208</v>
      </c>
      <c r="O652" s="6">
        <v>0</v>
      </c>
      <c r="P652" s="6">
        <v>10</v>
      </c>
      <c r="Q652" s="6">
        <v>13</v>
      </c>
      <c r="R652" s="6">
        <v>0</v>
      </c>
      <c r="S652" s="6">
        <v>20</v>
      </c>
    </row>
    <row r="653" spans="1:19" ht="15" hidden="1" x14ac:dyDescent="0.25">
      <c r="A653" s="7" t="s">
        <v>16</v>
      </c>
      <c r="B653" s="7" t="s">
        <v>17</v>
      </c>
      <c r="C653" s="7" t="s">
        <v>18</v>
      </c>
      <c r="D653" s="4">
        <v>61590410000124</v>
      </c>
      <c r="E653" s="8" t="s">
        <v>630</v>
      </c>
      <c r="F653" s="8" t="s">
        <v>29</v>
      </c>
      <c r="G653" s="8" t="s">
        <v>19</v>
      </c>
      <c r="H653" s="8" t="s">
        <v>215</v>
      </c>
      <c r="I653" s="3">
        <v>2</v>
      </c>
      <c r="J653" s="8" t="s">
        <v>1355</v>
      </c>
      <c r="K653" s="8" t="s">
        <v>1356</v>
      </c>
      <c r="L653" s="8" t="s">
        <v>556</v>
      </c>
      <c r="M653" s="1" t="s">
        <v>207</v>
      </c>
      <c r="N653" s="8" t="s">
        <v>208</v>
      </c>
      <c r="O653" s="6">
        <v>0</v>
      </c>
      <c r="P653" s="6">
        <v>0</v>
      </c>
      <c r="Q653" s="6">
        <v>0</v>
      </c>
      <c r="R653" s="6">
        <v>0</v>
      </c>
      <c r="S653" s="6">
        <v>2360</v>
      </c>
    </row>
    <row r="654" spans="1:19" ht="15" hidden="1" x14ac:dyDescent="0.25">
      <c r="A654" s="7" t="s">
        <v>16</v>
      </c>
      <c r="B654" s="7" t="s">
        <v>17</v>
      </c>
      <c r="C654" s="7" t="s">
        <v>18</v>
      </c>
      <c r="D654" s="4">
        <v>61590410000124</v>
      </c>
      <c r="E654" s="8" t="s">
        <v>630</v>
      </c>
      <c r="F654" s="8" t="s">
        <v>29</v>
      </c>
      <c r="G654" s="8" t="s">
        <v>19</v>
      </c>
      <c r="H654" s="8" t="s">
        <v>215</v>
      </c>
      <c r="I654" s="3">
        <v>2</v>
      </c>
      <c r="J654" s="8" t="s">
        <v>177</v>
      </c>
      <c r="K654" s="8" t="s">
        <v>178</v>
      </c>
      <c r="L654" s="8" t="s">
        <v>557</v>
      </c>
      <c r="M654" s="1" t="s">
        <v>207</v>
      </c>
      <c r="N654" s="8" t="s">
        <v>208</v>
      </c>
      <c r="O654" s="6">
        <v>0</v>
      </c>
      <c r="P654" s="6">
        <v>0</v>
      </c>
      <c r="Q654" s="6">
        <v>0</v>
      </c>
      <c r="R654" s="6">
        <v>0</v>
      </c>
      <c r="S654" s="6">
        <v>2360</v>
      </c>
    </row>
    <row r="655" spans="1:19" ht="15" hidden="1" x14ac:dyDescent="0.25">
      <c r="A655" s="7" t="s">
        <v>16</v>
      </c>
      <c r="B655" s="7" t="s">
        <v>17</v>
      </c>
      <c r="C655" s="7" t="s">
        <v>18</v>
      </c>
      <c r="D655" s="4">
        <v>19803199000114</v>
      </c>
      <c r="E655" s="8" t="s">
        <v>587</v>
      </c>
      <c r="F655" s="8" t="s">
        <v>29</v>
      </c>
      <c r="G655" s="8" t="s">
        <v>19</v>
      </c>
      <c r="H655" s="8" t="s">
        <v>215</v>
      </c>
      <c r="I655" s="3">
        <v>2</v>
      </c>
      <c r="J655" s="8" t="s">
        <v>161</v>
      </c>
      <c r="K655" s="8" t="s">
        <v>162</v>
      </c>
      <c r="L655" s="8" t="s">
        <v>556</v>
      </c>
      <c r="M655" s="1" t="s">
        <v>207</v>
      </c>
      <c r="N655" s="8" t="s">
        <v>208</v>
      </c>
      <c r="O655" s="6">
        <v>0</v>
      </c>
      <c r="P655" s="6">
        <v>0</v>
      </c>
      <c r="Q655" s="6">
        <v>0</v>
      </c>
      <c r="R655" s="6">
        <v>0</v>
      </c>
      <c r="S655" s="6">
        <v>50</v>
      </c>
    </row>
    <row r="656" spans="1:19" ht="15" hidden="1" x14ac:dyDescent="0.25">
      <c r="A656" s="7" t="s">
        <v>16</v>
      </c>
      <c r="B656" s="7" t="s">
        <v>17</v>
      </c>
      <c r="C656" s="7" t="s">
        <v>18</v>
      </c>
      <c r="D656" s="4">
        <v>19803199000114</v>
      </c>
      <c r="E656" s="8" t="s">
        <v>587</v>
      </c>
      <c r="F656" s="8" t="s">
        <v>29</v>
      </c>
      <c r="G656" s="8" t="s">
        <v>19</v>
      </c>
      <c r="H656" s="8" t="s">
        <v>215</v>
      </c>
      <c r="I656" s="3">
        <v>2</v>
      </c>
      <c r="J656" s="8" t="s">
        <v>183</v>
      </c>
      <c r="K656" s="8" t="s">
        <v>184</v>
      </c>
      <c r="L656" s="8" t="s">
        <v>557</v>
      </c>
      <c r="M656" s="1" t="s">
        <v>207</v>
      </c>
      <c r="N656" s="8" t="s">
        <v>208</v>
      </c>
      <c r="O656" s="6">
        <v>0</v>
      </c>
      <c r="P656" s="6">
        <v>0</v>
      </c>
      <c r="Q656" s="6">
        <v>1</v>
      </c>
      <c r="R656" s="6">
        <v>0</v>
      </c>
      <c r="S656" s="6">
        <v>50</v>
      </c>
    </row>
    <row r="657" spans="1:19" ht="15" hidden="1" x14ac:dyDescent="0.25">
      <c r="A657" s="7" t="s">
        <v>16</v>
      </c>
      <c r="B657" s="7" t="s">
        <v>17</v>
      </c>
      <c r="C657" s="7" t="s">
        <v>18</v>
      </c>
      <c r="D657" s="4">
        <v>20812223000241</v>
      </c>
      <c r="E657" s="8" t="s">
        <v>588</v>
      </c>
      <c r="F657" s="8" t="s">
        <v>29</v>
      </c>
      <c r="G657" s="8" t="s">
        <v>19</v>
      </c>
      <c r="H657" s="8" t="s">
        <v>215</v>
      </c>
      <c r="I657" s="3">
        <v>2</v>
      </c>
      <c r="J657" s="8" t="s">
        <v>161</v>
      </c>
      <c r="K657" s="8" t="s">
        <v>162</v>
      </c>
      <c r="L657" s="8" t="s">
        <v>556</v>
      </c>
      <c r="M657" s="1" t="s">
        <v>207</v>
      </c>
      <c r="N657" s="8" t="s">
        <v>208</v>
      </c>
      <c r="O657" s="6">
        <v>0</v>
      </c>
      <c r="P657" s="6">
        <v>0</v>
      </c>
      <c r="Q657" s="6">
        <v>0</v>
      </c>
      <c r="R657" s="6">
        <v>10</v>
      </c>
      <c r="S657" s="6">
        <v>0</v>
      </c>
    </row>
    <row r="658" spans="1:19" ht="15" hidden="1" x14ac:dyDescent="0.25">
      <c r="A658" s="7" t="s">
        <v>16</v>
      </c>
      <c r="B658" s="7" t="s">
        <v>17</v>
      </c>
      <c r="C658" s="7" t="s">
        <v>18</v>
      </c>
      <c r="D658" s="4">
        <v>20812223000241</v>
      </c>
      <c r="E658" s="8" t="s">
        <v>588</v>
      </c>
      <c r="F658" s="8" t="s">
        <v>29</v>
      </c>
      <c r="G658" s="8" t="s">
        <v>19</v>
      </c>
      <c r="H658" s="8" t="s">
        <v>215</v>
      </c>
      <c r="I658" s="3">
        <v>2</v>
      </c>
      <c r="J658" s="8" t="s">
        <v>147</v>
      </c>
      <c r="K658" s="8" t="s">
        <v>148</v>
      </c>
      <c r="L658" s="8" t="s">
        <v>557</v>
      </c>
      <c r="M658" s="1" t="s">
        <v>207</v>
      </c>
      <c r="N658" s="8" t="s">
        <v>208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</row>
    <row r="659" spans="1:19" ht="15" hidden="1" x14ac:dyDescent="0.25">
      <c r="A659" s="7" t="s">
        <v>16</v>
      </c>
      <c r="B659" s="7" t="s">
        <v>17</v>
      </c>
      <c r="C659" s="7" t="s">
        <v>18</v>
      </c>
      <c r="D659" s="4">
        <v>57394710000160</v>
      </c>
      <c r="E659" s="8" t="s">
        <v>607</v>
      </c>
      <c r="F659" s="8" t="s">
        <v>29</v>
      </c>
      <c r="G659" s="8" t="s">
        <v>19</v>
      </c>
      <c r="H659" s="8" t="s">
        <v>215</v>
      </c>
      <c r="I659" s="3">
        <v>2</v>
      </c>
      <c r="J659" s="8" t="s">
        <v>161</v>
      </c>
      <c r="K659" s="8" t="s">
        <v>162</v>
      </c>
      <c r="L659" s="8" t="s">
        <v>556</v>
      </c>
      <c r="M659" s="1" t="s">
        <v>207</v>
      </c>
      <c r="N659" s="8" t="s">
        <v>208</v>
      </c>
      <c r="O659" s="6">
        <v>0</v>
      </c>
      <c r="P659" s="6">
        <v>0</v>
      </c>
      <c r="Q659" s="6">
        <v>0</v>
      </c>
      <c r="R659" s="6">
        <v>0</v>
      </c>
      <c r="S659" s="6">
        <v>25</v>
      </c>
    </row>
    <row r="660" spans="1:19" ht="15" hidden="1" x14ac:dyDescent="0.25">
      <c r="A660" s="7" t="s">
        <v>16</v>
      </c>
      <c r="B660" s="7" t="s">
        <v>17</v>
      </c>
      <c r="C660" s="7" t="s">
        <v>18</v>
      </c>
      <c r="D660" s="4">
        <v>57394710000160</v>
      </c>
      <c r="E660" s="8" t="s">
        <v>607</v>
      </c>
      <c r="F660" s="8" t="s">
        <v>29</v>
      </c>
      <c r="G660" s="8" t="s">
        <v>19</v>
      </c>
      <c r="H660" s="8" t="s">
        <v>215</v>
      </c>
      <c r="I660" s="3">
        <v>2</v>
      </c>
      <c r="J660" s="8" t="s">
        <v>177</v>
      </c>
      <c r="K660" s="8" t="s">
        <v>178</v>
      </c>
      <c r="L660" s="8" t="s">
        <v>557</v>
      </c>
      <c r="M660" s="1" t="s">
        <v>207</v>
      </c>
      <c r="N660" s="8" t="s">
        <v>208</v>
      </c>
      <c r="O660" s="6">
        <v>0</v>
      </c>
      <c r="P660" s="6">
        <v>0</v>
      </c>
      <c r="Q660" s="6">
        <v>0</v>
      </c>
      <c r="R660" s="6">
        <v>0</v>
      </c>
      <c r="S660" s="6">
        <v>25</v>
      </c>
    </row>
    <row r="661" spans="1:19" ht="15" hidden="1" x14ac:dyDescent="0.25">
      <c r="A661" s="7" t="s">
        <v>16</v>
      </c>
      <c r="B661" s="7" t="s">
        <v>21</v>
      </c>
      <c r="C661" s="7" t="s">
        <v>18</v>
      </c>
      <c r="D661" s="4">
        <v>1454407000151</v>
      </c>
      <c r="E661" s="8" t="s">
        <v>764</v>
      </c>
      <c r="F661" s="8" t="s">
        <v>742</v>
      </c>
      <c r="G661" s="8" t="s">
        <v>91</v>
      </c>
      <c r="H661" s="8" t="s">
        <v>215</v>
      </c>
      <c r="I661" s="3">
        <v>2</v>
      </c>
      <c r="J661" s="8" t="s">
        <v>199</v>
      </c>
      <c r="K661" s="8" t="s">
        <v>200</v>
      </c>
      <c r="L661" s="8" t="s">
        <v>556</v>
      </c>
      <c r="M661" s="1" t="s">
        <v>211</v>
      </c>
      <c r="N661" s="8" t="s">
        <v>212</v>
      </c>
      <c r="O661" s="6">
        <v>0</v>
      </c>
      <c r="P661" s="6">
        <v>0</v>
      </c>
      <c r="Q661" s="6">
        <v>0</v>
      </c>
      <c r="R661" s="6">
        <v>0</v>
      </c>
      <c r="S661" s="6">
        <v>500</v>
      </c>
    </row>
    <row r="662" spans="1:19" ht="15" hidden="1" x14ac:dyDescent="0.25">
      <c r="A662" s="7" t="s">
        <v>16</v>
      </c>
      <c r="B662" s="7" t="s">
        <v>21</v>
      </c>
      <c r="C662" s="7" t="s">
        <v>18</v>
      </c>
      <c r="D662" s="4">
        <v>1454407000151</v>
      </c>
      <c r="E662" s="8" t="s">
        <v>764</v>
      </c>
      <c r="F662" s="8" t="s">
        <v>742</v>
      </c>
      <c r="G662" s="8" t="s">
        <v>91</v>
      </c>
      <c r="H662" s="8" t="s">
        <v>215</v>
      </c>
      <c r="I662" s="3">
        <v>2</v>
      </c>
      <c r="J662" s="8" t="s">
        <v>167</v>
      </c>
      <c r="K662" s="8" t="s">
        <v>168</v>
      </c>
      <c r="L662" s="8" t="s">
        <v>557</v>
      </c>
      <c r="M662" s="1" t="s">
        <v>211</v>
      </c>
      <c r="N662" s="8" t="s">
        <v>212</v>
      </c>
      <c r="O662" s="6">
        <v>0</v>
      </c>
      <c r="P662" s="6">
        <v>0</v>
      </c>
      <c r="Q662" s="6">
        <v>0</v>
      </c>
      <c r="R662" s="6">
        <v>0</v>
      </c>
      <c r="S662" s="6">
        <v>500</v>
      </c>
    </row>
    <row r="663" spans="1:19" ht="15" hidden="1" x14ac:dyDescent="0.25">
      <c r="A663" s="7" t="s">
        <v>16</v>
      </c>
      <c r="B663" s="7" t="s">
        <v>21</v>
      </c>
      <c r="C663" s="7" t="s">
        <v>18</v>
      </c>
      <c r="D663" s="4">
        <v>12442737000496</v>
      </c>
      <c r="E663" s="8" t="s">
        <v>865</v>
      </c>
      <c r="F663" s="8" t="s">
        <v>742</v>
      </c>
      <c r="G663" s="8" t="s">
        <v>91</v>
      </c>
      <c r="H663" s="8" t="s">
        <v>215</v>
      </c>
      <c r="I663" s="3">
        <v>2</v>
      </c>
      <c r="J663" s="8" t="s">
        <v>199</v>
      </c>
      <c r="K663" s="8" t="s">
        <v>200</v>
      </c>
      <c r="L663" s="8" t="s">
        <v>556</v>
      </c>
      <c r="M663" s="1" t="s">
        <v>211</v>
      </c>
      <c r="N663" s="8" t="s">
        <v>212</v>
      </c>
      <c r="O663" s="6">
        <v>0</v>
      </c>
      <c r="P663" s="6">
        <v>0</v>
      </c>
      <c r="Q663" s="6">
        <v>0</v>
      </c>
      <c r="R663" s="6">
        <v>0</v>
      </c>
      <c r="S663" s="6">
        <v>400</v>
      </c>
    </row>
    <row r="664" spans="1:19" ht="15" hidden="1" x14ac:dyDescent="0.25">
      <c r="A664" s="7" t="s">
        <v>16</v>
      </c>
      <c r="B664" s="7" t="s">
        <v>21</v>
      </c>
      <c r="C664" s="7" t="s">
        <v>18</v>
      </c>
      <c r="D664" s="4">
        <v>12442737000496</v>
      </c>
      <c r="E664" s="8" t="s">
        <v>865</v>
      </c>
      <c r="F664" s="8" t="s">
        <v>742</v>
      </c>
      <c r="G664" s="8" t="s">
        <v>91</v>
      </c>
      <c r="H664" s="8" t="s">
        <v>215</v>
      </c>
      <c r="I664" s="3">
        <v>2</v>
      </c>
      <c r="J664" s="8" t="s">
        <v>167</v>
      </c>
      <c r="K664" s="8" t="s">
        <v>168</v>
      </c>
      <c r="L664" s="8" t="s">
        <v>557</v>
      </c>
      <c r="M664" s="1" t="s">
        <v>211</v>
      </c>
      <c r="N664" s="8" t="s">
        <v>212</v>
      </c>
      <c r="O664" s="6">
        <v>0</v>
      </c>
      <c r="P664" s="6">
        <v>3</v>
      </c>
      <c r="Q664" s="6">
        <v>2</v>
      </c>
      <c r="R664" s="6">
        <v>0</v>
      </c>
      <c r="S664" s="6">
        <v>400</v>
      </c>
    </row>
    <row r="665" spans="1:19" ht="15" hidden="1" x14ac:dyDescent="0.25">
      <c r="A665" s="7" t="s">
        <v>16</v>
      </c>
      <c r="B665" s="7" t="s">
        <v>21</v>
      </c>
      <c r="C665" s="7" t="s">
        <v>18</v>
      </c>
      <c r="D665" s="4">
        <v>24464109000229</v>
      </c>
      <c r="E665" s="8" t="s">
        <v>905</v>
      </c>
      <c r="F665" s="8" t="s">
        <v>742</v>
      </c>
      <c r="G665" s="8" t="s">
        <v>91</v>
      </c>
      <c r="H665" s="8" t="s">
        <v>215</v>
      </c>
      <c r="I665" s="3">
        <v>2</v>
      </c>
      <c r="J665" s="8" t="s">
        <v>199</v>
      </c>
      <c r="K665" s="8" t="s">
        <v>200</v>
      </c>
      <c r="L665" s="8" t="s">
        <v>556</v>
      </c>
      <c r="M665" s="1" t="s">
        <v>211</v>
      </c>
      <c r="N665" s="8" t="s">
        <v>212</v>
      </c>
      <c r="O665" s="6">
        <v>4</v>
      </c>
      <c r="P665" s="6">
        <v>0</v>
      </c>
      <c r="Q665" s="6">
        <v>0</v>
      </c>
      <c r="R665" s="6">
        <v>0</v>
      </c>
      <c r="S665" s="6">
        <v>0</v>
      </c>
    </row>
    <row r="666" spans="1:19" ht="15" hidden="1" x14ac:dyDescent="0.25">
      <c r="A666" s="7" t="s">
        <v>16</v>
      </c>
      <c r="B666" s="7" t="s">
        <v>21</v>
      </c>
      <c r="C666" s="7" t="s">
        <v>18</v>
      </c>
      <c r="D666" s="4">
        <v>24464109000229</v>
      </c>
      <c r="E666" s="8" t="s">
        <v>905</v>
      </c>
      <c r="F666" s="8" t="s">
        <v>742</v>
      </c>
      <c r="G666" s="8" t="s">
        <v>91</v>
      </c>
      <c r="H666" s="8" t="s">
        <v>215</v>
      </c>
      <c r="I666" s="3">
        <v>2</v>
      </c>
      <c r="J666" s="8" t="s">
        <v>167</v>
      </c>
      <c r="K666" s="8" t="s">
        <v>168</v>
      </c>
      <c r="L666" s="8" t="s">
        <v>557</v>
      </c>
      <c r="M666" s="1" t="s">
        <v>211</v>
      </c>
      <c r="N666" s="8" t="s">
        <v>212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</row>
    <row r="667" spans="1:19" ht="15" hidden="1" x14ac:dyDescent="0.25">
      <c r="A667" s="7" t="s">
        <v>16</v>
      </c>
      <c r="B667" s="7" t="s">
        <v>21</v>
      </c>
      <c r="C667" s="7" t="s">
        <v>18</v>
      </c>
      <c r="D667" s="4">
        <v>3866223000124</v>
      </c>
      <c r="E667" s="8" t="s">
        <v>792</v>
      </c>
      <c r="F667" s="8" t="s">
        <v>742</v>
      </c>
      <c r="G667" s="8" t="s">
        <v>91</v>
      </c>
      <c r="H667" s="8" t="s">
        <v>215</v>
      </c>
      <c r="I667" s="3">
        <v>2</v>
      </c>
      <c r="J667" s="8" t="s">
        <v>199</v>
      </c>
      <c r="K667" s="8" t="s">
        <v>200</v>
      </c>
      <c r="L667" s="8" t="s">
        <v>556</v>
      </c>
      <c r="M667" s="1" t="s">
        <v>211</v>
      </c>
      <c r="N667" s="8" t="s">
        <v>212</v>
      </c>
      <c r="O667" s="6">
        <v>0</v>
      </c>
      <c r="P667" s="6">
        <v>0</v>
      </c>
      <c r="Q667" s="6">
        <v>0</v>
      </c>
      <c r="R667" s="6">
        <v>0</v>
      </c>
      <c r="S667" s="6">
        <v>1740</v>
      </c>
    </row>
    <row r="668" spans="1:19" ht="15" hidden="1" x14ac:dyDescent="0.25">
      <c r="A668" s="7" t="s">
        <v>16</v>
      </c>
      <c r="B668" s="7" t="s">
        <v>21</v>
      </c>
      <c r="C668" s="7" t="s">
        <v>18</v>
      </c>
      <c r="D668" s="4">
        <v>3866223000124</v>
      </c>
      <c r="E668" s="8" t="s">
        <v>792</v>
      </c>
      <c r="F668" s="8" t="s">
        <v>742</v>
      </c>
      <c r="G668" s="8" t="s">
        <v>91</v>
      </c>
      <c r="H668" s="8" t="s">
        <v>215</v>
      </c>
      <c r="I668" s="3">
        <v>2</v>
      </c>
      <c r="J668" s="8" t="s">
        <v>167</v>
      </c>
      <c r="K668" s="8" t="s">
        <v>168</v>
      </c>
      <c r="L668" s="8" t="s">
        <v>557</v>
      </c>
      <c r="M668" s="1" t="s">
        <v>211</v>
      </c>
      <c r="N668" s="8" t="s">
        <v>212</v>
      </c>
      <c r="O668" s="6">
        <v>0</v>
      </c>
      <c r="P668" s="6">
        <v>0</v>
      </c>
      <c r="Q668" s="6">
        <v>0</v>
      </c>
      <c r="R668" s="6">
        <v>0</v>
      </c>
      <c r="S668" s="6">
        <v>1740</v>
      </c>
    </row>
    <row r="669" spans="1:19" ht="15" hidden="1" x14ac:dyDescent="0.25">
      <c r="A669" s="7" t="s">
        <v>16</v>
      </c>
      <c r="B669" s="7" t="s">
        <v>21</v>
      </c>
      <c r="C669" s="7" t="s">
        <v>18</v>
      </c>
      <c r="D669" s="4">
        <v>12361267010407</v>
      </c>
      <c r="E669" s="8" t="s">
        <v>862</v>
      </c>
      <c r="F669" s="8" t="s">
        <v>86</v>
      </c>
      <c r="G669" s="8" t="s">
        <v>74</v>
      </c>
      <c r="H669" s="8" t="s">
        <v>215</v>
      </c>
      <c r="I669" s="3">
        <v>2</v>
      </c>
      <c r="J669" s="8" t="s">
        <v>199</v>
      </c>
      <c r="K669" s="8" t="s">
        <v>200</v>
      </c>
      <c r="L669" s="8" t="s">
        <v>556</v>
      </c>
      <c r="M669" s="1" t="s">
        <v>211</v>
      </c>
      <c r="N669" s="8" t="s">
        <v>212</v>
      </c>
      <c r="O669" s="6">
        <v>0</v>
      </c>
      <c r="P669" s="6">
        <v>0</v>
      </c>
      <c r="Q669" s="6">
        <v>0</v>
      </c>
      <c r="R669" s="6">
        <v>0</v>
      </c>
      <c r="S669" s="6">
        <v>130</v>
      </c>
    </row>
    <row r="670" spans="1:19" ht="15" hidden="1" x14ac:dyDescent="0.25">
      <c r="A670" s="7" t="s">
        <v>16</v>
      </c>
      <c r="B670" s="7" t="s">
        <v>21</v>
      </c>
      <c r="C670" s="7" t="s">
        <v>18</v>
      </c>
      <c r="D670" s="4">
        <v>12361267010407</v>
      </c>
      <c r="E670" s="8" t="s">
        <v>862</v>
      </c>
      <c r="F670" s="8" t="s">
        <v>86</v>
      </c>
      <c r="G670" s="8" t="s">
        <v>74</v>
      </c>
      <c r="H670" s="8" t="s">
        <v>215</v>
      </c>
      <c r="I670" s="3">
        <v>2</v>
      </c>
      <c r="J670" s="8" t="s">
        <v>167</v>
      </c>
      <c r="K670" s="8" t="s">
        <v>168</v>
      </c>
      <c r="L670" s="8" t="s">
        <v>557</v>
      </c>
      <c r="M670" s="1" t="s">
        <v>211</v>
      </c>
      <c r="N670" s="8" t="s">
        <v>212</v>
      </c>
      <c r="O670" s="6">
        <v>0</v>
      </c>
      <c r="P670" s="6">
        <v>0</v>
      </c>
      <c r="Q670" s="6">
        <v>0</v>
      </c>
      <c r="R670" s="6">
        <v>0</v>
      </c>
      <c r="S670" s="6">
        <v>130</v>
      </c>
    </row>
    <row r="671" spans="1:19" ht="15" hidden="1" x14ac:dyDescent="0.25">
      <c r="A671" s="7" t="s">
        <v>16</v>
      </c>
      <c r="B671" s="7" t="s">
        <v>21</v>
      </c>
      <c r="C671" s="7" t="s">
        <v>18</v>
      </c>
      <c r="D671" s="4">
        <v>4602792000125</v>
      </c>
      <c r="E671" s="8" t="s">
        <v>797</v>
      </c>
      <c r="F671" s="8" t="s">
        <v>73</v>
      </c>
      <c r="G671" s="8" t="s">
        <v>74</v>
      </c>
      <c r="H671" s="8" t="s">
        <v>215</v>
      </c>
      <c r="I671" s="3">
        <v>2</v>
      </c>
      <c r="J671" s="8" t="s">
        <v>199</v>
      </c>
      <c r="K671" s="8" t="s">
        <v>200</v>
      </c>
      <c r="L671" s="8" t="s">
        <v>556</v>
      </c>
      <c r="M671" s="1" t="s">
        <v>211</v>
      </c>
      <c r="N671" s="8" t="s">
        <v>212</v>
      </c>
      <c r="O671" s="6">
        <v>0</v>
      </c>
      <c r="P671" s="6">
        <v>0</v>
      </c>
      <c r="Q671" s="6">
        <v>0</v>
      </c>
      <c r="R671" s="6">
        <v>0</v>
      </c>
      <c r="S671" s="6">
        <v>0</v>
      </c>
    </row>
    <row r="672" spans="1:19" ht="15" hidden="1" x14ac:dyDescent="0.25">
      <c r="A672" s="7" t="s">
        <v>16</v>
      </c>
      <c r="B672" s="7" t="s">
        <v>21</v>
      </c>
      <c r="C672" s="7" t="s">
        <v>18</v>
      </c>
      <c r="D672" s="4">
        <v>4602792000125</v>
      </c>
      <c r="E672" s="8" t="s">
        <v>797</v>
      </c>
      <c r="F672" s="8" t="s">
        <v>73</v>
      </c>
      <c r="G672" s="8" t="s">
        <v>74</v>
      </c>
      <c r="H672" s="8" t="s">
        <v>215</v>
      </c>
      <c r="I672" s="3">
        <v>2</v>
      </c>
      <c r="J672" s="8" t="s">
        <v>167</v>
      </c>
      <c r="K672" s="8" t="s">
        <v>168</v>
      </c>
      <c r="L672" s="8" t="s">
        <v>557</v>
      </c>
      <c r="M672" s="1" t="s">
        <v>211</v>
      </c>
      <c r="N672" s="8" t="s">
        <v>212</v>
      </c>
      <c r="O672" s="6">
        <v>0</v>
      </c>
      <c r="P672" s="6">
        <v>3</v>
      </c>
      <c r="Q672" s="6">
        <v>0</v>
      </c>
      <c r="R672" s="6">
        <v>0</v>
      </c>
      <c r="S672" s="6">
        <v>0</v>
      </c>
    </row>
    <row r="673" spans="1:19" ht="15" hidden="1" x14ac:dyDescent="0.25">
      <c r="A673" s="7" t="s">
        <v>16</v>
      </c>
      <c r="B673" s="7" t="s">
        <v>21</v>
      </c>
      <c r="C673" s="7" t="s">
        <v>18</v>
      </c>
      <c r="D673" s="4">
        <v>13952064000134</v>
      </c>
      <c r="E673" s="8" t="s">
        <v>875</v>
      </c>
      <c r="F673" s="8" t="s">
        <v>75</v>
      </c>
      <c r="G673" s="8" t="s">
        <v>74</v>
      </c>
      <c r="H673" s="8" t="s">
        <v>215</v>
      </c>
      <c r="I673" s="3">
        <v>2</v>
      </c>
      <c r="J673" s="8" t="s">
        <v>199</v>
      </c>
      <c r="K673" s="8" t="s">
        <v>200</v>
      </c>
      <c r="L673" s="8" t="s">
        <v>556</v>
      </c>
      <c r="M673" s="1" t="s">
        <v>211</v>
      </c>
      <c r="N673" s="8" t="s">
        <v>212</v>
      </c>
      <c r="O673" s="6">
        <v>0</v>
      </c>
      <c r="P673" s="6">
        <v>0</v>
      </c>
      <c r="Q673" s="6">
        <v>0</v>
      </c>
      <c r="R673" s="6">
        <v>0</v>
      </c>
      <c r="S673" s="6">
        <v>0</v>
      </c>
    </row>
    <row r="674" spans="1:19" ht="15" hidden="1" x14ac:dyDescent="0.25">
      <c r="A674" s="7" t="s">
        <v>16</v>
      </c>
      <c r="B674" s="7" t="s">
        <v>21</v>
      </c>
      <c r="C674" s="7" t="s">
        <v>18</v>
      </c>
      <c r="D674" s="4">
        <v>13952064000134</v>
      </c>
      <c r="E674" s="8" t="s">
        <v>875</v>
      </c>
      <c r="F674" s="8" t="s">
        <v>75</v>
      </c>
      <c r="G674" s="8" t="s">
        <v>74</v>
      </c>
      <c r="H674" s="8" t="s">
        <v>215</v>
      </c>
      <c r="I674" s="3">
        <v>2</v>
      </c>
      <c r="J674" s="8" t="s">
        <v>167</v>
      </c>
      <c r="K674" s="8" t="s">
        <v>168</v>
      </c>
      <c r="L674" s="8" t="s">
        <v>557</v>
      </c>
      <c r="M674" s="1" t="s">
        <v>211</v>
      </c>
      <c r="N674" s="8" t="s">
        <v>212</v>
      </c>
      <c r="O674" s="6">
        <v>0</v>
      </c>
      <c r="P674" s="6">
        <v>8</v>
      </c>
      <c r="Q674" s="6">
        <v>0</v>
      </c>
      <c r="R674" s="6">
        <v>0</v>
      </c>
      <c r="S674" s="6">
        <v>0</v>
      </c>
    </row>
    <row r="675" spans="1:19" ht="15" hidden="1" x14ac:dyDescent="0.25">
      <c r="A675" s="7" t="s">
        <v>16</v>
      </c>
      <c r="B675" s="7" t="s">
        <v>21</v>
      </c>
      <c r="C675" s="7" t="s">
        <v>18</v>
      </c>
      <c r="D675" s="4">
        <v>16475154000250</v>
      </c>
      <c r="E675" s="8" t="s">
        <v>899</v>
      </c>
      <c r="F675" s="8" t="s">
        <v>75</v>
      </c>
      <c r="G675" s="8" t="s">
        <v>74</v>
      </c>
      <c r="H675" s="8" t="s">
        <v>215</v>
      </c>
      <c r="I675" s="3">
        <v>2</v>
      </c>
      <c r="J675" s="8" t="s">
        <v>199</v>
      </c>
      <c r="K675" s="8" t="s">
        <v>200</v>
      </c>
      <c r="L675" s="8" t="s">
        <v>556</v>
      </c>
      <c r="M675" s="1" t="s">
        <v>211</v>
      </c>
      <c r="N675" s="8" t="s">
        <v>212</v>
      </c>
      <c r="O675" s="6">
        <v>0</v>
      </c>
      <c r="P675" s="6">
        <v>0</v>
      </c>
      <c r="Q675" s="6">
        <v>0</v>
      </c>
      <c r="R675" s="6">
        <v>0</v>
      </c>
      <c r="S675" s="6">
        <v>0</v>
      </c>
    </row>
    <row r="676" spans="1:19" ht="15" hidden="1" x14ac:dyDescent="0.25">
      <c r="A676" s="7" t="s">
        <v>16</v>
      </c>
      <c r="B676" s="7" t="s">
        <v>21</v>
      </c>
      <c r="C676" s="7" t="s">
        <v>18</v>
      </c>
      <c r="D676" s="4">
        <v>16475154000250</v>
      </c>
      <c r="E676" s="8" t="s">
        <v>899</v>
      </c>
      <c r="F676" s="8" t="s">
        <v>75</v>
      </c>
      <c r="G676" s="8" t="s">
        <v>74</v>
      </c>
      <c r="H676" s="8" t="s">
        <v>215</v>
      </c>
      <c r="I676" s="3">
        <v>2</v>
      </c>
      <c r="J676" s="8" t="s">
        <v>167</v>
      </c>
      <c r="K676" s="8" t="s">
        <v>168</v>
      </c>
      <c r="L676" s="8" t="s">
        <v>557</v>
      </c>
      <c r="M676" s="1" t="s">
        <v>211</v>
      </c>
      <c r="N676" s="8" t="s">
        <v>212</v>
      </c>
      <c r="O676" s="6">
        <v>0</v>
      </c>
      <c r="P676" s="6">
        <v>3</v>
      </c>
      <c r="Q676" s="6">
        <v>0</v>
      </c>
      <c r="R676" s="6">
        <v>0</v>
      </c>
      <c r="S676" s="6">
        <v>0</v>
      </c>
    </row>
    <row r="677" spans="1:19" ht="15" hidden="1" x14ac:dyDescent="0.25">
      <c r="A677" s="7" t="s">
        <v>16</v>
      </c>
      <c r="B677" s="7" t="s">
        <v>21</v>
      </c>
      <c r="C677" s="7" t="s">
        <v>18</v>
      </c>
      <c r="D677" s="4">
        <v>5816630000152</v>
      </c>
      <c r="E677" s="8" t="s">
        <v>803</v>
      </c>
      <c r="F677" s="8" t="s">
        <v>75</v>
      </c>
      <c r="G677" s="8" t="s">
        <v>74</v>
      </c>
      <c r="H677" s="8" t="s">
        <v>215</v>
      </c>
      <c r="I677" s="3">
        <v>2</v>
      </c>
      <c r="J677" s="8" t="s">
        <v>199</v>
      </c>
      <c r="K677" s="8" t="s">
        <v>200</v>
      </c>
      <c r="L677" s="8" t="s">
        <v>556</v>
      </c>
      <c r="M677" s="1" t="s">
        <v>211</v>
      </c>
      <c r="N677" s="8" t="s">
        <v>212</v>
      </c>
      <c r="O677" s="6">
        <v>0</v>
      </c>
      <c r="P677" s="6">
        <v>0</v>
      </c>
      <c r="Q677" s="6">
        <v>0</v>
      </c>
      <c r="R677" s="6">
        <v>0</v>
      </c>
      <c r="S677" s="6">
        <v>2960</v>
      </c>
    </row>
    <row r="678" spans="1:19" ht="15" hidden="1" x14ac:dyDescent="0.25">
      <c r="A678" s="7" t="s">
        <v>16</v>
      </c>
      <c r="B678" s="7" t="s">
        <v>21</v>
      </c>
      <c r="C678" s="7" t="s">
        <v>18</v>
      </c>
      <c r="D678" s="4">
        <v>5816630000152</v>
      </c>
      <c r="E678" s="8" t="s">
        <v>803</v>
      </c>
      <c r="F678" s="8" t="s">
        <v>75</v>
      </c>
      <c r="G678" s="8" t="s">
        <v>74</v>
      </c>
      <c r="H678" s="8" t="s">
        <v>215</v>
      </c>
      <c r="I678" s="3">
        <v>2</v>
      </c>
      <c r="J678" s="8" t="s">
        <v>167</v>
      </c>
      <c r="K678" s="8" t="s">
        <v>168</v>
      </c>
      <c r="L678" s="8" t="s">
        <v>557</v>
      </c>
      <c r="M678" s="1" t="s">
        <v>211</v>
      </c>
      <c r="N678" s="8" t="s">
        <v>212</v>
      </c>
      <c r="O678" s="6">
        <v>0</v>
      </c>
      <c r="P678" s="6">
        <v>15</v>
      </c>
      <c r="Q678" s="6">
        <v>5</v>
      </c>
      <c r="R678" s="6">
        <v>0</v>
      </c>
      <c r="S678" s="6">
        <v>2960</v>
      </c>
    </row>
    <row r="679" spans="1:19" ht="15" hidden="1" x14ac:dyDescent="0.25">
      <c r="A679" s="7" t="s">
        <v>16</v>
      </c>
      <c r="B679" s="7" t="s">
        <v>21</v>
      </c>
      <c r="C679" s="7" t="s">
        <v>18</v>
      </c>
      <c r="D679" s="4">
        <v>15194004000125</v>
      </c>
      <c r="E679" s="8" t="s">
        <v>895</v>
      </c>
      <c r="F679" s="8" t="s">
        <v>75</v>
      </c>
      <c r="G679" s="8" t="s">
        <v>74</v>
      </c>
      <c r="H679" s="8" t="s">
        <v>215</v>
      </c>
      <c r="I679" s="3">
        <v>2</v>
      </c>
      <c r="J679" s="8" t="s">
        <v>199</v>
      </c>
      <c r="K679" s="8" t="s">
        <v>200</v>
      </c>
      <c r="L679" s="8" t="s">
        <v>556</v>
      </c>
      <c r="M679" s="1" t="s">
        <v>211</v>
      </c>
      <c r="N679" s="8" t="s">
        <v>212</v>
      </c>
      <c r="O679" s="6">
        <v>0</v>
      </c>
      <c r="P679" s="6">
        <v>0</v>
      </c>
      <c r="Q679" s="6">
        <v>0</v>
      </c>
      <c r="R679" s="6">
        <v>0</v>
      </c>
      <c r="S679" s="6">
        <v>0</v>
      </c>
    </row>
    <row r="680" spans="1:19" ht="15" hidden="1" x14ac:dyDescent="0.25">
      <c r="A680" s="7" t="s">
        <v>16</v>
      </c>
      <c r="B680" s="7" t="s">
        <v>21</v>
      </c>
      <c r="C680" s="7" t="s">
        <v>18</v>
      </c>
      <c r="D680" s="4">
        <v>15194004000125</v>
      </c>
      <c r="E680" s="8" t="s">
        <v>895</v>
      </c>
      <c r="F680" s="8" t="s">
        <v>75</v>
      </c>
      <c r="G680" s="8" t="s">
        <v>74</v>
      </c>
      <c r="H680" s="8" t="s">
        <v>215</v>
      </c>
      <c r="I680" s="3">
        <v>2</v>
      </c>
      <c r="J680" s="8" t="s">
        <v>167</v>
      </c>
      <c r="K680" s="8" t="s">
        <v>168</v>
      </c>
      <c r="L680" s="8" t="s">
        <v>557</v>
      </c>
      <c r="M680" s="1" t="s">
        <v>211</v>
      </c>
      <c r="N680" s="8" t="s">
        <v>212</v>
      </c>
      <c r="O680" s="6">
        <v>0</v>
      </c>
      <c r="P680" s="6">
        <v>5</v>
      </c>
      <c r="Q680" s="6">
        <v>0</v>
      </c>
      <c r="R680" s="6">
        <v>0</v>
      </c>
      <c r="S680" s="6">
        <v>0</v>
      </c>
    </row>
    <row r="681" spans="1:19" ht="15" hidden="1" x14ac:dyDescent="0.25">
      <c r="A681" s="7" t="s">
        <v>16</v>
      </c>
      <c r="B681" s="7" t="s">
        <v>21</v>
      </c>
      <c r="C681" s="7" t="s">
        <v>18</v>
      </c>
      <c r="D681" s="4">
        <v>5469172000122</v>
      </c>
      <c r="E681" s="8" t="s">
        <v>799</v>
      </c>
      <c r="F681" s="8" t="s">
        <v>75</v>
      </c>
      <c r="G681" s="8" t="s">
        <v>74</v>
      </c>
      <c r="H681" s="8" t="s">
        <v>215</v>
      </c>
      <c r="I681" s="3">
        <v>2</v>
      </c>
      <c r="J681" s="8" t="s">
        <v>199</v>
      </c>
      <c r="K681" s="8" t="s">
        <v>200</v>
      </c>
      <c r="L681" s="8" t="s">
        <v>556</v>
      </c>
      <c r="M681" s="1" t="s">
        <v>211</v>
      </c>
      <c r="N681" s="8" t="s">
        <v>212</v>
      </c>
      <c r="O681" s="6">
        <v>0</v>
      </c>
      <c r="P681" s="6">
        <v>0</v>
      </c>
      <c r="Q681" s="6">
        <v>0</v>
      </c>
      <c r="R681" s="6">
        <v>0</v>
      </c>
      <c r="S681" s="6">
        <v>0</v>
      </c>
    </row>
    <row r="682" spans="1:19" ht="15" hidden="1" x14ac:dyDescent="0.25">
      <c r="A682" s="7" t="s">
        <v>16</v>
      </c>
      <c r="B682" s="7" t="s">
        <v>21</v>
      </c>
      <c r="C682" s="7" t="s">
        <v>18</v>
      </c>
      <c r="D682" s="4">
        <v>5469172000122</v>
      </c>
      <c r="E682" s="8" t="s">
        <v>799</v>
      </c>
      <c r="F682" s="8" t="s">
        <v>75</v>
      </c>
      <c r="G682" s="8" t="s">
        <v>74</v>
      </c>
      <c r="H682" s="8" t="s">
        <v>215</v>
      </c>
      <c r="I682" s="3">
        <v>2</v>
      </c>
      <c r="J682" s="8" t="s">
        <v>167</v>
      </c>
      <c r="K682" s="8" t="s">
        <v>168</v>
      </c>
      <c r="L682" s="8" t="s">
        <v>557</v>
      </c>
      <c r="M682" s="1" t="s">
        <v>211</v>
      </c>
      <c r="N682" s="8" t="s">
        <v>212</v>
      </c>
      <c r="O682" s="6">
        <v>0</v>
      </c>
      <c r="P682" s="6">
        <v>11</v>
      </c>
      <c r="Q682" s="6">
        <v>7</v>
      </c>
      <c r="R682" s="6">
        <v>0</v>
      </c>
      <c r="S682" s="6">
        <v>0</v>
      </c>
    </row>
    <row r="683" spans="1:19" ht="15" hidden="1" x14ac:dyDescent="0.25">
      <c r="A683" s="7" t="s">
        <v>16</v>
      </c>
      <c r="B683" s="7" t="s">
        <v>21</v>
      </c>
      <c r="C683" s="7" t="s">
        <v>18</v>
      </c>
      <c r="D683" s="4">
        <v>13016092000140</v>
      </c>
      <c r="E683" s="8" t="s">
        <v>867</v>
      </c>
      <c r="F683" s="8" t="s">
        <v>75</v>
      </c>
      <c r="G683" s="8" t="s">
        <v>74</v>
      </c>
      <c r="H683" s="8" t="s">
        <v>215</v>
      </c>
      <c r="I683" s="3">
        <v>2</v>
      </c>
      <c r="J683" s="8" t="s">
        <v>199</v>
      </c>
      <c r="K683" s="8" t="s">
        <v>200</v>
      </c>
      <c r="L683" s="8" t="s">
        <v>556</v>
      </c>
      <c r="M683" s="1" t="s">
        <v>211</v>
      </c>
      <c r="N683" s="8" t="s">
        <v>212</v>
      </c>
      <c r="O683" s="6">
        <v>0</v>
      </c>
      <c r="P683" s="6">
        <v>0</v>
      </c>
      <c r="Q683" s="6">
        <v>0</v>
      </c>
      <c r="R683" s="6">
        <v>0</v>
      </c>
      <c r="S683" s="6">
        <v>0</v>
      </c>
    </row>
    <row r="684" spans="1:19" ht="15" hidden="1" x14ac:dyDescent="0.25">
      <c r="A684" s="7" t="s">
        <v>16</v>
      </c>
      <c r="B684" s="7" t="s">
        <v>21</v>
      </c>
      <c r="C684" s="7" t="s">
        <v>18</v>
      </c>
      <c r="D684" s="4">
        <v>13016092000140</v>
      </c>
      <c r="E684" s="8" t="s">
        <v>867</v>
      </c>
      <c r="F684" s="8" t="s">
        <v>75</v>
      </c>
      <c r="G684" s="8" t="s">
        <v>74</v>
      </c>
      <c r="H684" s="8" t="s">
        <v>215</v>
      </c>
      <c r="I684" s="3">
        <v>2</v>
      </c>
      <c r="J684" s="8" t="s">
        <v>167</v>
      </c>
      <c r="K684" s="8" t="s">
        <v>168</v>
      </c>
      <c r="L684" s="8" t="s">
        <v>557</v>
      </c>
      <c r="M684" s="1" t="s">
        <v>211</v>
      </c>
      <c r="N684" s="8" t="s">
        <v>212</v>
      </c>
      <c r="O684" s="6">
        <v>0</v>
      </c>
      <c r="P684" s="6">
        <v>10</v>
      </c>
      <c r="Q684" s="6">
        <v>0</v>
      </c>
      <c r="R684" s="6">
        <v>0</v>
      </c>
      <c r="S684" s="6">
        <v>0</v>
      </c>
    </row>
    <row r="685" spans="1:19" ht="15" hidden="1" x14ac:dyDescent="0.25">
      <c r="A685" s="7" t="s">
        <v>16</v>
      </c>
      <c r="B685" s="7" t="s">
        <v>21</v>
      </c>
      <c r="C685" s="7" t="s">
        <v>18</v>
      </c>
      <c r="D685" s="4">
        <v>3376102000102</v>
      </c>
      <c r="E685" s="8" t="s">
        <v>786</v>
      </c>
      <c r="F685" s="8" t="s">
        <v>75</v>
      </c>
      <c r="G685" s="8" t="s">
        <v>74</v>
      </c>
      <c r="H685" s="8" t="s">
        <v>215</v>
      </c>
      <c r="I685" s="3">
        <v>2</v>
      </c>
      <c r="J685" s="8" t="s">
        <v>199</v>
      </c>
      <c r="K685" s="8" t="s">
        <v>200</v>
      </c>
      <c r="L685" s="8" t="s">
        <v>556</v>
      </c>
      <c r="M685" s="1" t="s">
        <v>211</v>
      </c>
      <c r="N685" s="8" t="s">
        <v>212</v>
      </c>
      <c r="O685" s="6">
        <v>0</v>
      </c>
      <c r="P685" s="6">
        <v>0</v>
      </c>
      <c r="Q685" s="6">
        <v>0</v>
      </c>
      <c r="R685" s="6">
        <v>0</v>
      </c>
      <c r="S685" s="6">
        <v>0</v>
      </c>
    </row>
    <row r="686" spans="1:19" ht="15" hidden="1" x14ac:dyDescent="0.25">
      <c r="A686" s="7" t="s">
        <v>16</v>
      </c>
      <c r="B686" s="7" t="s">
        <v>21</v>
      </c>
      <c r="C686" s="7" t="s">
        <v>18</v>
      </c>
      <c r="D686" s="4">
        <v>3376102000102</v>
      </c>
      <c r="E686" s="8" t="s">
        <v>786</v>
      </c>
      <c r="F686" s="8" t="s">
        <v>75</v>
      </c>
      <c r="G686" s="8" t="s">
        <v>74</v>
      </c>
      <c r="H686" s="8" t="s">
        <v>215</v>
      </c>
      <c r="I686" s="3">
        <v>2</v>
      </c>
      <c r="J686" s="8" t="s">
        <v>167</v>
      </c>
      <c r="K686" s="8" t="s">
        <v>168</v>
      </c>
      <c r="L686" s="8" t="s">
        <v>557</v>
      </c>
      <c r="M686" s="1" t="s">
        <v>211</v>
      </c>
      <c r="N686" s="8" t="s">
        <v>212</v>
      </c>
      <c r="O686" s="6">
        <v>0</v>
      </c>
      <c r="P686" s="6">
        <v>0</v>
      </c>
      <c r="Q686" s="6">
        <v>3</v>
      </c>
      <c r="R686" s="6">
        <v>0</v>
      </c>
      <c r="S686" s="6">
        <v>0</v>
      </c>
    </row>
    <row r="687" spans="1:19" ht="15" hidden="1" x14ac:dyDescent="0.25">
      <c r="A687" s="7" t="s">
        <v>16</v>
      </c>
      <c r="B687" s="7" t="s">
        <v>21</v>
      </c>
      <c r="C687" s="7" t="s">
        <v>18</v>
      </c>
      <c r="D687" s="4">
        <v>15153745002705</v>
      </c>
      <c r="E687" s="8" t="s">
        <v>888</v>
      </c>
      <c r="F687" s="8" t="s">
        <v>75</v>
      </c>
      <c r="G687" s="8" t="s">
        <v>74</v>
      </c>
      <c r="H687" s="8" t="s">
        <v>215</v>
      </c>
      <c r="I687" s="3">
        <v>2</v>
      </c>
      <c r="J687" s="8" t="s">
        <v>199</v>
      </c>
      <c r="K687" s="8" t="s">
        <v>200</v>
      </c>
      <c r="L687" s="8" t="s">
        <v>556</v>
      </c>
      <c r="M687" s="1" t="s">
        <v>211</v>
      </c>
      <c r="N687" s="8" t="s">
        <v>212</v>
      </c>
      <c r="O687" s="6">
        <v>0</v>
      </c>
      <c r="P687" s="6">
        <v>0</v>
      </c>
      <c r="Q687" s="6">
        <v>0</v>
      </c>
      <c r="R687" s="6">
        <v>0</v>
      </c>
      <c r="S687" s="6">
        <v>0</v>
      </c>
    </row>
    <row r="688" spans="1:19" ht="15" hidden="1" x14ac:dyDescent="0.25">
      <c r="A688" s="7" t="s">
        <v>16</v>
      </c>
      <c r="B688" s="7" t="s">
        <v>21</v>
      </c>
      <c r="C688" s="7" t="s">
        <v>18</v>
      </c>
      <c r="D688" s="4">
        <v>15153745002705</v>
      </c>
      <c r="E688" s="8" t="s">
        <v>888</v>
      </c>
      <c r="F688" s="8" t="s">
        <v>75</v>
      </c>
      <c r="G688" s="8" t="s">
        <v>74</v>
      </c>
      <c r="H688" s="8" t="s">
        <v>215</v>
      </c>
      <c r="I688" s="3">
        <v>2</v>
      </c>
      <c r="J688" s="8" t="s">
        <v>167</v>
      </c>
      <c r="K688" s="8" t="s">
        <v>168</v>
      </c>
      <c r="L688" s="8" t="s">
        <v>557</v>
      </c>
      <c r="M688" s="1" t="s">
        <v>211</v>
      </c>
      <c r="N688" s="8" t="s">
        <v>212</v>
      </c>
      <c r="O688" s="6">
        <v>0</v>
      </c>
      <c r="P688" s="6">
        <v>10</v>
      </c>
      <c r="Q688" s="6">
        <v>0</v>
      </c>
      <c r="R688" s="6">
        <v>0</v>
      </c>
      <c r="S688" s="6">
        <v>0</v>
      </c>
    </row>
    <row r="689" spans="1:19" ht="15" hidden="1" x14ac:dyDescent="0.25">
      <c r="A689" s="7" t="s">
        <v>16</v>
      </c>
      <c r="B689" s="7" t="s">
        <v>21</v>
      </c>
      <c r="C689" s="7" t="s">
        <v>18</v>
      </c>
      <c r="D689" s="4">
        <v>15166416000151</v>
      </c>
      <c r="E689" s="8" t="s">
        <v>889</v>
      </c>
      <c r="F689" s="8" t="s">
        <v>75</v>
      </c>
      <c r="G689" s="8" t="s">
        <v>74</v>
      </c>
      <c r="H689" s="8" t="s">
        <v>215</v>
      </c>
      <c r="I689" s="3">
        <v>2</v>
      </c>
      <c r="J689" s="8" t="s">
        <v>199</v>
      </c>
      <c r="K689" s="8" t="s">
        <v>200</v>
      </c>
      <c r="L689" s="8" t="s">
        <v>556</v>
      </c>
      <c r="M689" s="1" t="s">
        <v>211</v>
      </c>
      <c r="N689" s="8" t="s">
        <v>212</v>
      </c>
      <c r="O689" s="6">
        <v>0</v>
      </c>
      <c r="P689" s="6">
        <v>0</v>
      </c>
      <c r="Q689" s="6">
        <v>0</v>
      </c>
      <c r="R689" s="6">
        <v>0</v>
      </c>
      <c r="S689" s="6">
        <v>0</v>
      </c>
    </row>
    <row r="690" spans="1:19" ht="15" hidden="1" x14ac:dyDescent="0.25">
      <c r="A690" s="7" t="s">
        <v>16</v>
      </c>
      <c r="B690" s="7" t="s">
        <v>21</v>
      </c>
      <c r="C690" s="7" t="s">
        <v>18</v>
      </c>
      <c r="D690" s="4">
        <v>15166416000151</v>
      </c>
      <c r="E690" s="8" t="s">
        <v>889</v>
      </c>
      <c r="F690" s="8" t="s">
        <v>75</v>
      </c>
      <c r="G690" s="8" t="s">
        <v>74</v>
      </c>
      <c r="H690" s="8" t="s">
        <v>215</v>
      </c>
      <c r="I690" s="3">
        <v>2</v>
      </c>
      <c r="J690" s="8" t="s">
        <v>167</v>
      </c>
      <c r="K690" s="8" t="s">
        <v>168</v>
      </c>
      <c r="L690" s="8" t="s">
        <v>557</v>
      </c>
      <c r="M690" s="1" t="s">
        <v>211</v>
      </c>
      <c r="N690" s="8" t="s">
        <v>212</v>
      </c>
      <c r="O690" s="6">
        <v>0</v>
      </c>
      <c r="P690" s="6">
        <v>29</v>
      </c>
      <c r="Q690" s="6">
        <v>8</v>
      </c>
      <c r="R690" s="6">
        <v>0</v>
      </c>
      <c r="S690" s="6">
        <v>0</v>
      </c>
    </row>
    <row r="691" spans="1:19" ht="15" hidden="1" x14ac:dyDescent="0.25">
      <c r="A691" s="7" t="s">
        <v>16</v>
      </c>
      <c r="B691" s="7" t="s">
        <v>21</v>
      </c>
      <c r="C691" s="7" t="s">
        <v>18</v>
      </c>
      <c r="D691" s="4">
        <v>27372066000169</v>
      </c>
      <c r="E691" s="8" t="s">
        <v>908</v>
      </c>
      <c r="F691" s="8" t="s">
        <v>75</v>
      </c>
      <c r="G691" s="8" t="s">
        <v>74</v>
      </c>
      <c r="H691" s="8" t="s">
        <v>215</v>
      </c>
      <c r="I691" s="3">
        <v>2</v>
      </c>
      <c r="J691" s="8" t="s">
        <v>199</v>
      </c>
      <c r="K691" s="8" t="s">
        <v>200</v>
      </c>
      <c r="L691" s="8" t="s">
        <v>556</v>
      </c>
      <c r="M691" s="1" t="s">
        <v>211</v>
      </c>
      <c r="N691" s="8" t="s">
        <v>212</v>
      </c>
      <c r="O691" s="6">
        <v>0</v>
      </c>
      <c r="P691" s="6">
        <v>0</v>
      </c>
      <c r="Q691" s="6">
        <v>0</v>
      </c>
      <c r="R691" s="6">
        <v>0</v>
      </c>
      <c r="S691" s="6">
        <v>0</v>
      </c>
    </row>
    <row r="692" spans="1:19" ht="15" hidden="1" x14ac:dyDescent="0.25">
      <c r="A692" s="7" t="s">
        <v>16</v>
      </c>
      <c r="B692" s="7" t="s">
        <v>21</v>
      </c>
      <c r="C692" s="7" t="s">
        <v>18</v>
      </c>
      <c r="D692" s="4">
        <v>27372066000169</v>
      </c>
      <c r="E692" s="8" t="s">
        <v>908</v>
      </c>
      <c r="F692" s="8" t="s">
        <v>75</v>
      </c>
      <c r="G692" s="8" t="s">
        <v>74</v>
      </c>
      <c r="H692" s="8" t="s">
        <v>215</v>
      </c>
      <c r="I692" s="3">
        <v>2</v>
      </c>
      <c r="J692" s="8" t="s">
        <v>167</v>
      </c>
      <c r="K692" s="8" t="s">
        <v>168</v>
      </c>
      <c r="L692" s="8" t="s">
        <v>557</v>
      </c>
      <c r="M692" s="1" t="s">
        <v>211</v>
      </c>
      <c r="N692" s="8" t="s">
        <v>212</v>
      </c>
      <c r="O692" s="6">
        <v>0</v>
      </c>
      <c r="P692" s="6">
        <v>4</v>
      </c>
      <c r="Q692" s="6">
        <v>0</v>
      </c>
      <c r="R692" s="6">
        <v>0</v>
      </c>
      <c r="S692" s="6">
        <v>0</v>
      </c>
    </row>
    <row r="693" spans="1:19" ht="15" hidden="1" x14ac:dyDescent="0.25">
      <c r="A693" s="7" t="s">
        <v>16</v>
      </c>
      <c r="B693" s="7" t="s">
        <v>21</v>
      </c>
      <c r="C693" s="7" t="s">
        <v>18</v>
      </c>
      <c r="D693" s="4">
        <v>12361267010318</v>
      </c>
      <c r="E693" s="8" t="s">
        <v>861</v>
      </c>
      <c r="F693" s="8" t="s">
        <v>75</v>
      </c>
      <c r="G693" s="8" t="s">
        <v>74</v>
      </c>
      <c r="H693" s="8" t="s">
        <v>215</v>
      </c>
      <c r="I693" s="3">
        <v>2</v>
      </c>
      <c r="J693" s="8" t="s">
        <v>199</v>
      </c>
      <c r="K693" s="8" t="s">
        <v>200</v>
      </c>
      <c r="L693" s="8" t="s">
        <v>556</v>
      </c>
      <c r="M693" s="1" t="s">
        <v>211</v>
      </c>
      <c r="N693" s="8" t="s">
        <v>212</v>
      </c>
      <c r="O693" s="6">
        <v>0</v>
      </c>
      <c r="P693" s="6">
        <v>0</v>
      </c>
      <c r="Q693" s="6">
        <v>0</v>
      </c>
      <c r="R693" s="6">
        <v>0</v>
      </c>
      <c r="S693" s="6">
        <v>275</v>
      </c>
    </row>
    <row r="694" spans="1:19" ht="15" hidden="1" x14ac:dyDescent="0.25">
      <c r="A694" s="7" t="s">
        <v>16</v>
      </c>
      <c r="B694" s="7" t="s">
        <v>21</v>
      </c>
      <c r="C694" s="7" t="s">
        <v>18</v>
      </c>
      <c r="D694" s="4">
        <v>12361267010318</v>
      </c>
      <c r="E694" s="8" t="s">
        <v>861</v>
      </c>
      <c r="F694" s="8" t="s">
        <v>75</v>
      </c>
      <c r="G694" s="8" t="s">
        <v>74</v>
      </c>
      <c r="H694" s="8" t="s">
        <v>215</v>
      </c>
      <c r="I694" s="3">
        <v>2</v>
      </c>
      <c r="J694" s="8" t="s">
        <v>167</v>
      </c>
      <c r="K694" s="8" t="s">
        <v>168</v>
      </c>
      <c r="L694" s="8" t="s">
        <v>557</v>
      </c>
      <c r="M694" s="1" t="s">
        <v>211</v>
      </c>
      <c r="N694" s="8" t="s">
        <v>212</v>
      </c>
      <c r="O694" s="6">
        <v>0</v>
      </c>
      <c r="P694" s="6">
        <v>11</v>
      </c>
      <c r="Q694" s="6">
        <v>5</v>
      </c>
      <c r="R694" s="6">
        <v>0</v>
      </c>
      <c r="S694" s="6">
        <v>275</v>
      </c>
    </row>
    <row r="695" spans="1:19" ht="15" hidden="1" x14ac:dyDescent="0.25">
      <c r="A695" s="7" t="s">
        <v>16</v>
      </c>
      <c r="B695" s="7" t="s">
        <v>21</v>
      </c>
      <c r="C695" s="7" t="s">
        <v>18</v>
      </c>
      <c r="D695" s="4">
        <v>11943553000102</v>
      </c>
      <c r="E695" s="8" t="s">
        <v>847</v>
      </c>
      <c r="F695" s="8" t="s">
        <v>75</v>
      </c>
      <c r="G695" s="8" t="s">
        <v>74</v>
      </c>
      <c r="H695" s="8" t="s">
        <v>215</v>
      </c>
      <c r="I695" s="3">
        <v>2</v>
      </c>
      <c r="J695" s="8" t="s">
        <v>199</v>
      </c>
      <c r="K695" s="8" t="s">
        <v>200</v>
      </c>
      <c r="L695" s="8" t="s">
        <v>556</v>
      </c>
      <c r="M695" s="1" t="s">
        <v>211</v>
      </c>
      <c r="N695" s="8" t="s">
        <v>212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</row>
    <row r="696" spans="1:19" ht="15" hidden="1" x14ac:dyDescent="0.25">
      <c r="A696" s="7" t="s">
        <v>16</v>
      </c>
      <c r="B696" s="7" t="s">
        <v>21</v>
      </c>
      <c r="C696" s="7" t="s">
        <v>18</v>
      </c>
      <c r="D696" s="4">
        <v>11943553000102</v>
      </c>
      <c r="E696" s="8" t="s">
        <v>847</v>
      </c>
      <c r="F696" s="8" t="s">
        <v>75</v>
      </c>
      <c r="G696" s="8" t="s">
        <v>74</v>
      </c>
      <c r="H696" s="8" t="s">
        <v>215</v>
      </c>
      <c r="I696" s="3">
        <v>2</v>
      </c>
      <c r="J696" s="8" t="s">
        <v>167</v>
      </c>
      <c r="K696" s="8" t="s">
        <v>168</v>
      </c>
      <c r="L696" s="8" t="s">
        <v>557</v>
      </c>
      <c r="M696" s="1" t="s">
        <v>211</v>
      </c>
      <c r="N696" s="8" t="s">
        <v>212</v>
      </c>
      <c r="O696" s="6">
        <v>0</v>
      </c>
      <c r="P696" s="6">
        <v>2</v>
      </c>
      <c r="Q696" s="6">
        <v>0</v>
      </c>
      <c r="R696" s="6">
        <v>0</v>
      </c>
      <c r="S696" s="6">
        <v>0</v>
      </c>
    </row>
    <row r="697" spans="1:19" ht="15" hidden="1" x14ac:dyDescent="0.25">
      <c r="A697" s="7" t="s">
        <v>16</v>
      </c>
      <c r="B697" s="7" t="s">
        <v>21</v>
      </c>
      <c r="C697" s="7" t="s">
        <v>18</v>
      </c>
      <c r="D697" s="4">
        <v>15140254000182</v>
      </c>
      <c r="E697" s="8" t="s">
        <v>886</v>
      </c>
      <c r="F697" s="8" t="s">
        <v>75</v>
      </c>
      <c r="G697" s="8" t="s">
        <v>74</v>
      </c>
      <c r="H697" s="8" t="s">
        <v>215</v>
      </c>
      <c r="I697" s="3">
        <v>2</v>
      </c>
      <c r="J697" s="8" t="s">
        <v>199</v>
      </c>
      <c r="K697" s="8" t="s">
        <v>200</v>
      </c>
      <c r="L697" s="8" t="s">
        <v>556</v>
      </c>
      <c r="M697" s="1" t="s">
        <v>211</v>
      </c>
      <c r="N697" s="8" t="s">
        <v>212</v>
      </c>
      <c r="O697" s="6">
        <v>0</v>
      </c>
      <c r="P697" s="6">
        <v>0</v>
      </c>
      <c r="Q697" s="6">
        <v>0</v>
      </c>
      <c r="R697" s="6">
        <v>2</v>
      </c>
      <c r="S697" s="6">
        <v>0</v>
      </c>
    </row>
    <row r="698" spans="1:19" ht="15" hidden="1" x14ac:dyDescent="0.25">
      <c r="A698" s="7" t="s">
        <v>16</v>
      </c>
      <c r="B698" s="7" t="s">
        <v>21</v>
      </c>
      <c r="C698" s="7" t="s">
        <v>18</v>
      </c>
      <c r="D698" s="4">
        <v>15140254000182</v>
      </c>
      <c r="E698" s="8" t="s">
        <v>886</v>
      </c>
      <c r="F698" s="8" t="s">
        <v>75</v>
      </c>
      <c r="G698" s="8" t="s">
        <v>74</v>
      </c>
      <c r="H698" s="8" t="s">
        <v>215</v>
      </c>
      <c r="I698" s="3">
        <v>2</v>
      </c>
      <c r="J698" s="8" t="s">
        <v>167</v>
      </c>
      <c r="K698" s="8" t="s">
        <v>168</v>
      </c>
      <c r="L698" s="8" t="s">
        <v>557</v>
      </c>
      <c r="M698" s="1" t="s">
        <v>211</v>
      </c>
      <c r="N698" s="8" t="s">
        <v>212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</row>
    <row r="699" spans="1:19" ht="15" hidden="1" x14ac:dyDescent="0.25">
      <c r="A699" s="7" t="s">
        <v>16</v>
      </c>
      <c r="B699" s="7" t="s">
        <v>21</v>
      </c>
      <c r="C699" s="7" t="s">
        <v>18</v>
      </c>
      <c r="D699" s="4">
        <v>5652543000107</v>
      </c>
      <c r="E699" s="8" t="s">
        <v>801</v>
      </c>
      <c r="F699" s="8" t="s">
        <v>802</v>
      </c>
      <c r="G699" s="8" t="s">
        <v>74</v>
      </c>
      <c r="H699" s="8" t="s">
        <v>215</v>
      </c>
      <c r="I699" s="3">
        <v>2</v>
      </c>
      <c r="J699" s="8" t="s">
        <v>199</v>
      </c>
      <c r="K699" s="8" t="s">
        <v>200</v>
      </c>
      <c r="L699" s="8" t="s">
        <v>556</v>
      </c>
      <c r="M699" s="1" t="s">
        <v>211</v>
      </c>
      <c r="N699" s="8" t="s">
        <v>212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</row>
    <row r="700" spans="1:19" ht="15" hidden="1" x14ac:dyDescent="0.25">
      <c r="A700" s="7" t="s">
        <v>16</v>
      </c>
      <c r="B700" s="7" t="s">
        <v>21</v>
      </c>
      <c r="C700" s="7" t="s">
        <v>18</v>
      </c>
      <c r="D700" s="4">
        <v>5652543000107</v>
      </c>
      <c r="E700" s="8" t="s">
        <v>801</v>
      </c>
      <c r="F700" s="8" t="s">
        <v>802</v>
      </c>
      <c r="G700" s="8" t="s">
        <v>74</v>
      </c>
      <c r="H700" s="8" t="s">
        <v>215</v>
      </c>
      <c r="I700" s="3">
        <v>2</v>
      </c>
      <c r="J700" s="8" t="s">
        <v>167</v>
      </c>
      <c r="K700" s="8" t="s">
        <v>168</v>
      </c>
      <c r="L700" s="8" t="s">
        <v>557</v>
      </c>
      <c r="M700" s="1" t="s">
        <v>211</v>
      </c>
      <c r="N700" s="8" t="s">
        <v>212</v>
      </c>
      <c r="O700" s="6">
        <v>0</v>
      </c>
      <c r="P700" s="6">
        <v>2</v>
      </c>
      <c r="Q700" s="6">
        <v>0</v>
      </c>
      <c r="R700" s="6">
        <v>0</v>
      </c>
      <c r="S700" s="6">
        <v>0</v>
      </c>
    </row>
    <row r="701" spans="1:19" ht="15" hidden="1" x14ac:dyDescent="0.25">
      <c r="A701" s="7" t="s">
        <v>16</v>
      </c>
      <c r="B701" s="7" t="s">
        <v>21</v>
      </c>
      <c r="C701" s="7" t="s">
        <v>18</v>
      </c>
      <c r="D701" s="4">
        <v>13284872000170</v>
      </c>
      <c r="E701" s="8" t="s">
        <v>872</v>
      </c>
      <c r="F701" s="8" t="s">
        <v>873</v>
      </c>
      <c r="G701" s="8" t="s">
        <v>74</v>
      </c>
      <c r="H701" s="8" t="s">
        <v>215</v>
      </c>
      <c r="I701" s="3">
        <v>2</v>
      </c>
      <c r="J701" s="8" t="s">
        <v>199</v>
      </c>
      <c r="K701" s="8" t="s">
        <v>200</v>
      </c>
      <c r="L701" s="8" t="s">
        <v>556</v>
      </c>
      <c r="M701" s="1" t="s">
        <v>211</v>
      </c>
      <c r="N701" s="8" t="s">
        <v>212</v>
      </c>
      <c r="O701" s="6">
        <v>0</v>
      </c>
      <c r="P701" s="6">
        <v>0</v>
      </c>
      <c r="Q701" s="6">
        <v>0</v>
      </c>
      <c r="R701" s="6">
        <v>0</v>
      </c>
      <c r="S701" s="6">
        <v>30</v>
      </c>
    </row>
    <row r="702" spans="1:19" ht="15" hidden="1" x14ac:dyDescent="0.25">
      <c r="A702" s="7" t="s">
        <v>16</v>
      </c>
      <c r="B702" s="7" t="s">
        <v>21</v>
      </c>
      <c r="C702" s="7" t="s">
        <v>18</v>
      </c>
      <c r="D702" s="4">
        <v>13284872000170</v>
      </c>
      <c r="E702" s="8" t="s">
        <v>872</v>
      </c>
      <c r="F702" s="8" t="s">
        <v>873</v>
      </c>
      <c r="G702" s="8" t="s">
        <v>74</v>
      </c>
      <c r="H702" s="8" t="s">
        <v>215</v>
      </c>
      <c r="I702" s="3">
        <v>2</v>
      </c>
      <c r="J702" s="8" t="s">
        <v>167</v>
      </c>
      <c r="K702" s="8" t="s">
        <v>168</v>
      </c>
      <c r="L702" s="8" t="s">
        <v>557</v>
      </c>
      <c r="M702" s="1" t="s">
        <v>211</v>
      </c>
      <c r="N702" s="8" t="s">
        <v>212</v>
      </c>
      <c r="O702" s="6">
        <v>0</v>
      </c>
      <c r="P702" s="6">
        <v>0</v>
      </c>
      <c r="Q702" s="6">
        <v>0</v>
      </c>
      <c r="R702" s="6">
        <v>0</v>
      </c>
      <c r="S702" s="6">
        <v>30</v>
      </c>
    </row>
    <row r="703" spans="1:19" ht="15" hidden="1" x14ac:dyDescent="0.25">
      <c r="A703" s="7" t="s">
        <v>16</v>
      </c>
      <c r="B703" s="7" t="s">
        <v>21</v>
      </c>
      <c r="C703" s="7" t="s">
        <v>18</v>
      </c>
      <c r="D703" s="4">
        <v>7245269000187</v>
      </c>
      <c r="E703" s="8" t="s">
        <v>816</v>
      </c>
      <c r="F703" s="8" t="s">
        <v>76</v>
      </c>
      <c r="G703" s="8" t="s">
        <v>77</v>
      </c>
      <c r="H703" s="8" t="s">
        <v>215</v>
      </c>
      <c r="I703" s="3">
        <v>2</v>
      </c>
      <c r="J703" s="8" t="s">
        <v>199</v>
      </c>
      <c r="K703" s="8" t="s">
        <v>200</v>
      </c>
      <c r="L703" s="8" t="s">
        <v>556</v>
      </c>
      <c r="M703" s="1" t="s">
        <v>211</v>
      </c>
      <c r="N703" s="8" t="s">
        <v>212</v>
      </c>
      <c r="O703" s="6">
        <v>0</v>
      </c>
      <c r="P703" s="6">
        <v>0</v>
      </c>
      <c r="Q703" s="6">
        <v>0</v>
      </c>
      <c r="R703" s="6">
        <v>0</v>
      </c>
      <c r="S703" s="6">
        <v>0</v>
      </c>
    </row>
    <row r="704" spans="1:19" ht="15" hidden="1" x14ac:dyDescent="0.25">
      <c r="A704" s="7" t="s">
        <v>16</v>
      </c>
      <c r="B704" s="7" t="s">
        <v>21</v>
      </c>
      <c r="C704" s="7" t="s">
        <v>18</v>
      </c>
      <c r="D704" s="4">
        <v>7245269000187</v>
      </c>
      <c r="E704" s="8" t="s">
        <v>816</v>
      </c>
      <c r="F704" s="8" t="s">
        <v>76</v>
      </c>
      <c r="G704" s="8" t="s">
        <v>77</v>
      </c>
      <c r="H704" s="8" t="s">
        <v>215</v>
      </c>
      <c r="I704" s="3">
        <v>2</v>
      </c>
      <c r="J704" s="8" t="s">
        <v>165</v>
      </c>
      <c r="K704" s="8" t="s">
        <v>166</v>
      </c>
      <c r="L704" s="8" t="s">
        <v>557</v>
      </c>
      <c r="M704" s="1" t="s">
        <v>211</v>
      </c>
      <c r="N704" s="8" t="s">
        <v>212</v>
      </c>
      <c r="O704" s="6">
        <v>0</v>
      </c>
      <c r="P704" s="6">
        <v>7</v>
      </c>
      <c r="Q704" s="6">
        <v>0</v>
      </c>
      <c r="R704" s="6">
        <v>0</v>
      </c>
      <c r="S704" s="6">
        <v>0</v>
      </c>
    </row>
    <row r="705" spans="1:19" ht="15" hidden="1" x14ac:dyDescent="0.25">
      <c r="A705" s="7" t="s">
        <v>16</v>
      </c>
      <c r="B705" s="7" t="s">
        <v>21</v>
      </c>
      <c r="C705" s="7" t="s">
        <v>18</v>
      </c>
      <c r="D705" s="4">
        <v>5874946000281</v>
      </c>
      <c r="E705" s="8" t="s">
        <v>807</v>
      </c>
      <c r="F705" s="8" t="s">
        <v>76</v>
      </c>
      <c r="G705" s="8" t="s">
        <v>77</v>
      </c>
      <c r="H705" s="8" t="s">
        <v>215</v>
      </c>
      <c r="I705" s="3">
        <v>2</v>
      </c>
      <c r="J705" s="8" t="s">
        <v>199</v>
      </c>
      <c r="K705" s="8" t="s">
        <v>200</v>
      </c>
      <c r="L705" s="8" t="s">
        <v>556</v>
      </c>
      <c r="M705" s="1" t="s">
        <v>211</v>
      </c>
      <c r="N705" s="8" t="s">
        <v>212</v>
      </c>
      <c r="O705" s="6">
        <v>0</v>
      </c>
      <c r="P705" s="6">
        <v>0</v>
      </c>
      <c r="Q705" s="6">
        <v>0</v>
      </c>
      <c r="R705" s="6">
        <v>0</v>
      </c>
      <c r="S705" s="6">
        <v>0</v>
      </c>
    </row>
    <row r="706" spans="1:19" ht="15" hidden="1" x14ac:dyDescent="0.25">
      <c r="A706" s="7" t="s">
        <v>16</v>
      </c>
      <c r="B706" s="7" t="s">
        <v>21</v>
      </c>
      <c r="C706" s="7" t="s">
        <v>18</v>
      </c>
      <c r="D706" s="4">
        <v>5874946000281</v>
      </c>
      <c r="E706" s="8" t="s">
        <v>807</v>
      </c>
      <c r="F706" s="8" t="s">
        <v>76</v>
      </c>
      <c r="G706" s="8" t="s">
        <v>77</v>
      </c>
      <c r="H706" s="8" t="s">
        <v>215</v>
      </c>
      <c r="I706" s="3">
        <v>2</v>
      </c>
      <c r="J706" s="8" t="s">
        <v>165</v>
      </c>
      <c r="K706" s="8" t="s">
        <v>166</v>
      </c>
      <c r="L706" s="8" t="s">
        <v>557</v>
      </c>
      <c r="M706" s="1" t="s">
        <v>211</v>
      </c>
      <c r="N706" s="8" t="s">
        <v>212</v>
      </c>
      <c r="O706" s="6">
        <v>0</v>
      </c>
      <c r="P706" s="6">
        <v>11</v>
      </c>
      <c r="Q706" s="6">
        <v>5</v>
      </c>
      <c r="R706" s="6">
        <v>0</v>
      </c>
      <c r="S706" s="6">
        <v>0</v>
      </c>
    </row>
    <row r="707" spans="1:19" ht="15" hidden="1" x14ac:dyDescent="0.25">
      <c r="A707" s="7" t="s">
        <v>16</v>
      </c>
      <c r="B707" s="7" t="s">
        <v>21</v>
      </c>
      <c r="C707" s="7" t="s">
        <v>18</v>
      </c>
      <c r="D707" s="4">
        <v>15126437001468</v>
      </c>
      <c r="E707" s="8" t="s">
        <v>883</v>
      </c>
      <c r="F707" s="8" t="s">
        <v>76</v>
      </c>
      <c r="G707" s="8" t="s">
        <v>77</v>
      </c>
      <c r="H707" s="8" t="s">
        <v>215</v>
      </c>
      <c r="I707" s="3">
        <v>2</v>
      </c>
      <c r="J707" s="8" t="s">
        <v>199</v>
      </c>
      <c r="K707" s="8" t="s">
        <v>200</v>
      </c>
      <c r="L707" s="8" t="s">
        <v>556</v>
      </c>
      <c r="M707" s="1" t="s">
        <v>211</v>
      </c>
      <c r="N707" s="8" t="s">
        <v>212</v>
      </c>
      <c r="O707" s="6">
        <v>0</v>
      </c>
      <c r="P707" s="6">
        <v>0</v>
      </c>
      <c r="Q707" s="6">
        <v>0</v>
      </c>
      <c r="R707" s="6">
        <v>0</v>
      </c>
      <c r="S707" s="6">
        <v>0</v>
      </c>
    </row>
    <row r="708" spans="1:19" ht="15" hidden="1" x14ac:dyDescent="0.25">
      <c r="A708" s="7" t="s">
        <v>16</v>
      </c>
      <c r="B708" s="7" t="s">
        <v>21</v>
      </c>
      <c r="C708" s="7" t="s">
        <v>18</v>
      </c>
      <c r="D708" s="4">
        <v>15126437001468</v>
      </c>
      <c r="E708" s="8" t="s">
        <v>883</v>
      </c>
      <c r="F708" s="8" t="s">
        <v>76</v>
      </c>
      <c r="G708" s="8" t="s">
        <v>77</v>
      </c>
      <c r="H708" s="8" t="s">
        <v>215</v>
      </c>
      <c r="I708" s="3">
        <v>2</v>
      </c>
      <c r="J708" s="8" t="s">
        <v>165</v>
      </c>
      <c r="K708" s="8" t="s">
        <v>166</v>
      </c>
      <c r="L708" s="8" t="s">
        <v>557</v>
      </c>
      <c r="M708" s="1" t="s">
        <v>211</v>
      </c>
      <c r="N708" s="8" t="s">
        <v>212</v>
      </c>
      <c r="O708" s="6">
        <v>0</v>
      </c>
      <c r="P708" s="6">
        <v>20</v>
      </c>
      <c r="Q708" s="6">
        <v>0</v>
      </c>
      <c r="R708" s="6">
        <v>0</v>
      </c>
      <c r="S708" s="6">
        <v>0</v>
      </c>
    </row>
    <row r="709" spans="1:19" ht="15" hidden="1" x14ac:dyDescent="0.25">
      <c r="A709" s="7" t="s">
        <v>16</v>
      </c>
      <c r="B709" s="7" t="s">
        <v>21</v>
      </c>
      <c r="C709" s="7" t="s">
        <v>18</v>
      </c>
      <c r="D709" s="4">
        <v>74031865000151</v>
      </c>
      <c r="E709" s="8" t="s">
        <v>926</v>
      </c>
      <c r="F709" s="8" t="s">
        <v>76</v>
      </c>
      <c r="G709" s="8" t="s">
        <v>77</v>
      </c>
      <c r="H709" s="8" t="s">
        <v>215</v>
      </c>
      <c r="I709" s="3">
        <v>2</v>
      </c>
      <c r="J709" s="8" t="s">
        <v>199</v>
      </c>
      <c r="K709" s="8" t="s">
        <v>200</v>
      </c>
      <c r="L709" s="8" t="s">
        <v>556</v>
      </c>
      <c r="M709" s="1" t="s">
        <v>211</v>
      </c>
      <c r="N709" s="8" t="s">
        <v>212</v>
      </c>
      <c r="O709" s="6">
        <v>0</v>
      </c>
      <c r="P709" s="6">
        <v>0</v>
      </c>
      <c r="Q709" s="6">
        <v>0</v>
      </c>
      <c r="R709" s="6">
        <v>0</v>
      </c>
      <c r="S709" s="6">
        <v>0</v>
      </c>
    </row>
    <row r="710" spans="1:19" ht="15" hidden="1" x14ac:dyDescent="0.25">
      <c r="A710" s="7" t="s">
        <v>16</v>
      </c>
      <c r="B710" s="7" t="s">
        <v>21</v>
      </c>
      <c r="C710" s="7" t="s">
        <v>18</v>
      </c>
      <c r="D710" s="4">
        <v>74031865000151</v>
      </c>
      <c r="E710" s="8" t="s">
        <v>926</v>
      </c>
      <c r="F710" s="8" t="s">
        <v>76</v>
      </c>
      <c r="G710" s="8" t="s">
        <v>77</v>
      </c>
      <c r="H710" s="8" t="s">
        <v>215</v>
      </c>
      <c r="I710" s="3">
        <v>2</v>
      </c>
      <c r="J710" s="8" t="s">
        <v>165</v>
      </c>
      <c r="K710" s="8" t="s">
        <v>166</v>
      </c>
      <c r="L710" s="8" t="s">
        <v>557</v>
      </c>
      <c r="M710" s="1" t="s">
        <v>211</v>
      </c>
      <c r="N710" s="8" t="s">
        <v>212</v>
      </c>
      <c r="O710" s="6">
        <v>0</v>
      </c>
      <c r="P710" s="6">
        <v>800</v>
      </c>
      <c r="Q710" s="6">
        <v>0</v>
      </c>
      <c r="R710" s="6">
        <v>0</v>
      </c>
      <c r="S710" s="6">
        <v>0</v>
      </c>
    </row>
    <row r="711" spans="1:19" ht="15" hidden="1" x14ac:dyDescent="0.25">
      <c r="A711" s="7" t="s">
        <v>16</v>
      </c>
      <c r="B711" s="7" t="s">
        <v>21</v>
      </c>
      <c r="C711" s="7" t="s">
        <v>18</v>
      </c>
      <c r="D711" s="4">
        <v>60975737003509</v>
      </c>
      <c r="E711" s="8" t="s">
        <v>921</v>
      </c>
      <c r="F711" s="8" t="s">
        <v>76</v>
      </c>
      <c r="G711" s="8" t="s">
        <v>77</v>
      </c>
      <c r="H711" s="8" t="s">
        <v>215</v>
      </c>
      <c r="I711" s="3">
        <v>2</v>
      </c>
      <c r="J711" s="8" t="s">
        <v>199</v>
      </c>
      <c r="K711" s="8" t="s">
        <v>200</v>
      </c>
      <c r="L711" s="8" t="s">
        <v>556</v>
      </c>
      <c r="M711" s="1" t="s">
        <v>211</v>
      </c>
      <c r="N711" s="8" t="s">
        <v>212</v>
      </c>
      <c r="O711" s="6">
        <v>0</v>
      </c>
      <c r="P711" s="6">
        <v>0</v>
      </c>
      <c r="Q711" s="6">
        <v>0</v>
      </c>
      <c r="R711" s="6">
        <v>0</v>
      </c>
      <c r="S711" s="6">
        <v>0</v>
      </c>
    </row>
    <row r="712" spans="1:19" ht="15" hidden="1" x14ac:dyDescent="0.25">
      <c r="A712" s="7" t="s">
        <v>16</v>
      </c>
      <c r="B712" s="7" t="s">
        <v>21</v>
      </c>
      <c r="C712" s="7" t="s">
        <v>18</v>
      </c>
      <c r="D712" s="4">
        <v>60975737003509</v>
      </c>
      <c r="E712" s="8" t="s">
        <v>921</v>
      </c>
      <c r="F712" s="8" t="s">
        <v>76</v>
      </c>
      <c r="G712" s="8" t="s">
        <v>77</v>
      </c>
      <c r="H712" s="8" t="s">
        <v>215</v>
      </c>
      <c r="I712" s="3">
        <v>2</v>
      </c>
      <c r="J712" s="8" t="s">
        <v>165</v>
      </c>
      <c r="K712" s="8" t="s">
        <v>166</v>
      </c>
      <c r="L712" s="8" t="s">
        <v>557</v>
      </c>
      <c r="M712" s="1" t="s">
        <v>211</v>
      </c>
      <c r="N712" s="8" t="s">
        <v>212</v>
      </c>
      <c r="O712" s="6">
        <v>0</v>
      </c>
      <c r="P712" s="6">
        <v>6</v>
      </c>
      <c r="Q712" s="6">
        <v>4</v>
      </c>
      <c r="R712" s="6">
        <v>0</v>
      </c>
      <c r="S712" s="6">
        <v>0</v>
      </c>
    </row>
    <row r="713" spans="1:19" ht="15" hidden="1" x14ac:dyDescent="0.25">
      <c r="A713" s="7" t="s">
        <v>16</v>
      </c>
      <c r="B713" s="7" t="s">
        <v>21</v>
      </c>
      <c r="C713" s="7" t="s">
        <v>18</v>
      </c>
      <c r="D713" s="4">
        <v>29435005007484</v>
      </c>
      <c r="E713" s="8" t="s">
        <v>912</v>
      </c>
      <c r="F713" s="8" t="s">
        <v>76</v>
      </c>
      <c r="G713" s="8" t="s">
        <v>77</v>
      </c>
      <c r="H713" s="8" t="s">
        <v>215</v>
      </c>
      <c r="I713" s="3">
        <v>2</v>
      </c>
      <c r="J713" s="8" t="s">
        <v>199</v>
      </c>
      <c r="K713" s="8" t="s">
        <v>200</v>
      </c>
      <c r="L713" s="8" t="s">
        <v>556</v>
      </c>
      <c r="M713" s="1" t="s">
        <v>211</v>
      </c>
      <c r="N713" s="8" t="s">
        <v>212</v>
      </c>
      <c r="O713" s="6">
        <v>0</v>
      </c>
      <c r="P713" s="6">
        <v>0</v>
      </c>
      <c r="Q713" s="6">
        <v>0</v>
      </c>
      <c r="R713" s="6">
        <v>0</v>
      </c>
      <c r="S713" s="6">
        <v>100</v>
      </c>
    </row>
    <row r="714" spans="1:19" ht="15" hidden="1" x14ac:dyDescent="0.25">
      <c r="A714" s="7" t="s">
        <v>16</v>
      </c>
      <c r="B714" s="7" t="s">
        <v>21</v>
      </c>
      <c r="C714" s="7" t="s">
        <v>18</v>
      </c>
      <c r="D714" s="4">
        <v>29435005007484</v>
      </c>
      <c r="E714" s="8" t="s">
        <v>912</v>
      </c>
      <c r="F714" s="8" t="s">
        <v>76</v>
      </c>
      <c r="G714" s="8" t="s">
        <v>77</v>
      </c>
      <c r="H714" s="8" t="s">
        <v>215</v>
      </c>
      <c r="I714" s="3">
        <v>2</v>
      </c>
      <c r="J714" s="8" t="s">
        <v>165</v>
      </c>
      <c r="K714" s="8" t="s">
        <v>166</v>
      </c>
      <c r="L714" s="8" t="s">
        <v>557</v>
      </c>
      <c r="M714" s="1" t="s">
        <v>211</v>
      </c>
      <c r="N714" s="8" t="s">
        <v>212</v>
      </c>
      <c r="O714" s="6">
        <v>0</v>
      </c>
      <c r="P714" s="6">
        <v>0</v>
      </c>
      <c r="Q714" s="6">
        <v>0</v>
      </c>
      <c r="R714" s="6">
        <v>0</v>
      </c>
      <c r="S714" s="6">
        <v>100</v>
      </c>
    </row>
    <row r="715" spans="1:19" ht="15" hidden="1" x14ac:dyDescent="0.25">
      <c r="A715" s="7" t="s">
        <v>16</v>
      </c>
      <c r="B715" s="7" t="s">
        <v>21</v>
      </c>
      <c r="C715" s="7" t="s">
        <v>18</v>
      </c>
      <c r="D715" s="4">
        <v>5868278000280</v>
      </c>
      <c r="E715" s="8" t="s">
        <v>805</v>
      </c>
      <c r="F715" s="8" t="s">
        <v>76</v>
      </c>
      <c r="G715" s="8" t="s">
        <v>77</v>
      </c>
      <c r="H715" s="8" t="s">
        <v>215</v>
      </c>
      <c r="I715" s="3">
        <v>2</v>
      </c>
      <c r="J715" s="8" t="s">
        <v>199</v>
      </c>
      <c r="K715" s="8" t="s">
        <v>200</v>
      </c>
      <c r="L715" s="8" t="s">
        <v>556</v>
      </c>
      <c r="M715" s="1" t="s">
        <v>211</v>
      </c>
      <c r="N715" s="8" t="s">
        <v>212</v>
      </c>
      <c r="O715" s="6">
        <v>0</v>
      </c>
      <c r="P715" s="6">
        <v>0</v>
      </c>
      <c r="Q715" s="6">
        <v>0</v>
      </c>
      <c r="R715" s="6">
        <v>46</v>
      </c>
      <c r="S715" s="6">
        <v>220</v>
      </c>
    </row>
    <row r="716" spans="1:19" ht="15" hidden="1" x14ac:dyDescent="0.25">
      <c r="A716" s="7" t="s">
        <v>16</v>
      </c>
      <c r="B716" s="7" t="s">
        <v>21</v>
      </c>
      <c r="C716" s="7" t="s">
        <v>18</v>
      </c>
      <c r="D716" s="4">
        <v>5868278000280</v>
      </c>
      <c r="E716" s="8" t="s">
        <v>805</v>
      </c>
      <c r="F716" s="8" t="s">
        <v>76</v>
      </c>
      <c r="G716" s="8" t="s">
        <v>77</v>
      </c>
      <c r="H716" s="8" t="s">
        <v>215</v>
      </c>
      <c r="I716" s="3">
        <v>2</v>
      </c>
      <c r="J716" s="8" t="s">
        <v>165</v>
      </c>
      <c r="K716" s="8" t="s">
        <v>166</v>
      </c>
      <c r="L716" s="8" t="s">
        <v>557</v>
      </c>
      <c r="M716" s="1" t="s">
        <v>211</v>
      </c>
      <c r="N716" s="8" t="s">
        <v>212</v>
      </c>
      <c r="O716" s="6">
        <v>0</v>
      </c>
      <c r="P716" s="6">
        <v>0</v>
      </c>
      <c r="Q716" s="6">
        <v>10</v>
      </c>
      <c r="R716" s="6">
        <v>0</v>
      </c>
      <c r="S716" s="6">
        <v>220</v>
      </c>
    </row>
    <row r="717" spans="1:19" ht="15" hidden="1" x14ac:dyDescent="0.25">
      <c r="A717" s="7" t="s">
        <v>16</v>
      </c>
      <c r="B717" s="7" t="s">
        <v>21</v>
      </c>
      <c r="C717" s="7" t="s">
        <v>18</v>
      </c>
      <c r="D717" s="4">
        <v>11794674000121</v>
      </c>
      <c r="E717" s="8" t="s">
        <v>845</v>
      </c>
      <c r="F717" s="8" t="s">
        <v>76</v>
      </c>
      <c r="G717" s="8" t="s">
        <v>77</v>
      </c>
      <c r="H717" s="8" t="s">
        <v>215</v>
      </c>
      <c r="I717" s="3">
        <v>2</v>
      </c>
      <c r="J717" s="8" t="s">
        <v>199</v>
      </c>
      <c r="K717" s="8" t="s">
        <v>200</v>
      </c>
      <c r="L717" s="8" t="s">
        <v>556</v>
      </c>
      <c r="M717" s="1" t="s">
        <v>211</v>
      </c>
      <c r="N717" s="8" t="s">
        <v>212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</row>
    <row r="718" spans="1:19" ht="15" hidden="1" x14ac:dyDescent="0.25">
      <c r="A718" s="7" t="s">
        <v>16</v>
      </c>
      <c r="B718" s="7" t="s">
        <v>21</v>
      </c>
      <c r="C718" s="7" t="s">
        <v>18</v>
      </c>
      <c r="D718" s="4">
        <v>11794674000121</v>
      </c>
      <c r="E718" s="8" t="s">
        <v>845</v>
      </c>
      <c r="F718" s="8" t="s">
        <v>76</v>
      </c>
      <c r="G718" s="8" t="s">
        <v>77</v>
      </c>
      <c r="H718" s="8" t="s">
        <v>215</v>
      </c>
      <c r="I718" s="3">
        <v>2</v>
      </c>
      <c r="J718" s="8" t="s">
        <v>165</v>
      </c>
      <c r="K718" s="8" t="s">
        <v>166</v>
      </c>
      <c r="L718" s="8" t="s">
        <v>557</v>
      </c>
      <c r="M718" s="1" t="s">
        <v>211</v>
      </c>
      <c r="N718" s="8" t="s">
        <v>212</v>
      </c>
      <c r="O718" s="6">
        <v>0</v>
      </c>
      <c r="P718" s="6">
        <v>50</v>
      </c>
      <c r="Q718" s="6">
        <v>0</v>
      </c>
      <c r="R718" s="6">
        <v>0</v>
      </c>
      <c r="S718" s="6">
        <v>0</v>
      </c>
    </row>
    <row r="719" spans="1:19" ht="15" hidden="1" x14ac:dyDescent="0.25">
      <c r="A719" s="7" t="s">
        <v>16</v>
      </c>
      <c r="B719" s="7" t="s">
        <v>21</v>
      </c>
      <c r="C719" s="7" t="s">
        <v>18</v>
      </c>
      <c r="D719" s="4">
        <v>41580077000165</v>
      </c>
      <c r="E719" s="8" t="s">
        <v>918</v>
      </c>
      <c r="F719" s="8" t="s">
        <v>76</v>
      </c>
      <c r="G719" s="8" t="s">
        <v>77</v>
      </c>
      <c r="H719" s="8" t="s">
        <v>215</v>
      </c>
      <c r="I719" s="3">
        <v>2</v>
      </c>
      <c r="J719" s="8" t="s">
        <v>199</v>
      </c>
      <c r="K719" s="8" t="s">
        <v>200</v>
      </c>
      <c r="L719" s="8" t="s">
        <v>556</v>
      </c>
      <c r="M719" s="1" t="s">
        <v>211</v>
      </c>
      <c r="N719" s="8" t="s">
        <v>212</v>
      </c>
      <c r="O719" s="6">
        <v>0</v>
      </c>
      <c r="P719" s="6">
        <v>0</v>
      </c>
      <c r="Q719" s="6">
        <v>0</v>
      </c>
      <c r="R719" s="6">
        <v>0</v>
      </c>
      <c r="S719" s="6">
        <v>75</v>
      </c>
    </row>
    <row r="720" spans="1:19" ht="15" hidden="1" x14ac:dyDescent="0.25">
      <c r="A720" s="7" t="s">
        <v>16</v>
      </c>
      <c r="B720" s="7" t="s">
        <v>21</v>
      </c>
      <c r="C720" s="7" t="s">
        <v>18</v>
      </c>
      <c r="D720" s="4">
        <v>41580077000165</v>
      </c>
      <c r="E720" s="8" t="s">
        <v>918</v>
      </c>
      <c r="F720" s="8" t="s">
        <v>76</v>
      </c>
      <c r="G720" s="8" t="s">
        <v>77</v>
      </c>
      <c r="H720" s="8" t="s">
        <v>215</v>
      </c>
      <c r="I720" s="3">
        <v>2</v>
      </c>
      <c r="J720" s="8" t="s">
        <v>165</v>
      </c>
      <c r="K720" s="8" t="s">
        <v>166</v>
      </c>
      <c r="L720" s="8" t="s">
        <v>557</v>
      </c>
      <c r="M720" s="1" t="s">
        <v>211</v>
      </c>
      <c r="N720" s="8" t="s">
        <v>212</v>
      </c>
      <c r="O720" s="6">
        <v>0</v>
      </c>
      <c r="P720" s="6">
        <v>0</v>
      </c>
      <c r="Q720" s="6">
        <v>0</v>
      </c>
      <c r="R720" s="6">
        <v>0</v>
      </c>
      <c r="S720" s="6">
        <v>75</v>
      </c>
    </row>
    <row r="721" spans="1:19" ht="15" hidden="1" x14ac:dyDescent="0.25">
      <c r="A721" s="7" t="s">
        <v>16</v>
      </c>
      <c r="B721" s="7" t="s">
        <v>21</v>
      </c>
      <c r="C721" s="7" t="s">
        <v>18</v>
      </c>
      <c r="D721" s="4">
        <v>12568570000161</v>
      </c>
      <c r="E721" s="8" t="s">
        <v>866</v>
      </c>
      <c r="F721" s="8" t="s">
        <v>76</v>
      </c>
      <c r="G721" s="8" t="s">
        <v>77</v>
      </c>
      <c r="H721" s="8" t="s">
        <v>215</v>
      </c>
      <c r="I721" s="3">
        <v>2</v>
      </c>
      <c r="J721" s="8" t="s">
        <v>199</v>
      </c>
      <c r="K721" s="8" t="s">
        <v>200</v>
      </c>
      <c r="L721" s="8" t="s">
        <v>556</v>
      </c>
      <c r="M721" s="1" t="s">
        <v>211</v>
      </c>
      <c r="N721" s="8" t="s">
        <v>212</v>
      </c>
      <c r="O721" s="6">
        <v>0</v>
      </c>
      <c r="P721" s="6">
        <v>0</v>
      </c>
      <c r="Q721" s="6">
        <v>0</v>
      </c>
      <c r="R721" s="6">
        <v>0</v>
      </c>
      <c r="S721" s="6">
        <v>225</v>
      </c>
    </row>
    <row r="722" spans="1:19" ht="15" hidden="1" x14ac:dyDescent="0.25">
      <c r="A722" s="7" t="s">
        <v>16</v>
      </c>
      <c r="B722" s="7" t="s">
        <v>21</v>
      </c>
      <c r="C722" s="7" t="s">
        <v>18</v>
      </c>
      <c r="D722" s="4">
        <v>12568570000161</v>
      </c>
      <c r="E722" s="8" t="s">
        <v>866</v>
      </c>
      <c r="F722" s="8" t="s">
        <v>76</v>
      </c>
      <c r="G722" s="8" t="s">
        <v>77</v>
      </c>
      <c r="H722" s="8" t="s">
        <v>215</v>
      </c>
      <c r="I722" s="3">
        <v>2</v>
      </c>
      <c r="J722" s="8" t="s">
        <v>165</v>
      </c>
      <c r="K722" s="8" t="s">
        <v>166</v>
      </c>
      <c r="L722" s="8" t="s">
        <v>557</v>
      </c>
      <c r="M722" s="1" t="s">
        <v>211</v>
      </c>
      <c r="N722" s="8" t="s">
        <v>212</v>
      </c>
      <c r="O722" s="6">
        <v>0</v>
      </c>
      <c r="P722" s="6">
        <v>0</v>
      </c>
      <c r="Q722" s="6">
        <v>0</v>
      </c>
      <c r="R722" s="6">
        <v>0</v>
      </c>
      <c r="S722" s="6">
        <v>225</v>
      </c>
    </row>
    <row r="723" spans="1:19" ht="15" hidden="1" x14ac:dyDescent="0.25">
      <c r="A723" s="7" t="s">
        <v>16</v>
      </c>
      <c r="B723" s="7" t="s">
        <v>21</v>
      </c>
      <c r="C723" s="7" t="s">
        <v>18</v>
      </c>
      <c r="D723" s="4">
        <v>5867015000175</v>
      </c>
      <c r="E723" s="8" t="s">
        <v>804</v>
      </c>
      <c r="F723" s="8" t="s">
        <v>76</v>
      </c>
      <c r="G723" s="8" t="s">
        <v>77</v>
      </c>
      <c r="H723" s="8" t="s">
        <v>215</v>
      </c>
      <c r="I723" s="3">
        <v>2</v>
      </c>
      <c r="J723" s="8" t="s">
        <v>199</v>
      </c>
      <c r="K723" s="8" t="s">
        <v>200</v>
      </c>
      <c r="L723" s="8" t="s">
        <v>556</v>
      </c>
      <c r="M723" s="1" t="s">
        <v>211</v>
      </c>
      <c r="N723" s="8" t="s">
        <v>212</v>
      </c>
      <c r="O723" s="6">
        <v>0</v>
      </c>
      <c r="P723" s="6">
        <v>0</v>
      </c>
      <c r="Q723" s="6">
        <v>0</v>
      </c>
      <c r="R723" s="6">
        <v>12</v>
      </c>
      <c r="S723" s="6">
        <v>0</v>
      </c>
    </row>
    <row r="724" spans="1:19" ht="15" hidden="1" x14ac:dyDescent="0.25">
      <c r="A724" s="7" t="s">
        <v>16</v>
      </c>
      <c r="B724" s="7" t="s">
        <v>21</v>
      </c>
      <c r="C724" s="7" t="s">
        <v>18</v>
      </c>
      <c r="D724" s="4">
        <v>5867015000175</v>
      </c>
      <c r="E724" s="8" t="s">
        <v>804</v>
      </c>
      <c r="F724" s="8" t="s">
        <v>76</v>
      </c>
      <c r="G724" s="8" t="s">
        <v>77</v>
      </c>
      <c r="H724" s="8" t="s">
        <v>215</v>
      </c>
      <c r="I724" s="3">
        <v>2</v>
      </c>
      <c r="J724" s="8" t="s">
        <v>165</v>
      </c>
      <c r="K724" s="8" t="s">
        <v>166</v>
      </c>
      <c r="L724" s="8" t="s">
        <v>557</v>
      </c>
      <c r="M724" s="1" t="s">
        <v>211</v>
      </c>
      <c r="N724" s="8" t="s">
        <v>212</v>
      </c>
      <c r="O724" s="6">
        <v>0</v>
      </c>
      <c r="P724" s="6">
        <v>0</v>
      </c>
      <c r="Q724" s="6">
        <v>0</v>
      </c>
      <c r="R724" s="6">
        <v>0</v>
      </c>
      <c r="S724" s="6">
        <v>0</v>
      </c>
    </row>
    <row r="725" spans="1:19" ht="15" hidden="1" x14ac:dyDescent="0.25">
      <c r="A725" s="7" t="s">
        <v>16</v>
      </c>
      <c r="B725" s="7" t="s">
        <v>21</v>
      </c>
      <c r="C725" s="7" t="s">
        <v>18</v>
      </c>
      <c r="D725" s="4">
        <v>9104513000974</v>
      </c>
      <c r="E725" s="8" t="s">
        <v>830</v>
      </c>
      <c r="F725" s="8" t="s">
        <v>739</v>
      </c>
      <c r="G725" s="8" t="s">
        <v>55</v>
      </c>
      <c r="H725" s="8" t="s">
        <v>215</v>
      </c>
      <c r="I725" s="3">
        <v>2</v>
      </c>
      <c r="J725" s="8" t="s">
        <v>163</v>
      </c>
      <c r="K725" s="8" t="s">
        <v>164</v>
      </c>
      <c r="L725" s="8" t="s">
        <v>557</v>
      </c>
      <c r="M725" s="1" t="s">
        <v>211</v>
      </c>
      <c r="N725" s="8" t="s">
        <v>212</v>
      </c>
      <c r="O725" s="6">
        <v>0</v>
      </c>
      <c r="P725" s="6">
        <v>0</v>
      </c>
      <c r="Q725" s="6">
        <v>0</v>
      </c>
      <c r="R725" s="6">
        <v>0</v>
      </c>
      <c r="S725" s="6">
        <v>170</v>
      </c>
    </row>
    <row r="726" spans="1:19" ht="15" hidden="1" x14ac:dyDescent="0.25">
      <c r="A726" s="7" t="s">
        <v>16</v>
      </c>
      <c r="B726" s="7" t="s">
        <v>21</v>
      </c>
      <c r="C726" s="7" t="s">
        <v>18</v>
      </c>
      <c r="D726" s="4">
        <v>9104513000974</v>
      </c>
      <c r="E726" s="8" t="s">
        <v>830</v>
      </c>
      <c r="F726" s="8" t="s">
        <v>739</v>
      </c>
      <c r="G726" s="8" t="s">
        <v>55</v>
      </c>
      <c r="H726" s="8" t="s">
        <v>215</v>
      </c>
      <c r="I726" s="3">
        <v>2</v>
      </c>
      <c r="J726" s="8" t="s">
        <v>201</v>
      </c>
      <c r="K726" s="8" t="s">
        <v>202</v>
      </c>
      <c r="L726" s="8" t="s">
        <v>740</v>
      </c>
      <c r="M726" s="1" t="s">
        <v>211</v>
      </c>
      <c r="N726" s="8" t="s">
        <v>212</v>
      </c>
      <c r="O726" s="6">
        <v>0</v>
      </c>
      <c r="P726" s="6">
        <v>0</v>
      </c>
      <c r="Q726" s="6">
        <v>0</v>
      </c>
      <c r="R726" s="6">
        <v>0</v>
      </c>
      <c r="S726" s="6">
        <v>170</v>
      </c>
    </row>
    <row r="727" spans="1:19" ht="15" hidden="1" x14ac:dyDescent="0.25">
      <c r="A727" s="7" t="s">
        <v>16</v>
      </c>
      <c r="B727" s="7" t="s">
        <v>21</v>
      </c>
      <c r="C727" s="7" t="s">
        <v>18</v>
      </c>
      <c r="D727" s="4">
        <v>520237000101</v>
      </c>
      <c r="E727" s="8" t="s">
        <v>755</v>
      </c>
      <c r="F727" s="8" t="s">
        <v>739</v>
      </c>
      <c r="G727" s="8" t="s">
        <v>55</v>
      </c>
      <c r="H727" s="8" t="s">
        <v>215</v>
      </c>
      <c r="I727" s="3">
        <v>2</v>
      </c>
      <c r="J727" s="8" t="s">
        <v>163</v>
      </c>
      <c r="K727" s="8" t="s">
        <v>164</v>
      </c>
      <c r="L727" s="8" t="s">
        <v>557</v>
      </c>
      <c r="M727" s="1" t="s">
        <v>211</v>
      </c>
      <c r="N727" s="8" t="s">
        <v>212</v>
      </c>
      <c r="O727" s="6">
        <v>0</v>
      </c>
      <c r="P727" s="6">
        <v>0</v>
      </c>
      <c r="Q727" s="6">
        <v>0</v>
      </c>
      <c r="R727" s="6">
        <v>0</v>
      </c>
      <c r="S727" s="6">
        <v>800</v>
      </c>
    </row>
    <row r="728" spans="1:19" ht="15" hidden="1" x14ac:dyDescent="0.25">
      <c r="A728" s="7" t="s">
        <v>16</v>
      </c>
      <c r="B728" s="7" t="s">
        <v>21</v>
      </c>
      <c r="C728" s="7" t="s">
        <v>18</v>
      </c>
      <c r="D728" s="4">
        <v>520237000101</v>
      </c>
      <c r="E728" s="8" t="s">
        <v>755</v>
      </c>
      <c r="F728" s="8" t="s">
        <v>739</v>
      </c>
      <c r="G728" s="8" t="s">
        <v>55</v>
      </c>
      <c r="H728" s="8" t="s">
        <v>215</v>
      </c>
      <c r="I728" s="3">
        <v>2</v>
      </c>
      <c r="J728" s="8" t="s">
        <v>201</v>
      </c>
      <c r="K728" s="8" t="s">
        <v>202</v>
      </c>
      <c r="L728" s="8" t="s">
        <v>740</v>
      </c>
      <c r="M728" s="1" t="s">
        <v>211</v>
      </c>
      <c r="N728" s="8" t="s">
        <v>212</v>
      </c>
      <c r="O728" s="6">
        <v>0</v>
      </c>
      <c r="P728" s="6">
        <v>0</v>
      </c>
      <c r="Q728" s="6">
        <v>0</v>
      </c>
      <c r="R728" s="6">
        <v>259</v>
      </c>
      <c r="S728" s="6">
        <v>800</v>
      </c>
    </row>
    <row r="729" spans="1:19" ht="15" hidden="1" x14ac:dyDescent="0.25">
      <c r="A729" s="7" t="s">
        <v>16</v>
      </c>
      <c r="B729" s="7" t="s">
        <v>21</v>
      </c>
      <c r="C729" s="7" t="s">
        <v>18</v>
      </c>
      <c r="D729" s="4">
        <v>1602408000104</v>
      </c>
      <c r="E729" s="8" t="s">
        <v>767</v>
      </c>
      <c r="F729" s="8" t="s">
        <v>739</v>
      </c>
      <c r="G729" s="8" t="s">
        <v>55</v>
      </c>
      <c r="H729" s="8" t="s">
        <v>215</v>
      </c>
      <c r="I729" s="3">
        <v>2</v>
      </c>
      <c r="J729" s="8" t="s">
        <v>163</v>
      </c>
      <c r="K729" s="8" t="s">
        <v>164</v>
      </c>
      <c r="L729" s="8" t="s">
        <v>557</v>
      </c>
      <c r="M729" s="1" t="s">
        <v>211</v>
      </c>
      <c r="N729" s="8" t="s">
        <v>212</v>
      </c>
      <c r="O729" s="6">
        <v>0</v>
      </c>
      <c r="P729" s="6">
        <v>0</v>
      </c>
      <c r="Q729" s="6">
        <v>0</v>
      </c>
      <c r="R729" s="6">
        <v>0</v>
      </c>
      <c r="S729" s="6">
        <v>250</v>
      </c>
    </row>
    <row r="730" spans="1:19" ht="15" hidden="1" x14ac:dyDescent="0.25">
      <c r="A730" s="7" t="s">
        <v>16</v>
      </c>
      <c r="B730" s="7" t="s">
        <v>21</v>
      </c>
      <c r="C730" s="7" t="s">
        <v>18</v>
      </c>
      <c r="D730" s="4">
        <v>1602408000104</v>
      </c>
      <c r="E730" s="8" t="s">
        <v>767</v>
      </c>
      <c r="F730" s="8" t="s">
        <v>739</v>
      </c>
      <c r="G730" s="8" t="s">
        <v>55</v>
      </c>
      <c r="H730" s="8" t="s">
        <v>215</v>
      </c>
      <c r="I730" s="3">
        <v>2</v>
      </c>
      <c r="J730" s="8" t="s">
        <v>201</v>
      </c>
      <c r="K730" s="8" t="s">
        <v>202</v>
      </c>
      <c r="L730" s="8" t="s">
        <v>740</v>
      </c>
      <c r="M730" s="1" t="s">
        <v>211</v>
      </c>
      <c r="N730" s="8" t="s">
        <v>212</v>
      </c>
      <c r="O730" s="6">
        <v>0</v>
      </c>
      <c r="P730" s="6">
        <v>0</v>
      </c>
      <c r="Q730" s="6">
        <v>0</v>
      </c>
      <c r="R730" s="6">
        <v>0</v>
      </c>
      <c r="S730" s="6">
        <v>250</v>
      </c>
    </row>
    <row r="731" spans="1:19" ht="15" hidden="1" x14ac:dyDescent="0.25">
      <c r="A731" s="7" t="s">
        <v>16</v>
      </c>
      <c r="B731" s="7" t="s">
        <v>21</v>
      </c>
      <c r="C731" s="7" t="s">
        <v>18</v>
      </c>
      <c r="D731" s="4">
        <v>30135335000188</v>
      </c>
      <c r="E731" s="8" t="s">
        <v>914</v>
      </c>
      <c r="F731" s="8" t="s">
        <v>739</v>
      </c>
      <c r="G731" s="8" t="s">
        <v>55</v>
      </c>
      <c r="H731" s="8" t="s">
        <v>215</v>
      </c>
      <c r="I731" s="3">
        <v>2</v>
      </c>
      <c r="J731" s="8" t="s">
        <v>163</v>
      </c>
      <c r="K731" s="8" t="s">
        <v>164</v>
      </c>
      <c r="L731" s="8" t="s">
        <v>557</v>
      </c>
      <c r="M731" s="1" t="s">
        <v>211</v>
      </c>
      <c r="N731" s="8" t="s">
        <v>212</v>
      </c>
      <c r="O731" s="6">
        <v>0</v>
      </c>
      <c r="P731" s="6">
        <v>0</v>
      </c>
      <c r="Q731" s="6">
        <v>0</v>
      </c>
      <c r="R731" s="6">
        <v>0</v>
      </c>
      <c r="S731" s="6">
        <v>550</v>
      </c>
    </row>
    <row r="732" spans="1:19" ht="15" hidden="1" x14ac:dyDescent="0.25">
      <c r="A732" s="7" t="s">
        <v>16</v>
      </c>
      <c r="B732" s="7" t="s">
        <v>21</v>
      </c>
      <c r="C732" s="7" t="s">
        <v>18</v>
      </c>
      <c r="D732" s="4">
        <v>30135335000188</v>
      </c>
      <c r="E732" s="8" t="s">
        <v>914</v>
      </c>
      <c r="F732" s="8" t="s">
        <v>739</v>
      </c>
      <c r="G732" s="8" t="s">
        <v>55</v>
      </c>
      <c r="H732" s="8" t="s">
        <v>215</v>
      </c>
      <c r="I732" s="3">
        <v>2</v>
      </c>
      <c r="J732" s="8" t="s">
        <v>201</v>
      </c>
      <c r="K732" s="8" t="s">
        <v>202</v>
      </c>
      <c r="L732" s="8" t="s">
        <v>740</v>
      </c>
      <c r="M732" s="1" t="s">
        <v>211</v>
      </c>
      <c r="N732" s="8" t="s">
        <v>212</v>
      </c>
      <c r="O732" s="6">
        <v>0</v>
      </c>
      <c r="P732" s="6">
        <v>0</v>
      </c>
      <c r="Q732" s="6">
        <v>0</v>
      </c>
      <c r="R732" s="6">
        <v>0</v>
      </c>
      <c r="S732" s="6">
        <v>550</v>
      </c>
    </row>
    <row r="733" spans="1:19" ht="15" hidden="1" x14ac:dyDescent="0.25">
      <c r="A733" s="7" t="s">
        <v>16</v>
      </c>
      <c r="B733" s="7" t="s">
        <v>21</v>
      </c>
      <c r="C733" s="7" t="s">
        <v>18</v>
      </c>
      <c r="D733" s="4">
        <v>394544000851</v>
      </c>
      <c r="E733" s="8" t="s">
        <v>1136</v>
      </c>
      <c r="F733" s="8" t="s">
        <v>739</v>
      </c>
      <c r="G733" s="8" t="s">
        <v>55</v>
      </c>
      <c r="H733" s="8" t="s">
        <v>215</v>
      </c>
      <c r="I733" s="3">
        <v>2</v>
      </c>
      <c r="J733" s="8" t="s">
        <v>1380</v>
      </c>
      <c r="K733" s="8" t="s">
        <v>1381</v>
      </c>
      <c r="L733" s="8"/>
      <c r="M733" s="1" t="s">
        <v>1510</v>
      </c>
      <c r="N733" s="8" t="s">
        <v>1382</v>
      </c>
      <c r="O733" s="6">
        <v>12</v>
      </c>
      <c r="P733" s="6">
        <v>0</v>
      </c>
      <c r="Q733" s="6">
        <v>0</v>
      </c>
      <c r="R733" s="6">
        <v>0</v>
      </c>
      <c r="S733" s="6">
        <v>630</v>
      </c>
    </row>
    <row r="734" spans="1:19" ht="15" hidden="1" x14ac:dyDescent="0.25">
      <c r="A734" s="7" t="s">
        <v>16</v>
      </c>
      <c r="B734" s="7" t="s">
        <v>21</v>
      </c>
      <c r="C734" s="7" t="s">
        <v>18</v>
      </c>
      <c r="D734" s="4">
        <v>394544000851</v>
      </c>
      <c r="E734" s="8" t="s">
        <v>1136</v>
      </c>
      <c r="F734" s="8" t="s">
        <v>739</v>
      </c>
      <c r="G734" s="8" t="s">
        <v>55</v>
      </c>
      <c r="H734" s="8" t="s">
        <v>215</v>
      </c>
      <c r="I734" s="3">
        <v>2</v>
      </c>
      <c r="J734" s="8" t="s">
        <v>1383</v>
      </c>
      <c r="K734" s="8" t="s">
        <v>1384</v>
      </c>
      <c r="L734" s="8"/>
      <c r="M734" s="1" t="s">
        <v>1510</v>
      </c>
      <c r="N734" s="8" t="s">
        <v>1382</v>
      </c>
      <c r="O734" s="6">
        <v>0</v>
      </c>
      <c r="P734" s="6">
        <v>0</v>
      </c>
      <c r="Q734" s="6">
        <v>0</v>
      </c>
      <c r="R734" s="6">
        <v>0</v>
      </c>
      <c r="S734" s="6">
        <v>630</v>
      </c>
    </row>
    <row r="735" spans="1:19" ht="15" hidden="1" x14ac:dyDescent="0.25">
      <c r="A735" s="7" t="s">
        <v>16</v>
      </c>
      <c r="B735" s="7" t="s">
        <v>21</v>
      </c>
      <c r="C735" s="7" t="s">
        <v>18</v>
      </c>
      <c r="D735" s="4">
        <v>15126437000305</v>
      </c>
      <c r="E735" s="8" t="s">
        <v>879</v>
      </c>
      <c r="F735" s="8" t="s">
        <v>739</v>
      </c>
      <c r="G735" s="8" t="s">
        <v>55</v>
      </c>
      <c r="H735" s="8" t="s">
        <v>215</v>
      </c>
      <c r="I735" s="3">
        <v>2</v>
      </c>
      <c r="J735" s="8" t="s">
        <v>163</v>
      </c>
      <c r="K735" s="8" t="s">
        <v>164</v>
      </c>
      <c r="L735" s="8" t="s">
        <v>557</v>
      </c>
      <c r="M735" s="1" t="s">
        <v>211</v>
      </c>
      <c r="N735" s="8" t="s">
        <v>212</v>
      </c>
      <c r="O735" s="6">
        <v>0</v>
      </c>
      <c r="P735" s="6">
        <v>0</v>
      </c>
      <c r="Q735" s="6">
        <v>0</v>
      </c>
      <c r="R735" s="6">
        <v>0</v>
      </c>
      <c r="S735" s="6">
        <v>550</v>
      </c>
    </row>
    <row r="736" spans="1:19" ht="15" hidden="1" x14ac:dyDescent="0.25">
      <c r="A736" s="7" t="s">
        <v>16</v>
      </c>
      <c r="B736" s="7" t="s">
        <v>21</v>
      </c>
      <c r="C736" s="7" t="s">
        <v>18</v>
      </c>
      <c r="D736" s="4">
        <v>15126437000305</v>
      </c>
      <c r="E736" s="8" t="s">
        <v>879</v>
      </c>
      <c r="F736" s="8" t="s">
        <v>739</v>
      </c>
      <c r="G736" s="8" t="s">
        <v>55</v>
      </c>
      <c r="H736" s="8" t="s">
        <v>215</v>
      </c>
      <c r="I736" s="3">
        <v>2</v>
      </c>
      <c r="J736" s="8" t="s">
        <v>201</v>
      </c>
      <c r="K736" s="8" t="s">
        <v>202</v>
      </c>
      <c r="L736" s="8" t="s">
        <v>740</v>
      </c>
      <c r="M736" s="1" t="s">
        <v>211</v>
      </c>
      <c r="N736" s="8" t="s">
        <v>212</v>
      </c>
      <c r="O736" s="6">
        <v>0</v>
      </c>
      <c r="P736" s="6">
        <v>0</v>
      </c>
      <c r="Q736" s="6">
        <v>0</v>
      </c>
      <c r="R736" s="6">
        <v>0</v>
      </c>
      <c r="S736" s="6">
        <v>550</v>
      </c>
    </row>
    <row r="737" spans="1:19" ht="15" hidden="1" x14ac:dyDescent="0.25">
      <c r="A737" s="7" t="s">
        <v>16</v>
      </c>
      <c r="B737" s="7" t="s">
        <v>21</v>
      </c>
      <c r="C737" s="7" t="s">
        <v>18</v>
      </c>
      <c r="D737" s="4">
        <v>3989821000190</v>
      </c>
      <c r="E737" s="8" t="s">
        <v>796</v>
      </c>
      <c r="F737" s="8" t="s">
        <v>739</v>
      </c>
      <c r="G737" s="8" t="s">
        <v>55</v>
      </c>
      <c r="H737" s="8" t="s">
        <v>215</v>
      </c>
      <c r="I737" s="3">
        <v>2</v>
      </c>
      <c r="J737" s="8" t="s">
        <v>163</v>
      </c>
      <c r="K737" s="8" t="s">
        <v>164</v>
      </c>
      <c r="L737" s="8" t="s">
        <v>557</v>
      </c>
      <c r="M737" s="1" t="s">
        <v>211</v>
      </c>
      <c r="N737" s="8" t="s">
        <v>212</v>
      </c>
      <c r="O737" s="6">
        <v>0</v>
      </c>
      <c r="P737" s="6">
        <v>0</v>
      </c>
      <c r="Q737" s="6">
        <v>0</v>
      </c>
      <c r="R737" s="6">
        <v>0</v>
      </c>
      <c r="S737" s="6">
        <v>360</v>
      </c>
    </row>
    <row r="738" spans="1:19" ht="15" hidden="1" x14ac:dyDescent="0.25">
      <c r="A738" s="7" t="s">
        <v>16</v>
      </c>
      <c r="B738" s="7" t="s">
        <v>21</v>
      </c>
      <c r="C738" s="7" t="s">
        <v>18</v>
      </c>
      <c r="D738" s="4">
        <v>3989821000190</v>
      </c>
      <c r="E738" s="8" t="s">
        <v>796</v>
      </c>
      <c r="F738" s="8" t="s">
        <v>739</v>
      </c>
      <c r="G738" s="8" t="s">
        <v>55</v>
      </c>
      <c r="H738" s="8" t="s">
        <v>215</v>
      </c>
      <c r="I738" s="3">
        <v>2</v>
      </c>
      <c r="J738" s="8" t="s">
        <v>201</v>
      </c>
      <c r="K738" s="8" t="s">
        <v>202</v>
      </c>
      <c r="L738" s="8" t="s">
        <v>740</v>
      </c>
      <c r="M738" s="1" t="s">
        <v>211</v>
      </c>
      <c r="N738" s="8" t="s">
        <v>212</v>
      </c>
      <c r="O738" s="6">
        <v>0</v>
      </c>
      <c r="P738" s="6">
        <v>0</v>
      </c>
      <c r="Q738" s="6">
        <v>0</v>
      </c>
      <c r="R738" s="6">
        <v>0</v>
      </c>
      <c r="S738" s="6">
        <v>360</v>
      </c>
    </row>
    <row r="739" spans="1:19" ht="15" hidden="1" x14ac:dyDescent="0.25">
      <c r="A739" s="7" t="s">
        <v>16</v>
      </c>
      <c r="B739" s="7" t="s">
        <v>21</v>
      </c>
      <c r="C739" s="7" t="s">
        <v>18</v>
      </c>
      <c r="D739" s="4">
        <v>37108388000159</v>
      </c>
      <c r="E739" s="8" t="s">
        <v>916</v>
      </c>
      <c r="F739" s="8" t="s">
        <v>739</v>
      </c>
      <c r="G739" s="8" t="s">
        <v>55</v>
      </c>
      <c r="H739" s="8" t="s">
        <v>215</v>
      </c>
      <c r="I739" s="3">
        <v>2</v>
      </c>
      <c r="J739" s="8" t="s">
        <v>163</v>
      </c>
      <c r="K739" s="8" t="s">
        <v>164</v>
      </c>
      <c r="L739" s="8" t="s">
        <v>557</v>
      </c>
      <c r="M739" s="1" t="s">
        <v>211</v>
      </c>
      <c r="N739" s="8" t="s">
        <v>212</v>
      </c>
      <c r="O739" s="6">
        <v>0</v>
      </c>
      <c r="P739" s="6">
        <v>30</v>
      </c>
      <c r="Q739" s="6">
        <v>0</v>
      </c>
      <c r="R739" s="6">
        <v>0</v>
      </c>
      <c r="S739" s="6">
        <v>0</v>
      </c>
    </row>
    <row r="740" spans="1:19" ht="15" hidden="1" x14ac:dyDescent="0.25">
      <c r="A740" s="7" t="s">
        <v>16</v>
      </c>
      <c r="B740" s="7" t="s">
        <v>21</v>
      </c>
      <c r="C740" s="7" t="s">
        <v>18</v>
      </c>
      <c r="D740" s="4">
        <v>37108388000159</v>
      </c>
      <c r="E740" s="8" t="s">
        <v>916</v>
      </c>
      <c r="F740" s="8" t="s">
        <v>739</v>
      </c>
      <c r="G740" s="8" t="s">
        <v>55</v>
      </c>
      <c r="H740" s="8" t="s">
        <v>215</v>
      </c>
      <c r="I740" s="3">
        <v>2</v>
      </c>
      <c r="J740" s="8" t="s">
        <v>201</v>
      </c>
      <c r="K740" s="8" t="s">
        <v>202</v>
      </c>
      <c r="L740" s="8" t="s">
        <v>740</v>
      </c>
      <c r="M740" s="1" t="s">
        <v>211</v>
      </c>
      <c r="N740" s="8" t="s">
        <v>212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</row>
    <row r="741" spans="1:19" ht="15" hidden="1" x14ac:dyDescent="0.25">
      <c r="A741" s="7" t="s">
        <v>16</v>
      </c>
      <c r="B741" s="7" t="s">
        <v>21</v>
      </c>
      <c r="C741" s="7" t="s">
        <v>18</v>
      </c>
      <c r="D741" s="4">
        <v>29435005004620</v>
      </c>
      <c r="E741" s="8" t="s">
        <v>911</v>
      </c>
      <c r="F741" s="8" t="s">
        <v>739</v>
      </c>
      <c r="G741" s="8" t="s">
        <v>55</v>
      </c>
      <c r="H741" s="8" t="s">
        <v>215</v>
      </c>
      <c r="I741" s="3">
        <v>2</v>
      </c>
      <c r="J741" s="8" t="s">
        <v>163</v>
      </c>
      <c r="K741" s="8" t="s">
        <v>164</v>
      </c>
      <c r="L741" s="8" t="s">
        <v>557</v>
      </c>
      <c r="M741" s="1" t="s">
        <v>211</v>
      </c>
      <c r="N741" s="8" t="s">
        <v>212</v>
      </c>
      <c r="O741" s="6">
        <v>0</v>
      </c>
      <c r="P741" s="6">
        <v>30</v>
      </c>
      <c r="Q741" s="6">
        <v>0</v>
      </c>
      <c r="R741" s="6">
        <v>0</v>
      </c>
      <c r="S741" s="6">
        <v>0</v>
      </c>
    </row>
    <row r="742" spans="1:19" ht="15" hidden="1" x14ac:dyDescent="0.25">
      <c r="A742" s="7" t="s">
        <v>16</v>
      </c>
      <c r="B742" s="7" t="s">
        <v>21</v>
      </c>
      <c r="C742" s="7" t="s">
        <v>18</v>
      </c>
      <c r="D742" s="4">
        <v>29435005004620</v>
      </c>
      <c r="E742" s="8" t="s">
        <v>911</v>
      </c>
      <c r="F742" s="8" t="s">
        <v>739</v>
      </c>
      <c r="G742" s="8" t="s">
        <v>55</v>
      </c>
      <c r="H742" s="8" t="s">
        <v>215</v>
      </c>
      <c r="I742" s="3">
        <v>2</v>
      </c>
      <c r="J742" s="8" t="s">
        <v>201</v>
      </c>
      <c r="K742" s="8" t="s">
        <v>202</v>
      </c>
      <c r="L742" s="8" t="s">
        <v>740</v>
      </c>
      <c r="M742" s="1" t="s">
        <v>211</v>
      </c>
      <c r="N742" s="8" t="s">
        <v>212</v>
      </c>
      <c r="O742" s="6">
        <v>0</v>
      </c>
      <c r="P742" s="6">
        <v>0</v>
      </c>
      <c r="Q742" s="6">
        <v>0</v>
      </c>
      <c r="R742" s="6">
        <v>0</v>
      </c>
      <c r="S742" s="6">
        <v>0</v>
      </c>
    </row>
    <row r="743" spans="1:19" ht="15" hidden="1" x14ac:dyDescent="0.25">
      <c r="A743" s="7" t="s">
        <v>16</v>
      </c>
      <c r="B743" s="7" t="s">
        <v>21</v>
      </c>
      <c r="C743" s="7" t="s">
        <v>18</v>
      </c>
      <c r="D743" s="4">
        <v>2560878000107</v>
      </c>
      <c r="E743" s="8" t="s">
        <v>781</v>
      </c>
      <c r="F743" s="8" t="s">
        <v>739</v>
      </c>
      <c r="G743" s="8" t="s">
        <v>55</v>
      </c>
      <c r="H743" s="8" t="s">
        <v>215</v>
      </c>
      <c r="I743" s="3">
        <v>2</v>
      </c>
      <c r="J743" s="8" t="s">
        <v>163</v>
      </c>
      <c r="K743" s="8" t="s">
        <v>164</v>
      </c>
      <c r="L743" s="8" t="s">
        <v>557</v>
      </c>
      <c r="M743" s="1" t="s">
        <v>211</v>
      </c>
      <c r="N743" s="8" t="s">
        <v>212</v>
      </c>
      <c r="O743" s="6">
        <v>0</v>
      </c>
      <c r="P743" s="6">
        <v>0</v>
      </c>
      <c r="Q743" s="6">
        <v>0</v>
      </c>
      <c r="R743" s="6">
        <v>0</v>
      </c>
      <c r="S743" s="6">
        <v>30</v>
      </c>
    </row>
    <row r="744" spans="1:19" ht="15" hidden="1" x14ac:dyDescent="0.25">
      <c r="A744" s="7" t="s">
        <v>16</v>
      </c>
      <c r="B744" s="7" t="s">
        <v>21</v>
      </c>
      <c r="C744" s="7" t="s">
        <v>18</v>
      </c>
      <c r="D744" s="4">
        <v>2560878000107</v>
      </c>
      <c r="E744" s="8" t="s">
        <v>781</v>
      </c>
      <c r="F744" s="8" t="s">
        <v>739</v>
      </c>
      <c r="G744" s="8" t="s">
        <v>55</v>
      </c>
      <c r="H744" s="8" t="s">
        <v>215</v>
      </c>
      <c r="I744" s="3">
        <v>2</v>
      </c>
      <c r="J744" s="8" t="s">
        <v>201</v>
      </c>
      <c r="K744" s="8" t="s">
        <v>202</v>
      </c>
      <c r="L744" s="8" t="s">
        <v>740</v>
      </c>
      <c r="M744" s="1" t="s">
        <v>211</v>
      </c>
      <c r="N744" s="8" t="s">
        <v>212</v>
      </c>
      <c r="O744" s="6">
        <v>0</v>
      </c>
      <c r="P744" s="6">
        <v>0</v>
      </c>
      <c r="Q744" s="6">
        <v>0</v>
      </c>
      <c r="R744" s="6">
        <v>1</v>
      </c>
      <c r="S744" s="6">
        <v>30</v>
      </c>
    </row>
    <row r="745" spans="1:19" ht="15" hidden="1" x14ac:dyDescent="0.25">
      <c r="A745" s="7" t="s">
        <v>16</v>
      </c>
      <c r="B745" s="7" t="s">
        <v>21</v>
      </c>
      <c r="C745" s="7" t="s">
        <v>18</v>
      </c>
      <c r="D745" s="4">
        <v>60884855002289</v>
      </c>
      <c r="E745" s="8" t="s">
        <v>920</v>
      </c>
      <c r="F745" s="8" t="s">
        <v>739</v>
      </c>
      <c r="G745" s="8" t="s">
        <v>55</v>
      </c>
      <c r="H745" s="8" t="s">
        <v>215</v>
      </c>
      <c r="I745" s="3">
        <v>2</v>
      </c>
      <c r="J745" s="8" t="s">
        <v>163</v>
      </c>
      <c r="K745" s="8" t="s">
        <v>164</v>
      </c>
      <c r="L745" s="8" t="s">
        <v>557</v>
      </c>
      <c r="M745" s="1" t="s">
        <v>211</v>
      </c>
      <c r="N745" s="8" t="s">
        <v>212</v>
      </c>
      <c r="O745" s="6">
        <v>0</v>
      </c>
      <c r="P745" s="6">
        <v>24</v>
      </c>
      <c r="Q745" s="6">
        <v>7</v>
      </c>
      <c r="R745" s="6">
        <v>0</v>
      </c>
      <c r="S745" s="6">
        <v>300</v>
      </c>
    </row>
    <row r="746" spans="1:19" ht="15" hidden="1" x14ac:dyDescent="0.25">
      <c r="A746" s="7" t="s">
        <v>16</v>
      </c>
      <c r="B746" s="7" t="s">
        <v>21</v>
      </c>
      <c r="C746" s="7" t="s">
        <v>18</v>
      </c>
      <c r="D746" s="4">
        <v>60884855002289</v>
      </c>
      <c r="E746" s="8" t="s">
        <v>920</v>
      </c>
      <c r="F746" s="8" t="s">
        <v>739</v>
      </c>
      <c r="G746" s="8" t="s">
        <v>55</v>
      </c>
      <c r="H746" s="8" t="s">
        <v>215</v>
      </c>
      <c r="I746" s="3">
        <v>2</v>
      </c>
      <c r="J746" s="8" t="s">
        <v>201</v>
      </c>
      <c r="K746" s="8" t="s">
        <v>202</v>
      </c>
      <c r="L746" s="8" t="s">
        <v>740</v>
      </c>
      <c r="M746" s="1" t="s">
        <v>211</v>
      </c>
      <c r="N746" s="8" t="s">
        <v>212</v>
      </c>
      <c r="O746" s="6">
        <v>0</v>
      </c>
      <c r="P746" s="6">
        <v>0</v>
      </c>
      <c r="Q746" s="6">
        <v>0</v>
      </c>
      <c r="R746" s="6">
        <v>0</v>
      </c>
      <c r="S746" s="6">
        <v>300</v>
      </c>
    </row>
    <row r="747" spans="1:19" ht="15" hidden="1" x14ac:dyDescent="0.25">
      <c r="A747" s="7" t="s">
        <v>16</v>
      </c>
      <c r="B747" s="7" t="s">
        <v>21</v>
      </c>
      <c r="C747" s="7" t="s">
        <v>18</v>
      </c>
      <c r="D747" s="4">
        <v>6047087004207</v>
      </c>
      <c r="E747" s="8" t="s">
        <v>811</v>
      </c>
      <c r="F747" s="8" t="s">
        <v>739</v>
      </c>
      <c r="G747" s="8" t="s">
        <v>55</v>
      </c>
      <c r="H747" s="8" t="s">
        <v>215</v>
      </c>
      <c r="I747" s="3">
        <v>2</v>
      </c>
      <c r="J747" s="8" t="s">
        <v>163</v>
      </c>
      <c r="K747" s="8" t="s">
        <v>164</v>
      </c>
      <c r="L747" s="8" t="s">
        <v>557</v>
      </c>
      <c r="M747" s="1" t="s">
        <v>211</v>
      </c>
      <c r="N747" s="8" t="s">
        <v>212</v>
      </c>
      <c r="O747" s="6">
        <v>0</v>
      </c>
      <c r="P747" s="6">
        <v>8</v>
      </c>
      <c r="Q747" s="6">
        <v>0</v>
      </c>
      <c r="R747" s="6">
        <v>0</v>
      </c>
      <c r="S747" s="6">
        <v>0</v>
      </c>
    </row>
    <row r="748" spans="1:19" ht="15" hidden="1" x14ac:dyDescent="0.25">
      <c r="A748" s="7" t="s">
        <v>16</v>
      </c>
      <c r="B748" s="7" t="s">
        <v>21</v>
      </c>
      <c r="C748" s="7" t="s">
        <v>18</v>
      </c>
      <c r="D748" s="4">
        <v>6047087004207</v>
      </c>
      <c r="E748" s="8" t="s">
        <v>811</v>
      </c>
      <c r="F748" s="8" t="s">
        <v>739</v>
      </c>
      <c r="G748" s="8" t="s">
        <v>55</v>
      </c>
      <c r="H748" s="8" t="s">
        <v>215</v>
      </c>
      <c r="I748" s="3">
        <v>2</v>
      </c>
      <c r="J748" s="8" t="s">
        <v>201</v>
      </c>
      <c r="K748" s="8" t="s">
        <v>202</v>
      </c>
      <c r="L748" s="8" t="s">
        <v>740</v>
      </c>
      <c r="M748" s="1" t="s">
        <v>211</v>
      </c>
      <c r="N748" s="8" t="s">
        <v>212</v>
      </c>
      <c r="O748" s="6">
        <v>0</v>
      </c>
      <c r="P748" s="6">
        <v>0</v>
      </c>
      <c r="Q748" s="6">
        <v>0</v>
      </c>
      <c r="R748" s="6">
        <v>0</v>
      </c>
      <c r="S748" s="6">
        <v>0</v>
      </c>
    </row>
    <row r="749" spans="1:19" ht="15" hidden="1" x14ac:dyDescent="0.25">
      <c r="A749" s="7" t="s">
        <v>16</v>
      </c>
      <c r="B749" s="7" t="s">
        <v>21</v>
      </c>
      <c r="C749" s="7" t="s">
        <v>18</v>
      </c>
      <c r="D749" s="4">
        <v>49791000144</v>
      </c>
      <c r="E749" s="8" t="s">
        <v>743</v>
      </c>
      <c r="F749" s="8" t="s">
        <v>739</v>
      </c>
      <c r="G749" s="8" t="s">
        <v>55</v>
      </c>
      <c r="H749" s="8" t="s">
        <v>215</v>
      </c>
      <c r="I749" s="3">
        <v>2</v>
      </c>
      <c r="J749" s="8" t="s">
        <v>163</v>
      </c>
      <c r="K749" s="8" t="s">
        <v>164</v>
      </c>
      <c r="L749" s="8" t="s">
        <v>557</v>
      </c>
      <c r="M749" s="1" t="s">
        <v>211</v>
      </c>
      <c r="N749" s="8" t="s">
        <v>212</v>
      </c>
      <c r="O749" s="6">
        <v>0</v>
      </c>
      <c r="P749" s="6">
        <v>9</v>
      </c>
      <c r="Q749" s="6">
        <v>4</v>
      </c>
      <c r="R749" s="6">
        <v>0</v>
      </c>
      <c r="S749" s="6">
        <v>0</v>
      </c>
    </row>
    <row r="750" spans="1:19" ht="15" hidden="1" x14ac:dyDescent="0.25">
      <c r="A750" s="7" t="s">
        <v>16</v>
      </c>
      <c r="B750" s="7" t="s">
        <v>21</v>
      </c>
      <c r="C750" s="7" t="s">
        <v>18</v>
      </c>
      <c r="D750" s="4">
        <v>49791000144</v>
      </c>
      <c r="E750" s="8" t="s">
        <v>743</v>
      </c>
      <c r="F750" s="8" t="s">
        <v>739</v>
      </c>
      <c r="G750" s="8" t="s">
        <v>55</v>
      </c>
      <c r="H750" s="8" t="s">
        <v>215</v>
      </c>
      <c r="I750" s="3">
        <v>2</v>
      </c>
      <c r="J750" s="8" t="s">
        <v>201</v>
      </c>
      <c r="K750" s="8" t="s">
        <v>202</v>
      </c>
      <c r="L750" s="8" t="s">
        <v>740</v>
      </c>
      <c r="M750" s="1" t="s">
        <v>211</v>
      </c>
      <c r="N750" s="8" t="s">
        <v>212</v>
      </c>
      <c r="O750" s="6">
        <v>0</v>
      </c>
      <c r="P750" s="6">
        <v>0</v>
      </c>
      <c r="Q750" s="6">
        <v>0</v>
      </c>
      <c r="R750" s="6">
        <v>0</v>
      </c>
      <c r="S750" s="6">
        <v>0</v>
      </c>
    </row>
    <row r="751" spans="1:19" ht="15" hidden="1" x14ac:dyDescent="0.25">
      <c r="A751" s="7" t="s">
        <v>16</v>
      </c>
      <c r="B751" s="7" t="s">
        <v>21</v>
      </c>
      <c r="C751" s="7" t="s">
        <v>18</v>
      </c>
      <c r="D751" s="4">
        <v>6047087004126</v>
      </c>
      <c r="E751" s="8" t="s">
        <v>810</v>
      </c>
      <c r="F751" s="8" t="s">
        <v>739</v>
      </c>
      <c r="G751" s="8" t="s">
        <v>55</v>
      </c>
      <c r="H751" s="8" t="s">
        <v>215</v>
      </c>
      <c r="I751" s="3">
        <v>2</v>
      </c>
      <c r="J751" s="8" t="s">
        <v>163</v>
      </c>
      <c r="K751" s="8" t="s">
        <v>164</v>
      </c>
      <c r="L751" s="8" t="s">
        <v>557</v>
      </c>
      <c r="M751" s="1" t="s">
        <v>211</v>
      </c>
      <c r="N751" s="8" t="s">
        <v>212</v>
      </c>
      <c r="O751" s="6">
        <v>0</v>
      </c>
      <c r="P751" s="6">
        <v>7</v>
      </c>
      <c r="Q751" s="6">
        <v>0</v>
      </c>
      <c r="R751" s="6">
        <v>0</v>
      </c>
      <c r="S751" s="6">
        <v>400</v>
      </c>
    </row>
    <row r="752" spans="1:19" ht="15" hidden="1" x14ac:dyDescent="0.25">
      <c r="A752" s="7" t="s">
        <v>16</v>
      </c>
      <c r="B752" s="7" t="s">
        <v>21</v>
      </c>
      <c r="C752" s="7" t="s">
        <v>18</v>
      </c>
      <c r="D752" s="4">
        <v>6047087004126</v>
      </c>
      <c r="E752" s="8" t="s">
        <v>810</v>
      </c>
      <c r="F752" s="8" t="s">
        <v>739</v>
      </c>
      <c r="G752" s="8" t="s">
        <v>55</v>
      </c>
      <c r="H752" s="8" t="s">
        <v>215</v>
      </c>
      <c r="I752" s="3">
        <v>2</v>
      </c>
      <c r="J752" s="8" t="s">
        <v>201</v>
      </c>
      <c r="K752" s="8" t="s">
        <v>202</v>
      </c>
      <c r="L752" s="8" t="s">
        <v>740</v>
      </c>
      <c r="M752" s="1" t="s">
        <v>211</v>
      </c>
      <c r="N752" s="8" t="s">
        <v>212</v>
      </c>
      <c r="O752" s="6">
        <v>0</v>
      </c>
      <c r="P752" s="6">
        <v>0</v>
      </c>
      <c r="Q752" s="6">
        <v>0</v>
      </c>
      <c r="R752" s="6">
        <v>0</v>
      </c>
      <c r="S752" s="6">
        <v>400</v>
      </c>
    </row>
    <row r="753" spans="1:19" ht="15" hidden="1" x14ac:dyDescent="0.25">
      <c r="A753" s="7" t="s">
        <v>16</v>
      </c>
      <c r="B753" s="7" t="s">
        <v>21</v>
      </c>
      <c r="C753" s="7" t="s">
        <v>18</v>
      </c>
      <c r="D753" s="4">
        <v>610980000144</v>
      </c>
      <c r="E753" s="8" t="s">
        <v>756</v>
      </c>
      <c r="F753" s="8" t="s">
        <v>739</v>
      </c>
      <c r="G753" s="8" t="s">
        <v>55</v>
      </c>
      <c r="H753" s="8" t="s">
        <v>215</v>
      </c>
      <c r="I753" s="3">
        <v>2</v>
      </c>
      <c r="J753" s="8" t="s">
        <v>163</v>
      </c>
      <c r="K753" s="8" t="s">
        <v>164</v>
      </c>
      <c r="L753" s="8" t="s">
        <v>557</v>
      </c>
      <c r="M753" s="1" t="s">
        <v>211</v>
      </c>
      <c r="N753" s="8" t="s">
        <v>212</v>
      </c>
      <c r="O753" s="6">
        <v>0</v>
      </c>
      <c r="P753" s="6">
        <v>5</v>
      </c>
      <c r="Q753" s="6">
        <v>0</v>
      </c>
      <c r="R753" s="6">
        <v>0</v>
      </c>
      <c r="S753" s="6">
        <v>150</v>
      </c>
    </row>
    <row r="754" spans="1:19" ht="15" hidden="1" x14ac:dyDescent="0.25">
      <c r="A754" s="7" t="s">
        <v>16</v>
      </c>
      <c r="B754" s="7" t="s">
        <v>21</v>
      </c>
      <c r="C754" s="7" t="s">
        <v>18</v>
      </c>
      <c r="D754" s="4">
        <v>610980000144</v>
      </c>
      <c r="E754" s="8" t="s">
        <v>756</v>
      </c>
      <c r="F754" s="8" t="s">
        <v>739</v>
      </c>
      <c r="G754" s="8" t="s">
        <v>55</v>
      </c>
      <c r="H754" s="8" t="s">
        <v>215</v>
      </c>
      <c r="I754" s="3">
        <v>2</v>
      </c>
      <c r="J754" s="8" t="s">
        <v>201</v>
      </c>
      <c r="K754" s="8" t="s">
        <v>202</v>
      </c>
      <c r="L754" s="8" t="s">
        <v>740</v>
      </c>
      <c r="M754" s="1" t="s">
        <v>211</v>
      </c>
      <c r="N754" s="8" t="s">
        <v>212</v>
      </c>
      <c r="O754" s="6">
        <v>0</v>
      </c>
      <c r="P754" s="6">
        <v>0</v>
      </c>
      <c r="Q754" s="6">
        <v>0</v>
      </c>
      <c r="R754" s="6">
        <v>0</v>
      </c>
      <c r="S754" s="6">
        <v>150</v>
      </c>
    </row>
    <row r="755" spans="1:19" ht="15" hidden="1" x14ac:dyDescent="0.25">
      <c r="A755" s="7" t="s">
        <v>16</v>
      </c>
      <c r="B755" s="7" t="s">
        <v>21</v>
      </c>
      <c r="C755" s="7" t="s">
        <v>18</v>
      </c>
      <c r="D755" s="4">
        <v>61590410000558</v>
      </c>
      <c r="E755" s="8" t="s">
        <v>922</v>
      </c>
      <c r="F755" s="8" t="s">
        <v>739</v>
      </c>
      <c r="G755" s="8" t="s">
        <v>55</v>
      </c>
      <c r="H755" s="8" t="s">
        <v>215</v>
      </c>
      <c r="I755" s="3">
        <v>2</v>
      </c>
      <c r="J755" s="8" t="s">
        <v>163</v>
      </c>
      <c r="K755" s="8" t="s">
        <v>164</v>
      </c>
      <c r="L755" s="8" t="s">
        <v>557</v>
      </c>
      <c r="M755" s="1" t="s">
        <v>211</v>
      </c>
      <c r="N755" s="8" t="s">
        <v>212</v>
      </c>
      <c r="O755" s="6">
        <v>0</v>
      </c>
      <c r="P755" s="6">
        <v>0</v>
      </c>
      <c r="Q755" s="6">
        <v>0</v>
      </c>
      <c r="R755" s="6">
        <v>0</v>
      </c>
      <c r="S755" s="6">
        <v>0</v>
      </c>
    </row>
    <row r="756" spans="1:19" ht="15" hidden="1" x14ac:dyDescent="0.25">
      <c r="A756" s="7" t="s">
        <v>16</v>
      </c>
      <c r="B756" s="7" t="s">
        <v>21</v>
      </c>
      <c r="C756" s="7" t="s">
        <v>18</v>
      </c>
      <c r="D756" s="4">
        <v>61590410000558</v>
      </c>
      <c r="E756" s="8" t="s">
        <v>922</v>
      </c>
      <c r="F756" s="8" t="s">
        <v>739</v>
      </c>
      <c r="G756" s="8" t="s">
        <v>55</v>
      </c>
      <c r="H756" s="8" t="s">
        <v>215</v>
      </c>
      <c r="I756" s="3">
        <v>2</v>
      </c>
      <c r="J756" s="8" t="s">
        <v>201</v>
      </c>
      <c r="K756" s="8" t="s">
        <v>202</v>
      </c>
      <c r="L756" s="8" t="s">
        <v>740</v>
      </c>
      <c r="M756" s="1" t="s">
        <v>211</v>
      </c>
      <c r="N756" s="8" t="s">
        <v>212</v>
      </c>
      <c r="O756" s="6">
        <v>0</v>
      </c>
      <c r="P756" s="6">
        <v>0</v>
      </c>
      <c r="Q756" s="6">
        <v>0</v>
      </c>
      <c r="R756" s="6">
        <v>16</v>
      </c>
      <c r="S756" s="6">
        <v>0</v>
      </c>
    </row>
    <row r="757" spans="1:19" ht="15" hidden="1" x14ac:dyDescent="0.25">
      <c r="A757" s="7" t="s">
        <v>16</v>
      </c>
      <c r="B757" s="7" t="s">
        <v>21</v>
      </c>
      <c r="C757" s="7" t="s">
        <v>18</v>
      </c>
      <c r="D757" s="4">
        <v>10942995000163</v>
      </c>
      <c r="E757" s="8" t="s">
        <v>836</v>
      </c>
      <c r="F757" s="8" t="s">
        <v>739</v>
      </c>
      <c r="G757" s="8" t="s">
        <v>55</v>
      </c>
      <c r="H757" s="8" t="s">
        <v>215</v>
      </c>
      <c r="I757" s="3">
        <v>2</v>
      </c>
      <c r="J757" s="8" t="s">
        <v>163</v>
      </c>
      <c r="K757" s="8" t="s">
        <v>164</v>
      </c>
      <c r="L757" s="8" t="s">
        <v>557</v>
      </c>
      <c r="M757" s="1" t="s">
        <v>211</v>
      </c>
      <c r="N757" s="8" t="s">
        <v>212</v>
      </c>
      <c r="O757" s="6">
        <v>0</v>
      </c>
      <c r="P757" s="6">
        <v>0</v>
      </c>
      <c r="Q757" s="6">
        <v>0</v>
      </c>
      <c r="R757" s="6">
        <v>0</v>
      </c>
      <c r="S757" s="6">
        <v>300</v>
      </c>
    </row>
    <row r="758" spans="1:19" ht="15" hidden="1" x14ac:dyDescent="0.25">
      <c r="A758" s="7" t="s">
        <v>16</v>
      </c>
      <c r="B758" s="7" t="s">
        <v>21</v>
      </c>
      <c r="C758" s="7" t="s">
        <v>18</v>
      </c>
      <c r="D758" s="4">
        <v>10942995000163</v>
      </c>
      <c r="E758" s="8" t="s">
        <v>836</v>
      </c>
      <c r="F758" s="8" t="s">
        <v>739</v>
      </c>
      <c r="G758" s="8" t="s">
        <v>55</v>
      </c>
      <c r="H758" s="8" t="s">
        <v>215</v>
      </c>
      <c r="I758" s="3">
        <v>2</v>
      </c>
      <c r="J758" s="8" t="s">
        <v>201</v>
      </c>
      <c r="K758" s="8" t="s">
        <v>202</v>
      </c>
      <c r="L758" s="8" t="s">
        <v>740</v>
      </c>
      <c r="M758" s="1" t="s">
        <v>211</v>
      </c>
      <c r="N758" s="8" t="s">
        <v>212</v>
      </c>
      <c r="O758" s="6">
        <v>0</v>
      </c>
      <c r="P758" s="6">
        <v>0</v>
      </c>
      <c r="Q758" s="6">
        <v>0</v>
      </c>
      <c r="R758" s="6">
        <v>40</v>
      </c>
      <c r="S758" s="6">
        <v>300</v>
      </c>
    </row>
    <row r="759" spans="1:19" ht="15" hidden="1" x14ac:dyDescent="0.25">
      <c r="A759" s="7" t="s">
        <v>16</v>
      </c>
      <c r="B759" s="7" t="s">
        <v>21</v>
      </c>
      <c r="C759" s="7" t="s">
        <v>18</v>
      </c>
      <c r="D759" s="4">
        <v>11859927000106</v>
      </c>
      <c r="E759" s="8" t="s">
        <v>846</v>
      </c>
      <c r="F759" s="8" t="s">
        <v>739</v>
      </c>
      <c r="G759" s="8" t="s">
        <v>55</v>
      </c>
      <c r="H759" s="8" t="s">
        <v>215</v>
      </c>
      <c r="I759" s="3">
        <v>2</v>
      </c>
      <c r="J759" s="8" t="s">
        <v>163</v>
      </c>
      <c r="K759" s="8" t="s">
        <v>164</v>
      </c>
      <c r="L759" s="8" t="s">
        <v>557</v>
      </c>
      <c r="M759" s="1" t="s">
        <v>211</v>
      </c>
      <c r="N759" s="8" t="s">
        <v>212</v>
      </c>
      <c r="O759" s="6">
        <v>0</v>
      </c>
      <c r="P759" s="6">
        <v>0</v>
      </c>
      <c r="Q759" s="6">
        <v>0</v>
      </c>
      <c r="R759" s="6">
        <v>0</v>
      </c>
      <c r="S759" s="6">
        <v>30</v>
      </c>
    </row>
    <row r="760" spans="1:19" ht="15" hidden="1" x14ac:dyDescent="0.25">
      <c r="A760" s="7" t="s">
        <v>16</v>
      </c>
      <c r="B760" s="7" t="s">
        <v>21</v>
      </c>
      <c r="C760" s="7" t="s">
        <v>18</v>
      </c>
      <c r="D760" s="4">
        <v>11859927000106</v>
      </c>
      <c r="E760" s="8" t="s">
        <v>846</v>
      </c>
      <c r="F760" s="8" t="s">
        <v>739</v>
      </c>
      <c r="G760" s="8" t="s">
        <v>55</v>
      </c>
      <c r="H760" s="8" t="s">
        <v>215</v>
      </c>
      <c r="I760" s="3">
        <v>2</v>
      </c>
      <c r="J760" s="8" t="s">
        <v>201</v>
      </c>
      <c r="K760" s="8" t="s">
        <v>202</v>
      </c>
      <c r="L760" s="8" t="s">
        <v>740</v>
      </c>
      <c r="M760" s="1" t="s">
        <v>211</v>
      </c>
      <c r="N760" s="8" t="s">
        <v>212</v>
      </c>
      <c r="O760" s="6">
        <v>0</v>
      </c>
      <c r="P760" s="6">
        <v>0</v>
      </c>
      <c r="Q760" s="6">
        <v>0</v>
      </c>
      <c r="R760" s="6">
        <v>49</v>
      </c>
      <c r="S760" s="6">
        <v>30</v>
      </c>
    </row>
    <row r="761" spans="1:19" ht="15" hidden="1" x14ac:dyDescent="0.25">
      <c r="A761" s="7" t="s">
        <v>16</v>
      </c>
      <c r="B761" s="7" t="s">
        <v>21</v>
      </c>
      <c r="C761" s="7" t="s">
        <v>18</v>
      </c>
      <c r="D761" s="4">
        <v>1682668000129</v>
      </c>
      <c r="E761" s="8" t="s">
        <v>769</v>
      </c>
      <c r="F761" s="8" t="s">
        <v>739</v>
      </c>
      <c r="G761" s="8" t="s">
        <v>55</v>
      </c>
      <c r="H761" s="8" t="s">
        <v>215</v>
      </c>
      <c r="I761" s="3">
        <v>2</v>
      </c>
      <c r="J761" s="8" t="s">
        <v>163</v>
      </c>
      <c r="K761" s="8" t="s">
        <v>164</v>
      </c>
      <c r="L761" s="8" t="s">
        <v>557</v>
      </c>
      <c r="M761" s="1" t="s">
        <v>211</v>
      </c>
      <c r="N761" s="8" t="s">
        <v>212</v>
      </c>
      <c r="O761" s="6">
        <v>0</v>
      </c>
      <c r="P761" s="6">
        <v>0</v>
      </c>
      <c r="Q761" s="6">
        <v>0</v>
      </c>
      <c r="R761" s="6">
        <v>0</v>
      </c>
      <c r="S761" s="6">
        <v>25</v>
      </c>
    </row>
    <row r="762" spans="1:19" ht="15" hidden="1" x14ac:dyDescent="0.25">
      <c r="A762" s="7" t="s">
        <v>16</v>
      </c>
      <c r="B762" s="7" t="s">
        <v>21</v>
      </c>
      <c r="C762" s="7" t="s">
        <v>18</v>
      </c>
      <c r="D762" s="4">
        <v>1682668000129</v>
      </c>
      <c r="E762" s="8" t="s">
        <v>769</v>
      </c>
      <c r="F762" s="8" t="s">
        <v>739</v>
      </c>
      <c r="G762" s="8" t="s">
        <v>55</v>
      </c>
      <c r="H762" s="8" t="s">
        <v>215</v>
      </c>
      <c r="I762" s="3">
        <v>2</v>
      </c>
      <c r="J762" s="8" t="s">
        <v>201</v>
      </c>
      <c r="K762" s="8" t="s">
        <v>202</v>
      </c>
      <c r="L762" s="8" t="s">
        <v>740</v>
      </c>
      <c r="M762" s="1" t="s">
        <v>211</v>
      </c>
      <c r="N762" s="8" t="s">
        <v>212</v>
      </c>
      <c r="O762" s="6">
        <v>0</v>
      </c>
      <c r="P762" s="6">
        <v>0</v>
      </c>
      <c r="Q762" s="6">
        <v>0</v>
      </c>
      <c r="R762" s="6">
        <v>0</v>
      </c>
      <c r="S762" s="6">
        <v>25</v>
      </c>
    </row>
    <row r="763" spans="1:19" ht="15" hidden="1" x14ac:dyDescent="0.25">
      <c r="A763" s="7" t="s">
        <v>16</v>
      </c>
      <c r="B763" s="7" t="s">
        <v>21</v>
      </c>
      <c r="C763" s="7" t="s">
        <v>18</v>
      </c>
      <c r="D763" s="4">
        <v>16739984000167</v>
      </c>
      <c r="E763" s="8" t="s">
        <v>900</v>
      </c>
      <c r="F763" s="8" t="s">
        <v>739</v>
      </c>
      <c r="G763" s="8" t="s">
        <v>55</v>
      </c>
      <c r="H763" s="8" t="s">
        <v>215</v>
      </c>
      <c r="I763" s="3">
        <v>2</v>
      </c>
      <c r="J763" s="8" t="s">
        <v>163</v>
      </c>
      <c r="K763" s="8" t="s">
        <v>164</v>
      </c>
      <c r="L763" s="8" t="s">
        <v>557</v>
      </c>
      <c r="M763" s="1" t="s">
        <v>211</v>
      </c>
      <c r="N763" s="8" t="s">
        <v>212</v>
      </c>
      <c r="O763" s="6">
        <v>0</v>
      </c>
      <c r="P763" s="6">
        <v>0</v>
      </c>
      <c r="Q763" s="6">
        <v>0</v>
      </c>
      <c r="R763" s="6">
        <v>0</v>
      </c>
      <c r="S763" s="6">
        <v>0</v>
      </c>
    </row>
    <row r="764" spans="1:19" ht="15" hidden="1" x14ac:dyDescent="0.25">
      <c r="A764" s="7" t="s">
        <v>16</v>
      </c>
      <c r="B764" s="7" t="s">
        <v>21</v>
      </c>
      <c r="C764" s="7" t="s">
        <v>18</v>
      </c>
      <c r="D764" s="4">
        <v>16739984000167</v>
      </c>
      <c r="E764" s="8" t="s">
        <v>900</v>
      </c>
      <c r="F764" s="8" t="s">
        <v>739</v>
      </c>
      <c r="G764" s="8" t="s">
        <v>55</v>
      </c>
      <c r="H764" s="8" t="s">
        <v>215</v>
      </c>
      <c r="I764" s="3">
        <v>2</v>
      </c>
      <c r="J764" s="8" t="s">
        <v>201</v>
      </c>
      <c r="K764" s="8" t="s">
        <v>202</v>
      </c>
      <c r="L764" s="8" t="s">
        <v>740</v>
      </c>
      <c r="M764" s="1" t="s">
        <v>211</v>
      </c>
      <c r="N764" s="8" t="s">
        <v>212</v>
      </c>
      <c r="O764" s="6">
        <v>0</v>
      </c>
      <c r="P764" s="6">
        <v>0</v>
      </c>
      <c r="Q764" s="6">
        <v>0</v>
      </c>
      <c r="R764" s="6">
        <v>36</v>
      </c>
      <c r="S764" s="6">
        <v>0</v>
      </c>
    </row>
    <row r="765" spans="1:19" ht="15" hidden="1" x14ac:dyDescent="0.25">
      <c r="A765" s="7" t="s">
        <v>16</v>
      </c>
      <c r="B765" s="7" t="s">
        <v>21</v>
      </c>
      <c r="C765" s="7" t="s">
        <v>18</v>
      </c>
      <c r="D765" s="4">
        <v>511816000180</v>
      </c>
      <c r="E765" s="8" t="s">
        <v>754</v>
      </c>
      <c r="F765" s="8" t="s">
        <v>739</v>
      </c>
      <c r="G765" s="8" t="s">
        <v>55</v>
      </c>
      <c r="H765" s="8" t="s">
        <v>215</v>
      </c>
      <c r="I765" s="3">
        <v>2</v>
      </c>
      <c r="J765" s="8" t="s">
        <v>163</v>
      </c>
      <c r="K765" s="8" t="s">
        <v>164</v>
      </c>
      <c r="L765" s="8" t="s">
        <v>557</v>
      </c>
      <c r="M765" s="1" t="s">
        <v>211</v>
      </c>
      <c r="N765" s="8" t="s">
        <v>212</v>
      </c>
      <c r="O765" s="6">
        <v>0</v>
      </c>
      <c r="P765" s="6">
        <v>0</v>
      </c>
      <c r="Q765" s="6">
        <v>4</v>
      </c>
      <c r="R765" s="6">
        <v>0</v>
      </c>
      <c r="S765" s="6">
        <v>0</v>
      </c>
    </row>
    <row r="766" spans="1:19" ht="15" hidden="1" x14ac:dyDescent="0.25">
      <c r="A766" s="7" t="s">
        <v>16</v>
      </c>
      <c r="B766" s="7" t="s">
        <v>21</v>
      </c>
      <c r="C766" s="7" t="s">
        <v>18</v>
      </c>
      <c r="D766" s="4">
        <v>511816000180</v>
      </c>
      <c r="E766" s="8" t="s">
        <v>754</v>
      </c>
      <c r="F766" s="8" t="s">
        <v>739</v>
      </c>
      <c r="G766" s="8" t="s">
        <v>55</v>
      </c>
      <c r="H766" s="8" t="s">
        <v>215</v>
      </c>
      <c r="I766" s="3">
        <v>2</v>
      </c>
      <c r="J766" s="8" t="s">
        <v>201</v>
      </c>
      <c r="K766" s="8" t="s">
        <v>202</v>
      </c>
      <c r="L766" s="8" t="s">
        <v>740</v>
      </c>
      <c r="M766" s="1" t="s">
        <v>211</v>
      </c>
      <c r="N766" s="8" t="s">
        <v>212</v>
      </c>
      <c r="O766" s="6">
        <v>0</v>
      </c>
      <c r="P766" s="6">
        <v>0</v>
      </c>
      <c r="Q766" s="6">
        <v>0</v>
      </c>
      <c r="R766" s="6">
        <v>0</v>
      </c>
      <c r="S766" s="6">
        <v>0</v>
      </c>
    </row>
    <row r="767" spans="1:19" ht="15" hidden="1" x14ac:dyDescent="0.25">
      <c r="A767" s="7" t="s">
        <v>16</v>
      </c>
      <c r="B767" s="7" t="s">
        <v>21</v>
      </c>
      <c r="C767" s="7" t="s">
        <v>18</v>
      </c>
      <c r="D767" s="4">
        <v>25841000153</v>
      </c>
      <c r="E767" s="8" t="s">
        <v>738</v>
      </c>
      <c r="F767" s="8" t="s">
        <v>739</v>
      </c>
      <c r="G767" s="8" t="s">
        <v>55</v>
      </c>
      <c r="H767" s="8" t="s">
        <v>215</v>
      </c>
      <c r="I767" s="3">
        <v>2</v>
      </c>
      <c r="J767" s="8" t="s">
        <v>163</v>
      </c>
      <c r="K767" s="8" t="s">
        <v>164</v>
      </c>
      <c r="L767" s="8" t="s">
        <v>557</v>
      </c>
      <c r="M767" s="1" t="s">
        <v>211</v>
      </c>
      <c r="N767" s="8" t="s">
        <v>212</v>
      </c>
      <c r="O767" s="6">
        <v>0</v>
      </c>
      <c r="P767" s="6">
        <v>0</v>
      </c>
      <c r="Q767" s="6">
        <v>0</v>
      </c>
      <c r="R767" s="6">
        <v>0</v>
      </c>
      <c r="S767" s="6">
        <v>120</v>
      </c>
    </row>
    <row r="768" spans="1:19" ht="15" hidden="1" x14ac:dyDescent="0.25">
      <c r="A768" s="7" t="s">
        <v>16</v>
      </c>
      <c r="B768" s="7" t="s">
        <v>21</v>
      </c>
      <c r="C768" s="7" t="s">
        <v>18</v>
      </c>
      <c r="D768" s="4">
        <v>25841000153</v>
      </c>
      <c r="E768" s="8" t="s">
        <v>738</v>
      </c>
      <c r="F768" s="8" t="s">
        <v>739</v>
      </c>
      <c r="G768" s="8" t="s">
        <v>55</v>
      </c>
      <c r="H768" s="8" t="s">
        <v>215</v>
      </c>
      <c r="I768" s="3">
        <v>2</v>
      </c>
      <c r="J768" s="8" t="s">
        <v>201</v>
      </c>
      <c r="K768" s="8" t="s">
        <v>202</v>
      </c>
      <c r="L768" s="8" t="s">
        <v>740</v>
      </c>
      <c r="M768" s="1" t="s">
        <v>211</v>
      </c>
      <c r="N768" s="8" t="s">
        <v>212</v>
      </c>
      <c r="O768" s="6">
        <v>0</v>
      </c>
      <c r="P768" s="6">
        <v>0</v>
      </c>
      <c r="Q768" s="6">
        <v>0</v>
      </c>
      <c r="R768" s="6">
        <v>0</v>
      </c>
      <c r="S768" s="6">
        <v>120</v>
      </c>
    </row>
    <row r="769" spans="1:19" ht="15" hidden="1" x14ac:dyDescent="0.25">
      <c r="A769" s="7" t="s">
        <v>16</v>
      </c>
      <c r="B769" s="7" t="s">
        <v>21</v>
      </c>
      <c r="C769" s="7" t="s">
        <v>18</v>
      </c>
      <c r="D769" s="4">
        <v>61590410001287</v>
      </c>
      <c r="E769" s="8" t="s">
        <v>923</v>
      </c>
      <c r="F769" s="8" t="s">
        <v>739</v>
      </c>
      <c r="G769" s="8" t="s">
        <v>55</v>
      </c>
      <c r="H769" s="8" t="s">
        <v>215</v>
      </c>
      <c r="I769" s="3">
        <v>2</v>
      </c>
      <c r="J769" s="8" t="s">
        <v>163</v>
      </c>
      <c r="K769" s="8" t="s">
        <v>164</v>
      </c>
      <c r="L769" s="8" t="s">
        <v>557</v>
      </c>
      <c r="M769" s="1" t="s">
        <v>211</v>
      </c>
      <c r="N769" s="8" t="s">
        <v>212</v>
      </c>
      <c r="O769" s="6">
        <v>0</v>
      </c>
      <c r="P769" s="6">
        <v>0</v>
      </c>
      <c r="Q769" s="6">
        <v>0</v>
      </c>
      <c r="R769" s="6">
        <v>0</v>
      </c>
      <c r="S769" s="6">
        <v>2250</v>
      </c>
    </row>
    <row r="770" spans="1:19" ht="15" hidden="1" x14ac:dyDescent="0.25">
      <c r="A770" s="7" t="s">
        <v>16</v>
      </c>
      <c r="B770" s="7" t="s">
        <v>21</v>
      </c>
      <c r="C770" s="7" t="s">
        <v>18</v>
      </c>
      <c r="D770" s="4">
        <v>61590410001287</v>
      </c>
      <c r="E770" s="8" t="s">
        <v>923</v>
      </c>
      <c r="F770" s="8" t="s">
        <v>739</v>
      </c>
      <c r="G770" s="8" t="s">
        <v>55</v>
      </c>
      <c r="H770" s="8" t="s">
        <v>215</v>
      </c>
      <c r="I770" s="3">
        <v>2</v>
      </c>
      <c r="J770" s="8" t="s">
        <v>201</v>
      </c>
      <c r="K770" s="8" t="s">
        <v>202</v>
      </c>
      <c r="L770" s="8" t="s">
        <v>740</v>
      </c>
      <c r="M770" s="1" t="s">
        <v>211</v>
      </c>
      <c r="N770" s="8" t="s">
        <v>212</v>
      </c>
      <c r="O770" s="6">
        <v>0</v>
      </c>
      <c r="P770" s="6">
        <v>0</v>
      </c>
      <c r="Q770" s="6">
        <v>0</v>
      </c>
      <c r="R770" s="6">
        <v>0</v>
      </c>
      <c r="S770" s="6">
        <v>2250</v>
      </c>
    </row>
    <row r="771" spans="1:19" ht="15" hidden="1" x14ac:dyDescent="0.25">
      <c r="A771" s="7" t="s">
        <v>16</v>
      </c>
      <c r="B771" s="7" t="s">
        <v>21</v>
      </c>
      <c r="C771" s="7" t="s">
        <v>18</v>
      </c>
      <c r="D771" s="4">
        <v>1396804000114</v>
      </c>
      <c r="E771" s="8" t="s">
        <v>1140</v>
      </c>
      <c r="F771" s="8" t="s">
        <v>97</v>
      </c>
      <c r="G771" s="8" t="s">
        <v>98</v>
      </c>
      <c r="H771" s="8" t="s">
        <v>215</v>
      </c>
      <c r="I771" s="3">
        <v>1</v>
      </c>
      <c r="J771" s="8" t="s">
        <v>159</v>
      </c>
      <c r="K771" s="8" t="s">
        <v>160</v>
      </c>
      <c r="L771" s="8" t="s">
        <v>740</v>
      </c>
      <c r="M771" s="1" t="s">
        <v>205</v>
      </c>
      <c r="N771" s="8" t="s">
        <v>206</v>
      </c>
      <c r="O771" s="6">
        <v>0</v>
      </c>
      <c r="P771" s="6">
        <v>0</v>
      </c>
      <c r="Q771" s="6">
        <v>0</v>
      </c>
      <c r="R771" s="6">
        <v>0</v>
      </c>
      <c r="S771" s="6">
        <v>25</v>
      </c>
    </row>
    <row r="772" spans="1:19" ht="15" hidden="1" x14ac:dyDescent="0.25">
      <c r="A772" s="7" t="s">
        <v>16</v>
      </c>
      <c r="B772" s="7" t="s">
        <v>21</v>
      </c>
      <c r="C772" s="7" t="s">
        <v>18</v>
      </c>
      <c r="D772" s="4">
        <v>4786490000154</v>
      </c>
      <c r="E772" s="8" t="s">
        <v>1146</v>
      </c>
      <c r="F772" s="8" t="s">
        <v>97</v>
      </c>
      <c r="G772" s="8" t="s">
        <v>98</v>
      </c>
      <c r="H772" s="8" t="s">
        <v>215</v>
      </c>
      <c r="I772" s="3">
        <v>1</v>
      </c>
      <c r="J772" s="8" t="s">
        <v>159</v>
      </c>
      <c r="K772" s="8" t="s">
        <v>160</v>
      </c>
      <c r="L772" s="8" t="s">
        <v>740</v>
      </c>
      <c r="M772" s="1" t="s">
        <v>205</v>
      </c>
      <c r="N772" s="8" t="s">
        <v>206</v>
      </c>
      <c r="O772" s="6">
        <v>0</v>
      </c>
      <c r="P772" s="6">
        <v>0</v>
      </c>
      <c r="Q772" s="6">
        <v>0</v>
      </c>
      <c r="R772" s="6">
        <v>14</v>
      </c>
      <c r="S772" s="6">
        <v>0</v>
      </c>
    </row>
    <row r="773" spans="1:19" ht="15" hidden="1" x14ac:dyDescent="0.25">
      <c r="A773" s="7" t="s">
        <v>16</v>
      </c>
      <c r="B773" s="7" t="s">
        <v>21</v>
      </c>
      <c r="C773" s="7" t="s">
        <v>18</v>
      </c>
      <c r="D773" s="4">
        <v>27080605000358</v>
      </c>
      <c r="E773" s="8" t="s">
        <v>1205</v>
      </c>
      <c r="F773" s="8" t="s">
        <v>1206</v>
      </c>
      <c r="G773" s="8" t="s">
        <v>98</v>
      </c>
      <c r="H773" s="8" t="s">
        <v>215</v>
      </c>
      <c r="I773" s="3">
        <v>1</v>
      </c>
      <c r="J773" s="8" t="s">
        <v>159</v>
      </c>
      <c r="K773" s="8" t="s">
        <v>160</v>
      </c>
      <c r="L773" s="8" t="s">
        <v>740</v>
      </c>
      <c r="M773" s="1" t="s">
        <v>205</v>
      </c>
      <c r="N773" s="8" t="s">
        <v>206</v>
      </c>
      <c r="O773" s="6">
        <v>0</v>
      </c>
      <c r="P773" s="6">
        <v>0</v>
      </c>
      <c r="Q773" s="6">
        <v>0</v>
      </c>
      <c r="R773" s="6">
        <v>0</v>
      </c>
      <c r="S773" s="6">
        <v>300</v>
      </c>
    </row>
    <row r="774" spans="1:19" ht="15" hidden="1" x14ac:dyDescent="0.25">
      <c r="A774" s="7" t="s">
        <v>16</v>
      </c>
      <c r="B774" s="7" t="s">
        <v>21</v>
      </c>
      <c r="C774" s="7" t="s">
        <v>18</v>
      </c>
      <c r="D774" s="4">
        <v>27578434001525</v>
      </c>
      <c r="E774" s="8" t="s">
        <v>1208</v>
      </c>
      <c r="F774" s="8" t="s">
        <v>1157</v>
      </c>
      <c r="G774" s="8" t="s">
        <v>98</v>
      </c>
      <c r="H774" s="8" t="s">
        <v>215</v>
      </c>
      <c r="I774" s="3">
        <v>1</v>
      </c>
      <c r="J774" s="8" t="s">
        <v>159</v>
      </c>
      <c r="K774" s="8" t="s">
        <v>160</v>
      </c>
      <c r="L774" s="8" t="s">
        <v>740</v>
      </c>
      <c r="M774" s="1" t="s">
        <v>205</v>
      </c>
      <c r="N774" s="8" t="s">
        <v>206</v>
      </c>
      <c r="O774" s="6">
        <v>4</v>
      </c>
      <c r="P774" s="6">
        <v>0</v>
      </c>
      <c r="Q774" s="6">
        <v>0</v>
      </c>
      <c r="R774" s="6">
        <v>0</v>
      </c>
      <c r="S774" s="6">
        <v>1500</v>
      </c>
    </row>
    <row r="775" spans="1:19" ht="15" hidden="1" x14ac:dyDescent="0.25">
      <c r="A775" s="7" t="s">
        <v>16</v>
      </c>
      <c r="B775" s="7" t="s">
        <v>21</v>
      </c>
      <c r="C775" s="7" t="s">
        <v>18</v>
      </c>
      <c r="D775" s="4">
        <v>39387477000107</v>
      </c>
      <c r="E775" s="8" t="s">
        <v>1218</v>
      </c>
      <c r="F775" s="8" t="s">
        <v>1157</v>
      </c>
      <c r="G775" s="8" t="s">
        <v>98</v>
      </c>
      <c r="H775" s="8" t="s">
        <v>215</v>
      </c>
      <c r="I775" s="3">
        <v>1</v>
      </c>
      <c r="J775" s="8" t="s">
        <v>159</v>
      </c>
      <c r="K775" s="8" t="s">
        <v>160</v>
      </c>
      <c r="L775" s="8" t="s">
        <v>740</v>
      </c>
      <c r="M775" s="1" t="s">
        <v>205</v>
      </c>
      <c r="N775" s="8" t="s">
        <v>206</v>
      </c>
      <c r="O775" s="6">
        <v>0</v>
      </c>
      <c r="P775" s="6">
        <v>0</v>
      </c>
      <c r="Q775" s="6">
        <v>0</v>
      </c>
      <c r="R775" s="6">
        <v>0</v>
      </c>
      <c r="S775" s="6">
        <v>75</v>
      </c>
    </row>
    <row r="776" spans="1:19" ht="15" hidden="1" x14ac:dyDescent="0.25">
      <c r="A776" s="7" t="s">
        <v>16</v>
      </c>
      <c r="B776" s="7" t="s">
        <v>21</v>
      </c>
      <c r="C776" s="7" t="s">
        <v>18</v>
      </c>
      <c r="D776" s="4">
        <v>21155621000114</v>
      </c>
      <c r="E776" s="8" t="s">
        <v>901</v>
      </c>
      <c r="F776" s="8" t="s">
        <v>902</v>
      </c>
      <c r="G776" s="8" t="s">
        <v>59</v>
      </c>
      <c r="H776" s="8" t="s">
        <v>215</v>
      </c>
      <c r="I776" s="3">
        <v>2</v>
      </c>
      <c r="J776" s="8" t="s">
        <v>187</v>
      </c>
      <c r="K776" s="8" t="s">
        <v>188</v>
      </c>
      <c r="L776" s="8" t="s">
        <v>556</v>
      </c>
      <c r="M776" s="1" t="s">
        <v>211</v>
      </c>
      <c r="N776" s="8" t="s">
        <v>212</v>
      </c>
      <c r="O776" s="6">
        <v>0</v>
      </c>
      <c r="P776" s="6">
        <v>0</v>
      </c>
      <c r="Q776" s="6">
        <v>0</v>
      </c>
      <c r="R776" s="6">
        <v>0</v>
      </c>
      <c r="S776" s="6">
        <v>40</v>
      </c>
    </row>
    <row r="777" spans="1:19" ht="15" hidden="1" x14ac:dyDescent="0.25">
      <c r="A777" s="7" t="s">
        <v>16</v>
      </c>
      <c r="B777" s="7" t="s">
        <v>21</v>
      </c>
      <c r="C777" s="7" t="s">
        <v>18</v>
      </c>
      <c r="D777" s="4">
        <v>21155621000114</v>
      </c>
      <c r="E777" s="8" t="s">
        <v>901</v>
      </c>
      <c r="F777" s="8" t="s">
        <v>902</v>
      </c>
      <c r="G777" s="8" t="s">
        <v>59</v>
      </c>
      <c r="H777" s="8" t="s">
        <v>215</v>
      </c>
      <c r="I777" s="3">
        <v>2</v>
      </c>
      <c r="J777" s="8" t="s">
        <v>163</v>
      </c>
      <c r="K777" s="8" t="s">
        <v>164</v>
      </c>
      <c r="L777" s="8" t="s">
        <v>557</v>
      </c>
      <c r="M777" s="1" t="s">
        <v>211</v>
      </c>
      <c r="N777" s="8" t="s">
        <v>212</v>
      </c>
      <c r="O777" s="6">
        <v>0</v>
      </c>
      <c r="P777" s="6">
        <v>0</v>
      </c>
      <c r="Q777" s="6">
        <v>0</v>
      </c>
      <c r="R777" s="6">
        <v>0</v>
      </c>
      <c r="S777" s="6">
        <v>40</v>
      </c>
    </row>
    <row r="778" spans="1:19" ht="15" hidden="1" x14ac:dyDescent="0.25">
      <c r="A778" s="7" t="s">
        <v>16</v>
      </c>
      <c r="B778" s="7" t="s">
        <v>21</v>
      </c>
      <c r="C778" s="7" t="s">
        <v>18</v>
      </c>
      <c r="D778" s="4">
        <v>1326206000179</v>
      </c>
      <c r="E778" s="8" t="s">
        <v>761</v>
      </c>
      <c r="F778" s="8" t="s">
        <v>762</v>
      </c>
      <c r="G778" s="8" t="s">
        <v>59</v>
      </c>
      <c r="H778" s="8" t="s">
        <v>215</v>
      </c>
      <c r="I778" s="3">
        <v>2</v>
      </c>
      <c r="J778" s="8" t="s">
        <v>187</v>
      </c>
      <c r="K778" s="8" t="s">
        <v>188</v>
      </c>
      <c r="L778" s="8" t="s">
        <v>556</v>
      </c>
      <c r="M778" s="1" t="s">
        <v>211</v>
      </c>
      <c r="N778" s="8" t="s">
        <v>212</v>
      </c>
      <c r="O778" s="6">
        <v>0</v>
      </c>
      <c r="P778" s="6">
        <v>0</v>
      </c>
      <c r="Q778" s="6">
        <v>0</v>
      </c>
      <c r="R778" s="6">
        <v>18</v>
      </c>
      <c r="S778" s="6">
        <v>50</v>
      </c>
    </row>
    <row r="779" spans="1:19" ht="15" hidden="1" x14ac:dyDescent="0.25">
      <c r="A779" s="7" t="s">
        <v>16</v>
      </c>
      <c r="B779" s="7" t="s">
        <v>21</v>
      </c>
      <c r="C779" s="7" t="s">
        <v>18</v>
      </c>
      <c r="D779" s="4">
        <v>1326206000179</v>
      </c>
      <c r="E779" s="8" t="s">
        <v>761</v>
      </c>
      <c r="F779" s="8" t="s">
        <v>762</v>
      </c>
      <c r="G779" s="8" t="s">
        <v>59</v>
      </c>
      <c r="H779" s="8" t="s">
        <v>215</v>
      </c>
      <c r="I779" s="3">
        <v>2</v>
      </c>
      <c r="J779" s="8" t="s">
        <v>163</v>
      </c>
      <c r="K779" s="8" t="s">
        <v>164</v>
      </c>
      <c r="L779" s="8" t="s">
        <v>557</v>
      </c>
      <c r="M779" s="1" t="s">
        <v>211</v>
      </c>
      <c r="N779" s="8" t="s">
        <v>212</v>
      </c>
      <c r="O779" s="6">
        <v>0</v>
      </c>
      <c r="P779" s="6">
        <v>0</v>
      </c>
      <c r="Q779" s="6">
        <v>0</v>
      </c>
      <c r="R779" s="6">
        <v>0</v>
      </c>
      <c r="S779" s="6">
        <v>50</v>
      </c>
    </row>
    <row r="780" spans="1:19" ht="15" hidden="1" x14ac:dyDescent="0.25">
      <c r="A780" s="7" t="s">
        <v>16</v>
      </c>
      <c r="B780" s="7" t="s">
        <v>21</v>
      </c>
      <c r="C780" s="7" t="s">
        <v>18</v>
      </c>
      <c r="D780" s="4">
        <v>2476067000394</v>
      </c>
      <c r="E780" s="8" t="s">
        <v>780</v>
      </c>
      <c r="F780" s="8" t="s">
        <v>745</v>
      </c>
      <c r="G780" s="8" t="s">
        <v>59</v>
      </c>
      <c r="H780" s="8" t="s">
        <v>215</v>
      </c>
      <c r="I780" s="3">
        <v>2</v>
      </c>
      <c r="J780" s="8" t="s">
        <v>187</v>
      </c>
      <c r="K780" s="8" t="s">
        <v>188</v>
      </c>
      <c r="L780" s="8" t="s">
        <v>556</v>
      </c>
      <c r="M780" s="1" t="s">
        <v>211</v>
      </c>
      <c r="N780" s="8" t="s">
        <v>212</v>
      </c>
      <c r="O780" s="6">
        <v>0</v>
      </c>
      <c r="P780" s="6">
        <v>0</v>
      </c>
      <c r="Q780" s="6">
        <v>0</v>
      </c>
      <c r="R780" s="6">
        <v>0</v>
      </c>
      <c r="S780" s="6">
        <v>75</v>
      </c>
    </row>
    <row r="781" spans="1:19" ht="15" hidden="1" x14ac:dyDescent="0.25">
      <c r="A781" s="7" t="s">
        <v>16</v>
      </c>
      <c r="B781" s="7" t="s">
        <v>21</v>
      </c>
      <c r="C781" s="7" t="s">
        <v>18</v>
      </c>
      <c r="D781" s="4">
        <v>2476067000394</v>
      </c>
      <c r="E781" s="8" t="s">
        <v>780</v>
      </c>
      <c r="F781" s="8" t="s">
        <v>745</v>
      </c>
      <c r="G781" s="8" t="s">
        <v>59</v>
      </c>
      <c r="H781" s="8" t="s">
        <v>215</v>
      </c>
      <c r="I781" s="3">
        <v>2</v>
      </c>
      <c r="J781" s="8" t="s">
        <v>163</v>
      </c>
      <c r="K781" s="8" t="s">
        <v>164</v>
      </c>
      <c r="L781" s="8" t="s">
        <v>557</v>
      </c>
      <c r="M781" s="1" t="s">
        <v>211</v>
      </c>
      <c r="N781" s="8" t="s">
        <v>212</v>
      </c>
      <c r="O781" s="6">
        <v>0</v>
      </c>
      <c r="P781" s="6">
        <v>0</v>
      </c>
      <c r="Q781" s="6">
        <v>0</v>
      </c>
      <c r="R781" s="6">
        <v>0</v>
      </c>
      <c r="S781" s="6">
        <v>75</v>
      </c>
    </row>
    <row r="782" spans="1:19" ht="15" hidden="1" x14ac:dyDescent="0.25">
      <c r="A782" s="7" t="s">
        <v>16</v>
      </c>
      <c r="B782" s="7" t="s">
        <v>21</v>
      </c>
      <c r="C782" s="7" t="s">
        <v>18</v>
      </c>
      <c r="D782" s="4">
        <v>418954000119</v>
      </c>
      <c r="E782" s="8" t="s">
        <v>751</v>
      </c>
      <c r="F782" s="8" t="s">
        <v>745</v>
      </c>
      <c r="G782" s="8" t="s">
        <v>59</v>
      </c>
      <c r="H782" s="8" t="s">
        <v>215</v>
      </c>
      <c r="I782" s="3">
        <v>2</v>
      </c>
      <c r="J782" s="8" t="s">
        <v>187</v>
      </c>
      <c r="K782" s="8" t="s">
        <v>188</v>
      </c>
      <c r="L782" s="8" t="s">
        <v>556</v>
      </c>
      <c r="M782" s="1" t="s">
        <v>211</v>
      </c>
      <c r="N782" s="8" t="s">
        <v>212</v>
      </c>
      <c r="O782" s="6">
        <v>0</v>
      </c>
      <c r="P782" s="6">
        <v>0</v>
      </c>
      <c r="Q782" s="6">
        <v>0</v>
      </c>
      <c r="R782" s="6">
        <v>0</v>
      </c>
      <c r="S782" s="6">
        <v>0</v>
      </c>
    </row>
    <row r="783" spans="1:19" ht="15" hidden="1" x14ac:dyDescent="0.25">
      <c r="A783" s="7" t="s">
        <v>16</v>
      </c>
      <c r="B783" s="7" t="s">
        <v>21</v>
      </c>
      <c r="C783" s="7" t="s">
        <v>18</v>
      </c>
      <c r="D783" s="4">
        <v>418954000119</v>
      </c>
      <c r="E783" s="8" t="s">
        <v>751</v>
      </c>
      <c r="F783" s="8" t="s">
        <v>745</v>
      </c>
      <c r="G783" s="8" t="s">
        <v>59</v>
      </c>
      <c r="H783" s="8" t="s">
        <v>215</v>
      </c>
      <c r="I783" s="3">
        <v>2</v>
      </c>
      <c r="J783" s="8" t="s">
        <v>163</v>
      </c>
      <c r="K783" s="8" t="s">
        <v>164</v>
      </c>
      <c r="L783" s="8" t="s">
        <v>557</v>
      </c>
      <c r="M783" s="1" t="s">
        <v>211</v>
      </c>
      <c r="N783" s="8" t="s">
        <v>212</v>
      </c>
      <c r="O783" s="6">
        <v>0</v>
      </c>
      <c r="P783" s="6">
        <v>10</v>
      </c>
      <c r="Q783" s="6">
        <v>0</v>
      </c>
      <c r="R783" s="6">
        <v>0</v>
      </c>
      <c r="S783" s="6">
        <v>0</v>
      </c>
    </row>
    <row r="784" spans="1:19" ht="15" hidden="1" x14ac:dyDescent="0.25">
      <c r="A784" s="7" t="s">
        <v>16</v>
      </c>
      <c r="B784" s="7" t="s">
        <v>21</v>
      </c>
      <c r="C784" s="7" t="s">
        <v>18</v>
      </c>
      <c r="D784" s="4">
        <v>1011865000116</v>
      </c>
      <c r="E784" s="8" t="s">
        <v>759</v>
      </c>
      <c r="F784" s="8" t="s">
        <v>745</v>
      </c>
      <c r="G784" s="8" t="s">
        <v>59</v>
      </c>
      <c r="H784" s="8" t="s">
        <v>215</v>
      </c>
      <c r="I784" s="3">
        <v>2</v>
      </c>
      <c r="J784" s="8" t="s">
        <v>187</v>
      </c>
      <c r="K784" s="8" t="s">
        <v>188</v>
      </c>
      <c r="L784" s="8" t="s">
        <v>556</v>
      </c>
      <c r="M784" s="1" t="s">
        <v>211</v>
      </c>
      <c r="N784" s="8" t="s">
        <v>212</v>
      </c>
      <c r="O784" s="6">
        <v>0</v>
      </c>
      <c r="P784" s="6">
        <v>0</v>
      </c>
      <c r="Q784" s="6">
        <v>0</v>
      </c>
      <c r="R784" s="6">
        <v>0</v>
      </c>
      <c r="S784" s="6">
        <v>350</v>
      </c>
    </row>
    <row r="785" spans="1:19" ht="15" hidden="1" x14ac:dyDescent="0.25">
      <c r="A785" s="7" t="s">
        <v>16</v>
      </c>
      <c r="B785" s="7" t="s">
        <v>21</v>
      </c>
      <c r="C785" s="7" t="s">
        <v>18</v>
      </c>
      <c r="D785" s="4">
        <v>1011865000116</v>
      </c>
      <c r="E785" s="8" t="s">
        <v>759</v>
      </c>
      <c r="F785" s="8" t="s">
        <v>745</v>
      </c>
      <c r="G785" s="8" t="s">
        <v>59</v>
      </c>
      <c r="H785" s="8" t="s">
        <v>215</v>
      </c>
      <c r="I785" s="3">
        <v>2</v>
      </c>
      <c r="J785" s="8" t="s">
        <v>163</v>
      </c>
      <c r="K785" s="8" t="s">
        <v>164</v>
      </c>
      <c r="L785" s="8" t="s">
        <v>557</v>
      </c>
      <c r="M785" s="1" t="s">
        <v>211</v>
      </c>
      <c r="N785" s="8" t="s">
        <v>212</v>
      </c>
      <c r="O785" s="6">
        <v>0</v>
      </c>
      <c r="P785" s="6">
        <v>0</v>
      </c>
      <c r="Q785" s="6">
        <v>0</v>
      </c>
      <c r="R785" s="6">
        <v>0</v>
      </c>
      <c r="S785" s="6">
        <v>350</v>
      </c>
    </row>
    <row r="786" spans="1:19" ht="15" hidden="1" x14ac:dyDescent="0.25">
      <c r="A786" s="7" t="s">
        <v>16</v>
      </c>
      <c r="B786" s="7" t="s">
        <v>21</v>
      </c>
      <c r="C786" s="7" t="s">
        <v>18</v>
      </c>
      <c r="D786" s="4">
        <v>53629000108</v>
      </c>
      <c r="E786" s="8" t="s">
        <v>744</v>
      </c>
      <c r="F786" s="8" t="s">
        <v>745</v>
      </c>
      <c r="G786" s="8" t="s">
        <v>59</v>
      </c>
      <c r="H786" s="8" t="s">
        <v>215</v>
      </c>
      <c r="I786" s="3">
        <v>2</v>
      </c>
      <c r="J786" s="8" t="s">
        <v>187</v>
      </c>
      <c r="K786" s="8" t="s">
        <v>188</v>
      </c>
      <c r="L786" s="8" t="s">
        <v>556</v>
      </c>
      <c r="M786" s="1" t="s">
        <v>211</v>
      </c>
      <c r="N786" s="8" t="s">
        <v>212</v>
      </c>
      <c r="O786" s="6">
        <v>0</v>
      </c>
      <c r="P786" s="6">
        <v>0</v>
      </c>
      <c r="Q786" s="6">
        <v>0</v>
      </c>
      <c r="R786" s="6">
        <v>0</v>
      </c>
      <c r="S786" s="6">
        <v>0</v>
      </c>
    </row>
    <row r="787" spans="1:19" ht="15" hidden="1" x14ac:dyDescent="0.25">
      <c r="A787" s="7" t="s">
        <v>16</v>
      </c>
      <c r="B787" s="7" t="s">
        <v>21</v>
      </c>
      <c r="C787" s="7" t="s">
        <v>18</v>
      </c>
      <c r="D787" s="4">
        <v>53629000108</v>
      </c>
      <c r="E787" s="8" t="s">
        <v>744</v>
      </c>
      <c r="F787" s="8" t="s">
        <v>745</v>
      </c>
      <c r="G787" s="8" t="s">
        <v>59</v>
      </c>
      <c r="H787" s="8" t="s">
        <v>215</v>
      </c>
      <c r="I787" s="3">
        <v>2</v>
      </c>
      <c r="J787" s="8" t="s">
        <v>163</v>
      </c>
      <c r="K787" s="8" t="s">
        <v>164</v>
      </c>
      <c r="L787" s="8" t="s">
        <v>557</v>
      </c>
      <c r="M787" s="1" t="s">
        <v>211</v>
      </c>
      <c r="N787" s="8" t="s">
        <v>212</v>
      </c>
      <c r="O787" s="6">
        <v>0</v>
      </c>
      <c r="P787" s="6">
        <v>0</v>
      </c>
      <c r="Q787" s="6">
        <v>0</v>
      </c>
      <c r="R787" s="6">
        <v>0</v>
      </c>
      <c r="S787" s="6">
        <v>0</v>
      </c>
    </row>
    <row r="788" spans="1:19" ht="15" hidden="1" x14ac:dyDescent="0.25">
      <c r="A788" s="7" t="s">
        <v>16</v>
      </c>
      <c r="B788" s="7" t="s">
        <v>21</v>
      </c>
      <c r="C788" s="7" t="s">
        <v>18</v>
      </c>
      <c r="D788" s="4">
        <v>2476067000203</v>
      </c>
      <c r="E788" s="8" t="s">
        <v>779</v>
      </c>
      <c r="F788" s="8" t="s">
        <v>745</v>
      </c>
      <c r="G788" s="8" t="s">
        <v>59</v>
      </c>
      <c r="H788" s="8" t="s">
        <v>215</v>
      </c>
      <c r="I788" s="3">
        <v>2</v>
      </c>
      <c r="J788" s="8" t="s">
        <v>187</v>
      </c>
      <c r="K788" s="8" t="s">
        <v>188</v>
      </c>
      <c r="L788" s="8" t="s">
        <v>556</v>
      </c>
      <c r="M788" s="1" t="s">
        <v>211</v>
      </c>
      <c r="N788" s="8" t="s">
        <v>212</v>
      </c>
      <c r="O788" s="6">
        <v>0</v>
      </c>
      <c r="P788" s="6">
        <v>0</v>
      </c>
      <c r="Q788" s="6">
        <v>0</v>
      </c>
      <c r="R788" s="6">
        <v>40</v>
      </c>
      <c r="S788" s="6">
        <v>0</v>
      </c>
    </row>
    <row r="789" spans="1:19" ht="15" hidden="1" x14ac:dyDescent="0.25">
      <c r="A789" s="7" t="s">
        <v>16</v>
      </c>
      <c r="B789" s="7" t="s">
        <v>21</v>
      </c>
      <c r="C789" s="7" t="s">
        <v>18</v>
      </c>
      <c r="D789" s="4">
        <v>2476067000203</v>
      </c>
      <c r="E789" s="8" t="s">
        <v>779</v>
      </c>
      <c r="F789" s="8" t="s">
        <v>745</v>
      </c>
      <c r="G789" s="8" t="s">
        <v>59</v>
      </c>
      <c r="H789" s="8" t="s">
        <v>215</v>
      </c>
      <c r="I789" s="3">
        <v>2</v>
      </c>
      <c r="J789" s="8" t="s">
        <v>163</v>
      </c>
      <c r="K789" s="8" t="s">
        <v>164</v>
      </c>
      <c r="L789" s="8" t="s">
        <v>557</v>
      </c>
      <c r="M789" s="1" t="s">
        <v>211</v>
      </c>
      <c r="N789" s="8" t="s">
        <v>212</v>
      </c>
      <c r="O789" s="6">
        <v>0</v>
      </c>
      <c r="P789" s="6">
        <v>0</v>
      </c>
      <c r="Q789" s="6">
        <v>0</v>
      </c>
      <c r="R789" s="6">
        <v>0</v>
      </c>
      <c r="S789" s="6">
        <v>0</v>
      </c>
    </row>
    <row r="790" spans="1:19" ht="15" hidden="1" x14ac:dyDescent="0.25">
      <c r="A790" s="7" t="s">
        <v>16</v>
      </c>
      <c r="B790" s="7" t="s">
        <v>21</v>
      </c>
      <c r="C790" s="7" t="s">
        <v>18</v>
      </c>
      <c r="D790" s="4">
        <v>33000167002155</v>
      </c>
      <c r="E790" s="8" t="s">
        <v>915</v>
      </c>
      <c r="F790" s="8" t="s">
        <v>128</v>
      </c>
      <c r="G790" s="8" t="s">
        <v>59</v>
      </c>
      <c r="H790" s="8" t="s">
        <v>215</v>
      </c>
      <c r="I790" s="3">
        <v>2</v>
      </c>
      <c r="J790" s="8" t="s">
        <v>187</v>
      </c>
      <c r="K790" s="8" t="s">
        <v>188</v>
      </c>
      <c r="L790" s="8" t="s">
        <v>556</v>
      </c>
      <c r="M790" s="1" t="s">
        <v>211</v>
      </c>
      <c r="N790" s="8" t="s">
        <v>212</v>
      </c>
      <c r="O790" s="6">
        <v>0</v>
      </c>
      <c r="P790" s="6">
        <v>0</v>
      </c>
      <c r="Q790" s="6">
        <v>0</v>
      </c>
      <c r="R790" s="6">
        <v>0</v>
      </c>
      <c r="S790" s="6">
        <v>120</v>
      </c>
    </row>
    <row r="791" spans="1:19" ht="15" hidden="1" x14ac:dyDescent="0.25">
      <c r="A791" s="7" t="s">
        <v>16</v>
      </c>
      <c r="B791" s="7" t="s">
        <v>21</v>
      </c>
      <c r="C791" s="7" t="s">
        <v>18</v>
      </c>
      <c r="D791" s="4">
        <v>33000167002155</v>
      </c>
      <c r="E791" s="8" t="s">
        <v>915</v>
      </c>
      <c r="F791" s="8" t="s">
        <v>128</v>
      </c>
      <c r="G791" s="8" t="s">
        <v>59</v>
      </c>
      <c r="H791" s="8" t="s">
        <v>215</v>
      </c>
      <c r="I791" s="3">
        <v>2</v>
      </c>
      <c r="J791" s="8" t="s">
        <v>163</v>
      </c>
      <c r="K791" s="8" t="s">
        <v>164</v>
      </c>
      <c r="L791" s="8" t="s">
        <v>557</v>
      </c>
      <c r="M791" s="1" t="s">
        <v>211</v>
      </c>
      <c r="N791" s="8" t="s">
        <v>212</v>
      </c>
      <c r="O791" s="6">
        <v>0</v>
      </c>
      <c r="P791" s="6">
        <v>0</v>
      </c>
      <c r="Q791" s="6">
        <v>0</v>
      </c>
      <c r="R791" s="6">
        <v>0</v>
      </c>
      <c r="S791" s="6">
        <v>120</v>
      </c>
    </row>
    <row r="792" spans="1:19" ht="15" hidden="1" x14ac:dyDescent="0.25">
      <c r="A792" s="7" t="s">
        <v>16</v>
      </c>
      <c r="B792" s="7" t="s">
        <v>21</v>
      </c>
      <c r="C792" s="7" t="s">
        <v>18</v>
      </c>
      <c r="D792" s="4">
        <v>3210872000172</v>
      </c>
      <c r="E792" s="8" t="s">
        <v>783</v>
      </c>
      <c r="F792" s="8" t="s">
        <v>122</v>
      </c>
      <c r="G792" s="8" t="s">
        <v>72</v>
      </c>
      <c r="H792" s="8" t="s">
        <v>215</v>
      </c>
      <c r="I792" s="3">
        <v>2</v>
      </c>
      <c r="J792" s="8" t="s">
        <v>165</v>
      </c>
      <c r="K792" s="8" t="s">
        <v>166</v>
      </c>
      <c r="L792" s="8" t="s">
        <v>557</v>
      </c>
      <c r="M792" s="1" t="s">
        <v>211</v>
      </c>
      <c r="N792" s="8" t="s">
        <v>212</v>
      </c>
      <c r="O792" s="6">
        <v>0</v>
      </c>
      <c r="P792" s="6">
        <v>0</v>
      </c>
      <c r="Q792" s="6">
        <v>0</v>
      </c>
      <c r="R792" s="6">
        <v>0</v>
      </c>
      <c r="S792" s="6">
        <v>5</v>
      </c>
    </row>
    <row r="793" spans="1:19" ht="15" hidden="1" x14ac:dyDescent="0.25">
      <c r="A793" s="7" t="s">
        <v>16</v>
      </c>
      <c r="B793" s="7" t="s">
        <v>21</v>
      </c>
      <c r="C793" s="7" t="s">
        <v>18</v>
      </c>
      <c r="D793" s="4">
        <v>3210872000172</v>
      </c>
      <c r="E793" s="8" t="s">
        <v>783</v>
      </c>
      <c r="F793" s="8" t="s">
        <v>122</v>
      </c>
      <c r="G793" s="8" t="s">
        <v>72</v>
      </c>
      <c r="H793" s="8" t="s">
        <v>215</v>
      </c>
      <c r="I793" s="3">
        <v>2</v>
      </c>
      <c r="J793" s="8" t="s">
        <v>201</v>
      </c>
      <c r="K793" s="8" t="s">
        <v>202</v>
      </c>
      <c r="L793" s="8" t="s">
        <v>740</v>
      </c>
      <c r="M793" s="1" t="s">
        <v>211</v>
      </c>
      <c r="N793" s="8" t="s">
        <v>212</v>
      </c>
      <c r="O793" s="6">
        <v>0</v>
      </c>
      <c r="P793" s="6">
        <v>0</v>
      </c>
      <c r="Q793" s="6">
        <v>0</v>
      </c>
      <c r="R793" s="6">
        <v>0</v>
      </c>
      <c r="S793" s="6">
        <v>5</v>
      </c>
    </row>
    <row r="794" spans="1:19" ht="15" hidden="1" x14ac:dyDescent="0.25">
      <c r="A794" s="7" t="s">
        <v>16</v>
      </c>
      <c r="B794" s="7" t="s">
        <v>21</v>
      </c>
      <c r="C794" s="7" t="s">
        <v>18</v>
      </c>
      <c r="D794" s="4">
        <v>7750144000104</v>
      </c>
      <c r="E794" s="8" t="s">
        <v>819</v>
      </c>
      <c r="F794" s="8" t="s">
        <v>777</v>
      </c>
      <c r="G794" s="8" t="s">
        <v>72</v>
      </c>
      <c r="H794" s="8" t="s">
        <v>215</v>
      </c>
      <c r="I794" s="3">
        <v>2</v>
      </c>
      <c r="J794" s="8" t="s">
        <v>165</v>
      </c>
      <c r="K794" s="8" t="s">
        <v>166</v>
      </c>
      <c r="L794" s="8" t="s">
        <v>557</v>
      </c>
      <c r="M794" s="1" t="s">
        <v>211</v>
      </c>
      <c r="N794" s="8" t="s">
        <v>212</v>
      </c>
      <c r="O794" s="6">
        <v>0</v>
      </c>
      <c r="P794" s="6">
        <v>0</v>
      </c>
      <c r="Q794" s="6">
        <v>0</v>
      </c>
      <c r="R794" s="6">
        <v>0</v>
      </c>
      <c r="S794" s="6">
        <v>20</v>
      </c>
    </row>
    <row r="795" spans="1:19" ht="15" hidden="1" x14ac:dyDescent="0.25">
      <c r="A795" s="7" t="s">
        <v>16</v>
      </c>
      <c r="B795" s="7" t="s">
        <v>21</v>
      </c>
      <c r="C795" s="7" t="s">
        <v>18</v>
      </c>
      <c r="D795" s="4">
        <v>7750144000104</v>
      </c>
      <c r="E795" s="8" t="s">
        <v>819</v>
      </c>
      <c r="F795" s="8" t="s">
        <v>777</v>
      </c>
      <c r="G795" s="8" t="s">
        <v>72</v>
      </c>
      <c r="H795" s="8" t="s">
        <v>215</v>
      </c>
      <c r="I795" s="3">
        <v>2</v>
      </c>
      <c r="J795" s="8" t="s">
        <v>201</v>
      </c>
      <c r="K795" s="8" t="s">
        <v>202</v>
      </c>
      <c r="L795" s="8" t="s">
        <v>740</v>
      </c>
      <c r="M795" s="1" t="s">
        <v>211</v>
      </c>
      <c r="N795" s="8" t="s">
        <v>212</v>
      </c>
      <c r="O795" s="6">
        <v>0</v>
      </c>
      <c r="P795" s="6">
        <v>0</v>
      </c>
      <c r="Q795" s="6">
        <v>0</v>
      </c>
      <c r="R795" s="6">
        <v>0</v>
      </c>
      <c r="S795" s="6">
        <v>20</v>
      </c>
    </row>
    <row r="796" spans="1:19" ht="15" hidden="1" x14ac:dyDescent="0.25">
      <c r="A796" s="7" t="s">
        <v>16</v>
      </c>
      <c r="B796" s="7" t="s">
        <v>21</v>
      </c>
      <c r="C796" s="7" t="s">
        <v>18</v>
      </c>
      <c r="D796" s="4">
        <v>15126437000496</v>
      </c>
      <c r="E796" s="8" t="s">
        <v>880</v>
      </c>
      <c r="F796" s="8" t="s">
        <v>777</v>
      </c>
      <c r="G796" s="8" t="s">
        <v>72</v>
      </c>
      <c r="H796" s="8" t="s">
        <v>215</v>
      </c>
      <c r="I796" s="3">
        <v>2</v>
      </c>
      <c r="J796" s="8" t="s">
        <v>165</v>
      </c>
      <c r="K796" s="8" t="s">
        <v>166</v>
      </c>
      <c r="L796" s="8" t="s">
        <v>557</v>
      </c>
      <c r="M796" s="1" t="s">
        <v>211</v>
      </c>
      <c r="N796" s="8" t="s">
        <v>212</v>
      </c>
      <c r="O796" s="6">
        <v>0</v>
      </c>
      <c r="P796" s="6">
        <v>4</v>
      </c>
      <c r="Q796" s="6">
        <v>9</v>
      </c>
      <c r="R796" s="6">
        <v>0</v>
      </c>
      <c r="S796" s="6">
        <v>0</v>
      </c>
    </row>
    <row r="797" spans="1:19" ht="15" hidden="1" x14ac:dyDescent="0.25">
      <c r="A797" s="7" t="s">
        <v>16</v>
      </c>
      <c r="B797" s="7" t="s">
        <v>21</v>
      </c>
      <c r="C797" s="7" t="s">
        <v>18</v>
      </c>
      <c r="D797" s="4">
        <v>15126437000496</v>
      </c>
      <c r="E797" s="8" t="s">
        <v>880</v>
      </c>
      <c r="F797" s="8" t="s">
        <v>777</v>
      </c>
      <c r="G797" s="8" t="s">
        <v>72</v>
      </c>
      <c r="H797" s="8" t="s">
        <v>215</v>
      </c>
      <c r="I797" s="3">
        <v>2</v>
      </c>
      <c r="J797" s="8" t="s">
        <v>201</v>
      </c>
      <c r="K797" s="8" t="s">
        <v>202</v>
      </c>
      <c r="L797" s="8" t="s">
        <v>740</v>
      </c>
      <c r="M797" s="1" t="s">
        <v>211</v>
      </c>
      <c r="N797" s="8" t="s">
        <v>212</v>
      </c>
      <c r="O797" s="6">
        <v>0</v>
      </c>
      <c r="P797" s="6">
        <v>0</v>
      </c>
      <c r="Q797" s="6">
        <v>0</v>
      </c>
      <c r="R797" s="6">
        <v>0</v>
      </c>
      <c r="S797" s="6">
        <v>0</v>
      </c>
    </row>
    <row r="798" spans="1:19" ht="15" hidden="1" x14ac:dyDescent="0.25">
      <c r="A798" s="7" t="s">
        <v>16</v>
      </c>
      <c r="B798" s="7" t="s">
        <v>21</v>
      </c>
      <c r="C798" s="7" t="s">
        <v>18</v>
      </c>
      <c r="D798" s="4">
        <v>11006293000130</v>
      </c>
      <c r="E798" s="8" t="s">
        <v>838</v>
      </c>
      <c r="F798" s="8" t="s">
        <v>777</v>
      </c>
      <c r="G798" s="8" t="s">
        <v>72</v>
      </c>
      <c r="H798" s="8" t="s">
        <v>215</v>
      </c>
      <c r="I798" s="3">
        <v>2</v>
      </c>
      <c r="J798" s="8" t="s">
        <v>165</v>
      </c>
      <c r="K798" s="8" t="s">
        <v>166</v>
      </c>
      <c r="L798" s="8" t="s">
        <v>557</v>
      </c>
      <c r="M798" s="1" t="s">
        <v>211</v>
      </c>
      <c r="N798" s="8" t="s">
        <v>212</v>
      </c>
      <c r="O798" s="6">
        <v>0</v>
      </c>
      <c r="P798" s="6">
        <v>0</v>
      </c>
      <c r="Q798" s="6">
        <v>0</v>
      </c>
      <c r="R798" s="6">
        <v>0</v>
      </c>
      <c r="S798" s="6">
        <v>500</v>
      </c>
    </row>
    <row r="799" spans="1:19" ht="15" hidden="1" x14ac:dyDescent="0.25">
      <c r="A799" s="7" t="s">
        <v>16</v>
      </c>
      <c r="B799" s="7" t="s">
        <v>21</v>
      </c>
      <c r="C799" s="7" t="s">
        <v>18</v>
      </c>
      <c r="D799" s="4">
        <v>11006293000130</v>
      </c>
      <c r="E799" s="8" t="s">
        <v>838</v>
      </c>
      <c r="F799" s="8" t="s">
        <v>777</v>
      </c>
      <c r="G799" s="8" t="s">
        <v>72</v>
      </c>
      <c r="H799" s="8" t="s">
        <v>215</v>
      </c>
      <c r="I799" s="3">
        <v>2</v>
      </c>
      <c r="J799" s="8" t="s">
        <v>201</v>
      </c>
      <c r="K799" s="8" t="s">
        <v>202</v>
      </c>
      <c r="L799" s="8" t="s">
        <v>740</v>
      </c>
      <c r="M799" s="1" t="s">
        <v>211</v>
      </c>
      <c r="N799" s="8" t="s">
        <v>212</v>
      </c>
      <c r="O799" s="6">
        <v>0</v>
      </c>
      <c r="P799" s="6">
        <v>0</v>
      </c>
      <c r="Q799" s="6">
        <v>0</v>
      </c>
      <c r="R799" s="6">
        <v>0</v>
      </c>
      <c r="S799" s="6">
        <v>500</v>
      </c>
    </row>
    <row r="800" spans="1:19" ht="15" hidden="1" x14ac:dyDescent="0.25">
      <c r="A800" s="7" t="s">
        <v>16</v>
      </c>
      <c r="B800" s="7" t="s">
        <v>21</v>
      </c>
      <c r="C800" s="7" t="s">
        <v>18</v>
      </c>
      <c r="D800" s="4">
        <v>2284062001170</v>
      </c>
      <c r="E800" s="8" t="s">
        <v>776</v>
      </c>
      <c r="F800" s="8" t="s">
        <v>777</v>
      </c>
      <c r="G800" s="8" t="s">
        <v>72</v>
      </c>
      <c r="H800" s="8" t="s">
        <v>215</v>
      </c>
      <c r="I800" s="3">
        <v>2</v>
      </c>
      <c r="J800" s="8" t="s">
        <v>165</v>
      </c>
      <c r="K800" s="8" t="s">
        <v>166</v>
      </c>
      <c r="L800" s="8" t="s">
        <v>557</v>
      </c>
      <c r="M800" s="1" t="s">
        <v>211</v>
      </c>
      <c r="N800" s="8" t="s">
        <v>212</v>
      </c>
      <c r="O800" s="6">
        <v>0</v>
      </c>
      <c r="P800" s="6">
        <v>4</v>
      </c>
      <c r="Q800" s="6">
        <v>0</v>
      </c>
      <c r="R800" s="6">
        <v>0</v>
      </c>
      <c r="S800" s="6">
        <v>150</v>
      </c>
    </row>
    <row r="801" spans="1:19" ht="15" hidden="1" x14ac:dyDescent="0.25">
      <c r="A801" s="7" t="s">
        <v>16</v>
      </c>
      <c r="B801" s="7" t="s">
        <v>21</v>
      </c>
      <c r="C801" s="7" t="s">
        <v>18</v>
      </c>
      <c r="D801" s="4">
        <v>2284062001170</v>
      </c>
      <c r="E801" s="8" t="s">
        <v>776</v>
      </c>
      <c r="F801" s="8" t="s">
        <v>777</v>
      </c>
      <c r="G801" s="8" t="s">
        <v>72</v>
      </c>
      <c r="H801" s="8" t="s">
        <v>215</v>
      </c>
      <c r="I801" s="3">
        <v>2</v>
      </c>
      <c r="J801" s="8" t="s">
        <v>201</v>
      </c>
      <c r="K801" s="8" t="s">
        <v>202</v>
      </c>
      <c r="L801" s="8" t="s">
        <v>740</v>
      </c>
      <c r="M801" s="1" t="s">
        <v>211</v>
      </c>
      <c r="N801" s="8" t="s">
        <v>212</v>
      </c>
      <c r="O801" s="6">
        <v>0</v>
      </c>
      <c r="P801" s="6">
        <v>0</v>
      </c>
      <c r="Q801" s="6">
        <v>0</v>
      </c>
      <c r="R801" s="6">
        <v>0</v>
      </c>
      <c r="S801" s="6">
        <v>150</v>
      </c>
    </row>
    <row r="802" spans="1:19" ht="15" hidden="1" x14ac:dyDescent="0.25">
      <c r="A802" s="7" t="s">
        <v>16</v>
      </c>
      <c r="B802" s="7" t="s">
        <v>21</v>
      </c>
      <c r="C802" s="7" t="s">
        <v>18</v>
      </c>
      <c r="D802" s="4">
        <v>20909271000171</v>
      </c>
      <c r="E802" s="8" t="s">
        <v>1189</v>
      </c>
      <c r="F802" s="8" t="s">
        <v>101</v>
      </c>
      <c r="G802" s="8" t="s">
        <v>54</v>
      </c>
      <c r="H802" s="8" t="s">
        <v>215</v>
      </c>
      <c r="I802" s="3">
        <v>1</v>
      </c>
      <c r="J802" s="8" t="s">
        <v>159</v>
      </c>
      <c r="K802" s="8" t="s">
        <v>160</v>
      </c>
      <c r="L802" s="8" t="s">
        <v>740</v>
      </c>
      <c r="M802" s="1" t="s">
        <v>205</v>
      </c>
      <c r="N802" s="8" t="s">
        <v>206</v>
      </c>
      <c r="O802" s="6">
        <v>0</v>
      </c>
      <c r="P802" s="6">
        <v>0</v>
      </c>
      <c r="Q802" s="6">
        <v>0</v>
      </c>
      <c r="R802" s="6">
        <v>51</v>
      </c>
      <c r="S802" s="6">
        <v>0</v>
      </c>
    </row>
    <row r="803" spans="1:19" ht="15" hidden="1" x14ac:dyDescent="0.25">
      <c r="A803" s="7" t="s">
        <v>16</v>
      </c>
      <c r="B803" s="7" t="s">
        <v>21</v>
      </c>
      <c r="C803" s="7" t="s">
        <v>18</v>
      </c>
      <c r="D803" s="4">
        <v>17214149000176</v>
      </c>
      <c r="E803" s="8" t="s">
        <v>1172</v>
      </c>
      <c r="F803" s="8" t="s">
        <v>58</v>
      </c>
      <c r="G803" s="8" t="s">
        <v>54</v>
      </c>
      <c r="H803" s="8" t="s">
        <v>215</v>
      </c>
      <c r="I803" s="3">
        <v>1</v>
      </c>
      <c r="J803" s="8" t="s">
        <v>159</v>
      </c>
      <c r="K803" s="8" t="s">
        <v>160</v>
      </c>
      <c r="L803" s="8" t="s">
        <v>740</v>
      </c>
      <c r="M803" s="1" t="s">
        <v>205</v>
      </c>
      <c r="N803" s="8" t="s">
        <v>206</v>
      </c>
      <c r="O803" s="6">
        <v>0</v>
      </c>
      <c r="P803" s="6">
        <v>0</v>
      </c>
      <c r="Q803" s="6">
        <v>18</v>
      </c>
      <c r="R803" s="6">
        <v>0</v>
      </c>
      <c r="S803" s="6">
        <v>0</v>
      </c>
    </row>
    <row r="804" spans="1:19" ht="15" hidden="1" x14ac:dyDescent="0.25">
      <c r="A804" s="7" t="s">
        <v>16</v>
      </c>
      <c r="B804" s="7" t="s">
        <v>21</v>
      </c>
      <c r="C804" s="7" t="s">
        <v>18</v>
      </c>
      <c r="D804" s="4">
        <v>410960000120</v>
      </c>
      <c r="E804" s="8" t="s">
        <v>1137</v>
      </c>
      <c r="F804" s="8" t="s">
        <v>58</v>
      </c>
      <c r="G804" s="8" t="s">
        <v>54</v>
      </c>
      <c r="H804" s="8" t="s">
        <v>215</v>
      </c>
      <c r="I804" s="3">
        <v>1</v>
      </c>
      <c r="J804" s="8" t="s">
        <v>159</v>
      </c>
      <c r="K804" s="8" t="s">
        <v>160</v>
      </c>
      <c r="L804" s="8" t="s">
        <v>740</v>
      </c>
      <c r="M804" s="1" t="s">
        <v>205</v>
      </c>
      <c r="N804" s="8" t="s">
        <v>206</v>
      </c>
      <c r="O804" s="6">
        <v>0</v>
      </c>
      <c r="P804" s="6">
        <v>0</v>
      </c>
      <c r="Q804" s="6">
        <v>0</v>
      </c>
      <c r="R804" s="6">
        <v>64</v>
      </c>
      <c r="S804" s="6">
        <v>685</v>
      </c>
    </row>
    <row r="805" spans="1:19" ht="15" hidden="1" x14ac:dyDescent="0.25">
      <c r="A805" s="7" t="s">
        <v>16</v>
      </c>
      <c r="B805" s="7" t="s">
        <v>21</v>
      </c>
      <c r="C805" s="7" t="s">
        <v>18</v>
      </c>
      <c r="D805" s="4">
        <v>132229000180</v>
      </c>
      <c r="E805" s="8" t="s">
        <v>1135</v>
      </c>
      <c r="F805" s="8" t="s">
        <v>58</v>
      </c>
      <c r="G805" s="8" t="s">
        <v>54</v>
      </c>
      <c r="H805" s="8" t="s">
        <v>215</v>
      </c>
      <c r="I805" s="3">
        <v>1</v>
      </c>
      <c r="J805" s="8" t="s">
        <v>159</v>
      </c>
      <c r="K805" s="8" t="s">
        <v>160</v>
      </c>
      <c r="L805" s="8" t="s">
        <v>740</v>
      </c>
      <c r="M805" s="1" t="s">
        <v>205</v>
      </c>
      <c r="N805" s="8" t="s">
        <v>206</v>
      </c>
      <c r="O805" s="6">
        <v>0</v>
      </c>
      <c r="P805" s="6">
        <v>0</v>
      </c>
      <c r="Q805" s="6">
        <v>0</v>
      </c>
      <c r="R805" s="6">
        <v>0</v>
      </c>
      <c r="S805" s="6">
        <v>180</v>
      </c>
    </row>
    <row r="806" spans="1:19" ht="15" hidden="1" x14ac:dyDescent="0.25">
      <c r="A806" s="7" t="s">
        <v>16</v>
      </c>
      <c r="B806" s="7" t="s">
        <v>21</v>
      </c>
      <c r="C806" s="7" t="s">
        <v>18</v>
      </c>
      <c r="D806" s="4">
        <v>19274091000181</v>
      </c>
      <c r="E806" s="8" t="s">
        <v>1178</v>
      </c>
      <c r="F806" s="8" t="s">
        <v>127</v>
      </c>
      <c r="G806" s="8" t="s">
        <v>54</v>
      </c>
      <c r="H806" s="8" t="s">
        <v>215</v>
      </c>
      <c r="I806" s="3">
        <v>1</v>
      </c>
      <c r="J806" s="8" t="s">
        <v>159</v>
      </c>
      <c r="K806" s="8" t="s">
        <v>160</v>
      </c>
      <c r="L806" s="8" t="s">
        <v>740</v>
      </c>
      <c r="M806" s="1" t="s">
        <v>205</v>
      </c>
      <c r="N806" s="8" t="s">
        <v>206</v>
      </c>
      <c r="O806" s="6">
        <v>0</v>
      </c>
      <c r="P806" s="6">
        <v>0</v>
      </c>
      <c r="Q806" s="6">
        <v>0</v>
      </c>
      <c r="R806" s="6">
        <v>0</v>
      </c>
      <c r="S806" s="6">
        <v>140</v>
      </c>
    </row>
    <row r="807" spans="1:19" ht="15" hidden="1" x14ac:dyDescent="0.25">
      <c r="A807" s="7" t="s">
        <v>16</v>
      </c>
      <c r="B807" s="7" t="s">
        <v>21</v>
      </c>
      <c r="C807" s="7" t="s">
        <v>18</v>
      </c>
      <c r="D807" s="4">
        <v>19878404000100</v>
      </c>
      <c r="E807" s="8" t="s">
        <v>1184</v>
      </c>
      <c r="F807" s="8" t="s">
        <v>89</v>
      </c>
      <c r="G807" s="8" t="s">
        <v>54</v>
      </c>
      <c r="H807" s="8" t="s">
        <v>215</v>
      </c>
      <c r="I807" s="3">
        <v>1</v>
      </c>
      <c r="J807" s="8" t="s">
        <v>159</v>
      </c>
      <c r="K807" s="8" t="s">
        <v>160</v>
      </c>
      <c r="L807" s="8" t="s">
        <v>740</v>
      </c>
      <c r="M807" s="1" t="s">
        <v>205</v>
      </c>
      <c r="N807" s="8" t="s">
        <v>206</v>
      </c>
      <c r="O807" s="6">
        <v>0</v>
      </c>
      <c r="P807" s="6">
        <v>0</v>
      </c>
      <c r="Q807" s="6">
        <v>0</v>
      </c>
      <c r="R807" s="6">
        <v>80</v>
      </c>
      <c r="S807" s="6">
        <v>0</v>
      </c>
    </row>
    <row r="808" spans="1:19" ht="15" hidden="1" x14ac:dyDescent="0.25">
      <c r="A808" s="7" t="s">
        <v>16</v>
      </c>
      <c r="B808" s="7" t="s">
        <v>21</v>
      </c>
      <c r="C808" s="7" t="s">
        <v>18</v>
      </c>
      <c r="D808" s="4">
        <v>21040696000311</v>
      </c>
      <c r="E808" s="8" t="s">
        <v>1190</v>
      </c>
      <c r="F808" s="8" t="s">
        <v>1191</v>
      </c>
      <c r="G808" s="8" t="s">
        <v>54</v>
      </c>
      <c r="H808" s="8" t="s">
        <v>215</v>
      </c>
      <c r="I808" s="3">
        <v>1</v>
      </c>
      <c r="J808" s="8" t="s">
        <v>159</v>
      </c>
      <c r="K808" s="8" t="s">
        <v>160</v>
      </c>
      <c r="L808" s="8" t="s">
        <v>740</v>
      </c>
      <c r="M808" s="1" t="s">
        <v>205</v>
      </c>
      <c r="N808" s="8" t="s">
        <v>206</v>
      </c>
      <c r="O808" s="6">
        <v>0</v>
      </c>
      <c r="P808" s="6">
        <v>4</v>
      </c>
      <c r="Q808" s="6">
        <v>5</v>
      </c>
      <c r="R808" s="6">
        <v>0</v>
      </c>
      <c r="S808" s="6">
        <v>0</v>
      </c>
    </row>
    <row r="809" spans="1:19" ht="15" hidden="1" x14ac:dyDescent="0.25">
      <c r="A809" s="7" t="s">
        <v>16</v>
      </c>
      <c r="B809" s="7" t="s">
        <v>21</v>
      </c>
      <c r="C809" s="7" t="s">
        <v>18</v>
      </c>
      <c r="D809" s="4">
        <v>25415993000193</v>
      </c>
      <c r="E809" s="8" t="s">
        <v>1200</v>
      </c>
      <c r="F809" s="8" t="s">
        <v>88</v>
      </c>
      <c r="G809" s="8" t="s">
        <v>54</v>
      </c>
      <c r="H809" s="8" t="s">
        <v>215</v>
      </c>
      <c r="I809" s="3">
        <v>1</v>
      </c>
      <c r="J809" s="8" t="s">
        <v>159</v>
      </c>
      <c r="K809" s="8" t="s">
        <v>160</v>
      </c>
      <c r="L809" s="8" t="s">
        <v>740</v>
      </c>
      <c r="M809" s="1" t="s">
        <v>205</v>
      </c>
      <c r="N809" s="8" t="s">
        <v>206</v>
      </c>
      <c r="O809" s="6">
        <v>0</v>
      </c>
      <c r="P809" s="6">
        <v>0</v>
      </c>
      <c r="Q809" s="6">
        <v>3</v>
      </c>
      <c r="R809" s="6">
        <v>0</v>
      </c>
      <c r="S809" s="6">
        <v>0</v>
      </c>
    </row>
    <row r="810" spans="1:19" ht="15" hidden="1" x14ac:dyDescent="0.25">
      <c r="A810" s="7" t="s">
        <v>16</v>
      </c>
      <c r="B810" s="7" t="s">
        <v>21</v>
      </c>
      <c r="C810" s="7" t="s">
        <v>18</v>
      </c>
      <c r="D810" s="4">
        <v>17689407000928</v>
      </c>
      <c r="E810" s="8" t="s">
        <v>1174</v>
      </c>
      <c r="F810" s="8" t="s">
        <v>88</v>
      </c>
      <c r="G810" s="8" t="s">
        <v>54</v>
      </c>
      <c r="H810" s="8" t="s">
        <v>215</v>
      </c>
      <c r="I810" s="3">
        <v>1</v>
      </c>
      <c r="J810" s="8" t="s">
        <v>159</v>
      </c>
      <c r="K810" s="8" t="s">
        <v>160</v>
      </c>
      <c r="L810" s="8" t="s">
        <v>740</v>
      </c>
      <c r="M810" s="1" t="s">
        <v>205</v>
      </c>
      <c r="N810" s="8" t="s">
        <v>206</v>
      </c>
      <c r="O810" s="6">
        <v>0</v>
      </c>
      <c r="P810" s="6">
        <v>0</v>
      </c>
      <c r="Q810" s="6">
        <v>0</v>
      </c>
      <c r="R810" s="6">
        <v>6</v>
      </c>
      <c r="S810" s="6">
        <v>0</v>
      </c>
    </row>
    <row r="811" spans="1:19" ht="15" hidden="1" x14ac:dyDescent="0.25">
      <c r="A811" s="7" t="s">
        <v>16</v>
      </c>
      <c r="B811" s="7" t="s">
        <v>21</v>
      </c>
      <c r="C811" s="7" t="s">
        <v>18</v>
      </c>
      <c r="D811" s="4">
        <v>21299615000130</v>
      </c>
      <c r="E811" s="8" t="s">
        <v>1192</v>
      </c>
      <c r="F811" s="8" t="s">
        <v>102</v>
      </c>
      <c r="G811" s="8" t="s">
        <v>54</v>
      </c>
      <c r="H811" s="8" t="s">
        <v>215</v>
      </c>
      <c r="I811" s="3">
        <v>1</v>
      </c>
      <c r="J811" s="8" t="s">
        <v>159</v>
      </c>
      <c r="K811" s="8" t="s">
        <v>160</v>
      </c>
      <c r="L811" s="8" t="s">
        <v>740</v>
      </c>
      <c r="M811" s="1" t="s">
        <v>205</v>
      </c>
      <c r="N811" s="8" t="s">
        <v>206</v>
      </c>
      <c r="O811" s="6">
        <v>6</v>
      </c>
      <c r="P811" s="6">
        <v>0</v>
      </c>
      <c r="Q811" s="6">
        <v>0</v>
      </c>
      <c r="R811" s="6">
        <v>0</v>
      </c>
      <c r="S811" s="6">
        <v>0</v>
      </c>
    </row>
    <row r="812" spans="1:19" ht="15" hidden="1" x14ac:dyDescent="0.25">
      <c r="A812" s="7" t="s">
        <v>16</v>
      </c>
      <c r="B812" s="7" t="s">
        <v>21</v>
      </c>
      <c r="C812" s="7" t="s">
        <v>18</v>
      </c>
      <c r="D812" s="4">
        <v>23278898000160</v>
      </c>
      <c r="E812" s="8" t="s">
        <v>1194</v>
      </c>
      <c r="F812" s="8" t="s">
        <v>119</v>
      </c>
      <c r="G812" s="8" t="s">
        <v>54</v>
      </c>
      <c r="H812" s="8" t="s">
        <v>215</v>
      </c>
      <c r="I812" s="3">
        <v>1</v>
      </c>
      <c r="J812" s="8" t="s">
        <v>159</v>
      </c>
      <c r="K812" s="8" t="s">
        <v>160</v>
      </c>
      <c r="L812" s="8" t="s">
        <v>740</v>
      </c>
      <c r="M812" s="1" t="s">
        <v>205</v>
      </c>
      <c r="N812" s="8" t="s">
        <v>206</v>
      </c>
      <c r="O812" s="6">
        <v>0</v>
      </c>
      <c r="P812" s="6">
        <v>0</v>
      </c>
      <c r="Q812" s="6">
        <v>0</v>
      </c>
      <c r="R812" s="6">
        <v>0</v>
      </c>
      <c r="S812" s="6">
        <v>120</v>
      </c>
    </row>
    <row r="813" spans="1:19" ht="15" hidden="1" x14ac:dyDescent="0.25">
      <c r="A813" s="7" t="s">
        <v>16</v>
      </c>
      <c r="B813" s="7" t="s">
        <v>21</v>
      </c>
      <c r="C813" s="7" t="s">
        <v>18</v>
      </c>
      <c r="D813" s="4">
        <v>23406564000124</v>
      </c>
      <c r="E813" s="8" t="s">
        <v>1196</v>
      </c>
      <c r="F813" s="8" t="s">
        <v>1197</v>
      </c>
      <c r="G813" s="8" t="s">
        <v>54</v>
      </c>
      <c r="H813" s="8" t="s">
        <v>215</v>
      </c>
      <c r="I813" s="3">
        <v>1</v>
      </c>
      <c r="J813" s="8" t="s">
        <v>159</v>
      </c>
      <c r="K813" s="8" t="s">
        <v>160</v>
      </c>
      <c r="L813" s="8" t="s">
        <v>740</v>
      </c>
      <c r="M813" s="1" t="s">
        <v>205</v>
      </c>
      <c r="N813" s="8" t="s">
        <v>206</v>
      </c>
      <c r="O813" s="6">
        <v>6</v>
      </c>
      <c r="P813" s="6">
        <v>0</v>
      </c>
      <c r="Q813" s="6">
        <v>0</v>
      </c>
      <c r="R813" s="6">
        <v>0</v>
      </c>
      <c r="S813" s="6">
        <v>0</v>
      </c>
    </row>
    <row r="814" spans="1:19" ht="15" hidden="1" x14ac:dyDescent="0.25">
      <c r="A814" s="7" t="s">
        <v>16</v>
      </c>
      <c r="B814" s="7" t="s">
        <v>21</v>
      </c>
      <c r="C814" s="7" t="s">
        <v>18</v>
      </c>
      <c r="D814" s="4">
        <v>41781949000234</v>
      </c>
      <c r="E814" s="8" t="s">
        <v>1219</v>
      </c>
      <c r="F814" s="8" t="s">
        <v>1220</v>
      </c>
      <c r="G814" s="8" t="s">
        <v>54</v>
      </c>
      <c r="H814" s="8" t="s">
        <v>215</v>
      </c>
      <c r="I814" s="3">
        <v>1</v>
      </c>
      <c r="J814" s="8" t="s">
        <v>159</v>
      </c>
      <c r="K814" s="8" t="s">
        <v>160</v>
      </c>
      <c r="L814" s="8" t="s">
        <v>740</v>
      </c>
      <c r="M814" s="1" t="s">
        <v>205</v>
      </c>
      <c r="N814" s="8" t="s">
        <v>206</v>
      </c>
      <c r="O814" s="6">
        <v>0</v>
      </c>
      <c r="P814" s="6">
        <v>0</v>
      </c>
      <c r="Q814" s="6">
        <v>0</v>
      </c>
      <c r="R814" s="6">
        <v>0</v>
      </c>
      <c r="S814" s="6">
        <v>40</v>
      </c>
    </row>
    <row r="815" spans="1:19" ht="15" hidden="1" x14ac:dyDescent="0.25">
      <c r="A815" s="7" t="s">
        <v>16</v>
      </c>
      <c r="B815" s="7" t="s">
        <v>21</v>
      </c>
      <c r="C815" s="7" t="s">
        <v>18</v>
      </c>
      <c r="D815" s="4">
        <v>70306453673</v>
      </c>
      <c r="E815" s="8" t="s">
        <v>1131</v>
      </c>
      <c r="F815" s="8" t="s">
        <v>1132</v>
      </c>
      <c r="G815" s="8" t="s">
        <v>54</v>
      </c>
      <c r="H815" s="8" t="s">
        <v>215</v>
      </c>
      <c r="I815" s="3">
        <v>1</v>
      </c>
      <c r="J815" s="8" t="s">
        <v>159</v>
      </c>
      <c r="K815" s="8" t="s">
        <v>160</v>
      </c>
      <c r="L815" s="8" t="s">
        <v>740</v>
      </c>
      <c r="M815" s="1" t="s">
        <v>205</v>
      </c>
      <c r="N815" s="8" t="s">
        <v>206</v>
      </c>
      <c r="O815" s="6">
        <v>20</v>
      </c>
      <c r="P815" s="6">
        <v>0</v>
      </c>
      <c r="Q815" s="6">
        <v>0</v>
      </c>
      <c r="R815" s="6">
        <v>0</v>
      </c>
      <c r="S815" s="6">
        <v>0</v>
      </c>
    </row>
    <row r="816" spans="1:19" ht="15" hidden="1" x14ac:dyDescent="0.25">
      <c r="A816" s="7" t="s">
        <v>16</v>
      </c>
      <c r="B816" s="7" t="s">
        <v>21</v>
      </c>
      <c r="C816" s="7" t="s">
        <v>18</v>
      </c>
      <c r="D816" s="4">
        <v>17774738000613</v>
      </c>
      <c r="E816" s="8" t="s">
        <v>1175</v>
      </c>
      <c r="F816" s="8" t="s">
        <v>126</v>
      </c>
      <c r="G816" s="8" t="s">
        <v>54</v>
      </c>
      <c r="H816" s="8" t="s">
        <v>215</v>
      </c>
      <c r="I816" s="3">
        <v>1</v>
      </c>
      <c r="J816" s="8" t="s">
        <v>159</v>
      </c>
      <c r="K816" s="8" t="s">
        <v>160</v>
      </c>
      <c r="L816" s="8" t="s">
        <v>740</v>
      </c>
      <c r="M816" s="1" t="s">
        <v>205</v>
      </c>
      <c r="N816" s="8" t="s">
        <v>206</v>
      </c>
      <c r="O816" s="6">
        <v>0</v>
      </c>
      <c r="P816" s="6">
        <v>0</v>
      </c>
      <c r="Q816" s="6">
        <v>0</v>
      </c>
      <c r="R816" s="6">
        <v>0</v>
      </c>
      <c r="S816" s="6">
        <v>180</v>
      </c>
    </row>
    <row r="817" spans="1:19" ht="15" hidden="1" x14ac:dyDescent="0.25">
      <c r="A817" s="7" t="s">
        <v>16</v>
      </c>
      <c r="B817" s="7" t="s">
        <v>21</v>
      </c>
      <c r="C817" s="7" t="s">
        <v>18</v>
      </c>
      <c r="D817" s="4">
        <v>25761040000187</v>
      </c>
      <c r="E817" s="8" t="s">
        <v>1202</v>
      </c>
      <c r="F817" s="8" t="s">
        <v>1171</v>
      </c>
      <c r="G817" s="8" t="s">
        <v>54</v>
      </c>
      <c r="H817" s="8" t="s">
        <v>215</v>
      </c>
      <c r="I817" s="3">
        <v>1</v>
      </c>
      <c r="J817" s="8" t="s">
        <v>159</v>
      </c>
      <c r="K817" s="8" t="s">
        <v>160</v>
      </c>
      <c r="L817" s="8" t="s">
        <v>740</v>
      </c>
      <c r="M817" s="1" t="s">
        <v>205</v>
      </c>
      <c r="N817" s="8" t="s">
        <v>206</v>
      </c>
      <c r="O817" s="6">
        <v>0</v>
      </c>
      <c r="P817" s="6">
        <v>0</v>
      </c>
      <c r="Q817" s="6">
        <v>2</v>
      </c>
      <c r="R817" s="6">
        <v>0</v>
      </c>
      <c r="S817" s="6">
        <v>0</v>
      </c>
    </row>
    <row r="818" spans="1:19" ht="15" hidden="1" x14ac:dyDescent="0.25">
      <c r="A818" s="7" t="s">
        <v>16</v>
      </c>
      <c r="B818" s="7" t="s">
        <v>21</v>
      </c>
      <c r="C818" s="7" t="s">
        <v>18</v>
      </c>
      <c r="D818" s="4">
        <v>18484378000173</v>
      </c>
      <c r="E818" s="8" t="s">
        <v>1176</v>
      </c>
      <c r="F818" s="8" t="s">
        <v>1171</v>
      </c>
      <c r="G818" s="8" t="s">
        <v>54</v>
      </c>
      <c r="H818" s="8" t="s">
        <v>215</v>
      </c>
      <c r="I818" s="3">
        <v>1</v>
      </c>
      <c r="J818" s="8" t="s">
        <v>159</v>
      </c>
      <c r="K818" s="8" t="s">
        <v>160</v>
      </c>
      <c r="L818" s="8" t="s">
        <v>740</v>
      </c>
      <c r="M818" s="1" t="s">
        <v>205</v>
      </c>
      <c r="N818" s="8" t="s">
        <v>206</v>
      </c>
      <c r="O818" s="6">
        <v>0</v>
      </c>
      <c r="P818" s="6">
        <v>0</v>
      </c>
      <c r="Q818" s="6">
        <v>2</v>
      </c>
      <c r="R818" s="6">
        <v>0</v>
      </c>
      <c r="S818" s="6">
        <v>0</v>
      </c>
    </row>
    <row r="819" spans="1:19" ht="15" hidden="1" x14ac:dyDescent="0.25">
      <c r="A819" s="7" t="s">
        <v>16</v>
      </c>
      <c r="B819" s="7" t="s">
        <v>21</v>
      </c>
      <c r="C819" s="7" t="s">
        <v>18</v>
      </c>
      <c r="D819" s="4">
        <v>14408631000159</v>
      </c>
      <c r="E819" s="8" t="s">
        <v>1163</v>
      </c>
      <c r="F819" s="8" t="s">
        <v>1164</v>
      </c>
      <c r="G819" s="8" t="s">
        <v>54</v>
      </c>
      <c r="H819" s="8" t="s">
        <v>215</v>
      </c>
      <c r="I819" s="3">
        <v>1</v>
      </c>
      <c r="J819" s="8" t="s">
        <v>159</v>
      </c>
      <c r="K819" s="8" t="s">
        <v>160</v>
      </c>
      <c r="L819" s="8" t="s">
        <v>740</v>
      </c>
      <c r="M819" s="1" t="s">
        <v>205</v>
      </c>
      <c r="N819" s="8" t="s">
        <v>206</v>
      </c>
      <c r="O819" s="6">
        <v>0</v>
      </c>
      <c r="P819" s="6">
        <v>0</v>
      </c>
      <c r="Q819" s="6">
        <v>0</v>
      </c>
      <c r="R819" s="6">
        <v>8</v>
      </c>
      <c r="S819" s="6">
        <v>0</v>
      </c>
    </row>
    <row r="820" spans="1:19" ht="15" hidden="1" x14ac:dyDescent="0.25">
      <c r="A820" s="7" t="s">
        <v>16</v>
      </c>
      <c r="B820" s="7" t="s">
        <v>21</v>
      </c>
      <c r="C820" s="7" t="s">
        <v>18</v>
      </c>
      <c r="D820" s="4">
        <v>860841000179</v>
      </c>
      <c r="E820" s="8" t="s">
        <v>758</v>
      </c>
      <c r="F820" s="8" t="s">
        <v>64</v>
      </c>
      <c r="G820" s="8" t="s">
        <v>65</v>
      </c>
      <c r="H820" s="8" t="s">
        <v>215</v>
      </c>
      <c r="I820" s="3">
        <v>2</v>
      </c>
      <c r="J820" s="8" t="s">
        <v>187</v>
      </c>
      <c r="K820" s="8" t="s">
        <v>188</v>
      </c>
      <c r="L820" s="8" t="s">
        <v>556</v>
      </c>
      <c r="M820" s="1" t="s">
        <v>211</v>
      </c>
      <c r="N820" s="8" t="s">
        <v>212</v>
      </c>
      <c r="O820" s="6">
        <v>0</v>
      </c>
      <c r="P820" s="6">
        <v>0</v>
      </c>
      <c r="Q820" s="6">
        <v>0</v>
      </c>
      <c r="R820" s="6">
        <v>0</v>
      </c>
      <c r="S820" s="6">
        <v>0</v>
      </c>
    </row>
    <row r="821" spans="1:19" ht="15" hidden="1" x14ac:dyDescent="0.25">
      <c r="A821" s="7" t="s">
        <v>16</v>
      </c>
      <c r="B821" s="7" t="s">
        <v>21</v>
      </c>
      <c r="C821" s="7" t="s">
        <v>18</v>
      </c>
      <c r="D821" s="4">
        <v>860841000179</v>
      </c>
      <c r="E821" s="8" t="s">
        <v>758</v>
      </c>
      <c r="F821" s="8" t="s">
        <v>64</v>
      </c>
      <c r="G821" s="8" t="s">
        <v>65</v>
      </c>
      <c r="H821" s="8" t="s">
        <v>215</v>
      </c>
      <c r="I821" s="3">
        <v>2</v>
      </c>
      <c r="J821" s="8" t="s">
        <v>163</v>
      </c>
      <c r="K821" s="8" t="s">
        <v>164</v>
      </c>
      <c r="L821" s="8" t="s">
        <v>557</v>
      </c>
      <c r="M821" s="1" t="s">
        <v>211</v>
      </c>
      <c r="N821" s="8" t="s">
        <v>212</v>
      </c>
      <c r="O821" s="6">
        <v>0</v>
      </c>
      <c r="P821" s="6">
        <v>-2</v>
      </c>
      <c r="Q821" s="6">
        <v>0</v>
      </c>
      <c r="R821" s="6">
        <v>0</v>
      </c>
      <c r="S821" s="6">
        <v>0</v>
      </c>
    </row>
    <row r="822" spans="1:19" ht="15" hidden="1" x14ac:dyDescent="0.25">
      <c r="A822" s="7" t="s">
        <v>16</v>
      </c>
      <c r="B822" s="7" t="s">
        <v>21</v>
      </c>
      <c r="C822" s="7" t="s">
        <v>18</v>
      </c>
      <c r="D822" s="4">
        <v>7775847000278</v>
      </c>
      <c r="E822" s="8" t="s">
        <v>820</v>
      </c>
      <c r="F822" s="8" t="s">
        <v>123</v>
      </c>
      <c r="G822" s="8" t="s">
        <v>65</v>
      </c>
      <c r="H822" s="8" t="s">
        <v>215</v>
      </c>
      <c r="I822" s="3">
        <v>2</v>
      </c>
      <c r="J822" s="8" t="s">
        <v>187</v>
      </c>
      <c r="K822" s="8" t="s">
        <v>188</v>
      </c>
      <c r="L822" s="8" t="s">
        <v>556</v>
      </c>
      <c r="M822" s="1" t="s">
        <v>211</v>
      </c>
      <c r="N822" s="8" t="s">
        <v>212</v>
      </c>
      <c r="O822" s="6">
        <v>0</v>
      </c>
      <c r="P822" s="6">
        <v>0</v>
      </c>
      <c r="Q822" s="6">
        <v>0</v>
      </c>
      <c r="R822" s="6">
        <v>0</v>
      </c>
      <c r="S822" s="6">
        <v>335</v>
      </c>
    </row>
    <row r="823" spans="1:19" ht="15" hidden="1" x14ac:dyDescent="0.25">
      <c r="A823" s="7" t="s">
        <v>16</v>
      </c>
      <c r="B823" s="7" t="s">
        <v>21</v>
      </c>
      <c r="C823" s="7" t="s">
        <v>18</v>
      </c>
      <c r="D823" s="4">
        <v>7775847000278</v>
      </c>
      <c r="E823" s="8" t="s">
        <v>820</v>
      </c>
      <c r="F823" s="8" t="s">
        <v>123</v>
      </c>
      <c r="G823" s="8" t="s">
        <v>65</v>
      </c>
      <c r="H823" s="8" t="s">
        <v>215</v>
      </c>
      <c r="I823" s="3">
        <v>2</v>
      </c>
      <c r="J823" s="8" t="s">
        <v>163</v>
      </c>
      <c r="K823" s="8" t="s">
        <v>164</v>
      </c>
      <c r="L823" s="8" t="s">
        <v>557</v>
      </c>
      <c r="M823" s="1" t="s">
        <v>211</v>
      </c>
      <c r="N823" s="8" t="s">
        <v>212</v>
      </c>
      <c r="O823" s="6">
        <v>0</v>
      </c>
      <c r="P823" s="6">
        <v>0</v>
      </c>
      <c r="Q823" s="6">
        <v>0</v>
      </c>
      <c r="R823" s="6">
        <v>0</v>
      </c>
      <c r="S823" s="6">
        <v>335</v>
      </c>
    </row>
    <row r="824" spans="1:19" ht="15" hidden="1" x14ac:dyDescent="0.25">
      <c r="A824" s="7" t="s">
        <v>16</v>
      </c>
      <c r="B824" s="7" t="s">
        <v>21</v>
      </c>
      <c r="C824" s="7" t="s">
        <v>18</v>
      </c>
      <c r="D824" s="4">
        <v>3533726001583</v>
      </c>
      <c r="E824" s="8" t="s">
        <v>788</v>
      </c>
      <c r="F824" s="8" t="s">
        <v>789</v>
      </c>
      <c r="G824" s="8" t="s">
        <v>69</v>
      </c>
      <c r="H824" s="8" t="s">
        <v>215</v>
      </c>
      <c r="I824" s="3">
        <v>2</v>
      </c>
      <c r="J824" s="8" t="s">
        <v>187</v>
      </c>
      <c r="K824" s="8" t="s">
        <v>188</v>
      </c>
      <c r="L824" s="8" t="s">
        <v>556</v>
      </c>
      <c r="M824" s="1" t="s">
        <v>211</v>
      </c>
      <c r="N824" s="8" t="s">
        <v>212</v>
      </c>
      <c r="O824" s="6">
        <v>0</v>
      </c>
      <c r="P824" s="6">
        <v>0</v>
      </c>
      <c r="Q824" s="6">
        <v>0</v>
      </c>
      <c r="R824" s="6">
        <v>0</v>
      </c>
      <c r="S824" s="6">
        <v>30</v>
      </c>
    </row>
    <row r="825" spans="1:19" ht="15" hidden="1" x14ac:dyDescent="0.25">
      <c r="A825" s="7" t="s">
        <v>16</v>
      </c>
      <c r="B825" s="7" t="s">
        <v>21</v>
      </c>
      <c r="C825" s="7" t="s">
        <v>18</v>
      </c>
      <c r="D825" s="4">
        <v>3533726001583</v>
      </c>
      <c r="E825" s="8" t="s">
        <v>788</v>
      </c>
      <c r="F825" s="8" t="s">
        <v>789</v>
      </c>
      <c r="G825" s="8" t="s">
        <v>69</v>
      </c>
      <c r="H825" s="8" t="s">
        <v>215</v>
      </c>
      <c r="I825" s="3">
        <v>2</v>
      </c>
      <c r="J825" s="8" t="s">
        <v>163</v>
      </c>
      <c r="K825" s="8" t="s">
        <v>164</v>
      </c>
      <c r="L825" s="8" t="s">
        <v>557</v>
      </c>
      <c r="M825" s="1" t="s">
        <v>211</v>
      </c>
      <c r="N825" s="8" t="s">
        <v>212</v>
      </c>
      <c r="O825" s="6">
        <v>0</v>
      </c>
      <c r="P825" s="6">
        <v>0</v>
      </c>
      <c r="Q825" s="6">
        <v>0</v>
      </c>
      <c r="R825" s="6">
        <v>0</v>
      </c>
      <c r="S825" s="6">
        <v>30</v>
      </c>
    </row>
    <row r="826" spans="1:19" ht="15" hidden="1" x14ac:dyDescent="0.25">
      <c r="A826" s="7" t="s">
        <v>16</v>
      </c>
      <c r="B826" s="7" t="s">
        <v>21</v>
      </c>
      <c r="C826" s="7" t="s">
        <v>18</v>
      </c>
      <c r="D826" s="4">
        <v>1757351000104</v>
      </c>
      <c r="E826" s="8" t="s">
        <v>771</v>
      </c>
      <c r="F826" s="8" t="s">
        <v>772</v>
      </c>
      <c r="G826" s="8" t="s">
        <v>69</v>
      </c>
      <c r="H826" s="8" t="s">
        <v>215</v>
      </c>
      <c r="I826" s="3">
        <v>2</v>
      </c>
      <c r="J826" s="8" t="s">
        <v>187</v>
      </c>
      <c r="K826" s="8" t="s">
        <v>188</v>
      </c>
      <c r="L826" s="8" t="s">
        <v>556</v>
      </c>
      <c r="M826" s="1" t="s">
        <v>211</v>
      </c>
      <c r="N826" s="8" t="s">
        <v>212</v>
      </c>
      <c r="O826" s="6">
        <v>0</v>
      </c>
      <c r="P826" s="6">
        <v>0</v>
      </c>
      <c r="Q826" s="6">
        <v>0</v>
      </c>
      <c r="R826" s="6">
        <v>0</v>
      </c>
      <c r="S826" s="6">
        <v>0</v>
      </c>
    </row>
    <row r="827" spans="1:19" ht="15" hidden="1" x14ac:dyDescent="0.25">
      <c r="A827" s="7" t="s">
        <v>16</v>
      </c>
      <c r="B827" s="7" t="s">
        <v>21</v>
      </c>
      <c r="C827" s="7" t="s">
        <v>18</v>
      </c>
      <c r="D827" s="4">
        <v>1757351000104</v>
      </c>
      <c r="E827" s="8" t="s">
        <v>771</v>
      </c>
      <c r="F827" s="8" t="s">
        <v>772</v>
      </c>
      <c r="G827" s="8" t="s">
        <v>69</v>
      </c>
      <c r="H827" s="8" t="s">
        <v>215</v>
      </c>
      <c r="I827" s="3">
        <v>2</v>
      </c>
      <c r="J827" s="8" t="s">
        <v>163</v>
      </c>
      <c r="K827" s="8" t="s">
        <v>164</v>
      </c>
      <c r="L827" s="8" t="s">
        <v>557</v>
      </c>
      <c r="M827" s="1" t="s">
        <v>211</v>
      </c>
      <c r="N827" s="8" t="s">
        <v>212</v>
      </c>
      <c r="O827" s="6">
        <v>0</v>
      </c>
      <c r="P827" s="6">
        <v>10</v>
      </c>
      <c r="Q827" s="6">
        <v>0</v>
      </c>
      <c r="R827" s="6">
        <v>0</v>
      </c>
      <c r="S827" s="6">
        <v>0</v>
      </c>
    </row>
    <row r="828" spans="1:19" ht="15" hidden="1" x14ac:dyDescent="0.25">
      <c r="A828" s="7" t="s">
        <v>16</v>
      </c>
      <c r="B828" s="7" t="s">
        <v>21</v>
      </c>
      <c r="C828" s="7" t="s">
        <v>18</v>
      </c>
      <c r="D828" s="4">
        <v>3925419000142</v>
      </c>
      <c r="E828" s="8" t="s">
        <v>795</v>
      </c>
      <c r="F828" s="8" t="s">
        <v>772</v>
      </c>
      <c r="G828" s="8" t="s">
        <v>69</v>
      </c>
      <c r="H828" s="8" t="s">
        <v>215</v>
      </c>
      <c r="I828" s="3">
        <v>2</v>
      </c>
      <c r="J828" s="8" t="s">
        <v>187</v>
      </c>
      <c r="K828" s="8" t="s">
        <v>188</v>
      </c>
      <c r="L828" s="8" t="s">
        <v>556</v>
      </c>
      <c r="M828" s="1" t="s">
        <v>211</v>
      </c>
      <c r="N828" s="8" t="s">
        <v>212</v>
      </c>
      <c r="O828" s="6">
        <v>0</v>
      </c>
      <c r="P828" s="6">
        <v>0</v>
      </c>
      <c r="Q828" s="6">
        <v>0</v>
      </c>
      <c r="R828" s="6">
        <v>0</v>
      </c>
      <c r="S828" s="6">
        <v>0</v>
      </c>
    </row>
    <row r="829" spans="1:19" ht="15" hidden="1" x14ac:dyDescent="0.25">
      <c r="A829" s="7" t="s">
        <v>16</v>
      </c>
      <c r="B829" s="7" t="s">
        <v>21</v>
      </c>
      <c r="C829" s="7" t="s">
        <v>18</v>
      </c>
      <c r="D829" s="4">
        <v>3925419000142</v>
      </c>
      <c r="E829" s="8" t="s">
        <v>795</v>
      </c>
      <c r="F829" s="8" t="s">
        <v>772</v>
      </c>
      <c r="G829" s="8" t="s">
        <v>69</v>
      </c>
      <c r="H829" s="8" t="s">
        <v>215</v>
      </c>
      <c r="I829" s="3">
        <v>2</v>
      </c>
      <c r="J829" s="8" t="s">
        <v>163</v>
      </c>
      <c r="K829" s="8" t="s">
        <v>164</v>
      </c>
      <c r="L829" s="8" t="s">
        <v>557</v>
      </c>
      <c r="M829" s="1" t="s">
        <v>211</v>
      </c>
      <c r="N829" s="8" t="s">
        <v>212</v>
      </c>
      <c r="O829" s="6">
        <v>0</v>
      </c>
      <c r="P829" s="6">
        <v>8</v>
      </c>
      <c r="Q829" s="6">
        <v>0</v>
      </c>
      <c r="R829" s="6">
        <v>0</v>
      </c>
      <c r="S829" s="6">
        <v>0</v>
      </c>
    </row>
    <row r="830" spans="1:19" ht="15" hidden="1" x14ac:dyDescent="0.25">
      <c r="A830" s="7" t="s">
        <v>16</v>
      </c>
      <c r="B830" s="7" t="s">
        <v>21</v>
      </c>
      <c r="C830" s="7" t="s">
        <v>18</v>
      </c>
      <c r="D830" s="4">
        <v>3533726000773</v>
      </c>
      <c r="E830" s="8" t="s">
        <v>787</v>
      </c>
      <c r="F830" s="8" t="s">
        <v>772</v>
      </c>
      <c r="G830" s="8" t="s">
        <v>69</v>
      </c>
      <c r="H830" s="8" t="s">
        <v>215</v>
      </c>
      <c r="I830" s="3">
        <v>2</v>
      </c>
      <c r="J830" s="8" t="s">
        <v>187</v>
      </c>
      <c r="K830" s="8" t="s">
        <v>188</v>
      </c>
      <c r="L830" s="8" t="s">
        <v>556</v>
      </c>
      <c r="M830" s="1" t="s">
        <v>211</v>
      </c>
      <c r="N830" s="8" t="s">
        <v>212</v>
      </c>
      <c r="O830" s="6">
        <v>0</v>
      </c>
      <c r="P830" s="6">
        <v>0</v>
      </c>
      <c r="Q830" s="6">
        <v>0</v>
      </c>
      <c r="R830" s="6">
        <v>0</v>
      </c>
      <c r="S830" s="6">
        <v>90</v>
      </c>
    </row>
    <row r="831" spans="1:19" ht="15" hidden="1" x14ac:dyDescent="0.25">
      <c r="A831" s="7" t="s">
        <v>16</v>
      </c>
      <c r="B831" s="7" t="s">
        <v>21</v>
      </c>
      <c r="C831" s="7" t="s">
        <v>18</v>
      </c>
      <c r="D831" s="4">
        <v>3533726000773</v>
      </c>
      <c r="E831" s="8" t="s">
        <v>787</v>
      </c>
      <c r="F831" s="8" t="s">
        <v>772</v>
      </c>
      <c r="G831" s="8" t="s">
        <v>69</v>
      </c>
      <c r="H831" s="8" t="s">
        <v>215</v>
      </c>
      <c r="I831" s="3">
        <v>2</v>
      </c>
      <c r="J831" s="8" t="s">
        <v>163</v>
      </c>
      <c r="K831" s="8" t="s">
        <v>164</v>
      </c>
      <c r="L831" s="8" t="s">
        <v>557</v>
      </c>
      <c r="M831" s="1" t="s">
        <v>211</v>
      </c>
      <c r="N831" s="8" t="s">
        <v>212</v>
      </c>
      <c r="O831" s="6">
        <v>0</v>
      </c>
      <c r="P831" s="6">
        <v>0</v>
      </c>
      <c r="Q831" s="6">
        <v>0</v>
      </c>
      <c r="R831" s="6">
        <v>0</v>
      </c>
      <c r="S831" s="6">
        <v>90</v>
      </c>
    </row>
    <row r="832" spans="1:19" ht="15" hidden="1" x14ac:dyDescent="0.25">
      <c r="A832" s="7" t="s">
        <v>16</v>
      </c>
      <c r="B832" s="7" t="s">
        <v>21</v>
      </c>
      <c r="C832" s="7" t="s">
        <v>18</v>
      </c>
      <c r="D832" s="4">
        <v>12361267000274</v>
      </c>
      <c r="E832" s="8" t="s">
        <v>1159</v>
      </c>
      <c r="F832" s="8" t="s">
        <v>1129</v>
      </c>
      <c r="G832" s="8" t="s">
        <v>52</v>
      </c>
      <c r="H832" s="8" t="s">
        <v>215</v>
      </c>
      <c r="I832" s="3">
        <v>1</v>
      </c>
      <c r="J832" s="8" t="s">
        <v>201</v>
      </c>
      <c r="K832" s="8" t="s">
        <v>202</v>
      </c>
      <c r="L832" s="8" t="s">
        <v>740</v>
      </c>
      <c r="M832" s="1" t="s">
        <v>211</v>
      </c>
      <c r="N832" s="8" t="s">
        <v>212</v>
      </c>
      <c r="O832" s="6">
        <v>0</v>
      </c>
      <c r="P832" s="6">
        <v>0</v>
      </c>
      <c r="Q832" s="6">
        <v>0</v>
      </c>
      <c r="R832" s="6">
        <v>0</v>
      </c>
      <c r="S832" s="6">
        <v>150</v>
      </c>
    </row>
    <row r="833" spans="1:19" ht="15" hidden="1" x14ac:dyDescent="0.25">
      <c r="A833" s="7" t="s">
        <v>16</v>
      </c>
      <c r="B833" s="7" t="s">
        <v>21</v>
      </c>
      <c r="C833" s="7" t="s">
        <v>18</v>
      </c>
      <c r="D833" s="4">
        <v>5054929000117</v>
      </c>
      <c r="E833" s="8" t="s">
        <v>1149</v>
      </c>
      <c r="F833" s="8" t="s">
        <v>1129</v>
      </c>
      <c r="G833" s="8" t="s">
        <v>52</v>
      </c>
      <c r="H833" s="8" t="s">
        <v>215</v>
      </c>
      <c r="I833" s="3">
        <v>1</v>
      </c>
      <c r="J833" s="8" t="s">
        <v>201</v>
      </c>
      <c r="K833" s="8" t="s">
        <v>202</v>
      </c>
      <c r="L833" s="8" t="s">
        <v>740</v>
      </c>
      <c r="M833" s="1" t="s">
        <v>211</v>
      </c>
      <c r="N833" s="8" t="s">
        <v>212</v>
      </c>
      <c r="O833" s="6">
        <v>0</v>
      </c>
      <c r="P833" s="6">
        <v>0</v>
      </c>
      <c r="Q833" s="6">
        <v>0</v>
      </c>
      <c r="R833" s="6">
        <v>48</v>
      </c>
      <c r="S833" s="6">
        <v>0</v>
      </c>
    </row>
    <row r="834" spans="1:19" ht="15" hidden="1" x14ac:dyDescent="0.25">
      <c r="A834" s="7" t="s">
        <v>16</v>
      </c>
      <c r="B834" s="7" t="s">
        <v>21</v>
      </c>
      <c r="C834" s="7" t="s">
        <v>18</v>
      </c>
      <c r="D834" s="4">
        <v>4201372001028</v>
      </c>
      <c r="E834" s="8" t="s">
        <v>1145</v>
      </c>
      <c r="F834" s="8" t="s">
        <v>1129</v>
      </c>
      <c r="G834" s="8" t="s">
        <v>52</v>
      </c>
      <c r="H834" s="8" t="s">
        <v>215</v>
      </c>
      <c r="I834" s="3">
        <v>1</v>
      </c>
      <c r="J834" s="8" t="s">
        <v>201</v>
      </c>
      <c r="K834" s="8" t="s">
        <v>202</v>
      </c>
      <c r="L834" s="8" t="s">
        <v>740</v>
      </c>
      <c r="M834" s="1" t="s">
        <v>211</v>
      </c>
      <c r="N834" s="8" t="s">
        <v>212</v>
      </c>
      <c r="O834" s="6">
        <v>0</v>
      </c>
      <c r="P834" s="6">
        <v>0</v>
      </c>
      <c r="Q834" s="6">
        <v>0</v>
      </c>
      <c r="R834" s="6">
        <v>52</v>
      </c>
      <c r="S834" s="6">
        <v>0</v>
      </c>
    </row>
    <row r="835" spans="1:19" ht="15" hidden="1" x14ac:dyDescent="0.25">
      <c r="A835" s="7" t="s">
        <v>16</v>
      </c>
      <c r="B835" s="7" t="s">
        <v>21</v>
      </c>
      <c r="C835" s="7" t="s">
        <v>18</v>
      </c>
      <c r="D835" s="4">
        <v>14112023000100</v>
      </c>
      <c r="E835" s="8" t="s">
        <v>1161</v>
      </c>
      <c r="F835" s="8" t="s">
        <v>1162</v>
      </c>
      <c r="G835" s="8" t="s">
        <v>52</v>
      </c>
      <c r="H835" s="8" t="s">
        <v>215</v>
      </c>
      <c r="I835" s="3">
        <v>1</v>
      </c>
      <c r="J835" s="8" t="s">
        <v>201</v>
      </c>
      <c r="K835" s="8" t="s">
        <v>202</v>
      </c>
      <c r="L835" s="8" t="s">
        <v>740</v>
      </c>
      <c r="M835" s="1" t="s">
        <v>211</v>
      </c>
      <c r="N835" s="8" t="s">
        <v>212</v>
      </c>
      <c r="O835" s="6">
        <v>0</v>
      </c>
      <c r="P835" s="6">
        <v>0</v>
      </c>
      <c r="Q835" s="6">
        <v>0</v>
      </c>
      <c r="R835" s="6">
        <v>0</v>
      </c>
      <c r="S835" s="6">
        <v>18</v>
      </c>
    </row>
    <row r="836" spans="1:19" ht="15" hidden="1" x14ac:dyDescent="0.25">
      <c r="A836" s="7" t="s">
        <v>16</v>
      </c>
      <c r="B836" s="7" t="s">
        <v>21</v>
      </c>
      <c r="C836" s="7" t="s">
        <v>18</v>
      </c>
      <c r="D836" s="4">
        <v>24232886008303</v>
      </c>
      <c r="E836" s="8" t="s">
        <v>1198</v>
      </c>
      <c r="F836" s="8" t="s">
        <v>1199</v>
      </c>
      <c r="G836" s="8" t="s">
        <v>52</v>
      </c>
      <c r="H836" s="8" t="s">
        <v>215</v>
      </c>
      <c r="I836" s="3">
        <v>1</v>
      </c>
      <c r="J836" s="8" t="s">
        <v>201</v>
      </c>
      <c r="K836" s="8" t="s">
        <v>202</v>
      </c>
      <c r="L836" s="8" t="s">
        <v>740</v>
      </c>
      <c r="M836" s="1" t="s">
        <v>211</v>
      </c>
      <c r="N836" s="8" t="s">
        <v>212</v>
      </c>
      <c r="O836" s="6">
        <v>0</v>
      </c>
      <c r="P836" s="6">
        <v>2</v>
      </c>
      <c r="Q836" s="6">
        <v>0</v>
      </c>
      <c r="R836" s="6">
        <v>0</v>
      </c>
      <c r="S836" s="6">
        <v>0</v>
      </c>
    </row>
    <row r="837" spans="1:19" ht="15" hidden="1" x14ac:dyDescent="0.25">
      <c r="A837" s="7" t="s">
        <v>16</v>
      </c>
      <c r="B837" s="7" t="s">
        <v>21</v>
      </c>
      <c r="C837" s="7" t="s">
        <v>18</v>
      </c>
      <c r="D837" s="4">
        <v>8680639000681</v>
      </c>
      <c r="E837" s="8" t="s">
        <v>827</v>
      </c>
      <c r="F837" s="8" t="s">
        <v>747</v>
      </c>
      <c r="G837" s="8" t="s">
        <v>56</v>
      </c>
      <c r="H837" s="8" t="s">
        <v>215</v>
      </c>
      <c r="I837" s="3">
        <v>2</v>
      </c>
      <c r="J837" s="8" t="s">
        <v>199</v>
      </c>
      <c r="K837" s="8" t="s">
        <v>200</v>
      </c>
      <c r="L837" s="8" t="s">
        <v>556</v>
      </c>
      <c r="M837" s="1" t="s">
        <v>211</v>
      </c>
      <c r="N837" s="8" t="s">
        <v>212</v>
      </c>
      <c r="O837" s="6">
        <v>0</v>
      </c>
      <c r="P837" s="6">
        <v>0</v>
      </c>
      <c r="Q837" s="6">
        <v>0</v>
      </c>
      <c r="R837" s="6">
        <v>68</v>
      </c>
      <c r="S837" s="6">
        <v>155</v>
      </c>
    </row>
    <row r="838" spans="1:19" ht="15" hidden="1" x14ac:dyDescent="0.25">
      <c r="A838" s="7" t="s">
        <v>16</v>
      </c>
      <c r="B838" s="7" t="s">
        <v>21</v>
      </c>
      <c r="C838" s="7" t="s">
        <v>18</v>
      </c>
      <c r="D838" s="4">
        <v>8680639000681</v>
      </c>
      <c r="E838" s="8" t="s">
        <v>827</v>
      </c>
      <c r="F838" s="8" t="s">
        <v>747</v>
      </c>
      <c r="G838" s="8" t="s">
        <v>56</v>
      </c>
      <c r="H838" s="8" t="s">
        <v>215</v>
      </c>
      <c r="I838" s="3">
        <v>2</v>
      </c>
      <c r="J838" s="8" t="s">
        <v>169</v>
      </c>
      <c r="K838" s="8" t="s">
        <v>170</v>
      </c>
      <c r="L838" s="8" t="s">
        <v>557</v>
      </c>
      <c r="M838" s="1" t="s">
        <v>211</v>
      </c>
      <c r="N838" s="8" t="s">
        <v>212</v>
      </c>
      <c r="O838" s="6">
        <v>0</v>
      </c>
      <c r="P838" s="6">
        <v>0</v>
      </c>
      <c r="Q838" s="6">
        <v>0</v>
      </c>
      <c r="R838" s="6">
        <v>0</v>
      </c>
      <c r="S838" s="6">
        <v>155</v>
      </c>
    </row>
    <row r="839" spans="1:19" ht="15" hidden="1" x14ac:dyDescent="0.25">
      <c r="A839" s="7" t="s">
        <v>16</v>
      </c>
      <c r="B839" s="7" t="s">
        <v>21</v>
      </c>
      <c r="C839" s="7" t="s">
        <v>18</v>
      </c>
      <c r="D839" s="4">
        <v>9039744000275</v>
      </c>
      <c r="E839" s="8" t="s">
        <v>829</v>
      </c>
      <c r="F839" s="8" t="s">
        <v>99</v>
      </c>
      <c r="G839" s="8" t="s">
        <v>71</v>
      </c>
      <c r="H839" s="8" t="s">
        <v>215</v>
      </c>
      <c r="I839" s="3">
        <v>2</v>
      </c>
      <c r="J839" s="8" t="s">
        <v>199</v>
      </c>
      <c r="K839" s="8" t="s">
        <v>200</v>
      </c>
      <c r="L839" s="8" t="s">
        <v>556</v>
      </c>
      <c r="M839" s="1" t="s">
        <v>211</v>
      </c>
      <c r="N839" s="8" t="s">
        <v>212</v>
      </c>
      <c r="O839" s="6">
        <v>0</v>
      </c>
      <c r="P839" s="6">
        <v>0</v>
      </c>
      <c r="Q839" s="6">
        <v>0</v>
      </c>
      <c r="R839" s="6">
        <v>0</v>
      </c>
      <c r="S839" s="6">
        <v>0</v>
      </c>
    </row>
    <row r="840" spans="1:19" ht="15" hidden="1" x14ac:dyDescent="0.25">
      <c r="A840" s="7" t="s">
        <v>16</v>
      </c>
      <c r="B840" s="7" t="s">
        <v>21</v>
      </c>
      <c r="C840" s="7" t="s">
        <v>18</v>
      </c>
      <c r="D840" s="4">
        <v>9039744000275</v>
      </c>
      <c r="E840" s="8" t="s">
        <v>829</v>
      </c>
      <c r="F840" s="8" t="s">
        <v>99</v>
      </c>
      <c r="G840" s="8" t="s">
        <v>71</v>
      </c>
      <c r="H840" s="8" t="s">
        <v>215</v>
      </c>
      <c r="I840" s="3">
        <v>2</v>
      </c>
      <c r="J840" s="8" t="s">
        <v>169</v>
      </c>
      <c r="K840" s="8" t="s">
        <v>170</v>
      </c>
      <c r="L840" s="8" t="s">
        <v>557</v>
      </c>
      <c r="M840" s="1" t="s">
        <v>211</v>
      </c>
      <c r="N840" s="8" t="s">
        <v>212</v>
      </c>
      <c r="O840" s="6">
        <v>0</v>
      </c>
      <c r="P840" s="6">
        <v>1</v>
      </c>
      <c r="Q840" s="6">
        <v>0</v>
      </c>
      <c r="R840" s="6">
        <v>0</v>
      </c>
      <c r="S840" s="6">
        <v>0</v>
      </c>
    </row>
    <row r="841" spans="1:19" ht="15" hidden="1" x14ac:dyDescent="0.25">
      <c r="A841" s="7" t="s">
        <v>16</v>
      </c>
      <c r="B841" s="7" t="s">
        <v>21</v>
      </c>
      <c r="C841" s="7" t="s">
        <v>18</v>
      </c>
      <c r="D841" s="4">
        <v>2284062000106</v>
      </c>
      <c r="E841" s="8" t="s">
        <v>774</v>
      </c>
      <c r="F841" s="8" t="s">
        <v>70</v>
      </c>
      <c r="G841" s="8" t="s">
        <v>71</v>
      </c>
      <c r="H841" s="8" t="s">
        <v>215</v>
      </c>
      <c r="I841" s="3">
        <v>2</v>
      </c>
      <c r="J841" s="8" t="s">
        <v>199</v>
      </c>
      <c r="K841" s="8" t="s">
        <v>200</v>
      </c>
      <c r="L841" s="8" t="s">
        <v>556</v>
      </c>
      <c r="M841" s="1" t="s">
        <v>211</v>
      </c>
      <c r="N841" s="8" t="s">
        <v>212</v>
      </c>
      <c r="O841" s="6">
        <v>0</v>
      </c>
      <c r="P841" s="6">
        <v>0</v>
      </c>
      <c r="Q841" s="6">
        <v>0</v>
      </c>
      <c r="R841" s="6">
        <v>0</v>
      </c>
      <c r="S841" s="6">
        <v>0</v>
      </c>
    </row>
    <row r="842" spans="1:19" ht="15" hidden="1" x14ac:dyDescent="0.25">
      <c r="A842" s="7" t="s">
        <v>16</v>
      </c>
      <c r="B842" s="7" t="s">
        <v>21</v>
      </c>
      <c r="C842" s="7" t="s">
        <v>18</v>
      </c>
      <c r="D842" s="4">
        <v>2284062000106</v>
      </c>
      <c r="E842" s="8" t="s">
        <v>774</v>
      </c>
      <c r="F842" s="8" t="s">
        <v>70</v>
      </c>
      <c r="G842" s="8" t="s">
        <v>71</v>
      </c>
      <c r="H842" s="8" t="s">
        <v>215</v>
      </c>
      <c r="I842" s="3">
        <v>2</v>
      </c>
      <c r="J842" s="8" t="s">
        <v>169</v>
      </c>
      <c r="K842" s="8" t="s">
        <v>170</v>
      </c>
      <c r="L842" s="8" t="s">
        <v>557</v>
      </c>
      <c r="M842" s="1" t="s">
        <v>211</v>
      </c>
      <c r="N842" s="8" t="s">
        <v>212</v>
      </c>
      <c r="O842" s="6">
        <v>0</v>
      </c>
      <c r="P842" s="6">
        <v>6</v>
      </c>
      <c r="Q842" s="6">
        <v>4</v>
      </c>
      <c r="R842" s="6">
        <v>0</v>
      </c>
      <c r="S842" s="6">
        <v>0</v>
      </c>
    </row>
    <row r="843" spans="1:19" ht="15" hidden="1" x14ac:dyDescent="0.25">
      <c r="A843" s="7" t="s">
        <v>16</v>
      </c>
      <c r="B843" s="7" t="s">
        <v>21</v>
      </c>
      <c r="C843" s="7" t="s">
        <v>18</v>
      </c>
      <c r="D843" s="4">
        <v>12361267007287</v>
      </c>
      <c r="E843" s="8" t="s">
        <v>853</v>
      </c>
      <c r="F843" s="8" t="s">
        <v>70</v>
      </c>
      <c r="G843" s="8" t="s">
        <v>71</v>
      </c>
      <c r="H843" s="8" t="s">
        <v>215</v>
      </c>
      <c r="I843" s="3">
        <v>2</v>
      </c>
      <c r="J843" s="8" t="s">
        <v>199</v>
      </c>
      <c r="K843" s="8" t="s">
        <v>200</v>
      </c>
      <c r="L843" s="8" t="s">
        <v>556</v>
      </c>
      <c r="M843" s="1" t="s">
        <v>211</v>
      </c>
      <c r="N843" s="8" t="s">
        <v>212</v>
      </c>
      <c r="O843" s="6">
        <v>0</v>
      </c>
      <c r="P843" s="6">
        <v>0</v>
      </c>
      <c r="Q843" s="6">
        <v>0</v>
      </c>
      <c r="R843" s="6">
        <v>0</v>
      </c>
      <c r="S843" s="6">
        <v>150</v>
      </c>
    </row>
    <row r="844" spans="1:19" ht="15" hidden="1" x14ac:dyDescent="0.25">
      <c r="A844" s="7" t="s">
        <v>16</v>
      </c>
      <c r="B844" s="7" t="s">
        <v>21</v>
      </c>
      <c r="C844" s="7" t="s">
        <v>18</v>
      </c>
      <c r="D844" s="4">
        <v>12361267007287</v>
      </c>
      <c r="E844" s="8" t="s">
        <v>853</v>
      </c>
      <c r="F844" s="8" t="s">
        <v>70</v>
      </c>
      <c r="G844" s="8" t="s">
        <v>71</v>
      </c>
      <c r="H844" s="8" t="s">
        <v>215</v>
      </c>
      <c r="I844" s="3">
        <v>2</v>
      </c>
      <c r="J844" s="8" t="s">
        <v>169</v>
      </c>
      <c r="K844" s="8" t="s">
        <v>170</v>
      </c>
      <c r="L844" s="8" t="s">
        <v>557</v>
      </c>
      <c r="M844" s="1" t="s">
        <v>211</v>
      </c>
      <c r="N844" s="8" t="s">
        <v>212</v>
      </c>
      <c r="O844" s="6">
        <v>0</v>
      </c>
      <c r="P844" s="6">
        <v>0</v>
      </c>
      <c r="Q844" s="6">
        <v>0</v>
      </c>
      <c r="R844" s="6">
        <v>0</v>
      </c>
      <c r="S844" s="6">
        <v>150</v>
      </c>
    </row>
    <row r="845" spans="1:19" ht="15" hidden="1" x14ac:dyDescent="0.25">
      <c r="A845" s="7" t="s">
        <v>16</v>
      </c>
      <c r="B845" s="7" t="s">
        <v>21</v>
      </c>
      <c r="C845" s="7" t="s">
        <v>18</v>
      </c>
      <c r="D845" s="4">
        <v>11452240000143</v>
      </c>
      <c r="E845" s="8" t="s">
        <v>844</v>
      </c>
      <c r="F845" s="8" t="s">
        <v>70</v>
      </c>
      <c r="G845" s="8" t="s">
        <v>71</v>
      </c>
      <c r="H845" s="8" t="s">
        <v>215</v>
      </c>
      <c r="I845" s="3">
        <v>2</v>
      </c>
      <c r="J845" s="8" t="s">
        <v>199</v>
      </c>
      <c r="K845" s="8" t="s">
        <v>200</v>
      </c>
      <c r="L845" s="8" t="s">
        <v>556</v>
      </c>
      <c r="M845" s="1" t="s">
        <v>211</v>
      </c>
      <c r="N845" s="8" t="s">
        <v>212</v>
      </c>
      <c r="O845" s="6">
        <v>0</v>
      </c>
      <c r="P845" s="6">
        <v>0</v>
      </c>
      <c r="Q845" s="6">
        <v>0</v>
      </c>
      <c r="R845" s="6">
        <v>0</v>
      </c>
      <c r="S845" s="6">
        <v>635</v>
      </c>
    </row>
    <row r="846" spans="1:19" ht="15" hidden="1" x14ac:dyDescent="0.25">
      <c r="A846" s="7" t="s">
        <v>16</v>
      </c>
      <c r="B846" s="7" t="s">
        <v>21</v>
      </c>
      <c r="C846" s="7" t="s">
        <v>18</v>
      </c>
      <c r="D846" s="4">
        <v>11452240000143</v>
      </c>
      <c r="E846" s="8" t="s">
        <v>844</v>
      </c>
      <c r="F846" s="8" t="s">
        <v>70</v>
      </c>
      <c r="G846" s="8" t="s">
        <v>71</v>
      </c>
      <c r="H846" s="8" t="s">
        <v>215</v>
      </c>
      <c r="I846" s="3">
        <v>2</v>
      </c>
      <c r="J846" s="8" t="s">
        <v>169</v>
      </c>
      <c r="K846" s="8" t="s">
        <v>170</v>
      </c>
      <c r="L846" s="8" t="s">
        <v>557</v>
      </c>
      <c r="M846" s="1" t="s">
        <v>211</v>
      </c>
      <c r="N846" s="8" t="s">
        <v>212</v>
      </c>
      <c r="O846" s="6">
        <v>0</v>
      </c>
      <c r="P846" s="6">
        <v>0</v>
      </c>
      <c r="Q846" s="6">
        <v>1</v>
      </c>
      <c r="R846" s="6">
        <v>0</v>
      </c>
      <c r="S846" s="6">
        <v>635</v>
      </c>
    </row>
    <row r="847" spans="1:19" ht="15" hidden="1" x14ac:dyDescent="0.25">
      <c r="A847" s="7" t="s">
        <v>16</v>
      </c>
      <c r="B847" s="7" t="s">
        <v>21</v>
      </c>
      <c r="C847" s="7" t="s">
        <v>18</v>
      </c>
      <c r="D847" s="4">
        <v>6047087009276</v>
      </c>
      <c r="E847" s="8" t="s">
        <v>812</v>
      </c>
      <c r="F847" s="8" t="s">
        <v>70</v>
      </c>
      <c r="G847" s="8" t="s">
        <v>71</v>
      </c>
      <c r="H847" s="8" t="s">
        <v>215</v>
      </c>
      <c r="I847" s="3">
        <v>2</v>
      </c>
      <c r="J847" s="8" t="s">
        <v>199</v>
      </c>
      <c r="K847" s="8" t="s">
        <v>200</v>
      </c>
      <c r="L847" s="8" t="s">
        <v>556</v>
      </c>
      <c r="M847" s="1" t="s">
        <v>211</v>
      </c>
      <c r="N847" s="8" t="s">
        <v>212</v>
      </c>
      <c r="O847" s="6">
        <v>0</v>
      </c>
      <c r="P847" s="6">
        <v>0</v>
      </c>
      <c r="Q847" s="6">
        <v>0</v>
      </c>
      <c r="R847" s="6">
        <v>0</v>
      </c>
      <c r="S847" s="6">
        <v>0</v>
      </c>
    </row>
    <row r="848" spans="1:19" ht="15" hidden="1" x14ac:dyDescent="0.25">
      <c r="A848" s="7" t="s">
        <v>16</v>
      </c>
      <c r="B848" s="7" t="s">
        <v>21</v>
      </c>
      <c r="C848" s="7" t="s">
        <v>18</v>
      </c>
      <c r="D848" s="4">
        <v>6047087009276</v>
      </c>
      <c r="E848" s="8" t="s">
        <v>812</v>
      </c>
      <c r="F848" s="8" t="s">
        <v>70</v>
      </c>
      <c r="G848" s="8" t="s">
        <v>71</v>
      </c>
      <c r="H848" s="8" t="s">
        <v>215</v>
      </c>
      <c r="I848" s="3">
        <v>2</v>
      </c>
      <c r="J848" s="8" t="s">
        <v>169</v>
      </c>
      <c r="K848" s="8" t="s">
        <v>170</v>
      </c>
      <c r="L848" s="8" t="s">
        <v>557</v>
      </c>
      <c r="M848" s="1" t="s">
        <v>211</v>
      </c>
      <c r="N848" s="8" t="s">
        <v>212</v>
      </c>
      <c r="O848" s="6">
        <v>0</v>
      </c>
      <c r="P848" s="6">
        <v>0</v>
      </c>
      <c r="Q848" s="6">
        <v>2</v>
      </c>
      <c r="R848" s="6">
        <v>0</v>
      </c>
      <c r="S848" s="6">
        <v>0</v>
      </c>
    </row>
    <row r="849" spans="1:19" ht="15" hidden="1" x14ac:dyDescent="0.25">
      <c r="A849" s="7" t="s">
        <v>16</v>
      </c>
      <c r="B849" s="7" t="s">
        <v>21</v>
      </c>
      <c r="C849" s="7" t="s">
        <v>18</v>
      </c>
      <c r="D849" s="4">
        <v>2284062000440</v>
      </c>
      <c r="E849" s="8" t="s">
        <v>775</v>
      </c>
      <c r="F849" s="8" t="s">
        <v>70</v>
      </c>
      <c r="G849" s="8" t="s">
        <v>71</v>
      </c>
      <c r="H849" s="8" t="s">
        <v>215</v>
      </c>
      <c r="I849" s="3">
        <v>2</v>
      </c>
      <c r="J849" s="8" t="s">
        <v>199</v>
      </c>
      <c r="K849" s="8" t="s">
        <v>200</v>
      </c>
      <c r="L849" s="8" t="s">
        <v>556</v>
      </c>
      <c r="M849" s="1" t="s">
        <v>211</v>
      </c>
      <c r="N849" s="8" t="s">
        <v>212</v>
      </c>
      <c r="O849" s="6">
        <v>0</v>
      </c>
      <c r="P849" s="6">
        <v>0</v>
      </c>
      <c r="Q849" s="6">
        <v>0</v>
      </c>
      <c r="R849" s="6">
        <v>0</v>
      </c>
      <c r="S849" s="6">
        <v>0</v>
      </c>
    </row>
    <row r="850" spans="1:19" ht="15" hidden="1" x14ac:dyDescent="0.25">
      <c r="A850" s="7" t="s">
        <v>16</v>
      </c>
      <c r="B850" s="7" t="s">
        <v>21</v>
      </c>
      <c r="C850" s="7" t="s">
        <v>18</v>
      </c>
      <c r="D850" s="4">
        <v>2284062000440</v>
      </c>
      <c r="E850" s="8" t="s">
        <v>775</v>
      </c>
      <c r="F850" s="8" t="s">
        <v>70</v>
      </c>
      <c r="G850" s="8" t="s">
        <v>71</v>
      </c>
      <c r="H850" s="8" t="s">
        <v>215</v>
      </c>
      <c r="I850" s="3">
        <v>2</v>
      </c>
      <c r="J850" s="8" t="s">
        <v>169</v>
      </c>
      <c r="K850" s="8" t="s">
        <v>170</v>
      </c>
      <c r="L850" s="8" t="s">
        <v>557</v>
      </c>
      <c r="M850" s="1" t="s">
        <v>211</v>
      </c>
      <c r="N850" s="8" t="s">
        <v>212</v>
      </c>
      <c r="O850" s="6">
        <v>0</v>
      </c>
      <c r="P850" s="6">
        <v>55</v>
      </c>
      <c r="Q850" s="6">
        <v>0</v>
      </c>
      <c r="R850" s="6">
        <v>0</v>
      </c>
      <c r="S850" s="6">
        <v>0</v>
      </c>
    </row>
    <row r="851" spans="1:19" ht="15" hidden="1" x14ac:dyDescent="0.25">
      <c r="A851" s="7" t="s">
        <v>16</v>
      </c>
      <c r="B851" s="7" t="s">
        <v>21</v>
      </c>
      <c r="C851" s="7" t="s">
        <v>18</v>
      </c>
      <c r="D851" s="4">
        <v>11214624000470</v>
      </c>
      <c r="E851" s="8" t="s">
        <v>841</v>
      </c>
      <c r="F851" s="8" t="s">
        <v>70</v>
      </c>
      <c r="G851" s="8" t="s">
        <v>71</v>
      </c>
      <c r="H851" s="8" t="s">
        <v>215</v>
      </c>
      <c r="I851" s="3">
        <v>2</v>
      </c>
      <c r="J851" s="8" t="s">
        <v>199</v>
      </c>
      <c r="K851" s="8" t="s">
        <v>200</v>
      </c>
      <c r="L851" s="8" t="s">
        <v>556</v>
      </c>
      <c r="M851" s="1" t="s">
        <v>211</v>
      </c>
      <c r="N851" s="8" t="s">
        <v>212</v>
      </c>
      <c r="O851" s="6">
        <v>0</v>
      </c>
      <c r="P851" s="6">
        <v>0</v>
      </c>
      <c r="Q851" s="6">
        <v>0</v>
      </c>
      <c r="R851" s="6">
        <v>0</v>
      </c>
      <c r="S851" s="6">
        <v>100</v>
      </c>
    </row>
    <row r="852" spans="1:19" ht="15" hidden="1" x14ac:dyDescent="0.25">
      <c r="A852" s="7" t="s">
        <v>16</v>
      </c>
      <c r="B852" s="7" t="s">
        <v>21</v>
      </c>
      <c r="C852" s="7" t="s">
        <v>18</v>
      </c>
      <c r="D852" s="4">
        <v>11214624000470</v>
      </c>
      <c r="E852" s="8" t="s">
        <v>841</v>
      </c>
      <c r="F852" s="8" t="s">
        <v>70</v>
      </c>
      <c r="G852" s="8" t="s">
        <v>71</v>
      </c>
      <c r="H852" s="8" t="s">
        <v>215</v>
      </c>
      <c r="I852" s="3">
        <v>2</v>
      </c>
      <c r="J852" s="8" t="s">
        <v>169</v>
      </c>
      <c r="K852" s="8" t="s">
        <v>170</v>
      </c>
      <c r="L852" s="8" t="s">
        <v>557</v>
      </c>
      <c r="M852" s="1" t="s">
        <v>211</v>
      </c>
      <c r="N852" s="8" t="s">
        <v>212</v>
      </c>
      <c r="O852" s="6">
        <v>0</v>
      </c>
      <c r="P852" s="6">
        <v>0</v>
      </c>
      <c r="Q852" s="6">
        <v>0</v>
      </c>
      <c r="R852" s="6">
        <v>0</v>
      </c>
      <c r="S852" s="6">
        <v>100</v>
      </c>
    </row>
    <row r="853" spans="1:19" ht="15" hidden="1" x14ac:dyDescent="0.25">
      <c r="A853" s="7" t="s">
        <v>16</v>
      </c>
      <c r="B853" s="7" t="s">
        <v>21</v>
      </c>
      <c r="C853" s="7" t="s">
        <v>18</v>
      </c>
      <c r="D853" s="4">
        <v>11022597001597</v>
      </c>
      <c r="E853" s="8" t="s">
        <v>840</v>
      </c>
      <c r="F853" s="8" t="s">
        <v>70</v>
      </c>
      <c r="G853" s="8" t="s">
        <v>71</v>
      </c>
      <c r="H853" s="8" t="s">
        <v>215</v>
      </c>
      <c r="I853" s="3">
        <v>2</v>
      </c>
      <c r="J853" s="8" t="s">
        <v>199</v>
      </c>
      <c r="K853" s="8" t="s">
        <v>200</v>
      </c>
      <c r="L853" s="8" t="s">
        <v>556</v>
      </c>
      <c r="M853" s="1" t="s">
        <v>211</v>
      </c>
      <c r="N853" s="8" t="s">
        <v>212</v>
      </c>
      <c r="O853" s="6">
        <v>0</v>
      </c>
      <c r="P853" s="6">
        <v>0</v>
      </c>
      <c r="Q853" s="6">
        <v>0</v>
      </c>
      <c r="R853" s="6">
        <v>0</v>
      </c>
      <c r="S853" s="6">
        <v>0</v>
      </c>
    </row>
    <row r="854" spans="1:19" ht="15" hidden="1" x14ac:dyDescent="0.25">
      <c r="A854" s="7" t="s">
        <v>16</v>
      </c>
      <c r="B854" s="7" t="s">
        <v>21</v>
      </c>
      <c r="C854" s="7" t="s">
        <v>18</v>
      </c>
      <c r="D854" s="4">
        <v>11022597001597</v>
      </c>
      <c r="E854" s="8" t="s">
        <v>840</v>
      </c>
      <c r="F854" s="8" t="s">
        <v>70</v>
      </c>
      <c r="G854" s="8" t="s">
        <v>71</v>
      </c>
      <c r="H854" s="8" t="s">
        <v>215</v>
      </c>
      <c r="I854" s="3">
        <v>2</v>
      </c>
      <c r="J854" s="8" t="s">
        <v>169</v>
      </c>
      <c r="K854" s="8" t="s">
        <v>170</v>
      </c>
      <c r="L854" s="8" t="s">
        <v>557</v>
      </c>
      <c r="M854" s="1" t="s">
        <v>211</v>
      </c>
      <c r="N854" s="8" t="s">
        <v>212</v>
      </c>
      <c r="O854" s="6">
        <v>0</v>
      </c>
      <c r="P854" s="6">
        <v>25</v>
      </c>
      <c r="Q854" s="6">
        <v>0</v>
      </c>
      <c r="R854" s="6">
        <v>0</v>
      </c>
      <c r="S854" s="6">
        <v>0</v>
      </c>
    </row>
    <row r="855" spans="1:19" ht="15" hidden="1" x14ac:dyDescent="0.25">
      <c r="A855" s="7" t="s">
        <v>16</v>
      </c>
      <c r="B855" s="7" t="s">
        <v>21</v>
      </c>
      <c r="C855" s="7" t="s">
        <v>18</v>
      </c>
      <c r="D855" s="4">
        <v>10839561000132</v>
      </c>
      <c r="E855" s="8" t="s">
        <v>834</v>
      </c>
      <c r="F855" s="8" t="s">
        <v>70</v>
      </c>
      <c r="G855" s="8" t="s">
        <v>71</v>
      </c>
      <c r="H855" s="8" t="s">
        <v>215</v>
      </c>
      <c r="I855" s="3">
        <v>2</v>
      </c>
      <c r="J855" s="8" t="s">
        <v>199</v>
      </c>
      <c r="K855" s="8" t="s">
        <v>200</v>
      </c>
      <c r="L855" s="8" t="s">
        <v>556</v>
      </c>
      <c r="M855" s="1" t="s">
        <v>211</v>
      </c>
      <c r="N855" s="8" t="s">
        <v>212</v>
      </c>
      <c r="O855" s="6">
        <v>0</v>
      </c>
      <c r="P855" s="6">
        <v>0</v>
      </c>
      <c r="Q855" s="6">
        <v>0</v>
      </c>
      <c r="R855" s="6">
        <v>32</v>
      </c>
      <c r="S855" s="6">
        <v>420</v>
      </c>
    </row>
    <row r="856" spans="1:19" ht="15" hidden="1" x14ac:dyDescent="0.25">
      <c r="A856" s="7" t="s">
        <v>16</v>
      </c>
      <c r="B856" s="7" t="s">
        <v>21</v>
      </c>
      <c r="C856" s="7" t="s">
        <v>18</v>
      </c>
      <c r="D856" s="4">
        <v>10839561000132</v>
      </c>
      <c r="E856" s="8" t="s">
        <v>834</v>
      </c>
      <c r="F856" s="8" t="s">
        <v>70</v>
      </c>
      <c r="G856" s="8" t="s">
        <v>71</v>
      </c>
      <c r="H856" s="8" t="s">
        <v>215</v>
      </c>
      <c r="I856" s="3">
        <v>2</v>
      </c>
      <c r="J856" s="8" t="s">
        <v>169</v>
      </c>
      <c r="K856" s="8" t="s">
        <v>170</v>
      </c>
      <c r="L856" s="8" t="s">
        <v>557</v>
      </c>
      <c r="M856" s="1" t="s">
        <v>211</v>
      </c>
      <c r="N856" s="8" t="s">
        <v>212</v>
      </c>
      <c r="O856" s="6">
        <v>0</v>
      </c>
      <c r="P856" s="6">
        <v>0</v>
      </c>
      <c r="Q856" s="6">
        <v>0</v>
      </c>
      <c r="R856" s="6">
        <v>0</v>
      </c>
      <c r="S856" s="6">
        <v>420</v>
      </c>
    </row>
    <row r="857" spans="1:19" ht="15" hidden="1" x14ac:dyDescent="0.25">
      <c r="A857" s="7" t="s">
        <v>16</v>
      </c>
      <c r="B857" s="7" t="s">
        <v>21</v>
      </c>
      <c r="C857" s="7" t="s">
        <v>18</v>
      </c>
      <c r="D857" s="4">
        <v>11273170000166</v>
      </c>
      <c r="E857" s="8" t="s">
        <v>843</v>
      </c>
      <c r="F857" s="8" t="s">
        <v>81</v>
      </c>
      <c r="G857" s="8" t="s">
        <v>82</v>
      </c>
      <c r="H857" s="8" t="s">
        <v>215</v>
      </c>
      <c r="I857" s="3">
        <v>2</v>
      </c>
      <c r="J857" s="8" t="s">
        <v>199</v>
      </c>
      <c r="K857" s="8" t="s">
        <v>200</v>
      </c>
      <c r="L857" s="8" t="s">
        <v>556</v>
      </c>
      <c r="M857" s="1" t="s">
        <v>211</v>
      </c>
      <c r="N857" s="8" t="s">
        <v>212</v>
      </c>
      <c r="O857" s="6">
        <v>0</v>
      </c>
      <c r="P857" s="6">
        <v>0</v>
      </c>
      <c r="Q857" s="6">
        <v>0</v>
      </c>
      <c r="R857" s="6">
        <v>0</v>
      </c>
      <c r="S857" s="6">
        <v>500</v>
      </c>
    </row>
    <row r="858" spans="1:19" ht="15" hidden="1" x14ac:dyDescent="0.25">
      <c r="A858" s="7" t="s">
        <v>16</v>
      </c>
      <c r="B858" s="7" t="s">
        <v>21</v>
      </c>
      <c r="C858" s="7" t="s">
        <v>18</v>
      </c>
      <c r="D858" s="4">
        <v>11273170000166</v>
      </c>
      <c r="E858" s="8" t="s">
        <v>843</v>
      </c>
      <c r="F858" s="8" t="s">
        <v>81</v>
      </c>
      <c r="G858" s="8" t="s">
        <v>82</v>
      </c>
      <c r="H858" s="8" t="s">
        <v>215</v>
      </c>
      <c r="I858" s="3">
        <v>2</v>
      </c>
      <c r="J858" s="8" t="s">
        <v>165</v>
      </c>
      <c r="K858" s="8" t="s">
        <v>166</v>
      </c>
      <c r="L858" s="8" t="s">
        <v>557</v>
      </c>
      <c r="M858" s="1" t="s">
        <v>211</v>
      </c>
      <c r="N858" s="8" t="s">
        <v>212</v>
      </c>
      <c r="O858" s="6">
        <v>0</v>
      </c>
      <c r="P858" s="6">
        <v>0</v>
      </c>
      <c r="Q858" s="6">
        <v>0</v>
      </c>
      <c r="R858" s="6">
        <v>0</v>
      </c>
      <c r="S858" s="6">
        <v>500</v>
      </c>
    </row>
    <row r="859" spans="1:19" ht="15" hidden="1" x14ac:dyDescent="0.25">
      <c r="A859" s="7" t="s">
        <v>16</v>
      </c>
      <c r="B859" s="7" t="s">
        <v>21</v>
      </c>
      <c r="C859" s="7" t="s">
        <v>18</v>
      </c>
      <c r="D859" s="4">
        <v>6555031000276</v>
      </c>
      <c r="E859" s="8" t="s">
        <v>815</v>
      </c>
      <c r="F859" s="8" t="s">
        <v>81</v>
      </c>
      <c r="G859" s="8" t="s">
        <v>82</v>
      </c>
      <c r="H859" s="8" t="s">
        <v>215</v>
      </c>
      <c r="I859" s="3">
        <v>2</v>
      </c>
      <c r="J859" s="8" t="s">
        <v>199</v>
      </c>
      <c r="K859" s="8" t="s">
        <v>200</v>
      </c>
      <c r="L859" s="8" t="s">
        <v>556</v>
      </c>
      <c r="M859" s="1" t="s">
        <v>211</v>
      </c>
      <c r="N859" s="8" t="s">
        <v>212</v>
      </c>
      <c r="O859" s="6">
        <v>0</v>
      </c>
      <c r="P859" s="6">
        <v>0</v>
      </c>
      <c r="Q859" s="6">
        <v>0</v>
      </c>
      <c r="R859" s="6">
        <v>20</v>
      </c>
      <c r="S859" s="6">
        <v>0</v>
      </c>
    </row>
    <row r="860" spans="1:19" ht="15" hidden="1" x14ac:dyDescent="0.25">
      <c r="A860" s="7" t="s">
        <v>16</v>
      </c>
      <c r="B860" s="7" t="s">
        <v>21</v>
      </c>
      <c r="C860" s="7" t="s">
        <v>18</v>
      </c>
      <c r="D860" s="4">
        <v>6555031000276</v>
      </c>
      <c r="E860" s="8" t="s">
        <v>815</v>
      </c>
      <c r="F860" s="8" t="s">
        <v>81</v>
      </c>
      <c r="G860" s="8" t="s">
        <v>82</v>
      </c>
      <c r="H860" s="8" t="s">
        <v>215</v>
      </c>
      <c r="I860" s="3">
        <v>2</v>
      </c>
      <c r="J860" s="8" t="s">
        <v>165</v>
      </c>
      <c r="K860" s="8" t="s">
        <v>166</v>
      </c>
      <c r="L860" s="8" t="s">
        <v>557</v>
      </c>
      <c r="M860" s="1" t="s">
        <v>211</v>
      </c>
      <c r="N860" s="8" t="s">
        <v>212</v>
      </c>
      <c r="O860" s="6">
        <v>0</v>
      </c>
      <c r="P860" s="6">
        <v>0</v>
      </c>
      <c r="Q860" s="6">
        <v>0</v>
      </c>
      <c r="R860" s="6">
        <v>0</v>
      </c>
      <c r="S860" s="6">
        <v>0</v>
      </c>
    </row>
    <row r="861" spans="1:19" ht="15" hidden="1" x14ac:dyDescent="0.25">
      <c r="A861" s="7" t="s">
        <v>16</v>
      </c>
      <c r="B861" s="7" t="s">
        <v>21</v>
      </c>
      <c r="C861" s="7" t="s">
        <v>18</v>
      </c>
      <c r="D861" s="4">
        <v>7734165000136</v>
      </c>
      <c r="E861" s="8" t="s">
        <v>954</v>
      </c>
      <c r="F861" s="8" t="s">
        <v>94</v>
      </c>
      <c r="G861" s="8" t="s">
        <v>57</v>
      </c>
      <c r="H861" s="8" t="s">
        <v>215</v>
      </c>
      <c r="I861" s="3">
        <v>2</v>
      </c>
      <c r="J861" s="8" t="s">
        <v>175</v>
      </c>
      <c r="K861" s="8" t="s">
        <v>176</v>
      </c>
      <c r="L861" s="8" t="s">
        <v>556</v>
      </c>
      <c r="M861" s="1" t="s">
        <v>205</v>
      </c>
      <c r="N861" s="8" t="s">
        <v>206</v>
      </c>
      <c r="O861" s="6">
        <v>0</v>
      </c>
      <c r="P861" s="6">
        <v>0</v>
      </c>
      <c r="Q861" s="6">
        <v>0</v>
      </c>
      <c r="R861" s="6">
        <v>120</v>
      </c>
      <c r="S861" s="6">
        <v>4350</v>
      </c>
    </row>
    <row r="862" spans="1:19" ht="15" hidden="1" x14ac:dyDescent="0.25">
      <c r="A862" s="7" t="s">
        <v>16</v>
      </c>
      <c r="B862" s="7" t="s">
        <v>21</v>
      </c>
      <c r="C862" s="7" t="s">
        <v>18</v>
      </c>
      <c r="D862" s="4">
        <v>7734165000136</v>
      </c>
      <c r="E862" s="8" t="s">
        <v>954</v>
      </c>
      <c r="F862" s="8" t="s">
        <v>94</v>
      </c>
      <c r="G862" s="8" t="s">
        <v>57</v>
      </c>
      <c r="H862" s="8" t="s">
        <v>215</v>
      </c>
      <c r="I862" s="3">
        <v>2</v>
      </c>
      <c r="J862" s="8" t="s">
        <v>157</v>
      </c>
      <c r="K862" s="8" t="s">
        <v>158</v>
      </c>
      <c r="L862" s="8" t="s">
        <v>557</v>
      </c>
      <c r="M862" s="1" t="s">
        <v>205</v>
      </c>
      <c r="N862" s="8" t="s">
        <v>206</v>
      </c>
      <c r="O862" s="6">
        <v>0</v>
      </c>
      <c r="P862" s="6">
        <v>0</v>
      </c>
      <c r="Q862" s="6">
        <v>0</v>
      </c>
      <c r="R862" s="6">
        <v>0</v>
      </c>
      <c r="S862" s="6">
        <v>4350</v>
      </c>
    </row>
    <row r="863" spans="1:19" ht="15" hidden="1" x14ac:dyDescent="0.25">
      <c r="A863" s="7" t="s">
        <v>16</v>
      </c>
      <c r="B863" s="7" t="s">
        <v>21</v>
      </c>
      <c r="C863" s="7" t="s">
        <v>18</v>
      </c>
      <c r="D863" s="4">
        <v>7404052000172</v>
      </c>
      <c r="E863" s="8" t="s">
        <v>953</v>
      </c>
      <c r="F863" s="8" t="s">
        <v>94</v>
      </c>
      <c r="G863" s="8" t="s">
        <v>57</v>
      </c>
      <c r="H863" s="8" t="s">
        <v>215</v>
      </c>
      <c r="I863" s="3">
        <v>2</v>
      </c>
      <c r="J863" s="8" t="s">
        <v>175</v>
      </c>
      <c r="K863" s="8" t="s">
        <v>176</v>
      </c>
      <c r="L863" s="8" t="s">
        <v>556</v>
      </c>
      <c r="M863" s="1" t="s">
        <v>205</v>
      </c>
      <c r="N863" s="8" t="s">
        <v>206</v>
      </c>
      <c r="O863" s="6">
        <v>0</v>
      </c>
      <c r="P863" s="6">
        <v>0</v>
      </c>
      <c r="Q863" s="6">
        <v>0</v>
      </c>
      <c r="R863" s="6">
        <v>0</v>
      </c>
      <c r="S863" s="6">
        <v>45</v>
      </c>
    </row>
    <row r="864" spans="1:19" ht="15" hidden="1" x14ac:dyDescent="0.25">
      <c r="A864" s="7" t="s">
        <v>16</v>
      </c>
      <c r="B864" s="7" t="s">
        <v>21</v>
      </c>
      <c r="C864" s="7" t="s">
        <v>18</v>
      </c>
      <c r="D864" s="4">
        <v>7404052000172</v>
      </c>
      <c r="E864" s="8" t="s">
        <v>953</v>
      </c>
      <c r="F864" s="8" t="s">
        <v>94</v>
      </c>
      <c r="G864" s="8" t="s">
        <v>57</v>
      </c>
      <c r="H864" s="8" t="s">
        <v>215</v>
      </c>
      <c r="I864" s="3">
        <v>2</v>
      </c>
      <c r="J864" s="8" t="s">
        <v>157</v>
      </c>
      <c r="K864" s="8" t="s">
        <v>158</v>
      </c>
      <c r="L864" s="8" t="s">
        <v>557</v>
      </c>
      <c r="M864" s="1" t="s">
        <v>205</v>
      </c>
      <c r="N864" s="8" t="s">
        <v>206</v>
      </c>
      <c r="O864" s="6">
        <v>0</v>
      </c>
      <c r="P864" s="6">
        <v>0</v>
      </c>
      <c r="Q864" s="6">
        <v>0</v>
      </c>
      <c r="R864" s="6">
        <v>0</v>
      </c>
      <c r="S864" s="6">
        <v>45</v>
      </c>
    </row>
    <row r="865" spans="1:19" ht="15" hidden="1" x14ac:dyDescent="0.25">
      <c r="A865" s="7" t="s">
        <v>16</v>
      </c>
      <c r="B865" s="7" t="s">
        <v>21</v>
      </c>
      <c r="C865" s="7" t="s">
        <v>18</v>
      </c>
      <c r="D865" s="4">
        <v>8597121000174</v>
      </c>
      <c r="E865" s="8" t="s">
        <v>957</v>
      </c>
      <c r="F865" s="8" t="s">
        <v>94</v>
      </c>
      <c r="G865" s="8" t="s">
        <v>57</v>
      </c>
      <c r="H865" s="8" t="s">
        <v>215</v>
      </c>
      <c r="I865" s="3">
        <v>2</v>
      </c>
      <c r="J865" s="8" t="s">
        <v>175</v>
      </c>
      <c r="K865" s="8" t="s">
        <v>176</v>
      </c>
      <c r="L865" s="8" t="s">
        <v>556</v>
      </c>
      <c r="M865" s="1" t="s">
        <v>205</v>
      </c>
      <c r="N865" s="8" t="s">
        <v>206</v>
      </c>
      <c r="O865" s="6">
        <v>80</v>
      </c>
      <c r="P865" s="6">
        <v>0</v>
      </c>
      <c r="Q865" s="6">
        <v>0</v>
      </c>
      <c r="R865" s="6">
        <v>0</v>
      </c>
      <c r="S865" s="6">
        <v>0</v>
      </c>
    </row>
    <row r="866" spans="1:19" ht="15" hidden="1" x14ac:dyDescent="0.25">
      <c r="A866" s="7" t="s">
        <v>16</v>
      </c>
      <c r="B866" s="7" t="s">
        <v>21</v>
      </c>
      <c r="C866" s="7" t="s">
        <v>18</v>
      </c>
      <c r="D866" s="4">
        <v>8597121000174</v>
      </c>
      <c r="E866" s="8" t="s">
        <v>957</v>
      </c>
      <c r="F866" s="8" t="s">
        <v>94</v>
      </c>
      <c r="G866" s="8" t="s">
        <v>57</v>
      </c>
      <c r="H866" s="8" t="s">
        <v>215</v>
      </c>
      <c r="I866" s="3">
        <v>2</v>
      </c>
      <c r="J866" s="8" t="s">
        <v>157</v>
      </c>
      <c r="K866" s="8" t="s">
        <v>158</v>
      </c>
      <c r="L866" s="8" t="s">
        <v>557</v>
      </c>
      <c r="M866" s="1" t="s">
        <v>205</v>
      </c>
      <c r="N866" s="8" t="s">
        <v>206</v>
      </c>
      <c r="O866" s="6">
        <v>0</v>
      </c>
      <c r="P866" s="6">
        <v>0</v>
      </c>
      <c r="Q866" s="6">
        <v>0</v>
      </c>
      <c r="R866" s="6">
        <v>0</v>
      </c>
      <c r="S866" s="6">
        <v>0</v>
      </c>
    </row>
    <row r="867" spans="1:19" ht="15" hidden="1" x14ac:dyDescent="0.25">
      <c r="A867" s="7" t="s">
        <v>16</v>
      </c>
      <c r="B867" s="7" t="s">
        <v>21</v>
      </c>
      <c r="C867" s="7" t="s">
        <v>18</v>
      </c>
      <c r="D867" s="4">
        <v>942063000167</v>
      </c>
      <c r="E867" s="8" t="s">
        <v>934</v>
      </c>
      <c r="F867" s="8" t="s">
        <v>94</v>
      </c>
      <c r="G867" s="8" t="s">
        <v>57</v>
      </c>
      <c r="H867" s="8" t="s">
        <v>215</v>
      </c>
      <c r="I867" s="3">
        <v>2</v>
      </c>
      <c r="J867" s="8" t="s">
        <v>175</v>
      </c>
      <c r="K867" s="8" t="s">
        <v>176</v>
      </c>
      <c r="L867" s="8" t="s">
        <v>556</v>
      </c>
      <c r="M867" s="1" t="s">
        <v>205</v>
      </c>
      <c r="N867" s="8" t="s">
        <v>206</v>
      </c>
      <c r="O867" s="6">
        <v>0</v>
      </c>
      <c r="P867" s="6">
        <v>0</v>
      </c>
      <c r="Q867" s="6">
        <v>0</v>
      </c>
      <c r="R867" s="6">
        <v>0</v>
      </c>
      <c r="S867" s="6">
        <v>1755</v>
      </c>
    </row>
    <row r="868" spans="1:19" ht="15" hidden="1" x14ac:dyDescent="0.25">
      <c r="A868" s="7" t="s">
        <v>16</v>
      </c>
      <c r="B868" s="7" t="s">
        <v>21</v>
      </c>
      <c r="C868" s="7" t="s">
        <v>18</v>
      </c>
      <c r="D868" s="4">
        <v>942063000167</v>
      </c>
      <c r="E868" s="8" t="s">
        <v>934</v>
      </c>
      <c r="F868" s="8" t="s">
        <v>94</v>
      </c>
      <c r="G868" s="8" t="s">
        <v>57</v>
      </c>
      <c r="H868" s="8" t="s">
        <v>215</v>
      </c>
      <c r="I868" s="3">
        <v>2</v>
      </c>
      <c r="J868" s="8" t="s">
        <v>157</v>
      </c>
      <c r="K868" s="8" t="s">
        <v>158</v>
      </c>
      <c r="L868" s="8" t="s">
        <v>557</v>
      </c>
      <c r="M868" s="1" t="s">
        <v>205</v>
      </c>
      <c r="N868" s="8" t="s">
        <v>206</v>
      </c>
      <c r="O868" s="6">
        <v>0</v>
      </c>
      <c r="P868" s="6">
        <v>0</v>
      </c>
      <c r="Q868" s="6">
        <v>0</v>
      </c>
      <c r="R868" s="6">
        <v>0</v>
      </c>
      <c r="S868" s="6">
        <v>1755</v>
      </c>
    </row>
    <row r="869" spans="1:19" ht="15" hidden="1" x14ac:dyDescent="0.25">
      <c r="A869" s="7" t="s">
        <v>16</v>
      </c>
      <c r="B869" s="7" t="s">
        <v>21</v>
      </c>
      <c r="C869" s="7" t="s">
        <v>18</v>
      </c>
      <c r="D869" s="4">
        <v>9579964000291</v>
      </c>
      <c r="E869" s="8" t="s">
        <v>961</v>
      </c>
      <c r="F869" s="8" t="s">
        <v>94</v>
      </c>
      <c r="G869" s="8" t="s">
        <v>57</v>
      </c>
      <c r="H869" s="8" t="s">
        <v>215</v>
      </c>
      <c r="I869" s="3">
        <v>2</v>
      </c>
      <c r="J869" s="8" t="s">
        <v>175</v>
      </c>
      <c r="K869" s="8" t="s">
        <v>176</v>
      </c>
      <c r="L869" s="8" t="s">
        <v>556</v>
      </c>
      <c r="M869" s="1" t="s">
        <v>205</v>
      </c>
      <c r="N869" s="8" t="s">
        <v>206</v>
      </c>
      <c r="O869" s="6">
        <v>0</v>
      </c>
      <c r="P869" s="6">
        <v>0</v>
      </c>
      <c r="Q869" s="6">
        <v>0</v>
      </c>
      <c r="R869" s="6">
        <v>0</v>
      </c>
      <c r="S869" s="6">
        <v>1250</v>
      </c>
    </row>
    <row r="870" spans="1:19" ht="15" hidden="1" x14ac:dyDescent="0.25">
      <c r="A870" s="7" t="s">
        <v>16</v>
      </c>
      <c r="B870" s="7" t="s">
        <v>21</v>
      </c>
      <c r="C870" s="7" t="s">
        <v>18</v>
      </c>
      <c r="D870" s="4">
        <v>9579964000291</v>
      </c>
      <c r="E870" s="8" t="s">
        <v>961</v>
      </c>
      <c r="F870" s="8" t="s">
        <v>94</v>
      </c>
      <c r="G870" s="8" t="s">
        <v>57</v>
      </c>
      <c r="H870" s="8" t="s">
        <v>215</v>
      </c>
      <c r="I870" s="3">
        <v>2</v>
      </c>
      <c r="J870" s="8" t="s">
        <v>157</v>
      </c>
      <c r="K870" s="8" t="s">
        <v>158</v>
      </c>
      <c r="L870" s="8" t="s">
        <v>557</v>
      </c>
      <c r="M870" s="1" t="s">
        <v>205</v>
      </c>
      <c r="N870" s="8" t="s">
        <v>206</v>
      </c>
      <c r="O870" s="6">
        <v>0</v>
      </c>
      <c r="P870" s="6">
        <v>0</v>
      </c>
      <c r="Q870" s="6">
        <v>0</v>
      </c>
      <c r="R870" s="6">
        <v>0</v>
      </c>
      <c r="S870" s="6">
        <v>1250</v>
      </c>
    </row>
    <row r="871" spans="1:19" ht="15" hidden="1" x14ac:dyDescent="0.25">
      <c r="A871" s="7" t="s">
        <v>16</v>
      </c>
      <c r="B871" s="7" t="s">
        <v>21</v>
      </c>
      <c r="C871" s="7" t="s">
        <v>18</v>
      </c>
      <c r="D871" s="4">
        <v>76591569000130</v>
      </c>
      <c r="E871" s="8" t="s">
        <v>985</v>
      </c>
      <c r="F871" s="8" t="s">
        <v>94</v>
      </c>
      <c r="G871" s="8" t="s">
        <v>57</v>
      </c>
      <c r="H871" s="8" t="s">
        <v>215</v>
      </c>
      <c r="I871" s="3">
        <v>2</v>
      </c>
      <c r="J871" s="8" t="s">
        <v>175</v>
      </c>
      <c r="K871" s="8" t="s">
        <v>176</v>
      </c>
      <c r="L871" s="8" t="s">
        <v>556</v>
      </c>
      <c r="M871" s="1" t="s">
        <v>205</v>
      </c>
      <c r="N871" s="8" t="s">
        <v>206</v>
      </c>
      <c r="O871" s="6">
        <v>0</v>
      </c>
      <c r="P871" s="6">
        <v>0</v>
      </c>
      <c r="Q871" s="6">
        <v>0</v>
      </c>
      <c r="R871" s="6">
        <v>0</v>
      </c>
      <c r="S871" s="6">
        <v>250</v>
      </c>
    </row>
    <row r="872" spans="1:19" ht="15" hidden="1" x14ac:dyDescent="0.25">
      <c r="A872" s="7" t="s">
        <v>16</v>
      </c>
      <c r="B872" s="7" t="s">
        <v>21</v>
      </c>
      <c r="C872" s="7" t="s">
        <v>18</v>
      </c>
      <c r="D872" s="4">
        <v>76591569000130</v>
      </c>
      <c r="E872" s="8" t="s">
        <v>985</v>
      </c>
      <c r="F872" s="8" t="s">
        <v>94</v>
      </c>
      <c r="G872" s="8" t="s">
        <v>57</v>
      </c>
      <c r="H872" s="8" t="s">
        <v>215</v>
      </c>
      <c r="I872" s="3">
        <v>2</v>
      </c>
      <c r="J872" s="8" t="s">
        <v>157</v>
      </c>
      <c r="K872" s="8" t="s">
        <v>158</v>
      </c>
      <c r="L872" s="8" t="s">
        <v>557</v>
      </c>
      <c r="M872" s="1" t="s">
        <v>205</v>
      </c>
      <c r="N872" s="8" t="s">
        <v>206</v>
      </c>
      <c r="O872" s="6">
        <v>0</v>
      </c>
      <c r="P872" s="6">
        <v>0</v>
      </c>
      <c r="Q872" s="6">
        <v>0</v>
      </c>
      <c r="R872" s="6">
        <v>0</v>
      </c>
      <c r="S872" s="6">
        <v>250</v>
      </c>
    </row>
    <row r="873" spans="1:19" ht="15" hidden="1" x14ac:dyDescent="0.25">
      <c r="A873" s="7" t="s">
        <v>16</v>
      </c>
      <c r="B873" s="7" t="s">
        <v>21</v>
      </c>
      <c r="C873" s="7" t="s">
        <v>18</v>
      </c>
      <c r="D873" s="4">
        <v>76659820002367</v>
      </c>
      <c r="E873" s="8" t="s">
        <v>986</v>
      </c>
      <c r="F873" s="8" t="s">
        <v>94</v>
      </c>
      <c r="G873" s="8" t="s">
        <v>57</v>
      </c>
      <c r="H873" s="8" t="s">
        <v>215</v>
      </c>
      <c r="I873" s="3">
        <v>2</v>
      </c>
      <c r="J873" s="8" t="s">
        <v>175</v>
      </c>
      <c r="K873" s="8" t="s">
        <v>176</v>
      </c>
      <c r="L873" s="8" t="s">
        <v>556</v>
      </c>
      <c r="M873" s="1" t="s">
        <v>205</v>
      </c>
      <c r="N873" s="8" t="s">
        <v>206</v>
      </c>
      <c r="O873" s="6">
        <v>0</v>
      </c>
      <c r="P873" s="6">
        <v>0</v>
      </c>
      <c r="Q873" s="6">
        <v>0</v>
      </c>
      <c r="R873" s="6">
        <v>0</v>
      </c>
      <c r="S873" s="6">
        <v>315</v>
      </c>
    </row>
    <row r="874" spans="1:19" ht="15" hidden="1" x14ac:dyDescent="0.25">
      <c r="A874" s="7" t="s">
        <v>16</v>
      </c>
      <c r="B874" s="7" t="s">
        <v>21</v>
      </c>
      <c r="C874" s="7" t="s">
        <v>18</v>
      </c>
      <c r="D874" s="4">
        <v>76659820002367</v>
      </c>
      <c r="E874" s="8" t="s">
        <v>986</v>
      </c>
      <c r="F874" s="8" t="s">
        <v>94</v>
      </c>
      <c r="G874" s="8" t="s">
        <v>57</v>
      </c>
      <c r="H874" s="8" t="s">
        <v>215</v>
      </c>
      <c r="I874" s="3">
        <v>2</v>
      </c>
      <c r="J874" s="8" t="s">
        <v>157</v>
      </c>
      <c r="K874" s="8" t="s">
        <v>158</v>
      </c>
      <c r="L874" s="8" t="s">
        <v>557</v>
      </c>
      <c r="M874" s="1" t="s">
        <v>205</v>
      </c>
      <c r="N874" s="8" t="s">
        <v>206</v>
      </c>
      <c r="O874" s="6">
        <v>0</v>
      </c>
      <c r="P874" s="6">
        <v>0</v>
      </c>
      <c r="Q874" s="6">
        <v>0</v>
      </c>
      <c r="R874" s="6">
        <v>0</v>
      </c>
      <c r="S874" s="6">
        <v>315</v>
      </c>
    </row>
    <row r="875" spans="1:19" ht="15" hidden="1" x14ac:dyDescent="0.25">
      <c r="A875" s="7" t="s">
        <v>16</v>
      </c>
      <c r="B875" s="7" t="s">
        <v>21</v>
      </c>
      <c r="C875" s="7" t="s">
        <v>18</v>
      </c>
      <c r="D875" s="4">
        <v>76498013000102</v>
      </c>
      <c r="E875" s="8" t="s">
        <v>982</v>
      </c>
      <c r="F875" s="8" t="s">
        <v>94</v>
      </c>
      <c r="G875" s="8" t="s">
        <v>57</v>
      </c>
      <c r="H875" s="8" t="s">
        <v>215</v>
      </c>
      <c r="I875" s="3">
        <v>2</v>
      </c>
      <c r="J875" s="8" t="s">
        <v>175</v>
      </c>
      <c r="K875" s="8" t="s">
        <v>176</v>
      </c>
      <c r="L875" s="8" t="s">
        <v>556</v>
      </c>
      <c r="M875" s="1" t="s">
        <v>205</v>
      </c>
      <c r="N875" s="8" t="s">
        <v>206</v>
      </c>
      <c r="O875" s="6">
        <v>0</v>
      </c>
      <c r="P875" s="6">
        <v>0</v>
      </c>
      <c r="Q875" s="6">
        <v>0</v>
      </c>
      <c r="R875" s="6">
        <v>0</v>
      </c>
      <c r="S875" s="6">
        <v>55</v>
      </c>
    </row>
    <row r="876" spans="1:19" ht="15" hidden="1" x14ac:dyDescent="0.25">
      <c r="A876" s="7" t="s">
        <v>16</v>
      </c>
      <c r="B876" s="7" t="s">
        <v>21</v>
      </c>
      <c r="C876" s="7" t="s">
        <v>18</v>
      </c>
      <c r="D876" s="4">
        <v>76498013000102</v>
      </c>
      <c r="E876" s="8" t="s">
        <v>982</v>
      </c>
      <c r="F876" s="8" t="s">
        <v>94</v>
      </c>
      <c r="G876" s="8" t="s">
        <v>57</v>
      </c>
      <c r="H876" s="8" t="s">
        <v>215</v>
      </c>
      <c r="I876" s="3">
        <v>2</v>
      </c>
      <c r="J876" s="8" t="s">
        <v>157</v>
      </c>
      <c r="K876" s="8" t="s">
        <v>158</v>
      </c>
      <c r="L876" s="8" t="s">
        <v>557</v>
      </c>
      <c r="M876" s="1" t="s">
        <v>205</v>
      </c>
      <c r="N876" s="8" t="s">
        <v>206</v>
      </c>
      <c r="O876" s="6">
        <v>0</v>
      </c>
      <c r="P876" s="6">
        <v>0</v>
      </c>
      <c r="Q876" s="6">
        <v>0</v>
      </c>
      <c r="R876" s="6">
        <v>0</v>
      </c>
      <c r="S876" s="6">
        <v>55</v>
      </c>
    </row>
    <row r="877" spans="1:19" ht="15" hidden="1" x14ac:dyDescent="0.25">
      <c r="A877" s="7" t="s">
        <v>16</v>
      </c>
      <c r="B877" s="7" t="s">
        <v>21</v>
      </c>
      <c r="C877" s="7" t="s">
        <v>18</v>
      </c>
      <c r="D877" s="4">
        <v>76555069000143</v>
      </c>
      <c r="E877" s="8" t="s">
        <v>983</v>
      </c>
      <c r="F877" s="8" t="s">
        <v>94</v>
      </c>
      <c r="G877" s="8" t="s">
        <v>57</v>
      </c>
      <c r="H877" s="8" t="s">
        <v>215</v>
      </c>
      <c r="I877" s="3">
        <v>2</v>
      </c>
      <c r="J877" s="8" t="s">
        <v>175</v>
      </c>
      <c r="K877" s="8" t="s">
        <v>176</v>
      </c>
      <c r="L877" s="8" t="s">
        <v>556</v>
      </c>
      <c r="M877" s="1" t="s">
        <v>205</v>
      </c>
      <c r="N877" s="8" t="s">
        <v>206</v>
      </c>
      <c r="O877" s="6">
        <v>0</v>
      </c>
      <c r="P877" s="6">
        <v>0</v>
      </c>
      <c r="Q877" s="6">
        <v>0</v>
      </c>
      <c r="R877" s="6">
        <v>0</v>
      </c>
      <c r="S877" s="6">
        <v>170</v>
      </c>
    </row>
    <row r="878" spans="1:19" ht="15" hidden="1" x14ac:dyDescent="0.25">
      <c r="A878" s="7" t="s">
        <v>16</v>
      </c>
      <c r="B878" s="7" t="s">
        <v>21</v>
      </c>
      <c r="C878" s="7" t="s">
        <v>18</v>
      </c>
      <c r="D878" s="4">
        <v>76555069000143</v>
      </c>
      <c r="E878" s="8" t="s">
        <v>983</v>
      </c>
      <c r="F878" s="8" t="s">
        <v>94</v>
      </c>
      <c r="G878" s="8" t="s">
        <v>57</v>
      </c>
      <c r="H878" s="8" t="s">
        <v>215</v>
      </c>
      <c r="I878" s="3">
        <v>2</v>
      </c>
      <c r="J878" s="8" t="s">
        <v>157</v>
      </c>
      <c r="K878" s="8" t="s">
        <v>158</v>
      </c>
      <c r="L878" s="8" t="s">
        <v>557</v>
      </c>
      <c r="M878" s="1" t="s">
        <v>205</v>
      </c>
      <c r="N878" s="8" t="s">
        <v>206</v>
      </c>
      <c r="O878" s="6">
        <v>0</v>
      </c>
      <c r="P878" s="6">
        <v>0</v>
      </c>
      <c r="Q878" s="6">
        <v>0</v>
      </c>
      <c r="R878" s="6">
        <v>0</v>
      </c>
      <c r="S878" s="6">
        <v>170</v>
      </c>
    </row>
    <row r="879" spans="1:19" ht="15" hidden="1" x14ac:dyDescent="0.25">
      <c r="A879" s="7" t="s">
        <v>16</v>
      </c>
      <c r="B879" s="7" t="s">
        <v>21</v>
      </c>
      <c r="C879" s="7" t="s">
        <v>18</v>
      </c>
      <c r="D879" s="4">
        <v>29435005005600</v>
      </c>
      <c r="E879" s="8" t="s">
        <v>974</v>
      </c>
      <c r="F879" s="8" t="s">
        <v>94</v>
      </c>
      <c r="G879" s="8" t="s">
        <v>57</v>
      </c>
      <c r="H879" s="8" t="s">
        <v>215</v>
      </c>
      <c r="I879" s="3">
        <v>2</v>
      </c>
      <c r="J879" s="8" t="s">
        <v>175</v>
      </c>
      <c r="K879" s="8" t="s">
        <v>176</v>
      </c>
      <c r="L879" s="8" t="s">
        <v>556</v>
      </c>
      <c r="M879" s="1" t="s">
        <v>205</v>
      </c>
      <c r="N879" s="8" t="s">
        <v>206</v>
      </c>
      <c r="O879" s="6">
        <v>0</v>
      </c>
      <c r="P879" s="6">
        <v>0</v>
      </c>
      <c r="Q879" s="6">
        <v>0</v>
      </c>
      <c r="R879" s="6">
        <v>0</v>
      </c>
      <c r="S879" s="6">
        <v>255</v>
      </c>
    </row>
    <row r="880" spans="1:19" ht="15" hidden="1" x14ac:dyDescent="0.25">
      <c r="A880" s="7" t="s">
        <v>16</v>
      </c>
      <c r="B880" s="7" t="s">
        <v>21</v>
      </c>
      <c r="C880" s="7" t="s">
        <v>18</v>
      </c>
      <c r="D880" s="4">
        <v>29435005005600</v>
      </c>
      <c r="E880" s="8" t="s">
        <v>974</v>
      </c>
      <c r="F880" s="8" t="s">
        <v>94</v>
      </c>
      <c r="G880" s="8" t="s">
        <v>57</v>
      </c>
      <c r="H880" s="8" t="s">
        <v>215</v>
      </c>
      <c r="I880" s="3">
        <v>2</v>
      </c>
      <c r="J880" s="8" t="s">
        <v>157</v>
      </c>
      <c r="K880" s="8" t="s">
        <v>158</v>
      </c>
      <c r="L880" s="8" t="s">
        <v>557</v>
      </c>
      <c r="M880" s="1" t="s">
        <v>205</v>
      </c>
      <c r="N880" s="8" t="s">
        <v>206</v>
      </c>
      <c r="O880" s="6">
        <v>0</v>
      </c>
      <c r="P880" s="6">
        <v>0</v>
      </c>
      <c r="Q880" s="6">
        <v>0</v>
      </c>
      <c r="R880" s="6">
        <v>0</v>
      </c>
      <c r="S880" s="6">
        <v>255</v>
      </c>
    </row>
    <row r="881" spans="1:19" ht="15" hidden="1" x14ac:dyDescent="0.25">
      <c r="A881" s="7" t="s">
        <v>16</v>
      </c>
      <c r="B881" s="7" t="s">
        <v>21</v>
      </c>
      <c r="C881" s="7" t="s">
        <v>18</v>
      </c>
      <c r="D881" s="4">
        <v>3824198000116</v>
      </c>
      <c r="E881" s="8" t="s">
        <v>944</v>
      </c>
      <c r="F881" s="8" t="s">
        <v>94</v>
      </c>
      <c r="G881" s="8" t="s">
        <v>57</v>
      </c>
      <c r="H881" s="8" t="s">
        <v>215</v>
      </c>
      <c r="I881" s="3">
        <v>2</v>
      </c>
      <c r="J881" s="8" t="s">
        <v>175</v>
      </c>
      <c r="K881" s="8" t="s">
        <v>176</v>
      </c>
      <c r="L881" s="8" t="s">
        <v>556</v>
      </c>
      <c r="M881" s="1" t="s">
        <v>205</v>
      </c>
      <c r="N881" s="8" t="s">
        <v>206</v>
      </c>
      <c r="O881" s="6">
        <v>0</v>
      </c>
      <c r="P881" s="6">
        <v>0</v>
      </c>
      <c r="Q881" s="6">
        <v>0</v>
      </c>
      <c r="R881" s="6">
        <v>0</v>
      </c>
      <c r="S881" s="6">
        <v>250</v>
      </c>
    </row>
    <row r="882" spans="1:19" ht="15" hidden="1" x14ac:dyDescent="0.25">
      <c r="A882" s="7" t="s">
        <v>16</v>
      </c>
      <c r="B882" s="7" t="s">
        <v>21</v>
      </c>
      <c r="C882" s="7" t="s">
        <v>18</v>
      </c>
      <c r="D882" s="4">
        <v>3824198000116</v>
      </c>
      <c r="E882" s="8" t="s">
        <v>944</v>
      </c>
      <c r="F882" s="8" t="s">
        <v>94</v>
      </c>
      <c r="G882" s="8" t="s">
        <v>57</v>
      </c>
      <c r="H882" s="8" t="s">
        <v>215</v>
      </c>
      <c r="I882" s="3">
        <v>2</v>
      </c>
      <c r="J882" s="8" t="s">
        <v>157</v>
      </c>
      <c r="K882" s="8" t="s">
        <v>158</v>
      </c>
      <c r="L882" s="8" t="s">
        <v>557</v>
      </c>
      <c r="M882" s="1" t="s">
        <v>205</v>
      </c>
      <c r="N882" s="8" t="s">
        <v>206</v>
      </c>
      <c r="O882" s="6">
        <v>0</v>
      </c>
      <c r="P882" s="6">
        <v>0</v>
      </c>
      <c r="Q882" s="6">
        <v>0</v>
      </c>
      <c r="R882" s="6">
        <v>0</v>
      </c>
      <c r="S882" s="6">
        <v>250</v>
      </c>
    </row>
    <row r="883" spans="1:19" ht="15" hidden="1" x14ac:dyDescent="0.25">
      <c r="A883" s="7" t="s">
        <v>16</v>
      </c>
      <c r="B883" s="7" t="s">
        <v>21</v>
      </c>
      <c r="C883" s="7" t="s">
        <v>18</v>
      </c>
      <c r="D883" s="4">
        <v>3850913000195</v>
      </c>
      <c r="E883" s="8" t="s">
        <v>945</v>
      </c>
      <c r="F883" s="8" t="s">
        <v>94</v>
      </c>
      <c r="G883" s="8" t="s">
        <v>57</v>
      </c>
      <c r="H883" s="8" t="s">
        <v>215</v>
      </c>
      <c r="I883" s="3">
        <v>2</v>
      </c>
      <c r="J883" s="8" t="s">
        <v>175</v>
      </c>
      <c r="K883" s="8" t="s">
        <v>176</v>
      </c>
      <c r="L883" s="8" t="s">
        <v>556</v>
      </c>
      <c r="M883" s="1" t="s">
        <v>205</v>
      </c>
      <c r="N883" s="8" t="s">
        <v>206</v>
      </c>
      <c r="O883" s="6">
        <v>0</v>
      </c>
      <c r="P883" s="6">
        <v>0</v>
      </c>
      <c r="Q883" s="6">
        <v>0</v>
      </c>
      <c r="R883" s="6">
        <v>0</v>
      </c>
      <c r="S883" s="6">
        <v>520</v>
      </c>
    </row>
    <row r="884" spans="1:19" ht="15" hidden="1" x14ac:dyDescent="0.25">
      <c r="A884" s="7" t="s">
        <v>16</v>
      </c>
      <c r="B884" s="7" t="s">
        <v>21</v>
      </c>
      <c r="C884" s="7" t="s">
        <v>18</v>
      </c>
      <c r="D884" s="4">
        <v>3850913000195</v>
      </c>
      <c r="E884" s="8" t="s">
        <v>945</v>
      </c>
      <c r="F884" s="8" t="s">
        <v>94</v>
      </c>
      <c r="G884" s="8" t="s">
        <v>57</v>
      </c>
      <c r="H884" s="8" t="s">
        <v>215</v>
      </c>
      <c r="I884" s="3">
        <v>2</v>
      </c>
      <c r="J884" s="8" t="s">
        <v>157</v>
      </c>
      <c r="K884" s="8" t="s">
        <v>158</v>
      </c>
      <c r="L884" s="8" t="s">
        <v>557</v>
      </c>
      <c r="M884" s="1" t="s">
        <v>205</v>
      </c>
      <c r="N884" s="8" t="s">
        <v>206</v>
      </c>
      <c r="O884" s="6">
        <v>0</v>
      </c>
      <c r="P884" s="6">
        <v>0</v>
      </c>
      <c r="Q884" s="6">
        <v>0</v>
      </c>
      <c r="R884" s="6">
        <v>0</v>
      </c>
      <c r="S884" s="6">
        <v>520</v>
      </c>
    </row>
    <row r="885" spans="1:19" ht="15" hidden="1" x14ac:dyDescent="0.25">
      <c r="A885" s="7" t="s">
        <v>16</v>
      </c>
      <c r="B885" s="7" t="s">
        <v>21</v>
      </c>
      <c r="C885" s="7" t="s">
        <v>18</v>
      </c>
      <c r="D885" s="4">
        <v>78633088000176</v>
      </c>
      <c r="E885" s="8" t="s">
        <v>995</v>
      </c>
      <c r="F885" s="8" t="s">
        <v>121</v>
      </c>
      <c r="G885" s="8" t="s">
        <v>57</v>
      </c>
      <c r="H885" s="8" t="s">
        <v>215</v>
      </c>
      <c r="I885" s="3">
        <v>2</v>
      </c>
      <c r="J885" s="8" t="s">
        <v>175</v>
      </c>
      <c r="K885" s="8" t="s">
        <v>176</v>
      </c>
      <c r="L885" s="8" t="s">
        <v>556</v>
      </c>
      <c r="M885" s="1" t="s">
        <v>205</v>
      </c>
      <c r="N885" s="8" t="s">
        <v>206</v>
      </c>
      <c r="O885" s="6">
        <v>0</v>
      </c>
      <c r="P885" s="6">
        <v>0</v>
      </c>
      <c r="Q885" s="6">
        <v>0</v>
      </c>
      <c r="R885" s="6">
        <v>0</v>
      </c>
      <c r="S885" s="6">
        <v>10</v>
      </c>
    </row>
    <row r="886" spans="1:19" ht="15" hidden="1" x14ac:dyDescent="0.25">
      <c r="A886" s="7" t="s">
        <v>16</v>
      </c>
      <c r="B886" s="7" t="s">
        <v>21</v>
      </c>
      <c r="C886" s="7" t="s">
        <v>18</v>
      </c>
      <c r="D886" s="4">
        <v>78633088000176</v>
      </c>
      <c r="E886" s="8" t="s">
        <v>995</v>
      </c>
      <c r="F886" s="8" t="s">
        <v>121</v>
      </c>
      <c r="G886" s="8" t="s">
        <v>57</v>
      </c>
      <c r="H886" s="8" t="s">
        <v>215</v>
      </c>
      <c r="I886" s="3">
        <v>2</v>
      </c>
      <c r="J886" s="8" t="s">
        <v>157</v>
      </c>
      <c r="K886" s="8" t="s">
        <v>158</v>
      </c>
      <c r="L886" s="8" t="s">
        <v>557</v>
      </c>
      <c r="M886" s="1" t="s">
        <v>205</v>
      </c>
      <c r="N886" s="8" t="s">
        <v>206</v>
      </c>
      <c r="O886" s="6">
        <v>0</v>
      </c>
      <c r="P886" s="6">
        <v>0</v>
      </c>
      <c r="Q886" s="6">
        <v>0</v>
      </c>
      <c r="R886" s="6">
        <v>0</v>
      </c>
      <c r="S886" s="6">
        <v>10</v>
      </c>
    </row>
    <row r="887" spans="1:19" ht="15" hidden="1" x14ac:dyDescent="0.25">
      <c r="A887" s="7" t="s">
        <v>16</v>
      </c>
      <c r="B887" s="7" t="s">
        <v>21</v>
      </c>
      <c r="C887" s="7" t="s">
        <v>18</v>
      </c>
      <c r="D887" s="4">
        <v>4762301000103</v>
      </c>
      <c r="E887" s="8" t="s">
        <v>950</v>
      </c>
      <c r="F887" s="8" t="s">
        <v>121</v>
      </c>
      <c r="G887" s="8" t="s">
        <v>57</v>
      </c>
      <c r="H887" s="8" t="s">
        <v>215</v>
      </c>
      <c r="I887" s="3">
        <v>2</v>
      </c>
      <c r="J887" s="8" t="s">
        <v>175</v>
      </c>
      <c r="K887" s="8" t="s">
        <v>176</v>
      </c>
      <c r="L887" s="8" t="s">
        <v>556</v>
      </c>
      <c r="M887" s="1" t="s">
        <v>205</v>
      </c>
      <c r="N887" s="8" t="s">
        <v>206</v>
      </c>
      <c r="O887" s="6">
        <v>0</v>
      </c>
      <c r="P887" s="6">
        <v>0</v>
      </c>
      <c r="Q887" s="6">
        <v>0</v>
      </c>
      <c r="R887" s="6">
        <v>0</v>
      </c>
      <c r="S887" s="6">
        <v>180</v>
      </c>
    </row>
    <row r="888" spans="1:19" ht="15" hidden="1" x14ac:dyDescent="0.25">
      <c r="A888" s="7" t="s">
        <v>16</v>
      </c>
      <c r="B888" s="7" t="s">
        <v>21</v>
      </c>
      <c r="C888" s="7" t="s">
        <v>18</v>
      </c>
      <c r="D888" s="4">
        <v>4762301000103</v>
      </c>
      <c r="E888" s="8" t="s">
        <v>950</v>
      </c>
      <c r="F888" s="8" t="s">
        <v>121</v>
      </c>
      <c r="G888" s="8" t="s">
        <v>57</v>
      </c>
      <c r="H888" s="8" t="s">
        <v>215</v>
      </c>
      <c r="I888" s="3">
        <v>2</v>
      </c>
      <c r="J888" s="8" t="s">
        <v>157</v>
      </c>
      <c r="K888" s="8" t="s">
        <v>158</v>
      </c>
      <c r="L888" s="8" t="s">
        <v>557</v>
      </c>
      <c r="M888" s="1" t="s">
        <v>205</v>
      </c>
      <c r="N888" s="8" t="s">
        <v>206</v>
      </c>
      <c r="O888" s="6">
        <v>0</v>
      </c>
      <c r="P888" s="6">
        <v>0</v>
      </c>
      <c r="Q888" s="6">
        <v>0</v>
      </c>
      <c r="R888" s="6">
        <v>0</v>
      </c>
      <c r="S888" s="6">
        <v>180</v>
      </c>
    </row>
    <row r="889" spans="1:19" ht="15" hidden="1" x14ac:dyDescent="0.25">
      <c r="A889" s="7" t="s">
        <v>16</v>
      </c>
      <c r="B889" s="7" t="s">
        <v>21</v>
      </c>
      <c r="C889" s="7" t="s">
        <v>18</v>
      </c>
      <c r="D889" s="4">
        <v>73863342000109</v>
      </c>
      <c r="E889" s="8" t="s">
        <v>978</v>
      </c>
      <c r="F889" s="8" t="s">
        <v>121</v>
      </c>
      <c r="G889" s="8" t="s">
        <v>57</v>
      </c>
      <c r="H889" s="8" t="s">
        <v>215</v>
      </c>
      <c r="I889" s="3">
        <v>2</v>
      </c>
      <c r="J889" s="8" t="s">
        <v>175</v>
      </c>
      <c r="K889" s="8" t="s">
        <v>176</v>
      </c>
      <c r="L889" s="8" t="s">
        <v>556</v>
      </c>
      <c r="M889" s="1" t="s">
        <v>205</v>
      </c>
      <c r="N889" s="8" t="s">
        <v>206</v>
      </c>
      <c r="O889" s="6">
        <v>0</v>
      </c>
      <c r="P889" s="6">
        <v>0</v>
      </c>
      <c r="Q889" s="6">
        <v>0</v>
      </c>
      <c r="R889" s="6">
        <v>0</v>
      </c>
      <c r="S889" s="6">
        <v>20</v>
      </c>
    </row>
    <row r="890" spans="1:19" ht="15" hidden="1" x14ac:dyDescent="0.25">
      <c r="A890" s="7" t="s">
        <v>16</v>
      </c>
      <c r="B890" s="7" t="s">
        <v>21</v>
      </c>
      <c r="C890" s="7" t="s">
        <v>18</v>
      </c>
      <c r="D890" s="4">
        <v>73863342000109</v>
      </c>
      <c r="E890" s="8" t="s">
        <v>978</v>
      </c>
      <c r="F890" s="8" t="s">
        <v>121</v>
      </c>
      <c r="G890" s="8" t="s">
        <v>57</v>
      </c>
      <c r="H890" s="8" t="s">
        <v>215</v>
      </c>
      <c r="I890" s="3">
        <v>2</v>
      </c>
      <c r="J890" s="8" t="s">
        <v>157</v>
      </c>
      <c r="K890" s="8" t="s">
        <v>158</v>
      </c>
      <c r="L890" s="8" t="s">
        <v>557</v>
      </c>
      <c r="M890" s="1" t="s">
        <v>205</v>
      </c>
      <c r="N890" s="8" t="s">
        <v>206</v>
      </c>
      <c r="O890" s="6">
        <v>0</v>
      </c>
      <c r="P890" s="6">
        <v>0</v>
      </c>
      <c r="Q890" s="6">
        <v>0</v>
      </c>
      <c r="R890" s="6">
        <v>0</v>
      </c>
      <c r="S890" s="6">
        <v>20</v>
      </c>
    </row>
    <row r="891" spans="1:19" ht="15" hidden="1" x14ac:dyDescent="0.25">
      <c r="A891" s="7" t="s">
        <v>16</v>
      </c>
      <c r="B891" s="7" t="s">
        <v>21</v>
      </c>
      <c r="C891" s="7" t="s">
        <v>18</v>
      </c>
      <c r="D891" s="4">
        <v>75222224001895</v>
      </c>
      <c r="E891" s="8" t="s">
        <v>981</v>
      </c>
      <c r="F891" s="8" t="s">
        <v>121</v>
      </c>
      <c r="G891" s="8" t="s">
        <v>57</v>
      </c>
      <c r="H891" s="8" t="s">
        <v>215</v>
      </c>
      <c r="I891" s="3">
        <v>2</v>
      </c>
      <c r="J891" s="8" t="s">
        <v>175</v>
      </c>
      <c r="K891" s="8" t="s">
        <v>176</v>
      </c>
      <c r="L891" s="8" t="s">
        <v>556</v>
      </c>
      <c r="M891" s="1" t="s">
        <v>205</v>
      </c>
      <c r="N891" s="8" t="s">
        <v>206</v>
      </c>
      <c r="O891" s="6">
        <v>0</v>
      </c>
      <c r="P891" s="6">
        <v>0</v>
      </c>
      <c r="Q891" s="6">
        <v>0</v>
      </c>
      <c r="R891" s="6">
        <v>0</v>
      </c>
      <c r="S891" s="6">
        <v>1200</v>
      </c>
    </row>
    <row r="892" spans="1:19" ht="15" hidden="1" x14ac:dyDescent="0.25">
      <c r="A892" s="7" t="s">
        <v>16</v>
      </c>
      <c r="B892" s="7" t="s">
        <v>21</v>
      </c>
      <c r="C892" s="7" t="s">
        <v>18</v>
      </c>
      <c r="D892" s="4">
        <v>75222224001895</v>
      </c>
      <c r="E892" s="8" t="s">
        <v>981</v>
      </c>
      <c r="F892" s="8" t="s">
        <v>121</v>
      </c>
      <c r="G892" s="8" t="s">
        <v>57</v>
      </c>
      <c r="H892" s="8" t="s">
        <v>215</v>
      </c>
      <c r="I892" s="3">
        <v>2</v>
      </c>
      <c r="J892" s="8" t="s">
        <v>157</v>
      </c>
      <c r="K892" s="8" t="s">
        <v>158</v>
      </c>
      <c r="L892" s="8" t="s">
        <v>557</v>
      </c>
      <c r="M892" s="1" t="s">
        <v>205</v>
      </c>
      <c r="N892" s="8" t="s">
        <v>206</v>
      </c>
      <c r="O892" s="6">
        <v>0</v>
      </c>
      <c r="P892" s="6">
        <v>0</v>
      </c>
      <c r="Q892" s="6">
        <v>0</v>
      </c>
      <c r="R892" s="6">
        <v>0</v>
      </c>
      <c r="S892" s="6">
        <v>1200</v>
      </c>
    </row>
    <row r="893" spans="1:19" ht="15" hidden="1" x14ac:dyDescent="0.25">
      <c r="A893" s="7" t="s">
        <v>16</v>
      </c>
      <c r="B893" s="7" t="s">
        <v>21</v>
      </c>
      <c r="C893" s="7" t="s">
        <v>18</v>
      </c>
      <c r="D893" s="4">
        <v>79115762000193</v>
      </c>
      <c r="E893" s="8" t="s">
        <v>996</v>
      </c>
      <c r="F893" s="8" t="s">
        <v>988</v>
      </c>
      <c r="G893" s="8" t="s">
        <v>57</v>
      </c>
      <c r="H893" s="8" t="s">
        <v>215</v>
      </c>
      <c r="I893" s="3">
        <v>2</v>
      </c>
      <c r="J893" s="8" t="s">
        <v>175</v>
      </c>
      <c r="K893" s="8" t="s">
        <v>176</v>
      </c>
      <c r="L893" s="8" t="s">
        <v>556</v>
      </c>
      <c r="M893" s="1" t="s">
        <v>205</v>
      </c>
      <c r="N893" s="8" t="s">
        <v>206</v>
      </c>
      <c r="O893" s="6">
        <v>0</v>
      </c>
      <c r="P893" s="6">
        <v>0</v>
      </c>
      <c r="Q893" s="6">
        <v>0</v>
      </c>
      <c r="R893" s="6">
        <v>0</v>
      </c>
      <c r="S893" s="6">
        <v>225</v>
      </c>
    </row>
    <row r="894" spans="1:19" ht="15" hidden="1" x14ac:dyDescent="0.25">
      <c r="A894" s="7" t="s">
        <v>16</v>
      </c>
      <c r="B894" s="7" t="s">
        <v>21</v>
      </c>
      <c r="C894" s="7" t="s">
        <v>18</v>
      </c>
      <c r="D894" s="4">
        <v>79115762000193</v>
      </c>
      <c r="E894" s="8" t="s">
        <v>996</v>
      </c>
      <c r="F894" s="8" t="s">
        <v>988</v>
      </c>
      <c r="G894" s="8" t="s">
        <v>57</v>
      </c>
      <c r="H894" s="8" t="s">
        <v>215</v>
      </c>
      <c r="I894" s="3">
        <v>2</v>
      </c>
      <c r="J894" s="8" t="s">
        <v>157</v>
      </c>
      <c r="K894" s="8" t="s">
        <v>158</v>
      </c>
      <c r="L894" s="8" t="s">
        <v>557</v>
      </c>
      <c r="M894" s="1" t="s">
        <v>205</v>
      </c>
      <c r="N894" s="8" t="s">
        <v>206</v>
      </c>
      <c r="O894" s="6">
        <v>0</v>
      </c>
      <c r="P894" s="6">
        <v>0</v>
      </c>
      <c r="Q894" s="6">
        <v>0</v>
      </c>
      <c r="R894" s="6">
        <v>0</v>
      </c>
      <c r="S894" s="6">
        <v>225</v>
      </c>
    </row>
    <row r="895" spans="1:19" ht="15" hidden="1" x14ac:dyDescent="0.25">
      <c r="A895" s="7" t="s">
        <v>16</v>
      </c>
      <c r="B895" s="7" t="s">
        <v>21</v>
      </c>
      <c r="C895" s="7" t="s">
        <v>18</v>
      </c>
      <c r="D895" s="4">
        <v>7794623002257</v>
      </c>
      <c r="E895" s="8" t="s">
        <v>955</v>
      </c>
      <c r="F895" s="8" t="s">
        <v>956</v>
      </c>
      <c r="G895" s="8" t="s">
        <v>57</v>
      </c>
      <c r="H895" s="8" t="s">
        <v>215</v>
      </c>
      <c r="I895" s="3">
        <v>2</v>
      </c>
      <c r="J895" s="8" t="s">
        <v>175</v>
      </c>
      <c r="K895" s="8" t="s">
        <v>176</v>
      </c>
      <c r="L895" s="8" t="s">
        <v>556</v>
      </c>
      <c r="M895" s="1" t="s">
        <v>205</v>
      </c>
      <c r="N895" s="8" t="s">
        <v>206</v>
      </c>
      <c r="O895" s="6">
        <v>0</v>
      </c>
      <c r="P895" s="6">
        <v>0</v>
      </c>
      <c r="Q895" s="6">
        <v>0</v>
      </c>
      <c r="R895" s="6">
        <v>0</v>
      </c>
      <c r="S895" s="6">
        <v>415</v>
      </c>
    </row>
    <row r="896" spans="1:19" ht="15" hidden="1" x14ac:dyDescent="0.25">
      <c r="A896" s="7" t="s">
        <v>16</v>
      </c>
      <c r="B896" s="7" t="s">
        <v>21</v>
      </c>
      <c r="C896" s="7" t="s">
        <v>18</v>
      </c>
      <c r="D896" s="4">
        <v>7794623002257</v>
      </c>
      <c r="E896" s="8" t="s">
        <v>955</v>
      </c>
      <c r="F896" s="8" t="s">
        <v>956</v>
      </c>
      <c r="G896" s="8" t="s">
        <v>57</v>
      </c>
      <c r="H896" s="8" t="s">
        <v>215</v>
      </c>
      <c r="I896" s="3">
        <v>2</v>
      </c>
      <c r="J896" s="8" t="s">
        <v>157</v>
      </c>
      <c r="K896" s="8" t="s">
        <v>158</v>
      </c>
      <c r="L896" s="8" t="s">
        <v>557</v>
      </c>
      <c r="M896" s="1" t="s">
        <v>205</v>
      </c>
      <c r="N896" s="8" t="s">
        <v>206</v>
      </c>
      <c r="O896" s="6">
        <v>0</v>
      </c>
      <c r="P896" s="6">
        <v>0</v>
      </c>
      <c r="Q896" s="6">
        <v>0</v>
      </c>
      <c r="R896" s="6">
        <v>0</v>
      </c>
      <c r="S896" s="6">
        <v>415</v>
      </c>
    </row>
    <row r="897" spans="1:19" ht="15" hidden="1" x14ac:dyDescent="0.25">
      <c r="A897" s="7" t="s">
        <v>16</v>
      </c>
      <c r="B897" s="7" t="s">
        <v>21</v>
      </c>
      <c r="C897" s="7" t="s">
        <v>18</v>
      </c>
      <c r="D897" s="4">
        <v>36238913000198</v>
      </c>
      <c r="E897" s="8" t="s">
        <v>1063</v>
      </c>
      <c r="F897" s="8" t="s">
        <v>1064</v>
      </c>
      <c r="G897" s="8" t="s">
        <v>61</v>
      </c>
      <c r="H897" s="8" t="s">
        <v>215</v>
      </c>
      <c r="I897" s="3">
        <v>2</v>
      </c>
      <c r="J897" s="8" t="s">
        <v>155</v>
      </c>
      <c r="K897" s="8" t="s">
        <v>156</v>
      </c>
      <c r="L897" s="8" t="s">
        <v>556</v>
      </c>
      <c r="M897" s="1" t="s">
        <v>205</v>
      </c>
      <c r="N897" s="8" t="s">
        <v>206</v>
      </c>
      <c r="O897" s="6">
        <v>0</v>
      </c>
      <c r="P897" s="6">
        <v>0</v>
      </c>
      <c r="Q897" s="6">
        <v>0</v>
      </c>
      <c r="R897" s="6">
        <v>0</v>
      </c>
      <c r="S897" s="6">
        <v>125</v>
      </c>
    </row>
    <row r="898" spans="1:19" ht="15" hidden="1" x14ac:dyDescent="0.25">
      <c r="A898" s="7" t="s">
        <v>16</v>
      </c>
      <c r="B898" s="7" t="s">
        <v>21</v>
      </c>
      <c r="C898" s="7" t="s">
        <v>18</v>
      </c>
      <c r="D898" s="4">
        <v>36238913000198</v>
      </c>
      <c r="E898" s="8" t="s">
        <v>1063</v>
      </c>
      <c r="F898" s="8" t="s">
        <v>1064</v>
      </c>
      <c r="G898" s="8" t="s">
        <v>61</v>
      </c>
      <c r="H898" s="8" t="s">
        <v>215</v>
      </c>
      <c r="I898" s="3">
        <v>2</v>
      </c>
      <c r="J898" s="8" t="s">
        <v>173</v>
      </c>
      <c r="K898" s="8" t="s">
        <v>174</v>
      </c>
      <c r="L898" s="8" t="s">
        <v>557</v>
      </c>
      <c r="M898" s="1" t="s">
        <v>205</v>
      </c>
      <c r="N898" s="8" t="s">
        <v>206</v>
      </c>
      <c r="O898" s="6">
        <v>0</v>
      </c>
      <c r="P898" s="6">
        <v>0</v>
      </c>
      <c r="Q898" s="6">
        <v>0</v>
      </c>
      <c r="R898" s="6">
        <v>0</v>
      </c>
      <c r="S898" s="6">
        <v>125</v>
      </c>
    </row>
    <row r="899" spans="1:19" ht="15" hidden="1" x14ac:dyDescent="0.25">
      <c r="A899" s="7" t="s">
        <v>16</v>
      </c>
      <c r="B899" s="7" t="s">
        <v>21</v>
      </c>
      <c r="C899" s="7" t="s">
        <v>18</v>
      </c>
      <c r="D899" s="4">
        <v>8562523000133</v>
      </c>
      <c r="E899" s="8" t="s">
        <v>1044</v>
      </c>
      <c r="F899" s="8" t="s">
        <v>78</v>
      </c>
      <c r="G899" s="8" t="s">
        <v>61</v>
      </c>
      <c r="H899" s="8" t="s">
        <v>215</v>
      </c>
      <c r="I899" s="3">
        <v>2</v>
      </c>
      <c r="J899" s="8" t="s">
        <v>155</v>
      </c>
      <c r="K899" s="8" t="s">
        <v>156</v>
      </c>
      <c r="L899" s="8" t="s">
        <v>556</v>
      </c>
      <c r="M899" s="1" t="s">
        <v>205</v>
      </c>
      <c r="N899" s="8" t="s">
        <v>206</v>
      </c>
      <c r="O899" s="6">
        <v>0</v>
      </c>
      <c r="P899" s="6">
        <v>0</v>
      </c>
      <c r="Q899" s="6">
        <v>0</v>
      </c>
      <c r="R899" s="6">
        <v>0</v>
      </c>
      <c r="S899" s="6">
        <v>0</v>
      </c>
    </row>
    <row r="900" spans="1:19" ht="15" hidden="1" x14ac:dyDescent="0.25">
      <c r="A900" s="7" t="s">
        <v>16</v>
      </c>
      <c r="B900" s="7" t="s">
        <v>21</v>
      </c>
      <c r="C900" s="7" t="s">
        <v>18</v>
      </c>
      <c r="D900" s="4">
        <v>8562523000133</v>
      </c>
      <c r="E900" s="8" t="s">
        <v>1044</v>
      </c>
      <c r="F900" s="8" t="s">
        <v>78</v>
      </c>
      <c r="G900" s="8" t="s">
        <v>61</v>
      </c>
      <c r="H900" s="8" t="s">
        <v>215</v>
      </c>
      <c r="I900" s="3">
        <v>2</v>
      </c>
      <c r="J900" s="8" t="s">
        <v>173</v>
      </c>
      <c r="K900" s="8" t="s">
        <v>174</v>
      </c>
      <c r="L900" s="8" t="s">
        <v>557</v>
      </c>
      <c r="M900" s="1" t="s">
        <v>205</v>
      </c>
      <c r="N900" s="8" t="s">
        <v>206</v>
      </c>
      <c r="O900" s="6">
        <v>0</v>
      </c>
      <c r="P900" s="6">
        <v>5</v>
      </c>
      <c r="Q900" s="6">
        <v>2</v>
      </c>
      <c r="R900" s="6">
        <v>0</v>
      </c>
      <c r="S900" s="6">
        <v>0</v>
      </c>
    </row>
    <row r="901" spans="1:19" ht="15" hidden="1" x14ac:dyDescent="0.25">
      <c r="A901" s="7" t="s">
        <v>16</v>
      </c>
      <c r="B901" s="7" t="s">
        <v>21</v>
      </c>
      <c r="C901" s="7" t="s">
        <v>18</v>
      </c>
      <c r="D901" s="4">
        <v>6047087001372</v>
      </c>
      <c r="E901" s="8" t="s">
        <v>1041</v>
      </c>
      <c r="F901" s="8" t="s">
        <v>78</v>
      </c>
      <c r="G901" s="8" t="s">
        <v>61</v>
      </c>
      <c r="H901" s="8" t="s">
        <v>215</v>
      </c>
      <c r="I901" s="3">
        <v>2</v>
      </c>
      <c r="J901" s="8" t="s">
        <v>155</v>
      </c>
      <c r="K901" s="8" t="s">
        <v>156</v>
      </c>
      <c r="L901" s="8" t="s">
        <v>556</v>
      </c>
      <c r="M901" s="1" t="s">
        <v>205</v>
      </c>
      <c r="N901" s="8" t="s">
        <v>206</v>
      </c>
      <c r="O901" s="6">
        <v>0</v>
      </c>
      <c r="P901" s="6">
        <v>0</v>
      </c>
      <c r="Q901" s="6">
        <v>0</v>
      </c>
      <c r="R901" s="6">
        <v>0</v>
      </c>
      <c r="S901" s="6">
        <v>0</v>
      </c>
    </row>
    <row r="902" spans="1:19" ht="15" hidden="1" x14ac:dyDescent="0.25">
      <c r="A902" s="7" t="s">
        <v>16</v>
      </c>
      <c r="B902" s="7" t="s">
        <v>21</v>
      </c>
      <c r="C902" s="7" t="s">
        <v>18</v>
      </c>
      <c r="D902" s="4">
        <v>6047087001372</v>
      </c>
      <c r="E902" s="8" t="s">
        <v>1041</v>
      </c>
      <c r="F902" s="8" t="s">
        <v>78</v>
      </c>
      <c r="G902" s="8" t="s">
        <v>61</v>
      </c>
      <c r="H902" s="8" t="s">
        <v>215</v>
      </c>
      <c r="I902" s="3">
        <v>2</v>
      </c>
      <c r="J902" s="8" t="s">
        <v>181</v>
      </c>
      <c r="K902" s="8" t="s">
        <v>182</v>
      </c>
      <c r="L902" s="8" t="s">
        <v>557</v>
      </c>
      <c r="M902" s="1" t="s">
        <v>205</v>
      </c>
      <c r="N902" s="8" t="s">
        <v>206</v>
      </c>
      <c r="O902" s="6">
        <v>0</v>
      </c>
      <c r="P902" s="6">
        <v>3</v>
      </c>
      <c r="Q902" s="6">
        <v>4</v>
      </c>
      <c r="R902" s="6">
        <v>0</v>
      </c>
      <c r="S902" s="6">
        <v>0</v>
      </c>
    </row>
    <row r="903" spans="1:19" ht="15" hidden="1" x14ac:dyDescent="0.25">
      <c r="A903" s="7" t="s">
        <v>16</v>
      </c>
      <c r="B903" s="7" t="s">
        <v>21</v>
      </c>
      <c r="C903" s="7" t="s">
        <v>18</v>
      </c>
      <c r="D903" s="4">
        <v>29435005003497</v>
      </c>
      <c r="E903" s="8" t="s">
        <v>1054</v>
      </c>
      <c r="F903" s="8" t="s">
        <v>78</v>
      </c>
      <c r="G903" s="8" t="s">
        <v>61</v>
      </c>
      <c r="H903" s="8" t="s">
        <v>215</v>
      </c>
      <c r="I903" s="3">
        <v>2</v>
      </c>
      <c r="J903" s="8" t="s">
        <v>155</v>
      </c>
      <c r="K903" s="8" t="s">
        <v>156</v>
      </c>
      <c r="L903" s="8" t="s">
        <v>556</v>
      </c>
      <c r="M903" s="1" t="s">
        <v>205</v>
      </c>
      <c r="N903" s="8" t="s">
        <v>206</v>
      </c>
      <c r="O903" s="6">
        <v>0</v>
      </c>
      <c r="P903" s="6">
        <v>0</v>
      </c>
      <c r="Q903" s="6">
        <v>0</v>
      </c>
      <c r="R903" s="6">
        <v>0</v>
      </c>
      <c r="S903" s="6">
        <v>150</v>
      </c>
    </row>
    <row r="904" spans="1:19" ht="15" hidden="1" x14ac:dyDescent="0.25">
      <c r="A904" s="7" t="s">
        <v>16</v>
      </c>
      <c r="B904" s="7" t="s">
        <v>21</v>
      </c>
      <c r="C904" s="7" t="s">
        <v>18</v>
      </c>
      <c r="D904" s="4">
        <v>29435005003497</v>
      </c>
      <c r="E904" s="8" t="s">
        <v>1054</v>
      </c>
      <c r="F904" s="8" t="s">
        <v>78</v>
      </c>
      <c r="G904" s="8" t="s">
        <v>61</v>
      </c>
      <c r="H904" s="8" t="s">
        <v>215</v>
      </c>
      <c r="I904" s="3">
        <v>2</v>
      </c>
      <c r="J904" s="8" t="s">
        <v>173</v>
      </c>
      <c r="K904" s="8" t="s">
        <v>174</v>
      </c>
      <c r="L904" s="8" t="s">
        <v>557</v>
      </c>
      <c r="M904" s="1" t="s">
        <v>205</v>
      </c>
      <c r="N904" s="8" t="s">
        <v>206</v>
      </c>
      <c r="O904" s="6">
        <v>0</v>
      </c>
      <c r="P904" s="6">
        <v>0</v>
      </c>
      <c r="Q904" s="6">
        <v>0</v>
      </c>
      <c r="R904" s="6">
        <v>0</v>
      </c>
      <c r="S904" s="6">
        <v>150</v>
      </c>
    </row>
    <row r="905" spans="1:19" ht="15" hidden="1" x14ac:dyDescent="0.25">
      <c r="A905" s="7" t="s">
        <v>16</v>
      </c>
      <c r="B905" s="7" t="s">
        <v>21</v>
      </c>
      <c r="C905" s="7" t="s">
        <v>18</v>
      </c>
      <c r="D905" s="4">
        <v>29640612000120</v>
      </c>
      <c r="E905" s="8" t="s">
        <v>1055</v>
      </c>
      <c r="F905" s="8" t="s">
        <v>103</v>
      </c>
      <c r="G905" s="8" t="s">
        <v>61</v>
      </c>
      <c r="H905" s="8" t="s">
        <v>215</v>
      </c>
      <c r="I905" s="3">
        <v>2</v>
      </c>
      <c r="J905" s="8" t="s">
        <v>155</v>
      </c>
      <c r="K905" s="8" t="s">
        <v>156</v>
      </c>
      <c r="L905" s="8" t="s">
        <v>556</v>
      </c>
      <c r="M905" s="1" t="s">
        <v>205</v>
      </c>
      <c r="N905" s="8" t="s">
        <v>206</v>
      </c>
      <c r="O905" s="6">
        <v>0</v>
      </c>
      <c r="P905" s="6">
        <v>0</v>
      </c>
      <c r="Q905" s="6">
        <v>0</v>
      </c>
      <c r="R905" s="6">
        <v>0</v>
      </c>
      <c r="S905" s="6">
        <v>0</v>
      </c>
    </row>
    <row r="906" spans="1:19" ht="15" hidden="1" x14ac:dyDescent="0.25">
      <c r="A906" s="7" t="s">
        <v>16</v>
      </c>
      <c r="B906" s="7" t="s">
        <v>21</v>
      </c>
      <c r="C906" s="7" t="s">
        <v>18</v>
      </c>
      <c r="D906" s="4">
        <v>29640612000120</v>
      </c>
      <c r="E906" s="8" t="s">
        <v>1055</v>
      </c>
      <c r="F906" s="8" t="s">
        <v>103</v>
      </c>
      <c r="G906" s="8" t="s">
        <v>61</v>
      </c>
      <c r="H906" s="8" t="s">
        <v>215</v>
      </c>
      <c r="I906" s="3">
        <v>2</v>
      </c>
      <c r="J906" s="8" t="s">
        <v>173</v>
      </c>
      <c r="K906" s="8" t="s">
        <v>174</v>
      </c>
      <c r="L906" s="8" t="s">
        <v>557</v>
      </c>
      <c r="M906" s="1" t="s">
        <v>205</v>
      </c>
      <c r="N906" s="8" t="s">
        <v>206</v>
      </c>
      <c r="O906" s="6">
        <v>0</v>
      </c>
      <c r="P906" s="6">
        <v>0</v>
      </c>
      <c r="Q906" s="6">
        <v>1</v>
      </c>
      <c r="R906" s="6">
        <v>0</v>
      </c>
      <c r="S906" s="6">
        <v>0</v>
      </c>
    </row>
    <row r="907" spans="1:19" ht="15" hidden="1" x14ac:dyDescent="0.25">
      <c r="A907" s="7" t="s">
        <v>16</v>
      </c>
      <c r="B907" s="7" t="s">
        <v>21</v>
      </c>
      <c r="C907" s="7" t="s">
        <v>18</v>
      </c>
      <c r="D907" s="4">
        <v>30079461000162</v>
      </c>
      <c r="E907" s="8" t="s">
        <v>1056</v>
      </c>
      <c r="F907" s="8" t="s">
        <v>1039</v>
      </c>
      <c r="G907" s="8" t="s">
        <v>61</v>
      </c>
      <c r="H907" s="8" t="s">
        <v>215</v>
      </c>
      <c r="I907" s="3">
        <v>2</v>
      </c>
      <c r="J907" s="8" t="s">
        <v>155</v>
      </c>
      <c r="K907" s="8" t="s">
        <v>156</v>
      </c>
      <c r="L907" s="8" t="s">
        <v>556</v>
      </c>
      <c r="M907" s="1" t="s">
        <v>205</v>
      </c>
      <c r="N907" s="8" t="s">
        <v>206</v>
      </c>
      <c r="O907" s="6">
        <v>0</v>
      </c>
      <c r="P907" s="6">
        <v>0</v>
      </c>
      <c r="Q907" s="6">
        <v>0</v>
      </c>
      <c r="R907" s="6">
        <v>0</v>
      </c>
      <c r="S907" s="6">
        <v>0</v>
      </c>
    </row>
    <row r="908" spans="1:19" ht="15" hidden="1" x14ac:dyDescent="0.25">
      <c r="A908" s="7" t="s">
        <v>16</v>
      </c>
      <c r="B908" s="7" t="s">
        <v>21</v>
      </c>
      <c r="C908" s="7" t="s">
        <v>18</v>
      </c>
      <c r="D908" s="4">
        <v>30079461000162</v>
      </c>
      <c r="E908" s="8" t="s">
        <v>1056</v>
      </c>
      <c r="F908" s="8" t="s">
        <v>1039</v>
      </c>
      <c r="G908" s="8" t="s">
        <v>61</v>
      </c>
      <c r="H908" s="8" t="s">
        <v>215</v>
      </c>
      <c r="I908" s="3">
        <v>2</v>
      </c>
      <c r="J908" s="8" t="s">
        <v>181</v>
      </c>
      <c r="K908" s="8" t="s">
        <v>182</v>
      </c>
      <c r="L908" s="8" t="s">
        <v>557</v>
      </c>
      <c r="M908" s="1" t="s">
        <v>205</v>
      </c>
      <c r="N908" s="8" t="s">
        <v>206</v>
      </c>
      <c r="O908" s="6">
        <v>0</v>
      </c>
      <c r="P908" s="6">
        <v>16</v>
      </c>
      <c r="Q908" s="6">
        <v>2</v>
      </c>
      <c r="R908" s="6">
        <v>0</v>
      </c>
      <c r="S908" s="6">
        <v>0</v>
      </c>
    </row>
    <row r="909" spans="1:19" ht="15" hidden="1" x14ac:dyDescent="0.25">
      <c r="A909" s="7" t="s">
        <v>16</v>
      </c>
      <c r="B909" s="7" t="s">
        <v>21</v>
      </c>
      <c r="C909" s="7" t="s">
        <v>18</v>
      </c>
      <c r="D909" s="4">
        <v>437007000175</v>
      </c>
      <c r="E909" s="8" t="s">
        <v>1038</v>
      </c>
      <c r="F909" s="8" t="s">
        <v>1039</v>
      </c>
      <c r="G909" s="8" t="s">
        <v>61</v>
      </c>
      <c r="H909" s="8" t="s">
        <v>215</v>
      </c>
      <c r="I909" s="3">
        <v>2</v>
      </c>
      <c r="J909" s="8" t="s">
        <v>155</v>
      </c>
      <c r="K909" s="8" t="s">
        <v>156</v>
      </c>
      <c r="L909" s="8" t="s">
        <v>556</v>
      </c>
      <c r="M909" s="1" t="s">
        <v>205</v>
      </c>
      <c r="N909" s="8" t="s">
        <v>206</v>
      </c>
      <c r="O909" s="6">
        <v>0</v>
      </c>
      <c r="P909" s="6">
        <v>0</v>
      </c>
      <c r="Q909" s="6">
        <v>0</v>
      </c>
      <c r="R909" s="6">
        <v>228</v>
      </c>
      <c r="S909" s="6">
        <v>505</v>
      </c>
    </row>
    <row r="910" spans="1:19" ht="15" hidden="1" x14ac:dyDescent="0.25">
      <c r="A910" s="7" t="s">
        <v>16</v>
      </c>
      <c r="B910" s="7" t="s">
        <v>21</v>
      </c>
      <c r="C910" s="7" t="s">
        <v>18</v>
      </c>
      <c r="D910" s="4">
        <v>437007000175</v>
      </c>
      <c r="E910" s="8" t="s">
        <v>1038</v>
      </c>
      <c r="F910" s="8" t="s">
        <v>1039</v>
      </c>
      <c r="G910" s="8" t="s">
        <v>61</v>
      </c>
      <c r="H910" s="8" t="s">
        <v>215</v>
      </c>
      <c r="I910" s="3">
        <v>2</v>
      </c>
      <c r="J910" s="8" t="s">
        <v>181</v>
      </c>
      <c r="K910" s="8" t="s">
        <v>182</v>
      </c>
      <c r="L910" s="8" t="s">
        <v>557</v>
      </c>
      <c r="M910" s="1" t="s">
        <v>205</v>
      </c>
      <c r="N910" s="8" t="s">
        <v>206</v>
      </c>
      <c r="O910" s="6">
        <v>0</v>
      </c>
      <c r="P910" s="6">
        <v>0</v>
      </c>
      <c r="Q910" s="6">
        <v>0</v>
      </c>
      <c r="R910" s="6">
        <v>0</v>
      </c>
      <c r="S910" s="6">
        <v>505</v>
      </c>
    </row>
    <row r="911" spans="1:19" ht="15" hidden="1" x14ac:dyDescent="0.25">
      <c r="A911" s="7" t="s">
        <v>16</v>
      </c>
      <c r="B911" s="7" t="s">
        <v>21</v>
      </c>
      <c r="C911" s="7" t="s">
        <v>18</v>
      </c>
      <c r="D911" s="4">
        <v>60884855001207</v>
      </c>
      <c r="E911" s="8" t="s">
        <v>1065</v>
      </c>
      <c r="F911" s="8" t="s">
        <v>1039</v>
      </c>
      <c r="G911" s="8" t="s">
        <v>61</v>
      </c>
      <c r="H911" s="8" t="s">
        <v>215</v>
      </c>
      <c r="I911" s="3">
        <v>2</v>
      </c>
      <c r="J911" s="8" t="s">
        <v>155</v>
      </c>
      <c r="K911" s="8" t="s">
        <v>156</v>
      </c>
      <c r="L911" s="8" t="s">
        <v>556</v>
      </c>
      <c r="M911" s="1" t="s">
        <v>205</v>
      </c>
      <c r="N911" s="8" t="s">
        <v>206</v>
      </c>
      <c r="O911" s="6">
        <v>0</v>
      </c>
      <c r="P911" s="6">
        <v>0</v>
      </c>
      <c r="Q911" s="6">
        <v>0</v>
      </c>
      <c r="R911" s="6">
        <v>18</v>
      </c>
      <c r="S911" s="6">
        <v>985</v>
      </c>
    </row>
    <row r="912" spans="1:19" ht="15" hidden="1" x14ac:dyDescent="0.25">
      <c r="A912" s="7" t="s">
        <v>16</v>
      </c>
      <c r="B912" s="7" t="s">
        <v>21</v>
      </c>
      <c r="C912" s="7" t="s">
        <v>18</v>
      </c>
      <c r="D912" s="4">
        <v>60884855001207</v>
      </c>
      <c r="E912" s="8" t="s">
        <v>1065</v>
      </c>
      <c r="F912" s="8" t="s">
        <v>1039</v>
      </c>
      <c r="G912" s="8" t="s">
        <v>61</v>
      </c>
      <c r="H912" s="8" t="s">
        <v>215</v>
      </c>
      <c r="I912" s="3">
        <v>2</v>
      </c>
      <c r="J912" s="8" t="s">
        <v>181</v>
      </c>
      <c r="K912" s="8" t="s">
        <v>182</v>
      </c>
      <c r="L912" s="8" t="s">
        <v>557</v>
      </c>
      <c r="M912" s="1" t="s">
        <v>205</v>
      </c>
      <c r="N912" s="8" t="s">
        <v>206</v>
      </c>
      <c r="O912" s="6">
        <v>0</v>
      </c>
      <c r="P912" s="6">
        <v>17</v>
      </c>
      <c r="Q912" s="6">
        <v>6</v>
      </c>
      <c r="R912" s="6">
        <v>0</v>
      </c>
      <c r="S912" s="6">
        <v>985</v>
      </c>
    </row>
    <row r="913" spans="1:19" ht="15" hidden="1" x14ac:dyDescent="0.25">
      <c r="A913" s="7" t="s">
        <v>16</v>
      </c>
      <c r="B913" s="7" t="s">
        <v>21</v>
      </c>
      <c r="C913" s="7" t="s">
        <v>18</v>
      </c>
      <c r="D913" s="4">
        <v>521197000104</v>
      </c>
      <c r="E913" s="8" t="s">
        <v>1040</v>
      </c>
      <c r="F913" s="8" t="s">
        <v>1039</v>
      </c>
      <c r="G913" s="8" t="s">
        <v>61</v>
      </c>
      <c r="H913" s="8" t="s">
        <v>215</v>
      </c>
      <c r="I913" s="3">
        <v>2</v>
      </c>
      <c r="J913" s="8" t="s">
        <v>155</v>
      </c>
      <c r="K913" s="8" t="s">
        <v>156</v>
      </c>
      <c r="L913" s="8" t="s">
        <v>556</v>
      </c>
      <c r="M913" s="1" t="s">
        <v>205</v>
      </c>
      <c r="N913" s="8" t="s">
        <v>206</v>
      </c>
      <c r="O913" s="6">
        <v>0</v>
      </c>
      <c r="P913" s="6">
        <v>0</v>
      </c>
      <c r="Q913" s="6">
        <v>0</v>
      </c>
      <c r="R913" s="6">
        <v>0</v>
      </c>
      <c r="S913" s="6">
        <v>638</v>
      </c>
    </row>
    <row r="914" spans="1:19" ht="15" hidden="1" x14ac:dyDescent="0.25">
      <c r="A914" s="7" t="s">
        <v>16</v>
      </c>
      <c r="B914" s="7" t="s">
        <v>21</v>
      </c>
      <c r="C914" s="7" t="s">
        <v>18</v>
      </c>
      <c r="D914" s="4">
        <v>521197000104</v>
      </c>
      <c r="E914" s="8" t="s">
        <v>1040</v>
      </c>
      <c r="F914" s="8" t="s">
        <v>1039</v>
      </c>
      <c r="G914" s="8" t="s">
        <v>61</v>
      </c>
      <c r="H914" s="8" t="s">
        <v>215</v>
      </c>
      <c r="I914" s="3">
        <v>2</v>
      </c>
      <c r="J914" s="8" t="s">
        <v>173</v>
      </c>
      <c r="K914" s="8" t="s">
        <v>174</v>
      </c>
      <c r="L914" s="8" t="s">
        <v>557</v>
      </c>
      <c r="M914" s="1" t="s">
        <v>205</v>
      </c>
      <c r="N914" s="8" t="s">
        <v>206</v>
      </c>
      <c r="O914" s="6">
        <v>0</v>
      </c>
      <c r="P914" s="6">
        <v>0</v>
      </c>
      <c r="Q914" s="6">
        <v>0</v>
      </c>
      <c r="R914" s="6">
        <v>0</v>
      </c>
      <c r="S914" s="6">
        <v>638</v>
      </c>
    </row>
    <row r="915" spans="1:19" ht="15" hidden="1" x14ac:dyDescent="0.25">
      <c r="A915" s="7" t="s">
        <v>16</v>
      </c>
      <c r="B915" s="7" t="s">
        <v>21</v>
      </c>
      <c r="C915" s="7" t="s">
        <v>18</v>
      </c>
      <c r="D915" s="4">
        <v>30537740000122</v>
      </c>
      <c r="E915" s="8" t="s">
        <v>1058</v>
      </c>
      <c r="F915" s="8" t="s">
        <v>120</v>
      </c>
      <c r="G915" s="8" t="s">
        <v>61</v>
      </c>
      <c r="H915" s="8" t="s">
        <v>215</v>
      </c>
      <c r="I915" s="3">
        <v>2</v>
      </c>
      <c r="J915" s="8" t="s">
        <v>155</v>
      </c>
      <c r="K915" s="8" t="s">
        <v>156</v>
      </c>
      <c r="L915" s="8" t="s">
        <v>556</v>
      </c>
      <c r="M915" s="1" t="s">
        <v>205</v>
      </c>
      <c r="N915" s="8" t="s">
        <v>206</v>
      </c>
      <c r="O915" s="6">
        <v>0</v>
      </c>
      <c r="P915" s="6">
        <v>0</v>
      </c>
      <c r="Q915" s="6">
        <v>0</v>
      </c>
      <c r="R915" s="6">
        <v>0</v>
      </c>
      <c r="S915" s="6">
        <v>215</v>
      </c>
    </row>
    <row r="916" spans="1:19" ht="15" hidden="1" x14ac:dyDescent="0.25">
      <c r="A916" s="7" t="s">
        <v>16</v>
      </c>
      <c r="B916" s="7" t="s">
        <v>21</v>
      </c>
      <c r="C916" s="7" t="s">
        <v>18</v>
      </c>
      <c r="D916" s="4">
        <v>30537740000122</v>
      </c>
      <c r="E916" s="8" t="s">
        <v>1058</v>
      </c>
      <c r="F916" s="8" t="s">
        <v>120</v>
      </c>
      <c r="G916" s="8" t="s">
        <v>61</v>
      </c>
      <c r="H916" s="8" t="s">
        <v>215</v>
      </c>
      <c r="I916" s="3">
        <v>2</v>
      </c>
      <c r="J916" s="8" t="s">
        <v>173</v>
      </c>
      <c r="K916" s="8" t="s">
        <v>174</v>
      </c>
      <c r="L916" s="8" t="s">
        <v>557</v>
      </c>
      <c r="M916" s="1" t="s">
        <v>205</v>
      </c>
      <c r="N916" s="8" t="s">
        <v>206</v>
      </c>
      <c r="O916" s="6">
        <v>0</v>
      </c>
      <c r="P916" s="6">
        <v>0</v>
      </c>
      <c r="Q916" s="6">
        <v>0</v>
      </c>
      <c r="R916" s="6">
        <v>0</v>
      </c>
      <c r="S916" s="6">
        <v>215</v>
      </c>
    </row>
    <row r="917" spans="1:19" ht="15" hidden="1" x14ac:dyDescent="0.25">
      <c r="A917" s="7" t="s">
        <v>16</v>
      </c>
      <c r="B917" s="7" t="s">
        <v>21</v>
      </c>
      <c r="C917" s="7" t="s">
        <v>18</v>
      </c>
      <c r="D917" s="4">
        <v>29135795000208</v>
      </c>
      <c r="E917" s="8" t="s">
        <v>1053</v>
      </c>
      <c r="F917" s="8" t="s">
        <v>120</v>
      </c>
      <c r="G917" s="8" t="s">
        <v>61</v>
      </c>
      <c r="H917" s="8" t="s">
        <v>215</v>
      </c>
      <c r="I917" s="3">
        <v>2</v>
      </c>
      <c r="J917" s="8" t="s">
        <v>155</v>
      </c>
      <c r="K917" s="8" t="s">
        <v>156</v>
      </c>
      <c r="L917" s="8" t="s">
        <v>556</v>
      </c>
      <c r="M917" s="1" t="s">
        <v>205</v>
      </c>
      <c r="N917" s="8" t="s">
        <v>206</v>
      </c>
      <c r="O917" s="6">
        <v>0</v>
      </c>
      <c r="P917" s="6">
        <v>0</v>
      </c>
      <c r="Q917" s="6">
        <v>0</v>
      </c>
      <c r="R917" s="6">
        <v>0</v>
      </c>
      <c r="S917" s="6">
        <v>275</v>
      </c>
    </row>
    <row r="918" spans="1:19" ht="15" hidden="1" x14ac:dyDescent="0.25">
      <c r="A918" s="7" t="s">
        <v>16</v>
      </c>
      <c r="B918" s="7" t="s">
        <v>21</v>
      </c>
      <c r="C918" s="7" t="s">
        <v>18</v>
      </c>
      <c r="D918" s="4">
        <v>29135795000208</v>
      </c>
      <c r="E918" s="8" t="s">
        <v>1053</v>
      </c>
      <c r="F918" s="8" t="s">
        <v>120</v>
      </c>
      <c r="G918" s="8" t="s">
        <v>61</v>
      </c>
      <c r="H918" s="8" t="s">
        <v>215</v>
      </c>
      <c r="I918" s="3">
        <v>2</v>
      </c>
      <c r="J918" s="8" t="s">
        <v>173</v>
      </c>
      <c r="K918" s="8" t="s">
        <v>174</v>
      </c>
      <c r="L918" s="8" t="s">
        <v>557</v>
      </c>
      <c r="M918" s="1" t="s">
        <v>205</v>
      </c>
      <c r="N918" s="8" t="s">
        <v>206</v>
      </c>
      <c r="O918" s="6">
        <v>0</v>
      </c>
      <c r="P918" s="6">
        <v>0</v>
      </c>
      <c r="Q918" s="6">
        <v>0</v>
      </c>
      <c r="R918" s="6">
        <v>0</v>
      </c>
      <c r="S918" s="6">
        <v>275</v>
      </c>
    </row>
    <row r="919" spans="1:19" ht="15" hidden="1" x14ac:dyDescent="0.25">
      <c r="A919" s="7" t="s">
        <v>16</v>
      </c>
      <c r="B919" s="7" t="s">
        <v>21</v>
      </c>
      <c r="C919" s="7" t="s">
        <v>18</v>
      </c>
      <c r="D919" s="4">
        <v>7794623001528</v>
      </c>
      <c r="E919" s="8" t="s">
        <v>1042</v>
      </c>
      <c r="F919" s="8" t="s">
        <v>1043</v>
      </c>
      <c r="G919" s="8" t="s">
        <v>61</v>
      </c>
      <c r="H919" s="8" t="s">
        <v>215</v>
      </c>
      <c r="I919" s="3">
        <v>2</v>
      </c>
      <c r="J919" s="8" t="s">
        <v>155</v>
      </c>
      <c r="K919" s="8" t="s">
        <v>156</v>
      </c>
      <c r="L919" s="8" t="s">
        <v>556</v>
      </c>
      <c r="M919" s="1" t="s">
        <v>205</v>
      </c>
      <c r="N919" s="8" t="s">
        <v>206</v>
      </c>
      <c r="O919" s="6">
        <v>0</v>
      </c>
      <c r="P919" s="6">
        <v>0</v>
      </c>
      <c r="Q919" s="6">
        <v>0</v>
      </c>
      <c r="R919" s="6">
        <v>28</v>
      </c>
      <c r="S919" s="6">
        <v>0</v>
      </c>
    </row>
    <row r="920" spans="1:19" ht="15" hidden="1" x14ac:dyDescent="0.25">
      <c r="A920" s="7" t="s">
        <v>16</v>
      </c>
      <c r="B920" s="7" t="s">
        <v>21</v>
      </c>
      <c r="C920" s="7" t="s">
        <v>18</v>
      </c>
      <c r="D920" s="4">
        <v>7794623001528</v>
      </c>
      <c r="E920" s="8" t="s">
        <v>1042</v>
      </c>
      <c r="F920" s="8" t="s">
        <v>1043</v>
      </c>
      <c r="G920" s="8" t="s">
        <v>61</v>
      </c>
      <c r="H920" s="8" t="s">
        <v>215</v>
      </c>
      <c r="I920" s="3">
        <v>2</v>
      </c>
      <c r="J920" s="8" t="s">
        <v>181</v>
      </c>
      <c r="K920" s="8" t="s">
        <v>182</v>
      </c>
      <c r="L920" s="8" t="s">
        <v>557</v>
      </c>
      <c r="M920" s="1" t="s">
        <v>205</v>
      </c>
      <c r="N920" s="8" t="s">
        <v>206</v>
      </c>
      <c r="O920" s="6">
        <v>0</v>
      </c>
      <c r="P920" s="6">
        <v>0</v>
      </c>
      <c r="Q920" s="6">
        <v>0</v>
      </c>
      <c r="R920" s="6">
        <v>0</v>
      </c>
      <c r="S920" s="6">
        <v>0</v>
      </c>
    </row>
    <row r="921" spans="1:19" ht="15" hidden="1" x14ac:dyDescent="0.25">
      <c r="A921" s="7" t="s">
        <v>16</v>
      </c>
      <c r="B921" s="7" t="s">
        <v>21</v>
      </c>
      <c r="C921" s="7" t="s">
        <v>18</v>
      </c>
      <c r="D921" s="4">
        <v>28806545000532</v>
      </c>
      <c r="E921" s="8" t="s">
        <v>1050</v>
      </c>
      <c r="F921" s="8" t="s">
        <v>1051</v>
      </c>
      <c r="G921" s="8" t="s">
        <v>61</v>
      </c>
      <c r="H921" s="8" t="s">
        <v>215</v>
      </c>
      <c r="I921" s="3">
        <v>2</v>
      </c>
      <c r="J921" s="8" t="s">
        <v>155</v>
      </c>
      <c r="K921" s="8" t="s">
        <v>156</v>
      </c>
      <c r="L921" s="8" t="s">
        <v>556</v>
      </c>
      <c r="M921" s="1" t="s">
        <v>205</v>
      </c>
      <c r="N921" s="8" t="s">
        <v>206</v>
      </c>
      <c r="O921" s="6">
        <v>0</v>
      </c>
      <c r="P921" s="6">
        <v>0</v>
      </c>
      <c r="Q921" s="6">
        <v>0</v>
      </c>
      <c r="R921" s="6">
        <v>96</v>
      </c>
      <c r="S921" s="6">
        <v>0</v>
      </c>
    </row>
    <row r="922" spans="1:19" ht="15" hidden="1" x14ac:dyDescent="0.25">
      <c r="A922" s="7" t="s">
        <v>16</v>
      </c>
      <c r="B922" s="7" t="s">
        <v>21</v>
      </c>
      <c r="C922" s="7" t="s">
        <v>18</v>
      </c>
      <c r="D922" s="4">
        <v>28806545000532</v>
      </c>
      <c r="E922" s="8" t="s">
        <v>1050</v>
      </c>
      <c r="F922" s="8" t="s">
        <v>1051</v>
      </c>
      <c r="G922" s="8" t="s">
        <v>61</v>
      </c>
      <c r="H922" s="8" t="s">
        <v>215</v>
      </c>
      <c r="I922" s="3">
        <v>2</v>
      </c>
      <c r="J922" s="8" t="s">
        <v>173</v>
      </c>
      <c r="K922" s="8" t="s">
        <v>174</v>
      </c>
      <c r="L922" s="8" t="s">
        <v>557</v>
      </c>
      <c r="M922" s="1" t="s">
        <v>205</v>
      </c>
      <c r="N922" s="8" t="s">
        <v>206</v>
      </c>
      <c r="O922" s="6">
        <v>0</v>
      </c>
      <c r="P922" s="6">
        <v>0</v>
      </c>
      <c r="Q922" s="6">
        <v>0</v>
      </c>
      <c r="R922" s="6">
        <v>0</v>
      </c>
      <c r="S922" s="6">
        <v>0</v>
      </c>
    </row>
    <row r="923" spans="1:19" ht="15" hidden="1" x14ac:dyDescent="0.25">
      <c r="A923" s="7" t="s">
        <v>16</v>
      </c>
      <c r="B923" s="7" t="s">
        <v>21</v>
      </c>
      <c r="C923" s="7" t="s">
        <v>18</v>
      </c>
      <c r="D923" s="4">
        <v>68709211000212</v>
      </c>
      <c r="E923" s="8" t="s">
        <v>1066</v>
      </c>
      <c r="F923" s="8" t="s">
        <v>92</v>
      </c>
      <c r="G923" s="8" t="s">
        <v>61</v>
      </c>
      <c r="H923" s="8" t="s">
        <v>215</v>
      </c>
      <c r="I923" s="3">
        <v>2</v>
      </c>
      <c r="J923" s="8" t="s">
        <v>155</v>
      </c>
      <c r="K923" s="8" t="s">
        <v>156</v>
      </c>
      <c r="L923" s="8" t="s">
        <v>556</v>
      </c>
      <c r="M923" s="1" t="s">
        <v>205</v>
      </c>
      <c r="N923" s="8" t="s">
        <v>206</v>
      </c>
      <c r="O923" s="6">
        <v>0</v>
      </c>
      <c r="P923" s="6">
        <v>0</v>
      </c>
      <c r="Q923" s="6">
        <v>0</v>
      </c>
      <c r="R923" s="6">
        <v>0</v>
      </c>
      <c r="S923" s="6">
        <v>200</v>
      </c>
    </row>
    <row r="924" spans="1:19" ht="15" hidden="1" x14ac:dyDescent="0.25">
      <c r="A924" s="7" t="s">
        <v>16</v>
      </c>
      <c r="B924" s="7" t="s">
        <v>21</v>
      </c>
      <c r="C924" s="7" t="s">
        <v>18</v>
      </c>
      <c r="D924" s="4">
        <v>68709211000212</v>
      </c>
      <c r="E924" s="8" t="s">
        <v>1066</v>
      </c>
      <c r="F924" s="8" t="s">
        <v>92</v>
      </c>
      <c r="G924" s="8" t="s">
        <v>61</v>
      </c>
      <c r="H924" s="8" t="s">
        <v>215</v>
      </c>
      <c r="I924" s="3">
        <v>2</v>
      </c>
      <c r="J924" s="8" t="s">
        <v>173</v>
      </c>
      <c r="K924" s="8" t="s">
        <v>174</v>
      </c>
      <c r="L924" s="8" t="s">
        <v>557</v>
      </c>
      <c r="M924" s="1" t="s">
        <v>205</v>
      </c>
      <c r="N924" s="8" t="s">
        <v>206</v>
      </c>
      <c r="O924" s="6">
        <v>0</v>
      </c>
      <c r="P924" s="6">
        <v>1</v>
      </c>
      <c r="Q924" s="6">
        <v>0</v>
      </c>
      <c r="R924" s="6">
        <v>0</v>
      </c>
      <c r="S924" s="6">
        <v>200</v>
      </c>
    </row>
    <row r="925" spans="1:19" ht="15" hidden="1" x14ac:dyDescent="0.25">
      <c r="A925" s="7" t="s">
        <v>16</v>
      </c>
      <c r="B925" s="7" t="s">
        <v>21</v>
      </c>
      <c r="C925" s="7" t="s">
        <v>18</v>
      </c>
      <c r="D925" s="4">
        <v>29435005005279</v>
      </c>
      <c r="E925" s="8" t="s">
        <v>1103</v>
      </c>
      <c r="F925" s="8" t="s">
        <v>131</v>
      </c>
      <c r="G925" s="8" t="s">
        <v>61</v>
      </c>
      <c r="H925" s="8" t="s">
        <v>215</v>
      </c>
      <c r="I925" s="3">
        <v>2</v>
      </c>
      <c r="J925" s="8" t="s">
        <v>155</v>
      </c>
      <c r="K925" s="8" t="s">
        <v>156</v>
      </c>
      <c r="L925" s="8" t="s">
        <v>556</v>
      </c>
      <c r="M925" s="1" t="s">
        <v>205</v>
      </c>
      <c r="N925" s="8" t="s">
        <v>206</v>
      </c>
      <c r="O925" s="6">
        <v>0</v>
      </c>
      <c r="P925" s="6">
        <v>0</v>
      </c>
      <c r="Q925" s="6">
        <v>0</v>
      </c>
      <c r="R925" s="6">
        <v>0</v>
      </c>
      <c r="S925" s="6">
        <v>0</v>
      </c>
    </row>
    <row r="926" spans="1:19" ht="15" hidden="1" x14ac:dyDescent="0.25">
      <c r="A926" s="7" t="s">
        <v>16</v>
      </c>
      <c r="B926" s="7" t="s">
        <v>21</v>
      </c>
      <c r="C926" s="7" t="s">
        <v>18</v>
      </c>
      <c r="D926" s="4">
        <v>29435005005279</v>
      </c>
      <c r="E926" s="8" t="s">
        <v>1103</v>
      </c>
      <c r="F926" s="8" t="s">
        <v>131</v>
      </c>
      <c r="G926" s="8" t="s">
        <v>61</v>
      </c>
      <c r="H926" s="8" t="s">
        <v>215</v>
      </c>
      <c r="I926" s="3">
        <v>2</v>
      </c>
      <c r="J926" s="8" t="s">
        <v>181</v>
      </c>
      <c r="K926" s="8" t="s">
        <v>182</v>
      </c>
      <c r="L926" s="8" t="s">
        <v>557</v>
      </c>
      <c r="M926" s="1" t="s">
        <v>205</v>
      </c>
      <c r="N926" s="8" t="s">
        <v>206</v>
      </c>
      <c r="O926" s="6">
        <v>0</v>
      </c>
      <c r="P926" s="6">
        <v>5</v>
      </c>
      <c r="Q926" s="6">
        <v>0</v>
      </c>
      <c r="R926" s="6">
        <v>0</v>
      </c>
      <c r="S926" s="6">
        <v>0</v>
      </c>
    </row>
    <row r="927" spans="1:19" ht="15" hidden="1" x14ac:dyDescent="0.25">
      <c r="A927" s="7" t="s">
        <v>16</v>
      </c>
      <c r="B927" s="7" t="s">
        <v>21</v>
      </c>
      <c r="C927" s="7" t="s">
        <v>18</v>
      </c>
      <c r="D927" s="4">
        <v>60922168000348</v>
      </c>
      <c r="E927" s="8" t="s">
        <v>1125</v>
      </c>
      <c r="F927" s="8" t="s">
        <v>131</v>
      </c>
      <c r="G927" s="8" t="s">
        <v>61</v>
      </c>
      <c r="H927" s="8" t="s">
        <v>215</v>
      </c>
      <c r="I927" s="3">
        <v>2</v>
      </c>
      <c r="J927" s="8" t="s">
        <v>155</v>
      </c>
      <c r="K927" s="8" t="s">
        <v>156</v>
      </c>
      <c r="L927" s="8" t="s">
        <v>556</v>
      </c>
      <c r="M927" s="1" t="s">
        <v>205</v>
      </c>
      <c r="N927" s="8" t="s">
        <v>206</v>
      </c>
      <c r="O927" s="6">
        <v>0</v>
      </c>
      <c r="P927" s="6">
        <v>0</v>
      </c>
      <c r="Q927" s="6">
        <v>0</v>
      </c>
      <c r="R927" s="6">
        <v>0</v>
      </c>
      <c r="S927" s="6">
        <v>210</v>
      </c>
    </row>
    <row r="928" spans="1:19" ht="15" hidden="1" x14ac:dyDescent="0.25">
      <c r="A928" s="7" t="s">
        <v>16</v>
      </c>
      <c r="B928" s="7" t="s">
        <v>21</v>
      </c>
      <c r="C928" s="7" t="s">
        <v>18</v>
      </c>
      <c r="D928" s="4">
        <v>60922168000348</v>
      </c>
      <c r="E928" s="8" t="s">
        <v>1125</v>
      </c>
      <c r="F928" s="8" t="s">
        <v>131</v>
      </c>
      <c r="G928" s="8" t="s">
        <v>61</v>
      </c>
      <c r="H928" s="8" t="s">
        <v>215</v>
      </c>
      <c r="I928" s="3">
        <v>2</v>
      </c>
      <c r="J928" s="8" t="s">
        <v>181</v>
      </c>
      <c r="K928" s="8" t="s">
        <v>182</v>
      </c>
      <c r="L928" s="8" t="s">
        <v>557</v>
      </c>
      <c r="M928" s="1" t="s">
        <v>205</v>
      </c>
      <c r="N928" s="8" t="s">
        <v>206</v>
      </c>
      <c r="O928" s="6">
        <v>0</v>
      </c>
      <c r="P928" s="6">
        <v>4</v>
      </c>
      <c r="Q928" s="6">
        <v>9</v>
      </c>
      <c r="R928" s="6">
        <v>0</v>
      </c>
      <c r="S928" s="6">
        <v>210</v>
      </c>
    </row>
    <row r="929" spans="1:19" ht="15" hidden="1" x14ac:dyDescent="0.25">
      <c r="A929" s="7" t="s">
        <v>16</v>
      </c>
      <c r="B929" s="7" t="s">
        <v>21</v>
      </c>
      <c r="C929" s="7" t="s">
        <v>18</v>
      </c>
      <c r="D929" s="4">
        <v>7794623004896</v>
      </c>
      <c r="E929" s="8" t="s">
        <v>1084</v>
      </c>
      <c r="F929" s="8" t="s">
        <v>131</v>
      </c>
      <c r="G929" s="8" t="s">
        <v>61</v>
      </c>
      <c r="H929" s="8" t="s">
        <v>215</v>
      </c>
      <c r="I929" s="3">
        <v>2</v>
      </c>
      <c r="J929" s="8" t="s">
        <v>155</v>
      </c>
      <c r="K929" s="8" t="s">
        <v>156</v>
      </c>
      <c r="L929" s="8" t="s">
        <v>556</v>
      </c>
      <c r="M929" s="1" t="s">
        <v>205</v>
      </c>
      <c r="N929" s="8" t="s">
        <v>206</v>
      </c>
      <c r="O929" s="6">
        <v>0</v>
      </c>
      <c r="P929" s="6">
        <v>0</v>
      </c>
      <c r="Q929" s="6">
        <v>0</v>
      </c>
      <c r="R929" s="6">
        <v>0</v>
      </c>
      <c r="S929" s="6">
        <v>700</v>
      </c>
    </row>
    <row r="930" spans="1:19" ht="15" hidden="1" x14ac:dyDescent="0.25">
      <c r="A930" s="7" t="s">
        <v>16</v>
      </c>
      <c r="B930" s="7" t="s">
        <v>21</v>
      </c>
      <c r="C930" s="7" t="s">
        <v>18</v>
      </c>
      <c r="D930" s="4">
        <v>7794623004896</v>
      </c>
      <c r="E930" s="8" t="s">
        <v>1084</v>
      </c>
      <c r="F930" s="8" t="s">
        <v>131</v>
      </c>
      <c r="G930" s="8" t="s">
        <v>61</v>
      </c>
      <c r="H930" s="8" t="s">
        <v>215</v>
      </c>
      <c r="I930" s="3">
        <v>2</v>
      </c>
      <c r="J930" s="8" t="s">
        <v>181</v>
      </c>
      <c r="K930" s="8" t="s">
        <v>182</v>
      </c>
      <c r="L930" s="8" t="s">
        <v>557</v>
      </c>
      <c r="M930" s="1" t="s">
        <v>205</v>
      </c>
      <c r="N930" s="8" t="s">
        <v>206</v>
      </c>
      <c r="O930" s="6">
        <v>0</v>
      </c>
      <c r="P930" s="6">
        <v>0</v>
      </c>
      <c r="Q930" s="6">
        <v>0</v>
      </c>
      <c r="R930" s="6">
        <v>0</v>
      </c>
      <c r="S930" s="6">
        <v>700</v>
      </c>
    </row>
    <row r="931" spans="1:19" ht="15" hidden="1" x14ac:dyDescent="0.25">
      <c r="A931" s="7" t="s">
        <v>16</v>
      </c>
      <c r="B931" s="7" t="s">
        <v>21</v>
      </c>
      <c r="C931" s="7" t="s">
        <v>18</v>
      </c>
      <c r="D931" s="4">
        <v>2864097000106</v>
      </c>
      <c r="E931" s="8" t="s">
        <v>1078</v>
      </c>
      <c r="F931" s="8" t="s">
        <v>131</v>
      </c>
      <c r="G931" s="8" t="s">
        <v>61</v>
      </c>
      <c r="H931" s="8" t="s">
        <v>215</v>
      </c>
      <c r="I931" s="3">
        <v>2</v>
      </c>
      <c r="J931" s="8" t="s">
        <v>155</v>
      </c>
      <c r="K931" s="8" t="s">
        <v>156</v>
      </c>
      <c r="L931" s="8" t="s">
        <v>556</v>
      </c>
      <c r="M931" s="1" t="s">
        <v>205</v>
      </c>
      <c r="N931" s="8" t="s">
        <v>206</v>
      </c>
      <c r="O931" s="6">
        <v>0</v>
      </c>
      <c r="P931" s="6">
        <v>0</v>
      </c>
      <c r="Q931" s="6">
        <v>0</v>
      </c>
      <c r="R931" s="6">
        <v>0</v>
      </c>
      <c r="S931" s="6">
        <v>150</v>
      </c>
    </row>
    <row r="932" spans="1:19" ht="15" hidden="1" x14ac:dyDescent="0.25">
      <c r="A932" s="7" t="s">
        <v>16</v>
      </c>
      <c r="B932" s="7" t="s">
        <v>21</v>
      </c>
      <c r="C932" s="7" t="s">
        <v>18</v>
      </c>
      <c r="D932" s="4">
        <v>2864097000106</v>
      </c>
      <c r="E932" s="8" t="s">
        <v>1078</v>
      </c>
      <c r="F932" s="8" t="s">
        <v>131</v>
      </c>
      <c r="G932" s="8" t="s">
        <v>61</v>
      </c>
      <c r="H932" s="8" t="s">
        <v>215</v>
      </c>
      <c r="I932" s="3">
        <v>2</v>
      </c>
      <c r="J932" s="8" t="s">
        <v>181</v>
      </c>
      <c r="K932" s="8" t="s">
        <v>182</v>
      </c>
      <c r="L932" s="8" t="s">
        <v>557</v>
      </c>
      <c r="M932" s="1" t="s">
        <v>205</v>
      </c>
      <c r="N932" s="8" t="s">
        <v>206</v>
      </c>
      <c r="O932" s="6">
        <v>0</v>
      </c>
      <c r="P932" s="6">
        <v>0</v>
      </c>
      <c r="Q932" s="6">
        <v>0</v>
      </c>
      <c r="R932" s="6">
        <v>0</v>
      </c>
      <c r="S932" s="6">
        <v>150</v>
      </c>
    </row>
    <row r="933" spans="1:19" ht="15" hidden="1" x14ac:dyDescent="0.25">
      <c r="A933" s="7" t="s">
        <v>16</v>
      </c>
      <c r="B933" s="7" t="s">
        <v>21</v>
      </c>
      <c r="C933" s="7" t="s">
        <v>18</v>
      </c>
      <c r="D933" s="4">
        <v>40320103000153</v>
      </c>
      <c r="E933" s="8" t="s">
        <v>1121</v>
      </c>
      <c r="F933" s="8" t="s">
        <v>131</v>
      </c>
      <c r="G933" s="8" t="s">
        <v>61</v>
      </c>
      <c r="H933" s="8" t="s">
        <v>215</v>
      </c>
      <c r="I933" s="3">
        <v>2</v>
      </c>
      <c r="J933" s="8" t="s">
        <v>155</v>
      </c>
      <c r="K933" s="8" t="s">
        <v>156</v>
      </c>
      <c r="L933" s="8" t="s">
        <v>556</v>
      </c>
      <c r="M933" s="1" t="s">
        <v>205</v>
      </c>
      <c r="N933" s="8" t="s">
        <v>206</v>
      </c>
      <c r="O933" s="6">
        <v>0</v>
      </c>
      <c r="P933" s="6">
        <v>0</v>
      </c>
      <c r="Q933" s="6">
        <v>0</v>
      </c>
      <c r="R933" s="6">
        <v>0</v>
      </c>
      <c r="S933" s="6">
        <v>0</v>
      </c>
    </row>
    <row r="934" spans="1:19" ht="15" hidden="1" x14ac:dyDescent="0.25">
      <c r="A934" s="7" t="s">
        <v>16</v>
      </c>
      <c r="B934" s="7" t="s">
        <v>21</v>
      </c>
      <c r="C934" s="7" t="s">
        <v>18</v>
      </c>
      <c r="D934" s="4">
        <v>40320103000153</v>
      </c>
      <c r="E934" s="8" t="s">
        <v>1121</v>
      </c>
      <c r="F934" s="8" t="s">
        <v>131</v>
      </c>
      <c r="G934" s="8" t="s">
        <v>61</v>
      </c>
      <c r="H934" s="8" t="s">
        <v>215</v>
      </c>
      <c r="I934" s="3">
        <v>2</v>
      </c>
      <c r="J934" s="8" t="s">
        <v>173</v>
      </c>
      <c r="K934" s="8" t="s">
        <v>174</v>
      </c>
      <c r="L934" s="8" t="s">
        <v>557</v>
      </c>
      <c r="M934" s="1" t="s">
        <v>205</v>
      </c>
      <c r="N934" s="8" t="s">
        <v>206</v>
      </c>
      <c r="O934" s="6">
        <v>0</v>
      </c>
      <c r="P934" s="6">
        <v>5</v>
      </c>
      <c r="Q934" s="6">
        <v>0</v>
      </c>
      <c r="R934" s="6">
        <v>0</v>
      </c>
      <c r="S934" s="6">
        <v>0</v>
      </c>
    </row>
    <row r="935" spans="1:19" ht="15" hidden="1" x14ac:dyDescent="0.25">
      <c r="A935" s="7" t="s">
        <v>16</v>
      </c>
      <c r="B935" s="7" t="s">
        <v>21</v>
      </c>
      <c r="C935" s="7" t="s">
        <v>18</v>
      </c>
      <c r="D935" s="4">
        <v>22400856000197</v>
      </c>
      <c r="E935" s="8" t="s">
        <v>1096</v>
      </c>
      <c r="F935" s="8" t="s">
        <v>131</v>
      </c>
      <c r="G935" s="8" t="s">
        <v>61</v>
      </c>
      <c r="H935" s="8" t="s">
        <v>215</v>
      </c>
      <c r="I935" s="3">
        <v>2</v>
      </c>
      <c r="J935" s="8" t="s">
        <v>155</v>
      </c>
      <c r="K935" s="8" t="s">
        <v>156</v>
      </c>
      <c r="L935" s="8" t="s">
        <v>556</v>
      </c>
      <c r="M935" s="1" t="s">
        <v>205</v>
      </c>
      <c r="N935" s="8" t="s">
        <v>206</v>
      </c>
      <c r="O935" s="6">
        <v>0</v>
      </c>
      <c r="P935" s="6">
        <v>0</v>
      </c>
      <c r="Q935" s="6">
        <v>0</v>
      </c>
      <c r="R935" s="6">
        <v>0</v>
      </c>
      <c r="S935" s="6">
        <v>50</v>
      </c>
    </row>
    <row r="936" spans="1:19" ht="15" hidden="1" x14ac:dyDescent="0.25">
      <c r="A936" s="7" t="s">
        <v>16</v>
      </c>
      <c r="B936" s="7" t="s">
        <v>21</v>
      </c>
      <c r="C936" s="7" t="s">
        <v>18</v>
      </c>
      <c r="D936" s="4">
        <v>22400856000197</v>
      </c>
      <c r="E936" s="8" t="s">
        <v>1096</v>
      </c>
      <c r="F936" s="8" t="s">
        <v>131</v>
      </c>
      <c r="G936" s="8" t="s">
        <v>61</v>
      </c>
      <c r="H936" s="8" t="s">
        <v>215</v>
      </c>
      <c r="I936" s="3">
        <v>2</v>
      </c>
      <c r="J936" s="8" t="s">
        <v>173</v>
      </c>
      <c r="K936" s="8" t="s">
        <v>174</v>
      </c>
      <c r="L936" s="8" t="s">
        <v>557</v>
      </c>
      <c r="M936" s="1" t="s">
        <v>205</v>
      </c>
      <c r="N936" s="8" t="s">
        <v>206</v>
      </c>
      <c r="O936" s="6">
        <v>0</v>
      </c>
      <c r="P936" s="6">
        <v>0</v>
      </c>
      <c r="Q936" s="6">
        <v>0</v>
      </c>
      <c r="R936" s="6">
        <v>0</v>
      </c>
      <c r="S936" s="6">
        <v>50</v>
      </c>
    </row>
    <row r="937" spans="1:19" ht="15" hidden="1" x14ac:dyDescent="0.25">
      <c r="A937" s="7" t="s">
        <v>16</v>
      </c>
      <c r="B937" s="7" t="s">
        <v>21</v>
      </c>
      <c r="C937" s="7" t="s">
        <v>18</v>
      </c>
      <c r="D937" s="4">
        <v>39086160000130</v>
      </c>
      <c r="E937" s="8" t="s">
        <v>1119</v>
      </c>
      <c r="F937" s="8" t="s">
        <v>131</v>
      </c>
      <c r="G937" s="8" t="s">
        <v>61</v>
      </c>
      <c r="H937" s="8" t="s">
        <v>215</v>
      </c>
      <c r="I937" s="3">
        <v>2</v>
      </c>
      <c r="J937" s="8" t="s">
        <v>155</v>
      </c>
      <c r="K937" s="8" t="s">
        <v>156</v>
      </c>
      <c r="L937" s="8" t="s">
        <v>556</v>
      </c>
      <c r="M937" s="1" t="s">
        <v>205</v>
      </c>
      <c r="N937" s="8" t="s">
        <v>206</v>
      </c>
      <c r="O937" s="6">
        <v>0</v>
      </c>
      <c r="P937" s="6">
        <v>0</v>
      </c>
      <c r="Q937" s="6">
        <v>0</v>
      </c>
      <c r="R937" s="6">
        <v>48</v>
      </c>
      <c r="S937" s="6">
        <v>150</v>
      </c>
    </row>
    <row r="938" spans="1:19" ht="15" hidden="1" x14ac:dyDescent="0.25">
      <c r="A938" s="7" t="s">
        <v>16</v>
      </c>
      <c r="B938" s="7" t="s">
        <v>21</v>
      </c>
      <c r="C938" s="7" t="s">
        <v>18</v>
      </c>
      <c r="D938" s="4">
        <v>39086160000130</v>
      </c>
      <c r="E938" s="8" t="s">
        <v>1119</v>
      </c>
      <c r="F938" s="8" t="s">
        <v>131</v>
      </c>
      <c r="G938" s="8" t="s">
        <v>61</v>
      </c>
      <c r="H938" s="8" t="s">
        <v>215</v>
      </c>
      <c r="I938" s="3">
        <v>2</v>
      </c>
      <c r="J938" s="8" t="s">
        <v>181</v>
      </c>
      <c r="K938" s="8" t="s">
        <v>182</v>
      </c>
      <c r="L938" s="8" t="s">
        <v>557</v>
      </c>
      <c r="M938" s="1" t="s">
        <v>205</v>
      </c>
      <c r="N938" s="8" t="s">
        <v>206</v>
      </c>
      <c r="O938" s="6">
        <v>0</v>
      </c>
      <c r="P938" s="6">
        <v>0</v>
      </c>
      <c r="Q938" s="6">
        <v>0</v>
      </c>
      <c r="R938" s="6">
        <v>0</v>
      </c>
      <c r="S938" s="6">
        <v>150</v>
      </c>
    </row>
    <row r="939" spans="1:19" ht="15" hidden="1" x14ac:dyDescent="0.25">
      <c r="A939" s="7" t="s">
        <v>16</v>
      </c>
      <c r="B939" s="7" t="s">
        <v>21</v>
      </c>
      <c r="C939" s="7" t="s">
        <v>18</v>
      </c>
      <c r="D939" s="4">
        <v>21265360000195</v>
      </c>
      <c r="E939" s="8" t="s">
        <v>1094</v>
      </c>
      <c r="F939" s="8" t="s">
        <v>131</v>
      </c>
      <c r="G939" s="8" t="s">
        <v>61</v>
      </c>
      <c r="H939" s="8" t="s">
        <v>215</v>
      </c>
      <c r="I939" s="3">
        <v>2</v>
      </c>
      <c r="J939" s="8" t="s">
        <v>155</v>
      </c>
      <c r="K939" s="8" t="s">
        <v>156</v>
      </c>
      <c r="L939" s="8" t="s">
        <v>556</v>
      </c>
      <c r="M939" s="1" t="s">
        <v>205</v>
      </c>
      <c r="N939" s="8" t="s">
        <v>206</v>
      </c>
      <c r="O939" s="6">
        <v>0</v>
      </c>
      <c r="P939" s="6">
        <v>0</v>
      </c>
      <c r="Q939" s="6">
        <v>0</v>
      </c>
      <c r="R939" s="6">
        <v>16</v>
      </c>
      <c r="S939" s="6">
        <v>0</v>
      </c>
    </row>
    <row r="940" spans="1:19" ht="15" hidden="1" x14ac:dyDescent="0.25">
      <c r="A940" s="7" t="s">
        <v>16</v>
      </c>
      <c r="B940" s="7" t="s">
        <v>21</v>
      </c>
      <c r="C940" s="7" t="s">
        <v>18</v>
      </c>
      <c r="D940" s="4">
        <v>21265360000195</v>
      </c>
      <c r="E940" s="8" t="s">
        <v>1094</v>
      </c>
      <c r="F940" s="8" t="s">
        <v>131</v>
      </c>
      <c r="G940" s="8" t="s">
        <v>61</v>
      </c>
      <c r="H940" s="8" t="s">
        <v>215</v>
      </c>
      <c r="I940" s="3">
        <v>2</v>
      </c>
      <c r="J940" s="8" t="s">
        <v>173</v>
      </c>
      <c r="K940" s="8" t="s">
        <v>174</v>
      </c>
      <c r="L940" s="8" t="s">
        <v>557</v>
      </c>
      <c r="M940" s="1" t="s">
        <v>205</v>
      </c>
      <c r="N940" s="8" t="s">
        <v>206</v>
      </c>
      <c r="O940" s="6">
        <v>0</v>
      </c>
      <c r="P940" s="6">
        <v>0</v>
      </c>
      <c r="Q940" s="6">
        <v>0</v>
      </c>
      <c r="R940" s="6">
        <v>0</v>
      </c>
      <c r="S940" s="6">
        <v>0</v>
      </c>
    </row>
    <row r="941" spans="1:19" ht="15" hidden="1" x14ac:dyDescent="0.25">
      <c r="A941" s="7" t="s">
        <v>16</v>
      </c>
      <c r="B941" s="7" t="s">
        <v>21</v>
      </c>
      <c r="C941" s="7" t="s">
        <v>18</v>
      </c>
      <c r="D941" s="4">
        <v>31635857000292</v>
      </c>
      <c r="E941" s="8" t="s">
        <v>1107</v>
      </c>
      <c r="F941" s="8" t="s">
        <v>131</v>
      </c>
      <c r="G941" s="8" t="s">
        <v>61</v>
      </c>
      <c r="H941" s="8" t="s">
        <v>215</v>
      </c>
      <c r="I941" s="3">
        <v>2</v>
      </c>
      <c r="J941" s="8" t="s">
        <v>155</v>
      </c>
      <c r="K941" s="8" t="s">
        <v>156</v>
      </c>
      <c r="L941" s="8" t="s">
        <v>556</v>
      </c>
      <c r="M941" s="1" t="s">
        <v>205</v>
      </c>
      <c r="N941" s="8" t="s">
        <v>206</v>
      </c>
      <c r="O941" s="6">
        <v>0</v>
      </c>
      <c r="P941" s="6">
        <v>0</v>
      </c>
      <c r="Q941" s="6">
        <v>0</v>
      </c>
      <c r="R941" s="6">
        <v>36</v>
      </c>
      <c r="S941" s="6">
        <v>0</v>
      </c>
    </row>
    <row r="942" spans="1:19" ht="15" hidden="1" x14ac:dyDescent="0.25">
      <c r="A942" s="7" t="s">
        <v>16</v>
      </c>
      <c r="B942" s="7" t="s">
        <v>21</v>
      </c>
      <c r="C942" s="7" t="s">
        <v>18</v>
      </c>
      <c r="D942" s="4">
        <v>31635857000292</v>
      </c>
      <c r="E942" s="8" t="s">
        <v>1107</v>
      </c>
      <c r="F942" s="8" t="s">
        <v>131</v>
      </c>
      <c r="G942" s="8" t="s">
        <v>61</v>
      </c>
      <c r="H942" s="8" t="s">
        <v>215</v>
      </c>
      <c r="I942" s="3">
        <v>2</v>
      </c>
      <c r="J942" s="8" t="s">
        <v>181</v>
      </c>
      <c r="K942" s="8" t="s">
        <v>182</v>
      </c>
      <c r="L942" s="8" t="s">
        <v>557</v>
      </c>
      <c r="M942" s="1" t="s">
        <v>205</v>
      </c>
      <c r="N942" s="8" t="s">
        <v>206</v>
      </c>
      <c r="O942" s="6">
        <v>0</v>
      </c>
      <c r="P942" s="6">
        <v>0</v>
      </c>
      <c r="Q942" s="6">
        <v>0</v>
      </c>
      <c r="R942" s="6">
        <v>0</v>
      </c>
      <c r="S942" s="6">
        <v>0</v>
      </c>
    </row>
    <row r="943" spans="1:19" ht="15" hidden="1" x14ac:dyDescent="0.25">
      <c r="A943" s="7" t="s">
        <v>16</v>
      </c>
      <c r="B943" s="7" t="s">
        <v>21</v>
      </c>
      <c r="C943" s="7" t="s">
        <v>18</v>
      </c>
      <c r="D943" s="4">
        <v>42297507000107</v>
      </c>
      <c r="E943" s="8" t="s">
        <v>1122</v>
      </c>
      <c r="F943" s="8" t="s">
        <v>131</v>
      </c>
      <c r="G943" s="8" t="s">
        <v>61</v>
      </c>
      <c r="H943" s="8" t="s">
        <v>215</v>
      </c>
      <c r="I943" s="3">
        <v>2</v>
      </c>
      <c r="J943" s="8" t="s">
        <v>155</v>
      </c>
      <c r="K943" s="8" t="s">
        <v>156</v>
      </c>
      <c r="L943" s="8" t="s">
        <v>556</v>
      </c>
      <c r="M943" s="1" t="s">
        <v>205</v>
      </c>
      <c r="N943" s="8" t="s">
        <v>206</v>
      </c>
      <c r="O943" s="6">
        <v>0</v>
      </c>
      <c r="P943" s="6">
        <v>0</v>
      </c>
      <c r="Q943" s="6">
        <v>0</v>
      </c>
      <c r="R943" s="6">
        <v>0</v>
      </c>
      <c r="S943" s="6">
        <v>0</v>
      </c>
    </row>
    <row r="944" spans="1:19" ht="15" hidden="1" x14ac:dyDescent="0.25">
      <c r="A944" s="7" t="s">
        <v>16</v>
      </c>
      <c r="B944" s="7" t="s">
        <v>21</v>
      </c>
      <c r="C944" s="7" t="s">
        <v>18</v>
      </c>
      <c r="D944" s="4">
        <v>42297507000107</v>
      </c>
      <c r="E944" s="8" t="s">
        <v>1122</v>
      </c>
      <c r="F944" s="8" t="s">
        <v>131</v>
      </c>
      <c r="G944" s="8" t="s">
        <v>61</v>
      </c>
      <c r="H944" s="8" t="s">
        <v>215</v>
      </c>
      <c r="I944" s="3">
        <v>2</v>
      </c>
      <c r="J944" s="8" t="s">
        <v>181</v>
      </c>
      <c r="K944" s="8" t="s">
        <v>182</v>
      </c>
      <c r="L944" s="8" t="s">
        <v>557</v>
      </c>
      <c r="M944" s="1" t="s">
        <v>205</v>
      </c>
      <c r="N944" s="8" t="s">
        <v>206</v>
      </c>
      <c r="O944" s="6">
        <v>0</v>
      </c>
      <c r="P944" s="6">
        <v>4</v>
      </c>
      <c r="Q944" s="6">
        <v>4</v>
      </c>
      <c r="R944" s="6">
        <v>0</v>
      </c>
      <c r="S944" s="6">
        <v>0</v>
      </c>
    </row>
    <row r="945" spans="1:19" ht="15" hidden="1" x14ac:dyDescent="0.25">
      <c r="A945" s="7" t="s">
        <v>16</v>
      </c>
      <c r="B945" s="7" t="s">
        <v>21</v>
      </c>
      <c r="C945" s="7" t="s">
        <v>18</v>
      </c>
      <c r="D945" s="4">
        <v>2284062000521</v>
      </c>
      <c r="E945" s="8" t="s">
        <v>1077</v>
      </c>
      <c r="F945" s="8" t="s">
        <v>131</v>
      </c>
      <c r="G945" s="8" t="s">
        <v>61</v>
      </c>
      <c r="H945" s="8" t="s">
        <v>215</v>
      </c>
      <c r="I945" s="3">
        <v>2</v>
      </c>
      <c r="J945" s="8" t="s">
        <v>155</v>
      </c>
      <c r="K945" s="8" t="s">
        <v>156</v>
      </c>
      <c r="L945" s="8" t="s">
        <v>556</v>
      </c>
      <c r="M945" s="1" t="s">
        <v>205</v>
      </c>
      <c r="N945" s="8" t="s">
        <v>206</v>
      </c>
      <c r="O945" s="6">
        <v>0</v>
      </c>
      <c r="P945" s="6">
        <v>0</v>
      </c>
      <c r="Q945" s="6">
        <v>0</v>
      </c>
      <c r="R945" s="6">
        <v>0</v>
      </c>
      <c r="S945" s="6">
        <v>0</v>
      </c>
    </row>
    <row r="946" spans="1:19" ht="15" hidden="1" x14ac:dyDescent="0.25">
      <c r="A946" s="7" t="s">
        <v>16</v>
      </c>
      <c r="B946" s="7" t="s">
        <v>21</v>
      </c>
      <c r="C946" s="7" t="s">
        <v>18</v>
      </c>
      <c r="D946" s="4">
        <v>2284062000521</v>
      </c>
      <c r="E946" s="8" t="s">
        <v>1077</v>
      </c>
      <c r="F946" s="8" t="s">
        <v>131</v>
      </c>
      <c r="G946" s="8" t="s">
        <v>61</v>
      </c>
      <c r="H946" s="8" t="s">
        <v>215</v>
      </c>
      <c r="I946" s="3">
        <v>2</v>
      </c>
      <c r="J946" s="8" t="s">
        <v>173</v>
      </c>
      <c r="K946" s="8" t="s">
        <v>174</v>
      </c>
      <c r="L946" s="8" t="s">
        <v>557</v>
      </c>
      <c r="M946" s="1" t="s">
        <v>205</v>
      </c>
      <c r="N946" s="8" t="s">
        <v>206</v>
      </c>
      <c r="O946" s="6">
        <v>0</v>
      </c>
      <c r="P946" s="6">
        <v>22</v>
      </c>
      <c r="Q946" s="6">
        <v>3</v>
      </c>
      <c r="R946" s="6">
        <v>0</v>
      </c>
      <c r="S946" s="6">
        <v>0</v>
      </c>
    </row>
    <row r="947" spans="1:19" ht="15" hidden="1" x14ac:dyDescent="0.25">
      <c r="A947" s="7" t="s">
        <v>16</v>
      </c>
      <c r="B947" s="7" t="s">
        <v>21</v>
      </c>
      <c r="C947" s="7" t="s">
        <v>18</v>
      </c>
      <c r="D947" s="4">
        <v>24217779000160</v>
      </c>
      <c r="E947" s="8" t="s">
        <v>1097</v>
      </c>
      <c r="F947" s="8" t="s">
        <v>131</v>
      </c>
      <c r="G947" s="8" t="s">
        <v>61</v>
      </c>
      <c r="H947" s="8" t="s">
        <v>215</v>
      </c>
      <c r="I947" s="3">
        <v>2</v>
      </c>
      <c r="J947" s="8" t="s">
        <v>155</v>
      </c>
      <c r="K947" s="8" t="s">
        <v>156</v>
      </c>
      <c r="L947" s="8" t="s">
        <v>556</v>
      </c>
      <c r="M947" s="1" t="s">
        <v>205</v>
      </c>
      <c r="N947" s="8" t="s">
        <v>206</v>
      </c>
      <c r="O947" s="6">
        <v>0</v>
      </c>
      <c r="P947" s="6">
        <v>0</v>
      </c>
      <c r="Q947" s="6">
        <v>0</v>
      </c>
      <c r="R947" s="6">
        <v>0</v>
      </c>
      <c r="S947" s="6">
        <v>0</v>
      </c>
    </row>
    <row r="948" spans="1:19" ht="15" hidden="1" x14ac:dyDescent="0.25">
      <c r="A948" s="7" t="s">
        <v>16</v>
      </c>
      <c r="B948" s="7" t="s">
        <v>21</v>
      </c>
      <c r="C948" s="7" t="s">
        <v>18</v>
      </c>
      <c r="D948" s="4">
        <v>24217779000160</v>
      </c>
      <c r="E948" s="8" t="s">
        <v>1097</v>
      </c>
      <c r="F948" s="8" t="s">
        <v>131</v>
      </c>
      <c r="G948" s="8" t="s">
        <v>61</v>
      </c>
      <c r="H948" s="8" t="s">
        <v>215</v>
      </c>
      <c r="I948" s="3">
        <v>2</v>
      </c>
      <c r="J948" s="8" t="s">
        <v>173</v>
      </c>
      <c r="K948" s="8" t="s">
        <v>174</v>
      </c>
      <c r="L948" s="8" t="s">
        <v>557</v>
      </c>
      <c r="M948" s="1" t="s">
        <v>205</v>
      </c>
      <c r="N948" s="8" t="s">
        <v>206</v>
      </c>
      <c r="O948" s="6">
        <v>0</v>
      </c>
      <c r="P948" s="6">
        <v>4</v>
      </c>
      <c r="Q948" s="6">
        <v>0</v>
      </c>
      <c r="R948" s="6">
        <v>0</v>
      </c>
      <c r="S948" s="6">
        <v>0</v>
      </c>
    </row>
    <row r="949" spans="1:19" ht="15" hidden="1" x14ac:dyDescent="0.25">
      <c r="A949" s="7" t="s">
        <v>16</v>
      </c>
      <c r="B949" s="7" t="s">
        <v>21</v>
      </c>
      <c r="C949" s="7" t="s">
        <v>18</v>
      </c>
      <c r="D949" s="4">
        <v>6047087000996</v>
      </c>
      <c r="E949" s="8" t="s">
        <v>1080</v>
      </c>
      <c r="F949" s="8" t="s">
        <v>131</v>
      </c>
      <c r="G949" s="8" t="s">
        <v>61</v>
      </c>
      <c r="H949" s="8" t="s">
        <v>215</v>
      </c>
      <c r="I949" s="3">
        <v>2</v>
      </c>
      <c r="J949" s="8" t="s">
        <v>155</v>
      </c>
      <c r="K949" s="8" t="s">
        <v>156</v>
      </c>
      <c r="L949" s="8" t="s">
        <v>556</v>
      </c>
      <c r="M949" s="1" t="s">
        <v>205</v>
      </c>
      <c r="N949" s="8" t="s">
        <v>206</v>
      </c>
      <c r="O949" s="6">
        <v>0</v>
      </c>
      <c r="P949" s="6">
        <v>0</v>
      </c>
      <c r="Q949" s="6">
        <v>0</v>
      </c>
      <c r="R949" s="6">
        <v>0</v>
      </c>
      <c r="S949" s="6">
        <v>0</v>
      </c>
    </row>
    <row r="950" spans="1:19" ht="15" hidden="1" x14ac:dyDescent="0.25">
      <c r="A950" s="7" t="s">
        <v>16</v>
      </c>
      <c r="B950" s="7" t="s">
        <v>21</v>
      </c>
      <c r="C950" s="7" t="s">
        <v>18</v>
      </c>
      <c r="D950" s="4">
        <v>6047087000996</v>
      </c>
      <c r="E950" s="8" t="s">
        <v>1080</v>
      </c>
      <c r="F950" s="8" t="s">
        <v>131</v>
      </c>
      <c r="G950" s="8" t="s">
        <v>61</v>
      </c>
      <c r="H950" s="8" t="s">
        <v>215</v>
      </c>
      <c r="I950" s="3">
        <v>2</v>
      </c>
      <c r="J950" s="8" t="s">
        <v>181</v>
      </c>
      <c r="K950" s="8" t="s">
        <v>182</v>
      </c>
      <c r="L950" s="8" t="s">
        <v>557</v>
      </c>
      <c r="M950" s="1" t="s">
        <v>205</v>
      </c>
      <c r="N950" s="8" t="s">
        <v>206</v>
      </c>
      <c r="O950" s="6">
        <v>0</v>
      </c>
      <c r="P950" s="6">
        <v>15</v>
      </c>
      <c r="Q950" s="6">
        <v>10</v>
      </c>
      <c r="R950" s="6">
        <v>0</v>
      </c>
      <c r="S950" s="6">
        <v>0</v>
      </c>
    </row>
    <row r="951" spans="1:19" ht="15" hidden="1" x14ac:dyDescent="0.25">
      <c r="A951" s="7" t="s">
        <v>16</v>
      </c>
      <c r="B951" s="7" t="s">
        <v>21</v>
      </c>
      <c r="C951" s="7" t="s">
        <v>18</v>
      </c>
      <c r="D951" s="4">
        <v>6047087002697</v>
      </c>
      <c r="E951" s="8" t="s">
        <v>1082</v>
      </c>
      <c r="F951" s="8" t="s">
        <v>131</v>
      </c>
      <c r="G951" s="8" t="s">
        <v>61</v>
      </c>
      <c r="H951" s="8" t="s">
        <v>215</v>
      </c>
      <c r="I951" s="3">
        <v>2</v>
      </c>
      <c r="J951" s="8" t="s">
        <v>155</v>
      </c>
      <c r="K951" s="8" t="s">
        <v>156</v>
      </c>
      <c r="L951" s="8" t="s">
        <v>556</v>
      </c>
      <c r="M951" s="1" t="s">
        <v>205</v>
      </c>
      <c r="N951" s="8" t="s">
        <v>206</v>
      </c>
      <c r="O951" s="6">
        <v>0</v>
      </c>
      <c r="P951" s="6">
        <v>0</v>
      </c>
      <c r="Q951" s="6">
        <v>0</v>
      </c>
      <c r="R951" s="6">
        <v>0</v>
      </c>
      <c r="S951" s="6">
        <v>75</v>
      </c>
    </row>
    <row r="952" spans="1:19" ht="15" hidden="1" x14ac:dyDescent="0.25">
      <c r="A952" s="7" t="s">
        <v>16</v>
      </c>
      <c r="B952" s="7" t="s">
        <v>21</v>
      </c>
      <c r="C952" s="7" t="s">
        <v>18</v>
      </c>
      <c r="D952" s="4">
        <v>6047087002697</v>
      </c>
      <c r="E952" s="8" t="s">
        <v>1082</v>
      </c>
      <c r="F952" s="8" t="s">
        <v>131</v>
      </c>
      <c r="G952" s="8" t="s">
        <v>61</v>
      </c>
      <c r="H952" s="8" t="s">
        <v>215</v>
      </c>
      <c r="I952" s="3">
        <v>2</v>
      </c>
      <c r="J952" s="8" t="s">
        <v>181</v>
      </c>
      <c r="K952" s="8" t="s">
        <v>182</v>
      </c>
      <c r="L952" s="8" t="s">
        <v>557</v>
      </c>
      <c r="M952" s="1" t="s">
        <v>205</v>
      </c>
      <c r="N952" s="8" t="s">
        <v>206</v>
      </c>
      <c r="O952" s="6">
        <v>0</v>
      </c>
      <c r="P952" s="6">
        <v>0</v>
      </c>
      <c r="Q952" s="6">
        <v>9</v>
      </c>
      <c r="R952" s="6">
        <v>0</v>
      </c>
      <c r="S952" s="6">
        <v>75</v>
      </c>
    </row>
    <row r="953" spans="1:19" ht="15" hidden="1" x14ac:dyDescent="0.25">
      <c r="A953" s="7" t="s">
        <v>16</v>
      </c>
      <c r="B953" s="7" t="s">
        <v>21</v>
      </c>
      <c r="C953" s="7" t="s">
        <v>18</v>
      </c>
      <c r="D953" s="4">
        <v>34058123000103</v>
      </c>
      <c r="E953" s="8" t="s">
        <v>1118</v>
      </c>
      <c r="F953" s="8" t="s">
        <v>131</v>
      </c>
      <c r="G953" s="8" t="s">
        <v>61</v>
      </c>
      <c r="H953" s="8" t="s">
        <v>215</v>
      </c>
      <c r="I953" s="3">
        <v>2</v>
      </c>
      <c r="J953" s="8" t="s">
        <v>155</v>
      </c>
      <c r="K953" s="8" t="s">
        <v>156</v>
      </c>
      <c r="L953" s="8" t="s">
        <v>556</v>
      </c>
      <c r="M953" s="1" t="s">
        <v>205</v>
      </c>
      <c r="N953" s="8" t="s">
        <v>206</v>
      </c>
      <c r="O953" s="6">
        <v>0</v>
      </c>
      <c r="P953" s="6">
        <v>0</v>
      </c>
      <c r="Q953" s="6">
        <v>0</v>
      </c>
      <c r="R953" s="6">
        <v>0</v>
      </c>
      <c r="S953" s="6">
        <v>0</v>
      </c>
    </row>
    <row r="954" spans="1:19" ht="15" hidden="1" x14ac:dyDescent="0.25">
      <c r="A954" s="7" t="s">
        <v>16</v>
      </c>
      <c r="B954" s="7" t="s">
        <v>21</v>
      </c>
      <c r="C954" s="7" t="s">
        <v>18</v>
      </c>
      <c r="D954" s="4">
        <v>34058123000103</v>
      </c>
      <c r="E954" s="8" t="s">
        <v>1118</v>
      </c>
      <c r="F954" s="8" t="s">
        <v>131</v>
      </c>
      <c r="G954" s="8" t="s">
        <v>61</v>
      </c>
      <c r="H954" s="8" t="s">
        <v>215</v>
      </c>
      <c r="I954" s="3">
        <v>2</v>
      </c>
      <c r="J954" s="8" t="s">
        <v>181</v>
      </c>
      <c r="K954" s="8" t="s">
        <v>182</v>
      </c>
      <c r="L954" s="8" t="s">
        <v>557</v>
      </c>
      <c r="M954" s="1" t="s">
        <v>205</v>
      </c>
      <c r="N954" s="8" t="s">
        <v>206</v>
      </c>
      <c r="O954" s="6">
        <v>0</v>
      </c>
      <c r="P954" s="6">
        <v>16</v>
      </c>
      <c r="Q954" s="6">
        <v>6</v>
      </c>
      <c r="R954" s="6">
        <v>0</v>
      </c>
      <c r="S954" s="6">
        <v>0</v>
      </c>
    </row>
    <row r="955" spans="1:19" ht="15" hidden="1" x14ac:dyDescent="0.25">
      <c r="A955" s="7" t="s">
        <v>16</v>
      </c>
      <c r="B955" s="7" t="s">
        <v>21</v>
      </c>
      <c r="C955" s="7" t="s">
        <v>18</v>
      </c>
      <c r="D955" s="4">
        <v>394502014870</v>
      </c>
      <c r="E955" s="8" t="s">
        <v>1070</v>
      </c>
      <c r="F955" s="8" t="s">
        <v>131</v>
      </c>
      <c r="G955" s="8" t="s">
        <v>61</v>
      </c>
      <c r="H955" s="8" t="s">
        <v>215</v>
      </c>
      <c r="I955" s="3">
        <v>2</v>
      </c>
      <c r="J955" s="8" t="s">
        <v>155</v>
      </c>
      <c r="K955" s="8" t="s">
        <v>156</v>
      </c>
      <c r="L955" s="8" t="s">
        <v>556</v>
      </c>
      <c r="M955" s="1" t="s">
        <v>205</v>
      </c>
      <c r="N955" s="8" t="s">
        <v>206</v>
      </c>
      <c r="O955" s="6">
        <v>0</v>
      </c>
      <c r="P955" s="6">
        <v>0</v>
      </c>
      <c r="Q955" s="6">
        <v>0</v>
      </c>
      <c r="R955" s="6">
        <v>0</v>
      </c>
      <c r="S955" s="6">
        <v>0</v>
      </c>
    </row>
    <row r="956" spans="1:19" ht="15" hidden="1" x14ac:dyDescent="0.25">
      <c r="A956" s="7" t="s">
        <v>16</v>
      </c>
      <c r="B956" s="7" t="s">
        <v>21</v>
      </c>
      <c r="C956" s="7" t="s">
        <v>18</v>
      </c>
      <c r="D956" s="4">
        <v>394502014870</v>
      </c>
      <c r="E956" s="8" t="s">
        <v>1070</v>
      </c>
      <c r="F956" s="8" t="s">
        <v>131</v>
      </c>
      <c r="G956" s="8" t="s">
        <v>61</v>
      </c>
      <c r="H956" s="8" t="s">
        <v>215</v>
      </c>
      <c r="I956" s="3">
        <v>2</v>
      </c>
      <c r="J956" s="8" t="s">
        <v>173</v>
      </c>
      <c r="K956" s="8" t="s">
        <v>174</v>
      </c>
      <c r="L956" s="8" t="s">
        <v>557</v>
      </c>
      <c r="M956" s="1" t="s">
        <v>205</v>
      </c>
      <c r="N956" s="8" t="s">
        <v>206</v>
      </c>
      <c r="O956" s="6">
        <v>0</v>
      </c>
      <c r="P956" s="6">
        <v>10</v>
      </c>
      <c r="Q956" s="6">
        <v>0</v>
      </c>
      <c r="R956" s="6">
        <v>0</v>
      </c>
      <c r="S956" s="6">
        <v>0</v>
      </c>
    </row>
    <row r="957" spans="1:19" ht="15" hidden="1" x14ac:dyDescent="0.25">
      <c r="A957" s="7" t="s">
        <v>16</v>
      </c>
      <c r="B957" s="7" t="s">
        <v>21</v>
      </c>
      <c r="C957" s="7" t="s">
        <v>18</v>
      </c>
      <c r="D957" s="4">
        <v>9578217000158</v>
      </c>
      <c r="E957" s="8" t="s">
        <v>1089</v>
      </c>
      <c r="F957" s="8" t="s">
        <v>131</v>
      </c>
      <c r="G957" s="8" t="s">
        <v>61</v>
      </c>
      <c r="H957" s="8" t="s">
        <v>215</v>
      </c>
      <c r="I957" s="3">
        <v>2</v>
      </c>
      <c r="J957" s="8" t="s">
        <v>155</v>
      </c>
      <c r="K957" s="8" t="s">
        <v>156</v>
      </c>
      <c r="L957" s="8" t="s">
        <v>556</v>
      </c>
      <c r="M957" s="1" t="s">
        <v>205</v>
      </c>
      <c r="N957" s="8" t="s">
        <v>206</v>
      </c>
      <c r="O957" s="6">
        <v>0</v>
      </c>
      <c r="P957" s="6">
        <v>0</v>
      </c>
      <c r="Q957" s="6">
        <v>0</v>
      </c>
      <c r="R957" s="6">
        <v>0</v>
      </c>
      <c r="S957" s="6">
        <v>0</v>
      </c>
    </row>
    <row r="958" spans="1:19" ht="15" hidden="1" x14ac:dyDescent="0.25">
      <c r="A958" s="7" t="s">
        <v>16</v>
      </c>
      <c r="B958" s="7" t="s">
        <v>21</v>
      </c>
      <c r="C958" s="7" t="s">
        <v>18</v>
      </c>
      <c r="D958" s="4">
        <v>9578217000158</v>
      </c>
      <c r="E958" s="8" t="s">
        <v>1089</v>
      </c>
      <c r="F958" s="8" t="s">
        <v>131</v>
      </c>
      <c r="G958" s="8" t="s">
        <v>61</v>
      </c>
      <c r="H958" s="8" t="s">
        <v>215</v>
      </c>
      <c r="I958" s="3">
        <v>2</v>
      </c>
      <c r="J958" s="8" t="s">
        <v>181</v>
      </c>
      <c r="K958" s="8" t="s">
        <v>182</v>
      </c>
      <c r="L958" s="8" t="s">
        <v>557</v>
      </c>
      <c r="M958" s="1" t="s">
        <v>205</v>
      </c>
      <c r="N958" s="8" t="s">
        <v>206</v>
      </c>
      <c r="O958" s="6">
        <v>0</v>
      </c>
      <c r="P958" s="6">
        <v>4</v>
      </c>
      <c r="Q958" s="6">
        <v>3</v>
      </c>
      <c r="R958" s="6">
        <v>0</v>
      </c>
      <c r="S958" s="6">
        <v>0</v>
      </c>
    </row>
    <row r="959" spans="1:19" ht="15" hidden="1" x14ac:dyDescent="0.25">
      <c r="A959" s="7" t="s">
        <v>16</v>
      </c>
      <c r="B959" s="7" t="s">
        <v>21</v>
      </c>
      <c r="C959" s="7" t="s">
        <v>18</v>
      </c>
      <c r="D959" s="4">
        <v>29435005005783</v>
      </c>
      <c r="E959" s="8" t="s">
        <v>1104</v>
      </c>
      <c r="F959" s="8" t="s">
        <v>131</v>
      </c>
      <c r="G959" s="8" t="s">
        <v>61</v>
      </c>
      <c r="H959" s="8" t="s">
        <v>215</v>
      </c>
      <c r="I959" s="3">
        <v>2</v>
      </c>
      <c r="J959" s="8" t="s">
        <v>155</v>
      </c>
      <c r="K959" s="8" t="s">
        <v>156</v>
      </c>
      <c r="L959" s="8" t="s">
        <v>556</v>
      </c>
      <c r="M959" s="1" t="s">
        <v>205</v>
      </c>
      <c r="N959" s="8" t="s">
        <v>206</v>
      </c>
      <c r="O959" s="6">
        <v>0</v>
      </c>
      <c r="P959" s="6">
        <v>0</v>
      </c>
      <c r="Q959" s="6">
        <v>0</v>
      </c>
      <c r="R959" s="6">
        <v>0</v>
      </c>
      <c r="S959" s="6">
        <v>385</v>
      </c>
    </row>
    <row r="960" spans="1:19" ht="15" hidden="1" x14ac:dyDescent="0.25">
      <c r="A960" s="7" t="s">
        <v>16</v>
      </c>
      <c r="B960" s="7" t="s">
        <v>21</v>
      </c>
      <c r="C960" s="7" t="s">
        <v>18</v>
      </c>
      <c r="D960" s="4">
        <v>29435005005783</v>
      </c>
      <c r="E960" s="8" t="s">
        <v>1104</v>
      </c>
      <c r="F960" s="8" t="s">
        <v>131</v>
      </c>
      <c r="G960" s="8" t="s">
        <v>61</v>
      </c>
      <c r="H960" s="8" t="s">
        <v>215</v>
      </c>
      <c r="I960" s="3">
        <v>2</v>
      </c>
      <c r="J960" s="8" t="s">
        <v>173</v>
      </c>
      <c r="K960" s="8" t="s">
        <v>174</v>
      </c>
      <c r="L960" s="8" t="s">
        <v>557</v>
      </c>
      <c r="M960" s="1" t="s">
        <v>205</v>
      </c>
      <c r="N960" s="8" t="s">
        <v>206</v>
      </c>
      <c r="O960" s="6">
        <v>0</v>
      </c>
      <c r="P960" s="6">
        <v>0</v>
      </c>
      <c r="Q960" s="6">
        <v>0</v>
      </c>
      <c r="R960" s="6">
        <v>0</v>
      </c>
      <c r="S960" s="6">
        <v>385</v>
      </c>
    </row>
    <row r="961" spans="1:19" ht="15" hidden="1" x14ac:dyDescent="0.25">
      <c r="A961" s="7" t="s">
        <v>16</v>
      </c>
      <c r="B961" s="7" t="s">
        <v>21</v>
      </c>
      <c r="C961" s="7" t="s">
        <v>18</v>
      </c>
      <c r="D961" s="4">
        <v>29435005005198</v>
      </c>
      <c r="E961" s="8" t="s">
        <v>1102</v>
      </c>
      <c r="F961" s="8" t="s">
        <v>131</v>
      </c>
      <c r="G961" s="8" t="s">
        <v>61</v>
      </c>
      <c r="H961" s="8" t="s">
        <v>215</v>
      </c>
      <c r="I961" s="3">
        <v>2</v>
      </c>
      <c r="J961" s="8" t="s">
        <v>155</v>
      </c>
      <c r="K961" s="8" t="s">
        <v>156</v>
      </c>
      <c r="L961" s="8" t="s">
        <v>556</v>
      </c>
      <c r="M961" s="1" t="s">
        <v>205</v>
      </c>
      <c r="N961" s="8" t="s">
        <v>206</v>
      </c>
      <c r="O961" s="6">
        <v>0</v>
      </c>
      <c r="P961" s="6">
        <v>0</v>
      </c>
      <c r="Q961" s="6">
        <v>0</v>
      </c>
      <c r="R961" s="6">
        <v>0</v>
      </c>
      <c r="S961" s="6">
        <v>200</v>
      </c>
    </row>
    <row r="962" spans="1:19" ht="15" hidden="1" x14ac:dyDescent="0.25">
      <c r="A962" s="7" t="s">
        <v>16</v>
      </c>
      <c r="B962" s="7" t="s">
        <v>21</v>
      </c>
      <c r="C962" s="7" t="s">
        <v>18</v>
      </c>
      <c r="D962" s="4">
        <v>29435005005198</v>
      </c>
      <c r="E962" s="8" t="s">
        <v>1102</v>
      </c>
      <c r="F962" s="8" t="s">
        <v>131</v>
      </c>
      <c r="G962" s="8" t="s">
        <v>61</v>
      </c>
      <c r="H962" s="8" t="s">
        <v>215</v>
      </c>
      <c r="I962" s="3">
        <v>2</v>
      </c>
      <c r="J962" s="8" t="s">
        <v>181</v>
      </c>
      <c r="K962" s="8" t="s">
        <v>182</v>
      </c>
      <c r="L962" s="8" t="s">
        <v>557</v>
      </c>
      <c r="M962" s="1" t="s">
        <v>205</v>
      </c>
      <c r="N962" s="8" t="s">
        <v>206</v>
      </c>
      <c r="O962" s="6">
        <v>0</v>
      </c>
      <c r="P962" s="6">
        <v>0</v>
      </c>
      <c r="Q962" s="6">
        <v>0</v>
      </c>
      <c r="R962" s="6">
        <v>0</v>
      </c>
      <c r="S962" s="6">
        <v>200</v>
      </c>
    </row>
    <row r="963" spans="1:19" ht="15" hidden="1" x14ac:dyDescent="0.25">
      <c r="A963" s="7" t="s">
        <v>16</v>
      </c>
      <c r="B963" s="7" t="s">
        <v>21</v>
      </c>
      <c r="C963" s="7" t="s">
        <v>18</v>
      </c>
      <c r="D963" s="4">
        <v>6047087001020</v>
      </c>
      <c r="E963" s="8" t="s">
        <v>1081</v>
      </c>
      <c r="F963" s="8" t="s">
        <v>131</v>
      </c>
      <c r="G963" s="8" t="s">
        <v>61</v>
      </c>
      <c r="H963" s="8" t="s">
        <v>215</v>
      </c>
      <c r="I963" s="3">
        <v>2</v>
      </c>
      <c r="J963" s="8" t="s">
        <v>155</v>
      </c>
      <c r="K963" s="8" t="s">
        <v>156</v>
      </c>
      <c r="L963" s="8" t="s">
        <v>556</v>
      </c>
      <c r="M963" s="1" t="s">
        <v>205</v>
      </c>
      <c r="N963" s="8" t="s">
        <v>206</v>
      </c>
      <c r="O963" s="6">
        <v>0</v>
      </c>
      <c r="P963" s="6">
        <v>0</v>
      </c>
      <c r="Q963" s="6">
        <v>0</v>
      </c>
      <c r="R963" s="6">
        <v>0</v>
      </c>
      <c r="S963" s="6">
        <v>0</v>
      </c>
    </row>
    <row r="964" spans="1:19" ht="15" hidden="1" x14ac:dyDescent="0.25">
      <c r="A964" s="7" t="s">
        <v>16</v>
      </c>
      <c r="B964" s="7" t="s">
        <v>21</v>
      </c>
      <c r="C964" s="7" t="s">
        <v>18</v>
      </c>
      <c r="D964" s="4">
        <v>6047087001020</v>
      </c>
      <c r="E964" s="8" t="s">
        <v>1081</v>
      </c>
      <c r="F964" s="8" t="s">
        <v>131</v>
      </c>
      <c r="G964" s="8" t="s">
        <v>61</v>
      </c>
      <c r="H964" s="8" t="s">
        <v>215</v>
      </c>
      <c r="I964" s="3">
        <v>2</v>
      </c>
      <c r="J964" s="8" t="s">
        <v>181</v>
      </c>
      <c r="K964" s="8" t="s">
        <v>182</v>
      </c>
      <c r="L964" s="8" t="s">
        <v>557</v>
      </c>
      <c r="M964" s="1" t="s">
        <v>205</v>
      </c>
      <c r="N964" s="8" t="s">
        <v>206</v>
      </c>
      <c r="O964" s="6">
        <v>0</v>
      </c>
      <c r="P964" s="6">
        <v>55</v>
      </c>
      <c r="Q964" s="6">
        <v>120</v>
      </c>
      <c r="R964" s="6">
        <v>0</v>
      </c>
      <c r="S964" s="6">
        <v>0</v>
      </c>
    </row>
    <row r="965" spans="1:19" ht="15" hidden="1" x14ac:dyDescent="0.25">
      <c r="A965" s="7" t="s">
        <v>16</v>
      </c>
      <c r="B965" s="7" t="s">
        <v>21</v>
      </c>
      <c r="C965" s="7" t="s">
        <v>18</v>
      </c>
      <c r="D965" s="4">
        <v>29259736000403</v>
      </c>
      <c r="E965" s="8" t="s">
        <v>1101</v>
      </c>
      <c r="F965" s="8" t="s">
        <v>131</v>
      </c>
      <c r="G965" s="8" t="s">
        <v>61</v>
      </c>
      <c r="H965" s="8" t="s">
        <v>215</v>
      </c>
      <c r="I965" s="3">
        <v>2</v>
      </c>
      <c r="J965" s="8" t="s">
        <v>155</v>
      </c>
      <c r="K965" s="8" t="s">
        <v>156</v>
      </c>
      <c r="L965" s="8" t="s">
        <v>556</v>
      </c>
      <c r="M965" s="1" t="s">
        <v>205</v>
      </c>
      <c r="N965" s="8" t="s">
        <v>206</v>
      </c>
      <c r="O965" s="6">
        <v>0</v>
      </c>
      <c r="P965" s="6">
        <v>0</v>
      </c>
      <c r="Q965" s="6">
        <v>0</v>
      </c>
      <c r="R965" s="6">
        <v>16</v>
      </c>
      <c r="S965" s="6">
        <v>0</v>
      </c>
    </row>
    <row r="966" spans="1:19" ht="15" hidden="1" x14ac:dyDescent="0.25">
      <c r="A966" s="7" t="s">
        <v>16</v>
      </c>
      <c r="B966" s="7" t="s">
        <v>21</v>
      </c>
      <c r="C966" s="7" t="s">
        <v>18</v>
      </c>
      <c r="D966" s="4">
        <v>29259736000403</v>
      </c>
      <c r="E966" s="8" t="s">
        <v>1101</v>
      </c>
      <c r="F966" s="8" t="s">
        <v>131</v>
      </c>
      <c r="G966" s="8" t="s">
        <v>61</v>
      </c>
      <c r="H966" s="8" t="s">
        <v>215</v>
      </c>
      <c r="I966" s="3">
        <v>2</v>
      </c>
      <c r="J966" s="8" t="s">
        <v>181</v>
      </c>
      <c r="K966" s="8" t="s">
        <v>182</v>
      </c>
      <c r="L966" s="8" t="s">
        <v>557</v>
      </c>
      <c r="M966" s="1" t="s">
        <v>205</v>
      </c>
      <c r="N966" s="8" t="s">
        <v>206</v>
      </c>
      <c r="O966" s="6">
        <v>0</v>
      </c>
      <c r="P966" s="6">
        <v>2</v>
      </c>
      <c r="Q966" s="6">
        <v>56</v>
      </c>
      <c r="R966" s="6">
        <v>0</v>
      </c>
      <c r="S966" s="6">
        <v>0</v>
      </c>
    </row>
    <row r="967" spans="1:19" ht="15" hidden="1" x14ac:dyDescent="0.25">
      <c r="A967" s="7" t="s">
        <v>16</v>
      </c>
      <c r="B967" s="7" t="s">
        <v>21</v>
      </c>
      <c r="C967" s="7" t="s">
        <v>18</v>
      </c>
      <c r="D967" s="4">
        <v>8100676002102</v>
      </c>
      <c r="E967" s="8" t="s">
        <v>1085</v>
      </c>
      <c r="F967" s="8" t="s">
        <v>131</v>
      </c>
      <c r="G967" s="8" t="s">
        <v>61</v>
      </c>
      <c r="H967" s="8" t="s">
        <v>215</v>
      </c>
      <c r="I967" s="3">
        <v>2</v>
      </c>
      <c r="J967" s="8" t="s">
        <v>155</v>
      </c>
      <c r="K967" s="8" t="s">
        <v>156</v>
      </c>
      <c r="L967" s="8" t="s">
        <v>556</v>
      </c>
      <c r="M967" s="1" t="s">
        <v>205</v>
      </c>
      <c r="N967" s="8" t="s">
        <v>206</v>
      </c>
      <c r="O967" s="6">
        <v>0</v>
      </c>
      <c r="P967" s="6">
        <v>0</v>
      </c>
      <c r="Q967" s="6">
        <v>0</v>
      </c>
      <c r="R967" s="6">
        <v>0</v>
      </c>
      <c r="S967" s="6">
        <v>400</v>
      </c>
    </row>
    <row r="968" spans="1:19" ht="15" hidden="1" x14ac:dyDescent="0.25">
      <c r="A968" s="7" t="s">
        <v>16</v>
      </c>
      <c r="B968" s="7" t="s">
        <v>21</v>
      </c>
      <c r="C968" s="7" t="s">
        <v>18</v>
      </c>
      <c r="D968" s="4">
        <v>8100676002102</v>
      </c>
      <c r="E968" s="8" t="s">
        <v>1085</v>
      </c>
      <c r="F968" s="8" t="s">
        <v>131</v>
      </c>
      <c r="G968" s="8" t="s">
        <v>61</v>
      </c>
      <c r="H968" s="8" t="s">
        <v>215</v>
      </c>
      <c r="I968" s="3">
        <v>2</v>
      </c>
      <c r="J968" s="8" t="s">
        <v>181</v>
      </c>
      <c r="K968" s="8" t="s">
        <v>182</v>
      </c>
      <c r="L968" s="8" t="s">
        <v>557</v>
      </c>
      <c r="M968" s="1" t="s">
        <v>205</v>
      </c>
      <c r="N968" s="8" t="s">
        <v>206</v>
      </c>
      <c r="O968" s="6">
        <v>0</v>
      </c>
      <c r="P968" s="6">
        <v>30</v>
      </c>
      <c r="Q968" s="6">
        <v>0</v>
      </c>
      <c r="R968" s="6">
        <v>0</v>
      </c>
      <c r="S968" s="6">
        <v>400</v>
      </c>
    </row>
    <row r="969" spans="1:19" ht="15" hidden="1" x14ac:dyDescent="0.25">
      <c r="A969" s="7" t="s">
        <v>16</v>
      </c>
      <c r="B969" s="7" t="s">
        <v>21</v>
      </c>
      <c r="C969" s="7" t="s">
        <v>18</v>
      </c>
      <c r="D969" s="4">
        <v>29435005006160</v>
      </c>
      <c r="E969" s="8" t="s">
        <v>1105</v>
      </c>
      <c r="F969" s="8" t="s">
        <v>131</v>
      </c>
      <c r="G969" s="8" t="s">
        <v>61</v>
      </c>
      <c r="H969" s="8" t="s">
        <v>215</v>
      </c>
      <c r="I969" s="3">
        <v>2</v>
      </c>
      <c r="J969" s="8" t="s">
        <v>155</v>
      </c>
      <c r="K969" s="8" t="s">
        <v>156</v>
      </c>
      <c r="L969" s="8" t="s">
        <v>556</v>
      </c>
      <c r="M969" s="1" t="s">
        <v>205</v>
      </c>
      <c r="N969" s="8" t="s">
        <v>206</v>
      </c>
      <c r="O969" s="6">
        <v>0</v>
      </c>
      <c r="P969" s="6">
        <v>0</v>
      </c>
      <c r="Q969" s="6">
        <v>0</v>
      </c>
      <c r="R969" s="6">
        <v>0</v>
      </c>
      <c r="S969" s="6">
        <v>0</v>
      </c>
    </row>
    <row r="970" spans="1:19" ht="15" hidden="1" x14ac:dyDescent="0.25">
      <c r="A970" s="7" t="s">
        <v>16</v>
      </c>
      <c r="B970" s="7" t="s">
        <v>21</v>
      </c>
      <c r="C970" s="7" t="s">
        <v>18</v>
      </c>
      <c r="D970" s="4">
        <v>29435005006160</v>
      </c>
      <c r="E970" s="8" t="s">
        <v>1105</v>
      </c>
      <c r="F970" s="8" t="s">
        <v>131</v>
      </c>
      <c r="G970" s="8" t="s">
        <v>61</v>
      </c>
      <c r="H970" s="8" t="s">
        <v>215</v>
      </c>
      <c r="I970" s="3">
        <v>2</v>
      </c>
      <c r="J970" s="8" t="s">
        <v>181</v>
      </c>
      <c r="K970" s="8" t="s">
        <v>182</v>
      </c>
      <c r="L970" s="8" t="s">
        <v>557</v>
      </c>
      <c r="M970" s="1" t="s">
        <v>205</v>
      </c>
      <c r="N970" s="8" t="s">
        <v>206</v>
      </c>
      <c r="O970" s="6">
        <v>0</v>
      </c>
      <c r="P970" s="6">
        <v>14</v>
      </c>
      <c r="Q970" s="6">
        <v>4</v>
      </c>
      <c r="R970" s="6">
        <v>0</v>
      </c>
      <c r="S970" s="6">
        <v>0</v>
      </c>
    </row>
    <row r="971" spans="1:19" ht="15" hidden="1" x14ac:dyDescent="0.25">
      <c r="A971" s="7" t="s">
        <v>16</v>
      </c>
      <c r="B971" s="7" t="s">
        <v>21</v>
      </c>
      <c r="C971" s="7" t="s">
        <v>18</v>
      </c>
      <c r="D971" s="4">
        <v>53221255004995</v>
      </c>
      <c r="E971" s="8" t="s">
        <v>1123</v>
      </c>
      <c r="F971" s="8" t="s">
        <v>131</v>
      </c>
      <c r="G971" s="8" t="s">
        <v>61</v>
      </c>
      <c r="H971" s="8" t="s">
        <v>215</v>
      </c>
      <c r="I971" s="3">
        <v>2</v>
      </c>
      <c r="J971" s="8" t="s">
        <v>155</v>
      </c>
      <c r="K971" s="8" t="s">
        <v>156</v>
      </c>
      <c r="L971" s="8" t="s">
        <v>556</v>
      </c>
      <c r="M971" s="1" t="s">
        <v>205</v>
      </c>
      <c r="N971" s="8" t="s">
        <v>206</v>
      </c>
      <c r="O971" s="6">
        <v>0</v>
      </c>
      <c r="P971" s="6">
        <v>0</v>
      </c>
      <c r="Q971" s="6">
        <v>0</v>
      </c>
      <c r="R971" s="6">
        <v>0</v>
      </c>
      <c r="S971" s="6">
        <v>0</v>
      </c>
    </row>
    <row r="972" spans="1:19" ht="15" hidden="1" x14ac:dyDescent="0.25">
      <c r="A972" s="7" t="s">
        <v>16</v>
      </c>
      <c r="B972" s="7" t="s">
        <v>21</v>
      </c>
      <c r="C972" s="7" t="s">
        <v>18</v>
      </c>
      <c r="D972" s="4">
        <v>53221255004995</v>
      </c>
      <c r="E972" s="8" t="s">
        <v>1123</v>
      </c>
      <c r="F972" s="8" t="s">
        <v>131</v>
      </c>
      <c r="G972" s="8" t="s">
        <v>61</v>
      </c>
      <c r="H972" s="8" t="s">
        <v>215</v>
      </c>
      <c r="I972" s="3">
        <v>2</v>
      </c>
      <c r="J972" s="8" t="s">
        <v>181</v>
      </c>
      <c r="K972" s="8" t="s">
        <v>182</v>
      </c>
      <c r="L972" s="8" t="s">
        <v>557</v>
      </c>
      <c r="M972" s="1" t="s">
        <v>205</v>
      </c>
      <c r="N972" s="8" t="s">
        <v>206</v>
      </c>
      <c r="O972" s="6">
        <v>0</v>
      </c>
      <c r="P972" s="6">
        <v>0</v>
      </c>
      <c r="Q972" s="6">
        <v>1</v>
      </c>
      <c r="R972" s="6">
        <v>0</v>
      </c>
      <c r="S972" s="6">
        <v>0</v>
      </c>
    </row>
    <row r="973" spans="1:19" ht="15" hidden="1" x14ac:dyDescent="0.25">
      <c r="A973" s="7" t="s">
        <v>16</v>
      </c>
      <c r="B973" s="7" t="s">
        <v>21</v>
      </c>
      <c r="C973" s="7" t="s">
        <v>18</v>
      </c>
      <c r="D973" s="4">
        <v>60884855001630</v>
      </c>
      <c r="E973" s="8" t="s">
        <v>1124</v>
      </c>
      <c r="F973" s="8" t="s">
        <v>131</v>
      </c>
      <c r="G973" s="8" t="s">
        <v>61</v>
      </c>
      <c r="H973" s="8" t="s">
        <v>215</v>
      </c>
      <c r="I973" s="3">
        <v>2</v>
      </c>
      <c r="J973" s="8" t="s">
        <v>155</v>
      </c>
      <c r="K973" s="8" t="s">
        <v>156</v>
      </c>
      <c r="L973" s="8" t="s">
        <v>556</v>
      </c>
      <c r="M973" s="1" t="s">
        <v>205</v>
      </c>
      <c r="N973" s="8" t="s">
        <v>206</v>
      </c>
      <c r="O973" s="6">
        <v>0</v>
      </c>
      <c r="P973" s="6">
        <v>0</v>
      </c>
      <c r="Q973" s="6">
        <v>0</v>
      </c>
      <c r="R973" s="6">
        <v>0</v>
      </c>
      <c r="S973" s="6">
        <v>160</v>
      </c>
    </row>
    <row r="974" spans="1:19" ht="15" hidden="1" x14ac:dyDescent="0.25">
      <c r="A974" s="7" t="s">
        <v>16</v>
      </c>
      <c r="B974" s="7" t="s">
        <v>21</v>
      </c>
      <c r="C974" s="7" t="s">
        <v>18</v>
      </c>
      <c r="D974" s="4">
        <v>60884855001630</v>
      </c>
      <c r="E974" s="8" t="s">
        <v>1124</v>
      </c>
      <c r="F974" s="8" t="s">
        <v>131</v>
      </c>
      <c r="G974" s="8" t="s">
        <v>61</v>
      </c>
      <c r="H974" s="8" t="s">
        <v>215</v>
      </c>
      <c r="I974" s="3">
        <v>2</v>
      </c>
      <c r="J974" s="8" t="s">
        <v>173</v>
      </c>
      <c r="K974" s="8" t="s">
        <v>174</v>
      </c>
      <c r="L974" s="8" t="s">
        <v>557</v>
      </c>
      <c r="M974" s="1" t="s">
        <v>205</v>
      </c>
      <c r="N974" s="8" t="s">
        <v>206</v>
      </c>
      <c r="O974" s="6">
        <v>0</v>
      </c>
      <c r="P974" s="6">
        <v>25</v>
      </c>
      <c r="Q974" s="6">
        <v>10</v>
      </c>
      <c r="R974" s="6">
        <v>0</v>
      </c>
      <c r="S974" s="6">
        <v>160</v>
      </c>
    </row>
    <row r="975" spans="1:19" ht="15" hidden="1" x14ac:dyDescent="0.25">
      <c r="A975" s="7" t="s">
        <v>16</v>
      </c>
      <c r="B975" s="7" t="s">
        <v>21</v>
      </c>
      <c r="C975" s="7" t="s">
        <v>18</v>
      </c>
      <c r="D975" s="4">
        <v>18010750000100</v>
      </c>
      <c r="E975" s="8" t="s">
        <v>1092</v>
      </c>
      <c r="F975" s="8" t="s">
        <v>131</v>
      </c>
      <c r="G975" s="8" t="s">
        <v>61</v>
      </c>
      <c r="H975" s="8" t="s">
        <v>215</v>
      </c>
      <c r="I975" s="3">
        <v>2</v>
      </c>
      <c r="J975" s="8" t="s">
        <v>155</v>
      </c>
      <c r="K975" s="8" t="s">
        <v>156</v>
      </c>
      <c r="L975" s="8" t="s">
        <v>556</v>
      </c>
      <c r="M975" s="1" t="s">
        <v>205</v>
      </c>
      <c r="N975" s="8" t="s">
        <v>206</v>
      </c>
      <c r="O975" s="6">
        <v>0</v>
      </c>
      <c r="P975" s="6">
        <v>0</v>
      </c>
      <c r="Q975" s="6">
        <v>0</v>
      </c>
      <c r="R975" s="6">
        <v>0</v>
      </c>
      <c r="S975" s="6">
        <v>265</v>
      </c>
    </row>
    <row r="976" spans="1:19" ht="15" hidden="1" x14ac:dyDescent="0.25">
      <c r="A976" s="7" t="s">
        <v>16</v>
      </c>
      <c r="B976" s="7" t="s">
        <v>21</v>
      </c>
      <c r="C976" s="7" t="s">
        <v>18</v>
      </c>
      <c r="D976" s="4">
        <v>18010750000100</v>
      </c>
      <c r="E976" s="8" t="s">
        <v>1092</v>
      </c>
      <c r="F976" s="8" t="s">
        <v>131</v>
      </c>
      <c r="G976" s="8" t="s">
        <v>61</v>
      </c>
      <c r="H976" s="8" t="s">
        <v>215</v>
      </c>
      <c r="I976" s="3">
        <v>2</v>
      </c>
      <c r="J976" s="8" t="s">
        <v>173</v>
      </c>
      <c r="K976" s="8" t="s">
        <v>174</v>
      </c>
      <c r="L976" s="8" t="s">
        <v>557</v>
      </c>
      <c r="M976" s="1" t="s">
        <v>205</v>
      </c>
      <c r="N976" s="8" t="s">
        <v>206</v>
      </c>
      <c r="O976" s="6">
        <v>0</v>
      </c>
      <c r="P976" s="6">
        <v>0</v>
      </c>
      <c r="Q976" s="6">
        <v>0</v>
      </c>
      <c r="R976" s="6">
        <v>0</v>
      </c>
      <c r="S976" s="6">
        <v>265</v>
      </c>
    </row>
    <row r="977" spans="1:19" ht="15" hidden="1" x14ac:dyDescent="0.25">
      <c r="A977" s="7" t="s">
        <v>16</v>
      </c>
      <c r="B977" s="7" t="s">
        <v>21</v>
      </c>
      <c r="C977" s="7" t="s">
        <v>18</v>
      </c>
      <c r="D977" s="4">
        <v>33663683005347</v>
      </c>
      <c r="E977" s="8" t="s">
        <v>1114</v>
      </c>
      <c r="F977" s="8" t="s">
        <v>131</v>
      </c>
      <c r="G977" s="8" t="s">
        <v>61</v>
      </c>
      <c r="H977" s="8" t="s">
        <v>215</v>
      </c>
      <c r="I977" s="3">
        <v>2</v>
      </c>
      <c r="J977" s="8" t="s">
        <v>155</v>
      </c>
      <c r="K977" s="8" t="s">
        <v>156</v>
      </c>
      <c r="L977" s="8" t="s">
        <v>556</v>
      </c>
      <c r="M977" s="1" t="s">
        <v>205</v>
      </c>
      <c r="N977" s="8" t="s">
        <v>206</v>
      </c>
      <c r="O977" s="6">
        <v>0</v>
      </c>
      <c r="P977" s="6">
        <v>0</v>
      </c>
      <c r="Q977" s="6">
        <v>0</v>
      </c>
      <c r="R977" s="6">
        <v>0</v>
      </c>
      <c r="S977" s="6">
        <v>800</v>
      </c>
    </row>
    <row r="978" spans="1:19" ht="15" hidden="1" x14ac:dyDescent="0.25">
      <c r="A978" s="7" t="s">
        <v>16</v>
      </c>
      <c r="B978" s="7" t="s">
        <v>21</v>
      </c>
      <c r="C978" s="7" t="s">
        <v>18</v>
      </c>
      <c r="D978" s="4">
        <v>33663683005347</v>
      </c>
      <c r="E978" s="8" t="s">
        <v>1114</v>
      </c>
      <c r="F978" s="8" t="s">
        <v>131</v>
      </c>
      <c r="G978" s="8" t="s">
        <v>61</v>
      </c>
      <c r="H978" s="8" t="s">
        <v>215</v>
      </c>
      <c r="I978" s="3">
        <v>2</v>
      </c>
      <c r="J978" s="8" t="s">
        <v>173</v>
      </c>
      <c r="K978" s="8" t="s">
        <v>174</v>
      </c>
      <c r="L978" s="8" t="s">
        <v>557</v>
      </c>
      <c r="M978" s="1" t="s">
        <v>205</v>
      </c>
      <c r="N978" s="8" t="s">
        <v>206</v>
      </c>
      <c r="O978" s="6">
        <v>0</v>
      </c>
      <c r="P978" s="6">
        <v>0</v>
      </c>
      <c r="Q978" s="6">
        <v>0</v>
      </c>
      <c r="R978" s="6">
        <v>0</v>
      </c>
      <c r="S978" s="6">
        <v>800</v>
      </c>
    </row>
    <row r="979" spans="1:19" ht="15" hidden="1" x14ac:dyDescent="0.25">
      <c r="A979" s="7" t="s">
        <v>16</v>
      </c>
      <c r="B979" s="7" t="s">
        <v>21</v>
      </c>
      <c r="C979" s="7" t="s">
        <v>18</v>
      </c>
      <c r="D979" s="4">
        <v>8850962000222</v>
      </c>
      <c r="E979" s="8" t="s">
        <v>1086</v>
      </c>
      <c r="F979" s="8" t="s">
        <v>131</v>
      </c>
      <c r="G979" s="8" t="s">
        <v>61</v>
      </c>
      <c r="H979" s="8" t="s">
        <v>215</v>
      </c>
      <c r="I979" s="3">
        <v>2</v>
      </c>
      <c r="J979" s="8" t="s">
        <v>155</v>
      </c>
      <c r="K979" s="8" t="s">
        <v>156</v>
      </c>
      <c r="L979" s="8" t="s">
        <v>556</v>
      </c>
      <c r="M979" s="1" t="s">
        <v>205</v>
      </c>
      <c r="N979" s="8" t="s">
        <v>206</v>
      </c>
      <c r="O979" s="6">
        <v>0</v>
      </c>
      <c r="P979" s="6">
        <v>0</v>
      </c>
      <c r="Q979" s="6">
        <v>0</v>
      </c>
      <c r="R979" s="6">
        <v>0</v>
      </c>
      <c r="S979" s="6">
        <v>0</v>
      </c>
    </row>
    <row r="980" spans="1:19" ht="15" hidden="1" x14ac:dyDescent="0.25">
      <c r="A980" s="7" t="s">
        <v>16</v>
      </c>
      <c r="B980" s="7" t="s">
        <v>21</v>
      </c>
      <c r="C980" s="7" t="s">
        <v>18</v>
      </c>
      <c r="D980" s="4">
        <v>8850962000222</v>
      </c>
      <c r="E980" s="8" t="s">
        <v>1086</v>
      </c>
      <c r="F980" s="8" t="s">
        <v>131</v>
      </c>
      <c r="G980" s="8" t="s">
        <v>61</v>
      </c>
      <c r="H980" s="8" t="s">
        <v>215</v>
      </c>
      <c r="I980" s="3">
        <v>2</v>
      </c>
      <c r="J980" s="8" t="s">
        <v>181</v>
      </c>
      <c r="K980" s="8" t="s">
        <v>182</v>
      </c>
      <c r="L980" s="8" t="s">
        <v>557</v>
      </c>
      <c r="M980" s="1" t="s">
        <v>205</v>
      </c>
      <c r="N980" s="8" t="s">
        <v>206</v>
      </c>
      <c r="O980" s="6">
        <v>0</v>
      </c>
      <c r="P980" s="6">
        <v>16</v>
      </c>
      <c r="Q980" s="6">
        <v>16</v>
      </c>
      <c r="R980" s="6">
        <v>0</v>
      </c>
      <c r="S980" s="6">
        <v>0</v>
      </c>
    </row>
    <row r="981" spans="1:19" ht="15" hidden="1" x14ac:dyDescent="0.25">
      <c r="A981" s="7" t="s">
        <v>16</v>
      </c>
      <c r="B981" s="7" t="s">
        <v>21</v>
      </c>
      <c r="C981" s="7" t="s">
        <v>18</v>
      </c>
      <c r="D981" s="4">
        <v>394544017150</v>
      </c>
      <c r="E981" s="8" t="s">
        <v>1071</v>
      </c>
      <c r="F981" s="8" t="s">
        <v>131</v>
      </c>
      <c r="G981" s="8" t="s">
        <v>61</v>
      </c>
      <c r="H981" s="8" t="s">
        <v>215</v>
      </c>
      <c r="I981" s="3">
        <v>2</v>
      </c>
      <c r="J981" s="8" t="s">
        <v>155</v>
      </c>
      <c r="K981" s="8" t="s">
        <v>156</v>
      </c>
      <c r="L981" s="8" t="s">
        <v>556</v>
      </c>
      <c r="M981" s="1" t="s">
        <v>205</v>
      </c>
      <c r="N981" s="8" t="s">
        <v>206</v>
      </c>
      <c r="O981" s="6">
        <v>0</v>
      </c>
      <c r="P981" s="6">
        <v>0</v>
      </c>
      <c r="Q981" s="6">
        <v>0</v>
      </c>
      <c r="R981" s="6">
        <v>0</v>
      </c>
      <c r="S981" s="6">
        <v>0</v>
      </c>
    </row>
    <row r="982" spans="1:19" ht="15" hidden="1" x14ac:dyDescent="0.25">
      <c r="A982" s="7" t="s">
        <v>16</v>
      </c>
      <c r="B982" s="7" t="s">
        <v>21</v>
      </c>
      <c r="C982" s="7" t="s">
        <v>18</v>
      </c>
      <c r="D982" s="4">
        <v>394544017150</v>
      </c>
      <c r="E982" s="8" t="s">
        <v>1071</v>
      </c>
      <c r="F982" s="8" t="s">
        <v>131</v>
      </c>
      <c r="G982" s="8" t="s">
        <v>61</v>
      </c>
      <c r="H982" s="8" t="s">
        <v>215</v>
      </c>
      <c r="I982" s="3">
        <v>2</v>
      </c>
      <c r="J982" s="8" t="s">
        <v>173</v>
      </c>
      <c r="K982" s="8" t="s">
        <v>174</v>
      </c>
      <c r="L982" s="8" t="s">
        <v>557</v>
      </c>
      <c r="M982" s="1" t="s">
        <v>205</v>
      </c>
      <c r="N982" s="8" t="s">
        <v>206</v>
      </c>
      <c r="O982" s="6">
        <v>0</v>
      </c>
      <c r="P982" s="6">
        <v>20</v>
      </c>
      <c r="Q982" s="6">
        <v>0</v>
      </c>
      <c r="R982" s="6">
        <v>0</v>
      </c>
      <c r="S982" s="6">
        <v>0</v>
      </c>
    </row>
    <row r="983" spans="1:19" ht="15" hidden="1" x14ac:dyDescent="0.25">
      <c r="A983" s="7" t="s">
        <v>16</v>
      </c>
      <c r="B983" s="7" t="s">
        <v>21</v>
      </c>
      <c r="C983" s="7" t="s">
        <v>18</v>
      </c>
      <c r="D983" s="4">
        <v>33419482000259</v>
      </c>
      <c r="E983" s="8" t="s">
        <v>1111</v>
      </c>
      <c r="F983" s="8" t="s">
        <v>131</v>
      </c>
      <c r="G983" s="8" t="s">
        <v>61</v>
      </c>
      <c r="H983" s="8" t="s">
        <v>215</v>
      </c>
      <c r="I983" s="3">
        <v>2</v>
      </c>
      <c r="J983" s="8" t="s">
        <v>155</v>
      </c>
      <c r="K983" s="8" t="s">
        <v>156</v>
      </c>
      <c r="L983" s="8" t="s">
        <v>556</v>
      </c>
      <c r="M983" s="1" t="s">
        <v>205</v>
      </c>
      <c r="N983" s="8" t="s">
        <v>206</v>
      </c>
      <c r="O983" s="6">
        <v>0</v>
      </c>
      <c r="P983" s="6">
        <v>0</v>
      </c>
      <c r="Q983" s="6">
        <v>0</v>
      </c>
      <c r="R983" s="6">
        <v>0</v>
      </c>
      <c r="S983" s="6">
        <v>15</v>
      </c>
    </row>
    <row r="984" spans="1:19" ht="15" hidden="1" x14ac:dyDescent="0.25">
      <c r="A984" s="7" t="s">
        <v>16</v>
      </c>
      <c r="B984" s="7" t="s">
        <v>21</v>
      </c>
      <c r="C984" s="7" t="s">
        <v>18</v>
      </c>
      <c r="D984" s="4">
        <v>33419482000259</v>
      </c>
      <c r="E984" s="8" t="s">
        <v>1111</v>
      </c>
      <c r="F984" s="8" t="s">
        <v>131</v>
      </c>
      <c r="G984" s="8" t="s">
        <v>61</v>
      </c>
      <c r="H984" s="8" t="s">
        <v>215</v>
      </c>
      <c r="I984" s="3">
        <v>2</v>
      </c>
      <c r="J984" s="8" t="s">
        <v>181</v>
      </c>
      <c r="K984" s="8" t="s">
        <v>182</v>
      </c>
      <c r="L984" s="8" t="s">
        <v>557</v>
      </c>
      <c r="M984" s="1" t="s">
        <v>205</v>
      </c>
      <c r="N984" s="8" t="s">
        <v>206</v>
      </c>
      <c r="O984" s="6">
        <v>0</v>
      </c>
      <c r="P984" s="6">
        <v>2</v>
      </c>
      <c r="Q984" s="6">
        <v>9</v>
      </c>
      <c r="R984" s="6">
        <v>0</v>
      </c>
      <c r="S984" s="6">
        <v>15</v>
      </c>
    </row>
    <row r="985" spans="1:19" ht="15" hidden="1" x14ac:dyDescent="0.25">
      <c r="A985" s="7" t="s">
        <v>16</v>
      </c>
      <c r="B985" s="7" t="s">
        <v>21</v>
      </c>
      <c r="C985" s="7" t="s">
        <v>18</v>
      </c>
      <c r="D985" s="4">
        <v>72101124000506</v>
      </c>
      <c r="E985" s="8" t="s">
        <v>1126</v>
      </c>
      <c r="F985" s="8" t="s">
        <v>131</v>
      </c>
      <c r="G985" s="8" t="s">
        <v>61</v>
      </c>
      <c r="H985" s="8" t="s">
        <v>215</v>
      </c>
      <c r="I985" s="3">
        <v>2</v>
      </c>
      <c r="J985" s="8" t="s">
        <v>155</v>
      </c>
      <c r="K985" s="8" t="s">
        <v>156</v>
      </c>
      <c r="L985" s="8" t="s">
        <v>556</v>
      </c>
      <c r="M985" s="1" t="s">
        <v>205</v>
      </c>
      <c r="N985" s="8" t="s">
        <v>206</v>
      </c>
      <c r="O985" s="6">
        <v>0</v>
      </c>
      <c r="P985" s="6">
        <v>0</v>
      </c>
      <c r="Q985" s="6">
        <v>0</v>
      </c>
      <c r="R985" s="6">
        <v>135</v>
      </c>
      <c r="S985" s="6">
        <v>175</v>
      </c>
    </row>
    <row r="986" spans="1:19" ht="15" hidden="1" x14ac:dyDescent="0.25">
      <c r="A986" s="7" t="s">
        <v>16</v>
      </c>
      <c r="B986" s="7" t="s">
        <v>21</v>
      </c>
      <c r="C986" s="7" t="s">
        <v>18</v>
      </c>
      <c r="D986" s="4">
        <v>72101124000506</v>
      </c>
      <c r="E986" s="8" t="s">
        <v>1126</v>
      </c>
      <c r="F986" s="8" t="s">
        <v>131</v>
      </c>
      <c r="G986" s="8" t="s">
        <v>61</v>
      </c>
      <c r="H986" s="8" t="s">
        <v>215</v>
      </c>
      <c r="I986" s="3">
        <v>2</v>
      </c>
      <c r="J986" s="8" t="s">
        <v>181</v>
      </c>
      <c r="K986" s="8" t="s">
        <v>182</v>
      </c>
      <c r="L986" s="8" t="s">
        <v>557</v>
      </c>
      <c r="M986" s="1" t="s">
        <v>205</v>
      </c>
      <c r="N986" s="8" t="s">
        <v>206</v>
      </c>
      <c r="O986" s="6">
        <v>0</v>
      </c>
      <c r="P986" s="6">
        <v>0</v>
      </c>
      <c r="Q986" s="6">
        <v>0</v>
      </c>
      <c r="R986" s="6">
        <v>0</v>
      </c>
      <c r="S986" s="6">
        <v>175</v>
      </c>
    </row>
    <row r="987" spans="1:19" ht="15" hidden="1" x14ac:dyDescent="0.25">
      <c r="A987" s="7" t="s">
        <v>16</v>
      </c>
      <c r="B987" s="7" t="s">
        <v>21</v>
      </c>
      <c r="C987" s="7" t="s">
        <v>18</v>
      </c>
      <c r="D987" s="4">
        <v>28000107000159</v>
      </c>
      <c r="E987" s="8" t="s">
        <v>1099</v>
      </c>
      <c r="F987" s="8" t="s">
        <v>131</v>
      </c>
      <c r="G987" s="8" t="s">
        <v>61</v>
      </c>
      <c r="H987" s="8" t="s">
        <v>215</v>
      </c>
      <c r="I987" s="3">
        <v>2</v>
      </c>
      <c r="J987" s="8" t="s">
        <v>155</v>
      </c>
      <c r="K987" s="8" t="s">
        <v>156</v>
      </c>
      <c r="L987" s="8" t="s">
        <v>556</v>
      </c>
      <c r="M987" s="1" t="s">
        <v>205</v>
      </c>
      <c r="N987" s="8" t="s">
        <v>206</v>
      </c>
      <c r="O987" s="6">
        <v>0</v>
      </c>
      <c r="P987" s="6">
        <v>0</v>
      </c>
      <c r="Q987" s="6">
        <v>0</v>
      </c>
      <c r="R987" s="6">
        <v>140</v>
      </c>
      <c r="S987" s="6">
        <v>90</v>
      </c>
    </row>
    <row r="988" spans="1:19" ht="15" hidden="1" x14ac:dyDescent="0.25">
      <c r="A988" s="7" t="s">
        <v>16</v>
      </c>
      <c r="B988" s="7" t="s">
        <v>21</v>
      </c>
      <c r="C988" s="7" t="s">
        <v>18</v>
      </c>
      <c r="D988" s="4">
        <v>28000107000159</v>
      </c>
      <c r="E988" s="8" t="s">
        <v>1099</v>
      </c>
      <c r="F988" s="8" t="s">
        <v>131</v>
      </c>
      <c r="G988" s="8" t="s">
        <v>61</v>
      </c>
      <c r="H988" s="8" t="s">
        <v>215</v>
      </c>
      <c r="I988" s="3">
        <v>2</v>
      </c>
      <c r="J988" s="8" t="s">
        <v>181</v>
      </c>
      <c r="K988" s="8" t="s">
        <v>182</v>
      </c>
      <c r="L988" s="8" t="s">
        <v>557</v>
      </c>
      <c r="M988" s="1" t="s">
        <v>205</v>
      </c>
      <c r="N988" s="8" t="s">
        <v>206</v>
      </c>
      <c r="O988" s="6">
        <v>0</v>
      </c>
      <c r="P988" s="6">
        <v>0</v>
      </c>
      <c r="Q988" s="6">
        <v>0</v>
      </c>
      <c r="R988" s="6">
        <v>0</v>
      </c>
      <c r="S988" s="6">
        <v>90</v>
      </c>
    </row>
    <row r="989" spans="1:19" ht="15" hidden="1" x14ac:dyDescent="0.25">
      <c r="A989" s="7" t="s">
        <v>16</v>
      </c>
      <c r="B989" s="7" t="s">
        <v>21</v>
      </c>
      <c r="C989" s="7" t="s">
        <v>18</v>
      </c>
      <c r="D989" s="4">
        <v>9219138000584</v>
      </c>
      <c r="E989" s="8" t="s">
        <v>1088</v>
      </c>
      <c r="F989" s="8" t="s">
        <v>131</v>
      </c>
      <c r="G989" s="8" t="s">
        <v>61</v>
      </c>
      <c r="H989" s="8" t="s">
        <v>215</v>
      </c>
      <c r="I989" s="3">
        <v>2</v>
      </c>
      <c r="J989" s="8" t="s">
        <v>155</v>
      </c>
      <c r="K989" s="8" t="s">
        <v>156</v>
      </c>
      <c r="L989" s="8" t="s">
        <v>556</v>
      </c>
      <c r="M989" s="1" t="s">
        <v>205</v>
      </c>
      <c r="N989" s="8" t="s">
        <v>206</v>
      </c>
      <c r="O989" s="6">
        <v>0</v>
      </c>
      <c r="P989" s="6">
        <v>0</v>
      </c>
      <c r="Q989" s="6">
        <v>0</v>
      </c>
      <c r="R989" s="6">
        <v>188</v>
      </c>
      <c r="S989" s="6">
        <v>670</v>
      </c>
    </row>
    <row r="990" spans="1:19" ht="15" hidden="1" x14ac:dyDescent="0.25">
      <c r="A990" s="7" t="s">
        <v>16</v>
      </c>
      <c r="B990" s="7" t="s">
        <v>21</v>
      </c>
      <c r="C990" s="7" t="s">
        <v>18</v>
      </c>
      <c r="D990" s="4">
        <v>9219138000584</v>
      </c>
      <c r="E990" s="8" t="s">
        <v>1088</v>
      </c>
      <c r="F990" s="8" t="s">
        <v>131</v>
      </c>
      <c r="G990" s="8" t="s">
        <v>61</v>
      </c>
      <c r="H990" s="8" t="s">
        <v>215</v>
      </c>
      <c r="I990" s="3">
        <v>2</v>
      </c>
      <c r="J990" s="8" t="s">
        <v>173</v>
      </c>
      <c r="K990" s="8" t="s">
        <v>174</v>
      </c>
      <c r="L990" s="8" t="s">
        <v>557</v>
      </c>
      <c r="M990" s="1" t="s">
        <v>205</v>
      </c>
      <c r="N990" s="8" t="s">
        <v>206</v>
      </c>
      <c r="O990" s="6">
        <v>0</v>
      </c>
      <c r="P990" s="6">
        <v>4</v>
      </c>
      <c r="Q990" s="6">
        <v>0</v>
      </c>
      <c r="R990" s="6">
        <v>0</v>
      </c>
      <c r="S990" s="6">
        <v>670</v>
      </c>
    </row>
    <row r="991" spans="1:19" ht="15" hidden="1" x14ac:dyDescent="0.25">
      <c r="A991" s="7" t="s">
        <v>16</v>
      </c>
      <c r="B991" s="7" t="s">
        <v>21</v>
      </c>
      <c r="C991" s="7" t="s">
        <v>18</v>
      </c>
      <c r="D991" s="4">
        <v>28602407000108</v>
      </c>
      <c r="E991" s="8" t="s">
        <v>1100</v>
      </c>
      <c r="F991" s="8" t="s">
        <v>131</v>
      </c>
      <c r="G991" s="8" t="s">
        <v>61</v>
      </c>
      <c r="H991" s="8" t="s">
        <v>215</v>
      </c>
      <c r="I991" s="3">
        <v>2</v>
      </c>
      <c r="J991" s="8" t="s">
        <v>155</v>
      </c>
      <c r="K991" s="8" t="s">
        <v>156</v>
      </c>
      <c r="L991" s="8" t="s">
        <v>556</v>
      </c>
      <c r="M991" s="1" t="s">
        <v>205</v>
      </c>
      <c r="N991" s="8" t="s">
        <v>206</v>
      </c>
      <c r="O991" s="6">
        <v>0</v>
      </c>
      <c r="P991" s="6">
        <v>0</v>
      </c>
      <c r="Q991" s="6">
        <v>0</v>
      </c>
      <c r="R991" s="6">
        <v>4</v>
      </c>
      <c r="S991" s="6">
        <v>0</v>
      </c>
    </row>
    <row r="992" spans="1:19" ht="15" hidden="1" x14ac:dyDescent="0.25">
      <c r="A992" s="7" t="s">
        <v>16</v>
      </c>
      <c r="B992" s="7" t="s">
        <v>21</v>
      </c>
      <c r="C992" s="7" t="s">
        <v>18</v>
      </c>
      <c r="D992" s="4">
        <v>28602407000108</v>
      </c>
      <c r="E992" s="8" t="s">
        <v>1100</v>
      </c>
      <c r="F992" s="8" t="s">
        <v>131</v>
      </c>
      <c r="G992" s="8" t="s">
        <v>61</v>
      </c>
      <c r="H992" s="8" t="s">
        <v>215</v>
      </c>
      <c r="I992" s="3">
        <v>2</v>
      </c>
      <c r="J992" s="8" t="s">
        <v>181</v>
      </c>
      <c r="K992" s="8" t="s">
        <v>182</v>
      </c>
      <c r="L992" s="8" t="s">
        <v>557</v>
      </c>
      <c r="M992" s="1" t="s">
        <v>205</v>
      </c>
      <c r="N992" s="8" t="s">
        <v>206</v>
      </c>
      <c r="O992" s="6">
        <v>0</v>
      </c>
      <c r="P992" s="6">
        <v>0</v>
      </c>
      <c r="Q992" s="6">
        <v>0</v>
      </c>
      <c r="R992" s="6">
        <v>0</v>
      </c>
      <c r="S992" s="6">
        <v>0</v>
      </c>
    </row>
    <row r="993" spans="1:19" ht="15" hidden="1" x14ac:dyDescent="0.25">
      <c r="A993" s="7" t="s">
        <v>16</v>
      </c>
      <c r="B993" s="7" t="s">
        <v>21</v>
      </c>
      <c r="C993" s="7" t="s">
        <v>18</v>
      </c>
      <c r="D993" s="4">
        <v>35917970000726</v>
      </c>
      <c r="E993" s="8" t="s">
        <v>1062</v>
      </c>
      <c r="F993" s="8" t="s">
        <v>105</v>
      </c>
      <c r="G993" s="8" t="s">
        <v>61</v>
      </c>
      <c r="H993" s="8" t="s">
        <v>215</v>
      </c>
      <c r="I993" s="3">
        <v>2</v>
      </c>
      <c r="J993" s="8" t="s">
        <v>155</v>
      </c>
      <c r="K993" s="8" t="s">
        <v>156</v>
      </c>
      <c r="L993" s="8" t="s">
        <v>556</v>
      </c>
      <c r="M993" s="1" t="s">
        <v>205</v>
      </c>
      <c r="N993" s="8" t="s">
        <v>206</v>
      </c>
      <c r="O993" s="6">
        <v>0</v>
      </c>
      <c r="P993" s="6">
        <v>0</v>
      </c>
      <c r="Q993" s="6">
        <v>0</v>
      </c>
      <c r="R993" s="6">
        <v>15</v>
      </c>
      <c r="S993" s="6">
        <v>0</v>
      </c>
    </row>
    <row r="994" spans="1:19" ht="15" hidden="1" x14ac:dyDescent="0.25">
      <c r="A994" s="7" t="s">
        <v>16</v>
      </c>
      <c r="B994" s="7" t="s">
        <v>21</v>
      </c>
      <c r="C994" s="7" t="s">
        <v>18</v>
      </c>
      <c r="D994" s="4">
        <v>35917970000726</v>
      </c>
      <c r="E994" s="8" t="s">
        <v>1062</v>
      </c>
      <c r="F994" s="8" t="s">
        <v>105</v>
      </c>
      <c r="G994" s="8" t="s">
        <v>61</v>
      </c>
      <c r="H994" s="8" t="s">
        <v>215</v>
      </c>
      <c r="I994" s="3">
        <v>2</v>
      </c>
      <c r="J994" s="8" t="s">
        <v>173</v>
      </c>
      <c r="K994" s="8" t="s">
        <v>174</v>
      </c>
      <c r="L994" s="8" t="s">
        <v>557</v>
      </c>
      <c r="M994" s="1" t="s">
        <v>205</v>
      </c>
      <c r="N994" s="8" t="s">
        <v>206</v>
      </c>
      <c r="O994" s="6">
        <v>0</v>
      </c>
      <c r="P994" s="6">
        <v>0</v>
      </c>
      <c r="Q994" s="6">
        <v>0</v>
      </c>
      <c r="R994" s="6">
        <v>0</v>
      </c>
      <c r="S994" s="6">
        <v>0</v>
      </c>
    </row>
    <row r="995" spans="1:19" ht="15" hidden="1" x14ac:dyDescent="0.25">
      <c r="A995" s="7" t="s">
        <v>16</v>
      </c>
      <c r="B995" s="7" t="s">
        <v>21</v>
      </c>
      <c r="C995" s="7" t="s">
        <v>18</v>
      </c>
      <c r="D995" s="4">
        <v>12361267009140</v>
      </c>
      <c r="E995" s="8" t="s">
        <v>858</v>
      </c>
      <c r="F995" s="8" t="s">
        <v>859</v>
      </c>
      <c r="G995" s="8" t="s">
        <v>63</v>
      </c>
      <c r="H995" s="8" t="s">
        <v>215</v>
      </c>
      <c r="I995" s="3">
        <v>2</v>
      </c>
      <c r="J995" s="8" t="s">
        <v>199</v>
      </c>
      <c r="K995" s="8" t="s">
        <v>200</v>
      </c>
      <c r="L995" s="8" t="s">
        <v>556</v>
      </c>
      <c r="M995" s="1" t="s">
        <v>211</v>
      </c>
      <c r="N995" s="8" t="s">
        <v>212</v>
      </c>
      <c r="O995" s="6">
        <v>0</v>
      </c>
      <c r="P995" s="6">
        <v>0</v>
      </c>
      <c r="Q995" s="6">
        <v>0</v>
      </c>
      <c r="R995" s="6">
        <v>0</v>
      </c>
      <c r="S995" s="6">
        <v>5</v>
      </c>
    </row>
    <row r="996" spans="1:19" ht="15" hidden="1" x14ac:dyDescent="0.25">
      <c r="A996" s="7" t="s">
        <v>16</v>
      </c>
      <c r="B996" s="7" t="s">
        <v>21</v>
      </c>
      <c r="C996" s="7" t="s">
        <v>18</v>
      </c>
      <c r="D996" s="4">
        <v>12361267009140</v>
      </c>
      <c r="E996" s="8" t="s">
        <v>858</v>
      </c>
      <c r="F996" s="8" t="s">
        <v>859</v>
      </c>
      <c r="G996" s="8" t="s">
        <v>63</v>
      </c>
      <c r="H996" s="8" t="s">
        <v>215</v>
      </c>
      <c r="I996" s="3">
        <v>2</v>
      </c>
      <c r="J996" s="8" t="s">
        <v>169</v>
      </c>
      <c r="K996" s="8" t="s">
        <v>170</v>
      </c>
      <c r="L996" s="8" t="s">
        <v>557</v>
      </c>
      <c r="M996" s="1" t="s">
        <v>211</v>
      </c>
      <c r="N996" s="8" t="s">
        <v>212</v>
      </c>
      <c r="O996" s="6">
        <v>0</v>
      </c>
      <c r="P996" s="6">
        <v>0</v>
      </c>
      <c r="Q996" s="6">
        <v>0</v>
      </c>
      <c r="R996" s="6">
        <v>0</v>
      </c>
      <c r="S996" s="6">
        <v>5</v>
      </c>
    </row>
    <row r="997" spans="1:19" ht="15" hidden="1" x14ac:dyDescent="0.25">
      <c r="A997" s="7" t="s">
        <v>16</v>
      </c>
      <c r="B997" s="7" t="s">
        <v>21</v>
      </c>
      <c r="C997" s="7" t="s">
        <v>18</v>
      </c>
      <c r="D997" s="4">
        <v>8319329000121</v>
      </c>
      <c r="E997" s="8" t="s">
        <v>823</v>
      </c>
      <c r="F997" s="8" t="s">
        <v>62</v>
      </c>
      <c r="G997" s="8" t="s">
        <v>63</v>
      </c>
      <c r="H997" s="8" t="s">
        <v>215</v>
      </c>
      <c r="I997" s="3">
        <v>2</v>
      </c>
      <c r="J997" s="8" t="s">
        <v>199</v>
      </c>
      <c r="K997" s="8" t="s">
        <v>200</v>
      </c>
      <c r="L997" s="8" t="s">
        <v>556</v>
      </c>
      <c r="M997" s="1" t="s">
        <v>211</v>
      </c>
      <c r="N997" s="8" t="s">
        <v>212</v>
      </c>
      <c r="O997" s="6">
        <v>0</v>
      </c>
      <c r="P997" s="6">
        <v>0</v>
      </c>
      <c r="Q997" s="6">
        <v>0</v>
      </c>
      <c r="R997" s="6">
        <v>0</v>
      </c>
      <c r="S997" s="6">
        <v>0</v>
      </c>
    </row>
    <row r="998" spans="1:19" ht="15" hidden="1" x14ac:dyDescent="0.25">
      <c r="A998" s="7" t="s">
        <v>16</v>
      </c>
      <c r="B998" s="7" t="s">
        <v>21</v>
      </c>
      <c r="C998" s="7" t="s">
        <v>18</v>
      </c>
      <c r="D998" s="4">
        <v>8319329000121</v>
      </c>
      <c r="E998" s="8" t="s">
        <v>823</v>
      </c>
      <c r="F998" s="8" t="s">
        <v>62</v>
      </c>
      <c r="G998" s="8" t="s">
        <v>63</v>
      </c>
      <c r="H998" s="8" t="s">
        <v>215</v>
      </c>
      <c r="I998" s="3">
        <v>2</v>
      </c>
      <c r="J998" s="8" t="s">
        <v>169</v>
      </c>
      <c r="K998" s="8" t="s">
        <v>170</v>
      </c>
      <c r="L998" s="8" t="s">
        <v>557</v>
      </c>
      <c r="M998" s="1" t="s">
        <v>211</v>
      </c>
      <c r="N998" s="8" t="s">
        <v>212</v>
      </c>
      <c r="O998" s="6">
        <v>0</v>
      </c>
      <c r="P998" s="6">
        <v>26</v>
      </c>
      <c r="Q998" s="6">
        <v>0</v>
      </c>
      <c r="R998" s="6">
        <v>0</v>
      </c>
      <c r="S998" s="6">
        <v>0</v>
      </c>
    </row>
    <row r="999" spans="1:19" ht="15" hidden="1" x14ac:dyDescent="0.25">
      <c r="A999" s="7" t="s">
        <v>16</v>
      </c>
      <c r="B999" s="7" t="s">
        <v>21</v>
      </c>
      <c r="C999" s="7" t="s">
        <v>18</v>
      </c>
      <c r="D999" s="4">
        <v>13262578000168</v>
      </c>
      <c r="E999" s="8" t="s">
        <v>871</v>
      </c>
      <c r="F999" s="8" t="s">
        <v>62</v>
      </c>
      <c r="G999" s="8" t="s">
        <v>63</v>
      </c>
      <c r="H999" s="8" t="s">
        <v>215</v>
      </c>
      <c r="I999" s="3">
        <v>2</v>
      </c>
      <c r="J999" s="8" t="s">
        <v>199</v>
      </c>
      <c r="K999" s="8" t="s">
        <v>200</v>
      </c>
      <c r="L999" s="8" t="s">
        <v>556</v>
      </c>
      <c r="M999" s="1" t="s">
        <v>211</v>
      </c>
      <c r="N999" s="8" t="s">
        <v>212</v>
      </c>
      <c r="O999" s="6">
        <v>6</v>
      </c>
      <c r="P999" s="6">
        <v>0</v>
      </c>
      <c r="Q999" s="6">
        <v>0</v>
      </c>
      <c r="R999" s="6">
        <v>0</v>
      </c>
      <c r="S999" s="6">
        <v>0</v>
      </c>
    </row>
    <row r="1000" spans="1:19" ht="15" hidden="1" x14ac:dyDescent="0.25">
      <c r="A1000" s="7" t="s">
        <v>16</v>
      </c>
      <c r="B1000" s="7" t="s">
        <v>21</v>
      </c>
      <c r="C1000" s="7" t="s">
        <v>18</v>
      </c>
      <c r="D1000" s="4">
        <v>13262578000168</v>
      </c>
      <c r="E1000" s="8" t="s">
        <v>871</v>
      </c>
      <c r="F1000" s="8" t="s">
        <v>62</v>
      </c>
      <c r="G1000" s="8" t="s">
        <v>63</v>
      </c>
      <c r="H1000" s="8" t="s">
        <v>215</v>
      </c>
      <c r="I1000" s="3">
        <v>2</v>
      </c>
      <c r="J1000" s="8" t="s">
        <v>169</v>
      </c>
      <c r="K1000" s="8" t="s">
        <v>170</v>
      </c>
      <c r="L1000" s="8" t="s">
        <v>557</v>
      </c>
      <c r="M1000" s="1" t="s">
        <v>211</v>
      </c>
      <c r="N1000" s="8" t="s">
        <v>212</v>
      </c>
      <c r="O1000" s="6">
        <v>0</v>
      </c>
      <c r="P1000" s="6">
        <v>0</v>
      </c>
      <c r="Q1000" s="6">
        <v>0</v>
      </c>
      <c r="R1000" s="6">
        <v>0</v>
      </c>
      <c r="S1000" s="6">
        <v>0</v>
      </c>
    </row>
    <row r="1001" spans="1:19" ht="15" hidden="1" x14ac:dyDescent="0.25">
      <c r="A1001" s="7" t="s">
        <v>16</v>
      </c>
      <c r="B1001" s="7" t="s">
        <v>21</v>
      </c>
      <c r="C1001" s="7" t="s">
        <v>18</v>
      </c>
      <c r="D1001" s="4">
        <v>29435005009851</v>
      </c>
      <c r="E1001" s="8" t="s">
        <v>913</v>
      </c>
      <c r="F1001" s="8" t="s">
        <v>62</v>
      </c>
      <c r="G1001" s="8" t="s">
        <v>63</v>
      </c>
      <c r="H1001" s="8" t="s">
        <v>215</v>
      </c>
      <c r="I1001" s="3">
        <v>2</v>
      </c>
      <c r="J1001" s="8" t="s">
        <v>199</v>
      </c>
      <c r="K1001" s="8" t="s">
        <v>200</v>
      </c>
      <c r="L1001" s="8" t="s">
        <v>556</v>
      </c>
      <c r="M1001" s="1" t="s">
        <v>211</v>
      </c>
      <c r="N1001" s="8" t="s">
        <v>212</v>
      </c>
      <c r="O1001" s="6">
        <v>0</v>
      </c>
      <c r="P1001" s="6">
        <v>0</v>
      </c>
      <c r="Q1001" s="6">
        <v>0</v>
      </c>
      <c r="R1001" s="6">
        <v>0</v>
      </c>
      <c r="S1001" s="6">
        <v>200</v>
      </c>
    </row>
    <row r="1002" spans="1:19" ht="15" hidden="1" x14ac:dyDescent="0.25">
      <c r="A1002" s="7" t="s">
        <v>16</v>
      </c>
      <c r="B1002" s="7" t="s">
        <v>21</v>
      </c>
      <c r="C1002" s="7" t="s">
        <v>18</v>
      </c>
      <c r="D1002" s="4">
        <v>29435005009851</v>
      </c>
      <c r="E1002" s="8" t="s">
        <v>913</v>
      </c>
      <c r="F1002" s="8" t="s">
        <v>62</v>
      </c>
      <c r="G1002" s="8" t="s">
        <v>63</v>
      </c>
      <c r="H1002" s="8" t="s">
        <v>215</v>
      </c>
      <c r="I1002" s="3">
        <v>2</v>
      </c>
      <c r="J1002" s="8" t="s">
        <v>169</v>
      </c>
      <c r="K1002" s="8" t="s">
        <v>170</v>
      </c>
      <c r="L1002" s="8" t="s">
        <v>557</v>
      </c>
      <c r="M1002" s="1" t="s">
        <v>211</v>
      </c>
      <c r="N1002" s="8" t="s">
        <v>212</v>
      </c>
      <c r="O1002" s="6">
        <v>0</v>
      </c>
      <c r="P1002" s="6">
        <v>15</v>
      </c>
      <c r="Q1002" s="6">
        <v>0</v>
      </c>
      <c r="R1002" s="6">
        <v>0</v>
      </c>
      <c r="S1002" s="6">
        <v>200</v>
      </c>
    </row>
    <row r="1003" spans="1:19" ht="15" hidden="1" x14ac:dyDescent="0.25">
      <c r="A1003" s="7" t="s">
        <v>16</v>
      </c>
      <c r="B1003" s="7" t="s">
        <v>21</v>
      </c>
      <c r="C1003" s="7" t="s">
        <v>18</v>
      </c>
      <c r="D1003" s="4">
        <v>12361267009654</v>
      </c>
      <c r="E1003" s="8" t="s">
        <v>860</v>
      </c>
      <c r="F1003" s="8" t="s">
        <v>62</v>
      </c>
      <c r="G1003" s="8" t="s">
        <v>63</v>
      </c>
      <c r="H1003" s="8" t="s">
        <v>215</v>
      </c>
      <c r="I1003" s="3">
        <v>2</v>
      </c>
      <c r="J1003" s="8" t="s">
        <v>199</v>
      </c>
      <c r="K1003" s="8" t="s">
        <v>200</v>
      </c>
      <c r="L1003" s="8" t="s">
        <v>556</v>
      </c>
      <c r="M1003" s="1" t="s">
        <v>211</v>
      </c>
      <c r="N1003" s="8" t="s">
        <v>212</v>
      </c>
      <c r="O1003" s="6">
        <v>0</v>
      </c>
      <c r="P1003" s="6">
        <v>0</v>
      </c>
      <c r="Q1003" s="6">
        <v>0</v>
      </c>
      <c r="R1003" s="6">
        <v>0</v>
      </c>
      <c r="S1003" s="6">
        <v>125</v>
      </c>
    </row>
    <row r="1004" spans="1:19" ht="15" hidden="1" x14ac:dyDescent="0.25">
      <c r="A1004" s="7" t="s">
        <v>16</v>
      </c>
      <c r="B1004" s="7" t="s">
        <v>21</v>
      </c>
      <c r="C1004" s="7" t="s">
        <v>18</v>
      </c>
      <c r="D1004" s="4">
        <v>12361267009654</v>
      </c>
      <c r="E1004" s="8" t="s">
        <v>860</v>
      </c>
      <c r="F1004" s="8" t="s">
        <v>62</v>
      </c>
      <c r="G1004" s="8" t="s">
        <v>63</v>
      </c>
      <c r="H1004" s="8" t="s">
        <v>215</v>
      </c>
      <c r="I1004" s="3">
        <v>2</v>
      </c>
      <c r="J1004" s="8" t="s">
        <v>169</v>
      </c>
      <c r="K1004" s="8" t="s">
        <v>170</v>
      </c>
      <c r="L1004" s="8" t="s">
        <v>557</v>
      </c>
      <c r="M1004" s="1" t="s">
        <v>211</v>
      </c>
      <c r="N1004" s="8" t="s">
        <v>212</v>
      </c>
      <c r="O1004" s="6">
        <v>0</v>
      </c>
      <c r="P1004" s="6">
        <v>0</v>
      </c>
      <c r="Q1004" s="6">
        <v>0</v>
      </c>
      <c r="R1004" s="6">
        <v>0</v>
      </c>
      <c r="S1004" s="6">
        <v>125</v>
      </c>
    </row>
    <row r="1005" spans="1:19" ht="15" hidden="1" x14ac:dyDescent="0.25">
      <c r="A1005" s="7" t="s">
        <v>16</v>
      </c>
      <c r="B1005" s="7" t="s">
        <v>21</v>
      </c>
      <c r="C1005" s="7" t="s">
        <v>18</v>
      </c>
      <c r="D1005" s="4">
        <v>820737000150</v>
      </c>
      <c r="E1005" s="8" t="s">
        <v>757</v>
      </c>
      <c r="F1005" s="8" t="s">
        <v>62</v>
      </c>
      <c r="G1005" s="8" t="s">
        <v>63</v>
      </c>
      <c r="H1005" s="8" t="s">
        <v>215</v>
      </c>
      <c r="I1005" s="3">
        <v>2</v>
      </c>
      <c r="J1005" s="8" t="s">
        <v>199</v>
      </c>
      <c r="K1005" s="8" t="s">
        <v>200</v>
      </c>
      <c r="L1005" s="8" t="s">
        <v>556</v>
      </c>
      <c r="M1005" s="1" t="s">
        <v>211</v>
      </c>
      <c r="N1005" s="8" t="s">
        <v>212</v>
      </c>
      <c r="O1005" s="6">
        <v>0</v>
      </c>
      <c r="P1005" s="6">
        <v>0</v>
      </c>
      <c r="Q1005" s="6">
        <v>0</v>
      </c>
      <c r="R1005" s="6">
        <v>0</v>
      </c>
      <c r="S1005" s="6">
        <v>0</v>
      </c>
    </row>
    <row r="1006" spans="1:19" ht="15" hidden="1" x14ac:dyDescent="0.25">
      <c r="A1006" s="7" t="s">
        <v>16</v>
      </c>
      <c r="B1006" s="7" t="s">
        <v>21</v>
      </c>
      <c r="C1006" s="7" t="s">
        <v>18</v>
      </c>
      <c r="D1006" s="4">
        <v>820737000150</v>
      </c>
      <c r="E1006" s="8" t="s">
        <v>757</v>
      </c>
      <c r="F1006" s="8" t="s">
        <v>62</v>
      </c>
      <c r="G1006" s="8" t="s">
        <v>63</v>
      </c>
      <c r="H1006" s="8" t="s">
        <v>215</v>
      </c>
      <c r="I1006" s="3">
        <v>2</v>
      </c>
      <c r="J1006" s="8" t="s">
        <v>169</v>
      </c>
      <c r="K1006" s="8" t="s">
        <v>170</v>
      </c>
      <c r="L1006" s="8" t="s">
        <v>557</v>
      </c>
      <c r="M1006" s="1" t="s">
        <v>211</v>
      </c>
      <c r="N1006" s="8" t="s">
        <v>212</v>
      </c>
      <c r="O1006" s="6">
        <v>0</v>
      </c>
      <c r="P1006" s="6">
        <v>173</v>
      </c>
      <c r="Q1006" s="6">
        <v>0</v>
      </c>
      <c r="R1006" s="6">
        <v>0</v>
      </c>
      <c r="S1006" s="6">
        <v>0</v>
      </c>
    </row>
    <row r="1007" spans="1:19" ht="15" hidden="1" x14ac:dyDescent="0.25">
      <c r="A1007" s="7" t="s">
        <v>16</v>
      </c>
      <c r="B1007" s="7" t="s">
        <v>21</v>
      </c>
      <c r="C1007" s="7" t="s">
        <v>18</v>
      </c>
      <c r="D1007" s="4">
        <v>2109397000180</v>
      </c>
      <c r="E1007" s="8" t="s">
        <v>773</v>
      </c>
      <c r="F1007" s="8" t="s">
        <v>62</v>
      </c>
      <c r="G1007" s="8" t="s">
        <v>63</v>
      </c>
      <c r="H1007" s="8" t="s">
        <v>215</v>
      </c>
      <c r="I1007" s="3">
        <v>2</v>
      </c>
      <c r="J1007" s="8" t="s">
        <v>199</v>
      </c>
      <c r="K1007" s="8" t="s">
        <v>200</v>
      </c>
      <c r="L1007" s="8" t="s">
        <v>556</v>
      </c>
      <c r="M1007" s="1" t="s">
        <v>211</v>
      </c>
      <c r="N1007" s="8" t="s">
        <v>212</v>
      </c>
      <c r="O1007" s="6">
        <v>0</v>
      </c>
      <c r="P1007" s="6">
        <v>0</v>
      </c>
      <c r="Q1007" s="6">
        <v>0</v>
      </c>
      <c r="R1007" s="6">
        <v>0</v>
      </c>
      <c r="S1007" s="6">
        <v>0</v>
      </c>
    </row>
    <row r="1008" spans="1:19" ht="15" hidden="1" x14ac:dyDescent="0.25">
      <c r="A1008" s="7" t="s">
        <v>16</v>
      </c>
      <c r="B1008" s="7" t="s">
        <v>21</v>
      </c>
      <c r="C1008" s="7" t="s">
        <v>18</v>
      </c>
      <c r="D1008" s="4">
        <v>2109397000180</v>
      </c>
      <c r="E1008" s="8" t="s">
        <v>773</v>
      </c>
      <c r="F1008" s="8" t="s">
        <v>62</v>
      </c>
      <c r="G1008" s="8" t="s">
        <v>63</v>
      </c>
      <c r="H1008" s="8" t="s">
        <v>215</v>
      </c>
      <c r="I1008" s="3">
        <v>2</v>
      </c>
      <c r="J1008" s="8" t="s">
        <v>169</v>
      </c>
      <c r="K1008" s="8" t="s">
        <v>170</v>
      </c>
      <c r="L1008" s="8" t="s">
        <v>557</v>
      </c>
      <c r="M1008" s="1" t="s">
        <v>211</v>
      </c>
      <c r="N1008" s="8" t="s">
        <v>212</v>
      </c>
      <c r="O1008" s="6">
        <v>0</v>
      </c>
      <c r="P1008" s="6">
        <v>30</v>
      </c>
      <c r="Q1008" s="6">
        <v>0</v>
      </c>
      <c r="R1008" s="6">
        <v>0</v>
      </c>
      <c r="S1008" s="6">
        <v>0</v>
      </c>
    </row>
    <row r="1009" spans="1:19" ht="15" hidden="1" x14ac:dyDescent="0.25">
      <c r="A1009" s="7" t="s">
        <v>16</v>
      </c>
      <c r="B1009" s="7" t="s">
        <v>21</v>
      </c>
      <c r="C1009" s="7" t="s">
        <v>18</v>
      </c>
      <c r="D1009" s="4">
        <v>8380701001772</v>
      </c>
      <c r="E1009" s="8" t="s">
        <v>826</v>
      </c>
      <c r="F1009" s="8" t="s">
        <v>62</v>
      </c>
      <c r="G1009" s="8" t="s">
        <v>63</v>
      </c>
      <c r="H1009" s="8" t="s">
        <v>215</v>
      </c>
      <c r="I1009" s="3">
        <v>2</v>
      </c>
      <c r="J1009" s="8" t="s">
        <v>199</v>
      </c>
      <c r="K1009" s="8" t="s">
        <v>200</v>
      </c>
      <c r="L1009" s="8" t="s">
        <v>556</v>
      </c>
      <c r="M1009" s="1" t="s">
        <v>211</v>
      </c>
      <c r="N1009" s="8" t="s">
        <v>212</v>
      </c>
      <c r="O1009" s="6">
        <v>0</v>
      </c>
      <c r="P1009" s="6">
        <v>0</v>
      </c>
      <c r="Q1009" s="6">
        <v>0</v>
      </c>
      <c r="R1009" s="6">
        <v>0</v>
      </c>
      <c r="S1009" s="6">
        <v>0</v>
      </c>
    </row>
    <row r="1010" spans="1:19" ht="15" hidden="1" x14ac:dyDescent="0.25">
      <c r="A1010" s="7" t="s">
        <v>16</v>
      </c>
      <c r="B1010" s="7" t="s">
        <v>21</v>
      </c>
      <c r="C1010" s="7" t="s">
        <v>18</v>
      </c>
      <c r="D1010" s="4">
        <v>8380701001772</v>
      </c>
      <c r="E1010" s="8" t="s">
        <v>826</v>
      </c>
      <c r="F1010" s="8" t="s">
        <v>62</v>
      </c>
      <c r="G1010" s="8" t="s">
        <v>63</v>
      </c>
      <c r="H1010" s="8" t="s">
        <v>215</v>
      </c>
      <c r="I1010" s="3">
        <v>2</v>
      </c>
      <c r="J1010" s="8" t="s">
        <v>169</v>
      </c>
      <c r="K1010" s="8" t="s">
        <v>170</v>
      </c>
      <c r="L1010" s="8" t="s">
        <v>557</v>
      </c>
      <c r="M1010" s="1" t="s">
        <v>211</v>
      </c>
      <c r="N1010" s="8" t="s">
        <v>212</v>
      </c>
      <c r="O1010" s="6">
        <v>0</v>
      </c>
      <c r="P1010" s="6">
        <v>50</v>
      </c>
      <c r="Q1010" s="6">
        <v>0</v>
      </c>
      <c r="R1010" s="6">
        <v>0</v>
      </c>
      <c r="S1010" s="6">
        <v>0</v>
      </c>
    </row>
    <row r="1011" spans="1:19" ht="15" hidden="1" x14ac:dyDescent="0.25">
      <c r="A1011" s="7" t="s">
        <v>16</v>
      </c>
      <c r="B1011" s="7" t="s">
        <v>21</v>
      </c>
      <c r="C1011" s="7" t="s">
        <v>18</v>
      </c>
      <c r="D1011" s="4">
        <v>87547444000120</v>
      </c>
      <c r="E1011" s="8" t="s">
        <v>1017</v>
      </c>
      <c r="F1011" s="8" t="s">
        <v>1018</v>
      </c>
      <c r="G1011" s="8" t="s">
        <v>67</v>
      </c>
      <c r="H1011" s="8" t="s">
        <v>215</v>
      </c>
      <c r="I1011" s="3">
        <v>2</v>
      </c>
      <c r="J1011" s="8" t="s">
        <v>175</v>
      </c>
      <c r="K1011" s="8" t="s">
        <v>176</v>
      </c>
      <c r="L1011" s="8" t="s">
        <v>556</v>
      </c>
      <c r="M1011" s="1" t="s">
        <v>205</v>
      </c>
      <c r="N1011" s="8" t="s">
        <v>206</v>
      </c>
      <c r="O1011" s="6">
        <v>0</v>
      </c>
      <c r="P1011" s="6">
        <v>0</v>
      </c>
      <c r="Q1011" s="6">
        <v>0</v>
      </c>
      <c r="R1011" s="6">
        <v>0</v>
      </c>
      <c r="S1011" s="6">
        <v>0</v>
      </c>
    </row>
    <row r="1012" spans="1:19" ht="15" hidden="1" x14ac:dyDescent="0.25">
      <c r="A1012" s="7" t="s">
        <v>16</v>
      </c>
      <c r="B1012" s="7" t="s">
        <v>21</v>
      </c>
      <c r="C1012" s="7" t="s">
        <v>18</v>
      </c>
      <c r="D1012" s="4">
        <v>87547444000120</v>
      </c>
      <c r="E1012" s="8" t="s">
        <v>1017</v>
      </c>
      <c r="F1012" s="8" t="s">
        <v>1018</v>
      </c>
      <c r="G1012" s="8" t="s">
        <v>67</v>
      </c>
      <c r="H1012" s="8" t="s">
        <v>215</v>
      </c>
      <c r="I1012" s="3">
        <v>2</v>
      </c>
      <c r="J1012" s="8" t="s">
        <v>144</v>
      </c>
      <c r="K1012" s="8" t="s">
        <v>145</v>
      </c>
      <c r="L1012" s="8" t="s">
        <v>557</v>
      </c>
      <c r="M1012" s="1" t="s">
        <v>205</v>
      </c>
      <c r="N1012" s="8" t="s">
        <v>206</v>
      </c>
      <c r="O1012" s="6">
        <v>0</v>
      </c>
      <c r="P1012" s="6">
        <v>5</v>
      </c>
      <c r="Q1012" s="6">
        <v>0</v>
      </c>
      <c r="R1012" s="6">
        <v>0</v>
      </c>
      <c r="S1012" s="6">
        <v>0</v>
      </c>
    </row>
    <row r="1013" spans="1:19" ht="15" hidden="1" x14ac:dyDescent="0.25">
      <c r="A1013" s="7" t="s">
        <v>16</v>
      </c>
      <c r="B1013" s="7" t="s">
        <v>21</v>
      </c>
      <c r="C1013" s="7" t="s">
        <v>18</v>
      </c>
      <c r="D1013" s="4">
        <v>9549061000268</v>
      </c>
      <c r="E1013" s="8" t="s">
        <v>959</v>
      </c>
      <c r="F1013" s="8" t="s">
        <v>100</v>
      </c>
      <c r="G1013" s="8" t="s">
        <v>67</v>
      </c>
      <c r="H1013" s="8" t="s">
        <v>215</v>
      </c>
      <c r="I1013" s="3">
        <v>2</v>
      </c>
      <c r="J1013" s="8" t="s">
        <v>175</v>
      </c>
      <c r="K1013" s="8" t="s">
        <v>176</v>
      </c>
      <c r="L1013" s="8" t="s">
        <v>556</v>
      </c>
      <c r="M1013" s="1" t="s">
        <v>205</v>
      </c>
      <c r="N1013" s="8" t="s">
        <v>206</v>
      </c>
      <c r="O1013" s="6">
        <v>0</v>
      </c>
      <c r="P1013" s="6">
        <v>0</v>
      </c>
      <c r="Q1013" s="6">
        <v>0</v>
      </c>
      <c r="R1013" s="6">
        <v>0</v>
      </c>
      <c r="S1013" s="6">
        <v>0</v>
      </c>
    </row>
    <row r="1014" spans="1:19" ht="15" hidden="1" x14ac:dyDescent="0.25">
      <c r="A1014" s="7" t="s">
        <v>16</v>
      </c>
      <c r="B1014" s="7" t="s">
        <v>21</v>
      </c>
      <c r="C1014" s="7" t="s">
        <v>18</v>
      </c>
      <c r="D1014" s="4">
        <v>9549061000268</v>
      </c>
      <c r="E1014" s="8" t="s">
        <v>959</v>
      </c>
      <c r="F1014" s="8" t="s">
        <v>100</v>
      </c>
      <c r="G1014" s="8" t="s">
        <v>67</v>
      </c>
      <c r="H1014" s="8" t="s">
        <v>215</v>
      </c>
      <c r="I1014" s="3">
        <v>2</v>
      </c>
      <c r="J1014" s="8" t="s">
        <v>144</v>
      </c>
      <c r="K1014" s="8" t="s">
        <v>145</v>
      </c>
      <c r="L1014" s="8" t="s">
        <v>557</v>
      </c>
      <c r="M1014" s="1" t="s">
        <v>205</v>
      </c>
      <c r="N1014" s="8" t="s">
        <v>206</v>
      </c>
      <c r="O1014" s="6">
        <v>0</v>
      </c>
      <c r="P1014" s="6">
        <v>3</v>
      </c>
      <c r="Q1014" s="6">
        <v>0</v>
      </c>
      <c r="R1014" s="6">
        <v>0</v>
      </c>
      <c r="S1014" s="6">
        <v>0</v>
      </c>
    </row>
    <row r="1015" spans="1:19" ht="15" hidden="1" x14ac:dyDescent="0.25">
      <c r="A1015" s="7" t="s">
        <v>16</v>
      </c>
      <c r="B1015" s="7" t="s">
        <v>21</v>
      </c>
      <c r="C1015" s="7" t="s">
        <v>18</v>
      </c>
      <c r="D1015" s="4">
        <v>88645403001372</v>
      </c>
      <c r="E1015" s="8" t="s">
        <v>1025</v>
      </c>
      <c r="F1015" s="8" t="s">
        <v>66</v>
      </c>
      <c r="G1015" s="8" t="s">
        <v>67</v>
      </c>
      <c r="H1015" s="8" t="s">
        <v>215</v>
      </c>
      <c r="I1015" s="3">
        <v>2</v>
      </c>
      <c r="J1015" s="8" t="s">
        <v>175</v>
      </c>
      <c r="K1015" s="8" t="s">
        <v>176</v>
      </c>
      <c r="L1015" s="8" t="s">
        <v>556</v>
      </c>
      <c r="M1015" s="1" t="s">
        <v>205</v>
      </c>
      <c r="N1015" s="8" t="s">
        <v>206</v>
      </c>
      <c r="O1015" s="6">
        <v>0</v>
      </c>
      <c r="P1015" s="6">
        <v>0</v>
      </c>
      <c r="Q1015" s="6">
        <v>0</v>
      </c>
      <c r="R1015" s="6">
        <v>32</v>
      </c>
      <c r="S1015" s="6">
        <v>0</v>
      </c>
    </row>
    <row r="1016" spans="1:19" ht="15" hidden="1" x14ac:dyDescent="0.25">
      <c r="A1016" s="7" t="s">
        <v>16</v>
      </c>
      <c r="B1016" s="7" t="s">
        <v>21</v>
      </c>
      <c r="C1016" s="7" t="s">
        <v>18</v>
      </c>
      <c r="D1016" s="4">
        <v>88645403001372</v>
      </c>
      <c r="E1016" s="8" t="s">
        <v>1025</v>
      </c>
      <c r="F1016" s="8" t="s">
        <v>66</v>
      </c>
      <c r="G1016" s="8" t="s">
        <v>67</v>
      </c>
      <c r="H1016" s="8" t="s">
        <v>215</v>
      </c>
      <c r="I1016" s="3">
        <v>2</v>
      </c>
      <c r="J1016" s="8" t="s">
        <v>144</v>
      </c>
      <c r="K1016" s="8" t="s">
        <v>145</v>
      </c>
      <c r="L1016" s="8" t="s">
        <v>557</v>
      </c>
      <c r="M1016" s="1" t="s">
        <v>205</v>
      </c>
      <c r="N1016" s="8" t="s">
        <v>206</v>
      </c>
      <c r="O1016" s="6">
        <v>0</v>
      </c>
      <c r="P1016" s="6">
        <v>0</v>
      </c>
      <c r="Q1016" s="6">
        <v>0</v>
      </c>
      <c r="R1016" s="6">
        <v>0</v>
      </c>
      <c r="S1016" s="6">
        <v>0</v>
      </c>
    </row>
    <row r="1017" spans="1:19" ht="15" hidden="1" x14ac:dyDescent="0.25">
      <c r="A1017" s="7" t="s">
        <v>16</v>
      </c>
      <c r="B1017" s="7" t="s">
        <v>21</v>
      </c>
      <c r="C1017" s="7" t="s">
        <v>18</v>
      </c>
      <c r="D1017" s="4">
        <v>87827689002405</v>
      </c>
      <c r="E1017" s="8" t="s">
        <v>1021</v>
      </c>
      <c r="F1017" s="8" t="s">
        <v>66</v>
      </c>
      <c r="G1017" s="8" t="s">
        <v>67</v>
      </c>
      <c r="H1017" s="8" t="s">
        <v>215</v>
      </c>
      <c r="I1017" s="3">
        <v>2</v>
      </c>
      <c r="J1017" s="8" t="s">
        <v>175</v>
      </c>
      <c r="K1017" s="8" t="s">
        <v>176</v>
      </c>
      <c r="L1017" s="8" t="s">
        <v>556</v>
      </c>
      <c r="M1017" s="1" t="s">
        <v>205</v>
      </c>
      <c r="N1017" s="8" t="s">
        <v>206</v>
      </c>
      <c r="O1017" s="6">
        <v>0</v>
      </c>
      <c r="P1017" s="6">
        <v>0</v>
      </c>
      <c r="Q1017" s="6">
        <v>0</v>
      </c>
      <c r="R1017" s="6">
        <v>274</v>
      </c>
      <c r="S1017" s="6">
        <v>90</v>
      </c>
    </row>
    <row r="1018" spans="1:19" ht="15" hidden="1" x14ac:dyDescent="0.25">
      <c r="A1018" s="7" t="s">
        <v>16</v>
      </c>
      <c r="B1018" s="7" t="s">
        <v>21</v>
      </c>
      <c r="C1018" s="7" t="s">
        <v>18</v>
      </c>
      <c r="D1018" s="4">
        <v>87827689002405</v>
      </c>
      <c r="E1018" s="8" t="s">
        <v>1021</v>
      </c>
      <c r="F1018" s="8" t="s">
        <v>66</v>
      </c>
      <c r="G1018" s="8" t="s">
        <v>67</v>
      </c>
      <c r="H1018" s="8" t="s">
        <v>215</v>
      </c>
      <c r="I1018" s="3">
        <v>2</v>
      </c>
      <c r="J1018" s="8" t="s">
        <v>144</v>
      </c>
      <c r="K1018" s="8" t="s">
        <v>145</v>
      </c>
      <c r="L1018" s="8" t="s">
        <v>557</v>
      </c>
      <c r="M1018" s="1" t="s">
        <v>205</v>
      </c>
      <c r="N1018" s="8" t="s">
        <v>206</v>
      </c>
      <c r="O1018" s="6">
        <v>0</v>
      </c>
      <c r="P1018" s="6">
        <v>0</v>
      </c>
      <c r="Q1018" s="6">
        <v>0</v>
      </c>
      <c r="R1018" s="6">
        <v>0</v>
      </c>
      <c r="S1018" s="6">
        <v>90</v>
      </c>
    </row>
    <row r="1019" spans="1:19" ht="15" hidden="1" x14ac:dyDescent="0.25">
      <c r="A1019" s="7" t="s">
        <v>16</v>
      </c>
      <c r="B1019" s="7" t="s">
        <v>21</v>
      </c>
      <c r="C1019" s="7" t="s">
        <v>18</v>
      </c>
      <c r="D1019" s="4">
        <v>88830609000139</v>
      </c>
      <c r="E1019" s="8" t="s">
        <v>1026</v>
      </c>
      <c r="F1019" s="8" t="s">
        <v>66</v>
      </c>
      <c r="G1019" s="8" t="s">
        <v>67</v>
      </c>
      <c r="H1019" s="8" t="s">
        <v>215</v>
      </c>
      <c r="I1019" s="3">
        <v>2</v>
      </c>
      <c r="J1019" s="8" t="s">
        <v>175</v>
      </c>
      <c r="K1019" s="8" t="s">
        <v>176</v>
      </c>
      <c r="L1019" s="8" t="s">
        <v>556</v>
      </c>
      <c r="M1019" s="1" t="s">
        <v>205</v>
      </c>
      <c r="N1019" s="8" t="s">
        <v>206</v>
      </c>
      <c r="O1019" s="6">
        <v>0</v>
      </c>
      <c r="P1019" s="6">
        <v>0</v>
      </c>
      <c r="Q1019" s="6">
        <v>0</v>
      </c>
      <c r="R1019" s="6">
        <v>0</v>
      </c>
      <c r="S1019" s="6">
        <v>140</v>
      </c>
    </row>
    <row r="1020" spans="1:19" ht="15" hidden="1" x14ac:dyDescent="0.25">
      <c r="A1020" s="7" t="s">
        <v>16</v>
      </c>
      <c r="B1020" s="7" t="s">
        <v>21</v>
      </c>
      <c r="C1020" s="7" t="s">
        <v>18</v>
      </c>
      <c r="D1020" s="4">
        <v>88830609000139</v>
      </c>
      <c r="E1020" s="8" t="s">
        <v>1026</v>
      </c>
      <c r="F1020" s="8" t="s">
        <v>66</v>
      </c>
      <c r="G1020" s="8" t="s">
        <v>67</v>
      </c>
      <c r="H1020" s="8" t="s">
        <v>215</v>
      </c>
      <c r="I1020" s="3">
        <v>2</v>
      </c>
      <c r="J1020" s="8" t="s">
        <v>144</v>
      </c>
      <c r="K1020" s="8" t="s">
        <v>145</v>
      </c>
      <c r="L1020" s="8" t="s">
        <v>557</v>
      </c>
      <c r="M1020" s="1" t="s">
        <v>205</v>
      </c>
      <c r="N1020" s="8" t="s">
        <v>206</v>
      </c>
      <c r="O1020" s="6">
        <v>0</v>
      </c>
      <c r="P1020" s="6">
        <v>0</v>
      </c>
      <c r="Q1020" s="6">
        <v>0</v>
      </c>
      <c r="R1020" s="6">
        <v>0</v>
      </c>
      <c r="S1020" s="6">
        <v>140</v>
      </c>
    </row>
    <row r="1021" spans="1:19" ht="15" hidden="1" x14ac:dyDescent="0.25">
      <c r="A1021" s="7" t="s">
        <v>16</v>
      </c>
      <c r="B1021" s="7" t="s">
        <v>21</v>
      </c>
      <c r="C1021" s="7" t="s">
        <v>18</v>
      </c>
      <c r="D1021" s="4">
        <v>87638334000505</v>
      </c>
      <c r="E1021" s="8" t="s">
        <v>1020</v>
      </c>
      <c r="F1021" s="8" t="s">
        <v>129</v>
      </c>
      <c r="G1021" s="8" t="s">
        <v>67</v>
      </c>
      <c r="H1021" s="8" t="s">
        <v>215</v>
      </c>
      <c r="I1021" s="3">
        <v>2</v>
      </c>
      <c r="J1021" s="8" t="s">
        <v>175</v>
      </c>
      <c r="K1021" s="8" t="s">
        <v>176</v>
      </c>
      <c r="L1021" s="8" t="s">
        <v>556</v>
      </c>
      <c r="M1021" s="1" t="s">
        <v>205</v>
      </c>
      <c r="N1021" s="8" t="s">
        <v>206</v>
      </c>
      <c r="O1021" s="6">
        <v>0</v>
      </c>
      <c r="P1021" s="6">
        <v>0</v>
      </c>
      <c r="Q1021" s="6">
        <v>0</v>
      </c>
      <c r="R1021" s="6">
        <v>0</v>
      </c>
      <c r="S1021" s="6">
        <v>10</v>
      </c>
    </row>
    <row r="1022" spans="1:19" ht="15" hidden="1" x14ac:dyDescent="0.25">
      <c r="A1022" s="7" t="s">
        <v>16</v>
      </c>
      <c r="B1022" s="7" t="s">
        <v>21</v>
      </c>
      <c r="C1022" s="7" t="s">
        <v>18</v>
      </c>
      <c r="D1022" s="4">
        <v>87638334000505</v>
      </c>
      <c r="E1022" s="8" t="s">
        <v>1020</v>
      </c>
      <c r="F1022" s="8" t="s">
        <v>129</v>
      </c>
      <c r="G1022" s="8" t="s">
        <v>67</v>
      </c>
      <c r="H1022" s="8" t="s">
        <v>215</v>
      </c>
      <c r="I1022" s="3">
        <v>2</v>
      </c>
      <c r="J1022" s="8" t="s">
        <v>144</v>
      </c>
      <c r="K1022" s="8" t="s">
        <v>145</v>
      </c>
      <c r="L1022" s="8" t="s">
        <v>557</v>
      </c>
      <c r="M1022" s="1" t="s">
        <v>205</v>
      </c>
      <c r="N1022" s="8" t="s">
        <v>206</v>
      </c>
      <c r="O1022" s="6">
        <v>0</v>
      </c>
      <c r="P1022" s="6">
        <v>0</v>
      </c>
      <c r="Q1022" s="6">
        <v>0</v>
      </c>
      <c r="R1022" s="6">
        <v>0</v>
      </c>
      <c r="S1022" s="6">
        <v>10</v>
      </c>
    </row>
    <row r="1023" spans="1:19" ht="15" hidden="1" x14ac:dyDescent="0.25">
      <c r="A1023" s="7" t="s">
        <v>16</v>
      </c>
      <c r="B1023" s="7" t="s">
        <v>21</v>
      </c>
      <c r="C1023" s="7" t="s">
        <v>18</v>
      </c>
      <c r="D1023" s="4">
        <v>92404789000164</v>
      </c>
      <c r="E1023" s="8" t="s">
        <v>1028</v>
      </c>
      <c r="F1023" s="8" t="s">
        <v>106</v>
      </c>
      <c r="G1023" s="8" t="s">
        <v>67</v>
      </c>
      <c r="H1023" s="8" t="s">
        <v>215</v>
      </c>
      <c r="I1023" s="3">
        <v>2</v>
      </c>
      <c r="J1023" s="8" t="s">
        <v>175</v>
      </c>
      <c r="K1023" s="8" t="s">
        <v>176</v>
      </c>
      <c r="L1023" s="8" t="s">
        <v>556</v>
      </c>
      <c r="M1023" s="1" t="s">
        <v>205</v>
      </c>
      <c r="N1023" s="8" t="s">
        <v>206</v>
      </c>
      <c r="O1023" s="6">
        <v>0</v>
      </c>
      <c r="P1023" s="6">
        <v>0</v>
      </c>
      <c r="Q1023" s="6">
        <v>0</v>
      </c>
      <c r="R1023" s="6">
        <v>8</v>
      </c>
      <c r="S1023" s="6">
        <v>0</v>
      </c>
    </row>
    <row r="1024" spans="1:19" ht="15" hidden="1" x14ac:dyDescent="0.25">
      <c r="A1024" s="7" t="s">
        <v>16</v>
      </c>
      <c r="B1024" s="7" t="s">
        <v>21</v>
      </c>
      <c r="C1024" s="7" t="s">
        <v>18</v>
      </c>
      <c r="D1024" s="4">
        <v>92404789000164</v>
      </c>
      <c r="E1024" s="8" t="s">
        <v>1028</v>
      </c>
      <c r="F1024" s="8" t="s">
        <v>106</v>
      </c>
      <c r="G1024" s="8" t="s">
        <v>67</v>
      </c>
      <c r="H1024" s="8" t="s">
        <v>215</v>
      </c>
      <c r="I1024" s="3">
        <v>2</v>
      </c>
      <c r="J1024" s="8" t="s">
        <v>144</v>
      </c>
      <c r="K1024" s="8" t="s">
        <v>145</v>
      </c>
      <c r="L1024" s="8" t="s">
        <v>557</v>
      </c>
      <c r="M1024" s="1" t="s">
        <v>205</v>
      </c>
      <c r="N1024" s="8" t="s">
        <v>206</v>
      </c>
      <c r="O1024" s="6">
        <v>0</v>
      </c>
      <c r="P1024" s="6">
        <v>0</v>
      </c>
      <c r="Q1024" s="6">
        <v>0</v>
      </c>
      <c r="R1024" s="6">
        <v>0</v>
      </c>
      <c r="S1024" s="6">
        <v>0</v>
      </c>
    </row>
    <row r="1025" spans="1:19" ht="15" hidden="1" x14ac:dyDescent="0.25">
      <c r="A1025" s="7" t="s">
        <v>16</v>
      </c>
      <c r="B1025" s="7" t="s">
        <v>21</v>
      </c>
      <c r="C1025" s="7" t="s">
        <v>18</v>
      </c>
      <c r="D1025" s="4">
        <v>29908956000178</v>
      </c>
      <c r="E1025" s="8" t="s">
        <v>975</v>
      </c>
      <c r="F1025" s="8" t="s">
        <v>104</v>
      </c>
      <c r="G1025" s="8" t="s">
        <v>67</v>
      </c>
      <c r="H1025" s="8" t="s">
        <v>215</v>
      </c>
      <c r="I1025" s="3">
        <v>2</v>
      </c>
      <c r="J1025" s="8" t="s">
        <v>175</v>
      </c>
      <c r="K1025" s="8" t="s">
        <v>176</v>
      </c>
      <c r="L1025" s="8" t="s">
        <v>556</v>
      </c>
      <c r="M1025" s="1" t="s">
        <v>205</v>
      </c>
      <c r="N1025" s="8" t="s">
        <v>206</v>
      </c>
      <c r="O1025" s="6">
        <v>4</v>
      </c>
      <c r="P1025" s="6">
        <v>0</v>
      </c>
      <c r="Q1025" s="6">
        <v>0</v>
      </c>
      <c r="R1025" s="6">
        <v>0</v>
      </c>
      <c r="S1025" s="6">
        <v>0</v>
      </c>
    </row>
    <row r="1026" spans="1:19" ht="15" hidden="1" x14ac:dyDescent="0.25">
      <c r="A1026" s="7" t="s">
        <v>16</v>
      </c>
      <c r="B1026" s="7" t="s">
        <v>21</v>
      </c>
      <c r="C1026" s="7" t="s">
        <v>18</v>
      </c>
      <c r="D1026" s="4">
        <v>29908956000178</v>
      </c>
      <c r="E1026" s="8" t="s">
        <v>975</v>
      </c>
      <c r="F1026" s="8" t="s">
        <v>104</v>
      </c>
      <c r="G1026" s="8" t="s">
        <v>67</v>
      </c>
      <c r="H1026" s="8" t="s">
        <v>215</v>
      </c>
      <c r="I1026" s="3">
        <v>2</v>
      </c>
      <c r="J1026" s="8" t="s">
        <v>144</v>
      </c>
      <c r="K1026" s="8" t="s">
        <v>145</v>
      </c>
      <c r="L1026" s="8" t="s">
        <v>557</v>
      </c>
      <c r="M1026" s="1" t="s">
        <v>205</v>
      </c>
      <c r="N1026" s="8" t="s">
        <v>206</v>
      </c>
      <c r="O1026" s="6">
        <v>0</v>
      </c>
      <c r="P1026" s="6">
        <v>0</v>
      </c>
      <c r="Q1026" s="6">
        <v>0</v>
      </c>
      <c r="R1026" s="6">
        <v>0</v>
      </c>
      <c r="S1026" s="6">
        <v>0</v>
      </c>
    </row>
    <row r="1027" spans="1:19" ht="15" hidden="1" x14ac:dyDescent="0.25">
      <c r="A1027" s="7" t="s">
        <v>16</v>
      </c>
      <c r="B1027" s="7" t="s">
        <v>21</v>
      </c>
      <c r="C1027" s="7" t="s">
        <v>18</v>
      </c>
      <c r="D1027" s="4">
        <v>11055682000156</v>
      </c>
      <c r="E1027" s="8" t="s">
        <v>963</v>
      </c>
      <c r="F1027" s="8" t="s">
        <v>124</v>
      </c>
      <c r="G1027" s="8" t="s">
        <v>67</v>
      </c>
      <c r="H1027" s="8" t="s">
        <v>215</v>
      </c>
      <c r="I1027" s="3">
        <v>2</v>
      </c>
      <c r="J1027" s="8" t="s">
        <v>175</v>
      </c>
      <c r="K1027" s="8" t="s">
        <v>176</v>
      </c>
      <c r="L1027" s="8" t="s">
        <v>556</v>
      </c>
      <c r="M1027" s="1" t="s">
        <v>205</v>
      </c>
      <c r="N1027" s="8" t="s">
        <v>206</v>
      </c>
      <c r="O1027" s="6">
        <v>0</v>
      </c>
      <c r="P1027" s="6">
        <v>0</v>
      </c>
      <c r="Q1027" s="6">
        <v>0</v>
      </c>
      <c r="R1027" s="6">
        <v>0</v>
      </c>
      <c r="S1027" s="6">
        <v>225</v>
      </c>
    </row>
    <row r="1028" spans="1:19" ht="15" hidden="1" x14ac:dyDescent="0.25">
      <c r="A1028" s="7" t="s">
        <v>16</v>
      </c>
      <c r="B1028" s="7" t="s">
        <v>21</v>
      </c>
      <c r="C1028" s="7" t="s">
        <v>18</v>
      </c>
      <c r="D1028" s="4">
        <v>11055682000156</v>
      </c>
      <c r="E1028" s="8" t="s">
        <v>963</v>
      </c>
      <c r="F1028" s="8" t="s">
        <v>124</v>
      </c>
      <c r="G1028" s="8" t="s">
        <v>67</v>
      </c>
      <c r="H1028" s="8" t="s">
        <v>215</v>
      </c>
      <c r="I1028" s="3">
        <v>2</v>
      </c>
      <c r="J1028" s="8" t="s">
        <v>144</v>
      </c>
      <c r="K1028" s="8" t="s">
        <v>145</v>
      </c>
      <c r="L1028" s="8" t="s">
        <v>557</v>
      </c>
      <c r="M1028" s="1" t="s">
        <v>205</v>
      </c>
      <c r="N1028" s="8" t="s">
        <v>206</v>
      </c>
      <c r="O1028" s="6">
        <v>0</v>
      </c>
      <c r="P1028" s="6">
        <v>0</v>
      </c>
      <c r="Q1028" s="6">
        <v>0</v>
      </c>
      <c r="R1028" s="6">
        <v>0</v>
      </c>
      <c r="S1028" s="6">
        <v>225</v>
      </c>
    </row>
    <row r="1029" spans="1:19" ht="15" hidden="1" x14ac:dyDescent="0.25">
      <c r="A1029" s="7" t="s">
        <v>16</v>
      </c>
      <c r="B1029" s="7" t="s">
        <v>21</v>
      </c>
      <c r="C1029" s="7" t="s">
        <v>18</v>
      </c>
      <c r="D1029" s="4">
        <v>87607149000626</v>
      </c>
      <c r="E1029" s="8" t="s">
        <v>1019</v>
      </c>
      <c r="F1029" s="8" t="s">
        <v>96</v>
      </c>
      <c r="G1029" s="8" t="s">
        <v>67</v>
      </c>
      <c r="H1029" s="8" t="s">
        <v>215</v>
      </c>
      <c r="I1029" s="3">
        <v>2</v>
      </c>
      <c r="J1029" s="8" t="s">
        <v>175</v>
      </c>
      <c r="K1029" s="8" t="s">
        <v>176</v>
      </c>
      <c r="L1029" s="8" t="s">
        <v>556</v>
      </c>
      <c r="M1029" s="1" t="s">
        <v>205</v>
      </c>
      <c r="N1029" s="8" t="s">
        <v>206</v>
      </c>
      <c r="O1029" s="6">
        <v>0</v>
      </c>
      <c r="P1029" s="6">
        <v>0</v>
      </c>
      <c r="Q1029" s="6">
        <v>0</v>
      </c>
      <c r="R1029" s="6">
        <v>0</v>
      </c>
      <c r="S1029" s="6">
        <v>235</v>
      </c>
    </row>
    <row r="1030" spans="1:19" ht="15" hidden="1" x14ac:dyDescent="0.25">
      <c r="A1030" s="7" t="s">
        <v>16</v>
      </c>
      <c r="B1030" s="7" t="s">
        <v>21</v>
      </c>
      <c r="C1030" s="7" t="s">
        <v>18</v>
      </c>
      <c r="D1030" s="4">
        <v>87607149000626</v>
      </c>
      <c r="E1030" s="8" t="s">
        <v>1019</v>
      </c>
      <c r="F1030" s="8" t="s">
        <v>96</v>
      </c>
      <c r="G1030" s="8" t="s">
        <v>67</v>
      </c>
      <c r="H1030" s="8" t="s">
        <v>215</v>
      </c>
      <c r="I1030" s="3">
        <v>2</v>
      </c>
      <c r="J1030" s="8" t="s">
        <v>144</v>
      </c>
      <c r="K1030" s="8" t="s">
        <v>145</v>
      </c>
      <c r="L1030" s="8" t="s">
        <v>557</v>
      </c>
      <c r="M1030" s="1" t="s">
        <v>205</v>
      </c>
      <c r="N1030" s="8" t="s">
        <v>206</v>
      </c>
      <c r="O1030" s="6">
        <v>0</v>
      </c>
      <c r="P1030" s="6">
        <v>0</v>
      </c>
      <c r="Q1030" s="6">
        <v>0</v>
      </c>
      <c r="R1030" s="6">
        <v>0</v>
      </c>
      <c r="S1030" s="6">
        <v>235</v>
      </c>
    </row>
    <row r="1031" spans="1:19" ht="15" hidden="1" x14ac:dyDescent="0.25">
      <c r="A1031" s="7" t="s">
        <v>16</v>
      </c>
      <c r="B1031" s="7" t="s">
        <v>21</v>
      </c>
      <c r="C1031" s="7" t="s">
        <v>18</v>
      </c>
      <c r="D1031" s="4">
        <v>92685833000151</v>
      </c>
      <c r="E1031" s="8" t="s">
        <v>1029</v>
      </c>
      <c r="F1031" s="8" t="s">
        <v>83</v>
      </c>
      <c r="G1031" s="8" t="s">
        <v>67</v>
      </c>
      <c r="H1031" s="8" t="s">
        <v>215</v>
      </c>
      <c r="I1031" s="3">
        <v>2</v>
      </c>
      <c r="J1031" s="8" t="s">
        <v>175</v>
      </c>
      <c r="K1031" s="8" t="s">
        <v>176</v>
      </c>
      <c r="L1031" s="8" t="s">
        <v>556</v>
      </c>
      <c r="M1031" s="1" t="s">
        <v>205</v>
      </c>
      <c r="N1031" s="8" t="s">
        <v>206</v>
      </c>
      <c r="O1031" s="6">
        <v>0</v>
      </c>
      <c r="P1031" s="6">
        <v>0</v>
      </c>
      <c r="Q1031" s="6">
        <v>0</v>
      </c>
      <c r="R1031" s="6">
        <v>8</v>
      </c>
      <c r="S1031" s="6">
        <v>0</v>
      </c>
    </row>
    <row r="1032" spans="1:19" ht="15" hidden="1" x14ac:dyDescent="0.25">
      <c r="A1032" s="7" t="s">
        <v>16</v>
      </c>
      <c r="B1032" s="7" t="s">
        <v>21</v>
      </c>
      <c r="C1032" s="7" t="s">
        <v>18</v>
      </c>
      <c r="D1032" s="4">
        <v>92685833000151</v>
      </c>
      <c r="E1032" s="8" t="s">
        <v>1029</v>
      </c>
      <c r="F1032" s="8" t="s">
        <v>83</v>
      </c>
      <c r="G1032" s="8" t="s">
        <v>67</v>
      </c>
      <c r="H1032" s="8" t="s">
        <v>215</v>
      </c>
      <c r="I1032" s="3">
        <v>2</v>
      </c>
      <c r="J1032" s="8" t="s">
        <v>144</v>
      </c>
      <c r="K1032" s="8" t="s">
        <v>145</v>
      </c>
      <c r="L1032" s="8" t="s">
        <v>557</v>
      </c>
      <c r="M1032" s="1" t="s">
        <v>205</v>
      </c>
      <c r="N1032" s="8" t="s">
        <v>206</v>
      </c>
      <c r="O1032" s="6">
        <v>0</v>
      </c>
      <c r="P1032" s="6">
        <v>14</v>
      </c>
      <c r="Q1032" s="6">
        <v>0</v>
      </c>
      <c r="R1032" s="6">
        <v>0</v>
      </c>
      <c r="S1032" s="6">
        <v>0</v>
      </c>
    </row>
    <row r="1033" spans="1:19" ht="15" hidden="1" x14ac:dyDescent="0.25">
      <c r="A1033" s="7" t="s">
        <v>16</v>
      </c>
      <c r="B1033" s="7" t="s">
        <v>21</v>
      </c>
      <c r="C1033" s="7" t="s">
        <v>18</v>
      </c>
      <c r="D1033" s="4">
        <v>87096616003101</v>
      </c>
      <c r="E1033" s="8" t="s">
        <v>1014</v>
      </c>
      <c r="F1033" s="8" t="s">
        <v>83</v>
      </c>
      <c r="G1033" s="8" t="s">
        <v>67</v>
      </c>
      <c r="H1033" s="8" t="s">
        <v>215</v>
      </c>
      <c r="I1033" s="3">
        <v>2</v>
      </c>
      <c r="J1033" s="8" t="s">
        <v>175</v>
      </c>
      <c r="K1033" s="8" t="s">
        <v>176</v>
      </c>
      <c r="L1033" s="8" t="s">
        <v>556</v>
      </c>
      <c r="M1033" s="1" t="s">
        <v>205</v>
      </c>
      <c r="N1033" s="8" t="s">
        <v>206</v>
      </c>
      <c r="O1033" s="6">
        <v>0</v>
      </c>
      <c r="P1033" s="6">
        <v>0</v>
      </c>
      <c r="Q1033" s="6">
        <v>0</v>
      </c>
      <c r="R1033" s="6">
        <v>0</v>
      </c>
      <c r="S1033" s="6">
        <v>1500</v>
      </c>
    </row>
    <row r="1034" spans="1:19" ht="15" hidden="1" x14ac:dyDescent="0.25">
      <c r="A1034" s="7" t="s">
        <v>16</v>
      </c>
      <c r="B1034" s="7" t="s">
        <v>21</v>
      </c>
      <c r="C1034" s="7" t="s">
        <v>18</v>
      </c>
      <c r="D1034" s="4">
        <v>87096616003101</v>
      </c>
      <c r="E1034" s="8" t="s">
        <v>1014</v>
      </c>
      <c r="F1034" s="8" t="s">
        <v>83</v>
      </c>
      <c r="G1034" s="8" t="s">
        <v>67</v>
      </c>
      <c r="H1034" s="8" t="s">
        <v>215</v>
      </c>
      <c r="I1034" s="3">
        <v>2</v>
      </c>
      <c r="J1034" s="8" t="s">
        <v>144</v>
      </c>
      <c r="K1034" s="8" t="s">
        <v>145</v>
      </c>
      <c r="L1034" s="8" t="s">
        <v>557</v>
      </c>
      <c r="M1034" s="1" t="s">
        <v>205</v>
      </c>
      <c r="N1034" s="8" t="s">
        <v>206</v>
      </c>
      <c r="O1034" s="6">
        <v>0</v>
      </c>
      <c r="P1034" s="6">
        <v>0</v>
      </c>
      <c r="Q1034" s="6">
        <v>0</v>
      </c>
      <c r="R1034" s="6">
        <v>0</v>
      </c>
      <c r="S1034" s="6">
        <v>1500</v>
      </c>
    </row>
    <row r="1035" spans="1:19" ht="15" hidden="1" x14ac:dyDescent="0.25">
      <c r="A1035" s="7" t="s">
        <v>16</v>
      </c>
      <c r="B1035" s="7" t="s">
        <v>21</v>
      </c>
      <c r="C1035" s="7" t="s">
        <v>18</v>
      </c>
      <c r="D1035" s="4">
        <v>92898550000198</v>
      </c>
      <c r="E1035" s="8" t="s">
        <v>1034</v>
      </c>
      <c r="F1035" s="8" t="s">
        <v>83</v>
      </c>
      <c r="G1035" s="8" t="s">
        <v>67</v>
      </c>
      <c r="H1035" s="8" t="s">
        <v>215</v>
      </c>
      <c r="I1035" s="3">
        <v>2</v>
      </c>
      <c r="J1035" s="8" t="s">
        <v>175</v>
      </c>
      <c r="K1035" s="8" t="s">
        <v>176</v>
      </c>
      <c r="L1035" s="8" t="s">
        <v>556</v>
      </c>
      <c r="M1035" s="1" t="s">
        <v>205</v>
      </c>
      <c r="N1035" s="8" t="s">
        <v>206</v>
      </c>
      <c r="O1035" s="6">
        <v>0</v>
      </c>
      <c r="P1035" s="6">
        <v>0</v>
      </c>
      <c r="Q1035" s="6">
        <v>0</v>
      </c>
      <c r="R1035" s="6">
        <v>0</v>
      </c>
      <c r="S1035" s="6">
        <v>0</v>
      </c>
    </row>
    <row r="1036" spans="1:19" ht="15" hidden="1" x14ac:dyDescent="0.25">
      <c r="A1036" s="7" t="s">
        <v>16</v>
      </c>
      <c r="B1036" s="7" t="s">
        <v>21</v>
      </c>
      <c r="C1036" s="7" t="s">
        <v>18</v>
      </c>
      <c r="D1036" s="4">
        <v>92898550000198</v>
      </c>
      <c r="E1036" s="8" t="s">
        <v>1034</v>
      </c>
      <c r="F1036" s="8" t="s">
        <v>83</v>
      </c>
      <c r="G1036" s="8" t="s">
        <v>67</v>
      </c>
      <c r="H1036" s="8" t="s">
        <v>215</v>
      </c>
      <c r="I1036" s="3">
        <v>2</v>
      </c>
      <c r="J1036" s="8" t="s">
        <v>144</v>
      </c>
      <c r="K1036" s="8" t="s">
        <v>145</v>
      </c>
      <c r="L1036" s="8" t="s">
        <v>557</v>
      </c>
      <c r="M1036" s="1" t="s">
        <v>205</v>
      </c>
      <c r="N1036" s="8" t="s">
        <v>206</v>
      </c>
      <c r="O1036" s="6">
        <v>0</v>
      </c>
      <c r="P1036" s="6">
        <v>0</v>
      </c>
      <c r="Q1036" s="6">
        <v>2</v>
      </c>
      <c r="R1036" s="6">
        <v>0</v>
      </c>
      <c r="S1036" s="6">
        <v>0</v>
      </c>
    </row>
    <row r="1037" spans="1:19" ht="15" hidden="1" x14ac:dyDescent="0.25">
      <c r="A1037" s="7" t="s">
        <v>16</v>
      </c>
      <c r="B1037" s="7" t="s">
        <v>21</v>
      </c>
      <c r="C1037" s="7" t="s">
        <v>18</v>
      </c>
      <c r="D1037" s="4">
        <v>82854246004</v>
      </c>
      <c r="E1037" s="8" t="s">
        <v>931</v>
      </c>
      <c r="F1037" s="8" t="s">
        <v>83</v>
      </c>
      <c r="G1037" s="8" t="s">
        <v>67</v>
      </c>
      <c r="H1037" s="8" t="s">
        <v>215</v>
      </c>
      <c r="I1037" s="3">
        <v>2</v>
      </c>
      <c r="J1037" s="8" t="s">
        <v>175</v>
      </c>
      <c r="K1037" s="8" t="s">
        <v>176</v>
      </c>
      <c r="L1037" s="8" t="s">
        <v>556</v>
      </c>
      <c r="M1037" s="1" t="s">
        <v>205</v>
      </c>
      <c r="N1037" s="8" t="s">
        <v>206</v>
      </c>
      <c r="O1037" s="6">
        <v>0</v>
      </c>
      <c r="P1037" s="6">
        <v>0</v>
      </c>
      <c r="Q1037" s="6">
        <v>0</v>
      </c>
      <c r="R1037" s="6">
        <v>64</v>
      </c>
      <c r="S1037" s="6">
        <v>0</v>
      </c>
    </row>
    <row r="1038" spans="1:19" ht="15" hidden="1" x14ac:dyDescent="0.25">
      <c r="A1038" s="7" t="s">
        <v>16</v>
      </c>
      <c r="B1038" s="7" t="s">
        <v>21</v>
      </c>
      <c r="C1038" s="7" t="s">
        <v>18</v>
      </c>
      <c r="D1038" s="4">
        <v>82854246004</v>
      </c>
      <c r="E1038" s="8" t="s">
        <v>931</v>
      </c>
      <c r="F1038" s="8" t="s">
        <v>83</v>
      </c>
      <c r="G1038" s="8" t="s">
        <v>67</v>
      </c>
      <c r="H1038" s="8" t="s">
        <v>215</v>
      </c>
      <c r="I1038" s="3">
        <v>2</v>
      </c>
      <c r="J1038" s="8" t="s">
        <v>144</v>
      </c>
      <c r="K1038" s="8" t="s">
        <v>145</v>
      </c>
      <c r="L1038" s="8" t="s">
        <v>557</v>
      </c>
      <c r="M1038" s="1" t="s">
        <v>205</v>
      </c>
      <c r="N1038" s="8" t="s">
        <v>206</v>
      </c>
      <c r="O1038" s="6">
        <v>0</v>
      </c>
      <c r="P1038" s="6">
        <v>0</v>
      </c>
      <c r="Q1038" s="6">
        <v>0</v>
      </c>
      <c r="R1038" s="6">
        <v>0</v>
      </c>
      <c r="S1038" s="6">
        <v>0</v>
      </c>
    </row>
    <row r="1039" spans="1:19" ht="15" hidden="1" x14ac:dyDescent="0.25">
      <c r="A1039" s="7" t="s">
        <v>16</v>
      </c>
      <c r="B1039" s="7" t="s">
        <v>21</v>
      </c>
      <c r="C1039" s="7" t="s">
        <v>18</v>
      </c>
      <c r="D1039" s="4">
        <v>87020517000120</v>
      </c>
      <c r="E1039" s="8" t="s">
        <v>1013</v>
      </c>
      <c r="F1039" s="8" t="s">
        <v>83</v>
      </c>
      <c r="G1039" s="8" t="s">
        <v>67</v>
      </c>
      <c r="H1039" s="8" t="s">
        <v>215</v>
      </c>
      <c r="I1039" s="3">
        <v>2</v>
      </c>
      <c r="J1039" s="8" t="s">
        <v>175</v>
      </c>
      <c r="K1039" s="8" t="s">
        <v>176</v>
      </c>
      <c r="L1039" s="8" t="s">
        <v>556</v>
      </c>
      <c r="M1039" s="1" t="s">
        <v>205</v>
      </c>
      <c r="N1039" s="8" t="s">
        <v>206</v>
      </c>
      <c r="O1039" s="6">
        <v>0</v>
      </c>
      <c r="P1039" s="6">
        <v>0</v>
      </c>
      <c r="Q1039" s="6">
        <v>0</v>
      </c>
      <c r="R1039" s="6">
        <v>0</v>
      </c>
      <c r="S1039" s="6">
        <v>0</v>
      </c>
    </row>
    <row r="1040" spans="1:19" ht="15" hidden="1" x14ac:dyDescent="0.25">
      <c r="A1040" s="7" t="s">
        <v>16</v>
      </c>
      <c r="B1040" s="7" t="s">
        <v>21</v>
      </c>
      <c r="C1040" s="7" t="s">
        <v>18</v>
      </c>
      <c r="D1040" s="4">
        <v>87020517000120</v>
      </c>
      <c r="E1040" s="8" t="s">
        <v>1013</v>
      </c>
      <c r="F1040" s="8" t="s">
        <v>83</v>
      </c>
      <c r="G1040" s="8" t="s">
        <v>67</v>
      </c>
      <c r="H1040" s="8" t="s">
        <v>215</v>
      </c>
      <c r="I1040" s="3">
        <v>2</v>
      </c>
      <c r="J1040" s="8" t="s">
        <v>144</v>
      </c>
      <c r="K1040" s="8" t="s">
        <v>145</v>
      </c>
      <c r="L1040" s="8" t="s">
        <v>557</v>
      </c>
      <c r="M1040" s="1" t="s">
        <v>205</v>
      </c>
      <c r="N1040" s="8" t="s">
        <v>206</v>
      </c>
      <c r="O1040" s="6">
        <v>0</v>
      </c>
      <c r="P1040" s="6">
        <v>8</v>
      </c>
      <c r="Q1040" s="6">
        <v>30</v>
      </c>
      <c r="R1040" s="6">
        <v>0</v>
      </c>
      <c r="S1040" s="6">
        <v>0</v>
      </c>
    </row>
    <row r="1041" spans="1:19" ht="15" hidden="1" x14ac:dyDescent="0.25">
      <c r="A1041" s="7" t="s">
        <v>16</v>
      </c>
      <c r="B1041" s="7" t="s">
        <v>21</v>
      </c>
      <c r="C1041" s="7" t="s">
        <v>18</v>
      </c>
      <c r="D1041" s="4">
        <v>87317764001084</v>
      </c>
      <c r="E1041" s="8" t="s">
        <v>1015</v>
      </c>
      <c r="F1041" s="8" t="s">
        <v>83</v>
      </c>
      <c r="G1041" s="8" t="s">
        <v>67</v>
      </c>
      <c r="H1041" s="8" t="s">
        <v>215</v>
      </c>
      <c r="I1041" s="3">
        <v>2</v>
      </c>
      <c r="J1041" s="8" t="s">
        <v>175</v>
      </c>
      <c r="K1041" s="8" t="s">
        <v>176</v>
      </c>
      <c r="L1041" s="8" t="s">
        <v>556</v>
      </c>
      <c r="M1041" s="1" t="s">
        <v>205</v>
      </c>
      <c r="N1041" s="8" t="s">
        <v>206</v>
      </c>
      <c r="O1041" s="6">
        <v>0</v>
      </c>
      <c r="P1041" s="6">
        <v>0</v>
      </c>
      <c r="Q1041" s="6">
        <v>0</v>
      </c>
      <c r="R1041" s="6">
        <v>0</v>
      </c>
      <c r="S1041" s="6">
        <v>240</v>
      </c>
    </row>
    <row r="1042" spans="1:19" ht="15" hidden="1" x14ac:dyDescent="0.25">
      <c r="A1042" s="7" t="s">
        <v>16</v>
      </c>
      <c r="B1042" s="7" t="s">
        <v>21</v>
      </c>
      <c r="C1042" s="7" t="s">
        <v>18</v>
      </c>
      <c r="D1042" s="4">
        <v>87317764001084</v>
      </c>
      <c r="E1042" s="8" t="s">
        <v>1015</v>
      </c>
      <c r="F1042" s="8" t="s">
        <v>83</v>
      </c>
      <c r="G1042" s="8" t="s">
        <v>67</v>
      </c>
      <c r="H1042" s="8" t="s">
        <v>215</v>
      </c>
      <c r="I1042" s="3">
        <v>2</v>
      </c>
      <c r="J1042" s="8" t="s">
        <v>144</v>
      </c>
      <c r="K1042" s="8" t="s">
        <v>145</v>
      </c>
      <c r="L1042" s="8" t="s">
        <v>557</v>
      </c>
      <c r="M1042" s="1" t="s">
        <v>205</v>
      </c>
      <c r="N1042" s="8" t="s">
        <v>206</v>
      </c>
      <c r="O1042" s="6">
        <v>0</v>
      </c>
      <c r="P1042" s="6">
        <v>0</v>
      </c>
      <c r="Q1042" s="6">
        <v>4</v>
      </c>
      <c r="R1042" s="6">
        <v>0</v>
      </c>
      <c r="S1042" s="6">
        <v>240</v>
      </c>
    </row>
    <row r="1043" spans="1:19" ht="15" hidden="1" x14ac:dyDescent="0.25">
      <c r="A1043" s="7" t="s">
        <v>16</v>
      </c>
      <c r="B1043" s="7" t="s">
        <v>21</v>
      </c>
      <c r="C1043" s="7" t="s">
        <v>18</v>
      </c>
      <c r="D1043" s="4">
        <v>92741016000254</v>
      </c>
      <c r="E1043" s="8" t="s">
        <v>1030</v>
      </c>
      <c r="F1043" s="8" t="s">
        <v>83</v>
      </c>
      <c r="G1043" s="8" t="s">
        <v>67</v>
      </c>
      <c r="H1043" s="8" t="s">
        <v>215</v>
      </c>
      <c r="I1043" s="3">
        <v>2</v>
      </c>
      <c r="J1043" s="8" t="s">
        <v>175</v>
      </c>
      <c r="K1043" s="8" t="s">
        <v>176</v>
      </c>
      <c r="L1043" s="8" t="s">
        <v>556</v>
      </c>
      <c r="M1043" s="1" t="s">
        <v>205</v>
      </c>
      <c r="N1043" s="8" t="s">
        <v>206</v>
      </c>
      <c r="O1043" s="6">
        <v>0</v>
      </c>
      <c r="P1043" s="6">
        <v>0</v>
      </c>
      <c r="Q1043" s="6">
        <v>0</v>
      </c>
      <c r="R1043" s="6">
        <v>0</v>
      </c>
      <c r="S1043" s="6">
        <v>0</v>
      </c>
    </row>
    <row r="1044" spans="1:19" ht="15" hidden="1" x14ac:dyDescent="0.25">
      <c r="A1044" s="7" t="s">
        <v>16</v>
      </c>
      <c r="B1044" s="7" t="s">
        <v>21</v>
      </c>
      <c r="C1044" s="7" t="s">
        <v>18</v>
      </c>
      <c r="D1044" s="4">
        <v>92741016000254</v>
      </c>
      <c r="E1044" s="8" t="s">
        <v>1030</v>
      </c>
      <c r="F1044" s="8" t="s">
        <v>83</v>
      </c>
      <c r="G1044" s="8" t="s">
        <v>67</v>
      </c>
      <c r="H1044" s="8" t="s">
        <v>215</v>
      </c>
      <c r="I1044" s="3">
        <v>2</v>
      </c>
      <c r="J1044" s="8" t="s">
        <v>144</v>
      </c>
      <c r="K1044" s="8" t="s">
        <v>145</v>
      </c>
      <c r="L1044" s="8" t="s">
        <v>557</v>
      </c>
      <c r="M1044" s="1" t="s">
        <v>205</v>
      </c>
      <c r="N1044" s="8" t="s">
        <v>206</v>
      </c>
      <c r="O1044" s="6">
        <v>0</v>
      </c>
      <c r="P1044" s="6">
        <v>11</v>
      </c>
      <c r="Q1044" s="6">
        <v>3</v>
      </c>
      <c r="R1044" s="6">
        <v>0</v>
      </c>
      <c r="S1044" s="6">
        <v>0</v>
      </c>
    </row>
    <row r="1045" spans="1:19" ht="15" hidden="1" x14ac:dyDescent="0.25">
      <c r="A1045" s="7" t="s">
        <v>16</v>
      </c>
      <c r="B1045" s="7" t="s">
        <v>21</v>
      </c>
      <c r="C1045" s="7" t="s">
        <v>18</v>
      </c>
      <c r="D1045" s="4">
        <v>88625686002443</v>
      </c>
      <c r="E1045" s="8" t="s">
        <v>1023</v>
      </c>
      <c r="F1045" s="8" t="s">
        <v>83</v>
      </c>
      <c r="G1045" s="8" t="s">
        <v>67</v>
      </c>
      <c r="H1045" s="8" t="s">
        <v>215</v>
      </c>
      <c r="I1045" s="3">
        <v>2</v>
      </c>
      <c r="J1045" s="8" t="s">
        <v>175</v>
      </c>
      <c r="K1045" s="8" t="s">
        <v>176</v>
      </c>
      <c r="L1045" s="8" t="s">
        <v>556</v>
      </c>
      <c r="M1045" s="1" t="s">
        <v>205</v>
      </c>
      <c r="N1045" s="8" t="s">
        <v>206</v>
      </c>
      <c r="O1045" s="6">
        <v>0</v>
      </c>
      <c r="P1045" s="6">
        <v>0</v>
      </c>
      <c r="Q1045" s="6">
        <v>0</v>
      </c>
      <c r="R1045" s="6">
        <v>0</v>
      </c>
      <c r="S1045" s="6">
        <v>240</v>
      </c>
    </row>
    <row r="1046" spans="1:19" ht="15" hidden="1" x14ac:dyDescent="0.25">
      <c r="A1046" s="7" t="s">
        <v>16</v>
      </c>
      <c r="B1046" s="7" t="s">
        <v>21</v>
      </c>
      <c r="C1046" s="7" t="s">
        <v>18</v>
      </c>
      <c r="D1046" s="4">
        <v>88625686002443</v>
      </c>
      <c r="E1046" s="8" t="s">
        <v>1023</v>
      </c>
      <c r="F1046" s="8" t="s">
        <v>83</v>
      </c>
      <c r="G1046" s="8" t="s">
        <v>67</v>
      </c>
      <c r="H1046" s="8" t="s">
        <v>215</v>
      </c>
      <c r="I1046" s="3">
        <v>2</v>
      </c>
      <c r="J1046" s="8" t="s">
        <v>144</v>
      </c>
      <c r="K1046" s="8" t="s">
        <v>145</v>
      </c>
      <c r="L1046" s="8" t="s">
        <v>557</v>
      </c>
      <c r="M1046" s="1" t="s">
        <v>205</v>
      </c>
      <c r="N1046" s="8" t="s">
        <v>206</v>
      </c>
      <c r="O1046" s="6">
        <v>0</v>
      </c>
      <c r="P1046" s="6">
        <v>10</v>
      </c>
      <c r="Q1046" s="6">
        <v>0</v>
      </c>
      <c r="R1046" s="6">
        <v>0</v>
      </c>
      <c r="S1046" s="6">
        <v>240</v>
      </c>
    </row>
    <row r="1047" spans="1:19" ht="15" hidden="1" x14ac:dyDescent="0.25">
      <c r="A1047" s="7" t="s">
        <v>16</v>
      </c>
      <c r="B1047" s="7" t="s">
        <v>21</v>
      </c>
      <c r="C1047" s="7" t="s">
        <v>18</v>
      </c>
      <c r="D1047" s="4">
        <v>88630413000796</v>
      </c>
      <c r="E1047" s="8" t="s">
        <v>1024</v>
      </c>
      <c r="F1047" s="8" t="s">
        <v>83</v>
      </c>
      <c r="G1047" s="8" t="s">
        <v>67</v>
      </c>
      <c r="H1047" s="8" t="s">
        <v>215</v>
      </c>
      <c r="I1047" s="3">
        <v>2</v>
      </c>
      <c r="J1047" s="8" t="s">
        <v>175</v>
      </c>
      <c r="K1047" s="8" t="s">
        <v>176</v>
      </c>
      <c r="L1047" s="8" t="s">
        <v>556</v>
      </c>
      <c r="M1047" s="1" t="s">
        <v>205</v>
      </c>
      <c r="N1047" s="8" t="s">
        <v>206</v>
      </c>
      <c r="O1047" s="6">
        <v>0</v>
      </c>
      <c r="P1047" s="6">
        <v>0</v>
      </c>
      <c r="Q1047" s="6">
        <v>0</v>
      </c>
      <c r="R1047" s="6">
        <v>0</v>
      </c>
      <c r="S1047" s="6">
        <v>0</v>
      </c>
    </row>
    <row r="1048" spans="1:19" ht="15" hidden="1" x14ac:dyDescent="0.25">
      <c r="A1048" s="7" t="s">
        <v>16</v>
      </c>
      <c r="B1048" s="7" t="s">
        <v>21</v>
      </c>
      <c r="C1048" s="7" t="s">
        <v>18</v>
      </c>
      <c r="D1048" s="4">
        <v>88630413000796</v>
      </c>
      <c r="E1048" s="8" t="s">
        <v>1024</v>
      </c>
      <c r="F1048" s="8" t="s">
        <v>83</v>
      </c>
      <c r="G1048" s="8" t="s">
        <v>67</v>
      </c>
      <c r="H1048" s="8" t="s">
        <v>215</v>
      </c>
      <c r="I1048" s="3">
        <v>2</v>
      </c>
      <c r="J1048" s="8" t="s">
        <v>144</v>
      </c>
      <c r="K1048" s="8" t="s">
        <v>145</v>
      </c>
      <c r="L1048" s="8" t="s">
        <v>557</v>
      </c>
      <c r="M1048" s="1" t="s">
        <v>205</v>
      </c>
      <c r="N1048" s="8" t="s">
        <v>206</v>
      </c>
      <c r="O1048" s="6">
        <v>0</v>
      </c>
      <c r="P1048" s="6">
        <v>0</v>
      </c>
      <c r="Q1048" s="6">
        <v>3</v>
      </c>
      <c r="R1048" s="6">
        <v>0</v>
      </c>
      <c r="S1048" s="6">
        <v>0</v>
      </c>
    </row>
    <row r="1049" spans="1:19" ht="15" hidden="1" x14ac:dyDescent="0.25">
      <c r="A1049" s="7" t="s">
        <v>16</v>
      </c>
      <c r="B1049" s="7" t="s">
        <v>21</v>
      </c>
      <c r="C1049" s="7" t="s">
        <v>18</v>
      </c>
      <c r="D1049" s="4">
        <v>94831294000147</v>
      </c>
      <c r="E1049" s="8" t="s">
        <v>1036</v>
      </c>
      <c r="F1049" s="8" t="s">
        <v>83</v>
      </c>
      <c r="G1049" s="8" t="s">
        <v>67</v>
      </c>
      <c r="H1049" s="8" t="s">
        <v>215</v>
      </c>
      <c r="I1049" s="3">
        <v>2</v>
      </c>
      <c r="J1049" s="8" t="s">
        <v>175</v>
      </c>
      <c r="K1049" s="8" t="s">
        <v>176</v>
      </c>
      <c r="L1049" s="8" t="s">
        <v>556</v>
      </c>
      <c r="M1049" s="1" t="s">
        <v>205</v>
      </c>
      <c r="N1049" s="8" t="s">
        <v>206</v>
      </c>
      <c r="O1049" s="6">
        <v>0</v>
      </c>
      <c r="P1049" s="6">
        <v>0</v>
      </c>
      <c r="Q1049" s="6">
        <v>0</v>
      </c>
      <c r="R1049" s="6">
        <v>0</v>
      </c>
      <c r="S1049" s="6">
        <v>30</v>
      </c>
    </row>
    <row r="1050" spans="1:19" ht="15" hidden="1" x14ac:dyDescent="0.25">
      <c r="A1050" s="7" t="s">
        <v>16</v>
      </c>
      <c r="B1050" s="7" t="s">
        <v>21</v>
      </c>
      <c r="C1050" s="7" t="s">
        <v>18</v>
      </c>
      <c r="D1050" s="4">
        <v>94831294000147</v>
      </c>
      <c r="E1050" s="8" t="s">
        <v>1036</v>
      </c>
      <c r="F1050" s="8" t="s">
        <v>83</v>
      </c>
      <c r="G1050" s="8" t="s">
        <v>67</v>
      </c>
      <c r="H1050" s="8" t="s">
        <v>215</v>
      </c>
      <c r="I1050" s="3">
        <v>2</v>
      </c>
      <c r="J1050" s="8" t="s">
        <v>144</v>
      </c>
      <c r="K1050" s="8" t="s">
        <v>145</v>
      </c>
      <c r="L1050" s="8" t="s">
        <v>557</v>
      </c>
      <c r="M1050" s="1" t="s">
        <v>205</v>
      </c>
      <c r="N1050" s="8" t="s">
        <v>206</v>
      </c>
      <c r="O1050" s="6">
        <v>0</v>
      </c>
      <c r="P1050" s="6">
        <v>0</v>
      </c>
      <c r="Q1050" s="6">
        <v>0</v>
      </c>
      <c r="R1050" s="6">
        <v>0</v>
      </c>
      <c r="S1050" s="6">
        <v>30</v>
      </c>
    </row>
    <row r="1051" spans="1:19" ht="15" hidden="1" x14ac:dyDescent="0.25">
      <c r="A1051" s="7" t="s">
        <v>16</v>
      </c>
      <c r="B1051" s="7" t="s">
        <v>21</v>
      </c>
      <c r="C1051" s="7" t="s">
        <v>18</v>
      </c>
      <c r="D1051" s="4">
        <v>92815000000168</v>
      </c>
      <c r="E1051" s="8" t="s">
        <v>1033</v>
      </c>
      <c r="F1051" s="8" t="s">
        <v>83</v>
      </c>
      <c r="G1051" s="8" t="s">
        <v>67</v>
      </c>
      <c r="H1051" s="8" t="s">
        <v>215</v>
      </c>
      <c r="I1051" s="3">
        <v>2</v>
      </c>
      <c r="J1051" s="8" t="s">
        <v>175</v>
      </c>
      <c r="K1051" s="8" t="s">
        <v>176</v>
      </c>
      <c r="L1051" s="8" t="s">
        <v>556</v>
      </c>
      <c r="M1051" s="1" t="s">
        <v>205</v>
      </c>
      <c r="N1051" s="8" t="s">
        <v>206</v>
      </c>
      <c r="O1051" s="6">
        <v>0</v>
      </c>
      <c r="P1051" s="6">
        <v>0</v>
      </c>
      <c r="Q1051" s="6">
        <v>0</v>
      </c>
      <c r="R1051" s="6">
        <v>54</v>
      </c>
      <c r="S1051" s="6">
        <v>90</v>
      </c>
    </row>
    <row r="1052" spans="1:19" ht="15" hidden="1" x14ac:dyDescent="0.25">
      <c r="A1052" s="7" t="s">
        <v>16</v>
      </c>
      <c r="B1052" s="7" t="s">
        <v>21</v>
      </c>
      <c r="C1052" s="7" t="s">
        <v>18</v>
      </c>
      <c r="D1052" s="4">
        <v>92815000000168</v>
      </c>
      <c r="E1052" s="8" t="s">
        <v>1033</v>
      </c>
      <c r="F1052" s="8" t="s">
        <v>83</v>
      </c>
      <c r="G1052" s="8" t="s">
        <v>67</v>
      </c>
      <c r="H1052" s="8" t="s">
        <v>215</v>
      </c>
      <c r="I1052" s="3">
        <v>2</v>
      </c>
      <c r="J1052" s="8" t="s">
        <v>144</v>
      </c>
      <c r="K1052" s="8" t="s">
        <v>145</v>
      </c>
      <c r="L1052" s="8" t="s">
        <v>557</v>
      </c>
      <c r="M1052" s="1" t="s">
        <v>205</v>
      </c>
      <c r="N1052" s="8" t="s">
        <v>206</v>
      </c>
      <c r="O1052" s="6">
        <v>0</v>
      </c>
      <c r="P1052" s="6">
        <v>23</v>
      </c>
      <c r="Q1052" s="6">
        <v>56</v>
      </c>
      <c r="R1052" s="6">
        <v>0</v>
      </c>
      <c r="S1052" s="6">
        <v>90</v>
      </c>
    </row>
    <row r="1053" spans="1:19" ht="15" hidden="1" x14ac:dyDescent="0.25">
      <c r="A1053" s="7" t="s">
        <v>16</v>
      </c>
      <c r="B1053" s="7" t="s">
        <v>21</v>
      </c>
      <c r="C1053" s="7" t="s">
        <v>18</v>
      </c>
      <c r="D1053" s="4">
        <v>92963560000160</v>
      </c>
      <c r="E1053" s="8" t="s">
        <v>1035</v>
      </c>
      <c r="F1053" s="8" t="s">
        <v>83</v>
      </c>
      <c r="G1053" s="8" t="s">
        <v>67</v>
      </c>
      <c r="H1053" s="8" t="s">
        <v>215</v>
      </c>
      <c r="I1053" s="3">
        <v>2</v>
      </c>
      <c r="J1053" s="8" t="s">
        <v>175</v>
      </c>
      <c r="K1053" s="8" t="s">
        <v>176</v>
      </c>
      <c r="L1053" s="8" t="s">
        <v>556</v>
      </c>
      <c r="M1053" s="1" t="s">
        <v>205</v>
      </c>
      <c r="N1053" s="8" t="s">
        <v>206</v>
      </c>
      <c r="O1053" s="6">
        <v>0</v>
      </c>
      <c r="P1053" s="6">
        <v>0</v>
      </c>
      <c r="Q1053" s="6">
        <v>0</v>
      </c>
      <c r="R1053" s="6">
        <v>0</v>
      </c>
      <c r="S1053" s="6">
        <v>100</v>
      </c>
    </row>
    <row r="1054" spans="1:19" ht="15" hidden="1" x14ac:dyDescent="0.25">
      <c r="A1054" s="7" t="s">
        <v>16</v>
      </c>
      <c r="B1054" s="7" t="s">
        <v>21</v>
      </c>
      <c r="C1054" s="7" t="s">
        <v>18</v>
      </c>
      <c r="D1054" s="4">
        <v>92963560000160</v>
      </c>
      <c r="E1054" s="8" t="s">
        <v>1035</v>
      </c>
      <c r="F1054" s="8" t="s">
        <v>83</v>
      </c>
      <c r="G1054" s="8" t="s">
        <v>67</v>
      </c>
      <c r="H1054" s="8" t="s">
        <v>215</v>
      </c>
      <c r="I1054" s="3">
        <v>2</v>
      </c>
      <c r="J1054" s="8" t="s">
        <v>144</v>
      </c>
      <c r="K1054" s="8" t="s">
        <v>145</v>
      </c>
      <c r="L1054" s="8" t="s">
        <v>557</v>
      </c>
      <c r="M1054" s="1" t="s">
        <v>205</v>
      </c>
      <c r="N1054" s="8" t="s">
        <v>206</v>
      </c>
      <c r="O1054" s="6">
        <v>0</v>
      </c>
      <c r="P1054" s="6">
        <v>20</v>
      </c>
      <c r="Q1054" s="6">
        <v>0</v>
      </c>
      <c r="R1054" s="6">
        <v>0</v>
      </c>
      <c r="S1054" s="6">
        <v>100</v>
      </c>
    </row>
    <row r="1055" spans="1:19" ht="15" hidden="1" x14ac:dyDescent="0.25">
      <c r="A1055" s="7" t="s">
        <v>16</v>
      </c>
      <c r="B1055" s="7" t="s">
        <v>21</v>
      </c>
      <c r="C1055" s="7" t="s">
        <v>18</v>
      </c>
      <c r="D1055" s="4">
        <v>9087150000230</v>
      </c>
      <c r="E1055" s="8" t="s">
        <v>958</v>
      </c>
      <c r="F1055" s="8" t="s">
        <v>83</v>
      </c>
      <c r="G1055" s="8" t="s">
        <v>67</v>
      </c>
      <c r="H1055" s="8" t="s">
        <v>215</v>
      </c>
      <c r="I1055" s="3">
        <v>2</v>
      </c>
      <c r="J1055" s="8" t="s">
        <v>175</v>
      </c>
      <c r="K1055" s="8" t="s">
        <v>176</v>
      </c>
      <c r="L1055" s="8" t="s">
        <v>556</v>
      </c>
      <c r="M1055" s="1" t="s">
        <v>205</v>
      </c>
      <c r="N1055" s="8" t="s">
        <v>206</v>
      </c>
      <c r="O1055" s="6">
        <v>0</v>
      </c>
      <c r="P1055" s="6">
        <v>0</v>
      </c>
      <c r="Q1055" s="6">
        <v>0</v>
      </c>
      <c r="R1055" s="6">
        <v>10</v>
      </c>
      <c r="S1055" s="6">
        <v>0</v>
      </c>
    </row>
    <row r="1056" spans="1:19" ht="15" hidden="1" x14ac:dyDescent="0.25">
      <c r="A1056" s="7" t="s">
        <v>16</v>
      </c>
      <c r="B1056" s="7" t="s">
        <v>21</v>
      </c>
      <c r="C1056" s="7" t="s">
        <v>18</v>
      </c>
      <c r="D1056" s="4">
        <v>9087150000230</v>
      </c>
      <c r="E1056" s="8" t="s">
        <v>958</v>
      </c>
      <c r="F1056" s="8" t="s">
        <v>83</v>
      </c>
      <c r="G1056" s="8" t="s">
        <v>67</v>
      </c>
      <c r="H1056" s="8" t="s">
        <v>215</v>
      </c>
      <c r="I1056" s="3">
        <v>2</v>
      </c>
      <c r="J1056" s="8" t="s">
        <v>144</v>
      </c>
      <c r="K1056" s="8" t="s">
        <v>145</v>
      </c>
      <c r="L1056" s="8" t="s">
        <v>557</v>
      </c>
      <c r="M1056" s="1" t="s">
        <v>205</v>
      </c>
      <c r="N1056" s="8" t="s">
        <v>206</v>
      </c>
      <c r="O1056" s="6">
        <v>0</v>
      </c>
      <c r="P1056" s="6">
        <v>0</v>
      </c>
      <c r="Q1056" s="6">
        <v>0</v>
      </c>
      <c r="R1056" s="6">
        <v>0</v>
      </c>
      <c r="S1056" s="6">
        <v>0</v>
      </c>
    </row>
    <row r="1057" spans="1:19" ht="15" hidden="1" x14ac:dyDescent="0.25">
      <c r="A1057" s="7" t="s">
        <v>16</v>
      </c>
      <c r="B1057" s="7" t="s">
        <v>21</v>
      </c>
      <c r="C1057" s="7" t="s">
        <v>18</v>
      </c>
      <c r="D1057" s="4">
        <v>12508728000108</v>
      </c>
      <c r="E1057" s="8" t="s">
        <v>965</v>
      </c>
      <c r="F1057" s="8" t="s">
        <v>87</v>
      </c>
      <c r="G1057" s="8" t="s">
        <v>67</v>
      </c>
      <c r="H1057" s="8" t="s">
        <v>215</v>
      </c>
      <c r="I1057" s="3">
        <v>2</v>
      </c>
      <c r="J1057" s="8" t="s">
        <v>175</v>
      </c>
      <c r="K1057" s="8" t="s">
        <v>176</v>
      </c>
      <c r="L1057" s="8" t="s">
        <v>556</v>
      </c>
      <c r="M1057" s="1" t="s">
        <v>205</v>
      </c>
      <c r="N1057" s="8" t="s">
        <v>206</v>
      </c>
      <c r="O1057" s="6">
        <v>0</v>
      </c>
      <c r="P1057" s="6">
        <v>0</v>
      </c>
      <c r="Q1057" s="6">
        <v>0</v>
      </c>
      <c r="R1057" s="6">
        <v>0</v>
      </c>
      <c r="S1057" s="6">
        <v>40</v>
      </c>
    </row>
    <row r="1058" spans="1:19" ht="15" hidden="1" x14ac:dyDescent="0.25">
      <c r="A1058" s="7" t="s">
        <v>16</v>
      </c>
      <c r="B1058" s="7" t="s">
        <v>21</v>
      </c>
      <c r="C1058" s="7" t="s">
        <v>18</v>
      </c>
      <c r="D1058" s="4">
        <v>12508728000108</v>
      </c>
      <c r="E1058" s="8" t="s">
        <v>965</v>
      </c>
      <c r="F1058" s="8" t="s">
        <v>87</v>
      </c>
      <c r="G1058" s="8" t="s">
        <v>67</v>
      </c>
      <c r="H1058" s="8" t="s">
        <v>215</v>
      </c>
      <c r="I1058" s="3">
        <v>2</v>
      </c>
      <c r="J1058" s="8" t="s">
        <v>144</v>
      </c>
      <c r="K1058" s="8" t="s">
        <v>145</v>
      </c>
      <c r="L1058" s="8" t="s">
        <v>557</v>
      </c>
      <c r="M1058" s="1" t="s">
        <v>205</v>
      </c>
      <c r="N1058" s="8" t="s">
        <v>206</v>
      </c>
      <c r="O1058" s="6">
        <v>0</v>
      </c>
      <c r="P1058" s="6">
        <v>0</v>
      </c>
      <c r="Q1058" s="6">
        <v>0</v>
      </c>
      <c r="R1058" s="6">
        <v>0</v>
      </c>
      <c r="S1058" s="6">
        <v>40</v>
      </c>
    </row>
    <row r="1059" spans="1:19" ht="15" hidden="1" x14ac:dyDescent="0.25">
      <c r="A1059" s="7" t="s">
        <v>16</v>
      </c>
      <c r="B1059" s="7" t="s">
        <v>21</v>
      </c>
      <c r="C1059" s="7" t="s">
        <v>18</v>
      </c>
      <c r="D1059" s="4">
        <v>15126437001972</v>
      </c>
      <c r="E1059" s="8" t="s">
        <v>966</v>
      </c>
      <c r="F1059" s="8" t="s">
        <v>87</v>
      </c>
      <c r="G1059" s="8" t="s">
        <v>67</v>
      </c>
      <c r="H1059" s="8" t="s">
        <v>215</v>
      </c>
      <c r="I1059" s="3">
        <v>2</v>
      </c>
      <c r="J1059" s="8" t="s">
        <v>175</v>
      </c>
      <c r="K1059" s="8" t="s">
        <v>176</v>
      </c>
      <c r="L1059" s="8" t="s">
        <v>556</v>
      </c>
      <c r="M1059" s="1" t="s">
        <v>205</v>
      </c>
      <c r="N1059" s="8" t="s">
        <v>206</v>
      </c>
      <c r="O1059" s="6">
        <v>0</v>
      </c>
      <c r="P1059" s="6">
        <v>0</v>
      </c>
      <c r="Q1059" s="6">
        <v>0</v>
      </c>
      <c r="R1059" s="6">
        <v>0</v>
      </c>
      <c r="S1059" s="6">
        <v>0</v>
      </c>
    </row>
    <row r="1060" spans="1:19" ht="15" hidden="1" x14ac:dyDescent="0.25">
      <c r="A1060" s="7" t="s">
        <v>16</v>
      </c>
      <c r="B1060" s="7" t="s">
        <v>21</v>
      </c>
      <c r="C1060" s="7" t="s">
        <v>18</v>
      </c>
      <c r="D1060" s="4">
        <v>15126437001972</v>
      </c>
      <c r="E1060" s="8" t="s">
        <v>966</v>
      </c>
      <c r="F1060" s="8" t="s">
        <v>87</v>
      </c>
      <c r="G1060" s="8" t="s">
        <v>67</v>
      </c>
      <c r="H1060" s="8" t="s">
        <v>215</v>
      </c>
      <c r="I1060" s="3">
        <v>2</v>
      </c>
      <c r="J1060" s="8" t="s">
        <v>144</v>
      </c>
      <c r="K1060" s="8" t="s">
        <v>145</v>
      </c>
      <c r="L1060" s="8" t="s">
        <v>557</v>
      </c>
      <c r="M1060" s="1" t="s">
        <v>205</v>
      </c>
      <c r="N1060" s="8" t="s">
        <v>206</v>
      </c>
      <c r="O1060" s="6">
        <v>0</v>
      </c>
      <c r="P1060" s="6">
        <v>0</v>
      </c>
      <c r="Q1060" s="6">
        <v>15</v>
      </c>
      <c r="R1060" s="6">
        <v>0</v>
      </c>
      <c r="S1060" s="6">
        <v>0</v>
      </c>
    </row>
    <row r="1061" spans="1:19" ht="15" hidden="1" x14ac:dyDescent="0.25">
      <c r="A1061" s="7" t="s">
        <v>16</v>
      </c>
      <c r="B1061" s="7" t="s">
        <v>21</v>
      </c>
      <c r="C1061" s="7" t="s">
        <v>18</v>
      </c>
      <c r="D1061" s="4">
        <v>95610887000146</v>
      </c>
      <c r="E1061" s="8" t="s">
        <v>1037</v>
      </c>
      <c r="F1061" s="8" t="s">
        <v>87</v>
      </c>
      <c r="G1061" s="8" t="s">
        <v>67</v>
      </c>
      <c r="H1061" s="8" t="s">
        <v>215</v>
      </c>
      <c r="I1061" s="3">
        <v>2</v>
      </c>
      <c r="J1061" s="8" t="s">
        <v>175</v>
      </c>
      <c r="K1061" s="8" t="s">
        <v>176</v>
      </c>
      <c r="L1061" s="8" t="s">
        <v>556</v>
      </c>
      <c r="M1061" s="1" t="s">
        <v>205</v>
      </c>
      <c r="N1061" s="8" t="s">
        <v>206</v>
      </c>
      <c r="O1061" s="6">
        <v>0</v>
      </c>
      <c r="P1061" s="6">
        <v>0</v>
      </c>
      <c r="Q1061" s="6">
        <v>0</v>
      </c>
      <c r="R1061" s="6">
        <v>0</v>
      </c>
      <c r="S1061" s="6">
        <v>100</v>
      </c>
    </row>
    <row r="1062" spans="1:19" ht="15" hidden="1" x14ac:dyDescent="0.25">
      <c r="A1062" s="7" t="s">
        <v>16</v>
      </c>
      <c r="B1062" s="7" t="s">
        <v>21</v>
      </c>
      <c r="C1062" s="7" t="s">
        <v>18</v>
      </c>
      <c r="D1062" s="4">
        <v>95610887000146</v>
      </c>
      <c r="E1062" s="8" t="s">
        <v>1037</v>
      </c>
      <c r="F1062" s="8" t="s">
        <v>87</v>
      </c>
      <c r="G1062" s="8" t="s">
        <v>67</v>
      </c>
      <c r="H1062" s="8" t="s">
        <v>215</v>
      </c>
      <c r="I1062" s="3">
        <v>2</v>
      </c>
      <c r="J1062" s="8" t="s">
        <v>144</v>
      </c>
      <c r="K1062" s="8" t="s">
        <v>145</v>
      </c>
      <c r="L1062" s="8" t="s">
        <v>557</v>
      </c>
      <c r="M1062" s="1" t="s">
        <v>205</v>
      </c>
      <c r="N1062" s="8" t="s">
        <v>206</v>
      </c>
      <c r="O1062" s="6">
        <v>0</v>
      </c>
      <c r="P1062" s="6">
        <v>9</v>
      </c>
      <c r="Q1062" s="6">
        <v>9</v>
      </c>
      <c r="R1062" s="6">
        <v>0</v>
      </c>
      <c r="S1062" s="6">
        <v>100</v>
      </c>
    </row>
    <row r="1063" spans="1:19" ht="15" hidden="1" x14ac:dyDescent="0.25">
      <c r="A1063" s="7" t="s">
        <v>16</v>
      </c>
      <c r="B1063" s="7" t="s">
        <v>21</v>
      </c>
      <c r="C1063" s="7" t="s">
        <v>18</v>
      </c>
      <c r="D1063" s="4">
        <v>1517626000132</v>
      </c>
      <c r="E1063" s="8" t="s">
        <v>937</v>
      </c>
      <c r="F1063" s="8" t="s">
        <v>938</v>
      </c>
      <c r="G1063" s="8" t="s">
        <v>68</v>
      </c>
      <c r="H1063" s="8" t="s">
        <v>215</v>
      </c>
      <c r="I1063" s="3">
        <v>2</v>
      </c>
      <c r="J1063" s="8" t="s">
        <v>175</v>
      </c>
      <c r="K1063" s="8" t="s">
        <v>176</v>
      </c>
      <c r="L1063" s="8" t="s">
        <v>556</v>
      </c>
      <c r="M1063" s="1" t="s">
        <v>205</v>
      </c>
      <c r="N1063" s="8" t="s">
        <v>206</v>
      </c>
      <c r="O1063" s="6">
        <v>0</v>
      </c>
      <c r="P1063" s="6">
        <v>0</v>
      </c>
      <c r="Q1063" s="6">
        <v>0</v>
      </c>
      <c r="R1063" s="6">
        <v>0</v>
      </c>
      <c r="S1063" s="6">
        <v>190</v>
      </c>
    </row>
    <row r="1064" spans="1:19" ht="15" hidden="1" x14ac:dyDescent="0.25">
      <c r="A1064" s="7" t="s">
        <v>16</v>
      </c>
      <c r="B1064" s="7" t="s">
        <v>21</v>
      </c>
      <c r="C1064" s="7" t="s">
        <v>18</v>
      </c>
      <c r="D1064" s="4">
        <v>1517626000132</v>
      </c>
      <c r="E1064" s="8" t="s">
        <v>937</v>
      </c>
      <c r="F1064" s="8" t="s">
        <v>938</v>
      </c>
      <c r="G1064" s="8" t="s">
        <v>68</v>
      </c>
      <c r="H1064" s="8" t="s">
        <v>215</v>
      </c>
      <c r="I1064" s="3">
        <v>2</v>
      </c>
      <c r="J1064" s="8" t="s">
        <v>157</v>
      </c>
      <c r="K1064" s="8" t="s">
        <v>158</v>
      </c>
      <c r="L1064" s="8" t="s">
        <v>557</v>
      </c>
      <c r="M1064" s="1" t="s">
        <v>205</v>
      </c>
      <c r="N1064" s="8" t="s">
        <v>206</v>
      </c>
      <c r="O1064" s="6">
        <v>0</v>
      </c>
      <c r="P1064" s="6">
        <v>0</v>
      </c>
      <c r="Q1064" s="6">
        <v>0</v>
      </c>
      <c r="R1064" s="6">
        <v>0</v>
      </c>
      <c r="S1064" s="6">
        <v>190</v>
      </c>
    </row>
    <row r="1065" spans="1:19" ht="15" hidden="1" x14ac:dyDescent="0.25">
      <c r="A1065" s="7" t="s">
        <v>16</v>
      </c>
      <c r="B1065" s="7" t="s">
        <v>21</v>
      </c>
      <c r="C1065" s="7" t="s">
        <v>18</v>
      </c>
      <c r="D1065" s="4">
        <v>85377174000392</v>
      </c>
      <c r="E1065" s="8" t="s">
        <v>1012</v>
      </c>
      <c r="F1065" s="8" t="s">
        <v>938</v>
      </c>
      <c r="G1065" s="8" t="s">
        <v>68</v>
      </c>
      <c r="H1065" s="8" t="s">
        <v>215</v>
      </c>
      <c r="I1065" s="3">
        <v>2</v>
      </c>
      <c r="J1065" s="8" t="s">
        <v>175</v>
      </c>
      <c r="K1065" s="8" t="s">
        <v>176</v>
      </c>
      <c r="L1065" s="8" t="s">
        <v>556</v>
      </c>
      <c r="M1065" s="1" t="s">
        <v>205</v>
      </c>
      <c r="N1065" s="8" t="s">
        <v>206</v>
      </c>
      <c r="O1065" s="6">
        <v>0</v>
      </c>
      <c r="P1065" s="6">
        <v>0</v>
      </c>
      <c r="Q1065" s="6">
        <v>0</v>
      </c>
      <c r="R1065" s="6">
        <v>12</v>
      </c>
      <c r="S1065" s="6">
        <v>0</v>
      </c>
    </row>
    <row r="1066" spans="1:19" ht="15" hidden="1" x14ac:dyDescent="0.25">
      <c r="A1066" s="7" t="s">
        <v>16</v>
      </c>
      <c r="B1066" s="7" t="s">
        <v>21</v>
      </c>
      <c r="C1066" s="7" t="s">
        <v>18</v>
      </c>
      <c r="D1066" s="4">
        <v>85377174000392</v>
      </c>
      <c r="E1066" s="8" t="s">
        <v>1012</v>
      </c>
      <c r="F1066" s="8" t="s">
        <v>938</v>
      </c>
      <c r="G1066" s="8" t="s">
        <v>68</v>
      </c>
      <c r="H1066" s="8" t="s">
        <v>215</v>
      </c>
      <c r="I1066" s="3">
        <v>2</v>
      </c>
      <c r="J1066" s="8" t="s">
        <v>157</v>
      </c>
      <c r="K1066" s="8" t="s">
        <v>158</v>
      </c>
      <c r="L1066" s="8" t="s">
        <v>557</v>
      </c>
      <c r="M1066" s="1" t="s">
        <v>205</v>
      </c>
      <c r="N1066" s="8" t="s">
        <v>206</v>
      </c>
      <c r="O1066" s="6">
        <v>0</v>
      </c>
      <c r="P1066" s="6">
        <v>0</v>
      </c>
      <c r="Q1066" s="6">
        <v>0</v>
      </c>
      <c r="R1066" s="6">
        <v>0</v>
      </c>
      <c r="S1066" s="6">
        <v>0</v>
      </c>
    </row>
    <row r="1067" spans="1:19" ht="15" hidden="1" x14ac:dyDescent="0.25">
      <c r="A1067" s="7" t="s">
        <v>16</v>
      </c>
      <c r="B1067" s="7" t="s">
        <v>21</v>
      </c>
      <c r="C1067" s="7" t="s">
        <v>18</v>
      </c>
      <c r="D1067" s="4">
        <v>1880344000103</v>
      </c>
      <c r="E1067" s="8" t="s">
        <v>941</v>
      </c>
      <c r="F1067" s="8" t="s">
        <v>93</v>
      </c>
      <c r="G1067" s="8" t="s">
        <v>68</v>
      </c>
      <c r="H1067" s="8" t="s">
        <v>215</v>
      </c>
      <c r="I1067" s="3">
        <v>2</v>
      </c>
      <c r="J1067" s="8" t="s">
        <v>175</v>
      </c>
      <c r="K1067" s="8" t="s">
        <v>176</v>
      </c>
      <c r="L1067" s="8" t="s">
        <v>556</v>
      </c>
      <c r="M1067" s="1" t="s">
        <v>205</v>
      </c>
      <c r="N1067" s="8" t="s">
        <v>206</v>
      </c>
      <c r="O1067" s="6">
        <v>0</v>
      </c>
      <c r="P1067" s="6">
        <v>0</v>
      </c>
      <c r="Q1067" s="6">
        <v>0</v>
      </c>
      <c r="R1067" s="6">
        <v>0</v>
      </c>
      <c r="S1067" s="6">
        <v>70</v>
      </c>
    </row>
    <row r="1068" spans="1:19" ht="15" hidden="1" x14ac:dyDescent="0.25">
      <c r="A1068" s="7" t="s">
        <v>16</v>
      </c>
      <c r="B1068" s="7" t="s">
        <v>21</v>
      </c>
      <c r="C1068" s="7" t="s">
        <v>18</v>
      </c>
      <c r="D1068" s="4">
        <v>1880344000103</v>
      </c>
      <c r="E1068" s="8" t="s">
        <v>941</v>
      </c>
      <c r="F1068" s="8" t="s">
        <v>93</v>
      </c>
      <c r="G1068" s="8" t="s">
        <v>68</v>
      </c>
      <c r="H1068" s="8" t="s">
        <v>215</v>
      </c>
      <c r="I1068" s="3">
        <v>2</v>
      </c>
      <c r="J1068" s="8" t="s">
        <v>157</v>
      </c>
      <c r="K1068" s="8" t="s">
        <v>158</v>
      </c>
      <c r="L1068" s="8" t="s">
        <v>557</v>
      </c>
      <c r="M1068" s="1" t="s">
        <v>205</v>
      </c>
      <c r="N1068" s="8" t="s">
        <v>206</v>
      </c>
      <c r="O1068" s="6">
        <v>0</v>
      </c>
      <c r="P1068" s="6">
        <v>0</v>
      </c>
      <c r="Q1068" s="6">
        <v>0</v>
      </c>
      <c r="R1068" s="6">
        <v>0</v>
      </c>
      <c r="S1068" s="6">
        <v>70</v>
      </c>
    </row>
    <row r="1069" spans="1:19" ht="15" hidden="1" x14ac:dyDescent="0.25">
      <c r="A1069" s="7" t="s">
        <v>16</v>
      </c>
      <c r="B1069" s="7" t="s">
        <v>21</v>
      </c>
      <c r="C1069" s="7" t="s">
        <v>18</v>
      </c>
      <c r="D1069" s="4">
        <v>60922168005226</v>
      </c>
      <c r="E1069" s="8" t="s">
        <v>977</v>
      </c>
      <c r="F1069" s="8" t="s">
        <v>93</v>
      </c>
      <c r="G1069" s="8" t="s">
        <v>68</v>
      </c>
      <c r="H1069" s="8" t="s">
        <v>215</v>
      </c>
      <c r="I1069" s="3">
        <v>2</v>
      </c>
      <c r="J1069" s="8" t="s">
        <v>175</v>
      </c>
      <c r="K1069" s="8" t="s">
        <v>176</v>
      </c>
      <c r="L1069" s="8" t="s">
        <v>556</v>
      </c>
      <c r="M1069" s="1" t="s">
        <v>205</v>
      </c>
      <c r="N1069" s="8" t="s">
        <v>206</v>
      </c>
      <c r="O1069" s="6">
        <v>0</v>
      </c>
      <c r="P1069" s="6">
        <v>0</v>
      </c>
      <c r="Q1069" s="6">
        <v>0</v>
      </c>
      <c r="R1069" s="6">
        <v>0</v>
      </c>
      <c r="S1069" s="6">
        <v>0</v>
      </c>
    </row>
    <row r="1070" spans="1:19" ht="15" hidden="1" x14ac:dyDescent="0.25">
      <c r="A1070" s="7" t="s">
        <v>16</v>
      </c>
      <c r="B1070" s="7" t="s">
        <v>21</v>
      </c>
      <c r="C1070" s="7" t="s">
        <v>18</v>
      </c>
      <c r="D1070" s="4">
        <v>60922168005226</v>
      </c>
      <c r="E1070" s="8" t="s">
        <v>977</v>
      </c>
      <c r="F1070" s="8" t="s">
        <v>93</v>
      </c>
      <c r="G1070" s="8" t="s">
        <v>68</v>
      </c>
      <c r="H1070" s="8" t="s">
        <v>215</v>
      </c>
      <c r="I1070" s="3">
        <v>2</v>
      </c>
      <c r="J1070" s="8" t="s">
        <v>157</v>
      </c>
      <c r="K1070" s="8" t="s">
        <v>158</v>
      </c>
      <c r="L1070" s="8" t="s">
        <v>557</v>
      </c>
      <c r="M1070" s="1" t="s">
        <v>205</v>
      </c>
      <c r="N1070" s="8" t="s">
        <v>206</v>
      </c>
      <c r="O1070" s="6">
        <v>0</v>
      </c>
      <c r="P1070" s="6">
        <v>2</v>
      </c>
      <c r="Q1070" s="6">
        <v>7</v>
      </c>
      <c r="R1070" s="6">
        <v>0</v>
      </c>
      <c r="S1070" s="6">
        <v>0</v>
      </c>
    </row>
    <row r="1071" spans="1:19" ht="15" hidden="1" x14ac:dyDescent="0.25">
      <c r="A1071" s="7" t="s">
        <v>16</v>
      </c>
      <c r="B1071" s="7" t="s">
        <v>21</v>
      </c>
      <c r="C1071" s="7" t="s">
        <v>18</v>
      </c>
      <c r="D1071" s="4">
        <v>1554266000300</v>
      </c>
      <c r="E1071" s="8" t="s">
        <v>940</v>
      </c>
      <c r="F1071" s="8" t="s">
        <v>113</v>
      </c>
      <c r="G1071" s="8" t="s">
        <v>68</v>
      </c>
      <c r="H1071" s="8" t="s">
        <v>215</v>
      </c>
      <c r="I1071" s="3">
        <v>2</v>
      </c>
      <c r="J1071" s="8" t="s">
        <v>175</v>
      </c>
      <c r="K1071" s="8" t="s">
        <v>176</v>
      </c>
      <c r="L1071" s="8" t="s">
        <v>556</v>
      </c>
      <c r="M1071" s="1" t="s">
        <v>205</v>
      </c>
      <c r="N1071" s="8" t="s">
        <v>206</v>
      </c>
      <c r="O1071" s="6">
        <v>0</v>
      </c>
      <c r="P1071" s="6">
        <v>0</v>
      </c>
      <c r="Q1071" s="6">
        <v>0</v>
      </c>
      <c r="R1071" s="6">
        <v>0</v>
      </c>
      <c r="S1071" s="6">
        <v>140</v>
      </c>
    </row>
    <row r="1072" spans="1:19" ht="15" hidden="1" x14ac:dyDescent="0.25">
      <c r="A1072" s="7" t="s">
        <v>16</v>
      </c>
      <c r="B1072" s="7" t="s">
        <v>21</v>
      </c>
      <c r="C1072" s="7" t="s">
        <v>18</v>
      </c>
      <c r="D1072" s="4">
        <v>1554266000300</v>
      </c>
      <c r="E1072" s="8" t="s">
        <v>940</v>
      </c>
      <c r="F1072" s="8" t="s">
        <v>113</v>
      </c>
      <c r="G1072" s="8" t="s">
        <v>68</v>
      </c>
      <c r="H1072" s="8" t="s">
        <v>215</v>
      </c>
      <c r="I1072" s="3">
        <v>2</v>
      </c>
      <c r="J1072" s="8" t="s">
        <v>157</v>
      </c>
      <c r="K1072" s="8" t="s">
        <v>158</v>
      </c>
      <c r="L1072" s="8" t="s">
        <v>557</v>
      </c>
      <c r="M1072" s="1" t="s">
        <v>205</v>
      </c>
      <c r="N1072" s="8" t="s">
        <v>206</v>
      </c>
      <c r="O1072" s="6">
        <v>0</v>
      </c>
      <c r="P1072" s="6">
        <v>0</v>
      </c>
      <c r="Q1072" s="6">
        <v>0</v>
      </c>
      <c r="R1072" s="6">
        <v>0</v>
      </c>
      <c r="S1072" s="6">
        <v>140</v>
      </c>
    </row>
    <row r="1073" spans="1:19" ht="15" hidden="1" x14ac:dyDescent="0.25">
      <c r="A1073" s="7" t="s">
        <v>16</v>
      </c>
      <c r="B1073" s="7" t="s">
        <v>21</v>
      </c>
      <c r="C1073" s="7" t="s">
        <v>18</v>
      </c>
      <c r="D1073" s="4">
        <v>1125832000105</v>
      </c>
      <c r="E1073" s="8" t="s">
        <v>935</v>
      </c>
      <c r="F1073" s="8" t="s">
        <v>930</v>
      </c>
      <c r="G1073" s="8" t="s">
        <v>68</v>
      </c>
      <c r="H1073" s="8" t="s">
        <v>215</v>
      </c>
      <c r="I1073" s="3">
        <v>2</v>
      </c>
      <c r="J1073" s="8" t="s">
        <v>175</v>
      </c>
      <c r="K1073" s="8" t="s">
        <v>176</v>
      </c>
      <c r="L1073" s="8" t="s">
        <v>556</v>
      </c>
      <c r="M1073" s="1" t="s">
        <v>205</v>
      </c>
      <c r="N1073" s="8" t="s">
        <v>206</v>
      </c>
      <c r="O1073" s="6">
        <v>0</v>
      </c>
      <c r="P1073" s="6">
        <v>0</v>
      </c>
      <c r="Q1073" s="6">
        <v>0</v>
      </c>
      <c r="R1073" s="6">
        <v>0</v>
      </c>
      <c r="S1073" s="6">
        <v>60</v>
      </c>
    </row>
    <row r="1074" spans="1:19" ht="15" hidden="1" x14ac:dyDescent="0.25">
      <c r="A1074" s="7" t="s">
        <v>16</v>
      </c>
      <c r="B1074" s="7" t="s">
        <v>21</v>
      </c>
      <c r="C1074" s="7" t="s">
        <v>18</v>
      </c>
      <c r="D1074" s="4">
        <v>1125832000105</v>
      </c>
      <c r="E1074" s="8" t="s">
        <v>935</v>
      </c>
      <c r="F1074" s="8" t="s">
        <v>930</v>
      </c>
      <c r="G1074" s="8" t="s">
        <v>68</v>
      </c>
      <c r="H1074" s="8" t="s">
        <v>215</v>
      </c>
      <c r="I1074" s="3">
        <v>2</v>
      </c>
      <c r="J1074" s="8" t="s">
        <v>157</v>
      </c>
      <c r="K1074" s="8" t="s">
        <v>158</v>
      </c>
      <c r="L1074" s="8" t="s">
        <v>557</v>
      </c>
      <c r="M1074" s="1" t="s">
        <v>205</v>
      </c>
      <c r="N1074" s="8" t="s">
        <v>206</v>
      </c>
      <c r="O1074" s="6">
        <v>0</v>
      </c>
      <c r="P1074" s="6">
        <v>0</v>
      </c>
      <c r="Q1074" s="6">
        <v>0</v>
      </c>
      <c r="R1074" s="6">
        <v>0</v>
      </c>
      <c r="S1074" s="6">
        <v>60</v>
      </c>
    </row>
    <row r="1075" spans="1:19" ht="15" hidden="1" x14ac:dyDescent="0.25">
      <c r="A1075" s="7" t="s">
        <v>16</v>
      </c>
      <c r="B1075" s="7" t="s">
        <v>21</v>
      </c>
      <c r="C1075" s="7" t="s">
        <v>18</v>
      </c>
      <c r="D1075" s="4">
        <v>80673411000187</v>
      </c>
      <c r="E1075" s="8" t="s">
        <v>999</v>
      </c>
      <c r="F1075" s="8" t="s">
        <v>930</v>
      </c>
      <c r="G1075" s="8" t="s">
        <v>68</v>
      </c>
      <c r="H1075" s="8" t="s">
        <v>215</v>
      </c>
      <c r="I1075" s="3">
        <v>2</v>
      </c>
      <c r="J1075" s="8" t="s">
        <v>175</v>
      </c>
      <c r="K1075" s="8" t="s">
        <v>176</v>
      </c>
      <c r="L1075" s="8" t="s">
        <v>556</v>
      </c>
      <c r="M1075" s="1" t="s">
        <v>205</v>
      </c>
      <c r="N1075" s="8" t="s">
        <v>206</v>
      </c>
      <c r="O1075" s="6">
        <v>0</v>
      </c>
      <c r="P1075" s="6">
        <v>0</v>
      </c>
      <c r="Q1075" s="6">
        <v>0</v>
      </c>
      <c r="R1075" s="6">
        <v>48</v>
      </c>
      <c r="S1075" s="6">
        <v>0</v>
      </c>
    </row>
    <row r="1076" spans="1:19" ht="15" hidden="1" x14ac:dyDescent="0.25">
      <c r="A1076" s="7" t="s">
        <v>16</v>
      </c>
      <c r="B1076" s="7" t="s">
        <v>21</v>
      </c>
      <c r="C1076" s="7" t="s">
        <v>18</v>
      </c>
      <c r="D1076" s="4">
        <v>80673411000187</v>
      </c>
      <c r="E1076" s="8" t="s">
        <v>999</v>
      </c>
      <c r="F1076" s="8" t="s">
        <v>930</v>
      </c>
      <c r="G1076" s="8" t="s">
        <v>68</v>
      </c>
      <c r="H1076" s="8" t="s">
        <v>215</v>
      </c>
      <c r="I1076" s="3">
        <v>2</v>
      </c>
      <c r="J1076" s="8" t="s">
        <v>157</v>
      </c>
      <c r="K1076" s="8" t="s">
        <v>158</v>
      </c>
      <c r="L1076" s="8" t="s">
        <v>557</v>
      </c>
      <c r="M1076" s="1" t="s">
        <v>205</v>
      </c>
      <c r="N1076" s="8" t="s">
        <v>206</v>
      </c>
      <c r="O1076" s="6">
        <v>0</v>
      </c>
      <c r="P1076" s="6">
        <v>0</v>
      </c>
      <c r="Q1076" s="6">
        <v>0</v>
      </c>
      <c r="R1076" s="6">
        <v>0</v>
      </c>
      <c r="S1076" s="6">
        <v>0</v>
      </c>
    </row>
    <row r="1077" spans="1:19" ht="15" hidden="1" x14ac:dyDescent="0.25">
      <c r="A1077" s="7" t="s">
        <v>16</v>
      </c>
      <c r="B1077" s="7" t="s">
        <v>21</v>
      </c>
      <c r="C1077" s="7" t="s">
        <v>18</v>
      </c>
      <c r="D1077" s="4">
        <v>83899526000425</v>
      </c>
      <c r="E1077" s="8" t="s">
        <v>1010</v>
      </c>
      <c r="F1077" s="8" t="s">
        <v>930</v>
      </c>
      <c r="G1077" s="8" t="s">
        <v>68</v>
      </c>
      <c r="H1077" s="8" t="s">
        <v>215</v>
      </c>
      <c r="I1077" s="3">
        <v>2</v>
      </c>
      <c r="J1077" s="8" t="s">
        <v>175</v>
      </c>
      <c r="K1077" s="8" t="s">
        <v>176</v>
      </c>
      <c r="L1077" s="8" t="s">
        <v>556</v>
      </c>
      <c r="M1077" s="1" t="s">
        <v>205</v>
      </c>
      <c r="N1077" s="8" t="s">
        <v>206</v>
      </c>
      <c r="O1077" s="6">
        <v>0</v>
      </c>
      <c r="P1077" s="6">
        <v>0</v>
      </c>
      <c r="Q1077" s="6">
        <v>0</v>
      </c>
      <c r="R1077" s="6">
        <v>0</v>
      </c>
      <c r="S1077" s="6">
        <v>0</v>
      </c>
    </row>
    <row r="1078" spans="1:19" ht="15" hidden="1" x14ac:dyDescent="0.25">
      <c r="A1078" s="7" t="s">
        <v>16</v>
      </c>
      <c r="B1078" s="7" t="s">
        <v>21</v>
      </c>
      <c r="C1078" s="7" t="s">
        <v>18</v>
      </c>
      <c r="D1078" s="4">
        <v>83899526000425</v>
      </c>
      <c r="E1078" s="8" t="s">
        <v>1010</v>
      </c>
      <c r="F1078" s="8" t="s">
        <v>930</v>
      </c>
      <c r="G1078" s="8" t="s">
        <v>68</v>
      </c>
      <c r="H1078" s="8" t="s">
        <v>215</v>
      </c>
      <c r="I1078" s="3">
        <v>2</v>
      </c>
      <c r="J1078" s="8" t="s">
        <v>157</v>
      </c>
      <c r="K1078" s="8" t="s">
        <v>158</v>
      </c>
      <c r="L1078" s="8" t="s">
        <v>557</v>
      </c>
      <c r="M1078" s="1" t="s">
        <v>205</v>
      </c>
      <c r="N1078" s="8" t="s">
        <v>206</v>
      </c>
      <c r="O1078" s="6">
        <v>0</v>
      </c>
      <c r="P1078" s="6">
        <v>0</v>
      </c>
      <c r="Q1078" s="6">
        <v>3</v>
      </c>
      <c r="R1078" s="6">
        <v>0</v>
      </c>
      <c r="S1078" s="6">
        <v>0</v>
      </c>
    </row>
    <row r="1079" spans="1:19" ht="15" hidden="1" x14ac:dyDescent="0.25">
      <c r="A1079" s="7" t="s">
        <v>16</v>
      </c>
      <c r="B1079" s="7" t="s">
        <v>21</v>
      </c>
      <c r="C1079" s="7" t="s">
        <v>18</v>
      </c>
      <c r="D1079" s="4">
        <v>4670913000176</v>
      </c>
      <c r="E1079" s="8" t="s">
        <v>949</v>
      </c>
      <c r="F1079" s="8" t="s">
        <v>930</v>
      </c>
      <c r="G1079" s="8" t="s">
        <v>68</v>
      </c>
      <c r="H1079" s="8" t="s">
        <v>215</v>
      </c>
      <c r="I1079" s="3">
        <v>2</v>
      </c>
      <c r="J1079" s="8" t="s">
        <v>175</v>
      </c>
      <c r="K1079" s="8" t="s">
        <v>176</v>
      </c>
      <c r="L1079" s="8" t="s">
        <v>556</v>
      </c>
      <c r="M1079" s="1" t="s">
        <v>205</v>
      </c>
      <c r="N1079" s="8" t="s">
        <v>206</v>
      </c>
      <c r="O1079" s="6">
        <v>0</v>
      </c>
      <c r="P1079" s="6">
        <v>0</v>
      </c>
      <c r="Q1079" s="6">
        <v>0</v>
      </c>
      <c r="R1079" s="6">
        <v>0</v>
      </c>
      <c r="S1079" s="6">
        <v>245</v>
      </c>
    </row>
    <row r="1080" spans="1:19" ht="15" hidden="1" x14ac:dyDescent="0.25">
      <c r="A1080" s="7" t="s">
        <v>16</v>
      </c>
      <c r="B1080" s="7" t="s">
        <v>21</v>
      </c>
      <c r="C1080" s="7" t="s">
        <v>18</v>
      </c>
      <c r="D1080" s="4">
        <v>4670913000176</v>
      </c>
      <c r="E1080" s="8" t="s">
        <v>949</v>
      </c>
      <c r="F1080" s="8" t="s">
        <v>930</v>
      </c>
      <c r="G1080" s="8" t="s">
        <v>68</v>
      </c>
      <c r="H1080" s="8" t="s">
        <v>215</v>
      </c>
      <c r="I1080" s="3">
        <v>2</v>
      </c>
      <c r="J1080" s="8" t="s">
        <v>157</v>
      </c>
      <c r="K1080" s="8" t="s">
        <v>158</v>
      </c>
      <c r="L1080" s="8" t="s">
        <v>557</v>
      </c>
      <c r="M1080" s="1" t="s">
        <v>205</v>
      </c>
      <c r="N1080" s="8" t="s">
        <v>206</v>
      </c>
      <c r="O1080" s="6">
        <v>0</v>
      </c>
      <c r="P1080" s="6">
        <v>0</v>
      </c>
      <c r="Q1080" s="6">
        <v>0</v>
      </c>
      <c r="R1080" s="6">
        <v>0</v>
      </c>
      <c r="S1080" s="6">
        <v>245</v>
      </c>
    </row>
    <row r="1081" spans="1:19" ht="15" hidden="1" x14ac:dyDescent="0.25">
      <c r="A1081" s="7" t="s">
        <v>16</v>
      </c>
      <c r="B1081" s="7" t="s">
        <v>21</v>
      </c>
      <c r="C1081" s="7" t="s">
        <v>18</v>
      </c>
      <c r="D1081" s="4">
        <v>12361267004261</v>
      </c>
      <c r="E1081" s="8" t="s">
        <v>964</v>
      </c>
      <c r="F1081" s="8" t="s">
        <v>125</v>
      </c>
      <c r="G1081" s="8" t="s">
        <v>68</v>
      </c>
      <c r="H1081" s="8" t="s">
        <v>215</v>
      </c>
      <c r="I1081" s="3">
        <v>2</v>
      </c>
      <c r="J1081" s="8" t="s">
        <v>175</v>
      </c>
      <c r="K1081" s="8" t="s">
        <v>176</v>
      </c>
      <c r="L1081" s="8" t="s">
        <v>556</v>
      </c>
      <c r="M1081" s="1" t="s">
        <v>205</v>
      </c>
      <c r="N1081" s="8" t="s">
        <v>206</v>
      </c>
      <c r="O1081" s="6">
        <v>0</v>
      </c>
      <c r="P1081" s="6">
        <v>0</v>
      </c>
      <c r="Q1081" s="6">
        <v>0</v>
      </c>
      <c r="R1081" s="6">
        <v>0</v>
      </c>
      <c r="S1081" s="6">
        <v>120</v>
      </c>
    </row>
    <row r="1082" spans="1:19" ht="15" hidden="1" x14ac:dyDescent="0.25">
      <c r="A1082" s="7" t="s">
        <v>16</v>
      </c>
      <c r="B1082" s="7" t="s">
        <v>21</v>
      </c>
      <c r="C1082" s="7" t="s">
        <v>18</v>
      </c>
      <c r="D1082" s="4">
        <v>12361267004261</v>
      </c>
      <c r="E1082" s="8" t="s">
        <v>964</v>
      </c>
      <c r="F1082" s="8" t="s">
        <v>125</v>
      </c>
      <c r="G1082" s="8" t="s">
        <v>68</v>
      </c>
      <c r="H1082" s="8" t="s">
        <v>215</v>
      </c>
      <c r="I1082" s="3">
        <v>2</v>
      </c>
      <c r="J1082" s="8" t="s">
        <v>157</v>
      </c>
      <c r="K1082" s="8" t="s">
        <v>158</v>
      </c>
      <c r="L1082" s="8" t="s">
        <v>557</v>
      </c>
      <c r="M1082" s="1" t="s">
        <v>205</v>
      </c>
      <c r="N1082" s="8" t="s">
        <v>206</v>
      </c>
      <c r="O1082" s="6">
        <v>0</v>
      </c>
      <c r="P1082" s="6">
        <v>0</v>
      </c>
      <c r="Q1082" s="6">
        <v>0</v>
      </c>
      <c r="R1082" s="6">
        <v>0</v>
      </c>
      <c r="S1082" s="6">
        <v>120</v>
      </c>
    </row>
    <row r="1083" spans="1:19" ht="15" hidden="1" x14ac:dyDescent="0.25">
      <c r="A1083" s="7" t="s">
        <v>16</v>
      </c>
      <c r="B1083" s="7" t="s">
        <v>21</v>
      </c>
      <c r="C1083" s="7" t="s">
        <v>18</v>
      </c>
      <c r="D1083" s="4">
        <v>77858611001414</v>
      </c>
      <c r="E1083" s="8" t="s">
        <v>991</v>
      </c>
      <c r="F1083" s="8" t="s">
        <v>969</v>
      </c>
      <c r="G1083" s="8" t="s">
        <v>68</v>
      </c>
      <c r="H1083" s="8" t="s">
        <v>215</v>
      </c>
      <c r="I1083" s="3">
        <v>2</v>
      </c>
      <c r="J1083" s="8" t="s">
        <v>175</v>
      </c>
      <c r="K1083" s="8" t="s">
        <v>176</v>
      </c>
      <c r="L1083" s="8" t="s">
        <v>556</v>
      </c>
      <c r="M1083" s="1" t="s">
        <v>205</v>
      </c>
      <c r="N1083" s="8" t="s">
        <v>206</v>
      </c>
      <c r="O1083" s="6">
        <v>0</v>
      </c>
      <c r="P1083" s="6">
        <v>0</v>
      </c>
      <c r="Q1083" s="6">
        <v>0</v>
      </c>
      <c r="R1083" s="6">
        <v>0</v>
      </c>
      <c r="S1083" s="6">
        <v>0</v>
      </c>
    </row>
    <row r="1084" spans="1:19" ht="15" hidden="1" x14ac:dyDescent="0.25">
      <c r="A1084" s="7" t="s">
        <v>16</v>
      </c>
      <c r="B1084" s="7" t="s">
        <v>21</v>
      </c>
      <c r="C1084" s="7" t="s">
        <v>18</v>
      </c>
      <c r="D1084" s="4">
        <v>77858611001414</v>
      </c>
      <c r="E1084" s="8" t="s">
        <v>991</v>
      </c>
      <c r="F1084" s="8" t="s">
        <v>969</v>
      </c>
      <c r="G1084" s="8" t="s">
        <v>68</v>
      </c>
      <c r="H1084" s="8" t="s">
        <v>215</v>
      </c>
      <c r="I1084" s="3">
        <v>2</v>
      </c>
      <c r="J1084" s="8" t="s">
        <v>157</v>
      </c>
      <c r="K1084" s="8" t="s">
        <v>158</v>
      </c>
      <c r="L1084" s="8" t="s">
        <v>557</v>
      </c>
      <c r="M1084" s="1" t="s">
        <v>205</v>
      </c>
      <c r="N1084" s="8" t="s">
        <v>206</v>
      </c>
      <c r="O1084" s="6">
        <v>0</v>
      </c>
      <c r="P1084" s="6">
        <v>5</v>
      </c>
      <c r="Q1084" s="6">
        <v>0</v>
      </c>
      <c r="R1084" s="6">
        <v>0</v>
      </c>
      <c r="S1084" s="6">
        <v>0</v>
      </c>
    </row>
    <row r="1085" spans="1:19" ht="15" hidden="1" x14ac:dyDescent="0.25">
      <c r="A1085" s="7" t="s">
        <v>16</v>
      </c>
      <c r="B1085" s="7" t="s">
        <v>21</v>
      </c>
      <c r="C1085" s="7" t="s">
        <v>18</v>
      </c>
      <c r="D1085" s="4">
        <v>80490618000116</v>
      </c>
      <c r="E1085" s="8" t="s">
        <v>997</v>
      </c>
      <c r="F1085" s="8" t="s">
        <v>998</v>
      </c>
      <c r="G1085" s="8" t="s">
        <v>68</v>
      </c>
      <c r="H1085" s="8" t="s">
        <v>215</v>
      </c>
      <c r="I1085" s="3">
        <v>2</v>
      </c>
      <c r="J1085" s="8" t="s">
        <v>175</v>
      </c>
      <c r="K1085" s="8" t="s">
        <v>176</v>
      </c>
      <c r="L1085" s="8" t="s">
        <v>556</v>
      </c>
      <c r="M1085" s="1" t="s">
        <v>205</v>
      </c>
      <c r="N1085" s="8" t="s">
        <v>206</v>
      </c>
      <c r="O1085" s="6">
        <v>0</v>
      </c>
      <c r="P1085" s="6">
        <v>0</v>
      </c>
      <c r="Q1085" s="6">
        <v>0</v>
      </c>
      <c r="R1085" s="6">
        <v>0</v>
      </c>
      <c r="S1085" s="6">
        <v>60</v>
      </c>
    </row>
    <row r="1086" spans="1:19" ht="15" hidden="1" x14ac:dyDescent="0.25">
      <c r="A1086" s="7" t="s">
        <v>16</v>
      </c>
      <c r="B1086" s="7" t="s">
        <v>21</v>
      </c>
      <c r="C1086" s="7" t="s">
        <v>18</v>
      </c>
      <c r="D1086" s="4">
        <v>80490618000116</v>
      </c>
      <c r="E1086" s="8" t="s">
        <v>997</v>
      </c>
      <c r="F1086" s="8" t="s">
        <v>998</v>
      </c>
      <c r="G1086" s="8" t="s">
        <v>68</v>
      </c>
      <c r="H1086" s="8" t="s">
        <v>215</v>
      </c>
      <c r="I1086" s="3">
        <v>2</v>
      </c>
      <c r="J1086" s="8" t="s">
        <v>157</v>
      </c>
      <c r="K1086" s="8" t="s">
        <v>158</v>
      </c>
      <c r="L1086" s="8" t="s">
        <v>557</v>
      </c>
      <c r="M1086" s="1" t="s">
        <v>205</v>
      </c>
      <c r="N1086" s="8" t="s">
        <v>206</v>
      </c>
      <c r="O1086" s="6">
        <v>0</v>
      </c>
      <c r="P1086" s="6">
        <v>0</v>
      </c>
      <c r="Q1086" s="6">
        <v>0</v>
      </c>
      <c r="R1086" s="6">
        <v>0</v>
      </c>
      <c r="S1086" s="6">
        <v>60</v>
      </c>
    </row>
    <row r="1087" spans="1:19" ht="15" hidden="1" x14ac:dyDescent="0.25">
      <c r="A1087" s="7" t="s">
        <v>16</v>
      </c>
      <c r="B1087" s="7" t="s">
        <v>21</v>
      </c>
      <c r="C1087" s="7" t="s">
        <v>18</v>
      </c>
      <c r="D1087" s="4">
        <v>12361267000517</v>
      </c>
      <c r="E1087" s="8" t="s">
        <v>849</v>
      </c>
      <c r="F1087" s="8" t="s">
        <v>84</v>
      </c>
      <c r="G1087" s="8" t="s">
        <v>85</v>
      </c>
      <c r="H1087" s="8" t="s">
        <v>215</v>
      </c>
      <c r="I1087" s="3">
        <v>2</v>
      </c>
      <c r="J1087" s="8" t="s">
        <v>199</v>
      </c>
      <c r="K1087" s="8" t="s">
        <v>200</v>
      </c>
      <c r="L1087" s="8" t="s">
        <v>556</v>
      </c>
      <c r="M1087" s="1" t="s">
        <v>211</v>
      </c>
      <c r="N1087" s="8" t="s">
        <v>212</v>
      </c>
      <c r="O1087" s="6">
        <v>0</v>
      </c>
      <c r="P1087" s="6">
        <v>0</v>
      </c>
      <c r="Q1087" s="6">
        <v>0</v>
      </c>
      <c r="R1087" s="6">
        <v>0</v>
      </c>
      <c r="S1087" s="6">
        <v>85</v>
      </c>
    </row>
    <row r="1088" spans="1:19" ht="15" hidden="1" x14ac:dyDescent="0.25">
      <c r="A1088" s="7" t="s">
        <v>16</v>
      </c>
      <c r="B1088" s="7" t="s">
        <v>21</v>
      </c>
      <c r="C1088" s="7" t="s">
        <v>18</v>
      </c>
      <c r="D1088" s="4">
        <v>12361267000517</v>
      </c>
      <c r="E1088" s="8" t="s">
        <v>849</v>
      </c>
      <c r="F1088" s="8" t="s">
        <v>84</v>
      </c>
      <c r="G1088" s="8" t="s">
        <v>85</v>
      </c>
      <c r="H1088" s="8" t="s">
        <v>215</v>
      </c>
      <c r="I1088" s="3">
        <v>2</v>
      </c>
      <c r="J1088" s="8" t="s">
        <v>167</v>
      </c>
      <c r="K1088" s="8" t="s">
        <v>168</v>
      </c>
      <c r="L1088" s="8" t="s">
        <v>557</v>
      </c>
      <c r="M1088" s="1" t="s">
        <v>211</v>
      </c>
      <c r="N1088" s="8" t="s">
        <v>212</v>
      </c>
      <c r="O1088" s="6">
        <v>0</v>
      </c>
      <c r="P1088" s="6">
        <v>0</v>
      </c>
      <c r="Q1088" s="6">
        <v>0</v>
      </c>
      <c r="R1088" s="6">
        <v>0</v>
      </c>
      <c r="S1088" s="6">
        <v>85</v>
      </c>
    </row>
    <row r="1089" spans="1:19" ht="15" hidden="1" x14ac:dyDescent="0.25">
      <c r="A1089" s="7" t="s">
        <v>16</v>
      </c>
      <c r="B1089" s="7" t="s">
        <v>21</v>
      </c>
      <c r="C1089" s="7" t="s">
        <v>18</v>
      </c>
      <c r="D1089" s="4">
        <v>13086053000119</v>
      </c>
      <c r="E1089" s="8" t="s">
        <v>869</v>
      </c>
      <c r="F1089" s="8" t="s">
        <v>84</v>
      </c>
      <c r="G1089" s="8" t="s">
        <v>85</v>
      </c>
      <c r="H1089" s="8" t="s">
        <v>215</v>
      </c>
      <c r="I1089" s="3">
        <v>2</v>
      </c>
      <c r="J1089" s="8" t="s">
        <v>199</v>
      </c>
      <c r="K1089" s="8" t="s">
        <v>200</v>
      </c>
      <c r="L1089" s="8" t="s">
        <v>556</v>
      </c>
      <c r="M1089" s="1" t="s">
        <v>211</v>
      </c>
      <c r="N1089" s="8" t="s">
        <v>212</v>
      </c>
      <c r="O1089" s="6">
        <v>0</v>
      </c>
      <c r="P1089" s="6">
        <v>0</v>
      </c>
      <c r="Q1089" s="6">
        <v>0</v>
      </c>
      <c r="R1089" s="6">
        <v>0</v>
      </c>
      <c r="S1089" s="6">
        <v>5</v>
      </c>
    </row>
    <row r="1090" spans="1:19" ht="15" hidden="1" x14ac:dyDescent="0.25">
      <c r="A1090" s="7" t="s">
        <v>16</v>
      </c>
      <c r="B1090" s="7" t="s">
        <v>21</v>
      </c>
      <c r="C1090" s="7" t="s">
        <v>18</v>
      </c>
      <c r="D1090" s="4">
        <v>13086053000119</v>
      </c>
      <c r="E1090" s="8" t="s">
        <v>869</v>
      </c>
      <c r="F1090" s="8" t="s">
        <v>84</v>
      </c>
      <c r="G1090" s="8" t="s">
        <v>85</v>
      </c>
      <c r="H1090" s="8" t="s">
        <v>215</v>
      </c>
      <c r="I1090" s="3">
        <v>2</v>
      </c>
      <c r="J1090" s="8" t="s">
        <v>167</v>
      </c>
      <c r="K1090" s="8" t="s">
        <v>168</v>
      </c>
      <c r="L1090" s="8" t="s">
        <v>557</v>
      </c>
      <c r="M1090" s="1" t="s">
        <v>211</v>
      </c>
      <c r="N1090" s="8" t="s">
        <v>212</v>
      </c>
      <c r="O1090" s="6">
        <v>0</v>
      </c>
      <c r="P1090" s="6">
        <v>0</v>
      </c>
      <c r="Q1090" s="6">
        <v>0</v>
      </c>
      <c r="R1090" s="6">
        <v>0</v>
      </c>
      <c r="S1090" s="6">
        <v>5</v>
      </c>
    </row>
    <row r="1091" spans="1:19" ht="15" hidden="1" x14ac:dyDescent="0.25">
      <c r="A1091" s="7" t="s">
        <v>16</v>
      </c>
      <c r="B1091" s="7" t="s">
        <v>21</v>
      </c>
      <c r="C1091" s="7" t="s">
        <v>18</v>
      </c>
      <c r="D1091" s="4">
        <v>13016332000106</v>
      </c>
      <c r="E1091" s="8" t="s">
        <v>868</v>
      </c>
      <c r="F1091" s="8" t="s">
        <v>84</v>
      </c>
      <c r="G1091" s="8" t="s">
        <v>85</v>
      </c>
      <c r="H1091" s="8" t="s">
        <v>215</v>
      </c>
      <c r="I1091" s="3">
        <v>2</v>
      </c>
      <c r="J1091" s="8" t="s">
        <v>199</v>
      </c>
      <c r="K1091" s="8" t="s">
        <v>200</v>
      </c>
      <c r="L1091" s="8" t="s">
        <v>556</v>
      </c>
      <c r="M1091" s="1" t="s">
        <v>211</v>
      </c>
      <c r="N1091" s="8" t="s">
        <v>212</v>
      </c>
      <c r="O1091" s="6">
        <v>0</v>
      </c>
      <c r="P1091" s="6">
        <v>0</v>
      </c>
      <c r="Q1091" s="6">
        <v>0</v>
      </c>
      <c r="R1091" s="6">
        <v>0</v>
      </c>
      <c r="S1091" s="6">
        <v>0</v>
      </c>
    </row>
    <row r="1092" spans="1:19" ht="15" hidden="1" x14ac:dyDescent="0.25">
      <c r="A1092" s="7" t="s">
        <v>16</v>
      </c>
      <c r="B1092" s="7" t="s">
        <v>21</v>
      </c>
      <c r="C1092" s="7" t="s">
        <v>18</v>
      </c>
      <c r="D1092" s="4">
        <v>13016332000106</v>
      </c>
      <c r="E1092" s="8" t="s">
        <v>868</v>
      </c>
      <c r="F1092" s="8" t="s">
        <v>84</v>
      </c>
      <c r="G1092" s="8" t="s">
        <v>85</v>
      </c>
      <c r="H1092" s="8" t="s">
        <v>215</v>
      </c>
      <c r="I1092" s="3">
        <v>2</v>
      </c>
      <c r="J1092" s="8" t="s">
        <v>167</v>
      </c>
      <c r="K1092" s="8" t="s">
        <v>168</v>
      </c>
      <c r="L1092" s="8" t="s">
        <v>557</v>
      </c>
      <c r="M1092" s="1" t="s">
        <v>211</v>
      </c>
      <c r="N1092" s="8" t="s">
        <v>212</v>
      </c>
      <c r="O1092" s="6">
        <v>0</v>
      </c>
      <c r="P1092" s="6">
        <v>0</v>
      </c>
      <c r="Q1092" s="6">
        <v>6</v>
      </c>
      <c r="R1092" s="6">
        <v>0</v>
      </c>
      <c r="S1092" s="6">
        <v>0</v>
      </c>
    </row>
    <row r="1093" spans="1:19" ht="15" hidden="1" x14ac:dyDescent="0.25">
      <c r="A1093" s="7" t="s">
        <v>16</v>
      </c>
      <c r="B1093" s="7" t="s">
        <v>21</v>
      </c>
      <c r="C1093" s="7" t="s">
        <v>18</v>
      </c>
      <c r="D1093" s="4">
        <v>13131370000100</v>
      </c>
      <c r="E1093" s="8" t="s">
        <v>870</v>
      </c>
      <c r="F1093" s="8" t="s">
        <v>84</v>
      </c>
      <c r="G1093" s="8" t="s">
        <v>85</v>
      </c>
      <c r="H1093" s="8" t="s">
        <v>215</v>
      </c>
      <c r="I1093" s="3">
        <v>2</v>
      </c>
      <c r="J1093" s="8" t="s">
        <v>199</v>
      </c>
      <c r="K1093" s="8" t="s">
        <v>200</v>
      </c>
      <c r="L1093" s="8" t="s">
        <v>556</v>
      </c>
      <c r="M1093" s="1" t="s">
        <v>211</v>
      </c>
      <c r="N1093" s="8" t="s">
        <v>212</v>
      </c>
      <c r="O1093" s="6">
        <v>0</v>
      </c>
      <c r="P1093" s="6">
        <v>0</v>
      </c>
      <c r="Q1093" s="6">
        <v>0</v>
      </c>
      <c r="R1093" s="6">
        <v>44</v>
      </c>
      <c r="S1093" s="6">
        <v>400</v>
      </c>
    </row>
    <row r="1094" spans="1:19" ht="15" hidden="1" x14ac:dyDescent="0.25">
      <c r="A1094" s="7" t="s">
        <v>16</v>
      </c>
      <c r="B1094" s="7" t="s">
        <v>21</v>
      </c>
      <c r="C1094" s="7" t="s">
        <v>18</v>
      </c>
      <c r="D1094" s="4">
        <v>13131370000100</v>
      </c>
      <c r="E1094" s="8" t="s">
        <v>870</v>
      </c>
      <c r="F1094" s="8" t="s">
        <v>84</v>
      </c>
      <c r="G1094" s="8" t="s">
        <v>85</v>
      </c>
      <c r="H1094" s="8" t="s">
        <v>215</v>
      </c>
      <c r="I1094" s="3">
        <v>2</v>
      </c>
      <c r="J1094" s="8" t="s">
        <v>167</v>
      </c>
      <c r="K1094" s="8" t="s">
        <v>168</v>
      </c>
      <c r="L1094" s="8" t="s">
        <v>557</v>
      </c>
      <c r="M1094" s="1" t="s">
        <v>211</v>
      </c>
      <c r="N1094" s="8" t="s">
        <v>212</v>
      </c>
      <c r="O1094" s="6">
        <v>0</v>
      </c>
      <c r="P1094" s="6">
        <v>0</v>
      </c>
      <c r="Q1094" s="6">
        <v>6</v>
      </c>
      <c r="R1094" s="6">
        <v>0</v>
      </c>
      <c r="S1094" s="6">
        <v>400</v>
      </c>
    </row>
    <row r="1095" spans="1:19" ht="15" hidden="1" x14ac:dyDescent="0.25">
      <c r="A1095" s="7" t="s">
        <v>16</v>
      </c>
      <c r="B1095" s="7" t="s">
        <v>21</v>
      </c>
      <c r="C1095" s="7" t="s">
        <v>18</v>
      </c>
      <c r="D1095" s="4">
        <v>15592785000106</v>
      </c>
      <c r="E1095" s="8" t="s">
        <v>897</v>
      </c>
      <c r="F1095" s="8" t="s">
        <v>84</v>
      </c>
      <c r="G1095" s="8" t="s">
        <v>85</v>
      </c>
      <c r="H1095" s="8" t="s">
        <v>215</v>
      </c>
      <c r="I1095" s="3">
        <v>2</v>
      </c>
      <c r="J1095" s="8" t="s">
        <v>199</v>
      </c>
      <c r="K1095" s="8" t="s">
        <v>200</v>
      </c>
      <c r="L1095" s="8" t="s">
        <v>556</v>
      </c>
      <c r="M1095" s="1" t="s">
        <v>211</v>
      </c>
      <c r="N1095" s="8" t="s">
        <v>212</v>
      </c>
      <c r="O1095" s="6">
        <v>0</v>
      </c>
      <c r="P1095" s="6">
        <v>0</v>
      </c>
      <c r="Q1095" s="6">
        <v>0</v>
      </c>
      <c r="R1095" s="6">
        <v>0</v>
      </c>
      <c r="S1095" s="6">
        <v>25</v>
      </c>
    </row>
    <row r="1096" spans="1:19" ht="15" hidden="1" x14ac:dyDescent="0.25">
      <c r="A1096" s="7" t="s">
        <v>16</v>
      </c>
      <c r="B1096" s="7" t="s">
        <v>21</v>
      </c>
      <c r="C1096" s="7" t="s">
        <v>18</v>
      </c>
      <c r="D1096" s="4">
        <v>15592785000106</v>
      </c>
      <c r="E1096" s="8" t="s">
        <v>897</v>
      </c>
      <c r="F1096" s="8" t="s">
        <v>84</v>
      </c>
      <c r="G1096" s="8" t="s">
        <v>85</v>
      </c>
      <c r="H1096" s="8" t="s">
        <v>215</v>
      </c>
      <c r="I1096" s="3">
        <v>2</v>
      </c>
      <c r="J1096" s="8" t="s">
        <v>167</v>
      </c>
      <c r="K1096" s="8" t="s">
        <v>168</v>
      </c>
      <c r="L1096" s="8" t="s">
        <v>557</v>
      </c>
      <c r="M1096" s="1" t="s">
        <v>211</v>
      </c>
      <c r="N1096" s="8" t="s">
        <v>212</v>
      </c>
      <c r="O1096" s="6">
        <v>0</v>
      </c>
      <c r="P1096" s="6">
        <v>0</v>
      </c>
      <c r="Q1096" s="6">
        <v>0</v>
      </c>
      <c r="R1096" s="6">
        <v>0</v>
      </c>
      <c r="S1096" s="6">
        <v>25</v>
      </c>
    </row>
    <row r="1097" spans="1:19" ht="15" hidden="1" x14ac:dyDescent="0.25">
      <c r="A1097" s="7" t="s">
        <v>16</v>
      </c>
      <c r="B1097" s="7" t="s">
        <v>21</v>
      </c>
      <c r="C1097" s="7" t="s">
        <v>18</v>
      </c>
      <c r="D1097" s="4">
        <v>3091003000176</v>
      </c>
      <c r="E1097" s="8" t="s">
        <v>782</v>
      </c>
      <c r="F1097" s="8" t="s">
        <v>84</v>
      </c>
      <c r="G1097" s="8" t="s">
        <v>85</v>
      </c>
      <c r="H1097" s="8" t="s">
        <v>215</v>
      </c>
      <c r="I1097" s="3">
        <v>2</v>
      </c>
      <c r="J1097" s="8" t="s">
        <v>199</v>
      </c>
      <c r="K1097" s="8" t="s">
        <v>200</v>
      </c>
      <c r="L1097" s="8" t="s">
        <v>556</v>
      </c>
      <c r="M1097" s="1" t="s">
        <v>211</v>
      </c>
      <c r="N1097" s="8" t="s">
        <v>212</v>
      </c>
      <c r="O1097" s="6">
        <v>0</v>
      </c>
      <c r="P1097" s="6">
        <v>0</v>
      </c>
      <c r="Q1097" s="6">
        <v>0</v>
      </c>
      <c r="R1097" s="6">
        <v>0</v>
      </c>
      <c r="S1097" s="6">
        <v>175</v>
      </c>
    </row>
    <row r="1098" spans="1:19" ht="15" hidden="1" x14ac:dyDescent="0.25">
      <c r="A1098" s="7" t="s">
        <v>16</v>
      </c>
      <c r="B1098" s="7" t="s">
        <v>21</v>
      </c>
      <c r="C1098" s="7" t="s">
        <v>18</v>
      </c>
      <c r="D1098" s="4">
        <v>3091003000176</v>
      </c>
      <c r="E1098" s="8" t="s">
        <v>782</v>
      </c>
      <c r="F1098" s="8" t="s">
        <v>84</v>
      </c>
      <c r="G1098" s="8" t="s">
        <v>85</v>
      </c>
      <c r="H1098" s="8" t="s">
        <v>215</v>
      </c>
      <c r="I1098" s="3">
        <v>2</v>
      </c>
      <c r="J1098" s="8" t="s">
        <v>167</v>
      </c>
      <c r="K1098" s="8" t="s">
        <v>168</v>
      </c>
      <c r="L1098" s="8" t="s">
        <v>557</v>
      </c>
      <c r="M1098" s="1" t="s">
        <v>211</v>
      </c>
      <c r="N1098" s="8" t="s">
        <v>212</v>
      </c>
      <c r="O1098" s="6">
        <v>0</v>
      </c>
      <c r="P1098" s="6">
        <v>0</v>
      </c>
      <c r="Q1098" s="6">
        <v>0</v>
      </c>
      <c r="R1098" s="6">
        <v>0</v>
      </c>
      <c r="S1098" s="6">
        <v>175</v>
      </c>
    </row>
    <row r="1099" spans="1:19" ht="15" hidden="1" x14ac:dyDescent="0.25">
      <c r="A1099" s="7" t="s">
        <v>16</v>
      </c>
      <c r="B1099" s="7" t="s">
        <v>21</v>
      </c>
      <c r="C1099" s="7" t="s">
        <v>18</v>
      </c>
      <c r="D1099" s="4">
        <v>16064313000577</v>
      </c>
      <c r="E1099" s="8" t="s">
        <v>898</v>
      </c>
      <c r="F1099" s="8" t="s">
        <v>84</v>
      </c>
      <c r="G1099" s="8" t="s">
        <v>85</v>
      </c>
      <c r="H1099" s="8" t="s">
        <v>215</v>
      </c>
      <c r="I1099" s="3">
        <v>2</v>
      </c>
      <c r="J1099" s="8" t="s">
        <v>199</v>
      </c>
      <c r="K1099" s="8" t="s">
        <v>200</v>
      </c>
      <c r="L1099" s="8" t="s">
        <v>556</v>
      </c>
      <c r="M1099" s="1" t="s">
        <v>211</v>
      </c>
      <c r="N1099" s="8" t="s">
        <v>212</v>
      </c>
      <c r="O1099" s="6">
        <v>0</v>
      </c>
      <c r="P1099" s="6">
        <v>0</v>
      </c>
      <c r="Q1099" s="6">
        <v>0</v>
      </c>
      <c r="R1099" s="6">
        <v>23</v>
      </c>
      <c r="S1099" s="6">
        <v>0</v>
      </c>
    </row>
    <row r="1100" spans="1:19" ht="15" hidden="1" x14ac:dyDescent="0.25">
      <c r="A1100" s="7" t="s">
        <v>16</v>
      </c>
      <c r="B1100" s="7" t="s">
        <v>21</v>
      </c>
      <c r="C1100" s="7" t="s">
        <v>18</v>
      </c>
      <c r="D1100" s="4">
        <v>16064313000577</v>
      </c>
      <c r="E1100" s="8" t="s">
        <v>898</v>
      </c>
      <c r="F1100" s="8" t="s">
        <v>84</v>
      </c>
      <c r="G1100" s="8" t="s">
        <v>85</v>
      </c>
      <c r="H1100" s="8" t="s">
        <v>215</v>
      </c>
      <c r="I1100" s="3">
        <v>2</v>
      </c>
      <c r="J1100" s="8" t="s">
        <v>167</v>
      </c>
      <c r="K1100" s="8" t="s">
        <v>168</v>
      </c>
      <c r="L1100" s="8" t="s">
        <v>557</v>
      </c>
      <c r="M1100" s="1" t="s">
        <v>211</v>
      </c>
      <c r="N1100" s="8" t="s">
        <v>212</v>
      </c>
      <c r="O1100" s="6">
        <v>0</v>
      </c>
      <c r="P1100" s="6">
        <v>0</v>
      </c>
      <c r="Q1100" s="6">
        <v>0</v>
      </c>
      <c r="R1100" s="6">
        <v>0</v>
      </c>
      <c r="S1100" s="6">
        <v>0</v>
      </c>
    </row>
    <row r="1101" spans="1:19" ht="15" hidden="1" x14ac:dyDescent="0.25">
      <c r="A1101" s="7" t="s">
        <v>16</v>
      </c>
      <c r="B1101" s="7" t="s">
        <v>21</v>
      </c>
      <c r="C1101" s="7" t="s">
        <v>18</v>
      </c>
      <c r="D1101" s="4">
        <v>700386513</v>
      </c>
      <c r="E1101" s="8" t="s">
        <v>735</v>
      </c>
      <c r="F1101" s="8" t="s">
        <v>736</v>
      </c>
      <c r="G1101" s="8" t="s">
        <v>85</v>
      </c>
      <c r="H1101" s="8" t="s">
        <v>215</v>
      </c>
      <c r="I1101" s="3">
        <v>2</v>
      </c>
      <c r="J1101" s="8" t="s">
        <v>199</v>
      </c>
      <c r="K1101" s="8" t="s">
        <v>200</v>
      </c>
      <c r="L1101" s="8" t="s">
        <v>556</v>
      </c>
      <c r="M1101" s="1" t="s">
        <v>211</v>
      </c>
      <c r="N1101" s="8" t="s">
        <v>212</v>
      </c>
      <c r="O1101" s="6">
        <v>4</v>
      </c>
      <c r="P1101" s="6">
        <v>0</v>
      </c>
      <c r="Q1101" s="6">
        <v>0</v>
      </c>
      <c r="R1101" s="6">
        <v>0</v>
      </c>
      <c r="S1101" s="6">
        <v>0</v>
      </c>
    </row>
    <row r="1102" spans="1:19" ht="15" hidden="1" x14ac:dyDescent="0.25">
      <c r="A1102" s="7" t="s">
        <v>16</v>
      </c>
      <c r="B1102" s="7" t="s">
        <v>21</v>
      </c>
      <c r="C1102" s="7" t="s">
        <v>18</v>
      </c>
      <c r="D1102" s="4">
        <v>700386513</v>
      </c>
      <c r="E1102" s="8" t="s">
        <v>735</v>
      </c>
      <c r="F1102" s="8" t="s">
        <v>736</v>
      </c>
      <c r="G1102" s="8" t="s">
        <v>85</v>
      </c>
      <c r="H1102" s="8" t="s">
        <v>215</v>
      </c>
      <c r="I1102" s="3">
        <v>2</v>
      </c>
      <c r="J1102" s="8" t="s">
        <v>167</v>
      </c>
      <c r="K1102" s="8" t="s">
        <v>168</v>
      </c>
      <c r="L1102" s="8" t="s">
        <v>557</v>
      </c>
      <c r="M1102" s="1" t="s">
        <v>211</v>
      </c>
      <c r="N1102" s="8" t="s">
        <v>212</v>
      </c>
      <c r="O1102" s="6">
        <v>0</v>
      </c>
      <c r="P1102" s="6">
        <v>0</v>
      </c>
      <c r="Q1102" s="6">
        <v>0</v>
      </c>
      <c r="R1102" s="6">
        <v>0</v>
      </c>
      <c r="S1102" s="6">
        <v>0</v>
      </c>
    </row>
    <row r="1103" spans="1:19" ht="15" hidden="1" x14ac:dyDescent="0.25">
      <c r="A1103" s="7" t="s">
        <v>16</v>
      </c>
      <c r="B1103" s="7" t="s">
        <v>21</v>
      </c>
      <c r="C1103" s="7" t="s">
        <v>18</v>
      </c>
      <c r="D1103" s="4">
        <v>25026561000190</v>
      </c>
      <c r="E1103" s="8" t="s">
        <v>666</v>
      </c>
      <c r="F1103" s="8" t="s">
        <v>34</v>
      </c>
      <c r="G1103" s="8" t="s">
        <v>19</v>
      </c>
      <c r="H1103" s="8" t="s">
        <v>215</v>
      </c>
      <c r="I1103" s="3">
        <v>2</v>
      </c>
      <c r="J1103" s="8" t="s">
        <v>151</v>
      </c>
      <c r="K1103" s="8" t="s">
        <v>152</v>
      </c>
      <c r="L1103" s="8" t="s">
        <v>556</v>
      </c>
      <c r="M1103" s="1" t="s">
        <v>207</v>
      </c>
      <c r="N1103" s="8" t="s">
        <v>208</v>
      </c>
      <c r="O1103" s="6">
        <v>0</v>
      </c>
      <c r="P1103" s="6">
        <v>0</v>
      </c>
      <c r="Q1103" s="6">
        <v>0</v>
      </c>
      <c r="R1103" s="6">
        <v>0</v>
      </c>
      <c r="S1103" s="6">
        <v>20</v>
      </c>
    </row>
    <row r="1104" spans="1:19" ht="15" hidden="1" x14ac:dyDescent="0.25">
      <c r="A1104" s="7" t="s">
        <v>16</v>
      </c>
      <c r="B1104" s="7" t="s">
        <v>21</v>
      </c>
      <c r="C1104" s="7" t="s">
        <v>18</v>
      </c>
      <c r="D1104" s="4">
        <v>25026561000190</v>
      </c>
      <c r="E1104" s="8" t="s">
        <v>666</v>
      </c>
      <c r="F1104" s="8" t="s">
        <v>34</v>
      </c>
      <c r="G1104" s="8" t="s">
        <v>19</v>
      </c>
      <c r="H1104" s="8" t="s">
        <v>215</v>
      </c>
      <c r="I1104" s="3">
        <v>2</v>
      </c>
      <c r="J1104" s="8" t="s">
        <v>149</v>
      </c>
      <c r="K1104" s="8" t="s">
        <v>150</v>
      </c>
      <c r="L1104" s="8" t="s">
        <v>557</v>
      </c>
      <c r="M1104" s="1" t="s">
        <v>207</v>
      </c>
      <c r="N1104" s="8" t="s">
        <v>208</v>
      </c>
      <c r="O1104" s="6">
        <v>0</v>
      </c>
      <c r="P1104" s="6">
        <v>0</v>
      </c>
      <c r="Q1104" s="6">
        <v>0</v>
      </c>
      <c r="R1104" s="6">
        <v>0</v>
      </c>
      <c r="S1104" s="6">
        <v>20</v>
      </c>
    </row>
    <row r="1105" spans="1:19" ht="15" hidden="1" x14ac:dyDescent="0.25">
      <c r="A1105" s="7" t="s">
        <v>16</v>
      </c>
      <c r="B1105" s="7" t="s">
        <v>21</v>
      </c>
      <c r="C1105" s="7" t="s">
        <v>18</v>
      </c>
      <c r="D1105" s="4">
        <v>54012406000385</v>
      </c>
      <c r="E1105" s="8" t="s">
        <v>718</v>
      </c>
      <c r="F1105" s="8" t="s">
        <v>45</v>
      </c>
      <c r="G1105" s="8" t="s">
        <v>19</v>
      </c>
      <c r="H1105" s="8" t="s">
        <v>215</v>
      </c>
      <c r="I1105" s="3">
        <v>2</v>
      </c>
      <c r="J1105" s="8" t="s">
        <v>151</v>
      </c>
      <c r="K1105" s="8" t="s">
        <v>152</v>
      </c>
      <c r="L1105" s="8" t="s">
        <v>556</v>
      </c>
      <c r="M1105" s="1" t="s">
        <v>207</v>
      </c>
      <c r="N1105" s="8" t="s">
        <v>208</v>
      </c>
      <c r="O1105" s="6">
        <v>0</v>
      </c>
      <c r="P1105" s="6">
        <v>0</v>
      </c>
      <c r="Q1105" s="6">
        <v>0</v>
      </c>
      <c r="R1105" s="6">
        <v>0</v>
      </c>
      <c r="S1105" s="6">
        <v>70</v>
      </c>
    </row>
    <row r="1106" spans="1:19" ht="15" hidden="1" x14ac:dyDescent="0.25">
      <c r="A1106" s="7" t="s">
        <v>16</v>
      </c>
      <c r="B1106" s="7" t="s">
        <v>21</v>
      </c>
      <c r="C1106" s="7" t="s">
        <v>18</v>
      </c>
      <c r="D1106" s="4">
        <v>54012406000385</v>
      </c>
      <c r="E1106" s="8" t="s">
        <v>718</v>
      </c>
      <c r="F1106" s="8" t="s">
        <v>45</v>
      </c>
      <c r="G1106" s="8" t="s">
        <v>19</v>
      </c>
      <c r="H1106" s="8" t="s">
        <v>215</v>
      </c>
      <c r="I1106" s="3">
        <v>2</v>
      </c>
      <c r="J1106" s="8" t="s">
        <v>149</v>
      </c>
      <c r="K1106" s="8" t="s">
        <v>150</v>
      </c>
      <c r="L1106" s="8" t="s">
        <v>557</v>
      </c>
      <c r="M1106" s="1" t="s">
        <v>207</v>
      </c>
      <c r="N1106" s="8" t="s">
        <v>208</v>
      </c>
      <c r="O1106" s="6">
        <v>0</v>
      </c>
      <c r="P1106" s="6">
        <v>0</v>
      </c>
      <c r="Q1106" s="6">
        <v>0</v>
      </c>
      <c r="R1106" s="6">
        <v>0</v>
      </c>
      <c r="S1106" s="6">
        <v>70</v>
      </c>
    </row>
    <row r="1107" spans="1:19" ht="15" hidden="1" x14ac:dyDescent="0.25">
      <c r="A1107" s="7" t="s">
        <v>16</v>
      </c>
      <c r="B1107" s="7" t="s">
        <v>21</v>
      </c>
      <c r="C1107" s="7" t="s">
        <v>18</v>
      </c>
      <c r="D1107" s="4">
        <v>46374500003886</v>
      </c>
      <c r="E1107" s="8" t="s">
        <v>697</v>
      </c>
      <c r="F1107" s="8" t="s">
        <v>698</v>
      </c>
      <c r="G1107" s="8" t="s">
        <v>19</v>
      </c>
      <c r="H1107" s="8" t="s">
        <v>215</v>
      </c>
      <c r="I1107" s="3">
        <v>2</v>
      </c>
      <c r="J1107" s="8" t="s">
        <v>151</v>
      </c>
      <c r="K1107" s="8" t="s">
        <v>152</v>
      </c>
      <c r="L1107" s="8" t="s">
        <v>556</v>
      </c>
      <c r="M1107" s="1" t="s">
        <v>207</v>
      </c>
      <c r="N1107" s="8" t="s">
        <v>208</v>
      </c>
      <c r="O1107" s="6">
        <v>18</v>
      </c>
      <c r="P1107" s="6">
        <v>0</v>
      </c>
      <c r="Q1107" s="6">
        <v>0</v>
      </c>
      <c r="R1107" s="6">
        <v>0</v>
      </c>
      <c r="S1107" s="6">
        <v>0</v>
      </c>
    </row>
    <row r="1108" spans="1:19" ht="15" hidden="1" x14ac:dyDescent="0.25">
      <c r="A1108" s="7" t="s">
        <v>16</v>
      </c>
      <c r="B1108" s="7" t="s">
        <v>21</v>
      </c>
      <c r="C1108" s="7" t="s">
        <v>18</v>
      </c>
      <c r="D1108" s="4">
        <v>46374500003886</v>
      </c>
      <c r="E1108" s="8" t="s">
        <v>697</v>
      </c>
      <c r="F1108" s="8" t="s">
        <v>698</v>
      </c>
      <c r="G1108" s="8" t="s">
        <v>19</v>
      </c>
      <c r="H1108" s="8" t="s">
        <v>215</v>
      </c>
      <c r="I1108" s="3">
        <v>2</v>
      </c>
      <c r="J1108" s="8" t="s">
        <v>149</v>
      </c>
      <c r="K1108" s="8" t="s">
        <v>150</v>
      </c>
      <c r="L1108" s="8" t="s">
        <v>557</v>
      </c>
      <c r="M1108" s="1" t="s">
        <v>207</v>
      </c>
      <c r="N1108" s="8" t="s">
        <v>208</v>
      </c>
      <c r="O1108" s="6">
        <v>0</v>
      </c>
      <c r="P1108" s="6">
        <v>0</v>
      </c>
      <c r="Q1108" s="6">
        <v>0</v>
      </c>
      <c r="R1108" s="6">
        <v>0</v>
      </c>
      <c r="S1108" s="6">
        <v>0</v>
      </c>
    </row>
    <row r="1109" spans="1:19" ht="15" hidden="1" x14ac:dyDescent="0.25">
      <c r="A1109" s="7" t="s">
        <v>16</v>
      </c>
      <c r="B1109" s="7" t="s">
        <v>21</v>
      </c>
      <c r="C1109" s="7" t="s">
        <v>18</v>
      </c>
      <c r="D1109" s="4">
        <v>4275687000129</v>
      </c>
      <c r="E1109" s="8" t="s">
        <v>645</v>
      </c>
      <c r="F1109" s="8" t="s">
        <v>31</v>
      </c>
      <c r="G1109" s="8" t="s">
        <v>19</v>
      </c>
      <c r="H1109" s="8" t="s">
        <v>215</v>
      </c>
      <c r="I1109" s="3">
        <v>2</v>
      </c>
      <c r="J1109" s="8" t="s">
        <v>151</v>
      </c>
      <c r="K1109" s="8" t="s">
        <v>152</v>
      </c>
      <c r="L1109" s="8" t="s">
        <v>556</v>
      </c>
      <c r="M1109" s="1" t="s">
        <v>207</v>
      </c>
      <c r="N1109" s="8" t="s">
        <v>208</v>
      </c>
      <c r="O1109" s="6">
        <v>0</v>
      </c>
      <c r="P1109" s="6">
        <v>0</v>
      </c>
      <c r="Q1109" s="6">
        <v>0</v>
      </c>
      <c r="R1109" s="6">
        <v>15</v>
      </c>
      <c r="S1109" s="6">
        <v>0</v>
      </c>
    </row>
    <row r="1110" spans="1:19" ht="15" hidden="1" x14ac:dyDescent="0.25">
      <c r="A1110" s="7" t="s">
        <v>16</v>
      </c>
      <c r="B1110" s="7" t="s">
        <v>21</v>
      </c>
      <c r="C1110" s="7" t="s">
        <v>18</v>
      </c>
      <c r="D1110" s="4">
        <v>4275687000129</v>
      </c>
      <c r="E1110" s="8" t="s">
        <v>645</v>
      </c>
      <c r="F1110" s="8" t="s">
        <v>31</v>
      </c>
      <c r="G1110" s="8" t="s">
        <v>19</v>
      </c>
      <c r="H1110" s="8" t="s">
        <v>215</v>
      </c>
      <c r="I1110" s="3">
        <v>2</v>
      </c>
      <c r="J1110" s="8" t="s">
        <v>149</v>
      </c>
      <c r="K1110" s="8" t="s">
        <v>150</v>
      </c>
      <c r="L1110" s="8" t="s">
        <v>557</v>
      </c>
      <c r="M1110" s="1" t="s">
        <v>207</v>
      </c>
      <c r="N1110" s="8" t="s">
        <v>208</v>
      </c>
      <c r="O1110" s="6">
        <v>0</v>
      </c>
      <c r="P1110" s="6">
        <v>0</v>
      </c>
      <c r="Q1110" s="6">
        <v>0</v>
      </c>
      <c r="R1110" s="6">
        <v>0</v>
      </c>
      <c r="S1110" s="6">
        <v>0</v>
      </c>
    </row>
    <row r="1111" spans="1:19" ht="15" hidden="1" x14ac:dyDescent="0.25">
      <c r="A1111" s="7" t="s">
        <v>16</v>
      </c>
      <c r="B1111" s="7" t="s">
        <v>21</v>
      </c>
      <c r="C1111" s="7" t="s">
        <v>18</v>
      </c>
      <c r="D1111" s="4">
        <v>63025530008270</v>
      </c>
      <c r="E1111" s="8" t="s">
        <v>733</v>
      </c>
      <c r="F1111" s="8" t="s">
        <v>37</v>
      </c>
      <c r="G1111" s="8" t="s">
        <v>19</v>
      </c>
      <c r="H1111" s="8" t="s">
        <v>215</v>
      </c>
      <c r="I1111" s="3">
        <v>2</v>
      </c>
      <c r="J1111" s="8" t="s">
        <v>151</v>
      </c>
      <c r="K1111" s="8" t="s">
        <v>152</v>
      </c>
      <c r="L1111" s="8" t="s">
        <v>556</v>
      </c>
      <c r="M1111" s="1" t="s">
        <v>207</v>
      </c>
      <c r="N1111" s="8" t="s">
        <v>208</v>
      </c>
      <c r="O1111" s="6">
        <v>0</v>
      </c>
      <c r="P1111" s="6">
        <v>0</v>
      </c>
      <c r="Q1111" s="6">
        <v>0</v>
      </c>
      <c r="R1111" s="6">
        <v>0</v>
      </c>
      <c r="S1111" s="6">
        <v>5</v>
      </c>
    </row>
    <row r="1112" spans="1:19" ht="15" hidden="1" x14ac:dyDescent="0.25">
      <c r="A1112" s="7" t="s">
        <v>16</v>
      </c>
      <c r="B1112" s="7" t="s">
        <v>21</v>
      </c>
      <c r="C1112" s="7" t="s">
        <v>18</v>
      </c>
      <c r="D1112" s="4">
        <v>63025530008270</v>
      </c>
      <c r="E1112" s="8" t="s">
        <v>733</v>
      </c>
      <c r="F1112" s="8" t="s">
        <v>37</v>
      </c>
      <c r="G1112" s="8" t="s">
        <v>19</v>
      </c>
      <c r="H1112" s="8" t="s">
        <v>215</v>
      </c>
      <c r="I1112" s="3">
        <v>2</v>
      </c>
      <c r="J1112" s="8" t="s">
        <v>149</v>
      </c>
      <c r="K1112" s="8" t="s">
        <v>150</v>
      </c>
      <c r="L1112" s="8" t="s">
        <v>557</v>
      </c>
      <c r="M1112" s="1" t="s">
        <v>207</v>
      </c>
      <c r="N1112" s="8" t="s">
        <v>208</v>
      </c>
      <c r="O1112" s="6">
        <v>0</v>
      </c>
      <c r="P1112" s="6">
        <v>0</v>
      </c>
      <c r="Q1112" s="6">
        <v>0</v>
      </c>
      <c r="R1112" s="6">
        <v>0</v>
      </c>
      <c r="S1112" s="6">
        <v>5</v>
      </c>
    </row>
    <row r="1113" spans="1:19" ht="15" hidden="1" x14ac:dyDescent="0.25">
      <c r="A1113" s="7" t="s">
        <v>16</v>
      </c>
      <c r="B1113" s="7" t="s">
        <v>21</v>
      </c>
      <c r="C1113" s="7" t="s">
        <v>18</v>
      </c>
      <c r="D1113" s="4">
        <v>44456036000311</v>
      </c>
      <c r="E1113" s="8" t="s">
        <v>675</v>
      </c>
      <c r="F1113" s="8" t="s">
        <v>37</v>
      </c>
      <c r="G1113" s="8" t="s">
        <v>19</v>
      </c>
      <c r="H1113" s="8" t="s">
        <v>215</v>
      </c>
      <c r="I1113" s="3">
        <v>2</v>
      </c>
      <c r="J1113" s="8" t="s">
        <v>151</v>
      </c>
      <c r="K1113" s="8" t="s">
        <v>152</v>
      </c>
      <c r="L1113" s="8" t="s">
        <v>556</v>
      </c>
      <c r="M1113" s="1" t="s">
        <v>207</v>
      </c>
      <c r="N1113" s="8" t="s">
        <v>208</v>
      </c>
      <c r="O1113" s="6">
        <v>0</v>
      </c>
      <c r="P1113" s="6">
        <v>0</v>
      </c>
      <c r="Q1113" s="6">
        <v>0</v>
      </c>
      <c r="R1113" s="6">
        <v>0</v>
      </c>
      <c r="S1113" s="6">
        <v>0</v>
      </c>
    </row>
    <row r="1114" spans="1:19" ht="15" hidden="1" x14ac:dyDescent="0.25">
      <c r="A1114" s="7" t="s">
        <v>16</v>
      </c>
      <c r="B1114" s="7" t="s">
        <v>21</v>
      </c>
      <c r="C1114" s="7" t="s">
        <v>18</v>
      </c>
      <c r="D1114" s="4">
        <v>44456036000311</v>
      </c>
      <c r="E1114" s="8" t="s">
        <v>675</v>
      </c>
      <c r="F1114" s="8" t="s">
        <v>37</v>
      </c>
      <c r="G1114" s="8" t="s">
        <v>19</v>
      </c>
      <c r="H1114" s="8" t="s">
        <v>215</v>
      </c>
      <c r="I1114" s="3">
        <v>2</v>
      </c>
      <c r="J1114" s="8" t="s">
        <v>149</v>
      </c>
      <c r="K1114" s="8" t="s">
        <v>150</v>
      </c>
      <c r="L1114" s="8" t="s">
        <v>557</v>
      </c>
      <c r="M1114" s="1" t="s">
        <v>207</v>
      </c>
      <c r="N1114" s="8" t="s">
        <v>208</v>
      </c>
      <c r="O1114" s="6">
        <v>0</v>
      </c>
      <c r="P1114" s="6">
        <v>4</v>
      </c>
      <c r="Q1114" s="6">
        <v>28</v>
      </c>
      <c r="R1114" s="6">
        <v>0</v>
      </c>
      <c r="S1114" s="6">
        <v>0</v>
      </c>
    </row>
    <row r="1115" spans="1:19" ht="15" hidden="1" x14ac:dyDescent="0.25">
      <c r="A1115" s="7" t="s">
        <v>16</v>
      </c>
      <c r="B1115" s="7" t="s">
        <v>21</v>
      </c>
      <c r="C1115" s="7" t="s">
        <v>18</v>
      </c>
      <c r="D1115" s="4">
        <v>10447300000177</v>
      </c>
      <c r="E1115" s="8" t="s">
        <v>658</v>
      </c>
      <c r="F1115" s="8" t="s">
        <v>33</v>
      </c>
      <c r="G1115" s="8" t="s">
        <v>19</v>
      </c>
      <c r="H1115" s="8" t="s">
        <v>215</v>
      </c>
      <c r="I1115" s="3">
        <v>2</v>
      </c>
      <c r="J1115" s="8" t="s">
        <v>151</v>
      </c>
      <c r="K1115" s="8" t="s">
        <v>152</v>
      </c>
      <c r="L1115" s="8" t="s">
        <v>556</v>
      </c>
      <c r="M1115" s="1" t="s">
        <v>207</v>
      </c>
      <c r="N1115" s="8" t="s">
        <v>208</v>
      </c>
      <c r="O1115" s="6">
        <v>0</v>
      </c>
      <c r="P1115" s="6">
        <v>0</v>
      </c>
      <c r="Q1115" s="6">
        <v>0</v>
      </c>
      <c r="R1115" s="6">
        <v>4</v>
      </c>
      <c r="S1115" s="6">
        <v>0</v>
      </c>
    </row>
    <row r="1116" spans="1:19" ht="15" hidden="1" x14ac:dyDescent="0.25">
      <c r="A1116" s="7" t="s">
        <v>16</v>
      </c>
      <c r="B1116" s="7" t="s">
        <v>21</v>
      </c>
      <c r="C1116" s="7" t="s">
        <v>18</v>
      </c>
      <c r="D1116" s="4">
        <v>10447300000177</v>
      </c>
      <c r="E1116" s="8" t="s">
        <v>658</v>
      </c>
      <c r="F1116" s="8" t="s">
        <v>33</v>
      </c>
      <c r="G1116" s="8" t="s">
        <v>19</v>
      </c>
      <c r="H1116" s="8" t="s">
        <v>215</v>
      </c>
      <c r="I1116" s="3">
        <v>2</v>
      </c>
      <c r="J1116" s="8" t="s">
        <v>149</v>
      </c>
      <c r="K1116" s="8" t="s">
        <v>150</v>
      </c>
      <c r="L1116" s="8" t="s">
        <v>557</v>
      </c>
      <c r="M1116" s="1" t="s">
        <v>207</v>
      </c>
      <c r="N1116" s="8" t="s">
        <v>208</v>
      </c>
      <c r="O1116" s="6">
        <v>0</v>
      </c>
      <c r="P1116" s="6">
        <v>0</v>
      </c>
      <c r="Q1116" s="6">
        <v>0</v>
      </c>
      <c r="R1116" s="6">
        <v>0</v>
      </c>
      <c r="S1116" s="6">
        <v>0</v>
      </c>
    </row>
    <row r="1117" spans="1:19" ht="15" hidden="1" x14ac:dyDescent="0.25">
      <c r="A1117" s="7" t="s">
        <v>16</v>
      </c>
      <c r="B1117" s="7" t="s">
        <v>21</v>
      </c>
      <c r="C1117" s="7" t="s">
        <v>18</v>
      </c>
      <c r="D1117" s="4">
        <v>46020301000269</v>
      </c>
      <c r="E1117" s="8" t="s">
        <v>691</v>
      </c>
      <c r="F1117" s="8" t="s">
        <v>33</v>
      </c>
      <c r="G1117" s="8" t="s">
        <v>19</v>
      </c>
      <c r="H1117" s="8" t="s">
        <v>215</v>
      </c>
      <c r="I1117" s="3">
        <v>2</v>
      </c>
      <c r="J1117" s="8" t="s">
        <v>151</v>
      </c>
      <c r="K1117" s="8" t="s">
        <v>152</v>
      </c>
      <c r="L1117" s="8" t="s">
        <v>556</v>
      </c>
      <c r="M1117" s="1" t="s">
        <v>207</v>
      </c>
      <c r="N1117" s="8" t="s">
        <v>208</v>
      </c>
      <c r="O1117" s="6">
        <v>0</v>
      </c>
      <c r="P1117" s="6">
        <v>0</v>
      </c>
      <c r="Q1117" s="6">
        <v>0</v>
      </c>
      <c r="R1117" s="6">
        <v>35</v>
      </c>
      <c r="S1117" s="6">
        <v>0</v>
      </c>
    </row>
    <row r="1118" spans="1:19" ht="15" hidden="1" x14ac:dyDescent="0.25">
      <c r="A1118" s="7" t="s">
        <v>16</v>
      </c>
      <c r="B1118" s="7" t="s">
        <v>21</v>
      </c>
      <c r="C1118" s="7" t="s">
        <v>18</v>
      </c>
      <c r="D1118" s="4">
        <v>46020301000269</v>
      </c>
      <c r="E1118" s="8" t="s">
        <v>691</v>
      </c>
      <c r="F1118" s="8" t="s">
        <v>33</v>
      </c>
      <c r="G1118" s="8" t="s">
        <v>19</v>
      </c>
      <c r="H1118" s="8" t="s">
        <v>215</v>
      </c>
      <c r="I1118" s="3">
        <v>2</v>
      </c>
      <c r="J1118" s="8" t="s">
        <v>149</v>
      </c>
      <c r="K1118" s="8" t="s">
        <v>150</v>
      </c>
      <c r="L1118" s="8" t="s">
        <v>557</v>
      </c>
      <c r="M1118" s="1" t="s">
        <v>207</v>
      </c>
      <c r="N1118" s="8" t="s">
        <v>208</v>
      </c>
      <c r="O1118" s="6">
        <v>0</v>
      </c>
      <c r="P1118" s="6">
        <v>0</v>
      </c>
      <c r="Q1118" s="6">
        <v>0</v>
      </c>
      <c r="R1118" s="6">
        <v>0</v>
      </c>
      <c r="S1118" s="6">
        <v>0</v>
      </c>
    </row>
    <row r="1119" spans="1:19" ht="15" hidden="1" x14ac:dyDescent="0.25">
      <c r="A1119" s="7" t="s">
        <v>16</v>
      </c>
      <c r="B1119" s="7" t="s">
        <v>21</v>
      </c>
      <c r="C1119" s="7" t="s">
        <v>18</v>
      </c>
      <c r="D1119" s="4">
        <v>46009718000140</v>
      </c>
      <c r="E1119" s="8" t="s">
        <v>690</v>
      </c>
      <c r="F1119" s="8" t="s">
        <v>33</v>
      </c>
      <c r="G1119" s="8" t="s">
        <v>19</v>
      </c>
      <c r="H1119" s="8" t="s">
        <v>215</v>
      </c>
      <c r="I1119" s="3">
        <v>2</v>
      </c>
      <c r="J1119" s="8" t="s">
        <v>151</v>
      </c>
      <c r="K1119" s="8" t="s">
        <v>152</v>
      </c>
      <c r="L1119" s="8" t="s">
        <v>556</v>
      </c>
      <c r="M1119" s="1" t="s">
        <v>207</v>
      </c>
      <c r="N1119" s="8" t="s">
        <v>208</v>
      </c>
      <c r="O1119" s="6">
        <v>6</v>
      </c>
      <c r="P1119" s="6">
        <v>0</v>
      </c>
      <c r="Q1119" s="6">
        <v>0</v>
      </c>
      <c r="R1119" s="6">
        <v>83</v>
      </c>
      <c r="S1119" s="6">
        <v>1150</v>
      </c>
    </row>
    <row r="1120" spans="1:19" ht="15" hidden="1" x14ac:dyDescent="0.25">
      <c r="A1120" s="7" t="s">
        <v>16</v>
      </c>
      <c r="B1120" s="7" t="s">
        <v>21</v>
      </c>
      <c r="C1120" s="7" t="s">
        <v>18</v>
      </c>
      <c r="D1120" s="4">
        <v>46009718000140</v>
      </c>
      <c r="E1120" s="8" t="s">
        <v>690</v>
      </c>
      <c r="F1120" s="8" t="s">
        <v>33</v>
      </c>
      <c r="G1120" s="8" t="s">
        <v>19</v>
      </c>
      <c r="H1120" s="8" t="s">
        <v>215</v>
      </c>
      <c r="I1120" s="3">
        <v>2</v>
      </c>
      <c r="J1120" s="8" t="s">
        <v>149</v>
      </c>
      <c r="K1120" s="8" t="s">
        <v>150</v>
      </c>
      <c r="L1120" s="8" t="s">
        <v>557</v>
      </c>
      <c r="M1120" s="1" t="s">
        <v>207</v>
      </c>
      <c r="N1120" s="8" t="s">
        <v>208</v>
      </c>
      <c r="O1120" s="6">
        <v>0</v>
      </c>
      <c r="P1120" s="6">
        <v>0</v>
      </c>
      <c r="Q1120" s="6">
        <v>0</v>
      </c>
      <c r="R1120" s="6">
        <v>0</v>
      </c>
      <c r="S1120" s="6">
        <v>1150</v>
      </c>
    </row>
    <row r="1121" spans="1:19" ht="15" hidden="1" x14ac:dyDescent="0.25">
      <c r="A1121" s="7" t="s">
        <v>16</v>
      </c>
      <c r="B1121" s="7" t="s">
        <v>21</v>
      </c>
      <c r="C1121" s="7" t="s">
        <v>18</v>
      </c>
      <c r="D1121" s="4">
        <v>44649812019238</v>
      </c>
      <c r="E1121" s="8" t="s">
        <v>679</v>
      </c>
      <c r="F1121" s="8" t="s">
        <v>33</v>
      </c>
      <c r="G1121" s="8" t="s">
        <v>19</v>
      </c>
      <c r="H1121" s="8" t="s">
        <v>215</v>
      </c>
      <c r="I1121" s="3">
        <v>2</v>
      </c>
      <c r="J1121" s="8" t="s">
        <v>151</v>
      </c>
      <c r="K1121" s="8" t="s">
        <v>152</v>
      </c>
      <c r="L1121" s="8" t="s">
        <v>556</v>
      </c>
      <c r="M1121" s="1" t="s">
        <v>207</v>
      </c>
      <c r="N1121" s="8" t="s">
        <v>208</v>
      </c>
      <c r="O1121" s="6">
        <v>0</v>
      </c>
      <c r="P1121" s="6">
        <v>0</v>
      </c>
      <c r="Q1121" s="6">
        <v>0</v>
      </c>
      <c r="R1121" s="6">
        <v>8</v>
      </c>
      <c r="S1121" s="6">
        <v>0</v>
      </c>
    </row>
    <row r="1122" spans="1:19" ht="15" hidden="1" x14ac:dyDescent="0.25">
      <c r="A1122" s="7" t="s">
        <v>16</v>
      </c>
      <c r="B1122" s="7" t="s">
        <v>21</v>
      </c>
      <c r="C1122" s="7" t="s">
        <v>18</v>
      </c>
      <c r="D1122" s="4">
        <v>44649812019238</v>
      </c>
      <c r="E1122" s="8" t="s">
        <v>679</v>
      </c>
      <c r="F1122" s="8" t="s">
        <v>33</v>
      </c>
      <c r="G1122" s="8" t="s">
        <v>19</v>
      </c>
      <c r="H1122" s="8" t="s">
        <v>215</v>
      </c>
      <c r="I1122" s="3">
        <v>2</v>
      </c>
      <c r="J1122" s="8" t="s">
        <v>149</v>
      </c>
      <c r="K1122" s="8" t="s">
        <v>150</v>
      </c>
      <c r="L1122" s="8" t="s">
        <v>557</v>
      </c>
      <c r="M1122" s="1" t="s">
        <v>207</v>
      </c>
      <c r="N1122" s="8" t="s">
        <v>208</v>
      </c>
      <c r="O1122" s="6">
        <v>0</v>
      </c>
      <c r="P1122" s="6">
        <v>0</v>
      </c>
      <c r="Q1122" s="6">
        <v>0</v>
      </c>
      <c r="R1122" s="6">
        <v>0</v>
      </c>
      <c r="S1122" s="6">
        <v>0</v>
      </c>
    </row>
    <row r="1123" spans="1:19" ht="15" hidden="1" x14ac:dyDescent="0.25">
      <c r="A1123" s="7" t="s">
        <v>16</v>
      </c>
      <c r="B1123" s="7" t="s">
        <v>21</v>
      </c>
      <c r="C1123" s="7" t="s">
        <v>18</v>
      </c>
      <c r="D1123" s="4">
        <v>29435005008456</v>
      </c>
      <c r="E1123" s="8" t="s">
        <v>672</v>
      </c>
      <c r="F1123" s="8" t="s">
        <v>33</v>
      </c>
      <c r="G1123" s="8" t="s">
        <v>19</v>
      </c>
      <c r="H1123" s="8" t="s">
        <v>215</v>
      </c>
      <c r="I1123" s="3">
        <v>2</v>
      </c>
      <c r="J1123" s="8" t="s">
        <v>151</v>
      </c>
      <c r="K1123" s="8" t="s">
        <v>152</v>
      </c>
      <c r="L1123" s="8" t="s">
        <v>556</v>
      </c>
      <c r="M1123" s="1" t="s">
        <v>207</v>
      </c>
      <c r="N1123" s="8" t="s">
        <v>208</v>
      </c>
      <c r="O1123" s="6">
        <v>0</v>
      </c>
      <c r="P1123" s="6">
        <v>0</v>
      </c>
      <c r="Q1123" s="6">
        <v>0</v>
      </c>
      <c r="R1123" s="6">
        <v>0</v>
      </c>
      <c r="S1123" s="6">
        <v>35</v>
      </c>
    </row>
    <row r="1124" spans="1:19" ht="15" hidden="1" x14ac:dyDescent="0.25">
      <c r="A1124" s="7" t="s">
        <v>16</v>
      </c>
      <c r="B1124" s="7" t="s">
        <v>21</v>
      </c>
      <c r="C1124" s="7" t="s">
        <v>18</v>
      </c>
      <c r="D1124" s="4">
        <v>29435005008456</v>
      </c>
      <c r="E1124" s="8" t="s">
        <v>672</v>
      </c>
      <c r="F1124" s="8" t="s">
        <v>33</v>
      </c>
      <c r="G1124" s="8" t="s">
        <v>19</v>
      </c>
      <c r="H1124" s="8" t="s">
        <v>215</v>
      </c>
      <c r="I1124" s="3">
        <v>2</v>
      </c>
      <c r="J1124" s="8" t="s">
        <v>149</v>
      </c>
      <c r="K1124" s="8" t="s">
        <v>150</v>
      </c>
      <c r="L1124" s="8" t="s">
        <v>557</v>
      </c>
      <c r="M1124" s="1" t="s">
        <v>207</v>
      </c>
      <c r="N1124" s="8" t="s">
        <v>208</v>
      </c>
      <c r="O1124" s="6">
        <v>0</v>
      </c>
      <c r="P1124" s="6">
        <v>0</v>
      </c>
      <c r="Q1124" s="6">
        <v>0</v>
      </c>
      <c r="R1124" s="6">
        <v>0</v>
      </c>
      <c r="S1124" s="6">
        <v>35</v>
      </c>
    </row>
    <row r="1125" spans="1:19" ht="15" hidden="1" x14ac:dyDescent="0.25">
      <c r="A1125" s="7" t="s">
        <v>16</v>
      </c>
      <c r="B1125" s="7" t="s">
        <v>21</v>
      </c>
      <c r="C1125" s="7" t="s">
        <v>18</v>
      </c>
      <c r="D1125" s="4">
        <v>46124624000111</v>
      </c>
      <c r="E1125" s="8" t="s">
        <v>693</v>
      </c>
      <c r="F1125" s="8" t="s">
        <v>33</v>
      </c>
      <c r="G1125" s="8" t="s">
        <v>19</v>
      </c>
      <c r="H1125" s="8" t="s">
        <v>215</v>
      </c>
      <c r="I1125" s="3">
        <v>2</v>
      </c>
      <c r="J1125" s="8" t="s">
        <v>151</v>
      </c>
      <c r="K1125" s="8" t="s">
        <v>152</v>
      </c>
      <c r="L1125" s="8" t="s">
        <v>556</v>
      </c>
      <c r="M1125" s="1" t="s">
        <v>207</v>
      </c>
      <c r="N1125" s="8" t="s">
        <v>208</v>
      </c>
      <c r="O1125" s="6">
        <v>0</v>
      </c>
      <c r="P1125" s="6">
        <v>0</v>
      </c>
      <c r="Q1125" s="6">
        <v>0</v>
      </c>
      <c r="R1125" s="6">
        <v>48</v>
      </c>
      <c r="S1125" s="6">
        <v>340</v>
      </c>
    </row>
    <row r="1126" spans="1:19" ht="15" hidden="1" x14ac:dyDescent="0.25">
      <c r="A1126" s="7" t="s">
        <v>16</v>
      </c>
      <c r="B1126" s="7" t="s">
        <v>21</v>
      </c>
      <c r="C1126" s="7" t="s">
        <v>18</v>
      </c>
      <c r="D1126" s="4">
        <v>46124624000111</v>
      </c>
      <c r="E1126" s="8" t="s">
        <v>693</v>
      </c>
      <c r="F1126" s="8" t="s">
        <v>33</v>
      </c>
      <c r="G1126" s="8" t="s">
        <v>19</v>
      </c>
      <c r="H1126" s="8" t="s">
        <v>215</v>
      </c>
      <c r="I1126" s="3">
        <v>2</v>
      </c>
      <c r="J1126" s="8" t="s">
        <v>149</v>
      </c>
      <c r="K1126" s="8" t="s">
        <v>150</v>
      </c>
      <c r="L1126" s="8" t="s">
        <v>557</v>
      </c>
      <c r="M1126" s="1" t="s">
        <v>207</v>
      </c>
      <c r="N1126" s="8" t="s">
        <v>208</v>
      </c>
      <c r="O1126" s="6">
        <v>0</v>
      </c>
      <c r="P1126" s="6">
        <v>0</v>
      </c>
      <c r="Q1126" s="6">
        <v>0</v>
      </c>
      <c r="R1126" s="6">
        <v>0</v>
      </c>
      <c r="S1126" s="6">
        <v>340</v>
      </c>
    </row>
    <row r="1127" spans="1:19" ht="15" hidden="1" x14ac:dyDescent="0.25">
      <c r="A1127" s="7" t="s">
        <v>16</v>
      </c>
      <c r="B1127" s="7" t="s">
        <v>21</v>
      </c>
      <c r="C1127" s="7" t="s">
        <v>18</v>
      </c>
      <c r="D1127" s="4">
        <v>46068425000133</v>
      </c>
      <c r="E1127" s="8" t="s">
        <v>692</v>
      </c>
      <c r="F1127" s="8" t="s">
        <v>33</v>
      </c>
      <c r="G1127" s="8" t="s">
        <v>19</v>
      </c>
      <c r="H1127" s="8" t="s">
        <v>215</v>
      </c>
      <c r="I1127" s="3">
        <v>2</v>
      </c>
      <c r="J1127" s="8" t="s">
        <v>151</v>
      </c>
      <c r="K1127" s="8" t="s">
        <v>152</v>
      </c>
      <c r="L1127" s="8" t="s">
        <v>556</v>
      </c>
      <c r="M1127" s="1" t="s">
        <v>207</v>
      </c>
      <c r="N1127" s="8" t="s">
        <v>208</v>
      </c>
      <c r="O1127" s="6">
        <v>2</v>
      </c>
      <c r="P1127" s="6">
        <v>0</v>
      </c>
      <c r="Q1127" s="6">
        <v>0</v>
      </c>
      <c r="R1127" s="6">
        <v>0</v>
      </c>
      <c r="S1127" s="6">
        <v>0</v>
      </c>
    </row>
    <row r="1128" spans="1:19" ht="15" hidden="1" x14ac:dyDescent="0.25">
      <c r="A1128" s="7" t="s">
        <v>16</v>
      </c>
      <c r="B1128" s="7" t="s">
        <v>21</v>
      </c>
      <c r="C1128" s="7" t="s">
        <v>18</v>
      </c>
      <c r="D1128" s="4">
        <v>46068425000133</v>
      </c>
      <c r="E1128" s="8" t="s">
        <v>692</v>
      </c>
      <c r="F1128" s="8" t="s">
        <v>33</v>
      </c>
      <c r="G1128" s="8" t="s">
        <v>19</v>
      </c>
      <c r="H1128" s="8" t="s">
        <v>215</v>
      </c>
      <c r="I1128" s="3">
        <v>2</v>
      </c>
      <c r="J1128" s="8" t="s">
        <v>149</v>
      </c>
      <c r="K1128" s="8" t="s">
        <v>150</v>
      </c>
      <c r="L1128" s="8" t="s">
        <v>557</v>
      </c>
      <c r="M1128" s="1" t="s">
        <v>207</v>
      </c>
      <c r="N1128" s="8" t="s">
        <v>208</v>
      </c>
      <c r="O1128" s="6">
        <v>0</v>
      </c>
      <c r="P1128" s="6">
        <v>0</v>
      </c>
      <c r="Q1128" s="6">
        <v>0</v>
      </c>
      <c r="R1128" s="6">
        <v>0</v>
      </c>
      <c r="S1128" s="6">
        <v>0</v>
      </c>
    </row>
    <row r="1129" spans="1:19" ht="15" hidden="1" x14ac:dyDescent="0.25">
      <c r="A1129" s="7" t="s">
        <v>16</v>
      </c>
      <c r="B1129" s="7" t="s">
        <v>21</v>
      </c>
      <c r="C1129" s="7" t="s">
        <v>18</v>
      </c>
      <c r="D1129" s="4">
        <v>47074851000819</v>
      </c>
      <c r="E1129" s="8" t="s">
        <v>702</v>
      </c>
      <c r="F1129" s="8" t="s">
        <v>41</v>
      </c>
      <c r="G1129" s="8" t="s">
        <v>19</v>
      </c>
      <c r="H1129" s="8" t="s">
        <v>215</v>
      </c>
      <c r="I1129" s="3">
        <v>2</v>
      </c>
      <c r="J1129" s="8" t="s">
        <v>151</v>
      </c>
      <c r="K1129" s="8" t="s">
        <v>152</v>
      </c>
      <c r="L1129" s="8" t="s">
        <v>556</v>
      </c>
      <c r="M1129" s="1" t="s">
        <v>207</v>
      </c>
      <c r="N1129" s="8" t="s">
        <v>208</v>
      </c>
      <c r="O1129" s="6">
        <v>0</v>
      </c>
      <c r="P1129" s="6">
        <v>0</v>
      </c>
      <c r="Q1129" s="6">
        <v>0</v>
      </c>
      <c r="R1129" s="6">
        <v>6</v>
      </c>
      <c r="S1129" s="6">
        <v>0</v>
      </c>
    </row>
    <row r="1130" spans="1:19" ht="15" hidden="1" x14ac:dyDescent="0.25">
      <c r="A1130" s="7" t="s">
        <v>16</v>
      </c>
      <c r="B1130" s="7" t="s">
        <v>21</v>
      </c>
      <c r="C1130" s="7" t="s">
        <v>18</v>
      </c>
      <c r="D1130" s="4">
        <v>47074851000819</v>
      </c>
      <c r="E1130" s="8" t="s">
        <v>702</v>
      </c>
      <c r="F1130" s="8" t="s">
        <v>41</v>
      </c>
      <c r="G1130" s="8" t="s">
        <v>19</v>
      </c>
      <c r="H1130" s="8" t="s">
        <v>215</v>
      </c>
      <c r="I1130" s="3">
        <v>2</v>
      </c>
      <c r="J1130" s="8" t="s">
        <v>149</v>
      </c>
      <c r="K1130" s="8" t="s">
        <v>150</v>
      </c>
      <c r="L1130" s="8" t="s">
        <v>557</v>
      </c>
      <c r="M1130" s="1" t="s">
        <v>207</v>
      </c>
      <c r="N1130" s="8" t="s">
        <v>208</v>
      </c>
      <c r="O1130" s="6">
        <v>0</v>
      </c>
      <c r="P1130" s="6">
        <v>0</v>
      </c>
      <c r="Q1130" s="6">
        <v>0</v>
      </c>
      <c r="R1130" s="6">
        <v>0</v>
      </c>
      <c r="S1130" s="6">
        <v>0</v>
      </c>
    </row>
    <row r="1131" spans="1:19" ht="15" hidden="1" x14ac:dyDescent="0.25">
      <c r="A1131" s="7" t="s">
        <v>16</v>
      </c>
      <c r="B1131" s="7" t="s">
        <v>21</v>
      </c>
      <c r="C1131" s="7" t="s">
        <v>18</v>
      </c>
      <c r="D1131" s="4">
        <v>68204486000113</v>
      </c>
      <c r="E1131" s="8" t="s">
        <v>734</v>
      </c>
      <c r="F1131" s="8" t="s">
        <v>46</v>
      </c>
      <c r="G1131" s="8" t="s">
        <v>19</v>
      </c>
      <c r="H1131" s="8" t="s">
        <v>215</v>
      </c>
      <c r="I1131" s="3">
        <v>2</v>
      </c>
      <c r="J1131" s="8" t="s">
        <v>151</v>
      </c>
      <c r="K1131" s="8" t="s">
        <v>152</v>
      </c>
      <c r="L1131" s="8" t="s">
        <v>556</v>
      </c>
      <c r="M1131" s="1" t="s">
        <v>207</v>
      </c>
      <c r="N1131" s="8" t="s">
        <v>208</v>
      </c>
      <c r="O1131" s="6">
        <v>0</v>
      </c>
      <c r="P1131" s="6">
        <v>0</v>
      </c>
      <c r="Q1131" s="6">
        <v>0</v>
      </c>
      <c r="R1131" s="6">
        <v>0</v>
      </c>
      <c r="S1131" s="6">
        <v>150</v>
      </c>
    </row>
    <row r="1132" spans="1:19" ht="15" hidden="1" x14ac:dyDescent="0.25">
      <c r="A1132" s="7" t="s">
        <v>16</v>
      </c>
      <c r="B1132" s="7" t="s">
        <v>21</v>
      </c>
      <c r="C1132" s="7" t="s">
        <v>18</v>
      </c>
      <c r="D1132" s="4">
        <v>68204486000113</v>
      </c>
      <c r="E1132" s="8" t="s">
        <v>734</v>
      </c>
      <c r="F1132" s="8" t="s">
        <v>46</v>
      </c>
      <c r="G1132" s="8" t="s">
        <v>19</v>
      </c>
      <c r="H1132" s="8" t="s">
        <v>215</v>
      </c>
      <c r="I1132" s="3">
        <v>2</v>
      </c>
      <c r="J1132" s="8" t="s">
        <v>149</v>
      </c>
      <c r="K1132" s="8" t="s">
        <v>150</v>
      </c>
      <c r="L1132" s="8" t="s">
        <v>557</v>
      </c>
      <c r="M1132" s="1" t="s">
        <v>207</v>
      </c>
      <c r="N1132" s="8" t="s">
        <v>208</v>
      </c>
      <c r="O1132" s="6">
        <v>0</v>
      </c>
      <c r="P1132" s="6">
        <v>0</v>
      </c>
      <c r="Q1132" s="6">
        <v>0</v>
      </c>
      <c r="R1132" s="6">
        <v>0</v>
      </c>
      <c r="S1132" s="6">
        <v>150</v>
      </c>
    </row>
    <row r="1133" spans="1:19" ht="15" hidden="1" x14ac:dyDescent="0.25">
      <c r="A1133" s="7" t="s">
        <v>16</v>
      </c>
      <c r="B1133" s="7" t="s">
        <v>21</v>
      </c>
      <c r="C1133" s="7" t="s">
        <v>18</v>
      </c>
      <c r="D1133" s="4">
        <v>50486026000160</v>
      </c>
      <c r="E1133" s="8" t="s">
        <v>706</v>
      </c>
      <c r="F1133" s="8" t="s">
        <v>44</v>
      </c>
      <c r="G1133" s="8" t="s">
        <v>19</v>
      </c>
      <c r="H1133" s="8" t="s">
        <v>215</v>
      </c>
      <c r="I1133" s="3">
        <v>2</v>
      </c>
      <c r="J1133" s="8" t="s">
        <v>151</v>
      </c>
      <c r="K1133" s="8" t="s">
        <v>152</v>
      </c>
      <c r="L1133" s="8" t="s">
        <v>556</v>
      </c>
      <c r="M1133" s="1" t="s">
        <v>207</v>
      </c>
      <c r="N1133" s="8" t="s">
        <v>208</v>
      </c>
      <c r="O1133" s="6">
        <v>0</v>
      </c>
      <c r="P1133" s="6">
        <v>0</v>
      </c>
      <c r="Q1133" s="6">
        <v>0</v>
      </c>
      <c r="R1133" s="6">
        <v>0</v>
      </c>
      <c r="S1133" s="6">
        <v>100</v>
      </c>
    </row>
    <row r="1134" spans="1:19" ht="15" hidden="1" x14ac:dyDescent="0.25">
      <c r="A1134" s="7" t="s">
        <v>16</v>
      </c>
      <c r="B1134" s="7" t="s">
        <v>21</v>
      </c>
      <c r="C1134" s="7" t="s">
        <v>18</v>
      </c>
      <c r="D1134" s="4">
        <v>50486026000160</v>
      </c>
      <c r="E1134" s="8" t="s">
        <v>706</v>
      </c>
      <c r="F1134" s="8" t="s">
        <v>44</v>
      </c>
      <c r="G1134" s="8" t="s">
        <v>19</v>
      </c>
      <c r="H1134" s="8" t="s">
        <v>215</v>
      </c>
      <c r="I1134" s="3">
        <v>2</v>
      </c>
      <c r="J1134" s="8" t="s">
        <v>149</v>
      </c>
      <c r="K1134" s="8" t="s">
        <v>150</v>
      </c>
      <c r="L1134" s="8" t="s">
        <v>557</v>
      </c>
      <c r="M1134" s="1" t="s">
        <v>207</v>
      </c>
      <c r="N1134" s="8" t="s">
        <v>208</v>
      </c>
      <c r="O1134" s="6">
        <v>0</v>
      </c>
      <c r="P1134" s="6">
        <v>0</v>
      </c>
      <c r="Q1134" s="6">
        <v>0</v>
      </c>
      <c r="R1134" s="6">
        <v>0</v>
      </c>
      <c r="S1134" s="6">
        <v>100</v>
      </c>
    </row>
    <row r="1135" spans="1:19" ht="15" hidden="1" x14ac:dyDescent="0.25">
      <c r="A1135" s="7" t="s">
        <v>16</v>
      </c>
      <c r="B1135" s="7" t="s">
        <v>21</v>
      </c>
      <c r="C1135" s="7" t="s">
        <v>18</v>
      </c>
      <c r="D1135" s="4">
        <v>29435005008294</v>
      </c>
      <c r="E1135" s="8" t="s">
        <v>671</v>
      </c>
      <c r="F1135" s="8" t="s">
        <v>36</v>
      </c>
      <c r="G1135" s="8" t="s">
        <v>19</v>
      </c>
      <c r="H1135" s="8" t="s">
        <v>215</v>
      </c>
      <c r="I1135" s="3">
        <v>2</v>
      </c>
      <c r="J1135" s="8" t="s">
        <v>1355</v>
      </c>
      <c r="K1135" s="8" t="s">
        <v>1356</v>
      </c>
      <c r="L1135" s="8" t="s">
        <v>556</v>
      </c>
      <c r="M1135" s="1" t="s">
        <v>207</v>
      </c>
      <c r="N1135" s="8" t="s">
        <v>208</v>
      </c>
      <c r="O1135" s="6">
        <v>0</v>
      </c>
      <c r="P1135" s="6">
        <v>0</v>
      </c>
      <c r="Q1135" s="6">
        <v>0</v>
      </c>
      <c r="R1135" s="6">
        <v>0</v>
      </c>
      <c r="S1135" s="6">
        <v>150</v>
      </c>
    </row>
    <row r="1136" spans="1:19" ht="15" hidden="1" x14ac:dyDescent="0.25">
      <c r="A1136" s="7" t="s">
        <v>16</v>
      </c>
      <c r="B1136" s="7" t="s">
        <v>21</v>
      </c>
      <c r="C1136" s="7" t="s">
        <v>18</v>
      </c>
      <c r="D1136" s="4">
        <v>29435005008294</v>
      </c>
      <c r="E1136" s="8" t="s">
        <v>671</v>
      </c>
      <c r="F1136" s="8" t="s">
        <v>36</v>
      </c>
      <c r="G1136" s="8" t="s">
        <v>19</v>
      </c>
      <c r="H1136" s="8" t="s">
        <v>215</v>
      </c>
      <c r="I1136" s="3">
        <v>2</v>
      </c>
      <c r="J1136" s="8" t="s">
        <v>147</v>
      </c>
      <c r="K1136" s="8" t="s">
        <v>148</v>
      </c>
      <c r="L1136" s="8" t="s">
        <v>557</v>
      </c>
      <c r="M1136" s="1" t="s">
        <v>207</v>
      </c>
      <c r="N1136" s="8" t="s">
        <v>208</v>
      </c>
      <c r="O1136" s="6">
        <v>0</v>
      </c>
      <c r="P1136" s="6">
        <v>0</v>
      </c>
      <c r="Q1136" s="6">
        <v>0</v>
      </c>
      <c r="R1136" s="6">
        <v>0</v>
      </c>
      <c r="S1136" s="6">
        <v>150</v>
      </c>
    </row>
    <row r="1137" spans="1:19" ht="15" hidden="1" x14ac:dyDescent="0.25">
      <c r="A1137" s="7" t="s">
        <v>16</v>
      </c>
      <c r="B1137" s="7" t="s">
        <v>21</v>
      </c>
      <c r="C1137" s="7" t="s">
        <v>18</v>
      </c>
      <c r="D1137" s="4">
        <v>24082016000159</v>
      </c>
      <c r="E1137" s="8" t="s">
        <v>665</v>
      </c>
      <c r="F1137" s="8" t="s">
        <v>657</v>
      </c>
      <c r="G1137" s="8" t="s">
        <v>19</v>
      </c>
      <c r="H1137" s="8" t="s">
        <v>215</v>
      </c>
      <c r="I1137" s="3">
        <v>2</v>
      </c>
      <c r="J1137" s="8" t="s">
        <v>151</v>
      </c>
      <c r="K1137" s="8" t="s">
        <v>152</v>
      </c>
      <c r="L1137" s="8" t="s">
        <v>556</v>
      </c>
      <c r="M1137" s="1" t="s">
        <v>207</v>
      </c>
      <c r="N1137" s="8" t="s">
        <v>208</v>
      </c>
      <c r="O1137" s="6">
        <v>0</v>
      </c>
      <c r="P1137" s="6">
        <v>0</v>
      </c>
      <c r="Q1137" s="6">
        <v>0</v>
      </c>
      <c r="R1137" s="6">
        <v>0</v>
      </c>
      <c r="S1137" s="6">
        <v>2000</v>
      </c>
    </row>
    <row r="1138" spans="1:19" ht="15" hidden="1" x14ac:dyDescent="0.25">
      <c r="A1138" s="7" t="s">
        <v>16</v>
      </c>
      <c r="B1138" s="7" t="s">
        <v>21</v>
      </c>
      <c r="C1138" s="7" t="s">
        <v>18</v>
      </c>
      <c r="D1138" s="4">
        <v>24082016000159</v>
      </c>
      <c r="E1138" s="8" t="s">
        <v>665</v>
      </c>
      <c r="F1138" s="8" t="s">
        <v>657</v>
      </c>
      <c r="G1138" s="8" t="s">
        <v>19</v>
      </c>
      <c r="H1138" s="8" t="s">
        <v>215</v>
      </c>
      <c r="I1138" s="3">
        <v>2</v>
      </c>
      <c r="J1138" s="8" t="s">
        <v>149</v>
      </c>
      <c r="K1138" s="8" t="s">
        <v>150</v>
      </c>
      <c r="L1138" s="8" t="s">
        <v>557</v>
      </c>
      <c r="M1138" s="1" t="s">
        <v>207</v>
      </c>
      <c r="N1138" s="8" t="s">
        <v>208</v>
      </c>
      <c r="O1138" s="6">
        <v>0</v>
      </c>
      <c r="P1138" s="6">
        <v>0</v>
      </c>
      <c r="Q1138" s="6">
        <v>0</v>
      </c>
      <c r="R1138" s="6">
        <v>0</v>
      </c>
      <c r="S1138" s="6">
        <v>2000</v>
      </c>
    </row>
    <row r="1139" spans="1:19" ht="15" hidden="1" x14ac:dyDescent="0.25">
      <c r="A1139" s="7" t="s">
        <v>16</v>
      </c>
      <c r="B1139" s="7" t="s">
        <v>21</v>
      </c>
      <c r="C1139" s="7" t="s">
        <v>18</v>
      </c>
      <c r="D1139" s="4">
        <v>46374500009060</v>
      </c>
      <c r="E1139" s="8" t="s">
        <v>699</v>
      </c>
      <c r="F1139" s="8" t="s">
        <v>40</v>
      </c>
      <c r="G1139" s="8" t="s">
        <v>19</v>
      </c>
      <c r="H1139" s="8" t="s">
        <v>215</v>
      </c>
      <c r="I1139" s="3">
        <v>2</v>
      </c>
      <c r="J1139" s="8" t="s">
        <v>151</v>
      </c>
      <c r="K1139" s="8" t="s">
        <v>152</v>
      </c>
      <c r="L1139" s="8" t="s">
        <v>556</v>
      </c>
      <c r="M1139" s="1" t="s">
        <v>207</v>
      </c>
      <c r="N1139" s="8" t="s">
        <v>208</v>
      </c>
      <c r="O1139" s="6">
        <v>0</v>
      </c>
      <c r="P1139" s="6">
        <v>0</v>
      </c>
      <c r="Q1139" s="6">
        <v>0</v>
      </c>
      <c r="R1139" s="6">
        <v>0</v>
      </c>
      <c r="S1139" s="6">
        <v>300</v>
      </c>
    </row>
    <row r="1140" spans="1:19" ht="15" hidden="1" x14ac:dyDescent="0.25">
      <c r="A1140" s="7" t="s">
        <v>16</v>
      </c>
      <c r="B1140" s="7" t="s">
        <v>21</v>
      </c>
      <c r="C1140" s="7" t="s">
        <v>18</v>
      </c>
      <c r="D1140" s="4">
        <v>46374500009060</v>
      </c>
      <c r="E1140" s="8" t="s">
        <v>699</v>
      </c>
      <c r="F1140" s="8" t="s">
        <v>40</v>
      </c>
      <c r="G1140" s="8" t="s">
        <v>19</v>
      </c>
      <c r="H1140" s="8" t="s">
        <v>215</v>
      </c>
      <c r="I1140" s="3">
        <v>2</v>
      </c>
      <c r="J1140" s="8" t="s">
        <v>149</v>
      </c>
      <c r="K1140" s="8" t="s">
        <v>150</v>
      </c>
      <c r="L1140" s="8" t="s">
        <v>557</v>
      </c>
      <c r="M1140" s="1" t="s">
        <v>207</v>
      </c>
      <c r="N1140" s="8" t="s">
        <v>208</v>
      </c>
      <c r="O1140" s="6">
        <v>0</v>
      </c>
      <c r="P1140" s="6">
        <v>0</v>
      </c>
      <c r="Q1140" s="6">
        <v>0</v>
      </c>
      <c r="R1140" s="6">
        <v>0</v>
      </c>
      <c r="S1140" s="6">
        <v>300</v>
      </c>
    </row>
    <row r="1141" spans="1:19" ht="15" hidden="1" x14ac:dyDescent="0.25">
      <c r="A1141" s="7" t="s">
        <v>16</v>
      </c>
      <c r="B1141" s="7" t="s">
        <v>21</v>
      </c>
      <c r="C1141" s="7" t="s">
        <v>18</v>
      </c>
      <c r="D1141" s="4">
        <v>44803922000293</v>
      </c>
      <c r="E1141" s="8" t="s">
        <v>681</v>
      </c>
      <c r="F1141" s="8" t="s">
        <v>40</v>
      </c>
      <c r="G1141" s="8" t="s">
        <v>19</v>
      </c>
      <c r="H1141" s="8" t="s">
        <v>215</v>
      </c>
      <c r="I1141" s="3">
        <v>2</v>
      </c>
      <c r="J1141" s="8" t="s">
        <v>151</v>
      </c>
      <c r="K1141" s="8" t="s">
        <v>152</v>
      </c>
      <c r="L1141" s="8" t="s">
        <v>556</v>
      </c>
      <c r="M1141" s="1" t="s">
        <v>207</v>
      </c>
      <c r="N1141" s="8" t="s">
        <v>208</v>
      </c>
      <c r="O1141" s="6">
        <v>0</v>
      </c>
      <c r="P1141" s="6">
        <v>0</v>
      </c>
      <c r="Q1141" s="6">
        <v>0</v>
      </c>
      <c r="R1141" s="6">
        <v>10</v>
      </c>
      <c r="S1141" s="6">
        <v>0</v>
      </c>
    </row>
    <row r="1142" spans="1:19" ht="15" hidden="1" x14ac:dyDescent="0.25">
      <c r="A1142" s="7" t="s">
        <v>16</v>
      </c>
      <c r="B1142" s="7" t="s">
        <v>21</v>
      </c>
      <c r="C1142" s="7" t="s">
        <v>18</v>
      </c>
      <c r="D1142" s="4">
        <v>44803922000293</v>
      </c>
      <c r="E1142" s="8" t="s">
        <v>681</v>
      </c>
      <c r="F1142" s="8" t="s">
        <v>40</v>
      </c>
      <c r="G1142" s="8" t="s">
        <v>19</v>
      </c>
      <c r="H1142" s="8" t="s">
        <v>215</v>
      </c>
      <c r="I1142" s="3">
        <v>2</v>
      </c>
      <c r="J1142" s="8" t="s">
        <v>149</v>
      </c>
      <c r="K1142" s="8" t="s">
        <v>150</v>
      </c>
      <c r="L1142" s="8" t="s">
        <v>557</v>
      </c>
      <c r="M1142" s="1" t="s">
        <v>207</v>
      </c>
      <c r="N1142" s="8" t="s">
        <v>208</v>
      </c>
      <c r="O1142" s="6">
        <v>0</v>
      </c>
      <c r="P1142" s="6">
        <v>0</v>
      </c>
      <c r="Q1142" s="6">
        <v>0</v>
      </c>
      <c r="R1142" s="6">
        <v>0</v>
      </c>
      <c r="S1142" s="6">
        <v>0</v>
      </c>
    </row>
    <row r="1143" spans="1:19" ht="15" hidden="1" x14ac:dyDescent="0.25">
      <c r="A1143" s="7" t="s">
        <v>16</v>
      </c>
      <c r="B1143" s="7" t="s">
        <v>21</v>
      </c>
      <c r="C1143" s="7" t="s">
        <v>18</v>
      </c>
      <c r="D1143" s="4">
        <v>840048000450</v>
      </c>
      <c r="E1143" s="8" t="s">
        <v>637</v>
      </c>
      <c r="F1143" s="8" t="s">
        <v>30</v>
      </c>
      <c r="G1143" s="8" t="s">
        <v>19</v>
      </c>
      <c r="H1143" s="8" t="s">
        <v>215</v>
      </c>
      <c r="I1143" s="3">
        <v>2</v>
      </c>
      <c r="J1143" s="8" t="s">
        <v>151</v>
      </c>
      <c r="K1143" s="8" t="s">
        <v>152</v>
      </c>
      <c r="L1143" s="8" t="s">
        <v>556</v>
      </c>
      <c r="M1143" s="1" t="s">
        <v>207</v>
      </c>
      <c r="N1143" s="8" t="s">
        <v>208</v>
      </c>
      <c r="O1143" s="6">
        <v>0</v>
      </c>
      <c r="P1143" s="6">
        <v>0</v>
      </c>
      <c r="Q1143" s="6">
        <v>0</v>
      </c>
      <c r="R1143" s="6">
        <v>0</v>
      </c>
      <c r="S1143" s="6">
        <v>5</v>
      </c>
    </row>
    <row r="1144" spans="1:19" ht="15" hidden="1" x14ac:dyDescent="0.25">
      <c r="A1144" s="7" t="s">
        <v>16</v>
      </c>
      <c r="B1144" s="7" t="s">
        <v>21</v>
      </c>
      <c r="C1144" s="7" t="s">
        <v>18</v>
      </c>
      <c r="D1144" s="4">
        <v>840048000450</v>
      </c>
      <c r="E1144" s="8" t="s">
        <v>637</v>
      </c>
      <c r="F1144" s="8" t="s">
        <v>30</v>
      </c>
      <c r="G1144" s="8" t="s">
        <v>19</v>
      </c>
      <c r="H1144" s="8" t="s">
        <v>215</v>
      </c>
      <c r="I1144" s="3">
        <v>2</v>
      </c>
      <c r="J1144" s="8" t="s">
        <v>149</v>
      </c>
      <c r="K1144" s="8" t="s">
        <v>150</v>
      </c>
      <c r="L1144" s="8" t="s">
        <v>557</v>
      </c>
      <c r="M1144" s="1" t="s">
        <v>207</v>
      </c>
      <c r="N1144" s="8" t="s">
        <v>208</v>
      </c>
      <c r="O1144" s="6">
        <v>0</v>
      </c>
      <c r="P1144" s="6">
        <v>0</v>
      </c>
      <c r="Q1144" s="6">
        <v>0</v>
      </c>
      <c r="R1144" s="6">
        <v>0</v>
      </c>
      <c r="S1144" s="6">
        <v>5</v>
      </c>
    </row>
    <row r="1145" spans="1:19" ht="15" hidden="1" x14ac:dyDescent="0.25">
      <c r="A1145" s="7" t="s">
        <v>16</v>
      </c>
      <c r="B1145" s="7" t="s">
        <v>21</v>
      </c>
      <c r="C1145" s="7" t="s">
        <v>18</v>
      </c>
      <c r="D1145" s="4">
        <v>57722118000140</v>
      </c>
      <c r="E1145" s="8" t="s">
        <v>722</v>
      </c>
      <c r="F1145" s="8" t="s">
        <v>639</v>
      </c>
      <c r="G1145" s="8" t="s">
        <v>19</v>
      </c>
      <c r="H1145" s="8" t="s">
        <v>215</v>
      </c>
      <c r="I1145" s="3">
        <v>2</v>
      </c>
      <c r="J1145" s="8" t="s">
        <v>151</v>
      </c>
      <c r="K1145" s="8" t="s">
        <v>152</v>
      </c>
      <c r="L1145" s="8" t="s">
        <v>556</v>
      </c>
      <c r="M1145" s="1" t="s">
        <v>207</v>
      </c>
      <c r="N1145" s="8" t="s">
        <v>208</v>
      </c>
      <c r="O1145" s="6">
        <v>0</v>
      </c>
      <c r="P1145" s="6">
        <v>0</v>
      </c>
      <c r="Q1145" s="6">
        <v>0</v>
      </c>
      <c r="R1145" s="6">
        <v>0</v>
      </c>
      <c r="S1145" s="6">
        <v>150</v>
      </c>
    </row>
    <row r="1146" spans="1:19" ht="15" hidden="1" x14ac:dyDescent="0.25">
      <c r="A1146" s="7" t="s">
        <v>16</v>
      </c>
      <c r="B1146" s="7" t="s">
        <v>21</v>
      </c>
      <c r="C1146" s="7" t="s">
        <v>18</v>
      </c>
      <c r="D1146" s="4">
        <v>57722118000140</v>
      </c>
      <c r="E1146" s="8" t="s">
        <v>722</v>
      </c>
      <c r="F1146" s="8" t="s">
        <v>639</v>
      </c>
      <c r="G1146" s="8" t="s">
        <v>19</v>
      </c>
      <c r="H1146" s="8" t="s">
        <v>215</v>
      </c>
      <c r="I1146" s="3">
        <v>2</v>
      </c>
      <c r="J1146" s="8" t="s">
        <v>149</v>
      </c>
      <c r="K1146" s="8" t="s">
        <v>150</v>
      </c>
      <c r="L1146" s="8" t="s">
        <v>557</v>
      </c>
      <c r="M1146" s="1" t="s">
        <v>207</v>
      </c>
      <c r="N1146" s="8" t="s">
        <v>208</v>
      </c>
      <c r="O1146" s="6">
        <v>0</v>
      </c>
      <c r="P1146" s="6">
        <v>0</v>
      </c>
      <c r="Q1146" s="6">
        <v>0</v>
      </c>
      <c r="R1146" s="6">
        <v>0</v>
      </c>
      <c r="S1146" s="6">
        <v>150</v>
      </c>
    </row>
    <row r="1147" spans="1:19" ht="15" hidden="1" x14ac:dyDescent="0.25">
      <c r="A1147" s="7" t="s">
        <v>16</v>
      </c>
      <c r="B1147" s="7" t="s">
        <v>21</v>
      </c>
      <c r="C1147" s="7" t="s">
        <v>18</v>
      </c>
      <c r="D1147" s="4">
        <v>1613433006892</v>
      </c>
      <c r="E1147" s="8" t="s">
        <v>638</v>
      </c>
      <c r="F1147" s="8" t="s">
        <v>639</v>
      </c>
      <c r="G1147" s="8" t="s">
        <v>19</v>
      </c>
      <c r="H1147" s="8" t="s">
        <v>215</v>
      </c>
      <c r="I1147" s="3">
        <v>2</v>
      </c>
      <c r="J1147" s="8" t="s">
        <v>151</v>
      </c>
      <c r="K1147" s="8" t="s">
        <v>152</v>
      </c>
      <c r="L1147" s="8" t="s">
        <v>556</v>
      </c>
      <c r="M1147" s="1" t="s">
        <v>207</v>
      </c>
      <c r="N1147" s="8" t="s">
        <v>208</v>
      </c>
      <c r="O1147" s="6">
        <v>0</v>
      </c>
      <c r="P1147" s="6">
        <v>0</v>
      </c>
      <c r="Q1147" s="6">
        <v>0</v>
      </c>
      <c r="R1147" s="6">
        <v>0</v>
      </c>
      <c r="S1147" s="6">
        <v>450</v>
      </c>
    </row>
    <row r="1148" spans="1:19" ht="15" hidden="1" x14ac:dyDescent="0.25">
      <c r="A1148" s="7" t="s">
        <v>16</v>
      </c>
      <c r="B1148" s="7" t="s">
        <v>21</v>
      </c>
      <c r="C1148" s="7" t="s">
        <v>18</v>
      </c>
      <c r="D1148" s="4">
        <v>1613433006892</v>
      </c>
      <c r="E1148" s="8" t="s">
        <v>638</v>
      </c>
      <c r="F1148" s="8" t="s">
        <v>639</v>
      </c>
      <c r="G1148" s="8" t="s">
        <v>19</v>
      </c>
      <c r="H1148" s="8" t="s">
        <v>215</v>
      </c>
      <c r="I1148" s="3">
        <v>2</v>
      </c>
      <c r="J1148" s="8" t="s">
        <v>149</v>
      </c>
      <c r="K1148" s="8" t="s">
        <v>150</v>
      </c>
      <c r="L1148" s="8" t="s">
        <v>557</v>
      </c>
      <c r="M1148" s="1" t="s">
        <v>207</v>
      </c>
      <c r="N1148" s="8" t="s">
        <v>208</v>
      </c>
      <c r="O1148" s="6">
        <v>0</v>
      </c>
      <c r="P1148" s="6">
        <v>0</v>
      </c>
      <c r="Q1148" s="6">
        <v>0</v>
      </c>
      <c r="R1148" s="6">
        <v>0</v>
      </c>
      <c r="S1148" s="6">
        <v>450</v>
      </c>
    </row>
    <row r="1149" spans="1:19" ht="15" hidden="1" x14ac:dyDescent="0.25">
      <c r="A1149" s="7" t="s">
        <v>16</v>
      </c>
      <c r="B1149" s="7" t="s">
        <v>21</v>
      </c>
      <c r="C1149" s="7" t="s">
        <v>18</v>
      </c>
      <c r="D1149" s="4">
        <v>45232246000550</v>
      </c>
      <c r="E1149" s="8" t="s">
        <v>685</v>
      </c>
      <c r="F1149" s="8" t="s">
        <v>639</v>
      </c>
      <c r="G1149" s="8" t="s">
        <v>19</v>
      </c>
      <c r="H1149" s="8" t="s">
        <v>215</v>
      </c>
      <c r="I1149" s="3">
        <v>2</v>
      </c>
      <c r="J1149" s="8" t="s">
        <v>151</v>
      </c>
      <c r="K1149" s="8" t="s">
        <v>152</v>
      </c>
      <c r="L1149" s="8" t="s">
        <v>556</v>
      </c>
      <c r="M1149" s="1" t="s">
        <v>207</v>
      </c>
      <c r="N1149" s="8" t="s">
        <v>208</v>
      </c>
      <c r="O1149" s="6">
        <v>0</v>
      </c>
      <c r="P1149" s="6">
        <v>0</v>
      </c>
      <c r="Q1149" s="6">
        <v>0</v>
      </c>
      <c r="R1149" s="6">
        <v>51</v>
      </c>
      <c r="S1149" s="6">
        <v>60</v>
      </c>
    </row>
    <row r="1150" spans="1:19" ht="15" hidden="1" x14ac:dyDescent="0.25">
      <c r="A1150" s="7" t="s">
        <v>16</v>
      </c>
      <c r="B1150" s="7" t="s">
        <v>21</v>
      </c>
      <c r="C1150" s="7" t="s">
        <v>18</v>
      </c>
      <c r="D1150" s="4">
        <v>45232246000550</v>
      </c>
      <c r="E1150" s="8" t="s">
        <v>685</v>
      </c>
      <c r="F1150" s="8" t="s">
        <v>639</v>
      </c>
      <c r="G1150" s="8" t="s">
        <v>19</v>
      </c>
      <c r="H1150" s="8" t="s">
        <v>215</v>
      </c>
      <c r="I1150" s="3">
        <v>2</v>
      </c>
      <c r="J1150" s="8" t="s">
        <v>149</v>
      </c>
      <c r="K1150" s="8" t="s">
        <v>150</v>
      </c>
      <c r="L1150" s="8" t="s">
        <v>557</v>
      </c>
      <c r="M1150" s="1" t="s">
        <v>207</v>
      </c>
      <c r="N1150" s="8" t="s">
        <v>208</v>
      </c>
      <c r="O1150" s="6">
        <v>0</v>
      </c>
      <c r="P1150" s="6">
        <v>0</v>
      </c>
      <c r="Q1150" s="6">
        <v>0</v>
      </c>
      <c r="R1150" s="6">
        <v>0</v>
      </c>
      <c r="S1150" s="6">
        <v>60</v>
      </c>
    </row>
    <row r="1151" spans="1:19" ht="15" hidden="1" x14ac:dyDescent="0.25">
      <c r="A1151" s="7" t="s">
        <v>16</v>
      </c>
      <c r="B1151" s="7" t="s">
        <v>21</v>
      </c>
      <c r="C1151" s="7" t="s">
        <v>18</v>
      </c>
      <c r="D1151" s="4">
        <v>44663631000590</v>
      </c>
      <c r="E1151" s="8" t="s">
        <v>680</v>
      </c>
      <c r="F1151" s="8" t="s">
        <v>39</v>
      </c>
      <c r="G1151" s="8" t="s">
        <v>19</v>
      </c>
      <c r="H1151" s="8" t="s">
        <v>215</v>
      </c>
      <c r="I1151" s="3">
        <v>2</v>
      </c>
      <c r="J1151" s="8" t="s">
        <v>151</v>
      </c>
      <c r="K1151" s="8" t="s">
        <v>152</v>
      </c>
      <c r="L1151" s="8" t="s">
        <v>556</v>
      </c>
      <c r="M1151" s="1" t="s">
        <v>207</v>
      </c>
      <c r="N1151" s="8" t="s">
        <v>208</v>
      </c>
      <c r="O1151" s="6">
        <v>0</v>
      </c>
      <c r="P1151" s="6">
        <v>0</v>
      </c>
      <c r="Q1151" s="6">
        <v>0</v>
      </c>
      <c r="R1151" s="6">
        <v>32</v>
      </c>
      <c r="S1151" s="6">
        <v>165</v>
      </c>
    </row>
    <row r="1152" spans="1:19" ht="15" hidden="1" x14ac:dyDescent="0.25">
      <c r="A1152" s="7" t="s">
        <v>16</v>
      </c>
      <c r="B1152" s="7" t="s">
        <v>21</v>
      </c>
      <c r="C1152" s="7" t="s">
        <v>18</v>
      </c>
      <c r="D1152" s="4">
        <v>44663631000590</v>
      </c>
      <c r="E1152" s="8" t="s">
        <v>680</v>
      </c>
      <c r="F1152" s="8" t="s">
        <v>39</v>
      </c>
      <c r="G1152" s="8" t="s">
        <v>19</v>
      </c>
      <c r="H1152" s="8" t="s">
        <v>215</v>
      </c>
      <c r="I1152" s="3">
        <v>2</v>
      </c>
      <c r="J1152" s="8" t="s">
        <v>149</v>
      </c>
      <c r="K1152" s="8" t="s">
        <v>150</v>
      </c>
      <c r="L1152" s="8" t="s">
        <v>557</v>
      </c>
      <c r="M1152" s="1" t="s">
        <v>207</v>
      </c>
      <c r="N1152" s="8" t="s">
        <v>208</v>
      </c>
      <c r="O1152" s="6">
        <v>0</v>
      </c>
      <c r="P1152" s="6">
        <v>0</v>
      </c>
      <c r="Q1152" s="6">
        <v>0</v>
      </c>
      <c r="R1152" s="6">
        <v>0</v>
      </c>
      <c r="S1152" s="6">
        <v>165</v>
      </c>
    </row>
    <row r="1153" spans="1:19" ht="15" hidden="1" x14ac:dyDescent="0.25">
      <c r="A1153" s="7" t="s">
        <v>16</v>
      </c>
      <c r="B1153" s="7" t="s">
        <v>21</v>
      </c>
      <c r="C1153" s="7" t="s">
        <v>18</v>
      </c>
      <c r="D1153" s="4">
        <v>13718999001041</v>
      </c>
      <c r="E1153" s="8" t="s">
        <v>662</v>
      </c>
      <c r="F1153" s="8" t="s">
        <v>647</v>
      </c>
      <c r="G1153" s="8" t="s">
        <v>19</v>
      </c>
      <c r="H1153" s="8" t="s">
        <v>215</v>
      </c>
      <c r="I1153" s="3">
        <v>2</v>
      </c>
      <c r="J1153" s="8" t="s">
        <v>1355</v>
      </c>
      <c r="K1153" s="8" t="s">
        <v>1356</v>
      </c>
      <c r="L1153" s="8" t="s">
        <v>556</v>
      </c>
      <c r="M1153" s="1" t="s">
        <v>207</v>
      </c>
      <c r="N1153" s="8" t="s">
        <v>208</v>
      </c>
      <c r="O1153" s="6">
        <v>0</v>
      </c>
      <c r="P1153" s="6">
        <v>0</v>
      </c>
      <c r="Q1153" s="6">
        <v>0</v>
      </c>
      <c r="R1153" s="6">
        <v>4</v>
      </c>
      <c r="S1153" s="6">
        <v>0</v>
      </c>
    </row>
    <row r="1154" spans="1:19" ht="15" hidden="1" x14ac:dyDescent="0.25">
      <c r="A1154" s="7" t="s">
        <v>16</v>
      </c>
      <c r="B1154" s="7" t="s">
        <v>21</v>
      </c>
      <c r="C1154" s="7" t="s">
        <v>18</v>
      </c>
      <c r="D1154" s="4">
        <v>13718999001041</v>
      </c>
      <c r="E1154" s="8" t="s">
        <v>662</v>
      </c>
      <c r="F1154" s="8" t="s">
        <v>647</v>
      </c>
      <c r="G1154" s="8" t="s">
        <v>19</v>
      </c>
      <c r="H1154" s="8" t="s">
        <v>215</v>
      </c>
      <c r="I1154" s="3">
        <v>2</v>
      </c>
      <c r="J1154" s="8" t="s">
        <v>147</v>
      </c>
      <c r="K1154" s="8" t="s">
        <v>148</v>
      </c>
      <c r="L1154" s="8" t="s">
        <v>557</v>
      </c>
      <c r="M1154" s="1" t="s">
        <v>207</v>
      </c>
      <c r="N1154" s="8" t="s">
        <v>208</v>
      </c>
      <c r="O1154" s="6">
        <v>0</v>
      </c>
      <c r="P1154" s="6">
        <v>0</v>
      </c>
      <c r="Q1154" s="6">
        <v>0</v>
      </c>
      <c r="R1154" s="6">
        <v>0</v>
      </c>
      <c r="S1154" s="6">
        <v>0</v>
      </c>
    </row>
    <row r="1155" spans="1:19" ht="15" hidden="1" x14ac:dyDescent="0.25">
      <c r="A1155" s="7" t="s">
        <v>16</v>
      </c>
      <c r="B1155" s="7" t="s">
        <v>21</v>
      </c>
      <c r="C1155" s="7" t="s">
        <v>18</v>
      </c>
      <c r="D1155" s="4">
        <v>6047087007907</v>
      </c>
      <c r="E1155" s="8" t="s">
        <v>652</v>
      </c>
      <c r="F1155" s="8" t="s">
        <v>647</v>
      </c>
      <c r="G1155" s="8" t="s">
        <v>19</v>
      </c>
      <c r="H1155" s="8" t="s">
        <v>215</v>
      </c>
      <c r="I1155" s="3">
        <v>2</v>
      </c>
      <c r="J1155" s="8" t="s">
        <v>1355</v>
      </c>
      <c r="K1155" s="8" t="s">
        <v>1356</v>
      </c>
      <c r="L1155" s="8" t="s">
        <v>556</v>
      </c>
      <c r="M1155" s="1" t="s">
        <v>207</v>
      </c>
      <c r="N1155" s="8" t="s">
        <v>208</v>
      </c>
      <c r="O1155" s="6">
        <v>0</v>
      </c>
      <c r="P1155" s="6">
        <v>0</v>
      </c>
      <c r="Q1155" s="6">
        <v>0</v>
      </c>
      <c r="R1155" s="6">
        <v>0</v>
      </c>
      <c r="S1155" s="6">
        <v>0</v>
      </c>
    </row>
    <row r="1156" spans="1:19" ht="15" hidden="1" x14ac:dyDescent="0.25">
      <c r="A1156" s="7" t="s">
        <v>16</v>
      </c>
      <c r="B1156" s="7" t="s">
        <v>21</v>
      </c>
      <c r="C1156" s="7" t="s">
        <v>18</v>
      </c>
      <c r="D1156" s="4">
        <v>6047087007907</v>
      </c>
      <c r="E1156" s="8" t="s">
        <v>652</v>
      </c>
      <c r="F1156" s="8" t="s">
        <v>647</v>
      </c>
      <c r="G1156" s="8" t="s">
        <v>19</v>
      </c>
      <c r="H1156" s="8" t="s">
        <v>215</v>
      </c>
      <c r="I1156" s="3">
        <v>2</v>
      </c>
      <c r="J1156" s="8" t="s">
        <v>147</v>
      </c>
      <c r="K1156" s="8" t="s">
        <v>148</v>
      </c>
      <c r="L1156" s="8" t="s">
        <v>557</v>
      </c>
      <c r="M1156" s="1" t="s">
        <v>207</v>
      </c>
      <c r="N1156" s="8" t="s">
        <v>208</v>
      </c>
      <c r="O1156" s="6">
        <v>0</v>
      </c>
      <c r="P1156" s="6">
        <v>0</v>
      </c>
      <c r="Q1156" s="6">
        <v>12</v>
      </c>
      <c r="R1156" s="6">
        <v>0</v>
      </c>
      <c r="S1156" s="6">
        <v>0</v>
      </c>
    </row>
    <row r="1157" spans="1:19" ht="15" hidden="1" x14ac:dyDescent="0.25">
      <c r="A1157" s="7" t="s">
        <v>16</v>
      </c>
      <c r="B1157" s="7" t="s">
        <v>21</v>
      </c>
      <c r="C1157" s="7" t="s">
        <v>18</v>
      </c>
      <c r="D1157" s="4">
        <v>6033403000113</v>
      </c>
      <c r="E1157" s="8" t="s">
        <v>646</v>
      </c>
      <c r="F1157" s="8" t="s">
        <v>647</v>
      </c>
      <c r="G1157" s="8" t="s">
        <v>19</v>
      </c>
      <c r="H1157" s="8" t="s">
        <v>215</v>
      </c>
      <c r="I1157" s="3">
        <v>2</v>
      </c>
      <c r="J1157" s="8" t="s">
        <v>1355</v>
      </c>
      <c r="K1157" s="8" t="s">
        <v>1356</v>
      </c>
      <c r="L1157" s="8" t="s">
        <v>556</v>
      </c>
      <c r="M1157" s="1" t="s">
        <v>207</v>
      </c>
      <c r="N1157" s="8" t="s">
        <v>208</v>
      </c>
      <c r="O1157" s="6">
        <v>0</v>
      </c>
      <c r="P1157" s="6">
        <v>0</v>
      </c>
      <c r="Q1157" s="6">
        <v>0</v>
      </c>
      <c r="R1157" s="6">
        <v>0</v>
      </c>
      <c r="S1157" s="6">
        <v>0</v>
      </c>
    </row>
    <row r="1158" spans="1:19" ht="15" hidden="1" x14ac:dyDescent="0.25">
      <c r="A1158" s="7" t="s">
        <v>16</v>
      </c>
      <c r="B1158" s="7" t="s">
        <v>21</v>
      </c>
      <c r="C1158" s="7" t="s">
        <v>18</v>
      </c>
      <c r="D1158" s="4">
        <v>6033403000113</v>
      </c>
      <c r="E1158" s="8" t="s">
        <v>646</v>
      </c>
      <c r="F1158" s="8" t="s">
        <v>647</v>
      </c>
      <c r="G1158" s="8" t="s">
        <v>19</v>
      </c>
      <c r="H1158" s="8" t="s">
        <v>215</v>
      </c>
      <c r="I1158" s="3">
        <v>2</v>
      </c>
      <c r="J1158" s="8" t="s">
        <v>147</v>
      </c>
      <c r="K1158" s="8" t="s">
        <v>148</v>
      </c>
      <c r="L1158" s="8" t="s">
        <v>557</v>
      </c>
      <c r="M1158" s="1" t="s">
        <v>207</v>
      </c>
      <c r="N1158" s="8" t="s">
        <v>208</v>
      </c>
      <c r="O1158" s="6">
        <v>0</v>
      </c>
      <c r="P1158" s="6">
        <v>2</v>
      </c>
      <c r="Q1158" s="6">
        <v>0</v>
      </c>
      <c r="R1158" s="6">
        <v>0</v>
      </c>
      <c r="S1158" s="6">
        <v>0</v>
      </c>
    </row>
    <row r="1159" spans="1:19" ht="15" hidden="1" x14ac:dyDescent="0.25">
      <c r="A1159" s="7" t="s">
        <v>16</v>
      </c>
      <c r="B1159" s="7" t="s">
        <v>21</v>
      </c>
      <c r="C1159" s="7" t="s">
        <v>18</v>
      </c>
      <c r="D1159" s="4">
        <v>18290268000170</v>
      </c>
      <c r="E1159" s="8" t="s">
        <v>663</v>
      </c>
      <c r="F1159" s="8" t="s">
        <v>35</v>
      </c>
      <c r="G1159" s="8" t="s">
        <v>19</v>
      </c>
      <c r="H1159" s="8" t="s">
        <v>215</v>
      </c>
      <c r="I1159" s="3">
        <v>2</v>
      </c>
      <c r="J1159" s="8" t="s">
        <v>1355</v>
      </c>
      <c r="K1159" s="8" t="s">
        <v>1356</v>
      </c>
      <c r="L1159" s="8" t="s">
        <v>556</v>
      </c>
      <c r="M1159" s="1" t="s">
        <v>207</v>
      </c>
      <c r="N1159" s="8" t="s">
        <v>208</v>
      </c>
      <c r="O1159" s="6">
        <v>0</v>
      </c>
      <c r="P1159" s="6">
        <v>0</v>
      </c>
      <c r="Q1159" s="6">
        <v>0</v>
      </c>
      <c r="R1159" s="6">
        <v>0</v>
      </c>
      <c r="S1159" s="6">
        <v>0</v>
      </c>
    </row>
    <row r="1160" spans="1:19" ht="15" hidden="1" x14ac:dyDescent="0.25">
      <c r="A1160" s="7" t="s">
        <v>16</v>
      </c>
      <c r="B1160" s="7" t="s">
        <v>21</v>
      </c>
      <c r="C1160" s="7" t="s">
        <v>18</v>
      </c>
      <c r="D1160" s="4">
        <v>18290268000170</v>
      </c>
      <c r="E1160" s="8" t="s">
        <v>663</v>
      </c>
      <c r="F1160" s="8" t="s">
        <v>35</v>
      </c>
      <c r="G1160" s="8" t="s">
        <v>19</v>
      </c>
      <c r="H1160" s="8" t="s">
        <v>215</v>
      </c>
      <c r="I1160" s="3">
        <v>2</v>
      </c>
      <c r="J1160" s="8" t="s">
        <v>147</v>
      </c>
      <c r="K1160" s="8" t="s">
        <v>148</v>
      </c>
      <c r="L1160" s="8" t="s">
        <v>557</v>
      </c>
      <c r="M1160" s="1" t="s">
        <v>207</v>
      </c>
      <c r="N1160" s="8" t="s">
        <v>208</v>
      </c>
      <c r="O1160" s="6">
        <v>0</v>
      </c>
      <c r="P1160" s="6">
        <v>0</v>
      </c>
      <c r="Q1160" s="6">
        <v>0</v>
      </c>
      <c r="R1160" s="6">
        <v>0</v>
      </c>
      <c r="S1160" s="6">
        <v>0</v>
      </c>
    </row>
    <row r="1161" spans="1:19" ht="15" hidden="1" x14ac:dyDescent="0.25">
      <c r="A1161" s="7" t="s">
        <v>16</v>
      </c>
      <c r="B1161" s="7" t="s">
        <v>21</v>
      </c>
      <c r="C1161" s="7" t="s">
        <v>18</v>
      </c>
      <c r="D1161" s="4">
        <v>10868295000176</v>
      </c>
      <c r="E1161" s="8" t="s">
        <v>660</v>
      </c>
      <c r="F1161" s="8" t="s">
        <v>35</v>
      </c>
      <c r="G1161" s="8" t="s">
        <v>19</v>
      </c>
      <c r="H1161" s="8" t="s">
        <v>215</v>
      </c>
      <c r="I1161" s="3">
        <v>2</v>
      </c>
      <c r="J1161" s="8" t="s">
        <v>1355</v>
      </c>
      <c r="K1161" s="8" t="s">
        <v>1356</v>
      </c>
      <c r="L1161" s="8" t="s">
        <v>556</v>
      </c>
      <c r="M1161" s="1" t="s">
        <v>207</v>
      </c>
      <c r="N1161" s="8" t="s">
        <v>208</v>
      </c>
      <c r="O1161" s="6">
        <v>0</v>
      </c>
      <c r="P1161" s="6">
        <v>0</v>
      </c>
      <c r="Q1161" s="6">
        <v>0</v>
      </c>
      <c r="R1161" s="6">
        <v>0</v>
      </c>
      <c r="S1161" s="6">
        <v>40</v>
      </c>
    </row>
    <row r="1162" spans="1:19" ht="15" hidden="1" x14ac:dyDescent="0.25">
      <c r="A1162" s="7" t="s">
        <v>16</v>
      </c>
      <c r="B1162" s="7" t="s">
        <v>21</v>
      </c>
      <c r="C1162" s="7" t="s">
        <v>18</v>
      </c>
      <c r="D1162" s="4">
        <v>10868295000176</v>
      </c>
      <c r="E1162" s="8" t="s">
        <v>660</v>
      </c>
      <c r="F1162" s="8" t="s">
        <v>35</v>
      </c>
      <c r="G1162" s="8" t="s">
        <v>19</v>
      </c>
      <c r="H1162" s="8" t="s">
        <v>215</v>
      </c>
      <c r="I1162" s="3">
        <v>2</v>
      </c>
      <c r="J1162" s="8" t="s">
        <v>147</v>
      </c>
      <c r="K1162" s="8" t="s">
        <v>148</v>
      </c>
      <c r="L1162" s="8" t="s">
        <v>557</v>
      </c>
      <c r="M1162" s="1" t="s">
        <v>207</v>
      </c>
      <c r="N1162" s="8" t="s">
        <v>208</v>
      </c>
      <c r="O1162" s="6">
        <v>0</v>
      </c>
      <c r="P1162" s="6">
        <v>0</v>
      </c>
      <c r="Q1162" s="6">
        <v>0</v>
      </c>
      <c r="R1162" s="6">
        <v>0</v>
      </c>
      <c r="S1162" s="6">
        <v>40</v>
      </c>
    </row>
    <row r="1163" spans="1:19" ht="15" hidden="1" x14ac:dyDescent="0.25">
      <c r="A1163" s="7" t="s">
        <v>16</v>
      </c>
      <c r="B1163" s="7" t="s">
        <v>21</v>
      </c>
      <c r="C1163" s="7" t="s">
        <v>18</v>
      </c>
      <c r="D1163" s="4">
        <v>58229691001070</v>
      </c>
      <c r="E1163" s="8" t="s">
        <v>725</v>
      </c>
      <c r="F1163" s="8" t="s">
        <v>35</v>
      </c>
      <c r="G1163" s="8" t="s">
        <v>19</v>
      </c>
      <c r="H1163" s="8" t="s">
        <v>215</v>
      </c>
      <c r="I1163" s="3">
        <v>2</v>
      </c>
      <c r="J1163" s="8" t="s">
        <v>1355</v>
      </c>
      <c r="K1163" s="8" t="s">
        <v>1356</v>
      </c>
      <c r="L1163" s="8" t="s">
        <v>556</v>
      </c>
      <c r="M1163" s="1" t="s">
        <v>207</v>
      </c>
      <c r="N1163" s="8" t="s">
        <v>208</v>
      </c>
      <c r="O1163" s="6">
        <v>0</v>
      </c>
      <c r="P1163" s="6">
        <v>0</v>
      </c>
      <c r="Q1163" s="6">
        <v>0</v>
      </c>
      <c r="R1163" s="6">
        <v>32</v>
      </c>
      <c r="S1163" s="6">
        <v>0</v>
      </c>
    </row>
    <row r="1164" spans="1:19" ht="15" hidden="1" x14ac:dyDescent="0.25">
      <c r="A1164" s="7" t="s">
        <v>16</v>
      </c>
      <c r="B1164" s="7" t="s">
        <v>21</v>
      </c>
      <c r="C1164" s="7" t="s">
        <v>18</v>
      </c>
      <c r="D1164" s="4">
        <v>58229691001070</v>
      </c>
      <c r="E1164" s="8" t="s">
        <v>725</v>
      </c>
      <c r="F1164" s="8" t="s">
        <v>35</v>
      </c>
      <c r="G1164" s="8" t="s">
        <v>19</v>
      </c>
      <c r="H1164" s="8" t="s">
        <v>215</v>
      </c>
      <c r="I1164" s="3">
        <v>2</v>
      </c>
      <c r="J1164" s="8" t="s">
        <v>147</v>
      </c>
      <c r="K1164" s="8" t="s">
        <v>148</v>
      </c>
      <c r="L1164" s="8" t="s">
        <v>557</v>
      </c>
      <c r="M1164" s="1" t="s">
        <v>207</v>
      </c>
      <c r="N1164" s="8" t="s">
        <v>208</v>
      </c>
      <c r="O1164" s="6">
        <v>0</v>
      </c>
      <c r="P1164" s="6">
        <v>0</v>
      </c>
      <c r="Q1164" s="6">
        <v>0</v>
      </c>
      <c r="R1164" s="6">
        <v>0</v>
      </c>
      <c r="S1164" s="6">
        <v>0</v>
      </c>
    </row>
    <row r="1165" spans="1:19" ht="15" hidden="1" x14ac:dyDescent="0.25">
      <c r="A1165" s="7" t="s">
        <v>16</v>
      </c>
      <c r="B1165" s="7" t="s">
        <v>21</v>
      </c>
      <c r="C1165" s="7" t="s">
        <v>18</v>
      </c>
      <c r="D1165" s="4">
        <v>45399961000230</v>
      </c>
      <c r="E1165" s="8" t="s">
        <v>688</v>
      </c>
      <c r="F1165" s="8" t="s">
        <v>42</v>
      </c>
      <c r="G1165" s="8" t="s">
        <v>19</v>
      </c>
      <c r="H1165" s="8" t="s">
        <v>215</v>
      </c>
      <c r="I1165" s="3">
        <v>2</v>
      </c>
      <c r="J1165" s="8" t="s">
        <v>151</v>
      </c>
      <c r="K1165" s="8" t="s">
        <v>152</v>
      </c>
      <c r="L1165" s="8" t="s">
        <v>556</v>
      </c>
      <c r="M1165" s="1" t="s">
        <v>207</v>
      </c>
      <c r="N1165" s="8" t="s">
        <v>208</v>
      </c>
      <c r="O1165" s="6">
        <v>0</v>
      </c>
      <c r="P1165" s="6">
        <v>0</v>
      </c>
      <c r="Q1165" s="6">
        <v>0</v>
      </c>
      <c r="R1165" s="6">
        <v>0</v>
      </c>
      <c r="S1165" s="6">
        <v>450</v>
      </c>
    </row>
    <row r="1166" spans="1:19" ht="15" hidden="1" x14ac:dyDescent="0.25">
      <c r="A1166" s="7" t="s">
        <v>16</v>
      </c>
      <c r="B1166" s="7" t="s">
        <v>21</v>
      </c>
      <c r="C1166" s="7" t="s">
        <v>18</v>
      </c>
      <c r="D1166" s="4">
        <v>45399961000230</v>
      </c>
      <c r="E1166" s="8" t="s">
        <v>688</v>
      </c>
      <c r="F1166" s="8" t="s">
        <v>42</v>
      </c>
      <c r="G1166" s="8" t="s">
        <v>19</v>
      </c>
      <c r="H1166" s="8" t="s">
        <v>215</v>
      </c>
      <c r="I1166" s="3">
        <v>2</v>
      </c>
      <c r="J1166" s="8" t="s">
        <v>183</v>
      </c>
      <c r="K1166" s="8" t="s">
        <v>184</v>
      </c>
      <c r="L1166" s="8" t="s">
        <v>557</v>
      </c>
      <c r="M1166" s="1" t="s">
        <v>207</v>
      </c>
      <c r="N1166" s="8" t="s">
        <v>208</v>
      </c>
      <c r="O1166" s="6">
        <v>0</v>
      </c>
      <c r="P1166" s="6">
        <v>0</v>
      </c>
      <c r="Q1166" s="6">
        <v>0</v>
      </c>
      <c r="R1166" s="6">
        <v>0</v>
      </c>
      <c r="S1166" s="6">
        <v>450</v>
      </c>
    </row>
    <row r="1167" spans="1:19" ht="15" hidden="1" x14ac:dyDescent="0.25">
      <c r="A1167" s="7" t="s">
        <v>16</v>
      </c>
      <c r="B1167" s="7" t="s">
        <v>21</v>
      </c>
      <c r="C1167" s="7" t="s">
        <v>18</v>
      </c>
      <c r="D1167" s="4">
        <v>46124624002599</v>
      </c>
      <c r="E1167" s="8" t="s">
        <v>694</v>
      </c>
      <c r="F1167" s="8" t="s">
        <v>695</v>
      </c>
      <c r="G1167" s="8" t="s">
        <v>19</v>
      </c>
      <c r="H1167" s="8" t="s">
        <v>215</v>
      </c>
      <c r="I1167" s="3">
        <v>2</v>
      </c>
      <c r="J1167" s="8" t="s">
        <v>151</v>
      </c>
      <c r="K1167" s="8" t="s">
        <v>152</v>
      </c>
      <c r="L1167" s="8" t="s">
        <v>556</v>
      </c>
      <c r="M1167" s="1" t="s">
        <v>207</v>
      </c>
      <c r="N1167" s="8" t="s">
        <v>208</v>
      </c>
      <c r="O1167" s="6">
        <v>0</v>
      </c>
      <c r="P1167" s="6">
        <v>0</v>
      </c>
      <c r="Q1167" s="6">
        <v>0</v>
      </c>
      <c r="R1167" s="6">
        <v>240</v>
      </c>
      <c r="S1167" s="6">
        <v>700</v>
      </c>
    </row>
    <row r="1168" spans="1:19" ht="15" hidden="1" x14ac:dyDescent="0.25">
      <c r="A1168" s="7" t="s">
        <v>16</v>
      </c>
      <c r="B1168" s="7" t="s">
        <v>21</v>
      </c>
      <c r="C1168" s="7" t="s">
        <v>18</v>
      </c>
      <c r="D1168" s="4">
        <v>46124624002599</v>
      </c>
      <c r="E1168" s="8" t="s">
        <v>694</v>
      </c>
      <c r="F1168" s="8" t="s">
        <v>695</v>
      </c>
      <c r="G1168" s="8" t="s">
        <v>19</v>
      </c>
      <c r="H1168" s="8" t="s">
        <v>215</v>
      </c>
      <c r="I1168" s="3">
        <v>2</v>
      </c>
      <c r="J1168" s="8" t="s">
        <v>149</v>
      </c>
      <c r="K1168" s="8" t="s">
        <v>150</v>
      </c>
      <c r="L1168" s="8" t="s">
        <v>557</v>
      </c>
      <c r="M1168" s="1" t="s">
        <v>207</v>
      </c>
      <c r="N1168" s="8" t="s">
        <v>208</v>
      </c>
      <c r="O1168" s="6">
        <v>0</v>
      </c>
      <c r="P1168" s="6">
        <v>0</v>
      </c>
      <c r="Q1168" s="6">
        <v>0</v>
      </c>
      <c r="R1168" s="6">
        <v>0</v>
      </c>
      <c r="S1168" s="6">
        <v>700</v>
      </c>
    </row>
    <row r="1169" spans="1:19" ht="15" hidden="1" x14ac:dyDescent="0.25">
      <c r="A1169" s="7" t="s">
        <v>16</v>
      </c>
      <c r="B1169" s="7" t="s">
        <v>21</v>
      </c>
      <c r="C1169" s="7" t="s">
        <v>18</v>
      </c>
      <c r="D1169" s="4">
        <v>43293604002120</v>
      </c>
      <c r="E1169" s="8" t="s">
        <v>673</v>
      </c>
      <c r="F1169" s="8" t="s">
        <v>674</v>
      </c>
      <c r="G1169" s="8" t="s">
        <v>19</v>
      </c>
      <c r="H1169" s="8" t="s">
        <v>215</v>
      </c>
      <c r="I1169" s="3">
        <v>2</v>
      </c>
      <c r="J1169" s="8" t="s">
        <v>1355</v>
      </c>
      <c r="K1169" s="8" t="s">
        <v>1356</v>
      </c>
      <c r="L1169" s="8" t="s">
        <v>556</v>
      </c>
      <c r="M1169" s="1" t="s">
        <v>207</v>
      </c>
      <c r="N1169" s="8" t="s">
        <v>208</v>
      </c>
      <c r="O1169" s="6">
        <v>0</v>
      </c>
      <c r="P1169" s="6">
        <v>0</v>
      </c>
      <c r="Q1169" s="6">
        <v>0</v>
      </c>
      <c r="R1169" s="6">
        <v>0</v>
      </c>
      <c r="S1169" s="6">
        <v>80</v>
      </c>
    </row>
    <row r="1170" spans="1:19" ht="15" hidden="1" x14ac:dyDescent="0.25">
      <c r="A1170" s="7" t="s">
        <v>16</v>
      </c>
      <c r="B1170" s="7" t="s">
        <v>21</v>
      </c>
      <c r="C1170" s="7" t="s">
        <v>18</v>
      </c>
      <c r="D1170" s="4">
        <v>43293604002120</v>
      </c>
      <c r="E1170" s="8" t="s">
        <v>673</v>
      </c>
      <c r="F1170" s="8" t="s">
        <v>674</v>
      </c>
      <c r="G1170" s="8" t="s">
        <v>19</v>
      </c>
      <c r="H1170" s="8" t="s">
        <v>215</v>
      </c>
      <c r="I1170" s="3">
        <v>2</v>
      </c>
      <c r="J1170" s="8" t="s">
        <v>147</v>
      </c>
      <c r="K1170" s="8" t="s">
        <v>148</v>
      </c>
      <c r="L1170" s="8" t="s">
        <v>557</v>
      </c>
      <c r="M1170" s="1" t="s">
        <v>207</v>
      </c>
      <c r="N1170" s="8" t="s">
        <v>208</v>
      </c>
      <c r="O1170" s="6">
        <v>0</v>
      </c>
      <c r="P1170" s="6">
        <v>0</v>
      </c>
      <c r="Q1170" s="6">
        <v>0</v>
      </c>
      <c r="R1170" s="6">
        <v>0</v>
      </c>
      <c r="S1170" s="6">
        <v>80</v>
      </c>
    </row>
    <row r="1171" spans="1:19" ht="15" hidden="1" x14ac:dyDescent="0.25">
      <c r="A1171" s="7" t="s">
        <v>16</v>
      </c>
      <c r="B1171" s="7" t="s">
        <v>21</v>
      </c>
      <c r="C1171" s="7" t="s">
        <v>18</v>
      </c>
      <c r="D1171" s="4">
        <v>45359213000576</v>
      </c>
      <c r="E1171" s="8" t="s">
        <v>686</v>
      </c>
      <c r="F1171" s="8" t="s">
        <v>687</v>
      </c>
      <c r="G1171" s="8" t="s">
        <v>19</v>
      </c>
      <c r="H1171" s="8" t="s">
        <v>215</v>
      </c>
      <c r="I1171" s="3">
        <v>2</v>
      </c>
      <c r="J1171" s="8" t="s">
        <v>151</v>
      </c>
      <c r="K1171" s="8" t="s">
        <v>152</v>
      </c>
      <c r="L1171" s="8" t="s">
        <v>556</v>
      </c>
      <c r="M1171" s="1" t="s">
        <v>207</v>
      </c>
      <c r="N1171" s="8" t="s">
        <v>208</v>
      </c>
      <c r="O1171" s="6">
        <v>0</v>
      </c>
      <c r="P1171" s="6">
        <v>0</v>
      </c>
      <c r="Q1171" s="6">
        <v>0</v>
      </c>
      <c r="R1171" s="6">
        <v>40</v>
      </c>
      <c r="S1171" s="6">
        <v>0</v>
      </c>
    </row>
    <row r="1172" spans="1:19" ht="15" hidden="1" x14ac:dyDescent="0.25">
      <c r="A1172" s="7" t="s">
        <v>16</v>
      </c>
      <c r="B1172" s="7" t="s">
        <v>21</v>
      </c>
      <c r="C1172" s="7" t="s">
        <v>18</v>
      </c>
      <c r="D1172" s="4">
        <v>45359213000576</v>
      </c>
      <c r="E1172" s="8" t="s">
        <v>686</v>
      </c>
      <c r="F1172" s="8" t="s">
        <v>687</v>
      </c>
      <c r="G1172" s="8" t="s">
        <v>19</v>
      </c>
      <c r="H1172" s="8" t="s">
        <v>215</v>
      </c>
      <c r="I1172" s="3">
        <v>2</v>
      </c>
      <c r="J1172" s="8" t="s">
        <v>149</v>
      </c>
      <c r="K1172" s="8" t="s">
        <v>150</v>
      </c>
      <c r="L1172" s="8" t="s">
        <v>557</v>
      </c>
      <c r="M1172" s="1" t="s">
        <v>207</v>
      </c>
      <c r="N1172" s="8" t="s">
        <v>208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</row>
    <row r="1173" spans="1:19" ht="15" hidden="1" x14ac:dyDescent="0.25">
      <c r="A1173" s="7" t="s">
        <v>16</v>
      </c>
      <c r="B1173" s="7" t="s">
        <v>21</v>
      </c>
      <c r="C1173" s="7" t="s">
        <v>18</v>
      </c>
      <c r="D1173" s="4">
        <v>59970947000178</v>
      </c>
      <c r="E1173" s="8" t="s">
        <v>726</v>
      </c>
      <c r="F1173" s="8" t="s">
        <v>643</v>
      </c>
      <c r="G1173" s="8" t="s">
        <v>19</v>
      </c>
      <c r="H1173" s="8" t="s">
        <v>215</v>
      </c>
      <c r="I1173" s="3">
        <v>2</v>
      </c>
      <c r="J1173" s="8" t="s">
        <v>151</v>
      </c>
      <c r="K1173" s="8" t="s">
        <v>152</v>
      </c>
      <c r="L1173" s="8" t="s">
        <v>556</v>
      </c>
      <c r="M1173" s="1" t="s">
        <v>207</v>
      </c>
      <c r="N1173" s="8" t="s">
        <v>208</v>
      </c>
      <c r="O1173" s="6">
        <v>0</v>
      </c>
      <c r="P1173" s="6">
        <v>0</v>
      </c>
      <c r="Q1173" s="6">
        <v>0</v>
      </c>
      <c r="R1173" s="6">
        <v>0</v>
      </c>
      <c r="S1173" s="6">
        <v>0</v>
      </c>
    </row>
    <row r="1174" spans="1:19" ht="15" hidden="1" x14ac:dyDescent="0.25">
      <c r="A1174" s="7" t="s">
        <v>16</v>
      </c>
      <c r="B1174" s="7" t="s">
        <v>21</v>
      </c>
      <c r="C1174" s="7" t="s">
        <v>18</v>
      </c>
      <c r="D1174" s="4">
        <v>59970947000178</v>
      </c>
      <c r="E1174" s="8" t="s">
        <v>726</v>
      </c>
      <c r="F1174" s="8" t="s">
        <v>643</v>
      </c>
      <c r="G1174" s="8" t="s">
        <v>19</v>
      </c>
      <c r="H1174" s="8" t="s">
        <v>215</v>
      </c>
      <c r="I1174" s="3">
        <v>2</v>
      </c>
      <c r="J1174" s="8" t="s">
        <v>149</v>
      </c>
      <c r="K1174" s="8" t="s">
        <v>150</v>
      </c>
      <c r="L1174" s="8" t="s">
        <v>557</v>
      </c>
      <c r="M1174" s="1" t="s">
        <v>207</v>
      </c>
      <c r="N1174" s="8" t="s">
        <v>208</v>
      </c>
      <c r="O1174" s="6">
        <v>0</v>
      </c>
      <c r="P1174" s="6">
        <v>0</v>
      </c>
      <c r="Q1174" s="6">
        <v>4</v>
      </c>
      <c r="R1174" s="6">
        <v>0</v>
      </c>
      <c r="S1174" s="6">
        <v>0</v>
      </c>
    </row>
    <row r="1175" spans="1:19" ht="15" hidden="1" x14ac:dyDescent="0.25">
      <c r="A1175" s="7" t="s">
        <v>16</v>
      </c>
      <c r="B1175" s="7" t="s">
        <v>21</v>
      </c>
      <c r="C1175" s="7" t="s">
        <v>18</v>
      </c>
      <c r="D1175" s="4">
        <v>48310098000100</v>
      </c>
      <c r="E1175" s="8" t="s">
        <v>704</v>
      </c>
      <c r="F1175" s="8" t="s">
        <v>643</v>
      </c>
      <c r="G1175" s="8" t="s">
        <v>19</v>
      </c>
      <c r="H1175" s="8" t="s">
        <v>215</v>
      </c>
      <c r="I1175" s="3">
        <v>2</v>
      </c>
      <c r="J1175" s="8" t="s">
        <v>151</v>
      </c>
      <c r="K1175" s="8" t="s">
        <v>152</v>
      </c>
      <c r="L1175" s="8" t="s">
        <v>556</v>
      </c>
      <c r="M1175" s="1" t="s">
        <v>207</v>
      </c>
      <c r="N1175" s="8" t="s">
        <v>208</v>
      </c>
      <c r="O1175" s="6">
        <v>0</v>
      </c>
      <c r="P1175" s="6">
        <v>0</v>
      </c>
      <c r="Q1175" s="6">
        <v>0</v>
      </c>
      <c r="R1175" s="6">
        <v>0</v>
      </c>
      <c r="S1175" s="6">
        <v>0</v>
      </c>
    </row>
    <row r="1176" spans="1:19" ht="15" hidden="1" x14ac:dyDescent="0.25">
      <c r="A1176" s="7" t="s">
        <v>16</v>
      </c>
      <c r="B1176" s="7" t="s">
        <v>21</v>
      </c>
      <c r="C1176" s="7" t="s">
        <v>18</v>
      </c>
      <c r="D1176" s="4">
        <v>48310098000100</v>
      </c>
      <c r="E1176" s="8" t="s">
        <v>704</v>
      </c>
      <c r="F1176" s="8" t="s">
        <v>643</v>
      </c>
      <c r="G1176" s="8" t="s">
        <v>19</v>
      </c>
      <c r="H1176" s="8" t="s">
        <v>215</v>
      </c>
      <c r="I1176" s="3">
        <v>2</v>
      </c>
      <c r="J1176" s="8" t="s">
        <v>149</v>
      </c>
      <c r="K1176" s="8" t="s">
        <v>150</v>
      </c>
      <c r="L1176" s="8" t="s">
        <v>557</v>
      </c>
      <c r="M1176" s="1" t="s">
        <v>207</v>
      </c>
      <c r="N1176" s="8" t="s">
        <v>208</v>
      </c>
      <c r="O1176" s="6">
        <v>0</v>
      </c>
      <c r="P1176" s="6">
        <v>1</v>
      </c>
      <c r="Q1176" s="6">
        <v>0</v>
      </c>
      <c r="R1176" s="6">
        <v>0</v>
      </c>
      <c r="S1176" s="6">
        <v>0</v>
      </c>
    </row>
    <row r="1177" spans="1:19" ht="15" hidden="1" x14ac:dyDescent="0.25">
      <c r="A1177" s="7" t="s">
        <v>16</v>
      </c>
      <c r="B1177" s="7" t="s">
        <v>21</v>
      </c>
      <c r="C1177" s="7" t="s">
        <v>18</v>
      </c>
      <c r="D1177" s="4">
        <v>10576443000189</v>
      </c>
      <c r="E1177" s="8" t="s">
        <v>659</v>
      </c>
      <c r="F1177" s="8" t="s">
        <v>643</v>
      </c>
      <c r="G1177" s="8" t="s">
        <v>19</v>
      </c>
      <c r="H1177" s="8" t="s">
        <v>215</v>
      </c>
      <c r="I1177" s="3">
        <v>2</v>
      </c>
      <c r="J1177" s="8" t="s">
        <v>151</v>
      </c>
      <c r="K1177" s="8" t="s">
        <v>152</v>
      </c>
      <c r="L1177" s="8" t="s">
        <v>556</v>
      </c>
      <c r="M1177" s="1" t="s">
        <v>207</v>
      </c>
      <c r="N1177" s="8" t="s">
        <v>208</v>
      </c>
      <c r="O1177" s="6">
        <v>0</v>
      </c>
      <c r="P1177" s="6">
        <v>0</v>
      </c>
      <c r="Q1177" s="6">
        <v>0</v>
      </c>
      <c r="R1177" s="6">
        <v>0</v>
      </c>
      <c r="S1177" s="6">
        <v>140</v>
      </c>
    </row>
    <row r="1178" spans="1:19" ht="15" hidden="1" x14ac:dyDescent="0.25">
      <c r="A1178" s="7" t="s">
        <v>16</v>
      </c>
      <c r="B1178" s="7" t="s">
        <v>21</v>
      </c>
      <c r="C1178" s="7" t="s">
        <v>18</v>
      </c>
      <c r="D1178" s="4">
        <v>10576443000189</v>
      </c>
      <c r="E1178" s="8" t="s">
        <v>659</v>
      </c>
      <c r="F1178" s="8" t="s">
        <v>643</v>
      </c>
      <c r="G1178" s="8" t="s">
        <v>19</v>
      </c>
      <c r="H1178" s="8" t="s">
        <v>215</v>
      </c>
      <c r="I1178" s="3">
        <v>2</v>
      </c>
      <c r="J1178" s="8" t="s">
        <v>149</v>
      </c>
      <c r="K1178" s="8" t="s">
        <v>150</v>
      </c>
      <c r="L1178" s="8" t="s">
        <v>557</v>
      </c>
      <c r="M1178" s="1" t="s">
        <v>207</v>
      </c>
      <c r="N1178" s="8" t="s">
        <v>208</v>
      </c>
      <c r="O1178" s="6">
        <v>0</v>
      </c>
      <c r="P1178" s="6">
        <v>0</v>
      </c>
      <c r="Q1178" s="6">
        <v>0</v>
      </c>
      <c r="R1178" s="6">
        <v>0</v>
      </c>
      <c r="S1178" s="6">
        <v>140</v>
      </c>
    </row>
    <row r="1179" spans="1:19" ht="15" hidden="1" x14ac:dyDescent="0.25">
      <c r="A1179" s="7" t="s">
        <v>16</v>
      </c>
      <c r="B1179" s="7" t="s">
        <v>21</v>
      </c>
      <c r="C1179" s="7" t="s">
        <v>18</v>
      </c>
      <c r="D1179" s="4">
        <v>2643405000173</v>
      </c>
      <c r="E1179" s="8" t="s">
        <v>642</v>
      </c>
      <c r="F1179" s="8" t="s">
        <v>643</v>
      </c>
      <c r="G1179" s="8" t="s">
        <v>19</v>
      </c>
      <c r="H1179" s="8" t="s">
        <v>215</v>
      </c>
      <c r="I1179" s="3">
        <v>2</v>
      </c>
      <c r="J1179" s="8" t="s">
        <v>151</v>
      </c>
      <c r="K1179" s="8" t="s">
        <v>152</v>
      </c>
      <c r="L1179" s="8" t="s">
        <v>556</v>
      </c>
      <c r="M1179" s="1" t="s">
        <v>207</v>
      </c>
      <c r="N1179" s="8" t="s">
        <v>208</v>
      </c>
      <c r="O1179" s="6">
        <v>0</v>
      </c>
      <c r="P1179" s="6">
        <v>0</v>
      </c>
      <c r="Q1179" s="6">
        <v>0</v>
      </c>
      <c r="R1179" s="6">
        <v>12</v>
      </c>
      <c r="S1179" s="6">
        <v>0</v>
      </c>
    </row>
    <row r="1180" spans="1:19" ht="15" hidden="1" x14ac:dyDescent="0.25">
      <c r="A1180" s="7" t="s">
        <v>16</v>
      </c>
      <c r="B1180" s="7" t="s">
        <v>21</v>
      </c>
      <c r="C1180" s="7" t="s">
        <v>18</v>
      </c>
      <c r="D1180" s="4">
        <v>2643405000173</v>
      </c>
      <c r="E1180" s="8" t="s">
        <v>642</v>
      </c>
      <c r="F1180" s="8" t="s">
        <v>643</v>
      </c>
      <c r="G1180" s="8" t="s">
        <v>19</v>
      </c>
      <c r="H1180" s="8" t="s">
        <v>215</v>
      </c>
      <c r="I1180" s="3">
        <v>2</v>
      </c>
      <c r="J1180" s="8" t="s">
        <v>149</v>
      </c>
      <c r="K1180" s="8" t="s">
        <v>150</v>
      </c>
      <c r="L1180" s="8" t="s">
        <v>557</v>
      </c>
      <c r="M1180" s="1" t="s">
        <v>207</v>
      </c>
      <c r="N1180" s="8" t="s">
        <v>208</v>
      </c>
      <c r="O1180" s="6">
        <v>0</v>
      </c>
      <c r="P1180" s="6">
        <v>0</v>
      </c>
      <c r="Q1180" s="6">
        <v>0</v>
      </c>
      <c r="R1180" s="6">
        <v>0</v>
      </c>
      <c r="S1180" s="6">
        <v>0</v>
      </c>
    </row>
    <row r="1181" spans="1:19" ht="15" hidden="1" x14ac:dyDescent="0.25">
      <c r="A1181" s="7" t="s">
        <v>16</v>
      </c>
      <c r="B1181" s="7" t="s">
        <v>21</v>
      </c>
      <c r="C1181" s="7" t="s">
        <v>18</v>
      </c>
      <c r="D1181" s="4">
        <v>60003761000129</v>
      </c>
      <c r="E1181" s="8" t="s">
        <v>728</v>
      </c>
      <c r="F1181" s="8" t="s">
        <v>643</v>
      </c>
      <c r="G1181" s="8" t="s">
        <v>19</v>
      </c>
      <c r="H1181" s="8" t="s">
        <v>215</v>
      </c>
      <c r="I1181" s="3">
        <v>2</v>
      </c>
      <c r="J1181" s="8" t="s">
        <v>151</v>
      </c>
      <c r="K1181" s="8" t="s">
        <v>152</v>
      </c>
      <c r="L1181" s="8" t="s">
        <v>556</v>
      </c>
      <c r="M1181" s="1" t="s">
        <v>207</v>
      </c>
      <c r="N1181" s="8" t="s">
        <v>208</v>
      </c>
      <c r="O1181" s="6">
        <v>0</v>
      </c>
      <c r="P1181" s="6">
        <v>0</v>
      </c>
      <c r="Q1181" s="6">
        <v>0</v>
      </c>
      <c r="R1181" s="6">
        <v>0</v>
      </c>
      <c r="S1181" s="6">
        <v>0</v>
      </c>
    </row>
    <row r="1182" spans="1:19" ht="15" hidden="1" x14ac:dyDescent="0.25">
      <c r="A1182" s="7" t="s">
        <v>16</v>
      </c>
      <c r="B1182" s="7" t="s">
        <v>21</v>
      </c>
      <c r="C1182" s="7" t="s">
        <v>18</v>
      </c>
      <c r="D1182" s="4">
        <v>60003761000129</v>
      </c>
      <c r="E1182" s="8" t="s">
        <v>728</v>
      </c>
      <c r="F1182" s="8" t="s">
        <v>643</v>
      </c>
      <c r="G1182" s="8" t="s">
        <v>19</v>
      </c>
      <c r="H1182" s="8" t="s">
        <v>215</v>
      </c>
      <c r="I1182" s="3">
        <v>2</v>
      </c>
      <c r="J1182" s="8" t="s">
        <v>149</v>
      </c>
      <c r="K1182" s="8" t="s">
        <v>150</v>
      </c>
      <c r="L1182" s="8" t="s">
        <v>557</v>
      </c>
      <c r="M1182" s="1" t="s">
        <v>207</v>
      </c>
      <c r="N1182" s="8" t="s">
        <v>208</v>
      </c>
      <c r="O1182" s="6">
        <v>0</v>
      </c>
      <c r="P1182" s="6">
        <v>12</v>
      </c>
      <c r="Q1182" s="6">
        <v>5</v>
      </c>
      <c r="R1182" s="6">
        <v>0</v>
      </c>
      <c r="S1182" s="6">
        <v>0</v>
      </c>
    </row>
    <row r="1183" spans="1:19" ht="15" hidden="1" x14ac:dyDescent="0.25">
      <c r="A1183" s="7" t="s">
        <v>16</v>
      </c>
      <c r="B1183" s="7" t="s">
        <v>21</v>
      </c>
      <c r="C1183" s="7" t="s">
        <v>18</v>
      </c>
      <c r="D1183" s="4">
        <v>45184066000117</v>
      </c>
      <c r="E1183" s="8" t="s">
        <v>684</v>
      </c>
      <c r="F1183" s="8" t="s">
        <v>650</v>
      </c>
      <c r="G1183" s="8" t="s">
        <v>19</v>
      </c>
      <c r="H1183" s="8" t="s">
        <v>215</v>
      </c>
      <c r="I1183" s="3">
        <v>2</v>
      </c>
      <c r="J1183" s="8" t="s">
        <v>161</v>
      </c>
      <c r="K1183" s="8" t="s">
        <v>162</v>
      </c>
      <c r="L1183" s="8" t="s">
        <v>556</v>
      </c>
      <c r="M1183" s="1" t="s">
        <v>207</v>
      </c>
      <c r="N1183" s="8" t="s">
        <v>208</v>
      </c>
      <c r="O1183" s="6">
        <v>0</v>
      </c>
      <c r="P1183" s="6">
        <v>0</v>
      </c>
      <c r="Q1183" s="6">
        <v>0</v>
      </c>
      <c r="R1183" s="6">
        <v>15</v>
      </c>
      <c r="S1183" s="6">
        <v>50</v>
      </c>
    </row>
    <row r="1184" spans="1:19" ht="15" hidden="1" x14ac:dyDescent="0.25">
      <c r="A1184" s="7" t="s">
        <v>16</v>
      </c>
      <c r="B1184" s="7" t="s">
        <v>21</v>
      </c>
      <c r="C1184" s="7" t="s">
        <v>18</v>
      </c>
      <c r="D1184" s="4">
        <v>45184066000117</v>
      </c>
      <c r="E1184" s="8" t="s">
        <v>684</v>
      </c>
      <c r="F1184" s="8" t="s">
        <v>650</v>
      </c>
      <c r="G1184" s="8" t="s">
        <v>19</v>
      </c>
      <c r="H1184" s="8" t="s">
        <v>215</v>
      </c>
      <c r="I1184" s="3">
        <v>2</v>
      </c>
      <c r="J1184" s="8" t="s">
        <v>183</v>
      </c>
      <c r="K1184" s="8" t="s">
        <v>184</v>
      </c>
      <c r="L1184" s="8" t="s">
        <v>557</v>
      </c>
      <c r="M1184" s="1" t="s">
        <v>207</v>
      </c>
      <c r="N1184" s="8" t="s">
        <v>208</v>
      </c>
      <c r="O1184" s="6">
        <v>0</v>
      </c>
      <c r="P1184" s="6">
        <v>0</v>
      </c>
      <c r="Q1184" s="6">
        <v>0</v>
      </c>
      <c r="R1184" s="6">
        <v>0</v>
      </c>
      <c r="S1184" s="6">
        <v>50</v>
      </c>
    </row>
    <row r="1185" spans="1:19" ht="15" hidden="1" x14ac:dyDescent="0.25">
      <c r="A1185" s="7" t="s">
        <v>16</v>
      </c>
      <c r="B1185" s="7" t="s">
        <v>21</v>
      </c>
      <c r="C1185" s="7" t="s">
        <v>18</v>
      </c>
      <c r="D1185" s="4">
        <v>60214517001691</v>
      </c>
      <c r="E1185" s="8" t="s">
        <v>732</v>
      </c>
      <c r="F1185" s="8" t="s">
        <v>650</v>
      </c>
      <c r="G1185" s="8" t="s">
        <v>19</v>
      </c>
      <c r="H1185" s="8" t="s">
        <v>215</v>
      </c>
      <c r="I1185" s="3">
        <v>2</v>
      </c>
      <c r="J1185" s="8" t="s">
        <v>161</v>
      </c>
      <c r="K1185" s="8" t="s">
        <v>162</v>
      </c>
      <c r="L1185" s="8" t="s">
        <v>556</v>
      </c>
      <c r="M1185" s="1" t="s">
        <v>207</v>
      </c>
      <c r="N1185" s="8" t="s">
        <v>208</v>
      </c>
      <c r="O1185" s="6">
        <v>0</v>
      </c>
      <c r="P1185" s="6">
        <v>0</v>
      </c>
      <c r="Q1185" s="6">
        <v>0</v>
      </c>
      <c r="R1185" s="6">
        <v>0</v>
      </c>
      <c r="S1185" s="6">
        <v>660</v>
      </c>
    </row>
    <row r="1186" spans="1:19" ht="15" hidden="1" x14ac:dyDescent="0.25">
      <c r="A1186" s="7" t="s">
        <v>16</v>
      </c>
      <c r="B1186" s="7" t="s">
        <v>21</v>
      </c>
      <c r="C1186" s="7" t="s">
        <v>18</v>
      </c>
      <c r="D1186" s="4">
        <v>60214517001691</v>
      </c>
      <c r="E1186" s="8" t="s">
        <v>732</v>
      </c>
      <c r="F1186" s="8" t="s">
        <v>650</v>
      </c>
      <c r="G1186" s="8" t="s">
        <v>19</v>
      </c>
      <c r="H1186" s="8" t="s">
        <v>215</v>
      </c>
      <c r="I1186" s="3">
        <v>2</v>
      </c>
      <c r="J1186" s="8" t="s">
        <v>183</v>
      </c>
      <c r="K1186" s="8" t="s">
        <v>184</v>
      </c>
      <c r="L1186" s="8" t="s">
        <v>557</v>
      </c>
      <c r="M1186" s="1" t="s">
        <v>207</v>
      </c>
      <c r="N1186" s="8" t="s">
        <v>208</v>
      </c>
      <c r="O1186" s="6">
        <v>0</v>
      </c>
      <c r="P1186" s="6">
        <v>0</v>
      </c>
      <c r="Q1186" s="6">
        <v>0</v>
      </c>
      <c r="R1186" s="6">
        <v>0</v>
      </c>
      <c r="S1186" s="6">
        <v>660</v>
      </c>
    </row>
    <row r="1187" spans="1:19" ht="15" hidden="1" x14ac:dyDescent="0.25">
      <c r="A1187" s="7" t="s">
        <v>16</v>
      </c>
      <c r="B1187" s="7" t="s">
        <v>21</v>
      </c>
      <c r="C1187" s="7" t="s">
        <v>18</v>
      </c>
      <c r="D1187" s="4">
        <v>6047087003073</v>
      </c>
      <c r="E1187" s="8" t="s">
        <v>649</v>
      </c>
      <c r="F1187" s="8" t="s">
        <v>650</v>
      </c>
      <c r="G1187" s="8" t="s">
        <v>19</v>
      </c>
      <c r="H1187" s="8" t="s">
        <v>215</v>
      </c>
      <c r="I1187" s="3">
        <v>2</v>
      </c>
      <c r="J1187" s="8" t="s">
        <v>161</v>
      </c>
      <c r="K1187" s="8" t="s">
        <v>162</v>
      </c>
      <c r="L1187" s="8" t="s">
        <v>556</v>
      </c>
      <c r="M1187" s="1" t="s">
        <v>207</v>
      </c>
      <c r="N1187" s="8" t="s">
        <v>208</v>
      </c>
      <c r="O1187" s="6">
        <v>1</v>
      </c>
      <c r="P1187" s="6">
        <v>0</v>
      </c>
      <c r="Q1187" s="6">
        <v>0</v>
      </c>
      <c r="R1187" s="6">
        <v>48</v>
      </c>
      <c r="S1187" s="6">
        <v>0</v>
      </c>
    </row>
    <row r="1188" spans="1:19" ht="15" hidden="1" x14ac:dyDescent="0.25">
      <c r="A1188" s="7" t="s">
        <v>16</v>
      </c>
      <c r="B1188" s="7" t="s">
        <v>21</v>
      </c>
      <c r="C1188" s="7" t="s">
        <v>18</v>
      </c>
      <c r="D1188" s="4">
        <v>6047087003073</v>
      </c>
      <c r="E1188" s="8" t="s">
        <v>649</v>
      </c>
      <c r="F1188" s="8" t="s">
        <v>650</v>
      </c>
      <c r="G1188" s="8" t="s">
        <v>19</v>
      </c>
      <c r="H1188" s="8" t="s">
        <v>215</v>
      </c>
      <c r="I1188" s="3">
        <v>2</v>
      </c>
      <c r="J1188" s="8" t="s">
        <v>183</v>
      </c>
      <c r="K1188" s="8" t="s">
        <v>184</v>
      </c>
      <c r="L1188" s="8" t="s">
        <v>557</v>
      </c>
      <c r="M1188" s="1" t="s">
        <v>207</v>
      </c>
      <c r="N1188" s="8" t="s">
        <v>208</v>
      </c>
      <c r="O1188" s="6">
        <v>0</v>
      </c>
      <c r="P1188" s="6">
        <v>0</v>
      </c>
      <c r="Q1188" s="6">
        <v>0</v>
      </c>
      <c r="R1188" s="6">
        <v>0</v>
      </c>
      <c r="S1188" s="6">
        <v>0</v>
      </c>
    </row>
    <row r="1189" spans="1:19" ht="15" hidden="1" x14ac:dyDescent="0.25">
      <c r="A1189" s="7" t="s">
        <v>16</v>
      </c>
      <c r="B1189" s="7" t="s">
        <v>21</v>
      </c>
      <c r="C1189" s="7" t="s">
        <v>18</v>
      </c>
      <c r="D1189" s="4">
        <v>18321477000134</v>
      </c>
      <c r="E1189" s="8" t="s">
        <v>664</v>
      </c>
      <c r="F1189" s="8" t="s">
        <v>650</v>
      </c>
      <c r="G1189" s="8" t="s">
        <v>19</v>
      </c>
      <c r="H1189" s="8" t="s">
        <v>215</v>
      </c>
      <c r="I1189" s="3">
        <v>2</v>
      </c>
      <c r="J1189" s="8" t="s">
        <v>161</v>
      </c>
      <c r="K1189" s="8" t="s">
        <v>162</v>
      </c>
      <c r="L1189" s="8" t="s">
        <v>556</v>
      </c>
      <c r="M1189" s="1" t="s">
        <v>207</v>
      </c>
      <c r="N1189" s="8" t="s">
        <v>208</v>
      </c>
      <c r="O1189" s="6">
        <v>0</v>
      </c>
      <c r="P1189" s="6">
        <v>0</v>
      </c>
      <c r="Q1189" s="6">
        <v>0</v>
      </c>
      <c r="R1189" s="6">
        <v>48</v>
      </c>
      <c r="S1189" s="6">
        <v>0</v>
      </c>
    </row>
    <row r="1190" spans="1:19" ht="15" hidden="1" x14ac:dyDescent="0.25">
      <c r="A1190" s="7" t="s">
        <v>16</v>
      </c>
      <c r="B1190" s="7" t="s">
        <v>21</v>
      </c>
      <c r="C1190" s="7" t="s">
        <v>18</v>
      </c>
      <c r="D1190" s="4">
        <v>18321477000134</v>
      </c>
      <c r="E1190" s="8" t="s">
        <v>664</v>
      </c>
      <c r="F1190" s="8" t="s">
        <v>650</v>
      </c>
      <c r="G1190" s="8" t="s">
        <v>19</v>
      </c>
      <c r="H1190" s="8" t="s">
        <v>215</v>
      </c>
      <c r="I1190" s="3">
        <v>2</v>
      </c>
      <c r="J1190" s="8" t="s">
        <v>183</v>
      </c>
      <c r="K1190" s="8" t="s">
        <v>184</v>
      </c>
      <c r="L1190" s="8" t="s">
        <v>557</v>
      </c>
      <c r="M1190" s="1" t="s">
        <v>207</v>
      </c>
      <c r="N1190" s="8" t="s">
        <v>208</v>
      </c>
      <c r="O1190" s="6">
        <v>0</v>
      </c>
      <c r="P1190" s="6">
        <v>0</v>
      </c>
      <c r="Q1190" s="6">
        <v>0</v>
      </c>
      <c r="R1190" s="6">
        <v>0</v>
      </c>
      <c r="S1190" s="6">
        <v>0</v>
      </c>
    </row>
    <row r="1191" spans="1:19" ht="15" hidden="1" x14ac:dyDescent="0.25">
      <c r="A1191" s="7" t="s">
        <v>16</v>
      </c>
      <c r="B1191" s="7" t="s">
        <v>21</v>
      </c>
      <c r="C1191" s="7" t="s">
        <v>18</v>
      </c>
      <c r="D1191" s="4">
        <v>60214517000962</v>
      </c>
      <c r="E1191" s="8" t="s">
        <v>729</v>
      </c>
      <c r="F1191" s="8" t="s">
        <v>650</v>
      </c>
      <c r="G1191" s="8" t="s">
        <v>19</v>
      </c>
      <c r="H1191" s="8" t="s">
        <v>215</v>
      </c>
      <c r="I1191" s="3">
        <v>2</v>
      </c>
      <c r="J1191" s="8" t="s">
        <v>161</v>
      </c>
      <c r="K1191" s="8" t="s">
        <v>162</v>
      </c>
      <c r="L1191" s="8" t="s">
        <v>556</v>
      </c>
      <c r="M1191" s="1" t="s">
        <v>207</v>
      </c>
      <c r="N1191" s="8" t="s">
        <v>208</v>
      </c>
      <c r="O1191" s="6">
        <v>0</v>
      </c>
      <c r="P1191" s="6">
        <v>0</v>
      </c>
      <c r="Q1191" s="6">
        <v>0</v>
      </c>
      <c r="R1191" s="6">
        <v>0</v>
      </c>
      <c r="S1191" s="6">
        <v>60</v>
      </c>
    </row>
    <row r="1192" spans="1:19" ht="15" hidden="1" x14ac:dyDescent="0.25">
      <c r="A1192" s="7" t="s">
        <v>16</v>
      </c>
      <c r="B1192" s="7" t="s">
        <v>21</v>
      </c>
      <c r="C1192" s="7" t="s">
        <v>18</v>
      </c>
      <c r="D1192" s="4">
        <v>60214517000962</v>
      </c>
      <c r="E1192" s="8" t="s">
        <v>729</v>
      </c>
      <c r="F1192" s="8" t="s">
        <v>650</v>
      </c>
      <c r="G1192" s="8" t="s">
        <v>19</v>
      </c>
      <c r="H1192" s="8" t="s">
        <v>215</v>
      </c>
      <c r="I1192" s="3">
        <v>2</v>
      </c>
      <c r="J1192" s="8" t="s">
        <v>183</v>
      </c>
      <c r="K1192" s="8" t="s">
        <v>184</v>
      </c>
      <c r="L1192" s="8" t="s">
        <v>557</v>
      </c>
      <c r="M1192" s="1" t="s">
        <v>207</v>
      </c>
      <c r="N1192" s="8" t="s">
        <v>208</v>
      </c>
      <c r="O1192" s="6">
        <v>0</v>
      </c>
      <c r="P1192" s="6">
        <v>0</v>
      </c>
      <c r="Q1192" s="6">
        <v>0</v>
      </c>
      <c r="R1192" s="6">
        <v>0</v>
      </c>
      <c r="S1192" s="6">
        <v>60</v>
      </c>
    </row>
    <row r="1193" spans="1:19" ht="15" hidden="1" x14ac:dyDescent="0.25">
      <c r="A1193" s="7" t="s">
        <v>16</v>
      </c>
      <c r="B1193" s="7" t="s">
        <v>21</v>
      </c>
      <c r="C1193" s="7" t="s">
        <v>18</v>
      </c>
      <c r="D1193" s="4">
        <v>60961968000106</v>
      </c>
      <c r="E1193" s="8" t="s">
        <v>621</v>
      </c>
      <c r="F1193" s="8" t="s">
        <v>29</v>
      </c>
      <c r="G1193" s="8" t="s">
        <v>19</v>
      </c>
      <c r="H1193" s="8" t="s">
        <v>215</v>
      </c>
      <c r="I1193" s="3">
        <v>2</v>
      </c>
      <c r="J1193" s="8" t="s">
        <v>1355</v>
      </c>
      <c r="K1193" s="8" t="s">
        <v>1356</v>
      </c>
      <c r="L1193" s="8" t="s">
        <v>556</v>
      </c>
      <c r="M1193" s="1" t="s">
        <v>207</v>
      </c>
      <c r="N1193" s="8" t="s">
        <v>208</v>
      </c>
      <c r="O1193" s="6">
        <v>0</v>
      </c>
      <c r="P1193" s="6">
        <v>0</v>
      </c>
      <c r="Q1193" s="6">
        <v>0</v>
      </c>
      <c r="R1193" s="6">
        <v>0</v>
      </c>
      <c r="S1193" s="6">
        <v>1500</v>
      </c>
    </row>
    <row r="1194" spans="1:19" ht="15" hidden="1" x14ac:dyDescent="0.25">
      <c r="A1194" s="7" t="s">
        <v>16</v>
      </c>
      <c r="B1194" s="7" t="s">
        <v>21</v>
      </c>
      <c r="C1194" s="7" t="s">
        <v>18</v>
      </c>
      <c r="D1194" s="4">
        <v>60961968000106</v>
      </c>
      <c r="E1194" s="8" t="s">
        <v>621</v>
      </c>
      <c r="F1194" s="8" t="s">
        <v>29</v>
      </c>
      <c r="G1194" s="8" t="s">
        <v>19</v>
      </c>
      <c r="H1194" s="8" t="s">
        <v>215</v>
      </c>
      <c r="I1194" s="3">
        <v>2</v>
      </c>
      <c r="J1194" s="8" t="s">
        <v>177</v>
      </c>
      <c r="K1194" s="8" t="s">
        <v>178</v>
      </c>
      <c r="L1194" s="8" t="s">
        <v>557</v>
      </c>
      <c r="M1194" s="1" t="s">
        <v>207</v>
      </c>
      <c r="N1194" s="8" t="s">
        <v>208</v>
      </c>
      <c r="O1194" s="6">
        <v>0</v>
      </c>
      <c r="P1194" s="6">
        <v>10</v>
      </c>
      <c r="Q1194" s="6">
        <v>10</v>
      </c>
      <c r="R1194" s="6">
        <v>0</v>
      </c>
      <c r="S1194" s="6">
        <v>1500</v>
      </c>
    </row>
    <row r="1195" spans="1:19" ht="15" hidden="1" x14ac:dyDescent="0.25">
      <c r="A1195" s="7" t="s">
        <v>16</v>
      </c>
      <c r="B1195" s="7" t="s">
        <v>21</v>
      </c>
      <c r="C1195" s="7" t="s">
        <v>18</v>
      </c>
      <c r="D1195" s="4">
        <v>51722957000506</v>
      </c>
      <c r="E1195" s="8" t="s">
        <v>602</v>
      </c>
      <c r="F1195" s="8" t="s">
        <v>29</v>
      </c>
      <c r="G1195" s="8" t="s">
        <v>19</v>
      </c>
      <c r="H1195" s="8" t="s">
        <v>215</v>
      </c>
      <c r="I1195" s="3">
        <v>2</v>
      </c>
      <c r="J1195" s="8" t="s">
        <v>161</v>
      </c>
      <c r="K1195" s="8" t="s">
        <v>162</v>
      </c>
      <c r="L1195" s="8" t="s">
        <v>556</v>
      </c>
      <c r="M1195" s="1" t="s">
        <v>207</v>
      </c>
      <c r="N1195" s="8" t="s">
        <v>208</v>
      </c>
      <c r="O1195" s="6">
        <v>0</v>
      </c>
      <c r="P1195" s="6">
        <v>0</v>
      </c>
      <c r="Q1195" s="6">
        <v>0</v>
      </c>
      <c r="R1195" s="6">
        <v>0</v>
      </c>
      <c r="S1195" s="6">
        <v>400</v>
      </c>
    </row>
    <row r="1196" spans="1:19" ht="15" hidden="1" x14ac:dyDescent="0.25">
      <c r="A1196" s="7" t="s">
        <v>16</v>
      </c>
      <c r="B1196" s="7" t="s">
        <v>21</v>
      </c>
      <c r="C1196" s="7" t="s">
        <v>18</v>
      </c>
      <c r="D1196" s="4">
        <v>51722957000506</v>
      </c>
      <c r="E1196" s="8" t="s">
        <v>602</v>
      </c>
      <c r="F1196" s="8" t="s">
        <v>29</v>
      </c>
      <c r="G1196" s="8" t="s">
        <v>19</v>
      </c>
      <c r="H1196" s="8" t="s">
        <v>215</v>
      </c>
      <c r="I1196" s="3">
        <v>2</v>
      </c>
      <c r="J1196" s="8" t="s">
        <v>183</v>
      </c>
      <c r="K1196" s="8" t="s">
        <v>184</v>
      </c>
      <c r="L1196" s="8" t="s">
        <v>557</v>
      </c>
      <c r="M1196" s="1" t="s">
        <v>207</v>
      </c>
      <c r="N1196" s="8" t="s">
        <v>208</v>
      </c>
      <c r="O1196" s="6">
        <v>0</v>
      </c>
      <c r="P1196" s="6">
        <v>0</v>
      </c>
      <c r="Q1196" s="6">
        <v>0</v>
      </c>
      <c r="R1196" s="6">
        <v>0</v>
      </c>
      <c r="S1196" s="6">
        <v>400</v>
      </c>
    </row>
    <row r="1197" spans="1:19" ht="15" hidden="1" x14ac:dyDescent="0.25">
      <c r="A1197" s="7" t="s">
        <v>16</v>
      </c>
      <c r="B1197" s="7" t="s">
        <v>21</v>
      </c>
      <c r="C1197" s="7" t="s">
        <v>18</v>
      </c>
      <c r="D1197" s="4">
        <v>51722957010226</v>
      </c>
      <c r="E1197" s="8" t="s">
        <v>603</v>
      </c>
      <c r="F1197" s="8" t="s">
        <v>29</v>
      </c>
      <c r="G1197" s="8" t="s">
        <v>19</v>
      </c>
      <c r="H1197" s="8" t="s">
        <v>215</v>
      </c>
      <c r="I1197" s="3">
        <v>2</v>
      </c>
      <c r="J1197" s="8" t="s">
        <v>161</v>
      </c>
      <c r="K1197" s="8" t="s">
        <v>162</v>
      </c>
      <c r="L1197" s="8" t="s">
        <v>556</v>
      </c>
      <c r="M1197" s="1" t="s">
        <v>207</v>
      </c>
      <c r="N1197" s="8" t="s">
        <v>208</v>
      </c>
      <c r="O1197" s="6">
        <v>0</v>
      </c>
      <c r="P1197" s="6">
        <v>0</v>
      </c>
      <c r="Q1197" s="6">
        <v>0</v>
      </c>
      <c r="R1197" s="6">
        <v>42</v>
      </c>
      <c r="S1197" s="6">
        <v>950</v>
      </c>
    </row>
    <row r="1198" spans="1:19" ht="15" hidden="1" x14ac:dyDescent="0.25">
      <c r="A1198" s="7" t="s">
        <v>16</v>
      </c>
      <c r="B1198" s="7" t="s">
        <v>21</v>
      </c>
      <c r="C1198" s="7" t="s">
        <v>18</v>
      </c>
      <c r="D1198" s="4">
        <v>51722957010226</v>
      </c>
      <c r="E1198" s="8" t="s">
        <v>603</v>
      </c>
      <c r="F1198" s="8" t="s">
        <v>29</v>
      </c>
      <c r="G1198" s="8" t="s">
        <v>19</v>
      </c>
      <c r="H1198" s="8" t="s">
        <v>215</v>
      </c>
      <c r="I1198" s="3">
        <v>2</v>
      </c>
      <c r="J1198" s="8" t="s">
        <v>183</v>
      </c>
      <c r="K1198" s="8" t="s">
        <v>184</v>
      </c>
      <c r="L1198" s="8" t="s">
        <v>557</v>
      </c>
      <c r="M1198" s="1" t="s">
        <v>207</v>
      </c>
      <c r="N1198" s="8" t="s">
        <v>208</v>
      </c>
      <c r="O1198" s="6">
        <v>0</v>
      </c>
      <c r="P1198" s="6">
        <v>0</v>
      </c>
      <c r="Q1198" s="6">
        <v>0</v>
      </c>
      <c r="R1198" s="6">
        <v>0</v>
      </c>
      <c r="S1198" s="6">
        <v>950</v>
      </c>
    </row>
    <row r="1199" spans="1:19" ht="15" hidden="1" x14ac:dyDescent="0.25">
      <c r="A1199" s="7" t="s">
        <v>16</v>
      </c>
      <c r="B1199" s="7" t="s">
        <v>21</v>
      </c>
      <c r="C1199" s="7" t="s">
        <v>18</v>
      </c>
      <c r="D1199" s="4">
        <v>2383508000494</v>
      </c>
      <c r="E1199" s="8" t="s">
        <v>562</v>
      </c>
      <c r="F1199" s="8" t="s">
        <v>29</v>
      </c>
      <c r="G1199" s="8" t="s">
        <v>19</v>
      </c>
      <c r="H1199" s="8" t="s">
        <v>215</v>
      </c>
      <c r="I1199" s="3">
        <v>2</v>
      </c>
      <c r="J1199" s="8" t="s">
        <v>161</v>
      </c>
      <c r="K1199" s="8" t="s">
        <v>162</v>
      </c>
      <c r="L1199" s="8" t="s">
        <v>556</v>
      </c>
      <c r="M1199" s="1" t="s">
        <v>207</v>
      </c>
      <c r="N1199" s="8" t="s">
        <v>208</v>
      </c>
      <c r="O1199" s="6">
        <v>0</v>
      </c>
      <c r="P1199" s="6">
        <v>0</v>
      </c>
      <c r="Q1199" s="6">
        <v>0</v>
      </c>
      <c r="R1199" s="6">
        <v>39</v>
      </c>
      <c r="S1199" s="6">
        <v>280</v>
      </c>
    </row>
    <row r="1200" spans="1:19" ht="15" hidden="1" x14ac:dyDescent="0.25">
      <c r="A1200" s="7" t="s">
        <v>16</v>
      </c>
      <c r="B1200" s="7" t="s">
        <v>21</v>
      </c>
      <c r="C1200" s="7" t="s">
        <v>18</v>
      </c>
      <c r="D1200" s="4">
        <v>2383508000494</v>
      </c>
      <c r="E1200" s="8" t="s">
        <v>562</v>
      </c>
      <c r="F1200" s="8" t="s">
        <v>29</v>
      </c>
      <c r="G1200" s="8" t="s">
        <v>19</v>
      </c>
      <c r="H1200" s="8" t="s">
        <v>215</v>
      </c>
      <c r="I1200" s="3">
        <v>2</v>
      </c>
      <c r="J1200" s="8" t="s">
        <v>147</v>
      </c>
      <c r="K1200" s="8" t="s">
        <v>148</v>
      </c>
      <c r="L1200" s="8" t="s">
        <v>557</v>
      </c>
      <c r="M1200" s="1" t="s">
        <v>207</v>
      </c>
      <c r="N1200" s="8" t="s">
        <v>208</v>
      </c>
      <c r="O1200" s="6">
        <v>0</v>
      </c>
      <c r="P1200" s="6">
        <v>0</v>
      </c>
      <c r="Q1200" s="6">
        <v>0</v>
      </c>
      <c r="R1200" s="6">
        <v>0</v>
      </c>
      <c r="S1200" s="6">
        <v>280</v>
      </c>
    </row>
    <row r="1201" spans="1:19" ht="15" hidden="1" x14ac:dyDescent="0.25">
      <c r="A1201" s="7" t="s">
        <v>16</v>
      </c>
      <c r="B1201" s="7" t="s">
        <v>21</v>
      </c>
      <c r="C1201" s="7" t="s">
        <v>18</v>
      </c>
      <c r="D1201" s="4">
        <v>43643139000409</v>
      </c>
      <c r="E1201" s="8" t="s">
        <v>596</v>
      </c>
      <c r="F1201" s="8" t="s">
        <v>29</v>
      </c>
      <c r="G1201" s="8" t="s">
        <v>19</v>
      </c>
      <c r="H1201" s="8" t="s">
        <v>215</v>
      </c>
      <c r="I1201" s="3">
        <v>2</v>
      </c>
      <c r="J1201" s="8" t="s">
        <v>161</v>
      </c>
      <c r="K1201" s="8" t="s">
        <v>162</v>
      </c>
      <c r="L1201" s="8" t="s">
        <v>556</v>
      </c>
      <c r="M1201" s="1" t="s">
        <v>207</v>
      </c>
      <c r="N1201" s="8" t="s">
        <v>208</v>
      </c>
      <c r="O1201" s="6">
        <v>0</v>
      </c>
      <c r="P1201" s="6">
        <v>0</v>
      </c>
      <c r="Q1201" s="6">
        <v>0</v>
      </c>
      <c r="R1201" s="6">
        <v>0</v>
      </c>
      <c r="S1201" s="6">
        <v>160</v>
      </c>
    </row>
    <row r="1202" spans="1:19" ht="15" hidden="1" x14ac:dyDescent="0.25">
      <c r="A1202" s="7" t="s">
        <v>16</v>
      </c>
      <c r="B1202" s="7" t="s">
        <v>21</v>
      </c>
      <c r="C1202" s="7" t="s">
        <v>18</v>
      </c>
      <c r="D1202" s="4">
        <v>43643139000409</v>
      </c>
      <c r="E1202" s="8" t="s">
        <v>596</v>
      </c>
      <c r="F1202" s="8" t="s">
        <v>29</v>
      </c>
      <c r="G1202" s="8" t="s">
        <v>19</v>
      </c>
      <c r="H1202" s="8" t="s">
        <v>215</v>
      </c>
      <c r="I1202" s="3">
        <v>2</v>
      </c>
      <c r="J1202" s="8" t="s">
        <v>147</v>
      </c>
      <c r="K1202" s="8" t="s">
        <v>148</v>
      </c>
      <c r="L1202" s="8" t="s">
        <v>557</v>
      </c>
      <c r="M1202" s="1" t="s">
        <v>207</v>
      </c>
      <c r="N1202" s="8" t="s">
        <v>208</v>
      </c>
      <c r="O1202" s="6">
        <v>0</v>
      </c>
      <c r="P1202" s="6">
        <v>0</v>
      </c>
      <c r="Q1202" s="6">
        <v>0</v>
      </c>
      <c r="R1202" s="6">
        <v>0</v>
      </c>
      <c r="S1202" s="6">
        <v>160</v>
      </c>
    </row>
    <row r="1203" spans="1:19" ht="15" hidden="1" x14ac:dyDescent="0.25">
      <c r="A1203" s="7" t="s">
        <v>16</v>
      </c>
      <c r="B1203" s="7" t="s">
        <v>21</v>
      </c>
      <c r="C1203" s="7" t="s">
        <v>18</v>
      </c>
      <c r="D1203" s="4">
        <v>8871521000126</v>
      </c>
      <c r="E1203" s="8" t="s">
        <v>577</v>
      </c>
      <c r="F1203" s="8" t="s">
        <v>29</v>
      </c>
      <c r="G1203" s="8" t="s">
        <v>19</v>
      </c>
      <c r="H1203" s="8" t="s">
        <v>215</v>
      </c>
      <c r="I1203" s="3">
        <v>2</v>
      </c>
      <c r="J1203" s="8" t="s">
        <v>1355</v>
      </c>
      <c r="K1203" s="8" t="s">
        <v>1356</v>
      </c>
      <c r="L1203" s="8" t="s">
        <v>556</v>
      </c>
      <c r="M1203" s="1" t="s">
        <v>207</v>
      </c>
      <c r="N1203" s="8" t="s">
        <v>208</v>
      </c>
      <c r="O1203" s="6">
        <v>0</v>
      </c>
      <c r="P1203" s="6">
        <v>0</v>
      </c>
      <c r="Q1203" s="6">
        <v>0</v>
      </c>
      <c r="R1203" s="6">
        <v>0</v>
      </c>
      <c r="S1203" s="6">
        <v>398</v>
      </c>
    </row>
    <row r="1204" spans="1:19" ht="15" hidden="1" x14ac:dyDescent="0.25">
      <c r="A1204" s="7" t="s">
        <v>16</v>
      </c>
      <c r="B1204" s="7" t="s">
        <v>21</v>
      </c>
      <c r="C1204" s="7" t="s">
        <v>18</v>
      </c>
      <c r="D1204" s="4">
        <v>8871521000126</v>
      </c>
      <c r="E1204" s="8" t="s">
        <v>577</v>
      </c>
      <c r="F1204" s="8" t="s">
        <v>29</v>
      </c>
      <c r="G1204" s="8" t="s">
        <v>19</v>
      </c>
      <c r="H1204" s="8" t="s">
        <v>215</v>
      </c>
      <c r="I1204" s="3">
        <v>2</v>
      </c>
      <c r="J1204" s="8" t="s">
        <v>177</v>
      </c>
      <c r="K1204" s="8" t="s">
        <v>178</v>
      </c>
      <c r="L1204" s="8" t="s">
        <v>557</v>
      </c>
      <c r="M1204" s="1" t="s">
        <v>207</v>
      </c>
      <c r="N1204" s="8" t="s">
        <v>208</v>
      </c>
      <c r="O1204" s="6">
        <v>0</v>
      </c>
      <c r="P1204" s="6">
        <v>0</v>
      </c>
      <c r="Q1204" s="6">
        <v>0</v>
      </c>
      <c r="R1204" s="6">
        <v>0</v>
      </c>
      <c r="S1204" s="6">
        <v>398</v>
      </c>
    </row>
    <row r="1205" spans="1:19" ht="15" hidden="1" x14ac:dyDescent="0.25">
      <c r="A1205" s="7" t="s">
        <v>16</v>
      </c>
      <c r="B1205" s="7" t="s">
        <v>21</v>
      </c>
      <c r="C1205" s="7" t="s">
        <v>18</v>
      </c>
      <c r="D1205" s="4">
        <v>59481028000130</v>
      </c>
      <c r="E1205" s="8" t="s">
        <v>608</v>
      </c>
      <c r="F1205" s="8" t="s">
        <v>29</v>
      </c>
      <c r="G1205" s="8" t="s">
        <v>19</v>
      </c>
      <c r="H1205" s="8" t="s">
        <v>215</v>
      </c>
      <c r="I1205" s="3">
        <v>2</v>
      </c>
      <c r="J1205" s="8" t="s">
        <v>161</v>
      </c>
      <c r="K1205" s="8" t="s">
        <v>162</v>
      </c>
      <c r="L1205" s="8" t="s">
        <v>556</v>
      </c>
      <c r="M1205" s="1" t="s">
        <v>207</v>
      </c>
      <c r="N1205" s="8" t="s">
        <v>208</v>
      </c>
      <c r="O1205" s="6">
        <v>0</v>
      </c>
      <c r="P1205" s="6">
        <v>0</v>
      </c>
      <c r="Q1205" s="6">
        <v>0</v>
      </c>
      <c r="R1205" s="6">
        <v>0</v>
      </c>
      <c r="S1205" s="6">
        <v>30</v>
      </c>
    </row>
    <row r="1206" spans="1:19" ht="15" hidden="1" x14ac:dyDescent="0.25">
      <c r="A1206" s="7" t="s">
        <v>16</v>
      </c>
      <c r="B1206" s="7" t="s">
        <v>21</v>
      </c>
      <c r="C1206" s="7" t="s">
        <v>18</v>
      </c>
      <c r="D1206" s="4">
        <v>59481028000130</v>
      </c>
      <c r="E1206" s="8" t="s">
        <v>608</v>
      </c>
      <c r="F1206" s="8" t="s">
        <v>29</v>
      </c>
      <c r="G1206" s="8" t="s">
        <v>19</v>
      </c>
      <c r="H1206" s="8" t="s">
        <v>215</v>
      </c>
      <c r="I1206" s="3">
        <v>2</v>
      </c>
      <c r="J1206" s="8" t="s">
        <v>147</v>
      </c>
      <c r="K1206" s="8" t="s">
        <v>148</v>
      </c>
      <c r="L1206" s="8" t="s">
        <v>557</v>
      </c>
      <c r="M1206" s="1" t="s">
        <v>207</v>
      </c>
      <c r="N1206" s="8" t="s">
        <v>208</v>
      </c>
      <c r="O1206" s="6">
        <v>0</v>
      </c>
      <c r="P1206" s="6">
        <v>0</v>
      </c>
      <c r="Q1206" s="6">
        <v>0</v>
      </c>
      <c r="R1206" s="6">
        <v>0</v>
      </c>
      <c r="S1206" s="6">
        <v>30</v>
      </c>
    </row>
    <row r="1207" spans="1:19" ht="15" hidden="1" x14ac:dyDescent="0.25">
      <c r="A1207" s="7" t="s">
        <v>16</v>
      </c>
      <c r="B1207" s="7" t="s">
        <v>21</v>
      </c>
      <c r="C1207" s="7" t="s">
        <v>18</v>
      </c>
      <c r="D1207" s="4">
        <v>46374500026231</v>
      </c>
      <c r="E1207" s="8" t="s">
        <v>601</v>
      </c>
      <c r="F1207" s="8" t="s">
        <v>29</v>
      </c>
      <c r="G1207" s="8" t="s">
        <v>19</v>
      </c>
      <c r="H1207" s="8" t="s">
        <v>215</v>
      </c>
      <c r="I1207" s="3">
        <v>2</v>
      </c>
      <c r="J1207" s="8" t="s">
        <v>1355</v>
      </c>
      <c r="K1207" s="8" t="s">
        <v>1356</v>
      </c>
      <c r="L1207" s="8" t="s">
        <v>556</v>
      </c>
      <c r="M1207" s="1" t="s">
        <v>207</v>
      </c>
      <c r="N1207" s="8" t="s">
        <v>208</v>
      </c>
      <c r="O1207" s="6">
        <v>0</v>
      </c>
      <c r="P1207" s="6">
        <v>0</v>
      </c>
      <c r="Q1207" s="6">
        <v>0</v>
      </c>
      <c r="R1207" s="6">
        <v>0</v>
      </c>
      <c r="S1207" s="6">
        <v>20285</v>
      </c>
    </row>
    <row r="1208" spans="1:19" ht="15" hidden="1" x14ac:dyDescent="0.25">
      <c r="A1208" s="7" t="s">
        <v>16</v>
      </c>
      <c r="B1208" s="7" t="s">
        <v>21</v>
      </c>
      <c r="C1208" s="7" t="s">
        <v>18</v>
      </c>
      <c r="D1208" s="4">
        <v>46374500026231</v>
      </c>
      <c r="E1208" s="8" t="s">
        <v>601</v>
      </c>
      <c r="F1208" s="8" t="s">
        <v>29</v>
      </c>
      <c r="G1208" s="8" t="s">
        <v>19</v>
      </c>
      <c r="H1208" s="8" t="s">
        <v>215</v>
      </c>
      <c r="I1208" s="3">
        <v>2</v>
      </c>
      <c r="J1208" s="8" t="s">
        <v>177</v>
      </c>
      <c r="K1208" s="8" t="s">
        <v>178</v>
      </c>
      <c r="L1208" s="8" t="s">
        <v>557</v>
      </c>
      <c r="M1208" s="1" t="s">
        <v>207</v>
      </c>
      <c r="N1208" s="8" t="s">
        <v>208</v>
      </c>
      <c r="O1208" s="6">
        <v>0</v>
      </c>
      <c r="P1208" s="6">
        <v>0</v>
      </c>
      <c r="Q1208" s="6">
        <v>0</v>
      </c>
      <c r="R1208" s="6">
        <v>0</v>
      </c>
      <c r="S1208" s="6">
        <v>20285</v>
      </c>
    </row>
    <row r="1209" spans="1:19" ht="15" hidden="1" x14ac:dyDescent="0.25">
      <c r="A1209" s="7" t="s">
        <v>16</v>
      </c>
      <c r="B1209" s="7" t="s">
        <v>21</v>
      </c>
      <c r="C1209" s="7" t="s">
        <v>18</v>
      </c>
      <c r="D1209" s="4">
        <v>10468341000220</v>
      </c>
      <c r="E1209" s="8" t="s">
        <v>582</v>
      </c>
      <c r="F1209" s="8" t="s">
        <v>29</v>
      </c>
      <c r="G1209" s="8" t="s">
        <v>19</v>
      </c>
      <c r="H1209" s="8" t="s">
        <v>215</v>
      </c>
      <c r="I1209" s="3">
        <v>2</v>
      </c>
      <c r="J1209" s="8" t="s">
        <v>161</v>
      </c>
      <c r="K1209" s="8" t="s">
        <v>162</v>
      </c>
      <c r="L1209" s="8" t="s">
        <v>556</v>
      </c>
      <c r="M1209" s="1" t="s">
        <v>207</v>
      </c>
      <c r="N1209" s="8" t="s">
        <v>208</v>
      </c>
      <c r="O1209" s="6">
        <v>0</v>
      </c>
      <c r="P1209" s="6">
        <v>0</v>
      </c>
      <c r="Q1209" s="6">
        <v>0</v>
      </c>
      <c r="R1209" s="6">
        <v>24</v>
      </c>
      <c r="S1209" s="6">
        <v>550</v>
      </c>
    </row>
    <row r="1210" spans="1:19" ht="15" hidden="1" x14ac:dyDescent="0.25">
      <c r="A1210" s="7" t="s">
        <v>16</v>
      </c>
      <c r="B1210" s="7" t="s">
        <v>21</v>
      </c>
      <c r="C1210" s="7" t="s">
        <v>18</v>
      </c>
      <c r="D1210" s="4">
        <v>10468341000220</v>
      </c>
      <c r="E1210" s="8" t="s">
        <v>582</v>
      </c>
      <c r="F1210" s="8" t="s">
        <v>29</v>
      </c>
      <c r="G1210" s="8" t="s">
        <v>19</v>
      </c>
      <c r="H1210" s="8" t="s">
        <v>215</v>
      </c>
      <c r="I1210" s="3">
        <v>2</v>
      </c>
      <c r="J1210" s="8" t="s">
        <v>183</v>
      </c>
      <c r="K1210" s="8" t="s">
        <v>184</v>
      </c>
      <c r="L1210" s="8" t="s">
        <v>557</v>
      </c>
      <c r="M1210" s="1" t="s">
        <v>207</v>
      </c>
      <c r="N1210" s="8" t="s">
        <v>208</v>
      </c>
      <c r="O1210" s="6">
        <v>0</v>
      </c>
      <c r="P1210" s="6">
        <v>0</v>
      </c>
      <c r="Q1210" s="6">
        <v>0</v>
      </c>
      <c r="R1210" s="6">
        <v>0</v>
      </c>
      <c r="S1210" s="6">
        <v>550</v>
      </c>
    </row>
    <row r="1211" spans="1:19" ht="15" hidden="1" x14ac:dyDescent="0.25">
      <c r="A1211" s="7" t="s">
        <v>16</v>
      </c>
      <c r="B1211" s="7" t="s">
        <v>21</v>
      </c>
      <c r="C1211" s="7" t="s">
        <v>18</v>
      </c>
      <c r="D1211" s="4">
        <v>10468341000140</v>
      </c>
      <c r="E1211" s="8" t="s">
        <v>581</v>
      </c>
      <c r="F1211" s="8" t="s">
        <v>29</v>
      </c>
      <c r="G1211" s="8" t="s">
        <v>19</v>
      </c>
      <c r="H1211" s="8" t="s">
        <v>215</v>
      </c>
      <c r="I1211" s="3">
        <v>2</v>
      </c>
      <c r="J1211" s="8" t="s">
        <v>161</v>
      </c>
      <c r="K1211" s="8" t="s">
        <v>162</v>
      </c>
      <c r="L1211" s="8" t="s">
        <v>556</v>
      </c>
      <c r="M1211" s="1" t="s">
        <v>207</v>
      </c>
      <c r="N1211" s="8" t="s">
        <v>208</v>
      </c>
      <c r="O1211" s="6">
        <v>0</v>
      </c>
      <c r="P1211" s="6">
        <v>0</v>
      </c>
      <c r="Q1211" s="6">
        <v>0</v>
      </c>
      <c r="R1211" s="6">
        <v>0</v>
      </c>
      <c r="S1211" s="6">
        <v>805</v>
      </c>
    </row>
    <row r="1212" spans="1:19" ht="15" hidden="1" x14ac:dyDescent="0.25">
      <c r="A1212" s="7" t="s">
        <v>16</v>
      </c>
      <c r="B1212" s="7" t="s">
        <v>21</v>
      </c>
      <c r="C1212" s="7" t="s">
        <v>18</v>
      </c>
      <c r="D1212" s="4">
        <v>10468341000140</v>
      </c>
      <c r="E1212" s="8" t="s">
        <v>581</v>
      </c>
      <c r="F1212" s="8" t="s">
        <v>29</v>
      </c>
      <c r="G1212" s="8" t="s">
        <v>19</v>
      </c>
      <c r="H1212" s="8" t="s">
        <v>215</v>
      </c>
      <c r="I1212" s="3">
        <v>2</v>
      </c>
      <c r="J1212" s="8" t="s">
        <v>183</v>
      </c>
      <c r="K1212" s="8" t="s">
        <v>184</v>
      </c>
      <c r="L1212" s="8" t="s">
        <v>557</v>
      </c>
      <c r="M1212" s="1" t="s">
        <v>207</v>
      </c>
      <c r="N1212" s="8" t="s">
        <v>208</v>
      </c>
      <c r="O1212" s="6">
        <v>0</v>
      </c>
      <c r="P1212" s="6">
        <v>0</v>
      </c>
      <c r="Q1212" s="6">
        <v>0</v>
      </c>
      <c r="R1212" s="6">
        <v>0</v>
      </c>
      <c r="S1212" s="6">
        <v>805</v>
      </c>
    </row>
    <row r="1213" spans="1:19" ht="15" hidden="1" x14ac:dyDescent="0.25">
      <c r="A1213" s="7" t="s">
        <v>16</v>
      </c>
      <c r="B1213" s="7" t="s">
        <v>21</v>
      </c>
      <c r="C1213" s="7" t="s">
        <v>18</v>
      </c>
      <c r="D1213" s="4">
        <v>29435005009932</v>
      </c>
      <c r="E1213" s="8" t="s">
        <v>595</v>
      </c>
      <c r="F1213" s="8" t="s">
        <v>29</v>
      </c>
      <c r="G1213" s="8" t="s">
        <v>19</v>
      </c>
      <c r="H1213" s="8" t="s">
        <v>215</v>
      </c>
      <c r="I1213" s="3">
        <v>2</v>
      </c>
      <c r="J1213" s="8" t="s">
        <v>1355</v>
      </c>
      <c r="K1213" s="8" t="s">
        <v>1356</v>
      </c>
      <c r="L1213" s="8" t="s">
        <v>556</v>
      </c>
      <c r="M1213" s="1" t="s">
        <v>207</v>
      </c>
      <c r="N1213" s="8" t="s">
        <v>208</v>
      </c>
      <c r="O1213" s="6">
        <v>0</v>
      </c>
      <c r="P1213" s="6">
        <v>0</v>
      </c>
      <c r="Q1213" s="6">
        <v>0</v>
      </c>
      <c r="R1213" s="6">
        <v>0</v>
      </c>
      <c r="S1213" s="6">
        <v>1700</v>
      </c>
    </row>
    <row r="1214" spans="1:19" ht="15" hidden="1" x14ac:dyDescent="0.25">
      <c r="A1214" s="7" t="s">
        <v>16</v>
      </c>
      <c r="B1214" s="7" t="s">
        <v>21</v>
      </c>
      <c r="C1214" s="7" t="s">
        <v>18</v>
      </c>
      <c r="D1214" s="4">
        <v>29435005009932</v>
      </c>
      <c r="E1214" s="8" t="s">
        <v>595</v>
      </c>
      <c r="F1214" s="8" t="s">
        <v>29</v>
      </c>
      <c r="G1214" s="8" t="s">
        <v>19</v>
      </c>
      <c r="H1214" s="8" t="s">
        <v>215</v>
      </c>
      <c r="I1214" s="3">
        <v>2</v>
      </c>
      <c r="J1214" s="8" t="s">
        <v>147</v>
      </c>
      <c r="K1214" s="8" t="s">
        <v>148</v>
      </c>
      <c r="L1214" s="8" t="s">
        <v>557</v>
      </c>
      <c r="M1214" s="1" t="s">
        <v>207</v>
      </c>
      <c r="N1214" s="8" t="s">
        <v>208</v>
      </c>
      <c r="O1214" s="6">
        <v>0</v>
      </c>
      <c r="P1214" s="6">
        <v>0</v>
      </c>
      <c r="Q1214" s="6">
        <v>13</v>
      </c>
      <c r="R1214" s="6">
        <v>0</v>
      </c>
      <c r="S1214" s="6">
        <v>1700</v>
      </c>
    </row>
    <row r="1215" spans="1:19" ht="15" hidden="1" x14ac:dyDescent="0.25">
      <c r="A1215" s="7" t="s">
        <v>16</v>
      </c>
      <c r="B1215" s="7" t="s">
        <v>21</v>
      </c>
      <c r="C1215" s="7" t="s">
        <v>18</v>
      </c>
      <c r="D1215" s="4">
        <v>10323381000101</v>
      </c>
      <c r="E1215" s="8" t="s">
        <v>580</v>
      </c>
      <c r="F1215" s="8" t="s">
        <v>29</v>
      </c>
      <c r="G1215" s="8" t="s">
        <v>19</v>
      </c>
      <c r="H1215" s="8" t="s">
        <v>215</v>
      </c>
      <c r="I1215" s="3">
        <v>2</v>
      </c>
      <c r="J1215" s="8" t="s">
        <v>161</v>
      </c>
      <c r="K1215" s="8" t="s">
        <v>162</v>
      </c>
      <c r="L1215" s="8" t="s">
        <v>556</v>
      </c>
      <c r="M1215" s="1" t="s">
        <v>207</v>
      </c>
      <c r="N1215" s="8" t="s">
        <v>208</v>
      </c>
      <c r="O1215" s="6">
        <v>0</v>
      </c>
      <c r="P1215" s="6">
        <v>0</v>
      </c>
      <c r="Q1215" s="6">
        <v>0</v>
      </c>
      <c r="R1215" s="6">
        <v>6</v>
      </c>
      <c r="S1215" s="6">
        <v>0</v>
      </c>
    </row>
    <row r="1216" spans="1:19" ht="15" hidden="1" x14ac:dyDescent="0.25">
      <c r="A1216" s="7" t="s">
        <v>16</v>
      </c>
      <c r="B1216" s="7" t="s">
        <v>21</v>
      </c>
      <c r="C1216" s="7" t="s">
        <v>18</v>
      </c>
      <c r="D1216" s="4">
        <v>10323381000101</v>
      </c>
      <c r="E1216" s="8" t="s">
        <v>580</v>
      </c>
      <c r="F1216" s="8" t="s">
        <v>29</v>
      </c>
      <c r="G1216" s="8" t="s">
        <v>19</v>
      </c>
      <c r="H1216" s="8" t="s">
        <v>215</v>
      </c>
      <c r="I1216" s="3">
        <v>2</v>
      </c>
      <c r="J1216" s="8" t="s">
        <v>147</v>
      </c>
      <c r="K1216" s="8" t="s">
        <v>148</v>
      </c>
      <c r="L1216" s="8" t="s">
        <v>557</v>
      </c>
      <c r="M1216" s="1" t="s">
        <v>207</v>
      </c>
      <c r="N1216" s="8" t="s">
        <v>208</v>
      </c>
      <c r="O1216" s="6">
        <v>0</v>
      </c>
      <c r="P1216" s="6">
        <v>0</v>
      </c>
      <c r="Q1216" s="6">
        <v>0</v>
      </c>
      <c r="R1216" s="6">
        <v>0</v>
      </c>
      <c r="S1216" s="6">
        <v>0</v>
      </c>
    </row>
    <row r="1217" spans="1:19" ht="15" hidden="1" x14ac:dyDescent="0.25">
      <c r="A1217" s="7" t="s">
        <v>16</v>
      </c>
      <c r="B1217" s="7" t="s">
        <v>21</v>
      </c>
      <c r="C1217" s="7" t="s">
        <v>18</v>
      </c>
      <c r="D1217" s="4">
        <v>28290788000307</v>
      </c>
      <c r="E1217" s="8" t="s">
        <v>592</v>
      </c>
      <c r="F1217" s="8" t="s">
        <v>29</v>
      </c>
      <c r="G1217" s="8" t="s">
        <v>19</v>
      </c>
      <c r="H1217" s="8" t="s">
        <v>215</v>
      </c>
      <c r="I1217" s="3">
        <v>2</v>
      </c>
      <c r="J1217" s="8" t="s">
        <v>1355</v>
      </c>
      <c r="K1217" s="8" t="s">
        <v>1356</v>
      </c>
      <c r="L1217" s="8" t="s">
        <v>556</v>
      </c>
      <c r="M1217" s="1" t="s">
        <v>207</v>
      </c>
      <c r="N1217" s="8" t="s">
        <v>208</v>
      </c>
      <c r="O1217" s="6">
        <v>0</v>
      </c>
      <c r="P1217" s="6">
        <v>0</v>
      </c>
      <c r="Q1217" s="6">
        <v>0</v>
      </c>
      <c r="R1217" s="6">
        <v>20</v>
      </c>
      <c r="S1217" s="6">
        <v>0</v>
      </c>
    </row>
    <row r="1218" spans="1:19" ht="15" hidden="1" x14ac:dyDescent="0.25">
      <c r="A1218" s="7" t="s">
        <v>16</v>
      </c>
      <c r="B1218" s="7" t="s">
        <v>21</v>
      </c>
      <c r="C1218" s="7" t="s">
        <v>18</v>
      </c>
      <c r="D1218" s="4">
        <v>28290788000307</v>
      </c>
      <c r="E1218" s="8" t="s">
        <v>592</v>
      </c>
      <c r="F1218" s="8" t="s">
        <v>29</v>
      </c>
      <c r="G1218" s="8" t="s">
        <v>19</v>
      </c>
      <c r="H1218" s="8" t="s">
        <v>215</v>
      </c>
      <c r="I1218" s="3">
        <v>2</v>
      </c>
      <c r="J1218" s="8" t="s">
        <v>147</v>
      </c>
      <c r="K1218" s="8" t="s">
        <v>148</v>
      </c>
      <c r="L1218" s="8" t="s">
        <v>557</v>
      </c>
      <c r="M1218" s="1" t="s">
        <v>207</v>
      </c>
      <c r="N1218" s="8" t="s">
        <v>208</v>
      </c>
      <c r="O1218" s="6">
        <v>0</v>
      </c>
      <c r="P1218" s="6">
        <v>0</v>
      </c>
      <c r="Q1218" s="6">
        <v>0</v>
      </c>
      <c r="R1218" s="6">
        <v>0</v>
      </c>
      <c r="S1218" s="6">
        <v>0</v>
      </c>
    </row>
    <row r="1219" spans="1:19" ht="15" hidden="1" x14ac:dyDescent="0.25">
      <c r="A1219" s="7" t="s">
        <v>16</v>
      </c>
      <c r="B1219" s="7" t="s">
        <v>21</v>
      </c>
      <c r="C1219" s="7" t="s">
        <v>18</v>
      </c>
      <c r="D1219" s="4">
        <v>3872790000193</v>
      </c>
      <c r="E1219" s="8" t="s">
        <v>564</v>
      </c>
      <c r="F1219" s="8" t="s">
        <v>29</v>
      </c>
      <c r="G1219" s="8" t="s">
        <v>19</v>
      </c>
      <c r="H1219" s="8" t="s">
        <v>215</v>
      </c>
      <c r="I1219" s="3">
        <v>2</v>
      </c>
      <c r="J1219" s="8" t="s">
        <v>161</v>
      </c>
      <c r="K1219" s="8" t="s">
        <v>162</v>
      </c>
      <c r="L1219" s="8" t="s">
        <v>556</v>
      </c>
      <c r="M1219" s="1" t="s">
        <v>207</v>
      </c>
      <c r="N1219" s="8" t="s">
        <v>208</v>
      </c>
      <c r="O1219" s="6">
        <v>0</v>
      </c>
      <c r="P1219" s="6">
        <v>0</v>
      </c>
      <c r="Q1219" s="6">
        <v>0</v>
      </c>
      <c r="R1219" s="6">
        <v>8</v>
      </c>
      <c r="S1219" s="6">
        <v>0</v>
      </c>
    </row>
    <row r="1220" spans="1:19" ht="15" hidden="1" x14ac:dyDescent="0.25">
      <c r="A1220" s="7" t="s">
        <v>16</v>
      </c>
      <c r="B1220" s="7" t="s">
        <v>21</v>
      </c>
      <c r="C1220" s="7" t="s">
        <v>18</v>
      </c>
      <c r="D1220" s="4">
        <v>3872790000193</v>
      </c>
      <c r="E1220" s="8" t="s">
        <v>564</v>
      </c>
      <c r="F1220" s="8" t="s">
        <v>29</v>
      </c>
      <c r="G1220" s="8" t="s">
        <v>19</v>
      </c>
      <c r="H1220" s="8" t="s">
        <v>215</v>
      </c>
      <c r="I1220" s="3">
        <v>2</v>
      </c>
      <c r="J1220" s="8" t="s">
        <v>147</v>
      </c>
      <c r="K1220" s="8" t="s">
        <v>148</v>
      </c>
      <c r="L1220" s="8" t="s">
        <v>557</v>
      </c>
      <c r="M1220" s="1" t="s">
        <v>207</v>
      </c>
      <c r="N1220" s="8" t="s">
        <v>208</v>
      </c>
      <c r="O1220" s="6">
        <v>0</v>
      </c>
      <c r="P1220" s="6">
        <v>0</v>
      </c>
      <c r="Q1220" s="6">
        <v>0</v>
      </c>
      <c r="R1220" s="6">
        <v>0</v>
      </c>
      <c r="S1220" s="6">
        <v>0</v>
      </c>
    </row>
    <row r="1221" spans="1:19" ht="15" hidden="1" x14ac:dyDescent="0.25">
      <c r="A1221" s="7" t="s">
        <v>16</v>
      </c>
      <c r="B1221" s="7" t="s">
        <v>21</v>
      </c>
      <c r="C1221" s="7" t="s">
        <v>18</v>
      </c>
      <c r="D1221" s="4">
        <v>10475230000160</v>
      </c>
      <c r="E1221" s="8" t="s">
        <v>583</v>
      </c>
      <c r="F1221" s="8" t="s">
        <v>29</v>
      </c>
      <c r="G1221" s="8" t="s">
        <v>19</v>
      </c>
      <c r="H1221" s="8" t="s">
        <v>215</v>
      </c>
      <c r="I1221" s="3">
        <v>2</v>
      </c>
      <c r="J1221" s="8" t="s">
        <v>161</v>
      </c>
      <c r="K1221" s="8" t="s">
        <v>162</v>
      </c>
      <c r="L1221" s="8" t="s">
        <v>556</v>
      </c>
      <c r="M1221" s="1" t="s">
        <v>207</v>
      </c>
      <c r="N1221" s="8" t="s">
        <v>208</v>
      </c>
      <c r="O1221" s="6">
        <v>0</v>
      </c>
      <c r="P1221" s="6">
        <v>0</v>
      </c>
      <c r="Q1221" s="6">
        <v>0</v>
      </c>
      <c r="R1221" s="6">
        <v>0</v>
      </c>
      <c r="S1221" s="6">
        <v>45</v>
      </c>
    </row>
    <row r="1222" spans="1:19" ht="15" hidden="1" x14ac:dyDescent="0.25">
      <c r="A1222" s="7" t="s">
        <v>16</v>
      </c>
      <c r="B1222" s="7" t="s">
        <v>21</v>
      </c>
      <c r="C1222" s="7" t="s">
        <v>18</v>
      </c>
      <c r="D1222" s="4">
        <v>10475230000160</v>
      </c>
      <c r="E1222" s="8" t="s">
        <v>583</v>
      </c>
      <c r="F1222" s="8" t="s">
        <v>29</v>
      </c>
      <c r="G1222" s="8" t="s">
        <v>19</v>
      </c>
      <c r="H1222" s="8" t="s">
        <v>215</v>
      </c>
      <c r="I1222" s="3">
        <v>2</v>
      </c>
      <c r="J1222" s="8" t="s">
        <v>177</v>
      </c>
      <c r="K1222" s="8" t="s">
        <v>178</v>
      </c>
      <c r="L1222" s="8" t="s">
        <v>557</v>
      </c>
      <c r="M1222" s="1" t="s">
        <v>207</v>
      </c>
      <c r="N1222" s="8" t="s">
        <v>208</v>
      </c>
      <c r="O1222" s="6">
        <v>0</v>
      </c>
      <c r="P1222" s="6">
        <v>0</v>
      </c>
      <c r="Q1222" s="6">
        <v>0</v>
      </c>
      <c r="R1222" s="6">
        <v>0</v>
      </c>
      <c r="S1222" s="6">
        <v>45</v>
      </c>
    </row>
    <row r="1223" spans="1:19" ht="15" hidden="1" x14ac:dyDescent="0.25">
      <c r="A1223" s="7" t="s">
        <v>16</v>
      </c>
      <c r="B1223" s="7" t="s">
        <v>21</v>
      </c>
      <c r="C1223" s="7" t="s">
        <v>18</v>
      </c>
      <c r="D1223" s="4">
        <v>60884855000316</v>
      </c>
      <c r="E1223" s="8" t="s">
        <v>617</v>
      </c>
      <c r="F1223" s="8" t="s">
        <v>29</v>
      </c>
      <c r="G1223" s="8" t="s">
        <v>19</v>
      </c>
      <c r="H1223" s="8" t="s">
        <v>215</v>
      </c>
      <c r="I1223" s="3">
        <v>2</v>
      </c>
      <c r="J1223" s="8" t="s">
        <v>1355</v>
      </c>
      <c r="K1223" s="8" t="s">
        <v>1356</v>
      </c>
      <c r="L1223" s="8" t="s">
        <v>556</v>
      </c>
      <c r="M1223" s="1" t="s">
        <v>207</v>
      </c>
      <c r="N1223" s="8" t="s">
        <v>208</v>
      </c>
      <c r="O1223" s="6">
        <v>0</v>
      </c>
      <c r="P1223" s="6">
        <v>0</v>
      </c>
      <c r="Q1223" s="6">
        <v>0</v>
      </c>
      <c r="R1223" s="6">
        <v>24</v>
      </c>
      <c r="S1223" s="6">
        <v>875</v>
      </c>
    </row>
    <row r="1224" spans="1:19" ht="15" hidden="1" x14ac:dyDescent="0.25">
      <c r="A1224" s="7" t="s">
        <v>16</v>
      </c>
      <c r="B1224" s="7" t="s">
        <v>21</v>
      </c>
      <c r="C1224" s="7" t="s">
        <v>18</v>
      </c>
      <c r="D1224" s="4">
        <v>60884855000316</v>
      </c>
      <c r="E1224" s="8" t="s">
        <v>617</v>
      </c>
      <c r="F1224" s="8" t="s">
        <v>29</v>
      </c>
      <c r="G1224" s="8" t="s">
        <v>19</v>
      </c>
      <c r="H1224" s="8" t="s">
        <v>215</v>
      </c>
      <c r="I1224" s="3">
        <v>2</v>
      </c>
      <c r="J1224" s="8" t="s">
        <v>183</v>
      </c>
      <c r="K1224" s="8" t="s">
        <v>184</v>
      </c>
      <c r="L1224" s="8" t="s">
        <v>557</v>
      </c>
      <c r="M1224" s="1" t="s">
        <v>207</v>
      </c>
      <c r="N1224" s="8" t="s">
        <v>208</v>
      </c>
      <c r="O1224" s="6">
        <v>0</v>
      </c>
      <c r="P1224" s="6">
        <v>10</v>
      </c>
      <c r="Q1224" s="6">
        <v>3</v>
      </c>
      <c r="R1224" s="6">
        <v>0</v>
      </c>
      <c r="S1224" s="6">
        <v>875</v>
      </c>
    </row>
    <row r="1225" spans="1:19" ht="15" hidden="1" x14ac:dyDescent="0.25">
      <c r="A1225" s="7" t="s">
        <v>16</v>
      </c>
      <c r="B1225" s="7" t="s">
        <v>21</v>
      </c>
      <c r="C1225" s="7" t="s">
        <v>18</v>
      </c>
      <c r="D1225" s="4">
        <v>60961968000459</v>
      </c>
      <c r="E1225" s="8" t="s">
        <v>622</v>
      </c>
      <c r="F1225" s="8" t="s">
        <v>29</v>
      </c>
      <c r="G1225" s="8" t="s">
        <v>19</v>
      </c>
      <c r="H1225" s="8" t="s">
        <v>215</v>
      </c>
      <c r="I1225" s="3">
        <v>2</v>
      </c>
      <c r="J1225" s="8" t="s">
        <v>1355</v>
      </c>
      <c r="K1225" s="8" t="s">
        <v>1356</v>
      </c>
      <c r="L1225" s="8" t="s">
        <v>556</v>
      </c>
      <c r="M1225" s="1" t="s">
        <v>207</v>
      </c>
      <c r="N1225" s="8" t="s">
        <v>208</v>
      </c>
      <c r="O1225" s="6">
        <v>0</v>
      </c>
      <c r="P1225" s="6">
        <v>0</v>
      </c>
      <c r="Q1225" s="6">
        <v>0</v>
      </c>
      <c r="R1225" s="6">
        <v>0</v>
      </c>
      <c r="S1225" s="6">
        <v>0</v>
      </c>
    </row>
    <row r="1226" spans="1:19" ht="15" hidden="1" x14ac:dyDescent="0.25">
      <c r="A1226" s="7" t="s">
        <v>16</v>
      </c>
      <c r="B1226" s="7" t="s">
        <v>21</v>
      </c>
      <c r="C1226" s="7" t="s">
        <v>18</v>
      </c>
      <c r="D1226" s="4">
        <v>60961968000459</v>
      </c>
      <c r="E1226" s="8" t="s">
        <v>622</v>
      </c>
      <c r="F1226" s="8" t="s">
        <v>29</v>
      </c>
      <c r="G1226" s="8" t="s">
        <v>19</v>
      </c>
      <c r="H1226" s="8" t="s">
        <v>215</v>
      </c>
      <c r="I1226" s="3">
        <v>2</v>
      </c>
      <c r="J1226" s="8" t="s">
        <v>177</v>
      </c>
      <c r="K1226" s="8" t="s">
        <v>178</v>
      </c>
      <c r="L1226" s="8" t="s">
        <v>557</v>
      </c>
      <c r="M1226" s="1" t="s">
        <v>207</v>
      </c>
      <c r="N1226" s="8" t="s">
        <v>208</v>
      </c>
      <c r="O1226" s="6">
        <v>0</v>
      </c>
      <c r="P1226" s="6">
        <v>2</v>
      </c>
      <c r="Q1226" s="6">
        <v>5</v>
      </c>
      <c r="R1226" s="6">
        <v>0</v>
      </c>
      <c r="S1226" s="6">
        <v>0</v>
      </c>
    </row>
    <row r="1227" spans="1:19" ht="15" hidden="1" x14ac:dyDescent="0.25">
      <c r="A1227" s="7" t="s">
        <v>16</v>
      </c>
      <c r="B1227" s="7" t="s">
        <v>21</v>
      </c>
      <c r="C1227" s="7" t="s">
        <v>18</v>
      </c>
      <c r="D1227" s="4">
        <v>60726502000126</v>
      </c>
      <c r="E1227" s="8" t="s">
        <v>613</v>
      </c>
      <c r="F1227" s="8" t="s">
        <v>29</v>
      </c>
      <c r="G1227" s="8" t="s">
        <v>19</v>
      </c>
      <c r="H1227" s="8" t="s">
        <v>215</v>
      </c>
      <c r="I1227" s="3">
        <v>2</v>
      </c>
      <c r="J1227" s="8" t="s">
        <v>1355</v>
      </c>
      <c r="K1227" s="8" t="s">
        <v>1356</v>
      </c>
      <c r="L1227" s="8" t="s">
        <v>556</v>
      </c>
      <c r="M1227" s="1" t="s">
        <v>207</v>
      </c>
      <c r="N1227" s="8" t="s">
        <v>208</v>
      </c>
      <c r="O1227" s="6">
        <v>0</v>
      </c>
      <c r="P1227" s="6">
        <v>0</v>
      </c>
      <c r="Q1227" s="6">
        <v>0</v>
      </c>
      <c r="R1227" s="6">
        <v>16</v>
      </c>
      <c r="S1227" s="6">
        <v>830</v>
      </c>
    </row>
    <row r="1228" spans="1:19" ht="15" hidden="1" x14ac:dyDescent="0.25">
      <c r="A1228" s="7" t="s">
        <v>16</v>
      </c>
      <c r="B1228" s="7" t="s">
        <v>21</v>
      </c>
      <c r="C1228" s="7" t="s">
        <v>18</v>
      </c>
      <c r="D1228" s="4">
        <v>60726502000126</v>
      </c>
      <c r="E1228" s="8" t="s">
        <v>613</v>
      </c>
      <c r="F1228" s="8" t="s">
        <v>29</v>
      </c>
      <c r="G1228" s="8" t="s">
        <v>19</v>
      </c>
      <c r="H1228" s="8" t="s">
        <v>215</v>
      </c>
      <c r="I1228" s="3">
        <v>2</v>
      </c>
      <c r="J1228" s="8" t="s">
        <v>183</v>
      </c>
      <c r="K1228" s="8" t="s">
        <v>184</v>
      </c>
      <c r="L1228" s="8" t="s">
        <v>557</v>
      </c>
      <c r="M1228" s="1" t="s">
        <v>207</v>
      </c>
      <c r="N1228" s="8" t="s">
        <v>208</v>
      </c>
      <c r="O1228" s="6">
        <v>0</v>
      </c>
      <c r="P1228" s="6">
        <v>6</v>
      </c>
      <c r="Q1228" s="6">
        <v>2</v>
      </c>
      <c r="R1228" s="6">
        <v>0</v>
      </c>
      <c r="S1228" s="6">
        <v>830</v>
      </c>
    </row>
    <row r="1229" spans="1:19" ht="15" hidden="1" x14ac:dyDescent="0.25">
      <c r="A1229" s="7" t="s">
        <v>16</v>
      </c>
      <c r="B1229" s="7" t="s">
        <v>21</v>
      </c>
      <c r="C1229" s="7" t="s">
        <v>18</v>
      </c>
      <c r="D1229" s="4">
        <v>8100676000592</v>
      </c>
      <c r="E1229" s="8" t="s">
        <v>572</v>
      </c>
      <c r="F1229" s="8" t="s">
        <v>29</v>
      </c>
      <c r="G1229" s="8" t="s">
        <v>19</v>
      </c>
      <c r="H1229" s="8" t="s">
        <v>215</v>
      </c>
      <c r="I1229" s="3">
        <v>2</v>
      </c>
      <c r="J1229" s="8" t="s">
        <v>161</v>
      </c>
      <c r="K1229" s="8" t="s">
        <v>162</v>
      </c>
      <c r="L1229" s="8" t="s">
        <v>556</v>
      </c>
      <c r="M1229" s="1" t="s">
        <v>207</v>
      </c>
      <c r="N1229" s="8" t="s">
        <v>208</v>
      </c>
      <c r="O1229" s="6">
        <v>0</v>
      </c>
      <c r="P1229" s="6">
        <v>0</v>
      </c>
      <c r="Q1229" s="6">
        <v>0</v>
      </c>
      <c r="R1229" s="6">
        <v>0</v>
      </c>
      <c r="S1229" s="6">
        <v>220</v>
      </c>
    </row>
    <row r="1230" spans="1:19" ht="15" hidden="1" x14ac:dyDescent="0.25">
      <c r="A1230" s="7" t="s">
        <v>16</v>
      </c>
      <c r="B1230" s="7" t="s">
        <v>21</v>
      </c>
      <c r="C1230" s="7" t="s">
        <v>18</v>
      </c>
      <c r="D1230" s="4">
        <v>8100676000592</v>
      </c>
      <c r="E1230" s="8" t="s">
        <v>572</v>
      </c>
      <c r="F1230" s="8" t="s">
        <v>29</v>
      </c>
      <c r="G1230" s="8" t="s">
        <v>19</v>
      </c>
      <c r="H1230" s="8" t="s">
        <v>215</v>
      </c>
      <c r="I1230" s="3">
        <v>2</v>
      </c>
      <c r="J1230" s="8" t="s">
        <v>183</v>
      </c>
      <c r="K1230" s="8" t="s">
        <v>184</v>
      </c>
      <c r="L1230" s="8" t="s">
        <v>557</v>
      </c>
      <c r="M1230" s="1" t="s">
        <v>207</v>
      </c>
      <c r="N1230" s="8" t="s">
        <v>208</v>
      </c>
      <c r="O1230" s="6">
        <v>0</v>
      </c>
      <c r="P1230" s="6">
        <v>0</v>
      </c>
      <c r="Q1230" s="6">
        <v>0</v>
      </c>
      <c r="R1230" s="6">
        <v>0</v>
      </c>
      <c r="S1230" s="6">
        <v>220</v>
      </c>
    </row>
    <row r="1231" spans="1:19" ht="15" hidden="1" x14ac:dyDescent="0.25">
      <c r="A1231" s="7" t="s">
        <v>16</v>
      </c>
      <c r="B1231" s="7" t="s">
        <v>21</v>
      </c>
      <c r="C1231" s="7" t="s">
        <v>18</v>
      </c>
      <c r="D1231" s="4">
        <v>8100676002455</v>
      </c>
      <c r="E1231" s="8" t="s">
        <v>574</v>
      </c>
      <c r="F1231" s="8" t="s">
        <v>29</v>
      </c>
      <c r="G1231" s="8" t="s">
        <v>19</v>
      </c>
      <c r="H1231" s="8" t="s">
        <v>215</v>
      </c>
      <c r="I1231" s="3">
        <v>2</v>
      </c>
      <c r="J1231" s="8" t="s">
        <v>161</v>
      </c>
      <c r="K1231" s="8" t="s">
        <v>162</v>
      </c>
      <c r="L1231" s="8" t="s">
        <v>556</v>
      </c>
      <c r="M1231" s="1" t="s">
        <v>207</v>
      </c>
      <c r="N1231" s="8" t="s">
        <v>208</v>
      </c>
      <c r="O1231" s="6">
        <v>0</v>
      </c>
      <c r="P1231" s="6">
        <v>0</v>
      </c>
      <c r="Q1231" s="6">
        <v>0</v>
      </c>
      <c r="R1231" s="6">
        <v>0</v>
      </c>
      <c r="S1231" s="6">
        <v>525</v>
      </c>
    </row>
    <row r="1232" spans="1:19" ht="15" hidden="1" x14ac:dyDescent="0.25">
      <c r="A1232" s="7" t="s">
        <v>16</v>
      </c>
      <c r="B1232" s="7" t="s">
        <v>21</v>
      </c>
      <c r="C1232" s="7" t="s">
        <v>18</v>
      </c>
      <c r="D1232" s="4">
        <v>8100676002455</v>
      </c>
      <c r="E1232" s="8" t="s">
        <v>574</v>
      </c>
      <c r="F1232" s="8" t="s">
        <v>29</v>
      </c>
      <c r="G1232" s="8" t="s">
        <v>19</v>
      </c>
      <c r="H1232" s="8" t="s">
        <v>215</v>
      </c>
      <c r="I1232" s="3">
        <v>2</v>
      </c>
      <c r="J1232" s="8" t="s">
        <v>183</v>
      </c>
      <c r="K1232" s="8" t="s">
        <v>184</v>
      </c>
      <c r="L1232" s="8" t="s">
        <v>557</v>
      </c>
      <c r="M1232" s="1" t="s">
        <v>207</v>
      </c>
      <c r="N1232" s="8" t="s">
        <v>208</v>
      </c>
      <c r="O1232" s="6">
        <v>0</v>
      </c>
      <c r="P1232" s="6">
        <v>12</v>
      </c>
      <c r="Q1232" s="6">
        <v>0</v>
      </c>
      <c r="R1232" s="6">
        <v>0</v>
      </c>
      <c r="S1232" s="6">
        <v>525</v>
      </c>
    </row>
    <row r="1233" spans="1:19" ht="15" hidden="1" x14ac:dyDescent="0.25">
      <c r="A1233" s="7" t="s">
        <v>16</v>
      </c>
      <c r="B1233" s="7" t="s">
        <v>21</v>
      </c>
      <c r="C1233" s="7" t="s">
        <v>18</v>
      </c>
      <c r="D1233" s="4">
        <v>60922168004335</v>
      </c>
      <c r="E1233" s="8" t="s">
        <v>619</v>
      </c>
      <c r="F1233" s="8" t="s">
        <v>29</v>
      </c>
      <c r="G1233" s="8" t="s">
        <v>19</v>
      </c>
      <c r="H1233" s="8" t="s">
        <v>215</v>
      </c>
      <c r="I1233" s="3">
        <v>2</v>
      </c>
      <c r="J1233" s="8" t="s">
        <v>161</v>
      </c>
      <c r="K1233" s="8" t="s">
        <v>162</v>
      </c>
      <c r="L1233" s="8" t="s">
        <v>556</v>
      </c>
      <c r="M1233" s="1" t="s">
        <v>207</v>
      </c>
      <c r="N1233" s="8" t="s">
        <v>208</v>
      </c>
      <c r="O1233" s="6">
        <v>0</v>
      </c>
      <c r="P1233" s="6">
        <v>0</v>
      </c>
      <c r="Q1233" s="6">
        <v>0</v>
      </c>
      <c r="R1233" s="6">
        <v>0</v>
      </c>
      <c r="S1233" s="6">
        <v>60</v>
      </c>
    </row>
    <row r="1234" spans="1:19" ht="15" hidden="1" x14ac:dyDescent="0.25">
      <c r="A1234" s="7" t="s">
        <v>16</v>
      </c>
      <c r="B1234" s="7" t="s">
        <v>21</v>
      </c>
      <c r="C1234" s="7" t="s">
        <v>18</v>
      </c>
      <c r="D1234" s="4">
        <v>60922168004335</v>
      </c>
      <c r="E1234" s="8" t="s">
        <v>619</v>
      </c>
      <c r="F1234" s="8" t="s">
        <v>29</v>
      </c>
      <c r="G1234" s="8" t="s">
        <v>19</v>
      </c>
      <c r="H1234" s="8" t="s">
        <v>215</v>
      </c>
      <c r="I1234" s="3">
        <v>2</v>
      </c>
      <c r="J1234" s="8" t="s">
        <v>183</v>
      </c>
      <c r="K1234" s="8" t="s">
        <v>184</v>
      </c>
      <c r="L1234" s="8" t="s">
        <v>557</v>
      </c>
      <c r="M1234" s="1" t="s">
        <v>207</v>
      </c>
      <c r="N1234" s="8" t="s">
        <v>208</v>
      </c>
      <c r="O1234" s="6">
        <v>0</v>
      </c>
      <c r="P1234" s="6">
        <v>0</v>
      </c>
      <c r="Q1234" s="6">
        <v>0</v>
      </c>
      <c r="R1234" s="6">
        <v>0</v>
      </c>
      <c r="S1234" s="6">
        <v>60</v>
      </c>
    </row>
    <row r="1235" spans="1:19" ht="15" hidden="1" x14ac:dyDescent="0.25">
      <c r="A1235" s="7" t="s">
        <v>16</v>
      </c>
      <c r="B1235" s="7" t="s">
        <v>21</v>
      </c>
      <c r="C1235" s="7" t="s">
        <v>18</v>
      </c>
      <c r="D1235" s="4">
        <v>21371777000132</v>
      </c>
      <c r="E1235" s="8" t="s">
        <v>589</v>
      </c>
      <c r="F1235" s="8" t="s">
        <v>29</v>
      </c>
      <c r="G1235" s="8" t="s">
        <v>19</v>
      </c>
      <c r="H1235" s="8" t="s">
        <v>215</v>
      </c>
      <c r="I1235" s="3">
        <v>2</v>
      </c>
      <c r="J1235" s="8" t="s">
        <v>161</v>
      </c>
      <c r="K1235" s="8" t="s">
        <v>162</v>
      </c>
      <c r="L1235" s="8" t="s">
        <v>556</v>
      </c>
      <c r="M1235" s="1" t="s">
        <v>207</v>
      </c>
      <c r="N1235" s="8" t="s">
        <v>208</v>
      </c>
      <c r="O1235" s="6">
        <v>0</v>
      </c>
      <c r="P1235" s="6">
        <v>0</v>
      </c>
      <c r="Q1235" s="6">
        <v>0</v>
      </c>
      <c r="R1235" s="6">
        <v>0</v>
      </c>
      <c r="S1235" s="6">
        <v>600</v>
      </c>
    </row>
    <row r="1236" spans="1:19" ht="15" hidden="1" x14ac:dyDescent="0.25">
      <c r="A1236" s="7" t="s">
        <v>16</v>
      </c>
      <c r="B1236" s="7" t="s">
        <v>21</v>
      </c>
      <c r="C1236" s="7" t="s">
        <v>18</v>
      </c>
      <c r="D1236" s="4">
        <v>21371777000132</v>
      </c>
      <c r="E1236" s="8" t="s">
        <v>589</v>
      </c>
      <c r="F1236" s="8" t="s">
        <v>29</v>
      </c>
      <c r="G1236" s="8" t="s">
        <v>19</v>
      </c>
      <c r="H1236" s="8" t="s">
        <v>215</v>
      </c>
      <c r="I1236" s="3">
        <v>2</v>
      </c>
      <c r="J1236" s="8" t="s">
        <v>183</v>
      </c>
      <c r="K1236" s="8" t="s">
        <v>184</v>
      </c>
      <c r="L1236" s="8" t="s">
        <v>557</v>
      </c>
      <c r="M1236" s="1" t="s">
        <v>207</v>
      </c>
      <c r="N1236" s="8" t="s">
        <v>208</v>
      </c>
      <c r="O1236" s="6">
        <v>0</v>
      </c>
      <c r="P1236" s="6">
        <v>38</v>
      </c>
      <c r="Q1236" s="6">
        <v>16</v>
      </c>
      <c r="R1236" s="6">
        <v>0</v>
      </c>
      <c r="S1236" s="6">
        <v>600</v>
      </c>
    </row>
    <row r="1237" spans="1:19" ht="15" hidden="1" x14ac:dyDescent="0.25">
      <c r="A1237" s="7" t="s">
        <v>16</v>
      </c>
      <c r="B1237" s="7" t="s">
        <v>21</v>
      </c>
      <c r="C1237" s="7" t="s">
        <v>18</v>
      </c>
      <c r="D1237" s="4">
        <v>60448040000122</v>
      </c>
      <c r="E1237" s="8" t="s">
        <v>609</v>
      </c>
      <c r="F1237" s="8" t="s">
        <v>29</v>
      </c>
      <c r="G1237" s="8" t="s">
        <v>19</v>
      </c>
      <c r="H1237" s="8" t="s">
        <v>215</v>
      </c>
      <c r="I1237" s="3">
        <v>2</v>
      </c>
      <c r="J1237" s="8" t="s">
        <v>1355</v>
      </c>
      <c r="K1237" s="8" t="s">
        <v>1356</v>
      </c>
      <c r="L1237" s="8" t="s">
        <v>556</v>
      </c>
      <c r="M1237" s="1" t="s">
        <v>207</v>
      </c>
      <c r="N1237" s="8" t="s">
        <v>208</v>
      </c>
      <c r="O1237" s="6">
        <v>0</v>
      </c>
      <c r="P1237" s="6">
        <v>0</v>
      </c>
      <c r="Q1237" s="6">
        <v>0</v>
      </c>
      <c r="R1237" s="6">
        <v>0</v>
      </c>
      <c r="S1237" s="6">
        <v>0</v>
      </c>
    </row>
    <row r="1238" spans="1:19" ht="15" hidden="1" x14ac:dyDescent="0.25">
      <c r="A1238" s="7" t="s">
        <v>16</v>
      </c>
      <c r="B1238" s="7" t="s">
        <v>21</v>
      </c>
      <c r="C1238" s="7" t="s">
        <v>18</v>
      </c>
      <c r="D1238" s="4">
        <v>60448040000122</v>
      </c>
      <c r="E1238" s="8" t="s">
        <v>609</v>
      </c>
      <c r="F1238" s="8" t="s">
        <v>29</v>
      </c>
      <c r="G1238" s="8" t="s">
        <v>19</v>
      </c>
      <c r="H1238" s="8" t="s">
        <v>215</v>
      </c>
      <c r="I1238" s="3">
        <v>2</v>
      </c>
      <c r="J1238" s="8" t="s">
        <v>177</v>
      </c>
      <c r="K1238" s="8" t="s">
        <v>178</v>
      </c>
      <c r="L1238" s="8" t="s">
        <v>557</v>
      </c>
      <c r="M1238" s="1" t="s">
        <v>207</v>
      </c>
      <c r="N1238" s="8" t="s">
        <v>208</v>
      </c>
      <c r="O1238" s="6">
        <v>0</v>
      </c>
      <c r="P1238" s="6">
        <v>57</v>
      </c>
      <c r="Q1238" s="6">
        <v>87</v>
      </c>
      <c r="R1238" s="6">
        <v>0</v>
      </c>
      <c r="S1238" s="6">
        <v>0</v>
      </c>
    </row>
    <row r="1239" spans="1:19" ht="15" hidden="1" x14ac:dyDescent="0.25">
      <c r="A1239" s="7" t="s">
        <v>16</v>
      </c>
      <c r="B1239" s="7" t="s">
        <v>21</v>
      </c>
      <c r="C1239" s="7" t="s">
        <v>18</v>
      </c>
      <c r="D1239" s="4">
        <v>60453024000390</v>
      </c>
      <c r="E1239" s="8" t="s">
        <v>610</v>
      </c>
      <c r="F1239" s="8" t="s">
        <v>29</v>
      </c>
      <c r="G1239" s="8" t="s">
        <v>19</v>
      </c>
      <c r="H1239" s="8" t="s">
        <v>215</v>
      </c>
      <c r="I1239" s="3">
        <v>2</v>
      </c>
      <c r="J1239" s="8" t="s">
        <v>161</v>
      </c>
      <c r="K1239" s="8" t="s">
        <v>162</v>
      </c>
      <c r="L1239" s="8" t="s">
        <v>556</v>
      </c>
      <c r="M1239" s="1" t="s">
        <v>207</v>
      </c>
      <c r="N1239" s="8" t="s">
        <v>208</v>
      </c>
      <c r="O1239" s="6">
        <v>0</v>
      </c>
      <c r="P1239" s="6">
        <v>0</v>
      </c>
      <c r="Q1239" s="6">
        <v>0</v>
      </c>
      <c r="R1239" s="6">
        <v>0</v>
      </c>
      <c r="S1239" s="6">
        <v>0</v>
      </c>
    </row>
    <row r="1240" spans="1:19" ht="15" hidden="1" x14ac:dyDescent="0.25">
      <c r="A1240" s="7" t="s">
        <v>16</v>
      </c>
      <c r="B1240" s="7" t="s">
        <v>21</v>
      </c>
      <c r="C1240" s="7" t="s">
        <v>18</v>
      </c>
      <c r="D1240" s="4">
        <v>60453024000390</v>
      </c>
      <c r="E1240" s="8" t="s">
        <v>610</v>
      </c>
      <c r="F1240" s="8" t="s">
        <v>29</v>
      </c>
      <c r="G1240" s="8" t="s">
        <v>19</v>
      </c>
      <c r="H1240" s="8" t="s">
        <v>215</v>
      </c>
      <c r="I1240" s="3">
        <v>2</v>
      </c>
      <c r="J1240" s="8" t="s">
        <v>177</v>
      </c>
      <c r="K1240" s="8" t="s">
        <v>178</v>
      </c>
      <c r="L1240" s="8" t="s">
        <v>557</v>
      </c>
      <c r="M1240" s="1" t="s">
        <v>207</v>
      </c>
      <c r="N1240" s="8" t="s">
        <v>208</v>
      </c>
      <c r="O1240" s="6">
        <v>0</v>
      </c>
      <c r="P1240" s="6">
        <v>10</v>
      </c>
      <c r="Q1240" s="6">
        <v>37</v>
      </c>
      <c r="R1240" s="6">
        <v>0</v>
      </c>
      <c r="S1240" s="6">
        <v>0</v>
      </c>
    </row>
    <row r="1241" spans="1:19" ht="15" hidden="1" x14ac:dyDescent="0.25">
      <c r="A1241" s="7" t="s">
        <v>16</v>
      </c>
      <c r="B1241" s="7" t="s">
        <v>21</v>
      </c>
      <c r="C1241" s="7" t="s">
        <v>18</v>
      </c>
      <c r="D1241" s="4">
        <v>51722957012512</v>
      </c>
      <c r="E1241" s="8" t="s">
        <v>604</v>
      </c>
      <c r="F1241" s="8" t="s">
        <v>29</v>
      </c>
      <c r="G1241" s="8" t="s">
        <v>19</v>
      </c>
      <c r="H1241" s="8" t="s">
        <v>215</v>
      </c>
      <c r="I1241" s="3">
        <v>2</v>
      </c>
      <c r="J1241" s="8" t="s">
        <v>161</v>
      </c>
      <c r="K1241" s="8" t="s">
        <v>162</v>
      </c>
      <c r="L1241" s="8" t="s">
        <v>556</v>
      </c>
      <c r="M1241" s="1" t="s">
        <v>207</v>
      </c>
      <c r="N1241" s="8" t="s">
        <v>208</v>
      </c>
      <c r="O1241" s="6">
        <v>0</v>
      </c>
      <c r="P1241" s="6">
        <v>0</v>
      </c>
      <c r="Q1241" s="6">
        <v>0</v>
      </c>
      <c r="R1241" s="6">
        <v>0</v>
      </c>
      <c r="S1241" s="6">
        <v>265</v>
      </c>
    </row>
    <row r="1242" spans="1:19" ht="15" hidden="1" x14ac:dyDescent="0.25">
      <c r="A1242" s="7" t="s">
        <v>16</v>
      </c>
      <c r="B1242" s="7" t="s">
        <v>21</v>
      </c>
      <c r="C1242" s="7" t="s">
        <v>18</v>
      </c>
      <c r="D1242" s="4">
        <v>51722957012512</v>
      </c>
      <c r="E1242" s="8" t="s">
        <v>604</v>
      </c>
      <c r="F1242" s="8" t="s">
        <v>29</v>
      </c>
      <c r="G1242" s="8" t="s">
        <v>19</v>
      </c>
      <c r="H1242" s="8" t="s">
        <v>215</v>
      </c>
      <c r="I1242" s="3">
        <v>2</v>
      </c>
      <c r="J1242" s="8" t="s">
        <v>183</v>
      </c>
      <c r="K1242" s="8" t="s">
        <v>184</v>
      </c>
      <c r="L1242" s="8" t="s">
        <v>557</v>
      </c>
      <c r="M1242" s="1" t="s">
        <v>207</v>
      </c>
      <c r="N1242" s="8" t="s">
        <v>208</v>
      </c>
      <c r="O1242" s="6">
        <v>0</v>
      </c>
      <c r="P1242" s="6">
        <v>0</v>
      </c>
      <c r="Q1242" s="6">
        <v>0</v>
      </c>
      <c r="R1242" s="6">
        <v>0</v>
      </c>
      <c r="S1242" s="6">
        <v>265</v>
      </c>
    </row>
    <row r="1243" spans="1:19" ht="15" hidden="1" x14ac:dyDescent="0.25">
      <c r="A1243" s="7" t="s">
        <v>16</v>
      </c>
      <c r="B1243" s="7" t="s">
        <v>21</v>
      </c>
      <c r="C1243" s="7" t="s">
        <v>18</v>
      </c>
      <c r="D1243" s="4">
        <v>60678604000113</v>
      </c>
      <c r="E1243" s="8" t="s">
        <v>612</v>
      </c>
      <c r="F1243" s="8" t="s">
        <v>29</v>
      </c>
      <c r="G1243" s="8" t="s">
        <v>19</v>
      </c>
      <c r="H1243" s="8" t="s">
        <v>215</v>
      </c>
      <c r="I1243" s="3">
        <v>2</v>
      </c>
      <c r="J1243" s="8" t="s">
        <v>161</v>
      </c>
      <c r="K1243" s="8" t="s">
        <v>162</v>
      </c>
      <c r="L1243" s="8" t="s">
        <v>556</v>
      </c>
      <c r="M1243" s="1" t="s">
        <v>207</v>
      </c>
      <c r="N1243" s="8" t="s">
        <v>208</v>
      </c>
      <c r="O1243" s="6">
        <v>0</v>
      </c>
      <c r="P1243" s="6">
        <v>0</v>
      </c>
      <c r="Q1243" s="6">
        <v>0</v>
      </c>
      <c r="R1243" s="6">
        <v>0</v>
      </c>
      <c r="S1243" s="6">
        <v>0</v>
      </c>
    </row>
    <row r="1244" spans="1:19" ht="15" hidden="1" x14ac:dyDescent="0.25">
      <c r="A1244" s="7" t="s">
        <v>16</v>
      </c>
      <c r="B1244" s="7" t="s">
        <v>21</v>
      </c>
      <c r="C1244" s="7" t="s">
        <v>18</v>
      </c>
      <c r="D1244" s="4">
        <v>60678604000113</v>
      </c>
      <c r="E1244" s="8" t="s">
        <v>612</v>
      </c>
      <c r="F1244" s="8" t="s">
        <v>29</v>
      </c>
      <c r="G1244" s="8" t="s">
        <v>19</v>
      </c>
      <c r="H1244" s="8" t="s">
        <v>215</v>
      </c>
      <c r="I1244" s="3">
        <v>2</v>
      </c>
      <c r="J1244" s="8" t="s">
        <v>147</v>
      </c>
      <c r="K1244" s="8" t="s">
        <v>148</v>
      </c>
      <c r="L1244" s="8" t="s">
        <v>557</v>
      </c>
      <c r="M1244" s="1" t="s">
        <v>207</v>
      </c>
      <c r="N1244" s="8" t="s">
        <v>208</v>
      </c>
      <c r="O1244" s="6">
        <v>0</v>
      </c>
      <c r="P1244" s="6">
        <v>0</v>
      </c>
      <c r="Q1244" s="6">
        <v>23</v>
      </c>
      <c r="R1244" s="6">
        <v>0</v>
      </c>
      <c r="S1244" s="6">
        <v>0</v>
      </c>
    </row>
    <row r="1245" spans="1:19" ht="15" hidden="1" x14ac:dyDescent="0.25">
      <c r="A1245" s="7" t="s">
        <v>16</v>
      </c>
      <c r="B1245" s="7" t="s">
        <v>21</v>
      </c>
      <c r="C1245" s="7" t="s">
        <v>18</v>
      </c>
      <c r="D1245" s="4">
        <v>61213674000240</v>
      </c>
      <c r="E1245" s="8" t="s">
        <v>629</v>
      </c>
      <c r="F1245" s="8" t="s">
        <v>29</v>
      </c>
      <c r="G1245" s="8" t="s">
        <v>19</v>
      </c>
      <c r="H1245" s="8" t="s">
        <v>215</v>
      </c>
      <c r="I1245" s="3">
        <v>2</v>
      </c>
      <c r="J1245" s="8" t="s">
        <v>1355</v>
      </c>
      <c r="K1245" s="8" t="s">
        <v>1356</v>
      </c>
      <c r="L1245" s="8" t="s">
        <v>556</v>
      </c>
      <c r="M1245" s="1" t="s">
        <v>207</v>
      </c>
      <c r="N1245" s="8" t="s">
        <v>208</v>
      </c>
      <c r="O1245" s="6">
        <v>0</v>
      </c>
      <c r="P1245" s="6">
        <v>0</v>
      </c>
      <c r="Q1245" s="6">
        <v>0</v>
      </c>
      <c r="R1245" s="6">
        <v>77</v>
      </c>
      <c r="S1245" s="6">
        <v>0</v>
      </c>
    </row>
    <row r="1246" spans="1:19" ht="15" hidden="1" x14ac:dyDescent="0.25">
      <c r="A1246" s="7" t="s">
        <v>16</v>
      </c>
      <c r="B1246" s="7" t="s">
        <v>21</v>
      </c>
      <c r="C1246" s="7" t="s">
        <v>18</v>
      </c>
      <c r="D1246" s="4">
        <v>61213674000240</v>
      </c>
      <c r="E1246" s="8" t="s">
        <v>629</v>
      </c>
      <c r="F1246" s="8" t="s">
        <v>29</v>
      </c>
      <c r="G1246" s="8" t="s">
        <v>19</v>
      </c>
      <c r="H1246" s="8" t="s">
        <v>215</v>
      </c>
      <c r="I1246" s="3">
        <v>2</v>
      </c>
      <c r="J1246" s="8" t="s">
        <v>147</v>
      </c>
      <c r="K1246" s="8" t="s">
        <v>148</v>
      </c>
      <c r="L1246" s="8" t="s">
        <v>557</v>
      </c>
      <c r="M1246" s="1" t="s">
        <v>207</v>
      </c>
      <c r="N1246" s="8" t="s">
        <v>208</v>
      </c>
      <c r="O1246" s="6">
        <v>0</v>
      </c>
      <c r="P1246" s="6">
        <v>5</v>
      </c>
      <c r="Q1246" s="6">
        <v>4</v>
      </c>
      <c r="R1246" s="6">
        <v>0</v>
      </c>
      <c r="S1246" s="6">
        <v>0</v>
      </c>
    </row>
    <row r="1247" spans="1:19" ht="15" hidden="1" x14ac:dyDescent="0.25">
      <c r="A1247" s="7" t="s">
        <v>16</v>
      </c>
      <c r="B1247" s="7" t="s">
        <v>21</v>
      </c>
      <c r="C1247" s="7" t="s">
        <v>18</v>
      </c>
      <c r="D1247" s="4">
        <v>60765823000130</v>
      </c>
      <c r="E1247" s="8" t="s">
        <v>615</v>
      </c>
      <c r="F1247" s="8" t="s">
        <v>29</v>
      </c>
      <c r="G1247" s="8" t="s">
        <v>19</v>
      </c>
      <c r="H1247" s="8" t="s">
        <v>215</v>
      </c>
      <c r="I1247" s="3">
        <v>2</v>
      </c>
      <c r="J1247" s="8" t="s">
        <v>1355</v>
      </c>
      <c r="K1247" s="8" t="s">
        <v>1356</v>
      </c>
      <c r="L1247" s="8" t="s">
        <v>556</v>
      </c>
      <c r="M1247" s="1" t="s">
        <v>207</v>
      </c>
      <c r="N1247" s="8" t="s">
        <v>208</v>
      </c>
      <c r="O1247" s="6">
        <v>0</v>
      </c>
      <c r="P1247" s="6">
        <v>0</v>
      </c>
      <c r="Q1247" s="6">
        <v>0</v>
      </c>
      <c r="R1247" s="6">
        <v>0</v>
      </c>
      <c r="S1247" s="6">
        <v>0</v>
      </c>
    </row>
    <row r="1248" spans="1:19" ht="15" hidden="1" x14ac:dyDescent="0.25">
      <c r="A1248" s="7" t="s">
        <v>16</v>
      </c>
      <c r="B1248" s="7" t="s">
        <v>21</v>
      </c>
      <c r="C1248" s="7" t="s">
        <v>18</v>
      </c>
      <c r="D1248" s="4">
        <v>60765823000130</v>
      </c>
      <c r="E1248" s="8" t="s">
        <v>615</v>
      </c>
      <c r="F1248" s="8" t="s">
        <v>29</v>
      </c>
      <c r="G1248" s="8" t="s">
        <v>19</v>
      </c>
      <c r="H1248" s="8" t="s">
        <v>215</v>
      </c>
      <c r="I1248" s="3">
        <v>2</v>
      </c>
      <c r="J1248" s="8" t="s">
        <v>147</v>
      </c>
      <c r="K1248" s="8" t="s">
        <v>148</v>
      </c>
      <c r="L1248" s="8" t="s">
        <v>557</v>
      </c>
      <c r="M1248" s="1" t="s">
        <v>207</v>
      </c>
      <c r="N1248" s="8" t="s">
        <v>208</v>
      </c>
      <c r="O1248" s="6">
        <v>0</v>
      </c>
      <c r="P1248" s="6">
        <v>0</v>
      </c>
      <c r="Q1248" s="6">
        <v>65</v>
      </c>
      <c r="R1248" s="6">
        <v>0</v>
      </c>
      <c r="S1248" s="6">
        <v>0</v>
      </c>
    </row>
    <row r="1249" spans="1:19" ht="15" hidden="1" x14ac:dyDescent="0.25">
      <c r="A1249" s="7" t="s">
        <v>16</v>
      </c>
      <c r="B1249" s="7" t="s">
        <v>21</v>
      </c>
      <c r="C1249" s="7" t="s">
        <v>18</v>
      </c>
      <c r="D1249" s="4">
        <v>19056055000141</v>
      </c>
      <c r="E1249" s="8" t="s">
        <v>586</v>
      </c>
      <c r="F1249" s="8" t="s">
        <v>29</v>
      </c>
      <c r="G1249" s="8" t="s">
        <v>19</v>
      </c>
      <c r="H1249" s="8" t="s">
        <v>215</v>
      </c>
      <c r="I1249" s="3">
        <v>2</v>
      </c>
      <c r="J1249" s="8" t="s">
        <v>161</v>
      </c>
      <c r="K1249" s="8" t="s">
        <v>162</v>
      </c>
      <c r="L1249" s="8" t="s">
        <v>556</v>
      </c>
      <c r="M1249" s="1" t="s">
        <v>207</v>
      </c>
      <c r="N1249" s="8" t="s">
        <v>208</v>
      </c>
      <c r="O1249" s="6">
        <v>0</v>
      </c>
      <c r="P1249" s="6">
        <v>0</v>
      </c>
      <c r="Q1249" s="6">
        <v>0</v>
      </c>
      <c r="R1249" s="6">
        <v>0</v>
      </c>
      <c r="S1249" s="6">
        <v>0</v>
      </c>
    </row>
    <row r="1250" spans="1:19" ht="15" hidden="1" x14ac:dyDescent="0.25">
      <c r="A1250" s="7" t="s">
        <v>16</v>
      </c>
      <c r="B1250" s="7" t="s">
        <v>21</v>
      </c>
      <c r="C1250" s="7" t="s">
        <v>18</v>
      </c>
      <c r="D1250" s="4">
        <v>19056055000141</v>
      </c>
      <c r="E1250" s="8" t="s">
        <v>586</v>
      </c>
      <c r="F1250" s="8" t="s">
        <v>29</v>
      </c>
      <c r="G1250" s="8" t="s">
        <v>19</v>
      </c>
      <c r="H1250" s="8" t="s">
        <v>215</v>
      </c>
      <c r="I1250" s="3">
        <v>2</v>
      </c>
      <c r="J1250" s="8" t="s">
        <v>177</v>
      </c>
      <c r="K1250" s="8" t="s">
        <v>178</v>
      </c>
      <c r="L1250" s="8" t="s">
        <v>557</v>
      </c>
      <c r="M1250" s="1" t="s">
        <v>207</v>
      </c>
      <c r="N1250" s="8" t="s">
        <v>208</v>
      </c>
      <c r="O1250" s="6">
        <v>0</v>
      </c>
      <c r="P1250" s="6">
        <v>0</v>
      </c>
      <c r="Q1250" s="6">
        <v>3</v>
      </c>
      <c r="R1250" s="6">
        <v>0</v>
      </c>
      <c r="S1250" s="6">
        <v>0</v>
      </c>
    </row>
    <row r="1251" spans="1:19" ht="15" hidden="1" x14ac:dyDescent="0.25">
      <c r="A1251" s="7" t="s">
        <v>16</v>
      </c>
      <c r="B1251" s="7" t="s">
        <v>21</v>
      </c>
      <c r="C1251" s="7" t="s">
        <v>18</v>
      </c>
      <c r="D1251" s="4">
        <v>29435005002687</v>
      </c>
      <c r="E1251" s="8" t="s">
        <v>593</v>
      </c>
      <c r="F1251" s="8" t="s">
        <v>29</v>
      </c>
      <c r="G1251" s="8" t="s">
        <v>19</v>
      </c>
      <c r="H1251" s="8" t="s">
        <v>215</v>
      </c>
      <c r="I1251" s="3">
        <v>2</v>
      </c>
      <c r="J1251" s="8" t="s">
        <v>161</v>
      </c>
      <c r="K1251" s="8" t="s">
        <v>162</v>
      </c>
      <c r="L1251" s="8" t="s">
        <v>556</v>
      </c>
      <c r="M1251" s="1" t="s">
        <v>207</v>
      </c>
      <c r="N1251" s="8" t="s">
        <v>208</v>
      </c>
      <c r="O1251" s="6">
        <v>0</v>
      </c>
      <c r="P1251" s="6">
        <v>0</v>
      </c>
      <c r="Q1251" s="6">
        <v>0</v>
      </c>
      <c r="R1251" s="6">
        <v>0</v>
      </c>
      <c r="S1251" s="6">
        <v>1350</v>
      </c>
    </row>
    <row r="1252" spans="1:19" ht="15" hidden="1" x14ac:dyDescent="0.25">
      <c r="A1252" s="7" t="s">
        <v>16</v>
      </c>
      <c r="B1252" s="7" t="s">
        <v>21</v>
      </c>
      <c r="C1252" s="7" t="s">
        <v>18</v>
      </c>
      <c r="D1252" s="4">
        <v>29435005002687</v>
      </c>
      <c r="E1252" s="8" t="s">
        <v>593</v>
      </c>
      <c r="F1252" s="8" t="s">
        <v>29</v>
      </c>
      <c r="G1252" s="8" t="s">
        <v>19</v>
      </c>
      <c r="H1252" s="8" t="s">
        <v>215</v>
      </c>
      <c r="I1252" s="3">
        <v>2</v>
      </c>
      <c r="J1252" s="8" t="s">
        <v>183</v>
      </c>
      <c r="K1252" s="8" t="s">
        <v>184</v>
      </c>
      <c r="L1252" s="8" t="s">
        <v>557</v>
      </c>
      <c r="M1252" s="1" t="s">
        <v>207</v>
      </c>
      <c r="N1252" s="8" t="s">
        <v>208</v>
      </c>
      <c r="O1252" s="6">
        <v>0</v>
      </c>
      <c r="P1252" s="6">
        <v>0</v>
      </c>
      <c r="Q1252" s="6">
        <v>0</v>
      </c>
      <c r="R1252" s="6">
        <v>0</v>
      </c>
      <c r="S1252" s="6">
        <v>1350</v>
      </c>
    </row>
    <row r="1253" spans="1:19" ht="15" hidden="1" x14ac:dyDescent="0.25">
      <c r="A1253" s="7" t="s">
        <v>16</v>
      </c>
      <c r="B1253" s="7" t="s">
        <v>21</v>
      </c>
      <c r="C1253" s="7" t="s">
        <v>18</v>
      </c>
      <c r="D1253" s="4">
        <v>60922168000771</v>
      </c>
      <c r="E1253" s="8" t="s">
        <v>618</v>
      </c>
      <c r="F1253" s="8" t="s">
        <v>29</v>
      </c>
      <c r="G1253" s="8" t="s">
        <v>19</v>
      </c>
      <c r="H1253" s="8" t="s">
        <v>215</v>
      </c>
      <c r="I1253" s="3">
        <v>2</v>
      </c>
      <c r="J1253" s="8" t="s">
        <v>1355</v>
      </c>
      <c r="K1253" s="8" t="s">
        <v>1356</v>
      </c>
      <c r="L1253" s="8" t="s">
        <v>556</v>
      </c>
      <c r="M1253" s="1" t="s">
        <v>207</v>
      </c>
      <c r="N1253" s="8" t="s">
        <v>208</v>
      </c>
      <c r="O1253" s="6">
        <v>0</v>
      </c>
      <c r="P1253" s="6">
        <v>0</v>
      </c>
      <c r="Q1253" s="6">
        <v>0</v>
      </c>
      <c r="R1253" s="6">
        <v>4</v>
      </c>
      <c r="S1253" s="6">
        <v>105</v>
      </c>
    </row>
    <row r="1254" spans="1:19" ht="15" hidden="1" x14ac:dyDescent="0.25">
      <c r="A1254" s="7" t="s">
        <v>16</v>
      </c>
      <c r="B1254" s="7" t="s">
        <v>21</v>
      </c>
      <c r="C1254" s="7" t="s">
        <v>18</v>
      </c>
      <c r="D1254" s="4">
        <v>60922168000771</v>
      </c>
      <c r="E1254" s="8" t="s">
        <v>618</v>
      </c>
      <c r="F1254" s="8" t="s">
        <v>29</v>
      </c>
      <c r="G1254" s="8" t="s">
        <v>19</v>
      </c>
      <c r="H1254" s="8" t="s">
        <v>215</v>
      </c>
      <c r="I1254" s="3">
        <v>2</v>
      </c>
      <c r="J1254" s="8" t="s">
        <v>147</v>
      </c>
      <c r="K1254" s="8" t="s">
        <v>148</v>
      </c>
      <c r="L1254" s="8" t="s">
        <v>557</v>
      </c>
      <c r="M1254" s="1" t="s">
        <v>207</v>
      </c>
      <c r="N1254" s="8" t="s">
        <v>208</v>
      </c>
      <c r="O1254" s="6">
        <v>0</v>
      </c>
      <c r="P1254" s="6">
        <v>0</v>
      </c>
      <c r="Q1254" s="6">
        <v>5</v>
      </c>
      <c r="R1254" s="6">
        <v>0</v>
      </c>
      <c r="S1254" s="6">
        <v>105</v>
      </c>
    </row>
    <row r="1255" spans="1:19" ht="15" hidden="1" x14ac:dyDescent="0.25">
      <c r="A1255" s="7" t="s">
        <v>16</v>
      </c>
      <c r="B1255" s="7" t="s">
        <v>21</v>
      </c>
      <c r="C1255" s="7" t="s">
        <v>18</v>
      </c>
      <c r="D1255" s="4">
        <v>60552098000111</v>
      </c>
      <c r="E1255" s="8" t="s">
        <v>611</v>
      </c>
      <c r="F1255" s="8" t="s">
        <v>29</v>
      </c>
      <c r="G1255" s="8" t="s">
        <v>19</v>
      </c>
      <c r="H1255" s="8" t="s">
        <v>215</v>
      </c>
      <c r="I1255" s="3">
        <v>2</v>
      </c>
      <c r="J1255" s="8" t="s">
        <v>161</v>
      </c>
      <c r="K1255" s="8" t="s">
        <v>162</v>
      </c>
      <c r="L1255" s="8" t="s">
        <v>556</v>
      </c>
      <c r="M1255" s="1" t="s">
        <v>207</v>
      </c>
      <c r="N1255" s="8" t="s">
        <v>208</v>
      </c>
      <c r="O1255" s="6">
        <v>0</v>
      </c>
      <c r="P1255" s="6">
        <v>0</v>
      </c>
      <c r="Q1255" s="6">
        <v>0</v>
      </c>
      <c r="R1255" s="6">
        <v>0</v>
      </c>
      <c r="S1255" s="6">
        <v>405</v>
      </c>
    </row>
    <row r="1256" spans="1:19" ht="15" hidden="1" x14ac:dyDescent="0.25">
      <c r="A1256" s="7" t="s">
        <v>16</v>
      </c>
      <c r="B1256" s="7" t="s">
        <v>21</v>
      </c>
      <c r="C1256" s="7" t="s">
        <v>18</v>
      </c>
      <c r="D1256" s="4">
        <v>60552098000111</v>
      </c>
      <c r="E1256" s="8" t="s">
        <v>611</v>
      </c>
      <c r="F1256" s="8" t="s">
        <v>29</v>
      </c>
      <c r="G1256" s="8" t="s">
        <v>19</v>
      </c>
      <c r="H1256" s="8" t="s">
        <v>215</v>
      </c>
      <c r="I1256" s="3">
        <v>2</v>
      </c>
      <c r="J1256" s="8" t="s">
        <v>147</v>
      </c>
      <c r="K1256" s="8" t="s">
        <v>148</v>
      </c>
      <c r="L1256" s="8" t="s">
        <v>557</v>
      </c>
      <c r="M1256" s="1" t="s">
        <v>207</v>
      </c>
      <c r="N1256" s="8" t="s">
        <v>208</v>
      </c>
      <c r="O1256" s="6">
        <v>0</v>
      </c>
      <c r="P1256" s="6">
        <v>0</v>
      </c>
      <c r="Q1256" s="6">
        <v>0</v>
      </c>
      <c r="R1256" s="6">
        <v>0</v>
      </c>
      <c r="S1256" s="6">
        <v>405</v>
      </c>
    </row>
    <row r="1257" spans="1:19" ht="15" hidden="1" x14ac:dyDescent="0.25">
      <c r="A1257" s="7" t="s">
        <v>16</v>
      </c>
      <c r="B1257" s="7" t="s">
        <v>21</v>
      </c>
      <c r="C1257" s="7" t="s">
        <v>18</v>
      </c>
      <c r="D1257" s="4">
        <v>60777901000116</v>
      </c>
      <c r="E1257" s="8" t="s">
        <v>616</v>
      </c>
      <c r="F1257" s="8" t="s">
        <v>29</v>
      </c>
      <c r="G1257" s="8" t="s">
        <v>19</v>
      </c>
      <c r="H1257" s="8" t="s">
        <v>215</v>
      </c>
      <c r="I1257" s="3">
        <v>2</v>
      </c>
      <c r="J1257" s="8" t="s">
        <v>161</v>
      </c>
      <c r="K1257" s="8" t="s">
        <v>162</v>
      </c>
      <c r="L1257" s="8" t="s">
        <v>556</v>
      </c>
      <c r="M1257" s="1" t="s">
        <v>207</v>
      </c>
      <c r="N1257" s="8" t="s">
        <v>208</v>
      </c>
      <c r="O1257" s="6">
        <v>0</v>
      </c>
      <c r="P1257" s="6">
        <v>0</v>
      </c>
      <c r="Q1257" s="6">
        <v>0</v>
      </c>
      <c r="R1257" s="6">
        <v>0</v>
      </c>
      <c r="S1257" s="6">
        <v>1000</v>
      </c>
    </row>
    <row r="1258" spans="1:19" ht="15" hidden="1" x14ac:dyDescent="0.25">
      <c r="A1258" s="7" t="s">
        <v>16</v>
      </c>
      <c r="B1258" s="7" t="s">
        <v>21</v>
      </c>
      <c r="C1258" s="7" t="s">
        <v>18</v>
      </c>
      <c r="D1258" s="4">
        <v>60777901000116</v>
      </c>
      <c r="E1258" s="8" t="s">
        <v>616</v>
      </c>
      <c r="F1258" s="8" t="s">
        <v>29</v>
      </c>
      <c r="G1258" s="8" t="s">
        <v>19</v>
      </c>
      <c r="H1258" s="8" t="s">
        <v>215</v>
      </c>
      <c r="I1258" s="3">
        <v>2</v>
      </c>
      <c r="J1258" s="8" t="s">
        <v>183</v>
      </c>
      <c r="K1258" s="8" t="s">
        <v>184</v>
      </c>
      <c r="L1258" s="8" t="s">
        <v>557</v>
      </c>
      <c r="M1258" s="1" t="s">
        <v>207</v>
      </c>
      <c r="N1258" s="8" t="s">
        <v>208</v>
      </c>
      <c r="O1258" s="6">
        <v>0</v>
      </c>
      <c r="P1258" s="6">
        <v>100</v>
      </c>
      <c r="Q1258" s="6">
        <v>0</v>
      </c>
      <c r="R1258" s="6">
        <v>0</v>
      </c>
      <c r="S1258" s="6">
        <v>1000</v>
      </c>
    </row>
    <row r="1259" spans="1:19" ht="15" hidden="1" x14ac:dyDescent="0.25">
      <c r="A1259" s="7" t="s">
        <v>16</v>
      </c>
      <c r="B1259" s="7" t="s">
        <v>21</v>
      </c>
      <c r="C1259" s="7" t="s">
        <v>18</v>
      </c>
      <c r="D1259" s="4">
        <v>60975737005110</v>
      </c>
      <c r="E1259" s="8" t="s">
        <v>626</v>
      </c>
      <c r="F1259" s="8" t="s">
        <v>29</v>
      </c>
      <c r="G1259" s="8" t="s">
        <v>19</v>
      </c>
      <c r="H1259" s="8" t="s">
        <v>215</v>
      </c>
      <c r="I1259" s="3">
        <v>2</v>
      </c>
      <c r="J1259" s="8" t="s">
        <v>161</v>
      </c>
      <c r="K1259" s="8" t="s">
        <v>162</v>
      </c>
      <c r="L1259" s="8" t="s">
        <v>556</v>
      </c>
      <c r="M1259" s="1" t="s">
        <v>207</v>
      </c>
      <c r="N1259" s="8" t="s">
        <v>208</v>
      </c>
      <c r="O1259" s="6">
        <v>0</v>
      </c>
      <c r="P1259" s="6">
        <v>0</v>
      </c>
      <c r="Q1259" s="6">
        <v>0</v>
      </c>
      <c r="R1259" s="6">
        <v>0</v>
      </c>
      <c r="S1259" s="6">
        <v>0</v>
      </c>
    </row>
    <row r="1260" spans="1:19" ht="15" hidden="1" x14ac:dyDescent="0.25">
      <c r="A1260" s="7" t="s">
        <v>16</v>
      </c>
      <c r="B1260" s="7" t="s">
        <v>21</v>
      </c>
      <c r="C1260" s="7" t="s">
        <v>18</v>
      </c>
      <c r="D1260" s="4">
        <v>60975737005110</v>
      </c>
      <c r="E1260" s="8" t="s">
        <v>626</v>
      </c>
      <c r="F1260" s="8" t="s">
        <v>29</v>
      </c>
      <c r="G1260" s="8" t="s">
        <v>19</v>
      </c>
      <c r="H1260" s="8" t="s">
        <v>215</v>
      </c>
      <c r="I1260" s="3">
        <v>2</v>
      </c>
      <c r="J1260" s="8" t="s">
        <v>177</v>
      </c>
      <c r="K1260" s="8" t="s">
        <v>178</v>
      </c>
      <c r="L1260" s="8" t="s">
        <v>557</v>
      </c>
      <c r="M1260" s="1" t="s">
        <v>207</v>
      </c>
      <c r="N1260" s="8" t="s">
        <v>208</v>
      </c>
      <c r="O1260" s="6">
        <v>0</v>
      </c>
      <c r="P1260" s="6">
        <v>1</v>
      </c>
      <c r="Q1260" s="6">
        <v>0</v>
      </c>
      <c r="R1260" s="6">
        <v>0</v>
      </c>
      <c r="S1260" s="6">
        <v>0</v>
      </c>
    </row>
    <row r="1261" spans="1:19" ht="15" hidden="1" x14ac:dyDescent="0.25">
      <c r="A1261" s="7" t="s">
        <v>16</v>
      </c>
      <c r="B1261" s="7" t="s">
        <v>21</v>
      </c>
      <c r="C1261" s="7" t="s">
        <v>18</v>
      </c>
      <c r="D1261" s="4">
        <v>60975737000232</v>
      </c>
      <c r="E1261" s="8" t="s">
        <v>624</v>
      </c>
      <c r="F1261" s="8" t="s">
        <v>29</v>
      </c>
      <c r="G1261" s="8" t="s">
        <v>19</v>
      </c>
      <c r="H1261" s="8" t="s">
        <v>215</v>
      </c>
      <c r="I1261" s="3">
        <v>2</v>
      </c>
      <c r="J1261" s="8" t="s">
        <v>161</v>
      </c>
      <c r="K1261" s="8" t="s">
        <v>162</v>
      </c>
      <c r="L1261" s="8" t="s">
        <v>556</v>
      </c>
      <c r="M1261" s="1" t="s">
        <v>207</v>
      </c>
      <c r="N1261" s="8" t="s">
        <v>208</v>
      </c>
      <c r="O1261" s="6">
        <v>0</v>
      </c>
      <c r="P1261" s="6">
        <v>0</v>
      </c>
      <c r="Q1261" s="6">
        <v>0</v>
      </c>
      <c r="R1261" s="6">
        <v>0</v>
      </c>
      <c r="S1261" s="6">
        <v>0</v>
      </c>
    </row>
    <row r="1262" spans="1:19" ht="15" hidden="1" x14ac:dyDescent="0.25">
      <c r="A1262" s="7" t="s">
        <v>16</v>
      </c>
      <c r="B1262" s="7" t="s">
        <v>21</v>
      </c>
      <c r="C1262" s="7" t="s">
        <v>18</v>
      </c>
      <c r="D1262" s="4">
        <v>60975737000232</v>
      </c>
      <c r="E1262" s="8" t="s">
        <v>624</v>
      </c>
      <c r="F1262" s="8" t="s">
        <v>29</v>
      </c>
      <c r="G1262" s="8" t="s">
        <v>19</v>
      </c>
      <c r="H1262" s="8" t="s">
        <v>215</v>
      </c>
      <c r="I1262" s="3">
        <v>2</v>
      </c>
      <c r="J1262" s="8" t="s">
        <v>177</v>
      </c>
      <c r="K1262" s="8" t="s">
        <v>178</v>
      </c>
      <c r="L1262" s="8" t="s">
        <v>557</v>
      </c>
      <c r="M1262" s="1" t="s">
        <v>207</v>
      </c>
      <c r="N1262" s="8" t="s">
        <v>208</v>
      </c>
      <c r="O1262" s="6">
        <v>0</v>
      </c>
      <c r="P1262" s="6">
        <v>6</v>
      </c>
      <c r="Q1262" s="6">
        <v>4</v>
      </c>
      <c r="R1262" s="6">
        <v>0</v>
      </c>
      <c r="S1262" s="6">
        <v>0</v>
      </c>
    </row>
    <row r="1263" spans="1:19" ht="15" hidden="1" x14ac:dyDescent="0.25">
      <c r="A1263" s="7" t="s">
        <v>16</v>
      </c>
      <c r="B1263" s="7" t="s">
        <v>21</v>
      </c>
      <c r="C1263" s="7" t="s">
        <v>18</v>
      </c>
      <c r="D1263" s="4">
        <v>60975737001204</v>
      </c>
      <c r="E1263" s="8" t="s">
        <v>625</v>
      </c>
      <c r="F1263" s="8" t="s">
        <v>29</v>
      </c>
      <c r="G1263" s="8" t="s">
        <v>19</v>
      </c>
      <c r="H1263" s="8" t="s">
        <v>215</v>
      </c>
      <c r="I1263" s="3">
        <v>2</v>
      </c>
      <c r="J1263" s="8" t="s">
        <v>161</v>
      </c>
      <c r="K1263" s="8" t="s">
        <v>162</v>
      </c>
      <c r="L1263" s="8" t="s">
        <v>556</v>
      </c>
      <c r="M1263" s="1" t="s">
        <v>207</v>
      </c>
      <c r="N1263" s="8" t="s">
        <v>208</v>
      </c>
      <c r="O1263" s="6">
        <v>0</v>
      </c>
      <c r="P1263" s="6">
        <v>0</v>
      </c>
      <c r="Q1263" s="6">
        <v>0</v>
      </c>
      <c r="R1263" s="6">
        <v>0</v>
      </c>
      <c r="S1263" s="6">
        <v>0</v>
      </c>
    </row>
    <row r="1264" spans="1:19" ht="15" hidden="1" x14ac:dyDescent="0.25">
      <c r="A1264" s="7" t="s">
        <v>16</v>
      </c>
      <c r="B1264" s="7" t="s">
        <v>21</v>
      </c>
      <c r="C1264" s="7" t="s">
        <v>18</v>
      </c>
      <c r="D1264" s="4">
        <v>60975737001204</v>
      </c>
      <c r="E1264" s="8" t="s">
        <v>625</v>
      </c>
      <c r="F1264" s="8" t="s">
        <v>29</v>
      </c>
      <c r="G1264" s="8" t="s">
        <v>19</v>
      </c>
      <c r="H1264" s="8" t="s">
        <v>215</v>
      </c>
      <c r="I1264" s="3">
        <v>2</v>
      </c>
      <c r="J1264" s="8" t="s">
        <v>177</v>
      </c>
      <c r="K1264" s="8" t="s">
        <v>178</v>
      </c>
      <c r="L1264" s="8" t="s">
        <v>557</v>
      </c>
      <c r="M1264" s="1" t="s">
        <v>207</v>
      </c>
      <c r="N1264" s="8" t="s">
        <v>208</v>
      </c>
      <c r="O1264" s="6">
        <v>0</v>
      </c>
      <c r="P1264" s="6">
        <v>4</v>
      </c>
      <c r="Q1264" s="6">
        <v>0</v>
      </c>
      <c r="R1264" s="6">
        <v>0</v>
      </c>
      <c r="S1264" s="6">
        <v>0</v>
      </c>
    </row>
    <row r="1265" spans="1:19" ht="15" hidden="1" x14ac:dyDescent="0.25">
      <c r="A1265" s="7" t="s">
        <v>16</v>
      </c>
      <c r="B1265" s="7" t="s">
        <v>21</v>
      </c>
      <c r="C1265" s="7" t="s">
        <v>18</v>
      </c>
      <c r="D1265" s="4">
        <v>6047087003820</v>
      </c>
      <c r="E1265" s="8" t="s">
        <v>570</v>
      </c>
      <c r="F1265" s="8" t="s">
        <v>29</v>
      </c>
      <c r="G1265" s="8" t="s">
        <v>19</v>
      </c>
      <c r="H1265" s="8" t="s">
        <v>215</v>
      </c>
      <c r="I1265" s="3">
        <v>2</v>
      </c>
      <c r="J1265" s="8" t="s">
        <v>161</v>
      </c>
      <c r="K1265" s="8" t="s">
        <v>162</v>
      </c>
      <c r="L1265" s="8" t="s">
        <v>556</v>
      </c>
      <c r="M1265" s="1" t="s">
        <v>207</v>
      </c>
      <c r="N1265" s="8" t="s">
        <v>208</v>
      </c>
      <c r="O1265" s="6">
        <v>0</v>
      </c>
      <c r="P1265" s="6">
        <v>0</v>
      </c>
      <c r="Q1265" s="6">
        <v>0</v>
      </c>
      <c r="R1265" s="6">
        <v>0</v>
      </c>
      <c r="S1265" s="6">
        <v>0</v>
      </c>
    </row>
    <row r="1266" spans="1:19" ht="15" hidden="1" x14ac:dyDescent="0.25">
      <c r="A1266" s="7" t="s">
        <v>16</v>
      </c>
      <c r="B1266" s="7" t="s">
        <v>21</v>
      </c>
      <c r="C1266" s="7" t="s">
        <v>18</v>
      </c>
      <c r="D1266" s="4">
        <v>6047087003820</v>
      </c>
      <c r="E1266" s="8" t="s">
        <v>570</v>
      </c>
      <c r="F1266" s="8" t="s">
        <v>29</v>
      </c>
      <c r="G1266" s="8" t="s">
        <v>19</v>
      </c>
      <c r="H1266" s="8" t="s">
        <v>215</v>
      </c>
      <c r="I1266" s="3">
        <v>2</v>
      </c>
      <c r="J1266" s="8" t="s">
        <v>147</v>
      </c>
      <c r="K1266" s="8" t="s">
        <v>148</v>
      </c>
      <c r="L1266" s="8" t="s">
        <v>557</v>
      </c>
      <c r="M1266" s="1" t="s">
        <v>207</v>
      </c>
      <c r="N1266" s="8" t="s">
        <v>208</v>
      </c>
      <c r="O1266" s="6">
        <v>0</v>
      </c>
      <c r="P1266" s="6">
        <v>2</v>
      </c>
      <c r="Q1266" s="6">
        <v>11</v>
      </c>
      <c r="R1266" s="6">
        <v>0</v>
      </c>
      <c r="S1266" s="6">
        <v>0</v>
      </c>
    </row>
    <row r="1267" spans="1:19" ht="15" hidden="1" x14ac:dyDescent="0.25">
      <c r="A1267" s="7" t="s">
        <v>16</v>
      </c>
      <c r="B1267" s="7" t="s">
        <v>21</v>
      </c>
      <c r="C1267" s="7" t="s">
        <v>18</v>
      </c>
      <c r="D1267" s="4">
        <v>28290788000137</v>
      </c>
      <c r="E1267" s="8" t="s">
        <v>591</v>
      </c>
      <c r="F1267" s="8" t="s">
        <v>29</v>
      </c>
      <c r="G1267" s="8" t="s">
        <v>19</v>
      </c>
      <c r="H1267" s="8" t="s">
        <v>215</v>
      </c>
      <c r="I1267" s="3">
        <v>2</v>
      </c>
      <c r="J1267" s="8" t="s">
        <v>161</v>
      </c>
      <c r="K1267" s="8" t="s">
        <v>162</v>
      </c>
      <c r="L1267" s="8" t="s">
        <v>556</v>
      </c>
      <c r="M1267" s="1" t="s">
        <v>207</v>
      </c>
      <c r="N1267" s="8" t="s">
        <v>208</v>
      </c>
      <c r="O1267" s="6">
        <v>0</v>
      </c>
      <c r="P1267" s="6">
        <v>0</v>
      </c>
      <c r="Q1267" s="6">
        <v>0</v>
      </c>
      <c r="R1267" s="6">
        <v>0</v>
      </c>
      <c r="S1267" s="6">
        <v>0</v>
      </c>
    </row>
    <row r="1268" spans="1:19" ht="15" hidden="1" x14ac:dyDescent="0.25">
      <c r="A1268" s="7" t="s">
        <v>16</v>
      </c>
      <c r="B1268" s="7" t="s">
        <v>21</v>
      </c>
      <c r="C1268" s="7" t="s">
        <v>18</v>
      </c>
      <c r="D1268" s="4">
        <v>28290788000137</v>
      </c>
      <c r="E1268" s="8" t="s">
        <v>591</v>
      </c>
      <c r="F1268" s="8" t="s">
        <v>29</v>
      </c>
      <c r="G1268" s="8" t="s">
        <v>19</v>
      </c>
      <c r="H1268" s="8" t="s">
        <v>215</v>
      </c>
      <c r="I1268" s="3">
        <v>2</v>
      </c>
      <c r="J1268" s="8" t="s">
        <v>147</v>
      </c>
      <c r="K1268" s="8" t="s">
        <v>148</v>
      </c>
      <c r="L1268" s="8" t="s">
        <v>557</v>
      </c>
      <c r="M1268" s="1" t="s">
        <v>207</v>
      </c>
      <c r="N1268" s="8" t="s">
        <v>208</v>
      </c>
      <c r="O1268" s="6">
        <v>0</v>
      </c>
      <c r="P1268" s="6">
        <v>5</v>
      </c>
      <c r="Q1268" s="6">
        <v>5</v>
      </c>
      <c r="R1268" s="6">
        <v>0</v>
      </c>
      <c r="S1268" s="6">
        <v>0</v>
      </c>
    </row>
    <row r="1269" spans="1:19" ht="15" hidden="1" x14ac:dyDescent="0.25">
      <c r="A1269" s="7" t="s">
        <v>16</v>
      </c>
      <c r="B1269" s="7" t="s">
        <v>21</v>
      </c>
      <c r="C1269" s="7" t="s">
        <v>18</v>
      </c>
      <c r="D1269" s="4">
        <v>5831510000124</v>
      </c>
      <c r="E1269" s="8" t="s">
        <v>567</v>
      </c>
      <c r="F1269" s="8" t="s">
        <v>29</v>
      </c>
      <c r="G1269" s="8" t="s">
        <v>19</v>
      </c>
      <c r="H1269" s="8" t="s">
        <v>215</v>
      </c>
      <c r="I1269" s="3">
        <v>2</v>
      </c>
      <c r="J1269" s="8" t="s">
        <v>161</v>
      </c>
      <c r="K1269" s="8" t="s">
        <v>162</v>
      </c>
      <c r="L1269" s="8" t="s">
        <v>556</v>
      </c>
      <c r="M1269" s="1" t="s">
        <v>207</v>
      </c>
      <c r="N1269" s="8" t="s">
        <v>208</v>
      </c>
      <c r="O1269" s="6">
        <v>0</v>
      </c>
      <c r="P1269" s="6">
        <v>0</v>
      </c>
      <c r="Q1269" s="6">
        <v>0</v>
      </c>
      <c r="R1269" s="6">
        <v>0</v>
      </c>
      <c r="S1269" s="6">
        <v>140</v>
      </c>
    </row>
    <row r="1270" spans="1:19" ht="15" hidden="1" x14ac:dyDescent="0.25">
      <c r="A1270" s="7" t="s">
        <v>16</v>
      </c>
      <c r="B1270" s="7" t="s">
        <v>21</v>
      </c>
      <c r="C1270" s="7" t="s">
        <v>18</v>
      </c>
      <c r="D1270" s="4">
        <v>5831510000124</v>
      </c>
      <c r="E1270" s="8" t="s">
        <v>567</v>
      </c>
      <c r="F1270" s="8" t="s">
        <v>29</v>
      </c>
      <c r="G1270" s="8" t="s">
        <v>19</v>
      </c>
      <c r="H1270" s="8" t="s">
        <v>215</v>
      </c>
      <c r="I1270" s="3">
        <v>2</v>
      </c>
      <c r="J1270" s="8" t="s">
        <v>147</v>
      </c>
      <c r="K1270" s="8" t="s">
        <v>148</v>
      </c>
      <c r="L1270" s="8" t="s">
        <v>557</v>
      </c>
      <c r="M1270" s="1" t="s">
        <v>207</v>
      </c>
      <c r="N1270" s="8" t="s">
        <v>208</v>
      </c>
      <c r="O1270" s="6">
        <v>0</v>
      </c>
      <c r="P1270" s="6">
        <v>0</v>
      </c>
      <c r="Q1270" s="6">
        <v>0</v>
      </c>
      <c r="R1270" s="6">
        <v>0</v>
      </c>
      <c r="S1270" s="6">
        <v>140</v>
      </c>
    </row>
    <row r="1271" spans="1:19" ht="15" hidden="1" x14ac:dyDescent="0.25">
      <c r="A1271" s="7" t="s">
        <v>16</v>
      </c>
      <c r="B1271" s="7" t="s">
        <v>21</v>
      </c>
      <c r="C1271" s="7" t="s">
        <v>18</v>
      </c>
      <c r="D1271" s="4">
        <v>67185694000150</v>
      </c>
      <c r="E1271" s="8" t="s">
        <v>635</v>
      </c>
      <c r="F1271" s="8" t="s">
        <v>29</v>
      </c>
      <c r="G1271" s="8" t="s">
        <v>19</v>
      </c>
      <c r="H1271" s="8" t="s">
        <v>215</v>
      </c>
      <c r="I1271" s="3">
        <v>2</v>
      </c>
      <c r="J1271" s="8" t="s">
        <v>161</v>
      </c>
      <c r="K1271" s="8" t="s">
        <v>162</v>
      </c>
      <c r="L1271" s="8" t="s">
        <v>556</v>
      </c>
      <c r="M1271" s="1" t="s">
        <v>207</v>
      </c>
      <c r="N1271" s="8" t="s">
        <v>208</v>
      </c>
      <c r="O1271" s="6">
        <v>0</v>
      </c>
      <c r="P1271" s="6">
        <v>0</v>
      </c>
      <c r="Q1271" s="6">
        <v>0</v>
      </c>
      <c r="R1271" s="6">
        <v>0</v>
      </c>
      <c r="S1271" s="6">
        <v>0</v>
      </c>
    </row>
    <row r="1272" spans="1:19" ht="15" hidden="1" x14ac:dyDescent="0.25">
      <c r="A1272" s="7" t="s">
        <v>16</v>
      </c>
      <c r="B1272" s="7" t="s">
        <v>21</v>
      </c>
      <c r="C1272" s="7" t="s">
        <v>18</v>
      </c>
      <c r="D1272" s="4">
        <v>67185694000150</v>
      </c>
      <c r="E1272" s="8" t="s">
        <v>635</v>
      </c>
      <c r="F1272" s="8" t="s">
        <v>29</v>
      </c>
      <c r="G1272" s="8" t="s">
        <v>19</v>
      </c>
      <c r="H1272" s="8" t="s">
        <v>215</v>
      </c>
      <c r="I1272" s="3">
        <v>2</v>
      </c>
      <c r="J1272" s="8" t="s">
        <v>147</v>
      </c>
      <c r="K1272" s="8" t="s">
        <v>148</v>
      </c>
      <c r="L1272" s="8" t="s">
        <v>557</v>
      </c>
      <c r="M1272" s="1" t="s">
        <v>207</v>
      </c>
      <c r="N1272" s="8" t="s">
        <v>208</v>
      </c>
      <c r="O1272" s="6">
        <v>0</v>
      </c>
      <c r="P1272" s="6">
        <v>2</v>
      </c>
      <c r="Q1272" s="6">
        <v>0</v>
      </c>
      <c r="R1272" s="6">
        <v>0</v>
      </c>
      <c r="S1272" s="6">
        <v>0</v>
      </c>
    </row>
    <row r="1273" spans="1:19" ht="15" hidden="1" x14ac:dyDescent="0.25">
      <c r="A1273" s="7" t="s">
        <v>16</v>
      </c>
      <c r="B1273" s="7" t="s">
        <v>21</v>
      </c>
      <c r="C1273" s="7" t="s">
        <v>18</v>
      </c>
      <c r="D1273" s="4">
        <v>44649812005520</v>
      </c>
      <c r="E1273" s="8" t="s">
        <v>598</v>
      </c>
      <c r="F1273" s="8" t="s">
        <v>29</v>
      </c>
      <c r="G1273" s="8" t="s">
        <v>19</v>
      </c>
      <c r="H1273" s="8" t="s">
        <v>215</v>
      </c>
      <c r="I1273" s="3">
        <v>2</v>
      </c>
      <c r="J1273" s="8" t="s">
        <v>1355</v>
      </c>
      <c r="K1273" s="8" t="s">
        <v>1356</v>
      </c>
      <c r="L1273" s="8" t="s">
        <v>556</v>
      </c>
      <c r="M1273" s="1" t="s">
        <v>207</v>
      </c>
      <c r="N1273" s="8" t="s">
        <v>208</v>
      </c>
      <c r="O1273" s="6">
        <v>0</v>
      </c>
      <c r="P1273" s="6">
        <v>0</v>
      </c>
      <c r="Q1273" s="6">
        <v>0</v>
      </c>
      <c r="R1273" s="6">
        <v>16</v>
      </c>
      <c r="S1273" s="6">
        <v>150</v>
      </c>
    </row>
    <row r="1274" spans="1:19" ht="15" hidden="1" x14ac:dyDescent="0.25">
      <c r="A1274" s="7" t="s">
        <v>16</v>
      </c>
      <c r="B1274" s="7" t="s">
        <v>21</v>
      </c>
      <c r="C1274" s="7" t="s">
        <v>18</v>
      </c>
      <c r="D1274" s="4">
        <v>44649812005520</v>
      </c>
      <c r="E1274" s="8" t="s">
        <v>598</v>
      </c>
      <c r="F1274" s="8" t="s">
        <v>29</v>
      </c>
      <c r="G1274" s="8" t="s">
        <v>19</v>
      </c>
      <c r="H1274" s="8" t="s">
        <v>215</v>
      </c>
      <c r="I1274" s="3">
        <v>2</v>
      </c>
      <c r="J1274" s="8" t="s">
        <v>147</v>
      </c>
      <c r="K1274" s="8" t="s">
        <v>148</v>
      </c>
      <c r="L1274" s="8" t="s">
        <v>557</v>
      </c>
      <c r="M1274" s="1" t="s">
        <v>207</v>
      </c>
      <c r="N1274" s="8" t="s">
        <v>208</v>
      </c>
      <c r="O1274" s="6">
        <v>0</v>
      </c>
      <c r="P1274" s="6">
        <v>0</v>
      </c>
      <c r="Q1274" s="6">
        <v>0</v>
      </c>
      <c r="R1274" s="6">
        <v>0</v>
      </c>
      <c r="S1274" s="6">
        <v>150</v>
      </c>
    </row>
    <row r="1275" spans="1:19" ht="15" hidden="1" x14ac:dyDescent="0.25">
      <c r="A1275" s="7" t="s">
        <v>16</v>
      </c>
      <c r="B1275" s="7" t="s">
        <v>21</v>
      </c>
      <c r="C1275" s="7" t="s">
        <v>18</v>
      </c>
      <c r="D1275" s="4">
        <v>62779145000190</v>
      </c>
      <c r="E1275" s="8" t="s">
        <v>634</v>
      </c>
      <c r="F1275" s="8" t="s">
        <v>29</v>
      </c>
      <c r="G1275" s="8" t="s">
        <v>19</v>
      </c>
      <c r="H1275" s="8" t="s">
        <v>215</v>
      </c>
      <c r="I1275" s="3">
        <v>2</v>
      </c>
      <c r="J1275" s="8" t="s">
        <v>161</v>
      </c>
      <c r="K1275" s="8" t="s">
        <v>162</v>
      </c>
      <c r="L1275" s="8" t="s">
        <v>556</v>
      </c>
      <c r="M1275" s="1" t="s">
        <v>207</v>
      </c>
      <c r="N1275" s="8" t="s">
        <v>208</v>
      </c>
      <c r="O1275" s="6">
        <v>0</v>
      </c>
      <c r="P1275" s="6">
        <v>0</v>
      </c>
      <c r="Q1275" s="6">
        <v>0</v>
      </c>
      <c r="R1275" s="6">
        <v>0</v>
      </c>
      <c r="S1275" s="6">
        <v>0</v>
      </c>
    </row>
    <row r="1276" spans="1:19" ht="15" hidden="1" x14ac:dyDescent="0.25">
      <c r="A1276" s="7" t="s">
        <v>16</v>
      </c>
      <c r="B1276" s="7" t="s">
        <v>21</v>
      </c>
      <c r="C1276" s="7" t="s">
        <v>18</v>
      </c>
      <c r="D1276" s="4">
        <v>62779145000190</v>
      </c>
      <c r="E1276" s="8" t="s">
        <v>634</v>
      </c>
      <c r="F1276" s="8" t="s">
        <v>29</v>
      </c>
      <c r="G1276" s="8" t="s">
        <v>19</v>
      </c>
      <c r="H1276" s="8" t="s">
        <v>215</v>
      </c>
      <c r="I1276" s="3">
        <v>2</v>
      </c>
      <c r="J1276" s="8" t="s">
        <v>177</v>
      </c>
      <c r="K1276" s="8" t="s">
        <v>178</v>
      </c>
      <c r="L1276" s="8" t="s">
        <v>557</v>
      </c>
      <c r="M1276" s="1" t="s">
        <v>207</v>
      </c>
      <c r="N1276" s="8" t="s">
        <v>208</v>
      </c>
      <c r="O1276" s="6">
        <v>0</v>
      </c>
      <c r="P1276" s="6">
        <v>2</v>
      </c>
      <c r="Q1276" s="6">
        <v>0</v>
      </c>
      <c r="R1276" s="6">
        <v>0</v>
      </c>
      <c r="S1276" s="6">
        <v>0</v>
      </c>
    </row>
    <row r="1277" spans="1:19" ht="15" hidden="1" x14ac:dyDescent="0.25">
      <c r="A1277" s="7" t="s">
        <v>16</v>
      </c>
      <c r="B1277" s="7" t="s">
        <v>21</v>
      </c>
      <c r="C1277" s="7" t="s">
        <v>18</v>
      </c>
      <c r="D1277" s="4">
        <v>13718999000150</v>
      </c>
      <c r="E1277" s="8" t="s">
        <v>584</v>
      </c>
      <c r="F1277" s="8" t="s">
        <v>29</v>
      </c>
      <c r="G1277" s="8" t="s">
        <v>19</v>
      </c>
      <c r="H1277" s="8" t="s">
        <v>215</v>
      </c>
      <c r="I1277" s="3">
        <v>2</v>
      </c>
      <c r="J1277" s="8" t="s">
        <v>161</v>
      </c>
      <c r="K1277" s="8" t="s">
        <v>162</v>
      </c>
      <c r="L1277" s="8" t="s">
        <v>556</v>
      </c>
      <c r="M1277" s="1" t="s">
        <v>207</v>
      </c>
      <c r="N1277" s="8" t="s">
        <v>208</v>
      </c>
      <c r="O1277" s="6">
        <v>0</v>
      </c>
      <c r="P1277" s="6">
        <v>0</v>
      </c>
      <c r="Q1277" s="6">
        <v>0</v>
      </c>
      <c r="R1277" s="6">
        <v>4</v>
      </c>
      <c r="S1277" s="6">
        <v>0</v>
      </c>
    </row>
    <row r="1278" spans="1:19" ht="15" hidden="1" x14ac:dyDescent="0.25">
      <c r="A1278" s="7" t="s">
        <v>16</v>
      </c>
      <c r="B1278" s="7" t="s">
        <v>21</v>
      </c>
      <c r="C1278" s="7" t="s">
        <v>18</v>
      </c>
      <c r="D1278" s="4">
        <v>13718999000150</v>
      </c>
      <c r="E1278" s="8" t="s">
        <v>584</v>
      </c>
      <c r="F1278" s="8" t="s">
        <v>29</v>
      </c>
      <c r="G1278" s="8" t="s">
        <v>19</v>
      </c>
      <c r="H1278" s="8" t="s">
        <v>215</v>
      </c>
      <c r="I1278" s="3">
        <v>2</v>
      </c>
      <c r="J1278" s="8" t="s">
        <v>147</v>
      </c>
      <c r="K1278" s="8" t="s">
        <v>148</v>
      </c>
      <c r="L1278" s="8" t="s">
        <v>557</v>
      </c>
      <c r="M1278" s="1" t="s">
        <v>207</v>
      </c>
      <c r="N1278" s="8" t="s">
        <v>208</v>
      </c>
      <c r="O1278" s="6">
        <v>0</v>
      </c>
      <c r="P1278" s="6">
        <v>0</v>
      </c>
      <c r="Q1278" s="6">
        <v>0</v>
      </c>
      <c r="R1278" s="6">
        <v>0</v>
      </c>
      <c r="S1278" s="6">
        <v>0</v>
      </c>
    </row>
    <row r="1279" spans="1:19" ht="15" hidden="1" x14ac:dyDescent="0.25">
      <c r="A1279" s="7" t="s">
        <v>16</v>
      </c>
      <c r="B1279" s="7" t="s">
        <v>21</v>
      </c>
      <c r="C1279" s="7" t="s">
        <v>18</v>
      </c>
      <c r="D1279" s="4">
        <v>4036348000190</v>
      </c>
      <c r="E1279" s="8" t="s">
        <v>565</v>
      </c>
      <c r="F1279" s="8" t="s">
        <v>29</v>
      </c>
      <c r="G1279" s="8" t="s">
        <v>19</v>
      </c>
      <c r="H1279" s="8" t="s">
        <v>215</v>
      </c>
      <c r="I1279" s="3">
        <v>2</v>
      </c>
      <c r="J1279" s="8" t="s">
        <v>1355</v>
      </c>
      <c r="K1279" s="8" t="s">
        <v>1356</v>
      </c>
      <c r="L1279" s="8" t="s">
        <v>556</v>
      </c>
      <c r="M1279" s="1" t="s">
        <v>207</v>
      </c>
      <c r="N1279" s="8" t="s">
        <v>208</v>
      </c>
      <c r="O1279" s="6">
        <v>0</v>
      </c>
      <c r="P1279" s="6">
        <v>0</v>
      </c>
      <c r="Q1279" s="6">
        <v>0</v>
      </c>
      <c r="R1279" s="6">
        <v>0</v>
      </c>
      <c r="S1279" s="6">
        <v>320</v>
      </c>
    </row>
    <row r="1280" spans="1:19" ht="15" hidden="1" x14ac:dyDescent="0.25">
      <c r="A1280" s="7" t="s">
        <v>16</v>
      </c>
      <c r="B1280" s="7" t="s">
        <v>21</v>
      </c>
      <c r="C1280" s="7" t="s">
        <v>18</v>
      </c>
      <c r="D1280" s="4">
        <v>4036348000190</v>
      </c>
      <c r="E1280" s="8" t="s">
        <v>565</v>
      </c>
      <c r="F1280" s="8" t="s">
        <v>29</v>
      </c>
      <c r="G1280" s="8" t="s">
        <v>19</v>
      </c>
      <c r="H1280" s="8" t="s">
        <v>215</v>
      </c>
      <c r="I1280" s="3">
        <v>2</v>
      </c>
      <c r="J1280" s="8" t="s">
        <v>147</v>
      </c>
      <c r="K1280" s="8" t="s">
        <v>148</v>
      </c>
      <c r="L1280" s="8" t="s">
        <v>557</v>
      </c>
      <c r="M1280" s="1" t="s">
        <v>207</v>
      </c>
      <c r="N1280" s="8" t="s">
        <v>208</v>
      </c>
      <c r="O1280" s="6">
        <v>0</v>
      </c>
      <c r="P1280" s="6">
        <v>0</v>
      </c>
      <c r="Q1280" s="6">
        <v>0</v>
      </c>
      <c r="R1280" s="6">
        <v>0</v>
      </c>
      <c r="S1280" s="6">
        <v>320</v>
      </c>
    </row>
    <row r="1281" spans="1:19" ht="15" hidden="1" x14ac:dyDescent="0.25">
      <c r="A1281" s="7" t="s">
        <v>16</v>
      </c>
      <c r="B1281" s="7" t="s">
        <v>21</v>
      </c>
      <c r="C1281" s="7" t="s">
        <v>18</v>
      </c>
      <c r="D1281" s="4">
        <v>10211939000230</v>
      </c>
      <c r="E1281" s="8" t="s">
        <v>579</v>
      </c>
      <c r="F1281" s="8" t="s">
        <v>29</v>
      </c>
      <c r="G1281" s="8" t="s">
        <v>19</v>
      </c>
      <c r="H1281" s="8" t="s">
        <v>215</v>
      </c>
      <c r="I1281" s="3">
        <v>2</v>
      </c>
      <c r="J1281" s="8" t="s">
        <v>1355</v>
      </c>
      <c r="K1281" s="8" t="s">
        <v>1356</v>
      </c>
      <c r="L1281" s="8" t="s">
        <v>556</v>
      </c>
      <c r="M1281" s="1" t="s">
        <v>207</v>
      </c>
      <c r="N1281" s="8" t="s">
        <v>208</v>
      </c>
      <c r="O1281" s="6">
        <v>0</v>
      </c>
      <c r="P1281" s="6">
        <v>0</v>
      </c>
      <c r="Q1281" s="6">
        <v>0</v>
      </c>
      <c r="R1281" s="6">
        <v>8</v>
      </c>
      <c r="S1281" s="6">
        <v>0</v>
      </c>
    </row>
    <row r="1282" spans="1:19" ht="15" hidden="1" x14ac:dyDescent="0.25">
      <c r="A1282" s="7" t="s">
        <v>16</v>
      </c>
      <c r="B1282" s="7" t="s">
        <v>21</v>
      </c>
      <c r="C1282" s="7" t="s">
        <v>18</v>
      </c>
      <c r="D1282" s="4">
        <v>10211939000230</v>
      </c>
      <c r="E1282" s="8" t="s">
        <v>579</v>
      </c>
      <c r="F1282" s="8" t="s">
        <v>29</v>
      </c>
      <c r="G1282" s="8" t="s">
        <v>19</v>
      </c>
      <c r="H1282" s="8" t="s">
        <v>215</v>
      </c>
      <c r="I1282" s="3">
        <v>2</v>
      </c>
      <c r="J1282" s="8" t="s">
        <v>183</v>
      </c>
      <c r="K1282" s="8" t="s">
        <v>184</v>
      </c>
      <c r="L1282" s="8" t="s">
        <v>557</v>
      </c>
      <c r="M1282" s="1" t="s">
        <v>207</v>
      </c>
      <c r="N1282" s="8" t="s">
        <v>208</v>
      </c>
      <c r="O1282" s="6">
        <v>0</v>
      </c>
      <c r="P1282" s="6">
        <v>0</v>
      </c>
      <c r="Q1282" s="6">
        <v>0</v>
      </c>
      <c r="R1282" s="6">
        <v>0</v>
      </c>
      <c r="S1282" s="6">
        <v>0</v>
      </c>
    </row>
    <row r="1283" spans="1:19" ht="15" hidden="1" x14ac:dyDescent="0.25">
      <c r="A1283" s="7" t="s">
        <v>16</v>
      </c>
      <c r="B1283" s="7" t="s">
        <v>21</v>
      </c>
      <c r="C1283" s="7" t="s">
        <v>18</v>
      </c>
      <c r="D1283" s="4">
        <v>2837922000183</v>
      </c>
      <c r="E1283" s="8" t="s">
        <v>563</v>
      </c>
      <c r="F1283" s="8" t="s">
        <v>29</v>
      </c>
      <c r="G1283" s="8" t="s">
        <v>19</v>
      </c>
      <c r="H1283" s="8" t="s">
        <v>215</v>
      </c>
      <c r="I1283" s="3">
        <v>2</v>
      </c>
      <c r="J1283" s="8" t="s">
        <v>161</v>
      </c>
      <c r="K1283" s="8" t="s">
        <v>162</v>
      </c>
      <c r="L1283" s="8" t="s">
        <v>556</v>
      </c>
      <c r="M1283" s="1" t="s">
        <v>207</v>
      </c>
      <c r="N1283" s="8" t="s">
        <v>208</v>
      </c>
      <c r="O1283" s="6">
        <v>0</v>
      </c>
      <c r="P1283" s="6">
        <v>0</v>
      </c>
      <c r="Q1283" s="6">
        <v>0</v>
      </c>
      <c r="R1283" s="6">
        <v>100</v>
      </c>
      <c r="S1283" s="6">
        <v>0</v>
      </c>
    </row>
    <row r="1284" spans="1:19" ht="15" hidden="1" x14ac:dyDescent="0.25">
      <c r="A1284" s="7" t="s">
        <v>16</v>
      </c>
      <c r="B1284" s="7" t="s">
        <v>21</v>
      </c>
      <c r="C1284" s="7" t="s">
        <v>18</v>
      </c>
      <c r="D1284" s="4">
        <v>2837922000183</v>
      </c>
      <c r="E1284" s="8" t="s">
        <v>563</v>
      </c>
      <c r="F1284" s="8" t="s">
        <v>29</v>
      </c>
      <c r="G1284" s="8" t="s">
        <v>19</v>
      </c>
      <c r="H1284" s="8" t="s">
        <v>215</v>
      </c>
      <c r="I1284" s="3">
        <v>2</v>
      </c>
      <c r="J1284" s="8" t="s">
        <v>147</v>
      </c>
      <c r="K1284" s="8" t="s">
        <v>148</v>
      </c>
      <c r="L1284" s="8" t="s">
        <v>557</v>
      </c>
      <c r="M1284" s="1" t="s">
        <v>207</v>
      </c>
      <c r="N1284" s="8" t="s">
        <v>208</v>
      </c>
      <c r="O1284" s="6">
        <v>0</v>
      </c>
      <c r="P1284" s="6">
        <v>0</v>
      </c>
      <c r="Q1284" s="6">
        <v>0</v>
      </c>
      <c r="R1284" s="6">
        <v>0</v>
      </c>
      <c r="S1284" s="6">
        <v>0</v>
      </c>
    </row>
    <row r="1285" spans="1:19" ht="15" hidden="1" x14ac:dyDescent="0.25">
      <c r="A1285" s="7" t="s">
        <v>16</v>
      </c>
      <c r="B1285" s="7" t="s">
        <v>21</v>
      </c>
      <c r="C1285" s="7" t="s">
        <v>18</v>
      </c>
      <c r="D1285" s="4">
        <v>61599908000158</v>
      </c>
      <c r="E1285" s="8" t="s">
        <v>631</v>
      </c>
      <c r="F1285" s="8" t="s">
        <v>29</v>
      </c>
      <c r="G1285" s="8" t="s">
        <v>19</v>
      </c>
      <c r="H1285" s="8" t="s">
        <v>215</v>
      </c>
      <c r="I1285" s="3">
        <v>2</v>
      </c>
      <c r="J1285" s="8" t="s">
        <v>1355</v>
      </c>
      <c r="K1285" s="8" t="s">
        <v>1356</v>
      </c>
      <c r="L1285" s="8" t="s">
        <v>556</v>
      </c>
      <c r="M1285" s="1" t="s">
        <v>207</v>
      </c>
      <c r="N1285" s="8" t="s">
        <v>208</v>
      </c>
      <c r="O1285" s="6">
        <v>0</v>
      </c>
      <c r="P1285" s="6">
        <v>0</v>
      </c>
      <c r="Q1285" s="6">
        <v>0</v>
      </c>
      <c r="R1285" s="6">
        <v>0</v>
      </c>
      <c r="S1285" s="6">
        <v>0</v>
      </c>
    </row>
    <row r="1286" spans="1:19" ht="15" hidden="1" x14ac:dyDescent="0.25">
      <c r="A1286" s="7" t="s">
        <v>16</v>
      </c>
      <c r="B1286" s="7" t="s">
        <v>21</v>
      </c>
      <c r="C1286" s="7" t="s">
        <v>18</v>
      </c>
      <c r="D1286" s="4">
        <v>61599908000158</v>
      </c>
      <c r="E1286" s="8" t="s">
        <v>631</v>
      </c>
      <c r="F1286" s="8" t="s">
        <v>29</v>
      </c>
      <c r="G1286" s="8" t="s">
        <v>19</v>
      </c>
      <c r="H1286" s="8" t="s">
        <v>215</v>
      </c>
      <c r="I1286" s="3">
        <v>2</v>
      </c>
      <c r="J1286" s="8" t="s">
        <v>183</v>
      </c>
      <c r="K1286" s="8" t="s">
        <v>184</v>
      </c>
      <c r="L1286" s="8" t="s">
        <v>557</v>
      </c>
      <c r="M1286" s="1" t="s">
        <v>207</v>
      </c>
      <c r="N1286" s="8" t="s">
        <v>208</v>
      </c>
      <c r="O1286" s="6">
        <v>0</v>
      </c>
      <c r="P1286" s="6">
        <v>20</v>
      </c>
      <c r="Q1286" s="6">
        <v>75</v>
      </c>
      <c r="R1286" s="6">
        <v>0</v>
      </c>
      <c r="S1286" s="6">
        <v>0</v>
      </c>
    </row>
    <row r="1287" spans="1:19" ht="15" hidden="1" x14ac:dyDescent="0.25">
      <c r="A1287" s="7" t="s">
        <v>16</v>
      </c>
      <c r="B1287" s="7" t="s">
        <v>21</v>
      </c>
      <c r="C1287" s="7" t="s">
        <v>18</v>
      </c>
      <c r="D1287" s="4">
        <v>7045325000130</v>
      </c>
      <c r="E1287" s="8" t="s">
        <v>571</v>
      </c>
      <c r="F1287" s="8" t="s">
        <v>29</v>
      </c>
      <c r="G1287" s="8" t="s">
        <v>19</v>
      </c>
      <c r="H1287" s="8" t="s">
        <v>215</v>
      </c>
      <c r="I1287" s="3">
        <v>2</v>
      </c>
      <c r="J1287" s="8" t="s">
        <v>161</v>
      </c>
      <c r="K1287" s="8" t="s">
        <v>162</v>
      </c>
      <c r="L1287" s="8" t="s">
        <v>556</v>
      </c>
      <c r="M1287" s="1" t="s">
        <v>207</v>
      </c>
      <c r="N1287" s="8" t="s">
        <v>208</v>
      </c>
      <c r="O1287" s="6">
        <v>0</v>
      </c>
      <c r="P1287" s="6">
        <v>0</v>
      </c>
      <c r="Q1287" s="6">
        <v>0</v>
      </c>
      <c r="R1287" s="6">
        <v>80</v>
      </c>
      <c r="S1287" s="6">
        <v>200</v>
      </c>
    </row>
    <row r="1288" spans="1:19" ht="15" hidden="1" x14ac:dyDescent="0.25">
      <c r="A1288" s="7" t="s">
        <v>16</v>
      </c>
      <c r="B1288" s="7" t="s">
        <v>21</v>
      </c>
      <c r="C1288" s="7" t="s">
        <v>18</v>
      </c>
      <c r="D1288" s="4">
        <v>7045325000130</v>
      </c>
      <c r="E1288" s="8" t="s">
        <v>571</v>
      </c>
      <c r="F1288" s="8" t="s">
        <v>29</v>
      </c>
      <c r="G1288" s="8" t="s">
        <v>19</v>
      </c>
      <c r="H1288" s="8" t="s">
        <v>215</v>
      </c>
      <c r="I1288" s="3">
        <v>2</v>
      </c>
      <c r="J1288" s="8" t="s">
        <v>147</v>
      </c>
      <c r="K1288" s="8" t="s">
        <v>148</v>
      </c>
      <c r="L1288" s="8" t="s">
        <v>557</v>
      </c>
      <c r="M1288" s="1" t="s">
        <v>207</v>
      </c>
      <c r="N1288" s="8" t="s">
        <v>208</v>
      </c>
      <c r="O1288" s="6">
        <v>0</v>
      </c>
      <c r="P1288" s="6">
        <v>0</v>
      </c>
      <c r="Q1288" s="6">
        <v>0</v>
      </c>
      <c r="R1288" s="6">
        <v>0</v>
      </c>
      <c r="S1288" s="6">
        <v>200</v>
      </c>
    </row>
    <row r="1289" spans="1:19" ht="15" hidden="1" x14ac:dyDescent="0.25">
      <c r="A1289" s="7" t="s">
        <v>16</v>
      </c>
      <c r="B1289" s="7" t="s">
        <v>21</v>
      </c>
      <c r="C1289" s="7" t="s">
        <v>18</v>
      </c>
      <c r="D1289" s="4">
        <v>6047087000210</v>
      </c>
      <c r="E1289" s="8" t="s">
        <v>569</v>
      </c>
      <c r="F1289" s="8" t="s">
        <v>29</v>
      </c>
      <c r="G1289" s="8" t="s">
        <v>19</v>
      </c>
      <c r="H1289" s="8" t="s">
        <v>215</v>
      </c>
      <c r="I1289" s="3">
        <v>2</v>
      </c>
      <c r="J1289" s="8" t="s">
        <v>161</v>
      </c>
      <c r="K1289" s="8" t="s">
        <v>162</v>
      </c>
      <c r="L1289" s="8" t="s">
        <v>556</v>
      </c>
      <c r="M1289" s="1" t="s">
        <v>207</v>
      </c>
      <c r="N1289" s="8" t="s">
        <v>208</v>
      </c>
      <c r="O1289" s="6">
        <v>0</v>
      </c>
      <c r="P1289" s="6">
        <v>0</v>
      </c>
      <c r="Q1289" s="6">
        <v>0</v>
      </c>
      <c r="R1289" s="6">
        <v>0</v>
      </c>
      <c r="S1289" s="6">
        <v>0</v>
      </c>
    </row>
    <row r="1290" spans="1:19" ht="15" hidden="1" x14ac:dyDescent="0.25">
      <c r="A1290" s="7" t="s">
        <v>16</v>
      </c>
      <c r="B1290" s="7" t="s">
        <v>21</v>
      </c>
      <c r="C1290" s="7" t="s">
        <v>18</v>
      </c>
      <c r="D1290" s="4">
        <v>6047087000210</v>
      </c>
      <c r="E1290" s="8" t="s">
        <v>569</v>
      </c>
      <c r="F1290" s="8" t="s">
        <v>29</v>
      </c>
      <c r="G1290" s="8" t="s">
        <v>19</v>
      </c>
      <c r="H1290" s="8" t="s">
        <v>215</v>
      </c>
      <c r="I1290" s="3">
        <v>2</v>
      </c>
      <c r="J1290" s="8" t="s">
        <v>147</v>
      </c>
      <c r="K1290" s="8" t="s">
        <v>148</v>
      </c>
      <c r="L1290" s="8" t="s">
        <v>557</v>
      </c>
      <c r="M1290" s="1" t="s">
        <v>207</v>
      </c>
      <c r="N1290" s="8" t="s">
        <v>208</v>
      </c>
      <c r="O1290" s="6">
        <v>0</v>
      </c>
      <c r="P1290" s="6">
        <v>41</v>
      </c>
      <c r="Q1290" s="6">
        <v>33</v>
      </c>
      <c r="R1290" s="6">
        <v>0</v>
      </c>
      <c r="S1290" s="6">
        <v>0</v>
      </c>
    </row>
    <row r="1291" spans="1:19" ht="15" hidden="1" x14ac:dyDescent="0.25">
      <c r="A1291" s="7" t="s">
        <v>16</v>
      </c>
      <c r="B1291" s="7" t="s">
        <v>21</v>
      </c>
      <c r="C1291" s="7" t="s">
        <v>18</v>
      </c>
      <c r="D1291" s="4">
        <v>8677327000104</v>
      </c>
      <c r="E1291" s="8" t="s">
        <v>576</v>
      </c>
      <c r="F1291" s="8" t="s">
        <v>29</v>
      </c>
      <c r="G1291" s="8" t="s">
        <v>19</v>
      </c>
      <c r="H1291" s="8" t="s">
        <v>215</v>
      </c>
      <c r="I1291" s="3">
        <v>2</v>
      </c>
      <c r="J1291" s="8" t="s">
        <v>161</v>
      </c>
      <c r="K1291" s="8" t="s">
        <v>162</v>
      </c>
      <c r="L1291" s="8" t="s">
        <v>556</v>
      </c>
      <c r="M1291" s="1" t="s">
        <v>207</v>
      </c>
      <c r="N1291" s="8" t="s">
        <v>208</v>
      </c>
      <c r="O1291" s="6">
        <v>0</v>
      </c>
      <c r="P1291" s="6">
        <v>0</v>
      </c>
      <c r="Q1291" s="6">
        <v>0</v>
      </c>
      <c r="R1291" s="6">
        <v>0</v>
      </c>
      <c r="S1291" s="6">
        <v>0</v>
      </c>
    </row>
    <row r="1292" spans="1:19" ht="15" hidden="1" x14ac:dyDescent="0.25">
      <c r="A1292" s="7" t="s">
        <v>16</v>
      </c>
      <c r="B1292" s="7" t="s">
        <v>21</v>
      </c>
      <c r="C1292" s="7" t="s">
        <v>18</v>
      </c>
      <c r="D1292" s="4">
        <v>8677327000104</v>
      </c>
      <c r="E1292" s="8" t="s">
        <v>576</v>
      </c>
      <c r="F1292" s="8" t="s">
        <v>29</v>
      </c>
      <c r="G1292" s="8" t="s">
        <v>19</v>
      </c>
      <c r="H1292" s="8" t="s">
        <v>215</v>
      </c>
      <c r="I1292" s="3">
        <v>2</v>
      </c>
      <c r="J1292" s="8" t="s">
        <v>177</v>
      </c>
      <c r="K1292" s="8" t="s">
        <v>178</v>
      </c>
      <c r="L1292" s="8" t="s">
        <v>557</v>
      </c>
      <c r="M1292" s="1" t="s">
        <v>207</v>
      </c>
      <c r="N1292" s="8" t="s">
        <v>208</v>
      </c>
      <c r="O1292" s="6">
        <v>0</v>
      </c>
      <c r="P1292" s="6">
        <v>2</v>
      </c>
      <c r="Q1292" s="6">
        <v>0</v>
      </c>
      <c r="R1292" s="6">
        <v>0</v>
      </c>
      <c r="S1292" s="6">
        <v>0</v>
      </c>
    </row>
    <row r="1293" spans="1:19" ht="15" hidden="1" x14ac:dyDescent="0.25">
      <c r="A1293" s="7" t="s">
        <v>16</v>
      </c>
      <c r="B1293" s="7" t="s">
        <v>21</v>
      </c>
      <c r="C1293" s="7" t="s">
        <v>18</v>
      </c>
      <c r="D1293" s="4">
        <v>60961422000155</v>
      </c>
      <c r="E1293" s="8" t="s">
        <v>620</v>
      </c>
      <c r="F1293" s="8" t="s">
        <v>29</v>
      </c>
      <c r="G1293" s="8" t="s">
        <v>19</v>
      </c>
      <c r="H1293" s="8" t="s">
        <v>215</v>
      </c>
      <c r="I1293" s="3">
        <v>2</v>
      </c>
      <c r="J1293" s="8" t="s">
        <v>161</v>
      </c>
      <c r="K1293" s="8" t="s">
        <v>162</v>
      </c>
      <c r="L1293" s="8" t="s">
        <v>556</v>
      </c>
      <c r="M1293" s="1" t="s">
        <v>207</v>
      </c>
      <c r="N1293" s="8" t="s">
        <v>208</v>
      </c>
      <c r="O1293" s="6">
        <v>0</v>
      </c>
      <c r="P1293" s="6">
        <v>0</v>
      </c>
      <c r="Q1293" s="6">
        <v>0</v>
      </c>
      <c r="R1293" s="6">
        <v>0</v>
      </c>
      <c r="S1293" s="6">
        <v>20</v>
      </c>
    </row>
    <row r="1294" spans="1:19" ht="15" hidden="1" x14ac:dyDescent="0.25">
      <c r="A1294" s="7" t="s">
        <v>16</v>
      </c>
      <c r="B1294" s="7" t="s">
        <v>21</v>
      </c>
      <c r="C1294" s="7" t="s">
        <v>18</v>
      </c>
      <c r="D1294" s="4">
        <v>60961422000155</v>
      </c>
      <c r="E1294" s="8" t="s">
        <v>620</v>
      </c>
      <c r="F1294" s="8" t="s">
        <v>29</v>
      </c>
      <c r="G1294" s="8" t="s">
        <v>19</v>
      </c>
      <c r="H1294" s="8" t="s">
        <v>215</v>
      </c>
      <c r="I1294" s="3">
        <v>2</v>
      </c>
      <c r="J1294" s="8" t="s">
        <v>147</v>
      </c>
      <c r="K1294" s="8" t="s">
        <v>148</v>
      </c>
      <c r="L1294" s="8" t="s">
        <v>557</v>
      </c>
      <c r="M1294" s="1" t="s">
        <v>207</v>
      </c>
      <c r="N1294" s="8" t="s">
        <v>208</v>
      </c>
      <c r="O1294" s="6">
        <v>0</v>
      </c>
      <c r="P1294" s="6">
        <v>3</v>
      </c>
      <c r="Q1294" s="6">
        <v>3</v>
      </c>
      <c r="R1294" s="6">
        <v>0</v>
      </c>
      <c r="S1294" s="6">
        <v>20</v>
      </c>
    </row>
    <row r="1295" spans="1:19" ht="15" hidden="1" x14ac:dyDescent="0.25">
      <c r="A1295" s="7" t="s">
        <v>16</v>
      </c>
      <c r="B1295" s="7" t="s">
        <v>21</v>
      </c>
      <c r="C1295" s="7" t="s">
        <v>18</v>
      </c>
      <c r="D1295" s="4">
        <v>61590410000124</v>
      </c>
      <c r="E1295" s="8" t="s">
        <v>630</v>
      </c>
      <c r="F1295" s="8" t="s">
        <v>29</v>
      </c>
      <c r="G1295" s="8" t="s">
        <v>19</v>
      </c>
      <c r="H1295" s="8" t="s">
        <v>215</v>
      </c>
      <c r="I1295" s="3">
        <v>2</v>
      </c>
      <c r="J1295" s="8" t="s">
        <v>1355</v>
      </c>
      <c r="K1295" s="8" t="s">
        <v>1356</v>
      </c>
      <c r="L1295" s="8" t="s">
        <v>556</v>
      </c>
      <c r="M1295" s="1" t="s">
        <v>207</v>
      </c>
      <c r="N1295" s="8" t="s">
        <v>208</v>
      </c>
      <c r="O1295" s="6">
        <v>0</v>
      </c>
      <c r="P1295" s="6">
        <v>0</v>
      </c>
      <c r="Q1295" s="6">
        <v>0</v>
      </c>
      <c r="R1295" s="6">
        <v>0</v>
      </c>
      <c r="S1295" s="6">
        <v>2670</v>
      </c>
    </row>
    <row r="1296" spans="1:19" ht="15" hidden="1" x14ac:dyDescent="0.25">
      <c r="A1296" s="7" t="s">
        <v>16</v>
      </c>
      <c r="B1296" s="7" t="s">
        <v>21</v>
      </c>
      <c r="C1296" s="7" t="s">
        <v>18</v>
      </c>
      <c r="D1296" s="4">
        <v>61590410000124</v>
      </c>
      <c r="E1296" s="8" t="s">
        <v>630</v>
      </c>
      <c r="F1296" s="8" t="s">
        <v>29</v>
      </c>
      <c r="G1296" s="8" t="s">
        <v>19</v>
      </c>
      <c r="H1296" s="8" t="s">
        <v>215</v>
      </c>
      <c r="I1296" s="3">
        <v>2</v>
      </c>
      <c r="J1296" s="8" t="s">
        <v>177</v>
      </c>
      <c r="K1296" s="8" t="s">
        <v>178</v>
      </c>
      <c r="L1296" s="8" t="s">
        <v>557</v>
      </c>
      <c r="M1296" s="1" t="s">
        <v>207</v>
      </c>
      <c r="N1296" s="8" t="s">
        <v>208</v>
      </c>
      <c r="O1296" s="6">
        <v>0</v>
      </c>
      <c r="P1296" s="6">
        <v>0</v>
      </c>
      <c r="Q1296" s="6">
        <v>81</v>
      </c>
      <c r="R1296" s="6">
        <v>0</v>
      </c>
      <c r="S1296" s="6">
        <v>2670</v>
      </c>
    </row>
    <row r="1297" spans="1:19" ht="15" hidden="1" x14ac:dyDescent="0.25">
      <c r="A1297" s="7" t="s">
        <v>16</v>
      </c>
      <c r="B1297" s="7" t="s">
        <v>21</v>
      </c>
      <c r="C1297" s="7" t="s">
        <v>18</v>
      </c>
      <c r="D1297" s="4">
        <v>19803199000114</v>
      </c>
      <c r="E1297" s="8" t="s">
        <v>587</v>
      </c>
      <c r="F1297" s="8" t="s">
        <v>29</v>
      </c>
      <c r="G1297" s="8" t="s">
        <v>19</v>
      </c>
      <c r="H1297" s="8" t="s">
        <v>215</v>
      </c>
      <c r="I1297" s="3">
        <v>2</v>
      </c>
      <c r="J1297" s="8" t="s">
        <v>161</v>
      </c>
      <c r="K1297" s="8" t="s">
        <v>162</v>
      </c>
      <c r="L1297" s="8" t="s">
        <v>556</v>
      </c>
      <c r="M1297" s="1" t="s">
        <v>207</v>
      </c>
      <c r="N1297" s="8" t="s">
        <v>208</v>
      </c>
      <c r="O1297" s="6">
        <v>0</v>
      </c>
      <c r="P1297" s="6">
        <v>0</v>
      </c>
      <c r="Q1297" s="6">
        <v>0</v>
      </c>
      <c r="R1297" s="6">
        <v>0</v>
      </c>
      <c r="S1297" s="6">
        <v>175</v>
      </c>
    </row>
    <row r="1298" spans="1:19" ht="15" hidden="1" x14ac:dyDescent="0.25">
      <c r="A1298" s="7" t="s">
        <v>16</v>
      </c>
      <c r="B1298" s="7" t="s">
        <v>21</v>
      </c>
      <c r="C1298" s="7" t="s">
        <v>18</v>
      </c>
      <c r="D1298" s="4">
        <v>19803199000114</v>
      </c>
      <c r="E1298" s="8" t="s">
        <v>587</v>
      </c>
      <c r="F1298" s="8" t="s">
        <v>29</v>
      </c>
      <c r="G1298" s="8" t="s">
        <v>19</v>
      </c>
      <c r="H1298" s="8" t="s">
        <v>215</v>
      </c>
      <c r="I1298" s="3">
        <v>2</v>
      </c>
      <c r="J1298" s="8" t="s">
        <v>183</v>
      </c>
      <c r="K1298" s="8" t="s">
        <v>184</v>
      </c>
      <c r="L1298" s="8" t="s">
        <v>557</v>
      </c>
      <c r="M1298" s="1" t="s">
        <v>207</v>
      </c>
      <c r="N1298" s="8" t="s">
        <v>208</v>
      </c>
      <c r="O1298" s="6">
        <v>0</v>
      </c>
      <c r="P1298" s="6">
        <v>2</v>
      </c>
      <c r="Q1298" s="6">
        <v>3</v>
      </c>
      <c r="R1298" s="6">
        <v>0</v>
      </c>
      <c r="S1298" s="6">
        <v>175</v>
      </c>
    </row>
    <row r="1299" spans="1:19" ht="15" hidden="1" x14ac:dyDescent="0.25">
      <c r="A1299" s="7" t="s">
        <v>16</v>
      </c>
      <c r="B1299" s="7" t="s">
        <v>21</v>
      </c>
      <c r="C1299" s="7" t="s">
        <v>18</v>
      </c>
      <c r="D1299" s="4">
        <v>20812223000241</v>
      </c>
      <c r="E1299" s="8" t="s">
        <v>588</v>
      </c>
      <c r="F1299" s="8" t="s">
        <v>29</v>
      </c>
      <c r="G1299" s="8" t="s">
        <v>19</v>
      </c>
      <c r="H1299" s="8" t="s">
        <v>215</v>
      </c>
      <c r="I1299" s="3">
        <v>2</v>
      </c>
      <c r="J1299" s="8" t="s">
        <v>161</v>
      </c>
      <c r="K1299" s="8" t="s">
        <v>162</v>
      </c>
      <c r="L1299" s="8" t="s">
        <v>556</v>
      </c>
      <c r="M1299" s="1" t="s">
        <v>207</v>
      </c>
      <c r="N1299" s="8" t="s">
        <v>208</v>
      </c>
      <c r="O1299" s="6">
        <v>0</v>
      </c>
      <c r="P1299" s="6">
        <v>0</v>
      </c>
      <c r="Q1299" s="6">
        <v>0</v>
      </c>
      <c r="R1299" s="6">
        <v>20</v>
      </c>
      <c r="S1299" s="6">
        <v>0</v>
      </c>
    </row>
    <row r="1300" spans="1:19" ht="15" hidden="1" x14ac:dyDescent="0.25">
      <c r="A1300" s="7" t="s">
        <v>16</v>
      </c>
      <c r="B1300" s="7" t="s">
        <v>21</v>
      </c>
      <c r="C1300" s="7" t="s">
        <v>18</v>
      </c>
      <c r="D1300" s="4">
        <v>20812223000241</v>
      </c>
      <c r="E1300" s="8" t="s">
        <v>588</v>
      </c>
      <c r="F1300" s="8" t="s">
        <v>29</v>
      </c>
      <c r="G1300" s="8" t="s">
        <v>19</v>
      </c>
      <c r="H1300" s="8" t="s">
        <v>215</v>
      </c>
      <c r="I1300" s="3">
        <v>2</v>
      </c>
      <c r="J1300" s="8" t="s">
        <v>147</v>
      </c>
      <c r="K1300" s="8" t="s">
        <v>148</v>
      </c>
      <c r="L1300" s="8" t="s">
        <v>557</v>
      </c>
      <c r="M1300" s="1" t="s">
        <v>207</v>
      </c>
      <c r="N1300" s="8" t="s">
        <v>208</v>
      </c>
      <c r="O1300" s="6">
        <v>0</v>
      </c>
      <c r="P1300" s="6">
        <v>0</v>
      </c>
      <c r="Q1300" s="6">
        <v>0</v>
      </c>
      <c r="R1300" s="6">
        <v>0</v>
      </c>
      <c r="S1300" s="6">
        <v>0</v>
      </c>
    </row>
    <row r="1301" spans="1:19" ht="15" hidden="1" x14ac:dyDescent="0.25">
      <c r="A1301" s="7" t="s">
        <v>16</v>
      </c>
      <c r="B1301" s="7" t="s">
        <v>22</v>
      </c>
      <c r="C1301" s="7" t="s">
        <v>18</v>
      </c>
      <c r="D1301" s="4">
        <v>44482299472</v>
      </c>
      <c r="E1301" s="8" t="s">
        <v>741</v>
      </c>
      <c r="F1301" s="8" t="s">
        <v>742</v>
      </c>
      <c r="G1301" s="8" t="s">
        <v>91</v>
      </c>
      <c r="H1301" s="8" t="s">
        <v>215</v>
      </c>
      <c r="I1301" s="3">
        <v>2</v>
      </c>
      <c r="J1301" s="8" t="s">
        <v>199</v>
      </c>
      <c r="K1301" s="8" t="s">
        <v>200</v>
      </c>
      <c r="L1301" s="8" t="s">
        <v>556</v>
      </c>
      <c r="M1301" s="1" t="s">
        <v>211</v>
      </c>
      <c r="N1301" s="8" t="s">
        <v>212</v>
      </c>
      <c r="O1301" s="6">
        <v>90</v>
      </c>
      <c r="P1301" s="6">
        <v>0</v>
      </c>
      <c r="Q1301" s="6">
        <v>0</v>
      </c>
      <c r="R1301" s="6">
        <v>0</v>
      </c>
      <c r="S1301" s="6">
        <v>0</v>
      </c>
    </row>
    <row r="1302" spans="1:19" ht="15" hidden="1" x14ac:dyDescent="0.25">
      <c r="A1302" s="7" t="s">
        <v>16</v>
      </c>
      <c r="B1302" s="7" t="s">
        <v>22</v>
      </c>
      <c r="C1302" s="7" t="s">
        <v>18</v>
      </c>
      <c r="D1302" s="4">
        <v>44482299472</v>
      </c>
      <c r="E1302" s="8" t="s">
        <v>741</v>
      </c>
      <c r="F1302" s="8" t="s">
        <v>742</v>
      </c>
      <c r="G1302" s="8" t="s">
        <v>91</v>
      </c>
      <c r="H1302" s="8" t="s">
        <v>215</v>
      </c>
      <c r="I1302" s="3">
        <v>2</v>
      </c>
      <c r="J1302" s="8" t="s">
        <v>167</v>
      </c>
      <c r="K1302" s="8" t="s">
        <v>168</v>
      </c>
      <c r="L1302" s="8" t="s">
        <v>557</v>
      </c>
      <c r="M1302" s="1" t="s">
        <v>211</v>
      </c>
      <c r="N1302" s="8" t="s">
        <v>212</v>
      </c>
      <c r="O1302" s="6">
        <v>0</v>
      </c>
      <c r="P1302" s="6">
        <v>0</v>
      </c>
      <c r="Q1302" s="6">
        <v>0</v>
      </c>
      <c r="R1302" s="6">
        <v>0</v>
      </c>
      <c r="S1302" s="6">
        <v>0</v>
      </c>
    </row>
    <row r="1303" spans="1:19" ht="15" hidden="1" x14ac:dyDescent="0.25">
      <c r="A1303" s="7" t="s">
        <v>16</v>
      </c>
      <c r="B1303" s="7" t="s">
        <v>22</v>
      </c>
      <c r="C1303" s="7" t="s">
        <v>18</v>
      </c>
      <c r="D1303" s="4">
        <v>5612725000154</v>
      </c>
      <c r="E1303" s="8" t="s">
        <v>800</v>
      </c>
      <c r="F1303" s="8" t="s">
        <v>742</v>
      </c>
      <c r="G1303" s="8" t="s">
        <v>91</v>
      </c>
      <c r="H1303" s="8" t="s">
        <v>215</v>
      </c>
      <c r="I1303" s="3">
        <v>2</v>
      </c>
      <c r="J1303" s="8" t="s">
        <v>199</v>
      </c>
      <c r="K1303" s="8" t="s">
        <v>200</v>
      </c>
      <c r="L1303" s="8" t="s">
        <v>556</v>
      </c>
      <c r="M1303" s="1" t="s">
        <v>211</v>
      </c>
      <c r="N1303" s="8" t="s">
        <v>212</v>
      </c>
      <c r="O1303" s="6">
        <v>0</v>
      </c>
      <c r="P1303" s="6">
        <v>0</v>
      </c>
      <c r="Q1303" s="6">
        <v>0</v>
      </c>
      <c r="R1303" s="6">
        <v>0</v>
      </c>
      <c r="S1303" s="6">
        <v>30</v>
      </c>
    </row>
    <row r="1304" spans="1:19" ht="15" hidden="1" x14ac:dyDescent="0.25">
      <c r="A1304" s="7" t="s">
        <v>16</v>
      </c>
      <c r="B1304" s="7" t="s">
        <v>22</v>
      </c>
      <c r="C1304" s="7" t="s">
        <v>18</v>
      </c>
      <c r="D1304" s="4">
        <v>5612725000154</v>
      </c>
      <c r="E1304" s="8" t="s">
        <v>800</v>
      </c>
      <c r="F1304" s="8" t="s">
        <v>742</v>
      </c>
      <c r="G1304" s="8" t="s">
        <v>91</v>
      </c>
      <c r="H1304" s="8" t="s">
        <v>215</v>
      </c>
      <c r="I1304" s="3">
        <v>2</v>
      </c>
      <c r="J1304" s="8" t="s">
        <v>167</v>
      </c>
      <c r="K1304" s="8" t="s">
        <v>168</v>
      </c>
      <c r="L1304" s="8" t="s">
        <v>557</v>
      </c>
      <c r="M1304" s="1" t="s">
        <v>211</v>
      </c>
      <c r="N1304" s="8" t="s">
        <v>212</v>
      </c>
      <c r="O1304" s="6">
        <v>0</v>
      </c>
      <c r="P1304" s="6">
        <v>0</v>
      </c>
      <c r="Q1304" s="6">
        <v>0</v>
      </c>
      <c r="R1304" s="6">
        <v>0</v>
      </c>
      <c r="S1304" s="6">
        <v>30</v>
      </c>
    </row>
    <row r="1305" spans="1:19" ht="15" hidden="1" x14ac:dyDescent="0.25">
      <c r="A1305" s="7" t="s">
        <v>16</v>
      </c>
      <c r="B1305" s="7" t="s">
        <v>22</v>
      </c>
      <c r="C1305" s="7" t="s">
        <v>18</v>
      </c>
      <c r="D1305" s="4">
        <v>1454407000151</v>
      </c>
      <c r="E1305" s="8" t="s">
        <v>764</v>
      </c>
      <c r="F1305" s="8" t="s">
        <v>742</v>
      </c>
      <c r="G1305" s="8" t="s">
        <v>91</v>
      </c>
      <c r="H1305" s="8" t="s">
        <v>215</v>
      </c>
      <c r="I1305" s="3">
        <v>2</v>
      </c>
      <c r="J1305" s="8" t="s">
        <v>199</v>
      </c>
      <c r="K1305" s="8" t="s">
        <v>200</v>
      </c>
      <c r="L1305" s="8" t="s">
        <v>556</v>
      </c>
      <c r="M1305" s="1" t="s">
        <v>211</v>
      </c>
      <c r="N1305" s="8" t="s">
        <v>212</v>
      </c>
      <c r="O1305" s="6">
        <v>0</v>
      </c>
      <c r="P1305" s="6">
        <v>0</v>
      </c>
      <c r="Q1305" s="6">
        <v>0</v>
      </c>
      <c r="R1305" s="6">
        <v>0</v>
      </c>
      <c r="S1305" s="6">
        <v>110</v>
      </c>
    </row>
    <row r="1306" spans="1:19" ht="15" hidden="1" x14ac:dyDescent="0.25">
      <c r="A1306" s="7" t="s">
        <v>16</v>
      </c>
      <c r="B1306" s="7" t="s">
        <v>22</v>
      </c>
      <c r="C1306" s="7" t="s">
        <v>18</v>
      </c>
      <c r="D1306" s="4">
        <v>1454407000151</v>
      </c>
      <c r="E1306" s="8" t="s">
        <v>764</v>
      </c>
      <c r="F1306" s="8" t="s">
        <v>742</v>
      </c>
      <c r="G1306" s="8" t="s">
        <v>91</v>
      </c>
      <c r="H1306" s="8" t="s">
        <v>215</v>
      </c>
      <c r="I1306" s="3">
        <v>2</v>
      </c>
      <c r="J1306" s="8" t="s">
        <v>167</v>
      </c>
      <c r="K1306" s="8" t="s">
        <v>168</v>
      </c>
      <c r="L1306" s="8" t="s">
        <v>557</v>
      </c>
      <c r="M1306" s="1" t="s">
        <v>211</v>
      </c>
      <c r="N1306" s="8" t="s">
        <v>212</v>
      </c>
      <c r="O1306" s="6">
        <v>0</v>
      </c>
      <c r="P1306" s="6">
        <v>0</v>
      </c>
      <c r="Q1306" s="6">
        <v>0</v>
      </c>
      <c r="R1306" s="6">
        <v>0</v>
      </c>
      <c r="S1306" s="6">
        <v>110</v>
      </c>
    </row>
    <row r="1307" spans="1:19" ht="15" hidden="1" x14ac:dyDescent="0.25">
      <c r="A1307" s="7" t="s">
        <v>16</v>
      </c>
      <c r="B1307" s="7" t="s">
        <v>22</v>
      </c>
      <c r="C1307" s="7" t="s">
        <v>18</v>
      </c>
      <c r="D1307" s="4">
        <v>12361267000860</v>
      </c>
      <c r="E1307" s="8" t="s">
        <v>851</v>
      </c>
      <c r="F1307" s="8" t="s">
        <v>742</v>
      </c>
      <c r="G1307" s="8" t="s">
        <v>91</v>
      </c>
      <c r="H1307" s="8" t="s">
        <v>215</v>
      </c>
      <c r="I1307" s="3">
        <v>2</v>
      </c>
      <c r="J1307" s="8" t="s">
        <v>199</v>
      </c>
      <c r="K1307" s="8" t="s">
        <v>200</v>
      </c>
      <c r="L1307" s="8" t="s">
        <v>556</v>
      </c>
      <c r="M1307" s="1" t="s">
        <v>211</v>
      </c>
      <c r="N1307" s="8" t="s">
        <v>212</v>
      </c>
      <c r="O1307" s="6">
        <v>0</v>
      </c>
      <c r="P1307" s="6">
        <v>0</v>
      </c>
      <c r="Q1307" s="6">
        <v>0</v>
      </c>
      <c r="R1307" s="6">
        <v>0</v>
      </c>
      <c r="S1307" s="6">
        <v>0</v>
      </c>
    </row>
    <row r="1308" spans="1:19" ht="15" hidden="1" x14ac:dyDescent="0.25">
      <c r="A1308" s="7" t="s">
        <v>16</v>
      </c>
      <c r="B1308" s="7" t="s">
        <v>22</v>
      </c>
      <c r="C1308" s="7" t="s">
        <v>18</v>
      </c>
      <c r="D1308" s="4">
        <v>12361267000860</v>
      </c>
      <c r="E1308" s="8" t="s">
        <v>851</v>
      </c>
      <c r="F1308" s="8" t="s">
        <v>742</v>
      </c>
      <c r="G1308" s="8" t="s">
        <v>91</v>
      </c>
      <c r="H1308" s="8" t="s">
        <v>215</v>
      </c>
      <c r="I1308" s="3">
        <v>2</v>
      </c>
      <c r="J1308" s="8" t="s">
        <v>167</v>
      </c>
      <c r="K1308" s="8" t="s">
        <v>168</v>
      </c>
      <c r="L1308" s="8" t="s">
        <v>557</v>
      </c>
      <c r="M1308" s="1" t="s">
        <v>211</v>
      </c>
      <c r="N1308" s="8" t="s">
        <v>212</v>
      </c>
      <c r="O1308" s="6">
        <v>0</v>
      </c>
      <c r="P1308" s="6">
        <v>2</v>
      </c>
      <c r="Q1308" s="6">
        <v>0</v>
      </c>
      <c r="R1308" s="6">
        <v>0</v>
      </c>
      <c r="S1308" s="6">
        <v>0</v>
      </c>
    </row>
    <row r="1309" spans="1:19" ht="15" hidden="1" x14ac:dyDescent="0.25">
      <c r="A1309" s="7" t="s">
        <v>16</v>
      </c>
      <c r="B1309" s="7" t="s">
        <v>22</v>
      </c>
      <c r="C1309" s="7" t="s">
        <v>18</v>
      </c>
      <c r="D1309" s="4">
        <v>1722424000122</v>
      </c>
      <c r="E1309" s="8" t="s">
        <v>770</v>
      </c>
      <c r="F1309" s="8" t="s">
        <v>742</v>
      </c>
      <c r="G1309" s="8" t="s">
        <v>91</v>
      </c>
      <c r="H1309" s="8" t="s">
        <v>215</v>
      </c>
      <c r="I1309" s="3">
        <v>2</v>
      </c>
      <c r="J1309" s="8" t="s">
        <v>199</v>
      </c>
      <c r="K1309" s="8" t="s">
        <v>200</v>
      </c>
      <c r="L1309" s="8" t="s">
        <v>556</v>
      </c>
      <c r="M1309" s="1" t="s">
        <v>211</v>
      </c>
      <c r="N1309" s="8" t="s">
        <v>212</v>
      </c>
      <c r="O1309" s="6">
        <v>0</v>
      </c>
      <c r="P1309" s="6">
        <v>0</v>
      </c>
      <c r="Q1309" s="6">
        <v>0</v>
      </c>
      <c r="R1309" s="6">
        <v>0</v>
      </c>
      <c r="S1309" s="6">
        <v>265</v>
      </c>
    </row>
    <row r="1310" spans="1:19" ht="15" hidden="1" x14ac:dyDescent="0.25">
      <c r="A1310" s="7" t="s">
        <v>16</v>
      </c>
      <c r="B1310" s="7" t="s">
        <v>22</v>
      </c>
      <c r="C1310" s="7" t="s">
        <v>18</v>
      </c>
      <c r="D1310" s="4">
        <v>1722424000122</v>
      </c>
      <c r="E1310" s="8" t="s">
        <v>770</v>
      </c>
      <c r="F1310" s="8" t="s">
        <v>742</v>
      </c>
      <c r="G1310" s="8" t="s">
        <v>91</v>
      </c>
      <c r="H1310" s="8" t="s">
        <v>215</v>
      </c>
      <c r="I1310" s="3">
        <v>2</v>
      </c>
      <c r="J1310" s="8" t="s">
        <v>167</v>
      </c>
      <c r="K1310" s="8" t="s">
        <v>168</v>
      </c>
      <c r="L1310" s="8" t="s">
        <v>557</v>
      </c>
      <c r="M1310" s="1" t="s">
        <v>211</v>
      </c>
      <c r="N1310" s="8" t="s">
        <v>212</v>
      </c>
      <c r="O1310" s="6">
        <v>0</v>
      </c>
      <c r="P1310" s="6">
        <v>0</v>
      </c>
      <c r="Q1310" s="6">
        <v>0</v>
      </c>
      <c r="R1310" s="6">
        <v>0</v>
      </c>
      <c r="S1310" s="6">
        <v>265</v>
      </c>
    </row>
    <row r="1311" spans="1:19" ht="15" hidden="1" x14ac:dyDescent="0.25">
      <c r="A1311" s="7" t="s">
        <v>16</v>
      </c>
      <c r="B1311" s="7" t="s">
        <v>22</v>
      </c>
      <c r="C1311" s="7" t="s">
        <v>18</v>
      </c>
      <c r="D1311" s="4">
        <v>12442737000496</v>
      </c>
      <c r="E1311" s="8" t="s">
        <v>865</v>
      </c>
      <c r="F1311" s="8" t="s">
        <v>742</v>
      </c>
      <c r="G1311" s="8" t="s">
        <v>91</v>
      </c>
      <c r="H1311" s="8" t="s">
        <v>215</v>
      </c>
      <c r="I1311" s="3">
        <v>2</v>
      </c>
      <c r="J1311" s="8" t="s">
        <v>199</v>
      </c>
      <c r="K1311" s="8" t="s">
        <v>200</v>
      </c>
      <c r="L1311" s="8" t="s">
        <v>556</v>
      </c>
      <c r="M1311" s="1" t="s">
        <v>211</v>
      </c>
      <c r="N1311" s="8" t="s">
        <v>212</v>
      </c>
      <c r="O1311" s="6">
        <v>0</v>
      </c>
      <c r="P1311" s="6">
        <v>0</v>
      </c>
      <c r="Q1311" s="6">
        <v>0</v>
      </c>
      <c r="R1311" s="6">
        <v>0</v>
      </c>
      <c r="S1311" s="6">
        <v>0</v>
      </c>
    </row>
    <row r="1312" spans="1:19" ht="15" hidden="1" x14ac:dyDescent="0.25">
      <c r="A1312" s="7" t="s">
        <v>16</v>
      </c>
      <c r="B1312" s="7" t="s">
        <v>22</v>
      </c>
      <c r="C1312" s="7" t="s">
        <v>18</v>
      </c>
      <c r="D1312" s="4">
        <v>12442737000496</v>
      </c>
      <c r="E1312" s="8" t="s">
        <v>865</v>
      </c>
      <c r="F1312" s="8" t="s">
        <v>742</v>
      </c>
      <c r="G1312" s="8" t="s">
        <v>91</v>
      </c>
      <c r="H1312" s="8" t="s">
        <v>215</v>
      </c>
      <c r="I1312" s="3">
        <v>2</v>
      </c>
      <c r="J1312" s="8" t="s">
        <v>167</v>
      </c>
      <c r="K1312" s="8" t="s">
        <v>168</v>
      </c>
      <c r="L1312" s="8" t="s">
        <v>557</v>
      </c>
      <c r="M1312" s="1" t="s">
        <v>211</v>
      </c>
      <c r="N1312" s="8" t="s">
        <v>212</v>
      </c>
      <c r="O1312" s="6">
        <v>0</v>
      </c>
      <c r="P1312" s="6">
        <v>0</v>
      </c>
      <c r="Q1312" s="6">
        <v>2</v>
      </c>
      <c r="R1312" s="6">
        <v>0</v>
      </c>
      <c r="S1312" s="6">
        <v>0</v>
      </c>
    </row>
    <row r="1313" spans="1:19" ht="15" hidden="1" x14ac:dyDescent="0.25">
      <c r="A1313" s="7" t="s">
        <v>16</v>
      </c>
      <c r="B1313" s="7" t="s">
        <v>22</v>
      </c>
      <c r="C1313" s="7" t="s">
        <v>18</v>
      </c>
      <c r="D1313" s="4">
        <v>12361267011632</v>
      </c>
      <c r="E1313" s="8" t="s">
        <v>1160</v>
      </c>
      <c r="F1313" s="8" t="s">
        <v>109</v>
      </c>
      <c r="G1313" s="8" t="s">
        <v>110</v>
      </c>
      <c r="H1313" s="8" t="s">
        <v>215</v>
      </c>
      <c r="I1313" s="3">
        <v>1</v>
      </c>
      <c r="J1313" s="8" t="s">
        <v>201</v>
      </c>
      <c r="K1313" s="8" t="s">
        <v>202</v>
      </c>
      <c r="L1313" s="8" t="s">
        <v>740</v>
      </c>
      <c r="M1313" s="1" t="s">
        <v>211</v>
      </c>
      <c r="N1313" s="8" t="s">
        <v>212</v>
      </c>
      <c r="O1313" s="6">
        <v>0</v>
      </c>
      <c r="P1313" s="6">
        <v>2</v>
      </c>
      <c r="Q1313" s="6">
        <v>4</v>
      </c>
      <c r="R1313" s="6">
        <v>0</v>
      </c>
      <c r="S1313" s="6">
        <v>0</v>
      </c>
    </row>
    <row r="1314" spans="1:19" ht="15" hidden="1" x14ac:dyDescent="0.25">
      <c r="A1314" s="7" t="s">
        <v>16</v>
      </c>
      <c r="B1314" s="7" t="s">
        <v>22</v>
      </c>
      <c r="C1314" s="7" t="s">
        <v>18</v>
      </c>
      <c r="D1314" s="4">
        <v>4159778000107</v>
      </c>
      <c r="E1314" s="8" t="s">
        <v>1144</v>
      </c>
      <c r="F1314" s="8" t="s">
        <v>109</v>
      </c>
      <c r="G1314" s="8" t="s">
        <v>110</v>
      </c>
      <c r="H1314" s="8" t="s">
        <v>215</v>
      </c>
      <c r="I1314" s="3">
        <v>1</v>
      </c>
      <c r="J1314" s="8" t="s">
        <v>201</v>
      </c>
      <c r="K1314" s="8" t="s">
        <v>202</v>
      </c>
      <c r="L1314" s="8" t="s">
        <v>740</v>
      </c>
      <c r="M1314" s="1" t="s">
        <v>211</v>
      </c>
      <c r="N1314" s="8" t="s">
        <v>212</v>
      </c>
      <c r="O1314" s="6">
        <v>0</v>
      </c>
      <c r="P1314" s="6">
        <v>3</v>
      </c>
      <c r="Q1314" s="6">
        <v>0</v>
      </c>
      <c r="R1314" s="6">
        <v>0</v>
      </c>
      <c r="S1314" s="6">
        <v>0</v>
      </c>
    </row>
    <row r="1315" spans="1:19" ht="15" hidden="1" x14ac:dyDescent="0.25">
      <c r="A1315" s="7" t="s">
        <v>16</v>
      </c>
      <c r="B1315" s="7" t="s">
        <v>22</v>
      </c>
      <c r="C1315" s="7" t="s">
        <v>18</v>
      </c>
      <c r="D1315" s="4">
        <v>6070425000153</v>
      </c>
      <c r="E1315" s="8" t="s">
        <v>1150</v>
      </c>
      <c r="F1315" s="8" t="s">
        <v>1151</v>
      </c>
      <c r="G1315" s="8" t="s">
        <v>79</v>
      </c>
      <c r="H1315" s="8" t="s">
        <v>215</v>
      </c>
      <c r="I1315" s="3">
        <v>1</v>
      </c>
      <c r="J1315" s="8" t="s">
        <v>201</v>
      </c>
      <c r="K1315" s="8" t="s">
        <v>202</v>
      </c>
      <c r="L1315" s="8" t="s">
        <v>740</v>
      </c>
      <c r="M1315" s="1" t="s">
        <v>211</v>
      </c>
      <c r="N1315" s="8" t="s">
        <v>212</v>
      </c>
      <c r="O1315" s="6">
        <v>0</v>
      </c>
      <c r="P1315" s="6">
        <v>0</v>
      </c>
      <c r="Q1315" s="6">
        <v>0</v>
      </c>
      <c r="R1315" s="6">
        <v>12</v>
      </c>
      <c r="S1315" s="6">
        <v>0</v>
      </c>
    </row>
    <row r="1316" spans="1:19" ht="15" hidden="1" x14ac:dyDescent="0.25">
      <c r="A1316" s="7" t="s">
        <v>16</v>
      </c>
      <c r="B1316" s="7" t="s">
        <v>22</v>
      </c>
      <c r="C1316" s="7" t="s">
        <v>18</v>
      </c>
      <c r="D1316" s="4">
        <v>12361267010407</v>
      </c>
      <c r="E1316" s="8" t="s">
        <v>862</v>
      </c>
      <c r="F1316" s="8" t="s">
        <v>86</v>
      </c>
      <c r="G1316" s="8" t="s">
        <v>74</v>
      </c>
      <c r="H1316" s="8" t="s">
        <v>215</v>
      </c>
      <c r="I1316" s="3">
        <v>2</v>
      </c>
      <c r="J1316" s="8" t="s">
        <v>199</v>
      </c>
      <c r="K1316" s="8" t="s">
        <v>200</v>
      </c>
      <c r="L1316" s="8" t="s">
        <v>556</v>
      </c>
      <c r="M1316" s="1" t="s">
        <v>211</v>
      </c>
      <c r="N1316" s="8" t="s">
        <v>212</v>
      </c>
      <c r="O1316" s="6">
        <v>0</v>
      </c>
      <c r="P1316" s="6">
        <v>0</v>
      </c>
      <c r="Q1316" s="6">
        <v>0</v>
      </c>
      <c r="R1316" s="6">
        <v>0</v>
      </c>
      <c r="S1316" s="6">
        <v>0</v>
      </c>
    </row>
    <row r="1317" spans="1:19" ht="15" hidden="1" x14ac:dyDescent="0.25">
      <c r="A1317" s="7" t="s">
        <v>16</v>
      </c>
      <c r="B1317" s="7" t="s">
        <v>22</v>
      </c>
      <c r="C1317" s="7" t="s">
        <v>18</v>
      </c>
      <c r="D1317" s="4">
        <v>12361267010407</v>
      </c>
      <c r="E1317" s="8" t="s">
        <v>862</v>
      </c>
      <c r="F1317" s="8" t="s">
        <v>86</v>
      </c>
      <c r="G1317" s="8" t="s">
        <v>74</v>
      </c>
      <c r="H1317" s="8" t="s">
        <v>215</v>
      </c>
      <c r="I1317" s="3">
        <v>2</v>
      </c>
      <c r="J1317" s="8" t="s">
        <v>167</v>
      </c>
      <c r="K1317" s="8" t="s">
        <v>168</v>
      </c>
      <c r="L1317" s="8" t="s">
        <v>557</v>
      </c>
      <c r="M1317" s="1" t="s">
        <v>211</v>
      </c>
      <c r="N1317" s="8" t="s">
        <v>212</v>
      </c>
      <c r="O1317" s="6">
        <v>0</v>
      </c>
      <c r="P1317" s="6">
        <v>2</v>
      </c>
      <c r="Q1317" s="6">
        <v>0</v>
      </c>
      <c r="R1317" s="6">
        <v>0</v>
      </c>
      <c r="S1317" s="6">
        <v>0</v>
      </c>
    </row>
    <row r="1318" spans="1:19" ht="15" hidden="1" x14ac:dyDescent="0.25">
      <c r="A1318" s="7" t="s">
        <v>16</v>
      </c>
      <c r="B1318" s="7" t="s">
        <v>22</v>
      </c>
      <c r="C1318" s="7" t="s">
        <v>18</v>
      </c>
      <c r="D1318" s="4">
        <v>13952064000134</v>
      </c>
      <c r="E1318" s="8" t="s">
        <v>875</v>
      </c>
      <c r="F1318" s="8" t="s">
        <v>75</v>
      </c>
      <c r="G1318" s="8" t="s">
        <v>74</v>
      </c>
      <c r="H1318" s="8" t="s">
        <v>215</v>
      </c>
      <c r="I1318" s="3">
        <v>2</v>
      </c>
      <c r="J1318" s="8" t="s">
        <v>199</v>
      </c>
      <c r="K1318" s="8" t="s">
        <v>200</v>
      </c>
      <c r="L1318" s="8" t="s">
        <v>556</v>
      </c>
      <c r="M1318" s="1" t="s">
        <v>211</v>
      </c>
      <c r="N1318" s="8" t="s">
        <v>212</v>
      </c>
      <c r="O1318" s="6">
        <v>0</v>
      </c>
      <c r="P1318" s="6">
        <v>0</v>
      </c>
      <c r="Q1318" s="6">
        <v>0</v>
      </c>
      <c r="R1318" s="6">
        <v>0</v>
      </c>
      <c r="S1318" s="6">
        <v>0</v>
      </c>
    </row>
    <row r="1319" spans="1:19" ht="15" hidden="1" x14ac:dyDescent="0.25">
      <c r="A1319" s="7" t="s">
        <v>16</v>
      </c>
      <c r="B1319" s="7" t="s">
        <v>22</v>
      </c>
      <c r="C1319" s="7" t="s">
        <v>18</v>
      </c>
      <c r="D1319" s="4">
        <v>13952064000134</v>
      </c>
      <c r="E1319" s="8" t="s">
        <v>875</v>
      </c>
      <c r="F1319" s="8" t="s">
        <v>75</v>
      </c>
      <c r="G1319" s="8" t="s">
        <v>74</v>
      </c>
      <c r="H1319" s="8" t="s">
        <v>215</v>
      </c>
      <c r="I1319" s="3">
        <v>2</v>
      </c>
      <c r="J1319" s="8" t="s">
        <v>167</v>
      </c>
      <c r="K1319" s="8" t="s">
        <v>168</v>
      </c>
      <c r="L1319" s="8" t="s">
        <v>557</v>
      </c>
      <c r="M1319" s="1" t="s">
        <v>211</v>
      </c>
      <c r="N1319" s="8" t="s">
        <v>212</v>
      </c>
      <c r="O1319" s="6">
        <v>0</v>
      </c>
      <c r="P1319" s="6">
        <v>6</v>
      </c>
      <c r="Q1319" s="6">
        <v>8</v>
      </c>
      <c r="R1319" s="6">
        <v>0</v>
      </c>
      <c r="S1319" s="6">
        <v>0</v>
      </c>
    </row>
    <row r="1320" spans="1:19" ht="15" hidden="1" x14ac:dyDescent="0.25">
      <c r="A1320" s="7" t="s">
        <v>16</v>
      </c>
      <c r="B1320" s="7" t="s">
        <v>22</v>
      </c>
      <c r="C1320" s="7" t="s">
        <v>18</v>
      </c>
      <c r="D1320" s="4">
        <v>12361267014739</v>
      </c>
      <c r="E1320" s="8" t="s">
        <v>864</v>
      </c>
      <c r="F1320" s="8" t="s">
        <v>75</v>
      </c>
      <c r="G1320" s="8" t="s">
        <v>74</v>
      </c>
      <c r="H1320" s="8" t="s">
        <v>215</v>
      </c>
      <c r="I1320" s="3">
        <v>2</v>
      </c>
      <c r="J1320" s="8" t="s">
        <v>199</v>
      </c>
      <c r="K1320" s="8" t="s">
        <v>200</v>
      </c>
      <c r="L1320" s="8" t="s">
        <v>556</v>
      </c>
      <c r="M1320" s="1" t="s">
        <v>211</v>
      </c>
      <c r="N1320" s="8" t="s">
        <v>212</v>
      </c>
      <c r="O1320" s="6">
        <v>0</v>
      </c>
      <c r="P1320" s="6">
        <v>0</v>
      </c>
      <c r="Q1320" s="6">
        <v>0</v>
      </c>
      <c r="R1320" s="6">
        <v>0</v>
      </c>
      <c r="S1320" s="6">
        <v>0</v>
      </c>
    </row>
    <row r="1321" spans="1:19" ht="15" hidden="1" x14ac:dyDescent="0.25">
      <c r="A1321" s="7" t="s">
        <v>16</v>
      </c>
      <c r="B1321" s="7" t="s">
        <v>22</v>
      </c>
      <c r="C1321" s="7" t="s">
        <v>18</v>
      </c>
      <c r="D1321" s="4">
        <v>12361267014739</v>
      </c>
      <c r="E1321" s="8" t="s">
        <v>864</v>
      </c>
      <c r="F1321" s="8" t="s">
        <v>75</v>
      </c>
      <c r="G1321" s="8" t="s">
        <v>74</v>
      </c>
      <c r="H1321" s="8" t="s">
        <v>215</v>
      </c>
      <c r="I1321" s="3">
        <v>2</v>
      </c>
      <c r="J1321" s="8" t="s">
        <v>167</v>
      </c>
      <c r="K1321" s="8" t="s">
        <v>168</v>
      </c>
      <c r="L1321" s="8" t="s">
        <v>557</v>
      </c>
      <c r="M1321" s="1" t="s">
        <v>211</v>
      </c>
      <c r="N1321" s="8" t="s">
        <v>212</v>
      </c>
      <c r="O1321" s="6">
        <v>0</v>
      </c>
      <c r="P1321" s="6">
        <v>3</v>
      </c>
      <c r="Q1321" s="6">
        <v>0</v>
      </c>
      <c r="R1321" s="6">
        <v>0</v>
      </c>
      <c r="S1321" s="6">
        <v>0</v>
      </c>
    </row>
    <row r="1322" spans="1:19" ht="15" hidden="1" x14ac:dyDescent="0.25">
      <c r="A1322" s="7" t="s">
        <v>16</v>
      </c>
      <c r="B1322" s="7" t="s">
        <v>22</v>
      </c>
      <c r="C1322" s="7" t="s">
        <v>18</v>
      </c>
      <c r="D1322" s="4">
        <v>9324322559</v>
      </c>
      <c r="E1322" s="8" t="s">
        <v>737</v>
      </c>
      <c r="F1322" s="8" t="s">
        <v>75</v>
      </c>
      <c r="G1322" s="8" t="s">
        <v>74</v>
      </c>
      <c r="H1322" s="8" t="s">
        <v>215</v>
      </c>
      <c r="I1322" s="3">
        <v>2</v>
      </c>
      <c r="J1322" s="8" t="s">
        <v>199</v>
      </c>
      <c r="K1322" s="8" t="s">
        <v>200</v>
      </c>
      <c r="L1322" s="8" t="s">
        <v>556</v>
      </c>
      <c r="M1322" s="1" t="s">
        <v>211</v>
      </c>
      <c r="N1322" s="8" t="s">
        <v>212</v>
      </c>
      <c r="O1322" s="6">
        <v>0</v>
      </c>
      <c r="P1322" s="6">
        <v>0</v>
      </c>
      <c r="Q1322" s="6">
        <v>0</v>
      </c>
      <c r="R1322" s="6">
        <v>5</v>
      </c>
      <c r="S1322" s="6">
        <v>0</v>
      </c>
    </row>
    <row r="1323" spans="1:19" ht="15" hidden="1" x14ac:dyDescent="0.25">
      <c r="A1323" s="7" t="s">
        <v>16</v>
      </c>
      <c r="B1323" s="7" t="s">
        <v>22</v>
      </c>
      <c r="C1323" s="7" t="s">
        <v>18</v>
      </c>
      <c r="D1323" s="4">
        <v>9324322559</v>
      </c>
      <c r="E1323" s="8" t="s">
        <v>737</v>
      </c>
      <c r="F1323" s="8" t="s">
        <v>75</v>
      </c>
      <c r="G1323" s="8" t="s">
        <v>74</v>
      </c>
      <c r="H1323" s="8" t="s">
        <v>215</v>
      </c>
      <c r="I1323" s="3">
        <v>2</v>
      </c>
      <c r="J1323" s="8" t="s">
        <v>167</v>
      </c>
      <c r="K1323" s="8" t="s">
        <v>168</v>
      </c>
      <c r="L1323" s="8" t="s">
        <v>557</v>
      </c>
      <c r="M1323" s="1" t="s">
        <v>211</v>
      </c>
      <c r="N1323" s="8" t="s">
        <v>212</v>
      </c>
      <c r="O1323" s="6">
        <v>0</v>
      </c>
      <c r="P1323" s="6">
        <v>0</v>
      </c>
      <c r="Q1323" s="6">
        <v>0</v>
      </c>
      <c r="R1323" s="6">
        <v>0</v>
      </c>
      <c r="S1323" s="6">
        <v>0</v>
      </c>
    </row>
    <row r="1324" spans="1:19" ht="15" hidden="1" x14ac:dyDescent="0.25">
      <c r="A1324" s="7" t="s">
        <v>16</v>
      </c>
      <c r="B1324" s="7" t="s">
        <v>22</v>
      </c>
      <c r="C1324" s="7" t="s">
        <v>18</v>
      </c>
      <c r="D1324" s="4">
        <v>5816630000152</v>
      </c>
      <c r="E1324" s="8" t="s">
        <v>803</v>
      </c>
      <c r="F1324" s="8" t="s">
        <v>75</v>
      </c>
      <c r="G1324" s="8" t="s">
        <v>74</v>
      </c>
      <c r="H1324" s="8" t="s">
        <v>215</v>
      </c>
      <c r="I1324" s="3">
        <v>2</v>
      </c>
      <c r="J1324" s="8" t="s">
        <v>199</v>
      </c>
      <c r="K1324" s="8" t="s">
        <v>200</v>
      </c>
      <c r="L1324" s="8" t="s">
        <v>556</v>
      </c>
      <c r="M1324" s="1" t="s">
        <v>211</v>
      </c>
      <c r="N1324" s="8" t="s">
        <v>212</v>
      </c>
      <c r="O1324" s="6">
        <v>0</v>
      </c>
      <c r="P1324" s="6">
        <v>0</v>
      </c>
      <c r="Q1324" s="6">
        <v>0</v>
      </c>
      <c r="R1324" s="6">
        <v>0</v>
      </c>
      <c r="S1324" s="6">
        <v>650</v>
      </c>
    </row>
    <row r="1325" spans="1:19" ht="15" hidden="1" x14ac:dyDescent="0.25">
      <c r="A1325" s="7" t="s">
        <v>16</v>
      </c>
      <c r="B1325" s="7" t="s">
        <v>22</v>
      </c>
      <c r="C1325" s="7" t="s">
        <v>18</v>
      </c>
      <c r="D1325" s="4">
        <v>5816630000152</v>
      </c>
      <c r="E1325" s="8" t="s">
        <v>803</v>
      </c>
      <c r="F1325" s="8" t="s">
        <v>75</v>
      </c>
      <c r="G1325" s="8" t="s">
        <v>74</v>
      </c>
      <c r="H1325" s="8" t="s">
        <v>215</v>
      </c>
      <c r="I1325" s="3">
        <v>2</v>
      </c>
      <c r="J1325" s="8" t="s">
        <v>167</v>
      </c>
      <c r="K1325" s="8" t="s">
        <v>168</v>
      </c>
      <c r="L1325" s="8" t="s">
        <v>557</v>
      </c>
      <c r="M1325" s="1" t="s">
        <v>211</v>
      </c>
      <c r="N1325" s="8" t="s">
        <v>212</v>
      </c>
      <c r="O1325" s="6">
        <v>0</v>
      </c>
      <c r="P1325" s="6">
        <v>15</v>
      </c>
      <c r="Q1325" s="6">
        <v>0</v>
      </c>
      <c r="R1325" s="6">
        <v>0</v>
      </c>
      <c r="S1325" s="6">
        <v>650</v>
      </c>
    </row>
    <row r="1326" spans="1:19" ht="15" hidden="1" x14ac:dyDescent="0.25">
      <c r="A1326" s="7" t="s">
        <v>16</v>
      </c>
      <c r="B1326" s="7" t="s">
        <v>22</v>
      </c>
      <c r="C1326" s="7" t="s">
        <v>18</v>
      </c>
      <c r="D1326" s="4">
        <v>15194004000125</v>
      </c>
      <c r="E1326" s="8" t="s">
        <v>895</v>
      </c>
      <c r="F1326" s="8" t="s">
        <v>75</v>
      </c>
      <c r="G1326" s="8" t="s">
        <v>74</v>
      </c>
      <c r="H1326" s="8" t="s">
        <v>215</v>
      </c>
      <c r="I1326" s="3">
        <v>2</v>
      </c>
      <c r="J1326" s="8" t="s">
        <v>199</v>
      </c>
      <c r="K1326" s="8" t="s">
        <v>200</v>
      </c>
      <c r="L1326" s="8" t="s">
        <v>556</v>
      </c>
      <c r="M1326" s="1" t="s">
        <v>211</v>
      </c>
      <c r="N1326" s="8" t="s">
        <v>212</v>
      </c>
      <c r="O1326" s="6">
        <v>0</v>
      </c>
      <c r="P1326" s="6">
        <v>0</v>
      </c>
      <c r="Q1326" s="6">
        <v>0</v>
      </c>
      <c r="R1326" s="6">
        <v>0</v>
      </c>
      <c r="S1326" s="6">
        <v>0</v>
      </c>
    </row>
    <row r="1327" spans="1:19" ht="15" hidden="1" x14ac:dyDescent="0.25">
      <c r="A1327" s="7" t="s">
        <v>16</v>
      </c>
      <c r="B1327" s="7" t="s">
        <v>22</v>
      </c>
      <c r="C1327" s="7" t="s">
        <v>18</v>
      </c>
      <c r="D1327" s="4">
        <v>15194004000125</v>
      </c>
      <c r="E1327" s="8" t="s">
        <v>895</v>
      </c>
      <c r="F1327" s="8" t="s">
        <v>75</v>
      </c>
      <c r="G1327" s="8" t="s">
        <v>74</v>
      </c>
      <c r="H1327" s="8" t="s">
        <v>215</v>
      </c>
      <c r="I1327" s="3">
        <v>2</v>
      </c>
      <c r="J1327" s="8" t="s">
        <v>167</v>
      </c>
      <c r="K1327" s="8" t="s">
        <v>168</v>
      </c>
      <c r="L1327" s="8" t="s">
        <v>557</v>
      </c>
      <c r="M1327" s="1" t="s">
        <v>211</v>
      </c>
      <c r="N1327" s="8" t="s">
        <v>212</v>
      </c>
      <c r="O1327" s="6">
        <v>0</v>
      </c>
      <c r="P1327" s="6">
        <v>24</v>
      </c>
      <c r="Q1327" s="6">
        <v>0</v>
      </c>
      <c r="R1327" s="6">
        <v>0</v>
      </c>
      <c r="S1327" s="6">
        <v>0</v>
      </c>
    </row>
    <row r="1328" spans="1:19" ht="15" hidden="1" x14ac:dyDescent="0.25">
      <c r="A1328" s="7" t="s">
        <v>16</v>
      </c>
      <c r="B1328" s="7" t="s">
        <v>22</v>
      </c>
      <c r="C1328" s="7" t="s">
        <v>18</v>
      </c>
      <c r="D1328" s="4">
        <v>5469172000122</v>
      </c>
      <c r="E1328" s="8" t="s">
        <v>799</v>
      </c>
      <c r="F1328" s="8" t="s">
        <v>75</v>
      </c>
      <c r="G1328" s="8" t="s">
        <v>74</v>
      </c>
      <c r="H1328" s="8" t="s">
        <v>215</v>
      </c>
      <c r="I1328" s="3">
        <v>2</v>
      </c>
      <c r="J1328" s="8" t="s">
        <v>199</v>
      </c>
      <c r="K1328" s="8" t="s">
        <v>200</v>
      </c>
      <c r="L1328" s="8" t="s">
        <v>556</v>
      </c>
      <c r="M1328" s="1" t="s">
        <v>211</v>
      </c>
      <c r="N1328" s="8" t="s">
        <v>212</v>
      </c>
      <c r="O1328" s="6">
        <v>0</v>
      </c>
      <c r="P1328" s="6">
        <v>0</v>
      </c>
      <c r="Q1328" s="6">
        <v>0</v>
      </c>
      <c r="R1328" s="6">
        <v>0</v>
      </c>
      <c r="S1328" s="6">
        <v>0</v>
      </c>
    </row>
    <row r="1329" spans="1:19" ht="15" hidden="1" x14ac:dyDescent="0.25">
      <c r="A1329" s="7" t="s">
        <v>16</v>
      </c>
      <c r="B1329" s="7" t="s">
        <v>22</v>
      </c>
      <c r="C1329" s="7" t="s">
        <v>18</v>
      </c>
      <c r="D1329" s="4">
        <v>5469172000122</v>
      </c>
      <c r="E1329" s="8" t="s">
        <v>799</v>
      </c>
      <c r="F1329" s="8" t="s">
        <v>75</v>
      </c>
      <c r="G1329" s="8" t="s">
        <v>74</v>
      </c>
      <c r="H1329" s="8" t="s">
        <v>215</v>
      </c>
      <c r="I1329" s="3">
        <v>2</v>
      </c>
      <c r="J1329" s="8" t="s">
        <v>167</v>
      </c>
      <c r="K1329" s="8" t="s">
        <v>168</v>
      </c>
      <c r="L1329" s="8" t="s">
        <v>557</v>
      </c>
      <c r="M1329" s="1" t="s">
        <v>211</v>
      </c>
      <c r="N1329" s="8" t="s">
        <v>212</v>
      </c>
      <c r="O1329" s="6">
        <v>0</v>
      </c>
      <c r="P1329" s="6">
        <v>0</v>
      </c>
      <c r="Q1329" s="6">
        <v>4</v>
      </c>
      <c r="R1329" s="6">
        <v>0</v>
      </c>
      <c r="S1329" s="6">
        <v>0</v>
      </c>
    </row>
    <row r="1330" spans="1:19" ht="15" hidden="1" x14ac:dyDescent="0.25">
      <c r="A1330" s="7" t="s">
        <v>16</v>
      </c>
      <c r="B1330" s="7" t="s">
        <v>22</v>
      </c>
      <c r="C1330" s="7" t="s">
        <v>18</v>
      </c>
      <c r="D1330" s="4">
        <v>97397848000138</v>
      </c>
      <c r="E1330" s="8" t="s">
        <v>928</v>
      </c>
      <c r="F1330" s="8" t="s">
        <v>75</v>
      </c>
      <c r="G1330" s="8" t="s">
        <v>74</v>
      </c>
      <c r="H1330" s="8" t="s">
        <v>215</v>
      </c>
      <c r="I1330" s="3">
        <v>2</v>
      </c>
      <c r="J1330" s="8" t="s">
        <v>199</v>
      </c>
      <c r="K1330" s="8" t="s">
        <v>200</v>
      </c>
      <c r="L1330" s="8" t="s">
        <v>556</v>
      </c>
      <c r="M1330" s="1" t="s">
        <v>211</v>
      </c>
      <c r="N1330" s="8" t="s">
        <v>212</v>
      </c>
      <c r="O1330" s="6">
        <v>0</v>
      </c>
      <c r="P1330" s="6">
        <v>0</v>
      </c>
      <c r="Q1330" s="6">
        <v>0</v>
      </c>
      <c r="R1330" s="6">
        <v>0</v>
      </c>
      <c r="S1330" s="6">
        <v>0</v>
      </c>
    </row>
    <row r="1331" spans="1:19" ht="15" hidden="1" x14ac:dyDescent="0.25">
      <c r="A1331" s="7" t="s">
        <v>16</v>
      </c>
      <c r="B1331" s="7" t="s">
        <v>22</v>
      </c>
      <c r="C1331" s="7" t="s">
        <v>18</v>
      </c>
      <c r="D1331" s="4">
        <v>97397848000138</v>
      </c>
      <c r="E1331" s="8" t="s">
        <v>928</v>
      </c>
      <c r="F1331" s="8" t="s">
        <v>75</v>
      </c>
      <c r="G1331" s="8" t="s">
        <v>74</v>
      </c>
      <c r="H1331" s="8" t="s">
        <v>215</v>
      </c>
      <c r="I1331" s="3">
        <v>2</v>
      </c>
      <c r="J1331" s="8" t="s">
        <v>167</v>
      </c>
      <c r="K1331" s="8" t="s">
        <v>168</v>
      </c>
      <c r="L1331" s="8" t="s">
        <v>557</v>
      </c>
      <c r="M1331" s="1" t="s">
        <v>211</v>
      </c>
      <c r="N1331" s="8" t="s">
        <v>212</v>
      </c>
      <c r="O1331" s="6">
        <v>0</v>
      </c>
      <c r="P1331" s="6">
        <v>4</v>
      </c>
      <c r="Q1331" s="6">
        <v>0</v>
      </c>
      <c r="R1331" s="6">
        <v>0</v>
      </c>
      <c r="S1331" s="6">
        <v>0</v>
      </c>
    </row>
    <row r="1332" spans="1:19" ht="15" hidden="1" x14ac:dyDescent="0.25">
      <c r="A1332" s="7" t="s">
        <v>16</v>
      </c>
      <c r="B1332" s="7" t="s">
        <v>22</v>
      </c>
      <c r="C1332" s="7" t="s">
        <v>18</v>
      </c>
      <c r="D1332" s="4">
        <v>15166416000151</v>
      </c>
      <c r="E1332" s="8" t="s">
        <v>889</v>
      </c>
      <c r="F1332" s="8" t="s">
        <v>75</v>
      </c>
      <c r="G1332" s="8" t="s">
        <v>74</v>
      </c>
      <c r="H1332" s="8" t="s">
        <v>215</v>
      </c>
      <c r="I1332" s="3">
        <v>2</v>
      </c>
      <c r="J1332" s="8" t="s">
        <v>199</v>
      </c>
      <c r="K1332" s="8" t="s">
        <v>200</v>
      </c>
      <c r="L1332" s="8" t="s">
        <v>556</v>
      </c>
      <c r="M1332" s="1" t="s">
        <v>211</v>
      </c>
      <c r="N1332" s="8" t="s">
        <v>212</v>
      </c>
      <c r="O1332" s="6">
        <v>0</v>
      </c>
      <c r="P1332" s="6">
        <v>0</v>
      </c>
      <c r="Q1332" s="6">
        <v>0</v>
      </c>
      <c r="R1332" s="6">
        <v>0</v>
      </c>
      <c r="S1332" s="6">
        <v>0</v>
      </c>
    </row>
    <row r="1333" spans="1:19" ht="15" hidden="1" x14ac:dyDescent="0.25">
      <c r="A1333" s="7" t="s">
        <v>16</v>
      </c>
      <c r="B1333" s="7" t="s">
        <v>22</v>
      </c>
      <c r="C1333" s="7" t="s">
        <v>18</v>
      </c>
      <c r="D1333" s="4">
        <v>15166416000151</v>
      </c>
      <c r="E1333" s="8" t="s">
        <v>889</v>
      </c>
      <c r="F1333" s="8" t="s">
        <v>75</v>
      </c>
      <c r="G1333" s="8" t="s">
        <v>74</v>
      </c>
      <c r="H1333" s="8" t="s">
        <v>215</v>
      </c>
      <c r="I1333" s="3">
        <v>2</v>
      </c>
      <c r="J1333" s="8" t="s">
        <v>167</v>
      </c>
      <c r="K1333" s="8" t="s">
        <v>168</v>
      </c>
      <c r="L1333" s="8" t="s">
        <v>557</v>
      </c>
      <c r="M1333" s="1" t="s">
        <v>211</v>
      </c>
      <c r="N1333" s="8" t="s">
        <v>212</v>
      </c>
      <c r="O1333" s="6">
        <v>0</v>
      </c>
      <c r="P1333" s="6">
        <v>10</v>
      </c>
      <c r="Q1333" s="6">
        <v>10</v>
      </c>
      <c r="R1333" s="6">
        <v>0</v>
      </c>
      <c r="S1333" s="6">
        <v>0</v>
      </c>
    </row>
    <row r="1334" spans="1:19" ht="15" hidden="1" x14ac:dyDescent="0.25">
      <c r="A1334" s="7" t="s">
        <v>16</v>
      </c>
      <c r="B1334" s="7" t="s">
        <v>22</v>
      </c>
      <c r="C1334" s="7" t="s">
        <v>18</v>
      </c>
      <c r="D1334" s="4">
        <v>15153745000249</v>
      </c>
      <c r="E1334" s="8" t="s">
        <v>887</v>
      </c>
      <c r="F1334" s="8" t="s">
        <v>75</v>
      </c>
      <c r="G1334" s="8" t="s">
        <v>74</v>
      </c>
      <c r="H1334" s="8" t="s">
        <v>215</v>
      </c>
      <c r="I1334" s="3">
        <v>2</v>
      </c>
      <c r="J1334" s="8" t="s">
        <v>199</v>
      </c>
      <c r="K1334" s="8" t="s">
        <v>200</v>
      </c>
      <c r="L1334" s="8" t="s">
        <v>556</v>
      </c>
      <c r="M1334" s="1" t="s">
        <v>211</v>
      </c>
      <c r="N1334" s="8" t="s">
        <v>212</v>
      </c>
      <c r="O1334" s="6">
        <v>0</v>
      </c>
      <c r="P1334" s="6">
        <v>0</v>
      </c>
      <c r="Q1334" s="6">
        <v>0</v>
      </c>
      <c r="R1334" s="6">
        <v>0</v>
      </c>
      <c r="S1334" s="6">
        <v>0</v>
      </c>
    </row>
    <row r="1335" spans="1:19" ht="15" hidden="1" x14ac:dyDescent="0.25">
      <c r="A1335" s="7" t="s">
        <v>16</v>
      </c>
      <c r="B1335" s="7" t="s">
        <v>22</v>
      </c>
      <c r="C1335" s="7" t="s">
        <v>18</v>
      </c>
      <c r="D1335" s="4">
        <v>15153745000249</v>
      </c>
      <c r="E1335" s="8" t="s">
        <v>887</v>
      </c>
      <c r="F1335" s="8" t="s">
        <v>75</v>
      </c>
      <c r="G1335" s="8" t="s">
        <v>74</v>
      </c>
      <c r="H1335" s="8" t="s">
        <v>215</v>
      </c>
      <c r="I1335" s="3">
        <v>2</v>
      </c>
      <c r="J1335" s="8" t="s">
        <v>167</v>
      </c>
      <c r="K1335" s="8" t="s">
        <v>168</v>
      </c>
      <c r="L1335" s="8" t="s">
        <v>557</v>
      </c>
      <c r="M1335" s="1" t="s">
        <v>211</v>
      </c>
      <c r="N1335" s="8" t="s">
        <v>212</v>
      </c>
      <c r="O1335" s="6">
        <v>0</v>
      </c>
      <c r="P1335" s="6">
        <v>13</v>
      </c>
      <c r="Q1335" s="6">
        <v>8</v>
      </c>
      <c r="R1335" s="6">
        <v>0</v>
      </c>
      <c r="S1335" s="6">
        <v>0</v>
      </c>
    </row>
    <row r="1336" spans="1:19" ht="15" hidden="1" x14ac:dyDescent="0.25">
      <c r="A1336" s="7" t="s">
        <v>16</v>
      </c>
      <c r="B1336" s="7" t="s">
        <v>22</v>
      </c>
      <c r="C1336" s="7" t="s">
        <v>18</v>
      </c>
      <c r="D1336" s="4">
        <v>27372066000169</v>
      </c>
      <c r="E1336" s="8" t="s">
        <v>908</v>
      </c>
      <c r="F1336" s="8" t="s">
        <v>75</v>
      </c>
      <c r="G1336" s="8" t="s">
        <v>74</v>
      </c>
      <c r="H1336" s="8" t="s">
        <v>215</v>
      </c>
      <c r="I1336" s="3">
        <v>2</v>
      </c>
      <c r="J1336" s="8" t="s">
        <v>199</v>
      </c>
      <c r="K1336" s="8" t="s">
        <v>200</v>
      </c>
      <c r="L1336" s="8" t="s">
        <v>556</v>
      </c>
      <c r="M1336" s="1" t="s">
        <v>211</v>
      </c>
      <c r="N1336" s="8" t="s">
        <v>212</v>
      </c>
      <c r="O1336" s="6">
        <v>0</v>
      </c>
      <c r="P1336" s="6">
        <v>0</v>
      </c>
      <c r="Q1336" s="6">
        <v>0</v>
      </c>
      <c r="R1336" s="6">
        <v>0</v>
      </c>
      <c r="S1336" s="6">
        <v>0</v>
      </c>
    </row>
    <row r="1337" spans="1:19" ht="15" hidden="1" x14ac:dyDescent="0.25">
      <c r="A1337" s="7" t="s">
        <v>16</v>
      </c>
      <c r="B1337" s="7" t="s">
        <v>22</v>
      </c>
      <c r="C1337" s="7" t="s">
        <v>18</v>
      </c>
      <c r="D1337" s="4">
        <v>27372066000169</v>
      </c>
      <c r="E1337" s="8" t="s">
        <v>908</v>
      </c>
      <c r="F1337" s="8" t="s">
        <v>75</v>
      </c>
      <c r="G1337" s="8" t="s">
        <v>74</v>
      </c>
      <c r="H1337" s="8" t="s">
        <v>215</v>
      </c>
      <c r="I1337" s="3">
        <v>2</v>
      </c>
      <c r="J1337" s="8" t="s">
        <v>167</v>
      </c>
      <c r="K1337" s="8" t="s">
        <v>168</v>
      </c>
      <c r="L1337" s="8" t="s">
        <v>557</v>
      </c>
      <c r="M1337" s="1" t="s">
        <v>211</v>
      </c>
      <c r="N1337" s="8" t="s">
        <v>212</v>
      </c>
      <c r="O1337" s="6">
        <v>0</v>
      </c>
      <c r="P1337" s="6">
        <v>8</v>
      </c>
      <c r="Q1337" s="6">
        <v>5</v>
      </c>
      <c r="R1337" s="6">
        <v>0</v>
      </c>
      <c r="S1337" s="6">
        <v>0</v>
      </c>
    </row>
    <row r="1338" spans="1:19" ht="15" hidden="1" x14ac:dyDescent="0.25">
      <c r="A1338" s="7" t="s">
        <v>16</v>
      </c>
      <c r="B1338" s="7" t="s">
        <v>22</v>
      </c>
      <c r="C1338" s="7" t="s">
        <v>18</v>
      </c>
      <c r="D1338" s="4">
        <v>12361267010318</v>
      </c>
      <c r="E1338" s="8" t="s">
        <v>861</v>
      </c>
      <c r="F1338" s="8" t="s">
        <v>75</v>
      </c>
      <c r="G1338" s="8" t="s">
        <v>74</v>
      </c>
      <c r="H1338" s="8" t="s">
        <v>215</v>
      </c>
      <c r="I1338" s="3">
        <v>2</v>
      </c>
      <c r="J1338" s="8" t="s">
        <v>199</v>
      </c>
      <c r="K1338" s="8" t="s">
        <v>200</v>
      </c>
      <c r="L1338" s="8" t="s">
        <v>556</v>
      </c>
      <c r="M1338" s="1" t="s">
        <v>211</v>
      </c>
      <c r="N1338" s="8" t="s">
        <v>212</v>
      </c>
      <c r="O1338" s="6">
        <v>0</v>
      </c>
      <c r="P1338" s="6">
        <v>0</v>
      </c>
      <c r="Q1338" s="6">
        <v>0</v>
      </c>
      <c r="R1338" s="6">
        <v>0</v>
      </c>
      <c r="S1338" s="6">
        <v>0</v>
      </c>
    </row>
    <row r="1339" spans="1:19" ht="15" hidden="1" x14ac:dyDescent="0.25">
      <c r="A1339" s="7" t="s">
        <v>16</v>
      </c>
      <c r="B1339" s="7" t="s">
        <v>22</v>
      </c>
      <c r="C1339" s="7" t="s">
        <v>18</v>
      </c>
      <c r="D1339" s="4">
        <v>12361267010318</v>
      </c>
      <c r="E1339" s="8" t="s">
        <v>861</v>
      </c>
      <c r="F1339" s="8" t="s">
        <v>75</v>
      </c>
      <c r="G1339" s="8" t="s">
        <v>74</v>
      </c>
      <c r="H1339" s="8" t="s">
        <v>215</v>
      </c>
      <c r="I1339" s="3">
        <v>2</v>
      </c>
      <c r="J1339" s="8" t="s">
        <v>167</v>
      </c>
      <c r="K1339" s="8" t="s">
        <v>168</v>
      </c>
      <c r="L1339" s="8" t="s">
        <v>557</v>
      </c>
      <c r="M1339" s="1" t="s">
        <v>211</v>
      </c>
      <c r="N1339" s="8" t="s">
        <v>212</v>
      </c>
      <c r="O1339" s="6">
        <v>0</v>
      </c>
      <c r="P1339" s="6">
        <v>2</v>
      </c>
      <c r="Q1339" s="6">
        <v>5</v>
      </c>
      <c r="R1339" s="6">
        <v>0</v>
      </c>
      <c r="S1339" s="6">
        <v>0</v>
      </c>
    </row>
    <row r="1340" spans="1:19" ht="15" hidden="1" x14ac:dyDescent="0.25">
      <c r="A1340" s="7" t="s">
        <v>16</v>
      </c>
      <c r="B1340" s="7" t="s">
        <v>22</v>
      </c>
      <c r="C1340" s="7" t="s">
        <v>18</v>
      </c>
      <c r="D1340" s="4">
        <v>15242761000127</v>
      </c>
      <c r="E1340" s="8" t="s">
        <v>896</v>
      </c>
      <c r="F1340" s="8" t="s">
        <v>75</v>
      </c>
      <c r="G1340" s="8" t="s">
        <v>74</v>
      </c>
      <c r="H1340" s="8" t="s">
        <v>215</v>
      </c>
      <c r="I1340" s="3">
        <v>2</v>
      </c>
      <c r="J1340" s="8" t="s">
        <v>199</v>
      </c>
      <c r="K1340" s="8" t="s">
        <v>200</v>
      </c>
      <c r="L1340" s="8" t="s">
        <v>556</v>
      </c>
      <c r="M1340" s="1" t="s">
        <v>211</v>
      </c>
      <c r="N1340" s="8" t="s">
        <v>212</v>
      </c>
      <c r="O1340" s="6">
        <v>0</v>
      </c>
      <c r="P1340" s="6">
        <v>0</v>
      </c>
      <c r="Q1340" s="6">
        <v>0</v>
      </c>
      <c r="R1340" s="6">
        <v>112</v>
      </c>
      <c r="S1340" s="6">
        <v>100</v>
      </c>
    </row>
    <row r="1341" spans="1:19" ht="15" hidden="1" x14ac:dyDescent="0.25">
      <c r="A1341" s="7" t="s">
        <v>16</v>
      </c>
      <c r="B1341" s="7" t="s">
        <v>22</v>
      </c>
      <c r="C1341" s="7" t="s">
        <v>18</v>
      </c>
      <c r="D1341" s="4">
        <v>15242761000127</v>
      </c>
      <c r="E1341" s="8" t="s">
        <v>896</v>
      </c>
      <c r="F1341" s="8" t="s">
        <v>75</v>
      </c>
      <c r="G1341" s="8" t="s">
        <v>74</v>
      </c>
      <c r="H1341" s="8" t="s">
        <v>215</v>
      </c>
      <c r="I1341" s="3">
        <v>2</v>
      </c>
      <c r="J1341" s="8" t="s">
        <v>167</v>
      </c>
      <c r="K1341" s="8" t="s">
        <v>168</v>
      </c>
      <c r="L1341" s="8" t="s">
        <v>557</v>
      </c>
      <c r="M1341" s="1" t="s">
        <v>211</v>
      </c>
      <c r="N1341" s="8" t="s">
        <v>212</v>
      </c>
      <c r="O1341" s="6">
        <v>0</v>
      </c>
      <c r="P1341" s="6">
        <v>0</v>
      </c>
      <c r="Q1341" s="6">
        <v>0</v>
      </c>
      <c r="R1341" s="6">
        <v>0</v>
      </c>
      <c r="S1341" s="6">
        <v>100</v>
      </c>
    </row>
    <row r="1342" spans="1:19" ht="15" hidden="1" x14ac:dyDescent="0.25">
      <c r="A1342" s="7" t="s">
        <v>16</v>
      </c>
      <c r="B1342" s="7" t="s">
        <v>22</v>
      </c>
      <c r="C1342" s="7" t="s">
        <v>18</v>
      </c>
      <c r="D1342" s="4">
        <v>15180714000520</v>
      </c>
      <c r="E1342" s="8" t="s">
        <v>894</v>
      </c>
      <c r="F1342" s="8" t="s">
        <v>75</v>
      </c>
      <c r="G1342" s="8" t="s">
        <v>74</v>
      </c>
      <c r="H1342" s="8" t="s">
        <v>215</v>
      </c>
      <c r="I1342" s="3">
        <v>2</v>
      </c>
      <c r="J1342" s="8" t="s">
        <v>199</v>
      </c>
      <c r="K1342" s="8" t="s">
        <v>200</v>
      </c>
      <c r="L1342" s="8" t="s">
        <v>556</v>
      </c>
      <c r="M1342" s="1" t="s">
        <v>211</v>
      </c>
      <c r="N1342" s="8" t="s">
        <v>212</v>
      </c>
      <c r="O1342" s="6">
        <v>0</v>
      </c>
      <c r="P1342" s="6">
        <v>0</v>
      </c>
      <c r="Q1342" s="6">
        <v>0</v>
      </c>
      <c r="R1342" s="6">
        <v>0</v>
      </c>
      <c r="S1342" s="6">
        <v>0</v>
      </c>
    </row>
    <row r="1343" spans="1:19" ht="15" hidden="1" x14ac:dyDescent="0.25">
      <c r="A1343" s="7" t="s">
        <v>16</v>
      </c>
      <c r="B1343" s="7" t="s">
        <v>22</v>
      </c>
      <c r="C1343" s="7" t="s">
        <v>18</v>
      </c>
      <c r="D1343" s="4">
        <v>15180714000520</v>
      </c>
      <c r="E1343" s="8" t="s">
        <v>894</v>
      </c>
      <c r="F1343" s="8" t="s">
        <v>75</v>
      </c>
      <c r="G1343" s="8" t="s">
        <v>74</v>
      </c>
      <c r="H1343" s="8" t="s">
        <v>215</v>
      </c>
      <c r="I1343" s="3">
        <v>2</v>
      </c>
      <c r="J1343" s="8" t="s">
        <v>167</v>
      </c>
      <c r="K1343" s="8" t="s">
        <v>168</v>
      </c>
      <c r="L1343" s="8" t="s">
        <v>557</v>
      </c>
      <c r="M1343" s="1" t="s">
        <v>211</v>
      </c>
      <c r="N1343" s="8" t="s">
        <v>212</v>
      </c>
      <c r="O1343" s="6">
        <v>0</v>
      </c>
      <c r="P1343" s="6">
        <v>0</v>
      </c>
      <c r="Q1343" s="6">
        <v>20</v>
      </c>
      <c r="R1343" s="6">
        <v>0</v>
      </c>
      <c r="S1343" s="6">
        <v>0</v>
      </c>
    </row>
    <row r="1344" spans="1:19" ht="15" hidden="1" x14ac:dyDescent="0.25">
      <c r="A1344" s="7" t="s">
        <v>16</v>
      </c>
      <c r="B1344" s="7" t="s">
        <v>22</v>
      </c>
      <c r="C1344" s="7" t="s">
        <v>18</v>
      </c>
      <c r="D1344" s="4">
        <v>5652543000107</v>
      </c>
      <c r="E1344" s="8" t="s">
        <v>801</v>
      </c>
      <c r="F1344" s="8" t="s">
        <v>802</v>
      </c>
      <c r="G1344" s="8" t="s">
        <v>74</v>
      </c>
      <c r="H1344" s="8" t="s">
        <v>215</v>
      </c>
      <c r="I1344" s="3">
        <v>2</v>
      </c>
      <c r="J1344" s="8" t="s">
        <v>199</v>
      </c>
      <c r="K1344" s="8" t="s">
        <v>200</v>
      </c>
      <c r="L1344" s="8" t="s">
        <v>556</v>
      </c>
      <c r="M1344" s="1" t="s">
        <v>211</v>
      </c>
      <c r="N1344" s="8" t="s">
        <v>212</v>
      </c>
      <c r="O1344" s="6">
        <v>0</v>
      </c>
      <c r="P1344" s="6">
        <v>0</v>
      </c>
      <c r="Q1344" s="6">
        <v>0</v>
      </c>
      <c r="R1344" s="6">
        <v>0</v>
      </c>
      <c r="S1344" s="6">
        <v>0</v>
      </c>
    </row>
    <row r="1345" spans="1:19" ht="15" hidden="1" x14ac:dyDescent="0.25">
      <c r="A1345" s="7" t="s">
        <v>16</v>
      </c>
      <c r="B1345" s="7" t="s">
        <v>22</v>
      </c>
      <c r="C1345" s="7" t="s">
        <v>18</v>
      </c>
      <c r="D1345" s="4">
        <v>5652543000107</v>
      </c>
      <c r="E1345" s="8" t="s">
        <v>801</v>
      </c>
      <c r="F1345" s="8" t="s">
        <v>802</v>
      </c>
      <c r="G1345" s="8" t="s">
        <v>74</v>
      </c>
      <c r="H1345" s="8" t="s">
        <v>215</v>
      </c>
      <c r="I1345" s="3">
        <v>2</v>
      </c>
      <c r="J1345" s="8" t="s">
        <v>167</v>
      </c>
      <c r="K1345" s="8" t="s">
        <v>168</v>
      </c>
      <c r="L1345" s="8" t="s">
        <v>557</v>
      </c>
      <c r="M1345" s="1" t="s">
        <v>211</v>
      </c>
      <c r="N1345" s="8" t="s">
        <v>212</v>
      </c>
      <c r="O1345" s="6">
        <v>0</v>
      </c>
      <c r="P1345" s="6">
        <v>30</v>
      </c>
      <c r="Q1345" s="6">
        <v>0</v>
      </c>
      <c r="R1345" s="6">
        <v>0</v>
      </c>
      <c r="S1345" s="6">
        <v>0</v>
      </c>
    </row>
    <row r="1346" spans="1:19" ht="15" hidden="1" x14ac:dyDescent="0.25">
      <c r="A1346" s="7" t="s">
        <v>16</v>
      </c>
      <c r="B1346" s="7" t="s">
        <v>22</v>
      </c>
      <c r="C1346" s="7" t="s">
        <v>18</v>
      </c>
      <c r="D1346" s="4">
        <v>7245269000187</v>
      </c>
      <c r="E1346" s="8" t="s">
        <v>816</v>
      </c>
      <c r="F1346" s="8" t="s">
        <v>76</v>
      </c>
      <c r="G1346" s="8" t="s">
        <v>77</v>
      </c>
      <c r="H1346" s="8" t="s">
        <v>215</v>
      </c>
      <c r="I1346" s="3">
        <v>2</v>
      </c>
      <c r="J1346" s="8" t="s">
        <v>199</v>
      </c>
      <c r="K1346" s="8" t="s">
        <v>200</v>
      </c>
      <c r="L1346" s="8" t="s">
        <v>556</v>
      </c>
      <c r="M1346" s="1" t="s">
        <v>211</v>
      </c>
      <c r="N1346" s="8" t="s">
        <v>212</v>
      </c>
      <c r="O1346" s="6">
        <v>0</v>
      </c>
      <c r="P1346" s="6">
        <v>0</v>
      </c>
      <c r="Q1346" s="6">
        <v>0</v>
      </c>
      <c r="R1346" s="6">
        <v>0</v>
      </c>
      <c r="S1346" s="6">
        <v>0</v>
      </c>
    </row>
    <row r="1347" spans="1:19" ht="15" hidden="1" x14ac:dyDescent="0.25">
      <c r="A1347" s="7" t="s">
        <v>16</v>
      </c>
      <c r="B1347" s="7" t="s">
        <v>22</v>
      </c>
      <c r="C1347" s="7" t="s">
        <v>18</v>
      </c>
      <c r="D1347" s="4">
        <v>7245269000187</v>
      </c>
      <c r="E1347" s="8" t="s">
        <v>816</v>
      </c>
      <c r="F1347" s="8" t="s">
        <v>76</v>
      </c>
      <c r="G1347" s="8" t="s">
        <v>77</v>
      </c>
      <c r="H1347" s="8" t="s">
        <v>215</v>
      </c>
      <c r="I1347" s="3">
        <v>2</v>
      </c>
      <c r="J1347" s="8" t="s">
        <v>165</v>
      </c>
      <c r="K1347" s="8" t="s">
        <v>166</v>
      </c>
      <c r="L1347" s="8" t="s">
        <v>557</v>
      </c>
      <c r="M1347" s="1" t="s">
        <v>211</v>
      </c>
      <c r="N1347" s="8" t="s">
        <v>212</v>
      </c>
      <c r="O1347" s="6">
        <v>0</v>
      </c>
      <c r="P1347" s="6">
        <v>7</v>
      </c>
      <c r="Q1347" s="6">
        <v>0</v>
      </c>
      <c r="R1347" s="6">
        <v>0</v>
      </c>
      <c r="S1347" s="6">
        <v>0</v>
      </c>
    </row>
    <row r="1348" spans="1:19" ht="15" hidden="1" x14ac:dyDescent="0.25">
      <c r="A1348" s="7" t="s">
        <v>16</v>
      </c>
      <c r="B1348" s="7" t="s">
        <v>22</v>
      </c>
      <c r="C1348" s="7" t="s">
        <v>18</v>
      </c>
      <c r="D1348" s="4">
        <v>12361267011802</v>
      </c>
      <c r="E1348" s="8" t="s">
        <v>863</v>
      </c>
      <c r="F1348" s="8" t="s">
        <v>76</v>
      </c>
      <c r="G1348" s="8" t="s">
        <v>77</v>
      </c>
      <c r="H1348" s="8" t="s">
        <v>215</v>
      </c>
      <c r="I1348" s="3">
        <v>2</v>
      </c>
      <c r="J1348" s="8" t="s">
        <v>199</v>
      </c>
      <c r="K1348" s="8" t="s">
        <v>200</v>
      </c>
      <c r="L1348" s="8" t="s">
        <v>556</v>
      </c>
      <c r="M1348" s="1" t="s">
        <v>211</v>
      </c>
      <c r="N1348" s="8" t="s">
        <v>212</v>
      </c>
      <c r="O1348" s="6">
        <v>0</v>
      </c>
      <c r="P1348" s="6">
        <v>0</v>
      </c>
      <c r="Q1348" s="6">
        <v>0</v>
      </c>
      <c r="R1348" s="6">
        <v>0</v>
      </c>
      <c r="S1348" s="6">
        <v>0</v>
      </c>
    </row>
    <row r="1349" spans="1:19" ht="15" hidden="1" x14ac:dyDescent="0.25">
      <c r="A1349" s="7" t="s">
        <v>16</v>
      </c>
      <c r="B1349" s="7" t="s">
        <v>22</v>
      </c>
      <c r="C1349" s="7" t="s">
        <v>18</v>
      </c>
      <c r="D1349" s="4">
        <v>12361267011802</v>
      </c>
      <c r="E1349" s="8" t="s">
        <v>863</v>
      </c>
      <c r="F1349" s="8" t="s">
        <v>76</v>
      </c>
      <c r="G1349" s="8" t="s">
        <v>77</v>
      </c>
      <c r="H1349" s="8" t="s">
        <v>215</v>
      </c>
      <c r="I1349" s="3">
        <v>2</v>
      </c>
      <c r="J1349" s="8" t="s">
        <v>165</v>
      </c>
      <c r="K1349" s="8" t="s">
        <v>166</v>
      </c>
      <c r="L1349" s="8" t="s">
        <v>557</v>
      </c>
      <c r="M1349" s="1" t="s">
        <v>211</v>
      </c>
      <c r="N1349" s="8" t="s">
        <v>212</v>
      </c>
      <c r="O1349" s="6">
        <v>0</v>
      </c>
      <c r="P1349" s="6">
        <v>4</v>
      </c>
      <c r="Q1349" s="6">
        <v>2</v>
      </c>
      <c r="R1349" s="6">
        <v>0</v>
      </c>
      <c r="S1349" s="6">
        <v>0</v>
      </c>
    </row>
    <row r="1350" spans="1:19" ht="15" hidden="1" x14ac:dyDescent="0.25">
      <c r="A1350" s="7" t="s">
        <v>16</v>
      </c>
      <c r="B1350" s="7" t="s">
        <v>22</v>
      </c>
      <c r="C1350" s="7" t="s">
        <v>18</v>
      </c>
      <c r="D1350" s="4">
        <v>5874946000281</v>
      </c>
      <c r="E1350" s="8" t="s">
        <v>807</v>
      </c>
      <c r="F1350" s="8" t="s">
        <v>76</v>
      </c>
      <c r="G1350" s="8" t="s">
        <v>77</v>
      </c>
      <c r="H1350" s="8" t="s">
        <v>215</v>
      </c>
      <c r="I1350" s="3">
        <v>2</v>
      </c>
      <c r="J1350" s="8" t="s">
        <v>199</v>
      </c>
      <c r="K1350" s="8" t="s">
        <v>200</v>
      </c>
      <c r="L1350" s="8" t="s">
        <v>556</v>
      </c>
      <c r="M1350" s="1" t="s">
        <v>211</v>
      </c>
      <c r="N1350" s="8" t="s">
        <v>212</v>
      </c>
      <c r="O1350" s="6">
        <v>0</v>
      </c>
      <c r="P1350" s="6">
        <v>0</v>
      </c>
      <c r="Q1350" s="6">
        <v>0</v>
      </c>
      <c r="R1350" s="6">
        <v>0</v>
      </c>
      <c r="S1350" s="6">
        <v>0</v>
      </c>
    </row>
    <row r="1351" spans="1:19" ht="15" hidden="1" x14ac:dyDescent="0.25">
      <c r="A1351" s="7" t="s">
        <v>16</v>
      </c>
      <c r="B1351" s="7" t="s">
        <v>22</v>
      </c>
      <c r="C1351" s="7" t="s">
        <v>18</v>
      </c>
      <c r="D1351" s="4">
        <v>5874946000281</v>
      </c>
      <c r="E1351" s="8" t="s">
        <v>807</v>
      </c>
      <c r="F1351" s="8" t="s">
        <v>76</v>
      </c>
      <c r="G1351" s="8" t="s">
        <v>77</v>
      </c>
      <c r="H1351" s="8" t="s">
        <v>215</v>
      </c>
      <c r="I1351" s="3">
        <v>2</v>
      </c>
      <c r="J1351" s="8" t="s">
        <v>165</v>
      </c>
      <c r="K1351" s="8" t="s">
        <v>166</v>
      </c>
      <c r="L1351" s="8" t="s">
        <v>557</v>
      </c>
      <c r="M1351" s="1" t="s">
        <v>211</v>
      </c>
      <c r="N1351" s="8" t="s">
        <v>212</v>
      </c>
      <c r="O1351" s="6">
        <v>0</v>
      </c>
      <c r="P1351" s="6">
        <v>7</v>
      </c>
      <c r="Q1351" s="6">
        <v>5</v>
      </c>
      <c r="R1351" s="6">
        <v>0</v>
      </c>
      <c r="S1351" s="6">
        <v>0</v>
      </c>
    </row>
    <row r="1352" spans="1:19" ht="15" hidden="1" x14ac:dyDescent="0.25">
      <c r="A1352" s="7" t="s">
        <v>16</v>
      </c>
      <c r="B1352" s="7" t="s">
        <v>22</v>
      </c>
      <c r="C1352" s="7" t="s">
        <v>18</v>
      </c>
      <c r="D1352" s="4">
        <v>74031865000151</v>
      </c>
      <c r="E1352" s="8" t="s">
        <v>926</v>
      </c>
      <c r="F1352" s="8" t="s">
        <v>76</v>
      </c>
      <c r="G1352" s="8" t="s">
        <v>77</v>
      </c>
      <c r="H1352" s="8" t="s">
        <v>215</v>
      </c>
      <c r="I1352" s="3">
        <v>2</v>
      </c>
      <c r="J1352" s="8" t="s">
        <v>199</v>
      </c>
      <c r="K1352" s="8" t="s">
        <v>200</v>
      </c>
      <c r="L1352" s="8" t="s">
        <v>556</v>
      </c>
      <c r="M1352" s="1" t="s">
        <v>211</v>
      </c>
      <c r="N1352" s="8" t="s">
        <v>212</v>
      </c>
      <c r="O1352" s="6">
        <v>192</v>
      </c>
      <c r="P1352" s="6">
        <v>0</v>
      </c>
      <c r="Q1352" s="6">
        <v>0</v>
      </c>
      <c r="R1352" s="6">
        <v>0</v>
      </c>
      <c r="S1352" s="6">
        <v>0</v>
      </c>
    </row>
    <row r="1353" spans="1:19" ht="15" hidden="1" x14ac:dyDescent="0.25">
      <c r="A1353" s="7" t="s">
        <v>16</v>
      </c>
      <c r="B1353" s="7" t="s">
        <v>22</v>
      </c>
      <c r="C1353" s="7" t="s">
        <v>18</v>
      </c>
      <c r="D1353" s="4">
        <v>74031865000151</v>
      </c>
      <c r="E1353" s="8" t="s">
        <v>926</v>
      </c>
      <c r="F1353" s="8" t="s">
        <v>76</v>
      </c>
      <c r="G1353" s="8" t="s">
        <v>77</v>
      </c>
      <c r="H1353" s="8" t="s">
        <v>215</v>
      </c>
      <c r="I1353" s="3">
        <v>2</v>
      </c>
      <c r="J1353" s="8" t="s">
        <v>165</v>
      </c>
      <c r="K1353" s="8" t="s">
        <v>166</v>
      </c>
      <c r="L1353" s="8" t="s">
        <v>557</v>
      </c>
      <c r="M1353" s="1" t="s">
        <v>211</v>
      </c>
      <c r="N1353" s="8" t="s">
        <v>212</v>
      </c>
      <c r="O1353" s="6">
        <v>0</v>
      </c>
      <c r="P1353" s="6">
        <v>0</v>
      </c>
      <c r="Q1353" s="6">
        <v>140</v>
      </c>
      <c r="R1353" s="6">
        <v>0</v>
      </c>
      <c r="S1353" s="6">
        <v>0</v>
      </c>
    </row>
    <row r="1354" spans="1:19" ht="15" hidden="1" x14ac:dyDescent="0.25">
      <c r="A1354" s="7" t="s">
        <v>16</v>
      </c>
      <c r="B1354" s="7" t="s">
        <v>22</v>
      </c>
      <c r="C1354" s="7" t="s">
        <v>18</v>
      </c>
      <c r="D1354" s="4">
        <v>60975737003509</v>
      </c>
      <c r="E1354" s="8" t="s">
        <v>921</v>
      </c>
      <c r="F1354" s="8" t="s">
        <v>76</v>
      </c>
      <c r="G1354" s="8" t="s">
        <v>77</v>
      </c>
      <c r="H1354" s="8" t="s">
        <v>215</v>
      </c>
      <c r="I1354" s="3">
        <v>2</v>
      </c>
      <c r="J1354" s="8" t="s">
        <v>199</v>
      </c>
      <c r="K1354" s="8" t="s">
        <v>200</v>
      </c>
      <c r="L1354" s="8" t="s">
        <v>556</v>
      </c>
      <c r="M1354" s="1" t="s">
        <v>211</v>
      </c>
      <c r="N1354" s="8" t="s">
        <v>212</v>
      </c>
      <c r="O1354" s="6">
        <v>0</v>
      </c>
      <c r="P1354" s="6">
        <v>0</v>
      </c>
      <c r="Q1354" s="6">
        <v>0</v>
      </c>
      <c r="R1354" s="6">
        <v>0</v>
      </c>
      <c r="S1354" s="6">
        <v>0</v>
      </c>
    </row>
    <row r="1355" spans="1:19" ht="15" hidden="1" x14ac:dyDescent="0.25">
      <c r="A1355" s="7" t="s">
        <v>16</v>
      </c>
      <c r="B1355" s="7" t="s">
        <v>22</v>
      </c>
      <c r="C1355" s="7" t="s">
        <v>18</v>
      </c>
      <c r="D1355" s="4">
        <v>60975737003509</v>
      </c>
      <c r="E1355" s="8" t="s">
        <v>921</v>
      </c>
      <c r="F1355" s="8" t="s">
        <v>76</v>
      </c>
      <c r="G1355" s="8" t="s">
        <v>77</v>
      </c>
      <c r="H1355" s="8" t="s">
        <v>215</v>
      </c>
      <c r="I1355" s="3">
        <v>2</v>
      </c>
      <c r="J1355" s="8" t="s">
        <v>165</v>
      </c>
      <c r="K1355" s="8" t="s">
        <v>166</v>
      </c>
      <c r="L1355" s="8" t="s">
        <v>557</v>
      </c>
      <c r="M1355" s="1" t="s">
        <v>211</v>
      </c>
      <c r="N1355" s="8" t="s">
        <v>212</v>
      </c>
      <c r="O1355" s="6">
        <v>0</v>
      </c>
      <c r="P1355" s="6">
        <v>10</v>
      </c>
      <c r="Q1355" s="6">
        <v>19</v>
      </c>
      <c r="R1355" s="6">
        <v>0</v>
      </c>
      <c r="S1355" s="6">
        <v>0</v>
      </c>
    </row>
    <row r="1356" spans="1:19" ht="15" hidden="1" x14ac:dyDescent="0.25">
      <c r="A1356" s="7" t="s">
        <v>16</v>
      </c>
      <c r="B1356" s="7" t="s">
        <v>22</v>
      </c>
      <c r="C1356" s="7" t="s">
        <v>18</v>
      </c>
      <c r="D1356" s="4">
        <v>29435005007484</v>
      </c>
      <c r="E1356" s="8" t="s">
        <v>912</v>
      </c>
      <c r="F1356" s="8" t="s">
        <v>76</v>
      </c>
      <c r="G1356" s="8" t="s">
        <v>77</v>
      </c>
      <c r="H1356" s="8" t="s">
        <v>215</v>
      </c>
      <c r="I1356" s="3">
        <v>2</v>
      </c>
      <c r="J1356" s="8" t="s">
        <v>199</v>
      </c>
      <c r="K1356" s="8" t="s">
        <v>200</v>
      </c>
      <c r="L1356" s="8" t="s">
        <v>556</v>
      </c>
      <c r="M1356" s="1" t="s">
        <v>211</v>
      </c>
      <c r="N1356" s="8" t="s">
        <v>212</v>
      </c>
      <c r="O1356" s="6">
        <v>0</v>
      </c>
      <c r="P1356" s="6">
        <v>0</v>
      </c>
      <c r="Q1356" s="6">
        <v>0</v>
      </c>
      <c r="R1356" s="6">
        <v>0</v>
      </c>
      <c r="S1356" s="6">
        <v>200</v>
      </c>
    </row>
    <row r="1357" spans="1:19" ht="15" hidden="1" x14ac:dyDescent="0.25">
      <c r="A1357" s="7" t="s">
        <v>16</v>
      </c>
      <c r="B1357" s="7" t="s">
        <v>22</v>
      </c>
      <c r="C1357" s="7" t="s">
        <v>18</v>
      </c>
      <c r="D1357" s="4">
        <v>29435005007484</v>
      </c>
      <c r="E1357" s="8" t="s">
        <v>912</v>
      </c>
      <c r="F1357" s="8" t="s">
        <v>76</v>
      </c>
      <c r="G1357" s="8" t="s">
        <v>77</v>
      </c>
      <c r="H1357" s="8" t="s">
        <v>215</v>
      </c>
      <c r="I1357" s="3">
        <v>2</v>
      </c>
      <c r="J1357" s="8" t="s">
        <v>165</v>
      </c>
      <c r="K1357" s="8" t="s">
        <v>166</v>
      </c>
      <c r="L1357" s="8" t="s">
        <v>557</v>
      </c>
      <c r="M1357" s="1" t="s">
        <v>211</v>
      </c>
      <c r="N1357" s="8" t="s">
        <v>212</v>
      </c>
      <c r="O1357" s="6">
        <v>0</v>
      </c>
      <c r="P1357" s="6">
        <v>13</v>
      </c>
      <c r="Q1357" s="6">
        <v>5</v>
      </c>
      <c r="R1357" s="6">
        <v>0</v>
      </c>
      <c r="S1357" s="6">
        <v>200</v>
      </c>
    </row>
    <row r="1358" spans="1:19" ht="15" hidden="1" x14ac:dyDescent="0.25">
      <c r="A1358" s="7" t="s">
        <v>16</v>
      </c>
      <c r="B1358" s="7" t="s">
        <v>22</v>
      </c>
      <c r="C1358" s="7" t="s">
        <v>18</v>
      </c>
      <c r="D1358" s="4">
        <v>5868278000280</v>
      </c>
      <c r="E1358" s="8" t="s">
        <v>805</v>
      </c>
      <c r="F1358" s="8" t="s">
        <v>76</v>
      </c>
      <c r="G1358" s="8" t="s">
        <v>77</v>
      </c>
      <c r="H1358" s="8" t="s">
        <v>215</v>
      </c>
      <c r="I1358" s="3">
        <v>2</v>
      </c>
      <c r="J1358" s="8" t="s">
        <v>199</v>
      </c>
      <c r="K1358" s="8" t="s">
        <v>200</v>
      </c>
      <c r="L1358" s="8" t="s">
        <v>556</v>
      </c>
      <c r="M1358" s="1" t="s">
        <v>211</v>
      </c>
      <c r="N1358" s="8" t="s">
        <v>212</v>
      </c>
      <c r="O1358" s="6">
        <v>0</v>
      </c>
      <c r="P1358" s="6">
        <v>0</v>
      </c>
      <c r="Q1358" s="6">
        <v>0</v>
      </c>
      <c r="R1358" s="6">
        <v>26</v>
      </c>
      <c r="S1358" s="6">
        <v>0</v>
      </c>
    </row>
    <row r="1359" spans="1:19" ht="15" hidden="1" x14ac:dyDescent="0.25">
      <c r="A1359" s="7" t="s">
        <v>16</v>
      </c>
      <c r="B1359" s="7" t="s">
        <v>22</v>
      </c>
      <c r="C1359" s="7" t="s">
        <v>18</v>
      </c>
      <c r="D1359" s="4">
        <v>5868278000280</v>
      </c>
      <c r="E1359" s="8" t="s">
        <v>805</v>
      </c>
      <c r="F1359" s="8" t="s">
        <v>76</v>
      </c>
      <c r="G1359" s="8" t="s">
        <v>77</v>
      </c>
      <c r="H1359" s="8" t="s">
        <v>215</v>
      </c>
      <c r="I1359" s="3">
        <v>2</v>
      </c>
      <c r="J1359" s="8" t="s">
        <v>165</v>
      </c>
      <c r="K1359" s="8" t="s">
        <v>166</v>
      </c>
      <c r="L1359" s="8" t="s">
        <v>557</v>
      </c>
      <c r="M1359" s="1" t="s">
        <v>211</v>
      </c>
      <c r="N1359" s="8" t="s">
        <v>212</v>
      </c>
      <c r="O1359" s="6">
        <v>0</v>
      </c>
      <c r="P1359" s="6">
        <v>13</v>
      </c>
      <c r="Q1359" s="6">
        <v>8</v>
      </c>
      <c r="R1359" s="6">
        <v>0</v>
      </c>
      <c r="S1359" s="6">
        <v>0</v>
      </c>
    </row>
    <row r="1360" spans="1:19" ht="15" hidden="1" x14ac:dyDescent="0.25">
      <c r="A1360" s="7" t="s">
        <v>16</v>
      </c>
      <c r="B1360" s="7" t="s">
        <v>22</v>
      </c>
      <c r="C1360" s="7" t="s">
        <v>18</v>
      </c>
      <c r="D1360" s="4">
        <v>11794674000121</v>
      </c>
      <c r="E1360" s="8" t="s">
        <v>845</v>
      </c>
      <c r="F1360" s="8" t="s">
        <v>76</v>
      </c>
      <c r="G1360" s="8" t="s">
        <v>77</v>
      </c>
      <c r="H1360" s="8" t="s">
        <v>215</v>
      </c>
      <c r="I1360" s="3">
        <v>2</v>
      </c>
      <c r="J1360" s="8" t="s">
        <v>199</v>
      </c>
      <c r="K1360" s="8" t="s">
        <v>200</v>
      </c>
      <c r="L1360" s="8" t="s">
        <v>556</v>
      </c>
      <c r="M1360" s="1" t="s">
        <v>211</v>
      </c>
      <c r="N1360" s="8" t="s">
        <v>212</v>
      </c>
      <c r="O1360" s="6">
        <v>0</v>
      </c>
      <c r="P1360" s="6">
        <v>0</v>
      </c>
      <c r="Q1360" s="6">
        <v>0</v>
      </c>
      <c r="R1360" s="6">
        <v>0</v>
      </c>
      <c r="S1360" s="6">
        <v>180</v>
      </c>
    </row>
    <row r="1361" spans="1:19" ht="15" hidden="1" x14ac:dyDescent="0.25">
      <c r="A1361" s="7" t="s">
        <v>16</v>
      </c>
      <c r="B1361" s="7" t="s">
        <v>22</v>
      </c>
      <c r="C1361" s="7" t="s">
        <v>18</v>
      </c>
      <c r="D1361" s="4">
        <v>11794674000121</v>
      </c>
      <c r="E1361" s="8" t="s">
        <v>845</v>
      </c>
      <c r="F1361" s="8" t="s">
        <v>76</v>
      </c>
      <c r="G1361" s="8" t="s">
        <v>77</v>
      </c>
      <c r="H1361" s="8" t="s">
        <v>215</v>
      </c>
      <c r="I1361" s="3">
        <v>2</v>
      </c>
      <c r="J1361" s="8" t="s">
        <v>165</v>
      </c>
      <c r="K1361" s="8" t="s">
        <v>166</v>
      </c>
      <c r="L1361" s="8" t="s">
        <v>557</v>
      </c>
      <c r="M1361" s="1" t="s">
        <v>211</v>
      </c>
      <c r="N1361" s="8" t="s">
        <v>212</v>
      </c>
      <c r="O1361" s="6">
        <v>0</v>
      </c>
      <c r="P1361" s="6">
        <v>0</v>
      </c>
      <c r="Q1361" s="6">
        <v>4</v>
      </c>
      <c r="R1361" s="6">
        <v>0</v>
      </c>
      <c r="S1361" s="6">
        <v>180</v>
      </c>
    </row>
    <row r="1362" spans="1:19" ht="15" hidden="1" x14ac:dyDescent="0.25">
      <c r="A1362" s="7" t="s">
        <v>16</v>
      </c>
      <c r="B1362" s="7" t="s">
        <v>22</v>
      </c>
      <c r="C1362" s="7" t="s">
        <v>18</v>
      </c>
      <c r="D1362" s="4">
        <v>41580077000165</v>
      </c>
      <c r="E1362" s="8" t="s">
        <v>918</v>
      </c>
      <c r="F1362" s="8" t="s">
        <v>76</v>
      </c>
      <c r="G1362" s="8" t="s">
        <v>77</v>
      </c>
      <c r="H1362" s="8" t="s">
        <v>215</v>
      </c>
      <c r="I1362" s="3">
        <v>2</v>
      </c>
      <c r="J1362" s="8" t="s">
        <v>199</v>
      </c>
      <c r="K1362" s="8" t="s">
        <v>200</v>
      </c>
      <c r="L1362" s="8" t="s">
        <v>556</v>
      </c>
      <c r="M1362" s="1" t="s">
        <v>211</v>
      </c>
      <c r="N1362" s="8" t="s">
        <v>212</v>
      </c>
      <c r="O1362" s="6">
        <v>0</v>
      </c>
      <c r="P1362" s="6">
        <v>0</v>
      </c>
      <c r="Q1362" s="6">
        <v>0</v>
      </c>
      <c r="R1362" s="6">
        <v>0</v>
      </c>
      <c r="S1362" s="6">
        <v>0</v>
      </c>
    </row>
    <row r="1363" spans="1:19" ht="15" hidden="1" x14ac:dyDescent="0.25">
      <c r="A1363" s="7" t="s">
        <v>16</v>
      </c>
      <c r="B1363" s="7" t="s">
        <v>22</v>
      </c>
      <c r="C1363" s="7" t="s">
        <v>18</v>
      </c>
      <c r="D1363" s="4">
        <v>41580077000165</v>
      </c>
      <c r="E1363" s="8" t="s">
        <v>918</v>
      </c>
      <c r="F1363" s="8" t="s">
        <v>76</v>
      </c>
      <c r="G1363" s="8" t="s">
        <v>77</v>
      </c>
      <c r="H1363" s="8" t="s">
        <v>215</v>
      </c>
      <c r="I1363" s="3">
        <v>2</v>
      </c>
      <c r="J1363" s="8" t="s">
        <v>165</v>
      </c>
      <c r="K1363" s="8" t="s">
        <v>166</v>
      </c>
      <c r="L1363" s="8" t="s">
        <v>557</v>
      </c>
      <c r="M1363" s="1" t="s">
        <v>211</v>
      </c>
      <c r="N1363" s="8" t="s">
        <v>212</v>
      </c>
      <c r="O1363" s="6">
        <v>0</v>
      </c>
      <c r="P1363" s="6">
        <v>0</v>
      </c>
      <c r="Q1363" s="6">
        <v>3</v>
      </c>
      <c r="R1363" s="6">
        <v>0</v>
      </c>
      <c r="S1363" s="6">
        <v>0</v>
      </c>
    </row>
    <row r="1364" spans="1:19" ht="15" hidden="1" x14ac:dyDescent="0.25">
      <c r="A1364" s="7" t="s">
        <v>16</v>
      </c>
      <c r="B1364" s="7" t="s">
        <v>22</v>
      </c>
      <c r="C1364" s="7" t="s">
        <v>18</v>
      </c>
      <c r="D1364" s="4">
        <v>7272636000212</v>
      </c>
      <c r="E1364" s="8" t="s">
        <v>818</v>
      </c>
      <c r="F1364" s="8" t="s">
        <v>76</v>
      </c>
      <c r="G1364" s="8" t="s">
        <v>77</v>
      </c>
      <c r="H1364" s="8" t="s">
        <v>215</v>
      </c>
      <c r="I1364" s="3">
        <v>2</v>
      </c>
      <c r="J1364" s="8" t="s">
        <v>199</v>
      </c>
      <c r="K1364" s="8" t="s">
        <v>200</v>
      </c>
      <c r="L1364" s="8" t="s">
        <v>556</v>
      </c>
      <c r="M1364" s="1" t="s">
        <v>211</v>
      </c>
      <c r="N1364" s="8" t="s">
        <v>212</v>
      </c>
      <c r="O1364" s="6">
        <v>0</v>
      </c>
      <c r="P1364" s="6">
        <v>0</v>
      </c>
      <c r="Q1364" s="6">
        <v>0</v>
      </c>
      <c r="R1364" s="6">
        <v>0</v>
      </c>
      <c r="S1364" s="6">
        <v>600</v>
      </c>
    </row>
    <row r="1365" spans="1:19" ht="15" hidden="1" x14ac:dyDescent="0.25">
      <c r="A1365" s="7" t="s">
        <v>16</v>
      </c>
      <c r="B1365" s="7" t="s">
        <v>22</v>
      </c>
      <c r="C1365" s="7" t="s">
        <v>18</v>
      </c>
      <c r="D1365" s="4">
        <v>7272636000212</v>
      </c>
      <c r="E1365" s="8" t="s">
        <v>818</v>
      </c>
      <c r="F1365" s="8" t="s">
        <v>76</v>
      </c>
      <c r="G1365" s="8" t="s">
        <v>77</v>
      </c>
      <c r="H1365" s="8" t="s">
        <v>215</v>
      </c>
      <c r="I1365" s="3">
        <v>2</v>
      </c>
      <c r="J1365" s="8" t="s">
        <v>165</v>
      </c>
      <c r="K1365" s="8" t="s">
        <v>166</v>
      </c>
      <c r="L1365" s="8" t="s">
        <v>557</v>
      </c>
      <c r="M1365" s="1" t="s">
        <v>211</v>
      </c>
      <c r="N1365" s="8" t="s">
        <v>212</v>
      </c>
      <c r="O1365" s="6">
        <v>0</v>
      </c>
      <c r="P1365" s="6">
        <v>0</v>
      </c>
      <c r="Q1365" s="6">
        <v>30</v>
      </c>
      <c r="R1365" s="6">
        <v>0</v>
      </c>
      <c r="S1365" s="6">
        <v>600</v>
      </c>
    </row>
    <row r="1366" spans="1:19" ht="15" hidden="1" x14ac:dyDescent="0.25">
      <c r="A1366" s="7" t="s">
        <v>16</v>
      </c>
      <c r="B1366" s="7" t="s">
        <v>22</v>
      </c>
      <c r="C1366" s="7" t="s">
        <v>18</v>
      </c>
      <c r="D1366" s="4">
        <v>12568570000161</v>
      </c>
      <c r="E1366" s="8" t="s">
        <v>866</v>
      </c>
      <c r="F1366" s="8" t="s">
        <v>76</v>
      </c>
      <c r="G1366" s="8" t="s">
        <v>77</v>
      </c>
      <c r="H1366" s="8" t="s">
        <v>215</v>
      </c>
      <c r="I1366" s="3">
        <v>2</v>
      </c>
      <c r="J1366" s="8" t="s">
        <v>199</v>
      </c>
      <c r="K1366" s="8" t="s">
        <v>200</v>
      </c>
      <c r="L1366" s="8" t="s">
        <v>556</v>
      </c>
      <c r="M1366" s="1" t="s">
        <v>211</v>
      </c>
      <c r="N1366" s="8" t="s">
        <v>212</v>
      </c>
      <c r="O1366" s="6">
        <v>0</v>
      </c>
      <c r="P1366" s="6">
        <v>0</v>
      </c>
      <c r="Q1366" s="6">
        <v>0</v>
      </c>
      <c r="R1366" s="6">
        <v>0</v>
      </c>
      <c r="S1366" s="6">
        <v>-5</v>
      </c>
    </row>
    <row r="1367" spans="1:19" ht="15" hidden="1" x14ac:dyDescent="0.25">
      <c r="A1367" s="7" t="s">
        <v>16</v>
      </c>
      <c r="B1367" s="7" t="s">
        <v>22</v>
      </c>
      <c r="C1367" s="7" t="s">
        <v>18</v>
      </c>
      <c r="D1367" s="4">
        <v>12568570000161</v>
      </c>
      <c r="E1367" s="8" t="s">
        <v>866</v>
      </c>
      <c r="F1367" s="8" t="s">
        <v>76</v>
      </c>
      <c r="G1367" s="8" t="s">
        <v>77</v>
      </c>
      <c r="H1367" s="8" t="s">
        <v>215</v>
      </c>
      <c r="I1367" s="3">
        <v>2</v>
      </c>
      <c r="J1367" s="8" t="s">
        <v>165</v>
      </c>
      <c r="K1367" s="8" t="s">
        <v>166</v>
      </c>
      <c r="L1367" s="8" t="s">
        <v>557</v>
      </c>
      <c r="M1367" s="1" t="s">
        <v>211</v>
      </c>
      <c r="N1367" s="8" t="s">
        <v>212</v>
      </c>
      <c r="O1367" s="6">
        <v>0</v>
      </c>
      <c r="P1367" s="6">
        <v>0</v>
      </c>
      <c r="Q1367" s="6">
        <v>0</v>
      </c>
      <c r="R1367" s="6">
        <v>0</v>
      </c>
      <c r="S1367" s="6">
        <v>-5</v>
      </c>
    </row>
    <row r="1368" spans="1:19" ht="15" hidden="1" x14ac:dyDescent="0.25">
      <c r="A1368" s="7" t="s">
        <v>16</v>
      </c>
      <c r="B1368" s="7" t="s">
        <v>22</v>
      </c>
      <c r="C1368" s="7" t="s">
        <v>18</v>
      </c>
      <c r="D1368" s="4">
        <v>5867015000175</v>
      </c>
      <c r="E1368" s="8" t="s">
        <v>804</v>
      </c>
      <c r="F1368" s="8" t="s">
        <v>76</v>
      </c>
      <c r="G1368" s="8" t="s">
        <v>77</v>
      </c>
      <c r="H1368" s="8" t="s">
        <v>215</v>
      </c>
      <c r="I1368" s="3">
        <v>2</v>
      </c>
      <c r="J1368" s="8" t="s">
        <v>199</v>
      </c>
      <c r="K1368" s="8" t="s">
        <v>200</v>
      </c>
      <c r="L1368" s="8" t="s">
        <v>556</v>
      </c>
      <c r="M1368" s="1" t="s">
        <v>211</v>
      </c>
      <c r="N1368" s="8" t="s">
        <v>212</v>
      </c>
      <c r="O1368" s="6">
        <v>0</v>
      </c>
      <c r="P1368" s="6">
        <v>0</v>
      </c>
      <c r="Q1368" s="6">
        <v>0</v>
      </c>
      <c r="R1368" s="6">
        <v>8</v>
      </c>
      <c r="S1368" s="6">
        <v>0</v>
      </c>
    </row>
    <row r="1369" spans="1:19" ht="15" hidden="1" x14ac:dyDescent="0.25">
      <c r="A1369" s="7" t="s">
        <v>16</v>
      </c>
      <c r="B1369" s="7" t="s">
        <v>22</v>
      </c>
      <c r="C1369" s="7" t="s">
        <v>18</v>
      </c>
      <c r="D1369" s="4">
        <v>5867015000175</v>
      </c>
      <c r="E1369" s="8" t="s">
        <v>804</v>
      </c>
      <c r="F1369" s="8" t="s">
        <v>76</v>
      </c>
      <c r="G1369" s="8" t="s">
        <v>77</v>
      </c>
      <c r="H1369" s="8" t="s">
        <v>215</v>
      </c>
      <c r="I1369" s="3">
        <v>2</v>
      </c>
      <c r="J1369" s="8" t="s">
        <v>165</v>
      </c>
      <c r="K1369" s="8" t="s">
        <v>166</v>
      </c>
      <c r="L1369" s="8" t="s">
        <v>557</v>
      </c>
      <c r="M1369" s="1" t="s">
        <v>211</v>
      </c>
      <c r="N1369" s="8" t="s">
        <v>212</v>
      </c>
      <c r="O1369" s="6">
        <v>0</v>
      </c>
      <c r="P1369" s="6">
        <v>0</v>
      </c>
      <c r="Q1369" s="6">
        <v>0</v>
      </c>
      <c r="R1369" s="6">
        <v>0</v>
      </c>
      <c r="S1369" s="6">
        <v>0</v>
      </c>
    </row>
    <row r="1370" spans="1:19" ht="15" hidden="1" x14ac:dyDescent="0.25">
      <c r="A1370" s="7" t="s">
        <v>16</v>
      </c>
      <c r="B1370" s="7" t="s">
        <v>22</v>
      </c>
      <c r="C1370" s="7" t="s">
        <v>18</v>
      </c>
      <c r="D1370" s="4">
        <v>12361267008410</v>
      </c>
      <c r="E1370" s="8" t="s">
        <v>854</v>
      </c>
      <c r="F1370" s="8" t="s">
        <v>855</v>
      </c>
      <c r="G1370" s="8" t="s">
        <v>77</v>
      </c>
      <c r="H1370" s="8" t="s">
        <v>215</v>
      </c>
      <c r="I1370" s="3">
        <v>2</v>
      </c>
      <c r="J1370" s="8" t="s">
        <v>199</v>
      </c>
      <c r="K1370" s="8" t="s">
        <v>200</v>
      </c>
      <c r="L1370" s="8" t="s">
        <v>556</v>
      </c>
      <c r="M1370" s="1" t="s">
        <v>211</v>
      </c>
      <c r="N1370" s="8" t="s">
        <v>212</v>
      </c>
      <c r="O1370" s="6">
        <v>0</v>
      </c>
      <c r="P1370" s="6">
        <v>0</v>
      </c>
      <c r="Q1370" s="6">
        <v>0</v>
      </c>
      <c r="R1370" s="6">
        <v>0</v>
      </c>
      <c r="S1370" s="6">
        <v>0</v>
      </c>
    </row>
    <row r="1371" spans="1:19" ht="15" hidden="1" x14ac:dyDescent="0.25">
      <c r="A1371" s="7" t="s">
        <v>16</v>
      </c>
      <c r="B1371" s="7" t="s">
        <v>22</v>
      </c>
      <c r="C1371" s="7" t="s">
        <v>18</v>
      </c>
      <c r="D1371" s="4">
        <v>12361267008410</v>
      </c>
      <c r="E1371" s="8" t="s">
        <v>854</v>
      </c>
      <c r="F1371" s="8" t="s">
        <v>855</v>
      </c>
      <c r="G1371" s="8" t="s">
        <v>77</v>
      </c>
      <c r="H1371" s="8" t="s">
        <v>215</v>
      </c>
      <c r="I1371" s="3">
        <v>2</v>
      </c>
      <c r="J1371" s="8" t="s">
        <v>165</v>
      </c>
      <c r="K1371" s="8" t="s">
        <v>166</v>
      </c>
      <c r="L1371" s="8" t="s">
        <v>557</v>
      </c>
      <c r="M1371" s="1" t="s">
        <v>211</v>
      </c>
      <c r="N1371" s="8" t="s">
        <v>212</v>
      </c>
      <c r="O1371" s="6">
        <v>0</v>
      </c>
      <c r="P1371" s="6">
        <v>2</v>
      </c>
      <c r="Q1371" s="6">
        <v>0</v>
      </c>
      <c r="R1371" s="6">
        <v>0</v>
      </c>
      <c r="S1371" s="6">
        <v>0</v>
      </c>
    </row>
    <row r="1372" spans="1:19" ht="15" hidden="1" x14ac:dyDescent="0.25">
      <c r="A1372" s="7" t="s">
        <v>16</v>
      </c>
      <c r="B1372" s="7" t="s">
        <v>22</v>
      </c>
      <c r="C1372" s="7" t="s">
        <v>18</v>
      </c>
      <c r="D1372" s="4">
        <v>9104513000974</v>
      </c>
      <c r="E1372" s="8" t="s">
        <v>830</v>
      </c>
      <c r="F1372" s="8" t="s">
        <v>739</v>
      </c>
      <c r="G1372" s="8" t="s">
        <v>55</v>
      </c>
      <c r="H1372" s="8" t="s">
        <v>215</v>
      </c>
      <c r="I1372" s="3">
        <v>2</v>
      </c>
      <c r="J1372" s="8" t="s">
        <v>163</v>
      </c>
      <c r="K1372" s="8" t="s">
        <v>164</v>
      </c>
      <c r="L1372" s="8" t="s">
        <v>557</v>
      </c>
      <c r="M1372" s="1" t="s">
        <v>211</v>
      </c>
      <c r="N1372" s="8" t="s">
        <v>212</v>
      </c>
      <c r="O1372" s="6">
        <v>0</v>
      </c>
      <c r="P1372" s="6">
        <v>0</v>
      </c>
      <c r="Q1372" s="6">
        <v>0</v>
      </c>
      <c r="R1372" s="6">
        <v>0</v>
      </c>
      <c r="S1372" s="6">
        <v>515</v>
      </c>
    </row>
    <row r="1373" spans="1:19" ht="15" hidden="1" x14ac:dyDescent="0.25">
      <c r="A1373" s="7" t="s">
        <v>16</v>
      </c>
      <c r="B1373" s="7" t="s">
        <v>22</v>
      </c>
      <c r="C1373" s="7" t="s">
        <v>18</v>
      </c>
      <c r="D1373" s="4">
        <v>9104513000974</v>
      </c>
      <c r="E1373" s="8" t="s">
        <v>830</v>
      </c>
      <c r="F1373" s="8" t="s">
        <v>739</v>
      </c>
      <c r="G1373" s="8" t="s">
        <v>55</v>
      </c>
      <c r="H1373" s="8" t="s">
        <v>215</v>
      </c>
      <c r="I1373" s="3">
        <v>2</v>
      </c>
      <c r="J1373" s="8" t="s">
        <v>201</v>
      </c>
      <c r="K1373" s="8" t="s">
        <v>202</v>
      </c>
      <c r="L1373" s="8" t="s">
        <v>740</v>
      </c>
      <c r="M1373" s="1" t="s">
        <v>211</v>
      </c>
      <c r="N1373" s="8" t="s">
        <v>212</v>
      </c>
      <c r="O1373" s="6">
        <v>0</v>
      </c>
      <c r="P1373" s="6">
        <v>0</v>
      </c>
      <c r="Q1373" s="6">
        <v>0</v>
      </c>
      <c r="R1373" s="6">
        <v>0</v>
      </c>
      <c r="S1373" s="6">
        <v>515</v>
      </c>
    </row>
    <row r="1374" spans="1:19" ht="15" hidden="1" x14ac:dyDescent="0.25">
      <c r="A1374" s="7" t="s">
        <v>16</v>
      </c>
      <c r="B1374" s="7" t="s">
        <v>22</v>
      </c>
      <c r="C1374" s="7" t="s">
        <v>18</v>
      </c>
      <c r="D1374" s="4">
        <v>520237000101</v>
      </c>
      <c r="E1374" s="8" t="s">
        <v>755</v>
      </c>
      <c r="F1374" s="8" t="s">
        <v>739</v>
      </c>
      <c r="G1374" s="8" t="s">
        <v>55</v>
      </c>
      <c r="H1374" s="8" t="s">
        <v>215</v>
      </c>
      <c r="I1374" s="3">
        <v>2</v>
      </c>
      <c r="J1374" s="8" t="s">
        <v>163</v>
      </c>
      <c r="K1374" s="8" t="s">
        <v>164</v>
      </c>
      <c r="L1374" s="8" t="s">
        <v>557</v>
      </c>
      <c r="M1374" s="1" t="s">
        <v>211</v>
      </c>
      <c r="N1374" s="8" t="s">
        <v>212</v>
      </c>
      <c r="O1374" s="6">
        <v>0</v>
      </c>
      <c r="P1374" s="6">
        <v>0</v>
      </c>
      <c r="Q1374" s="6">
        <v>0</v>
      </c>
      <c r="R1374" s="6">
        <v>0</v>
      </c>
      <c r="S1374" s="6">
        <v>150</v>
      </c>
    </row>
    <row r="1375" spans="1:19" ht="15" hidden="1" x14ac:dyDescent="0.25">
      <c r="A1375" s="7" t="s">
        <v>16</v>
      </c>
      <c r="B1375" s="7" t="s">
        <v>22</v>
      </c>
      <c r="C1375" s="7" t="s">
        <v>18</v>
      </c>
      <c r="D1375" s="4">
        <v>520237000101</v>
      </c>
      <c r="E1375" s="8" t="s">
        <v>755</v>
      </c>
      <c r="F1375" s="8" t="s">
        <v>739</v>
      </c>
      <c r="G1375" s="8" t="s">
        <v>55</v>
      </c>
      <c r="H1375" s="8" t="s">
        <v>215</v>
      </c>
      <c r="I1375" s="3">
        <v>2</v>
      </c>
      <c r="J1375" s="8" t="s">
        <v>201</v>
      </c>
      <c r="K1375" s="8" t="s">
        <v>202</v>
      </c>
      <c r="L1375" s="8" t="s">
        <v>740</v>
      </c>
      <c r="M1375" s="1" t="s">
        <v>211</v>
      </c>
      <c r="N1375" s="8" t="s">
        <v>212</v>
      </c>
      <c r="O1375" s="6">
        <v>0</v>
      </c>
      <c r="P1375" s="6">
        <v>0</v>
      </c>
      <c r="Q1375" s="6">
        <v>0</v>
      </c>
      <c r="R1375" s="6">
        <v>155</v>
      </c>
      <c r="S1375" s="6">
        <v>150</v>
      </c>
    </row>
    <row r="1376" spans="1:19" ht="15" hidden="1" x14ac:dyDescent="0.25">
      <c r="A1376" s="7" t="s">
        <v>16</v>
      </c>
      <c r="B1376" s="7" t="s">
        <v>22</v>
      </c>
      <c r="C1376" s="7" t="s">
        <v>18</v>
      </c>
      <c r="D1376" s="4">
        <v>30135335000188</v>
      </c>
      <c r="E1376" s="8" t="s">
        <v>914</v>
      </c>
      <c r="F1376" s="8" t="s">
        <v>739</v>
      </c>
      <c r="G1376" s="8" t="s">
        <v>55</v>
      </c>
      <c r="H1376" s="8" t="s">
        <v>215</v>
      </c>
      <c r="I1376" s="3">
        <v>2</v>
      </c>
      <c r="J1376" s="8" t="s">
        <v>163</v>
      </c>
      <c r="K1376" s="8" t="s">
        <v>164</v>
      </c>
      <c r="L1376" s="8" t="s">
        <v>557</v>
      </c>
      <c r="M1376" s="1" t="s">
        <v>211</v>
      </c>
      <c r="N1376" s="8" t="s">
        <v>212</v>
      </c>
      <c r="O1376" s="6">
        <v>0</v>
      </c>
      <c r="P1376" s="6">
        <v>0</v>
      </c>
      <c r="Q1376" s="6">
        <v>0</v>
      </c>
      <c r="R1376" s="6">
        <v>0</v>
      </c>
      <c r="S1376" s="6">
        <v>455</v>
      </c>
    </row>
    <row r="1377" spans="1:19" ht="15" hidden="1" x14ac:dyDescent="0.25">
      <c r="A1377" s="7" t="s">
        <v>16</v>
      </c>
      <c r="B1377" s="7" t="s">
        <v>22</v>
      </c>
      <c r="C1377" s="7" t="s">
        <v>18</v>
      </c>
      <c r="D1377" s="4">
        <v>30135335000188</v>
      </c>
      <c r="E1377" s="8" t="s">
        <v>914</v>
      </c>
      <c r="F1377" s="8" t="s">
        <v>739</v>
      </c>
      <c r="G1377" s="8" t="s">
        <v>55</v>
      </c>
      <c r="H1377" s="8" t="s">
        <v>215</v>
      </c>
      <c r="I1377" s="3">
        <v>2</v>
      </c>
      <c r="J1377" s="8" t="s">
        <v>201</v>
      </c>
      <c r="K1377" s="8" t="s">
        <v>202</v>
      </c>
      <c r="L1377" s="8" t="s">
        <v>740</v>
      </c>
      <c r="M1377" s="1" t="s">
        <v>211</v>
      </c>
      <c r="N1377" s="8" t="s">
        <v>212</v>
      </c>
      <c r="O1377" s="6">
        <v>0</v>
      </c>
      <c r="P1377" s="6">
        <v>0</v>
      </c>
      <c r="Q1377" s="6">
        <v>0</v>
      </c>
      <c r="R1377" s="6">
        <v>0</v>
      </c>
      <c r="S1377" s="6">
        <v>455</v>
      </c>
    </row>
    <row r="1378" spans="1:19" ht="15" hidden="1" x14ac:dyDescent="0.25">
      <c r="A1378" s="7" t="s">
        <v>16</v>
      </c>
      <c r="B1378" s="7" t="s">
        <v>22</v>
      </c>
      <c r="C1378" s="7" t="s">
        <v>18</v>
      </c>
      <c r="D1378" s="4">
        <v>394544000851</v>
      </c>
      <c r="E1378" s="8" t="s">
        <v>1136</v>
      </c>
      <c r="F1378" s="8" t="s">
        <v>739</v>
      </c>
      <c r="G1378" s="8" t="s">
        <v>55</v>
      </c>
      <c r="H1378" s="8" t="s">
        <v>215</v>
      </c>
      <c r="I1378" s="3">
        <v>2</v>
      </c>
      <c r="J1378" s="8" t="s">
        <v>1380</v>
      </c>
      <c r="K1378" s="8" t="s">
        <v>1381</v>
      </c>
      <c r="L1378" s="8"/>
      <c r="M1378" s="1" t="s">
        <v>1510</v>
      </c>
      <c r="N1378" s="8" t="s">
        <v>1382</v>
      </c>
      <c r="O1378" s="6">
        <v>0</v>
      </c>
      <c r="P1378" s="6">
        <v>0</v>
      </c>
      <c r="Q1378" s="6">
        <v>0</v>
      </c>
      <c r="R1378" s="6">
        <v>0</v>
      </c>
      <c r="S1378" s="6">
        <v>120</v>
      </c>
    </row>
    <row r="1379" spans="1:19" ht="15" hidden="1" x14ac:dyDescent="0.25">
      <c r="A1379" s="7" t="s">
        <v>16</v>
      </c>
      <c r="B1379" s="7" t="s">
        <v>22</v>
      </c>
      <c r="C1379" s="7" t="s">
        <v>18</v>
      </c>
      <c r="D1379" s="4">
        <v>394544000851</v>
      </c>
      <c r="E1379" s="8" t="s">
        <v>1136</v>
      </c>
      <c r="F1379" s="8" t="s">
        <v>739</v>
      </c>
      <c r="G1379" s="8" t="s">
        <v>55</v>
      </c>
      <c r="H1379" s="8" t="s">
        <v>215</v>
      </c>
      <c r="I1379" s="3">
        <v>2</v>
      </c>
      <c r="J1379" s="8" t="s">
        <v>1383</v>
      </c>
      <c r="K1379" s="8" t="s">
        <v>1384</v>
      </c>
      <c r="L1379" s="8"/>
      <c r="M1379" s="1" t="s">
        <v>1510</v>
      </c>
      <c r="N1379" s="8" t="s">
        <v>1382</v>
      </c>
      <c r="O1379" s="6">
        <v>0</v>
      </c>
      <c r="P1379" s="6">
        <v>0</v>
      </c>
      <c r="Q1379" s="6">
        <v>1050</v>
      </c>
      <c r="R1379" s="6">
        <v>0</v>
      </c>
      <c r="S1379" s="6">
        <v>120</v>
      </c>
    </row>
    <row r="1380" spans="1:19" ht="15" hidden="1" x14ac:dyDescent="0.25">
      <c r="A1380" s="7" t="s">
        <v>16</v>
      </c>
      <c r="B1380" s="7" t="s">
        <v>22</v>
      </c>
      <c r="C1380" s="7" t="s">
        <v>18</v>
      </c>
      <c r="D1380" s="4">
        <v>3989821000190</v>
      </c>
      <c r="E1380" s="8" t="s">
        <v>796</v>
      </c>
      <c r="F1380" s="8" t="s">
        <v>739</v>
      </c>
      <c r="G1380" s="8" t="s">
        <v>55</v>
      </c>
      <c r="H1380" s="8" t="s">
        <v>215</v>
      </c>
      <c r="I1380" s="3">
        <v>2</v>
      </c>
      <c r="J1380" s="8" t="s">
        <v>163</v>
      </c>
      <c r="K1380" s="8" t="s">
        <v>164</v>
      </c>
      <c r="L1380" s="8" t="s">
        <v>557</v>
      </c>
      <c r="M1380" s="1" t="s">
        <v>211</v>
      </c>
      <c r="N1380" s="8" t="s">
        <v>212</v>
      </c>
      <c r="O1380" s="6">
        <v>0</v>
      </c>
      <c r="P1380" s="6">
        <v>0</v>
      </c>
      <c r="Q1380" s="6">
        <v>0</v>
      </c>
      <c r="R1380" s="6">
        <v>0</v>
      </c>
      <c r="S1380" s="6">
        <v>45</v>
      </c>
    </row>
    <row r="1381" spans="1:19" ht="15" hidden="1" x14ac:dyDescent="0.25">
      <c r="A1381" s="7" t="s">
        <v>16</v>
      </c>
      <c r="B1381" s="7" t="s">
        <v>22</v>
      </c>
      <c r="C1381" s="7" t="s">
        <v>18</v>
      </c>
      <c r="D1381" s="4">
        <v>3989821000190</v>
      </c>
      <c r="E1381" s="8" t="s">
        <v>796</v>
      </c>
      <c r="F1381" s="8" t="s">
        <v>739</v>
      </c>
      <c r="G1381" s="8" t="s">
        <v>55</v>
      </c>
      <c r="H1381" s="8" t="s">
        <v>215</v>
      </c>
      <c r="I1381" s="3">
        <v>2</v>
      </c>
      <c r="J1381" s="8" t="s">
        <v>201</v>
      </c>
      <c r="K1381" s="8" t="s">
        <v>202</v>
      </c>
      <c r="L1381" s="8" t="s">
        <v>740</v>
      </c>
      <c r="M1381" s="1" t="s">
        <v>211</v>
      </c>
      <c r="N1381" s="8" t="s">
        <v>212</v>
      </c>
      <c r="O1381" s="6">
        <v>0</v>
      </c>
      <c r="P1381" s="6">
        <v>0</v>
      </c>
      <c r="Q1381" s="6">
        <v>0</v>
      </c>
      <c r="R1381" s="6">
        <v>0</v>
      </c>
      <c r="S1381" s="6">
        <v>45</v>
      </c>
    </row>
    <row r="1382" spans="1:19" ht="15" hidden="1" x14ac:dyDescent="0.25">
      <c r="A1382" s="7" t="s">
        <v>16</v>
      </c>
      <c r="B1382" s="7" t="s">
        <v>22</v>
      </c>
      <c r="C1382" s="7" t="s">
        <v>18</v>
      </c>
      <c r="D1382" s="4">
        <v>37108388000159</v>
      </c>
      <c r="E1382" s="8" t="s">
        <v>916</v>
      </c>
      <c r="F1382" s="8" t="s">
        <v>739</v>
      </c>
      <c r="G1382" s="8" t="s">
        <v>55</v>
      </c>
      <c r="H1382" s="8" t="s">
        <v>215</v>
      </c>
      <c r="I1382" s="3">
        <v>2</v>
      </c>
      <c r="J1382" s="8" t="s">
        <v>163</v>
      </c>
      <c r="K1382" s="8" t="s">
        <v>164</v>
      </c>
      <c r="L1382" s="8" t="s">
        <v>557</v>
      </c>
      <c r="M1382" s="1" t="s">
        <v>211</v>
      </c>
      <c r="N1382" s="8" t="s">
        <v>212</v>
      </c>
      <c r="O1382" s="6">
        <v>0</v>
      </c>
      <c r="P1382" s="6">
        <v>30</v>
      </c>
      <c r="Q1382" s="6">
        <v>15</v>
      </c>
      <c r="R1382" s="6">
        <v>0</v>
      </c>
      <c r="S1382" s="6">
        <v>0</v>
      </c>
    </row>
    <row r="1383" spans="1:19" ht="15" hidden="1" x14ac:dyDescent="0.25">
      <c r="A1383" s="7" t="s">
        <v>16</v>
      </c>
      <c r="B1383" s="7" t="s">
        <v>22</v>
      </c>
      <c r="C1383" s="7" t="s">
        <v>18</v>
      </c>
      <c r="D1383" s="4">
        <v>37108388000159</v>
      </c>
      <c r="E1383" s="8" t="s">
        <v>916</v>
      </c>
      <c r="F1383" s="8" t="s">
        <v>739</v>
      </c>
      <c r="G1383" s="8" t="s">
        <v>55</v>
      </c>
      <c r="H1383" s="8" t="s">
        <v>215</v>
      </c>
      <c r="I1383" s="3">
        <v>2</v>
      </c>
      <c r="J1383" s="8" t="s">
        <v>201</v>
      </c>
      <c r="K1383" s="8" t="s">
        <v>202</v>
      </c>
      <c r="L1383" s="8" t="s">
        <v>740</v>
      </c>
      <c r="M1383" s="1" t="s">
        <v>211</v>
      </c>
      <c r="N1383" s="8" t="s">
        <v>212</v>
      </c>
      <c r="O1383" s="6">
        <v>0</v>
      </c>
      <c r="P1383" s="6">
        <v>0</v>
      </c>
      <c r="Q1383" s="6">
        <v>0</v>
      </c>
      <c r="R1383" s="6">
        <v>0</v>
      </c>
      <c r="S1383" s="6">
        <v>0</v>
      </c>
    </row>
    <row r="1384" spans="1:19" ht="15" hidden="1" x14ac:dyDescent="0.25">
      <c r="A1384" s="7" t="s">
        <v>16</v>
      </c>
      <c r="B1384" s="7" t="s">
        <v>22</v>
      </c>
      <c r="C1384" s="7" t="s">
        <v>18</v>
      </c>
      <c r="D1384" s="4">
        <v>29435005004620</v>
      </c>
      <c r="E1384" s="8" t="s">
        <v>911</v>
      </c>
      <c r="F1384" s="8" t="s">
        <v>739</v>
      </c>
      <c r="G1384" s="8" t="s">
        <v>55</v>
      </c>
      <c r="H1384" s="8" t="s">
        <v>215</v>
      </c>
      <c r="I1384" s="3">
        <v>2</v>
      </c>
      <c r="J1384" s="8" t="s">
        <v>163</v>
      </c>
      <c r="K1384" s="8" t="s">
        <v>164</v>
      </c>
      <c r="L1384" s="8" t="s">
        <v>557</v>
      </c>
      <c r="M1384" s="1" t="s">
        <v>211</v>
      </c>
      <c r="N1384" s="8" t="s">
        <v>212</v>
      </c>
      <c r="O1384" s="6">
        <v>0</v>
      </c>
      <c r="P1384" s="6">
        <v>15</v>
      </c>
      <c r="Q1384" s="6">
        <v>1</v>
      </c>
      <c r="R1384" s="6">
        <v>0</v>
      </c>
      <c r="S1384" s="6">
        <v>145</v>
      </c>
    </row>
    <row r="1385" spans="1:19" ht="15" hidden="1" x14ac:dyDescent="0.25">
      <c r="A1385" s="7" t="s">
        <v>16</v>
      </c>
      <c r="B1385" s="7" t="s">
        <v>22</v>
      </c>
      <c r="C1385" s="7" t="s">
        <v>18</v>
      </c>
      <c r="D1385" s="4">
        <v>29435005004620</v>
      </c>
      <c r="E1385" s="8" t="s">
        <v>911</v>
      </c>
      <c r="F1385" s="8" t="s">
        <v>739</v>
      </c>
      <c r="G1385" s="8" t="s">
        <v>55</v>
      </c>
      <c r="H1385" s="8" t="s">
        <v>215</v>
      </c>
      <c r="I1385" s="3">
        <v>2</v>
      </c>
      <c r="J1385" s="8" t="s">
        <v>201</v>
      </c>
      <c r="K1385" s="8" t="s">
        <v>202</v>
      </c>
      <c r="L1385" s="8" t="s">
        <v>740</v>
      </c>
      <c r="M1385" s="1" t="s">
        <v>211</v>
      </c>
      <c r="N1385" s="8" t="s">
        <v>212</v>
      </c>
      <c r="O1385" s="6">
        <v>0</v>
      </c>
      <c r="P1385" s="6">
        <v>0</v>
      </c>
      <c r="Q1385" s="6">
        <v>0</v>
      </c>
      <c r="R1385" s="6">
        <v>0</v>
      </c>
      <c r="S1385" s="6">
        <v>145</v>
      </c>
    </row>
    <row r="1386" spans="1:19" ht="15" hidden="1" x14ac:dyDescent="0.25">
      <c r="A1386" s="7" t="s">
        <v>16</v>
      </c>
      <c r="B1386" s="7" t="s">
        <v>22</v>
      </c>
      <c r="C1386" s="7" t="s">
        <v>18</v>
      </c>
      <c r="D1386" s="4">
        <v>2560878000107</v>
      </c>
      <c r="E1386" s="8" t="s">
        <v>781</v>
      </c>
      <c r="F1386" s="8" t="s">
        <v>739</v>
      </c>
      <c r="G1386" s="8" t="s">
        <v>55</v>
      </c>
      <c r="H1386" s="8" t="s">
        <v>215</v>
      </c>
      <c r="I1386" s="3">
        <v>2</v>
      </c>
      <c r="J1386" s="8" t="s">
        <v>163</v>
      </c>
      <c r="K1386" s="8" t="s">
        <v>164</v>
      </c>
      <c r="L1386" s="8" t="s">
        <v>557</v>
      </c>
      <c r="M1386" s="1" t="s">
        <v>211</v>
      </c>
      <c r="N1386" s="8" t="s">
        <v>212</v>
      </c>
      <c r="O1386" s="6">
        <v>0</v>
      </c>
      <c r="P1386" s="6">
        <v>4</v>
      </c>
      <c r="Q1386" s="6">
        <v>0</v>
      </c>
      <c r="R1386" s="6">
        <v>0</v>
      </c>
      <c r="S1386" s="6">
        <v>135</v>
      </c>
    </row>
    <row r="1387" spans="1:19" ht="15" hidden="1" x14ac:dyDescent="0.25">
      <c r="A1387" s="7" t="s">
        <v>16</v>
      </c>
      <c r="B1387" s="7" t="s">
        <v>22</v>
      </c>
      <c r="C1387" s="7" t="s">
        <v>18</v>
      </c>
      <c r="D1387" s="4">
        <v>2560878000107</v>
      </c>
      <c r="E1387" s="8" t="s">
        <v>781</v>
      </c>
      <c r="F1387" s="8" t="s">
        <v>739</v>
      </c>
      <c r="G1387" s="8" t="s">
        <v>55</v>
      </c>
      <c r="H1387" s="8" t="s">
        <v>215</v>
      </c>
      <c r="I1387" s="3">
        <v>2</v>
      </c>
      <c r="J1387" s="8" t="s">
        <v>201</v>
      </c>
      <c r="K1387" s="8" t="s">
        <v>202</v>
      </c>
      <c r="L1387" s="8" t="s">
        <v>740</v>
      </c>
      <c r="M1387" s="1" t="s">
        <v>211</v>
      </c>
      <c r="N1387" s="8" t="s">
        <v>212</v>
      </c>
      <c r="O1387" s="6">
        <v>0</v>
      </c>
      <c r="P1387" s="6">
        <v>0</v>
      </c>
      <c r="Q1387" s="6">
        <v>0</v>
      </c>
      <c r="R1387" s="6">
        <v>0</v>
      </c>
      <c r="S1387" s="6">
        <v>135</v>
      </c>
    </row>
    <row r="1388" spans="1:19" ht="15" hidden="1" x14ac:dyDescent="0.25">
      <c r="A1388" s="7" t="s">
        <v>16</v>
      </c>
      <c r="B1388" s="7" t="s">
        <v>22</v>
      </c>
      <c r="C1388" s="7" t="s">
        <v>18</v>
      </c>
      <c r="D1388" s="4">
        <v>60884855002289</v>
      </c>
      <c r="E1388" s="8" t="s">
        <v>920</v>
      </c>
      <c r="F1388" s="8" t="s">
        <v>739</v>
      </c>
      <c r="G1388" s="8" t="s">
        <v>55</v>
      </c>
      <c r="H1388" s="8" t="s">
        <v>215</v>
      </c>
      <c r="I1388" s="3">
        <v>2</v>
      </c>
      <c r="J1388" s="8" t="s">
        <v>163</v>
      </c>
      <c r="K1388" s="8" t="s">
        <v>164</v>
      </c>
      <c r="L1388" s="8" t="s">
        <v>557</v>
      </c>
      <c r="M1388" s="1" t="s">
        <v>211</v>
      </c>
      <c r="N1388" s="8" t="s">
        <v>212</v>
      </c>
      <c r="O1388" s="6">
        <v>0</v>
      </c>
      <c r="P1388" s="6">
        <v>61</v>
      </c>
      <c r="Q1388" s="6">
        <v>38</v>
      </c>
      <c r="R1388" s="6">
        <v>0</v>
      </c>
      <c r="S1388" s="6">
        <v>650</v>
      </c>
    </row>
    <row r="1389" spans="1:19" ht="15" hidden="1" x14ac:dyDescent="0.25">
      <c r="A1389" s="7" t="s">
        <v>16</v>
      </c>
      <c r="B1389" s="7" t="s">
        <v>22</v>
      </c>
      <c r="C1389" s="7" t="s">
        <v>18</v>
      </c>
      <c r="D1389" s="4">
        <v>60884855002289</v>
      </c>
      <c r="E1389" s="8" t="s">
        <v>920</v>
      </c>
      <c r="F1389" s="8" t="s">
        <v>739</v>
      </c>
      <c r="G1389" s="8" t="s">
        <v>55</v>
      </c>
      <c r="H1389" s="8" t="s">
        <v>215</v>
      </c>
      <c r="I1389" s="3">
        <v>2</v>
      </c>
      <c r="J1389" s="8" t="s">
        <v>201</v>
      </c>
      <c r="K1389" s="8" t="s">
        <v>202</v>
      </c>
      <c r="L1389" s="8" t="s">
        <v>740</v>
      </c>
      <c r="M1389" s="1" t="s">
        <v>211</v>
      </c>
      <c r="N1389" s="8" t="s">
        <v>212</v>
      </c>
      <c r="O1389" s="6">
        <v>0</v>
      </c>
      <c r="P1389" s="6">
        <v>0</v>
      </c>
      <c r="Q1389" s="6">
        <v>0</v>
      </c>
      <c r="R1389" s="6">
        <v>0</v>
      </c>
      <c r="S1389" s="6">
        <v>650</v>
      </c>
    </row>
    <row r="1390" spans="1:19" ht="15" hidden="1" x14ac:dyDescent="0.25">
      <c r="A1390" s="7" t="s">
        <v>16</v>
      </c>
      <c r="B1390" s="7" t="s">
        <v>22</v>
      </c>
      <c r="C1390" s="7" t="s">
        <v>18</v>
      </c>
      <c r="D1390" s="4">
        <v>6047087004207</v>
      </c>
      <c r="E1390" s="8" t="s">
        <v>811</v>
      </c>
      <c r="F1390" s="8" t="s">
        <v>739</v>
      </c>
      <c r="G1390" s="8" t="s">
        <v>55</v>
      </c>
      <c r="H1390" s="8" t="s">
        <v>215</v>
      </c>
      <c r="I1390" s="3">
        <v>2</v>
      </c>
      <c r="J1390" s="8" t="s">
        <v>163</v>
      </c>
      <c r="K1390" s="8" t="s">
        <v>164</v>
      </c>
      <c r="L1390" s="8" t="s">
        <v>557</v>
      </c>
      <c r="M1390" s="1" t="s">
        <v>211</v>
      </c>
      <c r="N1390" s="8" t="s">
        <v>212</v>
      </c>
      <c r="O1390" s="6">
        <v>0</v>
      </c>
      <c r="P1390" s="6">
        <v>28</v>
      </c>
      <c r="Q1390" s="6">
        <v>18</v>
      </c>
      <c r="R1390" s="6">
        <v>0</v>
      </c>
      <c r="S1390" s="6">
        <v>0</v>
      </c>
    </row>
    <row r="1391" spans="1:19" ht="15" hidden="1" x14ac:dyDescent="0.25">
      <c r="A1391" s="7" t="s">
        <v>16</v>
      </c>
      <c r="B1391" s="7" t="s">
        <v>22</v>
      </c>
      <c r="C1391" s="7" t="s">
        <v>18</v>
      </c>
      <c r="D1391" s="4">
        <v>6047087004207</v>
      </c>
      <c r="E1391" s="8" t="s">
        <v>811</v>
      </c>
      <c r="F1391" s="8" t="s">
        <v>739</v>
      </c>
      <c r="G1391" s="8" t="s">
        <v>55</v>
      </c>
      <c r="H1391" s="8" t="s">
        <v>215</v>
      </c>
      <c r="I1391" s="3">
        <v>2</v>
      </c>
      <c r="J1391" s="8" t="s">
        <v>201</v>
      </c>
      <c r="K1391" s="8" t="s">
        <v>202</v>
      </c>
      <c r="L1391" s="8" t="s">
        <v>740</v>
      </c>
      <c r="M1391" s="1" t="s">
        <v>211</v>
      </c>
      <c r="N1391" s="8" t="s">
        <v>212</v>
      </c>
      <c r="O1391" s="6">
        <v>0</v>
      </c>
      <c r="P1391" s="6">
        <v>0</v>
      </c>
      <c r="Q1391" s="6">
        <v>0</v>
      </c>
      <c r="R1391" s="6">
        <v>0</v>
      </c>
      <c r="S1391" s="6">
        <v>0</v>
      </c>
    </row>
    <row r="1392" spans="1:19" ht="15" hidden="1" x14ac:dyDescent="0.25">
      <c r="A1392" s="7" t="s">
        <v>16</v>
      </c>
      <c r="B1392" s="7" t="s">
        <v>22</v>
      </c>
      <c r="C1392" s="7" t="s">
        <v>18</v>
      </c>
      <c r="D1392" s="4">
        <v>38000485000196</v>
      </c>
      <c r="E1392" s="8" t="s">
        <v>917</v>
      </c>
      <c r="F1392" s="8" t="s">
        <v>739</v>
      </c>
      <c r="G1392" s="8" t="s">
        <v>55</v>
      </c>
      <c r="H1392" s="8" t="s">
        <v>215</v>
      </c>
      <c r="I1392" s="3">
        <v>2</v>
      </c>
      <c r="J1392" s="8" t="s">
        <v>163</v>
      </c>
      <c r="K1392" s="8" t="s">
        <v>164</v>
      </c>
      <c r="L1392" s="8" t="s">
        <v>557</v>
      </c>
      <c r="M1392" s="1" t="s">
        <v>211</v>
      </c>
      <c r="N1392" s="8" t="s">
        <v>212</v>
      </c>
      <c r="O1392" s="6">
        <v>0</v>
      </c>
      <c r="P1392" s="6">
        <v>0</v>
      </c>
      <c r="Q1392" s="6">
        <v>9</v>
      </c>
      <c r="R1392" s="6">
        <v>0</v>
      </c>
      <c r="S1392" s="6">
        <v>0</v>
      </c>
    </row>
    <row r="1393" spans="1:19" ht="15" hidden="1" x14ac:dyDescent="0.25">
      <c r="A1393" s="7" t="s">
        <v>16</v>
      </c>
      <c r="B1393" s="7" t="s">
        <v>22</v>
      </c>
      <c r="C1393" s="7" t="s">
        <v>18</v>
      </c>
      <c r="D1393" s="4">
        <v>38000485000196</v>
      </c>
      <c r="E1393" s="8" t="s">
        <v>917</v>
      </c>
      <c r="F1393" s="8" t="s">
        <v>739</v>
      </c>
      <c r="G1393" s="8" t="s">
        <v>55</v>
      </c>
      <c r="H1393" s="8" t="s">
        <v>215</v>
      </c>
      <c r="I1393" s="3">
        <v>2</v>
      </c>
      <c r="J1393" s="8" t="s">
        <v>201</v>
      </c>
      <c r="K1393" s="8" t="s">
        <v>202</v>
      </c>
      <c r="L1393" s="8" t="s">
        <v>740</v>
      </c>
      <c r="M1393" s="1" t="s">
        <v>211</v>
      </c>
      <c r="N1393" s="8" t="s">
        <v>212</v>
      </c>
      <c r="O1393" s="6">
        <v>0</v>
      </c>
      <c r="P1393" s="6">
        <v>0</v>
      </c>
      <c r="Q1393" s="6">
        <v>0</v>
      </c>
      <c r="R1393" s="6">
        <v>0</v>
      </c>
      <c r="S1393" s="6">
        <v>0</v>
      </c>
    </row>
    <row r="1394" spans="1:19" ht="15" hidden="1" x14ac:dyDescent="0.25">
      <c r="A1394" s="7" t="s">
        <v>16</v>
      </c>
      <c r="B1394" s="7" t="s">
        <v>22</v>
      </c>
      <c r="C1394" s="7" t="s">
        <v>18</v>
      </c>
      <c r="D1394" s="4">
        <v>49791000144</v>
      </c>
      <c r="E1394" s="8" t="s">
        <v>743</v>
      </c>
      <c r="F1394" s="8" t="s">
        <v>739</v>
      </c>
      <c r="G1394" s="8" t="s">
        <v>55</v>
      </c>
      <c r="H1394" s="8" t="s">
        <v>215</v>
      </c>
      <c r="I1394" s="3">
        <v>2</v>
      </c>
      <c r="J1394" s="8" t="s">
        <v>163</v>
      </c>
      <c r="K1394" s="8" t="s">
        <v>164</v>
      </c>
      <c r="L1394" s="8" t="s">
        <v>557</v>
      </c>
      <c r="M1394" s="1" t="s">
        <v>211</v>
      </c>
      <c r="N1394" s="8" t="s">
        <v>212</v>
      </c>
      <c r="O1394" s="6">
        <v>0</v>
      </c>
      <c r="P1394" s="6">
        <v>1</v>
      </c>
      <c r="Q1394" s="6">
        <v>0</v>
      </c>
      <c r="R1394" s="6">
        <v>0</v>
      </c>
      <c r="S1394" s="6">
        <v>0</v>
      </c>
    </row>
    <row r="1395" spans="1:19" ht="15" hidden="1" x14ac:dyDescent="0.25">
      <c r="A1395" s="7" t="s">
        <v>16</v>
      </c>
      <c r="B1395" s="7" t="s">
        <v>22</v>
      </c>
      <c r="C1395" s="7" t="s">
        <v>18</v>
      </c>
      <c r="D1395" s="4">
        <v>49791000144</v>
      </c>
      <c r="E1395" s="8" t="s">
        <v>743</v>
      </c>
      <c r="F1395" s="8" t="s">
        <v>739</v>
      </c>
      <c r="G1395" s="8" t="s">
        <v>55</v>
      </c>
      <c r="H1395" s="8" t="s">
        <v>215</v>
      </c>
      <c r="I1395" s="3">
        <v>2</v>
      </c>
      <c r="J1395" s="8" t="s">
        <v>201</v>
      </c>
      <c r="K1395" s="8" t="s">
        <v>202</v>
      </c>
      <c r="L1395" s="8" t="s">
        <v>740</v>
      </c>
      <c r="M1395" s="1" t="s">
        <v>211</v>
      </c>
      <c r="N1395" s="8" t="s">
        <v>212</v>
      </c>
      <c r="O1395" s="6">
        <v>0</v>
      </c>
      <c r="P1395" s="6">
        <v>0</v>
      </c>
      <c r="Q1395" s="6">
        <v>0</v>
      </c>
      <c r="R1395" s="6">
        <v>0</v>
      </c>
      <c r="S1395" s="6">
        <v>0</v>
      </c>
    </row>
    <row r="1396" spans="1:19" ht="15" hidden="1" x14ac:dyDescent="0.25">
      <c r="A1396" s="7" t="s">
        <v>16</v>
      </c>
      <c r="B1396" s="7" t="s">
        <v>22</v>
      </c>
      <c r="C1396" s="7" t="s">
        <v>18</v>
      </c>
      <c r="D1396" s="4">
        <v>6047087004126</v>
      </c>
      <c r="E1396" s="8" t="s">
        <v>810</v>
      </c>
      <c r="F1396" s="8" t="s">
        <v>739</v>
      </c>
      <c r="G1396" s="8" t="s">
        <v>55</v>
      </c>
      <c r="H1396" s="8" t="s">
        <v>215</v>
      </c>
      <c r="I1396" s="3">
        <v>2</v>
      </c>
      <c r="J1396" s="8" t="s">
        <v>163</v>
      </c>
      <c r="K1396" s="8" t="s">
        <v>164</v>
      </c>
      <c r="L1396" s="8" t="s">
        <v>557</v>
      </c>
      <c r="M1396" s="1" t="s">
        <v>211</v>
      </c>
      <c r="N1396" s="8" t="s">
        <v>212</v>
      </c>
      <c r="O1396" s="6">
        <v>0</v>
      </c>
      <c r="P1396" s="6">
        <v>3</v>
      </c>
      <c r="Q1396" s="6">
        <v>0</v>
      </c>
      <c r="R1396" s="6">
        <v>0</v>
      </c>
      <c r="S1396" s="6">
        <v>0</v>
      </c>
    </row>
    <row r="1397" spans="1:19" ht="15" hidden="1" x14ac:dyDescent="0.25">
      <c r="A1397" s="7" t="s">
        <v>16</v>
      </c>
      <c r="B1397" s="7" t="s">
        <v>22</v>
      </c>
      <c r="C1397" s="7" t="s">
        <v>18</v>
      </c>
      <c r="D1397" s="4">
        <v>6047087004126</v>
      </c>
      <c r="E1397" s="8" t="s">
        <v>810</v>
      </c>
      <c r="F1397" s="8" t="s">
        <v>739</v>
      </c>
      <c r="G1397" s="8" t="s">
        <v>55</v>
      </c>
      <c r="H1397" s="8" t="s">
        <v>215</v>
      </c>
      <c r="I1397" s="3">
        <v>2</v>
      </c>
      <c r="J1397" s="8" t="s">
        <v>201</v>
      </c>
      <c r="K1397" s="8" t="s">
        <v>202</v>
      </c>
      <c r="L1397" s="8" t="s">
        <v>740</v>
      </c>
      <c r="M1397" s="1" t="s">
        <v>211</v>
      </c>
      <c r="N1397" s="8" t="s">
        <v>212</v>
      </c>
      <c r="O1397" s="6">
        <v>0</v>
      </c>
      <c r="P1397" s="6">
        <v>0</v>
      </c>
      <c r="Q1397" s="6">
        <v>0</v>
      </c>
      <c r="R1397" s="6">
        <v>0</v>
      </c>
      <c r="S1397" s="6">
        <v>0</v>
      </c>
    </row>
    <row r="1398" spans="1:19" ht="15" hidden="1" x14ac:dyDescent="0.25">
      <c r="A1398" s="7" t="s">
        <v>16</v>
      </c>
      <c r="B1398" s="7" t="s">
        <v>22</v>
      </c>
      <c r="C1398" s="7" t="s">
        <v>18</v>
      </c>
      <c r="D1398" s="4">
        <v>610980000144</v>
      </c>
      <c r="E1398" s="8" t="s">
        <v>756</v>
      </c>
      <c r="F1398" s="8" t="s">
        <v>739</v>
      </c>
      <c r="G1398" s="8" t="s">
        <v>55</v>
      </c>
      <c r="H1398" s="8" t="s">
        <v>215</v>
      </c>
      <c r="I1398" s="3">
        <v>2</v>
      </c>
      <c r="J1398" s="8" t="s">
        <v>163</v>
      </c>
      <c r="K1398" s="8" t="s">
        <v>164</v>
      </c>
      <c r="L1398" s="8" t="s">
        <v>557</v>
      </c>
      <c r="M1398" s="1" t="s">
        <v>211</v>
      </c>
      <c r="N1398" s="8" t="s">
        <v>212</v>
      </c>
      <c r="O1398" s="6">
        <v>0</v>
      </c>
      <c r="P1398" s="6">
        <v>12</v>
      </c>
      <c r="Q1398" s="6">
        <v>0</v>
      </c>
      <c r="R1398" s="6">
        <v>0</v>
      </c>
      <c r="S1398" s="6">
        <v>400</v>
      </c>
    </row>
    <row r="1399" spans="1:19" ht="15" hidden="1" x14ac:dyDescent="0.25">
      <c r="A1399" s="7" t="s">
        <v>16</v>
      </c>
      <c r="B1399" s="7" t="s">
        <v>22</v>
      </c>
      <c r="C1399" s="7" t="s">
        <v>18</v>
      </c>
      <c r="D1399" s="4">
        <v>610980000144</v>
      </c>
      <c r="E1399" s="8" t="s">
        <v>756</v>
      </c>
      <c r="F1399" s="8" t="s">
        <v>739</v>
      </c>
      <c r="G1399" s="8" t="s">
        <v>55</v>
      </c>
      <c r="H1399" s="8" t="s">
        <v>215</v>
      </c>
      <c r="I1399" s="3">
        <v>2</v>
      </c>
      <c r="J1399" s="8" t="s">
        <v>201</v>
      </c>
      <c r="K1399" s="8" t="s">
        <v>202</v>
      </c>
      <c r="L1399" s="8" t="s">
        <v>740</v>
      </c>
      <c r="M1399" s="1" t="s">
        <v>211</v>
      </c>
      <c r="N1399" s="8" t="s">
        <v>212</v>
      </c>
      <c r="O1399" s="6">
        <v>0</v>
      </c>
      <c r="P1399" s="6">
        <v>0</v>
      </c>
      <c r="Q1399" s="6">
        <v>0</v>
      </c>
      <c r="R1399" s="6">
        <v>0</v>
      </c>
      <c r="S1399" s="6">
        <v>400</v>
      </c>
    </row>
    <row r="1400" spans="1:19" ht="15" hidden="1" x14ac:dyDescent="0.25">
      <c r="A1400" s="7" t="s">
        <v>16</v>
      </c>
      <c r="B1400" s="7" t="s">
        <v>22</v>
      </c>
      <c r="C1400" s="7" t="s">
        <v>18</v>
      </c>
      <c r="D1400" s="4">
        <v>10942995000163</v>
      </c>
      <c r="E1400" s="8" t="s">
        <v>836</v>
      </c>
      <c r="F1400" s="8" t="s">
        <v>739</v>
      </c>
      <c r="G1400" s="8" t="s">
        <v>55</v>
      </c>
      <c r="H1400" s="8" t="s">
        <v>215</v>
      </c>
      <c r="I1400" s="3">
        <v>2</v>
      </c>
      <c r="J1400" s="8" t="s">
        <v>163</v>
      </c>
      <c r="K1400" s="8" t="s">
        <v>164</v>
      </c>
      <c r="L1400" s="8" t="s">
        <v>557</v>
      </c>
      <c r="M1400" s="1" t="s">
        <v>211</v>
      </c>
      <c r="N1400" s="8" t="s">
        <v>212</v>
      </c>
      <c r="O1400" s="6">
        <v>0</v>
      </c>
      <c r="P1400" s="6">
        <v>0</v>
      </c>
      <c r="Q1400" s="6">
        <v>0</v>
      </c>
      <c r="R1400" s="6">
        <v>0</v>
      </c>
      <c r="S1400" s="6">
        <v>500</v>
      </c>
    </row>
    <row r="1401" spans="1:19" ht="15" hidden="1" x14ac:dyDescent="0.25">
      <c r="A1401" s="7" t="s">
        <v>16</v>
      </c>
      <c r="B1401" s="7" t="s">
        <v>22</v>
      </c>
      <c r="C1401" s="7" t="s">
        <v>18</v>
      </c>
      <c r="D1401" s="4">
        <v>10942995000163</v>
      </c>
      <c r="E1401" s="8" t="s">
        <v>836</v>
      </c>
      <c r="F1401" s="8" t="s">
        <v>739</v>
      </c>
      <c r="G1401" s="8" t="s">
        <v>55</v>
      </c>
      <c r="H1401" s="8" t="s">
        <v>215</v>
      </c>
      <c r="I1401" s="3">
        <v>2</v>
      </c>
      <c r="J1401" s="8" t="s">
        <v>201</v>
      </c>
      <c r="K1401" s="8" t="s">
        <v>202</v>
      </c>
      <c r="L1401" s="8" t="s">
        <v>740</v>
      </c>
      <c r="M1401" s="1" t="s">
        <v>211</v>
      </c>
      <c r="N1401" s="8" t="s">
        <v>212</v>
      </c>
      <c r="O1401" s="6">
        <v>0</v>
      </c>
      <c r="P1401" s="6">
        <v>0</v>
      </c>
      <c r="Q1401" s="6">
        <v>0</v>
      </c>
      <c r="R1401" s="6">
        <v>160</v>
      </c>
      <c r="S1401" s="6">
        <v>500</v>
      </c>
    </row>
    <row r="1402" spans="1:19" ht="15" hidden="1" x14ac:dyDescent="0.25">
      <c r="A1402" s="7" t="s">
        <v>16</v>
      </c>
      <c r="B1402" s="7" t="s">
        <v>22</v>
      </c>
      <c r="C1402" s="7" t="s">
        <v>18</v>
      </c>
      <c r="D1402" s="4">
        <v>11859927000106</v>
      </c>
      <c r="E1402" s="8" t="s">
        <v>846</v>
      </c>
      <c r="F1402" s="8" t="s">
        <v>739</v>
      </c>
      <c r="G1402" s="8" t="s">
        <v>55</v>
      </c>
      <c r="H1402" s="8" t="s">
        <v>215</v>
      </c>
      <c r="I1402" s="3">
        <v>2</v>
      </c>
      <c r="J1402" s="8" t="s">
        <v>163</v>
      </c>
      <c r="K1402" s="8" t="s">
        <v>164</v>
      </c>
      <c r="L1402" s="8" t="s">
        <v>557</v>
      </c>
      <c r="M1402" s="1" t="s">
        <v>211</v>
      </c>
      <c r="N1402" s="8" t="s">
        <v>212</v>
      </c>
      <c r="O1402" s="6">
        <v>0</v>
      </c>
      <c r="P1402" s="6">
        <v>0</v>
      </c>
      <c r="Q1402" s="6">
        <v>0</v>
      </c>
      <c r="R1402" s="6">
        <v>0</v>
      </c>
      <c r="S1402" s="6">
        <v>0</v>
      </c>
    </row>
    <row r="1403" spans="1:19" ht="15" hidden="1" x14ac:dyDescent="0.25">
      <c r="A1403" s="7" t="s">
        <v>16</v>
      </c>
      <c r="B1403" s="7" t="s">
        <v>22</v>
      </c>
      <c r="C1403" s="7" t="s">
        <v>18</v>
      </c>
      <c r="D1403" s="4">
        <v>11859927000106</v>
      </c>
      <c r="E1403" s="8" t="s">
        <v>846</v>
      </c>
      <c r="F1403" s="8" t="s">
        <v>739</v>
      </c>
      <c r="G1403" s="8" t="s">
        <v>55</v>
      </c>
      <c r="H1403" s="8" t="s">
        <v>215</v>
      </c>
      <c r="I1403" s="3">
        <v>2</v>
      </c>
      <c r="J1403" s="8" t="s">
        <v>201</v>
      </c>
      <c r="K1403" s="8" t="s">
        <v>202</v>
      </c>
      <c r="L1403" s="8" t="s">
        <v>740</v>
      </c>
      <c r="M1403" s="1" t="s">
        <v>211</v>
      </c>
      <c r="N1403" s="8" t="s">
        <v>212</v>
      </c>
      <c r="O1403" s="6">
        <v>0</v>
      </c>
      <c r="P1403" s="6">
        <v>0</v>
      </c>
      <c r="Q1403" s="6">
        <v>0</v>
      </c>
      <c r="R1403" s="6">
        <v>45</v>
      </c>
      <c r="S1403" s="6">
        <v>0</v>
      </c>
    </row>
    <row r="1404" spans="1:19" ht="15" hidden="1" x14ac:dyDescent="0.25">
      <c r="A1404" s="7" t="s">
        <v>16</v>
      </c>
      <c r="B1404" s="7" t="s">
        <v>22</v>
      </c>
      <c r="C1404" s="7" t="s">
        <v>18</v>
      </c>
      <c r="D1404" s="4">
        <v>60884855001983</v>
      </c>
      <c r="E1404" s="8" t="s">
        <v>919</v>
      </c>
      <c r="F1404" s="8" t="s">
        <v>739</v>
      </c>
      <c r="G1404" s="8" t="s">
        <v>55</v>
      </c>
      <c r="H1404" s="8" t="s">
        <v>215</v>
      </c>
      <c r="I1404" s="3">
        <v>2</v>
      </c>
      <c r="J1404" s="8" t="s">
        <v>163</v>
      </c>
      <c r="K1404" s="8" t="s">
        <v>164</v>
      </c>
      <c r="L1404" s="8" t="s">
        <v>557</v>
      </c>
      <c r="M1404" s="1" t="s">
        <v>211</v>
      </c>
      <c r="N1404" s="8" t="s">
        <v>212</v>
      </c>
      <c r="O1404" s="6">
        <v>0</v>
      </c>
      <c r="P1404" s="6">
        <v>0</v>
      </c>
      <c r="Q1404" s="6">
        <v>1</v>
      </c>
      <c r="R1404" s="6">
        <v>0</v>
      </c>
      <c r="S1404" s="6">
        <v>0</v>
      </c>
    </row>
    <row r="1405" spans="1:19" ht="15" hidden="1" x14ac:dyDescent="0.25">
      <c r="A1405" s="7" t="s">
        <v>16</v>
      </c>
      <c r="B1405" s="7" t="s">
        <v>22</v>
      </c>
      <c r="C1405" s="7" t="s">
        <v>18</v>
      </c>
      <c r="D1405" s="4">
        <v>60884855001983</v>
      </c>
      <c r="E1405" s="8" t="s">
        <v>919</v>
      </c>
      <c r="F1405" s="8" t="s">
        <v>739</v>
      </c>
      <c r="G1405" s="8" t="s">
        <v>55</v>
      </c>
      <c r="H1405" s="8" t="s">
        <v>215</v>
      </c>
      <c r="I1405" s="3">
        <v>2</v>
      </c>
      <c r="J1405" s="8" t="s">
        <v>201</v>
      </c>
      <c r="K1405" s="8" t="s">
        <v>202</v>
      </c>
      <c r="L1405" s="8" t="s">
        <v>740</v>
      </c>
      <c r="M1405" s="1" t="s">
        <v>211</v>
      </c>
      <c r="N1405" s="8" t="s">
        <v>212</v>
      </c>
      <c r="O1405" s="6">
        <v>0</v>
      </c>
      <c r="P1405" s="6">
        <v>0</v>
      </c>
      <c r="Q1405" s="6">
        <v>0</v>
      </c>
      <c r="R1405" s="6">
        <v>0</v>
      </c>
      <c r="S1405" s="6">
        <v>0</v>
      </c>
    </row>
    <row r="1406" spans="1:19" ht="15" hidden="1" x14ac:dyDescent="0.25">
      <c r="A1406" s="7" t="s">
        <v>16</v>
      </c>
      <c r="B1406" s="7" t="s">
        <v>22</v>
      </c>
      <c r="C1406" s="7" t="s">
        <v>18</v>
      </c>
      <c r="D1406" s="4">
        <v>85465526149</v>
      </c>
      <c r="E1406" s="8" t="s">
        <v>748</v>
      </c>
      <c r="F1406" s="8" t="s">
        <v>739</v>
      </c>
      <c r="G1406" s="8" t="s">
        <v>55</v>
      </c>
      <c r="H1406" s="8" t="s">
        <v>215</v>
      </c>
      <c r="I1406" s="3">
        <v>2</v>
      </c>
      <c r="J1406" s="8" t="s">
        <v>163</v>
      </c>
      <c r="K1406" s="8" t="s">
        <v>164</v>
      </c>
      <c r="L1406" s="8" t="s">
        <v>557</v>
      </c>
      <c r="M1406" s="1" t="s">
        <v>211</v>
      </c>
      <c r="N1406" s="8" t="s">
        <v>212</v>
      </c>
      <c r="O1406" s="6">
        <v>0</v>
      </c>
      <c r="P1406" s="6">
        <v>0</v>
      </c>
      <c r="Q1406" s="6">
        <v>0</v>
      </c>
      <c r="R1406" s="6">
        <v>0</v>
      </c>
      <c r="S1406" s="6">
        <v>0</v>
      </c>
    </row>
    <row r="1407" spans="1:19" ht="15" hidden="1" x14ac:dyDescent="0.25">
      <c r="A1407" s="7" t="s">
        <v>16</v>
      </c>
      <c r="B1407" s="7" t="s">
        <v>22</v>
      </c>
      <c r="C1407" s="7" t="s">
        <v>18</v>
      </c>
      <c r="D1407" s="4">
        <v>85465526149</v>
      </c>
      <c r="E1407" s="8" t="s">
        <v>748</v>
      </c>
      <c r="F1407" s="8" t="s">
        <v>739</v>
      </c>
      <c r="G1407" s="8" t="s">
        <v>55</v>
      </c>
      <c r="H1407" s="8" t="s">
        <v>215</v>
      </c>
      <c r="I1407" s="3">
        <v>2</v>
      </c>
      <c r="J1407" s="8" t="s">
        <v>201</v>
      </c>
      <c r="K1407" s="8" t="s">
        <v>202</v>
      </c>
      <c r="L1407" s="8" t="s">
        <v>740</v>
      </c>
      <c r="M1407" s="1" t="s">
        <v>211</v>
      </c>
      <c r="N1407" s="8" t="s">
        <v>212</v>
      </c>
      <c r="O1407" s="6">
        <v>3</v>
      </c>
      <c r="P1407" s="6">
        <v>0</v>
      </c>
      <c r="Q1407" s="6">
        <v>0</v>
      </c>
      <c r="R1407" s="6">
        <v>0</v>
      </c>
      <c r="S1407" s="6">
        <v>0</v>
      </c>
    </row>
    <row r="1408" spans="1:19" ht="15" hidden="1" x14ac:dyDescent="0.25">
      <c r="A1408" s="7" t="s">
        <v>16</v>
      </c>
      <c r="B1408" s="7" t="s">
        <v>22</v>
      </c>
      <c r="C1408" s="7" t="s">
        <v>18</v>
      </c>
      <c r="D1408" s="4">
        <v>16739984000167</v>
      </c>
      <c r="E1408" s="8" t="s">
        <v>900</v>
      </c>
      <c r="F1408" s="8" t="s">
        <v>739</v>
      </c>
      <c r="G1408" s="8" t="s">
        <v>55</v>
      </c>
      <c r="H1408" s="8" t="s">
        <v>215</v>
      </c>
      <c r="I1408" s="3">
        <v>2</v>
      </c>
      <c r="J1408" s="8" t="s">
        <v>163</v>
      </c>
      <c r="K1408" s="8" t="s">
        <v>164</v>
      </c>
      <c r="L1408" s="8" t="s">
        <v>557</v>
      </c>
      <c r="M1408" s="1" t="s">
        <v>211</v>
      </c>
      <c r="N1408" s="8" t="s">
        <v>212</v>
      </c>
      <c r="O1408" s="6">
        <v>0</v>
      </c>
      <c r="P1408" s="6">
        <v>0</v>
      </c>
      <c r="Q1408" s="6">
        <v>0</v>
      </c>
      <c r="R1408" s="6">
        <v>0</v>
      </c>
      <c r="S1408" s="6">
        <v>0</v>
      </c>
    </row>
    <row r="1409" spans="1:19" ht="15" hidden="1" x14ac:dyDescent="0.25">
      <c r="A1409" s="7" t="s">
        <v>16</v>
      </c>
      <c r="B1409" s="7" t="s">
        <v>22</v>
      </c>
      <c r="C1409" s="7" t="s">
        <v>18</v>
      </c>
      <c r="D1409" s="4">
        <v>16739984000167</v>
      </c>
      <c r="E1409" s="8" t="s">
        <v>900</v>
      </c>
      <c r="F1409" s="8" t="s">
        <v>739</v>
      </c>
      <c r="G1409" s="8" t="s">
        <v>55</v>
      </c>
      <c r="H1409" s="8" t="s">
        <v>215</v>
      </c>
      <c r="I1409" s="3">
        <v>2</v>
      </c>
      <c r="J1409" s="8" t="s">
        <v>201</v>
      </c>
      <c r="K1409" s="8" t="s">
        <v>202</v>
      </c>
      <c r="L1409" s="8" t="s">
        <v>740</v>
      </c>
      <c r="M1409" s="1" t="s">
        <v>211</v>
      </c>
      <c r="N1409" s="8" t="s">
        <v>212</v>
      </c>
      <c r="O1409" s="6">
        <v>0</v>
      </c>
      <c r="P1409" s="6">
        <v>0</v>
      </c>
      <c r="Q1409" s="6">
        <v>0</v>
      </c>
      <c r="R1409" s="6">
        <v>36</v>
      </c>
      <c r="S1409" s="6">
        <v>0</v>
      </c>
    </row>
    <row r="1410" spans="1:19" ht="15" hidden="1" x14ac:dyDescent="0.25">
      <c r="A1410" s="7" t="s">
        <v>16</v>
      </c>
      <c r="B1410" s="7" t="s">
        <v>22</v>
      </c>
      <c r="C1410" s="7" t="s">
        <v>18</v>
      </c>
      <c r="D1410" s="4">
        <v>25841000153</v>
      </c>
      <c r="E1410" s="8" t="s">
        <v>738</v>
      </c>
      <c r="F1410" s="8" t="s">
        <v>739</v>
      </c>
      <c r="G1410" s="8" t="s">
        <v>55</v>
      </c>
      <c r="H1410" s="8" t="s">
        <v>215</v>
      </c>
      <c r="I1410" s="3">
        <v>2</v>
      </c>
      <c r="J1410" s="8" t="s">
        <v>163</v>
      </c>
      <c r="K1410" s="8" t="s">
        <v>164</v>
      </c>
      <c r="L1410" s="8" t="s">
        <v>557</v>
      </c>
      <c r="M1410" s="1" t="s">
        <v>211</v>
      </c>
      <c r="N1410" s="8" t="s">
        <v>212</v>
      </c>
      <c r="O1410" s="6">
        <v>0</v>
      </c>
      <c r="P1410" s="6">
        <v>0</v>
      </c>
      <c r="Q1410" s="6">
        <v>4</v>
      </c>
      <c r="R1410" s="6">
        <v>0</v>
      </c>
      <c r="S1410" s="6">
        <v>0</v>
      </c>
    </row>
    <row r="1411" spans="1:19" ht="15" hidden="1" x14ac:dyDescent="0.25">
      <c r="A1411" s="7" t="s">
        <v>16</v>
      </c>
      <c r="B1411" s="7" t="s">
        <v>22</v>
      </c>
      <c r="C1411" s="7" t="s">
        <v>18</v>
      </c>
      <c r="D1411" s="4">
        <v>25841000153</v>
      </c>
      <c r="E1411" s="8" t="s">
        <v>738</v>
      </c>
      <c r="F1411" s="8" t="s">
        <v>739</v>
      </c>
      <c r="G1411" s="8" t="s">
        <v>55</v>
      </c>
      <c r="H1411" s="8" t="s">
        <v>215</v>
      </c>
      <c r="I1411" s="3">
        <v>2</v>
      </c>
      <c r="J1411" s="8" t="s">
        <v>201</v>
      </c>
      <c r="K1411" s="8" t="s">
        <v>202</v>
      </c>
      <c r="L1411" s="8" t="s">
        <v>740</v>
      </c>
      <c r="M1411" s="1" t="s">
        <v>211</v>
      </c>
      <c r="N1411" s="8" t="s">
        <v>212</v>
      </c>
      <c r="O1411" s="6">
        <v>0</v>
      </c>
      <c r="P1411" s="6">
        <v>0</v>
      </c>
      <c r="Q1411" s="6">
        <v>0</v>
      </c>
      <c r="R1411" s="6">
        <v>0</v>
      </c>
      <c r="S1411" s="6">
        <v>0</v>
      </c>
    </row>
    <row r="1412" spans="1:19" ht="15" hidden="1" x14ac:dyDescent="0.25">
      <c r="A1412" s="7" t="s">
        <v>16</v>
      </c>
      <c r="B1412" s="7" t="s">
        <v>22</v>
      </c>
      <c r="C1412" s="7" t="s">
        <v>18</v>
      </c>
      <c r="D1412" s="4">
        <v>61590410001287</v>
      </c>
      <c r="E1412" s="8" t="s">
        <v>923</v>
      </c>
      <c r="F1412" s="8" t="s">
        <v>739</v>
      </c>
      <c r="G1412" s="8" t="s">
        <v>55</v>
      </c>
      <c r="H1412" s="8" t="s">
        <v>215</v>
      </c>
      <c r="I1412" s="3">
        <v>2</v>
      </c>
      <c r="J1412" s="8" t="s">
        <v>163</v>
      </c>
      <c r="K1412" s="8" t="s">
        <v>164</v>
      </c>
      <c r="L1412" s="8" t="s">
        <v>557</v>
      </c>
      <c r="M1412" s="1" t="s">
        <v>211</v>
      </c>
      <c r="N1412" s="8" t="s">
        <v>212</v>
      </c>
      <c r="O1412" s="6">
        <v>0</v>
      </c>
      <c r="P1412" s="6">
        <v>0</v>
      </c>
      <c r="Q1412" s="6">
        <v>0</v>
      </c>
      <c r="R1412" s="6">
        <v>0</v>
      </c>
      <c r="S1412" s="6">
        <v>170</v>
      </c>
    </row>
    <row r="1413" spans="1:19" ht="15" hidden="1" x14ac:dyDescent="0.25">
      <c r="A1413" s="7" t="s">
        <v>16</v>
      </c>
      <c r="B1413" s="7" t="s">
        <v>22</v>
      </c>
      <c r="C1413" s="7" t="s">
        <v>18</v>
      </c>
      <c r="D1413" s="4">
        <v>61590410001287</v>
      </c>
      <c r="E1413" s="8" t="s">
        <v>923</v>
      </c>
      <c r="F1413" s="8" t="s">
        <v>739</v>
      </c>
      <c r="G1413" s="8" t="s">
        <v>55</v>
      </c>
      <c r="H1413" s="8" t="s">
        <v>215</v>
      </c>
      <c r="I1413" s="3">
        <v>2</v>
      </c>
      <c r="J1413" s="8" t="s">
        <v>201</v>
      </c>
      <c r="K1413" s="8" t="s">
        <v>202</v>
      </c>
      <c r="L1413" s="8" t="s">
        <v>740</v>
      </c>
      <c r="M1413" s="1" t="s">
        <v>211</v>
      </c>
      <c r="N1413" s="8" t="s">
        <v>212</v>
      </c>
      <c r="O1413" s="6">
        <v>0</v>
      </c>
      <c r="P1413" s="6">
        <v>0</v>
      </c>
      <c r="Q1413" s="6">
        <v>0</v>
      </c>
      <c r="R1413" s="6">
        <v>0</v>
      </c>
      <c r="S1413" s="6">
        <v>170</v>
      </c>
    </row>
    <row r="1414" spans="1:19" ht="15" hidden="1" x14ac:dyDescent="0.25">
      <c r="A1414" s="7" t="s">
        <v>16</v>
      </c>
      <c r="B1414" s="7" t="s">
        <v>22</v>
      </c>
      <c r="C1414" s="7" t="s">
        <v>18</v>
      </c>
      <c r="D1414" s="4">
        <v>7039651000134</v>
      </c>
      <c r="E1414" s="8" t="s">
        <v>1153</v>
      </c>
      <c r="F1414" s="8" t="s">
        <v>116</v>
      </c>
      <c r="G1414" s="8" t="s">
        <v>98</v>
      </c>
      <c r="H1414" s="8" t="s">
        <v>215</v>
      </c>
      <c r="I1414" s="3">
        <v>1</v>
      </c>
      <c r="J1414" s="8" t="s">
        <v>159</v>
      </c>
      <c r="K1414" s="8" t="s">
        <v>160</v>
      </c>
      <c r="L1414" s="8" t="s">
        <v>740</v>
      </c>
      <c r="M1414" s="1" t="s">
        <v>205</v>
      </c>
      <c r="N1414" s="8" t="s">
        <v>206</v>
      </c>
      <c r="O1414" s="6">
        <v>0</v>
      </c>
      <c r="P1414" s="6">
        <v>0</v>
      </c>
      <c r="Q1414" s="6">
        <v>0</v>
      </c>
      <c r="R1414" s="6">
        <v>0</v>
      </c>
      <c r="S1414" s="6">
        <v>25</v>
      </c>
    </row>
    <row r="1415" spans="1:19" ht="15" hidden="1" x14ac:dyDescent="0.25">
      <c r="A1415" s="7" t="s">
        <v>16</v>
      </c>
      <c r="B1415" s="7" t="s">
        <v>22</v>
      </c>
      <c r="C1415" s="7" t="s">
        <v>18</v>
      </c>
      <c r="D1415" s="4">
        <v>27080605000358</v>
      </c>
      <c r="E1415" s="8" t="s">
        <v>1205</v>
      </c>
      <c r="F1415" s="8" t="s">
        <v>1206</v>
      </c>
      <c r="G1415" s="8" t="s">
        <v>98</v>
      </c>
      <c r="H1415" s="8" t="s">
        <v>215</v>
      </c>
      <c r="I1415" s="3">
        <v>1</v>
      </c>
      <c r="J1415" s="8" t="s">
        <v>159</v>
      </c>
      <c r="K1415" s="8" t="s">
        <v>160</v>
      </c>
      <c r="L1415" s="8" t="s">
        <v>740</v>
      </c>
      <c r="M1415" s="1" t="s">
        <v>205</v>
      </c>
      <c r="N1415" s="8" t="s">
        <v>206</v>
      </c>
      <c r="O1415" s="6">
        <v>0</v>
      </c>
      <c r="P1415" s="6">
        <v>0</v>
      </c>
      <c r="Q1415" s="6">
        <v>0</v>
      </c>
      <c r="R1415" s="6">
        <v>0</v>
      </c>
      <c r="S1415" s="6">
        <v>200</v>
      </c>
    </row>
    <row r="1416" spans="1:19" ht="15" hidden="1" x14ac:dyDescent="0.25">
      <c r="A1416" s="7" t="s">
        <v>16</v>
      </c>
      <c r="B1416" s="7" t="s">
        <v>22</v>
      </c>
      <c r="C1416" s="7" t="s">
        <v>18</v>
      </c>
      <c r="D1416" s="4">
        <v>27578434001525</v>
      </c>
      <c r="E1416" s="8" t="s">
        <v>1208</v>
      </c>
      <c r="F1416" s="8" t="s">
        <v>1157</v>
      </c>
      <c r="G1416" s="8" t="s">
        <v>98</v>
      </c>
      <c r="H1416" s="8" t="s">
        <v>215</v>
      </c>
      <c r="I1416" s="3">
        <v>1</v>
      </c>
      <c r="J1416" s="8" t="s">
        <v>159</v>
      </c>
      <c r="K1416" s="8" t="s">
        <v>160</v>
      </c>
      <c r="L1416" s="8" t="s">
        <v>740</v>
      </c>
      <c r="M1416" s="1" t="s">
        <v>205</v>
      </c>
      <c r="N1416" s="8" t="s">
        <v>206</v>
      </c>
      <c r="O1416" s="6">
        <v>0</v>
      </c>
      <c r="P1416" s="6">
        <v>0</v>
      </c>
      <c r="Q1416" s="6">
        <v>0</v>
      </c>
      <c r="R1416" s="6">
        <v>0</v>
      </c>
      <c r="S1416" s="6">
        <v>1000</v>
      </c>
    </row>
    <row r="1417" spans="1:19" ht="15" hidden="1" x14ac:dyDescent="0.25">
      <c r="A1417" s="7" t="s">
        <v>16</v>
      </c>
      <c r="B1417" s="7" t="s">
        <v>22</v>
      </c>
      <c r="C1417" s="7" t="s">
        <v>18</v>
      </c>
      <c r="D1417" s="4">
        <v>39387477000107</v>
      </c>
      <c r="E1417" s="8" t="s">
        <v>1218</v>
      </c>
      <c r="F1417" s="8" t="s">
        <v>1157</v>
      </c>
      <c r="G1417" s="8" t="s">
        <v>98</v>
      </c>
      <c r="H1417" s="8" t="s">
        <v>215</v>
      </c>
      <c r="I1417" s="3">
        <v>1</v>
      </c>
      <c r="J1417" s="8" t="s">
        <v>159</v>
      </c>
      <c r="K1417" s="8" t="s">
        <v>160</v>
      </c>
      <c r="L1417" s="8" t="s">
        <v>740</v>
      </c>
      <c r="M1417" s="1" t="s">
        <v>205</v>
      </c>
      <c r="N1417" s="8" t="s">
        <v>206</v>
      </c>
      <c r="O1417" s="6">
        <v>0</v>
      </c>
      <c r="P1417" s="6">
        <v>0</v>
      </c>
      <c r="Q1417" s="6">
        <v>0</v>
      </c>
      <c r="R1417" s="6">
        <v>0</v>
      </c>
      <c r="S1417" s="6">
        <v>350</v>
      </c>
    </row>
    <row r="1418" spans="1:19" ht="15" hidden="1" x14ac:dyDescent="0.25">
      <c r="A1418" s="7" t="s">
        <v>16</v>
      </c>
      <c r="B1418" s="7" t="s">
        <v>22</v>
      </c>
      <c r="C1418" s="7" t="s">
        <v>18</v>
      </c>
      <c r="D1418" s="4">
        <v>10586940000168</v>
      </c>
      <c r="E1418" s="8" t="s">
        <v>1156</v>
      </c>
      <c r="F1418" s="8" t="s">
        <v>1157</v>
      </c>
      <c r="G1418" s="8" t="s">
        <v>98</v>
      </c>
      <c r="H1418" s="8" t="s">
        <v>215</v>
      </c>
      <c r="I1418" s="3">
        <v>1</v>
      </c>
      <c r="J1418" s="8" t="s">
        <v>159</v>
      </c>
      <c r="K1418" s="8" t="s">
        <v>160</v>
      </c>
      <c r="L1418" s="8" t="s">
        <v>740</v>
      </c>
      <c r="M1418" s="1" t="s">
        <v>205</v>
      </c>
      <c r="N1418" s="8" t="s">
        <v>206</v>
      </c>
      <c r="O1418" s="6">
        <v>0</v>
      </c>
      <c r="P1418" s="6">
        <v>25</v>
      </c>
      <c r="Q1418" s="6">
        <v>10</v>
      </c>
      <c r="R1418" s="6">
        <v>98</v>
      </c>
      <c r="S1418" s="6">
        <v>1150</v>
      </c>
    </row>
    <row r="1419" spans="1:19" ht="15" hidden="1" x14ac:dyDescent="0.25">
      <c r="A1419" s="7" t="s">
        <v>16</v>
      </c>
      <c r="B1419" s="7" t="s">
        <v>22</v>
      </c>
      <c r="C1419" s="7" t="s">
        <v>18</v>
      </c>
      <c r="D1419" s="4">
        <v>418954000704</v>
      </c>
      <c r="E1419" s="8" t="s">
        <v>752</v>
      </c>
      <c r="F1419" s="8" t="s">
        <v>753</v>
      </c>
      <c r="G1419" s="8" t="s">
        <v>59</v>
      </c>
      <c r="H1419" s="8" t="s">
        <v>215</v>
      </c>
      <c r="I1419" s="3">
        <v>2</v>
      </c>
      <c r="J1419" s="8" t="s">
        <v>187</v>
      </c>
      <c r="K1419" s="8" t="s">
        <v>188</v>
      </c>
      <c r="L1419" s="8" t="s">
        <v>556</v>
      </c>
      <c r="M1419" s="1" t="s">
        <v>211</v>
      </c>
      <c r="N1419" s="8" t="s">
        <v>212</v>
      </c>
      <c r="O1419" s="6">
        <v>0</v>
      </c>
      <c r="P1419" s="6">
        <v>0</v>
      </c>
      <c r="Q1419" s="6">
        <v>0</v>
      </c>
      <c r="R1419" s="6">
        <v>0</v>
      </c>
      <c r="S1419" s="6">
        <v>0</v>
      </c>
    </row>
    <row r="1420" spans="1:19" ht="15" hidden="1" x14ac:dyDescent="0.25">
      <c r="A1420" s="7" t="s">
        <v>16</v>
      </c>
      <c r="B1420" s="7" t="s">
        <v>22</v>
      </c>
      <c r="C1420" s="7" t="s">
        <v>18</v>
      </c>
      <c r="D1420" s="4">
        <v>418954000704</v>
      </c>
      <c r="E1420" s="8" t="s">
        <v>752</v>
      </c>
      <c r="F1420" s="8" t="s">
        <v>753</v>
      </c>
      <c r="G1420" s="8" t="s">
        <v>59</v>
      </c>
      <c r="H1420" s="8" t="s">
        <v>215</v>
      </c>
      <c r="I1420" s="3">
        <v>2</v>
      </c>
      <c r="J1420" s="8" t="s">
        <v>163</v>
      </c>
      <c r="K1420" s="8" t="s">
        <v>164</v>
      </c>
      <c r="L1420" s="8" t="s">
        <v>557</v>
      </c>
      <c r="M1420" s="1" t="s">
        <v>211</v>
      </c>
      <c r="N1420" s="8" t="s">
        <v>212</v>
      </c>
      <c r="O1420" s="6">
        <v>0</v>
      </c>
      <c r="P1420" s="6">
        <v>20</v>
      </c>
      <c r="Q1420" s="6">
        <v>0</v>
      </c>
      <c r="R1420" s="6">
        <v>0</v>
      </c>
      <c r="S1420" s="6">
        <v>0</v>
      </c>
    </row>
    <row r="1421" spans="1:19" ht="15" hidden="1" x14ac:dyDescent="0.25">
      <c r="A1421" s="7" t="s">
        <v>16</v>
      </c>
      <c r="B1421" s="7" t="s">
        <v>22</v>
      </c>
      <c r="C1421" s="7" t="s">
        <v>18</v>
      </c>
      <c r="D1421" s="4">
        <v>1326206000179</v>
      </c>
      <c r="E1421" s="8" t="s">
        <v>761</v>
      </c>
      <c r="F1421" s="8" t="s">
        <v>762</v>
      </c>
      <c r="G1421" s="8" t="s">
        <v>59</v>
      </c>
      <c r="H1421" s="8" t="s">
        <v>215</v>
      </c>
      <c r="I1421" s="3">
        <v>2</v>
      </c>
      <c r="J1421" s="8" t="s">
        <v>187</v>
      </c>
      <c r="K1421" s="8" t="s">
        <v>188</v>
      </c>
      <c r="L1421" s="8" t="s">
        <v>556</v>
      </c>
      <c r="M1421" s="1" t="s">
        <v>211</v>
      </c>
      <c r="N1421" s="8" t="s">
        <v>212</v>
      </c>
      <c r="O1421" s="6">
        <v>0</v>
      </c>
      <c r="P1421" s="6">
        <v>0</v>
      </c>
      <c r="Q1421" s="6">
        <v>0</v>
      </c>
      <c r="R1421" s="6">
        <v>77</v>
      </c>
      <c r="S1421" s="6">
        <v>0</v>
      </c>
    </row>
    <row r="1422" spans="1:19" ht="15" hidden="1" x14ac:dyDescent="0.25">
      <c r="A1422" s="7" t="s">
        <v>16</v>
      </c>
      <c r="B1422" s="7" t="s">
        <v>22</v>
      </c>
      <c r="C1422" s="7" t="s">
        <v>18</v>
      </c>
      <c r="D1422" s="4">
        <v>1326206000179</v>
      </c>
      <c r="E1422" s="8" t="s">
        <v>761</v>
      </c>
      <c r="F1422" s="8" t="s">
        <v>762</v>
      </c>
      <c r="G1422" s="8" t="s">
        <v>59</v>
      </c>
      <c r="H1422" s="8" t="s">
        <v>215</v>
      </c>
      <c r="I1422" s="3">
        <v>2</v>
      </c>
      <c r="J1422" s="8" t="s">
        <v>163</v>
      </c>
      <c r="K1422" s="8" t="s">
        <v>164</v>
      </c>
      <c r="L1422" s="8" t="s">
        <v>557</v>
      </c>
      <c r="M1422" s="1" t="s">
        <v>211</v>
      </c>
      <c r="N1422" s="8" t="s">
        <v>212</v>
      </c>
      <c r="O1422" s="6">
        <v>0</v>
      </c>
      <c r="P1422" s="6">
        <v>0</v>
      </c>
      <c r="Q1422" s="6">
        <v>0</v>
      </c>
      <c r="R1422" s="6">
        <v>0</v>
      </c>
      <c r="S1422" s="6">
        <v>0</v>
      </c>
    </row>
    <row r="1423" spans="1:19" ht="15" hidden="1" x14ac:dyDescent="0.25">
      <c r="A1423" s="7" t="s">
        <v>16</v>
      </c>
      <c r="B1423" s="7" t="s">
        <v>22</v>
      </c>
      <c r="C1423" s="7" t="s">
        <v>18</v>
      </c>
      <c r="D1423" s="4">
        <v>2476067000394</v>
      </c>
      <c r="E1423" s="8" t="s">
        <v>780</v>
      </c>
      <c r="F1423" s="8" t="s">
        <v>745</v>
      </c>
      <c r="G1423" s="8" t="s">
        <v>59</v>
      </c>
      <c r="H1423" s="8" t="s">
        <v>215</v>
      </c>
      <c r="I1423" s="3">
        <v>2</v>
      </c>
      <c r="J1423" s="8" t="s">
        <v>187</v>
      </c>
      <c r="K1423" s="8" t="s">
        <v>188</v>
      </c>
      <c r="L1423" s="8" t="s">
        <v>556</v>
      </c>
      <c r="M1423" s="1" t="s">
        <v>211</v>
      </c>
      <c r="N1423" s="8" t="s">
        <v>212</v>
      </c>
      <c r="O1423" s="6">
        <v>0</v>
      </c>
      <c r="P1423" s="6">
        <v>0</v>
      </c>
      <c r="Q1423" s="6">
        <v>0</v>
      </c>
      <c r="R1423" s="6">
        <v>0</v>
      </c>
      <c r="S1423" s="6">
        <v>70</v>
      </c>
    </row>
    <row r="1424" spans="1:19" ht="15" hidden="1" x14ac:dyDescent="0.25">
      <c r="A1424" s="7" t="s">
        <v>16</v>
      </c>
      <c r="B1424" s="7" t="s">
        <v>22</v>
      </c>
      <c r="C1424" s="7" t="s">
        <v>18</v>
      </c>
      <c r="D1424" s="4">
        <v>2476067000394</v>
      </c>
      <c r="E1424" s="8" t="s">
        <v>780</v>
      </c>
      <c r="F1424" s="8" t="s">
        <v>745</v>
      </c>
      <c r="G1424" s="8" t="s">
        <v>59</v>
      </c>
      <c r="H1424" s="8" t="s">
        <v>215</v>
      </c>
      <c r="I1424" s="3">
        <v>2</v>
      </c>
      <c r="J1424" s="8" t="s">
        <v>163</v>
      </c>
      <c r="K1424" s="8" t="s">
        <v>164</v>
      </c>
      <c r="L1424" s="8" t="s">
        <v>557</v>
      </c>
      <c r="M1424" s="1" t="s">
        <v>211</v>
      </c>
      <c r="N1424" s="8" t="s">
        <v>212</v>
      </c>
      <c r="O1424" s="6">
        <v>0</v>
      </c>
      <c r="P1424" s="6">
        <v>0</v>
      </c>
      <c r="Q1424" s="6">
        <v>0</v>
      </c>
      <c r="R1424" s="6">
        <v>0</v>
      </c>
      <c r="S1424" s="6">
        <v>70</v>
      </c>
    </row>
    <row r="1425" spans="1:19" ht="15" hidden="1" x14ac:dyDescent="0.25">
      <c r="A1425" s="7" t="s">
        <v>16</v>
      </c>
      <c r="B1425" s="7" t="s">
        <v>22</v>
      </c>
      <c r="C1425" s="7" t="s">
        <v>18</v>
      </c>
      <c r="D1425" s="4">
        <v>418954000119</v>
      </c>
      <c r="E1425" s="8" t="s">
        <v>751</v>
      </c>
      <c r="F1425" s="8" t="s">
        <v>745</v>
      </c>
      <c r="G1425" s="8" t="s">
        <v>59</v>
      </c>
      <c r="H1425" s="8" t="s">
        <v>215</v>
      </c>
      <c r="I1425" s="3">
        <v>2</v>
      </c>
      <c r="J1425" s="8" t="s">
        <v>187</v>
      </c>
      <c r="K1425" s="8" t="s">
        <v>188</v>
      </c>
      <c r="L1425" s="8" t="s">
        <v>556</v>
      </c>
      <c r="M1425" s="1" t="s">
        <v>211</v>
      </c>
      <c r="N1425" s="8" t="s">
        <v>212</v>
      </c>
      <c r="O1425" s="6">
        <v>0</v>
      </c>
      <c r="P1425" s="6">
        <v>0</v>
      </c>
      <c r="Q1425" s="6">
        <v>0</v>
      </c>
      <c r="R1425" s="6">
        <v>0</v>
      </c>
      <c r="S1425" s="6">
        <v>0</v>
      </c>
    </row>
    <row r="1426" spans="1:19" ht="15" hidden="1" x14ac:dyDescent="0.25">
      <c r="A1426" s="7" t="s">
        <v>16</v>
      </c>
      <c r="B1426" s="7" t="s">
        <v>22</v>
      </c>
      <c r="C1426" s="7" t="s">
        <v>18</v>
      </c>
      <c r="D1426" s="4">
        <v>418954000119</v>
      </c>
      <c r="E1426" s="8" t="s">
        <v>751</v>
      </c>
      <c r="F1426" s="8" t="s">
        <v>745</v>
      </c>
      <c r="G1426" s="8" t="s">
        <v>59</v>
      </c>
      <c r="H1426" s="8" t="s">
        <v>215</v>
      </c>
      <c r="I1426" s="3">
        <v>2</v>
      </c>
      <c r="J1426" s="8" t="s">
        <v>163</v>
      </c>
      <c r="K1426" s="8" t="s">
        <v>164</v>
      </c>
      <c r="L1426" s="8" t="s">
        <v>557</v>
      </c>
      <c r="M1426" s="1" t="s">
        <v>211</v>
      </c>
      <c r="N1426" s="8" t="s">
        <v>212</v>
      </c>
      <c r="O1426" s="6">
        <v>0</v>
      </c>
      <c r="P1426" s="6">
        <v>18</v>
      </c>
      <c r="Q1426" s="6">
        <v>0</v>
      </c>
      <c r="R1426" s="6">
        <v>0</v>
      </c>
      <c r="S1426" s="6">
        <v>0</v>
      </c>
    </row>
    <row r="1427" spans="1:19" ht="15" hidden="1" x14ac:dyDescent="0.25">
      <c r="A1427" s="7" t="s">
        <v>16</v>
      </c>
      <c r="B1427" s="7" t="s">
        <v>22</v>
      </c>
      <c r="C1427" s="7" t="s">
        <v>18</v>
      </c>
      <c r="D1427" s="4">
        <v>5919720000179</v>
      </c>
      <c r="E1427" s="8" t="s">
        <v>808</v>
      </c>
      <c r="F1427" s="8" t="s">
        <v>745</v>
      </c>
      <c r="G1427" s="8" t="s">
        <v>59</v>
      </c>
      <c r="H1427" s="8" t="s">
        <v>215</v>
      </c>
      <c r="I1427" s="3">
        <v>2</v>
      </c>
      <c r="J1427" s="8" t="s">
        <v>187</v>
      </c>
      <c r="K1427" s="8" t="s">
        <v>188</v>
      </c>
      <c r="L1427" s="8" t="s">
        <v>556</v>
      </c>
      <c r="M1427" s="1" t="s">
        <v>211</v>
      </c>
      <c r="N1427" s="8" t="s">
        <v>212</v>
      </c>
      <c r="O1427" s="6">
        <v>0</v>
      </c>
      <c r="P1427" s="6">
        <v>0</v>
      </c>
      <c r="Q1427" s="6">
        <v>0</v>
      </c>
      <c r="R1427" s="6">
        <v>0</v>
      </c>
      <c r="S1427" s="6">
        <v>25</v>
      </c>
    </row>
    <row r="1428" spans="1:19" ht="15" hidden="1" x14ac:dyDescent="0.25">
      <c r="A1428" s="7" t="s">
        <v>16</v>
      </c>
      <c r="B1428" s="7" t="s">
        <v>22</v>
      </c>
      <c r="C1428" s="7" t="s">
        <v>18</v>
      </c>
      <c r="D1428" s="4">
        <v>5919720000179</v>
      </c>
      <c r="E1428" s="8" t="s">
        <v>808</v>
      </c>
      <c r="F1428" s="8" t="s">
        <v>745</v>
      </c>
      <c r="G1428" s="8" t="s">
        <v>59</v>
      </c>
      <c r="H1428" s="8" t="s">
        <v>215</v>
      </c>
      <c r="I1428" s="3">
        <v>2</v>
      </c>
      <c r="J1428" s="8" t="s">
        <v>163</v>
      </c>
      <c r="K1428" s="8" t="s">
        <v>164</v>
      </c>
      <c r="L1428" s="8" t="s">
        <v>557</v>
      </c>
      <c r="M1428" s="1" t="s">
        <v>211</v>
      </c>
      <c r="N1428" s="8" t="s">
        <v>212</v>
      </c>
      <c r="O1428" s="6">
        <v>0</v>
      </c>
      <c r="P1428" s="6">
        <v>0</v>
      </c>
      <c r="Q1428" s="6">
        <v>0</v>
      </c>
      <c r="R1428" s="6">
        <v>0</v>
      </c>
      <c r="S1428" s="6">
        <v>25</v>
      </c>
    </row>
    <row r="1429" spans="1:19" ht="15" hidden="1" x14ac:dyDescent="0.25">
      <c r="A1429" s="7" t="s">
        <v>16</v>
      </c>
      <c r="B1429" s="7" t="s">
        <v>22</v>
      </c>
      <c r="C1429" s="7" t="s">
        <v>18</v>
      </c>
      <c r="D1429" s="4">
        <v>1656123000148</v>
      </c>
      <c r="E1429" s="8" t="s">
        <v>768</v>
      </c>
      <c r="F1429" s="8" t="s">
        <v>745</v>
      </c>
      <c r="G1429" s="8" t="s">
        <v>59</v>
      </c>
      <c r="H1429" s="8" t="s">
        <v>215</v>
      </c>
      <c r="I1429" s="3">
        <v>2</v>
      </c>
      <c r="J1429" s="8" t="s">
        <v>187</v>
      </c>
      <c r="K1429" s="8" t="s">
        <v>188</v>
      </c>
      <c r="L1429" s="8" t="s">
        <v>556</v>
      </c>
      <c r="M1429" s="1" t="s">
        <v>211</v>
      </c>
      <c r="N1429" s="8" t="s">
        <v>212</v>
      </c>
      <c r="O1429" s="6">
        <v>0</v>
      </c>
      <c r="P1429" s="6">
        <v>0</v>
      </c>
      <c r="Q1429" s="6">
        <v>0</v>
      </c>
      <c r="R1429" s="6">
        <v>0</v>
      </c>
      <c r="S1429" s="6">
        <v>90</v>
      </c>
    </row>
    <row r="1430" spans="1:19" ht="15" hidden="1" x14ac:dyDescent="0.25">
      <c r="A1430" s="7" t="s">
        <v>16</v>
      </c>
      <c r="B1430" s="7" t="s">
        <v>22</v>
      </c>
      <c r="C1430" s="7" t="s">
        <v>18</v>
      </c>
      <c r="D1430" s="4">
        <v>1656123000148</v>
      </c>
      <c r="E1430" s="8" t="s">
        <v>768</v>
      </c>
      <c r="F1430" s="8" t="s">
        <v>745</v>
      </c>
      <c r="G1430" s="8" t="s">
        <v>59</v>
      </c>
      <c r="H1430" s="8" t="s">
        <v>215</v>
      </c>
      <c r="I1430" s="3">
        <v>2</v>
      </c>
      <c r="J1430" s="8" t="s">
        <v>163</v>
      </c>
      <c r="K1430" s="8" t="s">
        <v>164</v>
      </c>
      <c r="L1430" s="8" t="s">
        <v>557</v>
      </c>
      <c r="M1430" s="1" t="s">
        <v>211</v>
      </c>
      <c r="N1430" s="8" t="s">
        <v>212</v>
      </c>
      <c r="O1430" s="6">
        <v>0</v>
      </c>
      <c r="P1430" s="6">
        <v>0</v>
      </c>
      <c r="Q1430" s="6">
        <v>0</v>
      </c>
      <c r="R1430" s="6">
        <v>0</v>
      </c>
      <c r="S1430" s="6">
        <v>90</v>
      </c>
    </row>
    <row r="1431" spans="1:19" ht="15" hidden="1" x14ac:dyDescent="0.25">
      <c r="A1431" s="7" t="s">
        <v>16</v>
      </c>
      <c r="B1431" s="7" t="s">
        <v>22</v>
      </c>
      <c r="C1431" s="7" t="s">
        <v>18</v>
      </c>
      <c r="D1431" s="4">
        <v>1277573000120</v>
      </c>
      <c r="E1431" s="8" t="s">
        <v>760</v>
      </c>
      <c r="F1431" s="8" t="s">
        <v>745</v>
      </c>
      <c r="G1431" s="8" t="s">
        <v>59</v>
      </c>
      <c r="H1431" s="8" t="s">
        <v>215</v>
      </c>
      <c r="I1431" s="3">
        <v>2</v>
      </c>
      <c r="J1431" s="8" t="s">
        <v>187</v>
      </c>
      <c r="K1431" s="8" t="s">
        <v>188</v>
      </c>
      <c r="L1431" s="8" t="s">
        <v>556</v>
      </c>
      <c r="M1431" s="1" t="s">
        <v>211</v>
      </c>
      <c r="N1431" s="8" t="s">
        <v>212</v>
      </c>
      <c r="O1431" s="6">
        <v>0</v>
      </c>
      <c r="P1431" s="6">
        <v>0</v>
      </c>
      <c r="Q1431" s="6">
        <v>0</v>
      </c>
      <c r="R1431" s="6">
        <v>0</v>
      </c>
      <c r="S1431" s="6">
        <v>0</v>
      </c>
    </row>
    <row r="1432" spans="1:19" ht="15" hidden="1" x14ac:dyDescent="0.25">
      <c r="A1432" s="7" t="s">
        <v>16</v>
      </c>
      <c r="B1432" s="7" t="s">
        <v>22</v>
      </c>
      <c r="C1432" s="7" t="s">
        <v>18</v>
      </c>
      <c r="D1432" s="4">
        <v>1277573000120</v>
      </c>
      <c r="E1432" s="8" t="s">
        <v>760</v>
      </c>
      <c r="F1432" s="8" t="s">
        <v>745</v>
      </c>
      <c r="G1432" s="8" t="s">
        <v>59</v>
      </c>
      <c r="H1432" s="8" t="s">
        <v>215</v>
      </c>
      <c r="I1432" s="3">
        <v>2</v>
      </c>
      <c r="J1432" s="8" t="s">
        <v>163</v>
      </c>
      <c r="K1432" s="8" t="s">
        <v>164</v>
      </c>
      <c r="L1432" s="8" t="s">
        <v>557</v>
      </c>
      <c r="M1432" s="1" t="s">
        <v>211</v>
      </c>
      <c r="N1432" s="8" t="s">
        <v>212</v>
      </c>
      <c r="O1432" s="6">
        <v>0</v>
      </c>
      <c r="P1432" s="6">
        <v>9</v>
      </c>
      <c r="Q1432" s="6">
        <v>0</v>
      </c>
      <c r="R1432" s="6">
        <v>0</v>
      </c>
      <c r="S1432" s="6">
        <v>0</v>
      </c>
    </row>
    <row r="1433" spans="1:19" ht="15" hidden="1" x14ac:dyDescent="0.25">
      <c r="A1433" s="7" t="s">
        <v>16</v>
      </c>
      <c r="B1433" s="7" t="s">
        <v>22</v>
      </c>
      <c r="C1433" s="7" t="s">
        <v>18</v>
      </c>
      <c r="D1433" s="4">
        <v>1011865000116</v>
      </c>
      <c r="E1433" s="8" t="s">
        <v>759</v>
      </c>
      <c r="F1433" s="8" t="s">
        <v>745</v>
      </c>
      <c r="G1433" s="8" t="s">
        <v>59</v>
      </c>
      <c r="H1433" s="8" t="s">
        <v>215</v>
      </c>
      <c r="I1433" s="3">
        <v>2</v>
      </c>
      <c r="J1433" s="8" t="s">
        <v>187</v>
      </c>
      <c r="K1433" s="8" t="s">
        <v>188</v>
      </c>
      <c r="L1433" s="8" t="s">
        <v>556</v>
      </c>
      <c r="M1433" s="1" t="s">
        <v>211</v>
      </c>
      <c r="N1433" s="8" t="s">
        <v>212</v>
      </c>
      <c r="O1433" s="6">
        <v>0</v>
      </c>
      <c r="P1433" s="6">
        <v>0</v>
      </c>
      <c r="Q1433" s="6">
        <v>0</v>
      </c>
      <c r="R1433" s="6">
        <v>0</v>
      </c>
      <c r="S1433" s="6">
        <v>250</v>
      </c>
    </row>
    <row r="1434" spans="1:19" ht="15" hidden="1" x14ac:dyDescent="0.25">
      <c r="A1434" s="7" t="s">
        <v>16</v>
      </c>
      <c r="B1434" s="7" t="s">
        <v>22</v>
      </c>
      <c r="C1434" s="7" t="s">
        <v>18</v>
      </c>
      <c r="D1434" s="4">
        <v>1011865000116</v>
      </c>
      <c r="E1434" s="8" t="s">
        <v>759</v>
      </c>
      <c r="F1434" s="8" t="s">
        <v>745</v>
      </c>
      <c r="G1434" s="8" t="s">
        <v>59</v>
      </c>
      <c r="H1434" s="8" t="s">
        <v>215</v>
      </c>
      <c r="I1434" s="3">
        <v>2</v>
      </c>
      <c r="J1434" s="8" t="s">
        <v>163</v>
      </c>
      <c r="K1434" s="8" t="s">
        <v>164</v>
      </c>
      <c r="L1434" s="8" t="s">
        <v>557</v>
      </c>
      <c r="M1434" s="1" t="s">
        <v>211</v>
      </c>
      <c r="N1434" s="8" t="s">
        <v>212</v>
      </c>
      <c r="O1434" s="6">
        <v>0</v>
      </c>
      <c r="P1434" s="6">
        <v>0</v>
      </c>
      <c r="Q1434" s="6">
        <v>0</v>
      </c>
      <c r="R1434" s="6">
        <v>0</v>
      </c>
      <c r="S1434" s="6">
        <v>250</v>
      </c>
    </row>
    <row r="1435" spans="1:19" ht="15" hidden="1" x14ac:dyDescent="0.25">
      <c r="A1435" s="7" t="s">
        <v>16</v>
      </c>
      <c r="B1435" s="7" t="s">
        <v>22</v>
      </c>
      <c r="C1435" s="7" t="s">
        <v>18</v>
      </c>
      <c r="D1435" s="4">
        <v>1570589000126</v>
      </c>
      <c r="E1435" s="8" t="s">
        <v>766</v>
      </c>
      <c r="F1435" s="8" t="s">
        <v>745</v>
      </c>
      <c r="G1435" s="8" t="s">
        <v>59</v>
      </c>
      <c r="H1435" s="8" t="s">
        <v>215</v>
      </c>
      <c r="I1435" s="3">
        <v>2</v>
      </c>
      <c r="J1435" s="8" t="s">
        <v>187</v>
      </c>
      <c r="K1435" s="8" t="s">
        <v>188</v>
      </c>
      <c r="L1435" s="8" t="s">
        <v>556</v>
      </c>
      <c r="M1435" s="1" t="s">
        <v>211</v>
      </c>
      <c r="N1435" s="8" t="s">
        <v>212</v>
      </c>
      <c r="O1435" s="6">
        <v>0</v>
      </c>
      <c r="P1435" s="6">
        <v>0</v>
      </c>
      <c r="Q1435" s="6">
        <v>0</v>
      </c>
      <c r="R1435" s="6">
        <v>0</v>
      </c>
      <c r="S1435" s="6">
        <v>190</v>
      </c>
    </row>
    <row r="1436" spans="1:19" ht="15" hidden="1" x14ac:dyDescent="0.25">
      <c r="A1436" s="7" t="s">
        <v>16</v>
      </c>
      <c r="B1436" s="7" t="s">
        <v>22</v>
      </c>
      <c r="C1436" s="7" t="s">
        <v>18</v>
      </c>
      <c r="D1436" s="4">
        <v>1570589000126</v>
      </c>
      <c r="E1436" s="8" t="s">
        <v>766</v>
      </c>
      <c r="F1436" s="8" t="s">
        <v>745</v>
      </c>
      <c r="G1436" s="8" t="s">
        <v>59</v>
      </c>
      <c r="H1436" s="8" t="s">
        <v>215</v>
      </c>
      <c r="I1436" s="3">
        <v>2</v>
      </c>
      <c r="J1436" s="8" t="s">
        <v>163</v>
      </c>
      <c r="K1436" s="8" t="s">
        <v>164</v>
      </c>
      <c r="L1436" s="8" t="s">
        <v>557</v>
      </c>
      <c r="M1436" s="1" t="s">
        <v>211</v>
      </c>
      <c r="N1436" s="8" t="s">
        <v>212</v>
      </c>
      <c r="O1436" s="6">
        <v>0</v>
      </c>
      <c r="P1436" s="6">
        <v>0</v>
      </c>
      <c r="Q1436" s="6">
        <v>0</v>
      </c>
      <c r="R1436" s="6">
        <v>0</v>
      </c>
      <c r="S1436" s="6">
        <v>190</v>
      </c>
    </row>
    <row r="1437" spans="1:19" ht="15" hidden="1" x14ac:dyDescent="0.25">
      <c r="A1437" s="7" t="s">
        <v>16</v>
      </c>
      <c r="B1437" s="7" t="s">
        <v>22</v>
      </c>
      <c r="C1437" s="7" t="s">
        <v>18</v>
      </c>
      <c r="D1437" s="4">
        <v>2476067000203</v>
      </c>
      <c r="E1437" s="8" t="s">
        <v>779</v>
      </c>
      <c r="F1437" s="8" t="s">
        <v>745</v>
      </c>
      <c r="G1437" s="8" t="s">
        <v>59</v>
      </c>
      <c r="H1437" s="8" t="s">
        <v>215</v>
      </c>
      <c r="I1437" s="3">
        <v>2</v>
      </c>
      <c r="J1437" s="8" t="s">
        <v>187</v>
      </c>
      <c r="K1437" s="8" t="s">
        <v>188</v>
      </c>
      <c r="L1437" s="8" t="s">
        <v>556</v>
      </c>
      <c r="M1437" s="1" t="s">
        <v>211</v>
      </c>
      <c r="N1437" s="8" t="s">
        <v>212</v>
      </c>
      <c r="O1437" s="6">
        <v>0</v>
      </c>
      <c r="P1437" s="6">
        <v>0</v>
      </c>
      <c r="Q1437" s="6">
        <v>0</v>
      </c>
      <c r="R1437" s="6">
        <v>20</v>
      </c>
      <c r="S1437" s="6">
        <v>0</v>
      </c>
    </row>
    <row r="1438" spans="1:19" ht="15" hidden="1" x14ac:dyDescent="0.25">
      <c r="A1438" s="7" t="s">
        <v>16</v>
      </c>
      <c r="B1438" s="7" t="s">
        <v>22</v>
      </c>
      <c r="C1438" s="7" t="s">
        <v>18</v>
      </c>
      <c r="D1438" s="4">
        <v>2476067000203</v>
      </c>
      <c r="E1438" s="8" t="s">
        <v>779</v>
      </c>
      <c r="F1438" s="8" t="s">
        <v>745</v>
      </c>
      <c r="G1438" s="8" t="s">
        <v>59</v>
      </c>
      <c r="H1438" s="8" t="s">
        <v>215</v>
      </c>
      <c r="I1438" s="3">
        <v>2</v>
      </c>
      <c r="J1438" s="8" t="s">
        <v>163</v>
      </c>
      <c r="K1438" s="8" t="s">
        <v>164</v>
      </c>
      <c r="L1438" s="8" t="s">
        <v>557</v>
      </c>
      <c r="M1438" s="1" t="s">
        <v>211</v>
      </c>
      <c r="N1438" s="8" t="s">
        <v>212</v>
      </c>
      <c r="O1438" s="6">
        <v>0</v>
      </c>
      <c r="P1438" s="6">
        <v>0</v>
      </c>
      <c r="Q1438" s="6">
        <v>0</v>
      </c>
      <c r="R1438" s="6">
        <v>0</v>
      </c>
      <c r="S1438" s="6">
        <v>0</v>
      </c>
    </row>
    <row r="1439" spans="1:19" ht="15" hidden="1" x14ac:dyDescent="0.25">
      <c r="A1439" s="7" t="s">
        <v>16</v>
      </c>
      <c r="B1439" s="7" t="s">
        <v>22</v>
      </c>
      <c r="C1439" s="7" t="s">
        <v>18</v>
      </c>
      <c r="D1439" s="4">
        <v>2476067000122</v>
      </c>
      <c r="E1439" s="8" t="s">
        <v>778</v>
      </c>
      <c r="F1439" s="8" t="s">
        <v>745</v>
      </c>
      <c r="G1439" s="8" t="s">
        <v>59</v>
      </c>
      <c r="H1439" s="8" t="s">
        <v>215</v>
      </c>
      <c r="I1439" s="3">
        <v>2</v>
      </c>
      <c r="J1439" s="8" t="s">
        <v>187</v>
      </c>
      <c r="K1439" s="8" t="s">
        <v>188</v>
      </c>
      <c r="L1439" s="8" t="s">
        <v>556</v>
      </c>
      <c r="M1439" s="1" t="s">
        <v>211</v>
      </c>
      <c r="N1439" s="8" t="s">
        <v>212</v>
      </c>
      <c r="O1439" s="6">
        <v>0</v>
      </c>
      <c r="P1439" s="6">
        <v>0</v>
      </c>
      <c r="Q1439" s="6">
        <v>0</v>
      </c>
      <c r="R1439" s="6">
        <v>0</v>
      </c>
      <c r="S1439" s="6">
        <v>-15</v>
      </c>
    </row>
    <row r="1440" spans="1:19" ht="15" hidden="1" x14ac:dyDescent="0.25">
      <c r="A1440" s="7" t="s">
        <v>16</v>
      </c>
      <c r="B1440" s="7" t="s">
        <v>22</v>
      </c>
      <c r="C1440" s="7" t="s">
        <v>18</v>
      </c>
      <c r="D1440" s="4">
        <v>2476067000122</v>
      </c>
      <c r="E1440" s="8" t="s">
        <v>778</v>
      </c>
      <c r="F1440" s="8" t="s">
        <v>745</v>
      </c>
      <c r="G1440" s="8" t="s">
        <v>59</v>
      </c>
      <c r="H1440" s="8" t="s">
        <v>215</v>
      </c>
      <c r="I1440" s="3">
        <v>2</v>
      </c>
      <c r="J1440" s="8" t="s">
        <v>163</v>
      </c>
      <c r="K1440" s="8" t="s">
        <v>164</v>
      </c>
      <c r="L1440" s="8" t="s">
        <v>557</v>
      </c>
      <c r="M1440" s="1" t="s">
        <v>211</v>
      </c>
      <c r="N1440" s="8" t="s">
        <v>212</v>
      </c>
      <c r="O1440" s="6">
        <v>0</v>
      </c>
      <c r="P1440" s="6">
        <v>0</v>
      </c>
      <c r="Q1440" s="6">
        <v>0</v>
      </c>
      <c r="R1440" s="6">
        <v>0</v>
      </c>
      <c r="S1440" s="6">
        <v>-15</v>
      </c>
    </row>
    <row r="1441" spans="1:19" ht="15" hidden="1" x14ac:dyDescent="0.25">
      <c r="A1441" s="7" t="s">
        <v>16</v>
      </c>
      <c r="B1441" s="7" t="s">
        <v>22</v>
      </c>
      <c r="C1441" s="7" t="s">
        <v>18</v>
      </c>
      <c r="D1441" s="4">
        <v>33000167002155</v>
      </c>
      <c r="E1441" s="8" t="s">
        <v>915</v>
      </c>
      <c r="F1441" s="8" t="s">
        <v>128</v>
      </c>
      <c r="G1441" s="8" t="s">
        <v>59</v>
      </c>
      <c r="H1441" s="8" t="s">
        <v>215</v>
      </c>
      <c r="I1441" s="3">
        <v>2</v>
      </c>
      <c r="J1441" s="8" t="s">
        <v>187</v>
      </c>
      <c r="K1441" s="8" t="s">
        <v>188</v>
      </c>
      <c r="L1441" s="8" t="s">
        <v>556</v>
      </c>
      <c r="M1441" s="1" t="s">
        <v>211</v>
      </c>
      <c r="N1441" s="8" t="s">
        <v>212</v>
      </c>
      <c r="O1441" s="6">
        <v>0</v>
      </c>
      <c r="P1441" s="6">
        <v>0</v>
      </c>
      <c r="Q1441" s="6">
        <v>0</v>
      </c>
      <c r="R1441" s="6">
        <v>0</v>
      </c>
      <c r="S1441" s="6">
        <v>25</v>
      </c>
    </row>
    <row r="1442" spans="1:19" ht="15" hidden="1" x14ac:dyDescent="0.25">
      <c r="A1442" s="7" t="s">
        <v>16</v>
      </c>
      <c r="B1442" s="7" t="s">
        <v>22</v>
      </c>
      <c r="C1442" s="7" t="s">
        <v>18</v>
      </c>
      <c r="D1442" s="4">
        <v>33000167002155</v>
      </c>
      <c r="E1442" s="8" t="s">
        <v>915</v>
      </c>
      <c r="F1442" s="8" t="s">
        <v>128</v>
      </c>
      <c r="G1442" s="8" t="s">
        <v>59</v>
      </c>
      <c r="H1442" s="8" t="s">
        <v>215</v>
      </c>
      <c r="I1442" s="3">
        <v>2</v>
      </c>
      <c r="J1442" s="8" t="s">
        <v>163</v>
      </c>
      <c r="K1442" s="8" t="s">
        <v>164</v>
      </c>
      <c r="L1442" s="8" t="s">
        <v>557</v>
      </c>
      <c r="M1442" s="1" t="s">
        <v>211</v>
      </c>
      <c r="N1442" s="8" t="s">
        <v>212</v>
      </c>
      <c r="O1442" s="6">
        <v>0</v>
      </c>
      <c r="P1442" s="6">
        <v>0</v>
      </c>
      <c r="Q1442" s="6">
        <v>0</v>
      </c>
      <c r="R1442" s="6">
        <v>0</v>
      </c>
      <c r="S1442" s="6">
        <v>25</v>
      </c>
    </row>
    <row r="1443" spans="1:19" ht="15" hidden="1" x14ac:dyDescent="0.25">
      <c r="A1443" s="7" t="s">
        <v>16</v>
      </c>
      <c r="B1443" s="7" t="s">
        <v>22</v>
      </c>
      <c r="C1443" s="7" t="s">
        <v>18</v>
      </c>
      <c r="D1443" s="4">
        <v>9192098000109</v>
      </c>
      <c r="E1443" s="8" t="s">
        <v>831</v>
      </c>
      <c r="F1443" s="8" t="s">
        <v>832</v>
      </c>
      <c r="G1443" s="8" t="s">
        <v>72</v>
      </c>
      <c r="H1443" s="8" t="s">
        <v>215</v>
      </c>
      <c r="I1443" s="3">
        <v>2</v>
      </c>
      <c r="J1443" s="8" t="s">
        <v>165</v>
      </c>
      <c r="K1443" s="8" t="s">
        <v>166</v>
      </c>
      <c r="L1443" s="8" t="s">
        <v>557</v>
      </c>
      <c r="M1443" s="1" t="s">
        <v>211</v>
      </c>
      <c r="N1443" s="8" t="s">
        <v>212</v>
      </c>
      <c r="O1443" s="6">
        <v>0</v>
      </c>
      <c r="P1443" s="6">
        <v>0</v>
      </c>
      <c r="Q1443" s="6">
        <v>0</v>
      </c>
      <c r="R1443" s="6">
        <v>0</v>
      </c>
      <c r="S1443" s="6">
        <v>100</v>
      </c>
    </row>
    <row r="1444" spans="1:19" ht="15" hidden="1" x14ac:dyDescent="0.25">
      <c r="A1444" s="7" t="s">
        <v>16</v>
      </c>
      <c r="B1444" s="7" t="s">
        <v>22</v>
      </c>
      <c r="C1444" s="7" t="s">
        <v>18</v>
      </c>
      <c r="D1444" s="4">
        <v>9192098000109</v>
      </c>
      <c r="E1444" s="8" t="s">
        <v>831</v>
      </c>
      <c r="F1444" s="8" t="s">
        <v>832</v>
      </c>
      <c r="G1444" s="8" t="s">
        <v>72</v>
      </c>
      <c r="H1444" s="8" t="s">
        <v>215</v>
      </c>
      <c r="I1444" s="3">
        <v>2</v>
      </c>
      <c r="J1444" s="8" t="s">
        <v>201</v>
      </c>
      <c r="K1444" s="8" t="s">
        <v>202</v>
      </c>
      <c r="L1444" s="8" t="s">
        <v>740</v>
      </c>
      <c r="M1444" s="1" t="s">
        <v>211</v>
      </c>
      <c r="N1444" s="8" t="s">
        <v>212</v>
      </c>
      <c r="O1444" s="6">
        <v>0</v>
      </c>
      <c r="P1444" s="6">
        <v>0</v>
      </c>
      <c r="Q1444" s="6">
        <v>0</v>
      </c>
      <c r="R1444" s="6">
        <v>0</v>
      </c>
      <c r="S1444" s="6">
        <v>100</v>
      </c>
    </row>
    <row r="1445" spans="1:19" ht="15" hidden="1" x14ac:dyDescent="0.25">
      <c r="A1445" s="7" t="s">
        <v>16</v>
      </c>
      <c r="B1445" s="7" t="s">
        <v>22</v>
      </c>
      <c r="C1445" s="7" t="s">
        <v>18</v>
      </c>
      <c r="D1445" s="4">
        <v>15126437000496</v>
      </c>
      <c r="E1445" s="8" t="s">
        <v>880</v>
      </c>
      <c r="F1445" s="8" t="s">
        <v>777</v>
      </c>
      <c r="G1445" s="8" t="s">
        <v>72</v>
      </c>
      <c r="H1445" s="8" t="s">
        <v>215</v>
      </c>
      <c r="I1445" s="3">
        <v>2</v>
      </c>
      <c r="J1445" s="8" t="s">
        <v>165</v>
      </c>
      <c r="K1445" s="8" t="s">
        <v>166</v>
      </c>
      <c r="L1445" s="8" t="s">
        <v>557</v>
      </c>
      <c r="M1445" s="1" t="s">
        <v>211</v>
      </c>
      <c r="N1445" s="8" t="s">
        <v>212</v>
      </c>
      <c r="O1445" s="6">
        <v>0</v>
      </c>
      <c r="P1445" s="6">
        <v>0</v>
      </c>
      <c r="Q1445" s="6">
        <v>0</v>
      </c>
      <c r="R1445" s="6">
        <v>0</v>
      </c>
      <c r="S1445" s="6">
        <v>500</v>
      </c>
    </row>
    <row r="1446" spans="1:19" ht="15" hidden="1" x14ac:dyDescent="0.25">
      <c r="A1446" s="7" t="s">
        <v>16</v>
      </c>
      <c r="B1446" s="7" t="s">
        <v>22</v>
      </c>
      <c r="C1446" s="7" t="s">
        <v>18</v>
      </c>
      <c r="D1446" s="4">
        <v>15126437000496</v>
      </c>
      <c r="E1446" s="8" t="s">
        <v>880</v>
      </c>
      <c r="F1446" s="8" t="s">
        <v>777</v>
      </c>
      <c r="G1446" s="8" t="s">
        <v>72</v>
      </c>
      <c r="H1446" s="8" t="s">
        <v>215</v>
      </c>
      <c r="I1446" s="3">
        <v>2</v>
      </c>
      <c r="J1446" s="8" t="s">
        <v>201</v>
      </c>
      <c r="K1446" s="8" t="s">
        <v>202</v>
      </c>
      <c r="L1446" s="8" t="s">
        <v>740</v>
      </c>
      <c r="M1446" s="1" t="s">
        <v>211</v>
      </c>
      <c r="N1446" s="8" t="s">
        <v>212</v>
      </c>
      <c r="O1446" s="6">
        <v>0</v>
      </c>
      <c r="P1446" s="6">
        <v>0</v>
      </c>
      <c r="Q1446" s="6">
        <v>0</v>
      </c>
      <c r="R1446" s="6">
        <v>0</v>
      </c>
      <c r="S1446" s="6">
        <v>500</v>
      </c>
    </row>
    <row r="1447" spans="1:19" ht="15" hidden="1" x14ac:dyDescent="0.25">
      <c r="A1447" s="7" t="s">
        <v>16</v>
      </c>
      <c r="B1447" s="7" t="s">
        <v>22</v>
      </c>
      <c r="C1447" s="7" t="s">
        <v>18</v>
      </c>
      <c r="D1447" s="4">
        <v>12361267000789</v>
      </c>
      <c r="E1447" s="8" t="s">
        <v>850</v>
      </c>
      <c r="F1447" s="8" t="s">
        <v>777</v>
      </c>
      <c r="G1447" s="8" t="s">
        <v>72</v>
      </c>
      <c r="H1447" s="8" t="s">
        <v>215</v>
      </c>
      <c r="I1447" s="3">
        <v>2</v>
      </c>
      <c r="J1447" s="8" t="s">
        <v>165</v>
      </c>
      <c r="K1447" s="8" t="s">
        <v>166</v>
      </c>
      <c r="L1447" s="8" t="s">
        <v>557</v>
      </c>
      <c r="M1447" s="1" t="s">
        <v>211</v>
      </c>
      <c r="N1447" s="8" t="s">
        <v>212</v>
      </c>
      <c r="O1447" s="6">
        <v>0</v>
      </c>
      <c r="P1447" s="6">
        <v>2</v>
      </c>
      <c r="Q1447" s="6">
        <v>0</v>
      </c>
      <c r="R1447" s="6">
        <v>0</v>
      </c>
      <c r="S1447" s="6">
        <v>0</v>
      </c>
    </row>
    <row r="1448" spans="1:19" ht="15" hidden="1" x14ac:dyDescent="0.25">
      <c r="A1448" s="7" t="s">
        <v>16</v>
      </c>
      <c r="B1448" s="7" t="s">
        <v>22</v>
      </c>
      <c r="C1448" s="7" t="s">
        <v>18</v>
      </c>
      <c r="D1448" s="4">
        <v>12361267000789</v>
      </c>
      <c r="E1448" s="8" t="s">
        <v>850</v>
      </c>
      <c r="F1448" s="8" t="s">
        <v>777</v>
      </c>
      <c r="G1448" s="8" t="s">
        <v>72</v>
      </c>
      <c r="H1448" s="8" t="s">
        <v>215</v>
      </c>
      <c r="I1448" s="3">
        <v>2</v>
      </c>
      <c r="J1448" s="8" t="s">
        <v>201</v>
      </c>
      <c r="K1448" s="8" t="s">
        <v>202</v>
      </c>
      <c r="L1448" s="8" t="s">
        <v>740</v>
      </c>
      <c r="M1448" s="1" t="s">
        <v>211</v>
      </c>
      <c r="N1448" s="8" t="s">
        <v>212</v>
      </c>
      <c r="O1448" s="6">
        <v>0</v>
      </c>
      <c r="P1448" s="6">
        <v>0</v>
      </c>
      <c r="Q1448" s="6">
        <v>0</v>
      </c>
      <c r="R1448" s="6">
        <v>0</v>
      </c>
      <c r="S1448" s="6">
        <v>0</v>
      </c>
    </row>
    <row r="1449" spans="1:19" ht="15" hidden="1" x14ac:dyDescent="0.25">
      <c r="A1449" s="7" t="s">
        <v>16</v>
      </c>
      <c r="B1449" s="7" t="s">
        <v>22</v>
      </c>
      <c r="C1449" s="7" t="s">
        <v>18</v>
      </c>
      <c r="D1449" s="4">
        <v>11006293000130</v>
      </c>
      <c r="E1449" s="8" t="s">
        <v>838</v>
      </c>
      <c r="F1449" s="8" t="s">
        <v>777</v>
      </c>
      <c r="G1449" s="8" t="s">
        <v>72</v>
      </c>
      <c r="H1449" s="8" t="s">
        <v>215</v>
      </c>
      <c r="I1449" s="3">
        <v>2</v>
      </c>
      <c r="J1449" s="8" t="s">
        <v>165</v>
      </c>
      <c r="K1449" s="8" t="s">
        <v>166</v>
      </c>
      <c r="L1449" s="8" t="s">
        <v>557</v>
      </c>
      <c r="M1449" s="1" t="s">
        <v>211</v>
      </c>
      <c r="N1449" s="8" t="s">
        <v>212</v>
      </c>
      <c r="O1449" s="6">
        <v>0</v>
      </c>
      <c r="P1449" s="6">
        <v>0</v>
      </c>
      <c r="Q1449" s="6">
        <v>0</v>
      </c>
      <c r="R1449" s="6">
        <v>0</v>
      </c>
      <c r="S1449" s="6">
        <v>450</v>
      </c>
    </row>
    <row r="1450" spans="1:19" ht="15" hidden="1" x14ac:dyDescent="0.25">
      <c r="A1450" s="7" t="s">
        <v>16</v>
      </c>
      <c r="B1450" s="7" t="s">
        <v>22</v>
      </c>
      <c r="C1450" s="7" t="s">
        <v>18</v>
      </c>
      <c r="D1450" s="4">
        <v>11006293000130</v>
      </c>
      <c r="E1450" s="8" t="s">
        <v>838</v>
      </c>
      <c r="F1450" s="8" t="s">
        <v>777</v>
      </c>
      <c r="G1450" s="8" t="s">
        <v>72</v>
      </c>
      <c r="H1450" s="8" t="s">
        <v>215</v>
      </c>
      <c r="I1450" s="3">
        <v>2</v>
      </c>
      <c r="J1450" s="8" t="s">
        <v>201</v>
      </c>
      <c r="K1450" s="8" t="s">
        <v>202</v>
      </c>
      <c r="L1450" s="8" t="s">
        <v>740</v>
      </c>
      <c r="M1450" s="1" t="s">
        <v>211</v>
      </c>
      <c r="N1450" s="8" t="s">
        <v>212</v>
      </c>
      <c r="O1450" s="6">
        <v>0</v>
      </c>
      <c r="P1450" s="6">
        <v>0</v>
      </c>
      <c r="Q1450" s="6">
        <v>0</v>
      </c>
      <c r="R1450" s="6">
        <v>0</v>
      </c>
      <c r="S1450" s="6">
        <v>450</v>
      </c>
    </row>
    <row r="1451" spans="1:19" ht="15" hidden="1" x14ac:dyDescent="0.25">
      <c r="A1451" s="7" t="s">
        <v>16</v>
      </c>
      <c r="B1451" s="7" t="s">
        <v>22</v>
      </c>
      <c r="C1451" s="7" t="s">
        <v>18</v>
      </c>
      <c r="D1451" s="4">
        <v>20909271000171</v>
      </c>
      <c r="E1451" s="8" t="s">
        <v>1189</v>
      </c>
      <c r="F1451" s="8" t="s">
        <v>101</v>
      </c>
      <c r="G1451" s="8" t="s">
        <v>54</v>
      </c>
      <c r="H1451" s="8" t="s">
        <v>215</v>
      </c>
      <c r="I1451" s="3">
        <v>1</v>
      </c>
      <c r="J1451" s="8" t="s">
        <v>159</v>
      </c>
      <c r="K1451" s="8" t="s">
        <v>160</v>
      </c>
      <c r="L1451" s="8" t="s">
        <v>740</v>
      </c>
      <c r="M1451" s="1" t="s">
        <v>205</v>
      </c>
      <c r="N1451" s="8" t="s">
        <v>206</v>
      </c>
      <c r="O1451" s="6">
        <v>0</v>
      </c>
      <c r="P1451" s="6">
        <v>0</v>
      </c>
      <c r="Q1451" s="6">
        <v>0</v>
      </c>
      <c r="R1451" s="6">
        <v>70</v>
      </c>
      <c r="S1451" s="6">
        <v>0</v>
      </c>
    </row>
    <row r="1452" spans="1:19" ht="15" hidden="1" x14ac:dyDescent="0.25">
      <c r="A1452" s="7" t="s">
        <v>16</v>
      </c>
      <c r="B1452" s="7" t="s">
        <v>22</v>
      </c>
      <c r="C1452" s="7" t="s">
        <v>18</v>
      </c>
      <c r="D1452" s="4">
        <v>25910449000460</v>
      </c>
      <c r="E1452" s="8" t="s">
        <v>1203</v>
      </c>
      <c r="F1452" s="8" t="s">
        <v>1204</v>
      </c>
      <c r="G1452" s="8" t="s">
        <v>54</v>
      </c>
      <c r="H1452" s="8" t="s">
        <v>215</v>
      </c>
      <c r="I1452" s="3">
        <v>1</v>
      </c>
      <c r="J1452" s="8" t="s">
        <v>159</v>
      </c>
      <c r="K1452" s="8" t="s">
        <v>160</v>
      </c>
      <c r="L1452" s="8" t="s">
        <v>740</v>
      </c>
      <c r="M1452" s="1" t="s">
        <v>205</v>
      </c>
      <c r="N1452" s="8" t="s">
        <v>206</v>
      </c>
      <c r="O1452" s="6">
        <v>0</v>
      </c>
      <c r="P1452" s="6">
        <v>0</v>
      </c>
      <c r="Q1452" s="6">
        <v>0</v>
      </c>
      <c r="R1452" s="6">
        <v>0</v>
      </c>
      <c r="S1452" s="6">
        <v>30</v>
      </c>
    </row>
    <row r="1453" spans="1:19" ht="15" hidden="1" x14ac:dyDescent="0.25">
      <c r="A1453" s="7" t="s">
        <v>16</v>
      </c>
      <c r="B1453" s="7" t="s">
        <v>22</v>
      </c>
      <c r="C1453" s="7" t="s">
        <v>18</v>
      </c>
      <c r="D1453" s="4">
        <v>17214149000176</v>
      </c>
      <c r="E1453" s="8" t="s">
        <v>1172</v>
      </c>
      <c r="F1453" s="8" t="s">
        <v>58</v>
      </c>
      <c r="G1453" s="8" t="s">
        <v>54</v>
      </c>
      <c r="H1453" s="8" t="s">
        <v>215</v>
      </c>
      <c r="I1453" s="3">
        <v>1</v>
      </c>
      <c r="J1453" s="8" t="s">
        <v>159</v>
      </c>
      <c r="K1453" s="8" t="s">
        <v>160</v>
      </c>
      <c r="L1453" s="8" t="s">
        <v>740</v>
      </c>
      <c r="M1453" s="1" t="s">
        <v>205</v>
      </c>
      <c r="N1453" s="8" t="s">
        <v>206</v>
      </c>
      <c r="O1453" s="6">
        <v>0</v>
      </c>
      <c r="P1453" s="6">
        <v>0</v>
      </c>
      <c r="Q1453" s="6">
        <v>8</v>
      </c>
      <c r="R1453" s="6">
        <v>0</v>
      </c>
      <c r="S1453" s="6">
        <v>0</v>
      </c>
    </row>
    <row r="1454" spans="1:19" ht="15" hidden="1" x14ac:dyDescent="0.25">
      <c r="A1454" s="7" t="s">
        <v>16</v>
      </c>
      <c r="B1454" s="7" t="s">
        <v>22</v>
      </c>
      <c r="C1454" s="7" t="s">
        <v>18</v>
      </c>
      <c r="D1454" s="4">
        <v>410960000120</v>
      </c>
      <c r="E1454" s="8" t="s">
        <v>1137</v>
      </c>
      <c r="F1454" s="8" t="s">
        <v>58</v>
      </c>
      <c r="G1454" s="8" t="s">
        <v>54</v>
      </c>
      <c r="H1454" s="8" t="s">
        <v>215</v>
      </c>
      <c r="I1454" s="3">
        <v>1</v>
      </c>
      <c r="J1454" s="8" t="s">
        <v>159</v>
      </c>
      <c r="K1454" s="8" t="s">
        <v>160</v>
      </c>
      <c r="L1454" s="8" t="s">
        <v>740</v>
      </c>
      <c r="M1454" s="1" t="s">
        <v>205</v>
      </c>
      <c r="N1454" s="8" t="s">
        <v>206</v>
      </c>
      <c r="O1454" s="6">
        <v>0</v>
      </c>
      <c r="P1454" s="6">
        <v>0</v>
      </c>
      <c r="Q1454" s="6">
        <v>0</v>
      </c>
      <c r="R1454" s="6">
        <v>46</v>
      </c>
      <c r="S1454" s="6">
        <v>662</v>
      </c>
    </row>
    <row r="1455" spans="1:19" ht="15" hidden="1" x14ac:dyDescent="0.25">
      <c r="A1455" s="7" t="s">
        <v>16</v>
      </c>
      <c r="B1455" s="7" t="s">
        <v>22</v>
      </c>
      <c r="C1455" s="7" t="s">
        <v>18</v>
      </c>
      <c r="D1455" s="4">
        <v>60194990000844</v>
      </c>
      <c r="E1455" s="8" t="s">
        <v>1231</v>
      </c>
      <c r="F1455" s="8" t="s">
        <v>58</v>
      </c>
      <c r="G1455" s="8" t="s">
        <v>54</v>
      </c>
      <c r="H1455" s="8" t="s">
        <v>215</v>
      </c>
      <c r="I1455" s="3">
        <v>1</v>
      </c>
      <c r="J1455" s="8" t="s">
        <v>159</v>
      </c>
      <c r="K1455" s="8" t="s">
        <v>160</v>
      </c>
      <c r="L1455" s="8" t="s">
        <v>740</v>
      </c>
      <c r="M1455" s="1" t="s">
        <v>205</v>
      </c>
      <c r="N1455" s="8" t="s">
        <v>206</v>
      </c>
      <c r="O1455" s="6">
        <v>0</v>
      </c>
      <c r="P1455" s="6">
        <v>0</v>
      </c>
      <c r="Q1455" s="6">
        <v>3</v>
      </c>
      <c r="R1455" s="6">
        <v>0</v>
      </c>
      <c r="S1455" s="6">
        <v>0</v>
      </c>
    </row>
    <row r="1456" spans="1:19" ht="15" hidden="1" x14ac:dyDescent="0.25">
      <c r="A1456" s="7" t="s">
        <v>16</v>
      </c>
      <c r="B1456" s="7" t="s">
        <v>22</v>
      </c>
      <c r="C1456" s="7" t="s">
        <v>18</v>
      </c>
      <c r="D1456" s="4">
        <v>16676520000582</v>
      </c>
      <c r="E1456" s="8" t="s">
        <v>1169</v>
      </c>
      <c r="F1456" s="8" t="s">
        <v>58</v>
      </c>
      <c r="G1456" s="8" t="s">
        <v>54</v>
      </c>
      <c r="H1456" s="8" t="s">
        <v>215</v>
      </c>
      <c r="I1456" s="3">
        <v>1</v>
      </c>
      <c r="J1456" s="8" t="s">
        <v>159</v>
      </c>
      <c r="K1456" s="8" t="s">
        <v>160</v>
      </c>
      <c r="L1456" s="8" t="s">
        <v>740</v>
      </c>
      <c r="M1456" s="1" t="s">
        <v>205</v>
      </c>
      <c r="N1456" s="8" t="s">
        <v>206</v>
      </c>
      <c r="O1456" s="6">
        <v>0</v>
      </c>
      <c r="P1456" s="6">
        <v>0</v>
      </c>
      <c r="Q1456" s="6">
        <v>2</v>
      </c>
      <c r="R1456" s="6">
        <v>0</v>
      </c>
      <c r="S1456" s="6">
        <v>0</v>
      </c>
    </row>
    <row r="1457" spans="1:19" ht="15" hidden="1" x14ac:dyDescent="0.25">
      <c r="A1457" s="7" t="s">
        <v>16</v>
      </c>
      <c r="B1457" s="7" t="s">
        <v>22</v>
      </c>
      <c r="C1457" s="7" t="s">
        <v>18</v>
      </c>
      <c r="D1457" s="4">
        <v>2623693000102</v>
      </c>
      <c r="E1457" s="8" t="s">
        <v>1142</v>
      </c>
      <c r="F1457" s="8" t="s">
        <v>58</v>
      </c>
      <c r="G1457" s="8" t="s">
        <v>54</v>
      </c>
      <c r="H1457" s="8" t="s">
        <v>215</v>
      </c>
      <c r="I1457" s="3">
        <v>1</v>
      </c>
      <c r="J1457" s="8" t="s">
        <v>159</v>
      </c>
      <c r="K1457" s="8" t="s">
        <v>160</v>
      </c>
      <c r="L1457" s="8" t="s">
        <v>740</v>
      </c>
      <c r="M1457" s="1" t="s">
        <v>205</v>
      </c>
      <c r="N1457" s="8" t="s">
        <v>206</v>
      </c>
      <c r="O1457" s="6">
        <v>0</v>
      </c>
      <c r="P1457" s="6">
        <v>0</v>
      </c>
      <c r="Q1457" s="6">
        <v>0</v>
      </c>
      <c r="R1457" s="6">
        <v>0</v>
      </c>
      <c r="S1457" s="6">
        <v>20</v>
      </c>
    </row>
    <row r="1458" spans="1:19" ht="15" hidden="1" x14ac:dyDescent="0.25">
      <c r="A1458" s="7" t="s">
        <v>16</v>
      </c>
      <c r="B1458" s="7" t="s">
        <v>22</v>
      </c>
      <c r="C1458" s="7" t="s">
        <v>18</v>
      </c>
      <c r="D1458" s="4">
        <v>19878404000100</v>
      </c>
      <c r="E1458" s="8" t="s">
        <v>1184</v>
      </c>
      <c r="F1458" s="8" t="s">
        <v>89</v>
      </c>
      <c r="G1458" s="8" t="s">
        <v>54</v>
      </c>
      <c r="H1458" s="8" t="s">
        <v>215</v>
      </c>
      <c r="I1458" s="3">
        <v>1</v>
      </c>
      <c r="J1458" s="8" t="s">
        <v>159</v>
      </c>
      <c r="K1458" s="8" t="s">
        <v>160</v>
      </c>
      <c r="L1458" s="8" t="s">
        <v>740</v>
      </c>
      <c r="M1458" s="1" t="s">
        <v>205</v>
      </c>
      <c r="N1458" s="8" t="s">
        <v>206</v>
      </c>
      <c r="O1458" s="6">
        <v>0</v>
      </c>
      <c r="P1458" s="6">
        <v>0</v>
      </c>
      <c r="Q1458" s="6">
        <v>0</v>
      </c>
      <c r="R1458" s="6">
        <v>52</v>
      </c>
      <c r="S1458" s="6">
        <v>0</v>
      </c>
    </row>
    <row r="1459" spans="1:19" ht="15" hidden="1" x14ac:dyDescent="0.25">
      <c r="A1459" s="7" t="s">
        <v>16</v>
      </c>
      <c r="B1459" s="7" t="s">
        <v>22</v>
      </c>
      <c r="C1459" s="7" t="s">
        <v>18</v>
      </c>
      <c r="D1459" s="4">
        <v>17689407000928</v>
      </c>
      <c r="E1459" s="8" t="s">
        <v>1174</v>
      </c>
      <c r="F1459" s="8" t="s">
        <v>88</v>
      </c>
      <c r="G1459" s="8" t="s">
        <v>54</v>
      </c>
      <c r="H1459" s="8" t="s">
        <v>215</v>
      </c>
      <c r="I1459" s="3">
        <v>1</v>
      </c>
      <c r="J1459" s="8" t="s">
        <v>159</v>
      </c>
      <c r="K1459" s="8" t="s">
        <v>160</v>
      </c>
      <c r="L1459" s="8" t="s">
        <v>740</v>
      </c>
      <c r="M1459" s="1" t="s">
        <v>205</v>
      </c>
      <c r="N1459" s="8" t="s">
        <v>206</v>
      </c>
      <c r="O1459" s="6">
        <v>0</v>
      </c>
      <c r="P1459" s="6">
        <v>0</v>
      </c>
      <c r="Q1459" s="6">
        <v>0</v>
      </c>
      <c r="R1459" s="6">
        <v>6</v>
      </c>
      <c r="S1459" s="6">
        <v>0</v>
      </c>
    </row>
    <row r="1460" spans="1:19" ht="15" hidden="1" x14ac:dyDescent="0.25">
      <c r="A1460" s="7" t="s">
        <v>16</v>
      </c>
      <c r="B1460" s="7" t="s">
        <v>22</v>
      </c>
      <c r="C1460" s="7" t="s">
        <v>18</v>
      </c>
      <c r="D1460" s="4">
        <v>18836965000184</v>
      </c>
      <c r="E1460" s="8" t="s">
        <v>1177</v>
      </c>
      <c r="F1460" s="8" t="s">
        <v>111</v>
      </c>
      <c r="G1460" s="8" t="s">
        <v>54</v>
      </c>
      <c r="H1460" s="8" t="s">
        <v>215</v>
      </c>
      <c r="I1460" s="3">
        <v>1</v>
      </c>
      <c r="J1460" s="8" t="s">
        <v>159</v>
      </c>
      <c r="K1460" s="8" t="s">
        <v>160</v>
      </c>
      <c r="L1460" s="8" t="s">
        <v>740</v>
      </c>
      <c r="M1460" s="1" t="s">
        <v>205</v>
      </c>
      <c r="N1460" s="8" t="s">
        <v>206</v>
      </c>
      <c r="O1460" s="6">
        <v>0</v>
      </c>
      <c r="P1460" s="6">
        <v>0</v>
      </c>
      <c r="Q1460" s="6">
        <v>0</v>
      </c>
      <c r="R1460" s="6">
        <v>20</v>
      </c>
      <c r="S1460" s="6">
        <v>0</v>
      </c>
    </row>
    <row r="1461" spans="1:19" ht="15" hidden="1" x14ac:dyDescent="0.25">
      <c r="A1461" s="7" t="s">
        <v>16</v>
      </c>
      <c r="B1461" s="7" t="s">
        <v>22</v>
      </c>
      <c r="C1461" s="7" t="s">
        <v>18</v>
      </c>
      <c r="D1461" s="4">
        <v>25648387000207</v>
      </c>
      <c r="E1461" s="8" t="s">
        <v>1201</v>
      </c>
      <c r="F1461" s="8" t="s">
        <v>1171</v>
      </c>
      <c r="G1461" s="8" t="s">
        <v>54</v>
      </c>
      <c r="H1461" s="8" t="s">
        <v>215</v>
      </c>
      <c r="I1461" s="3">
        <v>1</v>
      </c>
      <c r="J1461" s="8" t="s">
        <v>159</v>
      </c>
      <c r="K1461" s="8" t="s">
        <v>160</v>
      </c>
      <c r="L1461" s="8" t="s">
        <v>740</v>
      </c>
      <c r="M1461" s="1" t="s">
        <v>205</v>
      </c>
      <c r="N1461" s="8" t="s">
        <v>206</v>
      </c>
      <c r="O1461" s="6">
        <v>0</v>
      </c>
      <c r="P1461" s="6">
        <v>0</v>
      </c>
      <c r="Q1461" s="6">
        <v>0</v>
      </c>
      <c r="R1461" s="6">
        <v>0</v>
      </c>
      <c r="S1461" s="6">
        <v>650</v>
      </c>
    </row>
    <row r="1462" spans="1:19" ht="15" hidden="1" x14ac:dyDescent="0.25">
      <c r="A1462" s="7" t="s">
        <v>16</v>
      </c>
      <c r="B1462" s="7" t="s">
        <v>22</v>
      </c>
      <c r="C1462" s="7" t="s">
        <v>18</v>
      </c>
      <c r="D1462" s="4">
        <v>20150900000122</v>
      </c>
      <c r="E1462" s="8" t="s">
        <v>1185</v>
      </c>
      <c r="F1462" s="8" t="s">
        <v>1171</v>
      </c>
      <c r="G1462" s="8" t="s">
        <v>54</v>
      </c>
      <c r="H1462" s="8" t="s">
        <v>215</v>
      </c>
      <c r="I1462" s="3">
        <v>1</v>
      </c>
      <c r="J1462" s="8" t="s">
        <v>159</v>
      </c>
      <c r="K1462" s="8" t="s">
        <v>160</v>
      </c>
      <c r="L1462" s="8" t="s">
        <v>740</v>
      </c>
      <c r="M1462" s="1" t="s">
        <v>205</v>
      </c>
      <c r="N1462" s="8" t="s">
        <v>206</v>
      </c>
      <c r="O1462" s="6">
        <v>0</v>
      </c>
      <c r="P1462" s="6">
        <v>0</v>
      </c>
      <c r="Q1462" s="6">
        <v>0</v>
      </c>
      <c r="R1462" s="6">
        <v>18</v>
      </c>
      <c r="S1462" s="6">
        <v>0</v>
      </c>
    </row>
    <row r="1463" spans="1:19" ht="15" hidden="1" x14ac:dyDescent="0.25">
      <c r="A1463" s="7" t="s">
        <v>16</v>
      </c>
      <c r="B1463" s="7" t="s">
        <v>22</v>
      </c>
      <c r="C1463" s="7" t="s">
        <v>18</v>
      </c>
      <c r="D1463" s="4">
        <v>25761040000187</v>
      </c>
      <c r="E1463" s="8" t="s">
        <v>1202</v>
      </c>
      <c r="F1463" s="8" t="s">
        <v>1171</v>
      </c>
      <c r="G1463" s="8" t="s">
        <v>54</v>
      </c>
      <c r="H1463" s="8" t="s">
        <v>215</v>
      </c>
      <c r="I1463" s="3">
        <v>1</v>
      </c>
      <c r="J1463" s="8" t="s">
        <v>159</v>
      </c>
      <c r="K1463" s="8" t="s">
        <v>160</v>
      </c>
      <c r="L1463" s="8" t="s">
        <v>740</v>
      </c>
      <c r="M1463" s="1" t="s">
        <v>205</v>
      </c>
      <c r="N1463" s="8" t="s">
        <v>206</v>
      </c>
      <c r="O1463" s="6">
        <v>0</v>
      </c>
      <c r="P1463" s="6">
        <v>0</v>
      </c>
      <c r="Q1463" s="6">
        <v>6</v>
      </c>
      <c r="R1463" s="6">
        <v>0</v>
      </c>
      <c r="S1463" s="6">
        <v>0</v>
      </c>
    </row>
    <row r="1464" spans="1:19" ht="15" hidden="1" x14ac:dyDescent="0.25">
      <c r="A1464" s="7" t="s">
        <v>16</v>
      </c>
      <c r="B1464" s="7" t="s">
        <v>22</v>
      </c>
      <c r="C1464" s="7" t="s">
        <v>18</v>
      </c>
      <c r="D1464" s="4">
        <v>17087591000189</v>
      </c>
      <c r="E1464" s="8" t="s">
        <v>1170</v>
      </c>
      <c r="F1464" s="8" t="s">
        <v>1171</v>
      </c>
      <c r="G1464" s="8" t="s">
        <v>54</v>
      </c>
      <c r="H1464" s="8" t="s">
        <v>215</v>
      </c>
      <c r="I1464" s="3">
        <v>1</v>
      </c>
      <c r="J1464" s="8" t="s">
        <v>159</v>
      </c>
      <c r="K1464" s="8" t="s">
        <v>160</v>
      </c>
      <c r="L1464" s="8" t="s">
        <v>740</v>
      </c>
      <c r="M1464" s="1" t="s">
        <v>205</v>
      </c>
      <c r="N1464" s="8" t="s">
        <v>206</v>
      </c>
      <c r="O1464" s="6">
        <v>0</v>
      </c>
      <c r="P1464" s="6">
        <v>0</v>
      </c>
      <c r="Q1464" s="6">
        <v>2</v>
      </c>
      <c r="R1464" s="6">
        <v>0</v>
      </c>
      <c r="S1464" s="6">
        <v>0</v>
      </c>
    </row>
    <row r="1465" spans="1:19" ht="15" hidden="1" x14ac:dyDescent="0.25">
      <c r="A1465" s="7" t="s">
        <v>16</v>
      </c>
      <c r="B1465" s="7" t="s">
        <v>22</v>
      </c>
      <c r="C1465" s="7" t="s">
        <v>18</v>
      </c>
      <c r="D1465" s="4">
        <v>14408631000159</v>
      </c>
      <c r="E1465" s="8" t="s">
        <v>1163</v>
      </c>
      <c r="F1465" s="8" t="s">
        <v>1164</v>
      </c>
      <c r="G1465" s="8" t="s">
        <v>54</v>
      </c>
      <c r="H1465" s="8" t="s">
        <v>215</v>
      </c>
      <c r="I1465" s="3">
        <v>1</v>
      </c>
      <c r="J1465" s="8" t="s">
        <v>159</v>
      </c>
      <c r="K1465" s="8" t="s">
        <v>160</v>
      </c>
      <c r="L1465" s="8" t="s">
        <v>740</v>
      </c>
      <c r="M1465" s="1" t="s">
        <v>205</v>
      </c>
      <c r="N1465" s="8" t="s">
        <v>206</v>
      </c>
      <c r="O1465" s="6">
        <v>0</v>
      </c>
      <c r="P1465" s="6">
        <v>0</v>
      </c>
      <c r="Q1465" s="6">
        <v>0</v>
      </c>
      <c r="R1465" s="6">
        <v>8</v>
      </c>
      <c r="S1465" s="6">
        <v>0</v>
      </c>
    </row>
    <row r="1466" spans="1:19" ht="15" hidden="1" x14ac:dyDescent="0.25">
      <c r="A1466" s="7" t="s">
        <v>16</v>
      </c>
      <c r="B1466" s="7" t="s">
        <v>22</v>
      </c>
      <c r="C1466" s="7" t="s">
        <v>18</v>
      </c>
      <c r="D1466" s="4">
        <v>3533726001583</v>
      </c>
      <c r="E1466" s="8" t="s">
        <v>788</v>
      </c>
      <c r="F1466" s="8" t="s">
        <v>789</v>
      </c>
      <c r="G1466" s="8" t="s">
        <v>69</v>
      </c>
      <c r="H1466" s="8" t="s">
        <v>215</v>
      </c>
      <c r="I1466" s="3">
        <v>2</v>
      </c>
      <c r="J1466" s="8" t="s">
        <v>187</v>
      </c>
      <c r="K1466" s="8" t="s">
        <v>188</v>
      </c>
      <c r="L1466" s="8" t="s">
        <v>556</v>
      </c>
      <c r="M1466" s="1" t="s">
        <v>211</v>
      </c>
      <c r="N1466" s="8" t="s">
        <v>212</v>
      </c>
      <c r="O1466" s="6">
        <v>0</v>
      </c>
      <c r="P1466" s="6">
        <v>0</v>
      </c>
      <c r="Q1466" s="6">
        <v>0</v>
      </c>
      <c r="R1466" s="6">
        <v>0</v>
      </c>
      <c r="S1466" s="6">
        <v>55</v>
      </c>
    </row>
    <row r="1467" spans="1:19" ht="15" hidden="1" x14ac:dyDescent="0.25">
      <c r="A1467" s="7" t="s">
        <v>16</v>
      </c>
      <c r="B1467" s="7" t="s">
        <v>22</v>
      </c>
      <c r="C1467" s="7" t="s">
        <v>18</v>
      </c>
      <c r="D1467" s="4">
        <v>3533726001583</v>
      </c>
      <c r="E1467" s="8" t="s">
        <v>788</v>
      </c>
      <c r="F1467" s="8" t="s">
        <v>789</v>
      </c>
      <c r="G1467" s="8" t="s">
        <v>69</v>
      </c>
      <c r="H1467" s="8" t="s">
        <v>215</v>
      </c>
      <c r="I1467" s="3">
        <v>2</v>
      </c>
      <c r="J1467" s="8" t="s">
        <v>163</v>
      </c>
      <c r="K1467" s="8" t="s">
        <v>164</v>
      </c>
      <c r="L1467" s="8" t="s">
        <v>557</v>
      </c>
      <c r="M1467" s="1" t="s">
        <v>211</v>
      </c>
      <c r="N1467" s="8" t="s">
        <v>212</v>
      </c>
      <c r="O1467" s="6">
        <v>0</v>
      </c>
      <c r="P1467" s="6">
        <v>0</v>
      </c>
      <c r="Q1467" s="6">
        <v>0</v>
      </c>
      <c r="R1467" s="6">
        <v>0</v>
      </c>
      <c r="S1467" s="6">
        <v>55</v>
      </c>
    </row>
    <row r="1468" spans="1:19" ht="15" hidden="1" x14ac:dyDescent="0.25">
      <c r="A1468" s="7" t="s">
        <v>16</v>
      </c>
      <c r="B1468" s="7" t="s">
        <v>22</v>
      </c>
      <c r="C1468" s="7" t="s">
        <v>18</v>
      </c>
      <c r="D1468" s="4">
        <v>15126437001204</v>
      </c>
      <c r="E1468" s="8" t="s">
        <v>882</v>
      </c>
      <c r="F1468" s="8" t="s">
        <v>772</v>
      </c>
      <c r="G1468" s="8" t="s">
        <v>69</v>
      </c>
      <c r="H1468" s="8" t="s">
        <v>215</v>
      </c>
      <c r="I1468" s="3">
        <v>2</v>
      </c>
      <c r="J1468" s="8" t="s">
        <v>187</v>
      </c>
      <c r="K1468" s="8" t="s">
        <v>188</v>
      </c>
      <c r="L1468" s="8" t="s">
        <v>556</v>
      </c>
      <c r="M1468" s="1" t="s">
        <v>211</v>
      </c>
      <c r="N1468" s="8" t="s">
        <v>212</v>
      </c>
      <c r="O1468" s="6">
        <v>0</v>
      </c>
      <c r="P1468" s="6">
        <v>0</v>
      </c>
      <c r="Q1468" s="6">
        <v>0</v>
      </c>
      <c r="R1468" s="6">
        <v>0</v>
      </c>
      <c r="S1468" s="6">
        <v>750</v>
      </c>
    </row>
    <row r="1469" spans="1:19" ht="15" hidden="1" x14ac:dyDescent="0.25">
      <c r="A1469" s="7" t="s">
        <v>16</v>
      </c>
      <c r="B1469" s="7" t="s">
        <v>22</v>
      </c>
      <c r="C1469" s="7" t="s">
        <v>18</v>
      </c>
      <c r="D1469" s="4">
        <v>15126437001204</v>
      </c>
      <c r="E1469" s="8" t="s">
        <v>882</v>
      </c>
      <c r="F1469" s="8" t="s">
        <v>772</v>
      </c>
      <c r="G1469" s="8" t="s">
        <v>69</v>
      </c>
      <c r="H1469" s="8" t="s">
        <v>215</v>
      </c>
      <c r="I1469" s="3">
        <v>2</v>
      </c>
      <c r="J1469" s="8" t="s">
        <v>163</v>
      </c>
      <c r="K1469" s="8" t="s">
        <v>164</v>
      </c>
      <c r="L1469" s="8" t="s">
        <v>557</v>
      </c>
      <c r="M1469" s="1" t="s">
        <v>211</v>
      </c>
      <c r="N1469" s="8" t="s">
        <v>212</v>
      </c>
      <c r="O1469" s="6">
        <v>0</v>
      </c>
      <c r="P1469" s="6">
        <v>0</v>
      </c>
      <c r="Q1469" s="6">
        <v>0</v>
      </c>
      <c r="R1469" s="6">
        <v>0</v>
      </c>
      <c r="S1469" s="6">
        <v>750</v>
      </c>
    </row>
    <row r="1470" spans="1:19" ht="15" hidden="1" x14ac:dyDescent="0.25">
      <c r="A1470" s="7" t="s">
        <v>16</v>
      </c>
      <c r="B1470" s="7" t="s">
        <v>22</v>
      </c>
      <c r="C1470" s="7" t="s">
        <v>18</v>
      </c>
      <c r="D1470" s="4">
        <v>3925419000142</v>
      </c>
      <c r="E1470" s="8" t="s">
        <v>795</v>
      </c>
      <c r="F1470" s="8" t="s">
        <v>772</v>
      </c>
      <c r="G1470" s="8" t="s">
        <v>69</v>
      </c>
      <c r="H1470" s="8" t="s">
        <v>215</v>
      </c>
      <c r="I1470" s="3">
        <v>2</v>
      </c>
      <c r="J1470" s="8" t="s">
        <v>187</v>
      </c>
      <c r="K1470" s="8" t="s">
        <v>188</v>
      </c>
      <c r="L1470" s="8" t="s">
        <v>556</v>
      </c>
      <c r="M1470" s="1" t="s">
        <v>211</v>
      </c>
      <c r="N1470" s="8" t="s">
        <v>212</v>
      </c>
      <c r="O1470" s="6">
        <v>0</v>
      </c>
      <c r="P1470" s="6">
        <v>0</v>
      </c>
      <c r="Q1470" s="6">
        <v>0</v>
      </c>
      <c r="R1470" s="6">
        <v>0</v>
      </c>
      <c r="S1470" s="6">
        <v>0</v>
      </c>
    </row>
    <row r="1471" spans="1:19" ht="15" hidden="1" x14ac:dyDescent="0.25">
      <c r="A1471" s="7" t="s">
        <v>16</v>
      </c>
      <c r="B1471" s="7" t="s">
        <v>22</v>
      </c>
      <c r="C1471" s="7" t="s">
        <v>18</v>
      </c>
      <c r="D1471" s="4">
        <v>3925419000142</v>
      </c>
      <c r="E1471" s="8" t="s">
        <v>795</v>
      </c>
      <c r="F1471" s="8" t="s">
        <v>772</v>
      </c>
      <c r="G1471" s="8" t="s">
        <v>69</v>
      </c>
      <c r="H1471" s="8" t="s">
        <v>215</v>
      </c>
      <c r="I1471" s="3">
        <v>2</v>
      </c>
      <c r="J1471" s="8" t="s">
        <v>163</v>
      </c>
      <c r="K1471" s="8" t="s">
        <v>164</v>
      </c>
      <c r="L1471" s="8" t="s">
        <v>557</v>
      </c>
      <c r="M1471" s="1" t="s">
        <v>211</v>
      </c>
      <c r="N1471" s="8" t="s">
        <v>212</v>
      </c>
      <c r="O1471" s="6">
        <v>0</v>
      </c>
      <c r="P1471" s="6">
        <v>4</v>
      </c>
      <c r="Q1471" s="6">
        <v>0</v>
      </c>
      <c r="R1471" s="6">
        <v>0</v>
      </c>
      <c r="S1471" s="6">
        <v>0</v>
      </c>
    </row>
    <row r="1472" spans="1:19" ht="15" hidden="1" x14ac:dyDescent="0.25">
      <c r="A1472" s="7" t="s">
        <v>16</v>
      </c>
      <c r="B1472" s="7" t="s">
        <v>22</v>
      </c>
      <c r="C1472" s="7" t="s">
        <v>18</v>
      </c>
      <c r="D1472" s="4">
        <v>4966545000370</v>
      </c>
      <c r="E1472" s="8" t="s">
        <v>1148</v>
      </c>
      <c r="F1472" s="8" t="s">
        <v>1129</v>
      </c>
      <c r="G1472" s="8" t="s">
        <v>52</v>
      </c>
      <c r="H1472" s="8" t="s">
        <v>215</v>
      </c>
      <c r="I1472" s="3">
        <v>1</v>
      </c>
      <c r="J1472" s="8" t="s">
        <v>201</v>
      </c>
      <c r="K1472" s="8" t="s">
        <v>202</v>
      </c>
      <c r="L1472" s="8" t="s">
        <v>740</v>
      </c>
      <c r="M1472" s="1" t="s">
        <v>211</v>
      </c>
      <c r="N1472" s="8" t="s">
        <v>212</v>
      </c>
      <c r="O1472" s="6">
        <v>0</v>
      </c>
      <c r="P1472" s="6">
        <v>0</v>
      </c>
      <c r="Q1472" s="6">
        <v>0</v>
      </c>
      <c r="R1472" s="6">
        <v>0</v>
      </c>
      <c r="S1472" s="6">
        <v>40</v>
      </c>
    </row>
    <row r="1473" spans="1:19" ht="15" hidden="1" x14ac:dyDescent="0.25">
      <c r="A1473" s="7" t="s">
        <v>16</v>
      </c>
      <c r="B1473" s="7" t="s">
        <v>22</v>
      </c>
      <c r="C1473" s="7" t="s">
        <v>18</v>
      </c>
      <c r="D1473" s="4">
        <v>83367342000252</v>
      </c>
      <c r="E1473" s="8" t="s">
        <v>1237</v>
      </c>
      <c r="F1473" s="8" t="s">
        <v>1129</v>
      </c>
      <c r="G1473" s="8" t="s">
        <v>52</v>
      </c>
      <c r="H1473" s="8" t="s">
        <v>215</v>
      </c>
      <c r="I1473" s="3">
        <v>1</v>
      </c>
      <c r="J1473" s="8" t="s">
        <v>201</v>
      </c>
      <c r="K1473" s="8" t="s">
        <v>202</v>
      </c>
      <c r="L1473" s="8" t="s">
        <v>740</v>
      </c>
      <c r="M1473" s="1" t="s">
        <v>211</v>
      </c>
      <c r="N1473" s="8" t="s">
        <v>212</v>
      </c>
      <c r="O1473" s="6">
        <v>0</v>
      </c>
      <c r="P1473" s="6">
        <v>0</v>
      </c>
      <c r="Q1473" s="6">
        <v>0</v>
      </c>
      <c r="R1473" s="6">
        <v>0</v>
      </c>
      <c r="S1473" s="6">
        <v>40</v>
      </c>
    </row>
    <row r="1474" spans="1:19" ht="15" hidden="1" x14ac:dyDescent="0.25">
      <c r="A1474" s="7" t="s">
        <v>16</v>
      </c>
      <c r="B1474" s="7" t="s">
        <v>22</v>
      </c>
      <c r="C1474" s="7" t="s">
        <v>18</v>
      </c>
      <c r="D1474" s="4">
        <v>12361267000274</v>
      </c>
      <c r="E1474" s="8" t="s">
        <v>1159</v>
      </c>
      <c r="F1474" s="8" t="s">
        <v>1129</v>
      </c>
      <c r="G1474" s="8" t="s">
        <v>52</v>
      </c>
      <c r="H1474" s="8" t="s">
        <v>215</v>
      </c>
      <c r="I1474" s="3">
        <v>1</v>
      </c>
      <c r="J1474" s="8" t="s">
        <v>201</v>
      </c>
      <c r="K1474" s="8" t="s">
        <v>202</v>
      </c>
      <c r="L1474" s="8" t="s">
        <v>740</v>
      </c>
      <c r="M1474" s="1" t="s">
        <v>211</v>
      </c>
      <c r="N1474" s="8" t="s">
        <v>212</v>
      </c>
      <c r="O1474" s="6">
        <v>0</v>
      </c>
      <c r="P1474" s="6">
        <v>4</v>
      </c>
      <c r="Q1474" s="6">
        <v>0</v>
      </c>
      <c r="R1474" s="6">
        <v>0</v>
      </c>
      <c r="S1474" s="6">
        <v>0</v>
      </c>
    </row>
    <row r="1475" spans="1:19" ht="15" hidden="1" x14ac:dyDescent="0.25">
      <c r="A1475" s="7" t="s">
        <v>16</v>
      </c>
      <c r="B1475" s="7" t="s">
        <v>22</v>
      </c>
      <c r="C1475" s="7" t="s">
        <v>18</v>
      </c>
      <c r="D1475" s="4">
        <v>12371009253</v>
      </c>
      <c r="E1475" s="8" t="s">
        <v>1128</v>
      </c>
      <c r="F1475" s="8" t="s">
        <v>1129</v>
      </c>
      <c r="G1475" s="8" t="s">
        <v>52</v>
      </c>
      <c r="H1475" s="8" t="s">
        <v>215</v>
      </c>
      <c r="I1475" s="3">
        <v>1</v>
      </c>
      <c r="J1475" s="8" t="s">
        <v>201</v>
      </c>
      <c r="K1475" s="8" t="s">
        <v>202</v>
      </c>
      <c r="L1475" s="8" t="s">
        <v>740</v>
      </c>
      <c r="M1475" s="1" t="s">
        <v>211</v>
      </c>
      <c r="N1475" s="8" t="s">
        <v>212</v>
      </c>
      <c r="O1475" s="6">
        <v>0</v>
      </c>
      <c r="P1475" s="6">
        <v>0</v>
      </c>
      <c r="Q1475" s="6">
        <v>0</v>
      </c>
      <c r="R1475" s="6">
        <v>12</v>
      </c>
      <c r="S1475" s="6">
        <v>0</v>
      </c>
    </row>
    <row r="1476" spans="1:19" ht="15" hidden="1" x14ac:dyDescent="0.25">
      <c r="A1476" s="7" t="s">
        <v>16</v>
      </c>
      <c r="B1476" s="7" t="s">
        <v>22</v>
      </c>
      <c r="C1476" s="7" t="s">
        <v>18</v>
      </c>
      <c r="D1476" s="4">
        <v>93326645287</v>
      </c>
      <c r="E1476" s="8" t="s">
        <v>1239</v>
      </c>
      <c r="F1476" s="8" t="s">
        <v>1129</v>
      </c>
      <c r="G1476" s="8" t="s">
        <v>52</v>
      </c>
      <c r="H1476" s="8" t="s">
        <v>215</v>
      </c>
      <c r="I1476" s="3">
        <v>1</v>
      </c>
      <c r="J1476" s="8" t="s">
        <v>201</v>
      </c>
      <c r="K1476" s="8" t="s">
        <v>202</v>
      </c>
      <c r="L1476" s="8" t="s">
        <v>740</v>
      </c>
      <c r="M1476" s="1" t="s">
        <v>211</v>
      </c>
      <c r="N1476" s="8" t="s">
        <v>212</v>
      </c>
      <c r="O1476" s="6">
        <v>0</v>
      </c>
      <c r="P1476" s="6">
        <v>0</v>
      </c>
      <c r="Q1476" s="6">
        <v>0</v>
      </c>
      <c r="R1476" s="6">
        <v>16</v>
      </c>
      <c r="S1476" s="6">
        <v>0</v>
      </c>
    </row>
    <row r="1477" spans="1:19" ht="15" hidden="1" x14ac:dyDescent="0.25">
      <c r="A1477" s="7" t="s">
        <v>16</v>
      </c>
      <c r="B1477" s="7" t="s">
        <v>22</v>
      </c>
      <c r="C1477" s="7" t="s">
        <v>18</v>
      </c>
      <c r="D1477" s="4">
        <v>4201372001028</v>
      </c>
      <c r="E1477" s="8" t="s">
        <v>1145</v>
      </c>
      <c r="F1477" s="8" t="s">
        <v>1129</v>
      </c>
      <c r="G1477" s="8" t="s">
        <v>52</v>
      </c>
      <c r="H1477" s="8" t="s">
        <v>215</v>
      </c>
      <c r="I1477" s="3">
        <v>1</v>
      </c>
      <c r="J1477" s="8" t="s">
        <v>201</v>
      </c>
      <c r="K1477" s="8" t="s">
        <v>202</v>
      </c>
      <c r="L1477" s="8" t="s">
        <v>740</v>
      </c>
      <c r="M1477" s="1" t="s">
        <v>211</v>
      </c>
      <c r="N1477" s="8" t="s">
        <v>212</v>
      </c>
      <c r="O1477" s="6">
        <v>0</v>
      </c>
      <c r="P1477" s="6">
        <v>0</v>
      </c>
      <c r="Q1477" s="6">
        <v>0</v>
      </c>
      <c r="R1477" s="6">
        <v>32</v>
      </c>
      <c r="S1477" s="6">
        <v>0</v>
      </c>
    </row>
    <row r="1478" spans="1:19" ht="15" hidden="1" x14ac:dyDescent="0.25">
      <c r="A1478" s="7" t="s">
        <v>16</v>
      </c>
      <c r="B1478" s="7" t="s">
        <v>22</v>
      </c>
      <c r="C1478" s="7" t="s">
        <v>18</v>
      </c>
      <c r="D1478" s="4">
        <v>5055128000257</v>
      </c>
      <c r="E1478" s="8" t="s">
        <v>798</v>
      </c>
      <c r="F1478" s="8" t="s">
        <v>130</v>
      </c>
      <c r="G1478" s="8" t="s">
        <v>56</v>
      </c>
      <c r="H1478" s="8" t="s">
        <v>215</v>
      </c>
      <c r="I1478" s="3">
        <v>2</v>
      </c>
      <c r="J1478" s="8" t="s">
        <v>199</v>
      </c>
      <c r="K1478" s="8" t="s">
        <v>200</v>
      </c>
      <c r="L1478" s="8" t="s">
        <v>556</v>
      </c>
      <c r="M1478" s="1" t="s">
        <v>211</v>
      </c>
      <c r="N1478" s="8" t="s">
        <v>212</v>
      </c>
      <c r="O1478" s="6">
        <v>0</v>
      </c>
      <c r="P1478" s="6">
        <v>0</v>
      </c>
      <c r="Q1478" s="6">
        <v>0</v>
      </c>
      <c r="R1478" s="6">
        <v>0</v>
      </c>
      <c r="S1478" s="6">
        <v>75</v>
      </c>
    </row>
    <row r="1479" spans="1:19" ht="15" hidden="1" x14ac:dyDescent="0.25">
      <c r="A1479" s="7" t="s">
        <v>16</v>
      </c>
      <c r="B1479" s="7" t="s">
        <v>22</v>
      </c>
      <c r="C1479" s="7" t="s">
        <v>18</v>
      </c>
      <c r="D1479" s="4">
        <v>5055128000257</v>
      </c>
      <c r="E1479" s="8" t="s">
        <v>798</v>
      </c>
      <c r="F1479" s="8" t="s">
        <v>130</v>
      </c>
      <c r="G1479" s="8" t="s">
        <v>56</v>
      </c>
      <c r="H1479" s="8" t="s">
        <v>215</v>
      </c>
      <c r="I1479" s="3">
        <v>2</v>
      </c>
      <c r="J1479" s="8" t="s">
        <v>169</v>
      </c>
      <c r="K1479" s="8" t="s">
        <v>170</v>
      </c>
      <c r="L1479" s="8" t="s">
        <v>557</v>
      </c>
      <c r="M1479" s="1" t="s">
        <v>211</v>
      </c>
      <c r="N1479" s="8" t="s">
        <v>212</v>
      </c>
      <c r="O1479" s="6">
        <v>0</v>
      </c>
      <c r="P1479" s="6">
        <v>0</v>
      </c>
      <c r="Q1479" s="6">
        <v>0</v>
      </c>
      <c r="R1479" s="6">
        <v>0</v>
      </c>
      <c r="S1479" s="6">
        <v>75</v>
      </c>
    </row>
    <row r="1480" spans="1:19" ht="15" hidden="1" x14ac:dyDescent="0.25">
      <c r="A1480" s="7" t="s">
        <v>16</v>
      </c>
      <c r="B1480" s="7" t="s">
        <v>22</v>
      </c>
      <c r="C1480" s="7" t="s">
        <v>18</v>
      </c>
      <c r="D1480" s="4">
        <v>83925694404</v>
      </c>
      <c r="E1480" s="8" t="s">
        <v>746</v>
      </c>
      <c r="F1480" s="8" t="s">
        <v>747</v>
      </c>
      <c r="G1480" s="8" t="s">
        <v>56</v>
      </c>
      <c r="H1480" s="8" t="s">
        <v>215</v>
      </c>
      <c r="I1480" s="3">
        <v>2</v>
      </c>
      <c r="J1480" s="8" t="s">
        <v>199</v>
      </c>
      <c r="K1480" s="8" t="s">
        <v>200</v>
      </c>
      <c r="L1480" s="8" t="s">
        <v>556</v>
      </c>
      <c r="M1480" s="1" t="s">
        <v>211</v>
      </c>
      <c r="N1480" s="8" t="s">
        <v>212</v>
      </c>
      <c r="O1480" s="6">
        <v>26</v>
      </c>
      <c r="P1480" s="6">
        <v>0</v>
      </c>
      <c r="Q1480" s="6">
        <v>0</v>
      </c>
      <c r="R1480" s="6">
        <v>0</v>
      </c>
      <c r="S1480" s="6">
        <v>0</v>
      </c>
    </row>
    <row r="1481" spans="1:19" ht="15" hidden="1" x14ac:dyDescent="0.25">
      <c r="A1481" s="7" t="s">
        <v>16</v>
      </c>
      <c r="B1481" s="7" t="s">
        <v>22</v>
      </c>
      <c r="C1481" s="7" t="s">
        <v>18</v>
      </c>
      <c r="D1481" s="4">
        <v>83925694404</v>
      </c>
      <c r="E1481" s="8" t="s">
        <v>746</v>
      </c>
      <c r="F1481" s="8" t="s">
        <v>747</v>
      </c>
      <c r="G1481" s="8" t="s">
        <v>56</v>
      </c>
      <c r="H1481" s="8" t="s">
        <v>215</v>
      </c>
      <c r="I1481" s="3">
        <v>2</v>
      </c>
      <c r="J1481" s="8" t="s">
        <v>169</v>
      </c>
      <c r="K1481" s="8" t="s">
        <v>170</v>
      </c>
      <c r="L1481" s="8" t="s">
        <v>557</v>
      </c>
      <c r="M1481" s="1" t="s">
        <v>211</v>
      </c>
      <c r="N1481" s="8" t="s">
        <v>212</v>
      </c>
      <c r="O1481" s="6">
        <v>0</v>
      </c>
      <c r="P1481" s="6">
        <v>0</v>
      </c>
      <c r="Q1481" s="6">
        <v>0</v>
      </c>
      <c r="R1481" s="6">
        <v>0</v>
      </c>
      <c r="S1481" s="6">
        <v>0</v>
      </c>
    </row>
    <row r="1482" spans="1:19" ht="15" hidden="1" x14ac:dyDescent="0.25">
      <c r="A1482" s="7" t="s">
        <v>16</v>
      </c>
      <c r="B1482" s="7" t="s">
        <v>22</v>
      </c>
      <c r="C1482" s="7" t="s">
        <v>18</v>
      </c>
      <c r="D1482" s="4">
        <v>8680639000681</v>
      </c>
      <c r="E1482" s="8" t="s">
        <v>827</v>
      </c>
      <c r="F1482" s="8" t="s">
        <v>747</v>
      </c>
      <c r="G1482" s="8" t="s">
        <v>56</v>
      </c>
      <c r="H1482" s="8" t="s">
        <v>215</v>
      </c>
      <c r="I1482" s="3">
        <v>2</v>
      </c>
      <c r="J1482" s="8" t="s">
        <v>199</v>
      </c>
      <c r="K1482" s="8" t="s">
        <v>200</v>
      </c>
      <c r="L1482" s="8" t="s">
        <v>556</v>
      </c>
      <c r="M1482" s="1" t="s">
        <v>211</v>
      </c>
      <c r="N1482" s="8" t="s">
        <v>212</v>
      </c>
      <c r="O1482" s="6">
        <v>0</v>
      </c>
      <c r="P1482" s="6">
        <v>0</v>
      </c>
      <c r="Q1482" s="6">
        <v>0</v>
      </c>
      <c r="R1482" s="6">
        <v>80</v>
      </c>
      <c r="S1482" s="6">
        <v>140</v>
      </c>
    </row>
    <row r="1483" spans="1:19" ht="15" hidden="1" x14ac:dyDescent="0.25">
      <c r="A1483" s="7" t="s">
        <v>16</v>
      </c>
      <c r="B1483" s="7" t="s">
        <v>22</v>
      </c>
      <c r="C1483" s="7" t="s">
        <v>18</v>
      </c>
      <c r="D1483" s="4">
        <v>8680639000681</v>
      </c>
      <c r="E1483" s="8" t="s">
        <v>827</v>
      </c>
      <c r="F1483" s="8" t="s">
        <v>747</v>
      </c>
      <c r="G1483" s="8" t="s">
        <v>56</v>
      </c>
      <c r="H1483" s="8" t="s">
        <v>215</v>
      </c>
      <c r="I1483" s="3">
        <v>2</v>
      </c>
      <c r="J1483" s="8" t="s">
        <v>169</v>
      </c>
      <c r="K1483" s="8" t="s">
        <v>170</v>
      </c>
      <c r="L1483" s="8" t="s">
        <v>557</v>
      </c>
      <c r="M1483" s="1" t="s">
        <v>211</v>
      </c>
      <c r="N1483" s="8" t="s">
        <v>212</v>
      </c>
      <c r="O1483" s="6">
        <v>0</v>
      </c>
      <c r="P1483" s="6">
        <v>0</v>
      </c>
      <c r="Q1483" s="6">
        <v>0</v>
      </c>
      <c r="R1483" s="6">
        <v>0</v>
      </c>
      <c r="S1483" s="6">
        <v>140</v>
      </c>
    </row>
    <row r="1484" spans="1:19" ht="15" hidden="1" x14ac:dyDescent="0.25">
      <c r="A1484" s="7" t="s">
        <v>16</v>
      </c>
      <c r="B1484" s="7" t="s">
        <v>22</v>
      </c>
      <c r="C1484" s="7" t="s">
        <v>18</v>
      </c>
      <c r="D1484" s="4">
        <v>12361267008844</v>
      </c>
      <c r="E1484" s="8" t="s">
        <v>856</v>
      </c>
      <c r="F1484" s="8" t="s">
        <v>857</v>
      </c>
      <c r="G1484" s="8" t="s">
        <v>56</v>
      </c>
      <c r="H1484" s="8" t="s">
        <v>215</v>
      </c>
      <c r="I1484" s="3">
        <v>2</v>
      </c>
      <c r="J1484" s="8" t="s">
        <v>199</v>
      </c>
      <c r="K1484" s="8" t="s">
        <v>200</v>
      </c>
      <c r="L1484" s="8" t="s">
        <v>556</v>
      </c>
      <c r="M1484" s="1" t="s">
        <v>211</v>
      </c>
      <c r="N1484" s="8" t="s">
        <v>212</v>
      </c>
      <c r="O1484" s="6">
        <v>0</v>
      </c>
      <c r="P1484" s="6">
        <v>0</v>
      </c>
      <c r="Q1484" s="6">
        <v>0</v>
      </c>
      <c r="R1484" s="6">
        <v>0</v>
      </c>
      <c r="S1484" s="6">
        <v>0</v>
      </c>
    </row>
    <row r="1485" spans="1:19" ht="15" hidden="1" x14ac:dyDescent="0.25">
      <c r="A1485" s="7" t="s">
        <v>16</v>
      </c>
      <c r="B1485" s="7" t="s">
        <v>22</v>
      </c>
      <c r="C1485" s="7" t="s">
        <v>18</v>
      </c>
      <c r="D1485" s="4">
        <v>12361267008844</v>
      </c>
      <c r="E1485" s="8" t="s">
        <v>856</v>
      </c>
      <c r="F1485" s="8" t="s">
        <v>857</v>
      </c>
      <c r="G1485" s="8" t="s">
        <v>56</v>
      </c>
      <c r="H1485" s="8" t="s">
        <v>215</v>
      </c>
      <c r="I1485" s="3">
        <v>2</v>
      </c>
      <c r="J1485" s="8" t="s">
        <v>169</v>
      </c>
      <c r="K1485" s="8" t="s">
        <v>170</v>
      </c>
      <c r="L1485" s="8" t="s">
        <v>557</v>
      </c>
      <c r="M1485" s="1" t="s">
        <v>211</v>
      </c>
      <c r="N1485" s="8" t="s">
        <v>212</v>
      </c>
      <c r="O1485" s="6">
        <v>0</v>
      </c>
      <c r="P1485" s="6">
        <v>2</v>
      </c>
      <c r="Q1485" s="6">
        <v>2</v>
      </c>
      <c r="R1485" s="6">
        <v>0</v>
      </c>
      <c r="S1485" s="6">
        <v>0</v>
      </c>
    </row>
    <row r="1486" spans="1:19" ht="15" hidden="1" x14ac:dyDescent="0.25">
      <c r="A1486" s="7" t="s">
        <v>16</v>
      </c>
      <c r="B1486" s="7" t="s">
        <v>22</v>
      </c>
      <c r="C1486" s="7" t="s">
        <v>18</v>
      </c>
      <c r="D1486" s="4">
        <v>3904395000145</v>
      </c>
      <c r="E1486" s="8" t="s">
        <v>793</v>
      </c>
      <c r="F1486" s="8" t="s">
        <v>794</v>
      </c>
      <c r="G1486" s="8" t="s">
        <v>71</v>
      </c>
      <c r="H1486" s="8" t="s">
        <v>215</v>
      </c>
      <c r="I1486" s="3">
        <v>2</v>
      </c>
      <c r="J1486" s="8" t="s">
        <v>199</v>
      </c>
      <c r="K1486" s="8" t="s">
        <v>200</v>
      </c>
      <c r="L1486" s="8" t="s">
        <v>556</v>
      </c>
      <c r="M1486" s="1" t="s">
        <v>211</v>
      </c>
      <c r="N1486" s="8" t="s">
        <v>212</v>
      </c>
      <c r="O1486" s="6">
        <v>24</v>
      </c>
      <c r="P1486" s="6">
        <v>0</v>
      </c>
      <c r="Q1486" s="6">
        <v>0</v>
      </c>
      <c r="R1486" s="6">
        <v>0</v>
      </c>
      <c r="S1486" s="6">
        <v>0</v>
      </c>
    </row>
    <row r="1487" spans="1:19" ht="15" hidden="1" x14ac:dyDescent="0.25">
      <c r="A1487" s="7" t="s">
        <v>16</v>
      </c>
      <c r="B1487" s="7" t="s">
        <v>22</v>
      </c>
      <c r="C1487" s="7" t="s">
        <v>18</v>
      </c>
      <c r="D1487" s="4">
        <v>3904395000145</v>
      </c>
      <c r="E1487" s="8" t="s">
        <v>793</v>
      </c>
      <c r="F1487" s="8" t="s">
        <v>794</v>
      </c>
      <c r="G1487" s="8" t="s">
        <v>71</v>
      </c>
      <c r="H1487" s="8" t="s">
        <v>215</v>
      </c>
      <c r="I1487" s="3">
        <v>2</v>
      </c>
      <c r="J1487" s="8" t="s">
        <v>169</v>
      </c>
      <c r="K1487" s="8" t="s">
        <v>170</v>
      </c>
      <c r="L1487" s="8" t="s">
        <v>557</v>
      </c>
      <c r="M1487" s="1" t="s">
        <v>211</v>
      </c>
      <c r="N1487" s="8" t="s">
        <v>212</v>
      </c>
      <c r="O1487" s="6">
        <v>0</v>
      </c>
      <c r="P1487" s="6">
        <v>0</v>
      </c>
      <c r="Q1487" s="6">
        <v>0</v>
      </c>
      <c r="R1487" s="6">
        <v>0</v>
      </c>
      <c r="S1487" s="6">
        <v>0</v>
      </c>
    </row>
    <row r="1488" spans="1:19" ht="15" hidden="1" x14ac:dyDescent="0.25">
      <c r="A1488" s="7" t="s">
        <v>16</v>
      </c>
      <c r="B1488" s="7" t="s">
        <v>22</v>
      </c>
      <c r="C1488" s="7" t="s">
        <v>18</v>
      </c>
      <c r="D1488" s="4">
        <v>6047087001291</v>
      </c>
      <c r="E1488" s="8" t="s">
        <v>809</v>
      </c>
      <c r="F1488" s="8" t="s">
        <v>107</v>
      </c>
      <c r="G1488" s="8" t="s">
        <v>71</v>
      </c>
      <c r="H1488" s="8" t="s">
        <v>215</v>
      </c>
      <c r="I1488" s="3">
        <v>2</v>
      </c>
      <c r="J1488" s="8" t="s">
        <v>199</v>
      </c>
      <c r="K1488" s="8" t="s">
        <v>200</v>
      </c>
      <c r="L1488" s="8" t="s">
        <v>556</v>
      </c>
      <c r="M1488" s="1" t="s">
        <v>211</v>
      </c>
      <c r="N1488" s="8" t="s">
        <v>212</v>
      </c>
      <c r="O1488" s="6">
        <v>0</v>
      </c>
      <c r="P1488" s="6">
        <v>0</v>
      </c>
      <c r="Q1488" s="6">
        <v>0</v>
      </c>
      <c r="R1488" s="6">
        <v>0</v>
      </c>
      <c r="S1488" s="6">
        <v>0</v>
      </c>
    </row>
    <row r="1489" spans="1:19" ht="15" hidden="1" x14ac:dyDescent="0.25">
      <c r="A1489" s="7" t="s">
        <v>16</v>
      </c>
      <c r="B1489" s="7" t="s">
        <v>22</v>
      </c>
      <c r="C1489" s="7" t="s">
        <v>18</v>
      </c>
      <c r="D1489" s="4">
        <v>6047087001291</v>
      </c>
      <c r="E1489" s="8" t="s">
        <v>809</v>
      </c>
      <c r="F1489" s="8" t="s">
        <v>107</v>
      </c>
      <c r="G1489" s="8" t="s">
        <v>71</v>
      </c>
      <c r="H1489" s="8" t="s">
        <v>215</v>
      </c>
      <c r="I1489" s="3">
        <v>2</v>
      </c>
      <c r="J1489" s="8" t="s">
        <v>169</v>
      </c>
      <c r="K1489" s="8" t="s">
        <v>170</v>
      </c>
      <c r="L1489" s="8" t="s">
        <v>557</v>
      </c>
      <c r="M1489" s="1" t="s">
        <v>211</v>
      </c>
      <c r="N1489" s="8" t="s">
        <v>212</v>
      </c>
      <c r="O1489" s="6">
        <v>0</v>
      </c>
      <c r="P1489" s="6">
        <v>8</v>
      </c>
      <c r="Q1489" s="6">
        <v>0</v>
      </c>
      <c r="R1489" s="6">
        <v>0</v>
      </c>
      <c r="S1489" s="6">
        <v>0</v>
      </c>
    </row>
    <row r="1490" spans="1:19" ht="15" hidden="1" x14ac:dyDescent="0.25">
      <c r="A1490" s="7" t="s">
        <v>16</v>
      </c>
      <c r="B1490" s="7" t="s">
        <v>22</v>
      </c>
      <c r="C1490" s="7" t="s">
        <v>18</v>
      </c>
      <c r="D1490" s="4">
        <v>9039744000275</v>
      </c>
      <c r="E1490" s="8" t="s">
        <v>829</v>
      </c>
      <c r="F1490" s="8" t="s">
        <v>99</v>
      </c>
      <c r="G1490" s="8" t="s">
        <v>71</v>
      </c>
      <c r="H1490" s="8" t="s">
        <v>215</v>
      </c>
      <c r="I1490" s="3">
        <v>2</v>
      </c>
      <c r="J1490" s="8" t="s">
        <v>199</v>
      </c>
      <c r="K1490" s="8" t="s">
        <v>200</v>
      </c>
      <c r="L1490" s="8" t="s">
        <v>556</v>
      </c>
      <c r="M1490" s="1" t="s">
        <v>211</v>
      </c>
      <c r="N1490" s="8" t="s">
        <v>212</v>
      </c>
      <c r="O1490" s="6">
        <v>0</v>
      </c>
      <c r="P1490" s="6">
        <v>0</v>
      </c>
      <c r="Q1490" s="6">
        <v>0</v>
      </c>
      <c r="R1490" s="6">
        <v>0</v>
      </c>
      <c r="S1490" s="6">
        <v>0</v>
      </c>
    </row>
    <row r="1491" spans="1:19" ht="15" hidden="1" x14ac:dyDescent="0.25">
      <c r="A1491" s="7" t="s">
        <v>16</v>
      </c>
      <c r="B1491" s="7" t="s">
        <v>22</v>
      </c>
      <c r="C1491" s="7" t="s">
        <v>18</v>
      </c>
      <c r="D1491" s="4">
        <v>9039744000275</v>
      </c>
      <c r="E1491" s="8" t="s">
        <v>829</v>
      </c>
      <c r="F1491" s="8" t="s">
        <v>99</v>
      </c>
      <c r="G1491" s="8" t="s">
        <v>71</v>
      </c>
      <c r="H1491" s="8" t="s">
        <v>215</v>
      </c>
      <c r="I1491" s="3">
        <v>2</v>
      </c>
      <c r="J1491" s="8" t="s">
        <v>169</v>
      </c>
      <c r="K1491" s="8" t="s">
        <v>170</v>
      </c>
      <c r="L1491" s="8" t="s">
        <v>557</v>
      </c>
      <c r="M1491" s="1" t="s">
        <v>211</v>
      </c>
      <c r="N1491" s="8" t="s">
        <v>212</v>
      </c>
      <c r="O1491" s="6">
        <v>0</v>
      </c>
      <c r="P1491" s="6">
        <v>7</v>
      </c>
      <c r="Q1491" s="6">
        <v>0</v>
      </c>
      <c r="R1491" s="6">
        <v>0</v>
      </c>
      <c r="S1491" s="6">
        <v>0</v>
      </c>
    </row>
    <row r="1492" spans="1:19" ht="15" hidden="1" x14ac:dyDescent="0.25">
      <c r="A1492" s="7" t="s">
        <v>16</v>
      </c>
      <c r="B1492" s="7" t="s">
        <v>22</v>
      </c>
      <c r="C1492" s="7" t="s">
        <v>18</v>
      </c>
      <c r="D1492" s="4">
        <v>12361267007287</v>
      </c>
      <c r="E1492" s="8" t="s">
        <v>853</v>
      </c>
      <c r="F1492" s="8" t="s">
        <v>70</v>
      </c>
      <c r="G1492" s="8" t="s">
        <v>71</v>
      </c>
      <c r="H1492" s="8" t="s">
        <v>215</v>
      </c>
      <c r="I1492" s="3">
        <v>2</v>
      </c>
      <c r="J1492" s="8" t="s">
        <v>199</v>
      </c>
      <c r="K1492" s="8" t="s">
        <v>200</v>
      </c>
      <c r="L1492" s="8" t="s">
        <v>556</v>
      </c>
      <c r="M1492" s="1" t="s">
        <v>211</v>
      </c>
      <c r="N1492" s="8" t="s">
        <v>212</v>
      </c>
      <c r="O1492" s="6">
        <v>0</v>
      </c>
      <c r="P1492" s="6">
        <v>0</v>
      </c>
      <c r="Q1492" s="6">
        <v>0</v>
      </c>
      <c r="R1492" s="6">
        <v>0</v>
      </c>
      <c r="S1492" s="6">
        <v>0</v>
      </c>
    </row>
    <row r="1493" spans="1:19" ht="15" hidden="1" x14ac:dyDescent="0.25">
      <c r="A1493" s="7" t="s">
        <v>16</v>
      </c>
      <c r="B1493" s="7" t="s">
        <v>22</v>
      </c>
      <c r="C1493" s="7" t="s">
        <v>18</v>
      </c>
      <c r="D1493" s="4">
        <v>12361267007287</v>
      </c>
      <c r="E1493" s="8" t="s">
        <v>853</v>
      </c>
      <c r="F1493" s="8" t="s">
        <v>70</v>
      </c>
      <c r="G1493" s="8" t="s">
        <v>71</v>
      </c>
      <c r="H1493" s="8" t="s">
        <v>215</v>
      </c>
      <c r="I1493" s="3">
        <v>2</v>
      </c>
      <c r="J1493" s="8" t="s">
        <v>169</v>
      </c>
      <c r="K1493" s="8" t="s">
        <v>170</v>
      </c>
      <c r="L1493" s="8" t="s">
        <v>557</v>
      </c>
      <c r="M1493" s="1" t="s">
        <v>211</v>
      </c>
      <c r="N1493" s="8" t="s">
        <v>212</v>
      </c>
      <c r="O1493" s="6">
        <v>0</v>
      </c>
      <c r="P1493" s="6">
        <v>8</v>
      </c>
      <c r="Q1493" s="6">
        <v>16</v>
      </c>
      <c r="R1493" s="6">
        <v>0</v>
      </c>
      <c r="S1493" s="6">
        <v>0</v>
      </c>
    </row>
    <row r="1494" spans="1:19" ht="15" hidden="1" x14ac:dyDescent="0.25">
      <c r="A1494" s="7" t="s">
        <v>16</v>
      </c>
      <c r="B1494" s="7" t="s">
        <v>22</v>
      </c>
      <c r="C1494" s="7" t="s">
        <v>18</v>
      </c>
      <c r="D1494" s="4">
        <v>11452240000143</v>
      </c>
      <c r="E1494" s="8" t="s">
        <v>844</v>
      </c>
      <c r="F1494" s="8" t="s">
        <v>70</v>
      </c>
      <c r="G1494" s="8" t="s">
        <v>71</v>
      </c>
      <c r="H1494" s="8" t="s">
        <v>215</v>
      </c>
      <c r="I1494" s="3">
        <v>2</v>
      </c>
      <c r="J1494" s="8" t="s">
        <v>199</v>
      </c>
      <c r="K1494" s="8" t="s">
        <v>200</v>
      </c>
      <c r="L1494" s="8" t="s">
        <v>556</v>
      </c>
      <c r="M1494" s="1" t="s">
        <v>211</v>
      </c>
      <c r="N1494" s="8" t="s">
        <v>212</v>
      </c>
      <c r="O1494" s="6">
        <v>0</v>
      </c>
      <c r="P1494" s="6">
        <v>0</v>
      </c>
      <c r="Q1494" s="6">
        <v>0</v>
      </c>
      <c r="R1494" s="6">
        <v>0</v>
      </c>
      <c r="S1494" s="6">
        <v>0</v>
      </c>
    </row>
    <row r="1495" spans="1:19" ht="15" hidden="1" x14ac:dyDescent="0.25">
      <c r="A1495" s="7" t="s">
        <v>16</v>
      </c>
      <c r="B1495" s="7" t="s">
        <v>22</v>
      </c>
      <c r="C1495" s="7" t="s">
        <v>18</v>
      </c>
      <c r="D1495" s="4">
        <v>11452240000143</v>
      </c>
      <c r="E1495" s="8" t="s">
        <v>844</v>
      </c>
      <c r="F1495" s="8" t="s">
        <v>70</v>
      </c>
      <c r="G1495" s="8" t="s">
        <v>71</v>
      </c>
      <c r="H1495" s="8" t="s">
        <v>215</v>
      </c>
      <c r="I1495" s="3">
        <v>2</v>
      </c>
      <c r="J1495" s="8" t="s">
        <v>169</v>
      </c>
      <c r="K1495" s="8" t="s">
        <v>170</v>
      </c>
      <c r="L1495" s="8" t="s">
        <v>557</v>
      </c>
      <c r="M1495" s="1" t="s">
        <v>211</v>
      </c>
      <c r="N1495" s="8" t="s">
        <v>212</v>
      </c>
      <c r="O1495" s="6">
        <v>0</v>
      </c>
      <c r="P1495" s="6">
        <v>0</v>
      </c>
      <c r="Q1495" s="6">
        <v>4</v>
      </c>
      <c r="R1495" s="6">
        <v>0</v>
      </c>
      <c r="S1495" s="6">
        <v>0</v>
      </c>
    </row>
    <row r="1496" spans="1:19" ht="15" hidden="1" x14ac:dyDescent="0.25">
      <c r="A1496" s="7" t="s">
        <v>16</v>
      </c>
      <c r="B1496" s="7" t="s">
        <v>22</v>
      </c>
      <c r="C1496" s="7" t="s">
        <v>18</v>
      </c>
      <c r="D1496" s="4">
        <v>6047087009276</v>
      </c>
      <c r="E1496" s="8" t="s">
        <v>812</v>
      </c>
      <c r="F1496" s="8" t="s">
        <v>70</v>
      </c>
      <c r="G1496" s="8" t="s">
        <v>71</v>
      </c>
      <c r="H1496" s="8" t="s">
        <v>215</v>
      </c>
      <c r="I1496" s="3">
        <v>2</v>
      </c>
      <c r="J1496" s="8" t="s">
        <v>199</v>
      </c>
      <c r="K1496" s="8" t="s">
        <v>200</v>
      </c>
      <c r="L1496" s="8" t="s">
        <v>556</v>
      </c>
      <c r="M1496" s="1" t="s">
        <v>211</v>
      </c>
      <c r="N1496" s="8" t="s">
        <v>212</v>
      </c>
      <c r="O1496" s="6">
        <v>0</v>
      </c>
      <c r="P1496" s="6">
        <v>0</v>
      </c>
      <c r="Q1496" s="6">
        <v>0</v>
      </c>
      <c r="R1496" s="6">
        <v>0</v>
      </c>
      <c r="S1496" s="6">
        <v>0</v>
      </c>
    </row>
    <row r="1497" spans="1:19" ht="15" hidden="1" x14ac:dyDescent="0.25">
      <c r="A1497" s="7" t="s">
        <v>16</v>
      </c>
      <c r="B1497" s="7" t="s">
        <v>22</v>
      </c>
      <c r="C1497" s="7" t="s">
        <v>18</v>
      </c>
      <c r="D1497" s="4">
        <v>6047087009276</v>
      </c>
      <c r="E1497" s="8" t="s">
        <v>812</v>
      </c>
      <c r="F1497" s="8" t="s">
        <v>70</v>
      </c>
      <c r="G1497" s="8" t="s">
        <v>71</v>
      </c>
      <c r="H1497" s="8" t="s">
        <v>215</v>
      </c>
      <c r="I1497" s="3">
        <v>2</v>
      </c>
      <c r="J1497" s="8" t="s">
        <v>169</v>
      </c>
      <c r="K1497" s="8" t="s">
        <v>170</v>
      </c>
      <c r="L1497" s="8" t="s">
        <v>557</v>
      </c>
      <c r="M1497" s="1" t="s">
        <v>211</v>
      </c>
      <c r="N1497" s="8" t="s">
        <v>212</v>
      </c>
      <c r="O1497" s="6">
        <v>0</v>
      </c>
      <c r="P1497" s="6">
        <v>30</v>
      </c>
      <c r="Q1497" s="6">
        <v>0</v>
      </c>
      <c r="R1497" s="6">
        <v>0</v>
      </c>
      <c r="S1497" s="6">
        <v>0</v>
      </c>
    </row>
    <row r="1498" spans="1:19" ht="15" hidden="1" x14ac:dyDescent="0.25">
      <c r="A1498" s="7" t="s">
        <v>16</v>
      </c>
      <c r="B1498" s="7" t="s">
        <v>22</v>
      </c>
      <c r="C1498" s="7" t="s">
        <v>18</v>
      </c>
      <c r="D1498" s="4">
        <v>10892164000124</v>
      </c>
      <c r="E1498" s="8" t="s">
        <v>835</v>
      </c>
      <c r="F1498" s="8" t="s">
        <v>70</v>
      </c>
      <c r="G1498" s="8" t="s">
        <v>71</v>
      </c>
      <c r="H1498" s="8" t="s">
        <v>215</v>
      </c>
      <c r="I1498" s="3">
        <v>2</v>
      </c>
      <c r="J1498" s="8" t="s">
        <v>199</v>
      </c>
      <c r="K1498" s="8" t="s">
        <v>200</v>
      </c>
      <c r="L1498" s="8" t="s">
        <v>556</v>
      </c>
      <c r="M1498" s="1" t="s">
        <v>211</v>
      </c>
      <c r="N1498" s="8" t="s">
        <v>212</v>
      </c>
      <c r="O1498" s="6">
        <v>0</v>
      </c>
      <c r="P1498" s="6">
        <v>0</v>
      </c>
      <c r="Q1498" s="6">
        <v>0</v>
      </c>
      <c r="R1498" s="6">
        <v>40</v>
      </c>
      <c r="S1498" s="6">
        <v>0</v>
      </c>
    </row>
    <row r="1499" spans="1:19" ht="15" hidden="1" x14ac:dyDescent="0.25">
      <c r="A1499" s="7" t="s">
        <v>16</v>
      </c>
      <c r="B1499" s="7" t="s">
        <v>22</v>
      </c>
      <c r="C1499" s="7" t="s">
        <v>18</v>
      </c>
      <c r="D1499" s="4">
        <v>10892164000124</v>
      </c>
      <c r="E1499" s="8" t="s">
        <v>835</v>
      </c>
      <c r="F1499" s="8" t="s">
        <v>70</v>
      </c>
      <c r="G1499" s="8" t="s">
        <v>71</v>
      </c>
      <c r="H1499" s="8" t="s">
        <v>215</v>
      </c>
      <c r="I1499" s="3">
        <v>2</v>
      </c>
      <c r="J1499" s="8" t="s">
        <v>169</v>
      </c>
      <c r="K1499" s="8" t="s">
        <v>170</v>
      </c>
      <c r="L1499" s="8" t="s">
        <v>557</v>
      </c>
      <c r="M1499" s="1" t="s">
        <v>211</v>
      </c>
      <c r="N1499" s="8" t="s">
        <v>212</v>
      </c>
      <c r="O1499" s="6">
        <v>0</v>
      </c>
      <c r="P1499" s="6">
        <v>10</v>
      </c>
      <c r="Q1499" s="6">
        <v>0</v>
      </c>
      <c r="R1499" s="6">
        <v>0</v>
      </c>
      <c r="S1499" s="6">
        <v>0</v>
      </c>
    </row>
    <row r="1500" spans="1:19" ht="15" hidden="1" x14ac:dyDescent="0.25">
      <c r="A1500" s="7" t="s">
        <v>16</v>
      </c>
      <c r="B1500" s="7" t="s">
        <v>22</v>
      </c>
      <c r="C1500" s="7" t="s">
        <v>18</v>
      </c>
      <c r="D1500" s="4">
        <v>2284062000440</v>
      </c>
      <c r="E1500" s="8" t="s">
        <v>775</v>
      </c>
      <c r="F1500" s="8" t="s">
        <v>70</v>
      </c>
      <c r="G1500" s="8" t="s">
        <v>71</v>
      </c>
      <c r="H1500" s="8" t="s">
        <v>215</v>
      </c>
      <c r="I1500" s="3">
        <v>2</v>
      </c>
      <c r="J1500" s="8" t="s">
        <v>199</v>
      </c>
      <c r="K1500" s="8" t="s">
        <v>200</v>
      </c>
      <c r="L1500" s="8" t="s">
        <v>556</v>
      </c>
      <c r="M1500" s="1" t="s">
        <v>211</v>
      </c>
      <c r="N1500" s="8" t="s">
        <v>212</v>
      </c>
      <c r="O1500" s="6">
        <v>0</v>
      </c>
      <c r="P1500" s="6">
        <v>0</v>
      </c>
      <c r="Q1500" s="6">
        <v>0</v>
      </c>
      <c r="R1500" s="6">
        <v>0</v>
      </c>
      <c r="S1500" s="6">
        <v>0</v>
      </c>
    </row>
    <row r="1501" spans="1:19" ht="15" hidden="1" x14ac:dyDescent="0.25">
      <c r="A1501" s="7" t="s">
        <v>16</v>
      </c>
      <c r="B1501" s="7" t="s">
        <v>22</v>
      </c>
      <c r="C1501" s="7" t="s">
        <v>18</v>
      </c>
      <c r="D1501" s="4">
        <v>2284062000440</v>
      </c>
      <c r="E1501" s="8" t="s">
        <v>775</v>
      </c>
      <c r="F1501" s="8" t="s">
        <v>70</v>
      </c>
      <c r="G1501" s="8" t="s">
        <v>71</v>
      </c>
      <c r="H1501" s="8" t="s">
        <v>215</v>
      </c>
      <c r="I1501" s="3">
        <v>2</v>
      </c>
      <c r="J1501" s="8" t="s">
        <v>169</v>
      </c>
      <c r="K1501" s="8" t="s">
        <v>170</v>
      </c>
      <c r="L1501" s="8" t="s">
        <v>557</v>
      </c>
      <c r="M1501" s="1" t="s">
        <v>211</v>
      </c>
      <c r="N1501" s="8" t="s">
        <v>212</v>
      </c>
      <c r="O1501" s="6">
        <v>0</v>
      </c>
      <c r="P1501" s="6">
        <v>20</v>
      </c>
      <c r="Q1501" s="6">
        <v>0</v>
      </c>
      <c r="R1501" s="6">
        <v>0</v>
      </c>
      <c r="S1501" s="6">
        <v>0</v>
      </c>
    </row>
    <row r="1502" spans="1:19" ht="15" hidden="1" x14ac:dyDescent="0.25">
      <c r="A1502" s="7" t="s">
        <v>16</v>
      </c>
      <c r="B1502" s="7" t="s">
        <v>22</v>
      </c>
      <c r="C1502" s="7" t="s">
        <v>18</v>
      </c>
      <c r="D1502" s="4">
        <v>11214624000470</v>
      </c>
      <c r="E1502" s="8" t="s">
        <v>841</v>
      </c>
      <c r="F1502" s="8" t="s">
        <v>70</v>
      </c>
      <c r="G1502" s="8" t="s">
        <v>71</v>
      </c>
      <c r="H1502" s="8" t="s">
        <v>215</v>
      </c>
      <c r="I1502" s="3">
        <v>2</v>
      </c>
      <c r="J1502" s="8" t="s">
        <v>199</v>
      </c>
      <c r="K1502" s="8" t="s">
        <v>200</v>
      </c>
      <c r="L1502" s="8" t="s">
        <v>556</v>
      </c>
      <c r="M1502" s="1" t="s">
        <v>211</v>
      </c>
      <c r="N1502" s="8" t="s">
        <v>212</v>
      </c>
      <c r="O1502" s="6">
        <v>0</v>
      </c>
      <c r="P1502" s="6">
        <v>0</v>
      </c>
      <c r="Q1502" s="6">
        <v>0</v>
      </c>
      <c r="R1502" s="6">
        <v>0</v>
      </c>
      <c r="S1502" s="6">
        <v>50</v>
      </c>
    </row>
    <row r="1503" spans="1:19" ht="15" hidden="1" x14ac:dyDescent="0.25">
      <c r="A1503" s="7" t="s">
        <v>16</v>
      </c>
      <c r="B1503" s="7" t="s">
        <v>22</v>
      </c>
      <c r="C1503" s="7" t="s">
        <v>18</v>
      </c>
      <c r="D1503" s="4">
        <v>11214624000470</v>
      </c>
      <c r="E1503" s="8" t="s">
        <v>841</v>
      </c>
      <c r="F1503" s="8" t="s">
        <v>70</v>
      </c>
      <c r="G1503" s="8" t="s">
        <v>71</v>
      </c>
      <c r="H1503" s="8" t="s">
        <v>215</v>
      </c>
      <c r="I1503" s="3">
        <v>2</v>
      </c>
      <c r="J1503" s="8" t="s">
        <v>169</v>
      </c>
      <c r="K1503" s="8" t="s">
        <v>170</v>
      </c>
      <c r="L1503" s="8" t="s">
        <v>557</v>
      </c>
      <c r="M1503" s="1" t="s">
        <v>211</v>
      </c>
      <c r="N1503" s="8" t="s">
        <v>212</v>
      </c>
      <c r="O1503" s="6">
        <v>0</v>
      </c>
      <c r="P1503" s="6">
        <v>0</v>
      </c>
      <c r="Q1503" s="6">
        <v>0</v>
      </c>
      <c r="R1503" s="6">
        <v>0</v>
      </c>
      <c r="S1503" s="6">
        <v>50</v>
      </c>
    </row>
    <row r="1504" spans="1:19" ht="15" hidden="1" x14ac:dyDescent="0.25">
      <c r="A1504" s="7" t="s">
        <v>16</v>
      </c>
      <c r="B1504" s="7" t="s">
        <v>22</v>
      </c>
      <c r="C1504" s="7" t="s">
        <v>18</v>
      </c>
      <c r="D1504" s="4">
        <v>11214624001957</v>
      </c>
      <c r="E1504" s="8" t="s">
        <v>842</v>
      </c>
      <c r="F1504" s="8" t="s">
        <v>70</v>
      </c>
      <c r="G1504" s="8" t="s">
        <v>71</v>
      </c>
      <c r="H1504" s="8" t="s">
        <v>215</v>
      </c>
      <c r="I1504" s="3">
        <v>2</v>
      </c>
      <c r="J1504" s="8" t="s">
        <v>199</v>
      </c>
      <c r="K1504" s="8" t="s">
        <v>200</v>
      </c>
      <c r="L1504" s="8" t="s">
        <v>556</v>
      </c>
      <c r="M1504" s="1" t="s">
        <v>211</v>
      </c>
      <c r="N1504" s="8" t="s">
        <v>212</v>
      </c>
      <c r="O1504" s="6">
        <v>0</v>
      </c>
      <c r="P1504" s="6">
        <v>0</v>
      </c>
      <c r="Q1504" s="6">
        <v>0</v>
      </c>
      <c r="R1504" s="6">
        <v>0</v>
      </c>
      <c r="S1504" s="6">
        <v>0</v>
      </c>
    </row>
    <row r="1505" spans="1:19" ht="15" hidden="1" x14ac:dyDescent="0.25">
      <c r="A1505" s="7" t="s">
        <v>16</v>
      </c>
      <c r="B1505" s="7" t="s">
        <v>22</v>
      </c>
      <c r="C1505" s="7" t="s">
        <v>18</v>
      </c>
      <c r="D1505" s="4">
        <v>11214624001957</v>
      </c>
      <c r="E1505" s="8" t="s">
        <v>842</v>
      </c>
      <c r="F1505" s="8" t="s">
        <v>70</v>
      </c>
      <c r="G1505" s="8" t="s">
        <v>71</v>
      </c>
      <c r="H1505" s="8" t="s">
        <v>215</v>
      </c>
      <c r="I1505" s="3">
        <v>2</v>
      </c>
      <c r="J1505" s="8" t="s">
        <v>169</v>
      </c>
      <c r="K1505" s="8" t="s">
        <v>170</v>
      </c>
      <c r="L1505" s="8" t="s">
        <v>557</v>
      </c>
      <c r="M1505" s="1" t="s">
        <v>211</v>
      </c>
      <c r="N1505" s="8" t="s">
        <v>212</v>
      </c>
      <c r="O1505" s="6">
        <v>0</v>
      </c>
      <c r="P1505" s="6">
        <v>6</v>
      </c>
      <c r="Q1505" s="6">
        <v>0</v>
      </c>
      <c r="R1505" s="6">
        <v>0</v>
      </c>
      <c r="S1505" s="6">
        <v>0</v>
      </c>
    </row>
    <row r="1506" spans="1:19" ht="15" hidden="1" x14ac:dyDescent="0.25">
      <c r="A1506" s="7" t="s">
        <v>16</v>
      </c>
      <c r="B1506" s="7" t="s">
        <v>22</v>
      </c>
      <c r="C1506" s="7" t="s">
        <v>18</v>
      </c>
      <c r="D1506" s="4">
        <v>11022597001597</v>
      </c>
      <c r="E1506" s="8" t="s">
        <v>840</v>
      </c>
      <c r="F1506" s="8" t="s">
        <v>70</v>
      </c>
      <c r="G1506" s="8" t="s">
        <v>71</v>
      </c>
      <c r="H1506" s="8" t="s">
        <v>215</v>
      </c>
      <c r="I1506" s="3">
        <v>2</v>
      </c>
      <c r="J1506" s="8" t="s">
        <v>199</v>
      </c>
      <c r="K1506" s="8" t="s">
        <v>200</v>
      </c>
      <c r="L1506" s="8" t="s">
        <v>556</v>
      </c>
      <c r="M1506" s="1" t="s">
        <v>211</v>
      </c>
      <c r="N1506" s="8" t="s">
        <v>212</v>
      </c>
      <c r="O1506" s="6">
        <v>0</v>
      </c>
      <c r="P1506" s="6">
        <v>0</v>
      </c>
      <c r="Q1506" s="6">
        <v>0</v>
      </c>
      <c r="R1506" s="6">
        <v>0</v>
      </c>
      <c r="S1506" s="6">
        <v>0</v>
      </c>
    </row>
    <row r="1507" spans="1:19" ht="15" hidden="1" x14ac:dyDescent="0.25">
      <c r="A1507" s="7" t="s">
        <v>16</v>
      </c>
      <c r="B1507" s="7" t="s">
        <v>22</v>
      </c>
      <c r="C1507" s="7" t="s">
        <v>18</v>
      </c>
      <c r="D1507" s="4">
        <v>11022597001597</v>
      </c>
      <c r="E1507" s="8" t="s">
        <v>840</v>
      </c>
      <c r="F1507" s="8" t="s">
        <v>70</v>
      </c>
      <c r="G1507" s="8" t="s">
        <v>71</v>
      </c>
      <c r="H1507" s="8" t="s">
        <v>215</v>
      </c>
      <c r="I1507" s="3">
        <v>2</v>
      </c>
      <c r="J1507" s="8" t="s">
        <v>169</v>
      </c>
      <c r="K1507" s="8" t="s">
        <v>170</v>
      </c>
      <c r="L1507" s="8" t="s">
        <v>557</v>
      </c>
      <c r="M1507" s="1" t="s">
        <v>211</v>
      </c>
      <c r="N1507" s="8" t="s">
        <v>212</v>
      </c>
      <c r="O1507" s="6">
        <v>0</v>
      </c>
      <c r="P1507" s="6">
        <v>25</v>
      </c>
      <c r="Q1507" s="6">
        <v>0</v>
      </c>
      <c r="R1507" s="6">
        <v>0</v>
      </c>
      <c r="S1507" s="6">
        <v>0</v>
      </c>
    </row>
    <row r="1508" spans="1:19" ht="15" hidden="1" x14ac:dyDescent="0.25">
      <c r="A1508" s="7" t="s">
        <v>16</v>
      </c>
      <c r="B1508" s="7" t="s">
        <v>22</v>
      </c>
      <c r="C1508" s="7" t="s">
        <v>18</v>
      </c>
      <c r="D1508" s="4">
        <v>10839561000132</v>
      </c>
      <c r="E1508" s="8" t="s">
        <v>834</v>
      </c>
      <c r="F1508" s="8" t="s">
        <v>70</v>
      </c>
      <c r="G1508" s="8" t="s">
        <v>71</v>
      </c>
      <c r="H1508" s="8" t="s">
        <v>215</v>
      </c>
      <c r="I1508" s="3">
        <v>2</v>
      </c>
      <c r="J1508" s="8" t="s">
        <v>199</v>
      </c>
      <c r="K1508" s="8" t="s">
        <v>200</v>
      </c>
      <c r="L1508" s="8" t="s">
        <v>556</v>
      </c>
      <c r="M1508" s="1" t="s">
        <v>211</v>
      </c>
      <c r="N1508" s="8" t="s">
        <v>212</v>
      </c>
      <c r="O1508" s="6">
        <v>0</v>
      </c>
      <c r="P1508" s="6">
        <v>0</v>
      </c>
      <c r="Q1508" s="6">
        <v>0</v>
      </c>
      <c r="R1508" s="6">
        <v>28</v>
      </c>
      <c r="S1508" s="6">
        <v>0</v>
      </c>
    </row>
    <row r="1509" spans="1:19" ht="15" hidden="1" x14ac:dyDescent="0.25">
      <c r="A1509" s="7" t="s">
        <v>16</v>
      </c>
      <c r="B1509" s="7" t="s">
        <v>22</v>
      </c>
      <c r="C1509" s="7" t="s">
        <v>18</v>
      </c>
      <c r="D1509" s="4">
        <v>10839561000132</v>
      </c>
      <c r="E1509" s="8" t="s">
        <v>834</v>
      </c>
      <c r="F1509" s="8" t="s">
        <v>70</v>
      </c>
      <c r="G1509" s="8" t="s">
        <v>71</v>
      </c>
      <c r="H1509" s="8" t="s">
        <v>215</v>
      </c>
      <c r="I1509" s="3">
        <v>2</v>
      </c>
      <c r="J1509" s="8" t="s">
        <v>169</v>
      </c>
      <c r="K1509" s="8" t="s">
        <v>170</v>
      </c>
      <c r="L1509" s="8" t="s">
        <v>557</v>
      </c>
      <c r="M1509" s="1" t="s">
        <v>211</v>
      </c>
      <c r="N1509" s="8" t="s">
        <v>212</v>
      </c>
      <c r="O1509" s="6">
        <v>0</v>
      </c>
      <c r="P1509" s="6">
        <v>0</v>
      </c>
      <c r="Q1509" s="6">
        <v>6</v>
      </c>
      <c r="R1509" s="6">
        <v>0</v>
      </c>
      <c r="S1509" s="6">
        <v>0</v>
      </c>
    </row>
    <row r="1510" spans="1:19" ht="15" hidden="1" x14ac:dyDescent="0.25">
      <c r="A1510" s="7" t="s">
        <v>16</v>
      </c>
      <c r="B1510" s="7" t="s">
        <v>22</v>
      </c>
      <c r="C1510" s="7" t="s">
        <v>18</v>
      </c>
      <c r="D1510" s="4">
        <v>12361267004008</v>
      </c>
      <c r="E1510" s="8" t="s">
        <v>852</v>
      </c>
      <c r="F1510" s="8" t="s">
        <v>81</v>
      </c>
      <c r="G1510" s="8" t="s">
        <v>82</v>
      </c>
      <c r="H1510" s="8" t="s">
        <v>215</v>
      </c>
      <c r="I1510" s="3">
        <v>2</v>
      </c>
      <c r="J1510" s="8" t="s">
        <v>199</v>
      </c>
      <c r="K1510" s="8" t="s">
        <v>200</v>
      </c>
      <c r="L1510" s="8" t="s">
        <v>556</v>
      </c>
      <c r="M1510" s="1" t="s">
        <v>211</v>
      </c>
      <c r="N1510" s="8" t="s">
        <v>212</v>
      </c>
      <c r="O1510" s="6">
        <v>0</v>
      </c>
      <c r="P1510" s="6">
        <v>0</v>
      </c>
      <c r="Q1510" s="6">
        <v>0</v>
      </c>
      <c r="R1510" s="6">
        <v>0</v>
      </c>
      <c r="S1510" s="6">
        <v>0</v>
      </c>
    </row>
    <row r="1511" spans="1:19" ht="15" hidden="1" x14ac:dyDescent="0.25">
      <c r="A1511" s="7" t="s">
        <v>16</v>
      </c>
      <c r="B1511" s="7" t="s">
        <v>22</v>
      </c>
      <c r="C1511" s="7" t="s">
        <v>18</v>
      </c>
      <c r="D1511" s="4">
        <v>12361267004008</v>
      </c>
      <c r="E1511" s="8" t="s">
        <v>852</v>
      </c>
      <c r="F1511" s="8" t="s">
        <v>81</v>
      </c>
      <c r="G1511" s="8" t="s">
        <v>82</v>
      </c>
      <c r="H1511" s="8" t="s">
        <v>215</v>
      </c>
      <c r="I1511" s="3">
        <v>2</v>
      </c>
      <c r="J1511" s="8" t="s">
        <v>165</v>
      </c>
      <c r="K1511" s="8" t="s">
        <v>166</v>
      </c>
      <c r="L1511" s="8" t="s">
        <v>557</v>
      </c>
      <c r="M1511" s="1" t="s">
        <v>211</v>
      </c>
      <c r="N1511" s="8" t="s">
        <v>212</v>
      </c>
      <c r="O1511" s="6">
        <v>0</v>
      </c>
      <c r="P1511" s="6">
        <v>2</v>
      </c>
      <c r="Q1511" s="6">
        <v>0</v>
      </c>
      <c r="R1511" s="6">
        <v>0</v>
      </c>
      <c r="S1511" s="6">
        <v>0</v>
      </c>
    </row>
    <row r="1512" spans="1:19" ht="15" hidden="1" x14ac:dyDescent="0.25">
      <c r="A1512" s="7" t="s">
        <v>16</v>
      </c>
      <c r="B1512" s="7" t="s">
        <v>22</v>
      </c>
      <c r="C1512" s="7" t="s">
        <v>18</v>
      </c>
      <c r="D1512" s="4">
        <v>81715716000410</v>
      </c>
      <c r="E1512" s="8" t="s">
        <v>1003</v>
      </c>
      <c r="F1512" s="8" t="s">
        <v>1004</v>
      </c>
      <c r="G1512" s="8" t="s">
        <v>57</v>
      </c>
      <c r="H1512" s="8" t="s">
        <v>215</v>
      </c>
      <c r="I1512" s="3">
        <v>2</v>
      </c>
      <c r="J1512" s="8" t="s">
        <v>175</v>
      </c>
      <c r="K1512" s="8" t="s">
        <v>176</v>
      </c>
      <c r="L1512" s="8" t="s">
        <v>556</v>
      </c>
      <c r="M1512" s="1" t="s">
        <v>205</v>
      </c>
      <c r="N1512" s="8" t="s">
        <v>206</v>
      </c>
      <c r="O1512" s="6">
        <v>0</v>
      </c>
      <c r="P1512" s="6">
        <v>0</v>
      </c>
      <c r="Q1512" s="6">
        <v>0</v>
      </c>
      <c r="R1512" s="6">
        <v>0</v>
      </c>
      <c r="S1512" s="6">
        <v>30</v>
      </c>
    </row>
    <row r="1513" spans="1:19" ht="15" hidden="1" x14ac:dyDescent="0.25">
      <c r="A1513" s="7" t="s">
        <v>16</v>
      </c>
      <c r="B1513" s="7" t="s">
        <v>22</v>
      </c>
      <c r="C1513" s="7" t="s">
        <v>18</v>
      </c>
      <c r="D1513" s="4">
        <v>81715716000410</v>
      </c>
      <c r="E1513" s="8" t="s">
        <v>1003</v>
      </c>
      <c r="F1513" s="8" t="s">
        <v>1004</v>
      </c>
      <c r="G1513" s="8" t="s">
        <v>57</v>
      </c>
      <c r="H1513" s="8" t="s">
        <v>215</v>
      </c>
      <c r="I1513" s="3">
        <v>2</v>
      </c>
      <c r="J1513" s="8" t="s">
        <v>157</v>
      </c>
      <c r="K1513" s="8" t="s">
        <v>158</v>
      </c>
      <c r="L1513" s="8" t="s">
        <v>557</v>
      </c>
      <c r="M1513" s="1" t="s">
        <v>205</v>
      </c>
      <c r="N1513" s="8" t="s">
        <v>206</v>
      </c>
      <c r="O1513" s="6">
        <v>0</v>
      </c>
      <c r="P1513" s="6">
        <v>0</v>
      </c>
      <c r="Q1513" s="6">
        <v>0</v>
      </c>
      <c r="R1513" s="6">
        <v>0</v>
      </c>
      <c r="S1513" s="6">
        <v>30</v>
      </c>
    </row>
    <row r="1514" spans="1:19" ht="15" hidden="1" x14ac:dyDescent="0.25">
      <c r="A1514" s="7" t="s">
        <v>16</v>
      </c>
      <c r="B1514" s="7" t="s">
        <v>22</v>
      </c>
      <c r="C1514" s="7" t="s">
        <v>18</v>
      </c>
      <c r="D1514" s="4">
        <v>81270548000153</v>
      </c>
      <c r="E1514" s="8" t="s">
        <v>1002</v>
      </c>
      <c r="F1514" s="8" t="s">
        <v>112</v>
      </c>
      <c r="G1514" s="8" t="s">
        <v>57</v>
      </c>
      <c r="H1514" s="8" t="s">
        <v>215</v>
      </c>
      <c r="I1514" s="3">
        <v>2</v>
      </c>
      <c r="J1514" s="8" t="s">
        <v>175</v>
      </c>
      <c r="K1514" s="8" t="s">
        <v>176</v>
      </c>
      <c r="L1514" s="8" t="s">
        <v>556</v>
      </c>
      <c r="M1514" s="1" t="s">
        <v>205</v>
      </c>
      <c r="N1514" s="8" t="s">
        <v>206</v>
      </c>
      <c r="O1514" s="6">
        <v>0</v>
      </c>
      <c r="P1514" s="6">
        <v>0</v>
      </c>
      <c r="Q1514" s="6">
        <v>0</v>
      </c>
      <c r="R1514" s="6">
        <v>0</v>
      </c>
      <c r="S1514" s="6">
        <v>0</v>
      </c>
    </row>
    <row r="1515" spans="1:19" ht="15" hidden="1" x14ac:dyDescent="0.25">
      <c r="A1515" s="7" t="s">
        <v>16</v>
      </c>
      <c r="B1515" s="7" t="s">
        <v>22</v>
      </c>
      <c r="C1515" s="7" t="s">
        <v>18</v>
      </c>
      <c r="D1515" s="4">
        <v>81270548000153</v>
      </c>
      <c r="E1515" s="8" t="s">
        <v>1002</v>
      </c>
      <c r="F1515" s="8" t="s">
        <v>112</v>
      </c>
      <c r="G1515" s="8" t="s">
        <v>57</v>
      </c>
      <c r="H1515" s="8" t="s">
        <v>215</v>
      </c>
      <c r="I1515" s="3">
        <v>2</v>
      </c>
      <c r="J1515" s="8" t="s">
        <v>157</v>
      </c>
      <c r="K1515" s="8" t="s">
        <v>158</v>
      </c>
      <c r="L1515" s="8" t="s">
        <v>557</v>
      </c>
      <c r="M1515" s="1" t="s">
        <v>205</v>
      </c>
      <c r="N1515" s="8" t="s">
        <v>206</v>
      </c>
      <c r="O1515" s="6">
        <v>0</v>
      </c>
      <c r="P1515" s="6">
        <v>0</v>
      </c>
      <c r="Q1515" s="6">
        <v>3</v>
      </c>
      <c r="R1515" s="6">
        <v>0</v>
      </c>
      <c r="S1515" s="6">
        <v>0</v>
      </c>
    </row>
    <row r="1516" spans="1:19" ht="15" hidden="1" x14ac:dyDescent="0.25">
      <c r="A1516" s="7" t="s">
        <v>16</v>
      </c>
      <c r="B1516" s="7" t="s">
        <v>22</v>
      </c>
      <c r="C1516" s="7" t="s">
        <v>18</v>
      </c>
      <c r="D1516" s="4">
        <v>7734165000136</v>
      </c>
      <c r="E1516" s="8" t="s">
        <v>954</v>
      </c>
      <c r="F1516" s="8" t="s">
        <v>94</v>
      </c>
      <c r="G1516" s="8" t="s">
        <v>57</v>
      </c>
      <c r="H1516" s="8" t="s">
        <v>215</v>
      </c>
      <c r="I1516" s="3">
        <v>2</v>
      </c>
      <c r="J1516" s="8" t="s">
        <v>175</v>
      </c>
      <c r="K1516" s="8" t="s">
        <v>176</v>
      </c>
      <c r="L1516" s="8" t="s">
        <v>556</v>
      </c>
      <c r="M1516" s="1" t="s">
        <v>205</v>
      </c>
      <c r="N1516" s="8" t="s">
        <v>206</v>
      </c>
      <c r="O1516" s="6">
        <v>0</v>
      </c>
      <c r="P1516" s="6">
        <v>0</v>
      </c>
      <c r="Q1516" s="6">
        <v>0</v>
      </c>
      <c r="R1516" s="6">
        <v>96</v>
      </c>
      <c r="S1516" s="6">
        <v>3500</v>
      </c>
    </row>
    <row r="1517" spans="1:19" ht="15" hidden="1" x14ac:dyDescent="0.25">
      <c r="A1517" s="7" t="s">
        <v>16</v>
      </c>
      <c r="B1517" s="7" t="s">
        <v>22</v>
      </c>
      <c r="C1517" s="7" t="s">
        <v>18</v>
      </c>
      <c r="D1517" s="4">
        <v>7734165000136</v>
      </c>
      <c r="E1517" s="8" t="s">
        <v>954</v>
      </c>
      <c r="F1517" s="8" t="s">
        <v>94</v>
      </c>
      <c r="G1517" s="8" t="s">
        <v>57</v>
      </c>
      <c r="H1517" s="8" t="s">
        <v>215</v>
      </c>
      <c r="I1517" s="3">
        <v>2</v>
      </c>
      <c r="J1517" s="8" t="s">
        <v>157</v>
      </c>
      <c r="K1517" s="8" t="s">
        <v>158</v>
      </c>
      <c r="L1517" s="8" t="s">
        <v>557</v>
      </c>
      <c r="M1517" s="1" t="s">
        <v>205</v>
      </c>
      <c r="N1517" s="8" t="s">
        <v>206</v>
      </c>
      <c r="O1517" s="6">
        <v>0</v>
      </c>
      <c r="P1517" s="6">
        <v>0</v>
      </c>
      <c r="Q1517" s="6">
        <v>0</v>
      </c>
      <c r="R1517" s="6">
        <v>0</v>
      </c>
      <c r="S1517" s="6">
        <v>3500</v>
      </c>
    </row>
    <row r="1518" spans="1:19" ht="15" hidden="1" x14ac:dyDescent="0.25">
      <c r="A1518" s="7" t="s">
        <v>16</v>
      </c>
      <c r="B1518" s="7" t="s">
        <v>22</v>
      </c>
      <c r="C1518" s="7" t="s">
        <v>18</v>
      </c>
      <c r="D1518" s="4">
        <v>7404052000172</v>
      </c>
      <c r="E1518" s="8" t="s">
        <v>953</v>
      </c>
      <c r="F1518" s="8" t="s">
        <v>94</v>
      </c>
      <c r="G1518" s="8" t="s">
        <v>57</v>
      </c>
      <c r="H1518" s="8" t="s">
        <v>215</v>
      </c>
      <c r="I1518" s="3">
        <v>2</v>
      </c>
      <c r="J1518" s="8" t="s">
        <v>175</v>
      </c>
      <c r="K1518" s="8" t="s">
        <v>176</v>
      </c>
      <c r="L1518" s="8" t="s">
        <v>556</v>
      </c>
      <c r="M1518" s="1" t="s">
        <v>205</v>
      </c>
      <c r="N1518" s="8" t="s">
        <v>206</v>
      </c>
      <c r="O1518" s="6">
        <v>0</v>
      </c>
      <c r="P1518" s="6">
        <v>0</v>
      </c>
      <c r="Q1518" s="6">
        <v>0</v>
      </c>
      <c r="R1518" s="6">
        <v>0</v>
      </c>
      <c r="S1518" s="6">
        <v>45</v>
      </c>
    </row>
    <row r="1519" spans="1:19" ht="15" hidden="1" x14ac:dyDescent="0.25">
      <c r="A1519" s="7" t="s">
        <v>16</v>
      </c>
      <c r="B1519" s="7" t="s">
        <v>22</v>
      </c>
      <c r="C1519" s="7" t="s">
        <v>18</v>
      </c>
      <c r="D1519" s="4">
        <v>7404052000172</v>
      </c>
      <c r="E1519" s="8" t="s">
        <v>953</v>
      </c>
      <c r="F1519" s="8" t="s">
        <v>94</v>
      </c>
      <c r="G1519" s="8" t="s">
        <v>57</v>
      </c>
      <c r="H1519" s="8" t="s">
        <v>215</v>
      </c>
      <c r="I1519" s="3">
        <v>2</v>
      </c>
      <c r="J1519" s="8" t="s">
        <v>157</v>
      </c>
      <c r="K1519" s="8" t="s">
        <v>158</v>
      </c>
      <c r="L1519" s="8" t="s">
        <v>557</v>
      </c>
      <c r="M1519" s="1" t="s">
        <v>205</v>
      </c>
      <c r="N1519" s="8" t="s">
        <v>206</v>
      </c>
      <c r="O1519" s="6">
        <v>0</v>
      </c>
      <c r="P1519" s="6">
        <v>0</v>
      </c>
      <c r="Q1519" s="6">
        <v>0</v>
      </c>
      <c r="R1519" s="6">
        <v>0</v>
      </c>
      <c r="S1519" s="6">
        <v>45</v>
      </c>
    </row>
    <row r="1520" spans="1:19" ht="15" hidden="1" x14ac:dyDescent="0.25">
      <c r="A1520" s="7" t="s">
        <v>16</v>
      </c>
      <c r="B1520" s="7" t="s">
        <v>22</v>
      </c>
      <c r="C1520" s="7" t="s">
        <v>18</v>
      </c>
      <c r="D1520" s="4">
        <v>8597121000174</v>
      </c>
      <c r="E1520" s="8" t="s">
        <v>957</v>
      </c>
      <c r="F1520" s="8" t="s">
        <v>94</v>
      </c>
      <c r="G1520" s="8" t="s">
        <v>57</v>
      </c>
      <c r="H1520" s="8" t="s">
        <v>215</v>
      </c>
      <c r="I1520" s="3">
        <v>2</v>
      </c>
      <c r="J1520" s="8" t="s">
        <v>175</v>
      </c>
      <c r="K1520" s="8" t="s">
        <v>176</v>
      </c>
      <c r="L1520" s="8" t="s">
        <v>556</v>
      </c>
      <c r="M1520" s="1" t="s">
        <v>205</v>
      </c>
      <c r="N1520" s="8" t="s">
        <v>206</v>
      </c>
      <c r="O1520" s="6">
        <v>0</v>
      </c>
      <c r="P1520" s="6">
        <v>0</v>
      </c>
      <c r="Q1520" s="6">
        <v>0</v>
      </c>
      <c r="R1520" s="6">
        <v>0</v>
      </c>
      <c r="S1520" s="6">
        <v>560</v>
      </c>
    </row>
    <row r="1521" spans="1:19" ht="15" hidden="1" x14ac:dyDescent="0.25">
      <c r="A1521" s="7" t="s">
        <v>16</v>
      </c>
      <c r="B1521" s="7" t="s">
        <v>22</v>
      </c>
      <c r="C1521" s="7" t="s">
        <v>18</v>
      </c>
      <c r="D1521" s="4">
        <v>8597121000174</v>
      </c>
      <c r="E1521" s="8" t="s">
        <v>957</v>
      </c>
      <c r="F1521" s="8" t="s">
        <v>94</v>
      </c>
      <c r="G1521" s="8" t="s">
        <v>57</v>
      </c>
      <c r="H1521" s="8" t="s">
        <v>215</v>
      </c>
      <c r="I1521" s="3">
        <v>2</v>
      </c>
      <c r="J1521" s="8" t="s">
        <v>157</v>
      </c>
      <c r="K1521" s="8" t="s">
        <v>158</v>
      </c>
      <c r="L1521" s="8" t="s">
        <v>557</v>
      </c>
      <c r="M1521" s="1" t="s">
        <v>205</v>
      </c>
      <c r="N1521" s="8" t="s">
        <v>206</v>
      </c>
      <c r="O1521" s="6">
        <v>0</v>
      </c>
      <c r="P1521" s="6">
        <v>0</v>
      </c>
      <c r="Q1521" s="6">
        <v>0</v>
      </c>
      <c r="R1521" s="6">
        <v>0</v>
      </c>
      <c r="S1521" s="6">
        <v>560</v>
      </c>
    </row>
    <row r="1522" spans="1:19" ht="15" hidden="1" x14ac:dyDescent="0.25">
      <c r="A1522" s="7" t="s">
        <v>16</v>
      </c>
      <c r="B1522" s="7" t="s">
        <v>22</v>
      </c>
      <c r="C1522" s="7" t="s">
        <v>18</v>
      </c>
      <c r="D1522" s="4">
        <v>942063000167</v>
      </c>
      <c r="E1522" s="8" t="s">
        <v>934</v>
      </c>
      <c r="F1522" s="8" t="s">
        <v>94</v>
      </c>
      <c r="G1522" s="8" t="s">
        <v>57</v>
      </c>
      <c r="H1522" s="8" t="s">
        <v>215</v>
      </c>
      <c r="I1522" s="3">
        <v>2</v>
      </c>
      <c r="J1522" s="8" t="s">
        <v>175</v>
      </c>
      <c r="K1522" s="8" t="s">
        <v>176</v>
      </c>
      <c r="L1522" s="8" t="s">
        <v>556</v>
      </c>
      <c r="M1522" s="1" t="s">
        <v>205</v>
      </c>
      <c r="N1522" s="8" t="s">
        <v>206</v>
      </c>
      <c r="O1522" s="6">
        <v>0</v>
      </c>
      <c r="P1522" s="6">
        <v>0</v>
      </c>
      <c r="Q1522" s="6">
        <v>0</v>
      </c>
      <c r="R1522" s="6">
        <v>0</v>
      </c>
      <c r="S1522" s="6">
        <v>800</v>
      </c>
    </row>
    <row r="1523" spans="1:19" ht="15" hidden="1" x14ac:dyDescent="0.25">
      <c r="A1523" s="7" t="s">
        <v>16</v>
      </c>
      <c r="B1523" s="7" t="s">
        <v>22</v>
      </c>
      <c r="C1523" s="7" t="s">
        <v>18</v>
      </c>
      <c r="D1523" s="4">
        <v>942063000167</v>
      </c>
      <c r="E1523" s="8" t="s">
        <v>934</v>
      </c>
      <c r="F1523" s="8" t="s">
        <v>94</v>
      </c>
      <c r="G1523" s="8" t="s">
        <v>57</v>
      </c>
      <c r="H1523" s="8" t="s">
        <v>215</v>
      </c>
      <c r="I1523" s="3">
        <v>2</v>
      </c>
      <c r="J1523" s="8" t="s">
        <v>157</v>
      </c>
      <c r="K1523" s="8" t="s">
        <v>158</v>
      </c>
      <c r="L1523" s="8" t="s">
        <v>557</v>
      </c>
      <c r="M1523" s="1" t="s">
        <v>205</v>
      </c>
      <c r="N1523" s="8" t="s">
        <v>206</v>
      </c>
      <c r="O1523" s="6">
        <v>0</v>
      </c>
      <c r="P1523" s="6">
        <v>0</v>
      </c>
      <c r="Q1523" s="6">
        <v>0</v>
      </c>
      <c r="R1523" s="6">
        <v>0</v>
      </c>
      <c r="S1523" s="6">
        <v>800</v>
      </c>
    </row>
    <row r="1524" spans="1:19" ht="15" hidden="1" x14ac:dyDescent="0.25">
      <c r="A1524" s="7" t="s">
        <v>16</v>
      </c>
      <c r="B1524" s="7" t="s">
        <v>22</v>
      </c>
      <c r="C1524" s="7" t="s">
        <v>18</v>
      </c>
      <c r="D1524" s="4">
        <v>76591569000130</v>
      </c>
      <c r="E1524" s="8" t="s">
        <v>985</v>
      </c>
      <c r="F1524" s="8" t="s">
        <v>94</v>
      </c>
      <c r="G1524" s="8" t="s">
        <v>57</v>
      </c>
      <c r="H1524" s="8" t="s">
        <v>215</v>
      </c>
      <c r="I1524" s="3">
        <v>2</v>
      </c>
      <c r="J1524" s="8" t="s">
        <v>175</v>
      </c>
      <c r="K1524" s="8" t="s">
        <v>176</v>
      </c>
      <c r="L1524" s="8" t="s">
        <v>556</v>
      </c>
      <c r="M1524" s="1" t="s">
        <v>205</v>
      </c>
      <c r="N1524" s="8" t="s">
        <v>206</v>
      </c>
      <c r="O1524" s="6">
        <v>0</v>
      </c>
      <c r="P1524" s="6">
        <v>0</v>
      </c>
      <c r="Q1524" s="6">
        <v>0</v>
      </c>
      <c r="R1524" s="6">
        <v>12</v>
      </c>
      <c r="S1524" s="6">
        <v>500</v>
      </c>
    </row>
    <row r="1525" spans="1:19" ht="15" hidden="1" x14ac:dyDescent="0.25">
      <c r="A1525" s="7" t="s">
        <v>16</v>
      </c>
      <c r="B1525" s="7" t="s">
        <v>22</v>
      </c>
      <c r="C1525" s="7" t="s">
        <v>18</v>
      </c>
      <c r="D1525" s="4">
        <v>76591569000130</v>
      </c>
      <c r="E1525" s="8" t="s">
        <v>985</v>
      </c>
      <c r="F1525" s="8" t="s">
        <v>94</v>
      </c>
      <c r="G1525" s="8" t="s">
        <v>57</v>
      </c>
      <c r="H1525" s="8" t="s">
        <v>215</v>
      </c>
      <c r="I1525" s="3">
        <v>2</v>
      </c>
      <c r="J1525" s="8" t="s">
        <v>157</v>
      </c>
      <c r="K1525" s="8" t="s">
        <v>158</v>
      </c>
      <c r="L1525" s="8" t="s">
        <v>557</v>
      </c>
      <c r="M1525" s="1" t="s">
        <v>205</v>
      </c>
      <c r="N1525" s="8" t="s">
        <v>206</v>
      </c>
      <c r="O1525" s="6">
        <v>0</v>
      </c>
      <c r="P1525" s="6">
        <v>0</v>
      </c>
      <c r="Q1525" s="6">
        <v>0</v>
      </c>
      <c r="R1525" s="6">
        <v>0</v>
      </c>
      <c r="S1525" s="6">
        <v>500</v>
      </c>
    </row>
    <row r="1526" spans="1:19" ht="15" hidden="1" x14ac:dyDescent="0.25">
      <c r="A1526" s="7" t="s">
        <v>16</v>
      </c>
      <c r="B1526" s="7" t="s">
        <v>22</v>
      </c>
      <c r="C1526" s="7" t="s">
        <v>18</v>
      </c>
      <c r="D1526" s="4">
        <v>76659820002367</v>
      </c>
      <c r="E1526" s="8" t="s">
        <v>986</v>
      </c>
      <c r="F1526" s="8" t="s">
        <v>94</v>
      </c>
      <c r="G1526" s="8" t="s">
        <v>57</v>
      </c>
      <c r="H1526" s="8" t="s">
        <v>215</v>
      </c>
      <c r="I1526" s="3">
        <v>2</v>
      </c>
      <c r="J1526" s="8" t="s">
        <v>175</v>
      </c>
      <c r="K1526" s="8" t="s">
        <v>176</v>
      </c>
      <c r="L1526" s="8" t="s">
        <v>556</v>
      </c>
      <c r="M1526" s="1" t="s">
        <v>205</v>
      </c>
      <c r="N1526" s="8" t="s">
        <v>206</v>
      </c>
      <c r="O1526" s="6">
        <v>0</v>
      </c>
      <c r="P1526" s="6">
        <v>0</v>
      </c>
      <c r="Q1526" s="6">
        <v>0</v>
      </c>
      <c r="R1526" s="6">
        <v>0</v>
      </c>
      <c r="S1526" s="6">
        <v>45</v>
      </c>
    </row>
    <row r="1527" spans="1:19" ht="15" hidden="1" x14ac:dyDescent="0.25">
      <c r="A1527" s="7" t="s">
        <v>16</v>
      </c>
      <c r="B1527" s="7" t="s">
        <v>22</v>
      </c>
      <c r="C1527" s="7" t="s">
        <v>18</v>
      </c>
      <c r="D1527" s="4">
        <v>76659820002367</v>
      </c>
      <c r="E1527" s="8" t="s">
        <v>986</v>
      </c>
      <c r="F1527" s="8" t="s">
        <v>94</v>
      </c>
      <c r="G1527" s="8" t="s">
        <v>57</v>
      </c>
      <c r="H1527" s="8" t="s">
        <v>215</v>
      </c>
      <c r="I1527" s="3">
        <v>2</v>
      </c>
      <c r="J1527" s="8" t="s">
        <v>157</v>
      </c>
      <c r="K1527" s="8" t="s">
        <v>158</v>
      </c>
      <c r="L1527" s="8" t="s">
        <v>557</v>
      </c>
      <c r="M1527" s="1" t="s">
        <v>205</v>
      </c>
      <c r="N1527" s="8" t="s">
        <v>206</v>
      </c>
      <c r="O1527" s="6">
        <v>0</v>
      </c>
      <c r="P1527" s="6">
        <v>0</v>
      </c>
      <c r="Q1527" s="6">
        <v>0</v>
      </c>
      <c r="R1527" s="6">
        <v>0</v>
      </c>
      <c r="S1527" s="6">
        <v>45</v>
      </c>
    </row>
    <row r="1528" spans="1:19" ht="15" hidden="1" x14ac:dyDescent="0.25">
      <c r="A1528" s="7" t="s">
        <v>16</v>
      </c>
      <c r="B1528" s="7" t="s">
        <v>22</v>
      </c>
      <c r="C1528" s="7" t="s">
        <v>18</v>
      </c>
      <c r="D1528" s="4">
        <v>76555069000143</v>
      </c>
      <c r="E1528" s="8" t="s">
        <v>983</v>
      </c>
      <c r="F1528" s="8" t="s">
        <v>94</v>
      </c>
      <c r="G1528" s="8" t="s">
        <v>57</v>
      </c>
      <c r="H1528" s="8" t="s">
        <v>215</v>
      </c>
      <c r="I1528" s="3">
        <v>2</v>
      </c>
      <c r="J1528" s="8" t="s">
        <v>175</v>
      </c>
      <c r="K1528" s="8" t="s">
        <v>176</v>
      </c>
      <c r="L1528" s="8" t="s">
        <v>556</v>
      </c>
      <c r="M1528" s="1" t="s">
        <v>205</v>
      </c>
      <c r="N1528" s="8" t="s">
        <v>206</v>
      </c>
      <c r="O1528" s="6">
        <v>0</v>
      </c>
      <c r="P1528" s="6">
        <v>0</v>
      </c>
      <c r="Q1528" s="6">
        <v>0</v>
      </c>
      <c r="R1528" s="6">
        <v>0</v>
      </c>
      <c r="S1528" s="6">
        <v>280</v>
      </c>
    </row>
    <row r="1529" spans="1:19" ht="15" hidden="1" x14ac:dyDescent="0.25">
      <c r="A1529" s="7" t="s">
        <v>16</v>
      </c>
      <c r="B1529" s="7" t="s">
        <v>22</v>
      </c>
      <c r="C1529" s="7" t="s">
        <v>18</v>
      </c>
      <c r="D1529" s="4">
        <v>76555069000143</v>
      </c>
      <c r="E1529" s="8" t="s">
        <v>983</v>
      </c>
      <c r="F1529" s="8" t="s">
        <v>94</v>
      </c>
      <c r="G1529" s="8" t="s">
        <v>57</v>
      </c>
      <c r="H1529" s="8" t="s">
        <v>215</v>
      </c>
      <c r="I1529" s="3">
        <v>2</v>
      </c>
      <c r="J1529" s="8" t="s">
        <v>157</v>
      </c>
      <c r="K1529" s="8" t="s">
        <v>158</v>
      </c>
      <c r="L1529" s="8" t="s">
        <v>557</v>
      </c>
      <c r="M1529" s="1" t="s">
        <v>205</v>
      </c>
      <c r="N1529" s="8" t="s">
        <v>206</v>
      </c>
      <c r="O1529" s="6">
        <v>0</v>
      </c>
      <c r="P1529" s="6">
        <v>0</v>
      </c>
      <c r="Q1529" s="6">
        <v>2</v>
      </c>
      <c r="R1529" s="6">
        <v>0</v>
      </c>
      <c r="S1529" s="6">
        <v>280</v>
      </c>
    </row>
    <row r="1530" spans="1:19" ht="15" hidden="1" x14ac:dyDescent="0.25">
      <c r="A1530" s="7" t="s">
        <v>16</v>
      </c>
      <c r="B1530" s="7" t="s">
        <v>22</v>
      </c>
      <c r="C1530" s="7" t="s">
        <v>18</v>
      </c>
      <c r="D1530" s="4">
        <v>29435005005600</v>
      </c>
      <c r="E1530" s="8" t="s">
        <v>974</v>
      </c>
      <c r="F1530" s="8" t="s">
        <v>94</v>
      </c>
      <c r="G1530" s="8" t="s">
        <v>57</v>
      </c>
      <c r="H1530" s="8" t="s">
        <v>215</v>
      </c>
      <c r="I1530" s="3">
        <v>2</v>
      </c>
      <c r="J1530" s="8" t="s">
        <v>175</v>
      </c>
      <c r="K1530" s="8" t="s">
        <v>176</v>
      </c>
      <c r="L1530" s="8" t="s">
        <v>556</v>
      </c>
      <c r="M1530" s="1" t="s">
        <v>205</v>
      </c>
      <c r="N1530" s="8" t="s">
        <v>206</v>
      </c>
      <c r="O1530" s="6">
        <v>0</v>
      </c>
      <c r="P1530" s="6">
        <v>0</v>
      </c>
      <c r="Q1530" s="6">
        <v>0</v>
      </c>
      <c r="R1530" s="6">
        <v>0</v>
      </c>
      <c r="S1530" s="6">
        <v>185</v>
      </c>
    </row>
    <row r="1531" spans="1:19" ht="15" hidden="1" x14ac:dyDescent="0.25">
      <c r="A1531" s="7" t="s">
        <v>16</v>
      </c>
      <c r="B1531" s="7" t="s">
        <v>22</v>
      </c>
      <c r="C1531" s="7" t="s">
        <v>18</v>
      </c>
      <c r="D1531" s="4">
        <v>29435005005600</v>
      </c>
      <c r="E1531" s="8" t="s">
        <v>974</v>
      </c>
      <c r="F1531" s="8" t="s">
        <v>94</v>
      </c>
      <c r="G1531" s="8" t="s">
        <v>57</v>
      </c>
      <c r="H1531" s="8" t="s">
        <v>215</v>
      </c>
      <c r="I1531" s="3">
        <v>2</v>
      </c>
      <c r="J1531" s="8" t="s">
        <v>157</v>
      </c>
      <c r="K1531" s="8" t="s">
        <v>158</v>
      </c>
      <c r="L1531" s="8" t="s">
        <v>557</v>
      </c>
      <c r="M1531" s="1" t="s">
        <v>205</v>
      </c>
      <c r="N1531" s="8" t="s">
        <v>206</v>
      </c>
      <c r="O1531" s="6">
        <v>0</v>
      </c>
      <c r="P1531" s="6">
        <v>0</v>
      </c>
      <c r="Q1531" s="6">
        <v>0</v>
      </c>
      <c r="R1531" s="6">
        <v>0</v>
      </c>
      <c r="S1531" s="6">
        <v>185</v>
      </c>
    </row>
    <row r="1532" spans="1:19" ht="15" hidden="1" x14ac:dyDescent="0.25">
      <c r="A1532" s="7" t="s">
        <v>16</v>
      </c>
      <c r="B1532" s="7" t="s">
        <v>22</v>
      </c>
      <c r="C1532" s="7" t="s">
        <v>18</v>
      </c>
      <c r="D1532" s="4">
        <v>3850913000195</v>
      </c>
      <c r="E1532" s="8" t="s">
        <v>945</v>
      </c>
      <c r="F1532" s="8" t="s">
        <v>94</v>
      </c>
      <c r="G1532" s="8" t="s">
        <v>57</v>
      </c>
      <c r="H1532" s="8" t="s">
        <v>215</v>
      </c>
      <c r="I1532" s="3">
        <v>2</v>
      </c>
      <c r="J1532" s="8" t="s">
        <v>175</v>
      </c>
      <c r="K1532" s="8" t="s">
        <v>176</v>
      </c>
      <c r="L1532" s="8" t="s">
        <v>556</v>
      </c>
      <c r="M1532" s="1" t="s">
        <v>205</v>
      </c>
      <c r="N1532" s="8" t="s">
        <v>206</v>
      </c>
      <c r="O1532" s="6">
        <v>0</v>
      </c>
      <c r="P1532" s="6">
        <v>0</v>
      </c>
      <c r="Q1532" s="6">
        <v>0</v>
      </c>
      <c r="R1532" s="6">
        <v>0</v>
      </c>
      <c r="S1532" s="6">
        <v>660</v>
      </c>
    </row>
    <row r="1533" spans="1:19" ht="15" hidden="1" x14ac:dyDescent="0.25">
      <c r="A1533" s="7" t="s">
        <v>16</v>
      </c>
      <c r="B1533" s="7" t="s">
        <v>22</v>
      </c>
      <c r="C1533" s="7" t="s">
        <v>18</v>
      </c>
      <c r="D1533" s="4">
        <v>3850913000195</v>
      </c>
      <c r="E1533" s="8" t="s">
        <v>945</v>
      </c>
      <c r="F1533" s="8" t="s">
        <v>94</v>
      </c>
      <c r="G1533" s="8" t="s">
        <v>57</v>
      </c>
      <c r="H1533" s="8" t="s">
        <v>215</v>
      </c>
      <c r="I1533" s="3">
        <v>2</v>
      </c>
      <c r="J1533" s="8" t="s">
        <v>157</v>
      </c>
      <c r="K1533" s="8" t="s">
        <v>158</v>
      </c>
      <c r="L1533" s="8" t="s">
        <v>557</v>
      </c>
      <c r="M1533" s="1" t="s">
        <v>205</v>
      </c>
      <c r="N1533" s="8" t="s">
        <v>206</v>
      </c>
      <c r="O1533" s="6">
        <v>0</v>
      </c>
      <c r="P1533" s="6">
        <v>0</v>
      </c>
      <c r="Q1533" s="6">
        <v>0</v>
      </c>
      <c r="R1533" s="6">
        <v>0</v>
      </c>
      <c r="S1533" s="6">
        <v>660</v>
      </c>
    </row>
    <row r="1534" spans="1:19" ht="15" hidden="1" x14ac:dyDescent="0.25">
      <c r="A1534" s="7" t="s">
        <v>16</v>
      </c>
      <c r="B1534" s="7" t="s">
        <v>22</v>
      </c>
      <c r="C1534" s="7" t="s">
        <v>18</v>
      </c>
      <c r="D1534" s="4">
        <v>30117769000155</v>
      </c>
      <c r="E1534" s="8" t="s">
        <v>976</v>
      </c>
      <c r="F1534" s="8" t="s">
        <v>94</v>
      </c>
      <c r="G1534" s="8" t="s">
        <v>57</v>
      </c>
      <c r="H1534" s="8" t="s">
        <v>215</v>
      </c>
      <c r="I1534" s="3">
        <v>2</v>
      </c>
      <c r="J1534" s="8" t="s">
        <v>175</v>
      </c>
      <c r="K1534" s="8" t="s">
        <v>176</v>
      </c>
      <c r="L1534" s="8" t="s">
        <v>556</v>
      </c>
      <c r="M1534" s="1" t="s">
        <v>205</v>
      </c>
      <c r="N1534" s="8" t="s">
        <v>206</v>
      </c>
      <c r="O1534" s="6">
        <v>0</v>
      </c>
      <c r="P1534" s="6">
        <v>0</v>
      </c>
      <c r="Q1534" s="6">
        <v>0</v>
      </c>
      <c r="R1534" s="6">
        <v>0</v>
      </c>
      <c r="S1534" s="6">
        <v>205</v>
      </c>
    </row>
    <row r="1535" spans="1:19" ht="15" hidden="1" x14ac:dyDescent="0.25">
      <c r="A1535" s="7" t="s">
        <v>16</v>
      </c>
      <c r="B1535" s="7" t="s">
        <v>22</v>
      </c>
      <c r="C1535" s="7" t="s">
        <v>18</v>
      </c>
      <c r="D1535" s="4">
        <v>30117769000155</v>
      </c>
      <c r="E1535" s="8" t="s">
        <v>976</v>
      </c>
      <c r="F1535" s="8" t="s">
        <v>94</v>
      </c>
      <c r="G1535" s="8" t="s">
        <v>57</v>
      </c>
      <c r="H1535" s="8" t="s">
        <v>215</v>
      </c>
      <c r="I1535" s="3">
        <v>2</v>
      </c>
      <c r="J1535" s="8" t="s">
        <v>157</v>
      </c>
      <c r="K1535" s="8" t="s">
        <v>158</v>
      </c>
      <c r="L1535" s="8" t="s">
        <v>557</v>
      </c>
      <c r="M1535" s="1" t="s">
        <v>205</v>
      </c>
      <c r="N1535" s="8" t="s">
        <v>206</v>
      </c>
      <c r="O1535" s="6">
        <v>0</v>
      </c>
      <c r="P1535" s="6">
        <v>0</v>
      </c>
      <c r="Q1535" s="6">
        <v>0</v>
      </c>
      <c r="R1535" s="6">
        <v>0</v>
      </c>
      <c r="S1535" s="6">
        <v>205</v>
      </c>
    </row>
    <row r="1536" spans="1:19" ht="15" hidden="1" x14ac:dyDescent="0.25">
      <c r="A1536" s="7" t="s">
        <v>16</v>
      </c>
      <c r="B1536" s="7" t="s">
        <v>22</v>
      </c>
      <c r="C1536" s="7" t="s">
        <v>18</v>
      </c>
      <c r="D1536" s="4">
        <v>78633088000176</v>
      </c>
      <c r="E1536" s="8" t="s">
        <v>995</v>
      </c>
      <c r="F1536" s="8" t="s">
        <v>121</v>
      </c>
      <c r="G1536" s="8" t="s">
        <v>57</v>
      </c>
      <c r="H1536" s="8" t="s">
        <v>215</v>
      </c>
      <c r="I1536" s="3">
        <v>2</v>
      </c>
      <c r="J1536" s="8" t="s">
        <v>175</v>
      </c>
      <c r="K1536" s="8" t="s">
        <v>176</v>
      </c>
      <c r="L1536" s="8" t="s">
        <v>556</v>
      </c>
      <c r="M1536" s="1" t="s">
        <v>205</v>
      </c>
      <c r="N1536" s="8" t="s">
        <v>206</v>
      </c>
      <c r="O1536" s="6">
        <v>0</v>
      </c>
      <c r="P1536" s="6">
        <v>0</v>
      </c>
      <c r="Q1536" s="6">
        <v>0</v>
      </c>
      <c r="R1536" s="6">
        <v>0</v>
      </c>
      <c r="S1536" s="6">
        <v>10</v>
      </c>
    </row>
    <row r="1537" spans="1:19" ht="15" hidden="1" x14ac:dyDescent="0.25">
      <c r="A1537" s="7" t="s">
        <v>16</v>
      </c>
      <c r="B1537" s="7" t="s">
        <v>22</v>
      </c>
      <c r="C1537" s="7" t="s">
        <v>18</v>
      </c>
      <c r="D1537" s="4">
        <v>78633088000176</v>
      </c>
      <c r="E1537" s="8" t="s">
        <v>995</v>
      </c>
      <c r="F1537" s="8" t="s">
        <v>121</v>
      </c>
      <c r="G1537" s="8" t="s">
        <v>57</v>
      </c>
      <c r="H1537" s="8" t="s">
        <v>215</v>
      </c>
      <c r="I1537" s="3">
        <v>2</v>
      </c>
      <c r="J1537" s="8" t="s">
        <v>157</v>
      </c>
      <c r="K1537" s="8" t="s">
        <v>158</v>
      </c>
      <c r="L1537" s="8" t="s">
        <v>557</v>
      </c>
      <c r="M1537" s="1" t="s">
        <v>205</v>
      </c>
      <c r="N1537" s="8" t="s">
        <v>206</v>
      </c>
      <c r="O1537" s="6">
        <v>0</v>
      </c>
      <c r="P1537" s="6">
        <v>0</v>
      </c>
      <c r="Q1537" s="6">
        <v>0</v>
      </c>
      <c r="R1537" s="6">
        <v>0</v>
      </c>
      <c r="S1537" s="6">
        <v>10</v>
      </c>
    </row>
    <row r="1538" spans="1:19" ht="15" hidden="1" x14ac:dyDescent="0.25">
      <c r="A1538" s="7" t="s">
        <v>16</v>
      </c>
      <c r="B1538" s="7" t="s">
        <v>22</v>
      </c>
      <c r="C1538" s="7" t="s">
        <v>18</v>
      </c>
      <c r="D1538" s="4">
        <v>4762301000103</v>
      </c>
      <c r="E1538" s="8" t="s">
        <v>950</v>
      </c>
      <c r="F1538" s="8" t="s">
        <v>121</v>
      </c>
      <c r="G1538" s="8" t="s">
        <v>57</v>
      </c>
      <c r="H1538" s="8" t="s">
        <v>215</v>
      </c>
      <c r="I1538" s="3">
        <v>2</v>
      </c>
      <c r="J1538" s="8" t="s">
        <v>175</v>
      </c>
      <c r="K1538" s="8" t="s">
        <v>176</v>
      </c>
      <c r="L1538" s="8" t="s">
        <v>556</v>
      </c>
      <c r="M1538" s="1" t="s">
        <v>205</v>
      </c>
      <c r="N1538" s="8" t="s">
        <v>206</v>
      </c>
      <c r="O1538" s="6">
        <v>0</v>
      </c>
      <c r="P1538" s="6">
        <v>0</v>
      </c>
      <c r="Q1538" s="6">
        <v>0</v>
      </c>
      <c r="R1538" s="6">
        <v>0</v>
      </c>
      <c r="S1538" s="6">
        <v>405</v>
      </c>
    </row>
    <row r="1539" spans="1:19" ht="15" hidden="1" x14ac:dyDescent="0.25">
      <c r="A1539" s="7" t="s">
        <v>16</v>
      </c>
      <c r="B1539" s="7" t="s">
        <v>22</v>
      </c>
      <c r="C1539" s="7" t="s">
        <v>18</v>
      </c>
      <c r="D1539" s="4">
        <v>4762301000103</v>
      </c>
      <c r="E1539" s="8" t="s">
        <v>950</v>
      </c>
      <c r="F1539" s="8" t="s">
        <v>121</v>
      </c>
      <c r="G1539" s="8" t="s">
        <v>57</v>
      </c>
      <c r="H1539" s="8" t="s">
        <v>215</v>
      </c>
      <c r="I1539" s="3">
        <v>2</v>
      </c>
      <c r="J1539" s="8" t="s">
        <v>157</v>
      </c>
      <c r="K1539" s="8" t="s">
        <v>158</v>
      </c>
      <c r="L1539" s="8" t="s">
        <v>557</v>
      </c>
      <c r="M1539" s="1" t="s">
        <v>205</v>
      </c>
      <c r="N1539" s="8" t="s">
        <v>206</v>
      </c>
      <c r="O1539" s="6">
        <v>0</v>
      </c>
      <c r="P1539" s="6">
        <v>0</v>
      </c>
      <c r="Q1539" s="6">
        <v>0</v>
      </c>
      <c r="R1539" s="6">
        <v>0</v>
      </c>
      <c r="S1539" s="6">
        <v>405</v>
      </c>
    </row>
    <row r="1540" spans="1:19" ht="15" hidden="1" x14ac:dyDescent="0.25">
      <c r="A1540" s="7" t="s">
        <v>16</v>
      </c>
      <c r="B1540" s="7" t="s">
        <v>22</v>
      </c>
      <c r="C1540" s="7" t="s">
        <v>18</v>
      </c>
      <c r="D1540" s="4">
        <v>73863342000109</v>
      </c>
      <c r="E1540" s="8" t="s">
        <v>978</v>
      </c>
      <c r="F1540" s="8" t="s">
        <v>121</v>
      </c>
      <c r="G1540" s="8" t="s">
        <v>57</v>
      </c>
      <c r="H1540" s="8" t="s">
        <v>215</v>
      </c>
      <c r="I1540" s="3">
        <v>2</v>
      </c>
      <c r="J1540" s="8" t="s">
        <v>175</v>
      </c>
      <c r="K1540" s="8" t="s">
        <v>176</v>
      </c>
      <c r="L1540" s="8" t="s">
        <v>556</v>
      </c>
      <c r="M1540" s="1" t="s">
        <v>205</v>
      </c>
      <c r="N1540" s="8" t="s">
        <v>206</v>
      </c>
      <c r="O1540" s="6">
        <v>0</v>
      </c>
      <c r="P1540" s="6">
        <v>0</v>
      </c>
      <c r="Q1540" s="6">
        <v>0</v>
      </c>
      <c r="R1540" s="6">
        <v>0</v>
      </c>
      <c r="S1540" s="6">
        <v>20</v>
      </c>
    </row>
    <row r="1541" spans="1:19" ht="15" hidden="1" x14ac:dyDescent="0.25">
      <c r="A1541" s="7" t="s">
        <v>16</v>
      </c>
      <c r="B1541" s="7" t="s">
        <v>22</v>
      </c>
      <c r="C1541" s="7" t="s">
        <v>18</v>
      </c>
      <c r="D1541" s="4">
        <v>73863342000109</v>
      </c>
      <c r="E1541" s="8" t="s">
        <v>978</v>
      </c>
      <c r="F1541" s="8" t="s">
        <v>121</v>
      </c>
      <c r="G1541" s="8" t="s">
        <v>57</v>
      </c>
      <c r="H1541" s="8" t="s">
        <v>215</v>
      </c>
      <c r="I1541" s="3">
        <v>2</v>
      </c>
      <c r="J1541" s="8" t="s">
        <v>157</v>
      </c>
      <c r="K1541" s="8" t="s">
        <v>158</v>
      </c>
      <c r="L1541" s="8" t="s">
        <v>557</v>
      </c>
      <c r="M1541" s="1" t="s">
        <v>205</v>
      </c>
      <c r="N1541" s="8" t="s">
        <v>206</v>
      </c>
      <c r="O1541" s="6">
        <v>0</v>
      </c>
      <c r="P1541" s="6">
        <v>0</v>
      </c>
      <c r="Q1541" s="6">
        <v>0</v>
      </c>
      <c r="R1541" s="6">
        <v>0</v>
      </c>
      <c r="S1541" s="6">
        <v>20</v>
      </c>
    </row>
    <row r="1542" spans="1:19" ht="15" hidden="1" x14ac:dyDescent="0.25">
      <c r="A1542" s="7" t="s">
        <v>16</v>
      </c>
      <c r="B1542" s="7" t="s">
        <v>22</v>
      </c>
      <c r="C1542" s="7" t="s">
        <v>18</v>
      </c>
      <c r="D1542" s="4">
        <v>75222224001895</v>
      </c>
      <c r="E1542" s="8" t="s">
        <v>981</v>
      </c>
      <c r="F1542" s="8" t="s">
        <v>121</v>
      </c>
      <c r="G1542" s="8" t="s">
        <v>57</v>
      </c>
      <c r="H1542" s="8" t="s">
        <v>215</v>
      </c>
      <c r="I1542" s="3">
        <v>2</v>
      </c>
      <c r="J1542" s="8" t="s">
        <v>175</v>
      </c>
      <c r="K1542" s="8" t="s">
        <v>176</v>
      </c>
      <c r="L1542" s="8" t="s">
        <v>556</v>
      </c>
      <c r="M1542" s="1" t="s">
        <v>205</v>
      </c>
      <c r="N1542" s="8" t="s">
        <v>206</v>
      </c>
      <c r="O1542" s="6">
        <v>0</v>
      </c>
      <c r="P1542" s="6">
        <v>0</v>
      </c>
      <c r="Q1542" s="6">
        <v>0</v>
      </c>
      <c r="R1542" s="6">
        <v>0</v>
      </c>
      <c r="S1542" s="6">
        <v>1485</v>
      </c>
    </row>
    <row r="1543" spans="1:19" ht="15" hidden="1" x14ac:dyDescent="0.25">
      <c r="A1543" s="7" t="s">
        <v>16</v>
      </c>
      <c r="B1543" s="7" t="s">
        <v>22</v>
      </c>
      <c r="C1543" s="7" t="s">
        <v>18</v>
      </c>
      <c r="D1543" s="4">
        <v>75222224001895</v>
      </c>
      <c r="E1543" s="8" t="s">
        <v>981</v>
      </c>
      <c r="F1543" s="8" t="s">
        <v>121</v>
      </c>
      <c r="G1543" s="8" t="s">
        <v>57</v>
      </c>
      <c r="H1543" s="8" t="s">
        <v>215</v>
      </c>
      <c r="I1543" s="3">
        <v>2</v>
      </c>
      <c r="J1543" s="8" t="s">
        <v>157</v>
      </c>
      <c r="K1543" s="8" t="s">
        <v>158</v>
      </c>
      <c r="L1543" s="8" t="s">
        <v>557</v>
      </c>
      <c r="M1543" s="1" t="s">
        <v>205</v>
      </c>
      <c r="N1543" s="8" t="s">
        <v>206</v>
      </c>
      <c r="O1543" s="6">
        <v>0</v>
      </c>
      <c r="P1543" s="6">
        <v>0</v>
      </c>
      <c r="Q1543" s="6">
        <v>0</v>
      </c>
      <c r="R1543" s="6">
        <v>0</v>
      </c>
      <c r="S1543" s="6">
        <v>1485</v>
      </c>
    </row>
    <row r="1544" spans="1:19" ht="15" hidden="1" x14ac:dyDescent="0.25">
      <c r="A1544" s="7" t="s">
        <v>16</v>
      </c>
      <c r="B1544" s="7" t="s">
        <v>22</v>
      </c>
      <c r="C1544" s="7" t="s">
        <v>18</v>
      </c>
      <c r="D1544" s="4">
        <v>79115762000193</v>
      </c>
      <c r="E1544" s="8" t="s">
        <v>996</v>
      </c>
      <c r="F1544" s="8" t="s">
        <v>988</v>
      </c>
      <c r="G1544" s="8" t="s">
        <v>57</v>
      </c>
      <c r="H1544" s="8" t="s">
        <v>215</v>
      </c>
      <c r="I1544" s="3">
        <v>2</v>
      </c>
      <c r="J1544" s="8" t="s">
        <v>175</v>
      </c>
      <c r="K1544" s="8" t="s">
        <v>176</v>
      </c>
      <c r="L1544" s="8" t="s">
        <v>556</v>
      </c>
      <c r="M1544" s="1" t="s">
        <v>205</v>
      </c>
      <c r="N1544" s="8" t="s">
        <v>206</v>
      </c>
      <c r="O1544" s="6">
        <v>0</v>
      </c>
      <c r="P1544" s="6">
        <v>0</v>
      </c>
      <c r="Q1544" s="6">
        <v>0</v>
      </c>
      <c r="R1544" s="6">
        <v>0</v>
      </c>
      <c r="S1544" s="6">
        <v>25</v>
      </c>
    </row>
    <row r="1545" spans="1:19" ht="15" hidden="1" x14ac:dyDescent="0.25">
      <c r="A1545" s="7" t="s">
        <v>16</v>
      </c>
      <c r="B1545" s="7" t="s">
        <v>22</v>
      </c>
      <c r="C1545" s="7" t="s">
        <v>18</v>
      </c>
      <c r="D1545" s="4">
        <v>79115762000193</v>
      </c>
      <c r="E1545" s="8" t="s">
        <v>996</v>
      </c>
      <c r="F1545" s="8" t="s">
        <v>988</v>
      </c>
      <c r="G1545" s="8" t="s">
        <v>57</v>
      </c>
      <c r="H1545" s="8" t="s">
        <v>215</v>
      </c>
      <c r="I1545" s="3">
        <v>2</v>
      </c>
      <c r="J1545" s="8" t="s">
        <v>157</v>
      </c>
      <c r="K1545" s="8" t="s">
        <v>158</v>
      </c>
      <c r="L1545" s="8" t="s">
        <v>557</v>
      </c>
      <c r="M1545" s="1" t="s">
        <v>205</v>
      </c>
      <c r="N1545" s="8" t="s">
        <v>206</v>
      </c>
      <c r="O1545" s="6">
        <v>0</v>
      </c>
      <c r="P1545" s="6">
        <v>0</v>
      </c>
      <c r="Q1545" s="6">
        <v>0</v>
      </c>
      <c r="R1545" s="6">
        <v>0</v>
      </c>
      <c r="S1545" s="6">
        <v>25</v>
      </c>
    </row>
    <row r="1546" spans="1:19" ht="15" hidden="1" x14ac:dyDescent="0.25">
      <c r="A1546" s="7" t="s">
        <v>16</v>
      </c>
      <c r="B1546" s="7" t="s">
        <v>22</v>
      </c>
      <c r="C1546" s="7" t="s">
        <v>18</v>
      </c>
      <c r="D1546" s="4">
        <v>7794623002257</v>
      </c>
      <c r="E1546" s="8" t="s">
        <v>955</v>
      </c>
      <c r="F1546" s="8" t="s">
        <v>956</v>
      </c>
      <c r="G1546" s="8" t="s">
        <v>57</v>
      </c>
      <c r="H1546" s="8" t="s">
        <v>215</v>
      </c>
      <c r="I1546" s="3">
        <v>2</v>
      </c>
      <c r="J1546" s="8" t="s">
        <v>175</v>
      </c>
      <c r="K1546" s="8" t="s">
        <v>176</v>
      </c>
      <c r="L1546" s="8" t="s">
        <v>556</v>
      </c>
      <c r="M1546" s="1" t="s">
        <v>205</v>
      </c>
      <c r="N1546" s="8" t="s">
        <v>206</v>
      </c>
      <c r="O1546" s="6">
        <v>0</v>
      </c>
      <c r="P1546" s="6">
        <v>0</v>
      </c>
      <c r="Q1546" s="6">
        <v>0</v>
      </c>
      <c r="R1546" s="6">
        <v>0</v>
      </c>
      <c r="S1546" s="6">
        <v>630</v>
      </c>
    </row>
    <row r="1547" spans="1:19" ht="15" hidden="1" x14ac:dyDescent="0.25">
      <c r="A1547" s="7" t="s">
        <v>16</v>
      </c>
      <c r="B1547" s="7" t="s">
        <v>22</v>
      </c>
      <c r="C1547" s="7" t="s">
        <v>18</v>
      </c>
      <c r="D1547" s="4">
        <v>7794623002257</v>
      </c>
      <c r="E1547" s="8" t="s">
        <v>955</v>
      </c>
      <c r="F1547" s="8" t="s">
        <v>956</v>
      </c>
      <c r="G1547" s="8" t="s">
        <v>57</v>
      </c>
      <c r="H1547" s="8" t="s">
        <v>215</v>
      </c>
      <c r="I1547" s="3">
        <v>2</v>
      </c>
      <c r="J1547" s="8" t="s">
        <v>157</v>
      </c>
      <c r="K1547" s="8" t="s">
        <v>158</v>
      </c>
      <c r="L1547" s="8" t="s">
        <v>557</v>
      </c>
      <c r="M1547" s="1" t="s">
        <v>205</v>
      </c>
      <c r="N1547" s="8" t="s">
        <v>206</v>
      </c>
      <c r="O1547" s="6">
        <v>0</v>
      </c>
      <c r="P1547" s="6">
        <v>0</v>
      </c>
      <c r="Q1547" s="6">
        <v>0</v>
      </c>
      <c r="R1547" s="6">
        <v>0</v>
      </c>
      <c r="S1547" s="6">
        <v>630</v>
      </c>
    </row>
    <row r="1548" spans="1:19" ht="15" hidden="1" x14ac:dyDescent="0.25">
      <c r="A1548" s="7" t="s">
        <v>16</v>
      </c>
      <c r="B1548" s="7" t="s">
        <v>22</v>
      </c>
      <c r="C1548" s="7" t="s">
        <v>18</v>
      </c>
      <c r="D1548" s="4">
        <v>36238913000198</v>
      </c>
      <c r="E1548" s="8" t="s">
        <v>1063</v>
      </c>
      <c r="F1548" s="8" t="s">
        <v>1064</v>
      </c>
      <c r="G1548" s="8" t="s">
        <v>61</v>
      </c>
      <c r="H1548" s="8" t="s">
        <v>215</v>
      </c>
      <c r="I1548" s="3">
        <v>2</v>
      </c>
      <c r="J1548" s="8" t="s">
        <v>155</v>
      </c>
      <c r="K1548" s="8" t="s">
        <v>156</v>
      </c>
      <c r="L1548" s="8" t="s">
        <v>556</v>
      </c>
      <c r="M1548" s="1" t="s">
        <v>205</v>
      </c>
      <c r="N1548" s="8" t="s">
        <v>206</v>
      </c>
      <c r="O1548" s="6">
        <v>0</v>
      </c>
      <c r="P1548" s="6">
        <v>0</v>
      </c>
      <c r="Q1548" s="6">
        <v>0</v>
      </c>
      <c r="R1548" s="6">
        <v>200</v>
      </c>
      <c r="S1548" s="6">
        <v>0</v>
      </c>
    </row>
    <row r="1549" spans="1:19" ht="15" hidden="1" x14ac:dyDescent="0.25">
      <c r="A1549" s="7" t="s">
        <v>16</v>
      </c>
      <c r="B1549" s="7" t="s">
        <v>22</v>
      </c>
      <c r="C1549" s="7" t="s">
        <v>18</v>
      </c>
      <c r="D1549" s="4">
        <v>36238913000198</v>
      </c>
      <c r="E1549" s="8" t="s">
        <v>1063</v>
      </c>
      <c r="F1549" s="8" t="s">
        <v>1064</v>
      </c>
      <c r="G1549" s="8" t="s">
        <v>61</v>
      </c>
      <c r="H1549" s="8" t="s">
        <v>215</v>
      </c>
      <c r="I1549" s="3">
        <v>2</v>
      </c>
      <c r="J1549" s="8" t="s">
        <v>173</v>
      </c>
      <c r="K1549" s="8" t="s">
        <v>174</v>
      </c>
      <c r="L1549" s="8" t="s">
        <v>557</v>
      </c>
      <c r="M1549" s="1" t="s">
        <v>205</v>
      </c>
      <c r="N1549" s="8" t="s">
        <v>206</v>
      </c>
      <c r="O1549" s="6">
        <v>0</v>
      </c>
      <c r="P1549" s="6">
        <v>0</v>
      </c>
      <c r="Q1549" s="6">
        <v>0</v>
      </c>
      <c r="R1549" s="6">
        <v>0</v>
      </c>
      <c r="S1549" s="6">
        <v>0</v>
      </c>
    </row>
    <row r="1550" spans="1:19" ht="15" hidden="1" x14ac:dyDescent="0.25">
      <c r="A1550" s="7" t="s">
        <v>16</v>
      </c>
      <c r="B1550" s="7" t="s">
        <v>22</v>
      </c>
      <c r="C1550" s="7" t="s">
        <v>18</v>
      </c>
      <c r="D1550" s="4">
        <v>6047087001372</v>
      </c>
      <c r="E1550" s="8" t="s">
        <v>1041</v>
      </c>
      <c r="F1550" s="8" t="s">
        <v>78</v>
      </c>
      <c r="G1550" s="8" t="s">
        <v>61</v>
      </c>
      <c r="H1550" s="8" t="s">
        <v>215</v>
      </c>
      <c r="I1550" s="3">
        <v>2</v>
      </c>
      <c r="J1550" s="8" t="s">
        <v>155</v>
      </c>
      <c r="K1550" s="8" t="s">
        <v>156</v>
      </c>
      <c r="L1550" s="8" t="s">
        <v>556</v>
      </c>
      <c r="M1550" s="1" t="s">
        <v>205</v>
      </c>
      <c r="N1550" s="8" t="s">
        <v>206</v>
      </c>
      <c r="O1550" s="6">
        <v>0</v>
      </c>
      <c r="P1550" s="6">
        <v>0</v>
      </c>
      <c r="Q1550" s="6">
        <v>0</v>
      </c>
      <c r="R1550" s="6">
        <v>0</v>
      </c>
      <c r="S1550" s="6">
        <v>0</v>
      </c>
    </row>
    <row r="1551" spans="1:19" ht="15" hidden="1" x14ac:dyDescent="0.25">
      <c r="A1551" s="7" t="s">
        <v>16</v>
      </c>
      <c r="B1551" s="7" t="s">
        <v>22</v>
      </c>
      <c r="C1551" s="7" t="s">
        <v>18</v>
      </c>
      <c r="D1551" s="4">
        <v>6047087001372</v>
      </c>
      <c r="E1551" s="8" t="s">
        <v>1041</v>
      </c>
      <c r="F1551" s="8" t="s">
        <v>78</v>
      </c>
      <c r="G1551" s="8" t="s">
        <v>61</v>
      </c>
      <c r="H1551" s="8" t="s">
        <v>215</v>
      </c>
      <c r="I1551" s="3">
        <v>2</v>
      </c>
      <c r="J1551" s="8" t="s">
        <v>181</v>
      </c>
      <c r="K1551" s="8" t="s">
        <v>182</v>
      </c>
      <c r="L1551" s="8" t="s">
        <v>557</v>
      </c>
      <c r="M1551" s="1" t="s">
        <v>205</v>
      </c>
      <c r="N1551" s="8" t="s">
        <v>206</v>
      </c>
      <c r="O1551" s="6">
        <v>0</v>
      </c>
      <c r="P1551" s="6">
        <v>2</v>
      </c>
      <c r="Q1551" s="6">
        <v>0</v>
      </c>
      <c r="R1551" s="6">
        <v>0</v>
      </c>
      <c r="S1551" s="6">
        <v>0</v>
      </c>
    </row>
    <row r="1552" spans="1:19" ht="15" hidden="1" x14ac:dyDescent="0.25">
      <c r="A1552" s="7" t="s">
        <v>16</v>
      </c>
      <c r="B1552" s="7" t="s">
        <v>22</v>
      </c>
      <c r="C1552" s="7" t="s">
        <v>18</v>
      </c>
      <c r="D1552" s="4">
        <v>10558548000105</v>
      </c>
      <c r="E1552" s="8" t="s">
        <v>1045</v>
      </c>
      <c r="F1552" s="8" t="s">
        <v>108</v>
      </c>
      <c r="G1552" s="8" t="s">
        <v>61</v>
      </c>
      <c r="H1552" s="8" t="s">
        <v>215</v>
      </c>
      <c r="I1552" s="3">
        <v>2</v>
      </c>
      <c r="J1552" s="8" t="s">
        <v>155</v>
      </c>
      <c r="K1552" s="8" t="s">
        <v>156</v>
      </c>
      <c r="L1552" s="8" t="s">
        <v>556</v>
      </c>
      <c r="M1552" s="1" t="s">
        <v>205</v>
      </c>
      <c r="N1552" s="8" t="s">
        <v>206</v>
      </c>
      <c r="O1552" s="6">
        <v>3</v>
      </c>
      <c r="P1552" s="6">
        <v>0</v>
      </c>
      <c r="Q1552" s="6">
        <v>0</v>
      </c>
      <c r="R1552" s="6">
        <v>0</v>
      </c>
      <c r="S1552" s="6">
        <v>0</v>
      </c>
    </row>
    <row r="1553" spans="1:19" ht="15" hidden="1" x14ac:dyDescent="0.25">
      <c r="A1553" s="7" t="s">
        <v>16</v>
      </c>
      <c r="B1553" s="7" t="s">
        <v>22</v>
      </c>
      <c r="C1553" s="7" t="s">
        <v>18</v>
      </c>
      <c r="D1553" s="4">
        <v>10558548000105</v>
      </c>
      <c r="E1553" s="8" t="s">
        <v>1045</v>
      </c>
      <c r="F1553" s="8" t="s">
        <v>108</v>
      </c>
      <c r="G1553" s="8" t="s">
        <v>61</v>
      </c>
      <c r="H1553" s="8" t="s">
        <v>215</v>
      </c>
      <c r="I1553" s="3">
        <v>2</v>
      </c>
      <c r="J1553" s="8" t="s">
        <v>173</v>
      </c>
      <c r="K1553" s="8" t="s">
        <v>174</v>
      </c>
      <c r="L1553" s="8" t="s">
        <v>557</v>
      </c>
      <c r="M1553" s="1" t="s">
        <v>205</v>
      </c>
      <c r="N1553" s="8" t="s">
        <v>206</v>
      </c>
      <c r="O1553" s="6">
        <v>0</v>
      </c>
      <c r="P1553" s="6">
        <v>0</v>
      </c>
      <c r="Q1553" s="6">
        <v>0</v>
      </c>
      <c r="R1553" s="6">
        <v>0</v>
      </c>
      <c r="S1553" s="6">
        <v>0</v>
      </c>
    </row>
    <row r="1554" spans="1:19" ht="15" hidden="1" x14ac:dyDescent="0.25">
      <c r="A1554" s="7" t="s">
        <v>16</v>
      </c>
      <c r="B1554" s="7" t="s">
        <v>22</v>
      </c>
      <c r="C1554" s="7" t="s">
        <v>18</v>
      </c>
      <c r="D1554" s="4">
        <v>25308058000128</v>
      </c>
      <c r="E1554" s="8" t="s">
        <v>1047</v>
      </c>
      <c r="F1554" s="8" t="s">
        <v>1048</v>
      </c>
      <c r="G1554" s="8" t="s">
        <v>61</v>
      </c>
      <c r="H1554" s="8" t="s">
        <v>215</v>
      </c>
      <c r="I1554" s="3">
        <v>2</v>
      </c>
      <c r="J1554" s="8" t="s">
        <v>155</v>
      </c>
      <c r="K1554" s="8" t="s">
        <v>156</v>
      </c>
      <c r="L1554" s="8" t="s">
        <v>556</v>
      </c>
      <c r="M1554" s="1" t="s">
        <v>205</v>
      </c>
      <c r="N1554" s="8" t="s">
        <v>206</v>
      </c>
      <c r="O1554" s="6">
        <v>0</v>
      </c>
      <c r="P1554" s="6">
        <v>0</v>
      </c>
      <c r="Q1554" s="6">
        <v>0</v>
      </c>
      <c r="R1554" s="6">
        <v>0</v>
      </c>
      <c r="S1554" s="6">
        <v>0</v>
      </c>
    </row>
    <row r="1555" spans="1:19" ht="15" hidden="1" x14ac:dyDescent="0.25">
      <c r="A1555" s="7" t="s">
        <v>16</v>
      </c>
      <c r="B1555" s="7" t="s">
        <v>22</v>
      </c>
      <c r="C1555" s="7" t="s">
        <v>18</v>
      </c>
      <c r="D1555" s="4">
        <v>25308058000128</v>
      </c>
      <c r="E1555" s="8" t="s">
        <v>1047</v>
      </c>
      <c r="F1555" s="8" t="s">
        <v>1048</v>
      </c>
      <c r="G1555" s="8" t="s">
        <v>61</v>
      </c>
      <c r="H1555" s="8" t="s">
        <v>215</v>
      </c>
      <c r="I1555" s="3">
        <v>2</v>
      </c>
      <c r="J1555" s="8" t="s">
        <v>173</v>
      </c>
      <c r="K1555" s="8" t="s">
        <v>174</v>
      </c>
      <c r="L1555" s="8" t="s">
        <v>557</v>
      </c>
      <c r="M1555" s="1" t="s">
        <v>205</v>
      </c>
      <c r="N1555" s="8" t="s">
        <v>206</v>
      </c>
      <c r="O1555" s="6">
        <v>0</v>
      </c>
      <c r="P1555" s="6">
        <v>2</v>
      </c>
      <c r="Q1555" s="6">
        <v>0</v>
      </c>
      <c r="R1555" s="6">
        <v>0</v>
      </c>
      <c r="S1555" s="6">
        <v>0</v>
      </c>
    </row>
    <row r="1556" spans="1:19" ht="15" hidden="1" x14ac:dyDescent="0.25">
      <c r="A1556" s="7" t="s">
        <v>16</v>
      </c>
      <c r="B1556" s="7" t="s">
        <v>22</v>
      </c>
      <c r="C1556" s="7" t="s">
        <v>18</v>
      </c>
      <c r="D1556" s="4">
        <v>437007000175</v>
      </c>
      <c r="E1556" s="8" t="s">
        <v>1038</v>
      </c>
      <c r="F1556" s="8" t="s">
        <v>1039</v>
      </c>
      <c r="G1556" s="8" t="s">
        <v>61</v>
      </c>
      <c r="H1556" s="8" t="s">
        <v>215</v>
      </c>
      <c r="I1556" s="3">
        <v>2</v>
      </c>
      <c r="J1556" s="8" t="s">
        <v>155</v>
      </c>
      <c r="K1556" s="8" t="s">
        <v>156</v>
      </c>
      <c r="L1556" s="8" t="s">
        <v>556</v>
      </c>
      <c r="M1556" s="1" t="s">
        <v>205</v>
      </c>
      <c r="N1556" s="8" t="s">
        <v>206</v>
      </c>
      <c r="O1556" s="6">
        <v>0</v>
      </c>
      <c r="P1556" s="6">
        <v>0</v>
      </c>
      <c r="Q1556" s="6">
        <v>0</v>
      </c>
      <c r="R1556" s="6">
        <v>298</v>
      </c>
      <c r="S1556" s="6">
        <v>500</v>
      </c>
    </row>
    <row r="1557" spans="1:19" ht="15" hidden="1" x14ac:dyDescent="0.25">
      <c r="A1557" s="7" t="s">
        <v>16</v>
      </c>
      <c r="B1557" s="7" t="s">
        <v>22</v>
      </c>
      <c r="C1557" s="7" t="s">
        <v>18</v>
      </c>
      <c r="D1557" s="4">
        <v>437007000175</v>
      </c>
      <c r="E1557" s="8" t="s">
        <v>1038</v>
      </c>
      <c r="F1557" s="8" t="s">
        <v>1039</v>
      </c>
      <c r="G1557" s="8" t="s">
        <v>61</v>
      </c>
      <c r="H1557" s="8" t="s">
        <v>215</v>
      </c>
      <c r="I1557" s="3">
        <v>2</v>
      </c>
      <c r="J1557" s="8" t="s">
        <v>181</v>
      </c>
      <c r="K1557" s="8" t="s">
        <v>182</v>
      </c>
      <c r="L1557" s="8" t="s">
        <v>557</v>
      </c>
      <c r="M1557" s="1" t="s">
        <v>205</v>
      </c>
      <c r="N1557" s="8" t="s">
        <v>206</v>
      </c>
      <c r="O1557" s="6">
        <v>0</v>
      </c>
      <c r="P1557" s="6">
        <v>0</v>
      </c>
      <c r="Q1557" s="6">
        <v>0</v>
      </c>
      <c r="R1557" s="6">
        <v>0</v>
      </c>
      <c r="S1557" s="6">
        <v>500</v>
      </c>
    </row>
    <row r="1558" spans="1:19" ht="15" hidden="1" x14ac:dyDescent="0.25">
      <c r="A1558" s="7" t="s">
        <v>16</v>
      </c>
      <c r="B1558" s="7" t="s">
        <v>22</v>
      </c>
      <c r="C1558" s="7" t="s">
        <v>18</v>
      </c>
      <c r="D1558" s="4">
        <v>60884855001207</v>
      </c>
      <c r="E1558" s="8" t="s">
        <v>1065</v>
      </c>
      <c r="F1558" s="8" t="s">
        <v>1039</v>
      </c>
      <c r="G1558" s="8" t="s">
        <v>61</v>
      </c>
      <c r="H1558" s="8" t="s">
        <v>215</v>
      </c>
      <c r="I1558" s="3">
        <v>2</v>
      </c>
      <c r="J1558" s="8" t="s">
        <v>155</v>
      </c>
      <c r="K1558" s="8" t="s">
        <v>156</v>
      </c>
      <c r="L1558" s="8" t="s">
        <v>556</v>
      </c>
      <c r="M1558" s="1" t="s">
        <v>205</v>
      </c>
      <c r="N1558" s="8" t="s">
        <v>206</v>
      </c>
      <c r="O1558" s="6">
        <v>0</v>
      </c>
      <c r="P1558" s="6">
        <v>0</v>
      </c>
      <c r="Q1558" s="6">
        <v>0</v>
      </c>
      <c r="R1558" s="6">
        <v>40</v>
      </c>
      <c r="S1558" s="6">
        <v>790</v>
      </c>
    </row>
    <row r="1559" spans="1:19" ht="15" hidden="1" x14ac:dyDescent="0.25">
      <c r="A1559" s="7" t="s">
        <v>16</v>
      </c>
      <c r="B1559" s="7" t="s">
        <v>22</v>
      </c>
      <c r="C1559" s="7" t="s">
        <v>18</v>
      </c>
      <c r="D1559" s="4">
        <v>60884855001207</v>
      </c>
      <c r="E1559" s="8" t="s">
        <v>1065</v>
      </c>
      <c r="F1559" s="8" t="s">
        <v>1039</v>
      </c>
      <c r="G1559" s="8" t="s">
        <v>61</v>
      </c>
      <c r="H1559" s="8" t="s">
        <v>215</v>
      </c>
      <c r="I1559" s="3">
        <v>2</v>
      </c>
      <c r="J1559" s="8" t="s">
        <v>181</v>
      </c>
      <c r="K1559" s="8" t="s">
        <v>182</v>
      </c>
      <c r="L1559" s="8" t="s">
        <v>557</v>
      </c>
      <c r="M1559" s="1" t="s">
        <v>205</v>
      </c>
      <c r="N1559" s="8" t="s">
        <v>206</v>
      </c>
      <c r="O1559" s="6">
        <v>0</v>
      </c>
      <c r="P1559" s="6">
        <v>0</v>
      </c>
      <c r="Q1559" s="6">
        <v>13</v>
      </c>
      <c r="R1559" s="6">
        <v>0</v>
      </c>
      <c r="S1559" s="6">
        <v>790</v>
      </c>
    </row>
    <row r="1560" spans="1:19" ht="15" hidden="1" x14ac:dyDescent="0.25">
      <c r="A1560" s="7" t="s">
        <v>16</v>
      </c>
      <c r="B1560" s="7" t="s">
        <v>22</v>
      </c>
      <c r="C1560" s="7" t="s">
        <v>18</v>
      </c>
      <c r="D1560" s="4">
        <v>28523215000378</v>
      </c>
      <c r="E1560" s="8" t="s">
        <v>1049</v>
      </c>
      <c r="F1560" s="8" t="s">
        <v>1039</v>
      </c>
      <c r="G1560" s="8" t="s">
        <v>61</v>
      </c>
      <c r="H1560" s="8" t="s">
        <v>215</v>
      </c>
      <c r="I1560" s="3">
        <v>2</v>
      </c>
      <c r="J1560" s="8" t="s">
        <v>155</v>
      </c>
      <c r="K1560" s="8" t="s">
        <v>156</v>
      </c>
      <c r="L1560" s="8" t="s">
        <v>556</v>
      </c>
      <c r="M1560" s="1" t="s">
        <v>205</v>
      </c>
      <c r="N1560" s="8" t="s">
        <v>206</v>
      </c>
      <c r="O1560" s="6">
        <v>0</v>
      </c>
      <c r="P1560" s="6">
        <v>0</v>
      </c>
      <c r="Q1560" s="6">
        <v>0</v>
      </c>
      <c r="R1560" s="6">
        <v>0</v>
      </c>
      <c r="S1560" s="6">
        <v>300</v>
      </c>
    </row>
    <row r="1561" spans="1:19" ht="15" hidden="1" x14ac:dyDescent="0.25">
      <c r="A1561" s="7" t="s">
        <v>16</v>
      </c>
      <c r="B1561" s="7" t="s">
        <v>22</v>
      </c>
      <c r="C1561" s="7" t="s">
        <v>18</v>
      </c>
      <c r="D1561" s="4">
        <v>28523215000378</v>
      </c>
      <c r="E1561" s="8" t="s">
        <v>1049</v>
      </c>
      <c r="F1561" s="8" t="s">
        <v>1039</v>
      </c>
      <c r="G1561" s="8" t="s">
        <v>61</v>
      </c>
      <c r="H1561" s="8" t="s">
        <v>215</v>
      </c>
      <c r="I1561" s="3">
        <v>2</v>
      </c>
      <c r="J1561" s="8" t="s">
        <v>181</v>
      </c>
      <c r="K1561" s="8" t="s">
        <v>182</v>
      </c>
      <c r="L1561" s="8" t="s">
        <v>557</v>
      </c>
      <c r="M1561" s="1" t="s">
        <v>205</v>
      </c>
      <c r="N1561" s="8" t="s">
        <v>206</v>
      </c>
      <c r="O1561" s="6">
        <v>0</v>
      </c>
      <c r="P1561" s="6">
        <v>0</v>
      </c>
      <c r="Q1561" s="6">
        <v>0</v>
      </c>
      <c r="R1561" s="6">
        <v>0</v>
      </c>
      <c r="S1561" s="6">
        <v>300</v>
      </c>
    </row>
    <row r="1562" spans="1:19" ht="15" hidden="1" x14ac:dyDescent="0.25">
      <c r="A1562" s="7" t="s">
        <v>16</v>
      </c>
      <c r="B1562" s="7" t="s">
        <v>22</v>
      </c>
      <c r="C1562" s="7" t="s">
        <v>18</v>
      </c>
      <c r="D1562" s="4">
        <v>521197000104</v>
      </c>
      <c r="E1562" s="8" t="s">
        <v>1040</v>
      </c>
      <c r="F1562" s="8" t="s">
        <v>1039</v>
      </c>
      <c r="G1562" s="8" t="s">
        <v>61</v>
      </c>
      <c r="H1562" s="8" t="s">
        <v>215</v>
      </c>
      <c r="I1562" s="3">
        <v>2</v>
      </c>
      <c r="J1562" s="8" t="s">
        <v>155</v>
      </c>
      <c r="K1562" s="8" t="s">
        <v>156</v>
      </c>
      <c r="L1562" s="8" t="s">
        <v>556</v>
      </c>
      <c r="M1562" s="1" t="s">
        <v>205</v>
      </c>
      <c r="N1562" s="8" t="s">
        <v>206</v>
      </c>
      <c r="O1562" s="6">
        <v>0</v>
      </c>
      <c r="P1562" s="6">
        <v>0</v>
      </c>
      <c r="Q1562" s="6">
        <v>0</v>
      </c>
      <c r="R1562" s="6">
        <v>0</v>
      </c>
      <c r="S1562" s="6">
        <v>298</v>
      </c>
    </row>
    <row r="1563" spans="1:19" ht="15" hidden="1" x14ac:dyDescent="0.25">
      <c r="A1563" s="7" t="s">
        <v>16</v>
      </c>
      <c r="B1563" s="7" t="s">
        <v>22</v>
      </c>
      <c r="C1563" s="7" t="s">
        <v>18</v>
      </c>
      <c r="D1563" s="4">
        <v>521197000104</v>
      </c>
      <c r="E1563" s="8" t="s">
        <v>1040</v>
      </c>
      <c r="F1563" s="8" t="s">
        <v>1039</v>
      </c>
      <c r="G1563" s="8" t="s">
        <v>61</v>
      </c>
      <c r="H1563" s="8" t="s">
        <v>215</v>
      </c>
      <c r="I1563" s="3">
        <v>2</v>
      </c>
      <c r="J1563" s="8" t="s">
        <v>173</v>
      </c>
      <c r="K1563" s="8" t="s">
        <v>174</v>
      </c>
      <c r="L1563" s="8" t="s">
        <v>557</v>
      </c>
      <c r="M1563" s="1" t="s">
        <v>205</v>
      </c>
      <c r="N1563" s="8" t="s">
        <v>206</v>
      </c>
      <c r="O1563" s="6">
        <v>0</v>
      </c>
      <c r="P1563" s="6">
        <v>0</v>
      </c>
      <c r="Q1563" s="6">
        <v>0</v>
      </c>
      <c r="R1563" s="6">
        <v>0</v>
      </c>
      <c r="S1563" s="6">
        <v>298</v>
      </c>
    </row>
    <row r="1564" spans="1:19" ht="15" hidden="1" x14ac:dyDescent="0.25">
      <c r="A1564" s="7" t="s">
        <v>16</v>
      </c>
      <c r="B1564" s="7" t="s">
        <v>22</v>
      </c>
      <c r="C1564" s="7" t="s">
        <v>18</v>
      </c>
      <c r="D1564" s="4">
        <v>7794623001528</v>
      </c>
      <c r="E1564" s="8" t="s">
        <v>1042</v>
      </c>
      <c r="F1564" s="8" t="s">
        <v>1043</v>
      </c>
      <c r="G1564" s="8" t="s">
        <v>61</v>
      </c>
      <c r="H1564" s="8" t="s">
        <v>215</v>
      </c>
      <c r="I1564" s="3">
        <v>2</v>
      </c>
      <c r="J1564" s="8" t="s">
        <v>155</v>
      </c>
      <c r="K1564" s="8" t="s">
        <v>156</v>
      </c>
      <c r="L1564" s="8" t="s">
        <v>556</v>
      </c>
      <c r="M1564" s="1" t="s">
        <v>205</v>
      </c>
      <c r="N1564" s="8" t="s">
        <v>206</v>
      </c>
      <c r="O1564" s="6">
        <v>0</v>
      </c>
      <c r="P1564" s="6">
        <v>0</v>
      </c>
      <c r="Q1564" s="6">
        <v>0</v>
      </c>
      <c r="R1564" s="6">
        <v>28</v>
      </c>
      <c r="S1564" s="6">
        <v>0</v>
      </c>
    </row>
    <row r="1565" spans="1:19" ht="15" hidden="1" x14ac:dyDescent="0.25">
      <c r="A1565" s="7" t="s">
        <v>16</v>
      </c>
      <c r="B1565" s="7" t="s">
        <v>22</v>
      </c>
      <c r="C1565" s="7" t="s">
        <v>18</v>
      </c>
      <c r="D1565" s="4">
        <v>7794623001528</v>
      </c>
      <c r="E1565" s="8" t="s">
        <v>1042</v>
      </c>
      <c r="F1565" s="8" t="s">
        <v>1043</v>
      </c>
      <c r="G1565" s="8" t="s">
        <v>61</v>
      </c>
      <c r="H1565" s="8" t="s">
        <v>215</v>
      </c>
      <c r="I1565" s="3">
        <v>2</v>
      </c>
      <c r="J1565" s="8" t="s">
        <v>181</v>
      </c>
      <c r="K1565" s="8" t="s">
        <v>182</v>
      </c>
      <c r="L1565" s="8" t="s">
        <v>557</v>
      </c>
      <c r="M1565" s="1" t="s">
        <v>205</v>
      </c>
      <c r="N1565" s="8" t="s">
        <v>206</v>
      </c>
      <c r="O1565" s="6">
        <v>0</v>
      </c>
      <c r="P1565" s="6">
        <v>0</v>
      </c>
      <c r="Q1565" s="6">
        <v>0</v>
      </c>
      <c r="R1565" s="6">
        <v>0</v>
      </c>
      <c r="S1565" s="6">
        <v>0</v>
      </c>
    </row>
    <row r="1566" spans="1:19" ht="15" hidden="1" x14ac:dyDescent="0.25">
      <c r="A1566" s="7" t="s">
        <v>16</v>
      </c>
      <c r="B1566" s="7" t="s">
        <v>22</v>
      </c>
      <c r="C1566" s="7" t="s">
        <v>18</v>
      </c>
      <c r="D1566" s="4">
        <v>30638381000108</v>
      </c>
      <c r="E1566" s="8" t="s">
        <v>1059</v>
      </c>
      <c r="F1566" s="8" t="s">
        <v>1051</v>
      </c>
      <c r="G1566" s="8" t="s">
        <v>61</v>
      </c>
      <c r="H1566" s="8" t="s">
        <v>215</v>
      </c>
      <c r="I1566" s="3">
        <v>2</v>
      </c>
      <c r="J1566" s="8" t="s">
        <v>155</v>
      </c>
      <c r="K1566" s="8" t="s">
        <v>156</v>
      </c>
      <c r="L1566" s="8" t="s">
        <v>556</v>
      </c>
      <c r="M1566" s="1" t="s">
        <v>205</v>
      </c>
      <c r="N1566" s="8" t="s">
        <v>206</v>
      </c>
      <c r="O1566" s="6">
        <v>0</v>
      </c>
      <c r="P1566" s="6">
        <v>0</v>
      </c>
      <c r="Q1566" s="6">
        <v>0</v>
      </c>
      <c r="R1566" s="6">
        <v>0</v>
      </c>
      <c r="S1566" s="6">
        <v>125</v>
      </c>
    </row>
    <row r="1567" spans="1:19" ht="15" hidden="1" x14ac:dyDescent="0.25">
      <c r="A1567" s="7" t="s">
        <v>16</v>
      </c>
      <c r="B1567" s="7" t="s">
        <v>22</v>
      </c>
      <c r="C1567" s="7" t="s">
        <v>18</v>
      </c>
      <c r="D1567" s="4">
        <v>30638381000108</v>
      </c>
      <c r="E1567" s="8" t="s">
        <v>1059</v>
      </c>
      <c r="F1567" s="8" t="s">
        <v>1051</v>
      </c>
      <c r="G1567" s="8" t="s">
        <v>61</v>
      </c>
      <c r="H1567" s="8" t="s">
        <v>215</v>
      </c>
      <c r="I1567" s="3">
        <v>2</v>
      </c>
      <c r="J1567" s="8" t="s">
        <v>173</v>
      </c>
      <c r="K1567" s="8" t="s">
        <v>174</v>
      </c>
      <c r="L1567" s="8" t="s">
        <v>557</v>
      </c>
      <c r="M1567" s="1" t="s">
        <v>205</v>
      </c>
      <c r="N1567" s="8" t="s">
        <v>206</v>
      </c>
      <c r="O1567" s="6">
        <v>0</v>
      </c>
      <c r="P1567" s="6">
        <v>0</v>
      </c>
      <c r="Q1567" s="6">
        <v>0</v>
      </c>
      <c r="R1567" s="6">
        <v>0</v>
      </c>
      <c r="S1567" s="6">
        <v>125</v>
      </c>
    </row>
    <row r="1568" spans="1:19" ht="15" hidden="1" x14ac:dyDescent="0.25">
      <c r="A1568" s="7" t="s">
        <v>16</v>
      </c>
      <c r="B1568" s="7" t="s">
        <v>22</v>
      </c>
      <c r="C1568" s="7" t="s">
        <v>18</v>
      </c>
      <c r="D1568" s="4">
        <v>28806545000532</v>
      </c>
      <c r="E1568" s="8" t="s">
        <v>1050</v>
      </c>
      <c r="F1568" s="8" t="s">
        <v>1051</v>
      </c>
      <c r="G1568" s="8" t="s">
        <v>61</v>
      </c>
      <c r="H1568" s="8" t="s">
        <v>215</v>
      </c>
      <c r="I1568" s="3">
        <v>2</v>
      </c>
      <c r="J1568" s="8" t="s">
        <v>155</v>
      </c>
      <c r="K1568" s="8" t="s">
        <v>156</v>
      </c>
      <c r="L1568" s="8" t="s">
        <v>556</v>
      </c>
      <c r="M1568" s="1" t="s">
        <v>205</v>
      </c>
      <c r="N1568" s="8" t="s">
        <v>206</v>
      </c>
      <c r="O1568" s="6">
        <v>0</v>
      </c>
      <c r="P1568" s="6">
        <v>0</v>
      </c>
      <c r="Q1568" s="6">
        <v>0</v>
      </c>
      <c r="R1568" s="6">
        <v>96</v>
      </c>
      <c r="S1568" s="6">
        <v>0</v>
      </c>
    </row>
    <row r="1569" spans="1:19" ht="15" hidden="1" x14ac:dyDescent="0.25">
      <c r="A1569" s="7" t="s">
        <v>16</v>
      </c>
      <c r="B1569" s="7" t="s">
        <v>22</v>
      </c>
      <c r="C1569" s="7" t="s">
        <v>18</v>
      </c>
      <c r="D1569" s="4">
        <v>28806545000532</v>
      </c>
      <c r="E1569" s="8" t="s">
        <v>1050</v>
      </c>
      <c r="F1569" s="8" t="s">
        <v>1051</v>
      </c>
      <c r="G1569" s="8" t="s">
        <v>61</v>
      </c>
      <c r="H1569" s="8" t="s">
        <v>215</v>
      </c>
      <c r="I1569" s="3">
        <v>2</v>
      </c>
      <c r="J1569" s="8" t="s">
        <v>173</v>
      </c>
      <c r="K1569" s="8" t="s">
        <v>174</v>
      </c>
      <c r="L1569" s="8" t="s">
        <v>557</v>
      </c>
      <c r="M1569" s="1" t="s">
        <v>205</v>
      </c>
      <c r="N1569" s="8" t="s">
        <v>206</v>
      </c>
      <c r="O1569" s="6">
        <v>0</v>
      </c>
      <c r="P1569" s="6">
        <v>0</v>
      </c>
      <c r="Q1569" s="6">
        <v>0</v>
      </c>
      <c r="R1569" s="6">
        <v>0</v>
      </c>
      <c r="S1569" s="6">
        <v>0</v>
      </c>
    </row>
    <row r="1570" spans="1:19" ht="15" hidden="1" x14ac:dyDescent="0.25">
      <c r="A1570" s="7" t="s">
        <v>16</v>
      </c>
      <c r="B1570" s="7" t="s">
        <v>22</v>
      </c>
      <c r="C1570" s="7" t="s">
        <v>18</v>
      </c>
      <c r="D1570" s="4">
        <v>68709211000212</v>
      </c>
      <c r="E1570" s="8" t="s">
        <v>1066</v>
      </c>
      <c r="F1570" s="8" t="s">
        <v>92</v>
      </c>
      <c r="G1570" s="8" t="s">
        <v>61</v>
      </c>
      <c r="H1570" s="8" t="s">
        <v>215</v>
      </c>
      <c r="I1570" s="3">
        <v>2</v>
      </c>
      <c r="J1570" s="8" t="s">
        <v>155</v>
      </c>
      <c r="K1570" s="8" t="s">
        <v>156</v>
      </c>
      <c r="L1570" s="8" t="s">
        <v>556</v>
      </c>
      <c r="M1570" s="1" t="s">
        <v>205</v>
      </c>
      <c r="N1570" s="8" t="s">
        <v>206</v>
      </c>
      <c r="O1570" s="6">
        <v>0</v>
      </c>
      <c r="P1570" s="6">
        <v>0</v>
      </c>
      <c r="Q1570" s="6">
        <v>0</v>
      </c>
      <c r="R1570" s="6">
        <v>0</v>
      </c>
      <c r="S1570" s="6">
        <v>200</v>
      </c>
    </row>
    <row r="1571" spans="1:19" ht="15" hidden="1" x14ac:dyDescent="0.25">
      <c r="A1571" s="7" t="s">
        <v>16</v>
      </c>
      <c r="B1571" s="7" t="s">
        <v>22</v>
      </c>
      <c r="C1571" s="7" t="s">
        <v>18</v>
      </c>
      <c r="D1571" s="4">
        <v>68709211000212</v>
      </c>
      <c r="E1571" s="8" t="s">
        <v>1066</v>
      </c>
      <c r="F1571" s="8" t="s">
        <v>92</v>
      </c>
      <c r="G1571" s="8" t="s">
        <v>61</v>
      </c>
      <c r="H1571" s="8" t="s">
        <v>215</v>
      </c>
      <c r="I1571" s="3">
        <v>2</v>
      </c>
      <c r="J1571" s="8" t="s">
        <v>173</v>
      </c>
      <c r="K1571" s="8" t="s">
        <v>174</v>
      </c>
      <c r="L1571" s="8" t="s">
        <v>557</v>
      </c>
      <c r="M1571" s="1" t="s">
        <v>205</v>
      </c>
      <c r="N1571" s="8" t="s">
        <v>206</v>
      </c>
      <c r="O1571" s="6">
        <v>0</v>
      </c>
      <c r="P1571" s="6">
        <v>0</v>
      </c>
      <c r="Q1571" s="6">
        <v>0</v>
      </c>
      <c r="R1571" s="6">
        <v>0</v>
      </c>
      <c r="S1571" s="6">
        <v>200</v>
      </c>
    </row>
    <row r="1572" spans="1:19" ht="15" hidden="1" x14ac:dyDescent="0.25">
      <c r="A1572" s="7" t="s">
        <v>16</v>
      </c>
      <c r="B1572" s="7" t="s">
        <v>22</v>
      </c>
      <c r="C1572" s="7" t="s">
        <v>18</v>
      </c>
      <c r="D1572" s="4">
        <v>29072642000188</v>
      </c>
      <c r="E1572" s="8" t="s">
        <v>1052</v>
      </c>
      <c r="F1572" s="8" t="s">
        <v>92</v>
      </c>
      <c r="G1572" s="8" t="s">
        <v>61</v>
      </c>
      <c r="H1572" s="8" t="s">
        <v>215</v>
      </c>
      <c r="I1572" s="3">
        <v>2</v>
      </c>
      <c r="J1572" s="8" t="s">
        <v>155</v>
      </c>
      <c r="K1572" s="8" t="s">
        <v>156</v>
      </c>
      <c r="L1572" s="8" t="s">
        <v>556</v>
      </c>
      <c r="M1572" s="1" t="s">
        <v>205</v>
      </c>
      <c r="N1572" s="8" t="s">
        <v>206</v>
      </c>
      <c r="O1572" s="6">
        <v>0</v>
      </c>
      <c r="P1572" s="6">
        <v>0</v>
      </c>
      <c r="Q1572" s="6">
        <v>0</v>
      </c>
      <c r="R1572" s="6">
        <v>0</v>
      </c>
      <c r="S1572" s="6">
        <v>0</v>
      </c>
    </row>
    <row r="1573" spans="1:19" ht="15" hidden="1" x14ac:dyDescent="0.25">
      <c r="A1573" s="7" t="s">
        <v>16</v>
      </c>
      <c r="B1573" s="7" t="s">
        <v>22</v>
      </c>
      <c r="C1573" s="7" t="s">
        <v>18</v>
      </c>
      <c r="D1573" s="4">
        <v>29072642000188</v>
      </c>
      <c r="E1573" s="8" t="s">
        <v>1052</v>
      </c>
      <c r="F1573" s="8" t="s">
        <v>92</v>
      </c>
      <c r="G1573" s="8" t="s">
        <v>61</v>
      </c>
      <c r="H1573" s="8" t="s">
        <v>215</v>
      </c>
      <c r="I1573" s="3">
        <v>2</v>
      </c>
      <c r="J1573" s="8" t="s">
        <v>173</v>
      </c>
      <c r="K1573" s="8" t="s">
        <v>174</v>
      </c>
      <c r="L1573" s="8" t="s">
        <v>557</v>
      </c>
      <c r="M1573" s="1" t="s">
        <v>205</v>
      </c>
      <c r="N1573" s="8" t="s">
        <v>206</v>
      </c>
      <c r="O1573" s="6">
        <v>0</v>
      </c>
      <c r="P1573" s="6">
        <v>10</v>
      </c>
      <c r="Q1573" s="6">
        <v>0</v>
      </c>
      <c r="R1573" s="6">
        <v>0</v>
      </c>
      <c r="S1573" s="6">
        <v>0</v>
      </c>
    </row>
    <row r="1574" spans="1:19" ht="15" hidden="1" x14ac:dyDescent="0.25">
      <c r="A1574" s="7" t="s">
        <v>16</v>
      </c>
      <c r="B1574" s="7" t="s">
        <v>22</v>
      </c>
      <c r="C1574" s="7" t="s">
        <v>18</v>
      </c>
      <c r="D1574" s="4">
        <v>21109731000140</v>
      </c>
      <c r="E1574" s="8" t="s">
        <v>1093</v>
      </c>
      <c r="F1574" s="8" t="s">
        <v>131</v>
      </c>
      <c r="G1574" s="8" t="s">
        <v>61</v>
      </c>
      <c r="H1574" s="8" t="s">
        <v>215</v>
      </c>
      <c r="I1574" s="3">
        <v>2</v>
      </c>
      <c r="J1574" s="8" t="s">
        <v>155</v>
      </c>
      <c r="K1574" s="8" t="s">
        <v>156</v>
      </c>
      <c r="L1574" s="8" t="s">
        <v>556</v>
      </c>
      <c r="M1574" s="1" t="s">
        <v>205</v>
      </c>
      <c r="N1574" s="8" t="s">
        <v>206</v>
      </c>
      <c r="O1574" s="6">
        <v>0</v>
      </c>
      <c r="P1574" s="6">
        <v>0</v>
      </c>
      <c r="Q1574" s="6">
        <v>0</v>
      </c>
      <c r="R1574" s="6">
        <v>112</v>
      </c>
      <c r="S1574" s="6">
        <v>0</v>
      </c>
    </row>
    <row r="1575" spans="1:19" ht="15" hidden="1" x14ac:dyDescent="0.25">
      <c r="A1575" s="7" t="s">
        <v>16</v>
      </c>
      <c r="B1575" s="7" t="s">
        <v>22</v>
      </c>
      <c r="C1575" s="7" t="s">
        <v>18</v>
      </c>
      <c r="D1575" s="4">
        <v>21109731000140</v>
      </c>
      <c r="E1575" s="8" t="s">
        <v>1093</v>
      </c>
      <c r="F1575" s="8" t="s">
        <v>131</v>
      </c>
      <c r="G1575" s="8" t="s">
        <v>61</v>
      </c>
      <c r="H1575" s="8" t="s">
        <v>215</v>
      </c>
      <c r="I1575" s="3">
        <v>2</v>
      </c>
      <c r="J1575" s="8" t="s">
        <v>181</v>
      </c>
      <c r="K1575" s="8" t="s">
        <v>182</v>
      </c>
      <c r="L1575" s="8" t="s">
        <v>557</v>
      </c>
      <c r="M1575" s="1" t="s">
        <v>205</v>
      </c>
      <c r="N1575" s="8" t="s">
        <v>206</v>
      </c>
      <c r="O1575" s="6">
        <v>0</v>
      </c>
      <c r="P1575" s="6">
        <v>0</v>
      </c>
      <c r="Q1575" s="6">
        <v>0</v>
      </c>
      <c r="R1575" s="6">
        <v>0</v>
      </c>
      <c r="S1575" s="6">
        <v>0</v>
      </c>
    </row>
    <row r="1576" spans="1:19" ht="15" hidden="1" x14ac:dyDescent="0.25">
      <c r="A1576" s="7" t="s">
        <v>16</v>
      </c>
      <c r="B1576" s="7" t="s">
        <v>22</v>
      </c>
      <c r="C1576" s="7" t="s">
        <v>18</v>
      </c>
      <c r="D1576" s="4">
        <v>60922168000348</v>
      </c>
      <c r="E1576" s="8" t="s">
        <v>1125</v>
      </c>
      <c r="F1576" s="8" t="s">
        <v>131</v>
      </c>
      <c r="G1576" s="8" t="s">
        <v>61</v>
      </c>
      <c r="H1576" s="8" t="s">
        <v>215</v>
      </c>
      <c r="I1576" s="3">
        <v>2</v>
      </c>
      <c r="J1576" s="8" t="s">
        <v>155</v>
      </c>
      <c r="K1576" s="8" t="s">
        <v>156</v>
      </c>
      <c r="L1576" s="8" t="s">
        <v>556</v>
      </c>
      <c r="M1576" s="1" t="s">
        <v>205</v>
      </c>
      <c r="N1576" s="8" t="s">
        <v>206</v>
      </c>
      <c r="O1576" s="6">
        <v>0</v>
      </c>
      <c r="P1576" s="6">
        <v>0</v>
      </c>
      <c r="Q1576" s="6">
        <v>0</v>
      </c>
      <c r="R1576" s="6">
        <v>0</v>
      </c>
      <c r="S1576" s="6">
        <v>130</v>
      </c>
    </row>
    <row r="1577" spans="1:19" ht="15" hidden="1" x14ac:dyDescent="0.25">
      <c r="A1577" s="7" t="s">
        <v>16</v>
      </c>
      <c r="B1577" s="7" t="s">
        <v>22</v>
      </c>
      <c r="C1577" s="7" t="s">
        <v>18</v>
      </c>
      <c r="D1577" s="4">
        <v>60922168000348</v>
      </c>
      <c r="E1577" s="8" t="s">
        <v>1125</v>
      </c>
      <c r="F1577" s="8" t="s">
        <v>131</v>
      </c>
      <c r="G1577" s="8" t="s">
        <v>61</v>
      </c>
      <c r="H1577" s="8" t="s">
        <v>215</v>
      </c>
      <c r="I1577" s="3">
        <v>2</v>
      </c>
      <c r="J1577" s="8" t="s">
        <v>181</v>
      </c>
      <c r="K1577" s="8" t="s">
        <v>182</v>
      </c>
      <c r="L1577" s="8" t="s">
        <v>557</v>
      </c>
      <c r="M1577" s="1" t="s">
        <v>205</v>
      </c>
      <c r="N1577" s="8" t="s">
        <v>206</v>
      </c>
      <c r="O1577" s="6">
        <v>0</v>
      </c>
      <c r="P1577" s="6">
        <v>3</v>
      </c>
      <c r="Q1577" s="6">
        <v>6</v>
      </c>
      <c r="R1577" s="6">
        <v>0</v>
      </c>
      <c r="S1577" s="6">
        <v>130</v>
      </c>
    </row>
    <row r="1578" spans="1:19" ht="15" hidden="1" x14ac:dyDescent="0.25">
      <c r="A1578" s="7" t="s">
        <v>16</v>
      </c>
      <c r="B1578" s="7" t="s">
        <v>22</v>
      </c>
      <c r="C1578" s="7" t="s">
        <v>18</v>
      </c>
      <c r="D1578" s="4">
        <v>7794623004896</v>
      </c>
      <c r="E1578" s="8" t="s">
        <v>1084</v>
      </c>
      <c r="F1578" s="8" t="s">
        <v>131</v>
      </c>
      <c r="G1578" s="8" t="s">
        <v>61</v>
      </c>
      <c r="H1578" s="8" t="s">
        <v>215</v>
      </c>
      <c r="I1578" s="3">
        <v>2</v>
      </c>
      <c r="J1578" s="8" t="s">
        <v>155</v>
      </c>
      <c r="K1578" s="8" t="s">
        <v>156</v>
      </c>
      <c r="L1578" s="8" t="s">
        <v>556</v>
      </c>
      <c r="M1578" s="1" t="s">
        <v>205</v>
      </c>
      <c r="N1578" s="8" t="s">
        <v>206</v>
      </c>
      <c r="O1578" s="6">
        <v>0</v>
      </c>
      <c r="P1578" s="6">
        <v>0</v>
      </c>
      <c r="Q1578" s="6">
        <v>0</v>
      </c>
      <c r="R1578" s="6">
        <v>0</v>
      </c>
      <c r="S1578" s="6">
        <v>1750</v>
      </c>
    </row>
    <row r="1579" spans="1:19" ht="15" hidden="1" x14ac:dyDescent="0.25">
      <c r="A1579" s="7" t="s">
        <v>16</v>
      </c>
      <c r="B1579" s="7" t="s">
        <v>22</v>
      </c>
      <c r="C1579" s="7" t="s">
        <v>18</v>
      </c>
      <c r="D1579" s="4">
        <v>7794623004896</v>
      </c>
      <c r="E1579" s="8" t="s">
        <v>1084</v>
      </c>
      <c r="F1579" s="8" t="s">
        <v>131</v>
      </c>
      <c r="G1579" s="8" t="s">
        <v>61</v>
      </c>
      <c r="H1579" s="8" t="s">
        <v>215</v>
      </c>
      <c r="I1579" s="3">
        <v>2</v>
      </c>
      <c r="J1579" s="8" t="s">
        <v>181</v>
      </c>
      <c r="K1579" s="8" t="s">
        <v>182</v>
      </c>
      <c r="L1579" s="8" t="s">
        <v>557</v>
      </c>
      <c r="M1579" s="1" t="s">
        <v>205</v>
      </c>
      <c r="N1579" s="8" t="s">
        <v>206</v>
      </c>
      <c r="O1579" s="6">
        <v>0</v>
      </c>
      <c r="P1579" s="6">
        <v>0</v>
      </c>
      <c r="Q1579" s="6">
        <v>0</v>
      </c>
      <c r="R1579" s="6">
        <v>0</v>
      </c>
      <c r="S1579" s="6">
        <v>1750</v>
      </c>
    </row>
    <row r="1580" spans="1:19" ht="15" hidden="1" x14ac:dyDescent="0.25">
      <c r="A1580" s="7" t="s">
        <v>16</v>
      </c>
      <c r="B1580" s="7" t="s">
        <v>22</v>
      </c>
      <c r="C1580" s="7" t="s">
        <v>18</v>
      </c>
      <c r="D1580" s="4">
        <v>2864097000106</v>
      </c>
      <c r="E1580" s="8" t="s">
        <v>1078</v>
      </c>
      <c r="F1580" s="8" t="s">
        <v>131</v>
      </c>
      <c r="G1580" s="8" t="s">
        <v>61</v>
      </c>
      <c r="H1580" s="8" t="s">
        <v>215</v>
      </c>
      <c r="I1580" s="3">
        <v>2</v>
      </c>
      <c r="J1580" s="8" t="s">
        <v>155</v>
      </c>
      <c r="K1580" s="8" t="s">
        <v>156</v>
      </c>
      <c r="L1580" s="8" t="s">
        <v>556</v>
      </c>
      <c r="M1580" s="1" t="s">
        <v>205</v>
      </c>
      <c r="N1580" s="8" t="s">
        <v>206</v>
      </c>
      <c r="O1580" s="6">
        <v>0</v>
      </c>
      <c r="P1580" s="6">
        <v>0</v>
      </c>
      <c r="Q1580" s="6">
        <v>0</v>
      </c>
      <c r="R1580" s="6">
        <v>0</v>
      </c>
      <c r="S1580" s="6">
        <v>40</v>
      </c>
    </row>
    <row r="1581" spans="1:19" ht="15" hidden="1" x14ac:dyDescent="0.25">
      <c r="A1581" s="7" t="s">
        <v>16</v>
      </c>
      <c r="B1581" s="7" t="s">
        <v>22</v>
      </c>
      <c r="C1581" s="7" t="s">
        <v>18</v>
      </c>
      <c r="D1581" s="4">
        <v>2864097000106</v>
      </c>
      <c r="E1581" s="8" t="s">
        <v>1078</v>
      </c>
      <c r="F1581" s="8" t="s">
        <v>131</v>
      </c>
      <c r="G1581" s="8" t="s">
        <v>61</v>
      </c>
      <c r="H1581" s="8" t="s">
        <v>215</v>
      </c>
      <c r="I1581" s="3">
        <v>2</v>
      </c>
      <c r="J1581" s="8" t="s">
        <v>181</v>
      </c>
      <c r="K1581" s="8" t="s">
        <v>182</v>
      </c>
      <c r="L1581" s="8" t="s">
        <v>557</v>
      </c>
      <c r="M1581" s="1" t="s">
        <v>205</v>
      </c>
      <c r="N1581" s="8" t="s">
        <v>206</v>
      </c>
      <c r="O1581" s="6">
        <v>0</v>
      </c>
      <c r="P1581" s="6">
        <v>0</v>
      </c>
      <c r="Q1581" s="6">
        <v>0</v>
      </c>
      <c r="R1581" s="6">
        <v>0</v>
      </c>
      <c r="S1581" s="6">
        <v>40</v>
      </c>
    </row>
    <row r="1582" spans="1:19" ht="15" hidden="1" x14ac:dyDescent="0.25">
      <c r="A1582" s="7" t="s">
        <v>16</v>
      </c>
      <c r="B1582" s="7" t="s">
        <v>22</v>
      </c>
      <c r="C1582" s="7" t="s">
        <v>18</v>
      </c>
      <c r="D1582" s="4">
        <v>39086160000130</v>
      </c>
      <c r="E1582" s="8" t="s">
        <v>1119</v>
      </c>
      <c r="F1582" s="8" t="s">
        <v>131</v>
      </c>
      <c r="G1582" s="8" t="s">
        <v>61</v>
      </c>
      <c r="H1582" s="8" t="s">
        <v>215</v>
      </c>
      <c r="I1582" s="3">
        <v>2</v>
      </c>
      <c r="J1582" s="8" t="s">
        <v>155</v>
      </c>
      <c r="K1582" s="8" t="s">
        <v>156</v>
      </c>
      <c r="L1582" s="8" t="s">
        <v>556</v>
      </c>
      <c r="M1582" s="1" t="s">
        <v>205</v>
      </c>
      <c r="N1582" s="8" t="s">
        <v>206</v>
      </c>
      <c r="O1582" s="6">
        <v>0</v>
      </c>
      <c r="P1582" s="6">
        <v>0</v>
      </c>
      <c r="Q1582" s="6">
        <v>0</v>
      </c>
      <c r="R1582" s="6">
        <v>88</v>
      </c>
      <c r="S1582" s="6">
        <v>180</v>
      </c>
    </row>
    <row r="1583" spans="1:19" ht="15" hidden="1" x14ac:dyDescent="0.25">
      <c r="A1583" s="7" t="s">
        <v>16</v>
      </c>
      <c r="B1583" s="7" t="s">
        <v>22</v>
      </c>
      <c r="C1583" s="7" t="s">
        <v>18</v>
      </c>
      <c r="D1583" s="4">
        <v>39086160000130</v>
      </c>
      <c r="E1583" s="8" t="s">
        <v>1119</v>
      </c>
      <c r="F1583" s="8" t="s">
        <v>131</v>
      </c>
      <c r="G1583" s="8" t="s">
        <v>61</v>
      </c>
      <c r="H1583" s="8" t="s">
        <v>215</v>
      </c>
      <c r="I1583" s="3">
        <v>2</v>
      </c>
      <c r="J1583" s="8" t="s">
        <v>181</v>
      </c>
      <c r="K1583" s="8" t="s">
        <v>182</v>
      </c>
      <c r="L1583" s="8" t="s">
        <v>557</v>
      </c>
      <c r="M1583" s="1" t="s">
        <v>205</v>
      </c>
      <c r="N1583" s="8" t="s">
        <v>206</v>
      </c>
      <c r="O1583" s="6">
        <v>0</v>
      </c>
      <c r="P1583" s="6">
        <v>0</v>
      </c>
      <c r="Q1583" s="6">
        <v>0</v>
      </c>
      <c r="R1583" s="6">
        <v>0</v>
      </c>
      <c r="S1583" s="6">
        <v>180</v>
      </c>
    </row>
    <row r="1584" spans="1:19" ht="15" hidden="1" x14ac:dyDescent="0.25">
      <c r="A1584" s="7" t="s">
        <v>16</v>
      </c>
      <c r="B1584" s="7" t="s">
        <v>22</v>
      </c>
      <c r="C1584" s="7" t="s">
        <v>18</v>
      </c>
      <c r="D1584" s="4">
        <v>40226946000276</v>
      </c>
      <c r="E1584" s="8" t="s">
        <v>1120</v>
      </c>
      <c r="F1584" s="8" t="s">
        <v>131</v>
      </c>
      <c r="G1584" s="8" t="s">
        <v>61</v>
      </c>
      <c r="H1584" s="8" t="s">
        <v>215</v>
      </c>
      <c r="I1584" s="3">
        <v>2</v>
      </c>
      <c r="J1584" s="8" t="s">
        <v>155</v>
      </c>
      <c r="K1584" s="8" t="s">
        <v>156</v>
      </c>
      <c r="L1584" s="8" t="s">
        <v>556</v>
      </c>
      <c r="M1584" s="1" t="s">
        <v>205</v>
      </c>
      <c r="N1584" s="8" t="s">
        <v>206</v>
      </c>
      <c r="O1584" s="6">
        <v>0</v>
      </c>
      <c r="P1584" s="6">
        <v>0</v>
      </c>
      <c r="Q1584" s="6">
        <v>0</v>
      </c>
      <c r="R1584" s="6">
        <v>0</v>
      </c>
      <c r="S1584" s="6">
        <v>0</v>
      </c>
    </row>
    <row r="1585" spans="1:19" ht="15" hidden="1" x14ac:dyDescent="0.25">
      <c r="A1585" s="7" t="s">
        <v>16</v>
      </c>
      <c r="B1585" s="7" t="s">
        <v>22</v>
      </c>
      <c r="C1585" s="7" t="s">
        <v>18</v>
      </c>
      <c r="D1585" s="4">
        <v>40226946000276</v>
      </c>
      <c r="E1585" s="8" t="s">
        <v>1120</v>
      </c>
      <c r="F1585" s="8" t="s">
        <v>131</v>
      </c>
      <c r="G1585" s="8" t="s">
        <v>61</v>
      </c>
      <c r="H1585" s="8" t="s">
        <v>215</v>
      </c>
      <c r="I1585" s="3">
        <v>2</v>
      </c>
      <c r="J1585" s="8" t="s">
        <v>181</v>
      </c>
      <c r="K1585" s="8" t="s">
        <v>182</v>
      </c>
      <c r="L1585" s="8" t="s">
        <v>557</v>
      </c>
      <c r="M1585" s="1" t="s">
        <v>205</v>
      </c>
      <c r="N1585" s="8" t="s">
        <v>206</v>
      </c>
      <c r="O1585" s="6">
        <v>0</v>
      </c>
      <c r="P1585" s="6">
        <v>2</v>
      </c>
      <c r="Q1585" s="6">
        <v>0</v>
      </c>
      <c r="R1585" s="6">
        <v>0</v>
      </c>
      <c r="S1585" s="6">
        <v>0</v>
      </c>
    </row>
    <row r="1586" spans="1:19" ht="15" hidden="1" x14ac:dyDescent="0.25">
      <c r="A1586" s="7" t="s">
        <v>16</v>
      </c>
      <c r="B1586" s="7" t="s">
        <v>22</v>
      </c>
      <c r="C1586" s="7" t="s">
        <v>18</v>
      </c>
      <c r="D1586" s="4">
        <v>21265360000195</v>
      </c>
      <c r="E1586" s="8" t="s">
        <v>1094</v>
      </c>
      <c r="F1586" s="8" t="s">
        <v>131</v>
      </c>
      <c r="G1586" s="8" t="s">
        <v>61</v>
      </c>
      <c r="H1586" s="8" t="s">
        <v>215</v>
      </c>
      <c r="I1586" s="3">
        <v>2</v>
      </c>
      <c r="J1586" s="8" t="s">
        <v>155</v>
      </c>
      <c r="K1586" s="8" t="s">
        <v>156</v>
      </c>
      <c r="L1586" s="8" t="s">
        <v>556</v>
      </c>
      <c r="M1586" s="1" t="s">
        <v>205</v>
      </c>
      <c r="N1586" s="8" t="s">
        <v>206</v>
      </c>
      <c r="O1586" s="6">
        <v>0</v>
      </c>
      <c r="P1586" s="6">
        <v>0</v>
      </c>
      <c r="Q1586" s="6">
        <v>0</v>
      </c>
      <c r="R1586" s="6">
        <v>16</v>
      </c>
      <c r="S1586" s="6">
        <v>0</v>
      </c>
    </row>
    <row r="1587" spans="1:19" ht="15" hidden="1" x14ac:dyDescent="0.25">
      <c r="A1587" s="7" t="s">
        <v>16</v>
      </c>
      <c r="B1587" s="7" t="s">
        <v>22</v>
      </c>
      <c r="C1587" s="7" t="s">
        <v>18</v>
      </c>
      <c r="D1587" s="4">
        <v>21265360000195</v>
      </c>
      <c r="E1587" s="8" t="s">
        <v>1094</v>
      </c>
      <c r="F1587" s="8" t="s">
        <v>131</v>
      </c>
      <c r="G1587" s="8" t="s">
        <v>61</v>
      </c>
      <c r="H1587" s="8" t="s">
        <v>215</v>
      </c>
      <c r="I1587" s="3">
        <v>2</v>
      </c>
      <c r="J1587" s="8" t="s">
        <v>173</v>
      </c>
      <c r="K1587" s="8" t="s">
        <v>174</v>
      </c>
      <c r="L1587" s="8" t="s">
        <v>557</v>
      </c>
      <c r="M1587" s="1" t="s">
        <v>205</v>
      </c>
      <c r="N1587" s="8" t="s">
        <v>206</v>
      </c>
      <c r="O1587" s="6">
        <v>0</v>
      </c>
      <c r="P1587" s="6">
        <v>0</v>
      </c>
      <c r="Q1587" s="6">
        <v>0</v>
      </c>
      <c r="R1587" s="6">
        <v>0</v>
      </c>
      <c r="S1587" s="6">
        <v>0</v>
      </c>
    </row>
    <row r="1588" spans="1:19" ht="15" hidden="1" x14ac:dyDescent="0.25">
      <c r="A1588" s="7" t="s">
        <v>16</v>
      </c>
      <c r="B1588" s="7" t="s">
        <v>22</v>
      </c>
      <c r="C1588" s="7" t="s">
        <v>18</v>
      </c>
      <c r="D1588" s="4">
        <v>31635857000292</v>
      </c>
      <c r="E1588" s="8" t="s">
        <v>1107</v>
      </c>
      <c r="F1588" s="8" t="s">
        <v>131</v>
      </c>
      <c r="G1588" s="8" t="s">
        <v>61</v>
      </c>
      <c r="H1588" s="8" t="s">
        <v>215</v>
      </c>
      <c r="I1588" s="3">
        <v>2</v>
      </c>
      <c r="J1588" s="8" t="s">
        <v>155</v>
      </c>
      <c r="K1588" s="8" t="s">
        <v>156</v>
      </c>
      <c r="L1588" s="8" t="s">
        <v>556</v>
      </c>
      <c r="M1588" s="1" t="s">
        <v>205</v>
      </c>
      <c r="N1588" s="8" t="s">
        <v>206</v>
      </c>
      <c r="O1588" s="6">
        <v>0</v>
      </c>
      <c r="P1588" s="6">
        <v>0</v>
      </c>
      <c r="Q1588" s="6">
        <v>0</v>
      </c>
      <c r="R1588" s="6">
        <v>16</v>
      </c>
      <c r="S1588" s="6">
        <v>0</v>
      </c>
    </row>
    <row r="1589" spans="1:19" ht="15" hidden="1" x14ac:dyDescent="0.25">
      <c r="A1589" s="7" t="s">
        <v>16</v>
      </c>
      <c r="B1589" s="7" t="s">
        <v>22</v>
      </c>
      <c r="C1589" s="7" t="s">
        <v>18</v>
      </c>
      <c r="D1589" s="4">
        <v>31635857000292</v>
      </c>
      <c r="E1589" s="8" t="s">
        <v>1107</v>
      </c>
      <c r="F1589" s="8" t="s">
        <v>131</v>
      </c>
      <c r="G1589" s="8" t="s">
        <v>61</v>
      </c>
      <c r="H1589" s="8" t="s">
        <v>215</v>
      </c>
      <c r="I1589" s="3">
        <v>2</v>
      </c>
      <c r="J1589" s="8" t="s">
        <v>181</v>
      </c>
      <c r="K1589" s="8" t="s">
        <v>182</v>
      </c>
      <c r="L1589" s="8" t="s">
        <v>557</v>
      </c>
      <c r="M1589" s="1" t="s">
        <v>205</v>
      </c>
      <c r="N1589" s="8" t="s">
        <v>206</v>
      </c>
      <c r="O1589" s="6">
        <v>0</v>
      </c>
      <c r="P1589" s="6">
        <v>0</v>
      </c>
      <c r="Q1589" s="6">
        <v>0</v>
      </c>
      <c r="R1589" s="6">
        <v>0</v>
      </c>
      <c r="S1589" s="6">
        <v>0</v>
      </c>
    </row>
    <row r="1590" spans="1:19" ht="15" hidden="1" x14ac:dyDescent="0.25">
      <c r="A1590" s="7" t="s">
        <v>16</v>
      </c>
      <c r="B1590" s="7" t="s">
        <v>22</v>
      </c>
      <c r="C1590" s="7" t="s">
        <v>18</v>
      </c>
      <c r="D1590" s="4">
        <v>73696718000219</v>
      </c>
      <c r="E1590" s="8" t="s">
        <v>1127</v>
      </c>
      <c r="F1590" s="8" t="s">
        <v>131</v>
      </c>
      <c r="G1590" s="8" t="s">
        <v>61</v>
      </c>
      <c r="H1590" s="8" t="s">
        <v>215</v>
      </c>
      <c r="I1590" s="3">
        <v>2</v>
      </c>
      <c r="J1590" s="8" t="s">
        <v>155</v>
      </c>
      <c r="K1590" s="8" t="s">
        <v>156</v>
      </c>
      <c r="L1590" s="8" t="s">
        <v>556</v>
      </c>
      <c r="M1590" s="1" t="s">
        <v>205</v>
      </c>
      <c r="N1590" s="8" t="s">
        <v>206</v>
      </c>
      <c r="O1590" s="6">
        <v>0</v>
      </c>
      <c r="P1590" s="6">
        <v>0</v>
      </c>
      <c r="Q1590" s="6">
        <v>0</v>
      </c>
      <c r="R1590" s="6">
        <v>0</v>
      </c>
      <c r="S1590" s="6">
        <v>0</v>
      </c>
    </row>
    <row r="1591" spans="1:19" ht="15" hidden="1" x14ac:dyDescent="0.25">
      <c r="A1591" s="7" t="s">
        <v>16</v>
      </c>
      <c r="B1591" s="7" t="s">
        <v>22</v>
      </c>
      <c r="C1591" s="7" t="s">
        <v>18</v>
      </c>
      <c r="D1591" s="4">
        <v>73696718000219</v>
      </c>
      <c r="E1591" s="8" t="s">
        <v>1127</v>
      </c>
      <c r="F1591" s="8" t="s">
        <v>131</v>
      </c>
      <c r="G1591" s="8" t="s">
        <v>61</v>
      </c>
      <c r="H1591" s="8" t="s">
        <v>215</v>
      </c>
      <c r="I1591" s="3">
        <v>2</v>
      </c>
      <c r="J1591" s="8" t="s">
        <v>173</v>
      </c>
      <c r="K1591" s="8" t="s">
        <v>174</v>
      </c>
      <c r="L1591" s="8" t="s">
        <v>557</v>
      </c>
      <c r="M1591" s="1" t="s">
        <v>205</v>
      </c>
      <c r="N1591" s="8" t="s">
        <v>206</v>
      </c>
      <c r="O1591" s="6">
        <v>0</v>
      </c>
      <c r="P1591" s="6">
        <v>0</v>
      </c>
      <c r="Q1591" s="6">
        <v>7</v>
      </c>
      <c r="R1591" s="6">
        <v>0</v>
      </c>
      <c r="S1591" s="6">
        <v>0</v>
      </c>
    </row>
    <row r="1592" spans="1:19" ht="15" hidden="1" x14ac:dyDescent="0.25">
      <c r="A1592" s="7" t="s">
        <v>16</v>
      </c>
      <c r="B1592" s="7" t="s">
        <v>22</v>
      </c>
      <c r="C1592" s="7" t="s">
        <v>18</v>
      </c>
      <c r="D1592" s="4">
        <v>2284062000521</v>
      </c>
      <c r="E1592" s="8" t="s">
        <v>1077</v>
      </c>
      <c r="F1592" s="8" t="s">
        <v>131</v>
      </c>
      <c r="G1592" s="8" t="s">
        <v>61</v>
      </c>
      <c r="H1592" s="8" t="s">
        <v>215</v>
      </c>
      <c r="I1592" s="3">
        <v>2</v>
      </c>
      <c r="J1592" s="8" t="s">
        <v>155</v>
      </c>
      <c r="K1592" s="8" t="s">
        <v>156</v>
      </c>
      <c r="L1592" s="8" t="s">
        <v>556</v>
      </c>
      <c r="M1592" s="1" t="s">
        <v>205</v>
      </c>
      <c r="N1592" s="8" t="s">
        <v>206</v>
      </c>
      <c r="O1592" s="6">
        <v>0</v>
      </c>
      <c r="P1592" s="6">
        <v>0</v>
      </c>
      <c r="Q1592" s="6">
        <v>0</v>
      </c>
      <c r="R1592" s="6">
        <v>0</v>
      </c>
      <c r="S1592" s="6">
        <v>0</v>
      </c>
    </row>
    <row r="1593" spans="1:19" ht="15" hidden="1" x14ac:dyDescent="0.25">
      <c r="A1593" s="7" t="s">
        <v>16</v>
      </c>
      <c r="B1593" s="7" t="s">
        <v>22</v>
      </c>
      <c r="C1593" s="7" t="s">
        <v>18</v>
      </c>
      <c r="D1593" s="4">
        <v>2284062000521</v>
      </c>
      <c r="E1593" s="8" t="s">
        <v>1077</v>
      </c>
      <c r="F1593" s="8" t="s">
        <v>131</v>
      </c>
      <c r="G1593" s="8" t="s">
        <v>61</v>
      </c>
      <c r="H1593" s="8" t="s">
        <v>215</v>
      </c>
      <c r="I1593" s="3">
        <v>2</v>
      </c>
      <c r="J1593" s="8" t="s">
        <v>173</v>
      </c>
      <c r="K1593" s="8" t="s">
        <v>174</v>
      </c>
      <c r="L1593" s="8" t="s">
        <v>557</v>
      </c>
      <c r="M1593" s="1" t="s">
        <v>205</v>
      </c>
      <c r="N1593" s="8" t="s">
        <v>206</v>
      </c>
      <c r="O1593" s="6">
        <v>0</v>
      </c>
      <c r="P1593" s="6">
        <v>13</v>
      </c>
      <c r="Q1593" s="6">
        <v>5</v>
      </c>
      <c r="R1593" s="6">
        <v>0</v>
      </c>
      <c r="S1593" s="6">
        <v>0</v>
      </c>
    </row>
    <row r="1594" spans="1:19" ht="15" hidden="1" x14ac:dyDescent="0.25">
      <c r="A1594" s="7" t="s">
        <v>16</v>
      </c>
      <c r="B1594" s="7" t="s">
        <v>22</v>
      </c>
      <c r="C1594" s="7" t="s">
        <v>18</v>
      </c>
      <c r="D1594" s="4">
        <v>24217779000160</v>
      </c>
      <c r="E1594" s="8" t="s">
        <v>1097</v>
      </c>
      <c r="F1594" s="8" t="s">
        <v>131</v>
      </c>
      <c r="G1594" s="8" t="s">
        <v>61</v>
      </c>
      <c r="H1594" s="8" t="s">
        <v>215</v>
      </c>
      <c r="I1594" s="3">
        <v>2</v>
      </c>
      <c r="J1594" s="8" t="s">
        <v>155</v>
      </c>
      <c r="K1594" s="8" t="s">
        <v>156</v>
      </c>
      <c r="L1594" s="8" t="s">
        <v>556</v>
      </c>
      <c r="M1594" s="1" t="s">
        <v>205</v>
      </c>
      <c r="N1594" s="8" t="s">
        <v>206</v>
      </c>
      <c r="O1594" s="6">
        <v>0</v>
      </c>
      <c r="P1594" s="6">
        <v>0</v>
      </c>
      <c r="Q1594" s="6">
        <v>0</v>
      </c>
      <c r="R1594" s="6">
        <v>0</v>
      </c>
      <c r="S1594" s="6">
        <v>0</v>
      </c>
    </row>
    <row r="1595" spans="1:19" ht="15" hidden="1" x14ac:dyDescent="0.25">
      <c r="A1595" s="7" t="s">
        <v>16</v>
      </c>
      <c r="B1595" s="7" t="s">
        <v>22</v>
      </c>
      <c r="C1595" s="7" t="s">
        <v>18</v>
      </c>
      <c r="D1595" s="4">
        <v>24217779000160</v>
      </c>
      <c r="E1595" s="8" t="s">
        <v>1097</v>
      </c>
      <c r="F1595" s="8" t="s">
        <v>131</v>
      </c>
      <c r="G1595" s="8" t="s">
        <v>61</v>
      </c>
      <c r="H1595" s="8" t="s">
        <v>215</v>
      </c>
      <c r="I1595" s="3">
        <v>2</v>
      </c>
      <c r="J1595" s="8" t="s">
        <v>173</v>
      </c>
      <c r="K1595" s="8" t="s">
        <v>174</v>
      </c>
      <c r="L1595" s="8" t="s">
        <v>557</v>
      </c>
      <c r="M1595" s="1" t="s">
        <v>205</v>
      </c>
      <c r="N1595" s="8" t="s">
        <v>206</v>
      </c>
      <c r="O1595" s="6">
        <v>0</v>
      </c>
      <c r="P1595" s="6">
        <v>29</v>
      </c>
      <c r="Q1595" s="6">
        <v>14</v>
      </c>
      <c r="R1595" s="6">
        <v>0</v>
      </c>
      <c r="S1595" s="6">
        <v>0</v>
      </c>
    </row>
    <row r="1596" spans="1:19" ht="15" hidden="1" x14ac:dyDescent="0.25">
      <c r="A1596" s="7" t="s">
        <v>16</v>
      </c>
      <c r="B1596" s="7" t="s">
        <v>22</v>
      </c>
      <c r="C1596" s="7" t="s">
        <v>18</v>
      </c>
      <c r="D1596" s="4">
        <v>6047087000996</v>
      </c>
      <c r="E1596" s="8" t="s">
        <v>1080</v>
      </c>
      <c r="F1596" s="8" t="s">
        <v>131</v>
      </c>
      <c r="G1596" s="8" t="s">
        <v>61</v>
      </c>
      <c r="H1596" s="8" t="s">
        <v>215</v>
      </c>
      <c r="I1596" s="3">
        <v>2</v>
      </c>
      <c r="J1596" s="8" t="s">
        <v>155</v>
      </c>
      <c r="K1596" s="8" t="s">
        <v>156</v>
      </c>
      <c r="L1596" s="8" t="s">
        <v>556</v>
      </c>
      <c r="M1596" s="1" t="s">
        <v>205</v>
      </c>
      <c r="N1596" s="8" t="s">
        <v>206</v>
      </c>
      <c r="O1596" s="6">
        <v>0</v>
      </c>
      <c r="P1596" s="6">
        <v>0</v>
      </c>
      <c r="Q1596" s="6">
        <v>0</v>
      </c>
      <c r="R1596" s="6">
        <v>0</v>
      </c>
      <c r="S1596" s="6">
        <v>225</v>
      </c>
    </row>
    <row r="1597" spans="1:19" ht="15" hidden="1" x14ac:dyDescent="0.25">
      <c r="A1597" s="7" t="s">
        <v>16</v>
      </c>
      <c r="B1597" s="7" t="s">
        <v>22</v>
      </c>
      <c r="C1597" s="7" t="s">
        <v>18</v>
      </c>
      <c r="D1597" s="4">
        <v>6047087000996</v>
      </c>
      <c r="E1597" s="8" t="s">
        <v>1080</v>
      </c>
      <c r="F1597" s="8" t="s">
        <v>131</v>
      </c>
      <c r="G1597" s="8" t="s">
        <v>61</v>
      </c>
      <c r="H1597" s="8" t="s">
        <v>215</v>
      </c>
      <c r="I1597" s="3">
        <v>2</v>
      </c>
      <c r="J1597" s="8" t="s">
        <v>181</v>
      </c>
      <c r="K1597" s="8" t="s">
        <v>182</v>
      </c>
      <c r="L1597" s="8" t="s">
        <v>557</v>
      </c>
      <c r="M1597" s="1" t="s">
        <v>205</v>
      </c>
      <c r="N1597" s="8" t="s">
        <v>206</v>
      </c>
      <c r="O1597" s="6">
        <v>0</v>
      </c>
      <c r="P1597" s="6">
        <v>0</v>
      </c>
      <c r="Q1597" s="6">
        <v>13</v>
      </c>
      <c r="R1597" s="6">
        <v>0</v>
      </c>
      <c r="S1597" s="6">
        <v>225</v>
      </c>
    </row>
    <row r="1598" spans="1:19" ht="15" hidden="1" x14ac:dyDescent="0.25">
      <c r="A1598" s="7" t="s">
        <v>16</v>
      </c>
      <c r="B1598" s="7" t="s">
        <v>22</v>
      </c>
      <c r="C1598" s="7" t="s">
        <v>18</v>
      </c>
      <c r="D1598" s="4">
        <v>6047087002697</v>
      </c>
      <c r="E1598" s="8" t="s">
        <v>1082</v>
      </c>
      <c r="F1598" s="8" t="s">
        <v>131</v>
      </c>
      <c r="G1598" s="8" t="s">
        <v>61</v>
      </c>
      <c r="H1598" s="8" t="s">
        <v>215</v>
      </c>
      <c r="I1598" s="3">
        <v>2</v>
      </c>
      <c r="J1598" s="8" t="s">
        <v>155</v>
      </c>
      <c r="K1598" s="8" t="s">
        <v>156</v>
      </c>
      <c r="L1598" s="8" t="s">
        <v>556</v>
      </c>
      <c r="M1598" s="1" t="s">
        <v>205</v>
      </c>
      <c r="N1598" s="8" t="s">
        <v>206</v>
      </c>
      <c r="O1598" s="6">
        <v>0</v>
      </c>
      <c r="P1598" s="6">
        <v>0</v>
      </c>
      <c r="Q1598" s="6">
        <v>0</v>
      </c>
      <c r="R1598" s="6">
        <v>0</v>
      </c>
      <c r="S1598" s="6">
        <v>0</v>
      </c>
    </row>
    <row r="1599" spans="1:19" ht="15" hidden="1" x14ac:dyDescent="0.25">
      <c r="A1599" s="7" t="s">
        <v>16</v>
      </c>
      <c r="B1599" s="7" t="s">
        <v>22</v>
      </c>
      <c r="C1599" s="7" t="s">
        <v>18</v>
      </c>
      <c r="D1599" s="4">
        <v>6047087002697</v>
      </c>
      <c r="E1599" s="8" t="s">
        <v>1082</v>
      </c>
      <c r="F1599" s="8" t="s">
        <v>131</v>
      </c>
      <c r="G1599" s="8" t="s">
        <v>61</v>
      </c>
      <c r="H1599" s="8" t="s">
        <v>215</v>
      </c>
      <c r="I1599" s="3">
        <v>2</v>
      </c>
      <c r="J1599" s="8" t="s">
        <v>181</v>
      </c>
      <c r="K1599" s="8" t="s">
        <v>182</v>
      </c>
      <c r="L1599" s="8" t="s">
        <v>557</v>
      </c>
      <c r="M1599" s="1" t="s">
        <v>205</v>
      </c>
      <c r="N1599" s="8" t="s">
        <v>206</v>
      </c>
      <c r="O1599" s="6">
        <v>0</v>
      </c>
      <c r="P1599" s="6">
        <v>22</v>
      </c>
      <c r="Q1599" s="6">
        <v>10</v>
      </c>
      <c r="R1599" s="6">
        <v>0</v>
      </c>
      <c r="S1599" s="6">
        <v>0</v>
      </c>
    </row>
    <row r="1600" spans="1:19" ht="15" hidden="1" x14ac:dyDescent="0.25">
      <c r="A1600" s="7" t="s">
        <v>16</v>
      </c>
      <c r="B1600" s="7" t="s">
        <v>22</v>
      </c>
      <c r="C1600" s="7" t="s">
        <v>18</v>
      </c>
      <c r="D1600" s="4">
        <v>394544020453</v>
      </c>
      <c r="E1600" s="8" t="s">
        <v>1074</v>
      </c>
      <c r="F1600" s="8" t="s">
        <v>131</v>
      </c>
      <c r="G1600" s="8" t="s">
        <v>61</v>
      </c>
      <c r="H1600" s="8" t="s">
        <v>215</v>
      </c>
      <c r="I1600" s="3">
        <v>2</v>
      </c>
      <c r="J1600" s="8" t="s">
        <v>155</v>
      </c>
      <c r="K1600" s="8" t="s">
        <v>156</v>
      </c>
      <c r="L1600" s="8" t="s">
        <v>556</v>
      </c>
      <c r="M1600" s="1" t="s">
        <v>205</v>
      </c>
      <c r="N1600" s="8" t="s">
        <v>206</v>
      </c>
      <c r="O1600" s="6">
        <v>0</v>
      </c>
      <c r="P1600" s="6">
        <v>0</v>
      </c>
      <c r="Q1600" s="6">
        <v>0</v>
      </c>
      <c r="R1600" s="6">
        <v>0</v>
      </c>
      <c r="S1600" s="6">
        <v>200</v>
      </c>
    </row>
    <row r="1601" spans="1:19" ht="15" hidden="1" x14ac:dyDescent="0.25">
      <c r="A1601" s="7" t="s">
        <v>16</v>
      </c>
      <c r="B1601" s="7" t="s">
        <v>22</v>
      </c>
      <c r="C1601" s="7" t="s">
        <v>18</v>
      </c>
      <c r="D1601" s="4">
        <v>394544020453</v>
      </c>
      <c r="E1601" s="8" t="s">
        <v>1074</v>
      </c>
      <c r="F1601" s="8" t="s">
        <v>131</v>
      </c>
      <c r="G1601" s="8" t="s">
        <v>61</v>
      </c>
      <c r="H1601" s="8" t="s">
        <v>215</v>
      </c>
      <c r="I1601" s="3">
        <v>2</v>
      </c>
      <c r="J1601" s="8" t="s">
        <v>181</v>
      </c>
      <c r="K1601" s="8" t="s">
        <v>182</v>
      </c>
      <c r="L1601" s="8" t="s">
        <v>557</v>
      </c>
      <c r="M1601" s="1" t="s">
        <v>205</v>
      </c>
      <c r="N1601" s="8" t="s">
        <v>206</v>
      </c>
      <c r="O1601" s="6">
        <v>0</v>
      </c>
      <c r="P1601" s="6">
        <v>0</v>
      </c>
      <c r="Q1601" s="6">
        <v>0</v>
      </c>
      <c r="R1601" s="6">
        <v>0</v>
      </c>
      <c r="S1601" s="6">
        <v>200</v>
      </c>
    </row>
    <row r="1602" spans="1:19" ht="15" hidden="1" x14ac:dyDescent="0.25">
      <c r="A1602" s="7" t="s">
        <v>16</v>
      </c>
      <c r="B1602" s="7" t="s">
        <v>22</v>
      </c>
      <c r="C1602" s="7" t="s">
        <v>18</v>
      </c>
      <c r="D1602" s="4">
        <v>27901222000131</v>
      </c>
      <c r="E1602" s="8" t="s">
        <v>1098</v>
      </c>
      <c r="F1602" s="8" t="s">
        <v>131</v>
      </c>
      <c r="G1602" s="8" t="s">
        <v>61</v>
      </c>
      <c r="H1602" s="8" t="s">
        <v>215</v>
      </c>
      <c r="I1602" s="3">
        <v>2</v>
      </c>
      <c r="J1602" s="8" t="s">
        <v>155</v>
      </c>
      <c r="K1602" s="8" t="s">
        <v>156</v>
      </c>
      <c r="L1602" s="8" t="s">
        <v>556</v>
      </c>
      <c r="M1602" s="1" t="s">
        <v>205</v>
      </c>
      <c r="N1602" s="8" t="s">
        <v>206</v>
      </c>
      <c r="O1602" s="6">
        <v>0</v>
      </c>
      <c r="P1602" s="6">
        <v>0</v>
      </c>
      <c r="Q1602" s="6">
        <v>0</v>
      </c>
      <c r="R1602" s="6">
        <v>0</v>
      </c>
      <c r="S1602" s="6">
        <v>0</v>
      </c>
    </row>
    <row r="1603" spans="1:19" ht="15" hidden="1" x14ac:dyDescent="0.25">
      <c r="A1603" s="7" t="s">
        <v>16</v>
      </c>
      <c r="B1603" s="7" t="s">
        <v>22</v>
      </c>
      <c r="C1603" s="7" t="s">
        <v>18</v>
      </c>
      <c r="D1603" s="4">
        <v>27901222000131</v>
      </c>
      <c r="E1603" s="8" t="s">
        <v>1098</v>
      </c>
      <c r="F1603" s="8" t="s">
        <v>131</v>
      </c>
      <c r="G1603" s="8" t="s">
        <v>61</v>
      </c>
      <c r="H1603" s="8" t="s">
        <v>215</v>
      </c>
      <c r="I1603" s="3">
        <v>2</v>
      </c>
      <c r="J1603" s="8" t="s">
        <v>181</v>
      </c>
      <c r="K1603" s="8" t="s">
        <v>182</v>
      </c>
      <c r="L1603" s="8" t="s">
        <v>557</v>
      </c>
      <c r="M1603" s="1" t="s">
        <v>205</v>
      </c>
      <c r="N1603" s="8" t="s">
        <v>206</v>
      </c>
      <c r="O1603" s="6">
        <v>0</v>
      </c>
      <c r="P1603" s="6">
        <v>0</v>
      </c>
      <c r="Q1603" s="6">
        <v>6</v>
      </c>
      <c r="R1603" s="6">
        <v>0</v>
      </c>
      <c r="S1603" s="6">
        <v>0</v>
      </c>
    </row>
    <row r="1604" spans="1:19" ht="15" hidden="1" x14ac:dyDescent="0.25">
      <c r="A1604" s="7" t="s">
        <v>16</v>
      </c>
      <c r="B1604" s="7" t="s">
        <v>22</v>
      </c>
      <c r="C1604" s="7" t="s">
        <v>18</v>
      </c>
      <c r="D1604" s="4">
        <v>394502014870</v>
      </c>
      <c r="E1604" s="8" t="s">
        <v>1070</v>
      </c>
      <c r="F1604" s="8" t="s">
        <v>131</v>
      </c>
      <c r="G1604" s="8" t="s">
        <v>61</v>
      </c>
      <c r="H1604" s="8" t="s">
        <v>215</v>
      </c>
      <c r="I1604" s="3">
        <v>2</v>
      </c>
      <c r="J1604" s="8" t="s">
        <v>155</v>
      </c>
      <c r="K1604" s="8" t="s">
        <v>156</v>
      </c>
      <c r="L1604" s="8" t="s">
        <v>556</v>
      </c>
      <c r="M1604" s="1" t="s">
        <v>205</v>
      </c>
      <c r="N1604" s="8" t="s">
        <v>206</v>
      </c>
      <c r="O1604" s="6">
        <v>0</v>
      </c>
      <c r="P1604" s="6">
        <v>0</v>
      </c>
      <c r="Q1604" s="6">
        <v>0</v>
      </c>
      <c r="R1604" s="6">
        <v>0</v>
      </c>
      <c r="S1604" s="6">
        <v>0</v>
      </c>
    </row>
    <row r="1605" spans="1:19" ht="15" hidden="1" x14ac:dyDescent="0.25">
      <c r="A1605" s="7" t="s">
        <v>16</v>
      </c>
      <c r="B1605" s="7" t="s">
        <v>22</v>
      </c>
      <c r="C1605" s="7" t="s">
        <v>18</v>
      </c>
      <c r="D1605" s="4">
        <v>394502014870</v>
      </c>
      <c r="E1605" s="8" t="s">
        <v>1070</v>
      </c>
      <c r="F1605" s="8" t="s">
        <v>131</v>
      </c>
      <c r="G1605" s="8" t="s">
        <v>61</v>
      </c>
      <c r="H1605" s="8" t="s">
        <v>215</v>
      </c>
      <c r="I1605" s="3">
        <v>2</v>
      </c>
      <c r="J1605" s="8" t="s">
        <v>173</v>
      </c>
      <c r="K1605" s="8" t="s">
        <v>174</v>
      </c>
      <c r="L1605" s="8" t="s">
        <v>557</v>
      </c>
      <c r="M1605" s="1" t="s">
        <v>205</v>
      </c>
      <c r="N1605" s="8" t="s">
        <v>206</v>
      </c>
      <c r="O1605" s="6">
        <v>0</v>
      </c>
      <c r="P1605" s="6">
        <v>5</v>
      </c>
      <c r="Q1605" s="6">
        <v>0</v>
      </c>
      <c r="R1605" s="6">
        <v>0</v>
      </c>
      <c r="S1605" s="6">
        <v>0</v>
      </c>
    </row>
    <row r="1606" spans="1:19" ht="15" hidden="1" x14ac:dyDescent="0.25">
      <c r="A1606" s="7" t="s">
        <v>16</v>
      </c>
      <c r="B1606" s="7" t="s">
        <v>22</v>
      </c>
      <c r="C1606" s="7" t="s">
        <v>18</v>
      </c>
      <c r="D1606" s="4">
        <v>6047087003316</v>
      </c>
      <c r="E1606" s="8" t="s">
        <v>1083</v>
      </c>
      <c r="F1606" s="8" t="s">
        <v>131</v>
      </c>
      <c r="G1606" s="8" t="s">
        <v>61</v>
      </c>
      <c r="H1606" s="8" t="s">
        <v>215</v>
      </c>
      <c r="I1606" s="3">
        <v>2</v>
      </c>
      <c r="J1606" s="8" t="s">
        <v>155</v>
      </c>
      <c r="K1606" s="8" t="s">
        <v>156</v>
      </c>
      <c r="L1606" s="8" t="s">
        <v>556</v>
      </c>
      <c r="M1606" s="1" t="s">
        <v>205</v>
      </c>
      <c r="N1606" s="8" t="s">
        <v>206</v>
      </c>
      <c r="O1606" s="6">
        <v>0</v>
      </c>
      <c r="P1606" s="6">
        <v>0</v>
      </c>
      <c r="Q1606" s="6">
        <v>0</v>
      </c>
      <c r="R1606" s="6">
        <v>0</v>
      </c>
      <c r="S1606" s="6">
        <v>0</v>
      </c>
    </row>
    <row r="1607" spans="1:19" ht="15" hidden="1" x14ac:dyDescent="0.25">
      <c r="A1607" s="7" t="s">
        <v>16</v>
      </c>
      <c r="B1607" s="7" t="s">
        <v>22</v>
      </c>
      <c r="C1607" s="7" t="s">
        <v>18</v>
      </c>
      <c r="D1607" s="4">
        <v>6047087003316</v>
      </c>
      <c r="E1607" s="8" t="s">
        <v>1083</v>
      </c>
      <c r="F1607" s="8" t="s">
        <v>131</v>
      </c>
      <c r="G1607" s="8" t="s">
        <v>61</v>
      </c>
      <c r="H1607" s="8" t="s">
        <v>215</v>
      </c>
      <c r="I1607" s="3">
        <v>2</v>
      </c>
      <c r="J1607" s="8" t="s">
        <v>181</v>
      </c>
      <c r="K1607" s="8" t="s">
        <v>182</v>
      </c>
      <c r="L1607" s="8" t="s">
        <v>557</v>
      </c>
      <c r="M1607" s="1" t="s">
        <v>205</v>
      </c>
      <c r="N1607" s="8" t="s">
        <v>206</v>
      </c>
      <c r="O1607" s="6">
        <v>0</v>
      </c>
      <c r="P1607" s="6">
        <v>0</v>
      </c>
      <c r="Q1607" s="6">
        <v>1</v>
      </c>
      <c r="R1607" s="6">
        <v>0</v>
      </c>
      <c r="S1607" s="6">
        <v>0</v>
      </c>
    </row>
    <row r="1608" spans="1:19" ht="15" hidden="1" x14ac:dyDescent="0.25">
      <c r="A1608" s="7" t="s">
        <v>16</v>
      </c>
      <c r="B1608" s="7" t="s">
        <v>22</v>
      </c>
      <c r="C1608" s="7" t="s">
        <v>18</v>
      </c>
      <c r="D1608" s="4">
        <v>29435005005783</v>
      </c>
      <c r="E1608" s="8" t="s">
        <v>1104</v>
      </c>
      <c r="F1608" s="8" t="s">
        <v>131</v>
      </c>
      <c r="G1608" s="8" t="s">
        <v>61</v>
      </c>
      <c r="H1608" s="8" t="s">
        <v>215</v>
      </c>
      <c r="I1608" s="3">
        <v>2</v>
      </c>
      <c r="J1608" s="8" t="s">
        <v>155</v>
      </c>
      <c r="K1608" s="8" t="s">
        <v>156</v>
      </c>
      <c r="L1608" s="8" t="s">
        <v>556</v>
      </c>
      <c r="M1608" s="1" t="s">
        <v>205</v>
      </c>
      <c r="N1608" s="8" t="s">
        <v>206</v>
      </c>
      <c r="O1608" s="6">
        <v>0</v>
      </c>
      <c r="P1608" s="6">
        <v>0</v>
      </c>
      <c r="Q1608" s="6">
        <v>0</v>
      </c>
      <c r="R1608" s="6">
        <v>0</v>
      </c>
      <c r="S1608" s="6">
        <v>250</v>
      </c>
    </row>
    <row r="1609" spans="1:19" ht="15" hidden="1" x14ac:dyDescent="0.25">
      <c r="A1609" s="7" t="s">
        <v>16</v>
      </c>
      <c r="B1609" s="7" t="s">
        <v>22</v>
      </c>
      <c r="C1609" s="7" t="s">
        <v>18</v>
      </c>
      <c r="D1609" s="4">
        <v>29435005005783</v>
      </c>
      <c r="E1609" s="8" t="s">
        <v>1104</v>
      </c>
      <c r="F1609" s="8" t="s">
        <v>131</v>
      </c>
      <c r="G1609" s="8" t="s">
        <v>61</v>
      </c>
      <c r="H1609" s="8" t="s">
        <v>215</v>
      </c>
      <c r="I1609" s="3">
        <v>2</v>
      </c>
      <c r="J1609" s="8" t="s">
        <v>173</v>
      </c>
      <c r="K1609" s="8" t="s">
        <v>174</v>
      </c>
      <c r="L1609" s="8" t="s">
        <v>557</v>
      </c>
      <c r="M1609" s="1" t="s">
        <v>205</v>
      </c>
      <c r="N1609" s="8" t="s">
        <v>206</v>
      </c>
      <c r="O1609" s="6">
        <v>0</v>
      </c>
      <c r="P1609" s="6">
        <v>1</v>
      </c>
      <c r="Q1609" s="6">
        <v>0</v>
      </c>
      <c r="R1609" s="6">
        <v>0</v>
      </c>
      <c r="S1609" s="6">
        <v>250</v>
      </c>
    </row>
    <row r="1610" spans="1:19" ht="15" hidden="1" x14ac:dyDescent="0.25">
      <c r="A1610" s="7" t="s">
        <v>16</v>
      </c>
      <c r="B1610" s="7" t="s">
        <v>22</v>
      </c>
      <c r="C1610" s="7" t="s">
        <v>18</v>
      </c>
      <c r="D1610" s="4">
        <v>29435005005198</v>
      </c>
      <c r="E1610" s="8" t="s">
        <v>1102</v>
      </c>
      <c r="F1610" s="8" t="s">
        <v>131</v>
      </c>
      <c r="G1610" s="8" t="s">
        <v>61</v>
      </c>
      <c r="H1610" s="8" t="s">
        <v>215</v>
      </c>
      <c r="I1610" s="3">
        <v>2</v>
      </c>
      <c r="J1610" s="8" t="s">
        <v>155</v>
      </c>
      <c r="K1610" s="8" t="s">
        <v>156</v>
      </c>
      <c r="L1610" s="8" t="s">
        <v>556</v>
      </c>
      <c r="M1610" s="1" t="s">
        <v>205</v>
      </c>
      <c r="N1610" s="8" t="s">
        <v>206</v>
      </c>
      <c r="O1610" s="6">
        <v>0</v>
      </c>
      <c r="P1610" s="6">
        <v>0</v>
      </c>
      <c r="Q1610" s="6">
        <v>0</v>
      </c>
      <c r="R1610" s="6">
        <v>0</v>
      </c>
      <c r="S1610" s="6">
        <v>0</v>
      </c>
    </row>
    <row r="1611" spans="1:19" ht="15" hidden="1" x14ac:dyDescent="0.25">
      <c r="A1611" s="7" t="s">
        <v>16</v>
      </c>
      <c r="B1611" s="7" t="s">
        <v>22</v>
      </c>
      <c r="C1611" s="7" t="s">
        <v>18</v>
      </c>
      <c r="D1611" s="4">
        <v>29435005005198</v>
      </c>
      <c r="E1611" s="8" t="s">
        <v>1102</v>
      </c>
      <c r="F1611" s="8" t="s">
        <v>131</v>
      </c>
      <c r="G1611" s="8" t="s">
        <v>61</v>
      </c>
      <c r="H1611" s="8" t="s">
        <v>215</v>
      </c>
      <c r="I1611" s="3">
        <v>2</v>
      </c>
      <c r="J1611" s="8" t="s">
        <v>181</v>
      </c>
      <c r="K1611" s="8" t="s">
        <v>182</v>
      </c>
      <c r="L1611" s="8" t="s">
        <v>557</v>
      </c>
      <c r="M1611" s="1" t="s">
        <v>205</v>
      </c>
      <c r="N1611" s="8" t="s">
        <v>206</v>
      </c>
      <c r="O1611" s="6">
        <v>0</v>
      </c>
      <c r="P1611" s="6">
        <v>15</v>
      </c>
      <c r="Q1611" s="6">
        <v>14</v>
      </c>
      <c r="R1611" s="6">
        <v>0</v>
      </c>
      <c r="S1611" s="6">
        <v>0</v>
      </c>
    </row>
    <row r="1612" spans="1:19" ht="15" hidden="1" x14ac:dyDescent="0.25">
      <c r="A1612" s="7" t="s">
        <v>16</v>
      </c>
      <c r="B1612" s="7" t="s">
        <v>22</v>
      </c>
      <c r="C1612" s="7" t="s">
        <v>18</v>
      </c>
      <c r="D1612" s="4">
        <v>6047087001020</v>
      </c>
      <c r="E1612" s="8" t="s">
        <v>1081</v>
      </c>
      <c r="F1612" s="8" t="s">
        <v>131</v>
      </c>
      <c r="G1612" s="8" t="s">
        <v>61</v>
      </c>
      <c r="H1612" s="8" t="s">
        <v>215</v>
      </c>
      <c r="I1612" s="3">
        <v>2</v>
      </c>
      <c r="J1612" s="8" t="s">
        <v>155</v>
      </c>
      <c r="K1612" s="8" t="s">
        <v>156</v>
      </c>
      <c r="L1612" s="8" t="s">
        <v>556</v>
      </c>
      <c r="M1612" s="1" t="s">
        <v>205</v>
      </c>
      <c r="N1612" s="8" t="s">
        <v>206</v>
      </c>
      <c r="O1612" s="6">
        <v>0</v>
      </c>
      <c r="P1612" s="6">
        <v>0</v>
      </c>
      <c r="Q1612" s="6">
        <v>0</v>
      </c>
      <c r="R1612" s="6">
        <v>0</v>
      </c>
      <c r="S1612" s="6">
        <v>0</v>
      </c>
    </row>
    <row r="1613" spans="1:19" ht="15" hidden="1" x14ac:dyDescent="0.25">
      <c r="A1613" s="7" t="s">
        <v>16</v>
      </c>
      <c r="B1613" s="7" t="s">
        <v>22</v>
      </c>
      <c r="C1613" s="7" t="s">
        <v>18</v>
      </c>
      <c r="D1613" s="4">
        <v>6047087001020</v>
      </c>
      <c r="E1613" s="8" t="s">
        <v>1081</v>
      </c>
      <c r="F1613" s="8" t="s">
        <v>131</v>
      </c>
      <c r="G1613" s="8" t="s">
        <v>61</v>
      </c>
      <c r="H1613" s="8" t="s">
        <v>215</v>
      </c>
      <c r="I1613" s="3">
        <v>2</v>
      </c>
      <c r="J1613" s="8" t="s">
        <v>181</v>
      </c>
      <c r="K1613" s="8" t="s">
        <v>182</v>
      </c>
      <c r="L1613" s="8" t="s">
        <v>557</v>
      </c>
      <c r="M1613" s="1" t="s">
        <v>205</v>
      </c>
      <c r="N1613" s="8" t="s">
        <v>206</v>
      </c>
      <c r="O1613" s="6">
        <v>0</v>
      </c>
      <c r="P1613" s="6">
        <v>33</v>
      </c>
      <c r="Q1613" s="6">
        <v>66</v>
      </c>
      <c r="R1613" s="6">
        <v>0</v>
      </c>
      <c r="S1613" s="6">
        <v>0</v>
      </c>
    </row>
    <row r="1614" spans="1:19" ht="15" hidden="1" x14ac:dyDescent="0.25">
      <c r="A1614" s="7" t="s">
        <v>16</v>
      </c>
      <c r="B1614" s="7" t="s">
        <v>22</v>
      </c>
      <c r="C1614" s="7" t="s">
        <v>18</v>
      </c>
      <c r="D1614" s="4">
        <v>29259736000403</v>
      </c>
      <c r="E1614" s="8" t="s">
        <v>1101</v>
      </c>
      <c r="F1614" s="8" t="s">
        <v>131</v>
      </c>
      <c r="G1614" s="8" t="s">
        <v>61</v>
      </c>
      <c r="H1614" s="8" t="s">
        <v>215</v>
      </c>
      <c r="I1614" s="3">
        <v>2</v>
      </c>
      <c r="J1614" s="8" t="s">
        <v>155</v>
      </c>
      <c r="K1614" s="8" t="s">
        <v>156</v>
      </c>
      <c r="L1614" s="8" t="s">
        <v>556</v>
      </c>
      <c r="M1614" s="1" t="s">
        <v>205</v>
      </c>
      <c r="N1614" s="8" t="s">
        <v>206</v>
      </c>
      <c r="O1614" s="6">
        <v>0</v>
      </c>
      <c r="P1614" s="6">
        <v>0</v>
      </c>
      <c r="Q1614" s="6">
        <v>0</v>
      </c>
      <c r="R1614" s="6">
        <v>1</v>
      </c>
      <c r="S1614" s="6">
        <v>0</v>
      </c>
    </row>
    <row r="1615" spans="1:19" ht="15" hidden="1" x14ac:dyDescent="0.25">
      <c r="A1615" s="7" t="s">
        <v>16</v>
      </c>
      <c r="B1615" s="7" t="s">
        <v>22</v>
      </c>
      <c r="C1615" s="7" t="s">
        <v>18</v>
      </c>
      <c r="D1615" s="4">
        <v>29259736000403</v>
      </c>
      <c r="E1615" s="8" t="s">
        <v>1101</v>
      </c>
      <c r="F1615" s="8" t="s">
        <v>131</v>
      </c>
      <c r="G1615" s="8" t="s">
        <v>61</v>
      </c>
      <c r="H1615" s="8" t="s">
        <v>215</v>
      </c>
      <c r="I1615" s="3">
        <v>2</v>
      </c>
      <c r="J1615" s="8" t="s">
        <v>181</v>
      </c>
      <c r="K1615" s="8" t="s">
        <v>182</v>
      </c>
      <c r="L1615" s="8" t="s">
        <v>557</v>
      </c>
      <c r="M1615" s="1" t="s">
        <v>205</v>
      </c>
      <c r="N1615" s="8" t="s">
        <v>206</v>
      </c>
      <c r="O1615" s="6">
        <v>0</v>
      </c>
      <c r="P1615" s="6">
        <v>3</v>
      </c>
      <c r="Q1615" s="6">
        <v>0</v>
      </c>
      <c r="R1615" s="6">
        <v>0</v>
      </c>
      <c r="S1615" s="6">
        <v>0</v>
      </c>
    </row>
    <row r="1616" spans="1:19" ht="15" hidden="1" x14ac:dyDescent="0.25">
      <c r="A1616" s="7" t="s">
        <v>16</v>
      </c>
      <c r="B1616" s="7" t="s">
        <v>22</v>
      </c>
      <c r="C1616" s="7" t="s">
        <v>18</v>
      </c>
      <c r="D1616" s="4">
        <v>8100676002102</v>
      </c>
      <c r="E1616" s="8" t="s">
        <v>1085</v>
      </c>
      <c r="F1616" s="8" t="s">
        <v>131</v>
      </c>
      <c r="G1616" s="8" t="s">
        <v>61</v>
      </c>
      <c r="H1616" s="8" t="s">
        <v>215</v>
      </c>
      <c r="I1616" s="3">
        <v>2</v>
      </c>
      <c r="J1616" s="8" t="s">
        <v>155</v>
      </c>
      <c r="K1616" s="8" t="s">
        <v>156</v>
      </c>
      <c r="L1616" s="8" t="s">
        <v>556</v>
      </c>
      <c r="M1616" s="1" t="s">
        <v>205</v>
      </c>
      <c r="N1616" s="8" t="s">
        <v>206</v>
      </c>
      <c r="O1616" s="6">
        <v>0</v>
      </c>
      <c r="P1616" s="6">
        <v>0</v>
      </c>
      <c r="Q1616" s="6">
        <v>0</v>
      </c>
      <c r="R1616" s="6">
        <v>0</v>
      </c>
      <c r="S1616" s="6">
        <v>0</v>
      </c>
    </row>
    <row r="1617" spans="1:19" ht="15" hidden="1" x14ac:dyDescent="0.25">
      <c r="A1617" s="7" t="s">
        <v>16</v>
      </c>
      <c r="B1617" s="7" t="s">
        <v>22</v>
      </c>
      <c r="C1617" s="7" t="s">
        <v>18</v>
      </c>
      <c r="D1617" s="4">
        <v>8100676002102</v>
      </c>
      <c r="E1617" s="8" t="s">
        <v>1085</v>
      </c>
      <c r="F1617" s="8" t="s">
        <v>131</v>
      </c>
      <c r="G1617" s="8" t="s">
        <v>61</v>
      </c>
      <c r="H1617" s="8" t="s">
        <v>215</v>
      </c>
      <c r="I1617" s="3">
        <v>2</v>
      </c>
      <c r="J1617" s="8" t="s">
        <v>181</v>
      </c>
      <c r="K1617" s="8" t="s">
        <v>182</v>
      </c>
      <c r="L1617" s="8" t="s">
        <v>557</v>
      </c>
      <c r="M1617" s="1" t="s">
        <v>205</v>
      </c>
      <c r="N1617" s="8" t="s">
        <v>206</v>
      </c>
      <c r="O1617" s="6">
        <v>0</v>
      </c>
      <c r="P1617" s="6">
        <v>23</v>
      </c>
      <c r="Q1617" s="6">
        <v>16</v>
      </c>
      <c r="R1617" s="6">
        <v>0</v>
      </c>
      <c r="S1617" s="6">
        <v>0</v>
      </c>
    </row>
    <row r="1618" spans="1:19" ht="15" hidden="1" x14ac:dyDescent="0.25">
      <c r="A1618" s="7" t="s">
        <v>16</v>
      </c>
      <c r="B1618" s="7" t="s">
        <v>22</v>
      </c>
      <c r="C1618" s="7" t="s">
        <v>18</v>
      </c>
      <c r="D1618" s="4">
        <v>29435005006160</v>
      </c>
      <c r="E1618" s="8" t="s">
        <v>1105</v>
      </c>
      <c r="F1618" s="8" t="s">
        <v>131</v>
      </c>
      <c r="G1618" s="8" t="s">
        <v>61</v>
      </c>
      <c r="H1618" s="8" t="s">
        <v>215</v>
      </c>
      <c r="I1618" s="3">
        <v>2</v>
      </c>
      <c r="J1618" s="8" t="s">
        <v>155</v>
      </c>
      <c r="K1618" s="8" t="s">
        <v>156</v>
      </c>
      <c r="L1618" s="8" t="s">
        <v>556</v>
      </c>
      <c r="M1618" s="1" t="s">
        <v>205</v>
      </c>
      <c r="N1618" s="8" t="s">
        <v>206</v>
      </c>
      <c r="O1618" s="6">
        <v>0</v>
      </c>
      <c r="P1618" s="6">
        <v>0</v>
      </c>
      <c r="Q1618" s="6">
        <v>0</v>
      </c>
      <c r="R1618" s="6">
        <v>0</v>
      </c>
      <c r="S1618" s="6">
        <v>80</v>
      </c>
    </row>
    <row r="1619" spans="1:19" ht="15" hidden="1" x14ac:dyDescent="0.25">
      <c r="A1619" s="7" t="s">
        <v>16</v>
      </c>
      <c r="B1619" s="7" t="s">
        <v>22</v>
      </c>
      <c r="C1619" s="7" t="s">
        <v>18</v>
      </c>
      <c r="D1619" s="4">
        <v>29435005006160</v>
      </c>
      <c r="E1619" s="8" t="s">
        <v>1105</v>
      </c>
      <c r="F1619" s="8" t="s">
        <v>131</v>
      </c>
      <c r="G1619" s="8" t="s">
        <v>61</v>
      </c>
      <c r="H1619" s="8" t="s">
        <v>215</v>
      </c>
      <c r="I1619" s="3">
        <v>2</v>
      </c>
      <c r="J1619" s="8" t="s">
        <v>181</v>
      </c>
      <c r="K1619" s="8" t="s">
        <v>182</v>
      </c>
      <c r="L1619" s="8" t="s">
        <v>557</v>
      </c>
      <c r="M1619" s="1" t="s">
        <v>205</v>
      </c>
      <c r="N1619" s="8" t="s">
        <v>206</v>
      </c>
      <c r="O1619" s="6">
        <v>0</v>
      </c>
      <c r="P1619" s="6">
        <v>10</v>
      </c>
      <c r="Q1619" s="6">
        <v>0</v>
      </c>
      <c r="R1619" s="6">
        <v>0</v>
      </c>
      <c r="S1619" s="6">
        <v>80</v>
      </c>
    </row>
    <row r="1620" spans="1:19" ht="15" hidden="1" x14ac:dyDescent="0.25">
      <c r="A1620" s="7" t="s">
        <v>16</v>
      </c>
      <c r="B1620" s="7" t="s">
        <v>22</v>
      </c>
      <c r="C1620" s="7" t="s">
        <v>18</v>
      </c>
      <c r="D1620" s="4">
        <v>60884855001630</v>
      </c>
      <c r="E1620" s="8" t="s">
        <v>1124</v>
      </c>
      <c r="F1620" s="8" t="s">
        <v>131</v>
      </c>
      <c r="G1620" s="8" t="s">
        <v>61</v>
      </c>
      <c r="H1620" s="8" t="s">
        <v>215</v>
      </c>
      <c r="I1620" s="3">
        <v>2</v>
      </c>
      <c r="J1620" s="8" t="s">
        <v>155</v>
      </c>
      <c r="K1620" s="8" t="s">
        <v>156</v>
      </c>
      <c r="L1620" s="8" t="s">
        <v>556</v>
      </c>
      <c r="M1620" s="1" t="s">
        <v>205</v>
      </c>
      <c r="N1620" s="8" t="s">
        <v>206</v>
      </c>
      <c r="O1620" s="6">
        <v>0</v>
      </c>
      <c r="P1620" s="6">
        <v>0</v>
      </c>
      <c r="Q1620" s="6">
        <v>0</v>
      </c>
      <c r="R1620" s="6">
        <v>0</v>
      </c>
      <c r="S1620" s="6">
        <v>385</v>
      </c>
    </row>
    <row r="1621" spans="1:19" ht="15" hidden="1" x14ac:dyDescent="0.25">
      <c r="A1621" s="7" t="s">
        <v>16</v>
      </c>
      <c r="B1621" s="7" t="s">
        <v>22</v>
      </c>
      <c r="C1621" s="7" t="s">
        <v>18</v>
      </c>
      <c r="D1621" s="4">
        <v>60884855001630</v>
      </c>
      <c r="E1621" s="8" t="s">
        <v>1124</v>
      </c>
      <c r="F1621" s="8" t="s">
        <v>131</v>
      </c>
      <c r="G1621" s="8" t="s">
        <v>61</v>
      </c>
      <c r="H1621" s="8" t="s">
        <v>215</v>
      </c>
      <c r="I1621" s="3">
        <v>2</v>
      </c>
      <c r="J1621" s="8" t="s">
        <v>173</v>
      </c>
      <c r="K1621" s="8" t="s">
        <v>174</v>
      </c>
      <c r="L1621" s="8" t="s">
        <v>557</v>
      </c>
      <c r="M1621" s="1" t="s">
        <v>205</v>
      </c>
      <c r="N1621" s="8" t="s">
        <v>206</v>
      </c>
      <c r="O1621" s="6">
        <v>0</v>
      </c>
      <c r="P1621" s="6">
        <v>7</v>
      </c>
      <c r="Q1621" s="6">
        <v>5</v>
      </c>
      <c r="R1621" s="6">
        <v>0</v>
      </c>
      <c r="S1621" s="6">
        <v>385</v>
      </c>
    </row>
    <row r="1622" spans="1:19" ht="15" hidden="1" x14ac:dyDescent="0.25">
      <c r="A1622" s="7" t="s">
        <v>16</v>
      </c>
      <c r="B1622" s="7" t="s">
        <v>22</v>
      </c>
      <c r="C1622" s="7" t="s">
        <v>18</v>
      </c>
      <c r="D1622" s="4">
        <v>18010750000100</v>
      </c>
      <c r="E1622" s="8" t="s">
        <v>1092</v>
      </c>
      <c r="F1622" s="8" t="s">
        <v>131</v>
      </c>
      <c r="G1622" s="8" t="s">
        <v>61</v>
      </c>
      <c r="H1622" s="8" t="s">
        <v>215</v>
      </c>
      <c r="I1622" s="3">
        <v>2</v>
      </c>
      <c r="J1622" s="8" t="s">
        <v>155</v>
      </c>
      <c r="K1622" s="8" t="s">
        <v>156</v>
      </c>
      <c r="L1622" s="8" t="s">
        <v>556</v>
      </c>
      <c r="M1622" s="1" t="s">
        <v>205</v>
      </c>
      <c r="N1622" s="8" t="s">
        <v>206</v>
      </c>
      <c r="O1622" s="6">
        <v>0</v>
      </c>
      <c r="P1622" s="6">
        <v>0</v>
      </c>
      <c r="Q1622" s="6">
        <v>0</v>
      </c>
      <c r="R1622" s="6">
        <v>0</v>
      </c>
      <c r="S1622" s="6">
        <v>290</v>
      </c>
    </row>
    <row r="1623" spans="1:19" ht="15" hidden="1" x14ac:dyDescent="0.25">
      <c r="A1623" s="7" t="s">
        <v>16</v>
      </c>
      <c r="B1623" s="7" t="s">
        <v>22</v>
      </c>
      <c r="C1623" s="7" t="s">
        <v>18</v>
      </c>
      <c r="D1623" s="4">
        <v>18010750000100</v>
      </c>
      <c r="E1623" s="8" t="s">
        <v>1092</v>
      </c>
      <c r="F1623" s="8" t="s">
        <v>131</v>
      </c>
      <c r="G1623" s="8" t="s">
        <v>61</v>
      </c>
      <c r="H1623" s="8" t="s">
        <v>215</v>
      </c>
      <c r="I1623" s="3">
        <v>2</v>
      </c>
      <c r="J1623" s="8" t="s">
        <v>173</v>
      </c>
      <c r="K1623" s="8" t="s">
        <v>174</v>
      </c>
      <c r="L1623" s="8" t="s">
        <v>557</v>
      </c>
      <c r="M1623" s="1" t="s">
        <v>205</v>
      </c>
      <c r="N1623" s="8" t="s">
        <v>206</v>
      </c>
      <c r="O1623" s="6">
        <v>0</v>
      </c>
      <c r="P1623" s="6">
        <v>0</v>
      </c>
      <c r="Q1623" s="6">
        <v>2</v>
      </c>
      <c r="R1623" s="6">
        <v>0</v>
      </c>
      <c r="S1623" s="6">
        <v>290</v>
      </c>
    </row>
    <row r="1624" spans="1:19" ht="15" hidden="1" x14ac:dyDescent="0.25">
      <c r="A1624" s="7" t="s">
        <v>16</v>
      </c>
      <c r="B1624" s="7" t="s">
        <v>22</v>
      </c>
      <c r="C1624" s="7" t="s">
        <v>18</v>
      </c>
      <c r="D1624" s="4">
        <v>33663683005347</v>
      </c>
      <c r="E1624" s="8" t="s">
        <v>1114</v>
      </c>
      <c r="F1624" s="8" t="s">
        <v>131</v>
      </c>
      <c r="G1624" s="8" t="s">
        <v>61</v>
      </c>
      <c r="H1624" s="8" t="s">
        <v>215</v>
      </c>
      <c r="I1624" s="3">
        <v>2</v>
      </c>
      <c r="J1624" s="8" t="s">
        <v>155</v>
      </c>
      <c r="K1624" s="8" t="s">
        <v>156</v>
      </c>
      <c r="L1624" s="8" t="s">
        <v>556</v>
      </c>
      <c r="M1624" s="1" t="s">
        <v>205</v>
      </c>
      <c r="N1624" s="8" t="s">
        <v>206</v>
      </c>
      <c r="O1624" s="6">
        <v>0</v>
      </c>
      <c r="P1624" s="6">
        <v>0</v>
      </c>
      <c r="Q1624" s="6">
        <v>0</v>
      </c>
      <c r="R1624" s="6">
        <v>0</v>
      </c>
      <c r="S1624" s="6">
        <v>2400</v>
      </c>
    </row>
    <row r="1625" spans="1:19" ht="15" hidden="1" x14ac:dyDescent="0.25">
      <c r="A1625" s="7" t="s">
        <v>16</v>
      </c>
      <c r="B1625" s="7" t="s">
        <v>22</v>
      </c>
      <c r="C1625" s="7" t="s">
        <v>18</v>
      </c>
      <c r="D1625" s="4">
        <v>33663683005347</v>
      </c>
      <c r="E1625" s="8" t="s">
        <v>1114</v>
      </c>
      <c r="F1625" s="8" t="s">
        <v>131</v>
      </c>
      <c r="G1625" s="8" t="s">
        <v>61</v>
      </c>
      <c r="H1625" s="8" t="s">
        <v>215</v>
      </c>
      <c r="I1625" s="3">
        <v>2</v>
      </c>
      <c r="J1625" s="8" t="s">
        <v>173</v>
      </c>
      <c r="K1625" s="8" t="s">
        <v>174</v>
      </c>
      <c r="L1625" s="8" t="s">
        <v>557</v>
      </c>
      <c r="M1625" s="1" t="s">
        <v>205</v>
      </c>
      <c r="N1625" s="8" t="s">
        <v>206</v>
      </c>
      <c r="O1625" s="6">
        <v>0</v>
      </c>
      <c r="P1625" s="6">
        <v>24</v>
      </c>
      <c r="Q1625" s="6">
        <v>24</v>
      </c>
      <c r="R1625" s="6">
        <v>0</v>
      </c>
      <c r="S1625" s="6">
        <v>2400</v>
      </c>
    </row>
    <row r="1626" spans="1:19" ht="15" hidden="1" x14ac:dyDescent="0.25">
      <c r="A1626" s="7" t="s">
        <v>16</v>
      </c>
      <c r="B1626" s="7" t="s">
        <v>22</v>
      </c>
      <c r="C1626" s="7" t="s">
        <v>18</v>
      </c>
      <c r="D1626" s="4">
        <v>394544017150</v>
      </c>
      <c r="E1626" s="8" t="s">
        <v>1071</v>
      </c>
      <c r="F1626" s="8" t="s">
        <v>131</v>
      </c>
      <c r="G1626" s="8" t="s">
        <v>61</v>
      </c>
      <c r="H1626" s="8" t="s">
        <v>215</v>
      </c>
      <c r="I1626" s="3">
        <v>2</v>
      </c>
      <c r="J1626" s="8" t="s">
        <v>155</v>
      </c>
      <c r="K1626" s="8" t="s">
        <v>156</v>
      </c>
      <c r="L1626" s="8" t="s">
        <v>556</v>
      </c>
      <c r="M1626" s="1" t="s">
        <v>205</v>
      </c>
      <c r="N1626" s="8" t="s">
        <v>206</v>
      </c>
      <c r="O1626" s="6">
        <v>0</v>
      </c>
      <c r="P1626" s="6">
        <v>0</v>
      </c>
      <c r="Q1626" s="6">
        <v>0</v>
      </c>
      <c r="R1626" s="6">
        <v>0</v>
      </c>
      <c r="S1626" s="6">
        <v>0</v>
      </c>
    </row>
    <row r="1627" spans="1:19" ht="15" hidden="1" x14ac:dyDescent="0.25">
      <c r="A1627" s="7" t="s">
        <v>16</v>
      </c>
      <c r="B1627" s="7" t="s">
        <v>22</v>
      </c>
      <c r="C1627" s="7" t="s">
        <v>18</v>
      </c>
      <c r="D1627" s="4">
        <v>394544017150</v>
      </c>
      <c r="E1627" s="8" t="s">
        <v>1071</v>
      </c>
      <c r="F1627" s="8" t="s">
        <v>131</v>
      </c>
      <c r="G1627" s="8" t="s">
        <v>61</v>
      </c>
      <c r="H1627" s="8" t="s">
        <v>215</v>
      </c>
      <c r="I1627" s="3">
        <v>2</v>
      </c>
      <c r="J1627" s="8" t="s">
        <v>173</v>
      </c>
      <c r="K1627" s="8" t="s">
        <v>174</v>
      </c>
      <c r="L1627" s="8" t="s">
        <v>557</v>
      </c>
      <c r="M1627" s="1" t="s">
        <v>205</v>
      </c>
      <c r="N1627" s="8" t="s">
        <v>206</v>
      </c>
      <c r="O1627" s="6">
        <v>0</v>
      </c>
      <c r="P1627" s="6">
        <v>20</v>
      </c>
      <c r="Q1627" s="6">
        <v>0</v>
      </c>
      <c r="R1627" s="6">
        <v>0</v>
      </c>
      <c r="S1627" s="6">
        <v>0</v>
      </c>
    </row>
    <row r="1628" spans="1:19" ht="15" hidden="1" x14ac:dyDescent="0.25">
      <c r="A1628" s="7" t="s">
        <v>16</v>
      </c>
      <c r="B1628" s="7" t="s">
        <v>22</v>
      </c>
      <c r="C1628" s="7" t="s">
        <v>18</v>
      </c>
      <c r="D1628" s="4">
        <v>394544021344</v>
      </c>
      <c r="E1628" s="8" t="s">
        <v>1076</v>
      </c>
      <c r="F1628" s="8" t="s">
        <v>131</v>
      </c>
      <c r="G1628" s="8" t="s">
        <v>61</v>
      </c>
      <c r="H1628" s="8" t="s">
        <v>215</v>
      </c>
      <c r="I1628" s="3">
        <v>2</v>
      </c>
      <c r="J1628" s="8" t="s">
        <v>155</v>
      </c>
      <c r="K1628" s="8" t="s">
        <v>156</v>
      </c>
      <c r="L1628" s="8" t="s">
        <v>556</v>
      </c>
      <c r="M1628" s="1" t="s">
        <v>205</v>
      </c>
      <c r="N1628" s="8" t="s">
        <v>206</v>
      </c>
      <c r="O1628" s="6">
        <v>0</v>
      </c>
      <c r="P1628" s="6">
        <v>0</v>
      </c>
      <c r="Q1628" s="6">
        <v>0</v>
      </c>
      <c r="R1628" s="6">
        <v>0</v>
      </c>
      <c r="S1628" s="6">
        <v>0</v>
      </c>
    </row>
    <row r="1629" spans="1:19" ht="15" hidden="1" x14ac:dyDescent="0.25">
      <c r="A1629" s="7" t="s">
        <v>16</v>
      </c>
      <c r="B1629" s="7" t="s">
        <v>22</v>
      </c>
      <c r="C1629" s="7" t="s">
        <v>18</v>
      </c>
      <c r="D1629" s="4">
        <v>394544021344</v>
      </c>
      <c r="E1629" s="8" t="s">
        <v>1076</v>
      </c>
      <c r="F1629" s="8" t="s">
        <v>131</v>
      </c>
      <c r="G1629" s="8" t="s">
        <v>61</v>
      </c>
      <c r="H1629" s="8" t="s">
        <v>215</v>
      </c>
      <c r="I1629" s="3">
        <v>2</v>
      </c>
      <c r="J1629" s="8" t="s">
        <v>181</v>
      </c>
      <c r="K1629" s="8" t="s">
        <v>182</v>
      </c>
      <c r="L1629" s="8" t="s">
        <v>557</v>
      </c>
      <c r="M1629" s="1" t="s">
        <v>205</v>
      </c>
      <c r="N1629" s="8" t="s">
        <v>206</v>
      </c>
      <c r="O1629" s="6">
        <v>0</v>
      </c>
      <c r="P1629" s="6">
        <v>208</v>
      </c>
      <c r="Q1629" s="6">
        <v>250</v>
      </c>
      <c r="R1629" s="6">
        <v>0</v>
      </c>
      <c r="S1629" s="6">
        <v>0</v>
      </c>
    </row>
    <row r="1630" spans="1:19" ht="15" hidden="1" x14ac:dyDescent="0.25">
      <c r="A1630" s="7" t="s">
        <v>16</v>
      </c>
      <c r="B1630" s="7" t="s">
        <v>22</v>
      </c>
      <c r="C1630" s="7" t="s">
        <v>18</v>
      </c>
      <c r="D1630" s="4">
        <v>33419482000259</v>
      </c>
      <c r="E1630" s="8" t="s">
        <v>1111</v>
      </c>
      <c r="F1630" s="8" t="s">
        <v>131</v>
      </c>
      <c r="G1630" s="8" t="s">
        <v>61</v>
      </c>
      <c r="H1630" s="8" t="s">
        <v>215</v>
      </c>
      <c r="I1630" s="3">
        <v>2</v>
      </c>
      <c r="J1630" s="8" t="s">
        <v>155</v>
      </c>
      <c r="K1630" s="8" t="s">
        <v>156</v>
      </c>
      <c r="L1630" s="8" t="s">
        <v>556</v>
      </c>
      <c r="M1630" s="1" t="s">
        <v>205</v>
      </c>
      <c r="N1630" s="8" t="s">
        <v>206</v>
      </c>
      <c r="O1630" s="6">
        <v>0</v>
      </c>
      <c r="P1630" s="6">
        <v>0</v>
      </c>
      <c r="Q1630" s="6">
        <v>0</v>
      </c>
      <c r="R1630" s="6">
        <v>0</v>
      </c>
      <c r="S1630" s="6">
        <v>20</v>
      </c>
    </row>
    <row r="1631" spans="1:19" ht="15" hidden="1" x14ac:dyDescent="0.25">
      <c r="A1631" s="7" t="s">
        <v>16</v>
      </c>
      <c r="B1631" s="7" t="s">
        <v>22</v>
      </c>
      <c r="C1631" s="7" t="s">
        <v>18</v>
      </c>
      <c r="D1631" s="4">
        <v>33419482000259</v>
      </c>
      <c r="E1631" s="8" t="s">
        <v>1111</v>
      </c>
      <c r="F1631" s="8" t="s">
        <v>131</v>
      </c>
      <c r="G1631" s="8" t="s">
        <v>61</v>
      </c>
      <c r="H1631" s="8" t="s">
        <v>215</v>
      </c>
      <c r="I1631" s="3">
        <v>2</v>
      </c>
      <c r="J1631" s="8" t="s">
        <v>181</v>
      </c>
      <c r="K1631" s="8" t="s">
        <v>182</v>
      </c>
      <c r="L1631" s="8" t="s">
        <v>557</v>
      </c>
      <c r="M1631" s="1" t="s">
        <v>205</v>
      </c>
      <c r="N1631" s="8" t="s">
        <v>206</v>
      </c>
      <c r="O1631" s="6">
        <v>0</v>
      </c>
      <c r="P1631" s="6">
        <v>3</v>
      </c>
      <c r="Q1631" s="6">
        <v>7</v>
      </c>
      <c r="R1631" s="6">
        <v>0</v>
      </c>
      <c r="S1631" s="6">
        <v>20</v>
      </c>
    </row>
    <row r="1632" spans="1:19" ht="15" hidden="1" x14ac:dyDescent="0.25">
      <c r="A1632" s="7" t="s">
        <v>16</v>
      </c>
      <c r="B1632" s="7" t="s">
        <v>22</v>
      </c>
      <c r="C1632" s="7" t="s">
        <v>18</v>
      </c>
      <c r="D1632" s="4">
        <v>320465020</v>
      </c>
      <c r="E1632" s="8" t="s">
        <v>1067</v>
      </c>
      <c r="F1632" s="8" t="s">
        <v>131</v>
      </c>
      <c r="G1632" s="8" t="s">
        <v>61</v>
      </c>
      <c r="H1632" s="8" t="s">
        <v>215</v>
      </c>
      <c r="I1632" s="3">
        <v>2</v>
      </c>
      <c r="J1632" s="8" t="s">
        <v>155</v>
      </c>
      <c r="K1632" s="8" t="s">
        <v>156</v>
      </c>
      <c r="L1632" s="8" t="s">
        <v>556</v>
      </c>
      <c r="M1632" s="1" t="s">
        <v>205</v>
      </c>
      <c r="N1632" s="8" t="s">
        <v>206</v>
      </c>
      <c r="O1632" s="6">
        <v>3</v>
      </c>
      <c r="P1632" s="6">
        <v>0</v>
      </c>
      <c r="Q1632" s="6">
        <v>0</v>
      </c>
      <c r="R1632" s="6">
        <v>0</v>
      </c>
      <c r="S1632" s="6">
        <v>0</v>
      </c>
    </row>
    <row r="1633" spans="1:19" ht="15" hidden="1" x14ac:dyDescent="0.25">
      <c r="A1633" s="7" t="s">
        <v>16</v>
      </c>
      <c r="B1633" s="7" t="s">
        <v>22</v>
      </c>
      <c r="C1633" s="7" t="s">
        <v>18</v>
      </c>
      <c r="D1633" s="4">
        <v>320465020</v>
      </c>
      <c r="E1633" s="8" t="s">
        <v>1067</v>
      </c>
      <c r="F1633" s="8" t="s">
        <v>131</v>
      </c>
      <c r="G1633" s="8" t="s">
        <v>61</v>
      </c>
      <c r="H1633" s="8" t="s">
        <v>215</v>
      </c>
      <c r="I1633" s="3">
        <v>2</v>
      </c>
      <c r="J1633" s="8" t="s">
        <v>181</v>
      </c>
      <c r="K1633" s="8" t="s">
        <v>182</v>
      </c>
      <c r="L1633" s="8" t="s">
        <v>557</v>
      </c>
      <c r="M1633" s="1" t="s">
        <v>205</v>
      </c>
      <c r="N1633" s="8" t="s">
        <v>206</v>
      </c>
      <c r="O1633" s="6">
        <v>0</v>
      </c>
      <c r="P1633" s="6">
        <v>0</v>
      </c>
      <c r="Q1633" s="6">
        <v>0</v>
      </c>
      <c r="R1633" s="6">
        <v>0</v>
      </c>
      <c r="S1633" s="6">
        <v>0</v>
      </c>
    </row>
    <row r="1634" spans="1:19" ht="15" hidden="1" x14ac:dyDescent="0.25">
      <c r="A1634" s="7" t="s">
        <v>16</v>
      </c>
      <c r="B1634" s="7" t="s">
        <v>22</v>
      </c>
      <c r="C1634" s="7" t="s">
        <v>18</v>
      </c>
      <c r="D1634" s="4">
        <v>72101124000506</v>
      </c>
      <c r="E1634" s="8" t="s">
        <v>1126</v>
      </c>
      <c r="F1634" s="8" t="s">
        <v>131</v>
      </c>
      <c r="G1634" s="8" t="s">
        <v>61</v>
      </c>
      <c r="H1634" s="8" t="s">
        <v>215</v>
      </c>
      <c r="I1634" s="3">
        <v>2</v>
      </c>
      <c r="J1634" s="8" t="s">
        <v>155</v>
      </c>
      <c r="K1634" s="8" t="s">
        <v>156</v>
      </c>
      <c r="L1634" s="8" t="s">
        <v>556</v>
      </c>
      <c r="M1634" s="1" t="s">
        <v>205</v>
      </c>
      <c r="N1634" s="8" t="s">
        <v>206</v>
      </c>
      <c r="O1634" s="6">
        <v>0</v>
      </c>
      <c r="P1634" s="6">
        <v>0</v>
      </c>
      <c r="Q1634" s="6">
        <v>0</v>
      </c>
      <c r="R1634" s="6">
        <v>214</v>
      </c>
      <c r="S1634" s="6">
        <v>445</v>
      </c>
    </row>
    <row r="1635" spans="1:19" ht="15" hidden="1" x14ac:dyDescent="0.25">
      <c r="A1635" s="7" t="s">
        <v>16</v>
      </c>
      <c r="B1635" s="7" t="s">
        <v>22</v>
      </c>
      <c r="C1635" s="7" t="s">
        <v>18</v>
      </c>
      <c r="D1635" s="4">
        <v>72101124000506</v>
      </c>
      <c r="E1635" s="8" t="s">
        <v>1126</v>
      </c>
      <c r="F1635" s="8" t="s">
        <v>131</v>
      </c>
      <c r="G1635" s="8" t="s">
        <v>61</v>
      </c>
      <c r="H1635" s="8" t="s">
        <v>215</v>
      </c>
      <c r="I1635" s="3">
        <v>2</v>
      </c>
      <c r="J1635" s="8" t="s">
        <v>181</v>
      </c>
      <c r="K1635" s="8" t="s">
        <v>182</v>
      </c>
      <c r="L1635" s="8" t="s">
        <v>557</v>
      </c>
      <c r="M1635" s="1" t="s">
        <v>205</v>
      </c>
      <c r="N1635" s="8" t="s">
        <v>206</v>
      </c>
      <c r="O1635" s="6">
        <v>0</v>
      </c>
      <c r="P1635" s="6">
        <v>0</v>
      </c>
      <c r="Q1635" s="6">
        <v>0</v>
      </c>
      <c r="R1635" s="6">
        <v>0</v>
      </c>
      <c r="S1635" s="6">
        <v>445</v>
      </c>
    </row>
    <row r="1636" spans="1:19" ht="15" hidden="1" x14ac:dyDescent="0.25">
      <c r="A1636" s="7" t="s">
        <v>16</v>
      </c>
      <c r="B1636" s="7" t="s">
        <v>22</v>
      </c>
      <c r="C1636" s="7" t="s">
        <v>18</v>
      </c>
      <c r="D1636" s="4">
        <v>28000107000159</v>
      </c>
      <c r="E1636" s="8" t="s">
        <v>1099</v>
      </c>
      <c r="F1636" s="8" t="s">
        <v>131</v>
      </c>
      <c r="G1636" s="8" t="s">
        <v>61</v>
      </c>
      <c r="H1636" s="8" t="s">
        <v>215</v>
      </c>
      <c r="I1636" s="3">
        <v>2</v>
      </c>
      <c r="J1636" s="8" t="s">
        <v>155</v>
      </c>
      <c r="K1636" s="8" t="s">
        <v>156</v>
      </c>
      <c r="L1636" s="8" t="s">
        <v>556</v>
      </c>
      <c r="M1636" s="1" t="s">
        <v>205</v>
      </c>
      <c r="N1636" s="8" t="s">
        <v>206</v>
      </c>
      <c r="O1636" s="6">
        <v>0</v>
      </c>
      <c r="P1636" s="6">
        <v>0</v>
      </c>
      <c r="Q1636" s="6">
        <v>0</v>
      </c>
      <c r="R1636" s="6">
        <v>126</v>
      </c>
      <c r="S1636" s="6">
        <v>150</v>
      </c>
    </row>
    <row r="1637" spans="1:19" ht="15" hidden="1" x14ac:dyDescent="0.25">
      <c r="A1637" s="7" t="s">
        <v>16</v>
      </c>
      <c r="B1637" s="7" t="s">
        <v>22</v>
      </c>
      <c r="C1637" s="7" t="s">
        <v>18</v>
      </c>
      <c r="D1637" s="4">
        <v>28000107000159</v>
      </c>
      <c r="E1637" s="8" t="s">
        <v>1099</v>
      </c>
      <c r="F1637" s="8" t="s">
        <v>131</v>
      </c>
      <c r="G1637" s="8" t="s">
        <v>61</v>
      </c>
      <c r="H1637" s="8" t="s">
        <v>215</v>
      </c>
      <c r="I1637" s="3">
        <v>2</v>
      </c>
      <c r="J1637" s="8" t="s">
        <v>181</v>
      </c>
      <c r="K1637" s="8" t="s">
        <v>182</v>
      </c>
      <c r="L1637" s="8" t="s">
        <v>557</v>
      </c>
      <c r="M1637" s="1" t="s">
        <v>205</v>
      </c>
      <c r="N1637" s="8" t="s">
        <v>206</v>
      </c>
      <c r="O1637" s="6">
        <v>0</v>
      </c>
      <c r="P1637" s="6">
        <v>0</v>
      </c>
      <c r="Q1637" s="6">
        <v>0</v>
      </c>
      <c r="R1637" s="6">
        <v>0</v>
      </c>
      <c r="S1637" s="6">
        <v>150</v>
      </c>
    </row>
    <row r="1638" spans="1:19" ht="15" hidden="1" x14ac:dyDescent="0.25">
      <c r="A1638" s="7" t="s">
        <v>16</v>
      </c>
      <c r="B1638" s="7" t="s">
        <v>22</v>
      </c>
      <c r="C1638" s="7" t="s">
        <v>18</v>
      </c>
      <c r="D1638" s="4">
        <v>33000167000101</v>
      </c>
      <c r="E1638" s="8" t="s">
        <v>1110</v>
      </c>
      <c r="F1638" s="8" t="s">
        <v>131</v>
      </c>
      <c r="G1638" s="8" t="s">
        <v>61</v>
      </c>
      <c r="H1638" s="8" t="s">
        <v>215</v>
      </c>
      <c r="I1638" s="3">
        <v>2</v>
      </c>
      <c r="J1638" s="8" t="s">
        <v>155</v>
      </c>
      <c r="K1638" s="8" t="s">
        <v>156</v>
      </c>
      <c r="L1638" s="8" t="s">
        <v>556</v>
      </c>
      <c r="M1638" s="1" t="s">
        <v>205</v>
      </c>
      <c r="N1638" s="8" t="s">
        <v>206</v>
      </c>
      <c r="O1638" s="6">
        <v>0</v>
      </c>
      <c r="P1638" s="6">
        <v>0</v>
      </c>
      <c r="Q1638" s="6">
        <v>0</v>
      </c>
      <c r="R1638" s="6">
        <v>0</v>
      </c>
      <c r="S1638" s="6">
        <v>140</v>
      </c>
    </row>
    <row r="1639" spans="1:19" ht="15" hidden="1" x14ac:dyDescent="0.25">
      <c r="A1639" s="7" t="s">
        <v>16</v>
      </c>
      <c r="B1639" s="7" t="s">
        <v>22</v>
      </c>
      <c r="C1639" s="7" t="s">
        <v>18</v>
      </c>
      <c r="D1639" s="4">
        <v>33000167000101</v>
      </c>
      <c r="E1639" s="8" t="s">
        <v>1110</v>
      </c>
      <c r="F1639" s="8" t="s">
        <v>131</v>
      </c>
      <c r="G1639" s="8" t="s">
        <v>61</v>
      </c>
      <c r="H1639" s="8" t="s">
        <v>215</v>
      </c>
      <c r="I1639" s="3">
        <v>2</v>
      </c>
      <c r="J1639" s="8" t="s">
        <v>181</v>
      </c>
      <c r="K1639" s="8" t="s">
        <v>182</v>
      </c>
      <c r="L1639" s="8" t="s">
        <v>557</v>
      </c>
      <c r="M1639" s="1" t="s">
        <v>205</v>
      </c>
      <c r="N1639" s="8" t="s">
        <v>206</v>
      </c>
      <c r="O1639" s="6">
        <v>0</v>
      </c>
      <c r="P1639" s="6">
        <v>0</v>
      </c>
      <c r="Q1639" s="6">
        <v>0</v>
      </c>
      <c r="R1639" s="6">
        <v>0</v>
      </c>
      <c r="S1639" s="6">
        <v>140</v>
      </c>
    </row>
    <row r="1640" spans="1:19" ht="15" hidden="1" x14ac:dyDescent="0.25">
      <c r="A1640" s="7" t="s">
        <v>16</v>
      </c>
      <c r="B1640" s="7" t="s">
        <v>22</v>
      </c>
      <c r="C1640" s="7" t="s">
        <v>18</v>
      </c>
      <c r="D1640" s="4">
        <v>5371944796</v>
      </c>
      <c r="E1640" s="8" t="s">
        <v>1068</v>
      </c>
      <c r="F1640" s="8" t="s">
        <v>131</v>
      </c>
      <c r="G1640" s="8" t="s">
        <v>61</v>
      </c>
      <c r="H1640" s="8" t="s">
        <v>215</v>
      </c>
      <c r="I1640" s="3">
        <v>2</v>
      </c>
      <c r="J1640" s="8" t="s">
        <v>155</v>
      </c>
      <c r="K1640" s="8" t="s">
        <v>156</v>
      </c>
      <c r="L1640" s="8" t="s">
        <v>556</v>
      </c>
      <c r="M1640" s="1" t="s">
        <v>205</v>
      </c>
      <c r="N1640" s="8" t="s">
        <v>206</v>
      </c>
      <c r="O1640" s="6">
        <v>0</v>
      </c>
      <c r="P1640" s="6">
        <v>0</v>
      </c>
      <c r="Q1640" s="6">
        <v>0</v>
      </c>
      <c r="R1640" s="6">
        <v>0</v>
      </c>
      <c r="S1640" s="6">
        <v>20</v>
      </c>
    </row>
    <row r="1641" spans="1:19" ht="15" hidden="1" x14ac:dyDescent="0.25">
      <c r="A1641" s="7" t="s">
        <v>16</v>
      </c>
      <c r="B1641" s="7" t="s">
        <v>22</v>
      </c>
      <c r="C1641" s="7" t="s">
        <v>18</v>
      </c>
      <c r="D1641" s="4">
        <v>5371944796</v>
      </c>
      <c r="E1641" s="8" t="s">
        <v>1068</v>
      </c>
      <c r="F1641" s="8" t="s">
        <v>131</v>
      </c>
      <c r="G1641" s="8" t="s">
        <v>61</v>
      </c>
      <c r="H1641" s="8" t="s">
        <v>215</v>
      </c>
      <c r="I1641" s="3">
        <v>2</v>
      </c>
      <c r="J1641" s="8" t="s">
        <v>173</v>
      </c>
      <c r="K1641" s="8" t="s">
        <v>174</v>
      </c>
      <c r="L1641" s="8" t="s">
        <v>557</v>
      </c>
      <c r="M1641" s="1" t="s">
        <v>205</v>
      </c>
      <c r="N1641" s="8" t="s">
        <v>206</v>
      </c>
      <c r="O1641" s="6">
        <v>0</v>
      </c>
      <c r="P1641" s="6">
        <v>0</v>
      </c>
      <c r="Q1641" s="6">
        <v>0</v>
      </c>
      <c r="R1641" s="6">
        <v>0</v>
      </c>
      <c r="S1641" s="6">
        <v>20</v>
      </c>
    </row>
    <row r="1642" spans="1:19" ht="15" hidden="1" x14ac:dyDescent="0.25">
      <c r="A1642" s="7" t="s">
        <v>16</v>
      </c>
      <c r="B1642" s="7" t="s">
        <v>22</v>
      </c>
      <c r="C1642" s="7" t="s">
        <v>18</v>
      </c>
      <c r="D1642" s="4">
        <v>9219138000401</v>
      </c>
      <c r="E1642" s="8" t="s">
        <v>1087</v>
      </c>
      <c r="F1642" s="8" t="s">
        <v>131</v>
      </c>
      <c r="G1642" s="8" t="s">
        <v>61</v>
      </c>
      <c r="H1642" s="8" t="s">
        <v>215</v>
      </c>
      <c r="I1642" s="3">
        <v>2</v>
      </c>
      <c r="J1642" s="8" t="s">
        <v>155</v>
      </c>
      <c r="K1642" s="8" t="s">
        <v>156</v>
      </c>
      <c r="L1642" s="8" t="s">
        <v>556</v>
      </c>
      <c r="M1642" s="1" t="s">
        <v>205</v>
      </c>
      <c r="N1642" s="8" t="s">
        <v>206</v>
      </c>
      <c r="O1642" s="6">
        <v>0</v>
      </c>
      <c r="P1642" s="6">
        <v>0</v>
      </c>
      <c r="Q1642" s="6">
        <v>0</v>
      </c>
      <c r="R1642" s="6">
        <v>0</v>
      </c>
      <c r="S1642" s="6">
        <v>285</v>
      </c>
    </row>
    <row r="1643" spans="1:19" ht="15" hidden="1" x14ac:dyDescent="0.25">
      <c r="A1643" s="7" t="s">
        <v>16</v>
      </c>
      <c r="B1643" s="7" t="s">
        <v>22</v>
      </c>
      <c r="C1643" s="7" t="s">
        <v>18</v>
      </c>
      <c r="D1643" s="4">
        <v>9219138000401</v>
      </c>
      <c r="E1643" s="8" t="s">
        <v>1087</v>
      </c>
      <c r="F1643" s="8" t="s">
        <v>131</v>
      </c>
      <c r="G1643" s="8" t="s">
        <v>61</v>
      </c>
      <c r="H1643" s="8" t="s">
        <v>215</v>
      </c>
      <c r="I1643" s="3">
        <v>2</v>
      </c>
      <c r="J1643" s="8" t="s">
        <v>181</v>
      </c>
      <c r="K1643" s="8" t="s">
        <v>182</v>
      </c>
      <c r="L1643" s="8" t="s">
        <v>557</v>
      </c>
      <c r="M1643" s="1" t="s">
        <v>205</v>
      </c>
      <c r="N1643" s="8" t="s">
        <v>206</v>
      </c>
      <c r="O1643" s="6">
        <v>0</v>
      </c>
      <c r="P1643" s="6">
        <v>0</v>
      </c>
      <c r="Q1643" s="6">
        <v>0</v>
      </c>
      <c r="R1643" s="6">
        <v>0</v>
      </c>
      <c r="S1643" s="6">
        <v>285</v>
      </c>
    </row>
    <row r="1644" spans="1:19" ht="15" hidden="1" x14ac:dyDescent="0.25">
      <c r="A1644" s="7" t="s">
        <v>16</v>
      </c>
      <c r="B1644" s="7" t="s">
        <v>22</v>
      </c>
      <c r="C1644" s="7" t="s">
        <v>18</v>
      </c>
      <c r="D1644" s="4">
        <v>9219138000584</v>
      </c>
      <c r="E1644" s="8" t="s">
        <v>1088</v>
      </c>
      <c r="F1644" s="8" t="s">
        <v>131</v>
      </c>
      <c r="G1644" s="8" t="s">
        <v>61</v>
      </c>
      <c r="H1644" s="8" t="s">
        <v>215</v>
      </c>
      <c r="I1644" s="3">
        <v>2</v>
      </c>
      <c r="J1644" s="8" t="s">
        <v>155</v>
      </c>
      <c r="K1644" s="8" t="s">
        <v>156</v>
      </c>
      <c r="L1644" s="8" t="s">
        <v>556</v>
      </c>
      <c r="M1644" s="1" t="s">
        <v>205</v>
      </c>
      <c r="N1644" s="8" t="s">
        <v>206</v>
      </c>
      <c r="O1644" s="6">
        <v>0</v>
      </c>
      <c r="P1644" s="6">
        <v>0</v>
      </c>
      <c r="Q1644" s="6">
        <v>0</v>
      </c>
      <c r="R1644" s="6">
        <v>140</v>
      </c>
      <c r="S1644" s="6">
        <v>1085</v>
      </c>
    </row>
    <row r="1645" spans="1:19" ht="15" hidden="1" x14ac:dyDescent="0.25">
      <c r="A1645" s="7" t="s">
        <v>16</v>
      </c>
      <c r="B1645" s="7" t="s">
        <v>22</v>
      </c>
      <c r="C1645" s="7" t="s">
        <v>18</v>
      </c>
      <c r="D1645" s="4">
        <v>9219138000584</v>
      </c>
      <c r="E1645" s="8" t="s">
        <v>1088</v>
      </c>
      <c r="F1645" s="8" t="s">
        <v>131</v>
      </c>
      <c r="G1645" s="8" t="s">
        <v>61</v>
      </c>
      <c r="H1645" s="8" t="s">
        <v>215</v>
      </c>
      <c r="I1645" s="3">
        <v>2</v>
      </c>
      <c r="J1645" s="8" t="s">
        <v>173</v>
      </c>
      <c r="K1645" s="8" t="s">
        <v>174</v>
      </c>
      <c r="L1645" s="8" t="s">
        <v>557</v>
      </c>
      <c r="M1645" s="1" t="s">
        <v>205</v>
      </c>
      <c r="N1645" s="8" t="s">
        <v>206</v>
      </c>
      <c r="O1645" s="6">
        <v>0</v>
      </c>
      <c r="P1645" s="6">
        <v>0</v>
      </c>
      <c r="Q1645" s="6">
        <v>0</v>
      </c>
      <c r="R1645" s="6">
        <v>0</v>
      </c>
      <c r="S1645" s="6">
        <v>1085</v>
      </c>
    </row>
    <row r="1646" spans="1:19" ht="15" hidden="1" x14ac:dyDescent="0.25">
      <c r="A1646" s="7" t="s">
        <v>16</v>
      </c>
      <c r="B1646" s="7" t="s">
        <v>22</v>
      </c>
      <c r="C1646" s="7" t="s">
        <v>18</v>
      </c>
      <c r="D1646" s="4">
        <v>28602407000108</v>
      </c>
      <c r="E1646" s="8" t="s">
        <v>1100</v>
      </c>
      <c r="F1646" s="8" t="s">
        <v>131</v>
      </c>
      <c r="G1646" s="8" t="s">
        <v>61</v>
      </c>
      <c r="H1646" s="8" t="s">
        <v>215</v>
      </c>
      <c r="I1646" s="3">
        <v>2</v>
      </c>
      <c r="J1646" s="8" t="s">
        <v>155</v>
      </c>
      <c r="K1646" s="8" t="s">
        <v>156</v>
      </c>
      <c r="L1646" s="8" t="s">
        <v>556</v>
      </c>
      <c r="M1646" s="1" t="s">
        <v>205</v>
      </c>
      <c r="N1646" s="8" t="s">
        <v>206</v>
      </c>
      <c r="O1646" s="6">
        <v>0</v>
      </c>
      <c r="P1646" s="6">
        <v>0</v>
      </c>
      <c r="Q1646" s="6">
        <v>0</v>
      </c>
      <c r="R1646" s="6">
        <v>4</v>
      </c>
      <c r="S1646" s="6">
        <v>0</v>
      </c>
    </row>
    <row r="1647" spans="1:19" ht="15" hidden="1" x14ac:dyDescent="0.25">
      <c r="A1647" s="7" t="s">
        <v>16</v>
      </c>
      <c r="B1647" s="7" t="s">
        <v>22</v>
      </c>
      <c r="C1647" s="7" t="s">
        <v>18</v>
      </c>
      <c r="D1647" s="4">
        <v>28602407000108</v>
      </c>
      <c r="E1647" s="8" t="s">
        <v>1100</v>
      </c>
      <c r="F1647" s="8" t="s">
        <v>131</v>
      </c>
      <c r="G1647" s="8" t="s">
        <v>61</v>
      </c>
      <c r="H1647" s="8" t="s">
        <v>215</v>
      </c>
      <c r="I1647" s="3">
        <v>2</v>
      </c>
      <c r="J1647" s="8" t="s">
        <v>181</v>
      </c>
      <c r="K1647" s="8" t="s">
        <v>182</v>
      </c>
      <c r="L1647" s="8" t="s">
        <v>557</v>
      </c>
      <c r="M1647" s="1" t="s">
        <v>205</v>
      </c>
      <c r="N1647" s="8" t="s">
        <v>206</v>
      </c>
      <c r="O1647" s="6">
        <v>0</v>
      </c>
      <c r="P1647" s="6">
        <v>0</v>
      </c>
      <c r="Q1647" s="6">
        <v>1</v>
      </c>
      <c r="R1647" s="6">
        <v>0</v>
      </c>
      <c r="S1647" s="6">
        <v>0</v>
      </c>
    </row>
    <row r="1648" spans="1:19" ht="15" hidden="1" x14ac:dyDescent="0.25">
      <c r="A1648" s="7" t="s">
        <v>16</v>
      </c>
      <c r="B1648" s="7" t="s">
        <v>22</v>
      </c>
      <c r="C1648" s="7" t="s">
        <v>18</v>
      </c>
      <c r="D1648" s="4">
        <v>10562003000172</v>
      </c>
      <c r="E1648" s="8" t="s">
        <v>1046</v>
      </c>
      <c r="F1648" s="8" t="s">
        <v>105</v>
      </c>
      <c r="G1648" s="8" t="s">
        <v>61</v>
      </c>
      <c r="H1648" s="8" t="s">
        <v>215</v>
      </c>
      <c r="I1648" s="3">
        <v>2</v>
      </c>
      <c r="J1648" s="8" t="s">
        <v>155</v>
      </c>
      <c r="K1648" s="8" t="s">
        <v>156</v>
      </c>
      <c r="L1648" s="8" t="s">
        <v>556</v>
      </c>
      <c r="M1648" s="1" t="s">
        <v>205</v>
      </c>
      <c r="N1648" s="8" t="s">
        <v>206</v>
      </c>
      <c r="O1648" s="6">
        <v>0</v>
      </c>
      <c r="P1648" s="6">
        <v>0</v>
      </c>
      <c r="Q1648" s="6">
        <v>0</v>
      </c>
      <c r="R1648" s="6">
        <v>0</v>
      </c>
      <c r="S1648" s="6">
        <v>175</v>
      </c>
    </row>
    <row r="1649" spans="1:19" ht="15" hidden="1" x14ac:dyDescent="0.25">
      <c r="A1649" s="7" t="s">
        <v>16</v>
      </c>
      <c r="B1649" s="7" t="s">
        <v>22</v>
      </c>
      <c r="C1649" s="7" t="s">
        <v>18</v>
      </c>
      <c r="D1649" s="4">
        <v>10562003000172</v>
      </c>
      <c r="E1649" s="8" t="s">
        <v>1046</v>
      </c>
      <c r="F1649" s="8" t="s">
        <v>105</v>
      </c>
      <c r="G1649" s="8" t="s">
        <v>61</v>
      </c>
      <c r="H1649" s="8" t="s">
        <v>215</v>
      </c>
      <c r="I1649" s="3">
        <v>2</v>
      </c>
      <c r="J1649" s="8" t="s">
        <v>173</v>
      </c>
      <c r="K1649" s="8" t="s">
        <v>174</v>
      </c>
      <c r="L1649" s="8" t="s">
        <v>557</v>
      </c>
      <c r="M1649" s="1" t="s">
        <v>205</v>
      </c>
      <c r="N1649" s="8" t="s">
        <v>206</v>
      </c>
      <c r="O1649" s="6">
        <v>0</v>
      </c>
      <c r="P1649" s="6">
        <v>0</v>
      </c>
      <c r="Q1649" s="6">
        <v>0</v>
      </c>
      <c r="R1649" s="6">
        <v>0</v>
      </c>
      <c r="S1649" s="6">
        <v>175</v>
      </c>
    </row>
    <row r="1650" spans="1:19" ht="15" hidden="1" x14ac:dyDescent="0.25">
      <c r="A1650" s="7" t="s">
        <v>16</v>
      </c>
      <c r="B1650" s="7" t="s">
        <v>22</v>
      </c>
      <c r="C1650" s="7" t="s">
        <v>18</v>
      </c>
      <c r="D1650" s="4">
        <v>35917970000726</v>
      </c>
      <c r="E1650" s="8" t="s">
        <v>1062</v>
      </c>
      <c r="F1650" s="8" t="s">
        <v>105</v>
      </c>
      <c r="G1650" s="8" t="s">
        <v>61</v>
      </c>
      <c r="H1650" s="8" t="s">
        <v>215</v>
      </c>
      <c r="I1650" s="3">
        <v>2</v>
      </c>
      <c r="J1650" s="8" t="s">
        <v>155</v>
      </c>
      <c r="K1650" s="8" t="s">
        <v>156</v>
      </c>
      <c r="L1650" s="8" t="s">
        <v>556</v>
      </c>
      <c r="M1650" s="1" t="s">
        <v>205</v>
      </c>
      <c r="N1650" s="8" t="s">
        <v>206</v>
      </c>
      <c r="O1650" s="6">
        <v>0</v>
      </c>
      <c r="P1650" s="6">
        <v>0</v>
      </c>
      <c r="Q1650" s="6">
        <v>0</v>
      </c>
      <c r="R1650" s="6">
        <v>30</v>
      </c>
      <c r="S1650" s="6">
        <v>0</v>
      </c>
    </row>
    <row r="1651" spans="1:19" ht="15" hidden="1" x14ac:dyDescent="0.25">
      <c r="A1651" s="7" t="s">
        <v>16</v>
      </c>
      <c r="B1651" s="7" t="s">
        <v>22</v>
      </c>
      <c r="C1651" s="7" t="s">
        <v>18</v>
      </c>
      <c r="D1651" s="4">
        <v>35917970000726</v>
      </c>
      <c r="E1651" s="8" t="s">
        <v>1062</v>
      </c>
      <c r="F1651" s="8" t="s">
        <v>105</v>
      </c>
      <c r="G1651" s="8" t="s">
        <v>61</v>
      </c>
      <c r="H1651" s="8" t="s">
        <v>215</v>
      </c>
      <c r="I1651" s="3">
        <v>2</v>
      </c>
      <c r="J1651" s="8" t="s">
        <v>173</v>
      </c>
      <c r="K1651" s="8" t="s">
        <v>174</v>
      </c>
      <c r="L1651" s="8" t="s">
        <v>557</v>
      </c>
      <c r="M1651" s="1" t="s">
        <v>205</v>
      </c>
      <c r="N1651" s="8" t="s">
        <v>206</v>
      </c>
      <c r="O1651" s="6">
        <v>0</v>
      </c>
      <c r="P1651" s="6">
        <v>0</v>
      </c>
      <c r="Q1651" s="6">
        <v>0</v>
      </c>
      <c r="R1651" s="6">
        <v>0</v>
      </c>
      <c r="S1651" s="6">
        <v>0</v>
      </c>
    </row>
    <row r="1652" spans="1:19" ht="15" hidden="1" x14ac:dyDescent="0.25">
      <c r="A1652" s="7" t="s">
        <v>16</v>
      </c>
      <c r="B1652" s="7" t="s">
        <v>22</v>
      </c>
      <c r="C1652" s="7" t="s">
        <v>18</v>
      </c>
      <c r="D1652" s="4">
        <v>12361267009140</v>
      </c>
      <c r="E1652" s="8" t="s">
        <v>858</v>
      </c>
      <c r="F1652" s="8" t="s">
        <v>859</v>
      </c>
      <c r="G1652" s="8" t="s">
        <v>63</v>
      </c>
      <c r="H1652" s="8" t="s">
        <v>215</v>
      </c>
      <c r="I1652" s="3">
        <v>2</v>
      </c>
      <c r="J1652" s="8" t="s">
        <v>199</v>
      </c>
      <c r="K1652" s="8" t="s">
        <v>200</v>
      </c>
      <c r="L1652" s="8" t="s">
        <v>556</v>
      </c>
      <c r="M1652" s="1" t="s">
        <v>211</v>
      </c>
      <c r="N1652" s="8" t="s">
        <v>212</v>
      </c>
      <c r="O1652" s="6">
        <v>0</v>
      </c>
      <c r="P1652" s="6">
        <v>0</v>
      </c>
      <c r="Q1652" s="6">
        <v>0</v>
      </c>
      <c r="R1652" s="6">
        <v>0</v>
      </c>
      <c r="S1652" s="6">
        <v>5</v>
      </c>
    </row>
    <row r="1653" spans="1:19" ht="15" hidden="1" x14ac:dyDescent="0.25">
      <c r="A1653" s="7" t="s">
        <v>16</v>
      </c>
      <c r="B1653" s="7" t="s">
        <v>22</v>
      </c>
      <c r="C1653" s="7" t="s">
        <v>18</v>
      </c>
      <c r="D1653" s="4">
        <v>12361267009140</v>
      </c>
      <c r="E1653" s="8" t="s">
        <v>858</v>
      </c>
      <c r="F1653" s="8" t="s">
        <v>859</v>
      </c>
      <c r="G1653" s="8" t="s">
        <v>63</v>
      </c>
      <c r="H1653" s="8" t="s">
        <v>215</v>
      </c>
      <c r="I1653" s="3">
        <v>2</v>
      </c>
      <c r="J1653" s="8" t="s">
        <v>169</v>
      </c>
      <c r="K1653" s="8" t="s">
        <v>170</v>
      </c>
      <c r="L1653" s="8" t="s">
        <v>557</v>
      </c>
      <c r="M1653" s="1" t="s">
        <v>211</v>
      </c>
      <c r="N1653" s="8" t="s">
        <v>212</v>
      </c>
      <c r="O1653" s="6">
        <v>0</v>
      </c>
      <c r="P1653" s="6">
        <v>0</v>
      </c>
      <c r="Q1653" s="6">
        <v>0</v>
      </c>
      <c r="R1653" s="6">
        <v>0</v>
      </c>
      <c r="S1653" s="6">
        <v>5</v>
      </c>
    </row>
    <row r="1654" spans="1:19" ht="15" hidden="1" x14ac:dyDescent="0.25">
      <c r="A1654" s="7" t="s">
        <v>16</v>
      </c>
      <c r="B1654" s="7" t="s">
        <v>22</v>
      </c>
      <c r="C1654" s="7" t="s">
        <v>18</v>
      </c>
      <c r="D1654" s="4">
        <v>8319329000121</v>
      </c>
      <c r="E1654" s="8" t="s">
        <v>823</v>
      </c>
      <c r="F1654" s="8" t="s">
        <v>62</v>
      </c>
      <c r="G1654" s="8" t="s">
        <v>63</v>
      </c>
      <c r="H1654" s="8" t="s">
        <v>215</v>
      </c>
      <c r="I1654" s="3">
        <v>2</v>
      </c>
      <c r="J1654" s="8" t="s">
        <v>199</v>
      </c>
      <c r="K1654" s="8" t="s">
        <v>200</v>
      </c>
      <c r="L1654" s="8" t="s">
        <v>556</v>
      </c>
      <c r="M1654" s="1" t="s">
        <v>211</v>
      </c>
      <c r="N1654" s="8" t="s">
        <v>212</v>
      </c>
      <c r="O1654" s="6">
        <v>0</v>
      </c>
      <c r="P1654" s="6">
        <v>0</v>
      </c>
      <c r="Q1654" s="6">
        <v>0</v>
      </c>
      <c r="R1654" s="6">
        <v>0</v>
      </c>
      <c r="S1654" s="6">
        <v>0</v>
      </c>
    </row>
    <row r="1655" spans="1:19" ht="15" hidden="1" x14ac:dyDescent="0.25">
      <c r="A1655" s="7" t="s">
        <v>16</v>
      </c>
      <c r="B1655" s="7" t="s">
        <v>22</v>
      </c>
      <c r="C1655" s="7" t="s">
        <v>18</v>
      </c>
      <c r="D1655" s="4">
        <v>8319329000121</v>
      </c>
      <c r="E1655" s="8" t="s">
        <v>823</v>
      </c>
      <c r="F1655" s="8" t="s">
        <v>62</v>
      </c>
      <c r="G1655" s="8" t="s">
        <v>63</v>
      </c>
      <c r="H1655" s="8" t="s">
        <v>215</v>
      </c>
      <c r="I1655" s="3">
        <v>2</v>
      </c>
      <c r="J1655" s="8" t="s">
        <v>169</v>
      </c>
      <c r="K1655" s="8" t="s">
        <v>170</v>
      </c>
      <c r="L1655" s="8" t="s">
        <v>557</v>
      </c>
      <c r="M1655" s="1" t="s">
        <v>211</v>
      </c>
      <c r="N1655" s="8" t="s">
        <v>212</v>
      </c>
      <c r="O1655" s="6">
        <v>0</v>
      </c>
      <c r="P1655" s="6">
        <v>47</v>
      </c>
      <c r="Q1655" s="6">
        <v>0</v>
      </c>
      <c r="R1655" s="6">
        <v>0</v>
      </c>
      <c r="S1655" s="6">
        <v>0</v>
      </c>
    </row>
    <row r="1656" spans="1:19" ht="15" hidden="1" x14ac:dyDescent="0.25">
      <c r="A1656" s="7" t="s">
        <v>16</v>
      </c>
      <c r="B1656" s="7" t="s">
        <v>22</v>
      </c>
      <c r="C1656" s="7" t="s">
        <v>18</v>
      </c>
      <c r="D1656" s="4">
        <v>15126437000739</v>
      </c>
      <c r="E1656" s="8" t="s">
        <v>881</v>
      </c>
      <c r="F1656" s="8" t="s">
        <v>62</v>
      </c>
      <c r="G1656" s="8" t="s">
        <v>63</v>
      </c>
      <c r="H1656" s="8" t="s">
        <v>215</v>
      </c>
      <c r="I1656" s="3">
        <v>2</v>
      </c>
      <c r="J1656" s="8" t="s">
        <v>199</v>
      </c>
      <c r="K1656" s="8" t="s">
        <v>200</v>
      </c>
      <c r="L1656" s="8" t="s">
        <v>556</v>
      </c>
      <c r="M1656" s="1" t="s">
        <v>211</v>
      </c>
      <c r="N1656" s="8" t="s">
        <v>212</v>
      </c>
      <c r="O1656" s="6">
        <v>0</v>
      </c>
      <c r="P1656" s="6">
        <v>0</v>
      </c>
      <c r="Q1656" s="6">
        <v>0</v>
      </c>
      <c r="R1656" s="6">
        <v>0</v>
      </c>
      <c r="S1656" s="6">
        <v>0</v>
      </c>
    </row>
    <row r="1657" spans="1:19" ht="15" hidden="1" x14ac:dyDescent="0.25">
      <c r="A1657" s="7" t="s">
        <v>16</v>
      </c>
      <c r="B1657" s="7" t="s">
        <v>22</v>
      </c>
      <c r="C1657" s="7" t="s">
        <v>18</v>
      </c>
      <c r="D1657" s="4">
        <v>15126437000739</v>
      </c>
      <c r="E1657" s="8" t="s">
        <v>881</v>
      </c>
      <c r="F1657" s="8" t="s">
        <v>62</v>
      </c>
      <c r="G1657" s="8" t="s">
        <v>63</v>
      </c>
      <c r="H1657" s="8" t="s">
        <v>215</v>
      </c>
      <c r="I1657" s="3">
        <v>2</v>
      </c>
      <c r="J1657" s="8" t="s">
        <v>169</v>
      </c>
      <c r="K1657" s="8" t="s">
        <v>170</v>
      </c>
      <c r="L1657" s="8" t="s">
        <v>557</v>
      </c>
      <c r="M1657" s="1" t="s">
        <v>211</v>
      </c>
      <c r="N1657" s="8" t="s">
        <v>212</v>
      </c>
      <c r="O1657" s="6">
        <v>0</v>
      </c>
      <c r="P1657" s="6">
        <v>50</v>
      </c>
      <c r="Q1657" s="6">
        <v>0</v>
      </c>
      <c r="R1657" s="6">
        <v>0</v>
      </c>
      <c r="S1657" s="6">
        <v>0</v>
      </c>
    </row>
    <row r="1658" spans="1:19" ht="15" hidden="1" x14ac:dyDescent="0.25">
      <c r="A1658" s="7" t="s">
        <v>16</v>
      </c>
      <c r="B1658" s="7" t="s">
        <v>22</v>
      </c>
      <c r="C1658" s="7" t="s">
        <v>18</v>
      </c>
      <c r="D1658" s="4">
        <v>29435005009851</v>
      </c>
      <c r="E1658" s="8" t="s">
        <v>913</v>
      </c>
      <c r="F1658" s="8" t="s">
        <v>62</v>
      </c>
      <c r="G1658" s="8" t="s">
        <v>63</v>
      </c>
      <c r="H1658" s="8" t="s">
        <v>215</v>
      </c>
      <c r="I1658" s="3">
        <v>2</v>
      </c>
      <c r="J1658" s="8" t="s">
        <v>199</v>
      </c>
      <c r="K1658" s="8" t="s">
        <v>200</v>
      </c>
      <c r="L1658" s="8" t="s">
        <v>556</v>
      </c>
      <c r="M1658" s="1" t="s">
        <v>211</v>
      </c>
      <c r="N1658" s="8" t="s">
        <v>212</v>
      </c>
      <c r="O1658" s="6">
        <v>0</v>
      </c>
      <c r="P1658" s="6">
        <v>0</v>
      </c>
      <c r="Q1658" s="6">
        <v>0</v>
      </c>
      <c r="R1658" s="6">
        <v>0</v>
      </c>
      <c r="S1658" s="6">
        <v>125</v>
      </c>
    </row>
    <row r="1659" spans="1:19" ht="15" hidden="1" x14ac:dyDescent="0.25">
      <c r="A1659" s="7" t="s">
        <v>16</v>
      </c>
      <c r="B1659" s="7" t="s">
        <v>22</v>
      </c>
      <c r="C1659" s="7" t="s">
        <v>18</v>
      </c>
      <c r="D1659" s="4">
        <v>29435005009851</v>
      </c>
      <c r="E1659" s="8" t="s">
        <v>913</v>
      </c>
      <c r="F1659" s="8" t="s">
        <v>62</v>
      </c>
      <c r="G1659" s="8" t="s">
        <v>63</v>
      </c>
      <c r="H1659" s="8" t="s">
        <v>215</v>
      </c>
      <c r="I1659" s="3">
        <v>2</v>
      </c>
      <c r="J1659" s="8" t="s">
        <v>169</v>
      </c>
      <c r="K1659" s="8" t="s">
        <v>170</v>
      </c>
      <c r="L1659" s="8" t="s">
        <v>557</v>
      </c>
      <c r="M1659" s="1" t="s">
        <v>211</v>
      </c>
      <c r="N1659" s="8" t="s">
        <v>212</v>
      </c>
      <c r="O1659" s="6">
        <v>0</v>
      </c>
      <c r="P1659" s="6">
        <v>70</v>
      </c>
      <c r="Q1659" s="6">
        <v>0</v>
      </c>
      <c r="R1659" s="6">
        <v>0</v>
      </c>
      <c r="S1659" s="6">
        <v>125</v>
      </c>
    </row>
    <row r="1660" spans="1:19" ht="15" hidden="1" x14ac:dyDescent="0.25">
      <c r="A1660" s="7" t="s">
        <v>16</v>
      </c>
      <c r="B1660" s="7" t="s">
        <v>22</v>
      </c>
      <c r="C1660" s="7" t="s">
        <v>18</v>
      </c>
      <c r="D1660" s="4">
        <v>8337586000196</v>
      </c>
      <c r="E1660" s="8" t="s">
        <v>824</v>
      </c>
      <c r="F1660" s="8" t="s">
        <v>62</v>
      </c>
      <c r="G1660" s="8" t="s">
        <v>63</v>
      </c>
      <c r="H1660" s="8" t="s">
        <v>215</v>
      </c>
      <c r="I1660" s="3">
        <v>2</v>
      </c>
      <c r="J1660" s="8" t="s">
        <v>199</v>
      </c>
      <c r="K1660" s="8" t="s">
        <v>200</v>
      </c>
      <c r="L1660" s="8" t="s">
        <v>556</v>
      </c>
      <c r="M1660" s="1" t="s">
        <v>211</v>
      </c>
      <c r="N1660" s="8" t="s">
        <v>212</v>
      </c>
      <c r="O1660" s="6">
        <v>0</v>
      </c>
      <c r="P1660" s="6">
        <v>0</v>
      </c>
      <c r="Q1660" s="6">
        <v>0</v>
      </c>
      <c r="R1660" s="6">
        <v>0</v>
      </c>
      <c r="S1660" s="6">
        <v>0</v>
      </c>
    </row>
    <row r="1661" spans="1:19" ht="15" hidden="1" x14ac:dyDescent="0.25">
      <c r="A1661" s="7" t="s">
        <v>16</v>
      </c>
      <c r="B1661" s="7" t="s">
        <v>22</v>
      </c>
      <c r="C1661" s="7" t="s">
        <v>18</v>
      </c>
      <c r="D1661" s="4">
        <v>8337586000196</v>
      </c>
      <c r="E1661" s="8" t="s">
        <v>824</v>
      </c>
      <c r="F1661" s="8" t="s">
        <v>62</v>
      </c>
      <c r="G1661" s="8" t="s">
        <v>63</v>
      </c>
      <c r="H1661" s="8" t="s">
        <v>215</v>
      </c>
      <c r="I1661" s="3">
        <v>2</v>
      </c>
      <c r="J1661" s="8" t="s">
        <v>169</v>
      </c>
      <c r="K1661" s="8" t="s">
        <v>170</v>
      </c>
      <c r="L1661" s="8" t="s">
        <v>557</v>
      </c>
      <c r="M1661" s="1" t="s">
        <v>211</v>
      </c>
      <c r="N1661" s="8" t="s">
        <v>212</v>
      </c>
      <c r="O1661" s="6">
        <v>0</v>
      </c>
      <c r="P1661" s="6">
        <v>2</v>
      </c>
      <c r="Q1661" s="6">
        <v>0</v>
      </c>
      <c r="R1661" s="6">
        <v>0</v>
      </c>
      <c r="S1661" s="6">
        <v>0</v>
      </c>
    </row>
    <row r="1662" spans="1:19" ht="15" hidden="1" x14ac:dyDescent="0.25">
      <c r="A1662" s="7" t="s">
        <v>16</v>
      </c>
      <c r="B1662" s="7" t="s">
        <v>22</v>
      </c>
      <c r="C1662" s="7" t="s">
        <v>18</v>
      </c>
      <c r="D1662" s="4">
        <v>12361267009654</v>
      </c>
      <c r="E1662" s="8" t="s">
        <v>860</v>
      </c>
      <c r="F1662" s="8" t="s">
        <v>62</v>
      </c>
      <c r="G1662" s="8" t="s">
        <v>63</v>
      </c>
      <c r="H1662" s="8" t="s">
        <v>215</v>
      </c>
      <c r="I1662" s="3">
        <v>2</v>
      </c>
      <c r="J1662" s="8" t="s">
        <v>199</v>
      </c>
      <c r="K1662" s="8" t="s">
        <v>200</v>
      </c>
      <c r="L1662" s="8" t="s">
        <v>556</v>
      </c>
      <c r="M1662" s="1" t="s">
        <v>211</v>
      </c>
      <c r="N1662" s="8" t="s">
        <v>212</v>
      </c>
      <c r="O1662" s="6">
        <v>0</v>
      </c>
      <c r="P1662" s="6">
        <v>0</v>
      </c>
      <c r="Q1662" s="6">
        <v>0</v>
      </c>
      <c r="R1662" s="6">
        <v>0</v>
      </c>
      <c r="S1662" s="6">
        <v>0</v>
      </c>
    </row>
    <row r="1663" spans="1:19" ht="15" hidden="1" x14ac:dyDescent="0.25">
      <c r="A1663" s="7" t="s">
        <v>16</v>
      </c>
      <c r="B1663" s="7" t="s">
        <v>22</v>
      </c>
      <c r="C1663" s="7" t="s">
        <v>18</v>
      </c>
      <c r="D1663" s="4">
        <v>12361267009654</v>
      </c>
      <c r="E1663" s="8" t="s">
        <v>860</v>
      </c>
      <c r="F1663" s="8" t="s">
        <v>62</v>
      </c>
      <c r="G1663" s="8" t="s">
        <v>63</v>
      </c>
      <c r="H1663" s="8" t="s">
        <v>215</v>
      </c>
      <c r="I1663" s="3">
        <v>2</v>
      </c>
      <c r="J1663" s="8" t="s">
        <v>169</v>
      </c>
      <c r="K1663" s="8" t="s">
        <v>170</v>
      </c>
      <c r="L1663" s="8" t="s">
        <v>557</v>
      </c>
      <c r="M1663" s="1" t="s">
        <v>211</v>
      </c>
      <c r="N1663" s="8" t="s">
        <v>212</v>
      </c>
      <c r="O1663" s="6">
        <v>0</v>
      </c>
      <c r="P1663" s="6">
        <v>2</v>
      </c>
      <c r="Q1663" s="6">
        <v>2</v>
      </c>
      <c r="R1663" s="6">
        <v>0</v>
      </c>
      <c r="S1663" s="6">
        <v>0</v>
      </c>
    </row>
    <row r="1664" spans="1:19" ht="15" hidden="1" x14ac:dyDescent="0.25">
      <c r="A1664" s="7" t="s">
        <v>16</v>
      </c>
      <c r="B1664" s="7" t="s">
        <v>22</v>
      </c>
      <c r="C1664" s="7" t="s">
        <v>18</v>
      </c>
      <c r="D1664" s="4">
        <v>820737000150</v>
      </c>
      <c r="E1664" s="8" t="s">
        <v>757</v>
      </c>
      <c r="F1664" s="8" t="s">
        <v>62</v>
      </c>
      <c r="G1664" s="8" t="s">
        <v>63</v>
      </c>
      <c r="H1664" s="8" t="s">
        <v>215</v>
      </c>
      <c r="I1664" s="3">
        <v>2</v>
      </c>
      <c r="J1664" s="8" t="s">
        <v>199</v>
      </c>
      <c r="K1664" s="8" t="s">
        <v>200</v>
      </c>
      <c r="L1664" s="8" t="s">
        <v>556</v>
      </c>
      <c r="M1664" s="1" t="s">
        <v>211</v>
      </c>
      <c r="N1664" s="8" t="s">
        <v>212</v>
      </c>
      <c r="O1664" s="6">
        <v>0</v>
      </c>
      <c r="P1664" s="6">
        <v>0</v>
      </c>
      <c r="Q1664" s="6">
        <v>0</v>
      </c>
      <c r="R1664" s="6">
        <v>0</v>
      </c>
      <c r="S1664" s="6">
        <v>0</v>
      </c>
    </row>
    <row r="1665" spans="1:19" ht="15" hidden="1" x14ac:dyDescent="0.25">
      <c r="A1665" s="7" t="s">
        <v>16</v>
      </c>
      <c r="B1665" s="7" t="s">
        <v>22</v>
      </c>
      <c r="C1665" s="7" t="s">
        <v>18</v>
      </c>
      <c r="D1665" s="4">
        <v>820737000150</v>
      </c>
      <c r="E1665" s="8" t="s">
        <v>757</v>
      </c>
      <c r="F1665" s="8" t="s">
        <v>62</v>
      </c>
      <c r="G1665" s="8" t="s">
        <v>63</v>
      </c>
      <c r="H1665" s="8" t="s">
        <v>215</v>
      </c>
      <c r="I1665" s="3">
        <v>2</v>
      </c>
      <c r="J1665" s="8" t="s">
        <v>169</v>
      </c>
      <c r="K1665" s="8" t="s">
        <v>170</v>
      </c>
      <c r="L1665" s="8" t="s">
        <v>557</v>
      </c>
      <c r="M1665" s="1" t="s">
        <v>211</v>
      </c>
      <c r="N1665" s="8" t="s">
        <v>212</v>
      </c>
      <c r="O1665" s="6">
        <v>0</v>
      </c>
      <c r="P1665" s="6">
        <v>21</v>
      </c>
      <c r="Q1665" s="6">
        <v>0</v>
      </c>
      <c r="R1665" s="6">
        <v>0</v>
      </c>
      <c r="S1665" s="6">
        <v>0</v>
      </c>
    </row>
    <row r="1666" spans="1:19" ht="15" hidden="1" x14ac:dyDescent="0.25">
      <c r="A1666" s="7" t="s">
        <v>16</v>
      </c>
      <c r="B1666" s="7" t="s">
        <v>22</v>
      </c>
      <c r="C1666" s="7" t="s">
        <v>18</v>
      </c>
      <c r="D1666" s="4">
        <v>1507901000137</v>
      </c>
      <c r="E1666" s="8" t="s">
        <v>765</v>
      </c>
      <c r="F1666" s="8" t="s">
        <v>62</v>
      </c>
      <c r="G1666" s="8" t="s">
        <v>63</v>
      </c>
      <c r="H1666" s="8" t="s">
        <v>215</v>
      </c>
      <c r="I1666" s="3">
        <v>2</v>
      </c>
      <c r="J1666" s="8" t="s">
        <v>199</v>
      </c>
      <c r="K1666" s="8" t="s">
        <v>200</v>
      </c>
      <c r="L1666" s="8" t="s">
        <v>556</v>
      </c>
      <c r="M1666" s="1" t="s">
        <v>211</v>
      </c>
      <c r="N1666" s="8" t="s">
        <v>212</v>
      </c>
      <c r="O1666" s="6">
        <v>0</v>
      </c>
      <c r="P1666" s="6">
        <v>0</v>
      </c>
      <c r="Q1666" s="6">
        <v>0</v>
      </c>
      <c r="R1666" s="6">
        <v>0</v>
      </c>
      <c r="S1666" s="6">
        <v>0</v>
      </c>
    </row>
    <row r="1667" spans="1:19" ht="15" hidden="1" x14ac:dyDescent="0.25">
      <c r="A1667" s="7" t="s">
        <v>16</v>
      </c>
      <c r="B1667" s="7" t="s">
        <v>22</v>
      </c>
      <c r="C1667" s="7" t="s">
        <v>18</v>
      </c>
      <c r="D1667" s="4">
        <v>1507901000137</v>
      </c>
      <c r="E1667" s="8" t="s">
        <v>765</v>
      </c>
      <c r="F1667" s="8" t="s">
        <v>62</v>
      </c>
      <c r="G1667" s="8" t="s">
        <v>63</v>
      </c>
      <c r="H1667" s="8" t="s">
        <v>215</v>
      </c>
      <c r="I1667" s="3">
        <v>2</v>
      </c>
      <c r="J1667" s="8" t="s">
        <v>169</v>
      </c>
      <c r="K1667" s="8" t="s">
        <v>170</v>
      </c>
      <c r="L1667" s="8" t="s">
        <v>557</v>
      </c>
      <c r="M1667" s="1" t="s">
        <v>211</v>
      </c>
      <c r="N1667" s="8" t="s">
        <v>212</v>
      </c>
      <c r="O1667" s="6">
        <v>0</v>
      </c>
      <c r="P1667" s="6">
        <v>10</v>
      </c>
      <c r="Q1667" s="6">
        <v>7</v>
      </c>
      <c r="R1667" s="6">
        <v>0</v>
      </c>
      <c r="S1667" s="6">
        <v>0</v>
      </c>
    </row>
    <row r="1668" spans="1:19" ht="15" hidden="1" x14ac:dyDescent="0.25">
      <c r="A1668" s="7" t="s">
        <v>16</v>
      </c>
      <c r="B1668" s="7" t="s">
        <v>22</v>
      </c>
      <c r="C1668" s="7" t="s">
        <v>18</v>
      </c>
      <c r="D1668" s="4">
        <v>2109397000180</v>
      </c>
      <c r="E1668" s="8" t="s">
        <v>773</v>
      </c>
      <c r="F1668" s="8" t="s">
        <v>62</v>
      </c>
      <c r="G1668" s="8" t="s">
        <v>63</v>
      </c>
      <c r="H1668" s="8" t="s">
        <v>215</v>
      </c>
      <c r="I1668" s="3">
        <v>2</v>
      </c>
      <c r="J1668" s="8" t="s">
        <v>199</v>
      </c>
      <c r="K1668" s="8" t="s">
        <v>200</v>
      </c>
      <c r="L1668" s="8" t="s">
        <v>556</v>
      </c>
      <c r="M1668" s="1" t="s">
        <v>211</v>
      </c>
      <c r="N1668" s="8" t="s">
        <v>212</v>
      </c>
      <c r="O1668" s="6">
        <v>0</v>
      </c>
      <c r="P1668" s="6">
        <v>0</v>
      </c>
      <c r="Q1668" s="6">
        <v>0</v>
      </c>
      <c r="R1668" s="6">
        <v>0</v>
      </c>
      <c r="S1668" s="6">
        <v>0</v>
      </c>
    </row>
    <row r="1669" spans="1:19" ht="15" hidden="1" x14ac:dyDescent="0.25">
      <c r="A1669" s="7" t="s">
        <v>16</v>
      </c>
      <c r="B1669" s="7" t="s">
        <v>22</v>
      </c>
      <c r="C1669" s="7" t="s">
        <v>18</v>
      </c>
      <c r="D1669" s="4">
        <v>2109397000180</v>
      </c>
      <c r="E1669" s="8" t="s">
        <v>773</v>
      </c>
      <c r="F1669" s="8" t="s">
        <v>62</v>
      </c>
      <c r="G1669" s="8" t="s">
        <v>63</v>
      </c>
      <c r="H1669" s="8" t="s">
        <v>215</v>
      </c>
      <c r="I1669" s="3">
        <v>2</v>
      </c>
      <c r="J1669" s="8" t="s">
        <v>169</v>
      </c>
      <c r="K1669" s="8" t="s">
        <v>170</v>
      </c>
      <c r="L1669" s="8" t="s">
        <v>557</v>
      </c>
      <c r="M1669" s="1" t="s">
        <v>211</v>
      </c>
      <c r="N1669" s="8" t="s">
        <v>212</v>
      </c>
      <c r="O1669" s="6">
        <v>0</v>
      </c>
      <c r="P1669" s="6">
        <v>24</v>
      </c>
      <c r="Q1669" s="6">
        <v>0</v>
      </c>
      <c r="R1669" s="6">
        <v>0</v>
      </c>
      <c r="S1669" s="6">
        <v>0</v>
      </c>
    </row>
    <row r="1670" spans="1:19" ht="15" hidden="1" x14ac:dyDescent="0.25">
      <c r="A1670" s="7" t="s">
        <v>16</v>
      </c>
      <c r="B1670" s="7" t="s">
        <v>22</v>
      </c>
      <c r="C1670" s="7" t="s">
        <v>18</v>
      </c>
      <c r="D1670" s="4">
        <v>88645403001372</v>
      </c>
      <c r="E1670" s="8" t="s">
        <v>1025</v>
      </c>
      <c r="F1670" s="8" t="s">
        <v>66</v>
      </c>
      <c r="G1670" s="8" t="s">
        <v>67</v>
      </c>
      <c r="H1670" s="8" t="s">
        <v>215</v>
      </c>
      <c r="I1670" s="3">
        <v>2</v>
      </c>
      <c r="J1670" s="8" t="s">
        <v>175</v>
      </c>
      <c r="K1670" s="8" t="s">
        <v>176</v>
      </c>
      <c r="L1670" s="8" t="s">
        <v>556</v>
      </c>
      <c r="M1670" s="1" t="s">
        <v>205</v>
      </c>
      <c r="N1670" s="8" t="s">
        <v>206</v>
      </c>
      <c r="O1670" s="6">
        <v>0</v>
      </c>
      <c r="P1670" s="6">
        <v>0</v>
      </c>
      <c r="Q1670" s="6">
        <v>0</v>
      </c>
      <c r="R1670" s="6">
        <v>32</v>
      </c>
      <c r="S1670" s="6">
        <v>0</v>
      </c>
    </row>
    <row r="1671" spans="1:19" ht="15" hidden="1" x14ac:dyDescent="0.25">
      <c r="A1671" s="7" t="s">
        <v>16</v>
      </c>
      <c r="B1671" s="7" t="s">
        <v>22</v>
      </c>
      <c r="C1671" s="7" t="s">
        <v>18</v>
      </c>
      <c r="D1671" s="4">
        <v>88645403001372</v>
      </c>
      <c r="E1671" s="8" t="s">
        <v>1025</v>
      </c>
      <c r="F1671" s="8" t="s">
        <v>66</v>
      </c>
      <c r="G1671" s="8" t="s">
        <v>67</v>
      </c>
      <c r="H1671" s="8" t="s">
        <v>215</v>
      </c>
      <c r="I1671" s="3">
        <v>2</v>
      </c>
      <c r="J1671" s="8" t="s">
        <v>144</v>
      </c>
      <c r="K1671" s="8" t="s">
        <v>145</v>
      </c>
      <c r="L1671" s="8" t="s">
        <v>557</v>
      </c>
      <c r="M1671" s="1" t="s">
        <v>205</v>
      </c>
      <c r="N1671" s="8" t="s">
        <v>206</v>
      </c>
      <c r="O1671" s="6">
        <v>0</v>
      </c>
      <c r="P1671" s="6">
        <v>0</v>
      </c>
      <c r="Q1671" s="6">
        <v>0</v>
      </c>
      <c r="R1671" s="6">
        <v>0</v>
      </c>
      <c r="S1671" s="6">
        <v>0</v>
      </c>
    </row>
    <row r="1672" spans="1:19" ht="15" hidden="1" x14ac:dyDescent="0.25">
      <c r="A1672" s="7" t="s">
        <v>16</v>
      </c>
      <c r="B1672" s="7" t="s">
        <v>22</v>
      </c>
      <c r="C1672" s="7" t="s">
        <v>18</v>
      </c>
      <c r="D1672" s="4">
        <v>87827689002405</v>
      </c>
      <c r="E1672" s="8" t="s">
        <v>1021</v>
      </c>
      <c r="F1672" s="8" t="s">
        <v>66</v>
      </c>
      <c r="G1672" s="8" t="s">
        <v>67</v>
      </c>
      <c r="H1672" s="8" t="s">
        <v>215</v>
      </c>
      <c r="I1672" s="3">
        <v>2</v>
      </c>
      <c r="J1672" s="8" t="s">
        <v>175</v>
      </c>
      <c r="K1672" s="8" t="s">
        <v>176</v>
      </c>
      <c r="L1672" s="8" t="s">
        <v>556</v>
      </c>
      <c r="M1672" s="1" t="s">
        <v>205</v>
      </c>
      <c r="N1672" s="8" t="s">
        <v>206</v>
      </c>
      <c r="O1672" s="6">
        <v>0</v>
      </c>
      <c r="P1672" s="6">
        <v>0</v>
      </c>
      <c r="Q1672" s="6">
        <v>0</v>
      </c>
      <c r="R1672" s="6">
        <v>209</v>
      </c>
      <c r="S1672" s="6">
        <v>90</v>
      </c>
    </row>
    <row r="1673" spans="1:19" ht="15" hidden="1" x14ac:dyDescent="0.25">
      <c r="A1673" s="7" t="s">
        <v>16</v>
      </c>
      <c r="B1673" s="7" t="s">
        <v>22</v>
      </c>
      <c r="C1673" s="7" t="s">
        <v>18</v>
      </c>
      <c r="D1673" s="4">
        <v>87827689002405</v>
      </c>
      <c r="E1673" s="8" t="s">
        <v>1021</v>
      </c>
      <c r="F1673" s="8" t="s">
        <v>66</v>
      </c>
      <c r="G1673" s="8" t="s">
        <v>67</v>
      </c>
      <c r="H1673" s="8" t="s">
        <v>215</v>
      </c>
      <c r="I1673" s="3">
        <v>2</v>
      </c>
      <c r="J1673" s="8" t="s">
        <v>144</v>
      </c>
      <c r="K1673" s="8" t="s">
        <v>145</v>
      </c>
      <c r="L1673" s="8" t="s">
        <v>557</v>
      </c>
      <c r="M1673" s="1" t="s">
        <v>205</v>
      </c>
      <c r="N1673" s="8" t="s">
        <v>206</v>
      </c>
      <c r="O1673" s="6">
        <v>0</v>
      </c>
      <c r="P1673" s="6">
        <v>0</v>
      </c>
      <c r="Q1673" s="6">
        <v>0</v>
      </c>
      <c r="R1673" s="6">
        <v>0</v>
      </c>
      <c r="S1673" s="6">
        <v>90</v>
      </c>
    </row>
    <row r="1674" spans="1:19" ht="15" hidden="1" x14ac:dyDescent="0.25">
      <c r="A1674" s="7" t="s">
        <v>16</v>
      </c>
      <c r="B1674" s="7" t="s">
        <v>22</v>
      </c>
      <c r="C1674" s="7" t="s">
        <v>18</v>
      </c>
      <c r="D1674" s="4">
        <v>92404789000164</v>
      </c>
      <c r="E1674" s="8" t="s">
        <v>1028</v>
      </c>
      <c r="F1674" s="8" t="s">
        <v>106</v>
      </c>
      <c r="G1674" s="8" t="s">
        <v>67</v>
      </c>
      <c r="H1674" s="8" t="s">
        <v>215</v>
      </c>
      <c r="I1674" s="3">
        <v>2</v>
      </c>
      <c r="J1674" s="8" t="s">
        <v>175</v>
      </c>
      <c r="K1674" s="8" t="s">
        <v>176</v>
      </c>
      <c r="L1674" s="8" t="s">
        <v>556</v>
      </c>
      <c r="M1674" s="1" t="s">
        <v>205</v>
      </c>
      <c r="N1674" s="8" t="s">
        <v>206</v>
      </c>
      <c r="O1674" s="6">
        <v>0</v>
      </c>
      <c r="P1674" s="6">
        <v>0</v>
      </c>
      <c r="Q1674" s="6">
        <v>0</v>
      </c>
      <c r="R1674" s="6">
        <v>16</v>
      </c>
      <c r="S1674" s="6">
        <v>0</v>
      </c>
    </row>
    <row r="1675" spans="1:19" ht="15" hidden="1" x14ac:dyDescent="0.25">
      <c r="A1675" s="7" t="s">
        <v>16</v>
      </c>
      <c r="B1675" s="7" t="s">
        <v>22</v>
      </c>
      <c r="C1675" s="7" t="s">
        <v>18</v>
      </c>
      <c r="D1675" s="4">
        <v>92404789000164</v>
      </c>
      <c r="E1675" s="8" t="s">
        <v>1028</v>
      </c>
      <c r="F1675" s="8" t="s">
        <v>106</v>
      </c>
      <c r="G1675" s="8" t="s">
        <v>67</v>
      </c>
      <c r="H1675" s="8" t="s">
        <v>215</v>
      </c>
      <c r="I1675" s="3">
        <v>2</v>
      </c>
      <c r="J1675" s="8" t="s">
        <v>144</v>
      </c>
      <c r="K1675" s="8" t="s">
        <v>145</v>
      </c>
      <c r="L1675" s="8" t="s">
        <v>557</v>
      </c>
      <c r="M1675" s="1" t="s">
        <v>205</v>
      </c>
      <c r="N1675" s="8" t="s">
        <v>206</v>
      </c>
      <c r="O1675" s="6">
        <v>0</v>
      </c>
      <c r="P1675" s="6">
        <v>0</v>
      </c>
      <c r="Q1675" s="6">
        <v>0</v>
      </c>
      <c r="R1675" s="6">
        <v>0</v>
      </c>
      <c r="S1675" s="6">
        <v>0</v>
      </c>
    </row>
    <row r="1676" spans="1:19" ht="15" hidden="1" x14ac:dyDescent="0.25">
      <c r="A1676" s="7" t="s">
        <v>16</v>
      </c>
      <c r="B1676" s="7" t="s">
        <v>22</v>
      </c>
      <c r="C1676" s="7" t="s">
        <v>18</v>
      </c>
      <c r="D1676" s="4">
        <v>92685833000151</v>
      </c>
      <c r="E1676" s="8" t="s">
        <v>1029</v>
      </c>
      <c r="F1676" s="8" t="s">
        <v>83</v>
      </c>
      <c r="G1676" s="8" t="s">
        <v>67</v>
      </c>
      <c r="H1676" s="8" t="s">
        <v>215</v>
      </c>
      <c r="I1676" s="3">
        <v>2</v>
      </c>
      <c r="J1676" s="8" t="s">
        <v>175</v>
      </c>
      <c r="K1676" s="8" t="s">
        <v>176</v>
      </c>
      <c r="L1676" s="8" t="s">
        <v>556</v>
      </c>
      <c r="M1676" s="1" t="s">
        <v>205</v>
      </c>
      <c r="N1676" s="8" t="s">
        <v>206</v>
      </c>
      <c r="O1676" s="6">
        <v>0</v>
      </c>
      <c r="P1676" s="6">
        <v>0</v>
      </c>
      <c r="Q1676" s="6">
        <v>0</v>
      </c>
      <c r="R1676" s="6">
        <v>8</v>
      </c>
      <c r="S1676" s="6">
        <v>0</v>
      </c>
    </row>
    <row r="1677" spans="1:19" ht="15" hidden="1" x14ac:dyDescent="0.25">
      <c r="A1677" s="7" t="s">
        <v>16</v>
      </c>
      <c r="B1677" s="7" t="s">
        <v>22</v>
      </c>
      <c r="C1677" s="7" t="s">
        <v>18</v>
      </c>
      <c r="D1677" s="4">
        <v>92685833000151</v>
      </c>
      <c r="E1677" s="8" t="s">
        <v>1029</v>
      </c>
      <c r="F1677" s="8" t="s">
        <v>83</v>
      </c>
      <c r="G1677" s="8" t="s">
        <v>67</v>
      </c>
      <c r="H1677" s="8" t="s">
        <v>215</v>
      </c>
      <c r="I1677" s="3">
        <v>2</v>
      </c>
      <c r="J1677" s="8" t="s">
        <v>144</v>
      </c>
      <c r="K1677" s="8" t="s">
        <v>145</v>
      </c>
      <c r="L1677" s="8" t="s">
        <v>557</v>
      </c>
      <c r="M1677" s="1" t="s">
        <v>205</v>
      </c>
      <c r="N1677" s="8" t="s">
        <v>206</v>
      </c>
      <c r="O1677" s="6">
        <v>0</v>
      </c>
      <c r="P1677" s="6">
        <v>32</v>
      </c>
      <c r="Q1677" s="6">
        <v>0</v>
      </c>
      <c r="R1677" s="6">
        <v>0</v>
      </c>
      <c r="S1677" s="6">
        <v>0</v>
      </c>
    </row>
    <row r="1678" spans="1:19" ht="15" hidden="1" x14ac:dyDescent="0.25">
      <c r="A1678" s="7" t="s">
        <v>16</v>
      </c>
      <c r="B1678" s="7" t="s">
        <v>22</v>
      </c>
      <c r="C1678" s="7" t="s">
        <v>18</v>
      </c>
      <c r="D1678" s="4">
        <v>87020517000120</v>
      </c>
      <c r="E1678" s="8" t="s">
        <v>1013</v>
      </c>
      <c r="F1678" s="8" t="s">
        <v>83</v>
      </c>
      <c r="G1678" s="8" t="s">
        <v>67</v>
      </c>
      <c r="H1678" s="8" t="s">
        <v>215</v>
      </c>
      <c r="I1678" s="3">
        <v>2</v>
      </c>
      <c r="J1678" s="8" t="s">
        <v>175</v>
      </c>
      <c r="K1678" s="8" t="s">
        <v>176</v>
      </c>
      <c r="L1678" s="8" t="s">
        <v>556</v>
      </c>
      <c r="M1678" s="1" t="s">
        <v>205</v>
      </c>
      <c r="N1678" s="8" t="s">
        <v>206</v>
      </c>
      <c r="O1678" s="6">
        <v>0</v>
      </c>
      <c r="P1678" s="6">
        <v>0</v>
      </c>
      <c r="Q1678" s="6">
        <v>0</v>
      </c>
      <c r="R1678" s="6">
        <v>0</v>
      </c>
      <c r="S1678" s="6">
        <v>0</v>
      </c>
    </row>
    <row r="1679" spans="1:19" ht="15" hidden="1" x14ac:dyDescent="0.25">
      <c r="A1679" s="7" t="s">
        <v>16</v>
      </c>
      <c r="B1679" s="7" t="s">
        <v>22</v>
      </c>
      <c r="C1679" s="7" t="s">
        <v>18</v>
      </c>
      <c r="D1679" s="4">
        <v>87020517000120</v>
      </c>
      <c r="E1679" s="8" t="s">
        <v>1013</v>
      </c>
      <c r="F1679" s="8" t="s">
        <v>83</v>
      </c>
      <c r="G1679" s="8" t="s">
        <v>67</v>
      </c>
      <c r="H1679" s="8" t="s">
        <v>215</v>
      </c>
      <c r="I1679" s="3">
        <v>2</v>
      </c>
      <c r="J1679" s="8" t="s">
        <v>144</v>
      </c>
      <c r="K1679" s="8" t="s">
        <v>145</v>
      </c>
      <c r="L1679" s="8" t="s">
        <v>557</v>
      </c>
      <c r="M1679" s="1" t="s">
        <v>205</v>
      </c>
      <c r="N1679" s="8" t="s">
        <v>206</v>
      </c>
      <c r="O1679" s="6">
        <v>0</v>
      </c>
      <c r="P1679" s="6">
        <v>12</v>
      </c>
      <c r="Q1679" s="6">
        <v>15</v>
      </c>
      <c r="R1679" s="6">
        <v>0</v>
      </c>
      <c r="S1679" s="6">
        <v>0</v>
      </c>
    </row>
    <row r="1680" spans="1:19" ht="15" hidden="1" x14ac:dyDescent="0.25">
      <c r="A1680" s="7" t="s">
        <v>16</v>
      </c>
      <c r="B1680" s="7" t="s">
        <v>22</v>
      </c>
      <c r="C1680" s="7" t="s">
        <v>18</v>
      </c>
      <c r="D1680" s="4">
        <v>87317764001084</v>
      </c>
      <c r="E1680" s="8" t="s">
        <v>1015</v>
      </c>
      <c r="F1680" s="8" t="s">
        <v>83</v>
      </c>
      <c r="G1680" s="8" t="s">
        <v>67</v>
      </c>
      <c r="H1680" s="8" t="s">
        <v>215</v>
      </c>
      <c r="I1680" s="3">
        <v>2</v>
      </c>
      <c r="J1680" s="8" t="s">
        <v>175</v>
      </c>
      <c r="K1680" s="8" t="s">
        <v>176</v>
      </c>
      <c r="L1680" s="8" t="s">
        <v>556</v>
      </c>
      <c r="M1680" s="1" t="s">
        <v>205</v>
      </c>
      <c r="N1680" s="8" t="s">
        <v>206</v>
      </c>
      <c r="O1680" s="6">
        <v>0</v>
      </c>
      <c r="P1680" s="6">
        <v>0</v>
      </c>
      <c r="Q1680" s="6">
        <v>0</v>
      </c>
      <c r="R1680" s="6">
        <v>0</v>
      </c>
      <c r="S1680" s="6">
        <v>200</v>
      </c>
    </row>
    <row r="1681" spans="1:19" ht="15" hidden="1" x14ac:dyDescent="0.25">
      <c r="A1681" s="7" t="s">
        <v>16</v>
      </c>
      <c r="B1681" s="7" t="s">
        <v>22</v>
      </c>
      <c r="C1681" s="7" t="s">
        <v>18</v>
      </c>
      <c r="D1681" s="4">
        <v>87317764001084</v>
      </c>
      <c r="E1681" s="8" t="s">
        <v>1015</v>
      </c>
      <c r="F1681" s="8" t="s">
        <v>83</v>
      </c>
      <c r="G1681" s="8" t="s">
        <v>67</v>
      </c>
      <c r="H1681" s="8" t="s">
        <v>215</v>
      </c>
      <c r="I1681" s="3">
        <v>2</v>
      </c>
      <c r="J1681" s="8" t="s">
        <v>144</v>
      </c>
      <c r="K1681" s="8" t="s">
        <v>145</v>
      </c>
      <c r="L1681" s="8" t="s">
        <v>557</v>
      </c>
      <c r="M1681" s="1" t="s">
        <v>205</v>
      </c>
      <c r="N1681" s="8" t="s">
        <v>206</v>
      </c>
      <c r="O1681" s="6">
        <v>0</v>
      </c>
      <c r="P1681" s="6">
        <v>0</v>
      </c>
      <c r="Q1681" s="6">
        <v>0</v>
      </c>
      <c r="R1681" s="6">
        <v>0</v>
      </c>
      <c r="S1681" s="6">
        <v>200</v>
      </c>
    </row>
    <row r="1682" spans="1:19" ht="15" hidden="1" x14ac:dyDescent="0.25">
      <c r="A1682" s="7" t="s">
        <v>16</v>
      </c>
      <c r="B1682" s="7" t="s">
        <v>22</v>
      </c>
      <c r="C1682" s="7" t="s">
        <v>18</v>
      </c>
      <c r="D1682" s="4">
        <v>92741016000254</v>
      </c>
      <c r="E1682" s="8" t="s">
        <v>1030</v>
      </c>
      <c r="F1682" s="8" t="s">
        <v>83</v>
      </c>
      <c r="G1682" s="8" t="s">
        <v>67</v>
      </c>
      <c r="H1682" s="8" t="s">
        <v>215</v>
      </c>
      <c r="I1682" s="3">
        <v>2</v>
      </c>
      <c r="J1682" s="8" t="s">
        <v>175</v>
      </c>
      <c r="K1682" s="8" t="s">
        <v>176</v>
      </c>
      <c r="L1682" s="8" t="s">
        <v>556</v>
      </c>
      <c r="M1682" s="1" t="s">
        <v>205</v>
      </c>
      <c r="N1682" s="8" t="s">
        <v>206</v>
      </c>
      <c r="O1682" s="6">
        <v>0</v>
      </c>
      <c r="P1682" s="6">
        <v>0</v>
      </c>
      <c r="Q1682" s="6">
        <v>0</v>
      </c>
      <c r="R1682" s="6">
        <v>0</v>
      </c>
      <c r="S1682" s="6">
        <v>0</v>
      </c>
    </row>
    <row r="1683" spans="1:19" ht="15" hidden="1" x14ac:dyDescent="0.25">
      <c r="A1683" s="7" t="s">
        <v>16</v>
      </c>
      <c r="B1683" s="7" t="s">
        <v>22</v>
      </c>
      <c r="C1683" s="7" t="s">
        <v>18</v>
      </c>
      <c r="D1683" s="4">
        <v>92741016000254</v>
      </c>
      <c r="E1683" s="8" t="s">
        <v>1030</v>
      </c>
      <c r="F1683" s="8" t="s">
        <v>83</v>
      </c>
      <c r="G1683" s="8" t="s">
        <v>67</v>
      </c>
      <c r="H1683" s="8" t="s">
        <v>215</v>
      </c>
      <c r="I1683" s="3">
        <v>2</v>
      </c>
      <c r="J1683" s="8" t="s">
        <v>144</v>
      </c>
      <c r="K1683" s="8" t="s">
        <v>145</v>
      </c>
      <c r="L1683" s="8" t="s">
        <v>557</v>
      </c>
      <c r="M1683" s="1" t="s">
        <v>205</v>
      </c>
      <c r="N1683" s="8" t="s">
        <v>206</v>
      </c>
      <c r="O1683" s="6">
        <v>0</v>
      </c>
      <c r="P1683" s="6">
        <v>9</v>
      </c>
      <c r="Q1683" s="6">
        <v>2</v>
      </c>
      <c r="R1683" s="6">
        <v>0</v>
      </c>
      <c r="S1683" s="6">
        <v>0</v>
      </c>
    </row>
    <row r="1684" spans="1:19" ht="15" hidden="1" x14ac:dyDescent="0.25">
      <c r="A1684" s="7" t="s">
        <v>16</v>
      </c>
      <c r="B1684" s="7" t="s">
        <v>22</v>
      </c>
      <c r="C1684" s="7" t="s">
        <v>18</v>
      </c>
      <c r="D1684" s="4">
        <v>88625686002443</v>
      </c>
      <c r="E1684" s="8" t="s">
        <v>1023</v>
      </c>
      <c r="F1684" s="8" t="s">
        <v>83</v>
      </c>
      <c r="G1684" s="8" t="s">
        <v>67</v>
      </c>
      <c r="H1684" s="8" t="s">
        <v>215</v>
      </c>
      <c r="I1684" s="3">
        <v>2</v>
      </c>
      <c r="J1684" s="8" t="s">
        <v>175</v>
      </c>
      <c r="K1684" s="8" t="s">
        <v>176</v>
      </c>
      <c r="L1684" s="8" t="s">
        <v>556</v>
      </c>
      <c r="M1684" s="1" t="s">
        <v>205</v>
      </c>
      <c r="N1684" s="8" t="s">
        <v>206</v>
      </c>
      <c r="O1684" s="6">
        <v>0</v>
      </c>
      <c r="P1684" s="6">
        <v>0</v>
      </c>
      <c r="Q1684" s="6">
        <v>0</v>
      </c>
      <c r="R1684" s="6">
        <v>0</v>
      </c>
      <c r="S1684" s="6">
        <v>0</v>
      </c>
    </row>
    <row r="1685" spans="1:19" ht="15" hidden="1" x14ac:dyDescent="0.25">
      <c r="A1685" s="7" t="s">
        <v>16</v>
      </c>
      <c r="B1685" s="7" t="s">
        <v>22</v>
      </c>
      <c r="C1685" s="7" t="s">
        <v>18</v>
      </c>
      <c r="D1685" s="4">
        <v>88625686002443</v>
      </c>
      <c r="E1685" s="8" t="s">
        <v>1023</v>
      </c>
      <c r="F1685" s="8" t="s">
        <v>83</v>
      </c>
      <c r="G1685" s="8" t="s">
        <v>67</v>
      </c>
      <c r="H1685" s="8" t="s">
        <v>215</v>
      </c>
      <c r="I1685" s="3">
        <v>2</v>
      </c>
      <c r="J1685" s="8" t="s">
        <v>144</v>
      </c>
      <c r="K1685" s="8" t="s">
        <v>145</v>
      </c>
      <c r="L1685" s="8" t="s">
        <v>557</v>
      </c>
      <c r="M1685" s="1" t="s">
        <v>205</v>
      </c>
      <c r="N1685" s="8" t="s">
        <v>206</v>
      </c>
      <c r="O1685" s="6">
        <v>0</v>
      </c>
      <c r="P1685" s="6">
        <v>19</v>
      </c>
      <c r="Q1685" s="6">
        <v>2</v>
      </c>
      <c r="R1685" s="6">
        <v>0</v>
      </c>
      <c r="S1685" s="6">
        <v>0</v>
      </c>
    </row>
    <row r="1686" spans="1:19" ht="15" hidden="1" x14ac:dyDescent="0.25">
      <c r="A1686" s="7" t="s">
        <v>16</v>
      </c>
      <c r="B1686" s="7" t="s">
        <v>22</v>
      </c>
      <c r="C1686" s="7" t="s">
        <v>18</v>
      </c>
      <c r="D1686" s="4">
        <v>94831294000147</v>
      </c>
      <c r="E1686" s="8" t="s">
        <v>1036</v>
      </c>
      <c r="F1686" s="8" t="s">
        <v>83</v>
      </c>
      <c r="G1686" s="8" t="s">
        <v>67</v>
      </c>
      <c r="H1686" s="8" t="s">
        <v>215</v>
      </c>
      <c r="I1686" s="3">
        <v>2</v>
      </c>
      <c r="J1686" s="8" t="s">
        <v>175</v>
      </c>
      <c r="K1686" s="8" t="s">
        <v>176</v>
      </c>
      <c r="L1686" s="8" t="s">
        <v>556</v>
      </c>
      <c r="M1686" s="1" t="s">
        <v>205</v>
      </c>
      <c r="N1686" s="8" t="s">
        <v>206</v>
      </c>
      <c r="O1686" s="6">
        <v>0</v>
      </c>
      <c r="P1686" s="6">
        <v>0</v>
      </c>
      <c r="Q1686" s="6">
        <v>0</v>
      </c>
      <c r="R1686" s="6">
        <v>0</v>
      </c>
      <c r="S1686" s="6">
        <v>30</v>
      </c>
    </row>
    <row r="1687" spans="1:19" ht="15" hidden="1" x14ac:dyDescent="0.25">
      <c r="A1687" s="7" t="s">
        <v>16</v>
      </c>
      <c r="B1687" s="7" t="s">
        <v>22</v>
      </c>
      <c r="C1687" s="7" t="s">
        <v>18</v>
      </c>
      <c r="D1687" s="4">
        <v>94831294000147</v>
      </c>
      <c r="E1687" s="8" t="s">
        <v>1036</v>
      </c>
      <c r="F1687" s="8" t="s">
        <v>83</v>
      </c>
      <c r="G1687" s="8" t="s">
        <v>67</v>
      </c>
      <c r="H1687" s="8" t="s">
        <v>215</v>
      </c>
      <c r="I1687" s="3">
        <v>2</v>
      </c>
      <c r="J1687" s="8" t="s">
        <v>144</v>
      </c>
      <c r="K1687" s="8" t="s">
        <v>145</v>
      </c>
      <c r="L1687" s="8" t="s">
        <v>557</v>
      </c>
      <c r="M1687" s="1" t="s">
        <v>205</v>
      </c>
      <c r="N1687" s="8" t="s">
        <v>206</v>
      </c>
      <c r="O1687" s="6">
        <v>0</v>
      </c>
      <c r="P1687" s="6">
        <v>0</v>
      </c>
      <c r="Q1687" s="6">
        <v>0</v>
      </c>
      <c r="R1687" s="6">
        <v>0</v>
      </c>
      <c r="S1687" s="6">
        <v>30</v>
      </c>
    </row>
    <row r="1688" spans="1:19" ht="15" hidden="1" x14ac:dyDescent="0.25">
      <c r="A1688" s="7" t="s">
        <v>16</v>
      </c>
      <c r="B1688" s="7" t="s">
        <v>22</v>
      </c>
      <c r="C1688" s="7" t="s">
        <v>18</v>
      </c>
      <c r="D1688" s="4">
        <v>92815000000168</v>
      </c>
      <c r="E1688" s="8" t="s">
        <v>1033</v>
      </c>
      <c r="F1688" s="8" t="s">
        <v>83</v>
      </c>
      <c r="G1688" s="8" t="s">
        <v>67</v>
      </c>
      <c r="H1688" s="8" t="s">
        <v>215</v>
      </c>
      <c r="I1688" s="3">
        <v>2</v>
      </c>
      <c r="J1688" s="8" t="s">
        <v>175</v>
      </c>
      <c r="K1688" s="8" t="s">
        <v>176</v>
      </c>
      <c r="L1688" s="8" t="s">
        <v>556</v>
      </c>
      <c r="M1688" s="1" t="s">
        <v>205</v>
      </c>
      <c r="N1688" s="8" t="s">
        <v>206</v>
      </c>
      <c r="O1688" s="6">
        <v>0</v>
      </c>
      <c r="P1688" s="6">
        <v>0</v>
      </c>
      <c r="Q1688" s="6">
        <v>0</v>
      </c>
      <c r="R1688" s="6">
        <v>28</v>
      </c>
      <c r="S1688" s="6">
        <v>90</v>
      </c>
    </row>
    <row r="1689" spans="1:19" ht="15" hidden="1" x14ac:dyDescent="0.25">
      <c r="A1689" s="7" t="s">
        <v>16</v>
      </c>
      <c r="B1689" s="7" t="s">
        <v>22</v>
      </c>
      <c r="C1689" s="7" t="s">
        <v>18</v>
      </c>
      <c r="D1689" s="4">
        <v>92815000000168</v>
      </c>
      <c r="E1689" s="8" t="s">
        <v>1033</v>
      </c>
      <c r="F1689" s="8" t="s">
        <v>83</v>
      </c>
      <c r="G1689" s="8" t="s">
        <v>67</v>
      </c>
      <c r="H1689" s="8" t="s">
        <v>215</v>
      </c>
      <c r="I1689" s="3">
        <v>2</v>
      </c>
      <c r="J1689" s="8" t="s">
        <v>144</v>
      </c>
      <c r="K1689" s="8" t="s">
        <v>145</v>
      </c>
      <c r="L1689" s="8" t="s">
        <v>557</v>
      </c>
      <c r="M1689" s="1" t="s">
        <v>205</v>
      </c>
      <c r="N1689" s="8" t="s">
        <v>206</v>
      </c>
      <c r="O1689" s="6">
        <v>0</v>
      </c>
      <c r="P1689" s="6">
        <v>25</v>
      </c>
      <c r="Q1689" s="6">
        <v>61</v>
      </c>
      <c r="R1689" s="6">
        <v>0</v>
      </c>
      <c r="S1689" s="6">
        <v>90</v>
      </c>
    </row>
    <row r="1690" spans="1:19" ht="15" hidden="1" x14ac:dyDescent="0.25">
      <c r="A1690" s="7" t="s">
        <v>16</v>
      </c>
      <c r="B1690" s="7" t="s">
        <v>22</v>
      </c>
      <c r="C1690" s="7" t="s">
        <v>18</v>
      </c>
      <c r="D1690" s="4">
        <v>92963560000160</v>
      </c>
      <c r="E1690" s="8" t="s">
        <v>1035</v>
      </c>
      <c r="F1690" s="8" t="s">
        <v>83</v>
      </c>
      <c r="G1690" s="8" t="s">
        <v>67</v>
      </c>
      <c r="H1690" s="8" t="s">
        <v>215</v>
      </c>
      <c r="I1690" s="3">
        <v>2</v>
      </c>
      <c r="J1690" s="8" t="s">
        <v>175</v>
      </c>
      <c r="K1690" s="8" t="s">
        <v>176</v>
      </c>
      <c r="L1690" s="8" t="s">
        <v>556</v>
      </c>
      <c r="M1690" s="1" t="s">
        <v>205</v>
      </c>
      <c r="N1690" s="8" t="s">
        <v>206</v>
      </c>
      <c r="O1690" s="6">
        <v>0</v>
      </c>
      <c r="P1690" s="6">
        <v>0</v>
      </c>
      <c r="Q1690" s="6">
        <v>0</v>
      </c>
      <c r="R1690" s="6">
        <v>0</v>
      </c>
      <c r="S1690" s="6">
        <v>0</v>
      </c>
    </row>
    <row r="1691" spans="1:19" ht="15" hidden="1" x14ac:dyDescent="0.25">
      <c r="A1691" s="7" t="s">
        <v>16</v>
      </c>
      <c r="B1691" s="7" t="s">
        <v>22</v>
      </c>
      <c r="C1691" s="7" t="s">
        <v>18</v>
      </c>
      <c r="D1691" s="4">
        <v>92963560000160</v>
      </c>
      <c r="E1691" s="8" t="s">
        <v>1035</v>
      </c>
      <c r="F1691" s="8" t="s">
        <v>83</v>
      </c>
      <c r="G1691" s="8" t="s">
        <v>67</v>
      </c>
      <c r="H1691" s="8" t="s">
        <v>215</v>
      </c>
      <c r="I1691" s="3">
        <v>2</v>
      </c>
      <c r="J1691" s="8" t="s">
        <v>144</v>
      </c>
      <c r="K1691" s="8" t="s">
        <v>145</v>
      </c>
      <c r="L1691" s="8" t="s">
        <v>557</v>
      </c>
      <c r="M1691" s="1" t="s">
        <v>205</v>
      </c>
      <c r="N1691" s="8" t="s">
        <v>206</v>
      </c>
      <c r="O1691" s="6">
        <v>0</v>
      </c>
      <c r="P1691" s="6">
        <v>0</v>
      </c>
      <c r="Q1691" s="6">
        <v>15</v>
      </c>
      <c r="R1691" s="6">
        <v>0</v>
      </c>
      <c r="S1691" s="6">
        <v>0</v>
      </c>
    </row>
    <row r="1692" spans="1:19" ht="15" hidden="1" x14ac:dyDescent="0.25">
      <c r="A1692" s="7" t="s">
        <v>16</v>
      </c>
      <c r="B1692" s="7" t="s">
        <v>22</v>
      </c>
      <c r="C1692" s="7" t="s">
        <v>18</v>
      </c>
      <c r="D1692" s="4">
        <v>9087150000230</v>
      </c>
      <c r="E1692" s="8" t="s">
        <v>958</v>
      </c>
      <c r="F1692" s="8" t="s">
        <v>83</v>
      </c>
      <c r="G1692" s="8" t="s">
        <v>67</v>
      </c>
      <c r="H1692" s="8" t="s">
        <v>215</v>
      </c>
      <c r="I1692" s="3">
        <v>2</v>
      </c>
      <c r="J1692" s="8" t="s">
        <v>175</v>
      </c>
      <c r="K1692" s="8" t="s">
        <v>176</v>
      </c>
      <c r="L1692" s="8" t="s">
        <v>556</v>
      </c>
      <c r="M1692" s="1" t="s">
        <v>205</v>
      </c>
      <c r="N1692" s="8" t="s">
        <v>206</v>
      </c>
      <c r="O1692" s="6">
        <v>0</v>
      </c>
      <c r="P1692" s="6">
        <v>0</v>
      </c>
      <c r="Q1692" s="6">
        <v>0</v>
      </c>
      <c r="R1692" s="6">
        <v>8</v>
      </c>
      <c r="S1692" s="6">
        <v>0</v>
      </c>
    </row>
    <row r="1693" spans="1:19" ht="15" hidden="1" x14ac:dyDescent="0.25">
      <c r="A1693" s="7" t="s">
        <v>16</v>
      </c>
      <c r="B1693" s="7" t="s">
        <v>22</v>
      </c>
      <c r="C1693" s="7" t="s">
        <v>18</v>
      </c>
      <c r="D1693" s="4">
        <v>9087150000230</v>
      </c>
      <c r="E1693" s="8" t="s">
        <v>958</v>
      </c>
      <c r="F1693" s="8" t="s">
        <v>83</v>
      </c>
      <c r="G1693" s="8" t="s">
        <v>67</v>
      </c>
      <c r="H1693" s="8" t="s">
        <v>215</v>
      </c>
      <c r="I1693" s="3">
        <v>2</v>
      </c>
      <c r="J1693" s="8" t="s">
        <v>144</v>
      </c>
      <c r="K1693" s="8" t="s">
        <v>145</v>
      </c>
      <c r="L1693" s="8" t="s">
        <v>557</v>
      </c>
      <c r="M1693" s="1" t="s">
        <v>205</v>
      </c>
      <c r="N1693" s="8" t="s">
        <v>206</v>
      </c>
      <c r="O1693" s="6">
        <v>0</v>
      </c>
      <c r="P1693" s="6">
        <v>0</v>
      </c>
      <c r="Q1693" s="6">
        <v>0</v>
      </c>
      <c r="R1693" s="6">
        <v>0</v>
      </c>
      <c r="S1693" s="6">
        <v>0</v>
      </c>
    </row>
    <row r="1694" spans="1:19" ht="15" hidden="1" x14ac:dyDescent="0.25">
      <c r="A1694" s="7" t="s">
        <v>16</v>
      </c>
      <c r="B1694" s="7" t="s">
        <v>22</v>
      </c>
      <c r="C1694" s="7" t="s">
        <v>18</v>
      </c>
      <c r="D1694" s="4">
        <v>12508728000108</v>
      </c>
      <c r="E1694" s="8" t="s">
        <v>965</v>
      </c>
      <c r="F1694" s="8" t="s">
        <v>87</v>
      </c>
      <c r="G1694" s="8" t="s">
        <v>67</v>
      </c>
      <c r="H1694" s="8" t="s">
        <v>215</v>
      </c>
      <c r="I1694" s="3">
        <v>2</v>
      </c>
      <c r="J1694" s="8" t="s">
        <v>175</v>
      </c>
      <c r="K1694" s="8" t="s">
        <v>176</v>
      </c>
      <c r="L1694" s="8" t="s">
        <v>556</v>
      </c>
      <c r="M1694" s="1" t="s">
        <v>205</v>
      </c>
      <c r="N1694" s="8" t="s">
        <v>206</v>
      </c>
      <c r="O1694" s="6">
        <v>0</v>
      </c>
      <c r="P1694" s="6">
        <v>0</v>
      </c>
      <c r="Q1694" s="6">
        <v>0</v>
      </c>
      <c r="R1694" s="6">
        <v>0</v>
      </c>
      <c r="S1694" s="6">
        <v>20</v>
      </c>
    </row>
    <row r="1695" spans="1:19" ht="15" hidden="1" x14ac:dyDescent="0.25">
      <c r="A1695" s="7" t="s">
        <v>16</v>
      </c>
      <c r="B1695" s="7" t="s">
        <v>22</v>
      </c>
      <c r="C1695" s="7" t="s">
        <v>18</v>
      </c>
      <c r="D1695" s="4">
        <v>12508728000108</v>
      </c>
      <c r="E1695" s="8" t="s">
        <v>965</v>
      </c>
      <c r="F1695" s="8" t="s">
        <v>87</v>
      </c>
      <c r="G1695" s="8" t="s">
        <v>67</v>
      </c>
      <c r="H1695" s="8" t="s">
        <v>215</v>
      </c>
      <c r="I1695" s="3">
        <v>2</v>
      </c>
      <c r="J1695" s="8" t="s">
        <v>144</v>
      </c>
      <c r="K1695" s="8" t="s">
        <v>145</v>
      </c>
      <c r="L1695" s="8" t="s">
        <v>557</v>
      </c>
      <c r="M1695" s="1" t="s">
        <v>205</v>
      </c>
      <c r="N1695" s="8" t="s">
        <v>206</v>
      </c>
      <c r="O1695" s="6">
        <v>0</v>
      </c>
      <c r="P1695" s="6">
        <v>0</v>
      </c>
      <c r="Q1695" s="6">
        <v>0</v>
      </c>
      <c r="R1695" s="6">
        <v>0</v>
      </c>
      <c r="S1695" s="6">
        <v>20</v>
      </c>
    </row>
    <row r="1696" spans="1:19" ht="15" hidden="1" x14ac:dyDescent="0.25">
      <c r="A1696" s="7" t="s">
        <v>16</v>
      </c>
      <c r="B1696" s="7" t="s">
        <v>22</v>
      </c>
      <c r="C1696" s="7" t="s">
        <v>18</v>
      </c>
      <c r="D1696" s="4">
        <v>95610887000146</v>
      </c>
      <c r="E1696" s="8" t="s">
        <v>1037</v>
      </c>
      <c r="F1696" s="8" t="s">
        <v>87</v>
      </c>
      <c r="G1696" s="8" t="s">
        <v>67</v>
      </c>
      <c r="H1696" s="8" t="s">
        <v>215</v>
      </c>
      <c r="I1696" s="3">
        <v>2</v>
      </c>
      <c r="J1696" s="8" t="s">
        <v>175</v>
      </c>
      <c r="K1696" s="8" t="s">
        <v>176</v>
      </c>
      <c r="L1696" s="8" t="s">
        <v>556</v>
      </c>
      <c r="M1696" s="1" t="s">
        <v>205</v>
      </c>
      <c r="N1696" s="8" t="s">
        <v>206</v>
      </c>
      <c r="O1696" s="6">
        <v>0</v>
      </c>
      <c r="P1696" s="6">
        <v>0</v>
      </c>
      <c r="Q1696" s="6">
        <v>0</v>
      </c>
      <c r="R1696" s="6">
        <v>0</v>
      </c>
      <c r="S1696" s="6">
        <v>450</v>
      </c>
    </row>
    <row r="1697" spans="1:19" ht="15" hidden="1" x14ac:dyDescent="0.25">
      <c r="A1697" s="7" t="s">
        <v>16</v>
      </c>
      <c r="B1697" s="7" t="s">
        <v>22</v>
      </c>
      <c r="C1697" s="7" t="s">
        <v>18</v>
      </c>
      <c r="D1697" s="4">
        <v>95610887000146</v>
      </c>
      <c r="E1697" s="8" t="s">
        <v>1037</v>
      </c>
      <c r="F1697" s="8" t="s">
        <v>87</v>
      </c>
      <c r="G1697" s="8" t="s">
        <v>67</v>
      </c>
      <c r="H1697" s="8" t="s">
        <v>215</v>
      </c>
      <c r="I1697" s="3">
        <v>2</v>
      </c>
      <c r="J1697" s="8" t="s">
        <v>144</v>
      </c>
      <c r="K1697" s="8" t="s">
        <v>145</v>
      </c>
      <c r="L1697" s="8" t="s">
        <v>557</v>
      </c>
      <c r="M1697" s="1" t="s">
        <v>205</v>
      </c>
      <c r="N1697" s="8" t="s">
        <v>206</v>
      </c>
      <c r="O1697" s="6">
        <v>0</v>
      </c>
      <c r="P1697" s="6">
        <v>0</v>
      </c>
      <c r="Q1697" s="6">
        <v>3</v>
      </c>
      <c r="R1697" s="6">
        <v>0</v>
      </c>
      <c r="S1697" s="6">
        <v>450</v>
      </c>
    </row>
    <row r="1698" spans="1:19" ht="15" hidden="1" x14ac:dyDescent="0.25">
      <c r="A1698" s="7" t="s">
        <v>16</v>
      </c>
      <c r="B1698" s="7" t="s">
        <v>22</v>
      </c>
      <c r="C1698" s="7" t="s">
        <v>18</v>
      </c>
      <c r="D1698" s="4">
        <v>1517626000132</v>
      </c>
      <c r="E1698" s="8" t="s">
        <v>937</v>
      </c>
      <c r="F1698" s="8" t="s">
        <v>938</v>
      </c>
      <c r="G1698" s="8" t="s">
        <v>68</v>
      </c>
      <c r="H1698" s="8" t="s">
        <v>215</v>
      </c>
      <c r="I1698" s="3">
        <v>2</v>
      </c>
      <c r="J1698" s="8" t="s">
        <v>175</v>
      </c>
      <c r="K1698" s="8" t="s">
        <v>176</v>
      </c>
      <c r="L1698" s="8" t="s">
        <v>556</v>
      </c>
      <c r="M1698" s="1" t="s">
        <v>205</v>
      </c>
      <c r="N1698" s="8" t="s">
        <v>206</v>
      </c>
      <c r="O1698" s="6">
        <v>0</v>
      </c>
      <c r="P1698" s="6">
        <v>0</v>
      </c>
      <c r="Q1698" s="6">
        <v>0</v>
      </c>
      <c r="R1698" s="6">
        <v>12</v>
      </c>
      <c r="S1698" s="6">
        <v>0</v>
      </c>
    </row>
    <row r="1699" spans="1:19" ht="15" hidden="1" x14ac:dyDescent="0.25">
      <c r="A1699" s="7" t="s">
        <v>16</v>
      </c>
      <c r="B1699" s="7" t="s">
        <v>22</v>
      </c>
      <c r="C1699" s="7" t="s">
        <v>18</v>
      </c>
      <c r="D1699" s="4">
        <v>1517626000132</v>
      </c>
      <c r="E1699" s="8" t="s">
        <v>937</v>
      </c>
      <c r="F1699" s="8" t="s">
        <v>938</v>
      </c>
      <c r="G1699" s="8" t="s">
        <v>68</v>
      </c>
      <c r="H1699" s="8" t="s">
        <v>215</v>
      </c>
      <c r="I1699" s="3">
        <v>2</v>
      </c>
      <c r="J1699" s="8" t="s">
        <v>157</v>
      </c>
      <c r="K1699" s="8" t="s">
        <v>158</v>
      </c>
      <c r="L1699" s="8" t="s">
        <v>557</v>
      </c>
      <c r="M1699" s="1" t="s">
        <v>205</v>
      </c>
      <c r="N1699" s="8" t="s">
        <v>206</v>
      </c>
      <c r="O1699" s="6">
        <v>0</v>
      </c>
      <c r="P1699" s="6">
        <v>0</v>
      </c>
      <c r="Q1699" s="6">
        <v>0</v>
      </c>
      <c r="R1699" s="6">
        <v>0</v>
      </c>
      <c r="S1699" s="6">
        <v>0</v>
      </c>
    </row>
    <row r="1700" spans="1:19" ht="15" hidden="1" x14ac:dyDescent="0.25">
      <c r="A1700" s="7" t="s">
        <v>16</v>
      </c>
      <c r="B1700" s="7" t="s">
        <v>22</v>
      </c>
      <c r="C1700" s="7" t="s">
        <v>18</v>
      </c>
      <c r="D1700" s="4">
        <v>85377174000392</v>
      </c>
      <c r="E1700" s="8" t="s">
        <v>1012</v>
      </c>
      <c r="F1700" s="8" t="s">
        <v>938</v>
      </c>
      <c r="G1700" s="8" t="s">
        <v>68</v>
      </c>
      <c r="H1700" s="8" t="s">
        <v>215</v>
      </c>
      <c r="I1700" s="3">
        <v>2</v>
      </c>
      <c r="J1700" s="8" t="s">
        <v>175</v>
      </c>
      <c r="K1700" s="8" t="s">
        <v>176</v>
      </c>
      <c r="L1700" s="8" t="s">
        <v>556</v>
      </c>
      <c r="M1700" s="1" t="s">
        <v>205</v>
      </c>
      <c r="N1700" s="8" t="s">
        <v>206</v>
      </c>
      <c r="O1700" s="6">
        <v>0</v>
      </c>
      <c r="P1700" s="6">
        <v>0</v>
      </c>
      <c r="Q1700" s="6">
        <v>0</v>
      </c>
      <c r="R1700" s="6">
        <v>18</v>
      </c>
      <c r="S1700" s="6">
        <v>0</v>
      </c>
    </row>
    <row r="1701" spans="1:19" ht="15" hidden="1" x14ac:dyDescent="0.25">
      <c r="A1701" s="7" t="s">
        <v>16</v>
      </c>
      <c r="B1701" s="7" t="s">
        <v>22</v>
      </c>
      <c r="C1701" s="7" t="s">
        <v>18</v>
      </c>
      <c r="D1701" s="4">
        <v>85377174000392</v>
      </c>
      <c r="E1701" s="8" t="s">
        <v>1012</v>
      </c>
      <c r="F1701" s="8" t="s">
        <v>938</v>
      </c>
      <c r="G1701" s="8" t="s">
        <v>68</v>
      </c>
      <c r="H1701" s="8" t="s">
        <v>215</v>
      </c>
      <c r="I1701" s="3">
        <v>2</v>
      </c>
      <c r="J1701" s="8" t="s">
        <v>157</v>
      </c>
      <c r="K1701" s="8" t="s">
        <v>158</v>
      </c>
      <c r="L1701" s="8" t="s">
        <v>557</v>
      </c>
      <c r="M1701" s="1" t="s">
        <v>205</v>
      </c>
      <c r="N1701" s="8" t="s">
        <v>206</v>
      </c>
      <c r="O1701" s="6">
        <v>0</v>
      </c>
      <c r="P1701" s="6">
        <v>0</v>
      </c>
      <c r="Q1701" s="6">
        <v>0</v>
      </c>
      <c r="R1701" s="6">
        <v>0</v>
      </c>
      <c r="S1701" s="6">
        <v>0</v>
      </c>
    </row>
    <row r="1702" spans="1:19" ht="15" hidden="1" x14ac:dyDescent="0.25">
      <c r="A1702" s="7" t="s">
        <v>16</v>
      </c>
      <c r="B1702" s="7" t="s">
        <v>22</v>
      </c>
      <c r="C1702" s="7" t="s">
        <v>18</v>
      </c>
      <c r="D1702" s="4">
        <v>1880344000103</v>
      </c>
      <c r="E1702" s="8" t="s">
        <v>941</v>
      </c>
      <c r="F1702" s="8" t="s">
        <v>93</v>
      </c>
      <c r="G1702" s="8" t="s">
        <v>68</v>
      </c>
      <c r="H1702" s="8" t="s">
        <v>215</v>
      </c>
      <c r="I1702" s="3">
        <v>2</v>
      </c>
      <c r="J1702" s="8" t="s">
        <v>175</v>
      </c>
      <c r="K1702" s="8" t="s">
        <v>176</v>
      </c>
      <c r="L1702" s="8" t="s">
        <v>556</v>
      </c>
      <c r="M1702" s="1" t="s">
        <v>205</v>
      </c>
      <c r="N1702" s="8" t="s">
        <v>206</v>
      </c>
      <c r="O1702" s="6">
        <v>0</v>
      </c>
      <c r="P1702" s="6">
        <v>0</v>
      </c>
      <c r="Q1702" s="6">
        <v>0</v>
      </c>
      <c r="R1702" s="6">
        <v>0</v>
      </c>
      <c r="S1702" s="6">
        <v>195</v>
      </c>
    </row>
    <row r="1703" spans="1:19" ht="15" hidden="1" x14ac:dyDescent="0.25">
      <c r="A1703" s="7" t="s">
        <v>16</v>
      </c>
      <c r="B1703" s="7" t="s">
        <v>22</v>
      </c>
      <c r="C1703" s="7" t="s">
        <v>18</v>
      </c>
      <c r="D1703" s="4">
        <v>1880344000103</v>
      </c>
      <c r="E1703" s="8" t="s">
        <v>941</v>
      </c>
      <c r="F1703" s="8" t="s">
        <v>93</v>
      </c>
      <c r="G1703" s="8" t="s">
        <v>68</v>
      </c>
      <c r="H1703" s="8" t="s">
        <v>215</v>
      </c>
      <c r="I1703" s="3">
        <v>2</v>
      </c>
      <c r="J1703" s="8" t="s">
        <v>157</v>
      </c>
      <c r="K1703" s="8" t="s">
        <v>158</v>
      </c>
      <c r="L1703" s="8" t="s">
        <v>557</v>
      </c>
      <c r="M1703" s="1" t="s">
        <v>205</v>
      </c>
      <c r="N1703" s="8" t="s">
        <v>206</v>
      </c>
      <c r="O1703" s="6">
        <v>0</v>
      </c>
      <c r="P1703" s="6">
        <v>0</v>
      </c>
      <c r="Q1703" s="6">
        <v>0</v>
      </c>
      <c r="R1703" s="6">
        <v>0</v>
      </c>
      <c r="S1703" s="6">
        <v>195</v>
      </c>
    </row>
    <row r="1704" spans="1:19" ht="15" hidden="1" x14ac:dyDescent="0.25">
      <c r="A1704" s="7" t="s">
        <v>16</v>
      </c>
      <c r="B1704" s="7" t="s">
        <v>22</v>
      </c>
      <c r="C1704" s="7" t="s">
        <v>18</v>
      </c>
      <c r="D1704" s="4">
        <v>60922168005226</v>
      </c>
      <c r="E1704" s="8" t="s">
        <v>977</v>
      </c>
      <c r="F1704" s="8" t="s">
        <v>93</v>
      </c>
      <c r="G1704" s="8" t="s">
        <v>68</v>
      </c>
      <c r="H1704" s="8" t="s">
        <v>215</v>
      </c>
      <c r="I1704" s="3">
        <v>2</v>
      </c>
      <c r="J1704" s="8" t="s">
        <v>175</v>
      </c>
      <c r="K1704" s="8" t="s">
        <v>176</v>
      </c>
      <c r="L1704" s="8" t="s">
        <v>556</v>
      </c>
      <c r="M1704" s="1" t="s">
        <v>205</v>
      </c>
      <c r="N1704" s="8" t="s">
        <v>206</v>
      </c>
      <c r="O1704" s="6">
        <v>0</v>
      </c>
      <c r="P1704" s="6">
        <v>0</v>
      </c>
      <c r="Q1704" s="6">
        <v>0</v>
      </c>
      <c r="R1704" s="6">
        <v>0</v>
      </c>
      <c r="S1704" s="6">
        <v>0</v>
      </c>
    </row>
    <row r="1705" spans="1:19" ht="15" hidden="1" x14ac:dyDescent="0.25">
      <c r="A1705" s="7" t="s">
        <v>16</v>
      </c>
      <c r="B1705" s="7" t="s">
        <v>22</v>
      </c>
      <c r="C1705" s="7" t="s">
        <v>18</v>
      </c>
      <c r="D1705" s="4">
        <v>60922168005226</v>
      </c>
      <c r="E1705" s="8" t="s">
        <v>977</v>
      </c>
      <c r="F1705" s="8" t="s">
        <v>93</v>
      </c>
      <c r="G1705" s="8" t="s">
        <v>68</v>
      </c>
      <c r="H1705" s="8" t="s">
        <v>215</v>
      </c>
      <c r="I1705" s="3">
        <v>2</v>
      </c>
      <c r="J1705" s="8" t="s">
        <v>157</v>
      </c>
      <c r="K1705" s="8" t="s">
        <v>158</v>
      </c>
      <c r="L1705" s="8" t="s">
        <v>557</v>
      </c>
      <c r="M1705" s="1" t="s">
        <v>205</v>
      </c>
      <c r="N1705" s="8" t="s">
        <v>206</v>
      </c>
      <c r="O1705" s="6">
        <v>0</v>
      </c>
      <c r="P1705" s="6">
        <v>1</v>
      </c>
      <c r="Q1705" s="6">
        <v>0</v>
      </c>
      <c r="R1705" s="6">
        <v>0</v>
      </c>
      <c r="S1705" s="6">
        <v>0</v>
      </c>
    </row>
    <row r="1706" spans="1:19" ht="15" hidden="1" x14ac:dyDescent="0.25">
      <c r="A1706" s="7" t="s">
        <v>16</v>
      </c>
      <c r="B1706" s="7" t="s">
        <v>22</v>
      </c>
      <c r="C1706" s="7" t="s">
        <v>18</v>
      </c>
      <c r="D1706" s="4">
        <v>82654088000120</v>
      </c>
      <c r="E1706" s="8" t="s">
        <v>1008</v>
      </c>
      <c r="F1706" s="8" t="s">
        <v>93</v>
      </c>
      <c r="G1706" s="8" t="s">
        <v>68</v>
      </c>
      <c r="H1706" s="8" t="s">
        <v>215</v>
      </c>
      <c r="I1706" s="3">
        <v>2</v>
      </c>
      <c r="J1706" s="8" t="s">
        <v>175</v>
      </c>
      <c r="K1706" s="8" t="s">
        <v>176</v>
      </c>
      <c r="L1706" s="8" t="s">
        <v>556</v>
      </c>
      <c r="M1706" s="1" t="s">
        <v>205</v>
      </c>
      <c r="N1706" s="8" t="s">
        <v>206</v>
      </c>
      <c r="O1706" s="6">
        <v>0</v>
      </c>
      <c r="P1706" s="6">
        <v>0</v>
      </c>
      <c r="Q1706" s="6">
        <v>0</v>
      </c>
      <c r="R1706" s="6">
        <v>0</v>
      </c>
      <c r="S1706" s="6">
        <v>20</v>
      </c>
    </row>
    <row r="1707" spans="1:19" ht="15" hidden="1" x14ac:dyDescent="0.25">
      <c r="A1707" s="7" t="s">
        <v>16</v>
      </c>
      <c r="B1707" s="7" t="s">
        <v>22</v>
      </c>
      <c r="C1707" s="7" t="s">
        <v>18</v>
      </c>
      <c r="D1707" s="4">
        <v>82654088000120</v>
      </c>
      <c r="E1707" s="8" t="s">
        <v>1008</v>
      </c>
      <c r="F1707" s="8" t="s">
        <v>93</v>
      </c>
      <c r="G1707" s="8" t="s">
        <v>68</v>
      </c>
      <c r="H1707" s="8" t="s">
        <v>215</v>
      </c>
      <c r="I1707" s="3">
        <v>2</v>
      </c>
      <c r="J1707" s="8" t="s">
        <v>157</v>
      </c>
      <c r="K1707" s="8" t="s">
        <v>158</v>
      </c>
      <c r="L1707" s="8" t="s">
        <v>557</v>
      </c>
      <c r="M1707" s="1" t="s">
        <v>205</v>
      </c>
      <c r="N1707" s="8" t="s">
        <v>206</v>
      </c>
      <c r="O1707" s="6">
        <v>0</v>
      </c>
      <c r="P1707" s="6">
        <v>0</v>
      </c>
      <c r="Q1707" s="6">
        <v>0</v>
      </c>
      <c r="R1707" s="6">
        <v>0</v>
      </c>
      <c r="S1707" s="6">
        <v>20</v>
      </c>
    </row>
    <row r="1708" spans="1:19" ht="15" hidden="1" x14ac:dyDescent="0.25">
      <c r="A1708" s="7" t="s">
        <v>16</v>
      </c>
      <c r="B1708" s="7" t="s">
        <v>22</v>
      </c>
      <c r="C1708" s="7" t="s">
        <v>18</v>
      </c>
      <c r="D1708" s="4">
        <v>1554266000149</v>
      </c>
      <c r="E1708" s="8" t="s">
        <v>939</v>
      </c>
      <c r="F1708" s="8" t="s">
        <v>113</v>
      </c>
      <c r="G1708" s="8" t="s">
        <v>68</v>
      </c>
      <c r="H1708" s="8" t="s">
        <v>215</v>
      </c>
      <c r="I1708" s="3">
        <v>2</v>
      </c>
      <c r="J1708" s="8" t="s">
        <v>175</v>
      </c>
      <c r="K1708" s="8" t="s">
        <v>176</v>
      </c>
      <c r="L1708" s="8" t="s">
        <v>556</v>
      </c>
      <c r="M1708" s="1" t="s">
        <v>205</v>
      </c>
      <c r="N1708" s="8" t="s">
        <v>206</v>
      </c>
      <c r="O1708" s="6">
        <v>0</v>
      </c>
      <c r="P1708" s="6">
        <v>0</v>
      </c>
      <c r="Q1708" s="6">
        <v>0</v>
      </c>
      <c r="R1708" s="6">
        <v>0</v>
      </c>
      <c r="S1708" s="6">
        <v>70</v>
      </c>
    </row>
    <row r="1709" spans="1:19" ht="15" hidden="1" x14ac:dyDescent="0.25">
      <c r="A1709" s="7" t="s">
        <v>16</v>
      </c>
      <c r="B1709" s="7" t="s">
        <v>22</v>
      </c>
      <c r="C1709" s="7" t="s">
        <v>18</v>
      </c>
      <c r="D1709" s="4">
        <v>1554266000149</v>
      </c>
      <c r="E1709" s="8" t="s">
        <v>939</v>
      </c>
      <c r="F1709" s="8" t="s">
        <v>113</v>
      </c>
      <c r="G1709" s="8" t="s">
        <v>68</v>
      </c>
      <c r="H1709" s="8" t="s">
        <v>215</v>
      </c>
      <c r="I1709" s="3">
        <v>2</v>
      </c>
      <c r="J1709" s="8" t="s">
        <v>157</v>
      </c>
      <c r="K1709" s="8" t="s">
        <v>158</v>
      </c>
      <c r="L1709" s="8" t="s">
        <v>557</v>
      </c>
      <c r="M1709" s="1" t="s">
        <v>205</v>
      </c>
      <c r="N1709" s="8" t="s">
        <v>206</v>
      </c>
      <c r="O1709" s="6">
        <v>0</v>
      </c>
      <c r="P1709" s="6">
        <v>0</v>
      </c>
      <c r="Q1709" s="6">
        <v>0</v>
      </c>
      <c r="R1709" s="6">
        <v>0</v>
      </c>
      <c r="S1709" s="6">
        <v>70</v>
      </c>
    </row>
    <row r="1710" spans="1:19" ht="15" hidden="1" x14ac:dyDescent="0.25">
      <c r="A1710" s="7" t="s">
        <v>16</v>
      </c>
      <c r="B1710" s="7" t="s">
        <v>22</v>
      </c>
      <c r="C1710" s="7" t="s">
        <v>18</v>
      </c>
      <c r="D1710" s="4">
        <v>1125832000105</v>
      </c>
      <c r="E1710" s="8" t="s">
        <v>935</v>
      </c>
      <c r="F1710" s="8" t="s">
        <v>930</v>
      </c>
      <c r="G1710" s="8" t="s">
        <v>68</v>
      </c>
      <c r="H1710" s="8" t="s">
        <v>215</v>
      </c>
      <c r="I1710" s="3">
        <v>2</v>
      </c>
      <c r="J1710" s="8" t="s">
        <v>175</v>
      </c>
      <c r="K1710" s="8" t="s">
        <v>176</v>
      </c>
      <c r="L1710" s="8" t="s">
        <v>556</v>
      </c>
      <c r="M1710" s="1" t="s">
        <v>205</v>
      </c>
      <c r="N1710" s="8" t="s">
        <v>206</v>
      </c>
      <c r="O1710" s="6">
        <v>0</v>
      </c>
      <c r="P1710" s="6">
        <v>0</v>
      </c>
      <c r="Q1710" s="6">
        <v>0</v>
      </c>
      <c r="R1710" s="6">
        <v>0</v>
      </c>
      <c r="S1710" s="6">
        <v>60</v>
      </c>
    </row>
    <row r="1711" spans="1:19" ht="15" hidden="1" x14ac:dyDescent="0.25">
      <c r="A1711" s="7" t="s">
        <v>16</v>
      </c>
      <c r="B1711" s="7" t="s">
        <v>22</v>
      </c>
      <c r="C1711" s="7" t="s">
        <v>18</v>
      </c>
      <c r="D1711" s="4">
        <v>1125832000105</v>
      </c>
      <c r="E1711" s="8" t="s">
        <v>935</v>
      </c>
      <c r="F1711" s="8" t="s">
        <v>930</v>
      </c>
      <c r="G1711" s="8" t="s">
        <v>68</v>
      </c>
      <c r="H1711" s="8" t="s">
        <v>215</v>
      </c>
      <c r="I1711" s="3">
        <v>2</v>
      </c>
      <c r="J1711" s="8" t="s">
        <v>157</v>
      </c>
      <c r="K1711" s="8" t="s">
        <v>158</v>
      </c>
      <c r="L1711" s="8" t="s">
        <v>557</v>
      </c>
      <c r="M1711" s="1" t="s">
        <v>205</v>
      </c>
      <c r="N1711" s="8" t="s">
        <v>206</v>
      </c>
      <c r="O1711" s="6">
        <v>0</v>
      </c>
      <c r="P1711" s="6">
        <v>0</v>
      </c>
      <c r="Q1711" s="6">
        <v>0</v>
      </c>
      <c r="R1711" s="6">
        <v>0</v>
      </c>
      <c r="S1711" s="6">
        <v>60</v>
      </c>
    </row>
    <row r="1712" spans="1:19" ht="15" hidden="1" x14ac:dyDescent="0.25">
      <c r="A1712" s="7" t="s">
        <v>16</v>
      </c>
      <c r="B1712" s="7" t="s">
        <v>22</v>
      </c>
      <c r="C1712" s="7" t="s">
        <v>18</v>
      </c>
      <c r="D1712" s="4">
        <v>80673411000187</v>
      </c>
      <c r="E1712" s="8" t="s">
        <v>999</v>
      </c>
      <c r="F1712" s="8" t="s">
        <v>930</v>
      </c>
      <c r="G1712" s="8" t="s">
        <v>68</v>
      </c>
      <c r="H1712" s="8" t="s">
        <v>215</v>
      </c>
      <c r="I1712" s="3">
        <v>2</v>
      </c>
      <c r="J1712" s="8" t="s">
        <v>175</v>
      </c>
      <c r="K1712" s="8" t="s">
        <v>176</v>
      </c>
      <c r="L1712" s="8" t="s">
        <v>556</v>
      </c>
      <c r="M1712" s="1" t="s">
        <v>205</v>
      </c>
      <c r="N1712" s="8" t="s">
        <v>206</v>
      </c>
      <c r="O1712" s="6">
        <v>76</v>
      </c>
      <c r="P1712" s="6">
        <v>0</v>
      </c>
      <c r="Q1712" s="6">
        <v>0</v>
      </c>
      <c r="R1712" s="6">
        <v>0</v>
      </c>
      <c r="S1712" s="6">
        <v>240</v>
      </c>
    </row>
    <row r="1713" spans="1:19" ht="15" hidden="1" x14ac:dyDescent="0.25">
      <c r="A1713" s="7" t="s">
        <v>16</v>
      </c>
      <c r="B1713" s="7" t="s">
        <v>22</v>
      </c>
      <c r="C1713" s="7" t="s">
        <v>18</v>
      </c>
      <c r="D1713" s="4">
        <v>80673411000187</v>
      </c>
      <c r="E1713" s="8" t="s">
        <v>999</v>
      </c>
      <c r="F1713" s="8" t="s">
        <v>930</v>
      </c>
      <c r="G1713" s="8" t="s">
        <v>68</v>
      </c>
      <c r="H1713" s="8" t="s">
        <v>215</v>
      </c>
      <c r="I1713" s="3">
        <v>2</v>
      </c>
      <c r="J1713" s="8" t="s">
        <v>157</v>
      </c>
      <c r="K1713" s="8" t="s">
        <v>158</v>
      </c>
      <c r="L1713" s="8" t="s">
        <v>557</v>
      </c>
      <c r="M1713" s="1" t="s">
        <v>205</v>
      </c>
      <c r="N1713" s="8" t="s">
        <v>206</v>
      </c>
      <c r="O1713" s="6">
        <v>0</v>
      </c>
      <c r="P1713" s="6">
        <v>0</v>
      </c>
      <c r="Q1713" s="6">
        <v>0</v>
      </c>
      <c r="R1713" s="6">
        <v>0</v>
      </c>
      <c r="S1713" s="6">
        <v>240</v>
      </c>
    </row>
    <row r="1714" spans="1:19" ht="15" hidden="1" x14ac:dyDescent="0.25">
      <c r="A1714" s="7" t="s">
        <v>16</v>
      </c>
      <c r="B1714" s="7" t="s">
        <v>22</v>
      </c>
      <c r="C1714" s="7" t="s">
        <v>18</v>
      </c>
      <c r="D1714" s="4">
        <v>83899526000425</v>
      </c>
      <c r="E1714" s="8" t="s">
        <v>1010</v>
      </c>
      <c r="F1714" s="8" t="s">
        <v>930</v>
      </c>
      <c r="G1714" s="8" t="s">
        <v>68</v>
      </c>
      <c r="H1714" s="8" t="s">
        <v>215</v>
      </c>
      <c r="I1714" s="3">
        <v>2</v>
      </c>
      <c r="J1714" s="8" t="s">
        <v>175</v>
      </c>
      <c r="K1714" s="8" t="s">
        <v>176</v>
      </c>
      <c r="L1714" s="8" t="s">
        <v>556</v>
      </c>
      <c r="M1714" s="1" t="s">
        <v>205</v>
      </c>
      <c r="N1714" s="8" t="s">
        <v>206</v>
      </c>
      <c r="O1714" s="6">
        <v>0</v>
      </c>
      <c r="P1714" s="6">
        <v>0</v>
      </c>
      <c r="Q1714" s="6">
        <v>0</v>
      </c>
      <c r="R1714" s="6">
        <v>0</v>
      </c>
      <c r="S1714" s="6">
        <v>0</v>
      </c>
    </row>
    <row r="1715" spans="1:19" ht="15" hidden="1" x14ac:dyDescent="0.25">
      <c r="A1715" s="7" t="s">
        <v>16</v>
      </c>
      <c r="B1715" s="7" t="s">
        <v>22</v>
      </c>
      <c r="C1715" s="7" t="s">
        <v>18</v>
      </c>
      <c r="D1715" s="4">
        <v>83899526000425</v>
      </c>
      <c r="E1715" s="8" t="s">
        <v>1010</v>
      </c>
      <c r="F1715" s="8" t="s">
        <v>930</v>
      </c>
      <c r="G1715" s="8" t="s">
        <v>68</v>
      </c>
      <c r="H1715" s="8" t="s">
        <v>215</v>
      </c>
      <c r="I1715" s="3">
        <v>2</v>
      </c>
      <c r="J1715" s="8" t="s">
        <v>157</v>
      </c>
      <c r="K1715" s="8" t="s">
        <v>158</v>
      </c>
      <c r="L1715" s="8" t="s">
        <v>557</v>
      </c>
      <c r="M1715" s="1" t="s">
        <v>205</v>
      </c>
      <c r="N1715" s="8" t="s">
        <v>206</v>
      </c>
      <c r="O1715" s="6">
        <v>0</v>
      </c>
      <c r="P1715" s="6">
        <v>0</v>
      </c>
      <c r="Q1715" s="6">
        <v>6</v>
      </c>
      <c r="R1715" s="6">
        <v>0</v>
      </c>
      <c r="S1715" s="6">
        <v>0</v>
      </c>
    </row>
    <row r="1716" spans="1:19" ht="15" hidden="1" x14ac:dyDescent="0.25">
      <c r="A1716" s="7" t="s">
        <v>16</v>
      </c>
      <c r="B1716" s="7" t="s">
        <v>22</v>
      </c>
      <c r="C1716" s="7" t="s">
        <v>18</v>
      </c>
      <c r="D1716" s="4">
        <v>48063983904</v>
      </c>
      <c r="E1716" s="8" t="s">
        <v>929</v>
      </c>
      <c r="F1716" s="8" t="s">
        <v>930</v>
      </c>
      <c r="G1716" s="8" t="s">
        <v>68</v>
      </c>
      <c r="H1716" s="8" t="s">
        <v>215</v>
      </c>
      <c r="I1716" s="3">
        <v>2</v>
      </c>
      <c r="J1716" s="8" t="s">
        <v>175</v>
      </c>
      <c r="K1716" s="8" t="s">
        <v>176</v>
      </c>
      <c r="L1716" s="8" t="s">
        <v>556</v>
      </c>
      <c r="M1716" s="1" t="s">
        <v>205</v>
      </c>
      <c r="N1716" s="8" t="s">
        <v>206</v>
      </c>
      <c r="O1716" s="6">
        <v>59</v>
      </c>
      <c r="P1716" s="6">
        <v>0</v>
      </c>
      <c r="Q1716" s="6">
        <v>0</v>
      </c>
      <c r="R1716" s="6">
        <v>0</v>
      </c>
      <c r="S1716" s="6">
        <v>0</v>
      </c>
    </row>
    <row r="1717" spans="1:19" ht="15" hidden="1" x14ac:dyDescent="0.25">
      <c r="A1717" s="7" t="s">
        <v>16</v>
      </c>
      <c r="B1717" s="7" t="s">
        <v>22</v>
      </c>
      <c r="C1717" s="7" t="s">
        <v>18</v>
      </c>
      <c r="D1717" s="4">
        <v>48063983904</v>
      </c>
      <c r="E1717" s="8" t="s">
        <v>929</v>
      </c>
      <c r="F1717" s="8" t="s">
        <v>930</v>
      </c>
      <c r="G1717" s="8" t="s">
        <v>68</v>
      </c>
      <c r="H1717" s="8" t="s">
        <v>215</v>
      </c>
      <c r="I1717" s="3">
        <v>2</v>
      </c>
      <c r="J1717" s="8" t="s">
        <v>157</v>
      </c>
      <c r="K1717" s="8" t="s">
        <v>158</v>
      </c>
      <c r="L1717" s="8" t="s">
        <v>557</v>
      </c>
      <c r="M1717" s="1" t="s">
        <v>205</v>
      </c>
      <c r="N1717" s="8" t="s">
        <v>206</v>
      </c>
      <c r="O1717" s="6">
        <v>0</v>
      </c>
      <c r="P1717" s="6">
        <v>0</v>
      </c>
      <c r="Q1717" s="6">
        <v>0</v>
      </c>
      <c r="R1717" s="6">
        <v>0</v>
      </c>
      <c r="S1717" s="6">
        <v>0</v>
      </c>
    </row>
    <row r="1718" spans="1:19" ht="15" hidden="1" x14ac:dyDescent="0.25">
      <c r="A1718" s="7" t="s">
        <v>16</v>
      </c>
      <c r="B1718" s="7" t="s">
        <v>22</v>
      </c>
      <c r="C1718" s="7" t="s">
        <v>18</v>
      </c>
      <c r="D1718" s="4">
        <v>4670913000176</v>
      </c>
      <c r="E1718" s="8" t="s">
        <v>949</v>
      </c>
      <c r="F1718" s="8" t="s">
        <v>930</v>
      </c>
      <c r="G1718" s="8" t="s">
        <v>68</v>
      </c>
      <c r="H1718" s="8" t="s">
        <v>215</v>
      </c>
      <c r="I1718" s="3">
        <v>2</v>
      </c>
      <c r="J1718" s="8" t="s">
        <v>175</v>
      </c>
      <c r="K1718" s="8" t="s">
        <v>176</v>
      </c>
      <c r="L1718" s="8" t="s">
        <v>556</v>
      </c>
      <c r="M1718" s="1" t="s">
        <v>205</v>
      </c>
      <c r="N1718" s="8" t="s">
        <v>206</v>
      </c>
      <c r="O1718" s="6">
        <v>0</v>
      </c>
      <c r="P1718" s="6">
        <v>0</v>
      </c>
      <c r="Q1718" s="6">
        <v>0</v>
      </c>
      <c r="R1718" s="6">
        <v>0</v>
      </c>
      <c r="S1718" s="6">
        <v>375</v>
      </c>
    </row>
    <row r="1719" spans="1:19" ht="15" hidden="1" x14ac:dyDescent="0.25">
      <c r="A1719" s="7" t="s">
        <v>16</v>
      </c>
      <c r="B1719" s="7" t="s">
        <v>22</v>
      </c>
      <c r="C1719" s="7" t="s">
        <v>18</v>
      </c>
      <c r="D1719" s="4">
        <v>4670913000176</v>
      </c>
      <c r="E1719" s="8" t="s">
        <v>949</v>
      </c>
      <c r="F1719" s="8" t="s">
        <v>930</v>
      </c>
      <c r="G1719" s="8" t="s">
        <v>68</v>
      </c>
      <c r="H1719" s="8" t="s">
        <v>215</v>
      </c>
      <c r="I1719" s="3">
        <v>2</v>
      </c>
      <c r="J1719" s="8" t="s">
        <v>157</v>
      </c>
      <c r="K1719" s="8" t="s">
        <v>158</v>
      </c>
      <c r="L1719" s="8" t="s">
        <v>557</v>
      </c>
      <c r="M1719" s="1" t="s">
        <v>205</v>
      </c>
      <c r="N1719" s="8" t="s">
        <v>206</v>
      </c>
      <c r="O1719" s="6">
        <v>0</v>
      </c>
      <c r="P1719" s="6">
        <v>0</v>
      </c>
      <c r="Q1719" s="6">
        <v>0</v>
      </c>
      <c r="R1719" s="6">
        <v>0</v>
      </c>
      <c r="S1719" s="6">
        <v>375</v>
      </c>
    </row>
    <row r="1720" spans="1:19" ht="15" hidden="1" x14ac:dyDescent="0.25">
      <c r="A1720" s="7" t="s">
        <v>16</v>
      </c>
      <c r="B1720" s="7" t="s">
        <v>22</v>
      </c>
      <c r="C1720" s="7" t="s">
        <v>18</v>
      </c>
      <c r="D1720" s="4">
        <v>77858611001414</v>
      </c>
      <c r="E1720" s="8" t="s">
        <v>991</v>
      </c>
      <c r="F1720" s="8" t="s">
        <v>969</v>
      </c>
      <c r="G1720" s="8" t="s">
        <v>68</v>
      </c>
      <c r="H1720" s="8" t="s">
        <v>215</v>
      </c>
      <c r="I1720" s="3">
        <v>2</v>
      </c>
      <c r="J1720" s="8" t="s">
        <v>175</v>
      </c>
      <c r="K1720" s="8" t="s">
        <v>176</v>
      </c>
      <c r="L1720" s="8" t="s">
        <v>556</v>
      </c>
      <c r="M1720" s="1" t="s">
        <v>205</v>
      </c>
      <c r="N1720" s="8" t="s">
        <v>206</v>
      </c>
      <c r="O1720" s="6">
        <v>0</v>
      </c>
      <c r="P1720" s="6">
        <v>0</v>
      </c>
      <c r="Q1720" s="6">
        <v>0</v>
      </c>
      <c r="R1720" s="6">
        <v>0</v>
      </c>
      <c r="S1720" s="6">
        <v>30</v>
      </c>
    </row>
    <row r="1721" spans="1:19" ht="15" hidden="1" x14ac:dyDescent="0.25">
      <c r="A1721" s="7" t="s">
        <v>16</v>
      </c>
      <c r="B1721" s="7" t="s">
        <v>22</v>
      </c>
      <c r="C1721" s="7" t="s">
        <v>18</v>
      </c>
      <c r="D1721" s="4">
        <v>77858611001414</v>
      </c>
      <c r="E1721" s="8" t="s">
        <v>991</v>
      </c>
      <c r="F1721" s="8" t="s">
        <v>969</v>
      </c>
      <c r="G1721" s="8" t="s">
        <v>68</v>
      </c>
      <c r="H1721" s="8" t="s">
        <v>215</v>
      </c>
      <c r="I1721" s="3">
        <v>2</v>
      </c>
      <c r="J1721" s="8" t="s">
        <v>157</v>
      </c>
      <c r="K1721" s="8" t="s">
        <v>158</v>
      </c>
      <c r="L1721" s="8" t="s">
        <v>557</v>
      </c>
      <c r="M1721" s="1" t="s">
        <v>205</v>
      </c>
      <c r="N1721" s="8" t="s">
        <v>206</v>
      </c>
      <c r="O1721" s="6">
        <v>0</v>
      </c>
      <c r="P1721" s="6">
        <v>0</v>
      </c>
      <c r="Q1721" s="6">
        <v>0</v>
      </c>
      <c r="R1721" s="6">
        <v>0</v>
      </c>
      <c r="S1721" s="6">
        <v>30</v>
      </c>
    </row>
    <row r="1722" spans="1:19" ht="15" hidden="1" x14ac:dyDescent="0.25">
      <c r="A1722" s="7" t="s">
        <v>16</v>
      </c>
      <c r="B1722" s="7" t="s">
        <v>22</v>
      </c>
      <c r="C1722" s="7" t="s">
        <v>18</v>
      </c>
      <c r="D1722" s="4">
        <v>85241339000809</v>
      </c>
      <c r="E1722" s="8" t="s">
        <v>1011</v>
      </c>
      <c r="F1722" s="8" t="s">
        <v>998</v>
      </c>
      <c r="G1722" s="8" t="s">
        <v>68</v>
      </c>
      <c r="H1722" s="8" t="s">
        <v>215</v>
      </c>
      <c r="I1722" s="3">
        <v>2</v>
      </c>
      <c r="J1722" s="8" t="s">
        <v>175</v>
      </c>
      <c r="K1722" s="8" t="s">
        <v>176</v>
      </c>
      <c r="L1722" s="8" t="s">
        <v>556</v>
      </c>
      <c r="M1722" s="1" t="s">
        <v>205</v>
      </c>
      <c r="N1722" s="8" t="s">
        <v>206</v>
      </c>
      <c r="O1722" s="6">
        <v>0</v>
      </c>
      <c r="P1722" s="6">
        <v>0</v>
      </c>
      <c r="Q1722" s="6">
        <v>0</v>
      </c>
      <c r="R1722" s="6">
        <v>0</v>
      </c>
      <c r="S1722" s="6">
        <v>310</v>
      </c>
    </row>
    <row r="1723" spans="1:19" ht="15" hidden="1" x14ac:dyDescent="0.25">
      <c r="A1723" s="7" t="s">
        <v>16</v>
      </c>
      <c r="B1723" s="7" t="s">
        <v>22</v>
      </c>
      <c r="C1723" s="7" t="s">
        <v>18</v>
      </c>
      <c r="D1723" s="4">
        <v>85241339000809</v>
      </c>
      <c r="E1723" s="8" t="s">
        <v>1011</v>
      </c>
      <c r="F1723" s="8" t="s">
        <v>998</v>
      </c>
      <c r="G1723" s="8" t="s">
        <v>68</v>
      </c>
      <c r="H1723" s="8" t="s">
        <v>215</v>
      </c>
      <c r="I1723" s="3">
        <v>2</v>
      </c>
      <c r="J1723" s="8" t="s">
        <v>157</v>
      </c>
      <c r="K1723" s="8" t="s">
        <v>158</v>
      </c>
      <c r="L1723" s="8" t="s">
        <v>557</v>
      </c>
      <c r="M1723" s="1" t="s">
        <v>205</v>
      </c>
      <c r="N1723" s="8" t="s">
        <v>206</v>
      </c>
      <c r="O1723" s="6">
        <v>0</v>
      </c>
      <c r="P1723" s="6">
        <v>0</v>
      </c>
      <c r="Q1723" s="6">
        <v>0</v>
      </c>
      <c r="R1723" s="6">
        <v>0</v>
      </c>
      <c r="S1723" s="6">
        <v>310</v>
      </c>
    </row>
    <row r="1724" spans="1:19" ht="15" hidden="1" x14ac:dyDescent="0.25">
      <c r="A1724" s="7" t="s">
        <v>16</v>
      </c>
      <c r="B1724" s="7" t="s">
        <v>22</v>
      </c>
      <c r="C1724" s="7" t="s">
        <v>18</v>
      </c>
      <c r="D1724" s="4">
        <v>80490618000116</v>
      </c>
      <c r="E1724" s="8" t="s">
        <v>997</v>
      </c>
      <c r="F1724" s="8" t="s">
        <v>998</v>
      </c>
      <c r="G1724" s="8" t="s">
        <v>68</v>
      </c>
      <c r="H1724" s="8" t="s">
        <v>215</v>
      </c>
      <c r="I1724" s="3">
        <v>2</v>
      </c>
      <c r="J1724" s="8" t="s">
        <v>175</v>
      </c>
      <c r="K1724" s="8" t="s">
        <v>176</v>
      </c>
      <c r="L1724" s="8" t="s">
        <v>556</v>
      </c>
      <c r="M1724" s="1" t="s">
        <v>205</v>
      </c>
      <c r="N1724" s="8" t="s">
        <v>206</v>
      </c>
      <c r="O1724" s="6">
        <v>0</v>
      </c>
      <c r="P1724" s="6">
        <v>0</v>
      </c>
      <c r="Q1724" s="6">
        <v>0</v>
      </c>
      <c r="R1724" s="6">
        <v>0</v>
      </c>
      <c r="S1724" s="6">
        <v>60</v>
      </c>
    </row>
    <row r="1725" spans="1:19" ht="15" hidden="1" x14ac:dyDescent="0.25">
      <c r="A1725" s="7" t="s">
        <v>16</v>
      </c>
      <c r="B1725" s="7" t="s">
        <v>22</v>
      </c>
      <c r="C1725" s="7" t="s">
        <v>18</v>
      </c>
      <c r="D1725" s="4">
        <v>80490618000116</v>
      </c>
      <c r="E1725" s="8" t="s">
        <v>997</v>
      </c>
      <c r="F1725" s="8" t="s">
        <v>998</v>
      </c>
      <c r="G1725" s="8" t="s">
        <v>68</v>
      </c>
      <c r="H1725" s="8" t="s">
        <v>215</v>
      </c>
      <c r="I1725" s="3">
        <v>2</v>
      </c>
      <c r="J1725" s="8" t="s">
        <v>157</v>
      </c>
      <c r="K1725" s="8" t="s">
        <v>158</v>
      </c>
      <c r="L1725" s="8" t="s">
        <v>557</v>
      </c>
      <c r="M1725" s="1" t="s">
        <v>205</v>
      </c>
      <c r="N1725" s="8" t="s">
        <v>206</v>
      </c>
      <c r="O1725" s="6">
        <v>0</v>
      </c>
      <c r="P1725" s="6">
        <v>0</v>
      </c>
      <c r="Q1725" s="6">
        <v>0</v>
      </c>
      <c r="R1725" s="6">
        <v>0</v>
      </c>
      <c r="S1725" s="6">
        <v>60</v>
      </c>
    </row>
    <row r="1726" spans="1:19" ht="15" hidden="1" x14ac:dyDescent="0.25">
      <c r="A1726" s="7" t="s">
        <v>16</v>
      </c>
      <c r="B1726" s="7" t="s">
        <v>22</v>
      </c>
      <c r="C1726" s="7" t="s">
        <v>18</v>
      </c>
      <c r="D1726" s="4">
        <v>12361267000517</v>
      </c>
      <c r="E1726" s="8" t="s">
        <v>849</v>
      </c>
      <c r="F1726" s="8" t="s">
        <v>84</v>
      </c>
      <c r="G1726" s="8" t="s">
        <v>85</v>
      </c>
      <c r="H1726" s="8" t="s">
        <v>215</v>
      </c>
      <c r="I1726" s="3">
        <v>2</v>
      </c>
      <c r="J1726" s="8" t="s">
        <v>199</v>
      </c>
      <c r="K1726" s="8" t="s">
        <v>200</v>
      </c>
      <c r="L1726" s="8" t="s">
        <v>556</v>
      </c>
      <c r="M1726" s="1" t="s">
        <v>211</v>
      </c>
      <c r="N1726" s="8" t="s">
        <v>212</v>
      </c>
      <c r="O1726" s="6">
        <v>0</v>
      </c>
      <c r="P1726" s="6">
        <v>0</v>
      </c>
      <c r="Q1726" s="6">
        <v>0</v>
      </c>
      <c r="R1726" s="6">
        <v>0</v>
      </c>
      <c r="S1726" s="6">
        <v>0</v>
      </c>
    </row>
    <row r="1727" spans="1:19" ht="15" hidden="1" x14ac:dyDescent="0.25">
      <c r="A1727" s="7" t="s">
        <v>16</v>
      </c>
      <c r="B1727" s="7" t="s">
        <v>22</v>
      </c>
      <c r="C1727" s="7" t="s">
        <v>18</v>
      </c>
      <c r="D1727" s="4">
        <v>12361267000517</v>
      </c>
      <c r="E1727" s="8" t="s">
        <v>849</v>
      </c>
      <c r="F1727" s="8" t="s">
        <v>84</v>
      </c>
      <c r="G1727" s="8" t="s">
        <v>85</v>
      </c>
      <c r="H1727" s="8" t="s">
        <v>215</v>
      </c>
      <c r="I1727" s="3">
        <v>2</v>
      </c>
      <c r="J1727" s="8" t="s">
        <v>167</v>
      </c>
      <c r="K1727" s="8" t="s">
        <v>168</v>
      </c>
      <c r="L1727" s="8" t="s">
        <v>557</v>
      </c>
      <c r="M1727" s="1" t="s">
        <v>211</v>
      </c>
      <c r="N1727" s="8" t="s">
        <v>212</v>
      </c>
      <c r="O1727" s="6">
        <v>0</v>
      </c>
      <c r="P1727" s="6">
        <v>2</v>
      </c>
      <c r="Q1727" s="6">
        <v>0</v>
      </c>
      <c r="R1727" s="6">
        <v>0</v>
      </c>
      <c r="S1727" s="6">
        <v>0</v>
      </c>
    </row>
    <row r="1728" spans="1:19" ht="15" hidden="1" x14ac:dyDescent="0.25">
      <c r="A1728" s="7" t="s">
        <v>16</v>
      </c>
      <c r="B1728" s="7" t="s">
        <v>22</v>
      </c>
      <c r="C1728" s="7" t="s">
        <v>18</v>
      </c>
      <c r="D1728" s="4">
        <v>3222051000156</v>
      </c>
      <c r="E1728" s="8" t="s">
        <v>784</v>
      </c>
      <c r="F1728" s="8" t="s">
        <v>84</v>
      </c>
      <c r="G1728" s="8" t="s">
        <v>85</v>
      </c>
      <c r="H1728" s="8" t="s">
        <v>215</v>
      </c>
      <c r="I1728" s="3">
        <v>2</v>
      </c>
      <c r="J1728" s="8" t="s">
        <v>199</v>
      </c>
      <c r="K1728" s="8" t="s">
        <v>200</v>
      </c>
      <c r="L1728" s="8" t="s">
        <v>556</v>
      </c>
      <c r="M1728" s="1" t="s">
        <v>211</v>
      </c>
      <c r="N1728" s="8" t="s">
        <v>212</v>
      </c>
      <c r="O1728" s="6">
        <v>0</v>
      </c>
      <c r="P1728" s="6">
        <v>0</v>
      </c>
      <c r="Q1728" s="6">
        <v>0</v>
      </c>
      <c r="R1728" s="6">
        <v>0</v>
      </c>
      <c r="S1728" s="6">
        <v>0</v>
      </c>
    </row>
    <row r="1729" spans="1:19" ht="15" hidden="1" x14ac:dyDescent="0.25">
      <c r="A1729" s="7" t="s">
        <v>16</v>
      </c>
      <c r="B1729" s="7" t="s">
        <v>22</v>
      </c>
      <c r="C1729" s="7" t="s">
        <v>18</v>
      </c>
      <c r="D1729" s="4">
        <v>3222051000156</v>
      </c>
      <c r="E1729" s="8" t="s">
        <v>784</v>
      </c>
      <c r="F1729" s="8" t="s">
        <v>84</v>
      </c>
      <c r="G1729" s="8" t="s">
        <v>85</v>
      </c>
      <c r="H1729" s="8" t="s">
        <v>215</v>
      </c>
      <c r="I1729" s="3">
        <v>2</v>
      </c>
      <c r="J1729" s="8" t="s">
        <v>167</v>
      </c>
      <c r="K1729" s="8" t="s">
        <v>168</v>
      </c>
      <c r="L1729" s="8" t="s">
        <v>557</v>
      </c>
      <c r="M1729" s="1" t="s">
        <v>211</v>
      </c>
      <c r="N1729" s="8" t="s">
        <v>212</v>
      </c>
      <c r="O1729" s="6">
        <v>0</v>
      </c>
      <c r="P1729" s="6">
        <v>2</v>
      </c>
      <c r="Q1729" s="6">
        <v>2</v>
      </c>
      <c r="R1729" s="6">
        <v>0</v>
      </c>
      <c r="S1729" s="6">
        <v>0</v>
      </c>
    </row>
    <row r="1730" spans="1:19" ht="15" hidden="1" x14ac:dyDescent="0.25">
      <c r="A1730" s="7" t="s">
        <v>16</v>
      </c>
      <c r="B1730" s="7" t="s">
        <v>22</v>
      </c>
      <c r="C1730" s="7" t="s">
        <v>18</v>
      </c>
      <c r="D1730" s="4">
        <v>13131370000100</v>
      </c>
      <c r="E1730" s="8" t="s">
        <v>870</v>
      </c>
      <c r="F1730" s="8" t="s">
        <v>84</v>
      </c>
      <c r="G1730" s="8" t="s">
        <v>85</v>
      </c>
      <c r="H1730" s="8" t="s">
        <v>215</v>
      </c>
      <c r="I1730" s="3">
        <v>2</v>
      </c>
      <c r="J1730" s="8" t="s">
        <v>199</v>
      </c>
      <c r="K1730" s="8" t="s">
        <v>200</v>
      </c>
      <c r="L1730" s="8" t="s">
        <v>556</v>
      </c>
      <c r="M1730" s="1" t="s">
        <v>211</v>
      </c>
      <c r="N1730" s="8" t="s">
        <v>212</v>
      </c>
      <c r="O1730" s="6">
        <v>0</v>
      </c>
      <c r="P1730" s="6">
        <v>0</v>
      </c>
      <c r="Q1730" s="6">
        <v>0</v>
      </c>
      <c r="R1730" s="6">
        <v>38</v>
      </c>
      <c r="S1730" s="6">
        <v>300</v>
      </c>
    </row>
    <row r="1731" spans="1:19" ht="15" hidden="1" x14ac:dyDescent="0.25">
      <c r="A1731" s="7" t="s">
        <v>16</v>
      </c>
      <c r="B1731" s="7" t="s">
        <v>22</v>
      </c>
      <c r="C1731" s="7" t="s">
        <v>18</v>
      </c>
      <c r="D1731" s="4">
        <v>13131370000100</v>
      </c>
      <c r="E1731" s="8" t="s">
        <v>870</v>
      </c>
      <c r="F1731" s="8" t="s">
        <v>84</v>
      </c>
      <c r="G1731" s="8" t="s">
        <v>85</v>
      </c>
      <c r="H1731" s="8" t="s">
        <v>215</v>
      </c>
      <c r="I1731" s="3">
        <v>2</v>
      </c>
      <c r="J1731" s="8" t="s">
        <v>167</v>
      </c>
      <c r="K1731" s="8" t="s">
        <v>168</v>
      </c>
      <c r="L1731" s="8" t="s">
        <v>557</v>
      </c>
      <c r="M1731" s="1" t="s">
        <v>211</v>
      </c>
      <c r="N1731" s="8" t="s">
        <v>212</v>
      </c>
      <c r="O1731" s="6">
        <v>0</v>
      </c>
      <c r="P1731" s="6">
        <v>0</v>
      </c>
      <c r="Q1731" s="6">
        <v>0</v>
      </c>
      <c r="R1731" s="6">
        <v>0</v>
      </c>
      <c r="S1731" s="6">
        <v>300</v>
      </c>
    </row>
    <row r="1732" spans="1:19" ht="15" hidden="1" x14ac:dyDescent="0.25">
      <c r="A1732" s="7" t="s">
        <v>16</v>
      </c>
      <c r="B1732" s="7" t="s">
        <v>22</v>
      </c>
      <c r="C1732" s="7" t="s">
        <v>18</v>
      </c>
      <c r="D1732" s="4">
        <v>15592785000106</v>
      </c>
      <c r="E1732" s="8" t="s">
        <v>897</v>
      </c>
      <c r="F1732" s="8" t="s">
        <v>84</v>
      </c>
      <c r="G1732" s="8" t="s">
        <v>85</v>
      </c>
      <c r="H1732" s="8" t="s">
        <v>215</v>
      </c>
      <c r="I1732" s="3">
        <v>2</v>
      </c>
      <c r="J1732" s="8" t="s">
        <v>199</v>
      </c>
      <c r="K1732" s="8" t="s">
        <v>200</v>
      </c>
      <c r="L1732" s="8" t="s">
        <v>556</v>
      </c>
      <c r="M1732" s="1" t="s">
        <v>211</v>
      </c>
      <c r="N1732" s="8" t="s">
        <v>212</v>
      </c>
      <c r="O1732" s="6">
        <v>0</v>
      </c>
      <c r="P1732" s="6">
        <v>0</v>
      </c>
      <c r="Q1732" s="6">
        <v>0</v>
      </c>
      <c r="R1732" s="6">
        <v>0</v>
      </c>
      <c r="S1732" s="6">
        <v>30</v>
      </c>
    </row>
    <row r="1733" spans="1:19" ht="15" hidden="1" x14ac:dyDescent="0.25">
      <c r="A1733" s="7" t="s">
        <v>16</v>
      </c>
      <c r="B1733" s="7" t="s">
        <v>22</v>
      </c>
      <c r="C1733" s="7" t="s">
        <v>18</v>
      </c>
      <c r="D1733" s="4">
        <v>15592785000106</v>
      </c>
      <c r="E1733" s="8" t="s">
        <v>897</v>
      </c>
      <c r="F1733" s="8" t="s">
        <v>84</v>
      </c>
      <c r="G1733" s="8" t="s">
        <v>85</v>
      </c>
      <c r="H1733" s="8" t="s">
        <v>215</v>
      </c>
      <c r="I1733" s="3">
        <v>2</v>
      </c>
      <c r="J1733" s="8" t="s">
        <v>167</v>
      </c>
      <c r="K1733" s="8" t="s">
        <v>168</v>
      </c>
      <c r="L1733" s="8" t="s">
        <v>557</v>
      </c>
      <c r="M1733" s="1" t="s">
        <v>211</v>
      </c>
      <c r="N1733" s="8" t="s">
        <v>212</v>
      </c>
      <c r="O1733" s="6">
        <v>0</v>
      </c>
      <c r="P1733" s="6">
        <v>0</v>
      </c>
      <c r="Q1733" s="6">
        <v>0</v>
      </c>
      <c r="R1733" s="6">
        <v>0</v>
      </c>
      <c r="S1733" s="6">
        <v>30</v>
      </c>
    </row>
    <row r="1734" spans="1:19" ht="15" hidden="1" x14ac:dyDescent="0.25">
      <c r="A1734" s="7" t="s">
        <v>16</v>
      </c>
      <c r="B1734" s="7" t="s">
        <v>22</v>
      </c>
      <c r="C1734" s="7" t="s">
        <v>18</v>
      </c>
      <c r="D1734" s="4">
        <v>3091003000176</v>
      </c>
      <c r="E1734" s="8" t="s">
        <v>782</v>
      </c>
      <c r="F1734" s="8" t="s">
        <v>84</v>
      </c>
      <c r="G1734" s="8" t="s">
        <v>85</v>
      </c>
      <c r="H1734" s="8" t="s">
        <v>215</v>
      </c>
      <c r="I1734" s="3">
        <v>2</v>
      </c>
      <c r="J1734" s="8" t="s">
        <v>199</v>
      </c>
      <c r="K1734" s="8" t="s">
        <v>200</v>
      </c>
      <c r="L1734" s="8" t="s">
        <v>556</v>
      </c>
      <c r="M1734" s="1" t="s">
        <v>211</v>
      </c>
      <c r="N1734" s="8" t="s">
        <v>212</v>
      </c>
      <c r="O1734" s="6">
        <v>0</v>
      </c>
      <c r="P1734" s="6">
        <v>0</v>
      </c>
      <c r="Q1734" s="6">
        <v>0</v>
      </c>
      <c r="R1734" s="6">
        <v>0</v>
      </c>
      <c r="S1734" s="6">
        <v>175</v>
      </c>
    </row>
    <row r="1735" spans="1:19" ht="15" hidden="1" x14ac:dyDescent="0.25">
      <c r="A1735" s="7" t="s">
        <v>16</v>
      </c>
      <c r="B1735" s="7" t="s">
        <v>22</v>
      </c>
      <c r="C1735" s="7" t="s">
        <v>18</v>
      </c>
      <c r="D1735" s="4">
        <v>3091003000176</v>
      </c>
      <c r="E1735" s="8" t="s">
        <v>782</v>
      </c>
      <c r="F1735" s="8" t="s">
        <v>84</v>
      </c>
      <c r="G1735" s="8" t="s">
        <v>85</v>
      </c>
      <c r="H1735" s="8" t="s">
        <v>215</v>
      </c>
      <c r="I1735" s="3">
        <v>2</v>
      </c>
      <c r="J1735" s="8" t="s">
        <v>167</v>
      </c>
      <c r="K1735" s="8" t="s">
        <v>168</v>
      </c>
      <c r="L1735" s="8" t="s">
        <v>557</v>
      </c>
      <c r="M1735" s="1" t="s">
        <v>211</v>
      </c>
      <c r="N1735" s="8" t="s">
        <v>212</v>
      </c>
      <c r="O1735" s="6">
        <v>0</v>
      </c>
      <c r="P1735" s="6">
        <v>0</v>
      </c>
      <c r="Q1735" s="6">
        <v>0</v>
      </c>
      <c r="R1735" s="6">
        <v>0</v>
      </c>
      <c r="S1735" s="6">
        <v>175</v>
      </c>
    </row>
    <row r="1736" spans="1:19" ht="15" hidden="1" x14ac:dyDescent="0.25">
      <c r="A1736" s="7" t="s">
        <v>16</v>
      </c>
      <c r="B1736" s="7" t="s">
        <v>22</v>
      </c>
      <c r="C1736" s="7" t="s">
        <v>18</v>
      </c>
      <c r="D1736" s="4">
        <v>25026561000190</v>
      </c>
      <c r="E1736" s="8" t="s">
        <v>666</v>
      </c>
      <c r="F1736" s="8" t="s">
        <v>34</v>
      </c>
      <c r="G1736" s="8" t="s">
        <v>19</v>
      </c>
      <c r="H1736" s="8" t="s">
        <v>215</v>
      </c>
      <c r="I1736" s="3">
        <v>2</v>
      </c>
      <c r="J1736" s="8" t="s">
        <v>151</v>
      </c>
      <c r="K1736" s="8" t="s">
        <v>152</v>
      </c>
      <c r="L1736" s="8" t="s">
        <v>556</v>
      </c>
      <c r="M1736" s="1" t="s">
        <v>207</v>
      </c>
      <c r="N1736" s="8" t="s">
        <v>208</v>
      </c>
      <c r="O1736" s="6">
        <v>0</v>
      </c>
      <c r="P1736" s="6">
        <v>0</v>
      </c>
      <c r="Q1736" s="6">
        <v>0</v>
      </c>
      <c r="R1736" s="6">
        <v>0</v>
      </c>
      <c r="S1736" s="6">
        <v>20</v>
      </c>
    </row>
    <row r="1737" spans="1:19" ht="15" hidden="1" x14ac:dyDescent="0.25">
      <c r="A1737" s="7" t="s">
        <v>16</v>
      </c>
      <c r="B1737" s="7" t="s">
        <v>22</v>
      </c>
      <c r="C1737" s="7" t="s">
        <v>18</v>
      </c>
      <c r="D1737" s="4">
        <v>25026561000190</v>
      </c>
      <c r="E1737" s="8" t="s">
        <v>666</v>
      </c>
      <c r="F1737" s="8" t="s">
        <v>34</v>
      </c>
      <c r="G1737" s="8" t="s">
        <v>19</v>
      </c>
      <c r="H1737" s="8" t="s">
        <v>215</v>
      </c>
      <c r="I1737" s="3">
        <v>2</v>
      </c>
      <c r="J1737" s="8" t="s">
        <v>149</v>
      </c>
      <c r="K1737" s="8" t="s">
        <v>150</v>
      </c>
      <c r="L1737" s="8" t="s">
        <v>557</v>
      </c>
      <c r="M1737" s="1" t="s">
        <v>207</v>
      </c>
      <c r="N1737" s="8" t="s">
        <v>208</v>
      </c>
      <c r="O1737" s="6">
        <v>0</v>
      </c>
      <c r="P1737" s="6">
        <v>0</v>
      </c>
      <c r="Q1737" s="6">
        <v>0</v>
      </c>
      <c r="R1737" s="6">
        <v>0</v>
      </c>
      <c r="S1737" s="6">
        <v>20</v>
      </c>
    </row>
    <row r="1738" spans="1:19" ht="15" hidden="1" x14ac:dyDescent="0.25">
      <c r="A1738" s="7" t="s">
        <v>16</v>
      </c>
      <c r="B1738" s="7" t="s">
        <v>22</v>
      </c>
      <c r="C1738" s="7" t="s">
        <v>18</v>
      </c>
      <c r="D1738" s="4">
        <v>46374500009221</v>
      </c>
      <c r="E1738" s="8" t="s">
        <v>700</v>
      </c>
      <c r="F1738" s="8" t="s">
        <v>49</v>
      </c>
      <c r="G1738" s="8" t="s">
        <v>19</v>
      </c>
      <c r="H1738" s="8" t="s">
        <v>215</v>
      </c>
      <c r="I1738" s="3">
        <v>2</v>
      </c>
      <c r="J1738" s="8" t="s">
        <v>151</v>
      </c>
      <c r="K1738" s="8" t="s">
        <v>152</v>
      </c>
      <c r="L1738" s="8" t="s">
        <v>556</v>
      </c>
      <c r="M1738" s="1" t="s">
        <v>207</v>
      </c>
      <c r="N1738" s="8" t="s">
        <v>208</v>
      </c>
      <c r="O1738" s="6">
        <v>0</v>
      </c>
      <c r="P1738" s="6">
        <v>0</v>
      </c>
      <c r="Q1738" s="6">
        <v>0</v>
      </c>
      <c r="R1738" s="6">
        <v>0</v>
      </c>
      <c r="S1738" s="6">
        <v>900</v>
      </c>
    </row>
    <row r="1739" spans="1:19" ht="15" hidden="1" x14ac:dyDescent="0.25">
      <c r="A1739" s="7" t="s">
        <v>16</v>
      </c>
      <c r="B1739" s="7" t="s">
        <v>22</v>
      </c>
      <c r="C1739" s="7" t="s">
        <v>18</v>
      </c>
      <c r="D1739" s="4">
        <v>46374500009221</v>
      </c>
      <c r="E1739" s="8" t="s">
        <v>700</v>
      </c>
      <c r="F1739" s="8" t="s">
        <v>49</v>
      </c>
      <c r="G1739" s="8" t="s">
        <v>19</v>
      </c>
      <c r="H1739" s="8" t="s">
        <v>215</v>
      </c>
      <c r="I1739" s="3">
        <v>2</v>
      </c>
      <c r="J1739" s="8" t="s">
        <v>149</v>
      </c>
      <c r="K1739" s="8" t="s">
        <v>150</v>
      </c>
      <c r="L1739" s="8" t="s">
        <v>557</v>
      </c>
      <c r="M1739" s="1" t="s">
        <v>207</v>
      </c>
      <c r="N1739" s="8" t="s">
        <v>208</v>
      </c>
      <c r="O1739" s="6">
        <v>0</v>
      </c>
      <c r="P1739" s="6">
        <v>0</v>
      </c>
      <c r="Q1739" s="6">
        <v>0</v>
      </c>
      <c r="R1739" s="6">
        <v>0</v>
      </c>
      <c r="S1739" s="6">
        <v>900</v>
      </c>
    </row>
    <row r="1740" spans="1:19" ht="15" hidden="1" x14ac:dyDescent="0.25">
      <c r="A1740" s="7" t="s">
        <v>16</v>
      </c>
      <c r="B1740" s="7" t="s">
        <v>22</v>
      </c>
      <c r="C1740" s="7" t="s">
        <v>18</v>
      </c>
      <c r="D1740" s="4">
        <v>54012406000385</v>
      </c>
      <c r="E1740" s="8" t="s">
        <v>718</v>
      </c>
      <c r="F1740" s="8" t="s">
        <v>45</v>
      </c>
      <c r="G1740" s="8" t="s">
        <v>19</v>
      </c>
      <c r="H1740" s="8" t="s">
        <v>215</v>
      </c>
      <c r="I1740" s="3">
        <v>2</v>
      </c>
      <c r="J1740" s="8" t="s">
        <v>151</v>
      </c>
      <c r="K1740" s="8" t="s">
        <v>152</v>
      </c>
      <c r="L1740" s="8" t="s">
        <v>556</v>
      </c>
      <c r="M1740" s="1" t="s">
        <v>207</v>
      </c>
      <c r="N1740" s="8" t="s">
        <v>208</v>
      </c>
      <c r="O1740" s="6">
        <v>0</v>
      </c>
      <c r="P1740" s="6">
        <v>0</v>
      </c>
      <c r="Q1740" s="6">
        <v>0</v>
      </c>
      <c r="R1740" s="6">
        <v>0</v>
      </c>
      <c r="S1740" s="6">
        <v>70</v>
      </c>
    </row>
    <row r="1741" spans="1:19" ht="15" hidden="1" x14ac:dyDescent="0.25">
      <c r="A1741" s="7" t="s">
        <v>16</v>
      </c>
      <c r="B1741" s="7" t="s">
        <v>22</v>
      </c>
      <c r="C1741" s="7" t="s">
        <v>18</v>
      </c>
      <c r="D1741" s="4">
        <v>54012406000385</v>
      </c>
      <c r="E1741" s="8" t="s">
        <v>718</v>
      </c>
      <c r="F1741" s="8" t="s">
        <v>45</v>
      </c>
      <c r="G1741" s="8" t="s">
        <v>19</v>
      </c>
      <c r="H1741" s="8" t="s">
        <v>215</v>
      </c>
      <c r="I1741" s="3">
        <v>2</v>
      </c>
      <c r="J1741" s="8" t="s">
        <v>149</v>
      </c>
      <c r="K1741" s="8" t="s">
        <v>150</v>
      </c>
      <c r="L1741" s="8" t="s">
        <v>557</v>
      </c>
      <c r="M1741" s="1" t="s">
        <v>207</v>
      </c>
      <c r="N1741" s="8" t="s">
        <v>208</v>
      </c>
      <c r="O1741" s="6">
        <v>0</v>
      </c>
      <c r="P1741" s="6">
        <v>0</v>
      </c>
      <c r="Q1741" s="6">
        <v>0</v>
      </c>
      <c r="R1741" s="6">
        <v>0</v>
      </c>
      <c r="S1741" s="6">
        <v>70</v>
      </c>
    </row>
    <row r="1742" spans="1:19" ht="15" hidden="1" x14ac:dyDescent="0.25">
      <c r="A1742" s="7" t="s">
        <v>16</v>
      </c>
      <c r="B1742" s="7" t="s">
        <v>22</v>
      </c>
      <c r="C1742" s="7" t="s">
        <v>18</v>
      </c>
      <c r="D1742" s="4">
        <v>51093193000456</v>
      </c>
      <c r="E1742" s="8" t="s">
        <v>708</v>
      </c>
      <c r="F1742" s="8" t="s">
        <v>698</v>
      </c>
      <c r="G1742" s="8" t="s">
        <v>19</v>
      </c>
      <c r="H1742" s="8" t="s">
        <v>215</v>
      </c>
      <c r="I1742" s="3">
        <v>2</v>
      </c>
      <c r="J1742" s="8" t="s">
        <v>151</v>
      </c>
      <c r="K1742" s="8" t="s">
        <v>152</v>
      </c>
      <c r="L1742" s="8" t="s">
        <v>556</v>
      </c>
      <c r="M1742" s="1" t="s">
        <v>207</v>
      </c>
      <c r="N1742" s="8" t="s">
        <v>208</v>
      </c>
      <c r="O1742" s="6">
        <v>0</v>
      </c>
      <c r="P1742" s="6">
        <v>0</v>
      </c>
      <c r="Q1742" s="6">
        <v>0</v>
      </c>
      <c r="R1742" s="6">
        <v>0</v>
      </c>
      <c r="S1742" s="6">
        <v>20</v>
      </c>
    </row>
    <row r="1743" spans="1:19" ht="15" hidden="1" x14ac:dyDescent="0.25">
      <c r="A1743" s="7" t="s">
        <v>16</v>
      </c>
      <c r="B1743" s="7" t="s">
        <v>22</v>
      </c>
      <c r="C1743" s="7" t="s">
        <v>18</v>
      </c>
      <c r="D1743" s="4">
        <v>51093193000456</v>
      </c>
      <c r="E1743" s="8" t="s">
        <v>708</v>
      </c>
      <c r="F1743" s="8" t="s">
        <v>698</v>
      </c>
      <c r="G1743" s="8" t="s">
        <v>19</v>
      </c>
      <c r="H1743" s="8" t="s">
        <v>215</v>
      </c>
      <c r="I1743" s="3">
        <v>2</v>
      </c>
      <c r="J1743" s="8" t="s">
        <v>149</v>
      </c>
      <c r="K1743" s="8" t="s">
        <v>150</v>
      </c>
      <c r="L1743" s="8" t="s">
        <v>557</v>
      </c>
      <c r="M1743" s="1" t="s">
        <v>207</v>
      </c>
      <c r="N1743" s="8" t="s">
        <v>208</v>
      </c>
      <c r="O1743" s="6">
        <v>0</v>
      </c>
      <c r="P1743" s="6">
        <v>0</v>
      </c>
      <c r="Q1743" s="6">
        <v>0</v>
      </c>
      <c r="R1743" s="6">
        <v>0</v>
      </c>
      <c r="S1743" s="6">
        <v>20</v>
      </c>
    </row>
    <row r="1744" spans="1:19" ht="15" hidden="1" x14ac:dyDescent="0.25">
      <c r="A1744" s="7" t="s">
        <v>16</v>
      </c>
      <c r="B1744" s="7" t="s">
        <v>22</v>
      </c>
      <c r="C1744" s="7" t="s">
        <v>18</v>
      </c>
      <c r="D1744" s="4">
        <v>29435005008103</v>
      </c>
      <c r="E1744" s="8" t="s">
        <v>669</v>
      </c>
      <c r="F1744" s="8" t="s">
        <v>670</v>
      </c>
      <c r="G1744" s="8" t="s">
        <v>19</v>
      </c>
      <c r="H1744" s="8" t="s">
        <v>215</v>
      </c>
      <c r="I1744" s="3">
        <v>2</v>
      </c>
      <c r="J1744" s="8" t="s">
        <v>1355</v>
      </c>
      <c r="K1744" s="8" t="s">
        <v>1356</v>
      </c>
      <c r="L1744" s="8" t="s">
        <v>556</v>
      </c>
      <c r="M1744" s="1" t="s">
        <v>207</v>
      </c>
      <c r="N1744" s="8" t="s">
        <v>208</v>
      </c>
      <c r="O1744" s="6">
        <v>0</v>
      </c>
      <c r="P1744" s="6">
        <v>0</v>
      </c>
      <c r="Q1744" s="6">
        <v>0</v>
      </c>
      <c r="R1744" s="6">
        <v>0</v>
      </c>
      <c r="S1744" s="6">
        <v>5</v>
      </c>
    </row>
    <row r="1745" spans="1:19" ht="15" hidden="1" x14ac:dyDescent="0.25">
      <c r="A1745" s="7" t="s">
        <v>16</v>
      </c>
      <c r="B1745" s="7" t="s">
        <v>22</v>
      </c>
      <c r="C1745" s="7" t="s">
        <v>18</v>
      </c>
      <c r="D1745" s="4">
        <v>29435005008103</v>
      </c>
      <c r="E1745" s="8" t="s">
        <v>669</v>
      </c>
      <c r="F1745" s="8" t="s">
        <v>670</v>
      </c>
      <c r="G1745" s="8" t="s">
        <v>19</v>
      </c>
      <c r="H1745" s="8" t="s">
        <v>215</v>
      </c>
      <c r="I1745" s="3">
        <v>2</v>
      </c>
      <c r="J1745" s="8" t="s">
        <v>147</v>
      </c>
      <c r="K1745" s="8" t="s">
        <v>148</v>
      </c>
      <c r="L1745" s="8" t="s">
        <v>557</v>
      </c>
      <c r="M1745" s="1" t="s">
        <v>207</v>
      </c>
      <c r="N1745" s="8" t="s">
        <v>208</v>
      </c>
      <c r="O1745" s="6">
        <v>0</v>
      </c>
      <c r="P1745" s="6">
        <v>0</v>
      </c>
      <c r="Q1745" s="6">
        <v>0</v>
      </c>
      <c r="R1745" s="6">
        <v>0</v>
      </c>
      <c r="S1745" s="6">
        <v>5</v>
      </c>
    </row>
    <row r="1746" spans="1:19" ht="15" hidden="1" x14ac:dyDescent="0.25">
      <c r="A1746" s="7" t="s">
        <v>16</v>
      </c>
      <c r="B1746" s="7" t="s">
        <v>22</v>
      </c>
      <c r="C1746" s="7" t="s">
        <v>18</v>
      </c>
      <c r="D1746" s="4">
        <v>4275687000129</v>
      </c>
      <c r="E1746" s="8" t="s">
        <v>645</v>
      </c>
      <c r="F1746" s="8" t="s">
        <v>31</v>
      </c>
      <c r="G1746" s="8" t="s">
        <v>19</v>
      </c>
      <c r="H1746" s="8" t="s">
        <v>215</v>
      </c>
      <c r="I1746" s="3">
        <v>2</v>
      </c>
      <c r="J1746" s="8" t="s">
        <v>151</v>
      </c>
      <c r="K1746" s="8" t="s">
        <v>152</v>
      </c>
      <c r="L1746" s="8" t="s">
        <v>556</v>
      </c>
      <c r="M1746" s="1" t="s">
        <v>207</v>
      </c>
      <c r="N1746" s="8" t="s">
        <v>208</v>
      </c>
      <c r="O1746" s="6">
        <v>0</v>
      </c>
      <c r="P1746" s="6">
        <v>0</v>
      </c>
      <c r="Q1746" s="6">
        <v>0</v>
      </c>
      <c r="R1746" s="6">
        <v>52</v>
      </c>
      <c r="S1746" s="6">
        <v>0</v>
      </c>
    </row>
    <row r="1747" spans="1:19" ht="15" hidden="1" x14ac:dyDescent="0.25">
      <c r="A1747" s="7" t="s">
        <v>16</v>
      </c>
      <c r="B1747" s="7" t="s">
        <v>22</v>
      </c>
      <c r="C1747" s="7" t="s">
        <v>18</v>
      </c>
      <c r="D1747" s="4">
        <v>4275687000129</v>
      </c>
      <c r="E1747" s="8" t="s">
        <v>645</v>
      </c>
      <c r="F1747" s="8" t="s">
        <v>31</v>
      </c>
      <c r="G1747" s="8" t="s">
        <v>19</v>
      </c>
      <c r="H1747" s="8" t="s">
        <v>215</v>
      </c>
      <c r="I1747" s="3">
        <v>2</v>
      </c>
      <c r="J1747" s="8" t="s">
        <v>149</v>
      </c>
      <c r="K1747" s="8" t="s">
        <v>150</v>
      </c>
      <c r="L1747" s="8" t="s">
        <v>557</v>
      </c>
      <c r="M1747" s="1" t="s">
        <v>207</v>
      </c>
      <c r="N1747" s="8" t="s">
        <v>208</v>
      </c>
      <c r="O1747" s="6">
        <v>0</v>
      </c>
      <c r="P1747" s="6">
        <v>0</v>
      </c>
      <c r="Q1747" s="6">
        <v>0</v>
      </c>
      <c r="R1747" s="6">
        <v>0</v>
      </c>
      <c r="S1747" s="6">
        <v>0</v>
      </c>
    </row>
    <row r="1748" spans="1:19" ht="15" hidden="1" x14ac:dyDescent="0.25">
      <c r="A1748" s="7" t="s">
        <v>16</v>
      </c>
      <c r="B1748" s="7" t="s">
        <v>22</v>
      </c>
      <c r="C1748" s="7" t="s">
        <v>18</v>
      </c>
      <c r="D1748" s="4">
        <v>44456036000311</v>
      </c>
      <c r="E1748" s="8" t="s">
        <v>675</v>
      </c>
      <c r="F1748" s="8" t="s">
        <v>37</v>
      </c>
      <c r="G1748" s="8" t="s">
        <v>19</v>
      </c>
      <c r="H1748" s="8" t="s">
        <v>215</v>
      </c>
      <c r="I1748" s="3">
        <v>2</v>
      </c>
      <c r="J1748" s="8" t="s">
        <v>151</v>
      </c>
      <c r="K1748" s="8" t="s">
        <v>152</v>
      </c>
      <c r="L1748" s="8" t="s">
        <v>556</v>
      </c>
      <c r="M1748" s="1" t="s">
        <v>207</v>
      </c>
      <c r="N1748" s="8" t="s">
        <v>208</v>
      </c>
      <c r="O1748" s="6">
        <v>0</v>
      </c>
      <c r="P1748" s="6">
        <v>0</v>
      </c>
      <c r="Q1748" s="6">
        <v>0</v>
      </c>
      <c r="R1748" s="6">
        <v>0</v>
      </c>
      <c r="S1748" s="6">
        <v>0</v>
      </c>
    </row>
    <row r="1749" spans="1:19" ht="15" hidden="1" x14ac:dyDescent="0.25">
      <c r="A1749" s="7" t="s">
        <v>16</v>
      </c>
      <c r="B1749" s="7" t="s">
        <v>22</v>
      </c>
      <c r="C1749" s="7" t="s">
        <v>18</v>
      </c>
      <c r="D1749" s="4">
        <v>44456036000311</v>
      </c>
      <c r="E1749" s="8" t="s">
        <v>675</v>
      </c>
      <c r="F1749" s="8" t="s">
        <v>37</v>
      </c>
      <c r="G1749" s="8" t="s">
        <v>19</v>
      </c>
      <c r="H1749" s="8" t="s">
        <v>215</v>
      </c>
      <c r="I1749" s="3">
        <v>2</v>
      </c>
      <c r="J1749" s="8" t="s">
        <v>149</v>
      </c>
      <c r="K1749" s="8" t="s">
        <v>150</v>
      </c>
      <c r="L1749" s="8" t="s">
        <v>557</v>
      </c>
      <c r="M1749" s="1" t="s">
        <v>207</v>
      </c>
      <c r="N1749" s="8" t="s">
        <v>208</v>
      </c>
      <c r="O1749" s="6">
        <v>0</v>
      </c>
      <c r="P1749" s="6">
        <v>7</v>
      </c>
      <c r="Q1749" s="6">
        <v>0</v>
      </c>
      <c r="R1749" s="6">
        <v>0</v>
      </c>
      <c r="S1749" s="6">
        <v>0</v>
      </c>
    </row>
    <row r="1750" spans="1:19" ht="15" hidden="1" x14ac:dyDescent="0.25">
      <c r="A1750" s="7" t="s">
        <v>16</v>
      </c>
      <c r="B1750" s="7" t="s">
        <v>22</v>
      </c>
      <c r="C1750" s="7" t="s">
        <v>18</v>
      </c>
      <c r="D1750" s="4">
        <v>12474705000120</v>
      </c>
      <c r="E1750" s="8" t="s">
        <v>661</v>
      </c>
      <c r="F1750" s="8" t="s">
        <v>48</v>
      </c>
      <c r="G1750" s="8" t="s">
        <v>19</v>
      </c>
      <c r="H1750" s="8" t="s">
        <v>215</v>
      </c>
      <c r="I1750" s="3">
        <v>2</v>
      </c>
      <c r="J1750" s="8" t="s">
        <v>151</v>
      </c>
      <c r="K1750" s="8" t="s">
        <v>152</v>
      </c>
      <c r="L1750" s="8" t="s">
        <v>556</v>
      </c>
      <c r="M1750" s="1" t="s">
        <v>207</v>
      </c>
      <c r="N1750" s="8" t="s">
        <v>208</v>
      </c>
      <c r="O1750" s="6">
        <v>0</v>
      </c>
      <c r="P1750" s="6">
        <v>0</v>
      </c>
      <c r="Q1750" s="6">
        <v>0</v>
      </c>
      <c r="R1750" s="6">
        <v>0</v>
      </c>
      <c r="S1750" s="6">
        <v>125</v>
      </c>
    </row>
    <row r="1751" spans="1:19" ht="15" hidden="1" x14ac:dyDescent="0.25">
      <c r="A1751" s="7" t="s">
        <v>16</v>
      </c>
      <c r="B1751" s="7" t="s">
        <v>22</v>
      </c>
      <c r="C1751" s="7" t="s">
        <v>18</v>
      </c>
      <c r="D1751" s="4">
        <v>12474705000120</v>
      </c>
      <c r="E1751" s="8" t="s">
        <v>661</v>
      </c>
      <c r="F1751" s="8" t="s">
        <v>48</v>
      </c>
      <c r="G1751" s="8" t="s">
        <v>19</v>
      </c>
      <c r="H1751" s="8" t="s">
        <v>215</v>
      </c>
      <c r="I1751" s="3">
        <v>2</v>
      </c>
      <c r="J1751" s="8" t="s">
        <v>149</v>
      </c>
      <c r="K1751" s="8" t="s">
        <v>150</v>
      </c>
      <c r="L1751" s="8" t="s">
        <v>557</v>
      </c>
      <c r="M1751" s="1" t="s">
        <v>207</v>
      </c>
      <c r="N1751" s="8" t="s">
        <v>208</v>
      </c>
      <c r="O1751" s="6">
        <v>0</v>
      </c>
      <c r="P1751" s="6">
        <v>0</v>
      </c>
      <c r="Q1751" s="6">
        <v>0</v>
      </c>
      <c r="R1751" s="6">
        <v>0</v>
      </c>
      <c r="S1751" s="6">
        <v>125</v>
      </c>
    </row>
    <row r="1752" spans="1:19" ht="15" hidden="1" x14ac:dyDescent="0.25">
      <c r="A1752" s="7" t="s">
        <v>16</v>
      </c>
      <c r="B1752" s="7" t="s">
        <v>22</v>
      </c>
      <c r="C1752" s="7" t="s">
        <v>18</v>
      </c>
      <c r="D1752" s="4">
        <v>10447300000177</v>
      </c>
      <c r="E1752" s="8" t="s">
        <v>658</v>
      </c>
      <c r="F1752" s="8" t="s">
        <v>33</v>
      </c>
      <c r="G1752" s="8" t="s">
        <v>19</v>
      </c>
      <c r="H1752" s="8" t="s">
        <v>215</v>
      </c>
      <c r="I1752" s="3">
        <v>2</v>
      </c>
      <c r="J1752" s="8" t="s">
        <v>151</v>
      </c>
      <c r="K1752" s="8" t="s">
        <v>152</v>
      </c>
      <c r="L1752" s="8" t="s">
        <v>556</v>
      </c>
      <c r="M1752" s="1" t="s">
        <v>207</v>
      </c>
      <c r="N1752" s="8" t="s">
        <v>208</v>
      </c>
      <c r="O1752" s="6">
        <v>0</v>
      </c>
      <c r="P1752" s="6">
        <v>0</v>
      </c>
      <c r="Q1752" s="6">
        <v>0</v>
      </c>
      <c r="R1752" s="6">
        <v>4</v>
      </c>
      <c r="S1752" s="6">
        <v>0</v>
      </c>
    </row>
    <row r="1753" spans="1:19" ht="15" hidden="1" x14ac:dyDescent="0.25">
      <c r="A1753" s="7" t="s">
        <v>16</v>
      </c>
      <c r="B1753" s="7" t="s">
        <v>22</v>
      </c>
      <c r="C1753" s="7" t="s">
        <v>18</v>
      </c>
      <c r="D1753" s="4">
        <v>10447300000177</v>
      </c>
      <c r="E1753" s="8" t="s">
        <v>658</v>
      </c>
      <c r="F1753" s="8" t="s">
        <v>33</v>
      </c>
      <c r="G1753" s="8" t="s">
        <v>19</v>
      </c>
      <c r="H1753" s="8" t="s">
        <v>215</v>
      </c>
      <c r="I1753" s="3">
        <v>2</v>
      </c>
      <c r="J1753" s="8" t="s">
        <v>149</v>
      </c>
      <c r="K1753" s="8" t="s">
        <v>150</v>
      </c>
      <c r="L1753" s="8" t="s">
        <v>557</v>
      </c>
      <c r="M1753" s="1" t="s">
        <v>207</v>
      </c>
      <c r="N1753" s="8" t="s">
        <v>208</v>
      </c>
      <c r="O1753" s="6">
        <v>0</v>
      </c>
      <c r="P1753" s="6">
        <v>0</v>
      </c>
      <c r="Q1753" s="6">
        <v>0</v>
      </c>
      <c r="R1753" s="6">
        <v>0</v>
      </c>
      <c r="S1753" s="6">
        <v>0</v>
      </c>
    </row>
    <row r="1754" spans="1:19" ht="15" hidden="1" x14ac:dyDescent="0.25">
      <c r="A1754" s="7" t="s">
        <v>16</v>
      </c>
      <c r="B1754" s="7" t="s">
        <v>22</v>
      </c>
      <c r="C1754" s="7" t="s">
        <v>18</v>
      </c>
      <c r="D1754" s="4">
        <v>46020301000269</v>
      </c>
      <c r="E1754" s="8" t="s">
        <v>691</v>
      </c>
      <c r="F1754" s="8" t="s">
        <v>33</v>
      </c>
      <c r="G1754" s="8" t="s">
        <v>19</v>
      </c>
      <c r="H1754" s="8" t="s">
        <v>215</v>
      </c>
      <c r="I1754" s="3">
        <v>2</v>
      </c>
      <c r="J1754" s="8" t="s">
        <v>151</v>
      </c>
      <c r="K1754" s="8" t="s">
        <v>152</v>
      </c>
      <c r="L1754" s="8" t="s">
        <v>556</v>
      </c>
      <c r="M1754" s="1" t="s">
        <v>207</v>
      </c>
      <c r="N1754" s="8" t="s">
        <v>208</v>
      </c>
      <c r="O1754" s="6">
        <v>0</v>
      </c>
      <c r="P1754" s="6">
        <v>0</v>
      </c>
      <c r="Q1754" s="6">
        <v>0</v>
      </c>
      <c r="R1754" s="6">
        <v>55</v>
      </c>
      <c r="S1754" s="6">
        <v>0</v>
      </c>
    </row>
    <row r="1755" spans="1:19" ht="15" hidden="1" x14ac:dyDescent="0.25">
      <c r="A1755" s="7" t="s">
        <v>16</v>
      </c>
      <c r="B1755" s="7" t="s">
        <v>22</v>
      </c>
      <c r="C1755" s="7" t="s">
        <v>18</v>
      </c>
      <c r="D1755" s="4">
        <v>46020301000269</v>
      </c>
      <c r="E1755" s="8" t="s">
        <v>691</v>
      </c>
      <c r="F1755" s="8" t="s">
        <v>33</v>
      </c>
      <c r="G1755" s="8" t="s">
        <v>19</v>
      </c>
      <c r="H1755" s="8" t="s">
        <v>215</v>
      </c>
      <c r="I1755" s="3">
        <v>2</v>
      </c>
      <c r="J1755" s="8" t="s">
        <v>149</v>
      </c>
      <c r="K1755" s="8" t="s">
        <v>150</v>
      </c>
      <c r="L1755" s="8" t="s">
        <v>557</v>
      </c>
      <c r="M1755" s="1" t="s">
        <v>207</v>
      </c>
      <c r="N1755" s="8" t="s">
        <v>208</v>
      </c>
      <c r="O1755" s="6">
        <v>0</v>
      </c>
      <c r="P1755" s="6">
        <v>1</v>
      </c>
      <c r="Q1755" s="6">
        <v>0</v>
      </c>
      <c r="R1755" s="6">
        <v>0</v>
      </c>
      <c r="S1755" s="6">
        <v>0</v>
      </c>
    </row>
    <row r="1756" spans="1:19" ht="15" hidden="1" x14ac:dyDescent="0.25">
      <c r="A1756" s="7" t="s">
        <v>16</v>
      </c>
      <c r="B1756" s="7" t="s">
        <v>22</v>
      </c>
      <c r="C1756" s="7" t="s">
        <v>18</v>
      </c>
      <c r="D1756" s="4">
        <v>46009718000140</v>
      </c>
      <c r="E1756" s="8" t="s">
        <v>690</v>
      </c>
      <c r="F1756" s="8" t="s">
        <v>33</v>
      </c>
      <c r="G1756" s="8" t="s">
        <v>19</v>
      </c>
      <c r="H1756" s="8" t="s">
        <v>215</v>
      </c>
      <c r="I1756" s="3">
        <v>2</v>
      </c>
      <c r="J1756" s="8" t="s">
        <v>151</v>
      </c>
      <c r="K1756" s="8" t="s">
        <v>152</v>
      </c>
      <c r="L1756" s="8" t="s">
        <v>556</v>
      </c>
      <c r="M1756" s="1" t="s">
        <v>207</v>
      </c>
      <c r="N1756" s="8" t="s">
        <v>208</v>
      </c>
      <c r="O1756" s="6">
        <v>3</v>
      </c>
      <c r="P1756" s="6">
        <v>0</v>
      </c>
      <c r="Q1756" s="6">
        <v>0</v>
      </c>
      <c r="R1756" s="6">
        <v>42</v>
      </c>
      <c r="S1756" s="6">
        <v>850</v>
      </c>
    </row>
    <row r="1757" spans="1:19" ht="15" hidden="1" x14ac:dyDescent="0.25">
      <c r="A1757" s="7" t="s">
        <v>16</v>
      </c>
      <c r="B1757" s="7" t="s">
        <v>22</v>
      </c>
      <c r="C1757" s="7" t="s">
        <v>18</v>
      </c>
      <c r="D1757" s="4">
        <v>46009718000140</v>
      </c>
      <c r="E1757" s="8" t="s">
        <v>690</v>
      </c>
      <c r="F1757" s="8" t="s">
        <v>33</v>
      </c>
      <c r="G1757" s="8" t="s">
        <v>19</v>
      </c>
      <c r="H1757" s="8" t="s">
        <v>215</v>
      </c>
      <c r="I1757" s="3">
        <v>2</v>
      </c>
      <c r="J1757" s="8" t="s">
        <v>149</v>
      </c>
      <c r="K1757" s="8" t="s">
        <v>150</v>
      </c>
      <c r="L1757" s="8" t="s">
        <v>557</v>
      </c>
      <c r="M1757" s="1" t="s">
        <v>207</v>
      </c>
      <c r="N1757" s="8" t="s">
        <v>208</v>
      </c>
      <c r="O1757" s="6">
        <v>0</v>
      </c>
      <c r="P1757" s="6">
        <v>0</v>
      </c>
      <c r="Q1757" s="6">
        <v>0</v>
      </c>
      <c r="R1757" s="6">
        <v>0</v>
      </c>
      <c r="S1757" s="6">
        <v>850</v>
      </c>
    </row>
    <row r="1758" spans="1:19" ht="15" hidden="1" x14ac:dyDescent="0.25">
      <c r="A1758" s="7" t="s">
        <v>16</v>
      </c>
      <c r="B1758" s="7" t="s">
        <v>22</v>
      </c>
      <c r="C1758" s="7" t="s">
        <v>18</v>
      </c>
      <c r="D1758" s="4">
        <v>44649812019238</v>
      </c>
      <c r="E1758" s="8" t="s">
        <v>679</v>
      </c>
      <c r="F1758" s="8" t="s">
        <v>33</v>
      </c>
      <c r="G1758" s="8" t="s">
        <v>19</v>
      </c>
      <c r="H1758" s="8" t="s">
        <v>215</v>
      </c>
      <c r="I1758" s="3">
        <v>2</v>
      </c>
      <c r="J1758" s="8" t="s">
        <v>151</v>
      </c>
      <c r="K1758" s="8" t="s">
        <v>152</v>
      </c>
      <c r="L1758" s="8" t="s">
        <v>556</v>
      </c>
      <c r="M1758" s="1" t="s">
        <v>207</v>
      </c>
      <c r="N1758" s="8" t="s">
        <v>208</v>
      </c>
      <c r="O1758" s="6">
        <v>0</v>
      </c>
      <c r="P1758" s="6">
        <v>0</v>
      </c>
      <c r="Q1758" s="6">
        <v>0</v>
      </c>
      <c r="R1758" s="6">
        <v>8</v>
      </c>
      <c r="S1758" s="6">
        <v>0</v>
      </c>
    </row>
    <row r="1759" spans="1:19" ht="15" hidden="1" x14ac:dyDescent="0.25">
      <c r="A1759" s="7" t="s">
        <v>16</v>
      </c>
      <c r="B1759" s="7" t="s">
        <v>22</v>
      </c>
      <c r="C1759" s="7" t="s">
        <v>18</v>
      </c>
      <c r="D1759" s="4">
        <v>44649812019238</v>
      </c>
      <c r="E1759" s="8" t="s">
        <v>679</v>
      </c>
      <c r="F1759" s="8" t="s">
        <v>33</v>
      </c>
      <c r="G1759" s="8" t="s">
        <v>19</v>
      </c>
      <c r="H1759" s="8" t="s">
        <v>215</v>
      </c>
      <c r="I1759" s="3">
        <v>2</v>
      </c>
      <c r="J1759" s="8" t="s">
        <v>149</v>
      </c>
      <c r="K1759" s="8" t="s">
        <v>150</v>
      </c>
      <c r="L1759" s="8" t="s">
        <v>557</v>
      </c>
      <c r="M1759" s="1" t="s">
        <v>207</v>
      </c>
      <c r="N1759" s="8" t="s">
        <v>208</v>
      </c>
      <c r="O1759" s="6">
        <v>0</v>
      </c>
      <c r="P1759" s="6">
        <v>0</v>
      </c>
      <c r="Q1759" s="6">
        <v>0</v>
      </c>
      <c r="R1759" s="6">
        <v>0</v>
      </c>
      <c r="S1759" s="6">
        <v>0</v>
      </c>
    </row>
    <row r="1760" spans="1:19" ht="15" hidden="1" x14ac:dyDescent="0.25">
      <c r="A1760" s="7" t="s">
        <v>16</v>
      </c>
      <c r="B1760" s="7" t="s">
        <v>22</v>
      </c>
      <c r="C1760" s="7" t="s">
        <v>18</v>
      </c>
      <c r="D1760" s="4">
        <v>51885242000140</v>
      </c>
      <c r="E1760" s="8" t="s">
        <v>712</v>
      </c>
      <c r="F1760" s="8" t="s">
        <v>33</v>
      </c>
      <c r="G1760" s="8" t="s">
        <v>19</v>
      </c>
      <c r="H1760" s="8" t="s">
        <v>215</v>
      </c>
      <c r="I1760" s="3">
        <v>2</v>
      </c>
      <c r="J1760" s="8" t="s">
        <v>151</v>
      </c>
      <c r="K1760" s="8" t="s">
        <v>152</v>
      </c>
      <c r="L1760" s="8" t="s">
        <v>556</v>
      </c>
      <c r="M1760" s="1" t="s">
        <v>207</v>
      </c>
      <c r="N1760" s="8" t="s">
        <v>208</v>
      </c>
      <c r="O1760" s="6">
        <v>0</v>
      </c>
      <c r="P1760" s="6">
        <v>0</v>
      </c>
      <c r="Q1760" s="6">
        <v>0</v>
      </c>
      <c r="R1760" s="6">
        <v>160</v>
      </c>
      <c r="S1760" s="6">
        <v>0</v>
      </c>
    </row>
    <row r="1761" spans="1:19" ht="15" hidden="1" x14ac:dyDescent="0.25">
      <c r="A1761" s="7" t="s">
        <v>16</v>
      </c>
      <c r="B1761" s="7" t="s">
        <v>22</v>
      </c>
      <c r="C1761" s="7" t="s">
        <v>18</v>
      </c>
      <c r="D1761" s="4">
        <v>51885242000140</v>
      </c>
      <c r="E1761" s="8" t="s">
        <v>712</v>
      </c>
      <c r="F1761" s="8" t="s">
        <v>33</v>
      </c>
      <c r="G1761" s="8" t="s">
        <v>19</v>
      </c>
      <c r="H1761" s="8" t="s">
        <v>215</v>
      </c>
      <c r="I1761" s="3">
        <v>2</v>
      </c>
      <c r="J1761" s="8" t="s">
        <v>149</v>
      </c>
      <c r="K1761" s="8" t="s">
        <v>150</v>
      </c>
      <c r="L1761" s="8" t="s">
        <v>557</v>
      </c>
      <c r="M1761" s="1" t="s">
        <v>207</v>
      </c>
      <c r="N1761" s="8" t="s">
        <v>208</v>
      </c>
      <c r="O1761" s="6">
        <v>0</v>
      </c>
      <c r="P1761" s="6">
        <v>0</v>
      </c>
      <c r="Q1761" s="6">
        <v>0</v>
      </c>
      <c r="R1761" s="6">
        <v>0</v>
      </c>
      <c r="S1761" s="6">
        <v>0</v>
      </c>
    </row>
    <row r="1762" spans="1:19" ht="15" hidden="1" x14ac:dyDescent="0.25">
      <c r="A1762" s="7" t="s">
        <v>16</v>
      </c>
      <c r="B1762" s="7" t="s">
        <v>22</v>
      </c>
      <c r="C1762" s="7" t="s">
        <v>18</v>
      </c>
      <c r="D1762" s="4">
        <v>29435005008456</v>
      </c>
      <c r="E1762" s="8" t="s">
        <v>672</v>
      </c>
      <c r="F1762" s="8" t="s">
        <v>33</v>
      </c>
      <c r="G1762" s="8" t="s">
        <v>19</v>
      </c>
      <c r="H1762" s="8" t="s">
        <v>215</v>
      </c>
      <c r="I1762" s="3">
        <v>2</v>
      </c>
      <c r="J1762" s="8" t="s">
        <v>151</v>
      </c>
      <c r="K1762" s="8" t="s">
        <v>152</v>
      </c>
      <c r="L1762" s="8" t="s">
        <v>556</v>
      </c>
      <c r="M1762" s="1" t="s">
        <v>207</v>
      </c>
      <c r="N1762" s="8" t="s">
        <v>208</v>
      </c>
      <c r="O1762" s="6">
        <v>0</v>
      </c>
      <c r="P1762" s="6">
        <v>0</v>
      </c>
      <c r="Q1762" s="6">
        <v>0</v>
      </c>
      <c r="R1762" s="6">
        <v>0</v>
      </c>
      <c r="S1762" s="6">
        <v>200</v>
      </c>
    </row>
    <row r="1763" spans="1:19" ht="15" hidden="1" x14ac:dyDescent="0.25">
      <c r="A1763" s="7" t="s">
        <v>16</v>
      </c>
      <c r="B1763" s="7" t="s">
        <v>22</v>
      </c>
      <c r="C1763" s="7" t="s">
        <v>18</v>
      </c>
      <c r="D1763" s="4">
        <v>29435005008456</v>
      </c>
      <c r="E1763" s="8" t="s">
        <v>672</v>
      </c>
      <c r="F1763" s="8" t="s">
        <v>33</v>
      </c>
      <c r="G1763" s="8" t="s">
        <v>19</v>
      </c>
      <c r="H1763" s="8" t="s">
        <v>215</v>
      </c>
      <c r="I1763" s="3">
        <v>2</v>
      </c>
      <c r="J1763" s="8" t="s">
        <v>149</v>
      </c>
      <c r="K1763" s="8" t="s">
        <v>150</v>
      </c>
      <c r="L1763" s="8" t="s">
        <v>557</v>
      </c>
      <c r="M1763" s="1" t="s">
        <v>207</v>
      </c>
      <c r="N1763" s="8" t="s">
        <v>208</v>
      </c>
      <c r="O1763" s="6">
        <v>0</v>
      </c>
      <c r="P1763" s="6">
        <v>0</v>
      </c>
      <c r="Q1763" s="6">
        <v>0</v>
      </c>
      <c r="R1763" s="6">
        <v>0</v>
      </c>
      <c r="S1763" s="6">
        <v>200</v>
      </c>
    </row>
    <row r="1764" spans="1:19" ht="15" hidden="1" x14ac:dyDescent="0.25">
      <c r="A1764" s="7" t="s">
        <v>16</v>
      </c>
      <c r="B1764" s="7" t="s">
        <v>22</v>
      </c>
      <c r="C1764" s="7" t="s">
        <v>18</v>
      </c>
      <c r="D1764" s="4">
        <v>46124624000111</v>
      </c>
      <c r="E1764" s="8" t="s">
        <v>693</v>
      </c>
      <c r="F1764" s="8" t="s">
        <v>33</v>
      </c>
      <c r="G1764" s="8" t="s">
        <v>19</v>
      </c>
      <c r="H1764" s="8" t="s">
        <v>215</v>
      </c>
      <c r="I1764" s="3">
        <v>2</v>
      </c>
      <c r="J1764" s="8" t="s">
        <v>151</v>
      </c>
      <c r="K1764" s="8" t="s">
        <v>152</v>
      </c>
      <c r="L1764" s="8" t="s">
        <v>556</v>
      </c>
      <c r="M1764" s="1" t="s">
        <v>207</v>
      </c>
      <c r="N1764" s="8" t="s">
        <v>208</v>
      </c>
      <c r="O1764" s="6">
        <v>0</v>
      </c>
      <c r="P1764" s="6">
        <v>0</v>
      </c>
      <c r="Q1764" s="6">
        <v>0</v>
      </c>
      <c r="R1764" s="6">
        <v>120</v>
      </c>
      <c r="S1764" s="6">
        <v>265</v>
      </c>
    </row>
    <row r="1765" spans="1:19" ht="15" hidden="1" x14ac:dyDescent="0.25">
      <c r="A1765" s="7" t="s">
        <v>16</v>
      </c>
      <c r="B1765" s="7" t="s">
        <v>22</v>
      </c>
      <c r="C1765" s="7" t="s">
        <v>18</v>
      </c>
      <c r="D1765" s="4">
        <v>46124624000111</v>
      </c>
      <c r="E1765" s="8" t="s">
        <v>693</v>
      </c>
      <c r="F1765" s="8" t="s">
        <v>33</v>
      </c>
      <c r="G1765" s="8" t="s">
        <v>19</v>
      </c>
      <c r="H1765" s="8" t="s">
        <v>215</v>
      </c>
      <c r="I1765" s="3">
        <v>2</v>
      </c>
      <c r="J1765" s="8" t="s">
        <v>149</v>
      </c>
      <c r="K1765" s="8" t="s">
        <v>150</v>
      </c>
      <c r="L1765" s="8" t="s">
        <v>557</v>
      </c>
      <c r="M1765" s="1" t="s">
        <v>207</v>
      </c>
      <c r="N1765" s="8" t="s">
        <v>208</v>
      </c>
      <c r="O1765" s="6">
        <v>0</v>
      </c>
      <c r="P1765" s="6">
        <v>0</v>
      </c>
      <c r="Q1765" s="6">
        <v>0</v>
      </c>
      <c r="R1765" s="6">
        <v>0</v>
      </c>
      <c r="S1765" s="6">
        <v>265</v>
      </c>
    </row>
    <row r="1766" spans="1:19" ht="15" hidden="1" x14ac:dyDescent="0.25">
      <c r="A1766" s="7" t="s">
        <v>16</v>
      </c>
      <c r="B1766" s="7" t="s">
        <v>22</v>
      </c>
      <c r="C1766" s="7" t="s">
        <v>18</v>
      </c>
      <c r="D1766" s="4">
        <v>45118429001279</v>
      </c>
      <c r="E1766" s="8" t="s">
        <v>683</v>
      </c>
      <c r="F1766" s="8" t="s">
        <v>41</v>
      </c>
      <c r="G1766" s="8" t="s">
        <v>19</v>
      </c>
      <c r="H1766" s="8" t="s">
        <v>215</v>
      </c>
      <c r="I1766" s="3">
        <v>2</v>
      </c>
      <c r="J1766" s="8" t="s">
        <v>151</v>
      </c>
      <c r="K1766" s="8" t="s">
        <v>152</v>
      </c>
      <c r="L1766" s="8" t="s">
        <v>556</v>
      </c>
      <c r="M1766" s="1" t="s">
        <v>207</v>
      </c>
      <c r="N1766" s="8" t="s">
        <v>208</v>
      </c>
      <c r="O1766" s="6">
        <v>0</v>
      </c>
      <c r="P1766" s="6">
        <v>0</v>
      </c>
      <c r="Q1766" s="6">
        <v>0</v>
      </c>
      <c r="R1766" s="6">
        <v>6</v>
      </c>
      <c r="S1766" s="6">
        <v>100</v>
      </c>
    </row>
    <row r="1767" spans="1:19" ht="15" hidden="1" x14ac:dyDescent="0.25">
      <c r="A1767" s="7" t="s">
        <v>16</v>
      </c>
      <c r="B1767" s="7" t="s">
        <v>22</v>
      </c>
      <c r="C1767" s="7" t="s">
        <v>18</v>
      </c>
      <c r="D1767" s="4">
        <v>45118429001279</v>
      </c>
      <c r="E1767" s="8" t="s">
        <v>683</v>
      </c>
      <c r="F1767" s="8" t="s">
        <v>41</v>
      </c>
      <c r="G1767" s="8" t="s">
        <v>19</v>
      </c>
      <c r="H1767" s="8" t="s">
        <v>215</v>
      </c>
      <c r="I1767" s="3">
        <v>2</v>
      </c>
      <c r="J1767" s="8" t="s">
        <v>149</v>
      </c>
      <c r="K1767" s="8" t="s">
        <v>150</v>
      </c>
      <c r="L1767" s="8" t="s">
        <v>557</v>
      </c>
      <c r="M1767" s="1" t="s">
        <v>207</v>
      </c>
      <c r="N1767" s="8" t="s">
        <v>208</v>
      </c>
      <c r="O1767" s="6">
        <v>0</v>
      </c>
      <c r="P1767" s="6">
        <v>7</v>
      </c>
      <c r="Q1767" s="6">
        <v>0</v>
      </c>
      <c r="R1767" s="6">
        <v>0</v>
      </c>
      <c r="S1767" s="6">
        <v>100</v>
      </c>
    </row>
    <row r="1768" spans="1:19" ht="15" hidden="1" x14ac:dyDescent="0.25">
      <c r="A1768" s="7" t="s">
        <v>16</v>
      </c>
      <c r="B1768" s="7" t="s">
        <v>22</v>
      </c>
      <c r="C1768" s="7" t="s">
        <v>18</v>
      </c>
      <c r="D1768" s="4">
        <v>68204486000113</v>
      </c>
      <c r="E1768" s="8" t="s">
        <v>734</v>
      </c>
      <c r="F1768" s="8" t="s">
        <v>46</v>
      </c>
      <c r="G1768" s="8" t="s">
        <v>19</v>
      </c>
      <c r="H1768" s="8" t="s">
        <v>215</v>
      </c>
      <c r="I1768" s="3">
        <v>2</v>
      </c>
      <c r="J1768" s="8" t="s">
        <v>151</v>
      </c>
      <c r="K1768" s="8" t="s">
        <v>152</v>
      </c>
      <c r="L1768" s="8" t="s">
        <v>556</v>
      </c>
      <c r="M1768" s="1" t="s">
        <v>207</v>
      </c>
      <c r="N1768" s="8" t="s">
        <v>208</v>
      </c>
      <c r="O1768" s="6">
        <v>0</v>
      </c>
      <c r="P1768" s="6">
        <v>0</v>
      </c>
      <c r="Q1768" s="6">
        <v>0</v>
      </c>
      <c r="R1768" s="6">
        <v>0</v>
      </c>
      <c r="S1768" s="6">
        <v>150</v>
      </c>
    </row>
    <row r="1769" spans="1:19" ht="15" hidden="1" x14ac:dyDescent="0.25">
      <c r="A1769" s="7" t="s">
        <v>16</v>
      </c>
      <c r="B1769" s="7" t="s">
        <v>22</v>
      </c>
      <c r="C1769" s="7" t="s">
        <v>18</v>
      </c>
      <c r="D1769" s="4">
        <v>68204486000113</v>
      </c>
      <c r="E1769" s="8" t="s">
        <v>734</v>
      </c>
      <c r="F1769" s="8" t="s">
        <v>46</v>
      </c>
      <c r="G1769" s="8" t="s">
        <v>19</v>
      </c>
      <c r="H1769" s="8" t="s">
        <v>215</v>
      </c>
      <c r="I1769" s="3">
        <v>2</v>
      </c>
      <c r="J1769" s="8" t="s">
        <v>149</v>
      </c>
      <c r="K1769" s="8" t="s">
        <v>150</v>
      </c>
      <c r="L1769" s="8" t="s">
        <v>557</v>
      </c>
      <c r="M1769" s="1" t="s">
        <v>207</v>
      </c>
      <c r="N1769" s="8" t="s">
        <v>208</v>
      </c>
      <c r="O1769" s="6">
        <v>0</v>
      </c>
      <c r="P1769" s="6">
        <v>0</v>
      </c>
      <c r="Q1769" s="6">
        <v>0</v>
      </c>
      <c r="R1769" s="6">
        <v>0</v>
      </c>
      <c r="S1769" s="6">
        <v>150</v>
      </c>
    </row>
    <row r="1770" spans="1:19" ht="15" hidden="1" x14ac:dyDescent="0.25">
      <c r="A1770" s="7" t="s">
        <v>16</v>
      </c>
      <c r="B1770" s="7" t="s">
        <v>22</v>
      </c>
      <c r="C1770" s="7" t="s">
        <v>18</v>
      </c>
      <c r="D1770" s="4">
        <v>50486026000160</v>
      </c>
      <c r="E1770" s="8" t="s">
        <v>706</v>
      </c>
      <c r="F1770" s="8" t="s">
        <v>44</v>
      </c>
      <c r="G1770" s="8" t="s">
        <v>19</v>
      </c>
      <c r="H1770" s="8" t="s">
        <v>215</v>
      </c>
      <c r="I1770" s="3">
        <v>2</v>
      </c>
      <c r="J1770" s="8" t="s">
        <v>151</v>
      </c>
      <c r="K1770" s="8" t="s">
        <v>152</v>
      </c>
      <c r="L1770" s="8" t="s">
        <v>556</v>
      </c>
      <c r="M1770" s="1" t="s">
        <v>207</v>
      </c>
      <c r="N1770" s="8" t="s">
        <v>208</v>
      </c>
      <c r="O1770" s="6">
        <v>0</v>
      </c>
      <c r="P1770" s="6">
        <v>0</v>
      </c>
      <c r="Q1770" s="6">
        <v>0</v>
      </c>
      <c r="R1770" s="6">
        <v>0</v>
      </c>
      <c r="S1770" s="6">
        <v>110</v>
      </c>
    </row>
    <row r="1771" spans="1:19" ht="15" hidden="1" x14ac:dyDescent="0.25">
      <c r="A1771" s="7" t="s">
        <v>16</v>
      </c>
      <c r="B1771" s="7" t="s">
        <v>22</v>
      </c>
      <c r="C1771" s="7" t="s">
        <v>18</v>
      </c>
      <c r="D1771" s="4">
        <v>50486026000160</v>
      </c>
      <c r="E1771" s="8" t="s">
        <v>706</v>
      </c>
      <c r="F1771" s="8" t="s">
        <v>44</v>
      </c>
      <c r="G1771" s="8" t="s">
        <v>19</v>
      </c>
      <c r="H1771" s="8" t="s">
        <v>215</v>
      </c>
      <c r="I1771" s="3">
        <v>2</v>
      </c>
      <c r="J1771" s="8" t="s">
        <v>149</v>
      </c>
      <c r="K1771" s="8" t="s">
        <v>150</v>
      </c>
      <c r="L1771" s="8" t="s">
        <v>557</v>
      </c>
      <c r="M1771" s="1" t="s">
        <v>207</v>
      </c>
      <c r="N1771" s="8" t="s">
        <v>208</v>
      </c>
      <c r="O1771" s="6">
        <v>0</v>
      </c>
      <c r="P1771" s="6">
        <v>0</v>
      </c>
      <c r="Q1771" s="6">
        <v>0</v>
      </c>
      <c r="R1771" s="6">
        <v>0</v>
      </c>
      <c r="S1771" s="6">
        <v>110</v>
      </c>
    </row>
    <row r="1772" spans="1:19" ht="15" hidden="1" x14ac:dyDescent="0.25">
      <c r="A1772" s="7" t="s">
        <v>16</v>
      </c>
      <c r="B1772" s="7" t="s">
        <v>22</v>
      </c>
      <c r="C1772" s="7" t="s">
        <v>18</v>
      </c>
      <c r="D1772" s="4">
        <v>48468284000171</v>
      </c>
      <c r="E1772" s="8" t="s">
        <v>705</v>
      </c>
      <c r="F1772" s="8" t="s">
        <v>43</v>
      </c>
      <c r="G1772" s="8" t="s">
        <v>19</v>
      </c>
      <c r="H1772" s="8" t="s">
        <v>215</v>
      </c>
      <c r="I1772" s="3">
        <v>2</v>
      </c>
      <c r="J1772" s="8" t="s">
        <v>151</v>
      </c>
      <c r="K1772" s="8" t="s">
        <v>152</v>
      </c>
      <c r="L1772" s="8" t="s">
        <v>556</v>
      </c>
      <c r="M1772" s="1" t="s">
        <v>207</v>
      </c>
      <c r="N1772" s="8" t="s">
        <v>208</v>
      </c>
      <c r="O1772" s="6">
        <v>0</v>
      </c>
      <c r="P1772" s="6">
        <v>0</v>
      </c>
      <c r="Q1772" s="6">
        <v>0</v>
      </c>
      <c r="R1772" s="6">
        <v>0</v>
      </c>
      <c r="S1772" s="6">
        <v>200</v>
      </c>
    </row>
    <row r="1773" spans="1:19" ht="15" hidden="1" x14ac:dyDescent="0.25">
      <c r="A1773" s="7" t="s">
        <v>16</v>
      </c>
      <c r="B1773" s="7" t="s">
        <v>22</v>
      </c>
      <c r="C1773" s="7" t="s">
        <v>18</v>
      </c>
      <c r="D1773" s="4">
        <v>48468284000171</v>
      </c>
      <c r="E1773" s="8" t="s">
        <v>705</v>
      </c>
      <c r="F1773" s="8" t="s">
        <v>43</v>
      </c>
      <c r="G1773" s="8" t="s">
        <v>19</v>
      </c>
      <c r="H1773" s="8" t="s">
        <v>215</v>
      </c>
      <c r="I1773" s="3">
        <v>2</v>
      </c>
      <c r="J1773" s="8" t="s">
        <v>149</v>
      </c>
      <c r="K1773" s="8" t="s">
        <v>150</v>
      </c>
      <c r="L1773" s="8" t="s">
        <v>557</v>
      </c>
      <c r="M1773" s="1" t="s">
        <v>207</v>
      </c>
      <c r="N1773" s="8" t="s">
        <v>208</v>
      </c>
      <c r="O1773" s="6">
        <v>0</v>
      </c>
      <c r="P1773" s="6">
        <v>0</v>
      </c>
      <c r="Q1773" s="6">
        <v>0</v>
      </c>
      <c r="R1773" s="6">
        <v>0</v>
      </c>
      <c r="S1773" s="6">
        <v>200</v>
      </c>
    </row>
    <row r="1774" spans="1:19" ht="15" hidden="1" x14ac:dyDescent="0.25">
      <c r="A1774" s="7" t="s">
        <v>16</v>
      </c>
      <c r="B1774" s="7" t="s">
        <v>22</v>
      </c>
      <c r="C1774" s="7" t="s">
        <v>18</v>
      </c>
      <c r="D1774" s="4">
        <v>29435005008294</v>
      </c>
      <c r="E1774" s="8" t="s">
        <v>671</v>
      </c>
      <c r="F1774" s="8" t="s">
        <v>36</v>
      </c>
      <c r="G1774" s="8" t="s">
        <v>19</v>
      </c>
      <c r="H1774" s="8" t="s">
        <v>215</v>
      </c>
      <c r="I1774" s="3">
        <v>2</v>
      </c>
      <c r="J1774" s="8" t="s">
        <v>1355</v>
      </c>
      <c r="K1774" s="8" t="s">
        <v>1356</v>
      </c>
      <c r="L1774" s="8" t="s">
        <v>556</v>
      </c>
      <c r="M1774" s="1" t="s">
        <v>207</v>
      </c>
      <c r="N1774" s="8" t="s">
        <v>208</v>
      </c>
      <c r="O1774" s="6">
        <v>0</v>
      </c>
      <c r="P1774" s="6">
        <v>0</v>
      </c>
      <c r="Q1774" s="6">
        <v>0</v>
      </c>
      <c r="R1774" s="6">
        <v>0</v>
      </c>
      <c r="S1774" s="6">
        <v>300</v>
      </c>
    </row>
    <row r="1775" spans="1:19" ht="15" hidden="1" x14ac:dyDescent="0.25">
      <c r="A1775" s="7" t="s">
        <v>16</v>
      </c>
      <c r="B1775" s="7" t="s">
        <v>22</v>
      </c>
      <c r="C1775" s="7" t="s">
        <v>18</v>
      </c>
      <c r="D1775" s="4">
        <v>29435005008294</v>
      </c>
      <c r="E1775" s="8" t="s">
        <v>671</v>
      </c>
      <c r="F1775" s="8" t="s">
        <v>36</v>
      </c>
      <c r="G1775" s="8" t="s">
        <v>19</v>
      </c>
      <c r="H1775" s="8" t="s">
        <v>215</v>
      </c>
      <c r="I1775" s="3">
        <v>2</v>
      </c>
      <c r="J1775" s="8" t="s">
        <v>147</v>
      </c>
      <c r="K1775" s="8" t="s">
        <v>148</v>
      </c>
      <c r="L1775" s="8" t="s">
        <v>557</v>
      </c>
      <c r="M1775" s="1" t="s">
        <v>207</v>
      </c>
      <c r="N1775" s="8" t="s">
        <v>208</v>
      </c>
      <c r="O1775" s="6">
        <v>0</v>
      </c>
      <c r="P1775" s="6">
        <v>0</v>
      </c>
      <c r="Q1775" s="6">
        <v>0</v>
      </c>
      <c r="R1775" s="6">
        <v>0</v>
      </c>
      <c r="S1775" s="6">
        <v>300</v>
      </c>
    </row>
    <row r="1776" spans="1:19" ht="15" hidden="1" x14ac:dyDescent="0.25">
      <c r="A1776" s="7" t="s">
        <v>16</v>
      </c>
      <c r="B1776" s="7" t="s">
        <v>22</v>
      </c>
      <c r="C1776" s="7" t="s">
        <v>18</v>
      </c>
      <c r="D1776" s="4">
        <v>60214517001187</v>
      </c>
      <c r="E1776" s="8" t="s">
        <v>730</v>
      </c>
      <c r="F1776" s="8" t="s">
        <v>731</v>
      </c>
      <c r="G1776" s="8" t="s">
        <v>19</v>
      </c>
      <c r="H1776" s="8" t="s">
        <v>215</v>
      </c>
      <c r="I1776" s="3">
        <v>2</v>
      </c>
      <c r="J1776" s="8" t="s">
        <v>161</v>
      </c>
      <c r="K1776" s="8" t="s">
        <v>162</v>
      </c>
      <c r="L1776" s="8" t="s">
        <v>556</v>
      </c>
      <c r="M1776" s="1" t="s">
        <v>207</v>
      </c>
      <c r="N1776" s="8" t="s">
        <v>208</v>
      </c>
      <c r="O1776" s="6">
        <v>0</v>
      </c>
      <c r="P1776" s="6">
        <v>0</v>
      </c>
      <c r="Q1776" s="6">
        <v>0</v>
      </c>
      <c r="R1776" s="6">
        <v>0</v>
      </c>
      <c r="S1776" s="6">
        <v>20</v>
      </c>
    </row>
    <row r="1777" spans="1:19" ht="15" hidden="1" x14ac:dyDescent="0.25">
      <c r="A1777" s="7" t="s">
        <v>16</v>
      </c>
      <c r="B1777" s="7" t="s">
        <v>22</v>
      </c>
      <c r="C1777" s="7" t="s">
        <v>18</v>
      </c>
      <c r="D1777" s="4">
        <v>60214517001187</v>
      </c>
      <c r="E1777" s="8" t="s">
        <v>730</v>
      </c>
      <c r="F1777" s="8" t="s">
        <v>731</v>
      </c>
      <c r="G1777" s="8" t="s">
        <v>19</v>
      </c>
      <c r="H1777" s="8" t="s">
        <v>215</v>
      </c>
      <c r="I1777" s="3">
        <v>2</v>
      </c>
      <c r="J1777" s="8" t="s">
        <v>183</v>
      </c>
      <c r="K1777" s="8" t="s">
        <v>184</v>
      </c>
      <c r="L1777" s="8" t="s">
        <v>557</v>
      </c>
      <c r="M1777" s="1" t="s">
        <v>207</v>
      </c>
      <c r="N1777" s="8" t="s">
        <v>208</v>
      </c>
      <c r="O1777" s="6">
        <v>0</v>
      </c>
      <c r="P1777" s="6">
        <v>0</v>
      </c>
      <c r="Q1777" s="6">
        <v>0</v>
      </c>
      <c r="R1777" s="6">
        <v>0</v>
      </c>
      <c r="S1777" s="6">
        <v>20</v>
      </c>
    </row>
    <row r="1778" spans="1:19" ht="15" hidden="1" x14ac:dyDescent="0.25">
      <c r="A1778" s="7" t="s">
        <v>16</v>
      </c>
      <c r="B1778" s="7" t="s">
        <v>22</v>
      </c>
      <c r="C1778" s="7" t="s">
        <v>18</v>
      </c>
      <c r="D1778" s="4">
        <v>50944198000130</v>
      </c>
      <c r="E1778" s="8" t="s">
        <v>707</v>
      </c>
      <c r="F1778" s="8" t="s">
        <v>678</v>
      </c>
      <c r="G1778" s="8" t="s">
        <v>19</v>
      </c>
      <c r="H1778" s="8" t="s">
        <v>215</v>
      </c>
      <c r="I1778" s="3">
        <v>2</v>
      </c>
      <c r="J1778" s="8" t="s">
        <v>151</v>
      </c>
      <c r="K1778" s="8" t="s">
        <v>152</v>
      </c>
      <c r="L1778" s="8" t="s">
        <v>556</v>
      </c>
      <c r="M1778" s="1" t="s">
        <v>207</v>
      </c>
      <c r="N1778" s="8" t="s">
        <v>208</v>
      </c>
      <c r="O1778" s="6">
        <v>0</v>
      </c>
      <c r="P1778" s="6">
        <v>0</v>
      </c>
      <c r="Q1778" s="6">
        <v>0</v>
      </c>
      <c r="R1778" s="6">
        <v>0</v>
      </c>
      <c r="S1778" s="6">
        <v>0</v>
      </c>
    </row>
    <row r="1779" spans="1:19" ht="15" hidden="1" x14ac:dyDescent="0.25">
      <c r="A1779" s="7" t="s">
        <v>16</v>
      </c>
      <c r="B1779" s="7" t="s">
        <v>22</v>
      </c>
      <c r="C1779" s="7" t="s">
        <v>18</v>
      </c>
      <c r="D1779" s="4">
        <v>50944198000130</v>
      </c>
      <c r="E1779" s="8" t="s">
        <v>707</v>
      </c>
      <c r="F1779" s="8" t="s">
        <v>678</v>
      </c>
      <c r="G1779" s="8" t="s">
        <v>19</v>
      </c>
      <c r="H1779" s="8" t="s">
        <v>215</v>
      </c>
      <c r="I1779" s="3">
        <v>2</v>
      </c>
      <c r="J1779" s="8" t="s">
        <v>149</v>
      </c>
      <c r="K1779" s="8" t="s">
        <v>150</v>
      </c>
      <c r="L1779" s="8" t="s">
        <v>557</v>
      </c>
      <c r="M1779" s="1" t="s">
        <v>207</v>
      </c>
      <c r="N1779" s="8" t="s">
        <v>208</v>
      </c>
      <c r="O1779" s="6">
        <v>0</v>
      </c>
      <c r="P1779" s="6">
        <v>8</v>
      </c>
      <c r="Q1779" s="6">
        <v>0</v>
      </c>
      <c r="R1779" s="6">
        <v>0</v>
      </c>
      <c r="S1779" s="6">
        <v>0</v>
      </c>
    </row>
    <row r="1780" spans="1:19" ht="15" hidden="1" x14ac:dyDescent="0.25">
      <c r="A1780" s="7" t="s">
        <v>16</v>
      </c>
      <c r="B1780" s="7" t="s">
        <v>22</v>
      </c>
      <c r="C1780" s="7" t="s">
        <v>18</v>
      </c>
      <c r="D1780" s="4">
        <v>44649812001614</v>
      </c>
      <c r="E1780" s="8" t="s">
        <v>677</v>
      </c>
      <c r="F1780" s="8" t="s">
        <v>678</v>
      </c>
      <c r="G1780" s="8" t="s">
        <v>19</v>
      </c>
      <c r="H1780" s="8" t="s">
        <v>215</v>
      </c>
      <c r="I1780" s="3">
        <v>2</v>
      </c>
      <c r="J1780" s="8" t="s">
        <v>151</v>
      </c>
      <c r="K1780" s="8" t="s">
        <v>152</v>
      </c>
      <c r="L1780" s="8" t="s">
        <v>556</v>
      </c>
      <c r="M1780" s="1" t="s">
        <v>207</v>
      </c>
      <c r="N1780" s="8" t="s">
        <v>208</v>
      </c>
      <c r="O1780" s="6">
        <v>0</v>
      </c>
      <c r="P1780" s="6">
        <v>0</v>
      </c>
      <c r="Q1780" s="6">
        <v>0</v>
      </c>
      <c r="R1780" s="6">
        <v>0</v>
      </c>
      <c r="S1780" s="6">
        <v>0</v>
      </c>
    </row>
    <row r="1781" spans="1:19" ht="15" hidden="1" x14ac:dyDescent="0.25">
      <c r="A1781" s="7" t="s">
        <v>16</v>
      </c>
      <c r="B1781" s="7" t="s">
        <v>22</v>
      </c>
      <c r="C1781" s="7" t="s">
        <v>18</v>
      </c>
      <c r="D1781" s="4">
        <v>44649812001614</v>
      </c>
      <c r="E1781" s="8" t="s">
        <v>677</v>
      </c>
      <c r="F1781" s="8" t="s">
        <v>678</v>
      </c>
      <c r="G1781" s="8" t="s">
        <v>19</v>
      </c>
      <c r="H1781" s="8" t="s">
        <v>215</v>
      </c>
      <c r="I1781" s="3">
        <v>2</v>
      </c>
      <c r="J1781" s="8" t="s">
        <v>149</v>
      </c>
      <c r="K1781" s="8" t="s">
        <v>150</v>
      </c>
      <c r="L1781" s="8" t="s">
        <v>557</v>
      </c>
      <c r="M1781" s="1" t="s">
        <v>207</v>
      </c>
      <c r="N1781" s="8" t="s">
        <v>208</v>
      </c>
      <c r="O1781" s="6">
        <v>0</v>
      </c>
      <c r="P1781" s="6">
        <v>4</v>
      </c>
      <c r="Q1781" s="6">
        <v>0</v>
      </c>
      <c r="R1781" s="6">
        <v>0</v>
      </c>
      <c r="S1781" s="6">
        <v>0</v>
      </c>
    </row>
    <row r="1782" spans="1:19" ht="15" hidden="1" x14ac:dyDescent="0.25">
      <c r="A1782" s="7" t="s">
        <v>16</v>
      </c>
      <c r="B1782" s="7" t="s">
        <v>22</v>
      </c>
      <c r="C1782" s="7" t="s">
        <v>18</v>
      </c>
      <c r="D1782" s="4">
        <v>45780103000150</v>
      </c>
      <c r="E1782" s="8" t="s">
        <v>689</v>
      </c>
      <c r="F1782" s="8" t="s">
        <v>678</v>
      </c>
      <c r="G1782" s="8" t="s">
        <v>19</v>
      </c>
      <c r="H1782" s="8" t="s">
        <v>215</v>
      </c>
      <c r="I1782" s="3">
        <v>2</v>
      </c>
      <c r="J1782" s="8" t="s">
        <v>151</v>
      </c>
      <c r="K1782" s="8" t="s">
        <v>152</v>
      </c>
      <c r="L1782" s="8" t="s">
        <v>556</v>
      </c>
      <c r="M1782" s="1" t="s">
        <v>207</v>
      </c>
      <c r="N1782" s="8" t="s">
        <v>208</v>
      </c>
      <c r="O1782" s="6">
        <v>0</v>
      </c>
      <c r="P1782" s="6">
        <v>0</v>
      </c>
      <c r="Q1782" s="6">
        <v>0</v>
      </c>
      <c r="R1782" s="6">
        <v>0</v>
      </c>
      <c r="S1782" s="6">
        <v>615</v>
      </c>
    </row>
    <row r="1783" spans="1:19" ht="15" hidden="1" x14ac:dyDescent="0.25">
      <c r="A1783" s="7" t="s">
        <v>16</v>
      </c>
      <c r="B1783" s="7" t="s">
        <v>22</v>
      </c>
      <c r="C1783" s="7" t="s">
        <v>18</v>
      </c>
      <c r="D1783" s="4">
        <v>45780103000150</v>
      </c>
      <c r="E1783" s="8" t="s">
        <v>689</v>
      </c>
      <c r="F1783" s="8" t="s">
        <v>678</v>
      </c>
      <c r="G1783" s="8" t="s">
        <v>19</v>
      </c>
      <c r="H1783" s="8" t="s">
        <v>215</v>
      </c>
      <c r="I1783" s="3">
        <v>2</v>
      </c>
      <c r="J1783" s="8" t="s">
        <v>149</v>
      </c>
      <c r="K1783" s="8" t="s">
        <v>150</v>
      </c>
      <c r="L1783" s="8" t="s">
        <v>557</v>
      </c>
      <c r="M1783" s="1" t="s">
        <v>207</v>
      </c>
      <c r="N1783" s="8" t="s">
        <v>208</v>
      </c>
      <c r="O1783" s="6">
        <v>0</v>
      </c>
      <c r="P1783" s="6">
        <v>0</v>
      </c>
      <c r="Q1783" s="6">
        <v>0</v>
      </c>
      <c r="R1783" s="6">
        <v>0</v>
      </c>
      <c r="S1783" s="6">
        <v>615</v>
      </c>
    </row>
    <row r="1784" spans="1:19" ht="15" hidden="1" x14ac:dyDescent="0.25">
      <c r="A1784" s="7" t="s">
        <v>16</v>
      </c>
      <c r="B1784" s="7" t="s">
        <v>22</v>
      </c>
      <c r="C1784" s="7" t="s">
        <v>18</v>
      </c>
      <c r="D1784" s="4">
        <v>9528436000122</v>
      </c>
      <c r="E1784" s="8" t="s">
        <v>656</v>
      </c>
      <c r="F1784" s="8" t="s">
        <v>657</v>
      </c>
      <c r="G1784" s="8" t="s">
        <v>19</v>
      </c>
      <c r="H1784" s="8" t="s">
        <v>215</v>
      </c>
      <c r="I1784" s="3">
        <v>2</v>
      </c>
      <c r="J1784" s="8" t="s">
        <v>151</v>
      </c>
      <c r="K1784" s="8" t="s">
        <v>152</v>
      </c>
      <c r="L1784" s="8" t="s">
        <v>556</v>
      </c>
      <c r="M1784" s="1" t="s">
        <v>207</v>
      </c>
      <c r="N1784" s="8" t="s">
        <v>208</v>
      </c>
      <c r="O1784" s="6">
        <v>0</v>
      </c>
      <c r="P1784" s="6">
        <v>0</v>
      </c>
      <c r="Q1784" s="6">
        <v>0</v>
      </c>
      <c r="R1784" s="6">
        <v>0</v>
      </c>
      <c r="S1784" s="6">
        <v>150</v>
      </c>
    </row>
    <row r="1785" spans="1:19" ht="15" hidden="1" x14ac:dyDescent="0.25">
      <c r="A1785" s="7" t="s">
        <v>16</v>
      </c>
      <c r="B1785" s="7" t="s">
        <v>22</v>
      </c>
      <c r="C1785" s="7" t="s">
        <v>18</v>
      </c>
      <c r="D1785" s="4">
        <v>9528436000122</v>
      </c>
      <c r="E1785" s="8" t="s">
        <v>656</v>
      </c>
      <c r="F1785" s="8" t="s">
        <v>657</v>
      </c>
      <c r="G1785" s="8" t="s">
        <v>19</v>
      </c>
      <c r="H1785" s="8" t="s">
        <v>215</v>
      </c>
      <c r="I1785" s="3">
        <v>2</v>
      </c>
      <c r="J1785" s="8" t="s">
        <v>149</v>
      </c>
      <c r="K1785" s="8" t="s">
        <v>150</v>
      </c>
      <c r="L1785" s="8" t="s">
        <v>557</v>
      </c>
      <c r="M1785" s="1" t="s">
        <v>207</v>
      </c>
      <c r="N1785" s="8" t="s">
        <v>208</v>
      </c>
      <c r="O1785" s="6">
        <v>0</v>
      </c>
      <c r="P1785" s="6">
        <v>0</v>
      </c>
      <c r="Q1785" s="6">
        <v>0</v>
      </c>
      <c r="R1785" s="6">
        <v>0</v>
      </c>
      <c r="S1785" s="6">
        <v>150</v>
      </c>
    </row>
    <row r="1786" spans="1:19" ht="15" hidden="1" x14ac:dyDescent="0.25">
      <c r="A1786" s="7" t="s">
        <v>16</v>
      </c>
      <c r="B1786" s="7" t="s">
        <v>22</v>
      </c>
      <c r="C1786" s="7" t="s">
        <v>18</v>
      </c>
      <c r="D1786" s="4">
        <v>52852100000140</v>
      </c>
      <c r="E1786" s="8" t="s">
        <v>713</v>
      </c>
      <c r="F1786" s="8" t="s">
        <v>51</v>
      </c>
      <c r="G1786" s="8" t="s">
        <v>19</v>
      </c>
      <c r="H1786" s="8" t="s">
        <v>215</v>
      </c>
      <c r="I1786" s="3">
        <v>2</v>
      </c>
      <c r="J1786" s="8" t="s">
        <v>151</v>
      </c>
      <c r="K1786" s="8" t="s">
        <v>152</v>
      </c>
      <c r="L1786" s="8" t="s">
        <v>556</v>
      </c>
      <c r="M1786" s="1" t="s">
        <v>207</v>
      </c>
      <c r="N1786" s="8" t="s">
        <v>208</v>
      </c>
      <c r="O1786" s="6">
        <v>0</v>
      </c>
      <c r="P1786" s="6">
        <v>0</v>
      </c>
      <c r="Q1786" s="6">
        <v>0</v>
      </c>
      <c r="R1786" s="6">
        <v>0</v>
      </c>
      <c r="S1786" s="6">
        <v>300</v>
      </c>
    </row>
    <row r="1787" spans="1:19" ht="15" hidden="1" x14ac:dyDescent="0.25">
      <c r="A1787" s="7" t="s">
        <v>16</v>
      </c>
      <c r="B1787" s="7" t="s">
        <v>22</v>
      </c>
      <c r="C1787" s="7" t="s">
        <v>18</v>
      </c>
      <c r="D1787" s="4">
        <v>52852100000140</v>
      </c>
      <c r="E1787" s="8" t="s">
        <v>713</v>
      </c>
      <c r="F1787" s="8" t="s">
        <v>51</v>
      </c>
      <c r="G1787" s="8" t="s">
        <v>19</v>
      </c>
      <c r="H1787" s="8" t="s">
        <v>215</v>
      </c>
      <c r="I1787" s="3">
        <v>2</v>
      </c>
      <c r="J1787" s="8" t="s">
        <v>149</v>
      </c>
      <c r="K1787" s="8" t="s">
        <v>150</v>
      </c>
      <c r="L1787" s="8" t="s">
        <v>557</v>
      </c>
      <c r="M1787" s="1" t="s">
        <v>207</v>
      </c>
      <c r="N1787" s="8" t="s">
        <v>208</v>
      </c>
      <c r="O1787" s="6">
        <v>0</v>
      </c>
      <c r="P1787" s="6">
        <v>0</v>
      </c>
      <c r="Q1787" s="6">
        <v>0</v>
      </c>
      <c r="R1787" s="6">
        <v>0</v>
      </c>
      <c r="S1787" s="6">
        <v>300</v>
      </c>
    </row>
    <row r="1788" spans="1:19" ht="15" hidden="1" x14ac:dyDescent="0.25">
      <c r="A1788" s="7" t="s">
        <v>16</v>
      </c>
      <c r="B1788" s="7" t="s">
        <v>22</v>
      </c>
      <c r="C1788" s="7" t="s">
        <v>18</v>
      </c>
      <c r="D1788" s="4">
        <v>53311999000156</v>
      </c>
      <c r="E1788" s="8" t="s">
        <v>714</v>
      </c>
      <c r="F1788" s="8" t="s">
        <v>715</v>
      </c>
      <c r="G1788" s="8" t="s">
        <v>19</v>
      </c>
      <c r="H1788" s="8" t="s">
        <v>215</v>
      </c>
      <c r="I1788" s="3">
        <v>2</v>
      </c>
      <c r="J1788" s="8" t="s">
        <v>151</v>
      </c>
      <c r="K1788" s="8" t="s">
        <v>152</v>
      </c>
      <c r="L1788" s="8" t="s">
        <v>556</v>
      </c>
      <c r="M1788" s="1" t="s">
        <v>207</v>
      </c>
      <c r="N1788" s="8" t="s">
        <v>208</v>
      </c>
      <c r="O1788" s="6">
        <v>0</v>
      </c>
      <c r="P1788" s="6">
        <v>0</v>
      </c>
      <c r="Q1788" s="6">
        <v>0</v>
      </c>
      <c r="R1788" s="6">
        <v>0</v>
      </c>
      <c r="S1788" s="6">
        <v>0</v>
      </c>
    </row>
    <row r="1789" spans="1:19" ht="15" hidden="1" x14ac:dyDescent="0.25">
      <c r="A1789" s="7" t="s">
        <v>16</v>
      </c>
      <c r="B1789" s="7" t="s">
        <v>22</v>
      </c>
      <c r="C1789" s="7" t="s">
        <v>18</v>
      </c>
      <c r="D1789" s="4">
        <v>53311999000156</v>
      </c>
      <c r="E1789" s="8" t="s">
        <v>714</v>
      </c>
      <c r="F1789" s="8" t="s">
        <v>715</v>
      </c>
      <c r="G1789" s="8" t="s">
        <v>19</v>
      </c>
      <c r="H1789" s="8" t="s">
        <v>215</v>
      </c>
      <c r="I1789" s="3">
        <v>2</v>
      </c>
      <c r="J1789" s="8" t="s">
        <v>149</v>
      </c>
      <c r="K1789" s="8" t="s">
        <v>150</v>
      </c>
      <c r="L1789" s="8" t="s">
        <v>557</v>
      </c>
      <c r="M1789" s="1" t="s">
        <v>207</v>
      </c>
      <c r="N1789" s="8" t="s">
        <v>208</v>
      </c>
      <c r="O1789" s="6">
        <v>0</v>
      </c>
      <c r="P1789" s="6">
        <v>2</v>
      </c>
      <c r="Q1789" s="6">
        <v>0</v>
      </c>
      <c r="R1789" s="6">
        <v>0</v>
      </c>
      <c r="S1789" s="6">
        <v>0</v>
      </c>
    </row>
    <row r="1790" spans="1:19" ht="15" hidden="1" x14ac:dyDescent="0.25">
      <c r="A1790" s="7" t="s">
        <v>16</v>
      </c>
      <c r="B1790" s="7" t="s">
        <v>22</v>
      </c>
      <c r="C1790" s="7" t="s">
        <v>18</v>
      </c>
      <c r="D1790" s="4">
        <v>6047087007656</v>
      </c>
      <c r="E1790" s="8" t="s">
        <v>651</v>
      </c>
      <c r="F1790" s="8" t="s">
        <v>32</v>
      </c>
      <c r="G1790" s="8" t="s">
        <v>19</v>
      </c>
      <c r="H1790" s="8" t="s">
        <v>215</v>
      </c>
      <c r="I1790" s="3">
        <v>2</v>
      </c>
      <c r="J1790" s="8" t="s">
        <v>161</v>
      </c>
      <c r="K1790" s="8" t="s">
        <v>162</v>
      </c>
      <c r="L1790" s="8" t="s">
        <v>556</v>
      </c>
      <c r="M1790" s="1" t="s">
        <v>207</v>
      </c>
      <c r="N1790" s="8" t="s">
        <v>208</v>
      </c>
      <c r="O1790" s="6">
        <v>0</v>
      </c>
      <c r="P1790" s="6">
        <v>0</v>
      </c>
      <c r="Q1790" s="6">
        <v>0</v>
      </c>
      <c r="R1790" s="6">
        <v>0</v>
      </c>
      <c r="S1790" s="6">
        <v>0</v>
      </c>
    </row>
    <row r="1791" spans="1:19" ht="15" hidden="1" x14ac:dyDescent="0.25">
      <c r="A1791" s="7" t="s">
        <v>16</v>
      </c>
      <c r="B1791" s="7" t="s">
        <v>22</v>
      </c>
      <c r="C1791" s="7" t="s">
        <v>18</v>
      </c>
      <c r="D1791" s="4">
        <v>6047087007656</v>
      </c>
      <c r="E1791" s="8" t="s">
        <v>651</v>
      </c>
      <c r="F1791" s="8" t="s">
        <v>32</v>
      </c>
      <c r="G1791" s="8" t="s">
        <v>19</v>
      </c>
      <c r="H1791" s="8" t="s">
        <v>215</v>
      </c>
      <c r="I1791" s="3">
        <v>2</v>
      </c>
      <c r="J1791" s="8" t="s">
        <v>183</v>
      </c>
      <c r="K1791" s="8" t="s">
        <v>184</v>
      </c>
      <c r="L1791" s="8" t="s">
        <v>557</v>
      </c>
      <c r="M1791" s="1" t="s">
        <v>207</v>
      </c>
      <c r="N1791" s="8" t="s">
        <v>208</v>
      </c>
      <c r="O1791" s="6">
        <v>0</v>
      </c>
      <c r="P1791" s="6">
        <v>0</v>
      </c>
      <c r="Q1791" s="6">
        <v>3</v>
      </c>
      <c r="R1791" s="6">
        <v>0</v>
      </c>
      <c r="S1791" s="6">
        <v>0</v>
      </c>
    </row>
    <row r="1792" spans="1:19" ht="15" hidden="1" x14ac:dyDescent="0.25">
      <c r="A1792" s="7" t="s">
        <v>16</v>
      </c>
      <c r="B1792" s="7" t="s">
        <v>22</v>
      </c>
      <c r="C1792" s="7" t="s">
        <v>18</v>
      </c>
      <c r="D1792" s="4">
        <v>47565155000996</v>
      </c>
      <c r="E1792" s="8" t="s">
        <v>703</v>
      </c>
      <c r="F1792" s="8" t="s">
        <v>50</v>
      </c>
      <c r="G1792" s="8" t="s">
        <v>19</v>
      </c>
      <c r="H1792" s="8" t="s">
        <v>215</v>
      </c>
      <c r="I1792" s="3">
        <v>2</v>
      </c>
      <c r="J1792" s="8" t="s">
        <v>151</v>
      </c>
      <c r="K1792" s="8" t="s">
        <v>152</v>
      </c>
      <c r="L1792" s="8" t="s">
        <v>556</v>
      </c>
      <c r="M1792" s="1" t="s">
        <v>207</v>
      </c>
      <c r="N1792" s="8" t="s">
        <v>208</v>
      </c>
      <c r="O1792" s="6">
        <v>0</v>
      </c>
      <c r="P1792" s="6">
        <v>0</v>
      </c>
      <c r="Q1792" s="6">
        <v>0</v>
      </c>
      <c r="R1792" s="6">
        <v>0</v>
      </c>
      <c r="S1792" s="6">
        <v>0</v>
      </c>
    </row>
    <row r="1793" spans="1:19" ht="15" hidden="1" x14ac:dyDescent="0.25">
      <c r="A1793" s="7" t="s">
        <v>16</v>
      </c>
      <c r="B1793" s="7" t="s">
        <v>22</v>
      </c>
      <c r="C1793" s="7" t="s">
        <v>18</v>
      </c>
      <c r="D1793" s="4">
        <v>47565155000996</v>
      </c>
      <c r="E1793" s="8" t="s">
        <v>703</v>
      </c>
      <c r="F1793" s="8" t="s">
        <v>50</v>
      </c>
      <c r="G1793" s="8" t="s">
        <v>19</v>
      </c>
      <c r="H1793" s="8" t="s">
        <v>215</v>
      </c>
      <c r="I1793" s="3">
        <v>2</v>
      </c>
      <c r="J1793" s="8" t="s">
        <v>149</v>
      </c>
      <c r="K1793" s="8" t="s">
        <v>150</v>
      </c>
      <c r="L1793" s="8" t="s">
        <v>557</v>
      </c>
      <c r="M1793" s="1" t="s">
        <v>207</v>
      </c>
      <c r="N1793" s="8" t="s">
        <v>208</v>
      </c>
      <c r="O1793" s="6">
        <v>0</v>
      </c>
      <c r="P1793" s="6">
        <v>4</v>
      </c>
      <c r="Q1793" s="6">
        <v>3</v>
      </c>
      <c r="R1793" s="6">
        <v>0</v>
      </c>
      <c r="S1793" s="6">
        <v>0</v>
      </c>
    </row>
    <row r="1794" spans="1:19" ht="15" hidden="1" x14ac:dyDescent="0.25">
      <c r="A1794" s="7" t="s">
        <v>16</v>
      </c>
      <c r="B1794" s="7" t="s">
        <v>22</v>
      </c>
      <c r="C1794" s="7" t="s">
        <v>18</v>
      </c>
      <c r="D1794" s="4">
        <v>44803922000293</v>
      </c>
      <c r="E1794" s="8" t="s">
        <v>681</v>
      </c>
      <c r="F1794" s="8" t="s">
        <v>40</v>
      </c>
      <c r="G1794" s="8" t="s">
        <v>19</v>
      </c>
      <c r="H1794" s="8" t="s">
        <v>215</v>
      </c>
      <c r="I1794" s="3">
        <v>2</v>
      </c>
      <c r="J1794" s="8" t="s">
        <v>151</v>
      </c>
      <c r="K1794" s="8" t="s">
        <v>152</v>
      </c>
      <c r="L1794" s="8" t="s">
        <v>556</v>
      </c>
      <c r="M1794" s="1" t="s">
        <v>207</v>
      </c>
      <c r="N1794" s="8" t="s">
        <v>208</v>
      </c>
      <c r="O1794" s="6">
        <v>0</v>
      </c>
      <c r="P1794" s="6">
        <v>0</v>
      </c>
      <c r="Q1794" s="6">
        <v>0</v>
      </c>
      <c r="R1794" s="6">
        <v>8</v>
      </c>
      <c r="S1794" s="6">
        <v>0</v>
      </c>
    </row>
    <row r="1795" spans="1:19" ht="15" hidden="1" x14ac:dyDescent="0.25">
      <c r="A1795" s="7" t="s">
        <v>16</v>
      </c>
      <c r="B1795" s="7" t="s">
        <v>22</v>
      </c>
      <c r="C1795" s="7" t="s">
        <v>18</v>
      </c>
      <c r="D1795" s="4">
        <v>44803922000293</v>
      </c>
      <c r="E1795" s="8" t="s">
        <v>681</v>
      </c>
      <c r="F1795" s="8" t="s">
        <v>40</v>
      </c>
      <c r="G1795" s="8" t="s">
        <v>19</v>
      </c>
      <c r="H1795" s="8" t="s">
        <v>215</v>
      </c>
      <c r="I1795" s="3">
        <v>2</v>
      </c>
      <c r="J1795" s="8" t="s">
        <v>149</v>
      </c>
      <c r="K1795" s="8" t="s">
        <v>150</v>
      </c>
      <c r="L1795" s="8" t="s">
        <v>557</v>
      </c>
      <c r="M1795" s="1" t="s">
        <v>207</v>
      </c>
      <c r="N1795" s="8" t="s">
        <v>208</v>
      </c>
      <c r="O1795" s="6">
        <v>0</v>
      </c>
      <c r="P1795" s="6">
        <v>0</v>
      </c>
      <c r="Q1795" s="6">
        <v>0</v>
      </c>
      <c r="R1795" s="6">
        <v>0</v>
      </c>
      <c r="S1795" s="6">
        <v>0</v>
      </c>
    </row>
    <row r="1796" spans="1:19" ht="15" hidden="1" x14ac:dyDescent="0.25">
      <c r="A1796" s="7" t="s">
        <v>16</v>
      </c>
      <c r="B1796" s="7" t="s">
        <v>22</v>
      </c>
      <c r="C1796" s="7" t="s">
        <v>18</v>
      </c>
      <c r="D1796" s="4">
        <v>840048000450</v>
      </c>
      <c r="E1796" s="8" t="s">
        <v>637</v>
      </c>
      <c r="F1796" s="8" t="s">
        <v>30</v>
      </c>
      <c r="G1796" s="8" t="s">
        <v>19</v>
      </c>
      <c r="H1796" s="8" t="s">
        <v>215</v>
      </c>
      <c r="I1796" s="3">
        <v>2</v>
      </c>
      <c r="J1796" s="8" t="s">
        <v>151</v>
      </c>
      <c r="K1796" s="8" t="s">
        <v>152</v>
      </c>
      <c r="L1796" s="8" t="s">
        <v>556</v>
      </c>
      <c r="M1796" s="1" t="s">
        <v>207</v>
      </c>
      <c r="N1796" s="8" t="s">
        <v>208</v>
      </c>
      <c r="O1796" s="6">
        <v>0</v>
      </c>
      <c r="P1796" s="6">
        <v>0</v>
      </c>
      <c r="Q1796" s="6">
        <v>0</v>
      </c>
      <c r="R1796" s="6">
        <v>0</v>
      </c>
      <c r="S1796" s="6">
        <v>240</v>
      </c>
    </row>
    <row r="1797" spans="1:19" ht="15" hidden="1" x14ac:dyDescent="0.25">
      <c r="A1797" s="7" t="s">
        <v>16</v>
      </c>
      <c r="B1797" s="7" t="s">
        <v>22</v>
      </c>
      <c r="C1797" s="7" t="s">
        <v>18</v>
      </c>
      <c r="D1797" s="4">
        <v>840048000450</v>
      </c>
      <c r="E1797" s="8" t="s">
        <v>637</v>
      </c>
      <c r="F1797" s="8" t="s">
        <v>30</v>
      </c>
      <c r="G1797" s="8" t="s">
        <v>19</v>
      </c>
      <c r="H1797" s="8" t="s">
        <v>215</v>
      </c>
      <c r="I1797" s="3">
        <v>2</v>
      </c>
      <c r="J1797" s="8" t="s">
        <v>149</v>
      </c>
      <c r="K1797" s="8" t="s">
        <v>150</v>
      </c>
      <c r="L1797" s="8" t="s">
        <v>557</v>
      </c>
      <c r="M1797" s="1" t="s">
        <v>207</v>
      </c>
      <c r="N1797" s="8" t="s">
        <v>208</v>
      </c>
      <c r="O1797" s="6">
        <v>0</v>
      </c>
      <c r="P1797" s="6">
        <v>0</v>
      </c>
      <c r="Q1797" s="6">
        <v>0</v>
      </c>
      <c r="R1797" s="6">
        <v>0</v>
      </c>
      <c r="S1797" s="6">
        <v>240</v>
      </c>
    </row>
    <row r="1798" spans="1:19" ht="15" hidden="1" x14ac:dyDescent="0.25">
      <c r="A1798" s="7" t="s">
        <v>16</v>
      </c>
      <c r="B1798" s="7" t="s">
        <v>22</v>
      </c>
      <c r="C1798" s="7" t="s">
        <v>18</v>
      </c>
      <c r="D1798" s="4">
        <v>46374500003533</v>
      </c>
      <c r="E1798" s="8" t="s">
        <v>696</v>
      </c>
      <c r="F1798" s="8" t="s">
        <v>639</v>
      </c>
      <c r="G1798" s="8" t="s">
        <v>19</v>
      </c>
      <c r="H1798" s="8" t="s">
        <v>215</v>
      </c>
      <c r="I1798" s="3">
        <v>2</v>
      </c>
      <c r="J1798" s="8" t="s">
        <v>151</v>
      </c>
      <c r="K1798" s="8" t="s">
        <v>152</v>
      </c>
      <c r="L1798" s="8" t="s">
        <v>556</v>
      </c>
      <c r="M1798" s="1" t="s">
        <v>207</v>
      </c>
      <c r="N1798" s="8" t="s">
        <v>208</v>
      </c>
      <c r="O1798" s="6">
        <v>0</v>
      </c>
      <c r="P1798" s="6">
        <v>0</v>
      </c>
      <c r="Q1798" s="6">
        <v>0</v>
      </c>
      <c r="R1798" s="6">
        <v>0</v>
      </c>
      <c r="S1798" s="6">
        <v>1000</v>
      </c>
    </row>
    <row r="1799" spans="1:19" ht="15" hidden="1" x14ac:dyDescent="0.25">
      <c r="A1799" s="7" t="s">
        <v>16</v>
      </c>
      <c r="B1799" s="7" t="s">
        <v>22</v>
      </c>
      <c r="C1799" s="7" t="s">
        <v>18</v>
      </c>
      <c r="D1799" s="4">
        <v>46374500003533</v>
      </c>
      <c r="E1799" s="8" t="s">
        <v>696</v>
      </c>
      <c r="F1799" s="8" t="s">
        <v>639</v>
      </c>
      <c r="G1799" s="8" t="s">
        <v>19</v>
      </c>
      <c r="H1799" s="8" t="s">
        <v>215</v>
      </c>
      <c r="I1799" s="3">
        <v>2</v>
      </c>
      <c r="J1799" s="8" t="s">
        <v>149</v>
      </c>
      <c r="K1799" s="8" t="s">
        <v>150</v>
      </c>
      <c r="L1799" s="8" t="s">
        <v>557</v>
      </c>
      <c r="M1799" s="1" t="s">
        <v>207</v>
      </c>
      <c r="N1799" s="8" t="s">
        <v>208</v>
      </c>
      <c r="O1799" s="6">
        <v>0</v>
      </c>
      <c r="P1799" s="6">
        <v>0</v>
      </c>
      <c r="Q1799" s="6">
        <v>0</v>
      </c>
      <c r="R1799" s="6">
        <v>0</v>
      </c>
      <c r="S1799" s="6">
        <v>1000</v>
      </c>
    </row>
    <row r="1800" spans="1:19" ht="15" hidden="1" x14ac:dyDescent="0.25">
      <c r="A1800" s="7" t="s">
        <v>16</v>
      </c>
      <c r="B1800" s="7" t="s">
        <v>22</v>
      </c>
      <c r="C1800" s="7" t="s">
        <v>18</v>
      </c>
      <c r="D1800" s="4">
        <v>57722118000140</v>
      </c>
      <c r="E1800" s="8" t="s">
        <v>722</v>
      </c>
      <c r="F1800" s="8" t="s">
        <v>639</v>
      </c>
      <c r="G1800" s="8" t="s">
        <v>19</v>
      </c>
      <c r="H1800" s="8" t="s">
        <v>215</v>
      </c>
      <c r="I1800" s="3">
        <v>2</v>
      </c>
      <c r="J1800" s="8" t="s">
        <v>151</v>
      </c>
      <c r="K1800" s="8" t="s">
        <v>152</v>
      </c>
      <c r="L1800" s="8" t="s">
        <v>556</v>
      </c>
      <c r="M1800" s="1" t="s">
        <v>207</v>
      </c>
      <c r="N1800" s="8" t="s">
        <v>208</v>
      </c>
      <c r="O1800" s="6">
        <v>0</v>
      </c>
      <c r="P1800" s="6">
        <v>0</v>
      </c>
      <c r="Q1800" s="6">
        <v>0</v>
      </c>
      <c r="R1800" s="6">
        <v>0</v>
      </c>
      <c r="S1800" s="6">
        <v>150</v>
      </c>
    </row>
    <row r="1801" spans="1:19" ht="15" hidden="1" x14ac:dyDescent="0.25">
      <c r="A1801" s="7" t="s">
        <v>16</v>
      </c>
      <c r="B1801" s="7" t="s">
        <v>22</v>
      </c>
      <c r="C1801" s="7" t="s">
        <v>18</v>
      </c>
      <c r="D1801" s="4">
        <v>57722118000140</v>
      </c>
      <c r="E1801" s="8" t="s">
        <v>722</v>
      </c>
      <c r="F1801" s="8" t="s">
        <v>639</v>
      </c>
      <c r="G1801" s="8" t="s">
        <v>19</v>
      </c>
      <c r="H1801" s="8" t="s">
        <v>215</v>
      </c>
      <c r="I1801" s="3">
        <v>2</v>
      </c>
      <c r="J1801" s="8" t="s">
        <v>149</v>
      </c>
      <c r="K1801" s="8" t="s">
        <v>150</v>
      </c>
      <c r="L1801" s="8" t="s">
        <v>557</v>
      </c>
      <c r="M1801" s="1" t="s">
        <v>207</v>
      </c>
      <c r="N1801" s="8" t="s">
        <v>208</v>
      </c>
      <c r="O1801" s="6">
        <v>0</v>
      </c>
      <c r="P1801" s="6">
        <v>0</v>
      </c>
      <c r="Q1801" s="6">
        <v>0</v>
      </c>
      <c r="R1801" s="6">
        <v>0</v>
      </c>
      <c r="S1801" s="6">
        <v>150</v>
      </c>
    </row>
    <row r="1802" spans="1:19" ht="15" hidden="1" x14ac:dyDescent="0.25">
      <c r="A1802" s="7" t="s">
        <v>16</v>
      </c>
      <c r="B1802" s="7" t="s">
        <v>22</v>
      </c>
      <c r="C1802" s="7" t="s">
        <v>18</v>
      </c>
      <c r="D1802" s="4">
        <v>1613433006892</v>
      </c>
      <c r="E1802" s="8" t="s">
        <v>638</v>
      </c>
      <c r="F1802" s="8" t="s">
        <v>639</v>
      </c>
      <c r="G1802" s="8" t="s">
        <v>19</v>
      </c>
      <c r="H1802" s="8" t="s">
        <v>215</v>
      </c>
      <c r="I1802" s="3">
        <v>2</v>
      </c>
      <c r="J1802" s="8" t="s">
        <v>151</v>
      </c>
      <c r="K1802" s="8" t="s">
        <v>152</v>
      </c>
      <c r="L1802" s="8" t="s">
        <v>556</v>
      </c>
      <c r="M1802" s="1" t="s">
        <v>207</v>
      </c>
      <c r="N1802" s="8" t="s">
        <v>208</v>
      </c>
      <c r="O1802" s="6">
        <v>0</v>
      </c>
      <c r="P1802" s="6">
        <v>0</v>
      </c>
      <c r="Q1802" s="6">
        <v>0</v>
      </c>
      <c r="R1802" s="6">
        <v>0</v>
      </c>
      <c r="S1802" s="6">
        <v>1220</v>
      </c>
    </row>
    <row r="1803" spans="1:19" ht="15" hidden="1" x14ac:dyDescent="0.25">
      <c r="A1803" s="7" t="s">
        <v>16</v>
      </c>
      <c r="B1803" s="7" t="s">
        <v>22</v>
      </c>
      <c r="C1803" s="7" t="s">
        <v>18</v>
      </c>
      <c r="D1803" s="4">
        <v>1613433006892</v>
      </c>
      <c r="E1803" s="8" t="s">
        <v>638</v>
      </c>
      <c r="F1803" s="8" t="s">
        <v>639</v>
      </c>
      <c r="G1803" s="8" t="s">
        <v>19</v>
      </c>
      <c r="H1803" s="8" t="s">
        <v>215</v>
      </c>
      <c r="I1803" s="3">
        <v>2</v>
      </c>
      <c r="J1803" s="8" t="s">
        <v>149</v>
      </c>
      <c r="K1803" s="8" t="s">
        <v>150</v>
      </c>
      <c r="L1803" s="8" t="s">
        <v>557</v>
      </c>
      <c r="M1803" s="1" t="s">
        <v>207</v>
      </c>
      <c r="N1803" s="8" t="s">
        <v>208</v>
      </c>
      <c r="O1803" s="6">
        <v>0</v>
      </c>
      <c r="P1803" s="6">
        <v>0</v>
      </c>
      <c r="Q1803" s="6">
        <v>0</v>
      </c>
      <c r="R1803" s="6">
        <v>0</v>
      </c>
      <c r="S1803" s="6">
        <v>1220</v>
      </c>
    </row>
    <row r="1804" spans="1:19" ht="15" hidden="1" x14ac:dyDescent="0.25">
      <c r="A1804" s="7" t="s">
        <v>16</v>
      </c>
      <c r="B1804" s="7" t="s">
        <v>22</v>
      </c>
      <c r="C1804" s="7" t="s">
        <v>18</v>
      </c>
      <c r="D1804" s="4">
        <v>45232246000550</v>
      </c>
      <c r="E1804" s="8" t="s">
        <v>685</v>
      </c>
      <c r="F1804" s="8" t="s">
        <v>639</v>
      </c>
      <c r="G1804" s="8" t="s">
        <v>19</v>
      </c>
      <c r="H1804" s="8" t="s">
        <v>215</v>
      </c>
      <c r="I1804" s="3">
        <v>2</v>
      </c>
      <c r="J1804" s="8" t="s">
        <v>151</v>
      </c>
      <c r="K1804" s="8" t="s">
        <v>152</v>
      </c>
      <c r="L1804" s="8" t="s">
        <v>556</v>
      </c>
      <c r="M1804" s="1" t="s">
        <v>207</v>
      </c>
      <c r="N1804" s="8" t="s">
        <v>208</v>
      </c>
      <c r="O1804" s="6">
        <v>0</v>
      </c>
      <c r="P1804" s="6">
        <v>0</v>
      </c>
      <c r="Q1804" s="6">
        <v>0</v>
      </c>
      <c r="R1804" s="6">
        <v>62</v>
      </c>
      <c r="S1804" s="6">
        <v>360</v>
      </c>
    </row>
    <row r="1805" spans="1:19" ht="15" hidden="1" x14ac:dyDescent="0.25">
      <c r="A1805" s="7" t="s">
        <v>16</v>
      </c>
      <c r="B1805" s="7" t="s">
        <v>22</v>
      </c>
      <c r="C1805" s="7" t="s">
        <v>18</v>
      </c>
      <c r="D1805" s="4">
        <v>45232246000550</v>
      </c>
      <c r="E1805" s="8" t="s">
        <v>685</v>
      </c>
      <c r="F1805" s="8" t="s">
        <v>639</v>
      </c>
      <c r="G1805" s="8" t="s">
        <v>19</v>
      </c>
      <c r="H1805" s="8" t="s">
        <v>215</v>
      </c>
      <c r="I1805" s="3">
        <v>2</v>
      </c>
      <c r="J1805" s="8" t="s">
        <v>149</v>
      </c>
      <c r="K1805" s="8" t="s">
        <v>150</v>
      </c>
      <c r="L1805" s="8" t="s">
        <v>557</v>
      </c>
      <c r="M1805" s="1" t="s">
        <v>207</v>
      </c>
      <c r="N1805" s="8" t="s">
        <v>208</v>
      </c>
      <c r="O1805" s="6">
        <v>0</v>
      </c>
      <c r="P1805" s="6">
        <v>0</v>
      </c>
      <c r="Q1805" s="6">
        <v>0</v>
      </c>
      <c r="R1805" s="6">
        <v>0</v>
      </c>
      <c r="S1805" s="6">
        <v>360</v>
      </c>
    </row>
    <row r="1806" spans="1:19" ht="15" hidden="1" x14ac:dyDescent="0.25">
      <c r="A1806" s="7" t="s">
        <v>16</v>
      </c>
      <c r="B1806" s="7" t="s">
        <v>22</v>
      </c>
      <c r="C1806" s="7" t="s">
        <v>18</v>
      </c>
      <c r="D1806" s="4">
        <v>44663631000590</v>
      </c>
      <c r="E1806" s="8" t="s">
        <v>680</v>
      </c>
      <c r="F1806" s="8" t="s">
        <v>39</v>
      </c>
      <c r="G1806" s="8" t="s">
        <v>19</v>
      </c>
      <c r="H1806" s="8" t="s">
        <v>215</v>
      </c>
      <c r="I1806" s="3">
        <v>2</v>
      </c>
      <c r="J1806" s="8" t="s">
        <v>151</v>
      </c>
      <c r="K1806" s="8" t="s">
        <v>152</v>
      </c>
      <c r="L1806" s="8" t="s">
        <v>556</v>
      </c>
      <c r="M1806" s="1" t="s">
        <v>207</v>
      </c>
      <c r="N1806" s="8" t="s">
        <v>208</v>
      </c>
      <c r="O1806" s="6">
        <v>0</v>
      </c>
      <c r="P1806" s="6">
        <v>0</v>
      </c>
      <c r="Q1806" s="6">
        <v>0</v>
      </c>
      <c r="R1806" s="6">
        <v>32</v>
      </c>
      <c r="S1806" s="6">
        <v>195</v>
      </c>
    </row>
    <row r="1807" spans="1:19" ht="15" hidden="1" x14ac:dyDescent="0.25">
      <c r="A1807" s="7" t="s">
        <v>16</v>
      </c>
      <c r="B1807" s="7" t="s">
        <v>22</v>
      </c>
      <c r="C1807" s="7" t="s">
        <v>18</v>
      </c>
      <c r="D1807" s="4">
        <v>44663631000590</v>
      </c>
      <c r="E1807" s="8" t="s">
        <v>680</v>
      </c>
      <c r="F1807" s="8" t="s">
        <v>39</v>
      </c>
      <c r="G1807" s="8" t="s">
        <v>19</v>
      </c>
      <c r="H1807" s="8" t="s">
        <v>215</v>
      </c>
      <c r="I1807" s="3">
        <v>2</v>
      </c>
      <c r="J1807" s="8" t="s">
        <v>149</v>
      </c>
      <c r="K1807" s="8" t="s">
        <v>150</v>
      </c>
      <c r="L1807" s="8" t="s">
        <v>557</v>
      </c>
      <c r="M1807" s="1" t="s">
        <v>207</v>
      </c>
      <c r="N1807" s="8" t="s">
        <v>208</v>
      </c>
      <c r="O1807" s="6">
        <v>0</v>
      </c>
      <c r="P1807" s="6">
        <v>0</v>
      </c>
      <c r="Q1807" s="6">
        <v>0</v>
      </c>
      <c r="R1807" s="6">
        <v>0</v>
      </c>
      <c r="S1807" s="6">
        <v>195</v>
      </c>
    </row>
    <row r="1808" spans="1:19" ht="15" hidden="1" x14ac:dyDescent="0.25">
      <c r="A1808" s="7" t="s">
        <v>16</v>
      </c>
      <c r="B1808" s="7" t="s">
        <v>22</v>
      </c>
      <c r="C1808" s="7" t="s">
        <v>18</v>
      </c>
      <c r="D1808" s="4">
        <v>13718999001041</v>
      </c>
      <c r="E1808" s="8" t="s">
        <v>662</v>
      </c>
      <c r="F1808" s="8" t="s">
        <v>647</v>
      </c>
      <c r="G1808" s="8" t="s">
        <v>19</v>
      </c>
      <c r="H1808" s="8" t="s">
        <v>215</v>
      </c>
      <c r="I1808" s="3">
        <v>2</v>
      </c>
      <c r="J1808" s="8" t="s">
        <v>1355</v>
      </c>
      <c r="K1808" s="8" t="s">
        <v>1356</v>
      </c>
      <c r="L1808" s="8" t="s">
        <v>556</v>
      </c>
      <c r="M1808" s="1" t="s">
        <v>207</v>
      </c>
      <c r="N1808" s="8" t="s">
        <v>208</v>
      </c>
      <c r="O1808" s="6">
        <v>0</v>
      </c>
      <c r="P1808" s="6">
        <v>0</v>
      </c>
      <c r="Q1808" s="6">
        <v>0</v>
      </c>
      <c r="R1808" s="6">
        <v>8</v>
      </c>
      <c r="S1808" s="6">
        <v>0</v>
      </c>
    </row>
    <row r="1809" spans="1:19" ht="15" hidden="1" x14ac:dyDescent="0.25">
      <c r="A1809" s="7" t="s">
        <v>16</v>
      </c>
      <c r="B1809" s="7" t="s">
        <v>22</v>
      </c>
      <c r="C1809" s="7" t="s">
        <v>18</v>
      </c>
      <c r="D1809" s="4">
        <v>13718999001041</v>
      </c>
      <c r="E1809" s="8" t="s">
        <v>662</v>
      </c>
      <c r="F1809" s="8" t="s">
        <v>647</v>
      </c>
      <c r="G1809" s="8" t="s">
        <v>19</v>
      </c>
      <c r="H1809" s="8" t="s">
        <v>215</v>
      </c>
      <c r="I1809" s="3">
        <v>2</v>
      </c>
      <c r="J1809" s="8" t="s">
        <v>147</v>
      </c>
      <c r="K1809" s="8" t="s">
        <v>148</v>
      </c>
      <c r="L1809" s="8" t="s">
        <v>557</v>
      </c>
      <c r="M1809" s="1" t="s">
        <v>207</v>
      </c>
      <c r="N1809" s="8" t="s">
        <v>208</v>
      </c>
      <c r="O1809" s="6">
        <v>0</v>
      </c>
      <c r="P1809" s="6">
        <v>0</v>
      </c>
      <c r="Q1809" s="6">
        <v>0</v>
      </c>
      <c r="R1809" s="6">
        <v>0</v>
      </c>
      <c r="S1809" s="6">
        <v>0</v>
      </c>
    </row>
    <row r="1810" spans="1:19" ht="15" hidden="1" x14ac:dyDescent="0.25">
      <c r="A1810" s="7" t="s">
        <v>16</v>
      </c>
      <c r="B1810" s="7" t="s">
        <v>22</v>
      </c>
      <c r="C1810" s="7" t="s">
        <v>18</v>
      </c>
      <c r="D1810" s="4">
        <v>6047087000724</v>
      </c>
      <c r="E1810" s="8" t="s">
        <v>648</v>
      </c>
      <c r="F1810" s="8" t="s">
        <v>647</v>
      </c>
      <c r="G1810" s="8" t="s">
        <v>19</v>
      </c>
      <c r="H1810" s="8" t="s">
        <v>215</v>
      </c>
      <c r="I1810" s="3">
        <v>2</v>
      </c>
      <c r="J1810" s="8" t="s">
        <v>1355</v>
      </c>
      <c r="K1810" s="8" t="s">
        <v>1356</v>
      </c>
      <c r="L1810" s="8" t="s">
        <v>556</v>
      </c>
      <c r="M1810" s="1" t="s">
        <v>207</v>
      </c>
      <c r="N1810" s="8" t="s">
        <v>208</v>
      </c>
      <c r="O1810" s="6">
        <v>0</v>
      </c>
      <c r="P1810" s="6">
        <v>0</v>
      </c>
      <c r="Q1810" s="6">
        <v>0</v>
      </c>
      <c r="R1810" s="6">
        <v>0</v>
      </c>
      <c r="S1810" s="6">
        <v>0</v>
      </c>
    </row>
    <row r="1811" spans="1:19" ht="15" hidden="1" x14ac:dyDescent="0.25">
      <c r="A1811" s="7" t="s">
        <v>16</v>
      </c>
      <c r="B1811" s="7" t="s">
        <v>22</v>
      </c>
      <c r="C1811" s="7" t="s">
        <v>18</v>
      </c>
      <c r="D1811" s="4">
        <v>6047087000724</v>
      </c>
      <c r="E1811" s="8" t="s">
        <v>648</v>
      </c>
      <c r="F1811" s="8" t="s">
        <v>647</v>
      </c>
      <c r="G1811" s="8" t="s">
        <v>19</v>
      </c>
      <c r="H1811" s="8" t="s">
        <v>215</v>
      </c>
      <c r="I1811" s="3">
        <v>2</v>
      </c>
      <c r="J1811" s="8" t="s">
        <v>147</v>
      </c>
      <c r="K1811" s="8" t="s">
        <v>148</v>
      </c>
      <c r="L1811" s="8" t="s">
        <v>557</v>
      </c>
      <c r="M1811" s="1" t="s">
        <v>207</v>
      </c>
      <c r="N1811" s="8" t="s">
        <v>208</v>
      </c>
      <c r="O1811" s="6">
        <v>0</v>
      </c>
      <c r="P1811" s="6">
        <v>12</v>
      </c>
      <c r="Q1811" s="6">
        <v>10</v>
      </c>
      <c r="R1811" s="6">
        <v>0</v>
      </c>
      <c r="S1811" s="6">
        <v>0</v>
      </c>
    </row>
    <row r="1812" spans="1:19" ht="15" hidden="1" x14ac:dyDescent="0.25">
      <c r="A1812" s="7" t="s">
        <v>16</v>
      </c>
      <c r="B1812" s="7" t="s">
        <v>22</v>
      </c>
      <c r="C1812" s="7" t="s">
        <v>18</v>
      </c>
      <c r="D1812" s="4">
        <v>6033403000113</v>
      </c>
      <c r="E1812" s="8" t="s">
        <v>646</v>
      </c>
      <c r="F1812" s="8" t="s">
        <v>647</v>
      </c>
      <c r="G1812" s="8" t="s">
        <v>19</v>
      </c>
      <c r="H1812" s="8" t="s">
        <v>215</v>
      </c>
      <c r="I1812" s="3">
        <v>2</v>
      </c>
      <c r="J1812" s="8" t="s">
        <v>1355</v>
      </c>
      <c r="K1812" s="8" t="s">
        <v>1356</v>
      </c>
      <c r="L1812" s="8" t="s">
        <v>556</v>
      </c>
      <c r="M1812" s="1" t="s">
        <v>207</v>
      </c>
      <c r="N1812" s="8" t="s">
        <v>208</v>
      </c>
      <c r="O1812" s="6">
        <v>0</v>
      </c>
      <c r="P1812" s="6">
        <v>0</v>
      </c>
      <c r="Q1812" s="6">
        <v>0</v>
      </c>
      <c r="R1812" s="6">
        <v>0</v>
      </c>
      <c r="S1812" s="6">
        <v>0</v>
      </c>
    </row>
    <row r="1813" spans="1:19" ht="15" hidden="1" x14ac:dyDescent="0.25">
      <c r="A1813" s="7" t="s">
        <v>16</v>
      </c>
      <c r="B1813" s="7" t="s">
        <v>22</v>
      </c>
      <c r="C1813" s="7" t="s">
        <v>18</v>
      </c>
      <c r="D1813" s="4">
        <v>6033403000113</v>
      </c>
      <c r="E1813" s="8" t="s">
        <v>646</v>
      </c>
      <c r="F1813" s="8" t="s">
        <v>647</v>
      </c>
      <c r="G1813" s="8" t="s">
        <v>19</v>
      </c>
      <c r="H1813" s="8" t="s">
        <v>215</v>
      </c>
      <c r="I1813" s="3">
        <v>2</v>
      </c>
      <c r="J1813" s="8" t="s">
        <v>147</v>
      </c>
      <c r="K1813" s="8" t="s">
        <v>148</v>
      </c>
      <c r="L1813" s="8" t="s">
        <v>557</v>
      </c>
      <c r="M1813" s="1" t="s">
        <v>207</v>
      </c>
      <c r="N1813" s="8" t="s">
        <v>208</v>
      </c>
      <c r="O1813" s="6">
        <v>0</v>
      </c>
      <c r="P1813" s="6">
        <v>14</v>
      </c>
      <c r="Q1813" s="6">
        <v>0</v>
      </c>
      <c r="R1813" s="6">
        <v>0</v>
      </c>
      <c r="S1813" s="6">
        <v>0</v>
      </c>
    </row>
    <row r="1814" spans="1:19" ht="15" hidden="1" x14ac:dyDescent="0.25">
      <c r="A1814" s="7" t="s">
        <v>16</v>
      </c>
      <c r="B1814" s="7" t="s">
        <v>22</v>
      </c>
      <c r="C1814" s="7" t="s">
        <v>18</v>
      </c>
      <c r="D1814" s="4">
        <v>10868295000176</v>
      </c>
      <c r="E1814" s="8" t="s">
        <v>660</v>
      </c>
      <c r="F1814" s="8" t="s">
        <v>35</v>
      </c>
      <c r="G1814" s="8" t="s">
        <v>19</v>
      </c>
      <c r="H1814" s="8" t="s">
        <v>215</v>
      </c>
      <c r="I1814" s="3">
        <v>2</v>
      </c>
      <c r="J1814" s="8" t="s">
        <v>1355</v>
      </c>
      <c r="K1814" s="8" t="s">
        <v>1356</v>
      </c>
      <c r="L1814" s="8" t="s">
        <v>556</v>
      </c>
      <c r="M1814" s="1" t="s">
        <v>207</v>
      </c>
      <c r="N1814" s="8" t="s">
        <v>208</v>
      </c>
      <c r="O1814" s="6">
        <v>0</v>
      </c>
      <c r="P1814" s="6">
        <v>0</v>
      </c>
      <c r="Q1814" s="6">
        <v>0</v>
      </c>
      <c r="R1814" s="6">
        <v>0</v>
      </c>
      <c r="S1814" s="6">
        <v>120</v>
      </c>
    </row>
    <row r="1815" spans="1:19" ht="15" hidden="1" x14ac:dyDescent="0.25">
      <c r="A1815" s="7" t="s">
        <v>16</v>
      </c>
      <c r="B1815" s="7" t="s">
        <v>22</v>
      </c>
      <c r="C1815" s="7" t="s">
        <v>18</v>
      </c>
      <c r="D1815" s="4">
        <v>10868295000176</v>
      </c>
      <c r="E1815" s="8" t="s">
        <v>660</v>
      </c>
      <c r="F1815" s="8" t="s">
        <v>35</v>
      </c>
      <c r="G1815" s="8" t="s">
        <v>19</v>
      </c>
      <c r="H1815" s="8" t="s">
        <v>215</v>
      </c>
      <c r="I1815" s="3">
        <v>2</v>
      </c>
      <c r="J1815" s="8" t="s">
        <v>147</v>
      </c>
      <c r="K1815" s="8" t="s">
        <v>148</v>
      </c>
      <c r="L1815" s="8" t="s">
        <v>557</v>
      </c>
      <c r="M1815" s="1" t="s">
        <v>207</v>
      </c>
      <c r="N1815" s="8" t="s">
        <v>208</v>
      </c>
      <c r="O1815" s="6">
        <v>0</v>
      </c>
      <c r="P1815" s="6">
        <v>0</v>
      </c>
      <c r="Q1815" s="6">
        <v>0</v>
      </c>
      <c r="R1815" s="6">
        <v>0</v>
      </c>
      <c r="S1815" s="6">
        <v>120</v>
      </c>
    </row>
    <row r="1816" spans="1:19" ht="15" hidden="1" x14ac:dyDescent="0.25">
      <c r="A1816" s="7" t="s">
        <v>16</v>
      </c>
      <c r="B1816" s="7" t="s">
        <v>22</v>
      </c>
      <c r="C1816" s="7" t="s">
        <v>18</v>
      </c>
      <c r="D1816" s="4">
        <v>58229691001070</v>
      </c>
      <c r="E1816" s="8" t="s">
        <v>725</v>
      </c>
      <c r="F1816" s="8" t="s">
        <v>35</v>
      </c>
      <c r="G1816" s="8" t="s">
        <v>19</v>
      </c>
      <c r="H1816" s="8" t="s">
        <v>215</v>
      </c>
      <c r="I1816" s="3">
        <v>2</v>
      </c>
      <c r="J1816" s="8" t="s">
        <v>1355</v>
      </c>
      <c r="K1816" s="8" t="s">
        <v>1356</v>
      </c>
      <c r="L1816" s="8" t="s">
        <v>556</v>
      </c>
      <c r="M1816" s="1" t="s">
        <v>207</v>
      </c>
      <c r="N1816" s="8" t="s">
        <v>208</v>
      </c>
      <c r="O1816" s="6">
        <v>0</v>
      </c>
      <c r="P1816" s="6">
        <v>0</v>
      </c>
      <c r="Q1816" s="6">
        <v>0</v>
      </c>
      <c r="R1816" s="6">
        <v>32</v>
      </c>
      <c r="S1816" s="6">
        <v>0</v>
      </c>
    </row>
    <row r="1817" spans="1:19" ht="15" hidden="1" x14ac:dyDescent="0.25">
      <c r="A1817" s="7" t="s">
        <v>16</v>
      </c>
      <c r="B1817" s="7" t="s">
        <v>22</v>
      </c>
      <c r="C1817" s="7" t="s">
        <v>18</v>
      </c>
      <c r="D1817" s="4">
        <v>58229691001070</v>
      </c>
      <c r="E1817" s="8" t="s">
        <v>725</v>
      </c>
      <c r="F1817" s="8" t="s">
        <v>35</v>
      </c>
      <c r="G1817" s="8" t="s">
        <v>19</v>
      </c>
      <c r="H1817" s="8" t="s">
        <v>215</v>
      </c>
      <c r="I1817" s="3">
        <v>2</v>
      </c>
      <c r="J1817" s="8" t="s">
        <v>147</v>
      </c>
      <c r="K1817" s="8" t="s">
        <v>148</v>
      </c>
      <c r="L1817" s="8" t="s">
        <v>557</v>
      </c>
      <c r="M1817" s="1" t="s">
        <v>207</v>
      </c>
      <c r="N1817" s="8" t="s">
        <v>208</v>
      </c>
      <c r="O1817" s="6">
        <v>0</v>
      </c>
      <c r="P1817" s="6">
        <v>0</v>
      </c>
      <c r="Q1817" s="6">
        <v>0</v>
      </c>
      <c r="R1817" s="6">
        <v>0</v>
      </c>
      <c r="S1817" s="6">
        <v>0</v>
      </c>
    </row>
    <row r="1818" spans="1:19" ht="15" hidden="1" x14ac:dyDescent="0.25">
      <c r="A1818" s="7" t="s">
        <v>16</v>
      </c>
      <c r="B1818" s="7" t="s">
        <v>22</v>
      </c>
      <c r="C1818" s="7" t="s">
        <v>18</v>
      </c>
      <c r="D1818" s="4">
        <v>1613433008089</v>
      </c>
      <c r="E1818" s="8" t="s">
        <v>640</v>
      </c>
      <c r="F1818" s="8" t="s">
        <v>47</v>
      </c>
      <c r="G1818" s="8" t="s">
        <v>19</v>
      </c>
      <c r="H1818" s="8" t="s">
        <v>215</v>
      </c>
      <c r="I1818" s="3">
        <v>2</v>
      </c>
      <c r="J1818" s="8" t="s">
        <v>151</v>
      </c>
      <c r="K1818" s="8" t="s">
        <v>152</v>
      </c>
      <c r="L1818" s="8" t="s">
        <v>556</v>
      </c>
      <c r="M1818" s="1" t="s">
        <v>207</v>
      </c>
      <c r="N1818" s="8" t="s">
        <v>208</v>
      </c>
      <c r="O1818" s="6">
        <v>0</v>
      </c>
      <c r="P1818" s="6">
        <v>0</v>
      </c>
      <c r="Q1818" s="6">
        <v>0</v>
      </c>
      <c r="R1818" s="6">
        <v>0</v>
      </c>
      <c r="S1818" s="6">
        <v>80</v>
      </c>
    </row>
    <row r="1819" spans="1:19" ht="15" hidden="1" x14ac:dyDescent="0.25">
      <c r="A1819" s="7" t="s">
        <v>16</v>
      </c>
      <c r="B1819" s="7" t="s">
        <v>22</v>
      </c>
      <c r="C1819" s="7" t="s">
        <v>18</v>
      </c>
      <c r="D1819" s="4">
        <v>1613433008089</v>
      </c>
      <c r="E1819" s="8" t="s">
        <v>640</v>
      </c>
      <c r="F1819" s="8" t="s">
        <v>47</v>
      </c>
      <c r="G1819" s="8" t="s">
        <v>19</v>
      </c>
      <c r="H1819" s="8" t="s">
        <v>215</v>
      </c>
      <c r="I1819" s="3">
        <v>2</v>
      </c>
      <c r="J1819" s="8" t="s">
        <v>149</v>
      </c>
      <c r="K1819" s="8" t="s">
        <v>150</v>
      </c>
      <c r="L1819" s="8" t="s">
        <v>557</v>
      </c>
      <c r="M1819" s="1" t="s">
        <v>207</v>
      </c>
      <c r="N1819" s="8" t="s">
        <v>208</v>
      </c>
      <c r="O1819" s="6">
        <v>0</v>
      </c>
      <c r="P1819" s="6">
        <v>0</v>
      </c>
      <c r="Q1819" s="6">
        <v>0</v>
      </c>
      <c r="R1819" s="6">
        <v>0</v>
      </c>
      <c r="S1819" s="6">
        <v>80</v>
      </c>
    </row>
    <row r="1820" spans="1:19" ht="15" hidden="1" x14ac:dyDescent="0.25">
      <c r="A1820" s="7" t="s">
        <v>16</v>
      </c>
      <c r="B1820" s="7" t="s">
        <v>22</v>
      </c>
      <c r="C1820" s="7" t="s">
        <v>18</v>
      </c>
      <c r="D1820" s="4">
        <v>45399961000230</v>
      </c>
      <c r="E1820" s="8" t="s">
        <v>688</v>
      </c>
      <c r="F1820" s="8" t="s">
        <v>42</v>
      </c>
      <c r="G1820" s="8" t="s">
        <v>19</v>
      </c>
      <c r="H1820" s="8" t="s">
        <v>215</v>
      </c>
      <c r="I1820" s="3">
        <v>2</v>
      </c>
      <c r="J1820" s="8" t="s">
        <v>151</v>
      </c>
      <c r="K1820" s="8" t="s">
        <v>152</v>
      </c>
      <c r="L1820" s="8" t="s">
        <v>556</v>
      </c>
      <c r="M1820" s="1" t="s">
        <v>207</v>
      </c>
      <c r="N1820" s="8" t="s">
        <v>208</v>
      </c>
      <c r="O1820" s="6">
        <v>0</v>
      </c>
      <c r="P1820" s="6">
        <v>0</v>
      </c>
      <c r="Q1820" s="6">
        <v>0</v>
      </c>
      <c r="R1820" s="6">
        <v>0</v>
      </c>
      <c r="S1820" s="6">
        <v>300</v>
      </c>
    </row>
    <row r="1821" spans="1:19" ht="15" hidden="1" x14ac:dyDescent="0.25">
      <c r="A1821" s="7" t="s">
        <v>16</v>
      </c>
      <c r="B1821" s="7" t="s">
        <v>22</v>
      </c>
      <c r="C1821" s="7" t="s">
        <v>18</v>
      </c>
      <c r="D1821" s="4">
        <v>45399961000230</v>
      </c>
      <c r="E1821" s="8" t="s">
        <v>688</v>
      </c>
      <c r="F1821" s="8" t="s">
        <v>42</v>
      </c>
      <c r="G1821" s="8" t="s">
        <v>19</v>
      </c>
      <c r="H1821" s="8" t="s">
        <v>215</v>
      </c>
      <c r="I1821" s="3">
        <v>2</v>
      </c>
      <c r="J1821" s="8" t="s">
        <v>183</v>
      </c>
      <c r="K1821" s="8" t="s">
        <v>184</v>
      </c>
      <c r="L1821" s="8" t="s">
        <v>557</v>
      </c>
      <c r="M1821" s="1" t="s">
        <v>207</v>
      </c>
      <c r="N1821" s="8" t="s">
        <v>208</v>
      </c>
      <c r="O1821" s="6">
        <v>0</v>
      </c>
      <c r="P1821" s="6">
        <v>0</v>
      </c>
      <c r="Q1821" s="6">
        <v>0</v>
      </c>
      <c r="R1821" s="6">
        <v>0</v>
      </c>
      <c r="S1821" s="6">
        <v>300</v>
      </c>
    </row>
    <row r="1822" spans="1:19" ht="15" hidden="1" x14ac:dyDescent="0.25">
      <c r="A1822" s="7" t="s">
        <v>16</v>
      </c>
      <c r="B1822" s="7" t="s">
        <v>22</v>
      </c>
      <c r="C1822" s="7" t="s">
        <v>18</v>
      </c>
      <c r="D1822" s="4">
        <v>46124624002599</v>
      </c>
      <c r="E1822" s="8" t="s">
        <v>694</v>
      </c>
      <c r="F1822" s="8" t="s">
        <v>695</v>
      </c>
      <c r="G1822" s="8" t="s">
        <v>19</v>
      </c>
      <c r="H1822" s="8" t="s">
        <v>215</v>
      </c>
      <c r="I1822" s="3">
        <v>2</v>
      </c>
      <c r="J1822" s="8" t="s">
        <v>151</v>
      </c>
      <c r="K1822" s="8" t="s">
        <v>152</v>
      </c>
      <c r="L1822" s="8" t="s">
        <v>556</v>
      </c>
      <c r="M1822" s="1" t="s">
        <v>207</v>
      </c>
      <c r="N1822" s="8" t="s">
        <v>208</v>
      </c>
      <c r="O1822" s="6">
        <v>0</v>
      </c>
      <c r="P1822" s="6">
        <v>0</v>
      </c>
      <c r="Q1822" s="6">
        <v>0</v>
      </c>
      <c r="R1822" s="6">
        <v>80</v>
      </c>
      <c r="S1822" s="6">
        <v>1250</v>
      </c>
    </row>
    <row r="1823" spans="1:19" ht="15" hidden="1" x14ac:dyDescent="0.25">
      <c r="A1823" s="7" t="s">
        <v>16</v>
      </c>
      <c r="B1823" s="7" t="s">
        <v>22</v>
      </c>
      <c r="C1823" s="7" t="s">
        <v>18</v>
      </c>
      <c r="D1823" s="4">
        <v>46124624002599</v>
      </c>
      <c r="E1823" s="8" t="s">
        <v>694</v>
      </c>
      <c r="F1823" s="8" t="s">
        <v>695</v>
      </c>
      <c r="G1823" s="8" t="s">
        <v>19</v>
      </c>
      <c r="H1823" s="8" t="s">
        <v>215</v>
      </c>
      <c r="I1823" s="3">
        <v>2</v>
      </c>
      <c r="J1823" s="8" t="s">
        <v>149</v>
      </c>
      <c r="K1823" s="8" t="s">
        <v>150</v>
      </c>
      <c r="L1823" s="8" t="s">
        <v>557</v>
      </c>
      <c r="M1823" s="1" t="s">
        <v>207</v>
      </c>
      <c r="N1823" s="8" t="s">
        <v>208</v>
      </c>
      <c r="O1823" s="6">
        <v>0</v>
      </c>
      <c r="P1823" s="6">
        <v>0</v>
      </c>
      <c r="Q1823" s="6">
        <v>0</v>
      </c>
      <c r="R1823" s="6">
        <v>0</v>
      </c>
      <c r="S1823" s="6">
        <v>1250</v>
      </c>
    </row>
    <row r="1824" spans="1:19" ht="15" hidden="1" x14ac:dyDescent="0.25">
      <c r="A1824" s="7" t="s">
        <v>16</v>
      </c>
      <c r="B1824" s="7" t="s">
        <v>22</v>
      </c>
      <c r="C1824" s="7" t="s">
        <v>18</v>
      </c>
      <c r="D1824" s="4">
        <v>43293604002120</v>
      </c>
      <c r="E1824" s="8" t="s">
        <v>673</v>
      </c>
      <c r="F1824" s="8" t="s">
        <v>674</v>
      </c>
      <c r="G1824" s="8" t="s">
        <v>19</v>
      </c>
      <c r="H1824" s="8" t="s">
        <v>215</v>
      </c>
      <c r="I1824" s="3">
        <v>2</v>
      </c>
      <c r="J1824" s="8" t="s">
        <v>1355</v>
      </c>
      <c r="K1824" s="8" t="s">
        <v>1356</v>
      </c>
      <c r="L1824" s="8" t="s">
        <v>556</v>
      </c>
      <c r="M1824" s="1" t="s">
        <v>207</v>
      </c>
      <c r="N1824" s="8" t="s">
        <v>208</v>
      </c>
      <c r="O1824" s="6">
        <v>0</v>
      </c>
      <c r="P1824" s="6">
        <v>0</v>
      </c>
      <c r="Q1824" s="6">
        <v>0</v>
      </c>
      <c r="R1824" s="6">
        <v>0</v>
      </c>
      <c r="S1824" s="6">
        <v>65</v>
      </c>
    </row>
    <row r="1825" spans="1:19" ht="15" hidden="1" x14ac:dyDescent="0.25">
      <c r="A1825" s="7" t="s">
        <v>16</v>
      </c>
      <c r="B1825" s="7" t="s">
        <v>22</v>
      </c>
      <c r="C1825" s="7" t="s">
        <v>18</v>
      </c>
      <c r="D1825" s="4">
        <v>43293604002120</v>
      </c>
      <c r="E1825" s="8" t="s">
        <v>673</v>
      </c>
      <c r="F1825" s="8" t="s">
        <v>674</v>
      </c>
      <c r="G1825" s="8" t="s">
        <v>19</v>
      </c>
      <c r="H1825" s="8" t="s">
        <v>215</v>
      </c>
      <c r="I1825" s="3">
        <v>2</v>
      </c>
      <c r="J1825" s="8" t="s">
        <v>147</v>
      </c>
      <c r="K1825" s="8" t="s">
        <v>148</v>
      </c>
      <c r="L1825" s="8" t="s">
        <v>557</v>
      </c>
      <c r="M1825" s="1" t="s">
        <v>207</v>
      </c>
      <c r="N1825" s="8" t="s">
        <v>208</v>
      </c>
      <c r="O1825" s="6">
        <v>0</v>
      </c>
      <c r="P1825" s="6">
        <v>0</v>
      </c>
      <c r="Q1825" s="6">
        <v>0</v>
      </c>
      <c r="R1825" s="6">
        <v>0</v>
      </c>
      <c r="S1825" s="6">
        <v>65</v>
      </c>
    </row>
    <row r="1826" spans="1:19" ht="15" hidden="1" x14ac:dyDescent="0.25">
      <c r="A1826" s="7" t="s">
        <v>16</v>
      </c>
      <c r="B1826" s="7" t="s">
        <v>22</v>
      </c>
      <c r="C1826" s="7" t="s">
        <v>18</v>
      </c>
      <c r="D1826" s="4">
        <v>45359213000576</v>
      </c>
      <c r="E1826" s="8" t="s">
        <v>686</v>
      </c>
      <c r="F1826" s="8" t="s">
        <v>687</v>
      </c>
      <c r="G1826" s="8" t="s">
        <v>19</v>
      </c>
      <c r="H1826" s="8" t="s">
        <v>215</v>
      </c>
      <c r="I1826" s="3">
        <v>2</v>
      </c>
      <c r="J1826" s="8" t="s">
        <v>151</v>
      </c>
      <c r="K1826" s="8" t="s">
        <v>152</v>
      </c>
      <c r="L1826" s="8" t="s">
        <v>556</v>
      </c>
      <c r="M1826" s="1" t="s">
        <v>207</v>
      </c>
      <c r="N1826" s="8" t="s">
        <v>208</v>
      </c>
      <c r="O1826" s="6">
        <v>0</v>
      </c>
      <c r="P1826" s="6">
        <v>0</v>
      </c>
      <c r="Q1826" s="6">
        <v>0</v>
      </c>
      <c r="R1826" s="6">
        <v>8</v>
      </c>
      <c r="S1826" s="6">
        <v>0</v>
      </c>
    </row>
    <row r="1827" spans="1:19" ht="15" hidden="1" x14ac:dyDescent="0.25">
      <c r="A1827" s="7" t="s">
        <v>16</v>
      </c>
      <c r="B1827" s="7" t="s">
        <v>22</v>
      </c>
      <c r="C1827" s="7" t="s">
        <v>18</v>
      </c>
      <c r="D1827" s="4">
        <v>45359213000576</v>
      </c>
      <c r="E1827" s="8" t="s">
        <v>686</v>
      </c>
      <c r="F1827" s="8" t="s">
        <v>687</v>
      </c>
      <c r="G1827" s="8" t="s">
        <v>19</v>
      </c>
      <c r="H1827" s="8" t="s">
        <v>215</v>
      </c>
      <c r="I1827" s="3">
        <v>2</v>
      </c>
      <c r="J1827" s="8" t="s">
        <v>149</v>
      </c>
      <c r="K1827" s="8" t="s">
        <v>150</v>
      </c>
      <c r="L1827" s="8" t="s">
        <v>557</v>
      </c>
      <c r="M1827" s="1" t="s">
        <v>207</v>
      </c>
      <c r="N1827" s="8" t="s">
        <v>208</v>
      </c>
      <c r="O1827" s="6">
        <v>0</v>
      </c>
      <c r="P1827" s="6">
        <v>0</v>
      </c>
      <c r="Q1827" s="6">
        <v>0</v>
      </c>
      <c r="R1827" s="6">
        <v>0</v>
      </c>
      <c r="S1827" s="6">
        <v>0</v>
      </c>
    </row>
    <row r="1828" spans="1:19" ht="15" hidden="1" x14ac:dyDescent="0.25">
      <c r="A1828" s="7" t="s">
        <v>16</v>
      </c>
      <c r="B1828" s="7" t="s">
        <v>22</v>
      </c>
      <c r="C1828" s="7" t="s">
        <v>18</v>
      </c>
      <c r="D1828" s="4">
        <v>10576443000189</v>
      </c>
      <c r="E1828" s="8" t="s">
        <v>659</v>
      </c>
      <c r="F1828" s="8" t="s">
        <v>643</v>
      </c>
      <c r="G1828" s="8" t="s">
        <v>19</v>
      </c>
      <c r="H1828" s="8" t="s">
        <v>215</v>
      </c>
      <c r="I1828" s="3">
        <v>2</v>
      </c>
      <c r="J1828" s="8" t="s">
        <v>151</v>
      </c>
      <c r="K1828" s="8" t="s">
        <v>152</v>
      </c>
      <c r="L1828" s="8" t="s">
        <v>556</v>
      </c>
      <c r="M1828" s="1" t="s">
        <v>207</v>
      </c>
      <c r="N1828" s="8" t="s">
        <v>208</v>
      </c>
      <c r="O1828" s="6">
        <v>0</v>
      </c>
      <c r="P1828" s="6">
        <v>0</v>
      </c>
      <c r="Q1828" s="6">
        <v>0</v>
      </c>
      <c r="R1828" s="6">
        <v>0</v>
      </c>
      <c r="S1828" s="6">
        <v>160</v>
      </c>
    </row>
    <row r="1829" spans="1:19" ht="15" hidden="1" x14ac:dyDescent="0.25">
      <c r="A1829" s="7" t="s">
        <v>16</v>
      </c>
      <c r="B1829" s="7" t="s">
        <v>22</v>
      </c>
      <c r="C1829" s="7" t="s">
        <v>18</v>
      </c>
      <c r="D1829" s="4">
        <v>10576443000189</v>
      </c>
      <c r="E1829" s="8" t="s">
        <v>659</v>
      </c>
      <c r="F1829" s="8" t="s">
        <v>643</v>
      </c>
      <c r="G1829" s="8" t="s">
        <v>19</v>
      </c>
      <c r="H1829" s="8" t="s">
        <v>215</v>
      </c>
      <c r="I1829" s="3">
        <v>2</v>
      </c>
      <c r="J1829" s="8" t="s">
        <v>149</v>
      </c>
      <c r="K1829" s="8" t="s">
        <v>150</v>
      </c>
      <c r="L1829" s="8" t="s">
        <v>557</v>
      </c>
      <c r="M1829" s="1" t="s">
        <v>207</v>
      </c>
      <c r="N1829" s="8" t="s">
        <v>208</v>
      </c>
      <c r="O1829" s="6">
        <v>0</v>
      </c>
      <c r="P1829" s="6">
        <v>0</v>
      </c>
      <c r="Q1829" s="6">
        <v>0</v>
      </c>
      <c r="R1829" s="6">
        <v>0</v>
      </c>
      <c r="S1829" s="6">
        <v>160</v>
      </c>
    </row>
    <row r="1830" spans="1:19" ht="15" hidden="1" x14ac:dyDescent="0.25">
      <c r="A1830" s="7" t="s">
        <v>16</v>
      </c>
      <c r="B1830" s="7" t="s">
        <v>22</v>
      </c>
      <c r="C1830" s="7" t="s">
        <v>18</v>
      </c>
      <c r="D1830" s="4">
        <v>2643405000173</v>
      </c>
      <c r="E1830" s="8" t="s">
        <v>642</v>
      </c>
      <c r="F1830" s="8" t="s">
        <v>643</v>
      </c>
      <c r="G1830" s="8" t="s">
        <v>19</v>
      </c>
      <c r="H1830" s="8" t="s">
        <v>215</v>
      </c>
      <c r="I1830" s="3">
        <v>2</v>
      </c>
      <c r="J1830" s="8" t="s">
        <v>151</v>
      </c>
      <c r="K1830" s="8" t="s">
        <v>152</v>
      </c>
      <c r="L1830" s="8" t="s">
        <v>556</v>
      </c>
      <c r="M1830" s="1" t="s">
        <v>207</v>
      </c>
      <c r="N1830" s="8" t="s">
        <v>208</v>
      </c>
      <c r="O1830" s="6">
        <v>0</v>
      </c>
      <c r="P1830" s="6">
        <v>0</v>
      </c>
      <c r="Q1830" s="6">
        <v>0</v>
      </c>
      <c r="R1830" s="6">
        <v>36</v>
      </c>
      <c r="S1830" s="6">
        <v>0</v>
      </c>
    </row>
    <row r="1831" spans="1:19" ht="15" hidden="1" x14ac:dyDescent="0.25">
      <c r="A1831" s="7" t="s">
        <v>16</v>
      </c>
      <c r="B1831" s="7" t="s">
        <v>22</v>
      </c>
      <c r="C1831" s="7" t="s">
        <v>18</v>
      </c>
      <c r="D1831" s="4">
        <v>2643405000173</v>
      </c>
      <c r="E1831" s="8" t="s">
        <v>642</v>
      </c>
      <c r="F1831" s="8" t="s">
        <v>643</v>
      </c>
      <c r="G1831" s="8" t="s">
        <v>19</v>
      </c>
      <c r="H1831" s="8" t="s">
        <v>215</v>
      </c>
      <c r="I1831" s="3">
        <v>2</v>
      </c>
      <c r="J1831" s="8" t="s">
        <v>149</v>
      </c>
      <c r="K1831" s="8" t="s">
        <v>150</v>
      </c>
      <c r="L1831" s="8" t="s">
        <v>557</v>
      </c>
      <c r="M1831" s="1" t="s">
        <v>207</v>
      </c>
      <c r="N1831" s="8" t="s">
        <v>208</v>
      </c>
      <c r="O1831" s="6">
        <v>0</v>
      </c>
      <c r="P1831" s="6">
        <v>0</v>
      </c>
      <c r="Q1831" s="6">
        <v>0</v>
      </c>
      <c r="R1831" s="6">
        <v>0</v>
      </c>
      <c r="S1831" s="6">
        <v>0</v>
      </c>
    </row>
    <row r="1832" spans="1:19" ht="15" hidden="1" x14ac:dyDescent="0.25">
      <c r="A1832" s="7" t="s">
        <v>16</v>
      </c>
      <c r="B1832" s="7" t="s">
        <v>22</v>
      </c>
      <c r="C1832" s="7" t="s">
        <v>18</v>
      </c>
      <c r="D1832" s="4">
        <v>60003761000129</v>
      </c>
      <c r="E1832" s="8" t="s">
        <v>728</v>
      </c>
      <c r="F1832" s="8" t="s">
        <v>643</v>
      </c>
      <c r="G1832" s="8" t="s">
        <v>19</v>
      </c>
      <c r="H1832" s="8" t="s">
        <v>215</v>
      </c>
      <c r="I1832" s="3">
        <v>2</v>
      </c>
      <c r="J1832" s="8" t="s">
        <v>151</v>
      </c>
      <c r="K1832" s="8" t="s">
        <v>152</v>
      </c>
      <c r="L1832" s="8" t="s">
        <v>556</v>
      </c>
      <c r="M1832" s="1" t="s">
        <v>207</v>
      </c>
      <c r="N1832" s="8" t="s">
        <v>208</v>
      </c>
      <c r="O1832" s="6">
        <v>0</v>
      </c>
      <c r="P1832" s="6">
        <v>0</v>
      </c>
      <c r="Q1832" s="6">
        <v>0</v>
      </c>
      <c r="R1832" s="6">
        <v>0</v>
      </c>
      <c r="S1832" s="6">
        <v>0</v>
      </c>
    </row>
    <row r="1833" spans="1:19" ht="15" hidden="1" x14ac:dyDescent="0.25">
      <c r="A1833" s="7" t="s">
        <v>16</v>
      </c>
      <c r="B1833" s="7" t="s">
        <v>22</v>
      </c>
      <c r="C1833" s="7" t="s">
        <v>18</v>
      </c>
      <c r="D1833" s="4">
        <v>60003761000129</v>
      </c>
      <c r="E1833" s="8" t="s">
        <v>728</v>
      </c>
      <c r="F1833" s="8" t="s">
        <v>643</v>
      </c>
      <c r="G1833" s="8" t="s">
        <v>19</v>
      </c>
      <c r="H1833" s="8" t="s">
        <v>215</v>
      </c>
      <c r="I1833" s="3">
        <v>2</v>
      </c>
      <c r="J1833" s="8" t="s">
        <v>149</v>
      </c>
      <c r="K1833" s="8" t="s">
        <v>150</v>
      </c>
      <c r="L1833" s="8" t="s">
        <v>557</v>
      </c>
      <c r="M1833" s="1" t="s">
        <v>207</v>
      </c>
      <c r="N1833" s="8" t="s">
        <v>208</v>
      </c>
      <c r="O1833" s="6">
        <v>0</v>
      </c>
      <c r="P1833" s="6">
        <v>15</v>
      </c>
      <c r="Q1833" s="6">
        <v>10</v>
      </c>
      <c r="R1833" s="6">
        <v>0</v>
      </c>
      <c r="S1833" s="6">
        <v>0</v>
      </c>
    </row>
    <row r="1834" spans="1:19" ht="15" hidden="1" x14ac:dyDescent="0.25">
      <c r="A1834" s="7" t="s">
        <v>16</v>
      </c>
      <c r="B1834" s="7" t="s">
        <v>22</v>
      </c>
      <c r="C1834" s="7" t="s">
        <v>18</v>
      </c>
      <c r="D1834" s="4">
        <v>45184066000117</v>
      </c>
      <c r="E1834" s="8" t="s">
        <v>684</v>
      </c>
      <c r="F1834" s="8" t="s">
        <v>650</v>
      </c>
      <c r="G1834" s="8" t="s">
        <v>19</v>
      </c>
      <c r="H1834" s="8" t="s">
        <v>215</v>
      </c>
      <c r="I1834" s="3">
        <v>2</v>
      </c>
      <c r="J1834" s="8" t="s">
        <v>161</v>
      </c>
      <c r="K1834" s="8" t="s">
        <v>162</v>
      </c>
      <c r="L1834" s="8" t="s">
        <v>556</v>
      </c>
      <c r="M1834" s="1" t="s">
        <v>207</v>
      </c>
      <c r="N1834" s="8" t="s">
        <v>208</v>
      </c>
      <c r="O1834" s="6">
        <v>0</v>
      </c>
      <c r="P1834" s="6">
        <v>0</v>
      </c>
      <c r="Q1834" s="6">
        <v>0</v>
      </c>
      <c r="R1834" s="6">
        <v>15</v>
      </c>
      <c r="S1834" s="6">
        <v>100</v>
      </c>
    </row>
    <row r="1835" spans="1:19" ht="15" hidden="1" x14ac:dyDescent="0.25">
      <c r="A1835" s="7" t="s">
        <v>16</v>
      </c>
      <c r="B1835" s="7" t="s">
        <v>22</v>
      </c>
      <c r="C1835" s="7" t="s">
        <v>18</v>
      </c>
      <c r="D1835" s="4">
        <v>45184066000117</v>
      </c>
      <c r="E1835" s="8" t="s">
        <v>684</v>
      </c>
      <c r="F1835" s="8" t="s">
        <v>650</v>
      </c>
      <c r="G1835" s="8" t="s">
        <v>19</v>
      </c>
      <c r="H1835" s="8" t="s">
        <v>215</v>
      </c>
      <c r="I1835" s="3">
        <v>2</v>
      </c>
      <c r="J1835" s="8" t="s">
        <v>183</v>
      </c>
      <c r="K1835" s="8" t="s">
        <v>184</v>
      </c>
      <c r="L1835" s="8" t="s">
        <v>557</v>
      </c>
      <c r="M1835" s="1" t="s">
        <v>207</v>
      </c>
      <c r="N1835" s="8" t="s">
        <v>208</v>
      </c>
      <c r="O1835" s="6">
        <v>0</v>
      </c>
      <c r="P1835" s="6">
        <v>0</v>
      </c>
      <c r="Q1835" s="6">
        <v>0</v>
      </c>
      <c r="R1835" s="6">
        <v>0</v>
      </c>
      <c r="S1835" s="6">
        <v>100</v>
      </c>
    </row>
    <row r="1836" spans="1:19" ht="15" hidden="1" x14ac:dyDescent="0.25">
      <c r="A1836" s="7" t="s">
        <v>16</v>
      </c>
      <c r="B1836" s="7" t="s">
        <v>22</v>
      </c>
      <c r="C1836" s="7" t="s">
        <v>18</v>
      </c>
      <c r="D1836" s="4">
        <v>60214517001691</v>
      </c>
      <c r="E1836" s="8" t="s">
        <v>732</v>
      </c>
      <c r="F1836" s="8" t="s">
        <v>650</v>
      </c>
      <c r="G1836" s="8" t="s">
        <v>19</v>
      </c>
      <c r="H1836" s="8" t="s">
        <v>215</v>
      </c>
      <c r="I1836" s="3">
        <v>2</v>
      </c>
      <c r="J1836" s="8" t="s">
        <v>161</v>
      </c>
      <c r="K1836" s="8" t="s">
        <v>162</v>
      </c>
      <c r="L1836" s="8" t="s">
        <v>556</v>
      </c>
      <c r="M1836" s="1" t="s">
        <v>207</v>
      </c>
      <c r="N1836" s="8" t="s">
        <v>208</v>
      </c>
      <c r="O1836" s="6">
        <v>0</v>
      </c>
      <c r="P1836" s="6">
        <v>0</v>
      </c>
      <c r="Q1836" s="6">
        <v>0</v>
      </c>
      <c r="R1836" s="6">
        <v>0</v>
      </c>
      <c r="S1836" s="6">
        <v>730</v>
      </c>
    </row>
    <row r="1837" spans="1:19" ht="15" hidden="1" x14ac:dyDescent="0.25">
      <c r="A1837" s="7" t="s">
        <v>16</v>
      </c>
      <c r="B1837" s="7" t="s">
        <v>22</v>
      </c>
      <c r="C1837" s="7" t="s">
        <v>18</v>
      </c>
      <c r="D1837" s="4">
        <v>60214517001691</v>
      </c>
      <c r="E1837" s="8" t="s">
        <v>732</v>
      </c>
      <c r="F1837" s="8" t="s">
        <v>650</v>
      </c>
      <c r="G1837" s="8" t="s">
        <v>19</v>
      </c>
      <c r="H1837" s="8" t="s">
        <v>215</v>
      </c>
      <c r="I1837" s="3">
        <v>2</v>
      </c>
      <c r="J1837" s="8" t="s">
        <v>183</v>
      </c>
      <c r="K1837" s="8" t="s">
        <v>184</v>
      </c>
      <c r="L1837" s="8" t="s">
        <v>557</v>
      </c>
      <c r="M1837" s="1" t="s">
        <v>207</v>
      </c>
      <c r="N1837" s="8" t="s">
        <v>208</v>
      </c>
      <c r="O1837" s="6">
        <v>0</v>
      </c>
      <c r="P1837" s="6">
        <v>0</v>
      </c>
      <c r="Q1837" s="6">
        <v>0</v>
      </c>
      <c r="R1837" s="6">
        <v>0</v>
      </c>
      <c r="S1837" s="6">
        <v>730</v>
      </c>
    </row>
    <row r="1838" spans="1:19" ht="15" hidden="1" x14ac:dyDescent="0.25">
      <c r="A1838" s="7" t="s">
        <v>16</v>
      </c>
      <c r="B1838" s="7" t="s">
        <v>22</v>
      </c>
      <c r="C1838" s="7" t="s">
        <v>18</v>
      </c>
      <c r="D1838" s="4">
        <v>6047087003073</v>
      </c>
      <c r="E1838" s="8" t="s">
        <v>649</v>
      </c>
      <c r="F1838" s="8" t="s">
        <v>650</v>
      </c>
      <c r="G1838" s="8" t="s">
        <v>19</v>
      </c>
      <c r="H1838" s="8" t="s">
        <v>215</v>
      </c>
      <c r="I1838" s="3">
        <v>2</v>
      </c>
      <c r="J1838" s="8" t="s">
        <v>161</v>
      </c>
      <c r="K1838" s="8" t="s">
        <v>162</v>
      </c>
      <c r="L1838" s="8" t="s">
        <v>556</v>
      </c>
      <c r="M1838" s="1" t="s">
        <v>207</v>
      </c>
      <c r="N1838" s="8" t="s">
        <v>208</v>
      </c>
      <c r="O1838" s="6">
        <v>3</v>
      </c>
      <c r="P1838" s="6">
        <v>0</v>
      </c>
      <c r="Q1838" s="6">
        <v>0</v>
      </c>
      <c r="R1838" s="6">
        <v>48</v>
      </c>
      <c r="S1838" s="6">
        <v>0</v>
      </c>
    </row>
    <row r="1839" spans="1:19" ht="15" hidden="1" x14ac:dyDescent="0.25">
      <c r="A1839" s="7" t="s">
        <v>16</v>
      </c>
      <c r="B1839" s="7" t="s">
        <v>22</v>
      </c>
      <c r="C1839" s="7" t="s">
        <v>18</v>
      </c>
      <c r="D1839" s="4">
        <v>6047087003073</v>
      </c>
      <c r="E1839" s="8" t="s">
        <v>649</v>
      </c>
      <c r="F1839" s="8" t="s">
        <v>650</v>
      </c>
      <c r="G1839" s="8" t="s">
        <v>19</v>
      </c>
      <c r="H1839" s="8" t="s">
        <v>215</v>
      </c>
      <c r="I1839" s="3">
        <v>2</v>
      </c>
      <c r="J1839" s="8" t="s">
        <v>183</v>
      </c>
      <c r="K1839" s="8" t="s">
        <v>184</v>
      </c>
      <c r="L1839" s="8" t="s">
        <v>557</v>
      </c>
      <c r="M1839" s="1" t="s">
        <v>207</v>
      </c>
      <c r="N1839" s="8" t="s">
        <v>208</v>
      </c>
      <c r="O1839" s="6">
        <v>0</v>
      </c>
      <c r="P1839" s="6">
        <v>0</v>
      </c>
      <c r="Q1839" s="6">
        <v>0</v>
      </c>
      <c r="R1839" s="6">
        <v>0</v>
      </c>
      <c r="S1839" s="6">
        <v>0</v>
      </c>
    </row>
    <row r="1840" spans="1:19" ht="15" hidden="1" x14ac:dyDescent="0.25">
      <c r="A1840" s="7" t="s">
        <v>16</v>
      </c>
      <c r="B1840" s="7" t="s">
        <v>22</v>
      </c>
      <c r="C1840" s="7" t="s">
        <v>18</v>
      </c>
      <c r="D1840" s="4">
        <v>18321477000134</v>
      </c>
      <c r="E1840" s="8" t="s">
        <v>664</v>
      </c>
      <c r="F1840" s="8" t="s">
        <v>650</v>
      </c>
      <c r="G1840" s="8" t="s">
        <v>19</v>
      </c>
      <c r="H1840" s="8" t="s">
        <v>215</v>
      </c>
      <c r="I1840" s="3">
        <v>2</v>
      </c>
      <c r="J1840" s="8" t="s">
        <v>161</v>
      </c>
      <c r="K1840" s="8" t="s">
        <v>162</v>
      </c>
      <c r="L1840" s="8" t="s">
        <v>556</v>
      </c>
      <c r="M1840" s="1" t="s">
        <v>207</v>
      </c>
      <c r="N1840" s="8" t="s">
        <v>208</v>
      </c>
      <c r="O1840" s="6">
        <v>0</v>
      </c>
      <c r="P1840" s="6">
        <v>0</v>
      </c>
      <c r="Q1840" s="6">
        <v>0</v>
      </c>
      <c r="R1840" s="6">
        <v>48</v>
      </c>
      <c r="S1840" s="6">
        <v>0</v>
      </c>
    </row>
    <row r="1841" spans="1:19" ht="15" hidden="1" x14ac:dyDescent="0.25">
      <c r="A1841" s="7" t="s">
        <v>16</v>
      </c>
      <c r="B1841" s="7" t="s">
        <v>22</v>
      </c>
      <c r="C1841" s="7" t="s">
        <v>18</v>
      </c>
      <c r="D1841" s="4">
        <v>18321477000134</v>
      </c>
      <c r="E1841" s="8" t="s">
        <v>664</v>
      </c>
      <c r="F1841" s="8" t="s">
        <v>650</v>
      </c>
      <c r="G1841" s="8" t="s">
        <v>19</v>
      </c>
      <c r="H1841" s="8" t="s">
        <v>215</v>
      </c>
      <c r="I1841" s="3">
        <v>2</v>
      </c>
      <c r="J1841" s="8" t="s">
        <v>183</v>
      </c>
      <c r="K1841" s="8" t="s">
        <v>184</v>
      </c>
      <c r="L1841" s="8" t="s">
        <v>557</v>
      </c>
      <c r="M1841" s="1" t="s">
        <v>207</v>
      </c>
      <c r="N1841" s="8" t="s">
        <v>208</v>
      </c>
      <c r="O1841" s="6">
        <v>0</v>
      </c>
      <c r="P1841" s="6">
        <v>0</v>
      </c>
      <c r="Q1841" s="6">
        <v>0</v>
      </c>
      <c r="R1841" s="6">
        <v>0</v>
      </c>
      <c r="S1841" s="6">
        <v>0</v>
      </c>
    </row>
    <row r="1842" spans="1:19" ht="15" hidden="1" x14ac:dyDescent="0.25">
      <c r="A1842" s="7" t="s">
        <v>16</v>
      </c>
      <c r="B1842" s="7" t="s">
        <v>22</v>
      </c>
      <c r="C1842" s="7" t="s">
        <v>18</v>
      </c>
      <c r="D1842" s="4">
        <v>46643466000106</v>
      </c>
      <c r="E1842" s="8" t="s">
        <v>701</v>
      </c>
      <c r="F1842" s="8" t="s">
        <v>650</v>
      </c>
      <c r="G1842" s="8" t="s">
        <v>19</v>
      </c>
      <c r="H1842" s="8" t="s">
        <v>215</v>
      </c>
      <c r="I1842" s="3">
        <v>2</v>
      </c>
      <c r="J1842" s="8" t="s">
        <v>161</v>
      </c>
      <c r="K1842" s="8" t="s">
        <v>162</v>
      </c>
      <c r="L1842" s="8" t="s">
        <v>556</v>
      </c>
      <c r="M1842" s="1" t="s">
        <v>207</v>
      </c>
      <c r="N1842" s="8" t="s">
        <v>208</v>
      </c>
      <c r="O1842" s="6">
        <v>0</v>
      </c>
      <c r="P1842" s="6">
        <v>0</v>
      </c>
      <c r="Q1842" s="6">
        <v>0</v>
      </c>
      <c r="R1842" s="6">
        <v>0</v>
      </c>
      <c r="S1842" s="6">
        <v>700</v>
      </c>
    </row>
    <row r="1843" spans="1:19" ht="15" hidden="1" x14ac:dyDescent="0.25">
      <c r="A1843" s="7" t="s">
        <v>16</v>
      </c>
      <c r="B1843" s="7" t="s">
        <v>22</v>
      </c>
      <c r="C1843" s="7" t="s">
        <v>18</v>
      </c>
      <c r="D1843" s="4">
        <v>46643466000106</v>
      </c>
      <c r="E1843" s="8" t="s">
        <v>701</v>
      </c>
      <c r="F1843" s="8" t="s">
        <v>650</v>
      </c>
      <c r="G1843" s="8" t="s">
        <v>19</v>
      </c>
      <c r="H1843" s="8" t="s">
        <v>215</v>
      </c>
      <c r="I1843" s="3">
        <v>2</v>
      </c>
      <c r="J1843" s="8" t="s">
        <v>183</v>
      </c>
      <c r="K1843" s="8" t="s">
        <v>184</v>
      </c>
      <c r="L1843" s="8" t="s">
        <v>557</v>
      </c>
      <c r="M1843" s="1" t="s">
        <v>207</v>
      </c>
      <c r="N1843" s="8" t="s">
        <v>208</v>
      </c>
      <c r="O1843" s="6">
        <v>0</v>
      </c>
      <c r="P1843" s="6">
        <v>0</v>
      </c>
      <c r="Q1843" s="6">
        <v>0</v>
      </c>
      <c r="R1843" s="6">
        <v>0</v>
      </c>
      <c r="S1843" s="6">
        <v>700</v>
      </c>
    </row>
    <row r="1844" spans="1:19" ht="15" hidden="1" x14ac:dyDescent="0.25">
      <c r="A1844" s="7" t="s">
        <v>16</v>
      </c>
      <c r="B1844" s="7" t="s">
        <v>22</v>
      </c>
      <c r="C1844" s="7" t="s">
        <v>18</v>
      </c>
      <c r="D1844" s="4">
        <v>60961968000106</v>
      </c>
      <c r="E1844" s="8" t="s">
        <v>621</v>
      </c>
      <c r="F1844" s="8" t="s">
        <v>29</v>
      </c>
      <c r="G1844" s="8" t="s">
        <v>19</v>
      </c>
      <c r="H1844" s="8" t="s">
        <v>215</v>
      </c>
      <c r="I1844" s="3">
        <v>2</v>
      </c>
      <c r="J1844" s="8" t="s">
        <v>1355</v>
      </c>
      <c r="K1844" s="8" t="s">
        <v>1356</v>
      </c>
      <c r="L1844" s="8" t="s">
        <v>556</v>
      </c>
      <c r="M1844" s="1" t="s">
        <v>207</v>
      </c>
      <c r="N1844" s="8" t="s">
        <v>208</v>
      </c>
      <c r="O1844" s="6">
        <v>0</v>
      </c>
      <c r="P1844" s="6">
        <v>0</v>
      </c>
      <c r="Q1844" s="6">
        <v>0</v>
      </c>
      <c r="R1844" s="6">
        <v>0</v>
      </c>
      <c r="S1844" s="6">
        <v>0</v>
      </c>
    </row>
    <row r="1845" spans="1:19" ht="15" hidden="1" x14ac:dyDescent="0.25">
      <c r="A1845" s="7" t="s">
        <v>16</v>
      </c>
      <c r="B1845" s="7" t="s">
        <v>22</v>
      </c>
      <c r="C1845" s="7" t="s">
        <v>18</v>
      </c>
      <c r="D1845" s="4">
        <v>60961968000106</v>
      </c>
      <c r="E1845" s="8" t="s">
        <v>621</v>
      </c>
      <c r="F1845" s="8" t="s">
        <v>29</v>
      </c>
      <c r="G1845" s="8" t="s">
        <v>19</v>
      </c>
      <c r="H1845" s="8" t="s">
        <v>215</v>
      </c>
      <c r="I1845" s="3">
        <v>2</v>
      </c>
      <c r="J1845" s="8" t="s">
        <v>177</v>
      </c>
      <c r="K1845" s="8" t="s">
        <v>178</v>
      </c>
      <c r="L1845" s="8" t="s">
        <v>557</v>
      </c>
      <c r="M1845" s="1" t="s">
        <v>207</v>
      </c>
      <c r="N1845" s="8" t="s">
        <v>208</v>
      </c>
      <c r="O1845" s="6">
        <v>0</v>
      </c>
      <c r="P1845" s="6">
        <v>40</v>
      </c>
      <c r="Q1845" s="6">
        <v>5</v>
      </c>
      <c r="R1845" s="6">
        <v>0</v>
      </c>
      <c r="S1845" s="6">
        <v>0</v>
      </c>
    </row>
    <row r="1846" spans="1:19" ht="15" hidden="1" x14ac:dyDescent="0.25">
      <c r="A1846" s="7" t="s">
        <v>16</v>
      </c>
      <c r="B1846" s="7" t="s">
        <v>22</v>
      </c>
      <c r="C1846" s="7" t="s">
        <v>18</v>
      </c>
      <c r="D1846" s="4">
        <v>51722957000506</v>
      </c>
      <c r="E1846" s="8" t="s">
        <v>602</v>
      </c>
      <c r="F1846" s="8" t="s">
        <v>29</v>
      </c>
      <c r="G1846" s="8" t="s">
        <v>19</v>
      </c>
      <c r="H1846" s="8" t="s">
        <v>215</v>
      </c>
      <c r="I1846" s="3">
        <v>2</v>
      </c>
      <c r="J1846" s="8" t="s">
        <v>161</v>
      </c>
      <c r="K1846" s="8" t="s">
        <v>162</v>
      </c>
      <c r="L1846" s="8" t="s">
        <v>556</v>
      </c>
      <c r="M1846" s="1" t="s">
        <v>207</v>
      </c>
      <c r="N1846" s="8" t="s">
        <v>208</v>
      </c>
      <c r="O1846" s="6">
        <v>3</v>
      </c>
      <c r="P1846" s="6">
        <v>0</v>
      </c>
      <c r="Q1846" s="6">
        <v>0</v>
      </c>
      <c r="R1846" s="6">
        <v>0</v>
      </c>
      <c r="S1846" s="6">
        <v>1170</v>
      </c>
    </row>
    <row r="1847" spans="1:19" ht="15" hidden="1" x14ac:dyDescent="0.25">
      <c r="A1847" s="7" t="s">
        <v>16</v>
      </c>
      <c r="B1847" s="7" t="s">
        <v>22</v>
      </c>
      <c r="C1847" s="7" t="s">
        <v>18</v>
      </c>
      <c r="D1847" s="4">
        <v>51722957000506</v>
      </c>
      <c r="E1847" s="8" t="s">
        <v>602</v>
      </c>
      <c r="F1847" s="8" t="s">
        <v>29</v>
      </c>
      <c r="G1847" s="8" t="s">
        <v>19</v>
      </c>
      <c r="H1847" s="8" t="s">
        <v>215</v>
      </c>
      <c r="I1847" s="3">
        <v>2</v>
      </c>
      <c r="J1847" s="8" t="s">
        <v>183</v>
      </c>
      <c r="K1847" s="8" t="s">
        <v>184</v>
      </c>
      <c r="L1847" s="8" t="s">
        <v>557</v>
      </c>
      <c r="M1847" s="1" t="s">
        <v>207</v>
      </c>
      <c r="N1847" s="8" t="s">
        <v>208</v>
      </c>
      <c r="O1847" s="6">
        <v>0</v>
      </c>
      <c r="P1847" s="6">
        <v>0</v>
      </c>
      <c r="Q1847" s="6">
        <v>0</v>
      </c>
      <c r="R1847" s="6">
        <v>0</v>
      </c>
      <c r="S1847" s="6">
        <v>1170</v>
      </c>
    </row>
    <row r="1848" spans="1:19" ht="15" hidden="1" x14ac:dyDescent="0.25">
      <c r="A1848" s="7" t="s">
        <v>16</v>
      </c>
      <c r="B1848" s="7" t="s">
        <v>22</v>
      </c>
      <c r="C1848" s="7" t="s">
        <v>18</v>
      </c>
      <c r="D1848" s="4">
        <v>51722957010226</v>
      </c>
      <c r="E1848" s="8" t="s">
        <v>603</v>
      </c>
      <c r="F1848" s="8" t="s">
        <v>29</v>
      </c>
      <c r="G1848" s="8" t="s">
        <v>19</v>
      </c>
      <c r="H1848" s="8" t="s">
        <v>215</v>
      </c>
      <c r="I1848" s="3">
        <v>2</v>
      </c>
      <c r="J1848" s="8" t="s">
        <v>161</v>
      </c>
      <c r="K1848" s="8" t="s">
        <v>162</v>
      </c>
      <c r="L1848" s="8" t="s">
        <v>556</v>
      </c>
      <c r="M1848" s="1" t="s">
        <v>207</v>
      </c>
      <c r="N1848" s="8" t="s">
        <v>208</v>
      </c>
      <c r="O1848" s="6">
        <v>0</v>
      </c>
      <c r="P1848" s="6">
        <v>0</v>
      </c>
      <c r="Q1848" s="6">
        <v>0</v>
      </c>
      <c r="R1848" s="6">
        <v>106</v>
      </c>
      <c r="S1848" s="6">
        <v>1125</v>
      </c>
    </row>
    <row r="1849" spans="1:19" ht="15" hidden="1" x14ac:dyDescent="0.25">
      <c r="A1849" s="7" t="s">
        <v>16</v>
      </c>
      <c r="B1849" s="7" t="s">
        <v>22</v>
      </c>
      <c r="C1849" s="7" t="s">
        <v>18</v>
      </c>
      <c r="D1849" s="4">
        <v>51722957010226</v>
      </c>
      <c r="E1849" s="8" t="s">
        <v>603</v>
      </c>
      <c r="F1849" s="8" t="s">
        <v>29</v>
      </c>
      <c r="G1849" s="8" t="s">
        <v>19</v>
      </c>
      <c r="H1849" s="8" t="s">
        <v>215</v>
      </c>
      <c r="I1849" s="3">
        <v>2</v>
      </c>
      <c r="J1849" s="8" t="s">
        <v>183</v>
      </c>
      <c r="K1849" s="8" t="s">
        <v>184</v>
      </c>
      <c r="L1849" s="8" t="s">
        <v>557</v>
      </c>
      <c r="M1849" s="1" t="s">
        <v>207</v>
      </c>
      <c r="N1849" s="8" t="s">
        <v>208</v>
      </c>
      <c r="O1849" s="6">
        <v>0</v>
      </c>
      <c r="P1849" s="6">
        <v>0</v>
      </c>
      <c r="Q1849" s="6">
        <v>0</v>
      </c>
      <c r="R1849" s="6">
        <v>0</v>
      </c>
      <c r="S1849" s="6">
        <v>1125</v>
      </c>
    </row>
    <row r="1850" spans="1:19" ht="15" hidden="1" x14ac:dyDescent="0.25">
      <c r="A1850" s="7" t="s">
        <v>16</v>
      </c>
      <c r="B1850" s="7" t="s">
        <v>22</v>
      </c>
      <c r="C1850" s="7" t="s">
        <v>18</v>
      </c>
      <c r="D1850" s="4">
        <v>60992427000650</v>
      </c>
      <c r="E1850" s="8" t="s">
        <v>627</v>
      </c>
      <c r="F1850" s="8" t="s">
        <v>29</v>
      </c>
      <c r="G1850" s="8" t="s">
        <v>19</v>
      </c>
      <c r="H1850" s="8" t="s">
        <v>215</v>
      </c>
      <c r="I1850" s="3">
        <v>2</v>
      </c>
      <c r="J1850" s="8" t="s">
        <v>1355</v>
      </c>
      <c r="K1850" s="8" t="s">
        <v>1356</v>
      </c>
      <c r="L1850" s="8" t="s">
        <v>556</v>
      </c>
      <c r="M1850" s="1" t="s">
        <v>207</v>
      </c>
      <c r="N1850" s="8" t="s">
        <v>208</v>
      </c>
      <c r="O1850" s="6">
        <v>0</v>
      </c>
      <c r="P1850" s="6">
        <v>0</v>
      </c>
      <c r="Q1850" s="6">
        <v>0</v>
      </c>
      <c r="R1850" s="6">
        <v>0</v>
      </c>
      <c r="S1850" s="6">
        <v>0</v>
      </c>
    </row>
    <row r="1851" spans="1:19" ht="15" hidden="1" x14ac:dyDescent="0.25">
      <c r="A1851" s="7" t="s">
        <v>16</v>
      </c>
      <c r="B1851" s="7" t="s">
        <v>22</v>
      </c>
      <c r="C1851" s="7" t="s">
        <v>18</v>
      </c>
      <c r="D1851" s="4">
        <v>60992427000650</v>
      </c>
      <c r="E1851" s="8" t="s">
        <v>627</v>
      </c>
      <c r="F1851" s="8" t="s">
        <v>29</v>
      </c>
      <c r="G1851" s="8" t="s">
        <v>19</v>
      </c>
      <c r="H1851" s="8" t="s">
        <v>215</v>
      </c>
      <c r="I1851" s="3">
        <v>2</v>
      </c>
      <c r="J1851" s="8" t="s">
        <v>147</v>
      </c>
      <c r="K1851" s="8" t="s">
        <v>148</v>
      </c>
      <c r="L1851" s="8" t="s">
        <v>557</v>
      </c>
      <c r="M1851" s="1" t="s">
        <v>207</v>
      </c>
      <c r="N1851" s="8" t="s">
        <v>208</v>
      </c>
      <c r="O1851" s="6">
        <v>0</v>
      </c>
      <c r="P1851" s="6">
        <v>1</v>
      </c>
      <c r="Q1851" s="6">
        <v>3</v>
      </c>
      <c r="R1851" s="6">
        <v>0</v>
      </c>
      <c r="S1851" s="6">
        <v>0</v>
      </c>
    </row>
    <row r="1852" spans="1:19" ht="15" hidden="1" x14ac:dyDescent="0.25">
      <c r="A1852" s="7" t="s">
        <v>16</v>
      </c>
      <c r="B1852" s="7" t="s">
        <v>22</v>
      </c>
      <c r="C1852" s="7" t="s">
        <v>18</v>
      </c>
      <c r="D1852" s="4">
        <v>2383508000494</v>
      </c>
      <c r="E1852" s="8" t="s">
        <v>562</v>
      </c>
      <c r="F1852" s="8" t="s">
        <v>29</v>
      </c>
      <c r="G1852" s="8" t="s">
        <v>19</v>
      </c>
      <c r="H1852" s="8" t="s">
        <v>215</v>
      </c>
      <c r="I1852" s="3">
        <v>2</v>
      </c>
      <c r="J1852" s="8" t="s">
        <v>161</v>
      </c>
      <c r="K1852" s="8" t="s">
        <v>162</v>
      </c>
      <c r="L1852" s="8" t="s">
        <v>556</v>
      </c>
      <c r="M1852" s="1" t="s">
        <v>207</v>
      </c>
      <c r="N1852" s="8" t="s">
        <v>208</v>
      </c>
      <c r="O1852" s="6">
        <v>0</v>
      </c>
      <c r="P1852" s="6">
        <v>0</v>
      </c>
      <c r="Q1852" s="6">
        <v>0</v>
      </c>
      <c r="R1852" s="6">
        <v>15</v>
      </c>
      <c r="S1852" s="6">
        <v>280</v>
      </c>
    </row>
    <row r="1853" spans="1:19" ht="15" hidden="1" x14ac:dyDescent="0.25">
      <c r="A1853" s="7" t="s">
        <v>16</v>
      </c>
      <c r="B1853" s="7" t="s">
        <v>22</v>
      </c>
      <c r="C1853" s="7" t="s">
        <v>18</v>
      </c>
      <c r="D1853" s="4">
        <v>2383508000494</v>
      </c>
      <c r="E1853" s="8" t="s">
        <v>562</v>
      </c>
      <c r="F1853" s="8" t="s">
        <v>29</v>
      </c>
      <c r="G1853" s="8" t="s">
        <v>19</v>
      </c>
      <c r="H1853" s="8" t="s">
        <v>215</v>
      </c>
      <c r="I1853" s="3">
        <v>2</v>
      </c>
      <c r="J1853" s="8" t="s">
        <v>147</v>
      </c>
      <c r="K1853" s="8" t="s">
        <v>148</v>
      </c>
      <c r="L1853" s="8" t="s">
        <v>557</v>
      </c>
      <c r="M1853" s="1" t="s">
        <v>207</v>
      </c>
      <c r="N1853" s="8" t="s">
        <v>208</v>
      </c>
      <c r="O1853" s="6">
        <v>0</v>
      </c>
      <c r="P1853" s="6">
        <v>0</v>
      </c>
      <c r="Q1853" s="6">
        <v>0</v>
      </c>
      <c r="R1853" s="6">
        <v>0</v>
      </c>
      <c r="S1853" s="6">
        <v>280</v>
      </c>
    </row>
    <row r="1854" spans="1:19" ht="15" hidden="1" x14ac:dyDescent="0.25">
      <c r="A1854" s="7" t="s">
        <v>16</v>
      </c>
      <c r="B1854" s="7" t="s">
        <v>22</v>
      </c>
      <c r="C1854" s="7" t="s">
        <v>18</v>
      </c>
      <c r="D1854" s="4">
        <v>8871521000126</v>
      </c>
      <c r="E1854" s="8" t="s">
        <v>577</v>
      </c>
      <c r="F1854" s="8" t="s">
        <v>29</v>
      </c>
      <c r="G1854" s="8" t="s">
        <v>19</v>
      </c>
      <c r="H1854" s="8" t="s">
        <v>215</v>
      </c>
      <c r="I1854" s="3">
        <v>2</v>
      </c>
      <c r="J1854" s="8" t="s">
        <v>1355</v>
      </c>
      <c r="K1854" s="8" t="s">
        <v>1356</v>
      </c>
      <c r="L1854" s="8" t="s">
        <v>556</v>
      </c>
      <c r="M1854" s="1" t="s">
        <v>207</v>
      </c>
      <c r="N1854" s="8" t="s">
        <v>208</v>
      </c>
      <c r="O1854" s="6">
        <v>0</v>
      </c>
      <c r="P1854" s="6">
        <v>0</v>
      </c>
      <c r="Q1854" s="6">
        <v>0</v>
      </c>
      <c r="R1854" s="6">
        <v>0</v>
      </c>
      <c r="S1854" s="6">
        <v>45</v>
      </c>
    </row>
    <row r="1855" spans="1:19" ht="15" hidden="1" x14ac:dyDescent="0.25">
      <c r="A1855" s="7" t="s">
        <v>16</v>
      </c>
      <c r="B1855" s="7" t="s">
        <v>22</v>
      </c>
      <c r="C1855" s="7" t="s">
        <v>18</v>
      </c>
      <c r="D1855" s="4">
        <v>8871521000126</v>
      </c>
      <c r="E1855" s="8" t="s">
        <v>577</v>
      </c>
      <c r="F1855" s="8" t="s">
        <v>29</v>
      </c>
      <c r="G1855" s="8" t="s">
        <v>19</v>
      </c>
      <c r="H1855" s="8" t="s">
        <v>215</v>
      </c>
      <c r="I1855" s="3">
        <v>2</v>
      </c>
      <c r="J1855" s="8" t="s">
        <v>177</v>
      </c>
      <c r="K1855" s="8" t="s">
        <v>178</v>
      </c>
      <c r="L1855" s="8" t="s">
        <v>557</v>
      </c>
      <c r="M1855" s="1" t="s">
        <v>207</v>
      </c>
      <c r="N1855" s="8" t="s">
        <v>208</v>
      </c>
      <c r="O1855" s="6">
        <v>0</v>
      </c>
      <c r="P1855" s="6">
        <v>0</v>
      </c>
      <c r="Q1855" s="6">
        <v>0</v>
      </c>
      <c r="R1855" s="6">
        <v>0</v>
      </c>
      <c r="S1855" s="6">
        <v>45</v>
      </c>
    </row>
    <row r="1856" spans="1:19" ht="15" hidden="1" x14ac:dyDescent="0.25">
      <c r="A1856" s="7" t="s">
        <v>16</v>
      </c>
      <c r="B1856" s="7" t="s">
        <v>22</v>
      </c>
      <c r="C1856" s="7" t="s">
        <v>18</v>
      </c>
      <c r="D1856" s="4">
        <v>59481028000130</v>
      </c>
      <c r="E1856" s="8" t="s">
        <v>608</v>
      </c>
      <c r="F1856" s="8" t="s">
        <v>29</v>
      </c>
      <c r="G1856" s="8" t="s">
        <v>19</v>
      </c>
      <c r="H1856" s="8" t="s">
        <v>215</v>
      </c>
      <c r="I1856" s="3">
        <v>2</v>
      </c>
      <c r="J1856" s="8" t="s">
        <v>161</v>
      </c>
      <c r="K1856" s="8" t="s">
        <v>162</v>
      </c>
      <c r="L1856" s="8" t="s">
        <v>556</v>
      </c>
      <c r="M1856" s="1" t="s">
        <v>207</v>
      </c>
      <c r="N1856" s="8" t="s">
        <v>208</v>
      </c>
      <c r="O1856" s="6">
        <v>0</v>
      </c>
      <c r="P1856" s="6">
        <v>0</v>
      </c>
      <c r="Q1856" s="6">
        <v>0</v>
      </c>
      <c r="R1856" s="6">
        <v>0</v>
      </c>
      <c r="S1856" s="6">
        <v>30</v>
      </c>
    </row>
    <row r="1857" spans="1:19" ht="15" hidden="1" x14ac:dyDescent="0.25">
      <c r="A1857" s="7" t="s">
        <v>16</v>
      </c>
      <c r="B1857" s="7" t="s">
        <v>22</v>
      </c>
      <c r="C1857" s="7" t="s">
        <v>18</v>
      </c>
      <c r="D1857" s="4">
        <v>59481028000130</v>
      </c>
      <c r="E1857" s="8" t="s">
        <v>608</v>
      </c>
      <c r="F1857" s="8" t="s">
        <v>29</v>
      </c>
      <c r="G1857" s="8" t="s">
        <v>19</v>
      </c>
      <c r="H1857" s="8" t="s">
        <v>215</v>
      </c>
      <c r="I1857" s="3">
        <v>2</v>
      </c>
      <c r="J1857" s="8" t="s">
        <v>147</v>
      </c>
      <c r="K1857" s="8" t="s">
        <v>148</v>
      </c>
      <c r="L1857" s="8" t="s">
        <v>557</v>
      </c>
      <c r="M1857" s="1" t="s">
        <v>207</v>
      </c>
      <c r="N1857" s="8" t="s">
        <v>208</v>
      </c>
      <c r="O1857" s="6">
        <v>0</v>
      </c>
      <c r="P1857" s="6">
        <v>0</v>
      </c>
      <c r="Q1857" s="6">
        <v>0</v>
      </c>
      <c r="R1857" s="6">
        <v>0</v>
      </c>
      <c r="S1857" s="6">
        <v>30</v>
      </c>
    </row>
    <row r="1858" spans="1:19" ht="15" hidden="1" x14ac:dyDescent="0.25">
      <c r="A1858" s="7" t="s">
        <v>16</v>
      </c>
      <c r="B1858" s="7" t="s">
        <v>22</v>
      </c>
      <c r="C1858" s="7" t="s">
        <v>18</v>
      </c>
      <c r="D1858" s="4">
        <v>46374500008845</v>
      </c>
      <c r="E1858" s="8" t="s">
        <v>599</v>
      </c>
      <c r="F1858" s="8" t="s">
        <v>29</v>
      </c>
      <c r="G1858" s="8" t="s">
        <v>19</v>
      </c>
      <c r="H1858" s="8" t="s">
        <v>215</v>
      </c>
      <c r="I1858" s="3">
        <v>2</v>
      </c>
      <c r="J1858" s="8" t="s">
        <v>161</v>
      </c>
      <c r="K1858" s="8" t="s">
        <v>162</v>
      </c>
      <c r="L1858" s="8" t="s">
        <v>556</v>
      </c>
      <c r="M1858" s="1" t="s">
        <v>207</v>
      </c>
      <c r="N1858" s="8" t="s">
        <v>208</v>
      </c>
      <c r="O1858" s="6">
        <v>0</v>
      </c>
      <c r="P1858" s="6">
        <v>0</v>
      </c>
      <c r="Q1858" s="6">
        <v>0</v>
      </c>
      <c r="R1858" s="6">
        <v>0</v>
      </c>
      <c r="S1858" s="6">
        <v>200</v>
      </c>
    </row>
    <row r="1859" spans="1:19" ht="15" hidden="1" x14ac:dyDescent="0.25">
      <c r="A1859" s="7" t="s">
        <v>16</v>
      </c>
      <c r="B1859" s="7" t="s">
        <v>22</v>
      </c>
      <c r="C1859" s="7" t="s">
        <v>18</v>
      </c>
      <c r="D1859" s="4">
        <v>46374500008845</v>
      </c>
      <c r="E1859" s="8" t="s">
        <v>599</v>
      </c>
      <c r="F1859" s="8" t="s">
        <v>29</v>
      </c>
      <c r="G1859" s="8" t="s">
        <v>19</v>
      </c>
      <c r="H1859" s="8" t="s">
        <v>215</v>
      </c>
      <c r="I1859" s="3">
        <v>2</v>
      </c>
      <c r="J1859" s="8" t="s">
        <v>177</v>
      </c>
      <c r="K1859" s="8" t="s">
        <v>178</v>
      </c>
      <c r="L1859" s="8" t="s">
        <v>557</v>
      </c>
      <c r="M1859" s="1" t="s">
        <v>207</v>
      </c>
      <c r="N1859" s="8" t="s">
        <v>208</v>
      </c>
      <c r="O1859" s="6">
        <v>0</v>
      </c>
      <c r="P1859" s="6">
        <v>0</v>
      </c>
      <c r="Q1859" s="6">
        <v>0</v>
      </c>
      <c r="R1859" s="6">
        <v>0</v>
      </c>
      <c r="S1859" s="6">
        <v>200</v>
      </c>
    </row>
    <row r="1860" spans="1:19" ht="15" hidden="1" x14ac:dyDescent="0.25">
      <c r="A1860" s="7" t="s">
        <v>16</v>
      </c>
      <c r="B1860" s="7" t="s">
        <v>22</v>
      </c>
      <c r="C1860" s="7" t="s">
        <v>18</v>
      </c>
      <c r="D1860" s="4">
        <v>46374500026231</v>
      </c>
      <c r="E1860" s="8" t="s">
        <v>601</v>
      </c>
      <c r="F1860" s="8" t="s">
        <v>29</v>
      </c>
      <c r="G1860" s="8" t="s">
        <v>19</v>
      </c>
      <c r="H1860" s="8" t="s">
        <v>215</v>
      </c>
      <c r="I1860" s="3">
        <v>2</v>
      </c>
      <c r="J1860" s="8" t="s">
        <v>1355</v>
      </c>
      <c r="K1860" s="8" t="s">
        <v>1356</v>
      </c>
      <c r="L1860" s="8" t="s">
        <v>556</v>
      </c>
      <c r="M1860" s="1" t="s">
        <v>207</v>
      </c>
      <c r="N1860" s="8" t="s">
        <v>208</v>
      </c>
      <c r="O1860" s="6">
        <v>28</v>
      </c>
      <c r="P1860" s="6">
        <v>0</v>
      </c>
      <c r="Q1860" s="6">
        <v>0</v>
      </c>
      <c r="R1860" s="6">
        <v>192</v>
      </c>
      <c r="S1860" s="6">
        <v>0</v>
      </c>
    </row>
    <row r="1861" spans="1:19" ht="15" hidden="1" x14ac:dyDescent="0.25">
      <c r="A1861" s="7" t="s">
        <v>16</v>
      </c>
      <c r="B1861" s="7" t="s">
        <v>22</v>
      </c>
      <c r="C1861" s="7" t="s">
        <v>18</v>
      </c>
      <c r="D1861" s="4">
        <v>46374500026231</v>
      </c>
      <c r="E1861" s="8" t="s">
        <v>601</v>
      </c>
      <c r="F1861" s="8" t="s">
        <v>29</v>
      </c>
      <c r="G1861" s="8" t="s">
        <v>19</v>
      </c>
      <c r="H1861" s="8" t="s">
        <v>215</v>
      </c>
      <c r="I1861" s="3">
        <v>2</v>
      </c>
      <c r="J1861" s="8" t="s">
        <v>177</v>
      </c>
      <c r="K1861" s="8" t="s">
        <v>178</v>
      </c>
      <c r="L1861" s="8" t="s">
        <v>557</v>
      </c>
      <c r="M1861" s="1" t="s">
        <v>207</v>
      </c>
      <c r="N1861" s="8" t="s">
        <v>208</v>
      </c>
      <c r="O1861" s="6">
        <v>0</v>
      </c>
      <c r="P1861" s="6">
        <v>0</v>
      </c>
      <c r="Q1861" s="6">
        <v>0</v>
      </c>
      <c r="R1861" s="6">
        <v>0</v>
      </c>
      <c r="S1861" s="6">
        <v>0</v>
      </c>
    </row>
    <row r="1862" spans="1:19" ht="15" hidden="1" x14ac:dyDescent="0.25">
      <c r="A1862" s="7" t="s">
        <v>16</v>
      </c>
      <c r="B1862" s="7" t="s">
        <v>22</v>
      </c>
      <c r="C1862" s="7" t="s">
        <v>18</v>
      </c>
      <c r="D1862" s="4">
        <v>10468341000220</v>
      </c>
      <c r="E1862" s="8" t="s">
        <v>582</v>
      </c>
      <c r="F1862" s="8" t="s">
        <v>29</v>
      </c>
      <c r="G1862" s="8" t="s">
        <v>19</v>
      </c>
      <c r="H1862" s="8" t="s">
        <v>215</v>
      </c>
      <c r="I1862" s="3">
        <v>2</v>
      </c>
      <c r="J1862" s="8" t="s">
        <v>161</v>
      </c>
      <c r="K1862" s="8" t="s">
        <v>162</v>
      </c>
      <c r="L1862" s="8" t="s">
        <v>556</v>
      </c>
      <c r="M1862" s="1" t="s">
        <v>207</v>
      </c>
      <c r="N1862" s="8" t="s">
        <v>208</v>
      </c>
      <c r="O1862" s="6">
        <v>0</v>
      </c>
      <c r="P1862" s="6">
        <v>0</v>
      </c>
      <c r="Q1862" s="6">
        <v>0</v>
      </c>
      <c r="R1862" s="6">
        <v>36</v>
      </c>
      <c r="S1862" s="6">
        <v>805</v>
      </c>
    </row>
    <row r="1863" spans="1:19" ht="15" hidden="1" x14ac:dyDescent="0.25">
      <c r="A1863" s="7" t="s">
        <v>16</v>
      </c>
      <c r="B1863" s="7" t="s">
        <v>22</v>
      </c>
      <c r="C1863" s="7" t="s">
        <v>18</v>
      </c>
      <c r="D1863" s="4">
        <v>10468341000220</v>
      </c>
      <c r="E1863" s="8" t="s">
        <v>582</v>
      </c>
      <c r="F1863" s="8" t="s">
        <v>29</v>
      </c>
      <c r="G1863" s="8" t="s">
        <v>19</v>
      </c>
      <c r="H1863" s="8" t="s">
        <v>215</v>
      </c>
      <c r="I1863" s="3">
        <v>2</v>
      </c>
      <c r="J1863" s="8" t="s">
        <v>183</v>
      </c>
      <c r="K1863" s="8" t="s">
        <v>184</v>
      </c>
      <c r="L1863" s="8" t="s">
        <v>557</v>
      </c>
      <c r="M1863" s="1" t="s">
        <v>207</v>
      </c>
      <c r="N1863" s="8" t="s">
        <v>208</v>
      </c>
      <c r="O1863" s="6">
        <v>0</v>
      </c>
      <c r="P1863" s="6">
        <v>0</v>
      </c>
      <c r="Q1863" s="6">
        <v>0</v>
      </c>
      <c r="R1863" s="6">
        <v>0</v>
      </c>
      <c r="S1863" s="6">
        <v>805</v>
      </c>
    </row>
    <row r="1864" spans="1:19" ht="15" hidden="1" x14ac:dyDescent="0.25">
      <c r="A1864" s="7" t="s">
        <v>16</v>
      </c>
      <c r="B1864" s="7" t="s">
        <v>22</v>
      </c>
      <c r="C1864" s="7" t="s">
        <v>18</v>
      </c>
      <c r="D1864" s="4">
        <v>10468341000140</v>
      </c>
      <c r="E1864" s="8" t="s">
        <v>581</v>
      </c>
      <c r="F1864" s="8" t="s">
        <v>29</v>
      </c>
      <c r="G1864" s="8" t="s">
        <v>19</v>
      </c>
      <c r="H1864" s="8" t="s">
        <v>215</v>
      </c>
      <c r="I1864" s="3">
        <v>2</v>
      </c>
      <c r="J1864" s="8" t="s">
        <v>161</v>
      </c>
      <c r="K1864" s="8" t="s">
        <v>162</v>
      </c>
      <c r="L1864" s="8" t="s">
        <v>556</v>
      </c>
      <c r="M1864" s="1" t="s">
        <v>207</v>
      </c>
      <c r="N1864" s="8" t="s">
        <v>208</v>
      </c>
      <c r="O1864" s="6">
        <v>0</v>
      </c>
      <c r="P1864" s="6">
        <v>0</v>
      </c>
      <c r="Q1864" s="6">
        <v>0</v>
      </c>
      <c r="R1864" s="6">
        <v>0</v>
      </c>
      <c r="S1864" s="6">
        <v>305</v>
      </c>
    </row>
    <row r="1865" spans="1:19" ht="15" hidden="1" x14ac:dyDescent="0.25">
      <c r="A1865" s="7" t="s">
        <v>16</v>
      </c>
      <c r="B1865" s="7" t="s">
        <v>22</v>
      </c>
      <c r="C1865" s="7" t="s">
        <v>18</v>
      </c>
      <c r="D1865" s="4">
        <v>10468341000140</v>
      </c>
      <c r="E1865" s="8" t="s">
        <v>581</v>
      </c>
      <c r="F1865" s="8" t="s">
        <v>29</v>
      </c>
      <c r="G1865" s="8" t="s">
        <v>19</v>
      </c>
      <c r="H1865" s="8" t="s">
        <v>215</v>
      </c>
      <c r="I1865" s="3">
        <v>2</v>
      </c>
      <c r="J1865" s="8" t="s">
        <v>183</v>
      </c>
      <c r="K1865" s="8" t="s">
        <v>184</v>
      </c>
      <c r="L1865" s="8" t="s">
        <v>557</v>
      </c>
      <c r="M1865" s="1" t="s">
        <v>207</v>
      </c>
      <c r="N1865" s="8" t="s">
        <v>208</v>
      </c>
      <c r="O1865" s="6">
        <v>0</v>
      </c>
      <c r="P1865" s="6">
        <v>0</v>
      </c>
      <c r="Q1865" s="6">
        <v>0</v>
      </c>
      <c r="R1865" s="6">
        <v>0</v>
      </c>
      <c r="S1865" s="6">
        <v>305</v>
      </c>
    </row>
    <row r="1866" spans="1:19" ht="15" hidden="1" x14ac:dyDescent="0.25">
      <c r="A1866" s="7" t="s">
        <v>16</v>
      </c>
      <c r="B1866" s="7" t="s">
        <v>22</v>
      </c>
      <c r="C1866" s="7" t="s">
        <v>18</v>
      </c>
      <c r="D1866" s="4">
        <v>29435005009932</v>
      </c>
      <c r="E1866" s="8" t="s">
        <v>595</v>
      </c>
      <c r="F1866" s="8" t="s">
        <v>29</v>
      </c>
      <c r="G1866" s="8" t="s">
        <v>19</v>
      </c>
      <c r="H1866" s="8" t="s">
        <v>215</v>
      </c>
      <c r="I1866" s="3">
        <v>2</v>
      </c>
      <c r="J1866" s="8" t="s">
        <v>1355</v>
      </c>
      <c r="K1866" s="8" t="s">
        <v>1356</v>
      </c>
      <c r="L1866" s="8" t="s">
        <v>556</v>
      </c>
      <c r="M1866" s="1" t="s">
        <v>207</v>
      </c>
      <c r="N1866" s="8" t="s">
        <v>208</v>
      </c>
      <c r="O1866" s="6">
        <v>0</v>
      </c>
      <c r="P1866" s="6">
        <v>0</v>
      </c>
      <c r="Q1866" s="6">
        <v>0</v>
      </c>
      <c r="R1866" s="6">
        <v>0</v>
      </c>
      <c r="S1866" s="6">
        <v>1050</v>
      </c>
    </row>
    <row r="1867" spans="1:19" ht="15" hidden="1" x14ac:dyDescent="0.25">
      <c r="A1867" s="7" t="s">
        <v>16</v>
      </c>
      <c r="B1867" s="7" t="s">
        <v>22</v>
      </c>
      <c r="C1867" s="7" t="s">
        <v>18</v>
      </c>
      <c r="D1867" s="4">
        <v>29435005009932</v>
      </c>
      <c r="E1867" s="8" t="s">
        <v>595</v>
      </c>
      <c r="F1867" s="8" t="s">
        <v>29</v>
      </c>
      <c r="G1867" s="8" t="s">
        <v>19</v>
      </c>
      <c r="H1867" s="8" t="s">
        <v>215</v>
      </c>
      <c r="I1867" s="3">
        <v>2</v>
      </c>
      <c r="J1867" s="8" t="s">
        <v>147</v>
      </c>
      <c r="K1867" s="8" t="s">
        <v>148</v>
      </c>
      <c r="L1867" s="8" t="s">
        <v>557</v>
      </c>
      <c r="M1867" s="1" t="s">
        <v>207</v>
      </c>
      <c r="N1867" s="8" t="s">
        <v>208</v>
      </c>
      <c r="O1867" s="6">
        <v>0</v>
      </c>
      <c r="P1867" s="6">
        <v>3</v>
      </c>
      <c r="Q1867" s="6">
        <v>8</v>
      </c>
      <c r="R1867" s="6">
        <v>0</v>
      </c>
      <c r="S1867" s="6">
        <v>1050</v>
      </c>
    </row>
    <row r="1868" spans="1:19" ht="15" hidden="1" x14ac:dyDescent="0.25">
      <c r="A1868" s="7" t="s">
        <v>16</v>
      </c>
      <c r="B1868" s="7" t="s">
        <v>22</v>
      </c>
      <c r="C1868" s="7" t="s">
        <v>18</v>
      </c>
      <c r="D1868" s="4">
        <v>10323381000101</v>
      </c>
      <c r="E1868" s="8" t="s">
        <v>580</v>
      </c>
      <c r="F1868" s="8" t="s">
        <v>29</v>
      </c>
      <c r="G1868" s="8" t="s">
        <v>19</v>
      </c>
      <c r="H1868" s="8" t="s">
        <v>215</v>
      </c>
      <c r="I1868" s="3">
        <v>2</v>
      </c>
      <c r="J1868" s="8" t="s">
        <v>161</v>
      </c>
      <c r="K1868" s="8" t="s">
        <v>162</v>
      </c>
      <c r="L1868" s="8" t="s">
        <v>556</v>
      </c>
      <c r="M1868" s="1" t="s">
        <v>207</v>
      </c>
      <c r="N1868" s="8" t="s">
        <v>208</v>
      </c>
      <c r="O1868" s="6">
        <v>0</v>
      </c>
      <c r="P1868" s="6">
        <v>0</v>
      </c>
      <c r="Q1868" s="6">
        <v>0</v>
      </c>
      <c r="R1868" s="6">
        <v>6</v>
      </c>
      <c r="S1868" s="6">
        <v>0</v>
      </c>
    </row>
    <row r="1869" spans="1:19" ht="15" hidden="1" x14ac:dyDescent="0.25">
      <c r="A1869" s="7" t="s">
        <v>16</v>
      </c>
      <c r="B1869" s="7" t="s">
        <v>22</v>
      </c>
      <c r="C1869" s="7" t="s">
        <v>18</v>
      </c>
      <c r="D1869" s="4">
        <v>10323381000101</v>
      </c>
      <c r="E1869" s="8" t="s">
        <v>580</v>
      </c>
      <c r="F1869" s="8" t="s">
        <v>29</v>
      </c>
      <c r="G1869" s="8" t="s">
        <v>19</v>
      </c>
      <c r="H1869" s="8" t="s">
        <v>215</v>
      </c>
      <c r="I1869" s="3">
        <v>2</v>
      </c>
      <c r="J1869" s="8" t="s">
        <v>147</v>
      </c>
      <c r="K1869" s="8" t="s">
        <v>148</v>
      </c>
      <c r="L1869" s="8" t="s">
        <v>557</v>
      </c>
      <c r="M1869" s="1" t="s">
        <v>207</v>
      </c>
      <c r="N1869" s="8" t="s">
        <v>208</v>
      </c>
      <c r="O1869" s="6">
        <v>0</v>
      </c>
      <c r="P1869" s="6">
        <v>0</v>
      </c>
      <c r="Q1869" s="6">
        <v>0</v>
      </c>
      <c r="R1869" s="6">
        <v>0</v>
      </c>
      <c r="S1869" s="6">
        <v>0</v>
      </c>
    </row>
    <row r="1870" spans="1:19" ht="15" hidden="1" x14ac:dyDescent="0.25">
      <c r="A1870" s="7" t="s">
        <v>16</v>
      </c>
      <c r="B1870" s="7" t="s">
        <v>22</v>
      </c>
      <c r="C1870" s="7" t="s">
        <v>18</v>
      </c>
      <c r="D1870" s="4">
        <v>56577059000100</v>
      </c>
      <c r="E1870" s="8" t="s">
        <v>605</v>
      </c>
      <c r="F1870" s="8" t="s">
        <v>29</v>
      </c>
      <c r="G1870" s="8" t="s">
        <v>19</v>
      </c>
      <c r="H1870" s="8" t="s">
        <v>215</v>
      </c>
      <c r="I1870" s="3">
        <v>2</v>
      </c>
      <c r="J1870" s="8" t="s">
        <v>1355</v>
      </c>
      <c r="K1870" s="8" t="s">
        <v>1356</v>
      </c>
      <c r="L1870" s="8" t="s">
        <v>556</v>
      </c>
      <c r="M1870" s="1" t="s">
        <v>207</v>
      </c>
      <c r="N1870" s="8" t="s">
        <v>208</v>
      </c>
      <c r="O1870" s="6">
        <v>0</v>
      </c>
      <c r="P1870" s="6">
        <v>0</v>
      </c>
      <c r="Q1870" s="6">
        <v>0</v>
      </c>
      <c r="R1870" s="6">
        <v>0</v>
      </c>
      <c r="S1870" s="6">
        <v>135</v>
      </c>
    </row>
    <row r="1871" spans="1:19" ht="15" hidden="1" x14ac:dyDescent="0.25">
      <c r="A1871" s="7" t="s">
        <v>16</v>
      </c>
      <c r="B1871" s="7" t="s">
        <v>22</v>
      </c>
      <c r="C1871" s="7" t="s">
        <v>18</v>
      </c>
      <c r="D1871" s="4">
        <v>56577059000100</v>
      </c>
      <c r="E1871" s="8" t="s">
        <v>605</v>
      </c>
      <c r="F1871" s="8" t="s">
        <v>29</v>
      </c>
      <c r="G1871" s="8" t="s">
        <v>19</v>
      </c>
      <c r="H1871" s="8" t="s">
        <v>215</v>
      </c>
      <c r="I1871" s="3">
        <v>2</v>
      </c>
      <c r="J1871" s="8" t="s">
        <v>177</v>
      </c>
      <c r="K1871" s="8" t="s">
        <v>178</v>
      </c>
      <c r="L1871" s="8" t="s">
        <v>557</v>
      </c>
      <c r="M1871" s="1" t="s">
        <v>207</v>
      </c>
      <c r="N1871" s="8" t="s">
        <v>208</v>
      </c>
      <c r="O1871" s="6">
        <v>0</v>
      </c>
      <c r="P1871" s="6">
        <v>0</v>
      </c>
      <c r="Q1871" s="6">
        <v>0</v>
      </c>
      <c r="R1871" s="6">
        <v>0</v>
      </c>
      <c r="S1871" s="6">
        <v>135</v>
      </c>
    </row>
    <row r="1872" spans="1:19" ht="15" hidden="1" x14ac:dyDescent="0.25">
      <c r="A1872" s="7" t="s">
        <v>16</v>
      </c>
      <c r="B1872" s="7" t="s">
        <v>22</v>
      </c>
      <c r="C1872" s="7" t="s">
        <v>18</v>
      </c>
      <c r="D1872" s="4">
        <v>3872790000193</v>
      </c>
      <c r="E1872" s="8" t="s">
        <v>564</v>
      </c>
      <c r="F1872" s="8" t="s">
        <v>29</v>
      </c>
      <c r="G1872" s="8" t="s">
        <v>19</v>
      </c>
      <c r="H1872" s="8" t="s">
        <v>215</v>
      </c>
      <c r="I1872" s="3">
        <v>2</v>
      </c>
      <c r="J1872" s="8" t="s">
        <v>161</v>
      </c>
      <c r="K1872" s="8" t="s">
        <v>162</v>
      </c>
      <c r="L1872" s="8" t="s">
        <v>556</v>
      </c>
      <c r="M1872" s="1" t="s">
        <v>207</v>
      </c>
      <c r="N1872" s="8" t="s">
        <v>208</v>
      </c>
      <c r="O1872" s="6">
        <v>0</v>
      </c>
      <c r="P1872" s="6">
        <v>0</v>
      </c>
      <c r="Q1872" s="6">
        <v>0</v>
      </c>
      <c r="R1872" s="6">
        <v>16</v>
      </c>
      <c r="S1872" s="6">
        <v>0</v>
      </c>
    </row>
    <row r="1873" spans="1:19" ht="15" hidden="1" x14ac:dyDescent="0.25">
      <c r="A1873" s="7" t="s">
        <v>16</v>
      </c>
      <c r="B1873" s="7" t="s">
        <v>22</v>
      </c>
      <c r="C1873" s="7" t="s">
        <v>18</v>
      </c>
      <c r="D1873" s="4">
        <v>3872790000193</v>
      </c>
      <c r="E1873" s="8" t="s">
        <v>564</v>
      </c>
      <c r="F1873" s="8" t="s">
        <v>29</v>
      </c>
      <c r="G1873" s="8" t="s">
        <v>19</v>
      </c>
      <c r="H1873" s="8" t="s">
        <v>215</v>
      </c>
      <c r="I1873" s="3">
        <v>2</v>
      </c>
      <c r="J1873" s="8" t="s">
        <v>147</v>
      </c>
      <c r="K1873" s="8" t="s">
        <v>148</v>
      </c>
      <c r="L1873" s="8" t="s">
        <v>557</v>
      </c>
      <c r="M1873" s="1" t="s">
        <v>207</v>
      </c>
      <c r="N1873" s="8" t="s">
        <v>208</v>
      </c>
      <c r="O1873" s="6">
        <v>0</v>
      </c>
      <c r="P1873" s="6">
        <v>0</v>
      </c>
      <c r="Q1873" s="6">
        <v>0</v>
      </c>
      <c r="R1873" s="6">
        <v>0</v>
      </c>
      <c r="S1873" s="6">
        <v>0</v>
      </c>
    </row>
    <row r="1874" spans="1:19" ht="15" hidden="1" x14ac:dyDescent="0.25">
      <c r="A1874" s="7" t="s">
        <v>16</v>
      </c>
      <c r="B1874" s="7" t="s">
        <v>22</v>
      </c>
      <c r="C1874" s="7" t="s">
        <v>18</v>
      </c>
      <c r="D1874" s="4">
        <v>8100676000835</v>
      </c>
      <c r="E1874" s="8" t="s">
        <v>573</v>
      </c>
      <c r="F1874" s="8" t="s">
        <v>29</v>
      </c>
      <c r="G1874" s="8" t="s">
        <v>19</v>
      </c>
      <c r="H1874" s="8" t="s">
        <v>215</v>
      </c>
      <c r="I1874" s="3">
        <v>2</v>
      </c>
      <c r="J1874" s="8" t="s">
        <v>161</v>
      </c>
      <c r="K1874" s="8" t="s">
        <v>162</v>
      </c>
      <c r="L1874" s="8" t="s">
        <v>556</v>
      </c>
      <c r="M1874" s="1" t="s">
        <v>207</v>
      </c>
      <c r="N1874" s="8" t="s">
        <v>208</v>
      </c>
      <c r="O1874" s="6">
        <v>0</v>
      </c>
      <c r="P1874" s="6">
        <v>0</v>
      </c>
      <c r="Q1874" s="6">
        <v>0</v>
      </c>
      <c r="R1874" s="6">
        <v>0</v>
      </c>
      <c r="S1874" s="6">
        <v>240</v>
      </c>
    </row>
    <row r="1875" spans="1:19" ht="15" hidden="1" x14ac:dyDescent="0.25">
      <c r="A1875" s="7" t="s">
        <v>16</v>
      </c>
      <c r="B1875" s="7" t="s">
        <v>22</v>
      </c>
      <c r="C1875" s="7" t="s">
        <v>18</v>
      </c>
      <c r="D1875" s="4">
        <v>8100676000835</v>
      </c>
      <c r="E1875" s="8" t="s">
        <v>573</v>
      </c>
      <c r="F1875" s="8" t="s">
        <v>29</v>
      </c>
      <c r="G1875" s="8" t="s">
        <v>19</v>
      </c>
      <c r="H1875" s="8" t="s">
        <v>215</v>
      </c>
      <c r="I1875" s="3">
        <v>2</v>
      </c>
      <c r="J1875" s="8" t="s">
        <v>183</v>
      </c>
      <c r="K1875" s="8" t="s">
        <v>184</v>
      </c>
      <c r="L1875" s="8" t="s">
        <v>557</v>
      </c>
      <c r="M1875" s="1" t="s">
        <v>207</v>
      </c>
      <c r="N1875" s="8" t="s">
        <v>208</v>
      </c>
      <c r="O1875" s="6">
        <v>0</v>
      </c>
      <c r="P1875" s="6">
        <v>0</v>
      </c>
      <c r="Q1875" s="6">
        <v>0</v>
      </c>
      <c r="R1875" s="6">
        <v>0</v>
      </c>
      <c r="S1875" s="6">
        <v>240</v>
      </c>
    </row>
    <row r="1876" spans="1:19" ht="15" hidden="1" x14ac:dyDescent="0.25">
      <c r="A1876" s="7" t="s">
        <v>16</v>
      </c>
      <c r="B1876" s="7" t="s">
        <v>22</v>
      </c>
      <c r="C1876" s="7" t="s">
        <v>18</v>
      </c>
      <c r="D1876" s="4">
        <v>10475230000160</v>
      </c>
      <c r="E1876" s="8" t="s">
        <v>583</v>
      </c>
      <c r="F1876" s="8" t="s">
        <v>29</v>
      </c>
      <c r="G1876" s="8" t="s">
        <v>19</v>
      </c>
      <c r="H1876" s="8" t="s">
        <v>215</v>
      </c>
      <c r="I1876" s="3">
        <v>2</v>
      </c>
      <c r="J1876" s="8" t="s">
        <v>161</v>
      </c>
      <c r="K1876" s="8" t="s">
        <v>162</v>
      </c>
      <c r="L1876" s="8" t="s">
        <v>556</v>
      </c>
      <c r="M1876" s="1" t="s">
        <v>207</v>
      </c>
      <c r="N1876" s="8" t="s">
        <v>208</v>
      </c>
      <c r="O1876" s="6">
        <v>0</v>
      </c>
      <c r="P1876" s="6">
        <v>0</v>
      </c>
      <c r="Q1876" s="6">
        <v>0</v>
      </c>
      <c r="R1876" s="6">
        <v>0</v>
      </c>
      <c r="S1876" s="6">
        <v>25</v>
      </c>
    </row>
    <row r="1877" spans="1:19" ht="15" hidden="1" x14ac:dyDescent="0.25">
      <c r="A1877" s="7" t="s">
        <v>16</v>
      </c>
      <c r="B1877" s="7" t="s">
        <v>22</v>
      </c>
      <c r="C1877" s="7" t="s">
        <v>18</v>
      </c>
      <c r="D1877" s="4">
        <v>10475230000160</v>
      </c>
      <c r="E1877" s="8" t="s">
        <v>583</v>
      </c>
      <c r="F1877" s="8" t="s">
        <v>29</v>
      </c>
      <c r="G1877" s="8" t="s">
        <v>19</v>
      </c>
      <c r="H1877" s="8" t="s">
        <v>215</v>
      </c>
      <c r="I1877" s="3">
        <v>2</v>
      </c>
      <c r="J1877" s="8" t="s">
        <v>177</v>
      </c>
      <c r="K1877" s="8" t="s">
        <v>178</v>
      </c>
      <c r="L1877" s="8" t="s">
        <v>557</v>
      </c>
      <c r="M1877" s="1" t="s">
        <v>207</v>
      </c>
      <c r="N1877" s="8" t="s">
        <v>208</v>
      </c>
      <c r="O1877" s="6">
        <v>0</v>
      </c>
      <c r="P1877" s="6">
        <v>0</v>
      </c>
      <c r="Q1877" s="6">
        <v>0</v>
      </c>
      <c r="R1877" s="6">
        <v>0</v>
      </c>
      <c r="S1877" s="6">
        <v>25</v>
      </c>
    </row>
    <row r="1878" spans="1:19" ht="15" hidden="1" x14ac:dyDescent="0.25">
      <c r="A1878" s="7" t="s">
        <v>16</v>
      </c>
      <c r="B1878" s="7" t="s">
        <v>22</v>
      </c>
      <c r="C1878" s="7" t="s">
        <v>18</v>
      </c>
      <c r="D1878" s="4">
        <v>6047087000139</v>
      </c>
      <c r="E1878" s="8" t="s">
        <v>568</v>
      </c>
      <c r="F1878" s="8" t="s">
        <v>29</v>
      </c>
      <c r="G1878" s="8" t="s">
        <v>19</v>
      </c>
      <c r="H1878" s="8" t="s">
        <v>215</v>
      </c>
      <c r="I1878" s="3">
        <v>2</v>
      </c>
      <c r="J1878" s="8" t="s">
        <v>161</v>
      </c>
      <c r="K1878" s="8" t="s">
        <v>162</v>
      </c>
      <c r="L1878" s="8" t="s">
        <v>556</v>
      </c>
      <c r="M1878" s="1" t="s">
        <v>207</v>
      </c>
      <c r="N1878" s="8" t="s">
        <v>208</v>
      </c>
      <c r="O1878" s="6">
        <v>0</v>
      </c>
      <c r="P1878" s="6">
        <v>0</v>
      </c>
      <c r="Q1878" s="6">
        <v>0</v>
      </c>
      <c r="R1878" s="6">
        <v>0</v>
      </c>
      <c r="S1878" s="6">
        <v>0</v>
      </c>
    </row>
    <row r="1879" spans="1:19" ht="15" hidden="1" x14ac:dyDescent="0.25">
      <c r="A1879" s="7" t="s">
        <v>16</v>
      </c>
      <c r="B1879" s="7" t="s">
        <v>22</v>
      </c>
      <c r="C1879" s="7" t="s">
        <v>18</v>
      </c>
      <c r="D1879" s="4">
        <v>6047087000139</v>
      </c>
      <c r="E1879" s="8" t="s">
        <v>568</v>
      </c>
      <c r="F1879" s="8" t="s">
        <v>29</v>
      </c>
      <c r="G1879" s="8" t="s">
        <v>19</v>
      </c>
      <c r="H1879" s="8" t="s">
        <v>215</v>
      </c>
      <c r="I1879" s="3">
        <v>2</v>
      </c>
      <c r="J1879" s="8" t="s">
        <v>147</v>
      </c>
      <c r="K1879" s="8" t="s">
        <v>148</v>
      </c>
      <c r="L1879" s="8" t="s">
        <v>557</v>
      </c>
      <c r="M1879" s="1" t="s">
        <v>207</v>
      </c>
      <c r="N1879" s="8" t="s">
        <v>208</v>
      </c>
      <c r="O1879" s="6">
        <v>0</v>
      </c>
      <c r="P1879" s="6">
        <v>0</v>
      </c>
      <c r="Q1879" s="6">
        <v>4</v>
      </c>
      <c r="R1879" s="6">
        <v>0</v>
      </c>
      <c r="S1879" s="6">
        <v>0</v>
      </c>
    </row>
    <row r="1880" spans="1:19" ht="15" hidden="1" x14ac:dyDescent="0.25">
      <c r="A1880" s="7" t="s">
        <v>16</v>
      </c>
      <c r="B1880" s="7" t="s">
        <v>22</v>
      </c>
      <c r="C1880" s="7" t="s">
        <v>18</v>
      </c>
      <c r="D1880" s="4">
        <v>60884855000316</v>
      </c>
      <c r="E1880" s="8" t="s">
        <v>617</v>
      </c>
      <c r="F1880" s="8" t="s">
        <v>29</v>
      </c>
      <c r="G1880" s="8" t="s">
        <v>19</v>
      </c>
      <c r="H1880" s="8" t="s">
        <v>215</v>
      </c>
      <c r="I1880" s="3">
        <v>2</v>
      </c>
      <c r="J1880" s="8" t="s">
        <v>1355</v>
      </c>
      <c r="K1880" s="8" t="s">
        <v>1356</v>
      </c>
      <c r="L1880" s="8" t="s">
        <v>556</v>
      </c>
      <c r="M1880" s="1" t="s">
        <v>207</v>
      </c>
      <c r="N1880" s="8" t="s">
        <v>208</v>
      </c>
      <c r="O1880" s="6">
        <v>0</v>
      </c>
      <c r="P1880" s="6">
        <v>0</v>
      </c>
      <c r="Q1880" s="6">
        <v>0</v>
      </c>
      <c r="R1880" s="6">
        <v>24</v>
      </c>
      <c r="S1880" s="6">
        <v>2130</v>
      </c>
    </row>
    <row r="1881" spans="1:19" ht="15" hidden="1" x14ac:dyDescent="0.25">
      <c r="A1881" s="7" t="s">
        <v>16</v>
      </c>
      <c r="B1881" s="7" t="s">
        <v>22</v>
      </c>
      <c r="C1881" s="7" t="s">
        <v>18</v>
      </c>
      <c r="D1881" s="4">
        <v>60884855000316</v>
      </c>
      <c r="E1881" s="8" t="s">
        <v>617</v>
      </c>
      <c r="F1881" s="8" t="s">
        <v>29</v>
      </c>
      <c r="G1881" s="8" t="s">
        <v>19</v>
      </c>
      <c r="H1881" s="8" t="s">
        <v>215</v>
      </c>
      <c r="I1881" s="3">
        <v>2</v>
      </c>
      <c r="J1881" s="8" t="s">
        <v>183</v>
      </c>
      <c r="K1881" s="8" t="s">
        <v>184</v>
      </c>
      <c r="L1881" s="8" t="s">
        <v>557</v>
      </c>
      <c r="M1881" s="1" t="s">
        <v>207</v>
      </c>
      <c r="N1881" s="8" t="s">
        <v>208</v>
      </c>
      <c r="O1881" s="6">
        <v>0</v>
      </c>
      <c r="P1881" s="6">
        <v>14</v>
      </c>
      <c r="Q1881" s="6">
        <v>19</v>
      </c>
      <c r="R1881" s="6">
        <v>0</v>
      </c>
      <c r="S1881" s="6">
        <v>2130</v>
      </c>
    </row>
    <row r="1882" spans="1:19" ht="15" hidden="1" x14ac:dyDescent="0.25">
      <c r="A1882" s="7" t="s">
        <v>16</v>
      </c>
      <c r="B1882" s="7" t="s">
        <v>22</v>
      </c>
      <c r="C1882" s="7" t="s">
        <v>18</v>
      </c>
      <c r="D1882" s="4">
        <v>60961968000459</v>
      </c>
      <c r="E1882" s="8" t="s">
        <v>622</v>
      </c>
      <c r="F1882" s="8" t="s">
        <v>29</v>
      </c>
      <c r="G1882" s="8" t="s">
        <v>19</v>
      </c>
      <c r="H1882" s="8" t="s">
        <v>215</v>
      </c>
      <c r="I1882" s="3">
        <v>2</v>
      </c>
      <c r="J1882" s="8" t="s">
        <v>1355</v>
      </c>
      <c r="K1882" s="8" t="s">
        <v>1356</v>
      </c>
      <c r="L1882" s="8" t="s">
        <v>556</v>
      </c>
      <c r="M1882" s="1" t="s">
        <v>207</v>
      </c>
      <c r="N1882" s="8" t="s">
        <v>208</v>
      </c>
      <c r="O1882" s="6">
        <v>0</v>
      </c>
      <c r="P1882" s="6">
        <v>0</v>
      </c>
      <c r="Q1882" s="6">
        <v>0</v>
      </c>
      <c r="R1882" s="6">
        <v>0</v>
      </c>
      <c r="S1882" s="6">
        <v>0</v>
      </c>
    </row>
    <row r="1883" spans="1:19" ht="15" hidden="1" x14ac:dyDescent="0.25">
      <c r="A1883" s="7" t="s">
        <v>16</v>
      </c>
      <c r="B1883" s="7" t="s">
        <v>22</v>
      </c>
      <c r="C1883" s="7" t="s">
        <v>18</v>
      </c>
      <c r="D1883" s="4">
        <v>60961968000459</v>
      </c>
      <c r="E1883" s="8" t="s">
        <v>622</v>
      </c>
      <c r="F1883" s="8" t="s">
        <v>29</v>
      </c>
      <c r="G1883" s="8" t="s">
        <v>19</v>
      </c>
      <c r="H1883" s="8" t="s">
        <v>215</v>
      </c>
      <c r="I1883" s="3">
        <v>2</v>
      </c>
      <c r="J1883" s="8" t="s">
        <v>177</v>
      </c>
      <c r="K1883" s="8" t="s">
        <v>178</v>
      </c>
      <c r="L1883" s="8" t="s">
        <v>557</v>
      </c>
      <c r="M1883" s="1" t="s">
        <v>207</v>
      </c>
      <c r="N1883" s="8" t="s">
        <v>208</v>
      </c>
      <c r="O1883" s="6">
        <v>0</v>
      </c>
      <c r="P1883" s="6">
        <v>15</v>
      </c>
      <c r="Q1883" s="6">
        <v>0</v>
      </c>
      <c r="R1883" s="6">
        <v>0</v>
      </c>
      <c r="S1883" s="6">
        <v>0</v>
      </c>
    </row>
    <row r="1884" spans="1:19" ht="15" hidden="1" x14ac:dyDescent="0.25">
      <c r="A1884" s="7" t="s">
        <v>16</v>
      </c>
      <c r="B1884" s="7" t="s">
        <v>22</v>
      </c>
      <c r="C1884" s="7" t="s">
        <v>18</v>
      </c>
      <c r="D1884" s="4">
        <v>60726502000126</v>
      </c>
      <c r="E1884" s="8" t="s">
        <v>613</v>
      </c>
      <c r="F1884" s="8" t="s">
        <v>29</v>
      </c>
      <c r="G1884" s="8" t="s">
        <v>19</v>
      </c>
      <c r="H1884" s="8" t="s">
        <v>215</v>
      </c>
      <c r="I1884" s="3">
        <v>2</v>
      </c>
      <c r="J1884" s="8" t="s">
        <v>1355</v>
      </c>
      <c r="K1884" s="8" t="s">
        <v>1356</v>
      </c>
      <c r="L1884" s="8" t="s">
        <v>556</v>
      </c>
      <c r="M1884" s="1" t="s">
        <v>207</v>
      </c>
      <c r="N1884" s="8" t="s">
        <v>208</v>
      </c>
      <c r="O1884" s="6">
        <v>0</v>
      </c>
      <c r="P1884" s="6">
        <v>0</v>
      </c>
      <c r="Q1884" s="6">
        <v>0</v>
      </c>
      <c r="R1884" s="6">
        <v>16</v>
      </c>
      <c r="S1884" s="6">
        <v>535</v>
      </c>
    </row>
    <row r="1885" spans="1:19" ht="15" hidden="1" x14ac:dyDescent="0.25">
      <c r="A1885" s="7" t="s">
        <v>16</v>
      </c>
      <c r="B1885" s="7" t="s">
        <v>22</v>
      </c>
      <c r="C1885" s="7" t="s">
        <v>18</v>
      </c>
      <c r="D1885" s="4">
        <v>60726502000126</v>
      </c>
      <c r="E1885" s="8" t="s">
        <v>613</v>
      </c>
      <c r="F1885" s="8" t="s">
        <v>29</v>
      </c>
      <c r="G1885" s="8" t="s">
        <v>19</v>
      </c>
      <c r="H1885" s="8" t="s">
        <v>215</v>
      </c>
      <c r="I1885" s="3">
        <v>2</v>
      </c>
      <c r="J1885" s="8" t="s">
        <v>183</v>
      </c>
      <c r="K1885" s="8" t="s">
        <v>184</v>
      </c>
      <c r="L1885" s="8" t="s">
        <v>557</v>
      </c>
      <c r="M1885" s="1" t="s">
        <v>207</v>
      </c>
      <c r="N1885" s="8" t="s">
        <v>208</v>
      </c>
      <c r="O1885" s="6">
        <v>0</v>
      </c>
      <c r="P1885" s="6">
        <v>6</v>
      </c>
      <c r="Q1885" s="6">
        <v>2</v>
      </c>
      <c r="R1885" s="6">
        <v>0</v>
      </c>
      <c r="S1885" s="6">
        <v>535</v>
      </c>
    </row>
    <row r="1886" spans="1:19" ht="15" hidden="1" x14ac:dyDescent="0.25">
      <c r="A1886" s="7" t="s">
        <v>16</v>
      </c>
      <c r="B1886" s="7" t="s">
        <v>22</v>
      </c>
      <c r="C1886" s="7" t="s">
        <v>18</v>
      </c>
      <c r="D1886" s="4">
        <v>8100676000592</v>
      </c>
      <c r="E1886" s="8" t="s">
        <v>572</v>
      </c>
      <c r="F1886" s="8" t="s">
        <v>29</v>
      </c>
      <c r="G1886" s="8" t="s">
        <v>19</v>
      </c>
      <c r="H1886" s="8" t="s">
        <v>215</v>
      </c>
      <c r="I1886" s="3">
        <v>2</v>
      </c>
      <c r="J1886" s="8" t="s">
        <v>161</v>
      </c>
      <c r="K1886" s="8" t="s">
        <v>162</v>
      </c>
      <c r="L1886" s="8" t="s">
        <v>556</v>
      </c>
      <c r="M1886" s="1" t="s">
        <v>207</v>
      </c>
      <c r="N1886" s="8" t="s">
        <v>208</v>
      </c>
      <c r="O1886" s="6">
        <v>0</v>
      </c>
      <c r="P1886" s="6">
        <v>0</v>
      </c>
      <c r="Q1886" s="6">
        <v>0</v>
      </c>
      <c r="R1886" s="6">
        <v>0</v>
      </c>
      <c r="S1886" s="6">
        <v>490</v>
      </c>
    </row>
    <row r="1887" spans="1:19" ht="15" hidden="1" x14ac:dyDescent="0.25">
      <c r="A1887" s="7" t="s">
        <v>16</v>
      </c>
      <c r="B1887" s="7" t="s">
        <v>22</v>
      </c>
      <c r="C1887" s="7" t="s">
        <v>18</v>
      </c>
      <c r="D1887" s="4">
        <v>8100676000592</v>
      </c>
      <c r="E1887" s="8" t="s">
        <v>572</v>
      </c>
      <c r="F1887" s="8" t="s">
        <v>29</v>
      </c>
      <c r="G1887" s="8" t="s">
        <v>19</v>
      </c>
      <c r="H1887" s="8" t="s">
        <v>215</v>
      </c>
      <c r="I1887" s="3">
        <v>2</v>
      </c>
      <c r="J1887" s="8" t="s">
        <v>183</v>
      </c>
      <c r="K1887" s="8" t="s">
        <v>184</v>
      </c>
      <c r="L1887" s="8" t="s">
        <v>557</v>
      </c>
      <c r="M1887" s="1" t="s">
        <v>207</v>
      </c>
      <c r="N1887" s="8" t="s">
        <v>208</v>
      </c>
      <c r="O1887" s="6">
        <v>0</v>
      </c>
      <c r="P1887" s="6">
        <v>0</v>
      </c>
      <c r="Q1887" s="6">
        <v>0</v>
      </c>
      <c r="R1887" s="6">
        <v>0</v>
      </c>
      <c r="S1887" s="6">
        <v>490</v>
      </c>
    </row>
    <row r="1888" spans="1:19" ht="15" hidden="1" x14ac:dyDescent="0.25">
      <c r="A1888" s="7" t="s">
        <v>16</v>
      </c>
      <c r="B1888" s="7" t="s">
        <v>22</v>
      </c>
      <c r="C1888" s="7" t="s">
        <v>18</v>
      </c>
      <c r="D1888" s="4">
        <v>8100676002455</v>
      </c>
      <c r="E1888" s="8" t="s">
        <v>574</v>
      </c>
      <c r="F1888" s="8" t="s">
        <v>29</v>
      </c>
      <c r="G1888" s="8" t="s">
        <v>19</v>
      </c>
      <c r="H1888" s="8" t="s">
        <v>215</v>
      </c>
      <c r="I1888" s="3">
        <v>2</v>
      </c>
      <c r="J1888" s="8" t="s">
        <v>161</v>
      </c>
      <c r="K1888" s="8" t="s">
        <v>162</v>
      </c>
      <c r="L1888" s="8" t="s">
        <v>556</v>
      </c>
      <c r="M1888" s="1" t="s">
        <v>207</v>
      </c>
      <c r="N1888" s="8" t="s">
        <v>208</v>
      </c>
      <c r="O1888" s="6">
        <v>0</v>
      </c>
      <c r="P1888" s="6">
        <v>0</v>
      </c>
      <c r="Q1888" s="6">
        <v>0</v>
      </c>
      <c r="R1888" s="6">
        <v>0</v>
      </c>
      <c r="S1888" s="6">
        <v>825</v>
      </c>
    </row>
    <row r="1889" spans="1:19" ht="15" hidden="1" x14ac:dyDescent="0.25">
      <c r="A1889" s="7" t="s">
        <v>16</v>
      </c>
      <c r="B1889" s="7" t="s">
        <v>22</v>
      </c>
      <c r="C1889" s="7" t="s">
        <v>18</v>
      </c>
      <c r="D1889" s="4">
        <v>8100676002455</v>
      </c>
      <c r="E1889" s="8" t="s">
        <v>574</v>
      </c>
      <c r="F1889" s="8" t="s">
        <v>29</v>
      </c>
      <c r="G1889" s="8" t="s">
        <v>19</v>
      </c>
      <c r="H1889" s="8" t="s">
        <v>215</v>
      </c>
      <c r="I1889" s="3">
        <v>2</v>
      </c>
      <c r="J1889" s="8" t="s">
        <v>183</v>
      </c>
      <c r="K1889" s="8" t="s">
        <v>184</v>
      </c>
      <c r="L1889" s="8" t="s">
        <v>557</v>
      </c>
      <c r="M1889" s="1" t="s">
        <v>207</v>
      </c>
      <c r="N1889" s="8" t="s">
        <v>208</v>
      </c>
      <c r="O1889" s="6">
        <v>0</v>
      </c>
      <c r="P1889" s="6">
        <v>24</v>
      </c>
      <c r="Q1889" s="6">
        <v>0</v>
      </c>
      <c r="R1889" s="6">
        <v>0</v>
      </c>
      <c r="S1889" s="6">
        <v>825</v>
      </c>
    </row>
    <row r="1890" spans="1:19" ht="15" hidden="1" x14ac:dyDescent="0.25">
      <c r="A1890" s="7" t="s">
        <v>16</v>
      </c>
      <c r="B1890" s="7" t="s">
        <v>22</v>
      </c>
      <c r="C1890" s="7" t="s">
        <v>18</v>
      </c>
      <c r="D1890" s="4">
        <v>60922168004335</v>
      </c>
      <c r="E1890" s="8" t="s">
        <v>619</v>
      </c>
      <c r="F1890" s="8" t="s">
        <v>29</v>
      </c>
      <c r="G1890" s="8" t="s">
        <v>19</v>
      </c>
      <c r="H1890" s="8" t="s">
        <v>215</v>
      </c>
      <c r="I1890" s="3">
        <v>2</v>
      </c>
      <c r="J1890" s="8" t="s">
        <v>161</v>
      </c>
      <c r="K1890" s="8" t="s">
        <v>162</v>
      </c>
      <c r="L1890" s="8" t="s">
        <v>556</v>
      </c>
      <c r="M1890" s="1" t="s">
        <v>207</v>
      </c>
      <c r="N1890" s="8" t="s">
        <v>208</v>
      </c>
      <c r="O1890" s="6">
        <v>0</v>
      </c>
      <c r="P1890" s="6">
        <v>0</v>
      </c>
      <c r="Q1890" s="6">
        <v>0</v>
      </c>
      <c r="R1890" s="6">
        <v>0</v>
      </c>
      <c r="S1890" s="6">
        <v>10</v>
      </c>
    </row>
    <row r="1891" spans="1:19" ht="15" hidden="1" x14ac:dyDescent="0.25">
      <c r="A1891" s="7" t="s">
        <v>16</v>
      </c>
      <c r="B1891" s="7" t="s">
        <v>22</v>
      </c>
      <c r="C1891" s="7" t="s">
        <v>18</v>
      </c>
      <c r="D1891" s="4">
        <v>60922168004335</v>
      </c>
      <c r="E1891" s="8" t="s">
        <v>619</v>
      </c>
      <c r="F1891" s="8" t="s">
        <v>29</v>
      </c>
      <c r="G1891" s="8" t="s">
        <v>19</v>
      </c>
      <c r="H1891" s="8" t="s">
        <v>215</v>
      </c>
      <c r="I1891" s="3">
        <v>2</v>
      </c>
      <c r="J1891" s="8" t="s">
        <v>183</v>
      </c>
      <c r="K1891" s="8" t="s">
        <v>184</v>
      </c>
      <c r="L1891" s="8" t="s">
        <v>557</v>
      </c>
      <c r="M1891" s="1" t="s">
        <v>207</v>
      </c>
      <c r="N1891" s="8" t="s">
        <v>208</v>
      </c>
      <c r="O1891" s="6">
        <v>0</v>
      </c>
      <c r="P1891" s="6">
        <v>0</v>
      </c>
      <c r="Q1891" s="6">
        <v>0</v>
      </c>
      <c r="R1891" s="6">
        <v>0</v>
      </c>
      <c r="S1891" s="6">
        <v>10</v>
      </c>
    </row>
    <row r="1892" spans="1:19" ht="15" hidden="1" x14ac:dyDescent="0.25">
      <c r="A1892" s="7" t="s">
        <v>16</v>
      </c>
      <c r="B1892" s="7" t="s">
        <v>22</v>
      </c>
      <c r="C1892" s="7" t="s">
        <v>18</v>
      </c>
      <c r="D1892" s="4">
        <v>72775745000133</v>
      </c>
      <c r="E1892" s="8" t="s">
        <v>636</v>
      </c>
      <c r="F1892" s="8" t="s">
        <v>29</v>
      </c>
      <c r="G1892" s="8" t="s">
        <v>19</v>
      </c>
      <c r="H1892" s="8" t="s">
        <v>215</v>
      </c>
      <c r="I1892" s="3">
        <v>2</v>
      </c>
      <c r="J1892" s="8" t="s">
        <v>161</v>
      </c>
      <c r="K1892" s="8" t="s">
        <v>162</v>
      </c>
      <c r="L1892" s="8" t="s">
        <v>556</v>
      </c>
      <c r="M1892" s="1" t="s">
        <v>207</v>
      </c>
      <c r="N1892" s="8" t="s">
        <v>208</v>
      </c>
      <c r="O1892" s="6">
        <v>0</v>
      </c>
      <c r="P1892" s="6">
        <v>0</v>
      </c>
      <c r="Q1892" s="6">
        <v>0</v>
      </c>
      <c r="R1892" s="6">
        <v>0</v>
      </c>
      <c r="S1892" s="6">
        <v>0</v>
      </c>
    </row>
    <row r="1893" spans="1:19" ht="15" hidden="1" x14ac:dyDescent="0.25">
      <c r="A1893" s="7" t="s">
        <v>16</v>
      </c>
      <c r="B1893" s="7" t="s">
        <v>22</v>
      </c>
      <c r="C1893" s="7" t="s">
        <v>18</v>
      </c>
      <c r="D1893" s="4">
        <v>72775745000133</v>
      </c>
      <c r="E1893" s="8" t="s">
        <v>636</v>
      </c>
      <c r="F1893" s="8" t="s">
        <v>29</v>
      </c>
      <c r="G1893" s="8" t="s">
        <v>19</v>
      </c>
      <c r="H1893" s="8" t="s">
        <v>215</v>
      </c>
      <c r="I1893" s="3">
        <v>2</v>
      </c>
      <c r="J1893" s="8" t="s">
        <v>147</v>
      </c>
      <c r="K1893" s="8" t="s">
        <v>148</v>
      </c>
      <c r="L1893" s="8" t="s">
        <v>557</v>
      </c>
      <c r="M1893" s="1" t="s">
        <v>207</v>
      </c>
      <c r="N1893" s="8" t="s">
        <v>208</v>
      </c>
      <c r="O1893" s="6">
        <v>0</v>
      </c>
      <c r="P1893" s="6">
        <v>15</v>
      </c>
      <c r="Q1893" s="6">
        <v>15</v>
      </c>
      <c r="R1893" s="6">
        <v>0</v>
      </c>
      <c r="S1893" s="6">
        <v>0</v>
      </c>
    </row>
    <row r="1894" spans="1:19" ht="15" hidden="1" x14ac:dyDescent="0.25">
      <c r="A1894" s="7" t="s">
        <v>16</v>
      </c>
      <c r="B1894" s="7" t="s">
        <v>22</v>
      </c>
      <c r="C1894" s="7" t="s">
        <v>18</v>
      </c>
      <c r="D1894" s="4">
        <v>21371777000132</v>
      </c>
      <c r="E1894" s="8" t="s">
        <v>589</v>
      </c>
      <c r="F1894" s="8" t="s">
        <v>29</v>
      </c>
      <c r="G1894" s="8" t="s">
        <v>19</v>
      </c>
      <c r="H1894" s="8" t="s">
        <v>215</v>
      </c>
      <c r="I1894" s="3">
        <v>2</v>
      </c>
      <c r="J1894" s="8" t="s">
        <v>161</v>
      </c>
      <c r="K1894" s="8" t="s">
        <v>162</v>
      </c>
      <c r="L1894" s="8" t="s">
        <v>556</v>
      </c>
      <c r="M1894" s="1" t="s">
        <v>207</v>
      </c>
      <c r="N1894" s="8" t="s">
        <v>208</v>
      </c>
      <c r="O1894" s="6">
        <v>0</v>
      </c>
      <c r="P1894" s="6">
        <v>0</v>
      </c>
      <c r="Q1894" s="6">
        <v>0</v>
      </c>
      <c r="R1894" s="6">
        <v>0</v>
      </c>
      <c r="S1894" s="6">
        <v>0</v>
      </c>
    </row>
    <row r="1895" spans="1:19" ht="15" hidden="1" x14ac:dyDescent="0.25">
      <c r="A1895" s="7" t="s">
        <v>16</v>
      </c>
      <c r="B1895" s="7" t="s">
        <v>22</v>
      </c>
      <c r="C1895" s="7" t="s">
        <v>18</v>
      </c>
      <c r="D1895" s="4">
        <v>21371777000132</v>
      </c>
      <c r="E1895" s="8" t="s">
        <v>589</v>
      </c>
      <c r="F1895" s="8" t="s">
        <v>29</v>
      </c>
      <c r="G1895" s="8" t="s">
        <v>19</v>
      </c>
      <c r="H1895" s="8" t="s">
        <v>215</v>
      </c>
      <c r="I1895" s="3">
        <v>2</v>
      </c>
      <c r="J1895" s="8" t="s">
        <v>183</v>
      </c>
      <c r="K1895" s="8" t="s">
        <v>184</v>
      </c>
      <c r="L1895" s="8" t="s">
        <v>557</v>
      </c>
      <c r="M1895" s="1" t="s">
        <v>207</v>
      </c>
      <c r="N1895" s="8" t="s">
        <v>208</v>
      </c>
      <c r="O1895" s="6">
        <v>0</v>
      </c>
      <c r="P1895" s="6">
        <v>0</v>
      </c>
      <c r="Q1895" s="6">
        <v>11</v>
      </c>
      <c r="R1895" s="6">
        <v>0</v>
      </c>
      <c r="S1895" s="6">
        <v>0</v>
      </c>
    </row>
    <row r="1896" spans="1:19" ht="15" hidden="1" x14ac:dyDescent="0.25">
      <c r="A1896" s="7" t="s">
        <v>16</v>
      </c>
      <c r="B1896" s="7" t="s">
        <v>22</v>
      </c>
      <c r="C1896" s="7" t="s">
        <v>18</v>
      </c>
      <c r="D1896" s="4">
        <v>60448040000122</v>
      </c>
      <c r="E1896" s="8" t="s">
        <v>609</v>
      </c>
      <c r="F1896" s="8" t="s">
        <v>29</v>
      </c>
      <c r="G1896" s="8" t="s">
        <v>19</v>
      </c>
      <c r="H1896" s="8" t="s">
        <v>215</v>
      </c>
      <c r="I1896" s="3">
        <v>2</v>
      </c>
      <c r="J1896" s="8" t="s">
        <v>1355</v>
      </c>
      <c r="K1896" s="8" t="s">
        <v>1356</v>
      </c>
      <c r="L1896" s="8" t="s">
        <v>556</v>
      </c>
      <c r="M1896" s="1" t="s">
        <v>207</v>
      </c>
      <c r="N1896" s="8" t="s">
        <v>208</v>
      </c>
      <c r="O1896" s="6">
        <v>0</v>
      </c>
      <c r="P1896" s="6">
        <v>0</v>
      </c>
      <c r="Q1896" s="6">
        <v>0</v>
      </c>
      <c r="R1896" s="6">
        <v>92</v>
      </c>
      <c r="S1896" s="6">
        <v>0</v>
      </c>
    </row>
    <row r="1897" spans="1:19" ht="15" hidden="1" x14ac:dyDescent="0.25">
      <c r="A1897" s="7" t="s">
        <v>16</v>
      </c>
      <c r="B1897" s="7" t="s">
        <v>22</v>
      </c>
      <c r="C1897" s="7" t="s">
        <v>18</v>
      </c>
      <c r="D1897" s="4">
        <v>60448040000122</v>
      </c>
      <c r="E1897" s="8" t="s">
        <v>609</v>
      </c>
      <c r="F1897" s="8" t="s">
        <v>29</v>
      </c>
      <c r="G1897" s="8" t="s">
        <v>19</v>
      </c>
      <c r="H1897" s="8" t="s">
        <v>215</v>
      </c>
      <c r="I1897" s="3">
        <v>2</v>
      </c>
      <c r="J1897" s="8" t="s">
        <v>177</v>
      </c>
      <c r="K1897" s="8" t="s">
        <v>178</v>
      </c>
      <c r="L1897" s="8" t="s">
        <v>557</v>
      </c>
      <c r="M1897" s="1" t="s">
        <v>207</v>
      </c>
      <c r="N1897" s="8" t="s">
        <v>208</v>
      </c>
      <c r="O1897" s="6">
        <v>0</v>
      </c>
      <c r="P1897" s="6">
        <v>66</v>
      </c>
      <c r="Q1897" s="6">
        <v>60</v>
      </c>
      <c r="R1897" s="6">
        <v>0</v>
      </c>
      <c r="S1897" s="6">
        <v>0</v>
      </c>
    </row>
    <row r="1898" spans="1:19" ht="15" hidden="1" x14ac:dyDescent="0.25">
      <c r="A1898" s="7" t="s">
        <v>16</v>
      </c>
      <c r="B1898" s="7" t="s">
        <v>22</v>
      </c>
      <c r="C1898" s="7" t="s">
        <v>18</v>
      </c>
      <c r="D1898" s="4">
        <v>60453024000390</v>
      </c>
      <c r="E1898" s="8" t="s">
        <v>610</v>
      </c>
      <c r="F1898" s="8" t="s">
        <v>29</v>
      </c>
      <c r="G1898" s="8" t="s">
        <v>19</v>
      </c>
      <c r="H1898" s="8" t="s">
        <v>215</v>
      </c>
      <c r="I1898" s="3">
        <v>2</v>
      </c>
      <c r="J1898" s="8" t="s">
        <v>161</v>
      </c>
      <c r="K1898" s="8" t="s">
        <v>162</v>
      </c>
      <c r="L1898" s="8" t="s">
        <v>556</v>
      </c>
      <c r="M1898" s="1" t="s">
        <v>207</v>
      </c>
      <c r="N1898" s="8" t="s">
        <v>208</v>
      </c>
      <c r="O1898" s="6">
        <v>0</v>
      </c>
      <c r="P1898" s="6">
        <v>0</v>
      </c>
      <c r="Q1898" s="6">
        <v>0</v>
      </c>
      <c r="R1898" s="6">
        <v>0</v>
      </c>
      <c r="S1898" s="6">
        <v>0</v>
      </c>
    </row>
    <row r="1899" spans="1:19" ht="15" hidden="1" x14ac:dyDescent="0.25">
      <c r="A1899" s="7" t="s">
        <v>16</v>
      </c>
      <c r="B1899" s="7" t="s">
        <v>22</v>
      </c>
      <c r="C1899" s="7" t="s">
        <v>18</v>
      </c>
      <c r="D1899" s="4">
        <v>60453024000390</v>
      </c>
      <c r="E1899" s="8" t="s">
        <v>610</v>
      </c>
      <c r="F1899" s="8" t="s">
        <v>29</v>
      </c>
      <c r="G1899" s="8" t="s">
        <v>19</v>
      </c>
      <c r="H1899" s="8" t="s">
        <v>215</v>
      </c>
      <c r="I1899" s="3">
        <v>2</v>
      </c>
      <c r="J1899" s="8" t="s">
        <v>177</v>
      </c>
      <c r="K1899" s="8" t="s">
        <v>178</v>
      </c>
      <c r="L1899" s="8" t="s">
        <v>557</v>
      </c>
      <c r="M1899" s="1" t="s">
        <v>207</v>
      </c>
      <c r="N1899" s="8" t="s">
        <v>208</v>
      </c>
      <c r="O1899" s="6">
        <v>0</v>
      </c>
      <c r="P1899" s="6">
        <v>11</v>
      </c>
      <c r="Q1899" s="6">
        <v>55</v>
      </c>
      <c r="R1899" s="6">
        <v>0</v>
      </c>
      <c r="S1899" s="6">
        <v>0</v>
      </c>
    </row>
    <row r="1900" spans="1:19" ht="15" hidden="1" x14ac:dyDescent="0.25">
      <c r="A1900" s="7" t="s">
        <v>16</v>
      </c>
      <c r="B1900" s="7" t="s">
        <v>22</v>
      </c>
      <c r="C1900" s="7" t="s">
        <v>18</v>
      </c>
      <c r="D1900" s="4">
        <v>51722957012512</v>
      </c>
      <c r="E1900" s="8" t="s">
        <v>604</v>
      </c>
      <c r="F1900" s="8" t="s">
        <v>29</v>
      </c>
      <c r="G1900" s="8" t="s">
        <v>19</v>
      </c>
      <c r="H1900" s="8" t="s">
        <v>215</v>
      </c>
      <c r="I1900" s="3">
        <v>2</v>
      </c>
      <c r="J1900" s="8" t="s">
        <v>161</v>
      </c>
      <c r="K1900" s="8" t="s">
        <v>162</v>
      </c>
      <c r="L1900" s="8" t="s">
        <v>556</v>
      </c>
      <c r="M1900" s="1" t="s">
        <v>207</v>
      </c>
      <c r="N1900" s="8" t="s">
        <v>208</v>
      </c>
      <c r="O1900" s="6">
        <v>0</v>
      </c>
      <c r="P1900" s="6">
        <v>0</v>
      </c>
      <c r="Q1900" s="6">
        <v>0</v>
      </c>
      <c r="R1900" s="6">
        <v>0</v>
      </c>
      <c r="S1900" s="6">
        <v>90</v>
      </c>
    </row>
    <row r="1901" spans="1:19" ht="15" hidden="1" x14ac:dyDescent="0.25">
      <c r="A1901" s="7" t="s">
        <v>16</v>
      </c>
      <c r="B1901" s="7" t="s">
        <v>22</v>
      </c>
      <c r="C1901" s="7" t="s">
        <v>18</v>
      </c>
      <c r="D1901" s="4">
        <v>51722957012512</v>
      </c>
      <c r="E1901" s="8" t="s">
        <v>604</v>
      </c>
      <c r="F1901" s="8" t="s">
        <v>29</v>
      </c>
      <c r="G1901" s="8" t="s">
        <v>19</v>
      </c>
      <c r="H1901" s="8" t="s">
        <v>215</v>
      </c>
      <c r="I1901" s="3">
        <v>2</v>
      </c>
      <c r="J1901" s="8" t="s">
        <v>183</v>
      </c>
      <c r="K1901" s="8" t="s">
        <v>184</v>
      </c>
      <c r="L1901" s="8" t="s">
        <v>557</v>
      </c>
      <c r="M1901" s="1" t="s">
        <v>207</v>
      </c>
      <c r="N1901" s="8" t="s">
        <v>208</v>
      </c>
      <c r="O1901" s="6">
        <v>0</v>
      </c>
      <c r="P1901" s="6">
        <v>0</v>
      </c>
      <c r="Q1901" s="6">
        <v>0</v>
      </c>
      <c r="R1901" s="6">
        <v>0</v>
      </c>
      <c r="S1901" s="6">
        <v>90</v>
      </c>
    </row>
    <row r="1902" spans="1:19" ht="15" hidden="1" x14ac:dyDescent="0.25">
      <c r="A1902" s="7" t="s">
        <v>16</v>
      </c>
      <c r="B1902" s="7" t="s">
        <v>22</v>
      </c>
      <c r="C1902" s="7" t="s">
        <v>18</v>
      </c>
      <c r="D1902" s="4">
        <v>60678604000113</v>
      </c>
      <c r="E1902" s="8" t="s">
        <v>612</v>
      </c>
      <c r="F1902" s="8" t="s">
        <v>29</v>
      </c>
      <c r="G1902" s="8" t="s">
        <v>19</v>
      </c>
      <c r="H1902" s="8" t="s">
        <v>215</v>
      </c>
      <c r="I1902" s="3">
        <v>2</v>
      </c>
      <c r="J1902" s="8" t="s">
        <v>161</v>
      </c>
      <c r="K1902" s="8" t="s">
        <v>162</v>
      </c>
      <c r="L1902" s="8" t="s">
        <v>556</v>
      </c>
      <c r="M1902" s="1" t="s">
        <v>207</v>
      </c>
      <c r="N1902" s="8" t="s">
        <v>208</v>
      </c>
      <c r="O1902" s="6">
        <v>0</v>
      </c>
      <c r="P1902" s="6">
        <v>0</v>
      </c>
      <c r="Q1902" s="6">
        <v>0</v>
      </c>
      <c r="R1902" s="6">
        <v>0</v>
      </c>
      <c r="S1902" s="6">
        <v>200</v>
      </c>
    </row>
    <row r="1903" spans="1:19" ht="15" hidden="1" x14ac:dyDescent="0.25">
      <c r="A1903" s="7" t="s">
        <v>16</v>
      </c>
      <c r="B1903" s="7" t="s">
        <v>22</v>
      </c>
      <c r="C1903" s="7" t="s">
        <v>18</v>
      </c>
      <c r="D1903" s="4">
        <v>60678604000113</v>
      </c>
      <c r="E1903" s="8" t="s">
        <v>612</v>
      </c>
      <c r="F1903" s="8" t="s">
        <v>29</v>
      </c>
      <c r="G1903" s="8" t="s">
        <v>19</v>
      </c>
      <c r="H1903" s="8" t="s">
        <v>215</v>
      </c>
      <c r="I1903" s="3">
        <v>2</v>
      </c>
      <c r="J1903" s="8" t="s">
        <v>147</v>
      </c>
      <c r="K1903" s="8" t="s">
        <v>148</v>
      </c>
      <c r="L1903" s="8" t="s">
        <v>557</v>
      </c>
      <c r="M1903" s="1" t="s">
        <v>207</v>
      </c>
      <c r="N1903" s="8" t="s">
        <v>208</v>
      </c>
      <c r="O1903" s="6">
        <v>0</v>
      </c>
      <c r="P1903" s="6">
        <v>1</v>
      </c>
      <c r="Q1903" s="6">
        <v>24</v>
      </c>
      <c r="R1903" s="6">
        <v>0</v>
      </c>
      <c r="S1903" s="6">
        <v>200</v>
      </c>
    </row>
    <row r="1904" spans="1:19" ht="15" hidden="1" x14ac:dyDescent="0.25">
      <c r="A1904" s="7" t="s">
        <v>16</v>
      </c>
      <c r="B1904" s="7" t="s">
        <v>22</v>
      </c>
      <c r="C1904" s="7" t="s">
        <v>18</v>
      </c>
      <c r="D1904" s="4">
        <v>29435005004540</v>
      </c>
      <c r="E1904" s="8" t="s">
        <v>594</v>
      </c>
      <c r="F1904" s="8" t="s">
        <v>29</v>
      </c>
      <c r="G1904" s="8" t="s">
        <v>19</v>
      </c>
      <c r="H1904" s="8" t="s">
        <v>215</v>
      </c>
      <c r="I1904" s="3">
        <v>2</v>
      </c>
      <c r="J1904" s="8" t="s">
        <v>161</v>
      </c>
      <c r="K1904" s="8" t="s">
        <v>162</v>
      </c>
      <c r="L1904" s="8" t="s">
        <v>556</v>
      </c>
      <c r="M1904" s="1" t="s">
        <v>207</v>
      </c>
      <c r="N1904" s="8" t="s">
        <v>208</v>
      </c>
      <c r="O1904" s="6">
        <v>0</v>
      </c>
      <c r="P1904" s="6">
        <v>0</v>
      </c>
      <c r="Q1904" s="6">
        <v>0</v>
      </c>
      <c r="R1904" s="6">
        <v>0</v>
      </c>
      <c r="S1904" s="6">
        <v>180</v>
      </c>
    </row>
    <row r="1905" spans="1:19" ht="15" hidden="1" x14ac:dyDescent="0.25">
      <c r="A1905" s="7" t="s">
        <v>16</v>
      </c>
      <c r="B1905" s="7" t="s">
        <v>22</v>
      </c>
      <c r="C1905" s="7" t="s">
        <v>18</v>
      </c>
      <c r="D1905" s="4">
        <v>29435005004540</v>
      </c>
      <c r="E1905" s="8" t="s">
        <v>594</v>
      </c>
      <c r="F1905" s="8" t="s">
        <v>29</v>
      </c>
      <c r="G1905" s="8" t="s">
        <v>19</v>
      </c>
      <c r="H1905" s="8" t="s">
        <v>215</v>
      </c>
      <c r="I1905" s="3">
        <v>2</v>
      </c>
      <c r="J1905" s="8" t="s">
        <v>183</v>
      </c>
      <c r="K1905" s="8" t="s">
        <v>184</v>
      </c>
      <c r="L1905" s="8" t="s">
        <v>557</v>
      </c>
      <c r="M1905" s="1" t="s">
        <v>207</v>
      </c>
      <c r="N1905" s="8" t="s">
        <v>208</v>
      </c>
      <c r="O1905" s="6">
        <v>0</v>
      </c>
      <c r="P1905" s="6">
        <v>0</v>
      </c>
      <c r="Q1905" s="6">
        <v>0</v>
      </c>
      <c r="R1905" s="6">
        <v>0</v>
      </c>
      <c r="S1905" s="6">
        <v>180</v>
      </c>
    </row>
    <row r="1906" spans="1:19" ht="15" hidden="1" x14ac:dyDescent="0.25">
      <c r="A1906" s="7" t="s">
        <v>16</v>
      </c>
      <c r="B1906" s="7" t="s">
        <v>22</v>
      </c>
      <c r="C1906" s="7" t="s">
        <v>18</v>
      </c>
      <c r="D1906" s="4">
        <v>46374500010823</v>
      </c>
      <c r="E1906" s="8" t="s">
        <v>600</v>
      </c>
      <c r="F1906" s="8" t="s">
        <v>29</v>
      </c>
      <c r="G1906" s="8" t="s">
        <v>19</v>
      </c>
      <c r="H1906" s="8" t="s">
        <v>215</v>
      </c>
      <c r="I1906" s="3">
        <v>2</v>
      </c>
      <c r="J1906" s="8" t="s">
        <v>161</v>
      </c>
      <c r="K1906" s="8" t="s">
        <v>162</v>
      </c>
      <c r="L1906" s="8" t="s">
        <v>556</v>
      </c>
      <c r="M1906" s="1" t="s">
        <v>207</v>
      </c>
      <c r="N1906" s="8" t="s">
        <v>208</v>
      </c>
      <c r="O1906" s="6">
        <v>0</v>
      </c>
      <c r="P1906" s="6">
        <v>0</v>
      </c>
      <c r="Q1906" s="6">
        <v>0</v>
      </c>
      <c r="R1906" s="6">
        <v>0</v>
      </c>
      <c r="S1906" s="6">
        <v>150</v>
      </c>
    </row>
    <row r="1907" spans="1:19" ht="15" hidden="1" x14ac:dyDescent="0.25">
      <c r="A1907" s="7" t="s">
        <v>16</v>
      </c>
      <c r="B1907" s="7" t="s">
        <v>22</v>
      </c>
      <c r="C1907" s="7" t="s">
        <v>18</v>
      </c>
      <c r="D1907" s="4">
        <v>46374500010823</v>
      </c>
      <c r="E1907" s="8" t="s">
        <v>600</v>
      </c>
      <c r="F1907" s="8" t="s">
        <v>29</v>
      </c>
      <c r="G1907" s="8" t="s">
        <v>19</v>
      </c>
      <c r="H1907" s="8" t="s">
        <v>215</v>
      </c>
      <c r="I1907" s="3">
        <v>2</v>
      </c>
      <c r="J1907" s="8" t="s">
        <v>147</v>
      </c>
      <c r="K1907" s="8" t="s">
        <v>148</v>
      </c>
      <c r="L1907" s="8" t="s">
        <v>557</v>
      </c>
      <c r="M1907" s="1" t="s">
        <v>207</v>
      </c>
      <c r="N1907" s="8" t="s">
        <v>208</v>
      </c>
      <c r="O1907" s="6">
        <v>0</v>
      </c>
      <c r="P1907" s="6">
        <v>0</v>
      </c>
      <c r="Q1907" s="6">
        <v>0</v>
      </c>
      <c r="R1907" s="6">
        <v>0</v>
      </c>
      <c r="S1907" s="6">
        <v>150</v>
      </c>
    </row>
    <row r="1908" spans="1:19" ht="15" hidden="1" x14ac:dyDescent="0.25">
      <c r="A1908" s="7" t="s">
        <v>16</v>
      </c>
      <c r="B1908" s="7" t="s">
        <v>22</v>
      </c>
      <c r="C1908" s="7" t="s">
        <v>18</v>
      </c>
      <c r="D1908" s="4">
        <v>61213674000240</v>
      </c>
      <c r="E1908" s="8" t="s">
        <v>629</v>
      </c>
      <c r="F1908" s="8" t="s">
        <v>29</v>
      </c>
      <c r="G1908" s="8" t="s">
        <v>19</v>
      </c>
      <c r="H1908" s="8" t="s">
        <v>215</v>
      </c>
      <c r="I1908" s="3">
        <v>2</v>
      </c>
      <c r="J1908" s="8" t="s">
        <v>1355</v>
      </c>
      <c r="K1908" s="8" t="s">
        <v>1356</v>
      </c>
      <c r="L1908" s="8" t="s">
        <v>556</v>
      </c>
      <c r="M1908" s="1" t="s">
        <v>207</v>
      </c>
      <c r="N1908" s="8" t="s">
        <v>208</v>
      </c>
      <c r="O1908" s="6">
        <v>0</v>
      </c>
      <c r="P1908" s="6">
        <v>0</v>
      </c>
      <c r="Q1908" s="6">
        <v>0</v>
      </c>
      <c r="R1908" s="6">
        <v>113</v>
      </c>
      <c r="S1908" s="6">
        <v>0</v>
      </c>
    </row>
    <row r="1909" spans="1:19" ht="15" hidden="1" x14ac:dyDescent="0.25">
      <c r="A1909" s="7" t="s">
        <v>16</v>
      </c>
      <c r="B1909" s="7" t="s">
        <v>22</v>
      </c>
      <c r="C1909" s="7" t="s">
        <v>18</v>
      </c>
      <c r="D1909" s="4">
        <v>61213674000240</v>
      </c>
      <c r="E1909" s="8" t="s">
        <v>629</v>
      </c>
      <c r="F1909" s="8" t="s">
        <v>29</v>
      </c>
      <c r="G1909" s="8" t="s">
        <v>19</v>
      </c>
      <c r="H1909" s="8" t="s">
        <v>215</v>
      </c>
      <c r="I1909" s="3">
        <v>2</v>
      </c>
      <c r="J1909" s="8" t="s">
        <v>147</v>
      </c>
      <c r="K1909" s="8" t="s">
        <v>148</v>
      </c>
      <c r="L1909" s="8" t="s">
        <v>557</v>
      </c>
      <c r="M1909" s="1" t="s">
        <v>207</v>
      </c>
      <c r="N1909" s="8" t="s">
        <v>208</v>
      </c>
      <c r="O1909" s="6">
        <v>0</v>
      </c>
      <c r="P1909" s="6">
        <v>1</v>
      </c>
      <c r="Q1909" s="6">
        <v>2</v>
      </c>
      <c r="R1909" s="6">
        <v>0</v>
      </c>
      <c r="S1909" s="6">
        <v>0</v>
      </c>
    </row>
    <row r="1910" spans="1:19" ht="15" hidden="1" x14ac:dyDescent="0.25">
      <c r="A1910" s="7" t="s">
        <v>16</v>
      </c>
      <c r="B1910" s="7" t="s">
        <v>22</v>
      </c>
      <c r="C1910" s="7" t="s">
        <v>18</v>
      </c>
      <c r="D1910" s="4">
        <v>60765823000130</v>
      </c>
      <c r="E1910" s="8" t="s">
        <v>615</v>
      </c>
      <c r="F1910" s="8" t="s">
        <v>29</v>
      </c>
      <c r="G1910" s="8" t="s">
        <v>19</v>
      </c>
      <c r="H1910" s="8" t="s">
        <v>215</v>
      </c>
      <c r="I1910" s="3">
        <v>2</v>
      </c>
      <c r="J1910" s="8" t="s">
        <v>1355</v>
      </c>
      <c r="K1910" s="8" t="s">
        <v>1356</v>
      </c>
      <c r="L1910" s="8" t="s">
        <v>556</v>
      </c>
      <c r="M1910" s="1" t="s">
        <v>207</v>
      </c>
      <c r="N1910" s="8" t="s">
        <v>208</v>
      </c>
      <c r="O1910" s="6">
        <v>0</v>
      </c>
      <c r="P1910" s="6">
        <v>0</v>
      </c>
      <c r="Q1910" s="6">
        <v>0</v>
      </c>
      <c r="R1910" s="6">
        <v>130</v>
      </c>
      <c r="S1910" s="6">
        <v>0</v>
      </c>
    </row>
    <row r="1911" spans="1:19" ht="15" hidden="1" x14ac:dyDescent="0.25">
      <c r="A1911" s="7" t="s">
        <v>16</v>
      </c>
      <c r="B1911" s="7" t="s">
        <v>22</v>
      </c>
      <c r="C1911" s="7" t="s">
        <v>18</v>
      </c>
      <c r="D1911" s="4">
        <v>60765823000130</v>
      </c>
      <c r="E1911" s="8" t="s">
        <v>615</v>
      </c>
      <c r="F1911" s="8" t="s">
        <v>29</v>
      </c>
      <c r="G1911" s="8" t="s">
        <v>19</v>
      </c>
      <c r="H1911" s="8" t="s">
        <v>215</v>
      </c>
      <c r="I1911" s="3">
        <v>2</v>
      </c>
      <c r="J1911" s="8" t="s">
        <v>147</v>
      </c>
      <c r="K1911" s="8" t="s">
        <v>148</v>
      </c>
      <c r="L1911" s="8" t="s">
        <v>557</v>
      </c>
      <c r="M1911" s="1" t="s">
        <v>207</v>
      </c>
      <c r="N1911" s="8" t="s">
        <v>208</v>
      </c>
      <c r="O1911" s="6">
        <v>0</v>
      </c>
      <c r="P1911" s="6">
        <v>30</v>
      </c>
      <c r="Q1911" s="6">
        <v>70</v>
      </c>
      <c r="R1911" s="6">
        <v>0</v>
      </c>
      <c r="S1911" s="6">
        <v>0</v>
      </c>
    </row>
    <row r="1912" spans="1:19" ht="15" hidden="1" x14ac:dyDescent="0.25">
      <c r="A1912" s="7" t="s">
        <v>16</v>
      </c>
      <c r="B1912" s="7" t="s">
        <v>22</v>
      </c>
      <c r="C1912" s="7" t="s">
        <v>18</v>
      </c>
      <c r="D1912" s="4">
        <v>29435005002687</v>
      </c>
      <c r="E1912" s="8" t="s">
        <v>593</v>
      </c>
      <c r="F1912" s="8" t="s">
        <v>29</v>
      </c>
      <c r="G1912" s="8" t="s">
        <v>19</v>
      </c>
      <c r="H1912" s="8" t="s">
        <v>215</v>
      </c>
      <c r="I1912" s="3">
        <v>2</v>
      </c>
      <c r="J1912" s="8" t="s">
        <v>161</v>
      </c>
      <c r="K1912" s="8" t="s">
        <v>162</v>
      </c>
      <c r="L1912" s="8" t="s">
        <v>556</v>
      </c>
      <c r="M1912" s="1" t="s">
        <v>207</v>
      </c>
      <c r="N1912" s="8" t="s">
        <v>208</v>
      </c>
      <c r="O1912" s="6">
        <v>0</v>
      </c>
      <c r="P1912" s="6">
        <v>0</v>
      </c>
      <c r="Q1912" s="6">
        <v>0</v>
      </c>
      <c r="R1912" s="6">
        <v>0</v>
      </c>
      <c r="S1912" s="6">
        <v>1150</v>
      </c>
    </row>
    <row r="1913" spans="1:19" ht="15" hidden="1" x14ac:dyDescent="0.25">
      <c r="A1913" s="7" t="s">
        <v>16</v>
      </c>
      <c r="B1913" s="7" t="s">
        <v>22</v>
      </c>
      <c r="C1913" s="7" t="s">
        <v>18</v>
      </c>
      <c r="D1913" s="4">
        <v>29435005002687</v>
      </c>
      <c r="E1913" s="8" t="s">
        <v>593</v>
      </c>
      <c r="F1913" s="8" t="s">
        <v>29</v>
      </c>
      <c r="G1913" s="8" t="s">
        <v>19</v>
      </c>
      <c r="H1913" s="8" t="s">
        <v>215</v>
      </c>
      <c r="I1913" s="3">
        <v>2</v>
      </c>
      <c r="J1913" s="8" t="s">
        <v>183</v>
      </c>
      <c r="K1913" s="8" t="s">
        <v>184</v>
      </c>
      <c r="L1913" s="8" t="s">
        <v>557</v>
      </c>
      <c r="M1913" s="1" t="s">
        <v>207</v>
      </c>
      <c r="N1913" s="8" t="s">
        <v>208</v>
      </c>
      <c r="O1913" s="6">
        <v>0</v>
      </c>
      <c r="P1913" s="6">
        <v>7</v>
      </c>
      <c r="Q1913" s="6">
        <v>0</v>
      </c>
      <c r="R1913" s="6">
        <v>0</v>
      </c>
      <c r="S1913" s="6">
        <v>1150</v>
      </c>
    </row>
    <row r="1914" spans="1:19" ht="15" hidden="1" x14ac:dyDescent="0.25">
      <c r="A1914" s="7" t="s">
        <v>16</v>
      </c>
      <c r="B1914" s="7" t="s">
        <v>22</v>
      </c>
      <c r="C1914" s="7" t="s">
        <v>18</v>
      </c>
      <c r="D1914" s="4">
        <v>61062212000198</v>
      </c>
      <c r="E1914" s="8" t="s">
        <v>628</v>
      </c>
      <c r="F1914" s="8" t="s">
        <v>29</v>
      </c>
      <c r="G1914" s="8" t="s">
        <v>19</v>
      </c>
      <c r="H1914" s="8" t="s">
        <v>215</v>
      </c>
      <c r="I1914" s="3">
        <v>2</v>
      </c>
      <c r="J1914" s="8" t="s">
        <v>1355</v>
      </c>
      <c r="K1914" s="8" t="s">
        <v>1356</v>
      </c>
      <c r="L1914" s="8" t="s">
        <v>556</v>
      </c>
      <c r="M1914" s="1" t="s">
        <v>207</v>
      </c>
      <c r="N1914" s="8" t="s">
        <v>208</v>
      </c>
      <c r="O1914" s="6">
        <v>0</v>
      </c>
      <c r="P1914" s="6">
        <v>0</v>
      </c>
      <c r="Q1914" s="6">
        <v>0</v>
      </c>
      <c r="R1914" s="6">
        <v>0</v>
      </c>
      <c r="S1914" s="6">
        <v>0</v>
      </c>
    </row>
    <row r="1915" spans="1:19" ht="15" hidden="1" x14ac:dyDescent="0.25">
      <c r="A1915" s="7" t="s">
        <v>16</v>
      </c>
      <c r="B1915" s="7" t="s">
        <v>22</v>
      </c>
      <c r="C1915" s="7" t="s">
        <v>18</v>
      </c>
      <c r="D1915" s="4">
        <v>61062212000198</v>
      </c>
      <c r="E1915" s="8" t="s">
        <v>628</v>
      </c>
      <c r="F1915" s="8" t="s">
        <v>29</v>
      </c>
      <c r="G1915" s="8" t="s">
        <v>19</v>
      </c>
      <c r="H1915" s="8" t="s">
        <v>215</v>
      </c>
      <c r="I1915" s="3">
        <v>2</v>
      </c>
      <c r="J1915" s="8" t="s">
        <v>183</v>
      </c>
      <c r="K1915" s="8" t="s">
        <v>184</v>
      </c>
      <c r="L1915" s="8" t="s">
        <v>557</v>
      </c>
      <c r="M1915" s="1" t="s">
        <v>207</v>
      </c>
      <c r="N1915" s="8" t="s">
        <v>208</v>
      </c>
      <c r="O1915" s="6">
        <v>0</v>
      </c>
      <c r="P1915" s="6">
        <v>0</v>
      </c>
      <c r="Q1915" s="6">
        <v>4</v>
      </c>
      <c r="R1915" s="6">
        <v>0</v>
      </c>
      <c r="S1915" s="6">
        <v>0</v>
      </c>
    </row>
    <row r="1916" spans="1:19" ht="15" hidden="1" x14ac:dyDescent="0.25">
      <c r="A1916" s="7" t="s">
        <v>16</v>
      </c>
      <c r="B1916" s="7" t="s">
        <v>22</v>
      </c>
      <c r="C1916" s="7" t="s">
        <v>18</v>
      </c>
      <c r="D1916" s="4">
        <v>60922168000771</v>
      </c>
      <c r="E1916" s="8" t="s">
        <v>618</v>
      </c>
      <c r="F1916" s="8" t="s">
        <v>29</v>
      </c>
      <c r="G1916" s="8" t="s">
        <v>19</v>
      </c>
      <c r="H1916" s="8" t="s">
        <v>215</v>
      </c>
      <c r="I1916" s="3">
        <v>2</v>
      </c>
      <c r="J1916" s="8" t="s">
        <v>1355</v>
      </c>
      <c r="K1916" s="8" t="s">
        <v>1356</v>
      </c>
      <c r="L1916" s="8" t="s">
        <v>556</v>
      </c>
      <c r="M1916" s="1" t="s">
        <v>207</v>
      </c>
      <c r="N1916" s="8" t="s">
        <v>208</v>
      </c>
      <c r="O1916" s="6">
        <v>0</v>
      </c>
      <c r="P1916" s="6">
        <v>0</v>
      </c>
      <c r="Q1916" s="6">
        <v>0</v>
      </c>
      <c r="R1916" s="6">
        <v>23</v>
      </c>
      <c r="S1916" s="6">
        <v>0</v>
      </c>
    </row>
    <row r="1917" spans="1:19" ht="15" hidden="1" x14ac:dyDescent="0.25">
      <c r="A1917" s="7" t="s">
        <v>16</v>
      </c>
      <c r="B1917" s="7" t="s">
        <v>22</v>
      </c>
      <c r="C1917" s="7" t="s">
        <v>18</v>
      </c>
      <c r="D1917" s="4">
        <v>60922168000771</v>
      </c>
      <c r="E1917" s="8" t="s">
        <v>618</v>
      </c>
      <c r="F1917" s="8" t="s">
        <v>29</v>
      </c>
      <c r="G1917" s="8" t="s">
        <v>19</v>
      </c>
      <c r="H1917" s="8" t="s">
        <v>215</v>
      </c>
      <c r="I1917" s="3">
        <v>2</v>
      </c>
      <c r="J1917" s="8" t="s">
        <v>147</v>
      </c>
      <c r="K1917" s="8" t="s">
        <v>148</v>
      </c>
      <c r="L1917" s="8" t="s">
        <v>557</v>
      </c>
      <c r="M1917" s="1" t="s">
        <v>207</v>
      </c>
      <c r="N1917" s="8" t="s">
        <v>208</v>
      </c>
      <c r="O1917" s="6">
        <v>0</v>
      </c>
      <c r="P1917" s="6">
        <v>0</v>
      </c>
      <c r="Q1917" s="6">
        <v>4</v>
      </c>
      <c r="R1917" s="6">
        <v>0</v>
      </c>
      <c r="S1917" s="6">
        <v>0</v>
      </c>
    </row>
    <row r="1918" spans="1:19" ht="15" hidden="1" x14ac:dyDescent="0.25">
      <c r="A1918" s="7" t="s">
        <v>16</v>
      </c>
      <c r="B1918" s="7" t="s">
        <v>22</v>
      </c>
      <c r="C1918" s="7" t="s">
        <v>18</v>
      </c>
      <c r="D1918" s="4">
        <v>60552098000111</v>
      </c>
      <c r="E1918" s="8" t="s">
        <v>611</v>
      </c>
      <c r="F1918" s="8" t="s">
        <v>29</v>
      </c>
      <c r="G1918" s="8" t="s">
        <v>19</v>
      </c>
      <c r="H1918" s="8" t="s">
        <v>215</v>
      </c>
      <c r="I1918" s="3">
        <v>2</v>
      </c>
      <c r="J1918" s="8" t="s">
        <v>161</v>
      </c>
      <c r="K1918" s="8" t="s">
        <v>162</v>
      </c>
      <c r="L1918" s="8" t="s">
        <v>556</v>
      </c>
      <c r="M1918" s="1" t="s">
        <v>207</v>
      </c>
      <c r="N1918" s="8" t="s">
        <v>208</v>
      </c>
      <c r="O1918" s="6">
        <v>0</v>
      </c>
      <c r="P1918" s="6">
        <v>0</v>
      </c>
      <c r="Q1918" s="6">
        <v>0</v>
      </c>
      <c r="R1918" s="6">
        <v>0</v>
      </c>
      <c r="S1918" s="6">
        <v>75</v>
      </c>
    </row>
    <row r="1919" spans="1:19" ht="15" hidden="1" x14ac:dyDescent="0.25">
      <c r="A1919" s="7" t="s">
        <v>16</v>
      </c>
      <c r="B1919" s="7" t="s">
        <v>22</v>
      </c>
      <c r="C1919" s="7" t="s">
        <v>18</v>
      </c>
      <c r="D1919" s="4">
        <v>60552098000111</v>
      </c>
      <c r="E1919" s="8" t="s">
        <v>611</v>
      </c>
      <c r="F1919" s="8" t="s">
        <v>29</v>
      </c>
      <c r="G1919" s="8" t="s">
        <v>19</v>
      </c>
      <c r="H1919" s="8" t="s">
        <v>215</v>
      </c>
      <c r="I1919" s="3">
        <v>2</v>
      </c>
      <c r="J1919" s="8" t="s">
        <v>147</v>
      </c>
      <c r="K1919" s="8" t="s">
        <v>148</v>
      </c>
      <c r="L1919" s="8" t="s">
        <v>557</v>
      </c>
      <c r="M1919" s="1" t="s">
        <v>207</v>
      </c>
      <c r="N1919" s="8" t="s">
        <v>208</v>
      </c>
      <c r="O1919" s="6">
        <v>0</v>
      </c>
      <c r="P1919" s="6">
        <v>0</v>
      </c>
      <c r="Q1919" s="6">
        <v>0</v>
      </c>
      <c r="R1919" s="6">
        <v>0</v>
      </c>
      <c r="S1919" s="6">
        <v>75</v>
      </c>
    </row>
    <row r="1920" spans="1:19" ht="15" hidden="1" x14ac:dyDescent="0.25">
      <c r="A1920" s="7" t="s">
        <v>16</v>
      </c>
      <c r="B1920" s="7" t="s">
        <v>22</v>
      </c>
      <c r="C1920" s="7" t="s">
        <v>18</v>
      </c>
      <c r="D1920" s="4">
        <v>60777901000116</v>
      </c>
      <c r="E1920" s="8" t="s">
        <v>616</v>
      </c>
      <c r="F1920" s="8" t="s">
        <v>29</v>
      </c>
      <c r="G1920" s="8" t="s">
        <v>19</v>
      </c>
      <c r="H1920" s="8" t="s">
        <v>215</v>
      </c>
      <c r="I1920" s="3">
        <v>2</v>
      </c>
      <c r="J1920" s="8" t="s">
        <v>161</v>
      </c>
      <c r="K1920" s="8" t="s">
        <v>162</v>
      </c>
      <c r="L1920" s="8" t="s">
        <v>556</v>
      </c>
      <c r="M1920" s="1" t="s">
        <v>207</v>
      </c>
      <c r="N1920" s="8" t="s">
        <v>208</v>
      </c>
      <c r="O1920" s="6">
        <v>0</v>
      </c>
      <c r="P1920" s="6">
        <v>0</v>
      </c>
      <c r="Q1920" s="6">
        <v>0</v>
      </c>
      <c r="R1920" s="6">
        <v>0</v>
      </c>
      <c r="S1920" s="6">
        <v>1400</v>
      </c>
    </row>
    <row r="1921" spans="1:19" ht="15" hidden="1" x14ac:dyDescent="0.25">
      <c r="A1921" s="7" t="s">
        <v>16</v>
      </c>
      <c r="B1921" s="7" t="s">
        <v>22</v>
      </c>
      <c r="C1921" s="7" t="s">
        <v>18</v>
      </c>
      <c r="D1921" s="4">
        <v>60777901000116</v>
      </c>
      <c r="E1921" s="8" t="s">
        <v>616</v>
      </c>
      <c r="F1921" s="8" t="s">
        <v>29</v>
      </c>
      <c r="G1921" s="8" t="s">
        <v>19</v>
      </c>
      <c r="H1921" s="8" t="s">
        <v>215</v>
      </c>
      <c r="I1921" s="3">
        <v>2</v>
      </c>
      <c r="J1921" s="8" t="s">
        <v>183</v>
      </c>
      <c r="K1921" s="8" t="s">
        <v>184</v>
      </c>
      <c r="L1921" s="8" t="s">
        <v>557</v>
      </c>
      <c r="M1921" s="1" t="s">
        <v>207</v>
      </c>
      <c r="N1921" s="8" t="s">
        <v>208</v>
      </c>
      <c r="O1921" s="6">
        <v>0</v>
      </c>
      <c r="P1921" s="6">
        <v>0</v>
      </c>
      <c r="Q1921" s="6">
        <v>0</v>
      </c>
      <c r="R1921" s="6">
        <v>0</v>
      </c>
      <c r="S1921" s="6">
        <v>1400</v>
      </c>
    </row>
    <row r="1922" spans="1:19" ht="15" hidden="1" x14ac:dyDescent="0.25">
      <c r="A1922" s="7" t="s">
        <v>16</v>
      </c>
      <c r="B1922" s="7" t="s">
        <v>22</v>
      </c>
      <c r="C1922" s="7" t="s">
        <v>18</v>
      </c>
      <c r="D1922" s="4">
        <v>60975737001204</v>
      </c>
      <c r="E1922" s="8" t="s">
        <v>625</v>
      </c>
      <c r="F1922" s="8" t="s">
        <v>29</v>
      </c>
      <c r="G1922" s="8" t="s">
        <v>19</v>
      </c>
      <c r="H1922" s="8" t="s">
        <v>215</v>
      </c>
      <c r="I1922" s="3">
        <v>2</v>
      </c>
      <c r="J1922" s="8" t="s">
        <v>161</v>
      </c>
      <c r="K1922" s="8" t="s">
        <v>162</v>
      </c>
      <c r="L1922" s="8" t="s">
        <v>556</v>
      </c>
      <c r="M1922" s="1" t="s">
        <v>207</v>
      </c>
      <c r="N1922" s="8" t="s">
        <v>208</v>
      </c>
      <c r="O1922" s="6">
        <v>0</v>
      </c>
      <c r="P1922" s="6">
        <v>0</v>
      </c>
      <c r="Q1922" s="6">
        <v>0</v>
      </c>
      <c r="R1922" s="6">
        <v>0</v>
      </c>
      <c r="S1922" s="6">
        <v>0</v>
      </c>
    </row>
    <row r="1923" spans="1:19" ht="15" hidden="1" x14ac:dyDescent="0.25">
      <c r="A1923" s="7" t="s">
        <v>16</v>
      </c>
      <c r="B1923" s="7" t="s">
        <v>22</v>
      </c>
      <c r="C1923" s="7" t="s">
        <v>18</v>
      </c>
      <c r="D1923" s="4">
        <v>60975737001204</v>
      </c>
      <c r="E1923" s="8" t="s">
        <v>625</v>
      </c>
      <c r="F1923" s="8" t="s">
        <v>29</v>
      </c>
      <c r="G1923" s="8" t="s">
        <v>19</v>
      </c>
      <c r="H1923" s="8" t="s">
        <v>215</v>
      </c>
      <c r="I1923" s="3">
        <v>2</v>
      </c>
      <c r="J1923" s="8" t="s">
        <v>177</v>
      </c>
      <c r="K1923" s="8" t="s">
        <v>178</v>
      </c>
      <c r="L1923" s="8" t="s">
        <v>557</v>
      </c>
      <c r="M1923" s="1" t="s">
        <v>207</v>
      </c>
      <c r="N1923" s="8" t="s">
        <v>208</v>
      </c>
      <c r="O1923" s="6">
        <v>0</v>
      </c>
      <c r="P1923" s="6">
        <v>13</v>
      </c>
      <c r="Q1923" s="6">
        <v>0</v>
      </c>
      <c r="R1923" s="6">
        <v>0</v>
      </c>
      <c r="S1923" s="6">
        <v>0</v>
      </c>
    </row>
    <row r="1924" spans="1:19" ht="15" hidden="1" x14ac:dyDescent="0.25">
      <c r="A1924" s="7" t="s">
        <v>16</v>
      </c>
      <c r="B1924" s="7" t="s">
        <v>22</v>
      </c>
      <c r="C1924" s="7" t="s">
        <v>18</v>
      </c>
      <c r="D1924" s="4">
        <v>6047087003820</v>
      </c>
      <c r="E1924" s="8" t="s">
        <v>570</v>
      </c>
      <c r="F1924" s="8" t="s">
        <v>29</v>
      </c>
      <c r="G1924" s="8" t="s">
        <v>19</v>
      </c>
      <c r="H1924" s="8" t="s">
        <v>215</v>
      </c>
      <c r="I1924" s="3">
        <v>2</v>
      </c>
      <c r="J1924" s="8" t="s">
        <v>161</v>
      </c>
      <c r="K1924" s="8" t="s">
        <v>162</v>
      </c>
      <c r="L1924" s="8" t="s">
        <v>556</v>
      </c>
      <c r="M1924" s="1" t="s">
        <v>207</v>
      </c>
      <c r="N1924" s="8" t="s">
        <v>208</v>
      </c>
      <c r="O1924" s="6">
        <v>0</v>
      </c>
      <c r="P1924" s="6">
        <v>0</v>
      </c>
      <c r="Q1924" s="6">
        <v>0</v>
      </c>
      <c r="R1924" s="6">
        <v>0</v>
      </c>
      <c r="S1924" s="6">
        <v>0</v>
      </c>
    </row>
    <row r="1925" spans="1:19" ht="15" hidden="1" x14ac:dyDescent="0.25">
      <c r="A1925" s="7" t="s">
        <v>16</v>
      </c>
      <c r="B1925" s="7" t="s">
        <v>22</v>
      </c>
      <c r="C1925" s="7" t="s">
        <v>18</v>
      </c>
      <c r="D1925" s="4">
        <v>6047087003820</v>
      </c>
      <c r="E1925" s="8" t="s">
        <v>570</v>
      </c>
      <c r="F1925" s="8" t="s">
        <v>29</v>
      </c>
      <c r="G1925" s="8" t="s">
        <v>19</v>
      </c>
      <c r="H1925" s="8" t="s">
        <v>215</v>
      </c>
      <c r="I1925" s="3">
        <v>2</v>
      </c>
      <c r="J1925" s="8" t="s">
        <v>147</v>
      </c>
      <c r="K1925" s="8" t="s">
        <v>148</v>
      </c>
      <c r="L1925" s="8" t="s">
        <v>557</v>
      </c>
      <c r="M1925" s="1" t="s">
        <v>207</v>
      </c>
      <c r="N1925" s="8" t="s">
        <v>208</v>
      </c>
      <c r="O1925" s="6">
        <v>0</v>
      </c>
      <c r="P1925" s="6">
        <v>0</v>
      </c>
      <c r="Q1925" s="6">
        <v>3</v>
      </c>
      <c r="R1925" s="6">
        <v>0</v>
      </c>
      <c r="S1925" s="6">
        <v>0</v>
      </c>
    </row>
    <row r="1926" spans="1:19" ht="15" hidden="1" x14ac:dyDescent="0.25">
      <c r="A1926" s="7" t="s">
        <v>16</v>
      </c>
      <c r="B1926" s="7" t="s">
        <v>22</v>
      </c>
      <c r="C1926" s="7" t="s">
        <v>18</v>
      </c>
      <c r="D1926" s="4">
        <v>5831510000124</v>
      </c>
      <c r="E1926" s="8" t="s">
        <v>567</v>
      </c>
      <c r="F1926" s="8" t="s">
        <v>29</v>
      </c>
      <c r="G1926" s="8" t="s">
        <v>19</v>
      </c>
      <c r="H1926" s="8" t="s">
        <v>215</v>
      </c>
      <c r="I1926" s="3">
        <v>2</v>
      </c>
      <c r="J1926" s="8" t="s">
        <v>161</v>
      </c>
      <c r="K1926" s="8" t="s">
        <v>162</v>
      </c>
      <c r="L1926" s="8" t="s">
        <v>556</v>
      </c>
      <c r="M1926" s="1" t="s">
        <v>207</v>
      </c>
      <c r="N1926" s="8" t="s">
        <v>208</v>
      </c>
      <c r="O1926" s="6">
        <v>0</v>
      </c>
      <c r="P1926" s="6">
        <v>0</v>
      </c>
      <c r="Q1926" s="6">
        <v>0</v>
      </c>
      <c r="R1926" s="6">
        <v>0</v>
      </c>
      <c r="S1926" s="6">
        <v>140</v>
      </c>
    </row>
    <row r="1927" spans="1:19" ht="15" hidden="1" x14ac:dyDescent="0.25">
      <c r="A1927" s="7" t="s">
        <v>16</v>
      </c>
      <c r="B1927" s="7" t="s">
        <v>22</v>
      </c>
      <c r="C1927" s="7" t="s">
        <v>18</v>
      </c>
      <c r="D1927" s="4">
        <v>5831510000124</v>
      </c>
      <c r="E1927" s="8" t="s">
        <v>567</v>
      </c>
      <c r="F1927" s="8" t="s">
        <v>29</v>
      </c>
      <c r="G1927" s="8" t="s">
        <v>19</v>
      </c>
      <c r="H1927" s="8" t="s">
        <v>215</v>
      </c>
      <c r="I1927" s="3">
        <v>2</v>
      </c>
      <c r="J1927" s="8" t="s">
        <v>147</v>
      </c>
      <c r="K1927" s="8" t="s">
        <v>148</v>
      </c>
      <c r="L1927" s="8" t="s">
        <v>557</v>
      </c>
      <c r="M1927" s="1" t="s">
        <v>207</v>
      </c>
      <c r="N1927" s="8" t="s">
        <v>208</v>
      </c>
      <c r="O1927" s="6">
        <v>0</v>
      </c>
      <c r="P1927" s="6">
        <v>0</v>
      </c>
      <c r="Q1927" s="6">
        <v>0</v>
      </c>
      <c r="R1927" s="6">
        <v>0</v>
      </c>
      <c r="S1927" s="6">
        <v>140</v>
      </c>
    </row>
    <row r="1928" spans="1:19" ht="15" hidden="1" x14ac:dyDescent="0.25">
      <c r="A1928" s="7" t="s">
        <v>16</v>
      </c>
      <c r="B1928" s="7" t="s">
        <v>22</v>
      </c>
      <c r="C1928" s="7" t="s">
        <v>18</v>
      </c>
      <c r="D1928" s="4">
        <v>44649812005520</v>
      </c>
      <c r="E1928" s="8" t="s">
        <v>598</v>
      </c>
      <c r="F1928" s="8" t="s">
        <v>29</v>
      </c>
      <c r="G1928" s="8" t="s">
        <v>19</v>
      </c>
      <c r="H1928" s="8" t="s">
        <v>215</v>
      </c>
      <c r="I1928" s="3">
        <v>2</v>
      </c>
      <c r="J1928" s="8" t="s">
        <v>1355</v>
      </c>
      <c r="K1928" s="8" t="s">
        <v>1356</v>
      </c>
      <c r="L1928" s="8" t="s">
        <v>556</v>
      </c>
      <c r="M1928" s="1" t="s">
        <v>207</v>
      </c>
      <c r="N1928" s="8" t="s">
        <v>208</v>
      </c>
      <c r="O1928" s="6">
        <v>0</v>
      </c>
      <c r="P1928" s="6">
        <v>0</v>
      </c>
      <c r="Q1928" s="6">
        <v>0</v>
      </c>
      <c r="R1928" s="6">
        <v>4</v>
      </c>
      <c r="S1928" s="6">
        <v>0</v>
      </c>
    </row>
    <row r="1929" spans="1:19" ht="15" hidden="1" x14ac:dyDescent="0.25">
      <c r="A1929" s="7" t="s">
        <v>16</v>
      </c>
      <c r="B1929" s="7" t="s">
        <v>22</v>
      </c>
      <c r="C1929" s="7" t="s">
        <v>18</v>
      </c>
      <c r="D1929" s="4">
        <v>44649812005520</v>
      </c>
      <c r="E1929" s="8" t="s">
        <v>598</v>
      </c>
      <c r="F1929" s="8" t="s">
        <v>29</v>
      </c>
      <c r="G1929" s="8" t="s">
        <v>19</v>
      </c>
      <c r="H1929" s="8" t="s">
        <v>215</v>
      </c>
      <c r="I1929" s="3">
        <v>2</v>
      </c>
      <c r="J1929" s="8" t="s">
        <v>147</v>
      </c>
      <c r="K1929" s="8" t="s">
        <v>148</v>
      </c>
      <c r="L1929" s="8" t="s">
        <v>557</v>
      </c>
      <c r="M1929" s="1" t="s">
        <v>207</v>
      </c>
      <c r="N1929" s="8" t="s">
        <v>208</v>
      </c>
      <c r="O1929" s="6">
        <v>0</v>
      </c>
      <c r="P1929" s="6">
        <v>0</v>
      </c>
      <c r="Q1929" s="6">
        <v>0</v>
      </c>
      <c r="R1929" s="6">
        <v>0</v>
      </c>
      <c r="S1929" s="6">
        <v>0</v>
      </c>
    </row>
    <row r="1930" spans="1:19" ht="15" hidden="1" x14ac:dyDescent="0.25">
      <c r="A1930" s="7" t="s">
        <v>16</v>
      </c>
      <c r="B1930" s="7" t="s">
        <v>22</v>
      </c>
      <c r="C1930" s="7" t="s">
        <v>18</v>
      </c>
      <c r="D1930" s="4">
        <v>4036348000190</v>
      </c>
      <c r="E1930" s="8" t="s">
        <v>565</v>
      </c>
      <c r="F1930" s="8" t="s">
        <v>29</v>
      </c>
      <c r="G1930" s="8" t="s">
        <v>19</v>
      </c>
      <c r="H1930" s="8" t="s">
        <v>215</v>
      </c>
      <c r="I1930" s="3">
        <v>2</v>
      </c>
      <c r="J1930" s="8" t="s">
        <v>1355</v>
      </c>
      <c r="K1930" s="8" t="s">
        <v>1356</v>
      </c>
      <c r="L1930" s="8" t="s">
        <v>556</v>
      </c>
      <c r="M1930" s="1" t="s">
        <v>207</v>
      </c>
      <c r="N1930" s="8" t="s">
        <v>208</v>
      </c>
      <c r="O1930" s="6">
        <v>0</v>
      </c>
      <c r="P1930" s="6">
        <v>0</v>
      </c>
      <c r="Q1930" s="6">
        <v>0</v>
      </c>
      <c r="R1930" s="6">
        <v>0</v>
      </c>
      <c r="S1930" s="6">
        <v>365</v>
      </c>
    </row>
    <row r="1931" spans="1:19" ht="15" hidden="1" x14ac:dyDescent="0.25">
      <c r="A1931" s="7" t="s">
        <v>16</v>
      </c>
      <c r="B1931" s="7" t="s">
        <v>22</v>
      </c>
      <c r="C1931" s="7" t="s">
        <v>18</v>
      </c>
      <c r="D1931" s="4">
        <v>4036348000190</v>
      </c>
      <c r="E1931" s="8" t="s">
        <v>565</v>
      </c>
      <c r="F1931" s="8" t="s">
        <v>29</v>
      </c>
      <c r="G1931" s="8" t="s">
        <v>19</v>
      </c>
      <c r="H1931" s="8" t="s">
        <v>215</v>
      </c>
      <c r="I1931" s="3">
        <v>2</v>
      </c>
      <c r="J1931" s="8" t="s">
        <v>147</v>
      </c>
      <c r="K1931" s="8" t="s">
        <v>148</v>
      </c>
      <c r="L1931" s="8" t="s">
        <v>557</v>
      </c>
      <c r="M1931" s="1" t="s">
        <v>207</v>
      </c>
      <c r="N1931" s="8" t="s">
        <v>208</v>
      </c>
      <c r="O1931" s="6">
        <v>0</v>
      </c>
      <c r="P1931" s="6">
        <v>0</v>
      </c>
      <c r="Q1931" s="6">
        <v>0</v>
      </c>
      <c r="R1931" s="6">
        <v>0</v>
      </c>
      <c r="S1931" s="6">
        <v>365</v>
      </c>
    </row>
    <row r="1932" spans="1:19" ht="15" hidden="1" x14ac:dyDescent="0.25">
      <c r="A1932" s="7" t="s">
        <v>16</v>
      </c>
      <c r="B1932" s="7" t="s">
        <v>22</v>
      </c>
      <c r="C1932" s="7" t="s">
        <v>18</v>
      </c>
      <c r="D1932" s="4">
        <v>2837922000183</v>
      </c>
      <c r="E1932" s="8" t="s">
        <v>563</v>
      </c>
      <c r="F1932" s="8" t="s">
        <v>29</v>
      </c>
      <c r="G1932" s="8" t="s">
        <v>19</v>
      </c>
      <c r="H1932" s="8" t="s">
        <v>215</v>
      </c>
      <c r="I1932" s="3">
        <v>2</v>
      </c>
      <c r="J1932" s="8" t="s">
        <v>161</v>
      </c>
      <c r="K1932" s="8" t="s">
        <v>162</v>
      </c>
      <c r="L1932" s="8" t="s">
        <v>556</v>
      </c>
      <c r="M1932" s="1" t="s">
        <v>207</v>
      </c>
      <c r="N1932" s="8" t="s">
        <v>208</v>
      </c>
      <c r="O1932" s="6">
        <v>0</v>
      </c>
      <c r="P1932" s="6">
        <v>0</v>
      </c>
      <c r="Q1932" s="6">
        <v>0</v>
      </c>
      <c r="R1932" s="6">
        <v>150</v>
      </c>
      <c r="S1932" s="6">
        <v>0</v>
      </c>
    </row>
    <row r="1933" spans="1:19" ht="15" hidden="1" x14ac:dyDescent="0.25">
      <c r="A1933" s="7" t="s">
        <v>16</v>
      </c>
      <c r="B1933" s="7" t="s">
        <v>22</v>
      </c>
      <c r="C1933" s="7" t="s">
        <v>18</v>
      </c>
      <c r="D1933" s="4">
        <v>2837922000183</v>
      </c>
      <c r="E1933" s="8" t="s">
        <v>563</v>
      </c>
      <c r="F1933" s="8" t="s">
        <v>29</v>
      </c>
      <c r="G1933" s="8" t="s">
        <v>19</v>
      </c>
      <c r="H1933" s="8" t="s">
        <v>215</v>
      </c>
      <c r="I1933" s="3">
        <v>2</v>
      </c>
      <c r="J1933" s="8" t="s">
        <v>147</v>
      </c>
      <c r="K1933" s="8" t="s">
        <v>148</v>
      </c>
      <c r="L1933" s="8" t="s">
        <v>557</v>
      </c>
      <c r="M1933" s="1" t="s">
        <v>207</v>
      </c>
      <c r="N1933" s="8" t="s">
        <v>208</v>
      </c>
      <c r="O1933" s="6">
        <v>0</v>
      </c>
      <c r="P1933" s="6">
        <v>0</v>
      </c>
      <c r="Q1933" s="6">
        <v>0</v>
      </c>
      <c r="R1933" s="6">
        <v>0</v>
      </c>
      <c r="S1933" s="6">
        <v>0</v>
      </c>
    </row>
    <row r="1934" spans="1:19" ht="15" hidden="1" x14ac:dyDescent="0.25">
      <c r="A1934" s="7" t="s">
        <v>16</v>
      </c>
      <c r="B1934" s="7" t="s">
        <v>22</v>
      </c>
      <c r="C1934" s="7" t="s">
        <v>18</v>
      </c>
      <c r="D1934" s="4">
        <v>61599908000158</v>
      </c>
      <c r="E1934" s="8" t="s">
        <v>631</v>
      </c>
      <c r="F1934" s="8" t="s">
        <v>29</v>
      </c>
      <c r="G1934" s="8" t="s">
        <v>19</v>
      </c>
      <c r="H1934" s="8" t="s">
        <v>215</v>
      </c>
      <c r="I1934" s="3">
        <v>2</v>
      </c>
      <c r="J1934" s="8" t="s">
        <v>1355</v>
      </c>
      <c r="K1934" s="8" t="s">
        <v>1356</v>
      </c>
      <c r="L1934" s="8" t="s">
        <v>556</v>
      </c>
      <c r="M1934" s="1" t="s">
        <v>207</v>
      </c>
      <c r="N1934" s="8" t="s">
        <v>208</v>
      </c>
      <c r="O1934" s="6">
        <v>0</v>
      </c>
      <c r="P1934" s="6">
        <v>0</v>
      </c>
      <c r="Q1934" s="6">
        <v>0</v>
      </c>
      <c r="R1934" s="6">
        <v>0</v>
      </c>
      <c r="S1934" s="6">
        <v>0</v>
      </c>
    </row>
    <row r="1935" spans="1:19" ht="15" hidden="1" x14ac:dyDescent="0.25">
      <c r="A1935" s="7" t="s">
        <v>16</v>
      </c>
      <c r="B1935" s="7" t="s">
        <v>22</v>
      </c>
      <c r="C1935" s="7" t="s">
        <v>18</v>
      </c>
      <c r="D1935" s="4">
        <v>61599908000158</v>
      </c>
      <c r="E1935" s="8" t="s">
        <v>631</v>
      </c>
      <c r="F1935" s="8" t="s">
        <v>29</v>
      </c>
      <c r="G1935" s="8" t="s">
        <v>19</v>
      </c>
      <c r="H1935" s="8" t="s">
        <v>215</v>
      </c>
      <c r="I1935" s="3">
        <v>2</v>
      </c>
      <c r="J1935" s="8" t="s">
        <v>183</v>
      </c>
      <c r="K1935" s="8" t="s">
        <v>184</v>
      </c>
      <c r="L1935" s="8" t="s">
        <v>557</v>
      </c>
      <c r="M1935" s="1" t="s">
        <v>207</v>
      </c>
      <c r="N1935" s="8" t="s">
        <v>208</v>
      </c>
      <c r="O1935" s="6">
        <v>0</v>
      </c>
      <c r="P1935" s="6">
        <v>150</v>
      </c>
      <c r="Q1935" s="6">
        <v>50</v>
      </c>
      <c r="R1935" s="6">
        <v>0</v>
      </c>
      <c r="S1935" s="6">
        <v>0</v>
      </c>
    </row>
    <row r="1936" spans="1:19" ht="15" hidden="1" x14ac:dyDescent="0.25">
      <c r="A1936" s="7" t="s">
        <v>16</v>
      </c>
      <c r="B1936" s="7" t="s">
        <v>22</v>
      </c>
      <c r="C1936" s="7" t="s">
        <v>18</v>
      </c>
      <c r="D1936" s="4">
        <v>7045325000130</v>
      </c>
      <c r="E1936" s="8" t="s">
        <v>571</v>
      </c>
      <c r="F1936" s="8" t="s">
        <v>29</v>
      </c>
      <c r="G1936" s="8" t="s">
        <v>19</v>
      </c>
      <c r="H1936" s="8" t="s">
        <v>215</v>
      </c>
      <c r="I1936" s="3">
        <v>2</v>
      </c>
      <c r="J1936" s="8" t="s">
        <v>161</v>
      </c>
      <c r="K1936" s="8" t="s">
        <v>162</v>
      </c>
      <c r="L1936" s="8" t="s">
        <v>556</v>
      </c>
      <c r="M1936" s="1" t="s">
        <v>207</v>
      </c>
      <c r="N1936" s="8" t="s">
        <v>208</v>
      </c>
      <c r="O1936" s="6">
        <v>0</v>
      </c>
      <c r="P1936" s="6">
        <v>0</v>
      </c>
      <c r="Q1936" s="6">
        <v>0</v>
      </c>
      <c r="R1936" s="6">
        <v>56</v>
      </c>
      <c r="S1936" s="6">
        <v>0</v>
      </c>
    </row>
    <row r="1937" spans="1:19" ht="15" hidden="1" x14ac:dyDescent="0.25">
      <c r="A1937" s="7" t="s">
        <v>16</v>
      </c>
      <c r="B1937" s="7" t="s">
        <v>22</v>
      </c>
      <c r="C1937" s="7" t="s">
        <v>18</v>
      </c>
      <c r="D1937" s="4">
        <v>7045325000130</v>
      </c>
      <c r="E1937" s="8" t="s">
        <v>571</v>
      </c>
      <c r="F1937" s="8" t="s">
        <v>29</v>
      </c>
      <c r="G1937" s="8" t="s">
        <v>19</v>
      </c>
      <c r="H1937" s="8" t="s">
        <v>215</v>
      </c>
      <c r="I1937" s="3">
        <v>2</v>
      </c>
      <c r="J1937" s="8" t="s">
        <v>147</v>
      </c>
      <c r="K1937" s="8" t="s">
        <v>148</v>
      </c>
      <c r="L1937" s="8" t="s">
        <v>557</v>
      </c>
      <c r="M1937" s="1" t="s">
        <v>207</v>
      </c>
      <c r="N1937" s="8" t="s">
        <v>208</v>
      </c>
      <c r="O1937" s="6">
        <v>0</v>
      </c>
      <c r="P1937" s="6">
        <v>0</v>
      </c>
      <c r="Q1937" s="6">
        <v>0</v>
      </c>
      <c r="R1937" s="6">
        <v>0</v>
      </c>
      <c r="S1937" s="6">
        <v>0</v>
      </c>
    </row>
    <row r="1938" spans="1:19" ht="15" hidden="1" x14ac:dyDescent="0.25">
      <c r="A1938" s="7" t="s">
        <v>16</v>
      </c>
      <c r="B1938" s="7" t="s">
        <v>22</v>
      </c>
      <c r="C1938" s="7" t="s">
        <v>18</v>
      </c>
      <c r="D1938" s="4">
        <v>6047087000210</v>
      </c>
      <c r="E1938" s="8" t="s">
        <v>569</v>
      </c>
      <c r="F1938" s="8" t="s">
        <v>29</v>
      </c>
      <c r="G1938" s="8" t="s">
        <v>19</v>
      </c>
      <c r="H1938" s="8" t="s">
        <v>215</v>
      </c>
      <c r="I1938" s="3">
        <v>2</v>
      </c>
      <c r="J1938" s="8" t="s">
        <v>161</v>
      </c>
      <c r="K1938" s="8" t="s">
        <v>162</v>
      </c>
      <c r="L1938" s="8" t="s">
        <v>556</v>
      </c>
      <c r="M1938" s="1" t="s">
        <v>207</v>
      </c>
      <c r="N1938" s="8" t="s">
        <v>208</v>
      </c>
      <c r="O1938" s="6">
        <v>0</v>
      </c>
      <c r="P1938" s="6">
        <v>0</v>
      </c>
      <c r="Q1938" s="6">
        <v>0</v>
      </c>
      <c r="R1938" s="6">
        <v>0</v>
      </c>
      <c r="S1938" s="6">
        <v>0</v>
      </c>
    </row>
    <row r="1939" spans="1:19" ht="15" hidden="1" x14ac:dyDescent="0.25">
      <c r="A1939" s="7" t="s">
        <v>16</v>
      </c>
      <c r="B1939" s="7" t="s">
        <v>22</v>
      </c>
      <c r="C1939" s="7" t="s">
        <v>18</v>
      </c>
      <c r="D1939" s="4">
        <v>6047087000210</v>
      </c>
      <c r="E1939" s="8" t="s">
        <v>569</v>
      </c>
      <c r="F1939" s="8" t="s">
        <v>29</v>
      </c>
      <c r="G1939" s="8" t="s">
        <v>19</v>
      </c>
      <c r="H1939" s="8" t="s">
        <v>215</v>
      </c>
      <c r="I1939" s="3">
        <v>2</v>
      </c>
      <c r="J1939" s="8" t="s">
        <v>147</v>
      </c>
      <c r="K1939" s="8" t="s">
        <v>148</v>
      </c>
      <c r="L1939" s="8" t="s">
        <v>557</v>
      </c>
      <c r="M1939" s="1" t="s">
        <v>207</v>
      </c>
      <c r="N1939" s="8" t="s">
        <v>208</v>
      </c>
      <c r="O1939" s="6">
        <v>0</v>
      </c>
      <c r="P1939" s="6">
        <v>36</v>
      </c>
      <c r="Q1939" s="6">
        <v>20</v>
      </c>
      <c r="R1939" s="6">
        <v>0</v>
      </c>
      <c r="S1939" s="6">
        <v>0</v>
      </c>
    </row>
    <row r="1940" spans="1:19" ht="15" hidden="1" x14ac:dyDescent="0.25">
      <c r="A1940" s="7" t="s">
        <v>16</v>
      </c>
      <c r="B1940" s="7" t="s">
        <v>22</v>
      </c>
      <c r="C1940" s="7" t="s">
        <v>18</v>
      </c>
      <c r="D1940" s="4">
        <v>60961422000155</v>
      </c>
      <c r="E1940" s="8" t="s">
        <v>620</v>
      </c>
      <c r="F1940" s="8" t="s">
        <v>29</v>
      </c>
      <c r="G1940" s="8" t="s">
        <v>19</v>
      </c>
      <c r="H1940" s="8" t="s">
        <v>215</v>
      </c>
      <c r="I1940" s="3">
        <v>2</v>
      </c>
      <c r="J1940" s="8" t="s">
        <v>161</v>
      </c>
      <c r="K1940" s="8" t="s">
        <v>162</v>
      </c>
      <c r="L1940" s="8" t="s">
        <v>556</v>
      </c>
      <c r="M1940" s="1" t="s">
        <v>207</v>
      </c>
      <c r="N1940" s="8" t="s">
        <v>208</v>
      </c>
      <c r="O1940" s="6">
        <v>4</v>
      </c>
      <c r="P1940" s="6">
        <v>0</v>
      </c>
      <c r="Q1940" s="6">
        <v>0</v>
      </c>
      <c r="R1940" s="6">
        <v>0</v>
      </c>
      <c r="S1940" s="6">
        <v>20</v>
      </c>
    </row>
    <row r="1941" spans="1:19" ht="15" hidden="1" x14ac:dyDescent="0.25">
      <c r="A1941" s="7" t="s">
        <v>16</v>
      </c>
      <c r="B1941" s="7" t="s">
        <v>22</v>
      </c>
      <c r="C1941" s="7" t="s">
        <v>18</v>
      </c>
      <c r="D1941" s="4">
        <v>60961422000155</v>
      </c>
      <c r="E1941" s="8" t="s">
        <v>620</v>
      </c>
      <c r="F1941" s="8" t="s">
        <v>29</v>
      </c>
      <c r="G1941" s="8" t="s">
        <v>19</v>
      </c>
      <c r="H1941" s="8" t="s">
        <v>215</v>
      </c>
      <c r="I1941" s="3">
        <v>2</v>
      </c>
      <c r="J1941" s="8" t="s">
        <v>147</v>
      </c>
      <c r="K1941" s="8" t="s">
        <v>148</v>
      </c>
      <c r="L1941" s="8" t="s">
        <v>557</v>
      </c>
      <c r="M1941" s="1" t="s">
        <v>207</v>
      </c>
      <c r="N1941" s="8" t="s">
        <v>208</v>
      </c>
      <c r="O1941" s="6">
        <v>0</v>
      </c>
      <c r="P1941" s="6">
        <v>6</v>
      </c>
      <c r="Q1941" s="6">
        <v>8</v>
      </c>
      <c r="R1941" s="6">
        <v>0</v>
      </c>
      <c r="S1941" s="6">
        <v>20</v>
      </c>
    </row>
    <row r="1942" spans="1:19" ht="15" hidden="1" x14ac:dyDescent="0.25">
      <c r="A1942" s="7" t="s">
        <v>16</v>
      </c>
      <c r="B1942" s="7" t="s">
        <v>22</v>
      </c>
      <c r="C1942" s="7" t="s">
        <v>18</v>
      </c>
      <c r="D1942" s="4">
        <v>61590410000124</v>
      </c>
      <c r="E1942" s="8" t="s">
        <v>630</v>
      </c>
      <c r="F1942" s="8" t="s">
        <v>29</v>
      </c>
      <c r="G1942" s="8" t="s">
        <v>19</v>
      </c>
      <c r="H1942" s="8" t="s">
        <v>215</v>
      </c>
      <c r="I1942" s="3">
        <v>2</v>
      </c>
      <c r="J1942" s="8" t="s">
        <v>1355</v>
      </c>
      <c r="K1942" s="8" t="s">
        <v>1356</v>
      </c>
      <c r="L1942" s="8" t="s">
        <v>556</v>
      </c>
      <c r="M1942" s="1" t="s">
        <v>207</v>
      </c>
      <c r="N1942" s="8" t="s">
        <v>208</v>
      </c>
      <c r="O1942" s="6">
        <v>0</v>
      </c>
      <c r="P1942" s="6">
        <v>0</v>
      </c>
      <c r="Q1942" s="6">
        <v>0</v>
      </c>
      <c r="R1942" s="6">
        <v>0</v>
      </c>
      <c r="S1942" s="6">
        <v>1745</v>
      </c>
    </row>
    <row r="1943" spans="1:19" ht="15" hidden="1" x14ac:dyDescent="0.25">
      <c r="A1943" s="7" t="s">
        <v>16</v>
      </c>
      <c r="B1943" s="7" t="s">
        <v>22</v>
      </c>
      <c r="C1943" s="7" t="s">
        <v>18</v>
      </c>
      <c r="D1943" s="4">
        <v>61590410000124</v>
      </c>
      <c r="E1943" s="8" t="s">
        <v>630</v>
      </c>
      <c r="F1943" s="8" t="s">
        <v>29</v>
      </c>
      <c r="G1943" s="8" t="s">
        <v>19</v>
      </c>
      <c r="H1943" s="8" t="s">
        <v>215</v>
      </c>
      <c r="I1943" s="3">
        <v>2</v>
      </c>
      <c r="J1943" s="8" t="s">
        <v>177</v>
      </c>
      <c r="K1943" s="8" t="s">
        <v>178</v>
      </c>
      <c r="L1943" s="8" t="s">
        <v>557</v>
      </c>
      <c r="M1943" s="1" t="s">
        <v>207</v>
      </c>
      <c r="N1943" s="8" t="s">
        <v>208</v>
      </c>
      <c r="O1943" s="6">
        <v>0</v>
      </c>
      <c r="P1943" s="6">
        <v>16</v>
      </c>
      <c r="Q1943" s="6">
        <v>56</v>
      </c>
      <c r="R1943" s="6">
        <v>0</v>
      </c>
      <c r="S1943" s="6">
        <v>1745</v>
      </c>
    </row>
    <row r="1944" spans="1:19" ht="15" hidden="1" x14ac:dyDescent="0.25">
      <c r="A1944" s="7" t="s">
        <v>16</v>
      </c>
      <c r="B1944" s="7" t="s">
        <v>22</v>
      </c>
      <c r="C1944" s="7" t="s">
        <v>18</v>
      </c>
      <c r="D1944" s="4">
        <v>19803199000114</v>
      </c>
      <c r="E1944" s="8" t="s">
        <v>587</v>
      </c>
      <c r="F1944" s="8" t="s">
        <v>29</v>
      </c>
      <c r="G1944" s="8" t="s">
        <v>19</v>
      </c>
      <c r="H1944" s="8" t="s">
        <v>215</v>
      </c>
      <c r="I1944" s="3">
        <v>2</v>
      </c>
      <c r="J1944" s="8" t="s">
        <v>161</v>
      </c>
      <c r="K1944" s="8" t="s">
        <v>162</v>
      </c>
      <c r="L1944" s="8" t="s">
        <v>556</v>
      </c>
      <c r="M1944" s="1" t="s">
        <v>207</v>
      </c>
      <c r="N1944" s="8" t="s">
        <v>208</v>
      </c>
      <c r="O1944" s="6">
        <v>0</v>
      </c>
      <c r="P1944" s="6">
        <v>0</v>
      </c>
      <c r="Q1944" s="6">
        <v>0</v>
      </c>
      <c r="R1944" s="6">
        <v>0</v>
      </c>
      <c r="S1944" s="6">
        <v>125</v>
      </c>
    </row>
    <row r="1945" spans="1:19" ht="15" hidden="1" x14ac:dyDescent="0.25">
      <c r="A1945" s="7" t="s">
        <v>16</v>
      </c>
      <c r="B1945" s="7" t="s">
        <v>22</v>
      </c>
      <c r="C1945" s="7" t="s">
        <v>18</v>
      </c>
      <c r="D1945" s="4">
        <v>19803199000114</v>
      </c>
      <c r="E1945" s="8" t="s">
        <v>587</v>
      </c>
      <c r="F1945" s="8" t="s">
        <v>29</v>
      </c>
      <c r="G1945" s="8" t="s">
        <v>19</v>
      </c>
      <c r="H1945" s="8" t="s">
        <v>215</v>
      </c>
      <c r="I1945" s="3">
        <v>2</v>
      </c>
      <c r="J1945" s="8" t="s">
        <v>183</v>
      </c>
      <c r="K1945" s="8" t="s">
        <v>184</v>
      </c>
      <c r="L1945" s="8" t="s">
        <v>557</v>
      </c>
      <c r="M1945" s="1" t="s">
        <v>207</v>
      </c>
      <c r="N1945" s="8" t="s">
        <v>208</v>
      </c>
      <c r="O1945" s="6">
        <v>0</v>
      </c>
      <c r="P1945" s="6">
        <v>4</v>
      </c>
      <c r="Q1945" s="6">
        <v>0</v>
      </c>
      <c r="R1945" s="6">
        <v>0</v>
      </c>
      <c r="S1945" s="6">
        <v>125</v>
      </c>
    </row>
    <row r="1946" spans="1:19" ht="15" hidden="1" x14ac:dyDescent="0.25">
      <c r="A1946" s="7" t="s">
        <v>16</v>
      </c>
      <c r="B1946" s="7" t="s">
        <v>22</v>
      </c>
      <c r="C1946" s="7" t="s">
        <v>18</v>
      </c>
      <c r="D1946" s="4">
        <v>20812223000241</v>
      </c>
      <c r="E1946" s="8" t="s">
        <v>588</v>
      </c>
      <c r="F1946" s="8" t="s">
        <v>29</v>
      </c>
      <c r="G1946" s="8" t="s">
        <v>19</v>
      </c>
      <c r="H1946" s="8" t="s">
        <v>215</v>
      </c>
      <c r="I1946" s="3">
        <v>2</v>
      </c>
      <c r="J1946" s="8" t="s">
        <v>161</v>
      </c>
      <c r="K1946" s="8" t="s">
        <v>162</v>
      </c>
      <c r="L1946" s="8" t="s">
        <v>556</v>
      </c>
      <c r="M1946" s="1" t="s">
        <v>207</v>
      </c>
      <c r="N1946" s="8" t="s">
        <v>208</v>
      </c>
      <c r="O1946" s="6">
        <v>0</v>
      </c>
      <c r="P1946" s="6">
        <v>0</v>
      </c>
      <c r="Q1946" s="6">
        <v>0</v>
      </c>
      <c r="R1946" s="6">
        <v>10</v>
      </c>
      <c r="S1946" s="6">
        <v>0</v>
      </c>
    </row>
    <row r="1947" spans="1:19" ht="15" hidden="1" x14ac:dyDescent="0.25">
      <c r="A1947" s="7" t="s">
        <v>16</v>
      </c>
      <c r="B1947" s="7" t="s">
        <v>22</v>
      </c>
      <c r="C1947" s="7" t="s">
        <v>18</v>
      </c>
      <c r="D1947" s="4">
        <v>20812223000241</v>
      </c>
      <c r="E1947" s="8" t="s">
        <v>588</v>
      </c>
      <c r="F1947" s="8" t="s">
        <v>29</v>
      </c>
      <c r="G1947" s="8" t="s">
        <v>19</v>
      </c>
      <c r="H1947" s="8" t="s">
        <v>215</v>
      </c>
      <c r="I1947" s="3">
        <v>2</v>
      </c>
      <c r="J1947" s="8" t="s">
        <v>147</v>
      </c>
      <c r="K1947" s="8" t="s">
        <v>148</v>
      </c>
      <c r="L1947" s="8" t="s">
        <v>557</v>
      </c>
      <c r="M1947" s="1" t="s">
        <v>207</v>
      </c>
      <c r="N1947" s="8" t="s">
        <v>208</v>
      </c>
      <c r="O1947" s="6">
        <v>0</v>
      </c>
      <c r="P1947" s="6">
        <v>0</v>
      </c>
      <c r="Q1947" s="6">
        <v>0</v>
      </c>
      <c r="R1947" s="6">
        <v>0</v>
      </c>
      <c r="S1947" s="6">
        <v>0</v>
      </c>
    </row>
    <row r="1948" spans="1:19" ht="15" hidden="1" x14ac:dyDescent="0.25">
      <c r="A1948" s="7" t="s">
        <v>16</v>
      </c>
      <c r="B1948" s="7" t="s">
        <v>23</v>
      </c>
      <c r="C1948" s="7" t="s">
        <v>24</v>
      </c>
      <c r="D1948" s="4">
        <v>44482299472</v>
      </c>
      <c r="E1948" s="8" t="s">
        <v>741</v>
      </c>
      <c r="F1948" s="8" t="s">
        <v>742</v>
      </c>
      <c r="G1948" s="8" t="s">
        <v>91</v>
      </c>
      <c r="H1948" s="8" t="s">
        <v>215</v>
      </c>
      <c r="I1948" s="3">
        <v>2</v>
      </c>
      <c r="J1948" s="8" t="s">
        <v>199</v>
      </c>
      <c r="K1948" s="8" t="s">
        <v>200</v>
      </c>
      <c r="L1948" s="8" t="s">
        <v>556</v>
      </c>
      <c r="M1948" s="1" t="s">
        <v>211</v>
      </c>
      <c r="N1948" s="8" t="s">
        <v>212</v>
      </c>
      <c r="O1948" s="6">
        <v>30</v>
      </c>
      <c r="P1948" s="6">
        <v>0</v>
      </c>
      <c r="Q1948" s="6">
        <v>0</v>
      </c>
      <c r="R1948" s="6">
        <v>0</v>
      </c>
      <c r="S1948" s="6">
        <v>0</v>
      </c>
    </row>
    <row r="1949" spans="1:19" ht="15" hidden="1" x14ac:dyDescent="0.25">
      <c r="A1949" s="7" t="s">
        <v>16</v>
      </c>
      <c r="B1949" s="7" t="s">
        <v>23</v>
      </c>
      <c r="C1949" s="7" t="s">
        <v>24</v>
      </c>
      <c r="D1949" s="4">
        <v>44482299472</v>
      </c>
      <c r="E1949" s="8" t="s">
        <v>741</v>
      </c>
      <c r="F1949" s="8" t="s">
        <v>742</v>
      </c>
      <c r="G1949" s="8" t="s">
        <v>91</v>
      </c>
      <c r="H1949" s="8" t="s">
        <v>215</v>
      </c>
      <c r="I1949" s="3">
        <v>2</v>
      </c>
      <c r="J1949" s="8" t="s">
        <v>167</v>
      </c>
      <c r="K1949" s="8" t="s">
        <v>168</v>
      </c>
      <c r="L1949" s="8" t="s">
        <v>557</v>
      </c>
      <c r="M1949" s="1" t="s">
        <v>211</v>
      </c>
      <c r="N1949" s="8" t="s">
        <v>212</v>
      </c>
      <c r="O1949" s="6">
        <v>0</v>
      </c>
      <c r="P1949" s="6">
        <v>0</v>
      </c>
      <c r="Q1949" s="6">
        <v>0</v>
      </c>
      <c r="R1949" s="6">
        <v>0</v>
      </c>
      <c r="S1949" s="6">
        <v>0</v>
      </c>
    </row>
    <row r="1950" spans="1:19" ht="15" hidden="1" x14ac:dyDescent="0.25">
      <c r="A1950" s="7" t="s">
        <v>16</v>
      </c>
      <c r="B1950" s="7" t="s">
        <v>23</v>
      </c>
      <c r="C1950" s="7" t="s">
        <v>24</v>
      </c>
      <c r="D1950" s="4">
        <v>5612725000154</v>
      </c>
      <c r="E1950" s="8" t="s">
        <v>800</v>
      </c>
      <c r="F1950" s="8" t="s">
        <v>742</v>
      </c>
      <c r="G1950" s="8" t="s">
        <v>91</v>
      </c>
      <c r="H1950" s="8" t="s">
        <v>215</v>
      </c>
      <c r="I1950" s="3">
        <v>2</v>
      </c>
      <c r="J1950" s="8" t="s">
        <v>199</v>
      </c>
      <c r="K1950" s="8" t="s">
        <v>200</v>
      </c>
      <c r="L1950" s="8" t="s">
        <v>556</v>
      </c>
      <c r="M1950" s="1" t="s">
        <v>211</v>
      </c>
      <c r="N1950" s="8" t="s">
        <v>212</v>
      </c>
      <c r="O1950" s="6">
        <v>0</v>
      </c>
      <c r="P1950" s="6">
        <v>0</v>
      </c>
      <c r="Q1950" s="6">
        <v>0</v>
      </c>
      <c r="R1950" s="6">
        <v>0</v>
      </c>
      <c r="S1950" s="6">
        <v>30</v>
      </c>
    </row>
    <row r="1951" spans="1:19" ht="15" hidden="1" x14ac:dyDescent="0.25">
      <c r="A1951" s="7" t="s">
        <v>16</v>
      </c>
      <c r="B1951" s="7" t="s">
        <v>23</v>
      </c>
      <c r="C1951" s="7" t="s">
        <v>24</v>
      </c>
      <c r="D1951" s="4">
        <v>5612725000154</v>
      </c>
      <c r="E1951" s="8" t="s">
        <v>800</v>
      </c>
      <c r="F1951" s="8" t="s">
        <v>742</v>
      </c>
      <c r="G1951" s="8" t="s">
        <v>91</v>
      </c>
      <c r="H1951" s="8" t="s">
        <v>215</v>
      </c>
      <c r="I1951" s="3">
        <v>2</v>
      </c>
      <c r="J1951" s="8" t="s">
        <v>167</v>
      </c>
      <c r="K1951" s="8" t="s">
        <v>168</v>
      </c>
      <c r="L1951" s="8" t="s">
        <v>557</v>
      </c>
      <c r="M1951" s="1" t="s">
        <v>211</v>
      </c>
      <c r="N1951" s="8" t="s">
        <v>212</v>
      </c>
      <c r="O1951" s="6">
        <v>0</v>
      </c>
      <c r="P1951" s="6">
        <v>0</v>
      </c>
      <c r="Q1951" s="6">
        <v>0</v>
      </c>
      <c r="R1951" s="6">
        <v>0</v>
      </c>
      <c r="S1951" s="6">
        <v>30</v>
      </c>
    </row>
    <row r="1952" spans="1:19" ht="15" hidden="1" x14ac:dyDescent="0.25">
      <c r="A1952" s="7" t="s">
        <v>16</v>
      </c>
      <c r="B1952" s="7" t="s">
        <v>23</v>
      </c>
      <c r="C1952" s="7" t="s">
        <v>24</v>
      </c>
      <c r="D1952" s="4">
        <v>1454407000151</v>
      </c>
      <c r="E1952" s="8" t="s">
        <v>764</v>
      </c>
      <c r="F1952" s="8" t="s">
        <v>742</v>
      </c>
      <c r="G1952" s="8" t="s">
        <v>91</v>
      </c>
      <c r="H1952" s="8" t="s">
        <v>215</v>
      </c>
      <c r="I1952" s="3">
        <v>2</v>
      </c>
      <c r="J1952" s="8" t="s">
        <v>199</v>
      </c>
      <c r="K1952" s="8" t="s">
        <v>200</v>
      </c>
      <c r="L1952" s="8" t="s">
        <v>556</v>
      </c>
      <c r="M1952" s="1" t="s">
        <v>211</v>
      </c>
      <c r="N1952" s="8" t="s">
        <v>212</v>
      </c>
      <c r="O1952" s="6">
        <v>0</v>
      </c>
      <c r="P1952" s="6">
        <v>0</v>
      </c>
      <c r="Q1952" s="6">
        <v>0</v>
      </c>
      <c r="R1952" s="6">
        <v>0</v>
      </c>
      <c r="S1952" s="6">
        <v>260</v>
      </c>
    </row>
    <row r="1953" spans="1:19" ht="15" hidden="1" x14ac:dyDescent="0.25">
      <c r="A1953" s="7" t="s">
        <v>16</v>
      </c>
      <c r="B1953" s="7" t="s">
        <v>23</v>
      </c>
      <c r="C1953" s="7" t="s">
        <v>24</v>
      </c>
      <c r="D1953" s="4">
        <v>1454407000151</v>
      </c>
      <c r="E1953" s="8" t="s">
        <v>764</v>
      </c>
      <c r="F1953" s="8" t="s">
        <v>742</v>
      </c>
      <c r="G1953" s="8" t="s">
        <v>91</v>
      </c>
      <c r="H1953" s="8" t="s">
        <v>215</v>
      </c>
      <c r="I1953" s="3">
        <v>2</v>
      </c>
      <c r="J1953" s="8" t="s">
        <v>167</v>
      </c>
      <c r="K1953" s="8" t="s">
        <v>168</v>
      </c>
      <c r="L1953" s="8" t="s">
        <v>557</v>
      </c>
      <c r="M1953" s="1" t="s">
        <v>211</v>
      </c>
      <c r="N1953" s="8" t="s">
        <v>212</v>
      </c>
      <c r="O1953" s="6">
        <v>0</v>
      </c>
      <c r="P1953" s="6">
        <v>0</v>
      </c>
      <c r="Q1953" s="6">
        <v>0</v>
      </c>
      <c r="R1953" s="6">
        <v>0</v>
      </c>
      <c r="S1953" s="6">
        <v>260</v>
      </c>
    </row>
    <row r="1954" spans="1:19" ht="15" hidden="1" x14ac:dyDescent="0.25">
      <c r="A1954" s="7" t="s">
        <v>16</v>
      </c>
      <c r="B1954" s="7" t="s">
        <v>23</v>
      </c>
      <c r="C1954" s="7" t="s">
        <v>24</v>
      </c>
      <c r="D1954" s="4">
        <v>12442737000496</v>
      </c>
      <c r="E1954" s="8" t="s">
        <v>865</v>
      </c>
      <c r="F1954" s="8" t="s">
        <v>742</v>
      </c>
      <c r="G1954" s="8" t="s">
        <v>91</v>
      </c>
      <c r="H1954" s="8" t="s">
        <v>215</v>
      </c>
      <c r="I1954" s="3">
        <v>2</v>
      </c>
      <c r="J1954" s="8" t="s">
        <v>199</v>
      </c>
      <c r="K1954" s="8" t="s">
        <v>200</v>
      </c>
      <c r="L1954" s="8" t="s">
        <v>556</v>
      </c>
      <c r="M1954" s="1" t="s">
        <v>211</v>
      </c>
      <c r="N1954" s="8" t="s">
        <v>212</v>
      </c>
      <c r="O1954" s="6">
        <v>0</v>
      </c>
      <c r="P1954" s="6">
        <v>0</v>
      </c>
      <c r="Q1954" s="6">
        <v>0</v>
      </c>
      <c r="R1954" s="6">
        <v>0</v>
      </c>
      <c r="S1954" s="6">
        <v>420</v>
      </c>
    </row>
    <row r="1955" spans="1:19" ht="15" hidden="1" x14ac:dyDescent="0.25">
      <c r="A1955" s="7" t="s">
        <v>16</v>
      </c>
      <c r="B1955" s="7" t="s">
        <v>23</v>
      </c>
      <c r="C1955" s="7" t="s">
        <v>24</v>
      </c>
      <c r="D1955" s="4">
        <v>12442737000496</v>
      </c>
      <c r="E1955" s="8" t="s">
        <v>865</v>
      </c>
      <c r="F1955" s="8" t="s">
        <v>742</v>
      </c>
      <c r="G1955" s="8" t="s">
        <v>91</v>
      </c>
      <c r="H1955" s="8" t="s">
        <v>215</v>
      </c>
      <c r="I1955" s="3">
        <v>2</v>
      </c>
      <c r="J1955" s="8" t="s">
        <v>167</v>
      </c>
      <c r="K1955" s="8" t="s">
        <v>168</v>
      </c>
      <c r="L1955" s="8" t="s">
        <v>557</v>
      </c>
      <c r="M1955" s="1" t="s">
        <v>211</v>
      </c>
      <c r="N1955" s="8" t="s">
        <v>212</v>
      </c>
      <c r="O1955" s="6">
        <v>0</v>
      </c>
      <c r="P1955" s="6">
        <v>0</v>
      </c>
      <c r="Q1955" s="6">
        <v>0</v>
      </c>
      <c r="R1955" s="6">
        <v>0</v>
      </c>
      <c r="S1955" s="6">
        <v>420</v>
      </c>
    </row>
    <row r="1956" spans="1:19" ht="15" hidden="1" x14ac:dyDescent="0.25">
      <c r="A1956" s="7" t="s">
        <v>16</v>
      </c>
      <c r="B1956" s="7" t="s">
        <v>23</v>
      </c>
      <c r="C1956" s="7" t="s">
        <v>24</v>
      </c>
      <c r="D1956" s="4">
        <v>3866223000124</v>
      </c>
      <c r="E1956" s="8" t="s">
        <v>792</v>
      </c>
      <c r="F1956" s="8" t="s">
        <v>742</v>
      </c>
      <c r="G1956" s="8" t="s">
        <v>91</v>
      </c>
      <c r="H1956" s="8" t="s">
        <v>215</v>
      </c>
      <c r="I1956" s="3">
        <v>2</v>
      </c>
      <c r="J1956" s="8" t="s">
        <v>199</v>
      </c>
      <c r="K1956" s="8" t="s">
        <v>200</v>
      </c>
      <c r="L1956" s="8" t="s">
        <v>556</v>
      </c>
      <c r="M1956" s="1" t="s">
        <v>211</v>
      </c>
      <c r="N1956" s="8" t="s">
        <v>212</v>
      </c>
      <c r="O1956" s="6">
        <v>0</v>
      </c>
      <c r="P1956" s="6">
        <v>0</v>
      </c>
      <c r="Q1956" s="6">
        <v>0</v>
      </c>
      <c r="R1956" s="6">
        <v>0</v>
      </c>
      <c r="S1956" s="6">
        <v>615</v>
      </c>
    </row>
    <row r="1957" spans="1:19" ht="15" hidden="1" x14ac:dyDescent="0.25">
      <c r="A1957" s="7" t="s">
        <v>16</v>
      </c>
      <c r="B1957" s="7" t="s">
        <v>23</v>
      </c>
      <c r="C1957" s="7" t="s">
        <v>24</v>
      </c>
      <c r="D1957" s="4">
        <v>3866223000124</v>
      </c>
      <c r="E1957" s="8" t="s">
        <v>792</v>
      </c>
      <c r="F1957" s="8" t="s">
        <v>742</v>
      </c>
      <c r="G1957" s="8" t="s">
        <v>91</v>
      </c>
      <c r="H1957" s="8" t="s">
        <v>215</v>
      </c>
      <c r="I1957" s="3">
        <v>2</v>
      </c>
      <c r="J1957" s="8" t="s">
        <v>167</v>
      </c>
      <c r="K1957" s="8" t="s">
        <v>168</v>
      </c>
      <c r="L1957" s="8" t="s">
        <v>557</v>
      </c>
      <c r="M1957" s="1" t="s">
        <v>211</v>
      </c>
      <c r="N1957" s="8" t="s">
        <v>212</v>
      </c>
      <c r="O1957" s="6">
        <v>0</v>
      </c>
      <c r="P1957" s="6">
        <v>0</v>
      </c>
      <c r="Q1957" s="6">
        <v>0</v>
      </c>
      <c r="R1957" s="6">
        <v>0</v>
      </c>
      <c r="S1957" s="6">
        <v>615</v>
      </c>
    </row>
    <row r="1958" spans="1:19" ht="15" hidden="1" x14ac:dyDescent="0.25">
      <c r="A1958" s="7" t="s">
        <v>16</v>
      </c>
      <c r="B1958" s="7" t="s">
        <v>23</v>
      </c>
      <c r="C1958" s="7" t="s">
        <v>24</v>
      </c>
      <c r="D1958" s="4">
        <v>12307187000150</v>
      </c>
      <c r="E1958" s="8" t="s">
        <v>848</v>
      </c>
      <c r="F1958" s="8" t="s">
        <v>742</v>
      </c>
      <c r="G1958" s="8" t="s">
        <v>91</v>
      </c>
      <c r="H1958" s="8" t="s">
        <v>215</v>
      </c>
      <c r="I1958" s="3">
        <v>2</v>
      </c>
      <c r="J1958" s="8" t="s">
        <v>199</v>
      </c>
      <c r="K1958" s="8" t="s">
        <v>200</v>
      </c>
      <c r="L1958" s="8" t="s">
        <v>556</v>
      </c>
      <c r="M1958" s="1" t="s">
        <v>211</v>
      </c>
      <c r="N1958" s="8" t="s">
        <v>212</v>
      </c>
      <c r="O1958" s="6">
        <v>0</v>
      </c>
      <c r="P1958" s="6">
        <v>0</v>
      </c>
      <c r="Q1958" s="6">
        <v>0</v>
      </c>
      <c r="R1958" s="6">
        <v>0</v>
      </c>
      <c r="S1958" s="6">
        <v>210</v>
      </c>
    </row>
    <row r="1959" spans="1:19" ht="15" hidden="1" x14ac:dyDescent="0.25">
      <c r="A1959" s="7" t="s">
        <v>16</v>
      </c>
      <c r="B1959" s="7" t="s">
        <v>23</v>
      </c>
      <c r="C1959" s="7" t="s">
        <v>24</v>
      </c>
      <c r="D1959" s="4">
        <v>12307187000150</v>
      </c>
      <c r="E1959" s="8" t="s">
        <v>848</v>
      </c>
      <c r="F1959" s="8" t="s">
        <v>742</v>
      </c>
      <c r="G1959" s="8" t="s">
        <v>91</v>
      </c>
      <c r="H1959" s="8" t="s">
        <v>215</v>
      </c>
      <c r="I1959" s="3">
        <v>2</v>
      </c>
      <c r="J1959" s="8" t="s">
        <v>167</v>
      </c>
      <c r="K1959" s="8" t="s">
        <v>168</v>
      </c>
      <c r="L1959" s="8" t="s">
        <v>557</v>
      </c>
      <c r="M1959" s="1" t="s">
        <v>211</v>
      </c>
      <c r="N1959" s="8" t="s">
        <v>212</v>
      </c>
      <c r="O1959" s="6">
        <v>0</v>
      </c>
      <c r="P1959" s="6">
        <v>0</v>
      </c>
      <c r="Q1959" s="6">
        <v>0</v>
      </c>
      <c r="R1959" s="6">
        <v>0</v>
      </c>
      <c r="S1959" s="6">
        <v>210</v>
      </c>
    </row>
    <row r="1960" spans="1:19" ht="15" hidden="1" x14ac:dyDescent="0.25">
      <c r="A1960" s="7" t="s">
        <v>16</v>
      </c>
      <c r="B1960" s="7" t="s">
        <v>23</v>
      </c>
      <c r="C1960" s="7" t="s">
        <v>24</v>
      </c>
      <c r="D1960" s="4">
        <v>12361267011632</v>
      </c>
      <c r="E1960" s="8" t="s">
        <v>1160</v>
      </c>
      <c r="F1960" s="8" t="s">
        <v>109</v>
      </c>
      <c r="G1960" s="8" t="s">
        <v>110</v>
      </c>
      <c r="H1960" s="8" t="s">
        <v>215</v>
      </c>
      <c r="I1960" s="3">
        <v>1</v>
      </c>
      <c r="J1960" s="8" t="s">
        <v>201</v>
      </c>
      <c r="K1960" s="8" t="s">
        <v>202</v>
      </c>
      <c r="L1960" s="8" t="s">
        <v>740</v>
      </c>
      <c r="M1960" s="1" t="s">
        <v>211</v>
      </c>
      <c r="N1960" s="8" t="s">
        <v>212</v>
      </c>
      <c r="O1960" s="6">
        <v>0</v>
      </c>
      <c r="P1960" s="6">
        <v>1</v>
      </c>
      <c r="Q1960" s="6">
        <v>0</v>
      </c>
      <c r="R1960" s="6">
        <v>0</v>
      </c>
      <c r="S1960" s="6">
        <v>0</v>
      </c>
    </row>
    <row r="1961" spans="1:19" ht="15" hidden="1" x14ac:dyDescent="0.25">
      <c r="A1961" s="7" t="s">
        <v>16</v>
      </c>
      <c r="B1961" s="7" t="s">
        <v>23</v>
      </c>
      <c r="C1961" s="7" t="s">
        <v>24</v>
      </c>
      <c r="D1961" s="4">
        <v>4159778000107</v>
      </c>
      <c r="E1961" s="8" t="s">
        <v>1144</v>
      </c>
      <c r="F1961" s="8" t="s">
        <v>109</v>
      </c>
      <c r="G1961" s="8" t="s">
        <v>110</v>
      </c>
      <c r="H1961" s="8" t="s">
        <v>215</v>
      </c>
      <c r="I1961" s="3">
        <v>1</v>
      </c>
      <c r="J1961" s="8" t="s">
        <v>201</v>
      </c>
      <c r="K1961" s="8" t="s">
        <v>202</v>
      </c>
      <c r="L1961" s="8" t="s">
        <v>740</v>
      </c>
      <c r="M1961" s="1" t="s">
        <v>211</v>
      </c>
      <c r="N1961" s="8" t="s">
        <v>212</v>
      </c>
      <c r="O1961" s="6">
        <v>0</v>
      </c>
      <c r="P1961" s="6">
        <v>3</v>
      </c>
      <c r="Q1961" s="6">
        <v>10</v>
      </c>
      <c r="R1961" s="6">
        <v>0</v>
      </c>
      <c r="S1961" s="6">
        <v>0</v>
      </c>
    </row>
    <row r="1962" spans="1:19" ht="15" hidden="1" x14ac:dyDescent="0.25">
      <c r="A1962" s="7" t="s">
        <v>16</v>
      </c>
      <c r="B1962" s="7" t="s">
        <v>23</v>
      </c>
      <c r="C1962" s="7" t="s">
        <v>24</v>
      </c>
      <c r="D1962" s="4">
        <v>84537141000138</v>
      </c>
      <c r="E1962" s="8" t="s">
        <v>1238</v>
      </c>
      <c r="F1962" s="8" t="s">
        <v>109</v>
      </c>
      <c r="G1962" s="8" t="s">
        <v>110</v>
      </c>
      <c r="H1962" s="8" t="s">
        <v>215</v>
      </c>
      <c r="I1962" s="3">
        <v>1</v>
      </c>
      <c r="J1962" s="8" t="s">
        <v>201</v>
      </c>
      <c r="K1962" s="8" t="s">
        <v>202</v>
      </c>
      <c r="L1962" s="8" t="s">
        <v>740</v>
      </c>
      <c r="M1962" s="1" t="s">
        <v>211</v>
      </c>
      <c r="N1962" s="8" t="s">
        <v>212</v>
      </c>
      <c r="O1962" s="6">
        <v>0</v>
      </c>
      <c r="P1962" s="6">
        <v>0</v>
      </c>
      <c r="Q1962" s="6">
        <v>6</v>
      </c>
      <c r="R1962" s="6">
        <v>0</v>
      </c>
      <c r="S1962" s="6">
        <v>0</v>
      </c>
    </row>
    <row r="1963" spans="1:19" ht="15" hidden="1" x14ac:dyDescent="0.25">
      <c r="A1963" s="7" t="s">
        <v>16</v>
      </c>
      <c r="B1963" s="7" t="s">
        <v>23</v>
      </c>
      <c r="C1963" s="7" t="s">
        <v>24</v>
      </c>
      <c r="D1963" s="4">
        <v>13952064000134</v>
      </c>
      <c r="E1963" s="8" t="s">
        <v>875</v>
      </c>
      <c r="F1963" s="8" t="s">
        <v>75</v>
      </c>
      <c r="G1963" s="8" t="s">
        <v>74</v>
      </c>
      <c r="H1963" s="8" t="s">
        <v>215</v>
      </c>
      <c r="I1963" s="3">
        <v>2</v>
      </c>
      <c r="J1963" s="8" t="s">
        <v>199</v>
      </c>
      <c r="K1963" s="8" t="s">
        <v>200</v>
      </c>
      <c r="L1963" s="8" t="s">
        <v>556</v>
      </c>
      <c r="M1963" s="1" t="s">
        <v>211</v>
      </c>
      <c r="N1963" s="8" t="s">
        <v>212</v>
      </c>
      <c r="O1963" s="6">
        <v>0</v>
      </c>
      <c r="P1963" s="6">
        <v>0</v>
      </c>
      <c r="Q1963" s="6">
        <v>0</v>
      </c>
      <c r="R1963" s="6">
        <v>0</v>
      </c>
      <c r="S1963" s="6">
        <v>0</v>
      </c>
    </row>
    <row r="1964" spans="1:19" ht="15" hidden="1" x14ac:dyDescent="0.25">
      <c r="A1964" s="7" t="s">
        <v>16</v>
      </c>
      <c r="B1964" s="7" t="s">
        <v>23</v>
      </c>
      <c r="C1964" s="7" t="s">
        <v>24</v>
      </c>
      <c r="D1964" s="4">
        <v>13952064000134</v>
      </c>
      <c r="E1964" s="8" t="s">
        <v>875</v>
      </c>
      <c r="F1964" s="8" t="s">
        <v>75</v>
      </c>
      <c r="G1964" s="8" t="s">
        <v>74</v>
      </c>
      <c r="H1964" s="8" t="s">
        <v>215</v>
      </c>
      <c r="I1964" s="3">
        <v>2</v>
      </c>
      <c r="J1964" s="8" t="s">
        <v>167</v>
      </c>
      <c r="K1964" s="8" t="s">
        <v>168</v>
      </c>
      <c r="L1964" s="8" t="s">
        <v>557</v>
      </c>
      <c r="M1964" s="1" t="s">
        <v>211</v>
      </c>
      <c r="N1964" s="8" t="s">
        <v>212</v>
      </c>
      <c r="O1964" s="6">
        <v>0</v>
      </c>
      <c r="P1964" s="6">
        <v>4</v>
      </c>
      <c r="Q1964" s="6">
        <v>4</v>
      </c>
      <c r="R1964" s="6">
        <v>0</v>
      </c>
      <c r="S1964" s="6">
        <v>0</v>
      </c>
    </row>
    <row r="1965" spans="1:19" ht="15" hidden="1" x14ac:dyDescent="0.25">
      <c r="A1965" s="7" t="s">
        <v>16</v>
      </c>
      <c r="B1965" s="7" t="s">
        <v>23</v>
      </c>
      <c r="C1965" s="7" t="s">
        <v>24</v>
      </c>
      <c r="D1965" s="4">
        <v>12361267014739</v>
      </c>
      <c r="E1965" s="8" t="s">
        <v>864</v>
      </c>
      <c r="F1965" s="8" t="s">
        <v>75</v>
      </c>
      <c r="G1965" s="8" t="s">
        <v>74</v>
      </c>
      <c r="H1965" s="8" t="s">
        <v>215</v>
      </c>
      <c r="I1965" s="3">
        <v>2</v>
      </c>
      <c r="J1965" s="8" t="s">
        <v>199</v>
      </c>
      <c r="K1965" s="8" t="s">
        <v>200</v>
      </c>
      <c r="L1965" s="8" t="s">
        <v>556</v>
      </c>
      <c r="M1965" s="1" t="s">
        <v>211</v>
      </c>
      <c r="N1965" s="8" t="s">
        <v>212</v>
      </c>
      <c r="O1965" s="6">
        <v>0</v>
      </c>
      <c r="P1965" s="6">
        <v>0</v>
      </c>
      <c r="Q1965" s="6">
        <v>0</v>
      </c>
      <c r="R1965" s="6">
        <v>0</v>
      </c>
      <c r="S1965" s="6">
        <v>0</v>
      </c>
    </row>
    <row r="1966" spans="1:19" ht="15" hidden="1" x14ac:dyDescent="0.25">
      <c r="A1966" s="7" t="s">
        <v>16</v>
      </c>
      <c r="B1966" s="7" t="s">
        <v>23</v>
      </c>
      <c r="C1966" s="7" t="s">
        <v>24</v>
      </c>
      <c r="D1966" s="4">
        <v>12361267014739</v>
      </c>
      <c r="E1966" s="8" t="s">
        <v>864</v>
      </c>
      <c r="F1966" s="8" t="s">
        <v>75</v>
      </c>
      <c r="G1966" s="8" t="s">
        <v>74</v>
      </c>
      <c r="H1966" s="8" t="s">
        <v>215</v>
      </c>
      <c r="I1966" s="3">
        <v>2</v>
      </c>
      <c r="J1966" s="8" t="s">
        <v>167</v>
      </c>
      <c r="K1966" s="8" t="s">
        <v>168</v>
      </c>
      <c r="L1966" s="8" t="s">
        <v>557</v>
      </c>
      <c r="M1966" s="1" t="s">
        <v>211</v>
      </c>
      <c r="N1966" s="8" t="s">
        <v>212</v>
      </c>
      <c r="O1966" s="6">
        <v>0</v>
      </c>
      <c r="P1966" s="6">
        <v>5</v>
      </c>
      <c r="Q1966" s="6">
        <v>4</v>
      </c>
      <c r="R1966" s="6">
        <v>0</v>
      </c>
      <c r="S1966" s="6">
        <v>0</v>
      </c>
    </row>
    <row r="1967" spans="1:19" ht="15" hidden="1" x14ac:dyDescent="0.25">
      <c r="A1967" s="7" t="s">
        <v>16</v>
      </c>
      <c r="B1967" s="7" t="s">
        <v>23</v>
      </c>
      <c r="C1967" s="7" t="s">
        <v>24</v>
      </c>
      <c r="D1967" s="4">
        <v>16475154000250</v>
      </c>
      <c r="E1967" s="8" t="s">
        <v>899</v>
      </c>
      <c r="F1967" s="8" t="s">
        <v>75</v>
      </c>
      <c r="G1967" s="8" t="s">
        <v>74</v>
      </c>
      <c r="H1967" s="8" t="s">
        <v>215</v>
      </c>
      <c r="I1967" s="3">
        <v>2</v>
      </c>
      <c r="J1967" s="8" t="s">
        <v>199</v>
      </c>
      <c r="K1967" s="8" t="s">
        <v>200</v>
      </c>
      <c r="L1967" s="8" t="s">
        <v>556</v>
      </c>
      <c r="M1967" s="1" t="s">
        <v>211</v>
      </c>
      <c r="N1967" s="8" t="s">
        <v>212</v>
      </c>
      <c r="O1967" s="6">
        <v>0</v>
      </c>
      <c r="P1967" s="6">
        <v>0</v>
      </c>
      <c r="Q1967" s="6">
        <v>0</v>
      </c>
      <c r="R1967" s="6">
        <v>0</v>
      </c>
      <c r="S1967" s="6">
        <v>0</v>
      </c>
    </row>
    <row r="1968" spans="1:19" ht="15" hidden="1" x14ac:dyDescent="0.25">
      <c r="A1968" s="7" t="s">
        <v>16</v>
      </c>
      <c r="B1968" s="7" t="s">
        <v>23</v>
      </c>
      <c r="C1968" s="7" t="s">
        <v>24</v>
      </c>
      <c r="D1968" s="4">
        <v>16475154000250</v>
      </c>
      <c r="E1968" s="8" t="s">
        <v>899</v>
      </c>
      <c r="F1968" s="8" t="s">
        <v>75</v>
      </c>
      <c r="G1968" s="8" t="s">
        <v>74</v>
      </c>
      <c r="H1968" s="8" t="s">
        <v>215</v>
      </c>
      <c r="I1968" s="3">
        <v>2</v>
      </c>
      <c r="J1968" s="8" t="s">
        <v>167</v>
      </c>
      <c r="K1968" s="8" t="s">
        <v>168</v>
      </c>
      <c r="L1968" s="8" t="s">
        <v>557</v>
      </c>
      <c r="M1968" s="1" t="s">
        <v>211</v>
      </c>
      <c r="N1968" s="8" t="s">
        <v>212</v>
      </c>
      <c r="O1968" s="6">
        <v>0</v>
      </c>
      <c r="P1968" s="6">
        <v>4</v>
      </c>
      <c r="Q1968" s="6">
        <v>0</v>
      </c>
      <c r="R1968" s="6">
        <v>0</v>
      </c>
      <c r="S1968" s="6">
        <v>0</v>
      </c>
    </row>
    <row r="1969" spans="1:19" ht="15" hidden="1" x14ac:dyDescent="0.25">
      <c r="A1969" s="7" t="s">
        <v>16</v>
      </c>
      <c r="B1969" s="7" t="s">
        <v>23</v>
      </c>
      <c r="C1969" s="7" t="s">
        <v>24</v>
      </c>
      <c r="D1969" s="4">
        <v>5816630000152</v>
      </c>
      <c r="E1969" s="8" t="s">
        <v>803</v>
      </c>
      <c r="F1969" s="8" t="s">
        <v>75</v>
      </c>
      <c r="G1969" s="8" t="s">
        <v>74</v>
      </c>
      <c r="H1969" s="8" t="s">
        <v>215</v>
      </c>
      <c r="I1969" s="3">
        <v>2</v>
      </c>
      <c r="J1969" s="8" t="s">
        <v>199</v>
      </c>
      <c r="K1969" s="8" t="s">
        <v>200</v>
      </c>
      <c r="L1969" s="8" t="s">
        <v>556</v>
      </c>
      <c r="M1969" s="1" t="s">
        <v>211</v>
      </c>
      <c r="N1969" s="8" t="s">
        <v>212</v>
      </c>
      <c r="O1969" s="6">
        <v>0</v>
      </c>
      <c r="P1969" s="6">
        <v>0</v>
      </c>
      <c r="Q1969" s="6">
        <v>0</v>
      </c>
      <c r="R1969" s="6">
        <v>0</v>
      </c>
      <c r="S1969" s="6">
        <v>515</v>
      </c>
    </row>
    <row r="1970" spans="1:19" ht="15" hidden="1" x14ac:dyDescent="0.25">
      <c r="A1970" s="7" t="s">
        <v>16</v>
      </c>
      <c r="B1970" s="7" t="s">
        <v>23</v>
      </c>
      <c r="C1970" s="7" t="s">
        <v>24</v>
      </c>
      <c r="D1970" s="4">
        <v>5816630000152</v>
      </c>
      <c r="E1970" s="8" t="s">
        <v>803</v>
      </c>
      <c r="F1970" s="8" t="s">
        <v>75</v>
      </c>
      <c r="G1970" s="8" t="s">
        <v>74</v>
      </c>
      <c r="H1970" s="8" t="s">
        <v>215</v>
      </c>
      <c r="I1970" s="3">
        <v>2</v>
      </c>
      <c r="J1970" s="8" t="s">
        <v>167</v>
      </c>
      <c r="K1970" s="8" t="s">
        <v>168</v>
      </c>
      <c r="L1970" s="8" t="s">
        <v>557</v>
      </c>
      <c r="M1970" s="1" t="s">
        <v>211</v>
      </c>
      <c r="N1970" s="8" t="s">
        <v>212</v>
      </c>
      <c r="O1970" s="6">
        <v>0</v>
      </c>
      <c r="P1970" s="6">
        <v>40</v>
      </c>
      <c r="Q1970" s="6">
        <v>30</v>
      </c>
      <c r="R1970" s="6">
        <v>0</v>
      </c>
      <c r="S1970" s="6">
        <v>515</v>
      </c>
    </row>
    <row r="1971" spans="1:19" ht="15" hidden="1" x14ac:dyDescent="0.25">
      <c r="A1971" s="7" t="s">
        <v>16</v>
      </c>
      <c r="B1971" s="7" t="s">
        <v>23</v>
      </c>
      <c r="C1971" s="7" t="s">
        <v>24</v>
      </c>
      <c r="D1971" s="4">
        <v>15194004000125</v>
      </c>
      <c r="E1971" s="8" t="s">
        <v>895</v>
      </c>
      <c r="F1971" s="8" t="s">
        <v>75</v>
      </c>
      <c r="G1971" s="8" t="s">
        <v>74</v>
      </c>
      <c r="H1971" s="8" t="s">
        <v>215</v>
      </c>
      <c r="I1971" s="3">
        <v>2</v>
      </c>
      <c r="J1971" s="8" t="s">
        <v>199</v>
      </c>
      <c r="K1971" s="8" t="s">
        <v>200</v>
      </c>
      <c r="L1971" s="8" t="s">
        <v>556</v>
      </c>
      <c r="M1971" s="1" t="s">
        <v>211</v>
      </c>
      <c r="N1971" s="8" t="s">
        <v>212</v>
      </c>
      <c r="O1971" s="6">
        <v>0</v>
      </c>
      <c r="P1971" s="6">
        <v>0</v>
      </c>
      <c r="Q1971" s="6">
        <v>0</v>
      </c>
      <c r="R1971" s="6">
        <v>0</v>
      </c>
      <c r="S1971" s="6">
        <v>0</v>
      </c>
    </row>
    <row r="1972" spans="1:19" ht="15" hidden="1" x14ac:dyDescent="0.25">
      <c r="A1972" s="7" t="s">
        <v>16</v>
      </c>
      <c r="B1972" s="7" t="s">
        <v>23</v>
      </c>
      <c r="C1972" s="7" t="s">
        <v>24</v>
      </c>
      <c r="D1972" s="4">
        <v>15194004000125</v>
      </c>
      <c r="E1972" s="8" t="s">
        <v>895</v>
      </c>
      <c r="F1972" s="8" t="s">
        <v>75</v>
      </c>
      <c r="G1972" s="8" t="s">
        <v>74</v>
      </c>
      <c r="H1972" s="8" t="s">
        <v>215</v>
      </c>
      <c r="I1972" s="3">
        <v>2</v>
      </c>
      <c r="J1972" s="8" t="s">
        <v>167</v>
      </c>
      <c r="K1972" s="8" t="s">
        <v>168</v>
      </c>
      <c r="L1972" s="8" t="s">
        <v>557</v>
      </c>
      <c r="M1972" s="1" t="s">
        <v>211</v>
      </c>
      <c r="N1972" s="8" t="s">
        <v>212</v>
      </c>
      <c r="O1972" s="6">
        <v>0</v>
      </c>
      <c r="P1972" s="6">
        <v>7</v>
      </c>
      <c r="Q1972" s="6">
        <v>0</v>
      </c>
      <c r="R1972" s="6">
        <v>0</v>
      </c>
      <c r="S1972" s="6">
        <v>0</v>
      </c>
    </row>
    <row r="1973" spans="1:19" ht="15" hidden="1" x14ac:dyDescent="0.25">
      <c r="A1973" s="7" t="s">
        <v>16</v>
      </c>
      <c r="B1973" s="7" t="s">
        <v>23</v>
      </c>
      <c r="C1973" s="7" t="s">
        <v>24</v>
      </c>
      <c r="D1973" s="4">
        <v>5469172000122</v>
      </c>
      <c r="E1973" s="8" t="s">
        <v>799</v>
      </c>
      <c r="F1973" s="8" t="s">
        <v>75</v>
      </c>
      <c r="G1973" s="8" t="s">
        <v>74</v>
      </c>
      <c r="H1973" s="8" t="s">
        <v>215</v>
      </c>
      <c r="I1973" s="3">
        <v>2</v>
      </c>
      <c r="J1973" s="8" t="s">
        <v>199</v>
      </c>
      <c r="K1973" s="8" t="s">
        <v>200</v>
      </c>
      <c r="L1973" s="8" t="s">
        <v>556</v>
      </c>
      <c r="M1973" s="1" t="s">
        <v>211</v>
      </c>
      <c r="N1973" s="8" t="s">
        <v>212</v>
      </c>
      <c r="O1973" s="6">
        <v>0</v>
      </c>
      <c r="P1973" s="6">
        <v>0</v>
      </c>
      <c r="Q1973" s="6">
        <v>0</v>
      </c>
      <c r="R1973" s="6">
        <v>0</v>
      </c>
      <c r="S1973" s="6">
        <v>0</v>
      </c>
    </row>
    <row r="1974" spans="1:19" ht="15" hidden="1" x14ac:dyDescent="0.25">
      <c r="A1974" s="7" t="s">
        <v>16</v>
      </c>
      <c r="B1974" s="7" t="s">
        <v>23</v>
      </c>
      <c r="C1974" s="7" t="s">
        <v>24</v>
      </c>
      <c r="D1974" s="4">
        <v>5469172000122</v>
      </c>
      <c r="E1974" s="8" t="s">
        <v>799</v>
      </c>
      <c r="F1974" s="8" t="s">
        <v>75</v>
      </c>
      <c r="G1974" s="8" t="s">
        <v>74</v>
      </c>
      <c r="H1974" s="8" t="s">
        <v>215</v>
      </c>
      <c r="I1974" s="3">
        <v>2</v>
      </c>
      <c r="J1974" s="8" t="s">
        <v>167</v>
      </c>
      <c r="K1974" s="8" t="s">
        <v>168</v>
      </c>
      <c r="L1974" s="8" t="s">
        <v>557</v>
      </c>
      <c r="M1974" s="1" t="s">
        <v>211</v>
      </c>
      <c r="N1974" s="8" t="s">
        <v>212</v>
      </c>
      <c r="O1974" s="6">
        <v>0</v>
      </c>
      <c r="P1974" s="6">
        <v>18</v>
      </c>
      <c r="Q1974" s="6">
        <v>5</v>
      </c>
      <c r="R1974" s="6">
        <v>0</v>
      </c>
      <c r="S1974" s="6">
        <v>0</v>
      </c>
    </row>
    <row r="1975" spans="1:19" ht="15" hidden="1" x14ac:dyDescent="0.25">
      <c r="A1975" s="7" t="s">
        <v>16</v>
      </c>
      <c r="B1975" s="7" t="s">
        <v>23</v>
      </c>
      <c r="C1975" s="7" t="s">
        <v>24</v>
      </c>
      <c r="D1975" s="4">
        <v>13016092000140</v>
      </c>
      <c r="E1975" s="8" t="s">
        <v>867</v>
      </c>
      <c r="F1975" s="8" t="s">
        <v>75</v>
      </c>
      <c r="G1975" s="8" t="s">
        <v>74</v>
      </c>
      <c r="H1975" s="8" t="s">
        <v>215</v>
      </c>
      <c r="I1975" s="3">
        <v>2</v>
      </c>
      <c r="J1975" s="8" t="s">
        <v>199</v>
      </c>
      <c r="K1975" s="8" t="s">
        <v>200</v>
      </c>
      <c r="L1975" s="8" t="s">
        <v>556</v>
      </c>
      <c r="M1975" s="1" t="s">
        <v>211</v>
      </c>
      <c r="N1975" s="8" t="s">
        <v>212</v>
      </c>
      <c r="O1975" s="6">
        <v>0</v>
      </c>
      <c r="P1975" s="6">
        <v>0</v>
      </c>
      <c r="Q1975" s="6">
        <v>0</v>
      </c>
      <c r="R1975" s="6">
        <v>0</v>
      </c>
      <c r="S1975" s="6">
        <v>0</v>
      </c>
    </row>
    <row r="1976" spans="1:19" ht="15" hidden="1" x14ac:dyDescent="0.25">
      <c r="A1976" s="7" t="s">
        <v>16</v>
      </c>
      <c r="B1976" s="7" t="s">
        <v>23</v>
      </c>
      <c r="C1976" s="7" t="s">
        <v>24</v>
      </c>
      <c r="D1976" s="4">
        <v>13016092000140</v>
      </c>
      <c r="E1976" s="8" t="s">
        <v>867</v>
      </c>
      <c r="F1976" s="8" t="s">
        <v>75</v>
      </c>
      <c r="G1976" s="8" t="s">
        <v>74</v>
      </c>
      <c r="H1976" s="8" t="s">
        <v>215</v>
      </c>
      <c r="I1976" s="3">
        <v>2</v>
      </c>
      <c r="J1976" s="8" t="s">
        <v>167</v>
      </c>
      <c r="K1976" s="8" t="s">
        <v>168</v>
      </c>
      <c r="L1976" s="8" t="s">
        <v>557</v>
      </c>
      <c r="M1976" s="1" t="s">
        <v>211</v>
      </c>
      <c r="N1976" s="8" t="s">
        <v>212</v>
      </c>
      <c r="O1976" s="6">
        <v>0</v>
      </c>
      <c r="P1976" s="6">
        <v>6</v>
      </c>
      <c r="Q1976" s="6">
        <v>0</v>
      </c>
      <c r="R1976" s="6">
        <v>0</v>
      </c>
      <c r="S1976" s="6">
        <v>0</v>
      </c>
    </row>
    <row r="1977" spans="1:19" ht="15" hidden="1" x14ac:dyDescent="0.25">
      <c r="A1977" s="7" t="s">
        <v>16</v>
      </c>
      <c r="B1977" s="7" t="s">
        <v>23</v>
      </c>
      <c r="C1977" s="7" t="s">
        <v>24</v>
      </c>
      <c r="D1977" s="4">
        <v>15166416000151</v>
      </c>
      <c r="E1977" s="8" t="s">
        <v>889</v>
      </c>
      <c r="F1977" s="8" t="s">
        <v>75</v>
      </c>
      <c r="G1977" s="8" t="s">
        <v>74</v>
      </c>
      <c r="H1977" s="8" t="s">
        <v>215</v>
      </c>
      <c r="I1977" s="3">
        <v>2</v>
      </c>
      <c r="J1977" s="8" t="s">
        <v>199</v>
      </c>
      <c r="K1977" s="8" t="s">
        <v>200</v>
      </c>
      <c r="L1977" s="8" t="s">
        <v>556</v>
      </c>
      <c r="M1977" s="1" t="s">
        <v>211</v>
      </c>
      <c r="N1977" s="8" t="s">
        <v>212</v>
      </c>
      <c r="O1977" s="6">
        <v>0</v>
      </c>
      <c r="P1977" s="6">
        <v>0</v>
      </c>
      <c r="Q1977" s="6">
        <v>0</v>
      </c>
      <c r="R1977" s="6">
        <v>0</v>
      </c>
      <c r="S1977" s="6">
        <v>0</v>
      </c>
    </row>
    <row r="1978" spans="1:19" ht="15" hidden="1" x14ac:dyDescent="0.25">
      <c r="A1978" s="7" t="s">
        <v>16</v>
      </c>
      <c r="B1978" s="7" t="s">
        <v>23</v>
      </c>
      <c r="C1978" s="7" t="s">
        <v>24</v>
      </c>
      <c r="D1978" s="4">
        <v>15166416000151</v>
      </c>
      <c r="E1978" s="8" t="s">
        <v>889</v>
      </c>
      <c r="F1978" s="8" t="s">
        <v>75</v>
      </c>
      <c r="G1978" s="8" t="s">
        <v>74</v>
      </c>
      <c r="H1978" s="8" t="s">
        <v>215</v>
      </c>
      <c r="I1978" s="3">
        <v>2</v>
      </c>
      <c r="J1978" s="8" t="s">
        <v>167</v>
      </c>
      <c r="K1978" s="8" t="s">
        <v>168</v>
      </c>
      <c r="L1978" s="8" t="s">
        <v>557</v>
      </c>
      <c r="M1978" s="1" t="s">
        <v>211</v>
      </c>
      <c r="N1978" s="8" t="s">
        <v>212</v>
      </c>
      <c r="O1978" s="6">
        <v>0</v>
      </c>
      <c r="P1978" s="6">
        <v>37</v>
      </c>
      <c r="Q1978" s="6">
        <v>13</v>
      </c>
      <c r="R1978" s="6">
        <v>0</v>
      </c>
      <c r="S1978" s="6">
        <v>0</v>
      </c>
    </row>
    <row r="1979" spans="1:19" ht="15" hidden="1" x14ac:dyDescent="0.25">
      <c r="A1979" s="7" t="s">
        <v>16</v>
      </c>
      <c r="B1979" s="7" t="s">
        <v>23</v>
      </c>
      <c r="C1979" s="7" t="s">
        <v>24</v>
      </c>
      <c r="D1979" s="4">
        <v>15153745000249</v>
      </c>
      <c r="E1979" s="8" t="s">
        <v>887</v>
      </c>
      <c r="F1979" s="8" t="s">
        <v>75</v>
      </c>
      <c r="G1979" s="8" t="s">
        <v>74</v>
      </c>
      <c r="H1979" s="8" t="s">
        <v>215</v>
      </c>
      <c r="I1979" s="3">
        <v>2</v>
      </c>
      <c r="J1979" s="8" t="s">
        <v>199</v>
      </c>
      <c r="K1979" s="8" t="s">
        <v>200</v>
      </c>
      <c r="L1979" s="8" t="s">
        <v>556</v>
      </c>
      <c r="M1979" s="1" t="s">
        <v>211</v>
      </c>
      <c r="N1979" s="8" t="s">
        <v>212</v>
      </c>
      <c r="O1979" s="6">
        <v>0</v>
      </c>
      <c r="P1979" s="6">
        <v>0</v>
      </c>
      <c r="Q1979" s="6">
        <v>0</v>
      </c>
      <c r="R1979" s="6">
        <v>0</v>
      </c>
      <c r="S1979" s="6">
        <v>0</v>
      </c>
    </row>
    <row r="1980" spans="1:19" ht="15" hidden="1" x14ac:dyDescent="0.25">
      <c r="A1980" s="7" t="s">
        <v>16</v>
      </c>
      <c r="B1980" s="7" t="s">
        <v>23</v>
      </c>
      <c r="C1980" s="7" t="s">
        <v>24</v>
      </c>
      <c r="D1980" s="4">
        <v>15153745000249</v>
      </c>
      <c r="E1980" s="8" t="s">
        <v>887</v>
      </c>
      <c r="F1980" s="8" t="s">
        <v>75</v>
      </c>
      <c r="G1980" s="8" t="s">
        <v>74</v>
      </c>
      <c r="H1980" s="8" t="s">
        <v>215</v>
      </c>
      <c r="I1980" s="3">
        <v>2</v>
      </c>
      <c r="J1980" s="8" t="s">
        <v>167</v>
      </c>
      <c r="K1980" s="8" t="s">
        <v>168</v>
      </c>
      <c r="L1980" s="8" t="s">
        <v>557</v>
      </c>
      <c r="M1980" s="1" t="s">
        <v>211</v>
      </c>
      <c r="N1980" s="8" t="s">
        <v>212</v>
      </c>
      <c r="O1980" s="6">
        <v>0</v>
      </c>
      <c r="P1980" s="6">
        <v>14</v>
      </c>
      <c r="Q1980" s="6">
        <v>0</v>
      </c>
      <c r="R1980" s="6">
        <v>0</v>
      </c>
      <c r="S1980" s="6">
        <v>0</v>
      </c>
    </row>
    <row r="1981" spans="1:19" ht="15" hidden="1" x14ac:dyDescent="0.25">
      <c r="A1981" s="7" t="s">
        <v>16</v>
      </c>
      <c r="B1981" s="7" t="s">
        <v>23</v>
      </c>
      <c r="C1981" s="7" t="s">
        <v>24</v>
      </c>
      <c r="D1981" s="4">
        <v>27372066000169</v>
      </c>
      <c r="E1981" s="8" t="s">
        <v>908</v>
      </c>
      <c r="F1981" s="8" t="s">
        <v>75</v>
      </c>
      <c r="G1981" s="8" t="s">
        <v>74</v>
      </c>
      <c r="H1981" s="8" t="s">
        <v>215</v>
      </c>
      <c r="I1981" s="3">
        <v>2</v>
      </c>
      <c r="J1981" s="8" t="s">
        <v>199</v>
      </c>
      <c r="K1981" s="8" t="s">
        <v>200</v>
      </c>
      <c r="L1981" s="8" t="s">
        <v>556</v>
      </c>
      <c r="M1981" s="1" t="s">
        <v>211</v>
      </c>
      <c r="N1981" s="8" t="s">
        <v>212</v>
      </c>
      <c r="O1981" s="6">
        <v>0</v>
      </c>
      <c r="P1981" s="6">
        <v>0</v>
      </c>
      <c r="Q1981" s="6">
        <v>0</v>
      </c>
      <c r="R1981" s="6">
        <v>0</v>
      </c>
      <c r="S1981" s="6">
        <v>0</v>
      </c>
    </row>
    <row r="1982" spans="1:19" ht="15" hidden="1" x14ac:dyDescent="0.25">
      <c r="A1982" s="7" t="s">
        <v>16</v>
      </c>
      <c r="B1982" s="7" t="s">
        <v>23</v>
      </c>
      <c r="C1982" s="7" t="s">
        <v>24</v>
      </c>
      <c r="D1982" s="4">
        <v>27372066000169</v>
      </c>
      <c r="E1982" s="8" t="s">
        <v>908</v>
      </c>
      <c r="F1982" s="8" t="s">
        <v>75</v>
      </c>
      <c r="G1982" s="8" t="s">
        <v>74</v>
      </c>
      <c r="H1982" s="8" t="s">
        <v>215</v>
      </c>
      <c r="I1982" s="3">
        <v>2</v>
      </c>
      <c r="J1982" s="8" t="s">
        <v>167</v>
      </c>
      <c r="K1982" s="8" t="s">
        <v>168</v>
      </c>
      <c r="L1982" s="8" t="s">
        <v>557</v>
      </c>
      <c r="M1982" s="1" t="s">
        <v>211</v>
      </c>
      <c r="N1982" s="8" t="s">
        <v>212</v>
      </c>
      <c r="O1982" s="6">
        <v>0</v>
      </c>
      <c r="P1982" s="6">
        <v>5</v>
      </c>
      <c r="Q1982" s="6">
        <v>14</v>
      </c>
      <c r="R1982" s="6">
        <v>0</v>
      </c>
      <c r="S1982" s="6">
        <v>0</v>
      </c>
    </row>
    <row r="1983" spans="1:19" ht="15" hidden="1" x14ac:dyDescent="0.25">
      <c r="A1983" s="7" t="s">
        <v>16</v>
      </c>
      <c r="B1983" s="7" t="s">
        <v>23</v>
      </c>
      <c r="C1983" s="7" t="s">
        <v>24</v>
      </c>
      <c r="D1983" s="4">
        <v>15242761000127</v>
      </c>
      <c r="E1983" s="8" t="s">
        <v>896</v>
      </c>
      <c r="F1983" s="8" t="s">
        <v>75</v>
      </c>
      <c r="G1983" s="8" t="s">
        <v>74</v>
      </c>
      <c r="H1983" s="8" t="s">
        <v>215</v>
      </c>
      <c r="I1983" s="3">
        <v>2</v>
      </c>
      <c r="J1983" s="8" t="s">
        <v>199</v>
      </c>
      <c r="K1983" s="8" t="s">
        <v>200</v>
      </c>
      <c r="L1983" s="8" t="s">
        <v>556</v>
      </c>
      <c r="M1983" s="1" t="s">
        <v>211</v>
      </c>
      <c r="N1983" s="8" t="s">
        <v>212</v>
      </c>
      <c r="O1983" s="6">
        <v>0</v>
      </c>
      <c r="P1983" s="6">
        <v>0</v>
      </c>
      <c r="Q1983" s="6">
        <v>0</v>
      </c>
      <c r="R1983" s="6">
        <v>56</v>
      </c>
      <c r="S1983" s="6">
        <v>100</v>
      </c>
    </row>
    <row r="1984" spans="1:19" ht="15" hidden="1" x14ac:dyDescent="0.25">
      <c r="A1984" s="7" t="s">
        <v>16</v>
      </c>
      <c r="B1984" s="7" t="s">
        <v>23</v>
      </c>
      <c r="C1984" s="7" t="s">
        <v>24</v>
      </c>
      <c r="D1984" s="4">
        <v>15242761000127</v>
      </c>
      <c r="E1984" s="8" t="s">
        <v>896</v>
      </c>
      <c r="F1984" s="8" t="s">
        <v>75</v>
      </c>
      <c r="G1984" s="8" t="s">
        <v>74</v>
      </c>
      <c r="H1984" s="8" t="s">
        <v>215</v>
      </c>
      <c r="I1984" s="3">
        <v>2</v>
      </c>
      <c r="J1984" s="8" t="s">
        <v>167</v>
      </c>
      <c r="K1984" s="8" t="s">
        <v>168</v>
      </c>
      <c r="L1984" s="8" t="s">
        <v>557</v>
      </c>
      <c r="M1984" s="1" t="s">
        <v>211</v>
      </c>
      <c r="N1984" s="8" t="s">
        <v>212</v>
      </c>
      <c r="O1984" s="6">
        <v>0</v>
      </c>
      <c r="P1984" s="6">
        <v>0</v>
      </c>
      <c r="Q1984" s="6">
        <v>0</v>
      </c>
      <c r="R1984" s="6">
        <v>0</v>
      </c>
      <c r="S1984" s="6">
        <v>100</v>
      </c>
    </row>
    <row r="1985" spans="1:19" ht="15" hidden="1" x14ac:dyDescent="0.25">
      <c r="A1985" s="7" t="s">
        <v>16</v>
      </c>
      <c r="B1985" s="7" t="s">
        <v>23</v>
      </c>
      <c r="C1985" s="7" t="s">
        <v>24</v>
      </c>
      <c r="D1985" s="4">
        <v>5652543000107</v>
      </c>
      <c r="E1985" s="8" t="s">
        <v>801</v>
      </c>
      <c r="F1985" s="8" t="s">
        <v>802</v>
      </c>
      <c r="G1985" s="8" t="s">
        <v>74</v>
      </c>
      <c r="H1985" s="8" t="s">
        <v>215</v>
      </c>
      <c r="I1985" s="3">
        <v>2</v>
      </c>
      <c r="J1985" s="8" t="s">
        <v>199</v>
      </c>
      <c r="K1985" s="8" t="s">
        <v>200</v>
      </c>
      <c r="L1985" s="8" t="s">
        <v>556</v>
      </c>
      <c r="M1985" s="1" t="s">
        <v>211</v>
      </c>
      <c r="N1985" s="8" t="s">
        <v>212</v>
      </c>
      <c r="O1985" s="6">
        <v>0</v>
      </c>
      <c r="P1985" s="6">
        <v>0</v>
      </c>
      <c r="Q1985" s="6">
        <v>0</v>
      </c>
      <c r="R1985" s="6">
        <v>0</v>
      </c>
      <c r="S1985" s="6">
        <v>0</v>
      </c>
    </row>
    <row r="1986" spans="1:19" ht="15" hidden="1" x14ac:dyDescent="0.25">
      <c r="A1986" s="7" t="s">
        <v>16</v>
      </c>
      <c r="B1986" s="7" t="s">
        <v>23</v>
      </c>
      <c r="C1986" s="7" t="s">
        <v>24</v>
      </c>
      <c r="D1986" s="4">
        <v>5652543000107</v>
      </c>
      <c r="E1986" s="8" t="s">
        <v>801</v>
      </c>
      <c r="F1986" s="8" t="s">
        <v>802</v>
      </c>
      <c r="G1986" s="8" t="s">
        <v>74</v>
      </c>
      <c r="H1986" s="8" t="s">
        <v>215</v>
      </c>
      <c r="I1986" s="3">
        <v>2</v>
      </c>
      <c r="J1986" s="8" t="s">
        <v>167</v>
      </c>
      <c r="K1986" s="8" t="s">
        <v>168</v>
      </c>
      <c r="L1986" s="8" t="s">
        <v>557</v>
      </c>
      <c r="M1986" s="1" t="s">
        <v>211</v>
      </c>
      <c r="N1986" s="8" t="s">
        <v>212</v>
      </c>
      <c r="O1986" s="6">
        <v>0</v>
      </c>
      <c r="P1986" s="6">
        <v>22</v>
      </c>
      <c r="Q1986" s="6">
        <v>0</v>
      </c>
      <c r="R1986" s="6">
        <v>0</v>
      </c>
      <c r="S1986" s="6">
        <v>0</v>
      </c>
    </row>
    <row r="1987" spans="1:19" ht="15" hidden="1" x14ac:dyDescent="0.25">
      <c r="A1987" s="7" t="s">
        <v>16</v>
      </c>
      <c r="B1987" s="7" t="s">
        <v>23</v>
      </c>
      <c r="C1987" s="7" t="s">
        <v>24</v>
      </c>
      <c r="D1987" s="4">
        <v>5874946000281</v>
      </c>
      <c r="E1987" s="8" t="s">
        <v>807</v>
      </c>
      <c r="F1987" s="8" t="s">
        <v>76</v>
      </c>
      <c r="G1987" s="8" t="s">
        <v>77</v>
      </c>
      <c r="H1987" s="8" t="s">
        <v>215</v>
      </c>
      <c r="I1987" s="3">
        <v>2</v>
      </c>
      <c r="J1987" s="8" t="s">
        <v>199</v>
      </c>
      <c r="K1987" s="8" t="s">
        <v>200</v>
      </c>
      <c r="L1987" s="8" t="s">
        <v>556</v>
      </c>
      <c r="M1987" s="1" t="s">
        <v>211</v>
      </c>
      <c r="N1987" s="8" t="s">
        <v>212</v>
      </c>
      <c r="O1987" s="6">
        <v>0</v>
      </c>
      <c r="P1987" s="6">
        <v>0</v>
      </c>
      <c r="Q1987" s="6">
        <v>0</v>
      </c>
      <c r="R1987" s="6">
        <v>0</v>
      </c>
      <c r="S1987" s="6">
        <v>0</v>
      </c>
    </row>
    <row r="1988" spans="1:19" ht="15" hidden="1" x14ac:dyDescent="0.25">
      <c r="A1988" s="7" t="s">
        <v>16</v>
      </c>
      <c r="B1988" s="7" t="s">
        <v>23</v>
      </c>
      <c r="C1988" s="7" t="s">
        <v>24</v>
      </c>
      <c r="D1988" s="4">
        <v>5874946000281</v>
      </c>
      <c r="E1988" s="8" t="s">
        <v>807</v>
      </c>
      <c r="F1988" s="8" t="s">
        <v>76</v>
      </c>
      <c r="G1988" s="8" t="s">
        <v>77</v>
      </c>
      <c r="H1988" s="8" t="s">
        <v>215</v>
      </c>
      <c r="I1988" s="3">
        <v>2</v>
      </c>
      <c r="J1988" s="8" t="s">
        <v>165</v>
      </c>
      <c r="K1988" s="8" t="s">
        <v>166</v>
      </c>
      <c r="L1988" s="8" t="s">
        <v>557</v>
      </c>
      <c r="M1988" s="1" t="s">
        <v>211</v>
      </c>
      <c r="N1988" s="8" t="s">
        <v>212</v>
      </c>
      <c r="O1988" s="6">
        <v>0</v>
      </c>
      <c r="P1988" s="6">
        <v>0</v>
      </c>
      <c r="Q1988" s="6">
        <v>5</v>
      </c>
      <c r="R1988" s="6">
        <v>0</v>
      </c>
      <c r="S1988" s="6">
        <v>0</v>
      </c>
    </row>
    <row r="1989" spans="1:19" ht="15" hidden="1" x14ac:dyDescent="0.25">
      <c r="A1989" s="7" t="s">
        <v>16</v>
      </c>
      <c r="B1989" s="7" t="s">
        <v>23</v>
      </c>
      <c r="C1989" s="7" t="s">
        <v>24</v>
      </c>
      <c r="D1989" s="4">
        <v>74031865000151</v>
      </c>
      <c r="E1989" s="8" t="s">
        <v>926</v>
      </c>
      <c r="F1989" s="8" t="s">
        <v>76</v>
      </c>
      <c r="G1989" s="8" t="s">
        <v>77</v>
      </c>
      <c r="H1989" s="8" t="s">
        <v>215</v>
      </c>
      <c r="I1989" s="3">
        <v>2</v>
      </c>
      <c r="J1989" s="8" t="s">
        <v>199</v>
      </c>
      <c r="K1989" s="8" t="s">
        <v>200</v>
      </c>
      <c r="L1989" s="8" t="s">
        <v>556</v>
      </c>
      <c r="M1989" s="1" t="s">
        <v>211</v>
      </c>
      <c r="N1989" s="8" t="s">
        <v>212</v>
      </c>
      <c r="O1989" s="6">
        <v>0</v>
      </c>
      <c r="P1989" s="6">
        <v>0</v>
      </c>
      <c r="Q1989" s="6">
        <v>0</v>
      </c>
      <c r="R1989" s="6">
        <v>0</v>
      </c>
      <c r="S1989" s="6">
        <v>0</v>
      </c>
    </row>
    <row r="1990" spans="1:19" ht="15" hidden="1" x14ac:dyDescent="0.25">
      <c r="A1990" s="7" t="s">
        <v>16</v>
      </c>
      <c r="B1990" s="7" t="s">
        <v>23</v>
      </c>
      <c r="C1990" s="7" t="s">
        <v>24</v>
      </c>
      <c r="D1990" s="4">
        <v>74031865000151</v>
      </c>
      <c r="E1990" s="8" t="s">
        <v>926</v>
      </c>
      <c r="F1990" s="8" t="s">
        <v>76</v>
      </c>
      <c r="G1990" s="8" t="s">
        <v>77</v>
      </c>
      <c r="H1990" s="8" t="s">
        <v>215</v>
      </c>
      <c r="I1990" s="3">
        <v>2</v>
      </c>
      <c r="J1990" s="8" t="s">
        <v>165</v>
      </c>
      <c r="K1990" s="8" t="s">
        <v>166</v>
      </c>
      <c r="L1990" s="8" t="s">
        <v>557</v>
      </c>
      <c r="M1990" s="1" t="s">
        <v>211</v>
      </c>
      <c r="N1990" s="8" t="s">
        <v>212</v>
      </c>
      <c r="O1990" s="6">
        <v>0</v>
      </c>
      <c r="P1990" s="6">
        <v>0</v>
      </c>
      <c r="Q1990" s="6">
        <v>428</v>
      </c>
      <c r="R1990" s="6">
        <v>0</v>
      </c>
      <c r="S1990" s="6">
        <v>0</v>
      </c>
    </row>
    <row r="1991" spans="1:19" ht="15" hidden="1" x14ac:dyDescent="0.25">
      <c r="A1991" s="7" t="s">
        <v>16</v>
      </c>
      <c r="B1991" s="7" t="s">
        <v>23</v>
      </c>
      <c r="C1991" s="7" t="s">
        <v>24</v>
      </c>
      <c r="D1991" s="4">
        <v>29435005007484</v>
      </c>
      <c r="E1991" s="8" t="s">
        <v>912</v>
      </c>
      <c r="F1991" s="8" t="s">
        <v>76</v>
      </c>
      <c r="G1991" s="8" t="s">
        <v>77</v>
      </c>
      <c r="H1991" s="8" t="s">
        <v>215</v>
      </c>
      <c r="I1991" s="3">
        <v>2</v>
      </c>
      <c r="J1991" s="8" t="s">
        <v>199</v>
      </c>
      <c r="K1991" s="8" t="s">
        <v>200</v>
      </c>
      <c r="L1991" s="8" t="s">
        <v>556</v>
      </c>
      <c r="M1991" s="1" t="s">
        <v>211</v>
      </c>
      <c r="N1991" s="8" t="s">
        <v>212</v>
      </c>
      <c r="O1991" s="6">
        <v>0</v>
      </c>
      <c r="P1991" s="6">
        <v>0</v>
      </c>
      <c r="Q1991" s="6">
        <v>0</v>
      </c>
      <c r="R1991" s="6">
        <v>0</v>
      </c>
      <c r="S1991" s="6">
        <v>105</v>
      </c>
    </row>
    <row r="1992" spans="1:19" ht="15" hidden="1" x14ac:dyDescent="0.25">
      <c r="A1992" s="7" t="s">
        <v>16</v>
      </c>
      <c r="B1992" s="7" t="s">
        <v>23</v>
      </c>
      <c r="C1992" s="7" t="s">
        <v>24</v>
      </c>
      <c r="D1992" s="4">
        <v>29435005007484</v>
      </c>
      <c r="E1992" s="8" t="s">
        <v>912</v>
      </c>
      <c r="F1992" s="8" t="s">
        <v>76</v>
      </c>
      <c r="G1992" s="8" t="s">
        <v>77</v>
      </c>
      <c r="H1992" s="8" t="s">
        <v>215</v>
      </c>
      <c r="I1992" s="3">
        <v>2</v>
      </c>
      <c r="J1992" s="8" t="s">
        <v>165</v>
      </c>
      <c r="K1992" s="8" t="s">
        <v>166</v>
      </c>
      <c r="L1992" s="8" t="s">
        <v>557</v>
      </c>
      <c r="M1992" s="1" t="s">
        <v>211</v>
      </c>
      <c r="N1992" s="8" t="s">
        <v>212</v>
      </c>
      <c r="O1992" s="6">
        <v>0</v>
      </c>
      <c r="P1992" s="6">
        <v>20</v>
      </c>
      <c r="Q1992" s="6">
        <v>17</v>
      </c>
      <c r="R1992" s="6">
        <v>0</v>
      </c>
      <c r="S1992" s="6">
        <v>105</v>
      </c>
    </row>
    <row r="1993" spans="1:19" ht="15" hidden="1" x14ac:dyDescent="0.25">
      <c r="A1993" s="7" t="s">
        <v>16</v>
      </c>
      <c r="B1993" s="7" t="s">
        <v>23</v>
      </c>
      <c r="C1993" s="7" t="s">
        <v>24</v>
      </c>
      <c r="D1993" s="4">
        <v>23443518000103</v>
      </c>
      <c r="E1993" s="8" t="s">
        <v>903</v>
      </c>
      <c r="F1993" s="8" t="s">
        <v>76</v>
      </c>
      <c r="G1993" s="8" t="s">
        <v>77</v>
      </c>
      <c r="H1993" s="8" t="s">
        <v>215</v>
      </c>
      <c r="I1993" s="3">
        <v>2</v>
      </c>
      <c r="J1993" s="8" t="s">
        <v>199</v>
      </c>
      <c r="K1993" s="8" t="s">
        <v>200</v>
      </c>
      <c r="L1993" s="8" t="s">
        <v>556</v>
      </c>
      <c r="M1993" s="1" t="s">
        <v>211</v>
      </c>
      <c r="N1993" s="8" t="s">
        <v>212</v>
      </c>
      <c r="O1993" s="6">
        <v>0</v>
      </c>
      <c r="P1993" s="6">
        <v>0</v>
      </c>
      <c r="Q1993" s="6">
        <v>0</v>
      </c>
      <c r="R1993" s="6">
        <v>0</v>
      </c>
      <c r="S1993" s="6">
        <v>0</v>
      </c>
    </row>
    <row r="1994" spans="1:19" ht="15" hidden="1" x14ac:dyDescent="0.25">
      <c r="A1994" s="7" t="s">
        <v>16</v>
      </c>
      <c r="B1994" s="7" t="s">
        <v>23</v>
      </c>
      <c r="C1994" s="7" t="s">
        <v>24</v>
      </c>
      <c r="D1994" s="4">
        <v>23443518000103</v>
      </c>
      <c r="E1994" s="8" t="s">
        <v>903</v>
      </c>
      <c r="F1994" s="8" t="s">
        <v>76</v>
      </c>
      <c r="G1994" s="8" t="s">
        <v>77</v>
      </c>
      <c r="H1994" s="8" t="s">
        <v>215</v>
      </c>
      <c r="I1994" s="3">
        <v>2</v>
      </c>
      <c r="J1994" s="8" t="s">
        <v>165</v>
      </c>
      <c r="K1994" s="8" t="s">
        <v>166</v>
      </c>
      <c r="L1994" s="8" t="s">
        <v>557</v>
      </c>
      <c r="M1994" s="1" t="s">
        <v>211</v>
      </c>
      <c r="N1994" s="8" t="s">
        <v>212</v>
      </c>
      <c r="O1994" s="6">
        <v>0</v>
      </c>
      <c r="P1994" s="6">
        <v>2</v>
      </c>
      <c r="Q1994" s="6">
        <v>0</v>
      </c>
      <c r="R1994" s="6">
        <v>0</v>
      </c>
      <c r="S1994" s="6">
        <v>0</v>
      </c>
    </row>
    <row r="1995" spans="1:19" ht="15" hidden="1" x14ac:dyDescent="0.25">
      <c r="A1995" s="7" t="s">
        <v>16</v>
      </c>
      <c r="B1995" s="7" t="s">
        <v>23</v>
      </c>
      <c r="C1995" s="7" t="s">
        <v>24</v>
      </c>
      <c r="D1995" s="4">
        <v>5868278000280</v>
      </c>
      <c r="E1995" s="8" t="s">
        <v>805</v>
      </c>
      <c r="F1995" s="8" t="s">
        <v>76</v>
      </c>
      <c r="G1995" s="8" t="s">
        <v>77</v>
      </c>
      <c r="H1995" s="8" t="s">
        <v>215</v>
      </c>
      <c r="I1995" s="3">
        <v>2</v>
      </c>
      <c r="J1995" s="8" t="s">
        <v>199</v>
      </c>
      <c r="K1995" s="8" t="s">
        <v>200</v>
      </c>
      <c r="L1995" s="8" t="s">
        <v>556</v>
      </c>
      <c r="M1995" s="1" t="s">
        <v>211</v>
      </c>
      <c r="N1995" s="8" t="s">
        <v>212</v>
      </c>
      <c r="O1995" s="6">
        <v>0</v>
      </c>
      <c r="P1995" s="6">
        <v>0</v>
      </c>
      <c r="Q1995" s="6">
        <v>0</v>
      </c>
      <c r="R1995" s="6">
        <v>128</v>
      </c>
      <c r="S1995" s="6">
        <v>0</v>
      </c>
    </row>
    <row r="1996" spans="1:19" ht="15" hidden="1" x14ac:dyDescent="0.25">
      <c r="A1996" s="7" t="s">
        <v>16</v>
      </c>
      <c r="B1996" s="7" t="s">
        <v>23</v>
      </c>
      <c r="C1996" s="7" t="s">
        <v>24</v>
      </c>
      <c r="D1996" s="4">
        <v>5868278000280</v>
      </c>
      <c r="E1996" s="8" t="s">
        <v>805</v>
      </c>
      <c r="F1996" s="8" t="s">
        <v>76</v>
      </c>
      <c r="G1996" s="8" t="s">
        <v>77</v>
      </c>
      <c r="H1996" s="8" t="s">
        <v>215</v>
      </c>
      <c r="I1996" s="3">
        <v>2</v>
      </c>
      <c r="J1996" s="8" t="s">
        <v>165</v>
      </c>
      <c r="K1996" s="8" t="s">
        <v>166</v>
      </c>
      <c r="L1996" s="8" t="s">
        <v>557</v>
      </c>
      <c r="M1996" s="1" t="s">
        <v>211</v>
      </c>
      <c r="N1996" s="8" t="s">
        <v>212</v>
      </c>
      <c r="O1996" s="6">
        <v>0</v>
      </c>
      <c r="P1996" s="6">
        <v>6</v>
      </c>
      <c r="Q1996" s="6">
        <v>40</v>
      </c>
      <c r="R1996" s="6">
        <v>0</v>
      </c>
      <c r="S1996" s="6">
        <v>0</v>
      </c>
    </row>
    <row r="1997" spans="1:19" ht="15" hidden="1" x14ac:dyDescent="0.25">
      <c r="A1997" s="7" t="s">
        <v>16</v>
      </c>
      <c r="B1997" s="7" t="s">
        <v>23</v>
      </c>
      <c r="C1997" s="7" t="s">
        <v>24</v>
      </c>
      <c r="D1997" s="4">
        <v>11794674000121</v>
      </c>
      <c r="E1997" s="8" t="s">
        <v>845</v>
      </c>
      <c r="F1997" s="8" t="s">
        <v>76</v>
      </c>
      <c r="G1997" s="8" t="s">
        <v>77</v>
      </c>
      <c r="H1997" s="8" t="s">
        <v>215</v>
      </c>
      <c r="I1997" s="3">
        <v>2</v>
      </c>
      <c r="J1997" s="8" t="s">
        <v>199</v>
      </c>
      <c r="K1997" s="8" t="s">
        <v>200</v>
      </c>
      <c r="L1997" s="8" t="s">
        <v>556</v>
      </c>
      <c r="M1997" s="1" t="s">
        <v>211</v>
      </c>
      <c r="N1997" s="8" t="s">
        <v>212</v>
      </c>
      <c r="O1997" s="6">
        <v>0</v>
      </c>
      <c r="P1997" s="6">
        <v>0</v>
      </c>
      <c r="Q1997" s="6">
        <v>0</v>
      </c>
      <c r="R1997" s="6">
        <v>0</v>
      </c>
      <c r="S1997" s="6">
        <v>0</v>
      </c>
    </row>
    <row r="1998" spans="1:19" ht="15" hidden="1" x14ac:dyDescent="0.25">
      <c r="A1998" s="7" t="s">
        <v>16</v>
      </c>
      <c r="B1998" s="7" t="s">
        <v>23</v>
      </c>
      <c r="C1998" s="7" t="s">
        <v>24</v>
      </c>
      <c r="D1998" s="4">
        <v>11794674000121</v>
      </c>
      <c r="E1998" s="8" t="s">
        <v>845</v>
      </c>
      <c r="F1998" s="8" t="s">
        <v>76</v>
      </c>
      <c r="G1998" s="8" t="s">
        <v>77</v>
      </c>
      <c r="H1998" s="8" t="s">
        <v>215</v>
      </c>
      <c r="I1998" s="3">
        <v>2</v>
      </c>
      <c r="J1998" s="8" t="s">
        <v>165</v>
      </c>
      <c r="K1998" s="8" t="s">
        <v>166</v>
      </c>
      <c r="L1998" s="8" t="s">
        <v>557</v>
      </c>
      <c r="M1998" s="1" t="s">
        <v>211</v>
      </c>
      <c r="N1998" s="8" t="s">
        <v>212</v>
      </c>
      <c r="O1998" s="6">
        <v>0</v>
      </c>
      <c r="P1998" s="6">
        <v>4</v>
      </c>
      <c r="Q1998" s="6">
        <v>7</v>
      </c>
      <c r="R1998" s="6">
        <v>0</v>
      </c>
      <c r="S1998" s="6">
        <v>0</v>
      </c>
    </row>
    <row r="1999" spans="1:19" ht="15" hidden="1" x14ac:dyDescent="0.25">
      <c r="A1999" s="7" t="s">
        <v>16</v>
      </c>
      <c r="B1999" s="7" t="s">
        <v>23</v>
      </c>
      <c r="C1999" s="7" t="s">
        <v>24</v>
      </c>
      <c r="D1999" s="4">
        <v>7272636000212</v>
      </c>
      <c r="E1999" s="8" t="s">
        <v>818</v>
      </c>
      <c r="F1999" s="8" t="s">
        <v>76</v>
      </c>
      <c r="G1999" s="8" t="s">
        <v>77</v>
      </c>
      <c r="H1999" s="8" t="s">
        <v>215</v>
      </c>
      <c r="I1999" s="3">
        <v>2</v>
      </c>
      <c r="J1999" s="8" t="s">
        <v>199</v>
      </c>
      <c r="K1999" s="8" t="s">
        <v>200</v>
      </c>
      <c r="L1999" s="8" t="s">
        <v>556</v>
      </c>
      <c r="M1999" s="1" t="s">
        <v>211</v>
      </c>
      <c r="N1999" s="8" t="s">
        <v>212</v>
      </c>
      <c r="O1999" s="6">
        <v>0</v>
      </c>
      <c r="P1999" s="6">
        <v>0</v>
      </c>
      <c r="Q1999" s="6">
        <v>0</v>
      </c>
      <c r="R1999" s="6">
        <v>0</v>
      </c>
      <c r="S1999" s="6">
        <v>2400</v>
      </c>
    </row>
    <row r="2000" spans="1:19" ht="15" hidden="1" x14ac:dyDescent="0.25">
      <c r="A2000" s="7" t="s">
        <v>16</v>
      </c>
      <c r="B2000" s="7" t="s">
        <v>23</v>
      </c>
      <c r="C2000" s="7" t="s">
        <v>24</v>
      </c>
      <c r="D2000" s="4">
        <v>7272636000212</v>
      </c>
      <c r="E2000" s="8" t="s">
        <v>818</v>
      </c>
      <c r="F2000" s="8" t="s">
        <v>76</v>
      </c>
      <c r="G2000" s="8" t="s">
        <v>77</v>
      </c>
      <c r="H2000" s="8" t="s">
        <v>215</v>
      </c>
      <c r="I2000" s="3">
        <v>2</v>
      </c>
      <c r="J2000" s="8" t="s">
        <v>165</v>
      </c>
      <c r="K2000" s="8" t="s">
        <v>166</v>
      </c>
      <c r="L2000" s="8" t="s">
        <v>557</v>
      </c>
      <c r="M2000" s="1" t="s">
        <v>211</v>
      </c>
      <c r="N2000" s="8" t="s">
        <v>212</v>
      </c>
      <c r="O2000" s="6">
        <v>0</v>
      </c>
      <c r="P2000" s="6">
        <v>20</v>
      </c>
      <c r="Q2000" s="6">
        <v>25</v>
      </c>
      <c r="R2000" s="6">
        <v>0</v>
      </c>
      <c r="S2000" s="6">
        <v>2400</v>
      </c>
    </row>
    <row r="2001" spans="1:19" ht="15" hidden="1" x14ac:dyDescent="0.25">
      <c r="A2001" s="7" t="s">
        <v>16</v>
      </c>
      <c r="B2001" s="7" t="s">
        <v>23</v>
      </c>
      <c r="C2001" s="7" t="s">
        <v>24</v>
      </c>
      <c r="D2001" s="4">
        <v>8711085000128</v>
      </c>
      <c r="E2001" s="8" t="s">
        <v>828</v>
      </c>
      <c r="F2001" s="8" t="s">
        <v>76</v>
      </c>
      <c r="G2001" s="8" t="s">
        <v>77</v>
      </c>
      <c r="H2001" s="8" t="s">
        <v>215</v>
      </c>
      <c r="I2001" s="3">
        <v>2</v>
      </c>
      <c r="J2001" s="8" t="s">
        <v>199</v>
      </c>
      <c r="K2001" s="8" t="s">
        <v>200</v>
      </c>
      <c r="L2001" s="8" t="s">
        <v>556</v>
      </c>
      <c r="M2001" s="1" t="s">
        <v>211</v>
      </c>
      <c r="N2001" s="8" t="s">
        <v>212</v>
      </c>
      <c r="O2001" s="6">
        <v>0</v>
      </c>
      <c r="P2001" s="6">
        <v>0</v>
      </c>
      <c r="Q2001" s="6">
        <v>0</v>
      </c>
      <c r="R2001" s="6">
        <v>0</v>
      </c>
      <c r="S2001" s="6">
        <v>0</v>
      </c>
    </row>
    <row r="2002" spans="1:19" ht="15" hidden="1" x14ac:dyDescent="0.25">
      <c r="A2002" s="7" t="s">
        <v>16</v>
      </c>
      <c r="B2002" s="7" t="s">
        <v>23</v>
      </c>
      <c r="C2002" s="7" t="s">
        <v>24</v>
      </c>
      <c r="D2002" s="4">
        <v>8711085000128</v>
      </c>
      <c r="E2002" s="8" t="s">
        <v>828</v>
      </c>
      <c r="F2002" s="8" t="s">
        <v>76</v>
      </c>
      <c r="G2002" s="8" t="s">
        <v>77</v>
      </c>
      <c r="H2002" s="8" t="s">
        <v>215</v>
      </c>
      <c r="I2002" s="3">
        <v>2</v>
      </c>
      <c r="J2002" s="8" t="s">
        <v>165</v>
      </c>
      <c r="K2002" s="8" t="s">
        <v>166</v>
      </c>
      <c r="L2002" s="8" t="s">
        <v>557</v>
      </c>
      <c r="M2002" s="1" t="s">
        <v>211</v>
      </c>
      <c r="N2002" s="8" t="s">
        <v>212</v>
      </c>
      <c r="O2002" s="6">
        <v>0</v>
      </c>
      <c r="P2002" s="6">
        <v>1</v>
      </c>
      <c r="Q2002" s="6">
        <v>3</v>
      </c>
      <c r="R2002" s="6">
        <v>0</v>
      </c>
      <c r="S2002" s="6">
        <v>0</v>
      </c>
    </row>
    <row r="2003" spans="1:19" ht="15" hidden="1" x14ac:dyDescent="0.25">
      <c r="A2003" s="7" t="s">
        <v>16</v>
      </c>
      <c r="B2003" s="7" t="s">
        <v>23</v>
      </c>
      <c r="C2003" s="7" t="s">
        <v>24</v>
      </c>
      <c r="D2003" s="4">
        <v>5867015000175</v>
      </c>
      <c r="E2003" s="8" t="s">
        <v>804</v>
      </c>
      <c r="F2003" s="8" t="s">
        <v>76</v>
      </c>
      <c r="G2003" s="8" t="s">
        <v>77</v>
      </c>
      <c r="H2003" s="8" t="s">
        <v>215</v>
      </c>
      <c r="I2003" s="3">
        <v>2</v>
      </c>
      <c r="J2003" s="8" t="s">
        <v>199</v>
      </c>
      <c r="K2003" s="8" t="s">
        <v>200</v>
      </c>
      <c r="L2003" s="8" t="s">
        <v>556</v>
      </c>
      <c r="M2003" s="1" t="s">
        <v>211</v>
      </c>
      <c r="N2003" s="8" t="s">
        <v>212</v>
      </c>
      <c r="O2003" s="6">
        <v>0</v>
      </c>
      <c r="P2003" s="6">
        <v>0</v>
      </c>
      <c r="Q2003" s="6">
        <v>0</v>
      </c>
      <c r="R2003" s="6">
        <v>8</v>
      </c>
      <c r="S2003" s="6">
        <v>0</v>
      </c>
    </row>
    <row r="2004" spans="1:19" ht="15" hidden="1" x14ac:dyDescent="0.25">
      <c r="A2004" s="7" t="s">
        <v>16</v>
      </c>
      <c r="B2004" s="7" t="s">
        <v>23</v>
      </c>
      <c r="C2004" s="7" t="s">
        <v>24</v>
      </c>
      <c r="D2004" s="4">
        <v>5867015000175</v>
      </c>
      <c r="E2004" s="8" t="s">
        <v>804</v>
      </c>
      <c r="F2004" s="8" t="s">
        <v>76</v>
      </c>
      <c r="G2004" s="8" t="s">
        <v>77</v>
      </c>
      <c r="H2004" s="8" t="s">
        <v>215</v>
      </c>
      <c r="I2004" s="3">
        <v>2</v>
      </c>
      <c r="J2004" s="8" t="s">
        <v>165</v>
      </c>
      <c r="K2004" s="8" t="s">
        <v>166</v>
      </c>
      <c r="L2004" s="8" t="s">
        <v>557</v>
      </c>
      <c r="M2004" s="1" t="s">
        <v>211</v>
      </c>
      <c r="N2004" s="8" t="s">
        <v>212</v>
      </c>
      <c r="O2004" s="6">
        <v>0</v>
      </c>
      <c r="P2004" s="6">
        <v>0</v>
      </c>
      <c r="Q2004" s="6">
        <v>0</v>
      </c>
      <c r="R2004" s="6">
        <v>0</v>
      </c>
      <c r="S2004" s="6">
        <v>0</v>
      </c>
    </row>
    <row r="2005" spans="1:19" ht="15" hidden="1" x14ac:dyDescent="0.25">
      <c r="A2005" s="7" t="s">
        <v>16</v>
      </c>
      <c r="B2005" s="7" t="s">
        <v>23</v>
      </c>
      <c r="C2005" s="7" t="s">
        <v>24</v>
      </c>
      <c r="D2005" s="4">
        <v>9104513000974</v>
      </c>
      <c r="E2005" s="8" t="s">
        <v>830</v>
      </c>
      <c r="F2005" s="8" t="s">
        <v>739</v>
      </c>
      <c r="G2005" s="8" t="s">
        <v>55</v>
      </c>
      <c r="H2005" s="8" t="s">
        <v>215</v>
      </c>
      <c r="I2005" s="3">
        <v>2</v>
      </c>
      <c r="J2005" s="8" t="s">
        <v>163</v>
      </c>
      <c r="K2005" s="8" t="s">
        <v>164</v>
      </c>
      <c r="L2005" s="8" t="s">
        <v>557</v>
      </c>
      <c r="M2005" s="1" t="s">
        <v>211</v>
      </c>
      <c r="N2005" s="8" t="s">
        <v>212</v>
      </c>
      <c r="O2005" s="6">
        <v>0</v>
      </c>
      <c r="P2005" s="6">
        <v>0</v>
      </c>
      <c r="Q2005" s="6">
        <v>0</v>
      </c>
      <c r="R2005" s="6">
        <v>0</v>
      </c>
      <c r="S2005" s="6">
        <v>365</v>
      </c>
    </row>
    <row r="2006" spans="1:19" ht="15" hidden="1" x14ac:dyDescent="0.25">
      <c r="A2006" s="7" t="s">
        <v>16</v>
      </c>
      <c r="B2006" s="7" t="s">
        <v>23</v>
      </c>
      <c r="C2006" s="7" t="s">
        <v>24</v>
      </c>
      <c r="D2006" s="4">
        <v>9104513000974</v>
      </c>
      <c r="E2006" s="8" t="s">
        <v>830</v>
      </c>
      <c r="F2006" s="8" t="s">
        <v>739</v>
      </c>
      <c r="G2006" s="8" t="s">
        <v>55</v>
      </c>
      <c r="H2006" s="8" t="s">
        <v>215</v>
      </c>
      <c r="I2006" s="3">
        <v>2</v>
      </c>
      <c r="J2006" s="8" t="s">
        <v>201</v>
      </c>
      <c r="K2006" s="8" t="s">
        <v>202</v>
      </c>
      <c r="L2006" s="8" t="s">
        <v>740</v>
      </c>
      <c r="M2006" s="1" t="s">
        <v>211</v>
      </c>
      <c r="N2006" s="8" t="s">
        <v>212</v>
      </c>
      <c r="O2006" s="6">
        <v>0</v>
      </c>
      <c r="P2006" s="6">
        <v>0</v>
      </c>
      <c r="Q2006" s="6">
        <v>0</v>
      </c>
      <c r="R2006" s="6">
        <v>0</v>
      </c>
      <c r="S2006" s="6">
        <v>365</v>
      </c>
    </row>
    <row r="2007" spans="1:19" ht="15" hidden="1" x14ac:dyDescent="0.25">
      <c r="A2007" s="7" t="s">
        <v>16</v>
      </c>
      <c r="B2007" s="7" t="s">
        <v>23</v>
      </c>
      <c r="C2007" s="7" t="s">
        <v>24</v>
      </c>
      <c r="D2007" s="4">
        <v>520237000101</v>
      </c>
      <c r="E2007" s="8" t="s">
        <v>755</v>
      </c>
      <c r="F2007" s="8" t="s">
        <v>739</v>
      </c>
      <c r="G2007" s="8" t="s">
        <v>55</v>
      </c>
      <c r="H2007" s="8" t="s">
        <v>215</v>
      </c>
      <c r="I2007" s="3">
        <v>2</v>
      </c>
      <c r="J2007" s="8" t="s">
        <v>163</v>
      </c>
      <c r="K2007" s="8" t="s">
        <v>164</v>
      </c>
      <c r="L2007" s="8" t="s">
        <v>557</v>
      </c>
      <c r="M2007" s="1" t="s">
        <v>211</v>
      </c>
      <c r="N2007" s="8" t="s">
        <v>212</v>
      </c>
      <c r="O2007" s="6">
        <v>0</v>
      </c>
      <c r="P2007" s="6">
        <v>0</v>
      </c>
      <c r="Q2007" s="6">
        <v>0</v>
      </c>
      <c r="R2007" s="6">
        <v>0</v>
      </c>
      <c r="S2007" s="6">
        <v>450</v>
      </c>
    </row>
    <row r="2008" spans="1:19" ht="15" hidden="1" x14ac:dyDescent="0.25">
      <c r="A2008" s="7" t="s">
        <v>16</v>
      </c>
      <c r="B2008" s="7" t="s">
        <v>23</v>
      </c>
      <c r="C2008" s="7" t="s">
        <v>24</v>
      </c>
      <c r="D2008" s="4">
        <v>520237000101</v>
      </c>
      <c r="E2008" s="8" t="s">
        <v>755</v>
      </c>
      <c r="F2008" s="8" t="s">
        <v>739</v>
      </c>
      <c r="G2008" s="8" t="s">
        <v>55</v>
      </c>
      <c r="H2008" s="8" t="s">
        <v>215</v>
      </c>
      <c r="I2008" s="3">
        <v>2</v>
      </c>
      <c r="J2008" s="8" t="s">
        <v>201</v>
      </c>
      <c r="K2008" s="8" t="s">
        <v>202</v>
      </c>
      <c r="L2008" s="8" t="s">
        <v>740</v>
      </c>
      <c r="M2008" s="1" t="s">
        <v>211</v>
      </c>
      <c r="N2008" s="8" t="s">
        <v>212</v>
      </c>
      <c r="O2008" s="6">
        <v>0</v>
      </c>
      <c r="P2008" s="6">
        <v>0</v>
      </c>
      <c r="Q2008" s="6">
        <v>0</v>
      </c>
      <c r="R2008" s="6">
        <v>240</v>
      </c>
      <c r="S2008" s="6">
        <v>450</v>
      </c>
    </row>
    <row r="2009" spans="1:19" ht="15" hidden="1" x14ac:dyDescent="0.25">
      <c r="A2009" s="7" t="s">
        <v>16</v>
      </c>
      <c r="B2009" s="7" t="s">
        <v>23</v>
      </c>
      <c r="C2009" s="7" t="s">
        <v>24</v>
      </c>
      <c r="D2009" s="4">
        <v>394544000851</v>
      </c>
      <c r="E2009" s="8" t="s">
        <v>1136</v>
      </c>
      <c r="F2009" s="8" t="s">
        <v>739</v>
      </c>
      <c r="G2009" s="8" t="s">
        <v>55</v>
      </c>
      <c r="H2009" s="8" t="s">
        <v>215</v>
      </c>
      <c r="I2009" s="3">
        <v>2</v>
      </c>
      <c r="J2009" s="8" t="s">
        <v>1380</v>
      </c>
      <c r="K2009" s="8" t="s">
        <v>1381</v>
      </c>
      <c r="L2009" s="8"/>
      <c r="M2009" s="1" t="s">
        <v>1510</v>
      </c>
      <c r="N2009" s="8" t="s">
        <v>1382</v>
      </c>
      <c r="O2009" s="6">
        <v>326</v>
      </c>
      <c r="P2009" s="6">
        <v>0</v>
      </c>
      <c r="Q2009" s="6">
        <v>0</v>
      </c>
      <c r="R2009" s="6">
        <v>0</v>
      </c>
      <c r="S2009" s="6">
        <v>0</v>
      </c>
    </row>
    <row r="2010" spans="1:19" ht="15" hidden="1" x14ac:dyDescent="0.25">
      <c r="A2010" s="7" t="s">
        <v>16</v>
      </c>
      <c r="B2010" s="7" t="s">
        <v>23</v>
      </c>
      <c r="C2010" s="7" t="s">
        <v>24</v>
      </c>
      <c r="D2010" s="4">
        <v>394544000851</v>
      </c>
      <c r="E2010" s="8" t="s">
        <v>1136</v>
      </c>
      <c r="F2010" s="8" t="s">
        <v>739</v>
      </c>
      <c r="G2010" s="8" t="s">
        <v>55</v>
      </c>
      <c r="H2010" s="8" t="s">
        <v>215</v>
      </c>
      <c r="I2010" s="3">
        <v>2</v>
      </c>
      <c r="J2010" s="8" t="s">
        <v>1383</v>
      </c>
      <c r="K2010" s="8" t="s">
        <v>1384</v>
      </c>
      <c r="L2010" s="8"/>
      <c r="M2010" s="1" t="s">
        <v>1510</v>
      </c>
      <c r="N2010" s="8" t="s">
        <v>1382</v>
      </c>
      <c r="O2010" s="6">
        <v>0</v>
      </c>
      <c r="P2010" s="6">
        <v>0</v>
      </c>
      <c r="Q2010" s="6">
        <v>0</v>
      </c>
      <c r="R2010" s="6">
        <v>0</v>
      </c>
      <c r="S2010" s="6">
        <v>0</v>
      </c>
    </row>
    <row r="2011" spans="1:19" ht="15" hidden="1" x14ac:dyDescent="0.25">
      <c r="A2011" s="7" t="s">
        <v>16</v>
      </c>
      <c r="B2011" s="7" t="s">
        <v>23</v>
      </c>
      <c r="C2011" s="7" t="s">
        <v>24</v>
      </c>
      <c r="D2011" s="4">
        <v>37108388000159</v>
      </c>
      <c r="E2011" s="8" t="s">
        <v>916</v>
      </c>
      <c r="F2011" s="8" t="s">
        <v>739</v>
      </c>
      <c r="G2011" s="8" t="s">
        <v>55</v>
      </c>
      <c r="H2011" s="8" t="s">
        <v>215</v>
      </c>
      <c r="I2011" s="3">
        <v>2</v>
      </c>
      <c r="J2011" s="8" t="s">
        <v>163</v>
      </c>
      <c r="K2011" s="8" t="s">
        <v>164</v>
      </c>
      <c r="L2011" s="8" t="s">
        <v>557</v>
      </c>
      <c r="M2011" s="1" t="s">
        <v>211</v>
      </c>
      <c r="N2011" s="8" t="s">
        <v>212</v>
      </c>
      <c r="O2011" s="6">
        <v>0</v>
      </c>
      <c r="P2011" s="6">
        <v>20</v>
      </c>
      <c r="Q2011" s="6">
        <v>0</v>
      </c>
      <c r="R2011" s="6">
        <v>0</v>
      </c>
      <c r="S2011" s="6">
        <v>0</v>
      </c>
    </row>
    <row r="2012" spans="1:19" ht="15" hidden="1" x14ac:dyDescent="0.25">
      <c r="A2012" s="7" t="s">
        <v>16</v>
      </c>
      <c r="B2012" s="7" t="s">
        <v>23</v>
      </c>
      <c r="C2012" s="7" t="s">
        <v>24</v>
      </c>
      <c r="D2012" s="4">
        <v>37108388000159</v>
      </c>
      <c r="E2012" s="8" t="s">
        <v>916</v>
      </c>
      <c r="F2012" s="8" t="s">
        <v>739</v>
      </c>
      <c r="G2012" s="8" t="s">
        <v>55</v>
      </c>
      <c r="H2012" s="8" t="s">
        <v>215</v>
      </c>
      <c r="I2012" s="3">
        <v>2</v>
      </c>
      <c r="J2012" s="8" t="s">
        <v>201</v>
      </c>
      <c r="K2012" s="8" t="s">
        <v>202</v>
      </c>
      <c r="L2012" s="8" t="s">
        <v>740</v>
      </c>
      <c r="M2012" s="1" t="s">
        <v>211</v>
      </c>
      <c r="N2012" s="8" t="s">
        <v>212</v>
      </c>
      <c r="O2012" s="6">
        <v>0</v>
      </c>
      <c r="P2012" s="6">
        <v>0</v>
      </c>
      <c r="Q2012" s="6">
        <v>0</v>
      </c>
      <c r="R2012" s="6">
        <v>0</v>
      </c>
      <c r="S2012" s="6">
        <v>0</v>
      </c>
    </row>
    <row r="2013" spans="1:19" ht="15" hidden="1" x14ac:dyDescent="0.25">
      <c r="A2013" s="7" t="s">
        <v>16</v>
      </c>
      <c r="B2013" s="7" t="s">
        <v>23</v>
      </c>
      <c r="C2013" s="7" t="s">
        <v>24</v>
      </c>
      <c r="D2013" s="4">
        <v>29435005004620</v>
      </c>
      <c r="E2013" s="8" t="s">
        <v>911</v>
      </c>
      <c r="F2013" s="8" t="s">
        <v>739</v>
      </c>
      <c r="G2013" s="8" t="s">
        <v>55</v>
      </c>
      <c r="H2013" s="8" t="s">
        <v>215</v>
      </c>
      <c r="I2013" s="3">
        <v>2</v>
      </c>
      <c r="J2013" s="8" t="s">
        <v>163</v>
      </c>
      <c r="K2013" s="8" t="s">
        <v>164</v>
      </c>
      <c r="L2013" s="8" t="s">
        <v>557</v>
      </c>
      <c r="M2013" s="1" t="s">
        <v>211</v>
      </c>
      <c r="N2013" s="8" t="s">
        <v>212</v>
      </c>
      <c r="O2013" s="6">
        <v>0</v>
      </c>
      <c r="P2013" s="6">
        <v>0</v>
      </c>
      <c r="Q2013" s="6">
        <v>2</v>
      </c>
      <c r="R2013" s="6">
        <v>0</v>
      </c>
      <c r="S2013" s="6">
        <v>0</v>
      </c>
    </row>
    <row r="2014" spans="1:19" ht="15" hidden="1" x14ac:dyDescent="0.25">
      <c r="A2014" s="7" t="s">
        <v>16</v>
      </c>
      <c r="B2014" s="7" t="s">
        <v>23</v>
      </c>
      <c r="C2014" s="7" t="s">
        <v>24</v>
      </c>
      <c r="D2014" s="4">
        <v>29435005004620</v>
      </c>
      <c r="E2014" s="8" t="s">
        <v>911</v>
      </c>
      <c r="F2014" s="8" t="s">
        <v>739</v>
      </c>
      <c r="G2014" s="8" t="s">
        <v>55</v>
      </c>
      <c r="H2014" s="8" t="s">
        <v>215</v>
      </c>
      <c r="I2014" s="3">
        <v>2</v>
      </c>
      <c r="J2014" s="8" t="s">
        <v>201</v>
      </c>
      <c r="K2014" s="8" t="s">
        <v>202</v>
      </c>
      <c r="L2014" s="8" t="s">
        <v>740</v>
      </c>
      <c r="M2014" s="1" t="s">
        <v>211</v>
      </c>
      <c r="N2014" s="8" t="s">
        <v>212</v>
      </c>
      <c r="O2014" s="6">
        <v>0</v>
      </c>
      <c r="P2014" s="6">
        <v>0</v>
      </c>
      <c r="Q2014" s="6">
        <v>0</v>
      </c>
      <c r="R2014" s="6">
        <v>0</v>
      </c>
      <c r="S2014" s="6">
        <v>0</v>
      </c>
    </row>
    <row r="2015" spans="1:19" ht="15" hidden="1" x14ac:dyDescent="0.25">
      <c r="A2015" s="7" t="s">
        <v>16</v>
      </c>
      <c r="B2015" s="7" t="s">
        <v>23</v>
      </c>
      <c r="C2015" s="7" t="s">
        <v>24</v>
      </c>
      <c r="D2015" s="4">
        <v>2560878000107</v>
      </c>
      <c r="E2015" s="8" t="s">
        <v>781</v>
      </c>
      <c r="F2015" s="8" t="s">
        <v>739</v>
      </c>
      <c r="G2015" s="8" t="s">
        <v>55</v>
      </c>
      <c r="H2015" s="8" t="s">
        <v>215</v>
      </c>
      <c r="I2015" s="3">
        <v>2</v>
      </c>
      <c r="J2015" s="8" t="s">
        <v>163</v>
      </c>
      <c r="K2015" s="8" t="s">
        <v>164</v>
      </c>
      <c r="L2015" s="8" t="s">
        <v>557</v>
      </c>
      <c r="M2015" s="1" t="s">
        <v>211</v>
      </c>
      <c r="N2015" s="8" t="s">
        <v>212</v>
      </c>
      <c r="O2015" s="6">
        <v>0</v>
      </c>
      <c r="P2015" s="6">
        <v>9</v>
      </c>
      <c r="Q2015" s="6">
        <v>0</v>
      </c>
      <c r="R2015" s="6">
        <v>0</v>
      </c>
      <c r="S2015" s="6">
        <v>65</v>
      </c>
    </row>
    <row r="2016" spans="1:19" ht="15" hidden="1" x14ac:dyDescent="0.25">
      <c r="A2016" s="7" t="s">
        <v>16</v>
      </c>
      <c r="B2016" s="7" t="s">
        <v>23</v>
      </c>
      <c r="C2016" s="7" t="s">
        <v>24</v>
      </c>
      <c r="D2016" s="4">
        <v>2560878000107</v>
      </c>
      <c r="E2016" s="8" t="s">
        <v>781</v>
      </c>
      <c r="F2016" s="8" t="s">
        <v>739</v>
      </c>
      <c r="G2016" s="8" t="s">
        <v>55</v>
      </c>
      <c r="H2016" s="8" t="s">
        <v>215</v>
      </c>
      <c r="I2016" s="3">
        <v>2</v>
      </c>
      <c r="J2016" s="8" t="s">
        <v>201</v>
      </c>
      <c r="K2016" s="8" t="s">
        <v>202</v>
      </c>
      <c r="L2016" s="8" t="s">
        <v>740</v>
      </c>
      <c r="M2016" s="1" t="s">
        <v>211</v>
      </c>
      <c r="N2016" s="8" t="s">
        <v>212</v>
      </c>
      <c r="O2016" s="6">
        <v>0</v>
      </c>
      <c r="P2016" s="6">
        <v>0</v>
      </c>
      <c r="Q2016" s="6">
        <v>0</v>
      </c>
      <c r="R2016" s="6">
        <v>0</v>
      </c>
      <c r="S2016" s="6">
        <v>65</v>
      </c>
    </row>
    <row r="2017" spans="1:19" ht="15" hidden="1" x14ac:dyDescent="0.25">
      <c r="A2017" s="7" t="s">
        <v>16</v>
      </c>
      <c r="B2017" s="7" t="s">
        <v>23</v>
      </c>
      <c r="C2017" s="7" t="s">
        <v>24</v>
      </c>
      <c r="D2017" s="4">
        <v>60884855002289</v>
      </c>
      <c r="E2017" s="8" t="s">
        <v>920</v>
      </c>
      <c r="F2017" s="8" t="s">
        <v>739</v>
      </c>
      <c r="G2017" s="8" t="s">
        <v>55</v>
      </c>
      <c r="H2017" s="8" t="s">
        <v>215</v>
      </c>
      <c r="I2017" s="3">
        <v>2</v>
      </c>
      <c r="J2017" s="8" t="s">
        <v>163</v>
      </c>
      <c r="K2017" s="8" t="s">
        <v>164</v>
      </c>
      <c r="L2017" s="8" t="s">
        <v>557</v>
      </c>
      <c r="M2017" s="1" t="s">
        <v>211</v>
      </c>
      <c r="N2017" s="8" t="s">
        <v>212</v>
      </c>
      <c r="O2017" s="6">
        <v>0</v>
      </c>
      <c r="P2017" s="6">
        <v>21</v>
      </c>
      <c r="Q2017" s="6">
        <v>20</v>
      </c>
      <c r="R2017" s="6">
        <v>0</v>
      </c>
      <c r="S2017" s="6">
        <v>675</v>
      </c>
    </row>
    <row r="2018" spans="1:19" ht="15" hidden="1" x14ac:dyDescent="0.25">
      <c r="A2018" s="7" t="s">
        <v>16</v>
      </c>
      <c r="B2018" s="7" t="s">
        <v>23</v>
      </c>
      <c r="C2018" s="7" t="s">
        <v>24</v>
      </c>
      <c r="D2018" s="4">
        <v>60884855002289</v>
      </c>
      <c r="E2018" s="8" t="s">
        <v>920</v>
      </c>
      <c r="F2018" s="8" t="s">
        <v>739</v>
      </c>
      <c r="G2018" s="8" t="s">
        <v>55</v>
      </c>
      <c r="H2018" s="8" t="s">
        <v>215</v>
      </c>
      <c r="I2018" s="3">
        <v>2</v>
      </c>
      <c r="J2018" s="8" t="s">
        <v>201</v>
      </c>
      <c r="K2018" s="8" t="s">
        <v>202</v>
      </c>
      <c r="L2018" s="8" t="s">
        <v>740</v>
      </c>
      <c r="M2018" s="1" t="s">
        <v>211</v>
      </c>
      <c r="N2018" s="8" t="s">
        <v>212</v>
      </c>
      <c r="O2018" s="6">
        <v>0</v>
      </c>
      <c r="P2018" s="6">
        <v>0</v>
      </c>
      <c r="Q2018" s="6">
        <v>0</v>
      </c>
      <c r="R2018" s="6">
        <v>0</v>
      </c>
      <c r="S2018" s="6">
        <v>675</v>
      </c>
    </row>
    <row r="2019" spans="1:19" ht="15" hidden="1" x14ac:dyDescent="0.25">
      <c r="A2019" s="7" t="s">
        <v>16</v>
      </c>
      <c r="B2019" s="7" t="s">
        <v>23</v>
      </c>
      <c r="C2019" s="7" t="s">
        <v>24</v>
      </c>
      <c r="D2019" s="4">
        <v>382069000127</v>
      </c>
      <c r="E2019" s="8" t="s">
        <v>749</v>
      </c>
      <c r="F2019" s="8" t="s">
        <v>739</v>
      </c>
      <c r="G2019" s="8" t="s">
        <v>55</v>
      </c>
      <c r="H2019" s="8" t="s">
        <v>215</v>
      </c>
      <c r="I2019" s="3">
        <v>2</v>
      </c>
      <c r="J2019" s="8" t="s">
        <v>163</v>
      </c>
      <c r="K2019" s="8" t="s">
        <v>164</v>
      </c>
      <c r="L2019" s="8" t="s">
        <v>557</v>
      </c>
      <c r="M2019" s="1" t="s">
        <v>211</v>
      </c>
      <c r="N2019" s="8" t="s">
        <v>212</v>
      </c>
      <c r="O2019" s="6">
        <v>0</v>
      </c>
      <c r="P2019" s="6">
        <v>4</v>
      </c>
      <c r="Q2019" s="6">
        <v>2</v>
      </c>
      <c r="R2019" s="6">
        <v>0</v>
      </c>
      <c r="S2019" s="6">
        <v>0</v>
      </c>
    </row>
    <row r="2020" spans="1:19" ht="15" hidden="1" x14ac:dyDescent="0.25">
      <c r="A2020" s="7" t="s">
        <v>16</v>
      </c>
      <c r="B2020" s="7" t="s">
        <v>23</v>
      </c>
      <c r="C2020" s="7" t="s">
        <v>24</v>
      </c>
      <c r="D2020" s="4">
        <v>382069000127</v>
      </c>
      <c r="E2020" s="8" t="s">
        <v>749</v>
      </c>
      <c r="F2020" s="8" t="s">
        <v>739</v>
      </c>
      <c r="G2020" s="8" t="s">
        <v>55</v>
      </c>
      <c r="H2020" s="8" t="s">
        <v>215</v>
      </c>
      <c r="I2020" s="3">
        <v>2</v>
      </c>
      <c r="J2020" s="8" t="s">
        <v>201</v>
      </c>
      <c r="K2020" s="8" t="s">
        <v>202</v>
      </c>
      <c r="L2020" s="8" t="s">
        <v>740</v>
      </c>
      <c r="M2020" s="1" t="s">
        <v>211</v>
      </c>
      <c r="N2020" s="8" t="s">
        <v>212</v>
      </c>
      <c r="O2020" s="6">
        <v>0</v>
      </c>
      <c r="P2020" s="6">
        <v>0</v>
      </c>
      <c r="Q2020" s="6">
        <v>0</v>
      </c>
      <c r="R2020" s="6">
        <v>0</v>
      </c>
      <c r="S2020" s="6">
        <v>0</v>
      </c>
    </row>
    <row r="2021" spans="1:19" ht="15" hidden="1" x14ac:dyDescent="0.25">
      <c r="A2021" s="7" t="s">
        <v>16</v>
      </c>
      <c r="B2021" s="7" t="s">
        <v>23</v>
      </c>
      <c r="C2021" s="7" t="s">
        <v>24</v>
      </c>
      <c r="D2021" s="4">
        <v>3568867000136</v>
      </c>
      <c r="E2021" s="8" t="s">
        <v>790</v>
      </c>
      <c r="F2021" s="8" t="s">
        <v>739</v>
      </c>
      <c r="G2021" s="8" t="s">
        <v>55</v>
      </c>
      <c r="H2021" s="8" t="s">
        <v>215</v>
      </c>
      <c r="I2021" s="3">
        <v>2</v>
      </c>
      <c r="J2021" s="8" t="s">
        <v>163</v>
      </c>
      <c r="K2021" s="8" t="s">
        <v>164</v>
      </c>
      <c r="L2021" s="8" t="s">
        <v>557</v>
      </c>
      <c r="M2021" s="1" t="s">
        <v>211</v>
      </c>
      <c r="N2021" s="8" t="s">
        <v>212</v>
      </c>
      <c r="O2021" s="6">
        <v>0</v>
      </c>
      <c r="P2021" s="6">
        <v>0</v>
      </c>
      <c r="Q2021" s="6">
        <v>0</v>
      </c>
      <c r="R2021" s="6">
        <v>0</v>
      </c>
      <c r="S2021" s="6">
        <v>430</v>
      </c>
    </row>
    <row r="2022" spans="1:19" ht="15" hidden="1" x14ac:dyDescent="0.25">
      <c r="A2022" s="7" t="s">
        <v>16</v>
      </c>
      <c r="B2022" s="7" t="s">
        <v>23</v>
      </c>
      <c r="C2022" s="7" t="s">
        <v>24</v>
      </c>
      <c r="D2022" s="4">
        <v>3568867000136</v>
      </c>
      <c r="E2022" s="8" t="s">
        <v>790</v>
      </c>
      <c r="F2022" s="8" t="s">
        <v>739</v>
      </c>
      <c r="G2022" s="8" t="s">
        <v>55</v>
      </c>
      <c r="H2022" s="8" t="s">
        <v>215</v>
      </c>
      <c r="I2022" s="3">
        <v>2</v>
      </c>
      <c r="J2022" s="8" t="s">
        <v>201</v>
      </c>
      <c r="K2022" s="8" t="s">
        <v>202</v>
      </c>
      <c r="L2022" s="8" t="s">
        <v>740</v>
      </c>
      <c r="M2022" s="1" t="s">
        <v>211</v>
      </c>
      <c r="N2022" s="8" t="s">
        <v>212</v>
      </c>
      <c r="O2022" s="6">
        <v>0</v>
      </c>
      <c r="P2022" s="6">
        <v>0</v>
      </c>
      <c r="Q2022" s="6">
        <v>0</v>
      </c>
      <c r="R2022" s="6">
        <v>0</v>
      </c>
      <c r="S2022" s="6">
        <v>430</v>
      </c>
    </row>
    <row r="2023" spans="1:19" ht="15" hidden="1" x14ac:dyDescent="0.25">
      <c r="A2023" s="7" t="s">
        <v>16</v>
      </c>
      <c r="B2023" s="7" t="s">
        <v>23</v>
      </c>
      <c r="C2023" s="7" t="s">
        <v>24</v>
      </c>
      <c r="D2023" s="4">
        <v>6047087004207</v>
      </c>
      <c r="E2023" s="8" t="s">
        <v>811</v>
      </c>
      <c r="F2023" s="8" t="s">
        <v>739</v>
      </c>
      <c r="G2023" s="8" t="s">
        <v>55</v>
      </c>
      <c r="H2023" s="8" t="s">
        <v>215</v>
      </c>
      <c r="I2023" s="3">
        <v>2</v>
      </c>
      <c r="J2023" s="8" t="s">
        <v>163</v>
      </c>
      <c r="K2023" s="8" t="s">
        <v>164</v>
      </c>
      <c r="L2023" s="8" t="s">
        <v>557</v>
      </c>
      <c r="M2023" s="1" t="s">
        <v>211</v>
      </c>
      <c r="N2023" s="8" t="s">
        <v>212</v>
      </c>
      <c r="O2023" s="6">
        <v>0</v>
      </c>
      <c r="P2023" s="6">
        <v>17</v>
      </c>
      <c r="Q2023" s="6">
        <v>5</v>
      </c>
      <c r="R2023" s="6">
        <v>0</v>
      </c>
      <c r="S2023" s="6">
        <v>0</v>
      </c>
    </row>
    <row r="2024" spans="1:19" ht="15" hidden="1" x14ac:dyDescent="0.25">
      <c r="A2024" s="7" t="s">
        <v>16</v>
      </c>
      <c r="B2024" s="7" t="s">
        <v>23</v>
      </c>
      <c r="C2024" s="7" t="s">
        <v>24</v>
      </c>
      <c r="D2024" s="4">
        <v>6047087004207</v>
      </c>
      <c r="E2024" s="8" t="s">
        <v>811</v>
      </c>
      <c r="F2024" s="8" t="s">
        <v>739</v>
      </c>
      <c r="G2024" s="8" t="s">
        <v>55</v>
      </c>
      <c r="H2024" s="8" t="s">
        <v>215</v>
      </c>
      <c r="I2024" s="3">
        <v>2</v>
      </c>
      <c r="J2024" s="8" t="s">
        <v>201</v>
      </c>
      <c r="K2024" s="8" t="s">
        <v>202</v>
      </c>
      <c r="L2024" s="8" t="s">
        <v>740</v>
      </c>
      <c r="M2024" s="1" t="s">
        <v>211</v>
      </c>
      <c r="N2024" s="8" t="s">
        <v>212</v>
      </c>
      <c r="O2024" s="6">
        <v>0</v>
      </c>
      <c r="P2024" s="6">
        <v>0</v>
      </c>
      <c r="Q2024" s="6">
        <v>0</v>
      </c>
      <c r="R2024" s="6">
        <v>0</v>
      </c>
      <c r="S2024" s="6">
        <v>0</v>
      </c>
    </row>
    <row r="2025" spans="1:19" ht="15" hidden="1" x14ac:dyDescent="0.25">
      <c r="A2025" s="7" t="s">
        <v>16</v>
      </c>
      <c r="B2025" s="7" t="s">
        <v>23</v>
      </c>
      <c r="C2025" s="7" t="s">
        <v>24</v>
      </c>
      <c r="D2025" s="4">
        <v>38000485000196</v>
      </c>
      <c r="E2025" s="8" t="s">
        <v>917</v>
      </c>
      <c r="F2025" s="8" t="s">
        <v>739</v>
      </c>
      <c r="G2025" s="8" t="s">
        <v>55</v>
      </c>
      <c r="H2025" s="8" t="s">
        <v>215</v>
      </c>
      <c r="I2025" s="3">
        <v>2</v>
      </c>
      <c r="J2025" s="8" t="s">
        <v>163</v>
      </c>
      <c r="K2025" s="8" t="s">
        <v>164</v>
      </c>
      <c r="L2025" s="8" t="s">
        <v>557</v>
      </c>
      <c r="M2025" s="1" t="s">
        <v>211</v>
      </c>
      <c r="N2025" s="8" t="s">
        <v>212</v>
      </c>
      <c r="O2025" s="6">
        <v>0</v>
      </c>
      <c r="P2025" s="6">
        <v>5</v>
      </c>
      <c r="Q2025" s="6">
        <v>0</v>
      </c>
      <c r="R2025" s="6">
        <v>0</v>
      </c>
      <c r="S2025" s="6">
        <v>0</v>
      </c>
    </row>
    <row r="2026" spans="1:19" ht="15" hidden="1" x14ac:dyDescent="0.25">
      <c r="A2026" s="7" t="s">
        <v>16</v>
      </c>
      <c r="B2026" s="7" t="s">
        <v>23</v>
      </c>
      <c r="C2026" s="7" t="s">
        <v>24</v>
      </c>
      <c r="D2026" s="4">
        <v>38000485000196</v>
      </c>
      <c r="E2026" s="8" t="s">
        <v>917</v>
      </c>
      <c r="F2026" s="8" t="s">
        <v>739</v>
      </c>
      <c r="G2026" s="8" t="s">
        <v>55</v>
      </c>
      <c r="H2026" s="8" t="s">
        <v>215</v>
      </c>
      <c r="I2026" s="3">
        <v>2</v>
      </c>
      <c r="J2026" s="8" t="s">
        <v>201</v>
      </c>
      <c r="K2026" s="8" t="s">
        <v>202</v>
      </c>
      <c r="L2026" s="8" t="s">
        <v>740</v>
      </c>
      <c r="M2026" s="1" t="s">
        <v>211</v>
      </c>
      <c r="N2026" s="8" t="s">
        <v>212</v>
      </c>
      <c r="O2026" s="6">
        <v>0</v>
      </c>
      <c r="P2026" s="6">
        <v>0</v>
      </c>
      <c r="Q2026" s="6">
        <v>0</v>
      </c>
      <c r="R2026" s="6">
        <v>0</v>
      </c>
      <c r="S2026" s="6">
        <v>0</v>
      </c>
    </row>
    <row r="2027" spans="1:19" ht="15" hidden="1" x14ac:dyDescent="0.25">
      <c r="A2027" s="7" t="s">
        <v>16</v>
      </c>
      <c r="B2027" s="7" t="s">
        <v>23</v>
      </c>
      <c r="C2027" s="7" t="s">
        <v>24</v>
      </c>
      <c r="D2027" s="4">
        <v>49791000144</v>
      </c>
      <c r="E2027" s="8" t="s">
        <v>743</v>
      </c>
      <c r="F2027" s="8" t="s">
        <v>739</v>
      </c>
      <c r="G2027" s="8" t="s">
        <v>55</v>
      </c>
      <c r="H2027" s="8" t="s">
        <v>215</v>
      </c>
      <c r="I2027" s="3">
        <v>2</v>
      </c>
      <c r="J2027" s="8" t="s">
        <v>163</v>
      </c>
      <c r="K2027" s="8" t="s">
        <v>164</v>
      </c>
      <c r="L2027" s="8" t="s">
        <v>557</v>
      </c>
      <c r="M2027" s="1" t="s">
        <v>211</v>
      </c>
      <c r="N2027" s="8" t="s">
        <v>212</v>
      </c>
      <c r="O2027" s="6">
        <v>0</v>
      </c>
      <c r="P2027" s="6">
        <v>3</v>
      </c>
      <c r="Q2027" s="6">
        <v>0</v>
      </c>
      <c r="R2027" s="6">
        <v>0</v>
      </c>
      <c r="S2027" s="6">
        <v>0</v>
      </c>
    </row>
    <row r="2028" spans="1:19" ht="15" hidden="1" x14ac:dyDescent="0.25">
      <c r="A2028" s="7" t="s">
        <v>16</v>
      </c>
      <c r="B2028" s="7" t="s">
        <v>23</v>
      </c>
      <c r="C2028" s="7" t="s">
        <v>24</v>
      </c>
      <c r="D2028" s="4">
        <v>49791000144</v>
      </c>
      <c r="E2028" s="8" t="s">
        <v>743</v>
      </c>
      <c r="F2028" s="8" t="s">
        <v>739</v>
      </c>
      <c r="G2028" s="8" t="s">
        <v>55</v>
      </c>
      <c r="H2028" s="8" t="s">
        <v>215</v>
      </c>
      <c r="I2028" s="3">
        <v>2</v>
      </c>
      <c r="J2028" s="8" t="s">
        <v>201</v>
      </c>
      <c r="K2028" s="8" t="s">
        <v>202</v>
      </c>
      <c r="L2028" s="8" t="s">
        <v>740</v>
      </c>
      <c r="M2028" s="1" t="s">
        <v>211</v>
      </c>
      <c r="N2028" s="8" t="s">
        <v>212</v>
      </c>
      <c r="O2028" s="6">
        <v>0</v>
      </c>
      <c r="P2028" s="6">
        <v>0</v>
      </c>
      <c r="Q2028" s="6">
        <v>0</v>
      </c>
      <c r="R2028" s="6">
        <v>0</v>
      </c>
      <c r="S2028" s="6">
        <v>0</v>
      </c>
    </row>
    <row r="2029" spans="1:19" ht="15" hidden="1" x14ac:dyDescent="0.25">
      <c r="A2029" s="7" t="s">
        <v>16</v>
      </c>
      <c r="B2029" s="7" t="s">
        <v>23</v>
      </c>
      <c r="C2029" s="7" t="s">
        <v>24</v>
      </c>
      <c r="D2029" s="4">
        <v>6047087004126</v>
      </c>
      <c r="E2029" s="8" t="s">
        <v>810</v>
      </c>
      <c r="F2029" s="8" t="s">
        <v>739</v>
      </c>
      <c r="G2029" s="8" t="s">
        <v>55</v>
      </c>
      <c r="H2029" s="8" t="s">
        <v>215</v>
      </c>
      <c r="I2029" s="3">
        <v>2</v>
      </c>
      <c r="J2029" s="8" t="s">
        <v>163</v>
      </c>
      <c r="K2029" s="8" t="s">
        <v>164</v>
      </c>
      <c r="L2029" s="8" t="s">
        <v>557</v>
      </c>
      <c r="M2029" s="1" t="s">
        <v>211</v>
      </c>
      <c r="N2029" s="8" t="s">
        <v>212</v>
      </c>
      <c r="O2029" s="6">
        <v>0</v>
      </c>
      <c r="P2029" s="6">
        <v>6</v>
      </c>
      <c r="Q2029" s="6">
        <v>0</v>
      </c>
      <c r="R2029" s="6">
        <v>0</v>
      </c>
      <c r="S2029" s="6">
        <v>0</v>
      </c>
    </row>
    <row r="2030" spans="1:19" ht="15" hidden="1" x14ac:dyDescent="0.25">
      <c r="A2030" s="7" t="s">
        <v>16</v>
      </c>
      <c r="B2030" s="7" t="s">
        <v>23</v>
      </c>
      <c r="C2030" s="7" t="s">
        <v>24</v>
      </c>
      <c r="D2030" s="4">
        <v>6047087004126</v>
      </c>
      <c r="E2030" s="8" t="s">
        <v>810</v>
      </c>
      <c r="F2030" s="8" t="s">
        <v>739</v>
      </c>
      <c r="G2030" s="8" t="s">
        <v>55</v>
      </c>
      <c r="H2030" s="8" t="s">
        <v>215</v>
      </c>
      <c r="I2030" s="3">
        <v>2</v>
      </c>
      <c r="J2030" s="8" t="s">
        <v>201</v>
      </c>
      <c r="K2030" s="8" t="s">
        <v>202</v>
      </c>
      <c r="L2030" s="8" t="s">
        <v>740</v>
      </c>
      <c r="M2030" s="1" t="s">
        <v>211</v>
      </c>
      <c r="N2030" s="8" t="s">
        <v>212</v>
      </c>
      <c r="O2030" s="6">
        <v>0</v>
      </c>
      <c r="P2030" s="6">
        <v>0</v>
      </c>
      <c r="Q2030" s="6">
        <v>0</v>
      </c>
      <c r="R2030" s="6">
        <v>0</v>
      </c>
      <c r="S2030" s="6">
        <v>0</v>
      </c>
    </row>
    <row r="2031" spans="1:19" ht="15" hidden="1" x14ac:dyDescent="0.25">
      <c r="A2031" s="7" t="s">
        <v>16</v>
      </c>
      <c r="B2031" s="7" t="s">
        <v>23</v>
      </c>
      <c r="C2031" s="7" t="s">
        <v>24</v>
      </c>
      <c r="D2031" s="4">
        <v>610980000144</v>
      </c>
      <c r="E2031" s="8" t="s">
        <v>756</v>
      </c>
      <c r="F2031" s="8" t="s">
        <v>739</v>
      </c>
      <c r="G2031" s="8" t="s">
        <v>55</v>
      </c>
      <c r="H2031" s="8" t="s">
        <v>215</v>
      </c>
      <c r="I2031" s="3">
        <v>2</v>
      </c>
      <c r="J2031" s="8" t="s">
        <v>163</v>
      </c>
      <c r="K2031" s="8" t="s">
        <v>164</v>
      </c>
      <c r="L2031" s="8" t="s">
        <v>557</v>
      </c>
      <c r="M2031" s="1" t="s">
        <v>211</v>
      </c>
      <c r="N2031" s="8" t="s">
        <v>212</v>
      </c>
      <c r="O2031" s="6">
        <v>0</v>
      </c>
      <c r="P2031" s="6">
        <v>22</v>
      </c>
      <c r="Q2031" s="6">
        <v>0</v>
      </c>
      <c r="R2031" s="6">
        <v>0</v>
      </c>
      <c r="S2031" s="6">
        <v>50</v>
      </c>
    </row>
    <row r="2032" spans="1:19" ht="15" hidden="1" x14ac:dyDescent="0.25">
      <c r="A2032" s="7" t="s">
        <v>16</v>
      </c>
      <c r="B2032" s="7" t="s">
        <v>23</v>
      </c>
      <c r="C2032" s="7" t="s">
        <v>24</v>
      </c>
      <c r="D2032" s="4">
        <v>610980000144</v>
      </c>
      <c r="E2032" s="8" t="s">
        <v>756</v>
      </c>
      <c r="F2032" s="8" t="s">
        <v>739</v>
      </c>
      <c r="G2032" s="8" t="s">
        <v>55</v>
      </c>
      <c r="H2032" s="8" t="s">
        <v>215</v>
      </c>
      <c r="I2032" s="3">
        <v>2</v>
      </c>
      <c r="J2032" s="8" t="s">
        <v>201</v>
      </c>
      <c r="K2032" s="8" t="s">
        <v>202</v>
      </c>
      <c r="L2032" s="8" t="s">
        <v>740</v>
      </c>
      <c r="M2032" s="1" t="s">
        <v>211</v>
      </c>
      <c r="N2032" s="8" t="s">
        <v>212</v>
      </c>
      <c r="O2032" s="6">
        <v>0</v>
      </c>
      <c r="P2032" s="6">
        <v>0</v>
      </c>
      <c r="Q2032" s="6">
        <v>0</v>
      </c>
      <c r="R2032" s="6">
        <v>0</v>
      </c>
      <c r="S2032" s="6">
        <v>50</v>
      </c>
    </row>
    <row r="2033" spans="1:19" ht="15" hidden="1" x14ac:dyDescent="0.25">
      <c r="A2033" s="7" t="s">
        <v>16</v>
      </c>
      <c r="B2033" s="7" t="s">
        <v>23</v>
      </c>
      <c r="C2033" s="7" t="s">
        <v>24</v>
      </c>
      <c r="D2033" s="4">
        <v>61590410000558</v>
      </c>
      <c r="E2033" s="8" t="s">
        <v>922</v>
      </c>
      <c r="F2033" s="8" t="s">
        <v>739</v>
      </c>
      <c r="G2033" s="8" t="s">
        <v>55</v>
      </c>
      <c r="H2033" s="8" t="s">
        <v>215</v>
      </c>
      <c r="I2033" s="3">
        <v>2</v>
      </c>
      <c r="J2033" s="8" t="s">
        <v>163</v>
      </c>
      <c r="K2033" s="8" t="s">
        <v>164</v>
      </c>
      <c r="L2033" s="8" t="s">
        <v>557</v>
      </c>
      <c r="M2033" s="1" t="s">
        <v>211</v>
      </c>
      <c r="N2033" s="8" t="s">
        <v>212</v>
      </c>
      <c r="O2033" s="6">
        <v>0</v>
      </c>
      <c r="P2033" s="6">
        <v>0</v>
      </c>
      <c r="Q2033" s="6">
        <v>0</v>
      </c>
      <c r="R2033" s="6">
        <v>0</v>
      </c>
      <c r="S2033" s="6">
        <v>0</v>
      </c>
    </row>
    <row r="2034" spans="1:19" ht="15" hidden="1" x14ac:dyDescent="0.25">
      <c r="A2034" s="7" t="s">
        <v>16</v>
      </c>
      <c r="B2034" s="7" t="s">
        <v>23</v>
      </c>
      <c r="C2034" s="7" t="s">
        <v>24</v>
      </c>
      <c r="D2034" s="4">
        <v>61590410000558</v>
      </c>
      <c r="E2034" s="8" t="s">
        <v>922</v>
      </c>
      <c r="F2034" s="8" t="s">
        <v>739</v>
      </c>
      <c r="G2034" s="8" t="s">
        <v>55</v>
      </c>
      <c r="H2034" s="8" t="s">
        <v>215</v>
      </c>
      <c r="I2034" s="3">
        <v>2</v>
      </c>
      <c r="J2034" s="8" t="s">
        <v>201</v>
      </c>
      <c r="K2034" s="8" t="s">
        <v>202</v>
      </c>
      <c r="L2034" s="8" t="s">
        <v>740</v>
      </c>
      <c r="M2034" s="1" t="s">
        <v>211</v>
      </c>
      <c r="N2034" s="8" t="s">
        <v>212</v>
      </c>
      <c r="O2034" s="6">
        <v>0</v>
      </c>
      <c r="P2034" s="6">
        <v>0</v>
      </c>
      <c r="Q2034" s="6">
        <v>0</v>
      </c>
      <c r="R2034" s="6">
        <v>16</v>
      </c>
      <c r="S2034" s="6">
        <v>0</v>
      </c>
    </row>
    <row r="2035" spans="1:19" ht="15" hidden="1" x14ac:dyDescent="0.25">
      <c r="A2035" s="7" t="s">
        <v>16</v>
      </c>
      <c r="B2035" s="7" t="s">
        <v>23</v>
      </c>
      <c r="C2035" s="7" t="s">
        <v>24</v>
      </c>
      <c r="D2035" s="4">
        <v>10942995000163</v>
      </c>
      <c r="E2035" s="8" t="s">
        <v>836</v>
      </c>
      <c r="F2035" s="8" t="s">
        <v>739</v>
      </c>
      <c r="G2035" s="8" t="s">
        <v>55</v>
      </c>
      <c r="H2035" s="8" t="s">
        <v>215</v>
      </c>
      <c r="I2035" s="3">
        <v>2</v>
      </c>
      <c r="J2035" s="8" t="s">
        <v>163</v>
      </c>
      <c r="K2035" s="8" t="s">
        <v>164</v>
      </c>
      <c r="L2035" s="8" t="s">
        <v>557</v>
      </c>
      <c r="M2035" s="1" t="s">
        <v>211</v>
      </c>
      <c r="N2035" s="8" t="s">
        <v>212</v>
      </c>
      <c r="O2035" s="6">
        <v>0</v>
      </c>
      <c r="P2035" s="6">
        <v>0</v>
      </c>
      <c r="Q2035" s="6">
        <v>0</v>
      </c>
      <c r="R2035" s="6">
        <v>0</v>
      </c>
      <c r="S2035" s="6">
        <v>350</v>
      </c>
    </row>
    <row r="2036" spans="1:19" ht="15" hidden="1" x14ac:dyDescent="0.25">
      <c r="A2036" s="7" t="s">
        <v>16</v>
      </c>
      <c r="B2036" s="7" t="s">
        <v>23</v>
      </c>
      <c r="C2036" s="7" t="s">
        <v>24</v>
      </c>
      <c r="D2036" s="4">
        <v>10942995000163</v>
      </c>
      <c r="E2036" s="8" t="s">
        <v>836</v>
      </c>
      <c r="F2036" s="8" t="s">
        <v>739</v>
      </c>
      <c r="G2036" s="8" t="s">
        <v>55</v>
      </c>
      <c r="H2036" s="8" t="s">
        <v>215</v>
      </c>
      <c r="I2036" s="3">
        <v>2</v>
      </c>
      <c r="J2036" s="8" t="s">
        <v>201</v>
      </c>
      <c r="K2036" s="8" t="s">
        <v>202</v>
      </c>
      <c r="L2036" s="8" t="s">
        <v>740</v>
      </c>
      <c r="M2036" s="1" t="s">
        <v>211</v>
      </c>
      <c r="N2036" s="8" t="s">
        <v>212</v>
      </c>
      <c r="O2036" s="6">
        <v>0</v>
      </c>
      <c r="P2036" s="6">
        <v>0</v>
      </c>
      <c r="Q2036" s="6">
        <v>0</v>
      </c>
      <c r="R2036" s="6">
        <v>120</v>
      </c>
      <c r="S2036" s="6">
        <v>350</v>
      </c>
    </row>
    <row r="2037" spans="1:19" ht="15" hidden="1" x14ac:dyDescent="0.25">
      <c r="A2037" s="7" t="s">
        <v>16</v>
      </c>
      <c r="B2037" s="7" t="s">
        <v>23</v>
      </c>
      <c r="C2037" s="7" t="s">
        <v>24</v>
      </c>
      <c r="D2037" s="4">
        <v>11859927000106</v>
      </c>
      <c r="E2037" s="8" t="s">
        <v>846</v>
      </c>
      <c r="F2037" s="8" t="s">
        <v>739</v>
      </c>
      <c r="G2037" s="8" t="s">
        <v>55</v>
      </c>
      <c r="H2037" s="8" t="s">
        <v>215</v>
      </c>
      <c r="I2037" s="3">
        <v>2</v>
      </c>
      <c r="J2037" s="8" t="s">
        <v>163</v>
      </c>
      <c r="K2037" s="8" t="s">
        <v>164</v>
      </c>
      <c r="L2037" s="8" t="s">
        <v>557</v>
      </c>
      <c r="M2037" s="1" t="s">
        <v>211</v>
      </c>
      <c r="N2037" s="8" t="s">
        <v>212</v>
      </c>
      <c r="O2037" s="6">
        <v>0</v>
      </c>
      <c r="P2037" s="6">
        <v>0</v>
      </c>
      <c r="Q2037" s="6">
        <v>0</v>
      </c>
      <c r="R2037" s="6">
        <v>0</v>
      </c>
      <c r="S2037" s="6">
        <v>0</v>
      </c>
    </row>
    <row r="2038" spans="1:19" ht="15" hidden="1" x14ac:dyDescent="0.25">
      <c r="A2038" s="7" t="s">
        <v>16</v>
      </c>
      <c r="B2038" s="7" t="s">
        <v>23</v>
      </c>
      <c r="C2038" s="7" t="s">
        <v>24</v>
      </c>
      <c r="D2038" s="4">
        <v>11859927000106</v>
      </c>
      <c r="E2038" s="8" t="s">
        <v>846</v>
      </c>
      <c r="F2038" s="8" t="s">
        <v>739</v>
      </c>
      <c r="G2038" s="8" t="s">
        <v>55</v>
      </c>
      <c r="H2038" s="8" t="s">
        <v>215</v>
      </c>
      <c r="I2038" s="3">
        <v>2</v>
      </c>
      <c r="J2038" s="8" t="s">
        <v>201</v>
      </c>
      <c r="K2038" s="8" t="s">
        <v>202</v>
      </c>
      <c r="L2038" s="8" t="s">
        <v>740</v>
      </c>
      <c r="M2038" s="1" t="s">
        <v>211</v>
      </c>
      <c r="N2038" s="8" t="s">
        <v>212</v>
      </c>
      <c r="O2038" s="6">
        <v>0</v>
      </c>
      <c r="P2038" s="6">
        <v>0</v>
      </c>
      <c r="Q2038" s="6">
        <v>0</v>
      </c>
      <c r="R2038" s="6">
        <v>48</v>
      </c>
      <c r="S2038" s="6">
        <v>0</v>
      </c>
    </row>
    <row r="2039" spans="1:19" ht="15" hidden="1" x14ac:dyDescent="0.25">
      <c r="A2039" s="7" t="s">
        <v>16</v>
      </c>
      <c r="B2039" s="7" t="s">
        <v>23</v>
      </c>
      <c r="C2039" s="7" t="s">
        <v>24</v>
      </c>
      <c r="D2039" s="4">
        <v>16739984000167</v>
      </c>
      <c r="E2039" s="8" t="s">
        <v>900</v>
      </c>
      <c r="F2039" s="8" t="s">
        <v>739</v>
      </c>
      <c r="G2039" s="8" t="s">
        <v>55</v>
      </c>
      <c r="H2039" s="8" t="s">
        <v>215</v>
      </c>
      <c r="I2039" s="3">
        <v>2</v>
      </c>
      <c r="J2039" s="8" t="s">
        <v>163</v>
      </c>
      <c r="K2039" s="8" t="s">
        <v>164</v>
      </c>
      <c r="L2039" s="8" t="s">
        <v>557</v>
      </c>
      <c r="M2039" s="1" t="s">
        <v>211</v>
      </c>
      <c r="N2039" s="8" t="s">
        <v>212</v>
      </c>
      <c r="O2039" s="6">
        <v>0</v>
      </c>
      <c r="P2039" s="6">
        <v>0</v>
      </c>
      <c r="Q2039" s="6">
        <v>0</v>
      </c>
      <c r="R2039" s="6">
        <v>0</v>
      </c>
      <c r="S2039" s="6">
        <v>0</v>
      </c>
    </row>
    <row r="2040" spans="1:19" ht="15" hidden="1" x14ac:dyDescent="0.25">
      <c r="A2040" s="7" t="s">
        <v>16</v>
      </c>
      <c r="B2040" s="7" t="s">
        <v>23</v>
      </c>
      <c r="C2040" s="7" t="s">
        <v>24</v>
      </c>
      <c r="D2040" s="4">
        <v>16739984000167</v>
      </c>
      <c r="E2040" s="8" t="s">
        <v>900</v>
      </c>
      <c r="F2040" s="8" t="s">
        <v>739</v>
      </c>
      <c r="G2040" s="8" t="s">
        <v>55</v>
      </c>
      <c r="H2040" s="8" t="s">
        <v>215</v>
      </c>
      <c r="I2040" s="3">
        <v>2</v>
      </c>
      <c r="J2040" s="8" t="s">
        <v>201</v>
      </c>
      <c r="K2040" s="8" t="s">
        <v>202</v>
      </c>
      <c r="L2040" s="8" t="s">
        <v>740</v>
      </c>
      <c r="M2040" s="1" t="s">
        <v>211</v>
      </c>
      <c r="N2040" s="8" t="s">
        <v>212</v>
      </c>
      <c r="O2040" s="6">
        <v>0</v>
      </c>
      <c r="P2040" s="6">
        <v>0</v>
      </c>
      <c r="Q2040" s="6">
        <v>0</v>
      </c>
      <c r="R2040" s="6">
        <v>42</v>
      </c>
      <c r="S2040" s="6">
        <v>0</v>
      </c>
    </row>
    <row r="2041" spans="1:19" ht="15" hidden="1" x14ac:dyDescent="0.25">
      <c r="A2041" s="7" t="s">
        <v>16</v>
      </c>
      <c r="B2041" s="7" t="s">
        <v>23</v>
      </c>
      <c r="C2041" s="7" t="s">
        <v>24</v>
      </c>
      <c r="D2041" s="4">
        <v>25841000153</v>
      </c>
      <c r="E2041" s="8" t="s">
        <v>738</v>
      </c>
      <c r="F2041" s="8" t="s">
        <v>739</v>
      </c>
      <c r="G2041" s="8" t="s">
        <v>55</v>
      </c>
      <c r="H2041" s="8" t="s">
        <v>215</v>
      </c>
      <c r="I2041" s="3">
        <v>2</v>
      </c>
      <c r="J2041" s="8" t="s">
        <v>163</v>
      </c>
      <c r="K2041" s="8" t="s">
        <v>164</v>
      </c>
      <c r="L2041" s="8" t="s">
        <v>557</v>
      </c>
      <c r="M2041" s="1" t="s">
        <v>211</v>
      </c>
      <c r="N2041" s="8" t="s">
        <v>212</v>
      </c>
      <c r="O2041" s="6">
        <v>0</v>
      </c>
      <c r="P2041" s="6">
        <v>5</v>
      </c>
      <c r="Q2041" s="6">
        <v>9</v>
      </c>
      <c r="R2041" s="6">
        <v>0</v>
      </c>
      <c r="S2041" s="6">
        <v>0</v>
      </c>
    </row>
    <row r="2042" spans="1:19" ht="15" hidden="1" x14ac:dyDescent="0.25">
      <c r="A2042" s="7" t="s">
        <v>16</v>
      </c>
      <c r="B2042" s="7" t="s">
        <v>23</v>
      </c>
      <c r="C2042" s="7" t="s">
        <v>24</v>
      </c>
      <c r="D2042" s="4">
        <v>25841000153</v>
      </c>
      <c r="E2042" s="8" t="s">
        <v>738</v>
      </c>
      <c r="F2042" s="8" t="s">
        <v>739</v>
      </c>
      <c r="G2042" s="8" t="s">
        <v>55</v>
      </c>
      <c r="H2042" s="8" t="s">
        <v>215</v>
      </c>
      <c r="I2042" s="3">
        <v>2</v>
      </c>
      <c r="J2042" s="8" t="s">
        <v>201</v>
      </c>
      <c r="K2042" s="8" t="s">
        <v>202</v>
      </c>
      <c r="L2042" s="8" t="s">
        <v>740</v>
      </c>
      <c r="M2042" s="1" t="s">
        <v>211</v>
      </c>
      <c r="N2042" s="8" t="s">
        <v>212</v>
      </c>
      <c r="O2042" s="6">
        <v>0</v>
      </c>
      <c r="P2042" s="6">
        <v>0</v>
      </c>
      <c r="Q2042" s="6">
        <v>0</v>
      </c>
      <c r="R2042" s="6">
        <v>0</v>
      </c>
      <c r="S2042" s="6">
        <v>0</v>
      </c>
    </row>
    <row r="2043" spans="1:19" ht="15" hidden="1" x14ac:dyDescent="0.25">
      <c r="A2043" s="7" t="s">
        <v>16</v>
      </c>
      <c r="B2043" s="7" t="s">
        <v>23</v>
      </c>
      <c r="C2043" s="7" t="s">
        <v>24</v>
      </c>
      <c r="D2043" s="4">
        <v>7039651000134</v>
      </c>
      <c r="E2043" s="8" t="s">
        <v>1153</v>
      </c>
      <c r="F2043" s="8" t="s">
        <v>116</v>
      </c>
      <c r="G2043" s="8" t="s">
        <v>98</v>
      </c>
      <c r="H2043" s="8" t="s">
        <v>215</v>
      </c>
      <c r="I2043" s="3">
        <v>1</v>
      </c>
      <c r="J2043" s="8" t="s">
        <v>159</v>
      </c>
      <c r="K2043" s="8" t="s">
        <v>160</v>
      </c>
      <c r="L2043" s="8" t="s">
        <v>740</v>
      </c>
      <c r="M2043" s="1" t="s">
        <v>205</v>
      </c>
      <c r="N2043" s="8" t="s">
        <v>206</v>
      </c>
      <c r="O2043" s="6">
        <v>0</v>
      </c>
      <c r="P2043" s="6">
        <v>0</v>
      </c>
      <c r="Q2043" s="6">
        <v>0</v>
      </c>
      <c r="R2043" s="6">
        <v>0</v>
      </c>
      <c r="S2043" s="6">
        <v>25</v>
      </c>
    </row>
    <row r="2044" spans="1:19" ht="15" hidden="1" x14ac:dyDescent="0.25">
      <c r="A2044" s="7" t="s">
        <v>16</v>
      </c>
      <c r="B2044" s="7" t="s">
        <v>23</v>
      </c>
      <c r="C2044" s="7" t="s">
        <v>24</v>
      </c>
      <c r="D2044" s="4">
        <v>29323454000185</v>
      </c>
      <c r="E2044" s="8" t="s">
        <v>1211</v>
      </c>
      <c r="F2044" s="8" t="s">
        <v>543</v>
      </c>
      <c r="G2044" s="8" t="s">
        <v>98</v>
      </c>
      <c r="H2044" s="8" t="s">
        <v>215</v>
      </c>
      <c r="I2044" s="3">
        <v>1</v>
      </c>
      <c r="J2044" s="8" t="s">
        <v>159</v>
      </c>
      <c r="K2044" s="8" t="s">
        <v>160</v>
      </c>
      <c r="L2044" s="8" t="s">
        <v>740</v>
      </c>
      <c r="M2044" s="1" t="s">
        <v>205</v>
      </c>
      <c r="N2044" s="8" t="s">
        <v>206</v>
      </c>
      <c r="O2044" s="6">
        <v>0</v>
      </c>
      <c r="P2044" s="6">
        <v>0</v>
      </c>
      <c r="Q2044" s="6">
        <v>0</v>
      </c>
      <c r="R2044" s="6">
        <v>0</v>
      </c>
      <c r="S2044" s="6">
        <v>150</v>
      </c>
    </row>
    <row r="2045" spans="1:19" ht="15" hidden="1" x14ac:dyDescent="0.25">
      <c r="A2045" s="7" t="s">
        <v>16</v>
      </c>
      <c r="B2045" s="7" t="s">
        <v>23</v>
      </c>
      <c r="C2045" s="7" t="s">
        <v>24</v>
      </c>
      <c r="D2045" s="4">
        <v>27578434001525</v>
      </c>
      <c r="E2045" s="8" t="s">
        <v>1208</v>
      </c>
      <c r="F2045" s="8" t="s">
        <v>1157</v>
      </c>
      <c r="G2045" s="8" t="s">
        <v>98</v>
      </c>
      <c r="H2045" s="8" t="s">
        <v>215</v>
      </c>
      <c r="I2045" s="3">
        <v>1</v>
      </c>
      <c r="J2045" s="8" t="s">
        <v>159</v>
      </c>
      <c r="K2045" s="8" t="s">
        <v>160</v>
      </c>
      <c r="L2045" s="8" t="s">
        <v>740</v>
      </c>
      <c r="M2045" s="1" t="s">
        <v>205</v>
      </c>
      <c r="N2045" s="8" t="s">
        <v>206</v>
      </c>
      <c r="O2045" s="6">
        <v>0</v>
      </c>
      <c r="P2045" s="6">
        <v>0</v>
      </c>
      <c r="Q2045" s="6">
        <v>0</v>
      </c>
      <c r="R2045" s="6">
        <v>0</v>
      </c>
      <c r="S2045" s="6">
        <v>1000</v>
      </c>
    </row>
    <row r="2046" spans="1:19" ht="15" hidden="1" x14ac:dyDescent="0.25">
      <c r="A2046" s="7" t="s">
        <v>16</v>
      </c>
      <c r="B2046" s="7" t="s">
        <v>23</v>
      </c>
      <c r="C2046" s="7" t="s">
        <v>24</v>
      </c>
      <c r="D2046" s="4">
        <v>28137925000106</v>
      </c>
      <c r="E2046" s="8" t="s">
        <v>1210</v>
      </c>
      <c r="F2046" s="8" t="s">
        <v>1157</v>
      </c>
      <c r="G2046" s="8" t="s">
        <v>98</v>
      </c>
      <c r="H2046" s="8" t="s">
        <v>215</v>
      </c>
      <c r="I2046" s="3">
        <v>1</v>
      </c>
      <c r="J2046" s="8" t="s">
        <v>159</v>
      </c>
      <c r="K2046" s="8" t="s">
        <v>160</v>
      </c>
      <c r="L2046" s="8" t="s">
        <v>740</v>
      </c>
      <c r="M2046" s="1" t="s">
        <v>205</v>
      </c>
      <c r="N2046" s="8" t="s">
        <v>206</v>
      </c>
      <c r="O2046" s="6">
        <v>0</v>
      </c>
      <c r="P2046" s="6">
        <v>0</v>
      </c>
      <c r="Q2046" s="6">
        <v>0</v>
      </c>
      <c r="R2046" s="6">
        <v>0</v>
      </c>
      <c r="S2046" s="6">
        <v>550</v>
      </c>
    </row>
    <row r="2047" spans="1:19" ht="15" hidden="1" x14ac:dyDescent="0.25">
      <c r="A2047" s="7" t="s">
        <v>16</v>
      </c>
      <c r="B2047" s="7" t="s">
        <v>23</v>
      </c>
      <c r="C2047" s="7" t="s">
        <v>24</v>
      </c>
      <c r="D2047" s="4">
        <v>39387477000107</v>
      </c>
      <c r="E2047" s="8" t="s">
        <v>1218</v>
      </c>
      <c r="F2047" s="8" t="s">
        <v>1157</v>
      </c>
      <c r="G2047" s="8" t="s">
        <v>98</v>
      </c>
      <c r="H2047" s="8" t="s">
        <v>215</v>
      </c>
      <c r="I2047" s="3">
        <v>1</v>
      </c>
      <c r="J2047" s="8" t="s">
        <v>159</v>
      </c>
      <c r="K2047" s="8" t="s">
        <v>160</v>
      </c>
      <c r="L2047" s="8" t="s">
        <v>740</v>
      </c>
      <c r="M2047" s="1" t="s">
        <v>205</v>
      </c>
      <c r="N2047" s="8" t="s">
        <v>206</v>
      </c>
      <c r="O2047" s="6">
        <v>0</v>
      </c>
      <c r="P2047" s="6">
        <v>0</v>
      </c>
      <c r="Q2047" s="6">
        <v>0</v>
      </c>
      <c r="R2047" s="6">
        <v>0</v>
      </c>
      <c r="S2047" s="6">
        <v>325</v>
      </c>
    </row>
    <row r="2048" spans="1:19" ht="15" hidden="1" x14ac:dyDescent="0.25">
      <c r="A2048" s="7" t="s">
        <v>16</v>
      </c>
      <c r="B2048" s="7" t="s">
        <v>23</v>
      </c>
      <c r="C2048" s="7" t="s">
        <v>24</v>
      </c>
      <c r="D2048" s="4">
        <v>1326206000179</v>
      </c>
      <c r="E2048" s="8" t="s">
        <v>761</v>
      </c>
      <c r="F2048" s="8" t="s">
        <v>762</v>
      </c>
      <c r="G2048" s="8" t="s">
        <v>59</v>
      </c>
      <c r="H2048" s="8" t="s">
        <v>215</v>
      </c>
      <c r="I2048" s="3">
        <v>2</v>
      </c>
      <c r="J2048" s="8" t="s">
        <v>187</v>
      </c>
      <c r="K2048" s="8" t="s">
        <v>188</v>
      </c>
      <c r="L2048" s="8" t="s">
        <v>556</v>
      </c>
      <c r="M2048" s="1" t="s">
        <v>211</v>
      </c>
      <c r="N2048" s="8" t="s">
        <v>212</v>
      </c>
      <c r="O2048" s="6">
        <v>0</v>
      </c>
      <c r="P2048" s="6">
        <v>0</v>
      </c>
      <c r="Q2048" s="6">
        <v>0</v>
      </c>
      <c r="R2048" s="6">
        <v>30</v>
      </c>
      <c r="S2048" s="6">
        <v>0</v>
      </c>
    </row>
    <row r="2049" spans="1:19" ht="15" hidden="1" x14ac:dyDescent="0.25">
      <c r="A2049" s="7" t="s">
        <v>16</v>
      </c>
      <c r="B2049" s="7" t="s">
        <v>23</v>
      </c>
      <c r="C2049" s="7" t="s">
        <v>24</v>
      </c>
      <c r="D2049" s="4">
        <v>1326206000179</v>
      </c>
      <c r="E2049" s="8" t="s">
        <v>761</v>
      </c>
      <c r="F2049" s="8" t="s">
        <v>762</v>
      </c>
      <c r="G2049" s="8" t="s">
        <v>59</v>
      </c>
      <c r="H2049" s="8" t="s">
        <v>215</v>
      </c>
      <c r="I2049" s="3">
        <v>2</v>
      </c>
      <c r="J2049" s="8" t="s">
        <v>163</v>
      </c>
      <c r="K2049" s="8" t="s">
        <v>164</v>
      </c>
      <c r="L2049" s="8" t="s">
        <v>557</v>
      </c>
      <c r="M2049" s="1" t="s">
        <v>211</v>
      </c>
      <c r="N2049" s="8" t="s">
        <v>212</v>
      </c>
      <c r="O2049" s="6">
        <v>0</v>
      </c>
      <c r="P2049" s="6">
        <v>0</v>
      </c>
      <c r="Q2049" s="6">
        <v>0</v>
      </c>
      <c r="R2049" s="6">
        <v>0</v>
      </c>
      <c r="S2049" s="6">
        <v>0</v>
      </c>
    </row>
    <row r="2050" spans="1:19" ht="15" hidden="1" x14ac:dyDescent="0.25">
      <c r="A2050" s="7" t="s">
        <v>16</v>
      </c>
      <c r="B2050" s="7" t="s">
        <v>23</v>
      </c>
      <c r="C2050" s="7" t="s">
        <v>24</v>
      </c>
      <c r="D2050" s="4">
        <v>2476067000394</v>
      </c>
      <c r="E2050" s="8" t="s">
        <v>780</v>
      </c>
      <c r="F2050" s="8" t="s">
        <v>745</v>
      </c>
      <c r="G2050" s="8" t="s">
        <v>59</v>
      </c>
      <c r="H2050" s="8" t="s">
        <v>215</v>
      </c>
      <c r="I2050" s="3">
        <v>2</v>
      </c>
      <c r="J2050" s="8" t="s">
        <v>187</v>
      </c>
      <c r="K2050" s="8" t="s">
        <v>188</v>
      </c>
      <c r="L2050" s="8" t="s">
        <v>556</v>
      </c>
      <c r="M2050" s="1" t="s">
        <v>211</v>
      </c>
      <c r="N2050" s="8" t="s">
        <v>212</v>
      </c>
      <c r="O2050" s="6">
        <v>0</v>
      </c>
      <c r="P2050" s="6">
        <v>0</v>
      </c>
      <c r="Q2050" s="6">
        <v>0</v>
      </c>
      <c r="R2050" s="6">
        <v>0</v>
      </c>
      <c r="S2050" s="6">
        <v>45</v>
      </c>
    </row>
    <row r="2051" spans="1:19" ht="15" hidden="1" x14ac:dyDescent="0.25">
      <c r="A2051" s="7" t="s">
        <v>16</v>
      </c>
      <c r="B2051" s="7" t="s">
        <v>23</v>
      </c>
      <c r="C2051" s="7" t="s">
        <v>24</v>
      </c>
      <c r="D2051" s="4">
        <v>2476067000394</v>
      </c>
      <c r="E2051" s="8" t="s">
        <v>780</v>
      </c>
      <c r="F2051" s="8" t="s">
        <v>745</v>
      </c>
      <c r="G2051" s="8" t="s">
        <v>59</v>
      </c>
      <c r="H2051" s="8" t="s">
        <v>215</v>
      </c>
      <c r="I2051" s="3">
        <v>2</v>
      </c>
      <c r="J2051" s="8" t="s">
        <v>163</v>
      </c>
      <c r="K2051" s="8" t="s">
        <v>164</v>
      </c>
      <c r="L2051" s="8" t="s">
        <v>557</v>
      </c>
      <c r="M2051" s="1" t="s">
        <v>211</v>
      </c>
      <c r="N2051" s="8" t="s">
        <v>212</v>
      </c>
      <c r="O2051" s="6">
        <v>0</v>
      </c>
      <c r="P2051" s="6">
        <v>0</v>
      </c>
      <c r="Q2051" s="6">
        <v>0</v>
      </c>
      <c r="R2051" s="6">
        <v>0</v>
      </c>
      <c r="S2051" s="6">
        <v>45</v>
      </c>
    </row>
    <row r="2052" spans="1:19" ht="15" hidden="1" x14ac:dyDescent="0.25">
      <c r="A2052" s="7" t="s">
        <v>16</v>
      </c>
      <c r="B2052" s="7" t="s">
        <v>23</v>
      </c>
      <c r="C2052" s="7" t="s">
        <v>24</v>
      </c>
      <c r="D2052" s="4">
        <v>6337035000105</v>
      </c>
      <c r="E2052" s="8" t="s">
        <v>814</v>
      </c>
      <c r="F2052" s="8" t="s">
        <v>745</v>
      </c>
      <c r="G2052" s="8" t="s">
        <v>59</v>
      </c>
      <c r="H2052" s="8" t="s">
        <v>215</v>
      </c>
      <c r="I2052" s="3">
        <v>2</v>
      </c>
      <c r="J2052" s="8" t="s">
        <v>187</v>
      </c>
      <c r="K2052" s="8" t="s">
        <v>188</v>
      </c>
      <c r="L2052" s="8" t="s">
        <v>556</v>
      </c>
      <c r="M2052" s="1" t="s">
        <v>211</v>
      </c>
      <c r="N2052" s="8" t="s">
        <v>212</v>
      </c>
      <c r="O2052" s="6">
        <v>0</v>
      </c>
      <c r="P2052" s="6">
        <v>0</v>
      </c>
      <c r="Q2052" s="6">
        <v>0</v>
      </c>
      <c r="R2052" s="6">
        <v>0</v>
      </c>
      <c r="S2052" s="6">
        <v>50</v>
      </c>
    </row>
    <row r="2053" spans="1:19" ht="15" hidden="1" x14ac:dyDescent="0.25">
      <c r="A2053" s="7" t="s">
        <v>16</v>
      </c>
      <c r="B2053" s="7" t="s">
        <v>23</v>
      </c>
      <c r="C2053" s="7" t="s">
        <v>24</v>
      </c>
      <c r="D2053" s="4">
        <v>6337035000105</v>
      </c>
      <c r="E2053" s="8" t="s">
        <v>814</v>
      </c>
      <c r="F2053" s="8" t="s">
        <v>745</v>
      </c>
      <c r="G2053" s="8" t="s">
        <v>59</v>
      </c>
      <c r="H2053" s="8" t="s">
        <v>215</v>
      </c>
      <c r="I2053" s="3">
        <v>2</v>
      </c>
      <c r="J2053" s="8" t="s">
        <v>163</v>
      </c>
      <c r="K2053" s="8" t="s">
        <v>164</v>
      </c>
      <c r="L2053" s="8" t="s">
        <v>557</v>
      </c>
      <c r="M2053" s="1" t="s">
        <v>211</v>
      </c>
      <c r="N2053" s="8" t="s">
        <v>212</v>
      </c>
      <c r="O2053" s="6">
        <v>0</v>
      </c>
      <c r="P2053" s="6">
        <v>0</v>
      </c>
      <c r="Q2053" s="6">
        <v>0</v>
      </c>
      <c r="R2053" s="6">
        <v>0</v>
      </c>
      <c r="S2053" s="6">
        <v>50</v>
      </c>
    </row>
    <row r="2054" spans="1:19" ht="15" hidden="1" x14ac:dyDescent="0.25">
      <c r="A2054" s="7" t="s">
        <v>16</v>
      </c>
      <c r="B2054" s="7" t="s">
        <v>23</v>
      </c>
      <c r="C2054" s="7" t="s">
        <v>24</v>
      </c>
      <c r="D2054" s="4">
        <v>1277573000120</v>
      </c>
      <c r="E2054" s="8" t="s">
        <v>760</v>
      </c>
      <c r="F2054" s="8" t="s">
        <v>745</v>
      </c>
      <c r="G2054" s="8" t="s">
        <v>59</v>
      </c>
      <c r="H2054" s="8" t="s">
        <v>215</v>
      </c>
      <c r="I2054" s="3">
        <v>2</v>
      </c>
      <c r="J2054" s="8" t="s">
        <v>187</v>
      </c>
      <c r="K2054" s="8" t="s">
        <v>188</v>
      </c>
      <c r="L2054" s="8" t="s">
        <v>556</v>
      </c>
      <c r="M2054" s="1" t="s">
        <v>211</v>
      </c>
      <c r="N2054" s="8" t="s">
        <v>212</v>
      </c>
      <c r="O2054" s="6">
        <v>0</v>
      </c>
      <c r="P2054" s="6">
        <v>0</v>
      </c>
      <c r="Q2054" s="6">
        <v>0</v>
      </c>
      <c r="R2054" s="6">
        <v>0</v>
      </c>
      <c r="S2054" s="6">
        <v>0</v>
      </c>
    </row>
    <row r="2055" spans="1:19" ht="15" hidden="1" x14ac:dyDescent="0.25">
      <c r="A2055" s="7" t="s">
        <v>16</v>
      </c>
      <c r="B2055" s="7" t="s">
        <v>23</v>
      </c>
      <c r="C2055" s="7" t="s">
        <v>24</v>
      </c>
      <c r="D2055" s="4">
        <v>1277573000120</v>
      </c>
      <c r="E2055" s="8" t="s">
        <v>760</v>
      </c>
      <c r="F2055" s="8" t="s">
        <v>745</v>
      </c>
      <c r="G2055" s="8" t="s">
        <v>59</v>
      </c>
      <c r="H2055" s="8" t="s">
        <v>215</v>
      </c>
      <c r="I2055" s="3">
        <v>2</v>
      </c>
      <c r="J2055" s="8" t="s">
        <v>163</v>
      </c>
      <c r="K2055" s="8" t="s">
        <v>164</v>
      </c>
      <c r="L2055" s="8" t="s">
        <v>557</v>
      </c>
      <c r="M2055" s="1" t="s">
        <v>211</v>
      </c>
      <c r="N2055" s="8" t="s">
        <v>212</v>
      </c>
      <c r="O2055" s="6">
        <v>0</v>
      </c>
      <c r="P2055" s="6">
        <v>6</v>
      </c>
      <c r="Q2055" s="6">
        <v>0</v>
      </c>
      <c r="R2055" s="6">
        <v>0</v>
      </c>
      <c r="S2055" s="6">
        <v>0</v>
      </c>
    </row>
    <row r="2056" spans="1:19" ht="15" hidden="1" x14ac:dyDescent="0.25">
      <c r="A2056" s="7" t="s">
        <v>16</v>
      </c>
      <c r="B2056" s="7" t="s">
        <v>23</v>
      </c>
      <c r="C2056" s="7" t="s">
        <v>24</v>
      </c>
      <c r="D2056" s="4">
        <v>1011865000116</v>
      </c>
      <c r="E2056" s="8" t="s">
        <v>759</v>
      </c>
      <c r="F2056" s="8" t="s">
        <v>745</v>
      </c>
      <c r="G2056" s="8" t="s">
        <v>59</v>
      </c>
      <c r="H2056" s="8" t="s">
        <v>215</v>
      </c>
      <c r="I2056" s="3">
        <v>2</v>
      </c>
      <c r="J2056" s="8" t="s">
        <v>187</v>
      </c>
      <c r="K2056" s="8" t="s">
        <v>188</v>
      </c>
      <c r="L2056" s="8" t="s">
        <v>556</v>
      </c>
      <c r="M2056" s="1" t="s">
        <v>211</v>
      </c>
      <c r="N2056" s="8" t="s">
        <v>212</v>
      </c>
      <c r="O2056" s="6">
        <v>0</v>
      </c>
      <c r="P2056" s="6">
        <v>0</v>
      </c>
      <c r="Q2056" s="6">
        <v>0</v>
      </c>
      <c r="R2056" s="6">
        <v>0</v>
      </c>
      <c r="S2056" s="6">
        <v>800</v>
      </c>
    </row>
    <row r="2057" spans="1:19" ht="15" hidden="1" x14ac:dyDescent="0.25">
      <c r="A2057" s="7" t="s">
        <v>16</v>
      </c>
      <c r="B2057" s="7" t="s">
        <v>23</v>
      </c>
      <c r="C2057" s="7" t="s">
        <v>24</v>
      </c>
      <c r="D2057" s="4">
        <v>1011865000116</v>
      </c>
      <c r="E2057" s="8" t="s">
        <v>759</v>
      </c>
      <c r="F2057" s="8" t="s">
        <v>745</v>
      </c>
      <c r="G2057" s="8" t="s">
        <v>59</v>
      </c>
      <c r="H2057" s="8" t="s">
        <v>215</v>
      </c>
      <c r="I2057" s="3">
        <v>2</v>
      </c>
      <c r="J2057" s="8" t="s">
        <v>163</v>
      </c>
      <c r="K2057" s="8" t="s">
        <v>164</v>
      </c>
      <c r="L2057" s="8" t="s">
        <v>557</v>
      </c>
      <c r="M2057" s="1" t="s">
        <v>211</v>
      </c>
      <c r="N2057" s="8" t="s">
        <v>212</v>
      </c>
      <c r="O2057" s="6">
        <v>0</v>
      </c>
      <c r="P2057" s="6">
        <v>0</v>
      </c>
      <c r="Q2057" s="6">
        <v>0</v>
      </c>
      <c r="R2057" s="6">
        <v>0</v>
      </c>
      <c r="S2057" s="6">
        <v>800</v>
      </c>
    </row>
    <row r="2058" spans="1:19" ht="15" hidden="1" x14ac:dyDescent="0.25">
      <c r="A2058" s="7" t="s">
        <v>16</v>
      </c>
      <c r="B2058" s="7" t="s">
        <v>23</v>
      </c>
      <c r="C2058" s="7" t="s">
        <v>24</v>
      </c>
      <c r="D2058" s="4">
        <v>2476067000203</v>
      </c>
      <c r="E2058" s="8" t="s">
        <v>779</v>
      </c>
      <c r="F2058" s="8" t="s">
        <v>745</v>
      </c>
      <c r="G2058" s="8" t="s">
        <v>59</v>
      </c>
      <c r="H2058" s="8" t="s">
        <v>215</v>
      </c>
      <c r="I2058" s="3">
        <v>2</v>
      </c>
      <c r="J2058" s="8" t="s">
        <v>187</v>
      </c>
      <c r="K2058" s="8" t="s">
        <v>188</v>
      </c>
      <c r="L2058" s="8" t="s">
        <v>556</v>
      </c>
      <c r="M2058" s="1" t="s">
        <v>211</v>
      </c>
      <c r="N2058" s="8" t="s">
        <v>212</v>
      </c>
      <c r="O2058" s="6">
        <v>0</v>
      </c>
      <c r="P2058" s="6">
        <v>0</v>
      </c>
      <c r="Q2058" s="6">
        <v>0</v>
      </c>
      <c r="R2058" s="6">
        <v>76</v>
      </c>
      <c r="S2058" s="6">
        <v>0</v>
      </c>
    </row>
    <row r="2059" spans="1:19" ht="15" hidden="1" x14ac:dyDescent="0.25">
      <c r="A2059" s="7" t="s">
        <v>16</v>
      </c>
      <c r="B2059" s="7" t="s">
        <v>23</v>
      </c>
      <c r="C2059" s="7" t="s">
        <v>24</v>
      </c>
      <c r="D2059" s="4">
        <v>2476067000203</v>
      </c>
      <c r="E2059" s="8" t="s">
        <v>779</v>
      </c>
      <c r="F2059" s="8" t="s">
        <v>745</v>
      </c>
      <c r="G2059" s="8" t="s">
        <v>59</v>
      </c>
      <c r="H2059" s="8" t="s">
        <v>215</v>
      </c>
      <c r="I2059" s="3">
        <v>2</v>
      </c>
      <c r="J2059" s="8" t="s">
        <v>163</v>
      </c>
      <c r="K2059" s="8" t="s">
        <v>164</v>
      </c>
      <c r="L2059" s="8" t="s">
        <v>557</v>
      </c>
      <c r="M2059" s="1" t="s">
        <v>211</v>
      </c>
      <c r="N2059" s="8" t="s">
        <v>212</v>
      </c>
      <c r="O2059" s="6">
        <v>0</v>
      </c>
      <c r="P2059" s="6">
        <v>0</v>
      </c>
      <c r="Q2059" s="6">
        <v>0</v>
      </c>
      <c r="R2059" s="6">
        <v>0</v>
      </c>
      <c r="S2059" s="6">
        <v>0</v>
      </c>
    </row>
    <row r="2060" spans="1:19" ht="15" hidden="1" x14ac:dyDescent="0.25">
      <c r="A2060" s="7" t="s">
        <v>16</v>
      </c>
      <c r="B2060" s="7" t="s">
        <v>23</v>
      </c>
      <c r="C2060" s="7" t="s">
        <v>24</v>
      </c>
      <c r="D2060" s="4">
        <v>33000167002155</v>
      </c>
      <c r="E2060" s="8" t="s">
        <v>915</v>
      </c>
      <c r="F2060" s="8" t="s">
        <v>128</v>
      </c>
      <c r="G2060" s="8" t="s">
        <v>59</v>
      </c>
      <c r="H2060" s="8" t="s">
        <v>215</v>
      </c>
      <c r="I2060" s="3">
        <v>2</v>
      </c>
      <c r="J2060" s="8" t="s">
        <v>187</v>
      </c>
      <c r="K2060" s="8" t="s">
        <v>188</v>
      </c>
      <c r="L2060" s="8" t="s">
        <v>556</v>
      </c>
      <c r="M2060" s="1" t="s">
        <v>211</v>
      </c>
      <c r="N2060" s="8" t="s">
        <v>212</v>
      </c>
      <c r="O2060" s="6">
        <v>0</v>
      </c>
      <c r="P2060" s="6">
        <v>0</v>
      </c>
      <c r="Q2060" s="6">
        <v>0</v>
      </c>
      <c r="R2060" s="6">
        <v>0</v>
      </c>
      <c r="S2060" s="6">
        <v>225</v>
      </c>
    </row>
    <row r="2061" spans="1:19" ht="15" hidden="1" x14ac:dyDescent="0.25">
      <c r="A2061" s="7" t="s">
        <v>16</v>
      </c>
      <c r="B2061" s="7" t="s">
        <v>23</v>
      </c>
      <c r="C2061" s="7" t="s">
        <v>24</v>
      </c>
      <c r="D2061" s="4">
        <v>33000167002155</v>
      </c>
      <c r="E2061" s="8" t="s">
        <v>915</v>
      </c>
      <c r="F2061" s="8" t="s">
        <v>128</v>
      </c>
      <c r="G2061" s="8" t="s">
        <v>59</v>
      </c>
      <c r="H2061" s="8" t="s">
        <v>215</v>
      </c>
      <c r="I2061" s="3">
        <v>2</v>
      </c>
      <c r="J2061" s="8" t="s">
        <v>163</v>
      </c>
      <c r="K2061" s="8" t="s">
        <v>164</v>
      </c>
      <c r="L2061" s="8" t="s">
        <v>557</v>
      </c>
      <c r="M2061" s="1" t="s">
        <v>211</v>
      </c>
      <c r="N2061" s="8" t="s">
        <v>212</v>
      </c>
      <c r="O2061" s="6">
        <v>0</v>
      </c>
      <c r="P2061" s="6">
        <v>0</v>
      </c>
      <c r="Q2061" s="6">
        <v>0</v>
      </c>
      <c r="R2061" s="6">
        <v>0</v>
      </c>
      <c r="S2061" s="6">
        <v>225</v>
      </c>
    </row>
    <row r="2062" spans="1:19" ht="15" hidden="1" x14ac:dyDescent="0.25">
      <c r="A2062" s="7" t="s">
        <v>16</v>
      </c>
      <c r="B2062" s="7" t="s">
        <v>23</v>
      </c>
      <c r="C2062" s="7" t="s">
        <v>24</v>
      </c>
      <c r="D2062" s="4">
        <v>11006293000130</v>
      </c>
      <c r="E2062" s="8" t="s">
        <v>838</v>
      </c>
      <c r="F2062" s="8" t="s">
        <v>777</v>
      </c>
      <c r="G2062" s="8" t="s">
        <v>72</v>
      </c>
      <c r="H2062" s="8" t="s">
        <v>215</v>
      </c>
      <c r="I2062" s="3">
        <v>2</v>
      </c>
      <c r="J2062" s="8" t="s">
        <v>165</v>
      </c>
      <c r="K2062" s="8" t="s">
        <v>166</v>
      </c>
      <c r="L2062" s="8" t="s">
        <v>557</v>
      </c>
      <c r="M2062" s="1" t="s">
        <v>211</v>
      </c>
      <c r="N2062" s="8" t="s">
        <v>212</v>
      </c>
      <c r="O2062" s="6">
        <v>0</v>
      </c>
      <c r="P2062" s="6">
        <v>0</v>
      </c>
      <c r="Q2062" s="6">
        <v>0</v>
      </c>
      <c r="R2062" s="6">
        <v>0</v>
      </c>
      <c r="S2062" s="6">
        <v>550</v>
      </c>
    </row>
    <row r="2063" spans="1:19" ht="15" hidden="1" x14ac:dyDescent="0.25">
      <c r="A2063" s="7" t="s">
        <v>16</v>
      </c>
      <c r="B2063" s="7" t="s">
        <v>23</v>
      </c>
      <c r="C2063" s="7" t="s">
        <v>24</v>
      </c>
      <c r="D2063" s="4">
        <v>11006293000130</v>
      </c>
      <c r="E2063" s="8" t="s">
        <v>838</v>
      </c>
      <c r="F2063" s="8" t="s">
        <v>777</v>
      </c>
      <c r="G2063" s="8" t="s">
        <v>72</v>
      </c>
      <c r="H2063" s="8" t="s">
        <v>215</v>
      </c>
      <c r="I2063" s="3">
        <v>2</v>
      </c>
      <c r="J2063" s="8" t="s">
        <v>201</v>
      </c>
      <c r="K2063" s="8" t="s">
        <v>202</v>
      </c>
      <c r="L2063" s="8" t="s">
        <v>740</v>
      </c>
      <c r="M2063" s="1" t="s">
        <v>211</v>
      </c>
      <c r="N2063" s="8" t="s">
        <v>212</v>
      </c>
      <c r="O2063" s="6">
        <v>0</v>
      </c>
      <c r="P2063" s="6">
        <v>0</v>
      </c>
      <c r="Q2063" s="6">
        <v>0</v>
      </c>
      <c r="R2063" s="6">
        <v>0</v>
      </c>
      <c r="S2063" s="6">
        <v>550</v>
      </c>
    </row>
    <row r="2064" spans="1:19" ht="15" hidden="1" x14ac:dyDescent="0.25">
      <c r="A2064" s="7" t="s">
        <v>16</v>
      </c>
      <c r="B2064" s="7" t="s">
        <v>23</v>
      </c>
      <c r="C2064" s="7" t="s">
        <v>24</v>
      </c>
      <c r="D2064" s="4">
        <v>23813270000117</v>
      </c>
      <c r="E2064" s="8" t="s">
        <v>904</v>
      </c>
      <c r="F2064" s="8" t="s">
        <v>777</v>
      </c>
      <c r="G2064" s="8" t="s">
        <v>72</v>
      </c>
      <c r="H2064" s="8" t="s">
        <v>215</v>
      </c>
      <c r="I2064" s="3">
        <v>2</v>
      </c>
      <c r="J2064" s="8" t="s">
        <v>165</v>
      </c>
      <c r="K2064" s="8" t="s">
        <v>166</v>
      </c>
      <c r="L2064" s="8" t="s">
        <v>557</v>
      </c>
      <c r="M2064" s="1" t="s">
        <v>211</v>
      </c>
      <c r="N2064" s="8" t="s">
        <v>212</v>
      </c>
      <c r="O2064" s="6">
        <v>0</v>
      </c>
      <c r="P2064" s="6">
        <v>0</v>
      </c>
      <c r="Q2064" s="6">
        <v>0</v>
      </c>
      <c r="R2064" s="6">
        <v>0</v>
      </c>
      <c r="S2064" s="6">
        <v>35</v>
      </c>
    </row>
    <row r="2065" spans="1:19" ht="15" hidden="1" x14ac:dyDescent="0.25">
      <c r="A2065" s="7" t="s">
        <v>16</v>
      </c>
      <c r="B2065" s="7" t="s">
        <v>23</v>
      </c>
      <c r="C2065" s="7" t="s">
        <v>24</v>
      </c>
      <c r="D2065" s="4">
        <v>23813270000117</v>
      </c>
      <c r="E2065" s="8" t="s">
        <v>904</v>
      </c>
      <c r="F2065" s="8" t="s">
        <v>777</v>
      </c>
      <c r="G2065" s="8" t="s">
        <v>72</v>
      </c>
      <c r="H2065" s="8" t="s">
        <v>215</v>
      </c>
      <c r="I2065" s="3">
        <v>2</v>
      </c>
      <c r="J2065" s="8" t="s">
        <v>201</v>
      </c>
      <c r="K2065" s="8" t="s">
        <v>202</v>
      </c>
      <c r="L2065" s="8" t="s">
        <v>740</v>
      </c>
      <c r="M2065" s="1" t="s">
        <v>211</v>
      </c>
      <c r="N2065" s="8" t="s">
        <v>212</v>
      </c>
      <c r="O2065" s="6">
        <v>0</v>
      </c>
      <c r="P2065" s="6">
        <v>0</v>
      </c>
      <c r="Q2065" s="6">
        <v>0</v>
      </c>
      <c r="R2065" s="6">
        <v>0</v>
      </c>
      <c r="S2065" s="6">
        <v>35</v>
      </c>
    </row>
    <row r="2066" spans="1:19" ht="15" hidden="1" x14ac:dyDescent="0.25">
      <c r="A2066" s="7" t="s">
        <v>16</v>
      </c>
      <c r="B2066" s="7" t="s">
        <v>23</v>
      </c>
      <c r="C2066" s="7" t="s">
        <v>24</v>
      </c>
      <c r="D2066" s="4">
        <v>19843929001697</v>
      </c>
      <c r="E2066" s="8" t="s">
        <v>1182</v>
      </c>
      <c r="F2066" s="8" t="s">
        <v>539</v>
      </c>
      <c r="G2066" s="8" t="s">
        <v>54</v>
      </c>
      <c r="H2066" s="8" t="s">
        <v>215</v>
      </c>
      <c r="I2066" s="3">
        <v>1</v>
      </c>
      <c r="J2066" s="8" t="s">
        <v>159</v>
      </c>
      <c r="K2066" s="8" t="s">
        <v>160</v>
      </c>
      <c r="L2066" s="8" t="s">
        <v>740</v>
      </c>
      <c r="M2066" s="1" t="s">
        <v>205</v>
      </c>
      <c r="N2066" s="8" t="s">
        <v>206</v>
      </c>
      <c r="O2066" s="6">
        <v>0</v>
      </c>
      <c r="P2066" s="6">
        <v>0</v>
      </c>
      <c r="Q2066" s="6">
        <v>0</v>
      </c>
      <c r="R2066" s="6">
        <v>0</v>
      </c>
      <c r="S2066" s="6">
        <v>350</v>
      </c>
    </row>
    <row r="2067" spans="1:19" ht="15" hidden="1" x14ac:dyDescent="0.25">
      <c r="A2067" s="7" t="s">
        <v>16</v>
      </c>
      <c r="B2067" s="7" t="s">
        <v>23</v>
      </c>
      <c r="C2067" s="7" t="s">
        <v>24</v>
      </c>
      <c r="D2067" s="4">
        <v>17214149000176</v>
      </c>
      <c r="E2067" s="8" t="s">
        <v>1172</v>
      </c>
      <c r="F2067" s="8" t="s">
        <v>58</v>
      </c>
      <c r="G2067" s="8" t="s">
        <v>54</v>
      </c>
      <c r="H2067" s="8" t="s">
        <v>215</v>
      </c>
      <c r="I2067" s="3">
        <v>1</v>
      </c>
      <c r="J2067" s="8" t="s">
        <v>159</v>
      </c>
      <c r="K2067" s="8" t="s">
        <v>160</v>
      </c>
      <c r="L2067" s="8" t="s">
        <v>740</v>
      </c>
      <c r="M2067" s="1" t="s">
        <v>205</v>
      </c>
      <c r="N2067" s="8" t="s">
        <v>206</v>
      </c>
      <c r="O2067" s="6">
        <v>0</v>
      </c>
      <c r="P2067" s="6">
        <v>0</v>
      </c>
      <c r="Q2067" s="6">
        <v>56</v>
      </c>
      <c r="R2067" s="6">
        <v>0</v>
      </c>
      <c r="S2067" s="6">
        <v>0</v>
      </c>
    </row>
    <row r="2068" spans="1:19" ht="15" hidden="1" x14ac:dyDescent="0.25">
      <c r="A2068" s="7" t="s">
        <v>16</v>
      </c>
      <c r="B2068" s="7" t="s">
        <v>23</v>
      </c>
      <c r="C2068" s="7" t="s">
        <v>24</v>
      </c>
      <c r="D2068" s="4">
        <v>410960000120</v>
      </c>
      <c r="E2068" s="8" t="s">
        <v>1137</v>
      </c>
      <c r="F2068" s="8" t="s">
        <v>58</v>
      </c>
      <c r="G2068" s="8" t="s">
        <v>54</v>
      </c>
      <c r="H2068" s="8" t="s">
        <v>215</v>
      </c>
      <c r="I2068" s="3">
        <v>1</v>
      </c>
      <c r="J2068" s="8" t="s">
        <v>159</v>
      </c>
      <c r="K2068" s="8" t="s">
        <v>160</v>
      </c>
      <c r="L2068" s="8" t="s">
        <v>740</v>
      </c>
      <c r="M2068" s="1" t="s">
        <v>205</v>
      </c>
      <c r="N2068" s="8" t="s">
        <v>206</v>
      </c>
      <c r="O2068" s="6">
        <v>0</v>
      </c>
      <c r="P2068" s="6">
        <v>0</v>
      </c>
      <c r="Q2068" s="6">
        <v>0</v>
      </c>
      <c r="R2068" s="6">
        <v>58</v>
      </c>
      <c r="S2068" s="6">
        <v>1428</v>
      </c>
    </row>
    <row r="2069" spans="1:19" ht="15" hidden="1" x14ac:dyDescent="0.25">
      <c r="A2069" s="7" t="s">
        <v>16</v>
      </c>
      <c r="B2069" s="7" t="s">
        <v>23</v>
      </c>
      <c r="C2069" s="7" t="s">
        <v>24</v>
      </c>
      <c r="D2069" s="4">
        <v>17217332003906</v>
      </c>
      <c r="E2069" s="8" t="s">
        <v>1173</v>
      </c>
      <c r="F2069" s="8" t="s">
        <v>58</v>
      </c>
      <c r="G2069" s="8" t="s">
        <v>54</v>
      </c>
      <c r="H2069" s="8" t="s">
        <v>215</v>
      </c>
      <c r="I2069" s="3">
        <v>1</v>
      </c>
      <c r="J2069" s="8" t="s">
        <v>159</v>
      </c>
      <c r="K2069" s="8" t="s">
        <v>160</v>
      </c>
      <c r="L2069" s="8" t="s">
        <v>740</v>
      </c>
      <c r="M2069" s="1" t="s">
        <v>205</v>
      </c>
      <c r="N2069" s="8" t="s">
        <v>206</v>
      </c>
      <c r="O2069" s="6">
        <v>0</v>
      </c>
      <c r="P2069" s="6">
        <v>0</v>
      </c>
      <c r="Q2069" s="6">
        <v>0</v>
      </c>
      <c r="R2069" s="6">
        <v>220</v>
      </c>
      <c r="S2069" s="6">
        <v>0</v>
      </c>
    </row>
    <row r="2070" spans="1:19" ht="15" hidden="1" x14ac:dyDescent="0.25">
      <c r="A2070" s="7" t="s">
        <v>16</v>
      </c>
      <c r="B2070" s="7" t="s">
        <v>23</v>
      </c>
      <c r="C2070" s="7" t="s">
        <v>24</v>
      </c>
      <c r="D2070" s="4">
        <v>19843929001506</v>
      </c>
      <c r="E2070" s="8" t="s">
        <v>1181</v>
      </c>
      <c r="F2070" s="8" t="s">
        <v>58</v>
      </c>
      <c r="G2070" s="8" t="s">
        <v>54</v>
      </c>
      <c r="H2070" s="8" t="s">
        <v>215</v>
      </c>
      <c r="I2070" s="3">
        <v>1</v>
      </c>
      <c r="J2070" s="8" t="s">
        <v>159</v>
      </c>
      <c r="K2070" s="8" t="s">
        <v>160</v>
      </c>
      <c r="L2070" s="8" t="s">
        <v>740</v>
      </c>
      <c r="M2070" s="1" t="s">
        <v>205</v>
      </c>
      <c r="N2070" s="8" t="s">
        <v>206</v>
      </c>
      <c r="O2070" s="6">
        <v>0</v>
      </c>
      <c r="P2070" s="6">
        <v>0</v>
      </c>
      <c r="Q2070" s="6">
        <v>0</v>
      </c>
      <c r="R2070" s="6">
        <v>85</v>
      </c>
      <c r="S2070" s="6">
        <v>650</v>
      </c>
    </row>
    <row r="2071" spans="1:19" ht="15" hidden="1" x14ac:dyDescent="0.25">
      <c r="A2071" s="7" t="s">
        <v>16</v>
      </c>
      <c r="B2071" s="7" t="s">
        <v>23</v>
      </c>
      <c r="C2071" s="7" t="s">
        <v>24</v>
      </c>
      <c r="D2071" s="4">
        <v>16676520000159</v>
      </c>
      <c r="E2071" s="8" t="s">
        <v>1168</v>
      </c>
      <c r="F2071" s="8" t="s">
        <v>58</v>
      </c>
      <c r="G2071" s="8" t="s">
        <v>54</v>
      </c>
      <c r="H2071" s="8" t="s">
        <v>215</v>
      </c>
      <c r="I2071" s="3">
        <v>1</v>
      </c>
      <c r="J2071" s="8" t="s">
        <v>159</v>
      </c>
      <c r="K2071" s="8" t="s">
        <v>160</v>
      </c>
      <c r="L2071" s="8" t="s">
        <v>740</v>
      </c>
      <c r="M2071" s="1" t="s">
        <v>205</v>
      </c>
      <c r="N2071" s="8" t="s">
        <v>206</v>
      </c>
      <c r="O2071" s="6">
        <v>0</v>
      </c>
      <c r="P2071" s="6">
        <v>0</v>
      </c>
      <c r="Q2071" s="6">
        <v>4</v>
      </c>
      <c r="R2071" s="6">
        <v>0</v>
      </c>
      <c r="S2071" s="6">
        <v>0</v>
      </c>
    </row>
    <row r="2072" spans="1:19" ht="15" hidden="1" x14ac:dyDescent="0.25">
      <c r="A2072" s="7" t="s">
        <v>16</v>
      </c>
      <c r="B2072" s="7" t="s">
        <v>23</v>
      </c>
      <c r="C2072" s="7" t="s">
        <v>24</v>
      </c>
      <c r="D2072" s="4">
        <v>1444455000169</v>
      </c>
      <c r="E2072" s="8" t="s">
        <v>1141</v>
      </c>
      <c r="F2072" s="8" t="s">
        <v>58</v>
      </c>
      <c r="G2072" s="8" t="s">
        <v>54</v>
      </c>
      <c r="H2072" s="8" t="s">
        <v>215</v>
      </c>
      <c r="I2072" s="3">
        <v>1</v>
      </c>
      <c r="J2072" s="8" t="s">
        <v>159</v>
      </c>
      <c r="K2072" s="8" t="s">
        <v>160</v>
      </c>
      <c r="L2072" s="8" t="s">
        <v>740</v>
      </c>
      <c r="M2072" s="1" t="s">
        <v>205</v>
      </c>
      <c r="N2072" s="8" t="s">
        <v>206</v>
      </c>
      <c r="O2072" s="6">
        <v>0</v>
      </c>
      <c r="P2072" s="6">
        <v>0</v>
      </c>
      <c r="Q2072" s="6">
        <v>0</v>
      </c>
      <c r="R2072" s="6">
        <v>0</v>
      </c>
      <c r="S2072" s="6">
        <v>30</v>
      </c>
    </row>
    <row r="2073" spans="1:19" ht="15" hidden="1" x14ac:dyDescent="0.25">
      <c r="A2073" s="7" t="s">
        <v>16</v>
      </c>
      <c r="B2073" s="7" t="s">
        <v>23</v>
      </c>
      <c r="C2073" s="7" t="s">
        <v>24</v>
      </c>
      <c r="D2073" s="4">
        <v>2623693000102</v>
      </c>
      <c r="E2073" s="8" t="s">
        <v>1142</v>
      </c>
      <c r="F2073" s="8" t="s">
        <v>58</v>
      </c>
      <c r="G2073" s="8" t="s">
        <v>54</v>
      </c>
      <c r="H2073" s="8" t="s">
        <v>215</v>
      </c>
      <c r="I2073" s="3">
        <v>1</v>
      </c>
      <c r="J2073" s="8" t="s">
        <v>159</v>
      </c>
      <c r="K2073" s="8" t="s">
        <v>160</v>
      </c>
      <c r="L2073" s="8" t="s">
        <v>740</v>
      </c>
      <c r="M2073" s="1" t="s">
        <v>205</v>
      </c>
      <c r="N2073" s="8" t="s">
        <v>206</v>
      </c>
      <c r="O2073" s="6">
        <v>0</v>
      </c>
      <c r="P2073" s="6">
        <v>0</v>
      </c>
      <c r="Q2073" s="6">
        <v>0</v>
      </c>
      <c r="R2073" s="6">
        <v>0</v>
      </c>
      <c r="S2073" s="6">
        <v>20</v>
      </c>
    </row>
    <row r="2074" spans="1:19" ht="15" hidden="1" x14ac:dyDescent="0.25">
      <c r="A2074" s="7" t="s">
        <v>16</v>
      </c>
      <c r="B2074" s="7" t="s">
        <v>23</v>
      </c>
      <c r="C2074" s="7" t="s">
        <v>24</v>
      </c>
      <c r="D2074" s="4">
        <v>132229000180</v>
      </c>
      <c r="E2074" s="8" t="s">
        <v>1135</v>
      </c>
      <c r="F2074" s="8" t="s">
        <v>58</v>
      </c>
      <c r="G2074" s="8" t="s">
        <v>54</v>
      </c>
      <c r="H2074" s="8" t="s">
        <v>215</v>
      </c>
      <c r="I2074" s="3">
        <v>1</v>
      </c>
      <c r="J2074" s="8" t="s">
        <v>159</v>
      </c>
      <c r="K2074" s="8" t="s">
        <v>160</v>
      </c>
      <c r="L2074" s="8" t="s">
        <v>740</v>
      </c>
      <c r="M2074" s="1" t="s">
        <v>205</v>
      </c>
      <c r="N2074" s="8" t="s">
        <v>206</v>
      </c>
      <c r="O2074" s="6">
        <v>0</v>
      </c>
      <c r="P2074" s="6">
        <v>0</v>
      </c>
      <c r="Q2074" s="6">
        <v>0</v>
      </c>
      <c r="R2074" s="6">
        <v>0</v>
      </c>
      <c r="S2074" s="6">
        <v>140</v>
      </c>
    </row>
    <row r="2075" spans="1:19" ht="15" hidden="1" x14ac:dyDescent="0.25">
      <c r="A2075" s="7" t="s">
        <v>16</v>
      </c>
      <c r="B2075" s="7" t="s">
        <v>23</v>
      </c>
      <c r="C2075" s="7" t="s">
        <v>24</v>
      </c>
      <c r="D2075" s="4">
        <v>21040696000311</v>
      </c>
      <c r="E2075" s="8" t="s">
        <v>1190</v>
      </c>
      <c r="F2075" s="8" t="s">
        <v>1191</v>
      </c>
      <c r="G2075" s="8" t="s">
        <v>54</v>
      </c>
      <c r="H2075" s="8" t="s">
        <v>215</v>
      </c>
      <c r="I2075" s="3">
        <v>1</v>
      </c>
      <c r="J2075" s="8" t="s">
        <v>159</v>
      </c>
      <c r="K2075" s="8" t="s">
        <v>160</v>
      </c>
      <c r="L2075" s="8" t="s">
        <v>740</v>
      </c>
      <c r="M2075" s="1" t="s">
        <v>205</v>
      </c>
      <c r="N2075" s="8" t="s">
        <v>206</v>
      </c>
      <c r="O2075" s="6">
        <v>0</v>
      </c>
      <c r="P2075" s="6">
        <v>2</v>
      </c>
      <c r="Q2075" s="6">
        <v>0</v>
      </c>
      <c r="R2075" s="6">
        <v>0</v>
      </c>
      <c r="S2075" s="6">
        <v>0</v>
      </c>
    </row>
    <row r="2076" spans="1:19" ht="15" hidden="1" x14ac:dyDescent="0.25">
      <c r="A2076" s="7" t="s">
        <v>16</v>
      </c>
      <c r="B2076" s="7" t="s">
        <v>23</v>
      </c>
      <c r="C2076" s="7" t="s">
        <v>24</v>
      </c>
      <c r="D2076" s="4">
        <v>7457902000109</v>
      </c>
      <c r="E2076" s="8" t="s">
        <v>1154</v>
      </c>
      <c r="F2076" s="8" t="s">
        <v>88</v>
      </c>
      <c r="G2076" s="8" t="s">
        <v>54</v>
      </c>
      <c r="H2076" s="8" t="s">
        <v>215</v>
      </c>
      <c r="I2076" s="3">
        <v>1</v>
      </c>
      <c r="J2076" s="8" t="s">
        <v>159</v>
      </c>
      <c r="K2076" s="8" t="s">
        <v>160</v>
      </c>
      <c r="L2076" s="8" t="s">
        <v>740</v>
      </c>
      <c r="M2076" s="1" t="s">
        <v>205</v>
      </c>
      <c r="N2076" s="8" t="s">
        <v>206</v>
      </c>
      <c r="O2076" s="6">
        <v>0</v>
      </c>
      <c r="P2076" s="6">
        <v>0</v>
      </c>
      <c r="Q2076" s="6">
        <v>0</v>
      </c>
      <c r="R2076" s="6">
        <v>0</v>
      </c>
      <c r="S2076" s="6">
        <v>30</v>
      </c>
    </row>
    <row r="2077" spans="1:19" ht="15" hidden="1" x14ac:dyDescent="0.25">
      <c r="A2077" s="7" t="s">
        <v>16</v>
      </c>
      <c r="B2077" s="7" t="s">
        <v>23</v>
      </c>
      <c r="C2077" s="7" t="s">
        <v>24</v>
      </c>
      <c r="D2077" s="4">
        <v>17689407000928</v>
      </c>
      <c r="E2077" s="8" t="s">
        <v>1174</v>
      </c>
      <c r="F2077" s="8" t="s">
        <v>88</v>
      </c>
      <c r="G2077" s="8" t="s">
        <v>54</v>
      </c>
      <c r="H2077" s="8" t="s">
        <v>215</v>
      </c>
      <c r="I2077" s="3">
        <v>1</v>
      </c>
      <c r="J2077" s="8" t="s">
        <v>159</v>
      </c>
      <c r="K2077" s="8" t="s">
        <v>160</v>
      </c>
      <c r="L2077" s="8" t="s">
        <v>740</v>
      </c>
      <c r="M2077" s="1" t="s">
        <v>205</v>
      </c>
      <c r="N2077" s="8" t="s">
        <v>206</v>
      </c>
      <c r="O2077" s="6">
        <v>0</v>
      </c>
      <c r="P2077" s="6">
        <v>0</v>
      </c>
      <c r="Q2077" s="6">
        <v>0</v>
      </c>
      <c r="R2077" s="6">
        <v>11</v>
      </c>
      <c r="S2077" s="6">
        <v>0</v>
      </c>
    </row>
    <row r="2078" spans="1:19" ht="15" hidden="1" x14ac:dyDescent="0.25">
      <c r="A2078" s="7" t="s">
        <v>16</v>
      </c>
      <c r="B2078" s="7" t="s">
        <v>23</v>
      </c>
      <c r="C2078" s="7" t="s">
        <v>24</v>
      </c>
      <c r="D2078" s="4">
        <v>22675359000100</v>
      </c>
      <c r="E2078" s="8" t="s">
        <v>1193</v>
      </c>
      <c r="F2078" s="8" t="s">
        <v>540</v>
      </c>
      <c r="G2078" s="8" t="s">
        <v>54</v>
      </c>
      <c r="H2078" s="8" t="s">
        <v>215</v>
      </c>
      <c r="I2078" s="3">
        <v>1</v>
      </c>
      <c r="J2078" s="8" t="s">
        <v>159</v>
      </c>
      <c r="K2078" s="8" t="s">
        <v>160</v>
      </c>
      <c r="L2078" s="8" t="s">
        <v>740</v>
      </c>
      <c r="M2078" s="1" t="s">
        <v>205</v>
      </c>
      <c r="N2078" s="8" t="s">
        <v>206</v>
      </c>
      <c r="O2078" s="6">
        <v>0</v>
      </c>
      <c r="P2078" s="6">
        <v>0</v>
      </c>
      <c r="Q2078" s="6">
        <v>0</v>
      </c>
      <c r="R2078" s="6">
        <v>0</v>
      </c>
      <c r="S2078" s="6">
        <v>250</v>
      </c>
    </row>
    <row r="2079" spans="1:19" ht="15" hidden="1" x14ac:dyDescent="0.25">
      <c r="A2079" s="7" t="s">
        <v>16</v>
      </c>
      <c r="B2079" s="7" t="s">
        <v>23</v>
      </c>
      <c r="C2079" s="7" t="s">
        <v>24</v>
      </c>
      <c r="D2079" s="4">
        <v>23338387000196</v>
      </c>
      <c r="E2079" s="8" t="s">
        <v>1195</v>
      </c>
      <c r="F2079" s="8" t="s">
        <v>90</v>
      </c>
      <c r="G2079" s="8" t="s">
        <v>54</v>
      </c>
      <c r="H2079" s="8" t="s">
        <v>215</v>
      </c>
      <c r="I2079" s="3">
        <v>1</v>
      </c>
      <c r="J2079" s="8" t="s">
        <v>159</v>
      </c>
      <c r="K2079" s="8" t="s">
        <v>160</v>
      </c>
      <c r="L2079" s="8" t="s">
        <v>740</v>
      </c>
      <c r="M2079" s="1" t="s">
        <v>205</v>
      </c>
      <c r="N2079" s="8" t="s">
        <v>206</v>
      </c>
      <c r="O2079" s="6">
        <v>0</v>
      </c>
      <c r="P2079" s="6">
        <v>0</v>
      </c>
      <c r="Q2079" s="6">
        <v>0</v>
      </c>
      <c r="R2079" s="6">
        <v>10</v>
      </c>
      <c r="S2079" s="6">
        <v>0</v>
      </c>
    </row>
    <row r="2080" spans="1:19" ht="15" hidden="1" x14ac:dyDescent="0.25">
      <c r="A2080" s="7" t="s">
        <v>16</v>
      </c>
      <c r="B2080" s="7" t="s">
        <v>23</v>
      </c>
      <c r="C2080" s="7" t="s">
        <v>24</v>
      </c>
      <c r="D2080" s="4">
        <v>41781949000234</v>
      </c>
      <c r="E2080" s="8" t="s">
        <v>1219</v>
      </c>
      <c r="F2080" s="8" t="s">
        <v>1220</v>
      </c>
      <c r="G2080" s="8" t="s">
        <v>54</v>
      </c>
      <c r="H2080" s="8" t="s">
        <v>215</v>
      </c>
      <c r="I2080" s="3">
        <v>1</v>
      </c>
      <c r="J2080" s="8" t="s">
        <v>159</v>
      </c>
      <c r="K2080" s="8" t="s">
        <v>160</v>
      </c>
      <c r="L2080" s="8" t="s">
        <v>740</v>
      </c>
      <c r="M2080" s="1" t="s">
        <v>205</v>
      </c>
      <c r="N2080" s="8" t="s">
        <v>206</v>
      </c>
      <c r="O2080" s="6">
        <v>0</v>
      </c>
      <c r="P2080" s="6">
        <v>0</v>
      </c>
      <c r="Q2080" s="6">
        <v>0</v>
      </c>
      <c r="R2080" s="6">
        <v>0</v>
      </c>
      <c r="S2080" s="6">
        <v>200</v>
      </c>
    </row>
    <row r="2081" spans="1:19" ht="15" hidden="1" x14ac:dyDescent="0.25">
      <c r="A2081" s="7" t="s">
        <v>16</v>
      </c>
      <c r="B2081" s="7" t="s">
        <v>23</v>
      </c>
      <c r="C2081" s="7" t="s">
        <v>24</v>
      </c>
      <c r="D2081" s="4">
        <v>20150900000122</v>
      </c>
      <c r="E2081" s="8" t="s">
        <v>1185</v>
      </c>
      <c r="F2081" s="8" t="s">
        <v>1171</v>
      </c>
      <c r="G2081" s="8" t="s">
        <v>54</v>
      </c>
      <c r="H2081" s="8" t="s">
        <v>215</v>
      </c>
      <c r="I2081" s="3">
        <v>1</v>
      </c>
      <c r="J2081" s="8" t="s">
        <v>159</v>
      </c>
      <c r="K2081" s="8" t="s">
        <v>160</v>
      </c>
      <c r="L2081" s="8" t="s">
        <v>740</v>
      </c>
      <c r="M2081" s="1" t="s">
        <v>205</v>
      </c>
      <c r="N2081" s="8" t="s">
        <v>206</v>
      </c>
      <c r="O2081" s="6">
        <v>0</v>
      </c>
      <c r="P2081" s="6">
        <v>0</v>
      </c>
      <c r="Q2081" s="6">
        <v>0</v>
      </c>
      <c r="R2081" s="6">
        <v>12</v>
      </c>
      <c r="S2081" s="6">
        <v>0</v>
      </c>
    </row>
    <row r="2082" spans="1:19" ht="15" hidden="1" x14ac:dyDescent="0.25">
      <c r="A2082" s="7" t="s">
        <v>16</v>
      </c>
      <c r="B2082" s="7" t="s">
        <v>23</v>
      </c>
      <c r="C2082" s="7" t="s">
        <v>24</v>
      </c>
      <c r="D2082" s="4">
        <v>25761040000187</v>
      </c>
      <c r="E2082" s="8" t="s">
        <v>1202</v>
      </c>
      <c r="F2082" s="8" t="s">
        <v>1171</v>
      </c>
      <c r="G2082" s="8" t="s">
        <v>54</v>
      </c>
      <c r="H2082" s="8" t="s">
        <v>215</v>
      </c>
      <c r="I2082" s="3">
        <v>1</v>
      </c>
      <c r="J2082" s="8" t="s">
        <v>159</v>
      </c>
      <c r="K2082" s="8" t="s">
        <v>160</v>
      </c>
      <c r="L2082" s="8" t="s">
        <v>740</v>
      </c>
      <c r="M2082" s="1" t="s">
        <v>205</v>
      </c>
      <c r="N2082" s="8" t="s">
        <v>206</v>
      </c>
      <c r="O2082" s="6">
        <v>0</v>
      </c>
      <c r="P2082" s="6">
        <v>0</v>
      </c>
      <c r="Q2082" s="6">
        <v>2</v>
      </c>
      <c r="R2082" s="6">
        <v>0</v>
      </c>
      <c r="S2082" s="6">
        <v>0</v>
      </c>
    </row>
    <row r="2083" spans="1:19" ht="15" hidden="1" x14ac:dyDescent="0.25">
      <c r="A2083" s="7" t="s">
        <v>16</v>
      </c>
      <c r="B2083" s="7" t="s">
        <v>23</v>
      </c>
      <c r="C2083" s="7" t="s">
        <v>24</v>
      </c>
      <c r="D2083" s="4">
        <v>17087591000189</v>
      </c>
      <c r="E2083" s="8" t="s">
        <v>1170</v>
      </c>
      <c r="F2083" s="8" t="s">
        <v>1171</v>
      </c>
      <c r="G2083" s="8" t="s">
        <v>54</v>
      </c>
      <c r="H2083" s="8" t="s">
        <v>215</v>
      </c>
      <c r="I2083" s="3">
        <v>1</v>
      </c>
      <c r="J2083" s="8" t="s">
        <v>159</v>
      </c>
      <c r="K2083" s="8" t="s">
        <v>160</v>
      </c>
      <c r="L2083" s="8" t="s">
        <v>740</v>
      </c>
      <c r="M2083" s="1" t="s">
        <v>205</v>
      </c>
      <c r="N2083" s="8" t="s">
        <v>206</v>
      </c>
      <c r="O2083" s="6">
        <v>0</v>
      </c>
      <c r="P2083" s="6">
        <v>0</v>
      </c>
      <c r="Q2083" s="6">
        <v>3</v>
      </c>
      <c r="R2083" s="6">
        <v>0</v>
      </c>
      <c r="S2083" s="6">
        <v>0</v>
      </c>
    </row>
    <row r="2084" spans="1:19" ht="15" hidden="1" x14ac:dyDescent="0.25">
      <c r="A2084" s="7" t="s">
        <v>16</v>
      </c>
      <c r="B2084" s="7" t="s">
        <v>23</v>
      </c>
      <c r="C2084" s="7" t="s">
        <v>24</v>
      </c>
      <c r="D2084" s="4">
        <v>14408631000159</v>
      </c>
      <c r="E2084" s="8" t="s">
        <v>1163</v>
      </c>
      <c r="F2084" s="8" t="s">
        <v>1164</v>
      </c>
      <c r="G2084" s="8" t="s">
        <v>54</v>
      </c>
      <c r="H2084" s="8" t="s">
        <v>215</v>
      </c>
      <c r="I2084" s="3">
        <v>1</v>
      </c>
      <c r="J2084" s="8" t="s">
        <v>159</v>
      </c>
      <c r="K2084" s="8" t="s">
        <v>160</v>
      </c>
      <c r="L2084" s="8" t="s">
        <v>740</v>
      </c>
      <c r="M2084" s="1" t="s">
        <v>205</v>
      </c>
      <c r="N2084" s="8" t="s">
        <v>206</v>
      </c>
      <c r="O2084" s="6">
        <v>0</v>
      </c>
      <c r="P2084" s="6">
        <v>0</v>
      </c>
      <c r="Q2084" s="6">
        <v>0</v>
      </c>
      <c r="R2084" s="6">
        <v>12</v>
      </c>
      <c r="S2084" s="6">
        <v>0</v>
      </c>
    </row>
    <row r="2085" spans="1:19" ht="15" hidden="1" x14ac:dyDescent="0.25">
      <c r="A2085" s="7" t="s">
        <v>16</v>
      </c>
      <c r="B2085" s="7" t="s">
        <v>23</v>
      </c>
      <c r="C2085" s="7" t="s">
        <v>24</v>
      </c>
      <c r="D2085" s="4">
        <v>15016827000160</v>
      </c>
      <c r="E2085" s="8" t="s">
        <v>877</v>
      </c>
      <c r="F2085" s="8" t="s">
        <v>772</v>
      </c>
      <c r="G2085" s="8" t="s">
        <v>69</v>
      </c>
      <c r="H2085" s="8" t="s">
        <v>215</v>
      </c>
      <c r="I2085" s="3">
        <v>2</v>
      </c>
      <c r="J2085" s="8" t="s">
        <v>187</v>
      </c>
      <c r="K2085" s="8" t="s">
        <v>188</v>
      </c>
      <c r="L2085" s="8" t="s">
        <v>556</v>
      </c>
      <c r="M2085" s="1" t="s">
        <v>211</v>
      </c>
      <c r="N2085" s="8" t="s">
        <v>212</v>
      </c>
      <c r="O2085" s="6">
        <v>0</v>
      </c>
      <c r="P2085" s="6">
        <v>0</v>
      </c>
      <c r="Q2085" s="6">
        <v>0</v>
      </c>
      <c r="R2085" s="6">
        <v>0</v>
      </c>
      <c r="S2085" s="6">
        <v>0</v>
      </c>
    </row>
    <row r="2086" spans="1:19" ht="15" hidden="1" x14ac:dyDescent="0.25">
      <c r="A2086" s="7" t="s">
        <v>16</v>
      </c>
      <c r="B2086" s="7" t="s">
        <v>23</v>
      </c>
      <c r="C2086" s="7" t="s">
        <v>24</v>
      </c>
      <c r="D2086" s="4">
        <v>15016827000160</v>
      </c>
      <c r="E2086" s="8" t="s">
        <v>877</v>
      </c>
      <c r="F2086" s="8" t="s">
        <v>772</v>
      </c>
      <c r="G2086" s="8" t="s">
        <v>69</v>
      </c>
      <c r="H2086" s="8" t="s">
        <v>215</v>
      </c>
      <c r="I2086" s="3">
        <v>2</v>
      </c>
      <c r="J2086" s="8" t="s">
        <v>163</v>
      </c>
      <c r="K2086" s="8" t="s">
        <v>164</v>
      </c>
      <c r="L2086" s="8" t="s">
        <v>557</v>
      </c>
      <c r="M2086" s="1" t="s">
        <v>211</v>
      </c>
      <c r="N2086" s="8" t="s">
        <v>212</v>
      </c>
      <c r="O2086" s="6">
        <v>0</v>
      </c>
      <c r="P2086" s="6">
        <v>1</v>
      </c>
      <c r="Q2086" s="6">
        <v>0</v>
      </c>
      <c r="R2086" s="6">
        <v>0</v>
      </c>
      <c r="S2086" s="6">
        <v>0</v>
      </c>
    </row>
    <row r="2087" spans="1:19" ht="15" hidden="1" x14ac:dyDescent="0.25">
      <c r="A2087" s="7" t="s">
        <v>16</v>
      </c>
      <c r="B2087" s="7" t="s">
        <v>23</v>
      </c>
      <c r="C2087" s="7" t="s">
        <v>24</v>
      </c>
      <c r="D2087" s="4">
        <v>1757351000104</v>
      </c>
      <c r="E2087" s="8" t="s">
        <v>771</v>
      </c>
      <c r="F2087" s="8" t="s">
        <v>772</v>
      </c>
      <c r="G2087" s="8" t="s">
        <v>69</v>
      </c>
      <c r="H2087" s="8" t="s">
        <v>215</v>
      </c>
      <c r="I2087" s="3">
        <v>2</v>
      </c>
      <c r="J2087" s="8" t="s">
        <v>187</v>
      </c>
      <c r="K2087" s="8" t="s">
        <v>188</v>
      </c>
      <c r="L2087" s="8" t="s">
        <v>556</v>
      </c>
      <c r="M2087" s="1" t="s">
        <v>211</v>
      </c>
      <c r="N2087" s="8" t="s">
        <v>212</v>
      </c>
      <c r="O2087" s="6">
        <v>0</v>
      </c>
      <c r="P2087" s="6">
        <v>0</v>
      </c>
      <c r="Q2087" s="6">
        <v>0</v>
      </c>
      <c r="R2087" s="6">
        <v>0</v>
      </c>
      <c r="S2087" s="6">
        <v>0</v>
      </c>
    </row>
    <row r="2088" spans="1:19" ht="15" hidden="1" x14ac:dyDescent="0.25">
      <c r="A2088" s="7" t="s">
        <v>16</v>
      </c>
      <c r="B2088" s="7" t="s">
        <v>23</v>
      </c>
      <c r="C2088" s="7" t="s">
        <v>24</v>
      </c>
      <c r="D2088" s="4">
        <v>1757351000104</v>
      </c>
      <c r="E2088" s="8" t="s">
        <v>771</v>
      </c>
      <c r="F2088" s="8" t="s">
        <v>772</v>
      </c>
      <c r="G2088" s="8" t="s">
        <v>69</v>
      </c>
      <c r="H2088" s="8" t="s">
        <v>215</v>
      </c>
      <c r="I2088" s="3">
        <v>2</v>
      </c>
      <c r="J2088" s="8" t="s">
        <v>163</v>
      </c>
      <c r="K2088" s="8" t="s">
        <v>164</v>
      </c>
      <c r="L2088" s="8" t="s">
        <v>557</v>
      </c>
      <c r="M2088" s="1" t="s">
        <v>211</v>
      </c>
      <c r="N2088" s="8" t="s">
        <v>212</v>
      </c>
      <c r="O2088" s="6">
        <v>0</v>
      </c>
      <c r="P2088" s="6">
        <v>3</v>
      </c>
      <c r="Q2088" s="6">
        <v>0</v>
      </c>
      <c r="R2088" s="6">
        <v>0</v>
      </c>
      <c r="S2088" s="6">
        <v>0</v>
      </c>
    </row>
    <row r="2089" spans="1:19" ht="15" hidden="1" x14ac:dyDescent="0.25">
      <c r="A2089" s="7" t="s">
        <v>16</v>
      </c>
      <c r="B2089" s="7" t="s">
        <v>23</v>
      </c>
      <c r="C2089" s="7" t="s">
        <v>24</v>
      </c>
      <c r="D2089" s="4">
        <v>3925419000142</v>
      </c>
      <c r="E2089" s="8" t="s">
        <v>795</v>
      </c>
      <c r="F2089" s="8" t="s">
        <v>772</v>
      </c>
      <c r="G2089" s="8" t="s">
        <v>69</v>
      </c>
      <c r="H2089" s="8" t="s">
        <v>215</v>
      </c>
      <c r="I2089" s="3">
        <v>2</v>
      </c>
      <c r="J2089" s="8" t="s">
        <v>187</v>
      </c>
      <c r="K2089" s="8" t="s">
        <v>188</v>
      </c>
      <c r="L2089" s="8" t="s">
        <v>556</v>
      </c>
      <c r="M2089" s="1" t="s">
        <v>211</v>
      </c>
      <c r="N2089" s="8" t="s">
        <v>212</v>
      </c>
      <c r="O2089" s="6">
        <v>0</v>
      </c>
      <c r="P2089" s="6">
        <v>0</v>
      </c>
      <c r="Q2089" s="6">
        <v>0</v>
      </c>
      <c r="R2089" s="6">
        <v>0</v>
      </c>
      <c r="S2089" s="6">
        <v>0</v>
      </c>
    </row>
    <row r="2090" spans="1:19" ht="15" hidden="1" x14ac:dyDescent="0.25">
      <c r="A2090" s="7" t="s">
        <v>16</v>
      </c>
      <c r="B2090" s="7" t="s">
        <v>23</v>
      </c>
      <c r="C2090" s="7" t="s">
        <v>24</v>
      </c>
      <c r="D2090" s="4">
        <v>3925419000142</v>
      </c>
      <c r="E2090" s="8" t="s">
        <v>795</v>
      </c>
      <c r="F2090" s="8" t="s">
        <v>772</v>
      </c>
      <c r="G2090" s="8" t="s">
        <v>69</v>
      </c>
      <c r="H2090" s="8" t="s">
        <v>215</v>
      </c>
      <c r="I2090" s="3">
        <v>2</v>
      </c>
      <c r="J2090" s="8" t="s">
        <v>163</v>
      </c>
      <c r="K2090" s="8" t="s">
        <v>164</v>
      </c>
      <c r="L2090" s="8" t="s">
        <v>557</v>
      </c>
      <c r="M2090" s="1" t="s">
        <v>211</v>
      </c>
      <c r="N2090" s="8" t="s">
        <v>212</v>
      </c>
      <c r="O2090" s="6">
        <v>0</v>
      </c>
      <c r="P2090" s="6">
        <v>4</v>
      </c>
      <c r="Q2090" s="6">
        <v>0</v>
      </c>
      <c r="R2090" s="6">
        <v>0</v>
      </c>
      <c r="S2090" s="6">
        <v>0</v>
      </c>
    </row>
    <row r="2091" spans="1:19" ht="15" hidden="1" x14ac:dyDescent="0.25">
      <c r="A2091" s="7" t="s">
        <v>16</v>
      </c>
      <c r="B2091" s="7" t="s">
        <v>23</v>
      </c>
      <c r="C2091" s="7" t="s">
        <v>24</v>
      </c>
      <c r="D2091" s="4">
        <v>70524145000177</v>
      </c>
      <c r="E2091" s="8" t="s">
        <v>925</v>
      </c>
      <c r="F2091" s="8" t="s">
        <v>772</v>
      </c>
      <c r="G2091" s="8" t="s">
        <v>69</v>
      </c>
      <c r="H2091" s="8" t="s">
        <v>215</v>
      </c>
      <c r="I2091" s="3">
        <v>2</v>
      </c>
      <c r="J2091" s="8" t="s">
        <v>187</v>
      </c>
      <c r="K2091" s="8" t="s">
        <v>188</v>
      </c>
      <c r="L2091" s="8" t="s">
        <v>556</v>
      </c>
      <c r="M2091" s="1" t="s">
        <v>211</v>
      </c>
      <c r="N2091" s="8" t="s">
        <v>212</v>
      </c>
      <c r="O2091" s="6">
        <v>0</v>
      </c>
      <c r="P2091" s="6">
        <v>0</v>
      </c>
      <c r="Q2091" s="6">
        <v>0</v>
      </c>
      <c r="R2091" s="6">
        <v>0</v>
      </c>
      <c r="S2091" s="6">
        <v>0</v>
      </c>
    </row>
    <row r="2092" spans="1:19" ht="15" hidden="1" x14ac:dyDescent="0.25">
      <c r="A2092" s="7" t="s">
        <v>16</v>
      </c>
      <c r="B2092" s="7" t="s">
        <v>23</v>
      </c>
      <c r="C2092" s="7" t="s">
        <v>24</v>
      </c>
      <c r="D2092" s="4">
        <v>70524145000177</v>
      </c>
      <c r="E2092" s="8" t="s">
        <v>925</v>
      </c>
      <c r="F2092" s="8" t="s">
        <v>772</v>
      </c>
      <c r="G2092" s="8" t="s">
        <v>69</v>
      </c>
      <c r="H2092" s="8" t="s">
        <v>215</v>
      </c>
      <c r="I2092" s="3">
        <v>2</v>
      </c>
      <c r="J2092" s="8" t="s">
        <v>163</v>
      </c>
      <c r="K2092" s="8" t="s">
        <v>164</v>
      </c>
      <c r="L2092" s="8" t="s">
        <v>557</v>
      </c>
      <c r="M2092" s="1" t="s">
        <v>211</v>
      </c>
      <c r="N2092" s="8" t="s">
        <v>212</v>
      </c>
      <c r="O2092" s="6">
        <v>0</v>
      </c>
      <c r="P2092" s="6">
        <v>2</v>
      </c>
      <c r="Q2092" s="6">
        <v>0</v>
      </c>
      <c r="R2092" s="6">
        <v>0</v>
      </c>
      <c r="S2092" s="6">
        <v>0</v>
      </c>
    </row>
    <row r="2093" spans="1:19" ht="15" hidden="1" x14ac:dyDescent="0.25">
      <c r="A2093" s="7" t="s">
        <v>16</v>
      </c>
      <c r="B2093" s="7" t="s">
        <v>23</v>
      </c>
      <c r="C2093" s="7" t="s">
        <v>24</v>
      </c>
      <c r="D2093" s="4">
        <v>4966545000370</v>
      </c>
      <c r="E2093" s="8" t="s">
        <v>1148</v>
      </c>
      <c r="F2093" s="8" t="s">
        <v>1129</v>
      </c>
      <c r="G2093" s="8" t="s">
        <v>52</v>
      </c>
      <c r="H2093" s="8" t="s">
        <v>215</v>
      </c>
      <c r="I2093" s="3">
        <v>1</v>
      </c>
      <c r="J2093" s="8" t="s">
        <v>201</v>
      </c>
      <c r="K2093" s="8" t="s">
        <v>202</v>
      </c>
      <c r="L2093" s="8" t="s">
        <v>740</v>
      </c>
      <c r="M2093" s="1" t="s">
        <v>211</v>
      </c>
      <c r="N2093" s="8" t="s">
        <v>212</v>
      </c>
      <c r="O2093" s="6">
        <v>0</v>
      </c>
      <c r="P2093" s="6">
        <v>0</v>
      </c>
      <c r="Q2093" s="6">
        <v>0</v>
      </c>
      <c r="R2093" s="6">
        <v>0</v>
      </c>
      <c r="S2093" s="6">
        <v>40</v>
      </c>
    </row>
    <row r="2094" spans="1:19" ht="15" hidden="1" x14ac:dyDescent="0.25">
      <c r="A2094" s="7" t="s">
        <v>16</v>
      </c>
      <c r="B2094" s="7" t="s">
        <v>23</v>
      </c>
      <c r="C2094" s="7" t="s">
        <v>24</v>
      </c>
      <c r="D2094" s="4">
        <v>12371009253</v>
      </c>
      <c r="E2094" s="8" t="s">
        <v>1128</v>
      </c>
      <c r="F2094" s="8" t="s">
        <v>1129</v>
      </c>
      <c r="G2094" s="8" t="s">
        <v>52</v>
      </c>
      <c r="H2094" s="8" t="s">
        <v>215</v>
      </c>
      <c r="I2094" s="3">
        <v>1</v>
      </c>
      <c r="J2094" s="8" t="s">
        <v>201</v>
      </c>
      <c r="K2094" s="8" t="s">
        <v>202</v>
      </c>
      <c r="L2094" s="8" t="s">
        <v>740</v>
      </c>
      <c r="M2094" s="1" t="s">
        <v>211</v>
      </c>
      <c r="N2094" s="8" t="s">
        <v>212</v>
      </c>
      <c r="O2094" s="6">
        <v>0</v>
      </c>
      <c r="P2094" s="6">
        <v>0</v>
      </c>
      <c r="Q2094" s="6">
        <v>0</v>
      </c>
      <c r="R2094" s="6">
        <v>12</v>
      </c>
      <c r="S2094" s="6">
        <v>0</v>
      </c>
    </row>
    <row r="2095" spans="1:19" ht="15" hidden="1" x14ac:dyDescent="0.25">
      <c r="A2095" s="7" t="s">
        <v>16</v>
      </c>
      <c r="B2095" s="7" t="s">
        <v>23</v>
      </c>
      <c r="C2095" s="7" t="s">
        <v>24</v>
      </c>
      <c r="D2095" s="4">
        <v>4201372001028</v>
      </c>
      <c r="E2095" s="8" t="s">
        <v>1145</v>
      </c>
      <c r="F2095" s="8" t="s">
        <v>1129</v>
      </c>
      <c r="G2095" s="8" t="s">
        <v>52</v>
      </c>
      <c r="H2095" s="8" t="s">
        <v>215</v>
      </c>
      <c r="I2095" s="3">
        <v>1</v>
      </c>
      <c r="J2095" s="8" t="s">
        <v>201</v>
      </c>
      <c r="K2095" s="8" t="s">
        <v>202</v>
      </c>
      <c r="L2095" s="8" t="s">
        <v>740</v>
      </c>
      <c r="M2095" s="1" t="s">
        <v>211</v>
      </c>
      <c r="N2095" s="8" t="s">
        <v>212</v>
      </c>
      <c r="O2095" s="6">
        <v>0</v>
      </c>
      <c r="P2095" s="6">
        <v>0</v>
      </c>
      <c r="Q2095" s="6">
        <v>0</v>
      </c>
      <c r="R2095" s="6">
        <v>80</v>
      </c>
      <c r="S2095" s="6">
        <v>0</v>
      </c>
    </row>
    <row r="2096" spans="1:19" ht="15" hidden="1" x14ac:dyDescent="0.25">
      <c r="A2096" s="7" t="s">
        <v>16</v>
      </c>
      <c r="B2096" s="7" t="s">
        <v>23</v>
      </c>
      <c r="C2096" s="7" t="s">
        <v>24</v>
      </c>
      <c r="D2096" s="4">
        <v>8680639000681</v>
      </c>
      <c r="E2096" s="8" t="s">
        <v>827</v>
      </c>
      <c r="F2096" s="8" t="s">
        <v>747</v>
      </c>
      <c r="G2096" s="8" t="s">
        <v>56</v>
      </c>
      <c r="H2096" s="8" t="s">
        <v>215</v>
      </c>
      <c r="I2096" s="3">
        <v>2</v>
      </c>
      <c r="J2096" s="8" t="s">
        <v>199</v>
      </c>
      <c r="K2096" s="8" t="s">
        <v>200</v>
      </c>
      <c r="L2096" s="8" t="s">
        <v>556</v>
      </c>
      <c r="M2096" s="1" t="s">
        <v>211</v>
      </c>
      <c r="N2096" s="8" t="s">
        <v>212</v>
      </c>
      <c r="O2096" s="6">
        <v>0</v>
      </c>
      <c r="P2096" s="6">
        <v>0</v>
      </c>
      <c r="Q2096" s="6">
        <v>0</v>
      </c>
      <c r="R2096" s="6">
        <v>0</v>
      </c>
      <c r="S2096" s="6">
        <v>200</v>
      </c>
    </row>
    <row r="2097" spans="1:19" ht="15" hidden="1" x14ac:dyDescent="0.25">
      <c r="A2097" s="7" t="s">
        <v>16</v>
      </c>
      <c r="B2097" s="7" t="s">
        <v>23</v>
      </c>
      <c r="C2097" s="7" t="s">
        <v>24</v>
      </c>
      <c r="D2097" s="4">
        <v>8680639000681</v>
      </c>
      <c r="E2097" s="8" t="s">
        <v>827</v>
      </c>
      <c r="F2097" s="8" t="s">
        <v>747</v>
      </c>
      <c r="G2097" s="8" t="s">
        <v>56</v>
      </c>
      <c r="H2097" s="8" t="s">
        <v>215</v>
      </c>
      <c r="I2097" s="3">
        <v>2</v>
      </c>
      <c r="J2097" s="8" t="s">
        <v>169</v>
      </c>
      <c r="K2097" s="8" t="s">
        <v>170</v>
      </c>
      <c r="L2097" s="8" t="s">
        <v>557</v>
      </c>
      <c r="M2097" s="1" t="s">
        <v>211</v>
      </c>
      <c r="N2097" s="8" t="s">
        <v>212</v>
      </c>
      <c r="O2097" s="6">
        <v>0</v>
      </c>
      <c r="P2097" s="6">
        <v>0</v>
      </c>
      <c r="Q2097" s="6">
        <v>0</v>
      </c>
      <c r="R2097" s="6">
        <v>0</v>
      </c>
      <c r="S2097" s="6">
        <v>200</v>
      </c>
    </row>
    <row r="2098" spans="1:19" ht="15" hidden="1" x14ac:dyDescent="0.25">
      <c r="A2098" s="7" t="s">
        <v>16</v>
      </c>
      <c r="B2098" s="7" t="s">
        <v>23</v>
      </c>
      <c r="C2098" s="7" t="s">
        <v>24</v>
      </c>
      <c r="D2098" s="4">
        <v>394429019391</v>
      </c>
      <c r="E2098" s="8" t="s">
        <v>750</v>
      </c>
      <c r="F2098" s="8" t="s">
        <v>70</v>
      </c>
      <c r="G2098" s="8" t="s">
        <v>71</v>
      </c>
      <c r="H2098" s="8" t="s">
        <v>215</v>
      </c>
      <c r="I2098" s="3">
        <v>2</v>
      </c>
      <c r="J2098" s="8" t="s">
        <v>199</v>
      </c>
      <c r="K2098" s="8" t="s">
        <v>200</v>
      </c>
      <c r="L2098" s="8" t="s">
        <v>556</v>
      </c>
      <c r="M2098" s="1" t="s">
        <v>211</v>
      </c>
      <c r="N2098" s="8" t="s">
        <v>212</v>
      </c>
      <c r="O2098" s="6">
        <v>0</v>
      </c>
      <c r="P2098" s="6">
        <v>0</v>
      </c>
      <c r="Q2098" s="6">
        <v>0</v>
      </c>
      <c r="R2098" s="6">
        <v>0</v>
      </c>
      <c r="S2098" s="6">
        <v>25</v>
      </c>
    </row>
    <row r="2099" spans="1:19" ht="15" hidden="1" x14ac:dyDescent="0.25">
      <c r="A2099" s="7" t="s">
        <v>16</v>
      </c>
      <c r="B2099" s="7" t="s">
        <v>23</v>
      </c>
      <c r="C2099" s="7" t="s">
        <v>24</v>
      </c>
      <c r="D2099" s="4">
        <v>394429019391</v>
      </c>
      <c r="E2099" s="8" t="s">
        <v>750</v>
      </c>
      <c r="F2099" s="8" t="s">
        <v>70</v>
      </c>
      <c r="G2099" s="8" t="s">
        <v>71</v>
      </c>
      <c r="H2099" s="8" t="s">
        <v>215</v>
      </c>
      <c r="I2099" s="3">
        <v>2</v>
      </c>
      <c r="J2099" s="8" t="s">
        <v>169</v>
      </c>
      <c r="K2099" s="8" t="s">
        <v>170</v>
      </c>
      <c r="L2099" s="8" t="s">
        <v>557</v>
      </c>
      <c r="M2099" s="1" t="s">
        <v>211</v>
      </c>
      <c r="N2099" s="8" t="s">
        <v>212</v>
      </c>
      <c r="O2099" s="6">
        <v>0</v>
      </c>
      <c r="P2099" s="6">
        <v>0</v>
      </c>
      <c r="Q2099" s="6">
        <v>0</v>
      </c>
      <c r="R2099" s="6">
        <v>0</v>
      </c>
      <c r="S2099" s="6">
        <v>25</v>
      </c>
    </row>
    <row r="2100" spans="1:19" ht="15" hidden="1" x14ac:dyDescent="0.25">
      <c r="A2100" s="7" t="s">
        <v>16</v>
      </c>
      <c r="B2100" s="7" t="s">
        <v>23</v>
      </c>
      <c r="C2100" s="7" t="s">
        <v>24</v>
      </c>
      <c r="D2100" s="4">
        <v>10892164000124</v>
      </c>
      <c r="E2100" s="8" t="s">
        <v>835</v>
      </c>
      <c r="F2100" s="8" t="s">
        <v>70</v>
      </c>
      <c r="G2100" s="8" t="s">
        <v>71</v>
      </c>
      <c r="H2100" s="8" t="s">
        <v>215</v>
      </c>
      <c r="I2100" s="3">
        <v>2</v>
      </c>
      <c r="J2100" s="8" t="s">
        <v>199</v>
      </c>
      <c r="K2100" s="8" t="s">
        <v>200</v>
      </c>
      <c r="L2100" s="8" t="s">
        <v>556</v>
      </c>
      <c r="M2100" s="1" t="s">
        <v>211</v>
      </c>
      <c r="N2100" s="8" t="s">
        <v>212</v>
      </c>
      <c r="O2100" s="6">
        <v>0</v>
      </c>
      <c r="P2100" s="6">
        <v>0</v>
      </c>
      <c r="Q2100" s="6">
        <v>0</v>
      </c>
      <c r="R2100" s="6">
        <v>40</v>
      </c>
      <c r="S2100" s="6">
        <v>0</v>
      </c>
    </row>
    <row r="2101" spans="1:19" ht="15" hidden="1" x14ac:dyDescent="0.25">
      <c r="A2101" s="7" t="s">
        <v>16</v>
      </c>
      <c r="B2101" s="7" t="s">
        <v>23</v>
      </c>
      <c r="C2101" s="7" t="s">
        <v>24</v>
      </c>
      <c r="D2101" s="4">
        <v>10892164000124</v>
      </c>
      <c r="E2101" s="8" t="s">
        <v>835</v>
      </c>
      <c r="F2101" s="8" t="s">
        <v>70</v>
      </c>
      <c r="G2101" s="8" t="s">
        <v>71</v>
      </c>
      <c r="H2101" s="8" t="s">
        <v>215</v>
      </c>
      <c r="I2101" s="3">
        <v>2</v>
      </c>
      <c r="J2101" s="8" t="s">
        <v>169</v>
      </c>
      <c r="K2101" s="8" t="s">
        <v>170</v>
      </c>
      <c r="L2101" s="8" t="s">
        <v>557</v>
      </c>
      <c r="M2101" s="1" t="s">
        <v>211</v>
      </c>
      <c r="N2101" s="8" t="s">
        <v>212</v>
      </c>
      <c r="O2101" s="6">
        <v>0</v>
      </c>
      <c r="P2101" s="6">
        <v>10</v>
      </c>
      <c r="Q2101" s="6">
        <v>0</v>
      </c>
      <c r="R2101" s="6">
        <v>0</v>
      </c>
      <c r="S2101" s="6">
        <v>0</v>
      </c>
    </row>
    <row r="2102" spans="1:19" ht="15" hidden="1" x14ac:dyDescent="0.25">
      <c r="A2102" s="7" t="s">
        <v>16</v>
      </c>
      <c r="B2102" s="7" t="s">
        <v>23</v>
      </c>
      <c r="C2102" s="7" t="s">
        <v>24</v>
      </c>
      <c r="D2102" s="4">
        <v>2284062000440</v>
      </c>
      <c r="E2102" s="8" t="s">
        <v>775</v>
      </c>
      <c r="F2102" s="8" t="s">
        <v>70</v>
      </c>
      <c r="G2102" s="8" t="s">
        <v>71</v>
      </c>
      <c r="H2102" s="8" t="s">
        <v>215</v>
      </c>
      <c r="I2102" s="3">
        <v>2</v>
      </c>
      <c r="J2102" s="8" t="s">
        <v>199</v>
      </c>
      <c r="K2102" s="8" t="s">
        <v>200</v>
      </c>
      <c r="L2102" s="8" t="s">
        <v>556</v>
      </c>
      <c r="M2102" s="1" t="s">
        <v>211</v>
      </c>
      <c r="N2102" s="8" t="s">
        <v>212</v>
      </c>
      <c r="O2102" s="6">
        <v>0</v>
      </c>
      <c r="P2102" s="6">
        <v>0</v>
      </c>
      <c r="Q2102" s="6">
        <v>0</v>
      </c>
      <c r="R2102" s="6">
        <v>0</v>
      </c>
      <c r="S2102" s="6">
        <v>0</v>
      </c>
    </row>
    <row r="2103" spans="1:19" ht="15" hidden="1" x14ac:dyDescent="0.25">
      <c r="A2103" s="7" t="s">
        <v>16</v>
      </c>
      <c r="B2103" s="7" t="s">
        <v>23</v>
      </c>
      <c r="C2103" s="7" t="s">
        <v>24</v>
      </c>
      <c r="D2103" s="4">
        <v>2284062000440</v>
      </c>
      <c r="E2103" s="8" t="s">
        <v>775</v>
      </c>
      <c r="F2103" s="8" t="s">
        <v>70</v>
      </c>
      <c r="G2103" s="8" t="s">
        <v>71</v>
      </c>
      <c r="H2103" s="8" t="s">
        <v>215</v>
      </c>
      <c r="I2103" s="3">
        <v>2</v>
      </c>
      <c r="J2103" s="8" t="s">
        <v>169</v>
      </c>
      <c r="K2103" s="8" t="s">
        <v>170</v>
      </c>
      <c r="L2103" s="8" t="s">
        <v>557</v>
      </c>
      <c r="M2103" s="1" t="s">
        <v>211</v>
      </c>
      <c r="N2103" s="8" t="s">
        <v>212</v>
      </c>
      <c r="O2103" s="6">
        <v>0</v>
      </c>
      <c r="P2103" s="6">
        <v>5</v>
      </c>
      <c r="Q2103" s="6">
        <v>0</v>
      </c>
      <c r="R2103" s="6">
        <v>0</v>
      </c>
      <c r="S2103" s="6">
        <v>0</v>
      </c>
    </row>
    <row r="2104" spans="1:19" ht="15" hidden="1" x14ac:dyDescent="0.25">
      <c r="A2104" s="7" t="s">
        <v>16</v>
      </c>
      <c r="B2104" s="7" t="s">
        <v>23</v>
      </c>
      <c r="C2104" s="7" t="s">
        <v>24</v>
      </c>
      <c r="D2104" s="4">
        <v>11214624000470</v>
      </c>
      <c r="E2104" s="8" t="s">
        <v>841</v>
      </c>
      <c r="F2104" s="8" t="s">
        <v>70</v>
      </c>
      <c r="G2104" s="8" t="s">
        <v>71</v>
      </c>
      <c r="H2104" s="8" t="s">
        <v>215</v>
      </c>
      <c r="I2104" s="3">
        <v>2</v>
      </c>
      <c r="J2104" s="8" t="s">
        <v>199</v>
      </c>
      <c r="K2104" s="8" t="s">
        <v>200</v>
      </c>
      <c r="L2104" s="8" t="s">
        <v>556</v>
      </c>
      <c r="M2104" s="1" t="s">
        <v>211</v>
      </c>
      <c r="N2104" s="8" t="s">
        <v>212</v>
      </c>
      <c r="O2104" s="6">
        <v>0</v>
      </c>
      <c r="P2104" s="6">
        <v>0</v>
      </c>
      <c r="Q2104" s="6">
        <v>0</v>
      </c>
      <c r="R2104" s="6">
        <v>96</v>
      </c>
      <c r="S2104" s="6">
        <v>0</v>
      </c>
    </row>
    <row r="2105" spans="1:19" ht="15" hidden="1" x14ac:dyDescent="0.25">
      <c r="A2105" s="7" t="s">
        <v>16</v>
      </c>
      <c r="B2105" s="7" t="s">
        <v>23</v>
      </c>
      <c r="C2105" s="7" t="s">
        <v>24</v>
      </c>
      <c r="D2105" s="4">
        <v>11214624000470</v>
      </c>
      <c r="E2105" s="8" t="s">
        <v>841</v>
      </c>
      <c r="F2105" s="8" t="s">
        <v>70</v>
      </c>
      <c r="G2105" s="8" t="s">
        <v>71</v>
      </c>
      <c r="H2105" s="8" t="s">
        <v>215</v>
      </c>
      <c r="I2105" s="3">
        <v>2</v>
      </c>
      <c r="J2105" s="8" t="s">
        <v>169</v>
      </c>
      <c r="K2105" s="8" t="s">
        <v>170</v>
      </c>
      <c r="L2105" s="8" t="s">
        <v>557</v>
      </c>
      <c r="M2105" s="1" t="s">
        <v>211</v>
      </c>
      <c r="N2105" s="8" t="s">
        <v>212</v>
      </c>
      <c r="O2105" s="6">
        <v>0</v>
      </c>
      <c r="P2105" s="6">
        <v>0</v>
      </c>
      <c r="Q2105" s="6">
        <v>0</v>
      </c>
      <c r="R2105" s="6">
        <v>0</v>
      </c>
      <c r="S2105" s="6">
        <v>0</v>
      </c>
    </row>
    <row r="2106" spans="1:19" ht="15" hidden="1" x14ac:dyDescent="0.25">
      <c r="A2106" s="7" t="s">
        <v>16</v>
      </c>
      <c r="B2106" s="7" t="s">
        <v>23</v>
      </c>
      <c r="C2106" s="7" t="s">
        <v>24</v>
      </c>
      <c r="D2106" s="4">
        <v>11214624001957</v>
      </c>
      <c r="E2106" s="8" t="s">
        <v>842</v>
      </c>
      <c r="F2106" s="8" t="s">
        <v>70</v>
      </c>
      <c r="G2106" s="8" t="s">
        <v>71</v>
      </c>
      <c r="H2106" s="8" t="s">
        <v>215</v>
      </c>
      <c r="I2106" s="3">
        <v>2</v>
      </c>
      <c r="J2106" s="8" t="s">
        <v>199</v>
      </c>
      <c r="K2106" s="8" t="s">
        <v>200</v>
      </c>
      <c r="L2106" s="8" t="s">
        <v>556</v>
      </c>
      <c r="M2106" s="1" t="s">
        <v>211</v>
      </c>
      <c r="N2106" s="8" t="s">
        <v>212</v>
      </c>
      <c r="O2106" s="6">
        <v>0</v>
      </c>
      <c r="P2106" s="6">
        <v>0</v>
      </c>
      <c r="Q2106" s="6">
        <v>0</v>
      </c>
      <c r="R2106" s="6">
        <v>0</v>
      </c>
      <c r="S2106" s="6">
        <v>50</v>
      </c>
    </row>
    <row r="2107" spans="1:19" ht="15" hidden="1" x14ac:dyDescent="0.25">
      <c r="A2107" s="7" t="s">
        <v>16</v>
      </c>
      <c r="B2107" s="7" t="s">
        <v>23</v>
      </c>
      <c r="C2107" s="7" t="s">
        <v>24</v>
      </c>
      <c r="D2107" s="4">
        <v>11214624001957</v>
      </c>
      <c r="E2107" s="8" t="s">
        <v>842</v>
      </c>
      <c r="F2107" s="8" t="s">
        <v>70</v>
      </c>
      <c r="G2107" s="8" t="s">
        <v>71</v>
      </c>
      <c r="H2107" s="8" t="s">
        <v>215</v>
      </c>
      <c r="I2107" s="3">
        <v>2</v>
      </c>
      <c r="J2107" s="8" t="s">
        <v>169</v>
      </c>
      <c r="K2107" s="8" t="s">
        <v>170</v>
      </c>
      <c r="L2107" s="8" t="s">
        <v>557</v>
      </c>
      <c r="M2107" s="1" t="s">
        <v>211</v>
      </c>
      <c r="N2107" s="8" t="s">
        <v>212</v>
      </c>
      <c r="O2107" s="6">
        <v>0</v>
      </c>
      <c r="P2107" s="6">
        <v>0</v>
      </c>
      <c r="Q2107" s="6">
        <v>0</v>
      </c>
      <c r="R2107" s="6">
        <v>0</v>
      </c>
      <c r="S2107" s="6">
        <v>50</v>
      </c>
    </row>
    <row r="2108" spans="1:19" ht="15" hidden="1" x14ac:dyDescent="0.25">
      <c r="A2108" s="7" t="s">
        <v>16</v>
      </c>
      <c r="B2108" s="7" t="s">
        <v>23</v>
      </c>
      <c r="C2108" s="7" t="s">
        <v>24</v>
      </c>
      <c r="D2108" s="4">
        <v>11022597001325</v>
      </c>
      <c r="E2108" s="8" t="s">
        <v>839</v>
      </c>
      <c r="F2108" s="8" t="s">
        <v>70</v>
      </c>
      <c r="G2108" s="8" t="s">
        <v>71</v>
      </c>
      <c r="H2108" s="8" t="s">
        <v>215</v>
      </c>
      <c r="I2108" s="3">
        <v>2</v>
      </c>
      <c r="J2108" s="8" t="s">
        <v>199</v>
      </c>
      <c r="K2108" s="8" t="s">
        <v>200</v>
      </c>
      <c r="L2108" s="8" t="s">
        <v>556</v>
      </c>
      <c r="M2108" s="1" t="s">
        <v>211</v>
      </c>
      <c r="N2108" s="8" t="s">
        <v>212</v>
      </c>
      <c r="O2108" s="6">
        <v>0</v>
      </c>
      <c r="P2108" s="6">
        <v>0</v>
      </c>
      <c r="Q2108" s="6">
        <v>0</v>
      </c>
      <c r="R2108" s="6">
        <v>0</v>
      </c>
      <c r="S2108" s="6">
        <v>750</v>
      </c>
    </row>
    <row r="2109" spans="1:19" ht="15" hidden="1" x14ac:dyDescent="0.25">
      <c r="A2109" s="7" t="s">
        <v>16</v>
      </c>
      <c r="B2109" s="7" t="s">
        <v>23</v>
      </c>
      <c r="C2109" s="7" t="s">
        <v>24</v>
      </c>
      <c r="D2109" s="4">
        <v>11022597001325</v>
      </c>
      <c r="E2109" s="8" t="s">
        <v>839</v>
      </c>
      <c r="F2109" s="8" t="s">
        <v>70</v>
      </c>
      <c r="G2109" s="8" t="s">
        <v>71</v>
      </c>
      <c r="H2109" s="8" t="s">
        <v>215</v>
      </c>
      <c r="I2109" s="3">
        <v>2</v>
      </c>
      <c r="J2109" s="8" t="s">
        <v>169</v>
      </c>
      <c r="K2109" s="8" t="s">
        <v>170</v>
      </c>
      <c r="L2109" s="8" t="s">
        <v>557</v>
      </c>
      <c r="M2109" s="1" t="s">
        <v>211</v>
      </c>
      <c r="N2109" s="8" t="s">
        <v>212</v>
      </c>
      <c r="O2109" s="6">
        <v>0</v>
      </c>
      <c r="P2109" s="6">
        <v>60</v>
      </c>
      <c r="Q2109" s="6">
        <v>0</v>
      </c>
      <c r="R2109" s="6">
        <v>0</v>
      </c>
      <c r="S2109" s="6">
        <v>750</v>
      </c>
    </row>
    <row r="2110" spans="1:19" ht="15" hidden="1" x14ac:dyDescent="0.25">
      <c r="A2110" s="7" t="s">
        <v>16</v>
      </c>
      <c r="B2110" s="7" t="s">
        <v>23</v>
      </c>
      <c r="C2110" s="7" t="s">
        <v>24</v>
      </c>
      <c r="D2110" s="4">
        <v>10988301000129</v>
      </c>
      <c r="E2110" s="8" t="s">
        <v>837</v>
      </c>
      <c r="F2110" s="8" t="s">
        <v>70</v>
      </c>
      <c r="G2110" s="8" t="s">
        <v>71</v>
      </c>
      <c r="H2110" s="8" t="s">
        <v>215</v>
      </c>
      <c r="I2110" s="3">
        <v>2</v>
      </c>
      <c r="J2110" s="8" t="s">
        <v>199</v>
      </c>
      <c r="K2110" s="8" t="s">
        <v>200</v>
      </c>
      <c r="L2110" s="8" t="s">
        <v>556</v>
      </c>
      <c r="M2110" s="1" t="s">
        <v>211</v>
      </c>
      <c r="N2110" s="8" t="s">
        <v>212</v>
      </c>
      <c r="O2110" s="6">
        <v>0</v>
      </c>
      <c r="P2110" s="6">
        <v>0</v>
      </c>
      <c r="Q2110" s="6">
        <v>0</v>
      </c>
      <c r="R2110" s="6">
        <v>0</v>
      </c>
      <c r="S2110" s="6">
        <v>0</v>
      </c>
    </row>
    <row r="2111" spans="1:19" ht="15" hidden="1" x14ac:dyDescent="0.25">
      <c r="A2111" s="7" t="s">
        <v>16</v>
      </c>
      <c r="B2111" s="7" t="s">
        <v>23</v>
      </c>
      <c r="C2111" s="7" t="s">
        <v>24</v>
      </c>
      <c r="D2111" s="4">
        <v>10988301000129</v>
      </c>
      <c r="E2111" s="8" t="s">
        <v>837</v>
      </c>
      <c r="F2111" s="8" t="s">
        <v>70</v>
      </c>
      <c r="G2111" s="8" t="s">
        <v>71</v>
      </c>
      <c r="H2111" s="8" t="s">
        <v>215</v>
      </c>
      <c r="I2111" s="3">
        <v>2</v>
      </c>
      <c r="J2111" s="8" t="s">
        <v>169</v>
      </c>
      <c r="K2111" s="8" t="s">
        <v>170</v>
      </c>
      <c r="L2111" s="8" t="s">
        <v>557</v>
      </c>
      <c r="M2111" s="1" t="s">
        <v>211</v>
      </c>
      <c r="N2111" s="8" t="s">
        <v>212</v>
      </c>
      <c r="O2111" s="6">
        <v>0</v>
      </c>
      <c r="P2111" s="6">
        <v>15</v>
      </c>
      <c r="Q2111" s="6">
        <v>0</v>
      </c>
      <c r="R2111" s="6">
        <v>0</v>
      </c>
      <c r="S2111" s="6">
        <v>0</v>
      </c>
    </row>
    <row r="2112" spans="1:19" ht="15" hidden="1" x14ac:dyDescent="0.25">
      <c r="A2112" s="7" t="s">
        <v>16</v>
      </c>
      <c r="B2112" s="7" t="s">
        <v>23</v>
      </c>
      <c r="C2112" s="7" t="s">
        <v>24</v>
      </c>
      <c r="D2112" s="4">
        <v>11022597001597</v>
      </c>
      <c r="E2112" s="8" t="s">
        <v>840</v>
      </c>
      <c r="F2112" s="8" t="s">
        <v>70</v>
      </c>
      <c r="G2112" s="8" t="s">
        <v>71</v>
      </c>
      <c r="H2112" s="8" t="s">
        <v>215</v>
      </c>
      <c r="I2112" s="3">
        <v>2</v>
      </c>
      <c r="J2112" s="8" t="s">
        <v>199</v>
      </c>
      <c r="K2112" s="8" t="s">
        <v>200</v>
      </c>
      <c r="L2112" s="8" t="s">
        <v>556</v>
      </c>
      <c r="M2112" s="1" t="s">
        <v>211</v>
      </c>
      <c r="N2112" s="8" t="s">
        <v>212</v>
      </c>
      <c r="O2112" s="6">
        <v>0</v>
      </c>
      <c r="P2112" s="6">
        <v>0</v>
      </c>
      <c r="Q2112" s="6">
        <v>0</v>
      </c>
      <c r="R2112" s="6">
        <v>0</v>
      </c>
      <c r="S2112" s="6">
        <v>0</v>
      </c>
    </row>
    <row r="2113" spans="1:19" ht="15" hidden="1" x14ac:dyDescent="0.25">
      <c r="A2113" s="7" t="s">
        <v>16</v>
      </c>
      <c r="B2113" s="7" t="s">
        <v>23</v>
      </c>
      <c r="C2113" s="7" t="s">
        <v>24</v>
      </c>
      <c r="D2113" s="4">
        <v>11022597001597</v>
      </c>
      <c r="E2113" s="8" t="s">
        <v>840</v>
      </c>
      <c r="F2113" s="8" t="s">
        <v>70</v>
      </c>
      <c r="G2113" s="8" t="s">
        <v>71</v>
      </c>
      <c r="H2113" s="8" t="s">
        <v>215</v>
      </c>
      <c r="I2113" s="3">
        <v>2</v>
      </c>
      <c r="J2113" s="8" t="s">
        <v>169</v>
      </c>
      <c r="K2113" s="8" t="s">
        <v>170</v>
      </c>
      <c r="L2113" s="8" t="s">
        <v>557</v>
      </c>
      <c r="M2113" s="1" t="s">
        <v>211</v>
      </c>
      <c r="N2113" s="8" t="s">
        <v>212</v>
      </c>
      <c r="O2113" s="6">
        <v>0</v>
      </c>
      <c r="P2113" s="6">
        <v>25</v>
      </c>
      <c r="Q2113" s="6">
        <v>0</v>
      </c>
      <c r="R2113" s="6">
        <v>0</v>
      </c>
      <c r="S2113" s="6">
        <v>0</v>
      </c>
    </row>
    <row r="2114" spans="1:19" ht="15" hidden="1" x14ac:dyDescent="0.25">
      <c r="A2114" s="7" t="s">
        <v>16</v>
      </c>
      <c r="B2114" s="7" t="s">
        <v>23</v>
      </c>
      <c r="C2114" s="7" t="s">
        <v>24</v>
      </c>
      <c r="D2114" s="4">
        <v>10839561000132</v>
      </c>
      <c r="E2114" s="8" t="s">
        <v>834</v>
      </c>
      <c r="F2114" s="8" t="s">
        <v>70</v>
      </c>
      <c r="G2114" s="8" t="s">
        <v>71</v>
      </c>
      <c r="H2114" s="8" t="s">
        <v>215</v>
      </c>
      <c r="I2114" s="3">
        <v>2</v>
      </c>
      <c r="J2114" s="8" t="s">
        <v>199</v>
      </c>
      <c r="K2114" s="8" t="s">
        <v>200</v>
      </c>
      <c r="L2114" s="8" t="s">
        <v>556</v>
      </c>
      <c r="M2114" s="1" t="s">
        <v>211</v>
      </c>
      <c r="N2114" s="8" t="s">
        <v>212</v>
      </c>
      <c r="O2114" s="6">
        <v>0</v>
      </c>
      <c r="P2114" s="6">
        <v>0</v>
      </c>
      <c r="Q2114" s="6">
        <v>0</v>
      </c>
      <c r="R2114" s="6">
        <v>64</v>
      </c>
      <c r="S2114" s="6">
        <v>175</v>
      </c>
    </row>
    <row r="2115" spans="1:19" ht="15" hidden="1" x14ac:dyDescent="0.25">
      <c r="A2115" s="7" t="s">
        <v>16</v>
      </c>
      <c r="B2115" s="7" t="s">
        <v>23</v>
      </c>
      <c r="C2115" s="7" t="s">
        <v>24</v>
      </c>
      <c r="D2115" s="4">
        <v>10839561000132</v>
      </c>
      <c r="E2115" s="8" t="s">
        <v>834</v>
      </c>
      <c r="F2115" s="8" t="s">
        <v>70</v>
      </c>
      <c r="G2115" s="8" t="s">
        <v>71</v>
      </c>
      <c r="H2115" s="8" t="s">
        <v>215</v>
      </c>
      <c r="I2115" s="3">
        <v>2</v>
      </c>
      <c r="J2115" s="8" t="s">
        <v>169</v>
      </c>
      <c r="K2115" s="8" t="s">
        <v>170</v>
      </c>
      <c r="L2115" s="8" t="s">
        <v>557</v>
      </c>
      <c r="M2115" s="1" t="s">
        <v>211</v>
      </c>
      <c r="N2115" s="8" t="s">
        <v>212</v>
      </c>
      <c r="O2115" s="6">
        <v>0</v>
      </c>
      <c r="P2115" s="6">
        <v>0</v>
      </c>
      <c r="Q2115" s="6">
        <v>26</v>
      </c>
      <c r="R2115" s="6">
        <v>0</v>
      </c>
      <c r="S2115" s="6">
        <v>175</v>
      </c>
    </row>
    <row r="2116" spans="1:19" ht="15" hidden="1" x14ac:dyDescent="0.25">
      <c r="A2116" s="7" t="s">
        <v>16</v>
      </c>
      <c r="B2116" s="7" t="s">
        <v>23</v>
      </c>
      <c r="C2116" s="7" t="s">
        <v>24</v>
      </c>
      <c r="D2116" s="4">
        <v>15126437000224</v>
      </c>
      <c r="E2116" s="8" t="s">
        <v>878</v>
      </c>
      <c r="F2116" s="8" t="s">
        <v>81</v>
      </c>
      <c r="G2116" s="8" t="s">
        <v>82</v>
      </c>
      <c r="H2116" s="8" t="s">
        <v>215</v>
      </c>
      <c r="I2116" s="3">
        <v>2</v>
      </c>
      <c r="J2116" s="8" t="s">
        <v>199</v>
      </c>
      <c r="K2116" s="8" t="s">
        <v>200</v>
      </c>
      <c r="L2116" s="8" t="s">
        <v>556</v>
      </c>
      <c r="M2116" s="1" t="s">
        <v>211</v>
      </c>
      <c r="N2116" s="8" t="s">
        <v>212</v>
      </c>
      <c r="O2116" s="6">
        <v>0</v>
      </c>
      <c r="P2116" s="6">
        <v>0</v>
      </c>
      <c r="Q2116" s="6">
        <v>0</v>
      </c>
      <c r="R2116" s="6">
        <v>0</v>
      </c>
      <c r="S2116" s="6">
        <v>0</v>
      </c>
    </row>
    <row r="2117" spans="1:19" ht="15" hidden="1" x14ac:dyDescent="0.25">
      <c r="A2117" s="7" t="s">
        <v>16</v>
      </c>
      <c r="B2117" s="7" t="s">
        <v>23</v>
      </c>
      <c r="C2117" s="7" t="s">
        <v>24</v>
      </c>
      <c r="D2117" s="4">
        <v>15126437000224</v>
      </c>
      <c r="E2117" s="8" t="s">
        <v>878</v>
      </c>
      <c r="F2117" s="8" t="s">
        <v>81</v>
      </c>
      <c r="G2117" s="8" t="s">
        <v>82</v>
      </c>
      <c r="H2117" s="8" t="s">
        <v>215</v>
      </c>
      <c r="I2117" s="3">
        <v>2</v>
      </c>
      <c r="J2117" s="8" t="s">
        <v>165</v>
      </c>
      <c r="K2117" s="8" t="s">
        <v>166</v>
      </c>
      <c r="L2117" s="8" t="s">
        <v>557</v>
      </c>
      <c r="M2117" s="1" t="s">
        <v>211</v>
      </c>
      <c r="N2117" s="8" t="s">
        <v>212</v>
      </c>
      <c r="O2117" s="6">
        <v>0</v>
      </c>
      <c r="P2117" s="6">
        <v>10</v>
      </c>
      <c r="Q2117" s="6">
        <v>0</v>
      </c>
      <c r="R2117" s="6">
        <v>0</v>
      </c>
      <c r="S2117" s="6">
        <v>0</v>
      </c>
    </row>
    <row r="2118" spans="1:19" ht="15" hidden="1" x14ac:dyDescent="0.25">
      <c r="A2118" s="7" t="s">
        <v>16</v>
      </c>
      <c r="B2118" s="7" t="s">
        <v>23</v>
      </c>
      <c r="C2118" s="7" t="s">
        <v>24</v>
      </c>
      <c r="D2118" s="4">
        <v>6555031000276</v>
      </c>
      <c r="E2118" s="8" t="s">
        <v>815</v>
      </c>
      <c r="F2118" s="8" t="s">
        <v>81</v>
      </c>
      <c r="G2118" s="8" t="s">
        <v>82</v>
      </c>
      <c r="H2118" s="8" t="s">
        <v>215</v>
      </c>
      <c r="I2118" s="3">
        <v>2</v>
      </c>
      <c r="J2118" s="8" t="s">
        <v>199</v>
      </c>
      <c r="K2118" s="8" t="s">
        <v>200</v>
      </c>
      <c r="L2118" s="8" t="s">
        <v>556</v>
      </c>
      <c r="M2118" s="1" t="s">
        <v>211</v>
      </c>
      <c r="N2118" s="8" t="s">
        <v>212</v>
      </c>
      <c r="O2118" s="6">
        <v>0</v>
      </c>
      <c r="P2118" s="6">
        <v>0</v>
      </c>
      <c r="Q2118" s="6">
        <v>0</v>
      </c>
      <c r="R2118" s="6">
        <v>48</v>
      </c>
      <c r="S2118" s="6">
        <v>0</v>
      </c>
    </row>
    <row r="2119" spans="1:19" ht="15" hidden="1" x14ac:dyDescent="0.25">
      <c r="A2119" s="7" t="s">
        <v>16</v>
      </c>
      <c r="B2119" s="7" t="s">
        <v>23</v>
      </c>
      <c r="C2119" s="7" t="s">
        <v>24</v>
      </c>
      <c r="D2119" s="4">
        <v>6555031000276</v>
      </c>
      <c r="E2119" s="8" t="s">
        <v>815</v>
      </c>
      <c r="F2119" s="8" t="s">
        <v>81</v>
      </c>
      <c r="G2119" s="8" t="s">
        <v>82</v>
      </c>
      <c r="H2119" s="8" t="s">
        <v>215</v>
      </c>
      <c r="I2119" s="3">
        <v>2</v>
      </c>
      <c r="J2119" s="8" t="s">
        <v>165</v>
      </c>
      <c r="K2119" s="8" t="s">
        <v>166</v>
      </c>
      <c r="L2119" s="8" t="s">
        <v>557</v>
      </c>
      <c r="M2119" s="1" t="s">
        <v>211</v>
      </c>
      <c r="N2119" s="8" t="s">
        <v>212</v>
      </c>
      <c r="O2119" s="6">
        <v>0</v>
      </c>
      <c r="P2119" s="6">
        <v>0</v>
      </c>
      <c r="Q2119" s="6">
        <v>0</v>
      </c>
      <c r="R2119" s="6">
        <v>0</v>
      </c>
      <c r="S2119" s="6">
        <v>0</v>
      </c>
    </row>
    <row r="2120" spans="1:19" ht="15" hidden="1" x14ac:dyDescent="0.25">
      <c r="A2120" s="7" t="s">
        <v>16</v>
      </c>
      <c r="B2120" s="7" t="s">
        <v>23</v>
      </c>
      <c r="C2120" s="7" t="s">
        <v>24</v>
      </c>
      <c r="D2120" s="4">
        <v>81715716000410</v>
      </c>
      <c r="E2120" s="8" t="s">
        <v>1003</v>
      </c>
      <c r="F2120" s="8" t="s">
        <v>1004</v>
      </c>
      <c r="G2120" s="8" t="s">
        <v>57</v>
      </c>
      <c r="H2120" s="8" t="s">
        <v>215</v>
      </c>
      <c r="I2120" s="3">
        <v>2</v>
      </c>
      <c r="J2120" s="8" t="s">
        <v>175</v>
      </c>
      <c r="K2120" s="8" t="s">
        <v>176</v>
      </c>
      <c r="L2120" s="8" t="s">
        <v>556</v>
      </c>
      <c r="M2120" s="1" t="s">
        <v>205</v>
      </c>
      <c r="N2120" s="8" t="s">
        <v>206</v>
      </c>
      <c r="O2120" s="6">
        <v>0</v>
      </c>
      <c r="P2120" s="6">
        <v>0</v>
      </c>
      <c r="Q2120" s="6">
        <v>0</v>
      </c>
      <c r="R2120" s="6">
        <v>0</v>
      </c>
      <c r="S2120" s="6">
        <v>30</v>
      </c>
    </row>
    <row r="2121" spans="1:19" ht="15" hidden="1" x14ac:dyDescent="0.25">
      <c r="A2121" s="7" t="s">
        <v>16</v>
      </c>
      <c r="B2121" s="7" t="s">
        <v>23</v>
      </c>
      <c r="C2121" s="7" t="s">
        <v>24</v>
      </c>
      <c r="D2121" s="4">
        <v>81715716000410</v>
      </c>
      <c r="E2121" s="8" t="s">
        <v>1003</v>
      </c>
      <c r="F2121" s="8" t="s">
        <v>1004</v>
      </c>
      <c r="G2121" s="8" t="s">
        <v>57</v>
      </c>
      <c r="H2121" s="8" t="s">
        <v>215</v>
      </c>
      <c r="I2121" s="3">
        <v>2</v>
      </c>
      <c r="J2121" s="8" t="s">
        <v>157</v>
      </c>
      <c r="K2121" s="8" t="s">
        <v>158</v>
      </c>
      <c r="L2121" s="8" t="s">
        <v>557</v>
      </c>
      <c r="M2121" s="1" t="s">
        <v>205</v>
      </c>
      <c r="N2121" s="8" t="s">
        <v>206</v>
      </c>
      <c r="O2121" s="6">
        <v>0</v>
      </c>
      <c r="P2121" s="6">
        <v>0</v>
      </c>
      <c r="Q2121" s="6">
        <v>0</v>
      </c>
      <c r="R2121" s="6">
        <v>0</v>
      </c>
      <c r="S2121" s="6">
        <v>30</v>
      </c>
    </row>
    <row r="2122" spans="1:19" ht="15" hidden="1" x14ac:dyDescent="0.25">
      <c r="A2122" s="7" t="s">
        <v>16</v>
      </c>
      <c r="B2122" s="7" t="s">
        <v>23</v>
      </c>
      <c r="C2122" s="7" t="s">
        <v>24</v>
      </c>
      <c r="D2122" s="4">
        <v>17864888000103</v>
      </c>
      <c r="E2122" s="8" t="s">
        <v>970</v>
      </c>
      <c r="F2122" s="8" t="s">
        <v>112</v>
      </c>
      <c r="G2122" s="8" t="s">
        <v>57</v>
      </c>
      <c r="H2122" s="8" t="s">
        <v>215</v>
      </c>
      <c r="I2122" s="3">
        <v>2</v>
      </c>
      <c r="J2122" s="8" t="s">
        <v>175</v>
      </c>
      <c r="K2122" s="8" t="s">
        <v>176</v>
      </c>
      <c r="L2122" s="8" t="s">
        <v>556</v>
      </c>
      <c r="M2122" s="1" t="s">
        <v>205</v>
      </c>
      <c r="N2122" s="8" t="s">
        <v>206</v>
      </c>
      <c r="O2122" s="6">
        <v>0</v>
      </c>
      <c r="P2122" s="6">
        <v>0</v>
      </c>
      <c r="Q2122" s="6">
        <v>0</v>
      </c>
      <c r="R2122" s="6">
        <v>0</v>
      </c>
      <c r="S2122" s="6">
        <v>40</v>
      </c>
    </row>
    <row r="2123" spans="1:19" ht="15" hidden="1" x14ac:dyDescent="0.25">
      <c r="A2123" s="7" t="s">
        <v>16</v>
      </c>
      <c r="B2123" s="7" t="s">
        <v>23</v>
      </c>
      <c r="C2123" s="7" t="s">
        <v>24</v>
      </c>
      <c r="D2123" s="4">
        <v>17864888000103</v>
      </c>
      <c r="E2123" s="8" t="s">
        <v>970</v>
      </c>
      <c r="F2123" s="8" t="s">
        <v>112</v>
      </c>
      <c r="G2123" s="8" t="s">
        <v>57</v>
      </c>
      <c r="H2123" s="8" t="s">
        <v>215</v>
      </c>
      <c r="I2123" s="3">
        <v>2</v>
      </c>
      <c r="J2123" s="8" t="s">
        <v>157</v>
      </c>
      <c r="K2123" s="8" t="s">
        <v>158</v>
      </c>
      <c r="L2123" s="8" t="s">
        <v>557</v>
      </c>
      <c r="M2123" s="1" t="s">
        <v>205</v>
      </c>
      <c r="N2123" s="8" t="s">
        <v>206</v>
      </c>
      <c r="O2123" s="6">
        <v>0</v>
      </c>
      <c r="P2123" s="6">
        <v>0</v>
      </c>
      <c r="Q2123" s="6">
        <v>0</v>
      </c>
      <c r="R2123" s="6">
        <v>0</v>
      </c>
      <c r="S2123" s="6">
        <v>40</v>
      </c>
    </row>
    <row r="2124" spans="1:19" ht="15" hidden="1" x14ac:dyDescent="0.25">
      <c r="A2124" s="7" t="s">
        <v>16</v>
      </c>
      <c r="B2124" s="7" t="s">
        <v>23</v>
      </c>
      <c r="C2124" s="7" t="s">
        <v>24</v>
      </c>
      <c r="D2124" s="4">
        <v>21998635000108</v>
      </c>
      <c r="E2124" s="8" t="s">
        <v>971</v>
      </c>
      <c r="F2124" s="8" t="s">
        <v>112</v>
      </c>
      <c r="G2124" s="8" t="s">
        <v>57</v>
      </c>
      <c r="H2124" s="8" t="s">
        <v>215</v>
      </c>
      <c r="I2124" s="3">
        <v>2</v>
      </c>
      <c r="J2124" s="8" t="s">
        <v>175</v>
      </c>
      <c r="K2124" s="8" t="s">
        <v>176</v>
      </c>
      <c r="L2124" s="8" t="s">
        <v>556</v>
      </c>
      <c r="M2124" s="1" t="s">
        <v>205</v>
      </c>
      <c r="N2124" s="8" t="s">
        <v>206</v>
      </c>
      <c r="O2124" s="6">
        <v>0</v>
      </c>
      <c r="P2124" s="6">
        <v>0</v>
      </c>
      <c r="Q2124" s="6">
        <v>0</v>
      </c>
      <c r="R2124" s="6">
        <v>0</v>
      </c>
      <c r="S2124" s="6">
        <v>10</v>
      </c>
    </row>
    <row r="2125" spans="1:19" ht="15" hidden="1" x14ac:dyDescent="0.25">
      <c r="A2125" s="7" t="s">
        <v>16</v>
      </c>
      <c r="B2125" s="7" t="s">
        <v>23</v>
      </c>
      <c r="C2125" s="7" t="s">
        <v>24</v>
      </c>
      <c r="D2125" s="4">
        <v>21998635000108</v>
      </c>
      <c r="E2125" s="8" t="s">
        <v>971</v>
      </c>
      <c r="F2125" s="8" t="s">
        <v>112</v>
      </c>
      <c r="G2125" s="8" t="s">
        <v>57</v>
      </c>
      <c r="H2125" s="8" t="s">
        <v>215</v>
      </c>
      <c r="I2125" s="3">
        <v>2</v>
      </c>
      <c r="J2125" s="8" t="s">
        <v>157</v>
      </c>
      <c r="K2125" s="8" t="s">
        <v>158</v>
      </c>
      <c r="L2125" s="8" t="s">
        <v>557</v>
      </c>
      <c r="M2125" s="1" t="s">
        <v>205</v>
      </c>
      <c r="N2125" s="8" t="s">
        <v>206</v>
      </c>
      <c r="O2125" s="6">
        <v>0</v>
      </c>
      <c r="P2125" s="6">
        <v>0</v>
      </c>
      <c r="Q2125" s="6">
        <v>0</v>
      </c>
      <c r="R2125" s="6">
        <v>0</v>
      </c>
      <c r="S2125" s="6">
        <v>10</v>
      </c>
    </row>
    <row r="2126" spans="1:19" ht="15" hidden="1" x14ac:dyDescent="0.25">
      <c r="A2126" s="7" t="s">
        <v>16</v>
      </c>
      <c r="B2126" s="7" t="s">
        <v>23</v>
      </c>
      <c r="C2126" s="7" t="s">
        <v>24</v>
      </c>
      <c r="D2126" s="4">
        <v>7734165000136</v>
      </c>
      <c r="E2126" s="8" t="s">
        <v>954</v>
      </c>
      <c r="F2126" s="8" t="s">
        <v>94</v>
      </c>
      <c r="G2126" s="8" t="s">
        <v>57</v>
      </c>
      <c r="H2126" s="8" t="s">
        <v>215</v>
      </c>
      <c r="I2126" s="3">
        <v>2</v>
      </c>
      <c r="J2126" s="8" t="s">
        <v>175</v>
      </c>
      <c r="K2126" s="8" t="s">
        <v>176</v>
      </c>
      <c r="L2126" s="8" t="s">
        <v>556</v>
      </c>
      <c r="M2126" s="1" t="s">
        <v>205</v>
      </c>
      <c r="N2126" s="8" t="s">
        <v>206</v>
      </c>
      <c r="O2126" s="6">
        <v>0</v>
      </c>
      <c r="P2126" s="6">
        <v>0</v>
      </c>
      <c r="Q2126" s="6">
        <v>0</v>
      </c>
      <c r="R2126" s="6">
        <v>0</v>
      </c>
      <c r="S2126" s="6">
        <v>4000</v>
      </c>
    </row>
    <row r="2127" spans="1:19" ht="15" hidden="1" x14ac:dyDescent="0.25">
      <c r="A2127" s="7" t="s">
        <v>16</v>
      </c>
      <c r="B2127" s="7" t="s">
        <v>23</v>
      </c>
      <c r="C2127" s="7" t="s">
        <v>24</v>
      </c>
      <c r="D2127" s="4">
        <v>7734165000136</v>
      </c>
      <c r="E2127" s="8" t="s">
        <v>954</v>
      </c>
      <c r="F2127" s="8" t="s">
        <v>94</v>
      </c>
      <c r="G2127" s="8" t="s">
        <v>57</v>
      </c>
      <c r="H2127" s="8" t="s">
        <v>215</v>
      </c>
      <c r="I2127" s="3">
        <v>2</v>
      </c>
      <c r="J2127" s="8" t="s">
        <v>157</v>
      </c>
      <c r="K2127" s="8" t="s">
        <v>158</v>
      </c>
      <c r="L2127" s="8" t="s">
        <v>557</v>
      </c>
      <c r="M2127" s="1" t="s">
        <v>205</v>
      </c>
      <c r="N2127" s="8" t="s">
        <v>206</v>
      </c>
      <c r="O2127" s="6">
        <v>0</v>
      </c>
      <c r="P2127" s="6">
        <v>0</v>
      </c>
      <c r="Q2127" s="6">
        <v>0</v>
      </c>
      <c r="R2127" s="6">
        <v>0</v>
      </c>
      <c r="S2127" s="6">
        <v>4000</v>
      </c>
    </row>
    <row r="2128" spans="1:19" ht="15" hidden="1" x14ac:dyDescent="0.25">
      <c r="A2128" s="7" t="s">
        <v>16</v>
      </c>
      <c r="B2128" s="7" t="s">
        <v>23</v>
      </c>
      <c r="C2128" s="7" t="s">
        <v>24</v>
      </c>
      <c r="D2128" s="4">
        <v>7404052000172</v>
      </c>
      <c r="E2128" s="8" t="s">
        <v>953</v>
      </c>
      <c r="F2128" s="8" t="s">
        <v>94</v>
      </c>
      <c r="G2128" s="8" t="s">
        <v>57</v>
      </c>
      <c r="H2128" s="8" t="s">
        <v>215</v>
      </c>
      <c r="I2128" s="3">
        <v>2</v>
      </c>
      <c r="J2128" s="8" t="s">
        <v>175</v>
      </c>
      <c r="K2128" s="8" t="s">
        <v>176</v>
      </c>
      <c r="L2128" s="8" t="s">
        <v>556</v>
      </c>
      <c r="M2128" s="1" t="s">
        <v>205</v>
      </c>
      <c r="N2128" s="8" t="s">
        <v>206</v>
      </c>
      <c r="O2128" s="6">
        <v>0</v>
      </c>
      <c r="P2128" s="6">
        <v>0</v>
      </c>
      <c r="Q2128" s="6">
        <v>0</v>
      </c>
      <c r="R2128" s="6">
        <v>0</v>
      </c>
      <c r="S2128" s="6">
        <v>145</v>
      </c>
    </row>
    <row r="2129" spans="1:19" ht="15" hidden="1" x14ac:dyDescent="0.25">
      <c r="A2129" s="7" t="s">
        <v>16</v>
      </c>
      <c r="B2129" s="7" t="s">
        <v>23</v>
      </c>
      <c r="C2129" s="7" t="s">
        <v>24</v>
      </c>
      <c r="D2129" s="4">
        <v>7404052000172</v>
      </c>
      <c r="E2129" s="8" t="s">
        <v>953</v>
      </c>
      <c r="F2129" s="8" t="s">
        <v>94</v>
      </c>
      <c r="G2129" s="8" t="s">
        <v>57</v>
      </c>
      <c r="H2129" s="8" t="s">
        <v>215</v>
      </c>
      <c r="I2129" s="3">
        <v>2</v>
      </c>
      <c r="J2129" s="8" t="s">
        <v>157</v>
      </c>
      <c r="K2129" s="8" t="s">
        <v>158</v>
      </c>
      <c r="L2129" s="8" t="s">
        <v>557</v>
      </c>
      <c r="M2129" s="1" t="s">
        <v>205</v>
      </c>
      <c r="N2129" s="8" t="s">
        <v>206</v>
      </c>
      <c r="O2129" s="6">
        <v>0</v>
      </c>
      <c r="P2129" s="6">
        <v>0</v>
      </c>
      <c r="Q2129" s="6">
        <v>0</v>
      </c>
      <c r="R2129" s="6">
        <v>0</v>
      </c>
      <c r="S2129" s="6">
        <v>145</v>
      </c>
    </row>
    <row r="2130" spans="1:19" ht="15" hidden="1" x14ac:dyDescent="0.25">
      <c r="A2130" s="7" t="s">
        <v>16</v>
      </c>
      <c r="B2130" s="7" t="s">
        <v>23</v>
      </c>
      <c r="C2130" s="7" t="s">
        <v>24</v>
      </c>
      <c r="D2130" s="4">
        <v>4378502000101</v>
      </c>
      <c r="E2130" s="8" t="s">
        <v>948</v>
      </c>
      <c r="F2130" s="8" t="s">
        <v>94</v>
      </c>
      <c r="G2130" s="8" t="s">
        <v>57</v>
      </c>
      <c r="H2130" s="8" t="s">
        <v>215</v>
      </c>
      <c r="I2130" s="3">
        <v>2</v>
      </c>
      <c r="J2130" s="8" t="s">
        <v>175</v>
      </c>
      <c r="K2130" s="8" t="s">
        <v>176</v>
      </c>
      <c r="L2130" s="8" t="s">
        <v>556</v>
      </c>
      <c r="M2130" s="1" t="s">
        <v>205</v>
      </c>
      <c r="N2130" s="8" t="s">
        <v>206</v>
      </c>
      <c r="O2130" s="6">
        <v>0</v>
      </c>
      <c r="P2130" s="6">
        <v>0</v>
      </c>
      <c r="Q2130" s="6">
        <v>0</v>
      </c>
      <c r="R2130" s="6">
        <v>0</v>
      </c>
      <c r="S2130" s="6">
        <v>15</v>
      </c>
    </row>
    <row r="2131" spans="1:19" ht="15" hidden="1" x14ac:dyDescent="0.25">
      <c r="A2131" s="7" t="s">
        <v>16</v>
      </c>
      <c r="B2131" s="7" t="s">
        <v>23</v>
      </c>
      <c r="C2131" s="7" t="s">
        <v>24</v>
      </c>
      <c r="D2131" s="4">
        <v>4378502000101</v>
      </c>
      <c r="E2131" s="8" t="s">
        <v>948</v>
      </c>
      <c r="F2131" s="8" t="s">
        <v>94</v>
      </c>
      <c r="G2131" s="8" t="s">
        <v>57</v>
      </c>
      <c r="H2131" s="8" t="s">
        <v>215</v>
      </c>
      <c r="I2131" s="3">
        <v>2</v>
      </c>
      <c r="J2131" s="8" t="s">
        <v>157</v>
      </c>
      <c r="K2131" s="8" t="s">
        <v>158</v>
      </c>
      <c r="L2131" s="8" t="s">
        <v>557</v>
      </c>
      <c r="M2131" s="1" t="s">
        <v>205</v>
      </c>
      <c r="N2131" s="8" t="s">
        <v>206</v>
      </c>
      <c r="O2131" s="6">
        <v>0</v>
      </c>
      <c r="P2131" s="6">
        <v>0</v>
      </c>
      <c r="Q2131" s="6">
        <v>0</v>
      </c>
      <c r="R2131" s="6">
        <v>0</v>
      </c>
      <c r="S2131" s="6">
        <v>15</v>
      </c>
    </row>
    <row r="2132" spans="1:19" ht="15" hidden="1" x14ac:dyDescent="0.25">
      <c r="A2132" s="7" t="s">
        <v>16</v>
      </c>
      <c r="B2132" s="7" t="s">
        <v>23</v>
      </c>
      <c r="C2132" s="7" t="s">
        <v>24</v>
      </c>
      <c r="D2132" s="4">
        <v>8597121000174</v>
      </c>
      <c r="E2132" s="8" t="s">
        <v>957</v>
      </c>
      <c r="F2132" s="8" t="s">
        <v>94</v>
      </c>
      <c r="G2132" s="8" t="s">
        <v>57</v>
      </c>
      <c r="H2132" s="8" t="s">
        <v>215</v>
      </c>
      <c r="I2132" s="3">
        <v>2</v>
      </c>
      <c r="J2132" s="8" t="s">
        <v>175</v>
      </c>
      <c r="K2132" s="8" t="s">
        <v>176</v>
      </c>
      <c r="L2132" s="8" t="s">
        <v>556</v>
      </c>
      <c r="M2132" s="1" t="s">
        <v>205</v>
      </c>
      <c r="N2132" s="8" t="s">
        <v>206</v>
      </c>
      <c r="O2132" s="6">
        <v>0</v>
      </c>
      <c r="P2132" s="6">
        <v>0</v>
      </c>
      <c r="Q2132" s="6">
        <v>0</v>
      </c>
      <c r="R2132" s="6">
        <v>0</v>
      </c>
      <c r="S2132" s="6">
        <v>75</v>
      </c>
    </row>
    <row r="2133" spans="1:19" ht="15" hidden="1" x14ac:dyDescent="0.25">
      <c r="A2133" s="7" t="s">
        <v>16</v>
      </c>
      <c r="B2133" s="7" t="s">
        <v>23</v>
      </c>
      <c r="C2133" s="7" t="s">
        <v>24</v>
      </c>
      <c r="D2133" s="4">
        <v>8597121000174</v>
      </c>
      <c r="E2133" s="8" t="s">
        <v>957</v>
      </c>
      <c r="F2133" s="8" t="s">
        <v>94</v>
      </c>
      <c r="G2133" s="8" t="s">
        <v>57</v>
      </c>
      <c r="H2133" s="8" t="s">
        <v>215</v>
      </c>
      <c r="I2133" s="3">
        <v>2</v>
      </c>
      <c r="J2133" s="8" t="s">
        <v>157</v>
      </c>
      <c r="K2133" s="8" t="s">
        <v>158</v>
      </c>
      <c r="L2133" s="8" t="s">
        <v>557</v>
      </c>
      <c r="M2133" s="1" t="s">
        <v>205</v>
      </c>
      <c r="N2133" s="8" t="s">
        <v>206</v>
      </c>
      <c r="O2133" s="6">
        <v>0</v>
      </c>
      <c r="P2133" s="6">
        <v>0</v>
      </c>
      <c r="Q2133" s="6">
        <v>0</v>
      </c>
      <c r="R2133" s="6">
        <v>0</v>
      </c>
      <c r="S2133" s="6">
        <v>75</v>
      </c>
    </row>
    <row r="2134" spans="1:19" ht="15" hidden="1" x14ac:dyDescent="0.25">
      <c r="A2134" s="7" t="s">
        <v>16</v>
      </c>
      <c r="B2134" s="7" t="s">
        <v>23</v>
      </c>
      <c r="C2134" s="7" t="s">
        <v>24</v>
      </c>
      <c r="D2134" s="4">
        <v>75095679000220</v>
      </c>
      <c r="E2134" s="8" t="s">
        <v>980</v>
      </c>
      <c r="F2134" s="8" t="s">
        <v>94</v>
      </c>
      <c r="G2134" s="8" t="s">
        <v>57</v>
      </c>
      <c r="H2134" s="8" t="s">
        <v>215</v>
      </c>
      <c r="I2134" s="3">
        <v>2</v>
      </c>
      <c r="J2134" s="8" t="s">
        <v>175</v>
      </c>
      <c r="K2134" s="8" t="s">
        <v>176</v>
      </c>
      <c r="L2134" s="8" t="s">
        <v>556</v>
      </c>
      <c r="M2134" s="1" t="s">
        <v>205</v>
      </c>
      <c r="N2134" s="8" t="s">
        <v>206</v>
      </c>
      <c r="O2134" s="6">
        <v>48</v>
      </c>
      <c r="P2134" s="6">
        <v>0</v>
      </c>
      <c r="Q2134" s="6">
        <v>0</v>
      </c>
      <c r="R2134" s="6">
        <v>0</v>
      </c>
      <c r="S2134" s="6">
        <v>0</v>
      </c>
    </row>
    <row r="2135" spans="1:19" ht="15" hidden="1" x14ac:dyDescent="0.25">
      <c r="A2135" s="7" t="s">
        <v>16</v>
      </c>
      <c r="B2135" s="7" t="s">
        <v>23</v>
      </c>
      <c r="C2135" s="7" t="s">
        <v>24</v>
      </c>
      <c r="D2135" s="4">
        <v>75095679000220</v>
      </c>
      <c r="E2135" s="8" t="s">
        <v>980</v>
      </c>
      <c r="F2135" s="8" t="s">
        <v>94</v>
      </c>
      <c r="G2135" s="8" t="s">
        <v>57</v>
      </c>
      <c r="H2135" s="8" t="s">
        <v>215</v>
      </c>
      <c r="I2135" s="3">
        <v>2</v>
      </c>
      <c r="J2135" s="8" t="s">
        <v>157</v>
      </c>
      <c r="K2135" s="8" t="s">
        <v>158</v>
      </c>
      <c r="L2135" s="8" t="s">
        <v>557</v>
      </c>
      <c r="M2135" s="1" t="s">
        <v>205</v>
      </c>
      <c r="N2135" s="8" t="s">
        <v>206</v>
      </c>
      <c r="O2135" s="6">
        <v>0</v>
      </c>
      <c r="P2135" s="6">
        <v>0</v>
      </c>
      <c r="Q2135" s="6">
        <v>0</v>
      </c>
      <c r="R2135" s="6">
        <v>0</v>
      </c>
      <c r="S2135" s="6">
        <v>0</v>
      </c>
    </row>
    <row r="2136" spans="1:19" ht="15" hidden="1" x14ac:dyDescent="0.25">
      <c r="A2136" s="7" t="s">
        <v>16</v>
      </c>
      <c r="B2136" s="7" t="s">
        <v>23</v>
      </c>
      <c r="C2136" s="7" t="s">
        <v>24</v>
      </c>
      <c r="D2136" s="4">
        <v>9579964000291</v>
      </c>
      <c r="E2136" s="8" t="s">
        <v>961</v>
      </c>
      <c r="F2136" s="8" t="s">
        <v>94</v>
      </c>
      <c r="G2136" s="8" t="s">
        <v>57</v>
      </c>
      <c r="H2136" s="8" t="s">
        <v>215</v>
      </c>
      <c r="I2136" s="3">
        <v>2</v>
      </c>
      <c r="J2136" s="8" t="s">
        <v>175</v>
      </c>
      <c r="K2136" s="8" t="s">
        <v>176</v>
      </c>
      <c r="L2136" s="8" t="s">
        <v>556</v>
      </c>
      <c r="M2136" s="1" t="s">
        <v>205</v>
      </c>
      <c r="N2136" s="8" t="s">
        <v>206</v>
      </c>
      <c r="O2136" s="6">
        <v>0</v>
      </c>
      <c r="P2136" s="6">
        <v>0</v>
      </c>
      <c r="Q2136" s="6">
        <v>0</v>
      </c>
      <c r="R2136" s="6">
        <v>0</v>
      </c>
      <c r="S2136" s="6">
        <v>1840</v>
      </c>
    </row>
    <row r="2137" spans="1:19" ht="15" hidden="1" x14ac:dyDescent="0.25">
      <c r="A2137" s="7" t="s">
        <v>16</v>
      </c>
      <c r="B2137" s="7" t="s">
        <v>23</v>
      </c>
      <c r="C2137" s="7" t="s">
        <v>24</v>
      </c>
      <c r="D2137" s="4">
        <v>9579964000291</v>
      </c>
      <c r="E2137" s="8" t="s">
        <v>961</v>
      </c>
      <c r="F2137" s="8" t="s">
        <v>94</v>
      </c>
      <c r="G2137" s="8" t="s">
        <v>57</v>
      </c>
      <c r="H2137" s="8" t="s">
        <v>215</v>
      </c>
      <c r="I2137" s="3">
        <v>2</v>
      </c>
      <c r="J2137" s="8" t="s">
        <v>157</v>
      </c>
      <c r="K2137" s="8" t="s">
        <v>158</v>
      </c>
      <c r="L2137" s="8" t="s">
        <v>557</v>
      </c>
      <c r="M2137" s="1" t="s">
        <v>205</v>
      </c>
      <c r="N2137" s="8" t="s">
        <v>206</v>
      </c>
      <c r="O2137" s="6">
        <v>0</v>
      </c>
      <c r="P2137" s="6">
        <v>0</v>
      </c>
      <c r="Q2137" s="6">
        <v>0</v>
      </c>
      <c r="R2137" s="6">
        <v>0</v>
      </c>
      <c r="S2137" s="6">
        <v>1840</v>
      </c>
    </row>
    <row r="2138" spans="1:19" ht="15" hidden="1" x14ac:dyDescent="0.25">
      <c r="A2138" s="7" t="s">
        <v>16</v>
      </c>
      <c r="B2138" s="7" t="s">
        <v>23</v>
      </c>
      <c r="C2138" s="7" t="s">
        <v>24</v>
      </c>
      <c r="D2138" s="4">
        <v>76591569000130</v>
      </c>
      <c r="E2138" s="8" t="s">
        <v>985</v>
      </c>
      <c r="F2138" s="8" t="s">
        <v>94</v>
      </c>
      <c r="G2138" s="8" t="s">
        <v>57</v>
      </c>
      <c r="H2138" s="8" t="s">
        <v>215</v>
      </c>
      <c r="I2138" s="3">
        <v>2</v>
      </c>
      <c r="J2138" s="8" t="s">
        <v>175</v>
      </c>
      <c r="K2138" s="8" t="s">
        <v>176</v>
      </c>
      <c r="L2138" s="8" t="s">
        <v>556</v>
      </c>
      <c r="M2138" s="1" t="s">
        <v>205</v>
      </c>
      <c r="N2138" s="8" t="s">
        <v>206</v>
      </c>
      <c r="O2138" s="6">
        <v>0</v>
      </c>
      <c r="P2138" s="6">
        <v>0</v>
      </c>
      <c r="Q2138" s="6">
        <v>0</v>
      </c>
      <c r="R2138" s="6">
        <v>0</v>
      </c>
      <c r="S2138" s="6">
        <v>500</v>
      </c>
    </row>
    <row r="2139" spans="1:19" ht="15" hidden="1" x14ac:dyDescent="0.25">
      <c r="A2139" s="7" t="s">
        <v>16</v>
      </c>
      <c r="B2139" s="7" t="s">
        <v>23</v>
      </c>
      <c r="C2139" s="7" t="s">
        <v>24</v>
      </c>
      <c r="D2139" s="4">
        <v>76591569000130</v>
      </c>
      <c r="E2139" s="8" t="s">
        <v>985</v>
      </c>
      <c r="F2139" s="8" t="s">
        <v>94</v>
      </c>
      <c r="G2139" s="8" t="s">
        <v>57</v>
      </c>
      <c r="H2139" s="8" t="s">
        <v>215</v>
      </c>
      <c r="I2139" s="3">
        <v>2</v>
      </c>
      <c r="J2139" s="8" t="s">
        <v>157</v>
      </c>
      <c r="K2139" s="8" t="s">
        <v>158</v>
      </c>
      <c r="L2139" s="8" t="s">
        <v>557</v>
      </c>
      <c r="M2139" s="1" t="s">
        <v>205</v>
      </c>
      <c r="N2139" s="8" t="s">
        <v>206</v>
      </c>
      <c r="O2139" s="6">
        <v>0</v>
      </c>
      <c r="P2139" s="6">
        <v>0</v>
      </c>
      <c r="Q2139" s="6">
        <v>0</v>
      </c>
      <c r="R2139" s="6">
        <v>0</v>
      </c>
      <c r="S2139" s="6">
        <v>500</v>
      </c>
    </row>
    <row r="2140" spans="1:19" ht="15" hidden="1" x14ac:dyDescent="0.25">
      <c r="A2140" s="7" t="s">
        <v>16</v>
      </c>
      <c r="B2140" s="7" t="s">
        <v>23</v>
      </c>
      <c r="C2140" s="7" t="s">
        <v>24</v>
      </c>
      <c r="D2140" s="4">
        <v>76659820002367</v>
      </c>
      <c r="E2140" s="8" t="s">
        <v>986</v>
      </c>
      <c r="F2140" s="8" t="s">
        <v>94</v>
      </c>
      <c r="G2140" s="8" t="s">
        <v>57</v>
      </c>
      <c r="H2140" s="8" t="s">
        <v>215</v>
      </c>
      <c r="I2140" s="3">
        <v>2</v>
      </c>
      <c r="J2140" s="8" t="s">
        <v>175</v>
      </c>
      <c r="K2140" s="8" t="s">
        <v>176</v>
      </c>
      <c r="L2140" s="8" t="s">
        <v>556</v>
      </c>
      <c r="M2140" s="1" t="s">
        <v>205</v>
      </c>
      <c r="N2140" s="8" t="s">
        <v>206</v>
      </c>
      <c r="O2140" s="6">
        <v>0</v>
      </c>
      <c r="P2140" s="6">
        <v>0</v>
      </c>
      <c r="Q2140" s="6">
        <v>0</v>
      </c>
      <c r="R2140" s="6">
        <v>0</v>
      </c>
      <c r="S2140" s="6">
        <v>245</v>
      </c>
    </row>
    <row r="2141" spans="1:19" ht="15" hidden="1" x14ac:dyDescent="0.25">
      <c r="A2141" s="7" t="s">
        <v>16</v>
      </c>
      <c r="B2141" s="7" t="s">
        <v>23</v>
      </c>
      <c r="C2141" s="7" t="s">
        <v>24</v>
      </c>
      <c r="D2141" s="4">
        <v>76659820002367</v>
      </c>
      <c r="E2141" s="8" t="s">
        <v>986</v>
      </c>
      <c r="F2141" s="8" t="s">
        <v>94</v>
      </c>
      <c r="G2141" s="8" t="s">
        <v>57</v>
      </c>
      <c r="H2141" s="8" t="s">
        <v>215</v>
      </c>
      <c r="I2141" s="3">
        <v>2</v>
      </c>
      <c r="J2141" s="8" t="s">
        <v>157</v>
      </c>
      <c r="K2141" s="8" t="s">
        <v>158</v>
      </c>
      <c r="L2141" s="8" t="s">
        <v>557</v>
      </c>
      <c r="M2141" s="1" t="s">
        <v>205</v>
      </c>
      <c r="N2141" s="8" t="s">
        <v>206</v>
      </c>
      <c r="O2141" s="6">
        <v>0</v>
      </c>
      <c r="P2141" s="6">
        <v>0</v>
      </c>
      <c r="Q2141" s="6">
        <v>0</v>
      </c>
      <c r="R2141" s="6">
        <v>0</v>
      </c>
      <c r="S2141" s="6">
        <v>245</v>
      </c>
    </row>
    <row r="2142" spans="1:19" ht="15" hidden="1" x14ac:dyDescent="0.25">
      <c r="A2142" s="7" t="s">
        <v>16</v>
      </c>
      <c r="B2142" s="7" t="s">
        <v>23</v>
      </c>
      <c r="C2142" s="7" t="s">
        <v>24</v>
      </c>
      <c r="D2142" s="4">
        <v>76498013000102</v>
      </c>
      <c r="E2142" s="8" t="s">
        <v>982</v>
      </c>
      <c r="F2142" s="8" t="s">
        <v>94</v>
      </c>
      <c r="G2142" s="8" t="s">
        <v>57</v>
      </c>
      <c r="H2142" s="8" t="s">
        <v>215</v>
      </c>
      <c r="I2142" s="3">
        <v>2</v>
      </c>
      <c r="J2142" s="8" t="s">
        <v>175</v>
      </c>
      <c r="K2142" s="8" t="s">
        <v>176</v>
      </c>
      <c r="L2142" s="8" t="s">
        <v>556</v>
      </c>
      <c r="M2142" s="1" t="s">
        <v>205</v>
      </c>
      <c r="N2142" s="8" t="s">
        <v>206</v>
      </c>
      <c r="O2142" s="6">
        <v>0</v>
      </c>
      <c r="P2142" s="6">
        <v>0</v>
      </c>
      <c r="Q2142" s="6">
        <v>0</v>
      </c>
      <c r="R2142" s="6">
        <v>0</v>
      </c>
      <c r="S2142" s="6">
        <v>175</v>
      </c>
    </row>
    <row r="2143" spans="1:19" ht="15" hidden="1" x14ac:dyDescent="0.25">
      <c r="A2143" s="7" t="s">
        <v>16</v>
      </c>
      <c r="B2143" s="7" t="s">
        <v>23</v>
      </c>
      <c r="C2143" s="7" t="s">
        <v>24</v>
      </c>
      <c r="D2143" s="4">
        <v>76498013000102</v>
      </c>
      <c r="E2143" s="8" t="s">
        <v>982</v>
      </c>
      <c r="F2143" s="8" t="s">
        <v>94</v>
      </c>
      <c r="G2143" s="8" t="s">
        <v>57</v>
      </c>
      <c r="H2143" s="8" t="s">
        <v>215</v>
      </c>
      <c r="I2143" s="3">
        <v>2</v>
      </c>
      <c r="J2143" s="8" t="s">
        <v>157</v>
      </c>
      <c r="K2143" s="8" t="s">
        <v>158</v>
      </c>
      <c r="L2143" s="8" t="s">
        <v>557</v>
      </c>
      <c r="M2143" s="1" t="s">
        <v>205</v>
      </c>
      <c r="N2143" s="8" t="s">
        <v>206</v>
      </c>
      <c r="O2143" s="6">
        <v>0</v>
      </c>
      <c r="P2143" s="6">
        <v>0</v>
      </c>
      <c r="Q2143" s="6">
        <v>0</v>
      </c>
      <c r="R2143" s="6">
        <v>0</v>
      </c>
      <c r="S2143" s="6">
        <v>175</v>
      </c>
    </row>
    <row r="2144" spans="1:19" ht="15" hidden="1" x14ac:dyDescent="0.25">
      <c r="A2144" s="7" t="s">
        <v>16</v>
      </c>
      <c r="B2144" s="7" t="s">
        <v>23</v>
      </c>
      <c r="C2144" s="7" t="s">
        <v>24</v>
      </c>
      <c r="D2144" s="4">
        <v>76555069000143</v>
      </c>
      <c r="E2144" s="8" t="s">
        <v>983</v>
      </c>
      <c r="F2144" s="8" t="s">
        <v>94</v>
      </c>
      <c r="G2144" s="8" t="s">
        <v>57</v>
      </c>
      <c r="H2144" s="8" t="s">
        <v>215</v>
      </c>
      <c r="I2144" s="3">
        <v>2</v>
      </c>
      <c r="J2144" s="8" t="s">
        <v>175</v>
      </c>
      <c r="K2144" s="8" t="s">
        <v>176</v>
      </c>
      <c r="L2144" s="8" t="s">
        <v>556</v>
      </c>
      <c r="M2144" s="1" t="s">
        <v>205</v>
      </c>
      <c r="N2144" s="8" t="s">
        <v>206</v>
      </c>
      <c r="O2144" s="6">
        <v>0</v>
      </c>
      <c r="P2144" s="6">
        <v>0</v>
      </c>
      <c r="Q2144" s="6">
        <v>0</v>
      </c>
      <c r="R2144" s="6">
        <v>0</v>
      </c>
      <c r="S2144" s="6">
        <v>55</v>
      </c>
    </row>
    <row r="2145" spans="1:19" ht="15" hidden="1" x14ac:dyDescent="0.25">
      <c r="A2145" s="7" t="s">
        <v>16</v>
      </c>
      <c r="B2145" s="7" t="s">
        <v>23</v>
      </c>
      <c r="C2145" s="7" t="s">
        <v>24</v>
      </c>
      <c r="D2145" s="4">
        <v>76555069000143</v>
      </c>
      <c r="E2145" s="8" t="s">
        <v>983</v>
      </c>
      <c r="F2145" s="8" t="s">
        <v>94</v>
      </c>
      <c r="G2145" s="8" t="s">
        <v>57</v>
      </c>
      <c r="H2145" s="8" t="s">
        <v>215</v>
      </c>
      <c r="I2145" s="3">
        <v>2</v>
      </c>
      <c r="J2145" s="8" t="s">
        <v>157</v>
      </c>
      <c r="K2145" s="8" t="s">
        <v>158</v>
      </c>
      <c r="L2145" s="8" t="s">
        <v>557</v>
      </c>
      <c r="M2145" s="1" t="s">
        <v>205</v>
      </c>
      <c r="N2145" s="8" t="s">
        <v>206</v>
      </c>
      <c r="O2145" s="6">
        <v>0</v>
      </c>
      <c r="P2145" s="6">
        <v>2</v>
      </c>
      <c r="Q2145" s="6">
        <v>3</v>
      </c>
      <c r="R2145" s="6">
        <v>0</v>
      </c>
      <c r="S2145" s="6">
        <v>55</v>
      </c>
    </row>
    <row r="2146" spans="1:19" ht="15" hidden="1" x14ac:dyDescent="0.25">
      <c r="A2146" s="7" t="s">
        <v>16</v>
      </c>
      <c r="B2146" s="7" t="s">
        <v>23</v>
      </c>
      <c r="C2146" s="7" t="s">
        <v>24</v>
      </c>
      <c r="D2146" s="4">
        <v>29435005005600</v>
      </c>
      <c r="E2146" s="8" t="s">
        <v>974</v>
      </c>
      <c r="F2146" s="8" t="s">
        <v>94</v>
      </c>
      <c r="G2146" s="8" t="s">
        <v>57</v>
      </c>
      <c r="H2146" s="8" t="s">
        <v>215</v>
      </c>
      <c r="I2146" s="3">
        <v>2</v>
      </c>
      <c r="J2146" s="8" t="s">
        <v>175</v>
      </c>
      <c r="K2146" s="8" t="s">
        <v>176</v>
      </c>
      <c r="L2146" s="8" t="s">
        <v>556</v>
      </c>
      <c r="M2146" s="1" t="s">
        <v>205</v>
      </c>
      <c r="N2146" s="8" t="s">
        <v>206</v>
      </c>
      <c r="O2146" s="6">
        <v>0</v>
      </c>
      <c r="P2146" s="6">
        <v>0</v>
      </c>
      <c r="Q2146" s="6">
        <v>0</v>
      </c>
      <c r="R2146" s="6">
        <v>0</v>
      </c>
      <c r="S2146" s="6">
        <v>310</v>
      </c>
    </row>
    <row r="2147" spans="1:19" ht="15" hidden="1" x14ac:dyDescent="0.25">
      <c r="A2147" s="7" t="s">
        <v>16</v>
      </c>
      <c r="B2147" s="7" t="s">
        <v>23</v>
      </c>
      <c r="C2147" s="7" t="s">
        <v>24</v>
      </c>
      <c r="D2147" s="4">
        <v>29435005005600</v>
      </c>
      <c r="E2147" s="8" t="s">
        <v>974</v>
      </c>
      <c r="F2147" s="8" t="s">
        <v>94</v>
      </c>
      <c r="G2147" s="8" t="s">
        <v>57</v>
      </c>
      <c r="H2147" s="8" t="s">
        <v>215</v>
      </c>
      <c r="I2147" s="3">
        <v>2</v>
      </c>
      <c r="J2147" s="8" t="s">
        <v>157</v>
      </c>
      <c r="K2147" s="8" t="s">
        <v>158</v>
      </c>
      <c r="L2147" s="8" t="s">
        <v>557</v>
      </c>
      <c r="M2147" s="1" t="s">
        <v>205</v>
      </c>
      <c r="N2147" s="8" t="s">
        <v>206</v>
      </c>
      <c r="O2147" s="6">
        <v>0</v>
      </c>
      <c r="P2147" s="6">
        <v>0</v>
      </c>
      <c r="Q2147" s="6">
        <v>0</v>
      </c>
      <c r="R2147" s="6">
        <v>0</v>
      </c>
      <c r="S2147" s="6">
        <v>310</v>
      </c>
    </row>
    <row r="2148" spans="1:19" ht="15" hidden="1" x14ac:dyDescent="0.25">
      <c r="A2148" s="7" t="s">
        <v>16</v>
      </c>
      <c r="B2148" s="7" t="s">
        <v>23</v>
      </c>
      <c r="C2148" s="7" t="s">
        <v>24</v>
      </c>
      <c r="D2148" s="4">
        <v>3850913000195</v>
      </c>
      <c r="E2148" s="8" t="s">
        <v>945</v>
      </c>
      <c r="F2148" s="8" t="s">
        <v>94</v>
      </c>
      <c r="G2148" s="8" t="s">
        <v>57</v>
      </c>
      <c r="H2148" s="8" t="s">
        <v>215</v>
      </c>
      <c r="I2148" s="3">
        <v>2</v>
      </c>
      <c r="J2148" s="8" t="s">
        <v>175</v>
      </c>
      <c r="K2148" s="8" t="s">
        <v>176</v>
      </c>
      <c r="L2148" s="8" t="s">
        <v>556</v>
      </c>
      <c r="M2148" s="1" t="s">
        <v>205</v>
      </c>
      <c r="N2148" s="8" t="s">
        <v>206</v>
      </c>
      <c r="O2148" s="6">
        <v>0</v>
      </c>
      <c r="P2148" s="6">
        <v>0</v>
      </c>
      <c r="Q2148" s="6">
        <v>0</v>
      </c>
      <c r="R2148" s="6">
        <v>0</v>
      </c>
      <c r="S2148" s="6">
        <v>645</v>
      </c>
    </row>
    <row r="2149" spans="1:19" ht="15" hidden="1" x14ac:dyDescent="0.25">
      <c r="A2149" s="7" t="s">
        <v>16</v>
      </c>
      <c r="B2149" s="7" t="s">
        <v>23</v>
      </c>
      <c r="C2149" s="7" t="s">
        <v>24</v>
      </c>
      <c r="D2149" s="4">
        <v>3850913000195</v>
      </c>
      <c r="E2149" s="8" t="s">
        <v>945</v>
      </c>
      <c r="F2149" s="8" t="s">
        <v>94</v>
      </c>
      <c r="G2149" s="8" t="s">
        <v>57</v>
      </c>
      <c r="H2149" s="8" t="s">
        <v>215</v>
      </c>
      <c r="I2149" s="3">
        <v>2</v>
      </c>
      <c r="J2149" s="8" t="s">
        <v>157</v>
      </c>
      <c r="K2149" s="8" t="s">
        <v>158</v>
      </c>
      <c r="L2149" s="8" t="s">
        <v>557</v>
      </c>
      <c r="M2149" s="1" t="s">
        <v>205</v>
      </c>
      <c r="N2149" s="8" t="s">
        <v>206</v>
      </c>
      <c r="O2149" s="6">
        <v>0</v>
      </c>
      <c r="P2149" s="6">
        <v>0</v>
      </c>
      <c r="Q2149" s="6">
        <v>0</v>
      </c>
      <c r="R2149" s="6">
        <v>0</v>
      </c>
      <c r="S2149" s="6">
        <v>645</v>
      </c>
    </row>
    <row r="2150" spans="1:19" ht="15" hidden="1" x14ac:dyDescent="0.25">
      <c r="A2150" s="7" t="s">
        <v>16</v>
      </c>
      <c r="B2150" s="7" t="s">
        <v>23</v>
      </c>
      <c r="C2150" s="7" t="s">
        <v>24</v>
      </c>
      <c r="D2150" s="4">
        <v>2862447000286</v>
      </c>
      <c r="E2150" s="8" t="s">
        <v>942</v>
      </c>
      <c r="F2150" s="8" t="s">
        <v>94</v>
      </c>
      <c r="G2150" s="8" t="s">
        <v>57</v>
      </c>
      <c r="H2150" s="8" t="s">
        <v>215</v>
      </c>
      <c r="I2150" s="3">
        <v>2</v>
      </c>
      <c r="J2150" s="8" t="s">
        <v>175</v>
      </c>
      <c r="K2150" s="8" t="s">
        <v>176</v>
      </c>
      <c r="L2150" s="8" t="s">
        <v>556</v>
      </c>
      <c r="M2150" s="1" t="s">
        <v>205</v>
      </c>
      <c r="N2150" s="8" t="s">
        <v>206</v>
      </c>
      <c r="O2150" s="6">
        <v>0</v>
      </c>
      <c r="P2150" s="6">
        <v>0</v>
      </c>
      <c r="Q2150" s="6">
        <v>0</v>
      </c>
      <c r="R2150" s="6">
        <v>0</v>
      </c>
      <c r="S2150" s="6">
        <v>40</v>
      </c>
    </row>
    <row r="2151" spans="1:19" ht="15" hidden="1" x14ac:dyDescent="0.25">
      <c r="A2151" s="7" t="s">
        <v>16</v>
      </c>
      <c r="B2151" s="7" t="s">
        <v>23</v>
      </c>
      <c r="C2151" s="7" t="s">
        <v>24</v>
      </c>
      <c r="D2151" s="4">
        <v>2862447000286</v>
      </c>
      <c r="E2151" s="8" t="s">
        <v>942</v>
      </c>
      <c r="F2151" s="8" t="s">
        <v>94</v>
      </c>
      <c r="G2151" s="8" t="s">
        <v>57</v>
      </c>
      <c r="H2151" s="8" t="s">
        <v>215</v>
      </c>
      <c r="I2151" s="3">
        <v>2</v>
      </c>
      <c r="J2151" s="8" t="s">
        <v>157</v>
      </c>
      <c r="K2151" s="8" t="s">
        <v>158</v>
      </c>
      <c r="L2151" s="8" t="s">
        <v>557</v>
      </c>
      <c r="M2151" s="1" t="s">
        <v>205</v>
      </c>
      <c r="N2151" s="8" t="s">
        <v>206</v>
      </c>
      <c r="O2151" s="6">
        <v>0</v>
      </c>
      <c r="P2151" s="6">
        <v>0</v>
      </c>
      <c r="Q2151" s="6">
        <v>0</v>
      </c>
      <c r="R2151" s="6">
        <v>0</v>
      </c>
      <c r="S2151" s="6">
        <v>40</v>
      </c>
    </row>
    <row r="2152" spans="1:19" ht="15" hidden="1" x14ac:dyDescent="0.25">
      <c r="A2152" s="7" t="s">
        <v>16</v>
      </c>
      <c r="B2152" s="7" t="s">
        <v>23</v>
      </c>
      <c r="C2152" s="7" t="s">
        <v>24</v>
      </c>
      <c r="D2152" s="4">
        <v>30117769000155</v>
      </c>
      <c r="E2152" s="8" t="s">
        <v>976</v>
      </c>
      <c r="F2152" s="8" t="s">
        <v>94</v>
      </c>
      <c r="G2152" s="8" t="s">
        <v>57</v>
      </c>
      <c r="H2152" s="8" t="s">
        <v>215</v>
      </c>
      <c r="I2152" s="3">
        <v>2</v>
      </c>
      <c r="J2152" s="8" t="s">
        <v>175</v>
      </c>
      <c r="K2152" s="8" t="s">
        <v>176</v>
      </c>
      <c r="L2152" s="8" t="s">
        <v>556</v>
      </c>
      <c r="M2152" s="1" t="s">
        <v>205</v>
      </c>
      <c r="N2152" s="8" t="s">
        <v>206</v>
      </c>
      <c r="O2152" s="6">
        <v>0</v>
      </c>
      <c r="P2152" s="6">
        <v>0</v>
      </c>
      <c r="Q2152" s="6">
        <v>0</v>
      </c>
      <c r="R2152" s="6">
        <v>0</v>
      </c>
      <c r="S2152" s="6">
        <v>350</v>
      </c>
    </row>
    <row r="2153" spans="1:19" ht="15" hidden="1" x14ac:dyDescent="0.25">
      <c r="A2153" s="7" t="s">
        <v>16</v>
      </c>
      <c r="B2153" s="7" t="s">
        <v>23</v>
      </c>
      <c r="C2153" s="7" t="s">
        <v>24</v>
      </c>
      <c r="D2153" s="4">
        <v>30117769000155</v>
      </c>
      <c r="E2153" s="8" t="s">
        <v>976</v>
      </c>
      <c r="F2153" s="8" t="s">
        <v>94</v>
      </c>
      <c r="G2153" s="8" t="s">
        <v>57</v>
      </c>
      <c r="H2153" s="8" t="s">
        <v>215</v>
      </c>
      <c r="I2153" s="3">
        <v>2</v>
      </c>
      <c r="J2153" s="8" t="s">
        <v>157</v>
      </c>
      <c r="K2153" s="8" t="s">
        <v>158</v>
      </c>
      <c r="L2153" s="8" t="s">
        <v>557</v>
      </c>
      <c r="M2153" s="1" t="s">
        <v>205</v>
      </c>
      <c r="N2153" s="8" t="s">
        <v>206</v>
      </c>
      <c r="O2153" s="6">
        <v>0</v>
      </c>
      <c r="P2153" s="6">
        <v>0</v>
      </c>
      <c r="Q2153" s="6">
        <v>0</v>
      </c>
      <c r="R2153" s="6">
        <v>0</v>
      </c>
      <c r="S2153" s="6">
        <v>350</v>
      </c>
    </row>
    <row r="2154" spans="1:19" ht="15" hidden="1" x14ac:dyDescent="0.25">
      <c r="A2154" s="7" t="s">
        <v>16</v>
      </c>
      <c r="B2154" s="7" t="s">
        <v>23</v>
      </c>
      <c r="C2154" s="7" t="s">
        <v>24</v>
      </c>
      <c r="D2154" s="4">
        <v>75055772002254</v>
      </c>
      <c r="E2154" s="8" t="s">
        <v>979</v>
      </c>
      <c r="F2154" s="8" t="s">
        <v>94</v>
      </c>
      <c r="G2154" s="8" t="s">
        <v>57</v>
      </c>
      <c r="H2154" s="8" t="s">
        <v>215</v>
      </c>
      <c r="I2154" s="3">
        <v>2</v>
      </c>
      <c r="J2154" s="8" t="s">
        <v>175</v>
      </c>
      <c r="K2154" s="8" t="s">
        <v>176</v>
      </c>
      <c r="L2154" s="8" t="s">
        <v>556</v>
      </c>
      <c r="M2154" s="1" t="s">
        <v>205</v>
      </c>
      <c r="N2154" s="8" t="s">
        <v>206</v>
      </c>
      <c r="O2154" s="6">
        <v>0</v>
      </c>
      <c r="P2154" s="6">
        <v>0</v>
      </c>
      <c r="Q2154" s="6">
        <v>0</v>
      </c>
      <c r="R2154" s="6">
        <v>7</v>
      </c>
      <c r="S2154" s="6">
        <v>0</v>
      </c>
    </row>
    <row r="2155" spans="1:19" ht="15" hidden="1" x14ac:dyDescent="0.25">
      <c r="A2155" s="7" t="s">
        <v>16</v>
      </c>
      <c r="B2155" s="7" t="s">
        <v>23</v>
      </c>
      <c r="C2155" s="7" t="s">
        <v>24</v>
      </c>
      <c r="D2155" s="4">
        <v>75055772002254</v>
      </c>
      <c r="E2155" s="8" t="s">
        <v>979</v>
      </c>
      <c r="F2155" s="8" t="s">
        <v>94</v>
      </c>
      <c r="G2155" s="8" t="s">
        <v>57</v>
      </c>
      <c r="H2155" s="8" t="s">
        <v>215</v>
      </c>
      <c r="I2155" s="3">
        <v>2</v>
      </c>
      <c r="J2155" s="8" t="s">
        <v>157</v>
      </c>
      <c r="K2155" s="8" t="s">
        <v>158</v>
      </c>
      <c r="L2155" s="8" t="s">
        <v>557</v>
      </c>
      <c r="M2155" s="1" t="s">
        <v>205</v>
      </c>
      <c r="N2155" s="8" t="s">
        <v>206</v>
      </c>
      <c r="O2155" s="6">
        <v>0</v>
      </c>
      <c r="P2155" s="6">
        <v>0</v>
      </c>
      <c r="Q2155" s="6">
        <v>0</v>
      </c>
      <c r="R2155" s="6">
        <v>0</v>
      </c>
      <c r="S2155" s="6">
        <v>0</v>
      </c>
    </row>
    <row r="2156" spans="1:19" ht="15" hidden="1" x14ac:dyDescent="0.25">
      <c r="A2156" s="7" t="s">
        <v>16</v>
      </c>
      <c r="B2156" s="7" t="s">
        <v>23</v>
      </c>
      <c r="C2156" s="7" t="s">
        <v>24</v>
      </c>
      <c r="D2156" s="4">
        <v>304148000110</v>
      </c>
      <c r="E2156" s="8" t="s">
        <v>932</v>
      </c>
      <c r="F2156" s="8" t="s">
        <v>933</v>
      </c>
      <c r="G2156" s="8" t="s">
        <v>57</v>
      </c>
      <c r="H2156" s="8" t="s">
        <v>215</v>
      </c>
      <c r="I2156" s="3">
        <v>2</v>
      </c>
      <c r="J2156" s="8" t="s">
        <v>175</v>
      </c>
      <c r="K2156" s="8" t="s">
        <v>176</v>
      </c>
      <c r="L2156" s="8" t="s">
        <v>556</v>
      </c>
      <c r="M2156" s="1" t="s">
        <v>205</v>
      </c>
      <c r="N2156" s="8" t="s">
        <v>206</v>
      </c>
      <c r="O2156" s="6">
        <v>0</v>
      </c>
      <c r="P2156" s="6">
        <v>0</v>
      </c>
      <c r="Q2156" s="6">
        <v>0</v>
      </c>
      <c r="R2156" s="6">
        <v>16</v>
      </c>
      <c r="S2156" s="6">
        <v>0</v>
      </c>
    </row>
    <row r="2157" spans="1:19" ht="15" hidden="1" x14ac:dyDescent="0.25">
      <c r="A2157" s="7" t="s">
        <v>16</v>
      </c>
      <c r="B2157" s="7" t="s">
        <v>23</v>
      </c>
      <c r="C2157" s="7" t="s">
        <v>24</v>
      </c>
      <c r="D2157" s="4">
        <v>304148000110</v>
      </c>
      <c r="E2157" s="8" t="s">
        <v>932</v>
      </c>
      <c r="F2157" s="8" t="s">
        <v>933</v>
      </c>
      <c r="G2157" s="8" t="s">
        <v>57</v>
      </c>
      <c r="H2157" s="8" t="s">
        <v>215</v>
      </c>
      <c r="I2157" s="3">
        <v>2</v>
      </c>
      <c r="J2157" s="8" t="s">
        <v>157</v>
      </c>
      <c r="K2157" s="8" t="s">
        <v>158</v>
      </c>
      <c r="L2157" s="8" t="s">
        <v>557</v>
      </c>
      <c r="M2157" s="1" t="s">
        <v>205</v>
      </c>
      <c r="N2157" s="8" t="s">
        <v>206</v>
      </c>
      <c r="O2157" s="6">
        <v>0</v>
      </c>
      <c r="P2157" s="6">
        <v>0</v>
      </c>
      <c r="Q2157" s="6">
        <v>0</v>
      </c>
      <c r="R2157" s="6">
        <v>0</v>
      </c>
      <c r="S2157" s="6">
        <v>0</v>
      </c>
    </row>
    <row r="2158" spans="1:19" ht="15" hidden="1" x14ac:dyDescent="0.25">
      <c r="A2158" s="7" t="s">
        <v>16</v>
      </c>
      <c r="B2158" s="7" t="s">
        <v>23</v>
      </c>
      <c r="C2158" s="7" t="s">
        <v>24</v>
      </c>
      <c r="D2158" s="4">
        <v>78614971000119</v>
      </c>
      <c r="E2158" s="8" t="s">
        <v>994</v>
      </c>
      <c r="F2158" s="8" t="s">
        <v>121</v>
      </c>
      <c r="G2158" s="8" t="s">
        <v>57</v>
      </c>
      <c r="H2158" s="8" t="s">
        <v>215</v>
      </c>
      <c r="I2158" s="3">
        <v>2</v>
      </c>
      <c r="J2158" s="8" t="s">
        <v>175</v>
      </c>
      <c r="K2158" s="8" t="s">
        <v>176</v>
      </c>
      <c r="L2158" s="8" t="s">
        <v>556</v>
      </c>
      <c r="M2158" s="1" t="s">
        <v>205</v>
      </c>
      <c r="N2158" s="8" t="s">
        <v>206</v>
      </c>
      <c r="O2158" s="6">
        <v>0</v>
      </c>
      <c r="P2158" s="6">
        <v>0</v>
      </c>
      <c r="Q2158" s="6">
        <v>0</v>
      </c>
      <c r="R2158" s="6">
        <v>0</v>
      </c>
      <c r="S2158" s="6">
        <v>15</v>
      </c>
    </row>
    <row r="2159" spans="1:19" ht="15" hidden="1" x14ac:dyDescent="0.25">
      <c r="A2159" s="7" t="s">
        <v>16</v>
      </c>
      <c r="B2159" s="7" t="s">
        <v>23</v>
      </c>
      <c r="C2159" s="7" t="s">
        <v>24</v>
      </c>
      <c r="D2159" s="4">
        <v>78614971000119</v>
      </c>
      <c r="E2159" s="8" t="s">
        <v>994</v>
      </c>
      <c r="F2159" s="8" t="s">
        <v>121</v>
      </c>
      <c r="G2159" s="8" t="s">
        <v>57</v>
      </c>
      <c r="H2159" s="8" t="s">
        <v>215</v>
      </c>
      <c r="I2159" s="3">
        <v>2</v>
      </c>
      <c r="J2159" s="8" t="s">
        <v>157</v>
      </c>
      <c r="K2159" s="8" t="s">
        <v>158</v>
      </c>
      <c r="L2159" s="8" t="s">
        <v>557</v>
      </c>
      <c r="M2159" s="1" t="s">
        <v>205</v>
      </c>
      <c r="N2159" s="8" t="s">
        <v>206</v>
      </c>
      <c r="O2159" s="6">
        <v>0</v>
      </c>
      <c r="P2159" s="6">
        <v>0</v>
      </c>
      <c r="Q2159" s="6">
        <v>0</v>
      </c>
      <c r="R2159" s="6">
        <v>0</v>
      </c>
      <c r="S2159" s="6">
        <v>15</v>
      </c>
    </row>
    <row r="2160" spans="1:19" ht="15" hidden="1" x14ac:dyDescent="0.25">
      <c r="A2160" s="7" t="s">
        <v>16</v>
      </c>
      <c r="B2160" s="7" t="s">
        <v>23</v>
      </c>
      <c r="C2160" s="7" t="s">
        <v>24</v>
      </c>
      <c r="D2160" s="4">
        <v>73863342000109</v>
      </c>
      <c r="E2160" s="8" t="s">
        <v>978</v>
      </c>
      <c r="F2160" s="8" t="s">
        <v>121</v>
      </c>
      <c r="G2160" s="8" t="s">
        <v>57</v>
      </c>
      <c r="H2160" s="8" t="s">
        <v>215</v>
      </c>
      <c r="I2160" s="3">
        <v>2</v>
      </c>
      <c r="J2160" s="8" t="s">
        <v>175</v>
      </c>
      <c r="K2160" s="8" t="s">
        <v>176</v>
      </c>
      <c r="L2160" s="8" t="s">
        <v>556</v>
      </c>
      <c r="M2160" s="1" t="s">
        <v>205</v>
      </c>
      <c r="N2160" s="8" t="s">
        <v>206</v>
      </c>
      <c r="O2160" s="6">
        <v>0</v>
      </c>
      <c r="P2160" s="6">
        <v>0</v>
      </c>
      <c r="Q2160" s="6">
        <v>0</v>
      </c>
      <c r="R2160" s="6">
        <v>0</v>
      </c>
      <c r="S2160" s="6">
        <v>20</v>
      </c>
    </row>
    <row r="2161" spans="1:19" ht="15" hidden="1" x14ac:dyDescent="0.25">
      <c r="A2161" s="7" t="s">
        <v>16</v>
      </c>
      <c r="B2161" s="7" t="s">
        <v>23</v>
      </c>
      <c r="C2161" s="7" t="s">
        <v>24</v>
      </c>
      <c r="D2161" s="4">
        <v>73863342000109</v>
      </c>
      <c r="E2161" s="8" t="s">
        <v>978</v>
      </c>
      <c r="F2161" s="8" t="s">
        <v>121</v>
      </c>
      <c r="G2161" s="8" t="s">
        <v>57</v>
      </c>
      <c r="H2161" s="8" t="s">
        <v>215</v>
      </c>
      <c r="I2161" s="3">
        <v>2</v>
      </c>
      <c r="J2161" s="8" t="s">
        <v>157</v>
      </c>
      <c r="K2161" s="8" t="s">
        <v>158</v>
      </c>
      <c r="L2161" s="8" t="s">
        <v>557</v>
      </c>
      <c r="M2161" s="1" t="s">
        <v>205</v>
      </c>
      <c r="N2161" s="8" t="s">
        <v>206</v>
      </c>
      <c r="O2161" s="6">
        <v>0</v>
      </c>
      <c r="P2161" s="6">
        <v>0</v>
      </c>
      <c r="Q2161" s="6">
        <v>0</v>
      </c>
      <c r="R2161" s="6">
        <v>0</v>
      </c>
      <c r="S2161" s="6">
        <v>20</v>
      </c>
    </row>
    <row r="2162" spans="1:19" ht="15" hidden="1" x14ac:dyDescent="0.25">
      <c r="A2162" s="7" t="s">
        <v>16</v>
      </c>
      <c r="B2162" s="7" t="s">
        <v>23</v>
      </c>
      <c r="C2162" s="7" t="s">
        <v>24</v>
      </c>
      <c r="D2162" s="4">
        <v>75222224001895</v>
      </c>
      <c r="E2162" s="8" t="s">
        <v>981</v>
      </c>
      <c r="F2162" s="8" t="s">
        <v>121</v>
      </c>
      <c r="G2162" s="8" t="s">
        <v>57</v>
      </c>
      <c r="H2162" s="8" t="s">
        <v>215</v>
      </c>
      <c r="I2162" s="3">
        <v>2</v>
      </c>
      <c r="J2162" s="8" t="s">
        <v>175</v>
      </c>
      <c r="K2162" s="8" t="s">
        <v>176</v>
      </c>
      <c r="L2162" s="8" t="s">
        <v>556</v>
      </c>
      <c r="M2162" s="1" t="s">
        <v>205</v>
      </c>
      <c r="N2162" s="8" t="s">
        <v>206</v>
      </c>
      <c r="O2162" s="6">
        <v>0</v>
      </c>
      <c r="P2162" s="6">
        <v>0</v>
      </c>
      <c r="Q2162" s="6">
        <v>0</v>
      </c>
      <c r="R2162" s="6">
        <v>0</v>
      </c>
      <c r="S2162" s="6">
        <v>630</v>
      </c>
    </row>
    <row r="2163" spans="1:19" ht="15" hidden="1" x14ac:dyDescent="0.25">
      <c r="A2163" s="7" t="s">
        <v>16</v>
      </c>
      <c r="B2163" s="7" t="s">
        <v>23</v>
      </c>
      <c r="C2163" s="7" t="s">
        <v>24</v>
      </c>
      <c r="D2163" s="4">
        <v>75222224001895</v>
      </c>
      <c r="E2163" s="8" t="s">
        <v>981</v>
      </c>
      <c r="F2163" s="8" t="s">
        <v>121</v>
      </c>
      <c r="G2163" s="8" t="s">
        <v>57</v>
      </c>
      <c r="H2163" s="8" t="s">
        <v>215</v>
      </c>
      <c r="I2163" s="3">
        <v>2</v>
      </c>
      <c r="J2163" s="8" t="s">
        <v>157</v>
      </c>
      <c r="K2163" s="8" t="s">
        <v>158</v>
      </c>
      <c r="L2163" s="8" t="s">
        <v>557</v>
      </c>
      <c r="M2163" s="1" t="s">
        <v>205</v>
      </c>
      <c r="N2163" s="8" t="s">
        <v>206</v>
      </c>
      <c r="O2163" s="6">
        <v>0</v>
      </c>
      <c r="P2163" s="6">
        <v>0</v>
      </c>
      <c r="Q2163" s="6">
        <v>0</v>
      </c>
      <c r="R2163" s="6">
        <v>0</v>
      </c>
      <c r="S2163" s="6">
        <v>630</v>
      </c>
    </row>
    <row r="2164" spans="1:19" ht="15" hidden="1" x14ac:dyDescent="0.25">
      <c r="A2164" s="7" t="s">
        <v>16</v>
      </c>
      <c r="B2164" s="7" t="s">
        <v>23</v>
      </c>
      <c r="C2164" s="7" t="s">
        <v>24</v>
      </c>
      <c r="D2164" s="4">
        <v>79115762000193</v>
      </c>
      <c r="E2164" s="8" t="s">
        <v>996</v>
      </c>
      <c r="F2164" s="8" t="s">
        <v>988</v>
      </c>
      <c r="G2164" s="8" t="s">
        <v>57</v>
      </c>
      <c r="H2164" s="8" t="s">
        <v>215</v>
      </c>
      <c r="I2164" s="3">
        <v>2</v>
      </c>
      <c r="J2164" s="8" t="s">
        <v>175</v>
      </c>
      <c r="K2164" s="8" t="s">
        <v>176</v>
      </c>
      <c r="L2164" s="8" t="s">
        <v>556</v>
      </c>
      <c r="M2164" s="1" t="s">
        <v>205</v>
      </c>
      <c r="N2164" s="8" t="s">
        <v>206</v>
      </c>
      <c r="O2164" s="6">
        <v>0</v>
      </c>
      <c r="P2164" s="6">
        <v>0</v>
      </c>
      <c r="Q2164" s="6">
        <v>0</v>
      </c>
      <c r="R2164" s="6">
        <v>0</v>
      </c>
      <c r="S2164" s="6">
        <v>50</v>
      </c>
    </row>
    <row r="2165" spans="1:19" ht="15" hidden="1" x14ac:dyDescent="0.25">
      <c r="A2165" s="7" t="s">
        <v>16</v>
      </c>
      <c r="B2165" s="7" t="s">
        <v>23</v>
      </c>
      <c r="C2165" s="7" t="s">
        <v>24</v>
      </c>
      <c r="D2165" s="4">
        <v>79115762000193</v>
      </c>
      <c r="E2165" s="8" t="s">
        <v>996</v>
      </c>
      <c r="F2165" s="8" t="s">
        <v>988</v>
      </c>
      <c r="G2165" s="8" t="s">
        <v>57</v>
      </c>
      <c r="H2165" s="8" t="s">
        <v>215</v>
      </c>
      <c r="I2165" s="3">
        <v>2</v>
      </c>
      <c r="J2165" s="8" t="s">
        <v>157</v>
      </c>
      <c r="K2165" s="8" t="s">
        <v>158</v>
      </c>
      <c r="L2165" s="8" t="s">
        <v>557</v>
      </c>
      <c r="M2165" s="1" t="s">
        <v>205</v>
      </c>
      <c r="N2165" s="8" t="s">
        <v>206</v>
      </c>
      <c r="O2165" s="6">
        <v>0</v>
      </c>
      <c r="P2165" s="6">
        <v>0</v>
      </c>
      <c r="Q2165" s="6">
        <v>0</v>
      </c>
      <c r="R2165" s="6">
        <v>0</v>
      </c>
      <c r="S2165" s="6">
        <v>50</v>
      </c>
    </row>
    <row r="2166" spans="1:19" ht="15" hidden="1" x14ac:dyDescent="0.25">
      <c r="A2166" s="7" t="s">
        <v>16</v>
      </c>
      <c r="B2166" s="7" t="s">
        <v>23</v>
      </c>
      <c r="C2166" s="7" t="s">
        <v>24</v>
      </c>
      <c r="D2166" s="4">
        <v>7794623002257</v>
      </c>
      <c r="E2166" s="8" t="s">
        <v>955</v>
      </c>
      <c r="F2166" s="8" t="s">
        <v>956</v>
      </c>
      <c r="G2166" s="8" t="s">
        <v>57</v>
      </c>
      <c r="H2166" s="8" t="s">
        <v>215</v>
      </c>
      <c r="I2166" s="3">
        <v>2</v>
      </c>
      <c r="J2166" s="8" t="s">
        <v>175</v>
      </c>
      <c r="K2166" s="8" t="s">
        <v>176</v>
      </c>
      <c r="L2166" s="8" t="s">
        <v>556</v>
      </c>
      <c r="M2166" s="1" t="s">
        <v>205</v>
      </c>
      <c r="N2166" s="8" t="s">
        <v>206</v>
      </c>
      <c r="O2166" s="6">
        <v>0</v>
      </c>
      <c r="P2166" s="6">
        <v>0</v>
      </c>
      <c r="Q2166" s="6">
        <v>0</v>
      </c>
      <c r="R2166" s="6">
        <v>0</v>
      </c>
      <c r="S2166" s="6">
        <v>80</v>
      </c>
    </row>
    <row r="2167" spans="1:19" ht="15" hidden="1" x14ac:dyDescent="0.25">
      <c r="A2167" s="7" t="s">
        <v>16</v>
      </c>
      <c r="B2167" s="7" t="s">
        <v>23</v>
      </c>
      <c r="C2167" s="7" t="s">
        <v>24</v>
      </c>
      <c r="D2167" s="4">
        <v>7794623002257</v>
      </c>
      <c r="E2167" s="8" t="s">
        <v>955</v>
      </c>
      <c r="F2167" s="8" t="s">
        <v>956</v>
      </c>
      <c r="G2167" s="8" t="s">
        <v>57</v>
      </c>
      <c r="H2167" s="8" t="s">
        <v>215</v>
      </c>
      <c r="I2167" s="3">
        <v>2</v>
      </c>
      <c r="J2167" s="8" t="s">
        <v>157</v>
      </c>
      <c r="K2167" s="8" t="s">
        <v>158</v>
      </c>
      <c r="L2167" s="8" t="s">
        <v>557</v>
      </c>
      <c r="M2167" s="1" t="s">
        <v>205</v>
      </c>
      <c r="N2167" s="8" t="s">
        <v>206</v>
      </c>
      <c r="O2167" s="6">
        <v>0</v>
      </c>
      <c r="P2167" s="6">
        <v>0</v>
      </c>
      <c r="Q2167" s="6">
        <v>0</v>
      </c>
      <c r="R2167" s="6">
        <v>0</v>
      </c>
      <c r="S2167" s="6">
        <v>80</v>
      </c>
    </row>
    <row r="2168" spans="1:19" ht="15" hidden="1" x14ac:dyDescent="0.25">
      <c r="A2168" s="7" t="s">
        <v>16</v>
      </c>
      <c r="B2168" s="7" t="s">
        <v>23</v>
      </c>
      <c r="C2168" s="7" t="s">
        <v>24</v>
      </c>
      <c r="D2168" s="4">
        <v>36238913000198</v>
      </c>
      <c r="E2168" s="8" t="s">
        <v>1063</v>
      </c>
      <c r="F2168" s="8" t="s">
        <v>1064</v>
      </c>
      <c r="G2168" s="8" t="s">
        <v>61</v>
      </c>
      <c r="H2168" s="8" t="s">
        <v>215</v>
      </c>
      <c r="I2168" s="3">
        <v>2</v>
      </c>
      <c r="J2168" s="8" t="s">
        <v>155</v>
      </c>
      <c r="K2168" s="8" t="s">
        <v>156</v>
      </c>
      <c r="L2168" s="8" t="s">
        <v>556</v>
      </c>
      <c r="M2168" s="1" t="s">
        <v>205</v>
      </c>
      <c r="N2168" s="8" t="s">
        <v>206</v>
      </c>
      <c r="O2168" s="6">
        <v>0</v>
      </c>
      <c r="P2168" s="6">
        <v>0</v>
      </c>
      <c r="Q2168" s="6">
        <v>0</v>
      </c>
      <c r="R2168" s="6">
        <v>68</v>
      </c>
      <c r="S2168" s="6">
        <v>0</v>
      </c>
    </row>
    <row r="2169" spans="1:19" ht="15" hidden="1" x14ac:dyDescent="0.25">
      <c r="A2169" s="7" t="s">
        <v>16</v>
      </c>
      <c r="B2169" s="7" t="s">
        <v>23</v>
      </c>
      <c r="C2169" s="7" t="s">
        <v>24</v>
      </c>
      <c r="D2169" s="4">
        <v>36238913000198</v>
      </c>
      <c r="E2169" s="8" t="s">
        <v>1063</v>
      </c>
      <c r="F2169" s="8" t="s">
        <v>1064</v>
      </c>
      <c r="G2169" s="8" t="s">
        <v>61</v>
      </c>
      <c r="H2169" s="8" t="s">
        <v>215</v>
      </c>
      <c r="I2169" s="3">
        <v>2</v>
      </c>
      <c r="J2169" s="8" t="s">
        <v>173</v>
      </c>
      <c r="K2169" s="8" t="s">
        <v>174</v>
      </c>
      <c r="L2169" s="8" t="s">
        <v>557</v>
      </c>
      <c r="M2169" s="1" t="s">
        <v>205</v>
      </c>
      <c r="N2169" s="8" t="s">
        <v>206</v>
      </c>
      <c r="O2169" s="6">
        <v>0</v>
      </c>
      <c r="P2169" s="6">
        <v>0</v>
      </c>
      <c r="Q2169" s="6">
        <v>0</v>
      </c>
      <c r="R2169" s="6">
        <v>0</v>
      </c>
      <c r="S2169" s="6">
        <v>0</v>
      </c>
    </row>
    <row r="2170" spans="1:19" ht="15" hidden="1" x14ac:dyDescent="0.25">
      <c r="A2170" s="7" t="s">
        <v>16</v>
      </c>
      <c r="B2170" s="7" t="s">
        <v>23</v>
      </c>
      <c r="C2170" s="7" t="s">
        <v>24</v>
      </c>
      <c r="D2170" s="4">
        <v>6047087001372</v>
      </c>
      <c r="E2170" s="8" t="s">
        <v>1041</v>
      </c>
      <c r="F2170" s="8" t="s">
        <v>78</v>
      </c>
      <c r="G2170" s="8" t="s">
        <v>61</v>
      </c>
      <c r="H2170" s="8" t="s">
        <v>215</v>
      </c>
      <c r="I2170" s="3">
        <v>2</v>
      </c>
      <c r="J2170" s="8" t="s">
        <v>155</v>
      </c>
      <c r="K2170" s="8" t="s">
        <v>156</v>
      </c>
      <c r="L2170" s="8" t="s">
        <v>556</v>
      </c>
      <c r="M2170" s="1" t="s">
        <v>205</v>
      </c>
      <c r="N2170" s="8" t="s">
        <v>206</v>
      </c>
      <c r="O2170" s="6">
        <v>0</v>
      </c>
      <c r="P2170" s="6">
        <v>0</v>
      </c>
      <c r="Q2170" s="6">
        <v>0</v>
      </c>
      <c r="R2170" s="6">
        <v>0</v>
      </c>
      <c r="S2170" s="6">
        <v>0</v>
      </c>
    </row>
    <row r="2171" spans="1:19" ht="15" hidden="1" x14ac:dyDescent="0.25">
      <c r="A2171" s="7" t="s">
        <v>16</v>
      </c>
      <c r="B2171" s="7" t="s">
        <v>23</v>
      </c>
      <c r="C2171" s="7" t="s">
        <v>24</v>
      </c>
      <c r="D2171" s="4">
        <v>6047087001372</v>
      </c>
      <c r="E2171" s="8" t="s">
        <v>1041</v>
      </c>
      <c r="F2171" s="8" t="s">
        <v>78</v>
      </c>
      <c r="G2171" s="8" t="s">
        <v>61</v>
      </c>
      <c r="H2171" s="8" t="s">
        <v>215</v>
      </c>
      <c r="I2171" s="3">
        <v>2</v>
      </c>
      <c r="J2171" s="8" t="s">
        <v>181</v>
      </c>
      <c r="K2171" s="8" t="s">
        <v>182</v>
      </c>
      <c r="L2171" s="8" t="s">
        <v>557</v>
      </c>
      <c r="M2171" s="1" t="s">
        <v>205</v>
      </c>
      <c r="N2171" s="8" t="s">
        <v>206</v>
      </c>
      <c r="O2171" s="6">
        <v>0</v>
      </c>
      <c r="P2171" s="6">
        <v>9</v>
      </c>
      <c r="Q2171" s="6">
        <v>0</v>
      </c>
      <c r="R2171" s="6">
        <v>0</v>
      </c>
      <c r="S2171" s="6">
        <v>0</v>
      </c>
    </row>
    <row r="2172" spans="1:19" ht="15" hidden="1" x14ac:dyDescent="0.25">
      <c r="A2172" s="7" t="s">
        <v>16</v>
      </c>
      <c r="B2172" s="7" t="s">
        <v>23</v>
      </c>
      <c r="C2172" s="7" t="s">
        <v>24</v>
      </c>
      <c r="D2172" s="4">
        <v>29435005003497</v>
      </c>
      <c r="E2172" s="8" t="s">
        <v>1054</v>
      </c>
      <c r="F2172" s="8" t="s">
        <v>78</v>
      </c>
      <c r="G2172" s="8" t="s">
        <v>61</v>
      </c>
      <c r="H2172" s="8" t="s">
        <v>215</v>
      </c>
      <c r="I2172" s="3">
        <v>2</v>
      </c>
      <c r="J2172" s="8" t="s">
        <v>155</v>
      </c>
      <c r="K2172" s="8" t="s">
        <v>156</v>
      </c>
      <c r="L2172" s="8" t="s">
        <v>556</v>
      </c>
      <c r="M2172" s="1" t="s">
        <v>205</v>
      </c>
      <c r="N2172" s="8" t="s">
        <v>206</v>
      </c>
      <c r="O2172" s="6">
        <v>0</v>
      </c>
      <c r="P2172" s="6">
        <v>0</v>
      </c>
      <c r="Q2172" s="6">
        <v>0</v>
      </c>
      <c r="R2172" s="6">
        <v>0</v>
      </c>
      <c r="S2172" s="6">
        <v>0</v>
      </c>
    </row>
    <row r="2173" spans="1:19" ht="15" hidden="1" x14ac:dyDescent="0.25">
      <c r="A2173" s="7" t="s">
        <v>16</v>
      </c>
      <c r="B2173" s="7" t="s">
        <v>23</v>
      </c>
      <c r="C2173" s="7" t="s">
        <v>24</v>
      </c>
      <c r="D2173" s="4">
        <v>29435005003497</v>
      </c>
      <c r="E2173" s="8" t="s">
        <v>1054</v>
      </c>
      <c r="F2173" s="8" t="s">
        <v>78</v>
      </c>
      <c r="G2173" s="8" t="s">
        <v>61</v>
      </c>
      <c r="H2173" s="8" t="s">
        <v>215</v>
      </c>
      <c r="I2173" s="3">
        <v>2</v>
      </c>
      <c r="J2173" s="8" t="s">
        <v>173</v>
      </c>
      <c r="K2173" s="8" t="s">
        <v>174</v>
      </c>
      <c r="L2173" s="8" t="s">
        <v>557</v>
      </c>
      <c r="M2173" s="1" t="s">
        <v>205</v>
      </c>
      <c r="N2173" s="8" t="s">
        <v>206</v>
      </c>
      <c r="O2173" s="6">
        <v>0</v>
      </c>
      <c r="P2173" s="6">
        <v>14</v>
      </c>
      <c r="Q2173" s="6">
        <v>3</v>
      </c>
      <c r="R2173" s="6">
        <v>0</v>
      </c>
      <c r="S2173" s="6">
        <v>0</v>
      </c>
    </row>
    <row r="2174" spans="1:19" ht="15" hidden="1" x14ac:dyDescent="0.25">
      <c r="A2174" s="7" t="s">
        <v>16</v>
      </c>
      <c r="B2174" s="7" t="s">
        <v>23</v>
      </c>
      <c r="C2174" s="7" t="s">
        <v>24</v>
      </c>
      <c r="D2174" s="4">
        <v>437007000175</v>
      </c>
      <c r="E2174" s="8" t="s">
        <v>1038</v>
      </c>
      <c r="F2174" s="8" t="s">
        <v>1039</v>
      </c>
      <c r="G2174" s="8" t="s">
        <v>61</v>
      </c>
      <c r="H2174" s="8" t="s">
        <v>215</v>
      </c>
      <c r="I2174" s="3">
        <v>2</v>
      </c>
      <c r="J2174" s="8" t="s">
        <v>155</v>
      </c>
      <c r="K2174" s="8" t="s">
        <v>156</v>
      </c>
      <c r="L2174" s="8" t="s">
        <v>556</v>
      </c>
      <c r="M2174" s="1" t="s">
        <v>205</v>
      </c>
      <c r="N2174" s="8" t="s">
        <v>206</v>
      </c>
      <c r="O2174" s="6">
        <v>0</v>
      </c>
      <c r="P2174" s="6">
        <v>0</v>
      </c>
      <c r="Q2174" s="6">
        <v>0</v>
      </c>
      <c r="R2174" s="6">
        <v>369</v>
      </c>
      <c r="S2174" s="6">
        <v>660</v>
      </c>
    </row>
    <row r="2175" spans="1:19" ht="15" hidden="1" x14ac:dyDescent="0.25">
      <c r="A2175" s="7" t="s">
        <v>16</v>
      </c>
      <c r="B2175" s="7" t="s">
        <v>23</v>
      </c>
      <c r="C2175" s="7" t="s">
        <v>24</v>
      </c>
      <c r="D2175" s="4">
        <v>437007000175</v>
      </c>
      <c r="E2175" s="8" t="s">
        <v>1038</v>
      </c>
      <c r="F2175" s="8" t="s">
        <v>1039</v>
      </c>
      <c r="G2175" s="8" t="s">
        <v>61</v>
      </c>
      <c r="H2175" s="8" t="s">
        <v>215</v>
      </c>
      <c r="I2175" s="3">
        <v>2</v>
      </c>
      <c r="J2175" s="8" t="s">
        <v>181</v>
      </c>
      <c r="K2175" s="8" t="s">
        <v>182</v>
      </c>
      <c r="L2175" s="8" t="s">
        <v>557</v>
      </c>
      <c r="M2175" s="1" t="s">
        <v>205</v>
      </c>
      <c r="N2175" s="8" t="s">
        <v>206</v>
      </c>
      <c r="O2175" s="6">
        <v>0</v>
      </c>
      <c r="P2175" s="6">
        <v>0</v>
      </c>
      <c r="Q2175" s="6">
        <v>0</v>
      </c>
      <c r="R2175" s="6">
        <v>0</v>
      </c>
      <c r="S2175" s="6">
        <v>660</v>
      </c>
    </row>
    <row r="2176" spans="1:19" ht="15" hidden="1" x14ac:dyDescent="0.25">
      <c r="A2176" s="7" t="s">
        <v>16</v>
      </c>
      <c r="B2176" s="7" t="s">
        <v>23</v>
      </c>
      <c r="C2176" s="7" t="s">
        <v>24</v>
      </c>
      <c r="D2176" s="4">
        <v>60884855001207</v>
      </c>
      <c r="E2176" s="8" t="s">
        <v>1065</v>
      </c>
      <c r="F2176" s="8" t="s">
        <v>1039</v>
      </c>
      <c r="G2176" s="8" t="s">
        <v>61</v>
      </c>
      <c r="H2176" s="8" t="s">
        <v>215</v>
      </c>
      <c r="I2176" s="3">
        <v>2</v>
      </c>
      <c r="J2176" s="8" t="s">
        <v>155</v>
      </c>
      <c r="K2176" s="8" t="s">
        <v>156</v>
      </c>
      <c r="L2176" s="8" t="s">
        <v>556</v>
      </c>
      <c r="M2176" s="1" t="s">
        <v>205</v>
      </c>
      <c r="N2176" s="8" t="s">
        <v>206</v>
      </c>
      <c r="O2176" s="6">
        <v>0</v>
      </c>
      <c r="P2176" s="6">
        <v>0</v>
      </c>
      <c r="Q2176" s="6">
        <v>0</v>
      </c>
      <c r="R2176" s="6">
        <v>50</v>
      </c>
      <c r="S2176" s="6">
        <v>765</v>
      </c>
    </row>
    <row r="2177" spans="1:19" ht="15" hidden="1" x14ac:dyDescent="0.25">
      <c r="A2177" s="7" t="s">
        <v>16</v>
      </c>
      <c r="B2177" s="7" t="s">
        <v>23</v>
      </c>
      <c r="C2177" s="7" t="s">
        <v>24</v>
      </c>
      <c r="D2177" s="4">
        <v>60884855001207</v>
      </c>
      <c r="E2177" s="8" t="s">
        <v>1065</v>
      </c>
      <c r="F2177" s="8" t="s">
        <v>1039</v>
      </c>
      <c r="G2177" s="8" t="s">
        <v>61</v>
      </c>
      <c r="H2177" s="8" t="s">
        <v>215</v>
      </c>
      <c r="I2177" s="3">
        <v>2</v>
      </c>
      <c r="J2177" s="8" t="s">
        <v>181</v>
      </c>
      <c r="K2177" s="8" t="s">
        <v>182</v>
      </c>
      <c r="L2177" s="8" t="s">
        <v>557</v>
      </c>
      <c r="M2177" s="1" t="s">
        <v>205</v>
      </c>
      <c r="N2177" s="8" t="s">
        <v>206</v>
      </c>
      <c r="O2177" s="6">
        <v>0</v>
      </c>
      <c r="P2177" s="6">
        <v>12</v>
      </c>
      <c r="Q2177" s="6">
        <v>2</v>
      </c>
      <c r="R2177" s="6">
        <v>0</v>
      </c>
      <c r="S2177" s="6">
        <v>765</v>
      </c>
    </row>
    <row r="2178" spans="1:19" ht="15" hidden="1" x14ac:dyDescent="0.25">
      <c r="A2178" s="7" t="s">
        <v>16</v>
      </c>
      <c r="B2178" s="7" t="s">
        <v>23</v>
      </c>
      <c r="C2178" s="7" t="s">
        <v>24</v>
      </c>
      <c r="D2178" s="4">
        <v>30145502000171</v>
      </c>
      <c r="E2178" s="8" t="s">
        <v>1057</v>
      </c>
      <c r="F2178" s="8" t="s">
        <v>1039</v>
      </c>
      <c r="G2178" s="8" t="s">
        <v>61</v>
      </c>
      <c r="H2178" s="8" t="s">
        <v>215</v>
      </c>
      <c r="I2178" s="3">
        <v>2</v>
      </c>
      <c r="J2178" s="8" t="s">
        <v>155</v>
      </c>
      <c r="K2178" s="8" t="s">
        <v>156</v>
      </c>
      <c r="L2178" s="8" t="s">
        <v>556</v>
      </c>
      <c r="M2178" s="1" t="s">
        <v>205</v>
      </c>
      <c r="N2178" s="8" t="s">
        <v>206</v>
      </c>
      <c r="O2178" s="6">
        <v>0</v>
      </c>
      <c r="P2178" s="6">
        <v>0</v>
      </c>
      <c r="Q2178" s="6">
        <v>0</v>
      </c>
      <c r="R2178" s="6">
        <v>0</v>
      </c>
      <c r="S2178" s="6">
        <v>0</v>
      </c>
    </row>
    <row r="2179" spans="1:19" ht="15" hidden="1" x14ac:dyDescent="0.25">
      <c r="A2179" s="7" t="s">
        <v>16</v>
      </c>
      <c r="B2179" s="7" t="s">
        <v>23</v>
      </c>
      <c r="C2179" s="7" t="s">
        <v>24</v>
      </c>
      <c r="D2179" s="4">
        <v>30145502000171</v>
      </c>
      <c r="E2179" s="8" t="s">
        <v>1057</v>
      </c>
      <c r="F2179" s="8" t="s">
        <v>1039</v>
      </c>
      <c r="G2179" s="8" t="s">
        <v>61</v>
      </c>
      <c r="H2179" s="8" t="s">
        <v>215</v>
      </c>
      <c r="I2179" s="3">
        <v>2</v>
      </c>
      <c r="J2179" s="8" t="s">
        <v>181</v>
      </c>
      <c r="K2179" s="8" t="s">
        <v>182</v>
      </c>
      <c r="L2179" s="8" t="s">
        <v>557</v>
      </c>
      <c r="M2179" s="1" t="s">
        <v>205</v>
      </c>
      <c r="N2179" s="8" t="s">
        <v>206</v>
      </c>
      <c r="O2179" s="6">
        <v>0</v>
      </c>
      <c r="P2179" s="6">
        <v>10</v>
      </c>
      <c r="Q2179" s="6">
        <v>0</v>
      </c>
      <c r="R2179" s="6">
        <v>0</v>
      </c>
      <c r="S2179" s="6">
        <v>0</v>
      </c>
    </row>
    <row r="2180" spans="1:19" ht="15" hidden="1" x14ac:dyDescent="0.25">
      <c r="A2180" s="7" t="s">
        <v>16</v>
      </c>
      <c r="B2180" s="7" t="s">
        <v>23</v>
      </c>
      <c r="C2180" s="7" t="s">
        <v>24</v>
      </c>
      <c r="D2180" s="4">
        <v>521197000104</v>
      </c>
      <c r="E2180" s="8" t="s">
        <v>1040</v>
      </c>
      <c r="F2180" s="8" t="s">
        <v>1039</v>
      </c>
      <c r="G2180" s="8" t="s">
        <v>61</v>
      </c>
      <c r="H2180" s="8" t="s">
        <v>215</v>
      </c>
      <c r="I2180" s="3">
        <v>2</v>
      </c>
      <c r="J2180" s="8" t="s">
        <v>155</v>
      </c>
      <c r="K2180" s="8" t="s">
        <v>156</v>
      </c>
      <c r="L2180" s="8" t="s">
        <v>556</v>
      </c>
      <c r="M2180" s="1" t="s">
        <v>205</v>
      </c>
      <c r="N2180" s="8" t="s">
        <v>206</v>
      </c>
      <c r="O2180" s="6">
        <v>0</v>
      </c>
      <c r="P2180" s="6">
        <v>0</v>
      </c>
      <c r="Q2180" s="6">
        <v>0</v>
      </c>
      <c r="R2180" s="6">
        <v>0</v>
      </c>
      <c r="S2180" s="6">
        <v>330</v>
      </c>
    </row>
    <row r="2181" spans="1:19" ht="15" hidden="1" x14ac:dyDescent="0.25">
      <c r="A2181" s="7" t="s">
        <v>16</v>
      </c>
      <c r="B2181" s="7" t="s">
        <v>23</v>
      </c>
      <c r="C2181" s="7" t="s">
        <v>24</v>
      </c>
      <c r="D2181" s="4">
        <v>521197000104</v>
      </c>
      <c r="E2181" s="8" t="s">
        <v>1040</v>
      </c>
      <c r="F2181" s="8" t="s">
        <v>1039</v>
      </c>
      <c r="G2181" s="8" t="s">
        <v>61</v>
      </c>
      <c r="H2181" s="8" t="s">
        <v>215</v>
      </c>
      <c r="I2181" s="3">
        <v>2</v>
      </c>
      <c r="J2181" s="8" t="s">
        <v>173</v>
      </c>
      <c r="K2181" s="8" t="s">
        <v>174</v>
      </c>
      <c r="L2181" s="8" t="s">
        <v>557</v>
      </c>
      <c r="M2181" s="1" t="s">
        <v>205</v>
      </c>
      <c r="N2181" s="8" t="s">
        <v>206</v>
      </c>
      <c r="O2181" s="6">
        <v>0</v>
      </c>
      <c r="P2181" s="6">
        <v>0</v>
      </c>
      <c r="Q2181" s="6">
        <v>0</v>
      </c>
      <c r="R2181" s="6">
        <v>0</v>
      </c>
      <c r="S2181" s="6">
        <v>330</v>
      </c>
    </row>
    <row r="2182" spans="1:19" ht="15" hidden="1" x14ac:dyDescent="0.25">
      <c r="A2182" s="7" t="s">
        <v>16</v>
      </c>
      <c r="B2182" s="7" t="s">
        <v>23</v>
      </c>
      <c r="C2182" s="7" t="s">
        <v>24</v>
      </c>
      <c r="D2182" s="4">
        <v>30537740000122</v>
      </c>
      <c r="E2182" s="8" t="s">
        <v>1058</v>
      </c>
      <c r="F2182" s="8" t="s">
        <v>120</v>
      </c>
      <c r="G2182" s="8" t="s">
        <v>61</v>
      </c>
      <c r="H2182" s="8" t="s">
        <v>215</v>
      </c>
      <c r="I2182" s="3">
        <v>2</v>
      </c>
      <c r="J2182" s="8" t="s">
        <v>155</v>
      </c>
      <c r="K2182" s="8" t="s">
        <v>156</v>
      </c>
      <c r="L2182" s="8" t="s">
        <v>556</v>
      </c>
      <c r="M2182" s="1" t="s">
        <v>205</v>
      </c>
      <c r="N2182" s="8" t="s">
        <v>206</v>
      </c>
      <c r="O2182" s="6">
        <v>0</v>
      </c>
      <c r="P2182" s="6">
        <v>0</v>
      </c>
      <c r="Q2182" s="6">
        <v>0</v>
      </c>
      <c r="R2182" s="6">
        <v>0</v>
      </c>
      <c r="S2182" s="6">
        <v>60</v>
      </c>
    </row>
    <row r="2183" spans="1:19" ht="15" hidden="1" x14ac:dyDescent="0.25">
      <c r="A2183" s="7" t="s">
        <v>16</v>
      </c>
      <c r="B2183" s="7" t="s">
        <v>23</v>
      </c>
      <c r="C2183" s="7" t="s">
        <v>24</v>
      </c>
      <c r="D2183" s="4">
        <v>30537740000122</v>
      </c>
      <c r="E2183" s="8" t="s">
        <v>1058</v>
      </c>
      <c r="F2183" s="8" t="s">
        <v>120</v>
      </c>
      <c r="G2183" s="8" t="s">
        <v>61</v>
      </c>
      <c r="H2183" s="8" t="s">
        <v>215</v>
      </c>
      <c r="I2183" s="3">
        <v>2</v>
      </c>
      <c r="J2183" s="8" t="s">
        <v>173</v>
      </c>
      <c r="K2183" s="8" t="s">
        <v>174</v>
      </c>
      <c r="L2183" s="8" t="s">
        <v>557</v>
      </c>
      <c r="M2183" s="1" t="s">
        <v>205</v>
      </c>
      <c r="N2183" s="8" t="s">
        <v>206</v>
      </c>
      <c r="O2183" s="6">
        <v>0</v>
      </c>
      <c r="P2183" s="6">
        <v>0</v>
      </c>
      <c r="Q2183" s="6">
        <v>0</v>
      </c>
      <c r="R2183" s="6">
        <v>0</v>
      </c>
      <c r="S2183" s="6">
        <v>60</v>
      </c>
    </row>
    <row r="2184" spans="1:19" ht="15" hidden="1" x14ac:dyDescent="0.25">
      <c r="A2184" s="7" t="s">
        <v>16</v>
      </c>
      <c r="B2184" s="7" t="s">
        <v>23</v>
      </c>
      <c r="C2184" s="7" t="s">
        <v>24</v>
      </c>
      <c r="D2184" s="4">
        <v>29135795000208</v>
      </c>
      <c r="E2184" s="8" t="s">
        <v>1053</v>
      </c>
      <c r="F2184" s="8" t="s">
        <v>120</v>
      </c>
      <c r="G2184" s="8" t="s">
        <v>61</v>
      </c>
      <c r="H2184" s="8" t="s">
        <v>215</v>
      </c>
      <c r="I2184" s="3">
        <v>2</v>
      </c>
      <c r="J2184" s="8" t="s">
        <v>155</v>
      </c>
      <c r="K2184" s="8" t="s">
        <v>156</v>
      </c>
      <c r="L2184" s="8" t="s">
        <v>556</v>
      </c>
      <c r="M2184" s="1" t="s">
        <v>205</v>
      </c>
      <c r="N2184" s="8" t="s">
        <v>206</v>
      </c>
      <c r="O2184" s="6">
        <v>0</v>
      </c>
      <c r="P2184" s="6">
        <v>0</v>
      </c>
      <c r="Q2184" s="6">
        <v>0</v>
      </c>
      <c r="R2184" s="6">
        <v>0</v>
      </c>
      <c r="S2184" s="6">
        <v>175</v>
      </c>
    </row>
    <row r="2185" spans="1:19" ht="15" hidden="1" x14ac:dyDescent="0.25">
      <c r="A2185" s="7" t="s">
        <v>16</v>
      </c>
      <c r="B2185" s="7" t="s">
        <v>23</v>
      </c>
      <c r="C2185" s="7" t="s">
        <v>24</v>
      </c>
      <c r="D2185" s="4">
        <v>29135795000208</v>
      </c>
      <c r="E2185" s="8" t="s">
        <v>1053</v>
      </c>
      <c r="F2185" s="8" t="s">
        <v>120</v>
      </c>
      <c r="G2185" s="8" t="s">
        <v>61</v>
      </c>
      <c r="H2185" s="8" t="s">
        <v>215</v>
      </c>
      <c r="I2185" s="3">
        <v>2</v>
      </c>
      <c r="J2185" s="8" t="s">
        <v>173</v>
      </c>
      <c r="K2185" s="8" t="s">
        <v>174</v>
      </c>
      <c r="L2185" s="8" t="s">
        <v>557</v>
      </c>
      <c r="M2185" s="1" t="s">
        <v>205</v>
      </c>
      <c r="N2185" s="8" t="s">
        <v>206</v>
      </c>
      <c r="O2185" s="6">
        <v>0</v>
      </c>
      <c r="P2185" s="6">
        <v>0</v>
      </c>
      <c r="Q2185" s="6">
        <v>0</v>
      </c>
      <c r="R2185" s="6">
        <v>0</v>
      </c>
      <c r="S2185" s="6">
        <v>175</v>
      </c>
    </row>
    <row r="2186" spans="1:19" ht="15" hidden="1" x14ac:dyDescent="0.25">
      <c r="A2186" s="7" t="s">
        <v>16</v>
      </c>
      <c r="B2186" s="7" t="s">
        <v>23</v>
      </c>
      <c r="C2186" s="7" t="s">
        <v>24</v>
      </c>
      <c r="D2186" s="4">
        <v>28806545000532</v>
      </c>
      <c r="E2186" s="8" t="s">
        <v>1050</v>
      </c>
      <c r="F2186" s="8" t="s">
        <v>1051</v>
      </c>
      <c r="G2186" s="8" t="s">
        <v>61</v>
      </c>
      <c r="H2186" s="8" t="s">
        <v>215</v>
      </c>
      <c r="I2186" s="3">
        <v>2</v>
      </c>
      <c r="J2186" s="8" t="s">
        <v>155</v>
      </c>
      <c r="K2186" s="8" t="s">
        <v>156</v>
      </c>
      <c r="L2186" s="8" t="s">
        <v>556</v>
      </c>
      <c r="M2186" s="1" t="s">
        <v>205</v>
      </c>
      <c r="N2186" s="8" t="s">
        <v>206</v>
      </c>
      <c r="O2186" s="6">
        <v>0</v>
      </c>
      <c r="P2186" s="6">
        <v>0</v>
      </c>
      <c r="Q2186" s="6">
        <v>0</v>
      </c>
      <c r="R2186" s="6">
        <v>72</v>
      </c>
      <c r="S2186" s="6">
        <v>0</v>
      </c>
    </row>
    <row r="2187" spans="1:19" ht="15" hidden="1" x14ac:dyDescent="0.25">
      <c r="A2187" s="7" t="s">
        <v>16</v>
      </c>
      <c r="B2187" s="7" t="s">
        <v>23</v>
      </c>
      <c r="C2187" s="7" t="s">
        <v>24</v>
      </c>
      <c r="D2187" s="4">
        <v>28806545000532</v>
      </c>
      <c r="E2187" s="8" t="s">
        <v>1050</v>
      </c>
      <c r="F2187" s="8" t="s">
        <v>1051</v>
      </c>
      <c r="G2187" s="8" t="s">
        <v>61</v>
      </c>
      <c r="H2187" s="8" t="s">
        <v>215</v>
      </c>
      <c r="I2187" s="3">
        <v>2</v>
      </c>
      <c r="J2187" s="8" t="s">
        <v>173</v>
      </c>
      <c r="K2187" s="8" t="s">
        <v>174</v>
      </c>
      <c r="L2187" s="8" t="s">
        <v>557</v>
      </c>
      <c r="M2187" s="1" t="s">
        <v>205</v>
      </c>
      <c r="N2187" s="8" t="s">
        <v>206</v>
      </c>
      <c r="O2187" s="6">
        <v>0</v>
      </c>
      <c r="P2187" s="6">
        <v>0</v>
      </c>
      <c r="Q2187" s="6">
        <v>0</v>
      </c>
      <c r="R2187" s="6">
        <v>0</v>
      </c>
      <c r="S2187" s="6">
        <v>0</v>
      </c>
    </row>
    <row r="2188" spans="1:19" ht="15" hidden="1" x14ac:dyDescent="0.25">
      <c r="A2188" s="7" t="s">
        <v>16</v>
      </c>
      <c r="B2188" s="7" t="s">
        <v>23</v>
      </c>
      <c r="C2188" s="7" t="s">
        <v>24</v>
      </c>
      <c r="D2188" s="4">
        <v>29072642000188</v>
      </c>
      <c r="E2188" s="8" t="s">
        <v>1052</v>
      </c>
      <c r="F2188" s="8" t="s">
        <v>92</v>
      </c>
      <c r="G2188" s="8" t="s">
        <v>61</v>
      </c>
      <c r="H2188" s="8" t="s">
        <v>215</v>
      </c>
      <c r="I2188" s="3">
        <v>2</v>
      </c>
      <c r="J2188" s="8" t="s">
        <v>155</v>
      </c>
      <c r="K2188" s="8" t="s">
        <v>156</v>
      </c>
      <c r="L2188" s="8" t="s">
        <v>556</v>
      </c>
      <c r="M2188" s="1" t="s">
        <v>205</v>
      </c>
      <c r="N2188" s="8" t="s">
        <v>206</v>
      </c>
      <c r="O2188" s="6">
        <v>0</v>
      </c>
      <c r="P2188" s="6">
        <v>0</v>
      </c>
      <c r="Q2188" s="6">
        <v>0</v>
      </c>
      <c r="R2188" s="6">
        <v>0</v>
      </c>
      <c r="S2188" s="6">
        <v>0</v>
      </c>
    </row>
    <row r="2189" spans="1:19" ht="15" hidden="1" x14ac:dyDescent="0.25">
      <c r="A2189" s="7" t="s">
        <v>16</v>
      </c>
      <c r="B2189" s="7" t="s">
        <v>23</v>
      </c>
      <c r="C2189" s="7" t="s">
        <v>24</v>
      </c>
      <c r="D2189" s="4">
        <v>29072642000188</v>
      </c>
      <c r="E2189" s="8" t="s">
        <v>1052</v>
      </c>
      <c r="F2189" s="8" t="s">
        <v>92</v>
      </c>
      <c r="G2189" s="8" t="s">
        <v>61</v>
      </c>
      <c r="H2189" s="8" t="s">
        <v>215</v>
      </c>
      <c r="I2189" s="3">
        <v>2</v>
      </c>
      <c r="J2189" s="8" t="s">
        <v>173</v>
      </c>
      <c r="K2189" s="8" t="s">
        <v>174</v>
      </c>
      <c r="L2189" s="8" t="s">
        <v>557</v>
      </c>
      <c r="M2189" s="1" t="s">
        <v>205</v>
      </c>
      <c r="N2189" s="8" t="s">
        <v>206</v>
      </c>
      <c r="O2189" s="6">
        <v>0</v>
      </c>
      <c r="P2189" s="6">
        <v>8</v>
      </c>
      <c r="Q2189" s="6">
        <v>0</v>
      </c>
      <c r="R2189" s="6">
        <v>0</v>
      </c>
      <c r="S2189" s="6">
        <v>0</v>
      </c>
    </row>
    <row r="2190" spans="1:19" ht="15" hidden="1" x14ac:dyDescent="0.25">
      <c r="A2190" s="7" t="s">
        <v>16</v>
      </c>
      <c r="B2190" s="7" t="s">
        <v>23</v>
      </c>
      <c r="C2190" s="7" t="s">
        <v>24</v>
      </c>
      <c r="D2190" s="4">
        <v>31925548000176</v>
      </c>
      <c r="E2190" s="8" t="s">
        <v>1108</v>
      </c>
      <c r="F2190" s="8" t="s">
        <v>131</v>
      </c>
      <c r="G2190" s="8" t="s">
        <v>61</v>
      </c>
      <c r="H2190" s="8" t="s">
        <v>215</v>
      </c>
      <c r="I2190" s="3">
        <v>2</v>
      </c>
      <c r="J2190" s="8" t="s">
        <v>155</v>
      </c>
      <c r="K2190" s="8" t="s">
        <v>156</v>
      </c>
      <c r="L2190" s="8" t="s">
        <v>556</v>
      </c>
      <c r="M2190" s="1" t="s">
        <v>205</v>
      </c>
      <c r="N2190" s="8" t="s">
        <v>206</v>
      </c>
      <c r="O2190" s="6">
        <v>0</v>
      </c>
      <c r="P2190" s="6">
        <v>0</v>
      </c>
      <c r="Q2190" s="6">
        <v>0</v>
      </c>
      <c r="R2190" s="6">
        <v>0</v>
      </c>
      <c r="S2190" s="6">
        <v>90</v>
      </c>
    </row>
    <row r="2191" spans="1:19" ht="15" hidden="1" x14ac:dyDescent="0.25">
      <c r="A2191" s="7" t="s">
        <v>16</v>
      </c>
      <c r="B2191" s="7" t="s">
        <v>23</v>
      </c>
      <c r="C2191" s="7" t="s">
        <v>24</v>
      </c>
      <c r="D2191" s="4">
        <v>31925548000176</v>
      </c>
      <c r="E2191" s="8" t="s">
        <v>1108</v>
      </c>
      <c r="F2191" s="8" t="s">
        <v>131</v>
      </c>
      <c r="G2191" s="8" t="s">
        <v>61</v>
      </c>
      <c r="H2191" s="8" t="s">
        <v>215</v>
      </c>
      <c r="I2191" s="3">
        <v>2</v>
      </c>
      <c r="J2191" s="8" t="s">
        <v>173</v>
      </c>
      <c r="K2191" s="8" t="s">
        <v>174</v>
      </c>
      <c r="L2191" s="8" t="s">
        <v>557</v>
      </c>
      <c r="M2191" s="1" t="s">
        <v>205</v>
      </c>
      <c r="N2191" s="8" t="s">
        <v>206</v>
      </c>
      <c r="O2191" s="6">
        <v>0</v>
      </c>
      <c r="P2191" s="6">
        <v>0</v>
      </c>
      <c r="Q2191" s="6">
        <v>0</v>
      </c>
      <c r="R2191" s="6">
        <v>0</v>
      </c>
      <c r="S2191" s="6">
        <v>90</v>
      </c>
    </row>
    <row r="2192" spans="1:19" ht="15" hidden="1" x14ac:dyDescent="0.25">
      <c r="A2192" s="7" t="s">
        <v>16</v>
      </c>
      <c r="B2192" s="7" t="s">
        <v>23</v>
      </c>
      <c r="C2192" s="7" t="s">
        <v>24</v>
      </c>
      <c r="D2192" s="4">
        <v>60922168000348</v>
      </c>
      <c r="E2192" s="8" t="s">
        <v>1125</v>
      </c>
      <c r="F2192" s="8" t="s">
        <v>131</v>
      </c>
      <c r="G2192" s="8" t="s">
        <v>61</v>
      </c>
      <c r="H2192" s="8" t="s">
        <v>215</v>
      </c>
      <c r="I2192" s="3">
        <v>2</v>
      </c>
      <c r="J2192" s="8" t="s">
        <v>155</v>
      </c>
      <c r="K2192" s="8" t="s">
        <v>156</v>
      </c>
      <c r="L2192" s="8" t="s">
        <v>556</v>
      </c>
      <c r="M2192" s="1" t="s">
        <v>205</v>
      </c>
      <c r="N2192" s="8" t="s">
        <v>206</v>
      </c>
      <c r="O2192" s="6">
        <v>0</v>
      </c>
      <c r="P2192" s="6">
        <v>0</v>
      </c>
      <c r="Q2192" s="6">
        <v>0</v>
      </c>
      <c r="R2192" s="6">
        <v>0</v>
      </c>
      <c r="S2192" s="6">
        <v>750</v>
      </c>
    </row>
    <row r="2193" spans="1:19" ht="15" hidden="1" x14ac:dyDescent="0.25">
      <c r="A2193" s="7" t="s">
        <v>16</v>
      </c>
      <c r="B2193" s="7" t="s">
        <v>23</v>
      </c>
      <c r="C2193" s="7" t="s">
        <v>24</v>
      </c>
      <c r="D2193" s="4">
        <v>60922168000348</v>
      </c>
      <c r="E2193" s="8" t="s">
        <v>1125</v>
      </c>
      <c r="F2193" s="8" t="s">
        <v>131</v>
      </c>
      <c r="G2193" s="8" t="s">
        <v>61</v>
      </c>
      <c r="H2193" s="8" t="s">
        <v>215</v>
      </c>
      <c r="I2193" s="3">
        <v>2</v>
      </c>
      <c r="J2193" s="8" t="s">
        <v>181</v>
      </c>
      <c r="K2193" s="8" t="s">
        <v>182</v>
      </c>
      <c r="L2193" s="8" t="s">
        <v>557</v>
      </c>
      <c r="M2193" s="1" t="s">
        <v>205</v>
      </c>
      <c r="N2193" s="8" t="s">
        <v>206</v>
      </c>
      <c r="O2193" s="6">
        <v>0</v>
      </c>
      <c r="P2193" s="6">
        <v>6</v>
      </c>
      <c r="Q2193" s="6">
        <v>6</v>
      </c>
      <c r="R2193" s="6">
        <v>0</v>
      </c>
      <c r="S2193" s="6">
        <v>750</v>
      </c>
    </row>
    <row r="2194" spans="1:19" ht="15" hidden="1" x14ac:dyDescent="0.25">
      <c r="A2194" s="7" t="s">
        <v>16</v>
      </c>
      <c r="B2194" s="7" t="s">
        <v>23</v>
      </c>
      <c r="C2194" s="7" t="s">
        <v>24</v>
      </c>
      <c r="D2194" s="4">
        <v>40320103000153</v>
      </c>
      <c r="E2194" s="8" t="s">
        <v>1121</v>
      </c>
      <c r="F2194" s="8" t="s">
        <v>131</v>
      </c>
      <c r="G2194" s="8" t="s">
        <v>61</v>
      </c>
      <c r="H2194" s="8" t="s">
        <v>215</v>
      </c>
      <c r="I2194" s="3">
        <v>2</v>
      </c>
      <c r="J2194" s="8" t="s">
        <v>155</v>
      </c>
      <c r="K2194" s="8" t="s">
        <v>156</v>
      </c>
      <c r="L2194" s="8" t="s">
        <v>556</v>
      </c>
      <c r="M2194" s="1" t="s">
        <v>205</v>
      </c>
      <c r="N2194" s="8" t="s">
        <v>206</v>
      </c>
      <c r="O2194" s="6">
        <v>0</v>
      </c>
      <c r="P2194" s="6">
        <v>0</v>
      </c>
      <c r="Q2194" s="6">
        <v>0</v>
      </c>
      <c r="R2194" s="6">
        <v>0</v>
      </c>
      <c r="S2194" s="6">
        <v>0</v>
      </c>
    </row>
    <row r="2195" spans="1:19" ht="15" hidden="1" x14ac:dyDescent="0.25">
      <c r="A2195" s="7" t="s">
        <v>16</v>
      </c>
      <c r="B2195" s="7" t="s">
        <v>23</v>
      </c>
      <c r="C2195" s="7" t="s">
        <v>24</v>
      </c>
      <c r="D2195" s="4">
        <v>40320103000153</v>
      </c>
      <c r="E2195" s="8" t="s">
        <v>1121</v>
      </c>
      <c r="F2195" s="8" t="s">
        <v>131</v>
      </c>
      <c r="G2195" s="8" t="s">
        <v>61</v>
      </c>
      <c r="H2195" s="8" t="s">
        <v>215</v>
      </c>
      <c r="I2195" s="3">
        <v>2</v>
      </c>
      <c r="J2195" s="8" t="s">
        <v>173</v>
      </c>
      <c r="K2195" s="8" t="s">
        <v>174</v>
      </c>
      <c r="L2195" s="8" t="s">
        <v>557</v>
      </c>
      <c r="M2195" s="1" t="s">
        <v>205</v>
      </c>
      <c r="N2195" s="8" t="s">
        <v>206</v>
      </c>
      <c r="O2195" s="6">
        <v>0</v>
      </c>
      <c r="P2195" s="6">
        <v>10</v>
      </c>
      <c r="Q2195" s="6">
        <v>0</v>
      </c>
      <c r="R2195" s="6">
        <v>0</v>
      </c>
      <c r="S2195" s="6">
        <v>0</v>
      </c>
    </row>
    <row r="2196" spans="1:19" ht="15" hidden="1" x14ac:dyDescent="0.25">
      <c r="A2196" s="7" t="s">
        <v>16</v>
      </c>
      <c r="B2196" s="7" t="s">
        <v>23</v>
      </c>
      <c r="C2196" s="7" t="s">
        <v>24</v>
      </c>
      <c r="D2196" s="4">
        <v>39086160000130</v>
      </c>
      <c r="E2196" s="8" t="s">
        <v>1119</v>
      </c>
      <c r="F2196" s="8" t="s">
        <v>131</v>
      </c>
      <c r="G2196" s="8" t="s">
        <v>61</v>
      </c>
      <c r="H2196" s="8" t="s">
        <v>215</v>
      </c>
      <c r="I2196" s="3">
        <v>2</v>
      </c>
      <c r="J2196" s="8" t="s">
        <v>155</v>
      </c>
      <c r="K2196" s="8" t="s">
        <v>156</v>
      </c>
      <c r="L2196" s="8" t="s">
        <v>556</v>
      </c>
      <c r="M2196" s="1" t="s">
        <v>205</v>
      </c>
      <c r="N2196" s="8" t="s">
        <v>206</v>
      </c>
      <c r="O2196" s="6">
        <v>0</v>
      </c>
      <c r="P2196" s="6">
        <v>0</v>
      </c>
      <c r="Q2196" s="6">
        <v>0</v>
      </c>
      <c r="R2196" s="6">
        <v>128</v>
      </c>
      <c r="S2196" s="6">
        <v>150</v>
      </c>
    </row>
    <row r="2197" spans="1:19" ht="15" hidden="1" x14ac:dyDescent="0.25">
      <c r="A2197" s="7" t="s">
        <v>16</v>
      </c>
      <c r="B2197" s="7" t="s">
        <v>23</v>
      </c>
      <c r="C2197" s="7" t="s">
        <v>24</v>
      </c>
      <c r="D2197" s="4">
        <v>39086160000130</v>
      </c>
      <c r="E2197" s="8" t="s">
        <v>1119</v>
      </c>
      <c r="F2197" s="8" t="s">
        <v>131</v>
      </c>
      <c r="G2197" s="8" t="s">
        <v>61</v>
      </c>
      <c r="H2197" s="8" t="s">
        <v>215</v>
      </c>
      <c r="I2197" s="3">
        <v>2</v>
      </c>
      <c r="J2197" s="8" t="s">
        <v>181</v>
      </c>
      <c r="K2197" s="8" t="s">
        <v>182</v>
      </c>
      <c r="L2197" s="8" t="s">
        <v>557</v>
      </c>
      <c r="M2197" s="1" t="s">
        <v>205</v>
      </c>
      <c r="N2197" s="8" t="s">
        <v>206</v>
      </c>
      <c r="O2197" s="6">
        <v>0</v>
      </c>
      <c r="P2197" s="6">
        <v>0</v>
      </c>
      <c r="Q2197" s="6">
        <v>0</v>
      </c>
      <c r="R2197" s="6">
        <v>0</v>
      </c>
      <c r="S2197" s="6">
        <v>150</v>
      </c>
    </row>
    <row r="2198" spans="1:19" ht="15" hidden="1" x14ac:dyDescent="0.25">
      <c r="A2198" s="7" t="s">
        <v>16</v>
      </c>
      <c r="B2198" s="7" t="s">
        <v>23</v>
      </c>
      <c r="C2198" s="7" t="s">
        <v>24</v>
      </c>
      <c r="D2198" s="4">
        <v>4779685002382</v>
      </c>
      <c r="E2198" s="8" t="s">
        <v>1079</v>
      </c>
      <c r="F2198" s="8" t="s">
        <v>131</v>
      </c>
      <c r="G2198" s="8" t="s">
        <v>61</v>
      </c>
      <c r="H2198" s="8" t="s">
        <v>215</v>
      </c>
      <c r="I2198" s="3">
        <v>2</v>
      </c>
      <c r="J2198" s="8" t="s">
        <v>155</v>
      </c>
      <c r="K2198" s="8" t="s">
        <v>156</v>
      </c>
      <c r="L2198" s="8" t="s">
        <v>556</v>
      </c>
      <c r="M2198" s="1" t="s">
        <v>205</v>
      </c>
      <c r="N2198" s="8" t="s">
        <v>206</v>
      </c>
      <c r="O2198" s="6">
        <v>0</v>
      </c>
      <c r="P2198" s="6">
        <v>0</v>
      </c>
      <c r="Q2198" s="6">
        <v>0</v>
      </c>
      <c r="R2198" s="6">
        <v>0</v>
      </c>
      <c r="S2198" s="6">
        <v>180</v>
      </c>
    </row>
    <row r="2199" spans="1:19" ht="15" hidden="1" x14ac:dyDescent="0.25">
      <c r="A2199" s="7" t="s">
        <v>16</v>
      </c>
      <c r="B2199" s="7" t="s">
        <v>23</v>
      </c>
      <c r="C2199" s="7" t="s">
        <v>24</v>
      </c>
      <c r="D2199" s="4">
        <v>4779685002382</v>
      </c>
      <c r="E2199" s="8" t="s">
        <v>1079</v>
      </c>
      <c r="F2199" s="8" t="s">
        <v>131</v>
      </c>
      <c r="G2199" s="8" t="s">
        <v>61</v>
      </c>
      <c r="H2199" s="8" t="s">
        <v>215</v>
      </c>
      <c r="I2199" s="3">
        <v>2</v>
      </c>
      <c r="J2199" s="8" t="s">
        <v>181</v>
      </c>
      <c r="K2199" s="8" t="s">
        <v>182</v>
      </c>
      <c r="L2199" s="8" t="s">
        <v>557</v>
      </c>
      <c r="M2199" s="1" t="s">
        <v>205</v>
      </c>
      <c r="N2199" s="8" t="s">
        <v>206</v>
      </c>
      <c r="O2199" s="6">
        <v>0</v>
      </c>
      <c r="P2199" s="6">
        <v>0</v>
      </c>
      <c r="Q2199" s="6">
        <v>0</v>
      </c>
      <c r="R2199" s="6">
        <v>0</v>
      </c>
      <c r="S2199" s="6">
        <v>180</v>
      </c>
    </row>
    <row r="2200" spans="1:19" ht="15" hidden="1" x14ac:dyDescent="0.25">
      <c r="A2200" s="7" t="s">
        <v>16</v>
      </c>
      <c r="B2200" s="7" t="s">
        <v>23</v>
      </c>
      <c r="C2200" s="7" t="s">
        <v>24</v>
      </c>
      <c r="D2200" s="4">
        <v>21265360000195</v>
      </c>
      <c r="E2200" s="8" t="s">
        <v>1094</v>
      </c>
      <c r="F2200" s="8" t="s">
        <v>131</v>
      </c>
      <c r="G2200" s="8" t="s">
        <v>61</v>
      </c>
      <c r="H2200" s="8" t="s">
        <v>215</v>
      </c>
      <c r="I2200" s="3">
        <v>2</v>
      </c>
      <c r="J2200" s="8" t="s">
        <v>155</v>
      </c>
      <c r="K2200" s="8" t="s">
        <v>156</v>
      </c>
      <c r="L2200" s="8" t="s">
        <v>556</v>
      </c>
      <c r="M2200" s="1" t="s">
        <v>205</v>
      </c>
      <c r="N2200" s="8" t="s">
        <v>206</v>
      </c>
      <c r="O2200" s="6">
        <v>0</v>
      </c>
      <c r="P2200" s="6">
        <v>0</v>
      </c>
      <c r="Q2200" s="6">
        <v>0</v>
      </c>
      <c r="R2200" s="6">
        <v>16</v>
      </c>
      <c r="S2200" s="6">
        <v>0</v>
      </c>
    </row>
    <row r="2201" spans="1:19" ht="15" hidden="1" x14ac:dyDescent="0.25">
      <c r="A2201" s="7" t="s">
        <v>16</v>
      </c>
      <c r="B2201" s="7" t="s">
        <v>23</v>
      </c>
      <c r="C2201" s="7" t="s">
        <v>24</v>
      </c>
      <c r="D2201" s="4">
        <v>21265360000195</v>
      </c>
      <c r="E2201" s="8" t="s">
        <v>1094</v>
      </c>
      <c r="F2201" s="8" t="s">
        <v>131</v>
      </c>
      <c r="G2201" s="8" t="s">
        <v>61</v>
      </c>
      <c r="H2201" s="8" t="s">
        <v>215</v>
      </c>
      <c r="I2201" s="3">
        <v>2</v>
      </c>
      <c r="J2201" s="8" t="s">
        <v>173</v>
      </c>
      <c r="K2201" s="8" t="s">
        <v>174</v>
      </c>
      <c r="L2201" s="8" t="s">
        <v>557</v>
      </c>
      <c r="M2201" s="1" t="s">
        <v>205</v>
      </c>
      <c r="N2201" s="8" t="s">
        <v>206</v>
      </c>
      <c r="O2201" s="6">
        <v>0</v>
      </c>
      <c r="P2201" s="6">
        <v>0</v>
      </c>
      <c r="Q2201" s="6">
        <v>0</v>
      </c>
      <c r="R2201" s="6">
        <v>0</v>
      </c>
      <c r="S2201" s="6">
        <v>0</v>
      </c>
    </row>
    <row r="2202" spans="1:19" ht="15" hidden="1" x14ac:dyDescent="0.25">
      <c r="A2202" s="7" t="s">
        <v>16</v>
      </c>
      <c r="B2202" s="7" t="s">
        <v>23</v>
      </c>
      <c r="C2202" s="7" t="s">
        <v>24</v>
      </c>
      <c r="D2202" s="4">
        <v>31635857000292</v>
      </c>
      <c r="E2202" s="8" t="s">
        <v>1107</v>
      </c>
      <c r="F2202" s="8" t="s">
        <v>131</v>
      </c>
      <c r="G2202" s="8" t="s">
        <v>61</v>
      </c>
      <c r="H2202" s="8" t="s">
        <v>215</v>
      </c>
      <c r="I2202" s="3">
        <v>2</v>
      </c>
      <c r="J2202" s="8" t="s">
        <v>155</v>
      </c>
      <c r="K2202" s="8" t="s">
        <v>156</v>
      </c>
      <c r="L2202" s="8" t="s">
        <v>556</v>
      </c>
      <c r="M2202" s="1" t="s">
        <v>205</v>
      </c>
      <c r="N2202" s="8" t="s">
        <v>206</v>
      </c>
      <c r="O2202" s="6">
        <v>0</v>
      </c>
      <c r="P2202" s="6">
        <v>0</v>
      </c>
      <c r="Q2202" s="6">
        <v>0</v>
      </c>
      <c r="R2202" s="6">
        <v>32</v>
      </c>
      <c r="S2202" s="6">
        <v>0</v>
      </c>
    </row>
    <row r="2203" spans="1:19" ht="15" hidden="1" x14ac:dyDescent="0.25">
      <c r="A2203" s="7" t="s">
        <v>16</v>
      </c>
      <c r="B2203" s="7" t="s">
        <v>23</v>
      </c>
      <c r="C2203" s="7" t="s">
        <v>24</v>
      </c>
      <c r="D2203" s="4">
        <v>31635857000292</v>
      </c>
      <c r="E2203" s="8" t="s">
        <v>1107</v>
      </c>
      <c r="F2203" s="8" t="s">
        <v>131</v>
      </c>
      <c r="G2203" s="8" t="s">
        <v>61</v>
      </c>
      <c r="H2203" s="8" t="s">
        <v>215</v>
      </c>
      <c r="I2203" s="3">
        <v>2</v>
      </c>
      <c r="J2203" s="8" t="s">
        <v>181</v>
      </c>
      <c r="K2203" s="8" t="s">
        <v>182</v>
      </c>
      <c r="L2203" s="8" t="s">
        <v>557</v>
      </c>
      <c r="M2203" s="1" t="s">
        <v>205</v>
      </c>
      <c r="N2203" s="8" t="s">
        <v>206</v>
      </c>
      <c r="O2203" s="6">
        <v>0</v>
      </c>
      <c r="P2203" s="6">
        <v>0</v>
      </c>
      <c r="Q2203" s="6">
        <v>0</v>
      </c>
      <c r="R2203" s="6">
        <v>0</v>
      </c>
      <c r="S2203" s="6">
        <v>0</v>
      </c>
    </row>
    <row r="2204" spans="1:19" ht="15" hidden="1" x14ac:dyDescent="0.25">
      <c r="A2204" s="7" t="s">
        <v>16</v>
      </c>
      <c r="B2204" s="7" t="s">
        <v>23</v>
      </c>
      <c r="C2204" s="7" t="s">
        <v>24</v>
      </c>
      <c r="D2204" s="4">
        <v>42297507000107</v>
      </c>
      <c r="E2204" s="8" t="s">
        <v>1122</v>
      </c>
      <c r="F2204" s="8" t="s">
        <v>131</v>
      </c>
      <c r="G2204" s="8" t="s">
        <v>61</v>
      </c>
      <c r="H2204" s="8" t="s">
        <v>215</v>
      </c>
      <c r="I2204" s="3">
        <v>2</v>
      </c>
      <c r="J2204" s="8" t="s">
        <v>155</v>
      </c>
      <c r="K2204" s="8" t="s">
        <v>156</v>
      </c>
      <c r="L2204" s="8" t="s">
        <v>556</v>
      </c>
      <c r="M2204" s="1" t="s">
        <v>205</v>
      </c>
      <c r="N2204" s="8" t="s">
        <v>206</v>
      </c>
      <c r="O2204" s="6">
        <v>0</v>
      </c>
      <c r="P2204" s="6">
        <v>0</v>
      </c>
      <c r="Q2204" s="6">
        <v>0</v>
      </c>
      <c r="R2204" s="6">
        <v>0</v>
      </c>
      <c r="S2204" s="6">
        <v>0</v>
      </c>
    </row>
    <row r="2205" spans="1:19" ht="15" hidden="1" x14ac:dyDescent="0.25">
      <c r="A2205" s="7" t="s">
        <v>16</v>
      </c>
      <c r="B2205" s="7" t="s">
        <v>23</v>
      </c>
      <c r="C2205" s="7" t="s">
        <v>24</v>
      </c>
      <c r="D2205" s="4">
        <v>42297507000107</v>
      </c>
      <c r="E2205" s="8" t="s">
        <v>1122</v>
      </c>
      <c r="F2205" s="8" t="s">
        <v>131</v>
      </c>
      <c r="G2205" s="8" t="s">
        <v>61</v>
      </c>
      <c r="H2205" s="8" t="s">
        <v>215</v>
      </c>
      <c r="I2205" s="3">
        <v>2</v>
      </c>
      <c r="J2205" s="8" t="s">
        <v>181</v>
      </c>
      <c r="K2205" s="8" t="s">
        <v>182</v>
      </c>
      <c r="L2205" s="8" t="s">
        <v>557</v>
      </c>
      <c r="M2205" s="1" t="s">
        <v>205</v>
      </c>
      <c r="N2205" s="8" t="s">
        <v>206</v>
      </c>
      <c r="O2205" s="6">
        <v>0</v>
      </c>
      <c r="P2205" s="6">
        <v>6</v>
      </c>
      <c r="Q2205" s="6">
        <v>3</v>
      </c>
      <c r="R2205" s="6">
        <v>0</v>
      </c>
      <c r="S2205" s="6">
        <v>0</v>
      </c>
    </row>
    <row r="2206" spans="1:19" ht="15" hidden="1" x14ac:dyDescent="0.25">
      <c r="A2206" s="7" t="s">
        <v>16</v>
      </c>
      <c r="B2206" s="7" t="s">
        <v>23</v>
      </c>
      <c r="C2206" s="7" t="s">
        <v>24</v>
      </c>
      <c r="D2206" s="4">
        <v>2284062000521</v>
      </c>
      <c r="E2206" s="8" t="s">
        <v>1077</v>
      </c>
      <c r="F2206" s="8" t="s">
        <v>131</v>
      </c>
      <c r="G2206" s="8" t="s">
        <v>61</v>
      </c>
      <c r="H2206" s="8" t="s">
        <v>215</v>
      </c>
      <c r="I2206" s="3">
        <v>2</v>
      </c>
      <c r="J2206" s="8" t="s">
        <v>155</v>
      </c>
      <c r="K2206" s="8" t="s">
        <v>156</v>
      </c>
      <c r="L2206" s="8" t="s">
        <v>556</v>
      </c>
      <c r="M2206" s="1" t="s">
        <v>205</v>
      </c>
      <c r="N2206" s="8" t="s">
        <v>206</v>
      </c>
      <c r="O2206" s="6">
        <v>0</v>
      </c>
      <c r="P2206" s="6">
        <v>0</v>
      </c>
      <c r="Q2206" s="6">
        <v>0</v>
      </c>
      <c r="R2206" s="6">
        <v>0</v>
      </c>
      <c r="S2206" s="6">
        <v>0</v>
      </c>
    </row>
    <row r="2207" spans="1:19" ht="15" hidden="1" x14ac:dyDescent="0.25">
      <c r="A2207" s="7" t="s">
        <v>16</v>
      </c>
      <c r="B2207" s="7" t="s">
        <v>23</v>
      </c>
      <c r="C2207" s="7" t="s">
        <v>24</v>
      </c>
      <c r="D2207" s="4">
        <v>2284062000521</v>
      </c>
      <c r="E2207" s="8" t="s">
        <v>1077</v>
      </c>
      <c r="F2207" s="8" t="s">
        <v>131</v>
      </c>
      <c r="G2207" s="8" t="s">
        <v>61</v>
      </c>
      <c r="H2207" s="8" t="s">
        <v>215</v>
      </c>
      <c r="I2207" s="3">
        <v>2</v>
      </c>
      <c r="J2207" s="8" t="s">
        <v>173</v>
      </c>
      <c r="K2207" s="8" t="s">
        <v>174</v>
      </c>
      <c r="L2207" s="8" t="s">
        <v>557</v>
      </c>
      <c r="M2207" s="1" t="s">
        <v>205</v>
      </c>
      <c r="N2207" s="8" t="s">
        <v>206</v>
      </c>
      <c r="O2207" s="6">
        <v>0</v>
      </c>
      <c r="P2207" s="6">
        <v>25</v>
      </c>
      <c r="Q2207" s="6">
        <v>0</v>
      </c>
      <c r="R2207" s="6">
        <v>0</v>
      </c>
      <c r="S2207" s="6">
        <v>0</v>
      </c>
    </row>
    <row r="2208" spans="1:19" ht="15" hidden="1" x14ac:dyDescent="0.25">
      <c r="A2208" s="7" t="s">
        <v>16</v>
      </c>
      <c r="B2208" s="7" t="s">
        <v>23</v>
      </c>
      <c r="C2208" s="7" t="s">
        <v>24</v>
      </c>
      <c r="D2208" s="4">
        <v>6047087000996</v>
      </c>
      <c r="E2208" s="8" t="s">
        <v>1080</v>
      </c>
      <c r="F2208" s="8" t="s">
        <v>131</v>
      </c>
      <c r="G2208" s="8" t="s">
        <v>61</v>
      </c>
      <c r="H2208" s="8" t="s">
        <v>215</v>
      </c>
      <c r="I2208" s="3">
        <v>2</v>
      </c>
      <c r="J2208" s="8" t="s">
        <v>155</v>
      </c>
      <c r="K2208" s="8" t="s">
        <v>156</v>
      </c>
      <c r="L2208" s="8" t="s">
        <v>556</v>
      </c>
      <c r="M2208" s="1" t="s">
        <v>205</v>
      </c>
      <c r="N2208" s="8" t="s">
        <v>206</v>
      </c>
      <c r="O2208" s="6">
        <v>0</v>
      </c>
      <c r="P2208" s="6">
        <v>0</v>
      </c>
      <c r="Q2208" s="6">
        <v>0</v>
      </c>
      <c r="R2208" s="6">
        <v>0</v>
      </c>
      <c r="S2208" s="6">
        <v>0</v>
      </c>
    </row>
    <row r="2209" spans="1:19" ht="15" hidden="1" x14ac:dyDescent="0.25">
      <c r="A2209" s="7" t="s">
        <v>16</v>
      </c>
      <c r="B2209" s="7" t="s">
        <v>23</v>
      </c>
      <c r="C2209" s="7" t="s">
        <v>24</v>
      </c>
      <c r="D2209" s="4">
        <v>6047087000996</v>
      </c>
      <c r="E2209" s="8" t="s">
        <v>1080</v>
      </c>
      <c r="F2209" s="8" t="s">
        <v>131</v>
      </c>
      <c r="G2209" s="8" t="s">
        <v>61</v>
      </c>
      <c r="H2209" s="8" t="s">
        <v>215</v>
      </c>
      <c r="I2209" s="3">
        <v>2</v>
      </c>
      <c r="J2209" s="8" t="s">
        <v>181</v>
      </c>
      <c r="K2209" s="8" t="s">
        <v>182</v>
      </c>
      <c r="L2209" s="8" t="s">
        <v>557</v>
      </c>
      <c r="M2209" s="1" t="s">
        <v>205</v>
      </c>
      <c r="N2209" s="8" t="s">
        <v>206</v>
      </c>
      <c r="O2209" s="6">
        <v>0</v>
      </c>
      <c r="P2209" s="6">
        <v>20</v>
      </c>
      <c r="Q2209" s="6">
        <v>0</v>
      </c>
      <c r="R2209" s="6">
        <v>0</v>
      </c>
      <c r="S2209" s="6">
        <v>0</v>
      </c>
    </row>
    <row r="2210" spans="1:19" ht="15" hidden="1" x14ac:dyDescent="0.25">
      <c r="A2210" s="7" t="s">
        <v>16</v>
      </c>
      <c r="B2210" s="7" t="s">
        <v>23</v>
      </c>
      <c r="C2210" s="7" t="s">
        <v>24</v>
      </c>
      <c r="D2210" s="4">
        <v>394544020453</v>
      </c>
      <c r="E2210" s="8" t="s">
        <v>1074</v>
      </c>
      <c r="F2210" s="8" t="s">
        <v>131</v>
      </c>
      <c r="G2210" s="8" t="s">
        <v>61</v>
      </c>
      <c r="H2210" s="8" t="s">
        <v>215</v>
      </c>
      <c r="I2210" s="3">
        <v>2</v>
      </c>
      <c r="J2210" s="8" t="s">
        <v>155</v>
      </c>
      <c r="K2210" s="8" t="s">
        <v>156</v>
      </c>
      <c r="L2210" s="8" t="s">
        <v>556</v>
      </c>
      <c r="M2210" s="1" t="s">
        <v>205</v>
      </c>
      <c r="N2210" s="8" t="s">
        <v>206</v>
      </c>
      <c r="O2210" s="6">
        <v>0</v>
      </c>
      <c r="P2210" s="6">
        <v>0</v>
      </c>
      <c r="Q2210" s="6">
        <v>0</v>
      </c>
      <c r="R2210" s="6">
        <v>0</v>
      </c>
      <c r="S2210" s="6">
        <v>350</v>
      </c>
    </row>
    <row r="2211" spans="1:19" ht="15" hidden="1" x14ac:dyDescent="0.25">
      <c r="A2211" s="7" t="s">
        <v>16</v>
      </c>
      <c r="B2211" s="7" t="s">
        <v>23</v>
      </c>
      <c r="C2211" s="7" t="s">
        <v>24</v>
      </c>
      <c r="D2211" s="4">
        <v>394544020453</v>
      </c>
      <c r="E2211" s="8" t="s">
        <v>1074</v>
      </c>
      <c r="F2211" s="8" t="s">
        <v>131</v>
      </c>
      <c r="G2211" s="8" t="s">
        <v>61</v>
      </c>
      <c r="H2211" s="8" t="s">
        <v>215</v>
      </c>
      <c r="I2211" s="3">
        <v>2</v>
      </c>
      <c r="J2211" s="8" t="s">
        <v>181</v>
      </c>
      <c r="K2211" s="8" t="s">
        <v>182</v>
      </c>
      <c r="L2211" s="8" t="s">
        <v>557</v>
      </c>
      <c r="M2211" s="1" t="s">
        <v>205</v>
      </c>
      <c r="N2211" s="8" t="s">
        <v>206</v>
      </c>
      <c r="O2211" s="6">
        <v>0</v>
      </c>
      <c r="P2211" s="6">
        <v>0</v>
      </c>
      <c r="Q2211" s="6">
        <v>0</v>
      </c>
      <c r="R2211" s="6">
        <v>0</v>
      </c>
      <c r="S2211" s="6">
        <v>350</v>
      </c>
    </row>
    <row r="2212" spans="1:19" ht="15" hidden="1" x14ac:dyDescent="0.25">
      <c r="A2212" s="7" t="s">
        <v>16</v>
      </c>
      <c r="B2212" s="7" t="s">
        <v>23</v>
      </c>
      <c r="C2212" s="7" t="s">
        <v>24</v>
      </c>
      <c r="D2212" s="4">
        <v>394544020372</v>
      </c>
      <c r="E2212" s="8" t="s">
        <v>1073</v>
      </c>
      <c r="F2212" s="8" t="s">
        <v>131</v>
      </c>
      <c r="G2212" s="8" t="s">
        <v>61</v>
      </c>
      <c r="H2212" s="8" t="s">
        <v>215</v>
      </c>
      <c r="I2212" s="3">
        <v>2</v>
      </c>
      <c r="J2212" s="8" t="s">
        <v>155</v>
      </c>
      <c r="K2212" s="8" t="s">
        <v>156</v>
      </c>
      <c r="L2212" s="8" t="s">
        <v>556</v>
      </c>
      <c r="M2212" s="1" t="s">
        <v>205</v>
      </c>
      <c r="N2212" s="8" t="s">
        <v>206</v>
      </c>
      <c r="O2212" s="6">
        <v>0</v>
      </c>
      <c r="P2212" s="6">
        <v>0</v>
      </c>
      <c r="Q2212" s="6">
        <v>0</v>
      </c>
      <c r="R2212" s="6">
        <v>0</v>
      </c>
      <c r="S2212" s="6">
        <v>885</v>
      </c>
    </row>
    <row r="2213" spans="1:19" ht="15" hidden="1" x14ac:dyDescent="0.25">
      <c r="A2213" s="7" t="s">
        <v>16</v>
      </c>
      <c r="B2213" s="7" t="s">
        <v>23</v>
      </c>
      <c r="C2213" s="7" t="s">
        <v>24</v>
      </c>
      <c r="D2213" s="4">
        <v>394544020372</v>
      </c>
      <c r="E2213" s="8" t="s">
        <v>1073</v>
      </c>
      <c r="F2213" s="8" t="s">
        <v>131</v>
      </c>
      <c r="G2213" s="8" t="s">
        <v>61</v>
      </c>
      <c r="H2213" s="8" t="s">
        <v>215</v>
      </c>
      <c r="I2213" s="3">
        <v>2</v>
      </c>
      <c r="J2213" s="8" t="s">
        <v>181</v>
      </c>
      <c r="K2213" s="8" t="s">
        <v>182</v>
      </c>
      <c r="L2213" s="8" t="s">
        <v>557</v>
      </c>
      <c r="M2213" s="1" t="s">
        <v>205</v>
      </c>
      <c r="N2213" s="8" t="s">
        <v>206</v>
      </c>
      <c r="O2213" s="6">
        <v>0</v>
      </c>
      <c r="P2213" s="6">
        <v>0</v>
      </c>
      <c r="Q2213" s="6">
        <v>0</v>
      </c>
      <c r="R2213" s="6">
        <v>0</v>
      </c>
      <c r="S2213" s="6">
        <v>885</v>
      </c>
    </row>
    <row r="2214" spans="1:19" ht="15" hidden="1" x14ac:dyDescent="0.25">
      <c r="A2214" s="7" t="s">
        <v>16</v>
      </c>
      <c r="B2214" s="7" t="s">
        <v>23</v>
      </c>
      <c r="C2214" s="7" t="s">
        <v>24</v>
      </c>
      <c r="D2214" s="4">
        <v>394544021000</v>
      </c>
      <c r="E2214" s="8" t="s">
        <v>1075</v>
      </c>
      <c r="F2214" s="8" t="s">
        <v>131</v>
      </c>
      <c r="G2214" s="8" t="s">
        <v>61</v>
      </c>
      <c r="H2214" s="8" t="s">
        <v>215</v>
      </c>
      <c r="I2214" s="3">
        <v>2</v>
      </c>
      <c r="J2214" s="8" t="s">
        <v>155</v>
      </c>
      <c r="K2214" s="8" t="s">
        <v>156</v>
      </c>
      <c r="L2214" s="8" t="s">
        <v>556</v>
      </c>
      <c r="M2214" s="1" t="s">
        <v>205</v>
      </c>
      <c r="N2214" s="8" t="s">
        <v>206</v>
      </c>
      <c r="O2214" s="6">
        <v>0</v>
      </c>
      <c r="P2214" s="6">
        <v>0</v>
      </c>
      <c r="Q2214" s="6">
        <v>0</v>
      </c>
      <c r="R2214" s="6">
        <v>0</v>
      </c>
      <c r="S2214" s="6">
        <v>150</v>
      </c>
    </row>
    <row r="2215" spans="1:19" ht="15" hidden="1" x14ac:dyDescent="0.25">
      <c r="A2215" s="7" t="s">
        <v>16</v>
      </c>
      <c r="B2215" s="7" t="s">
        <v>23</v>
      </c>
      <c r="C2215" s="7" t="s">
        <v>24</v>
      </c>
      <c r="D2215" s="4">
        <v>394544021000</v>
      </c>
      <c r="E2215" s="8" t="s">
        <v>1075</v>
      </c>
      <c r="F2215" s="8" t="s">
        <v>131</v>
      </c>
      <c r="G2215" s="8" t="s">
        <v>61</v>
      </c>
      <c r="H2215" s="8" t="s">
        <v>215</v>
      </c>
      <c r="I2215" s="3">
        <v>2</v>
      </c>
      <c r="J2215" s="8" t="s">
        <v>181</v>
      </c>
      <c r="K2215" s="8" t="s">
        <v>182</v>
      </c>
      <c r="L2215" s="8" t="s">
        <v>557</v>
      </c>
      <c r="M2215" s="1" t="s">
        <v>205</v>
      </c>
      <c r="N2215" s="8" t="s">
        <v>206</v>
      </c>
      <c r="O2215" s="6">
        <v>0</v>
      </c>
      <c r="P2215" s="6">
        <v>0</v>
      </c>
      <c r="Q2215" s="6">
        <v>0</v>
      </c>
      <c r="R2215" s="6">
        <v>0</v>
      </c>
      <c r="S2215" s="6">
        <v>150</v>
      </c>
    </row>
    <row r="2216" spans="1:19" ht="15" hidden="1" x14ac:dyDescent="0.25">
      <c r="A2216" s="7" t="s">
        <v>16</v>
      </c>
      <c r="B2216" s="7" t="s">
        <v>23</v>
      </c>
      <c r="C2216" s="7" t="s">
        <v>24</v>
      </c>
      <c r="D2216" s="4">
        <v>22233557000105</v>
      </c>
      <c r="E2216" s="8" t="s">
        <v>1095</v>
      </c>
      <c r="F2216" s="8" t="s">
        <v>131</v>
      </c>
      <c r="G2216" s="8" t="s">
        <v>61</v>
      </c>
      <c r="H2216" s="8" t="s">
        <v>215</v>
      </c>
      <c r="I2216" s="3">
        <v>2</v>
      </c>
      <c r="J2216" s="8" t="s">
        <v>155</v>
      </c>
      <c r="K2216" s="8" t="s">
        <v>156</v>
      </c>
      <c r="L2216" s="8" t="s">
        <v>556</v>
      </c>
      <c r="M2216" s="1" t="s">
        <v>205</v>
      </c>
      <c r="N2216" s="8" t="s">
        <v>206</v>
      </c>
      <c r="O2216" s="6">
        <v>0</v>
      </c>
      <c r="P2216" s="6">
        <v>0</v>
      </c>
      <c r="Q2216" s="6">
        <v>0</v>
      </c>
      <c r="R2216" s="6">
        <v>0</v>
      </c>
      <c r="S2216" s="6">
        <v>0</v>
      </c>
    </row>
    <row r="2217" spans="1:19" ht="15" hidden="1" x14ac:dyDescent="0.25">
      <c r="A2217" s="7" t="s">
        <v>16</v>
      </c>
      <c r="B2217" s="7" t="s">
        <v>23</v>
      </c>
      <c r="C2217" s="7" t="s">
        <v>24</v>
      </c>
      <c r="D2217" s="4">
        <v>22233557000105</v>
      </c>
      <c r="E2217" s="8" t="s">
        <v>1095</v>
      </c>
      <c r="F2217" s="8" t="s">
        <v>131</v>
      </c>
      <c r="G2217" s="8" t="s">
        <v>61</v>
      </c>
      <c r="H2217" s="8" t="s">
        <v>215</v>
      </c>
      <c r="I2217" s="3">
        <v>2</v>
      </c>
      <c r="J2217" s="8" t="s">
        <v>181</v>
      </c>
      <c r="K2217" s="8" t="s">
        <v>182</v>
      </c>
      <c r="L2217" s="8" t="s">
        <v>557</v>
      </c>
      <c r="M2217" s="1" t="s">
        <v>205</v>
      </c>
      <c r="N2217" s="8" t="s">
        <v>206</v>
      </c>
      <c r="O2217" s="6">
        <v>0</v>
      </c>
      <c r="P2217" s="6">
        <v>2</v>
      </c>
      <c r="Q2217" s="6">
        <v>0</v>
      </c>
      <c r="R2217" s="6">
        <v>0</v>
      </c>
      <c r="S2217" s="6">
        <v>0</v>
      </c>
    </row>
    <row r="2218" spans="1:19" ht="15" hidden="1" x14ac:dyDescent="0.25">
      <c r="A2218" s="7" t="s">
        <v>16</v>
      </c>
      <c r="B2218" s="7" t="s">
        <v>23</v>
      </c>
      <c r="C2218" s="7" t="s">
        <v>24</v>
      </c>
      <c r="D2218" s="4">
        <v>33722224000166</v>
      </c>
      <c r="E2218" s="8" t="s">
        <v>1115</v>
      </c>
      <c r="F2218" s="8" t="s">
        <v>131</v>
      </c>
      <c r="G2218" s="8" t="s">
        <v>61</v>
      </c>
      <c r="H2218" s="8" t="s">
        <v>215</v>
      </c>
      <c r="I2218" s="3">
        <v>2</v>
      </c>
      <c r="J2218" s="8" t="s">
        <v>155</v>
      </c>
      <c r="K2218" s="8" t="s">
        <v>156</v>
      </c>
      <c r="L2218" s="8" t="s">
        <v>556</v>
      </c>
      <c r="M2218" s="1" t="s">
        <v>205</v>
      </c>
      <c r="N2218" s="8" t="s">
        <v>206</v>
      </c>
      <c r="O2218" s="6">
        <v>0</v>
      </c>
      <c r="P2218" s="6">
        <v>0</v>
      </c>
      <c r="Q2218" s="6">
        <v>0</v>
      </c>
      <c r="R2218" s="6">
        <v>0</v>
      </c>
      <c r="S2218" s="6">
        <v>0</v>
      </c>
    </row>
    <row r="2219" spans="1:19" ht="15" hidden="1" x14ac:dyDescent="0.25">
      <c r="A2219" s="7" t="s">
        <v>16</v>
      </c>
      <c r="B2219" s="7" t="s">
        <v>23</v>
      </c>
      <c r="C2219" s="7" t="s">
        <v>24</v>
      </c>
      <c r="D2219" s="4">
        <v>33722224000166</v>
      </c>
      <c r="E2219" s="8" t="s">
        <v>1115</v>
      </c>
      <c r="F2219" s="8" t="s">
        <v>131</v>
      </c>
      <c r="G2219" s="8" t="s">
        <v>61</v>
      </c>
      <c r="H2219" s="8" t="s">
        <v>215</v>
      </c>
      <c r="I2219" s="3">
        <v>2</v>
      </c>
      <c r="J2219" s="8" t="s">
        <v>181</v>
      </c>
      <c r="K2219" s="8" t="s">
        <v>182</v>
      </c>
      <c r="L2219" s="8" t="s">
        <v>557</v>
      </c>
      <c r="M2219" s="1" t="s">
        <v>205</v>
      </c>
      <c r="N2219" s="8" t="s">
        <v>206</v>
      </c>
      <c r="O2219" s="6">
        <v>0</v>
      </c>
      <c r="P2219" s="6">
        <v>5</v>
      </c>
      <c r="Q2219" s="6">
        <v>0</v>
      </c>
      <c r="R2219" s="6">
        <v>0</v>
      </c>
      <c r="S2219" s="6">
        <v>0</v>
      </c>
    </row>
    <row r="2220" spans="1:19" ht="15" hidden="1" x14ac:dyDescent="0.25">
      <c r="A2220" s="7" t="s">
        <v>16</v>
      </c>
      <c r="B2220" s="7" t="s">
        <v>23</v>
      </c>
      <c r="C2220" s="7" t="s">
        <v>24</v>
      </c>
      <c r="D2220" s="4">
        <v>394502014870</v>
      </c>
      <c r="E2220" s="8" t="s">
        <v>1070</v>
      </c>
      <c r="F2220" s="8" t="s">
        <v>131</v>
      </c>
      <c r="G2220" s="8" t="s">
        <v>61</v>
      </c>
      <c r="H2220" s="8" t="s">
        <v>215</v>
      </c>
      <c r="I2220" s="3">
        <v>2</v>
      </c>
      <c r="J2220" s="8" t="s">
        <v>155</v>
      </c>
      <c r="K2220" s="8" t="s">
        <v>156</v>
      </c>
      <c r="L2220" s="8" t="s">
        <v>556</v>
      </c>
      <c r="M2220" s="1" t="s">
        <v>205</v>
      </c>
      <c r="N2220" s="8" t="s">
        <v>206</v>
      </c>
      <c r="O2220" s="6">
        <v>0</v>
      </c>
      <c r="P2220" s="6">
        <v>0</v>
      </c>
      <c r="Q2220" s="6">
        <v>0</v>
      </c>
      <c r="R2220" s="6">
        <v>0</v>
      </c>
      <c r="S2220" s="6">
        <v>0</v>
      </c>
    </row>
    <row r="2221" spans="1:19" ht="15" hidden="1" x14ac:dyDescent="0.25">
      <c r="A2221" s="7" t="s">
        <v>16</v>
      </c>
      <c r="B2221" s="7" t="s">
        <v>23</v>
      </c>
      <c r="C2221" s="7" t="s">
        <v>24</v>
      </c>
      <c r="D2221" s="4">
        <v>394502014870</v>
      </c>
      <c r="E2221" s="8" t="s">
        <v>1070</v>
      </c>
      <c r="F2221" s="8" t="s">
        <v>131</v>
      </c>
      <c r="G2221" s="8" t="s">
        <v>61</v>
      </c>
      <c r="H2221" s="8" t="s">
        <v>215</v>
      </c>
      <c r="I2221" s="3">
        <v>2</v>
      </c>
      <c r="J2221" s="8" t="s">
        <v>173</v>
      </c>
      <c r="K2221" s="8" t="s">
        <v>174</v>
      </c>
      <c r="L2221" s="8" t="s">
        <v>557</v>
      </c>
      <c r="M2221" s="1" t="s">
        <v>205</v>
      </c>
      <c r="N2221" s="8" t="s">
        <v>206</v>
      </c>
      <c r="O2221" s="6">
        <v>0</v>
      </c>
      <c r="P2221" s="6">
        <v>5</v>
      </c>
      <c r="Q2221" s="6">
        <v>0</v>
      </c>
      <c r="R2221" s="6">
        <v>0</v>
      </c>
      <c r="S2221" s="6">
        <v>0</v>
      </c>
    </row>
    <row r="2222" spans="1:19" ht="15" hidden="1" x14ac:dyDescent="0.25">
      <c r="A2222" s="7" t="s">
        <v>16</v>
      </c>
      <c r="B2222" s="7" t="s">
        <v>23</v>
      </c>
      <c r="C2222" s="7" t="s">
        <v>24</v>
      </c>
      <c r="D2222" s="4">
        <v>9578217000158</v>
      </c>
      <c r="E2222" s="8" t="s">
        <v>1089</v>
      </c>
      <c r="F2222" s="8" t="s">
        <v>131</v>
      </c>
      <c r="G2222" s="8" t="s">
        <v>61</v>
      </c>
      <c r="H2222" s="8" t="s">
        <v>215</v>
      </c>
      <c r="I2222" s="3">
        <v>2</v>
      </c>
      <c r="J2222" s="8" t="s">
        <v>155</v>
      </c>
      <c r="K2222" s="8" t="s">
        <v>156</v>
      </c>
      <c r="L2222" s="8" t="s">
        <v>556</v>
      </c>
      <c r="M2222" s="1" t="s">
        <v>205</v>
      </c>
      <c r="N2222" s="8" t="s">
        <v>206</v>
      </c>
      <c r="O2222" s="6">
        <v>0</v>
      </c>
      <c r="P2222" s="6">
        <v>0</v>
      </c>
      <c r="Q2222" s="6">
        <v>0</v>
      </c>
      <c r="R2222" s="6">
        <v>0</v>
      </c>
      <c r="S2222" s="6">
        <v>0</v>
      </c>
    </row>
    <row r="2223" spans="1:19" ht="15" hidden="1" x14ac:dyDescent="0.25">
      <c r="A2223" s="7" t="s">
        <v>16</v>
      </c>
      <c r="B2223" s="7" t="s">
        <v>23</v>
      </c>
      <c r="C2223" s="7" t="s">
        <v>24</v>
      </c>
      <c r="D2223" s="4">
        <v>9578217000158</v>
      </c>
      <c r="E2223" s="8" t="s">
        <v>1089</v>
      </c>
      <c r="F2223" s="8" t="s">
        <v>131</v>
      </c>
      <c r="G2223" s="8" t="s">
        <v>61</v>
      </c>
      <c r="H2223" s="8" t="s">
        <v>215</v>
      </c>
      <c r="I2223" s="3">
        <v>2</v>
      </c>
      <c r="J2223" s="8" t="s">
        <v>181</v>
      </c>
      <c r="K2223" s="8" t="s">
        <v>182</v>
      </c>
      <c r="L2223" s="8" t="s">
        <v>557</v>
      </c>
      <c r="M2223" s="1" t="s">
        <v>205</v>
      </c>
      <c r="N2223" s="8" t="s">
        <v>206</v>
      </c>
      <c r="O2223" s="6">
        <v>0</v>
      </c>
      <c r="P2223" s="6">
        <v>2</v>
      </c>
      <c r="Q2223" s="6">
        <v>2</v>
      </c>
      <c r="R2223" s="6">
        <v>0</v>
      </c>
      <c r="S2223" s="6">
        <v>0</v>
      </c>
    </row>
    <row r="2224" spans="1:19" ht="15" hidden="1" x14ac:dyDescent="0.25">
      <c r="A2224" s="7" t="s">
        <v>16</v>
      </c>
      <c r="B2224" s="7" t="s">
        <v>23</v>
      </c>
      <c r="C2224" s="7" t="s">
        <v>24</v>
      </c>
      <c r="D2224" s="4">
        <v>6047087003316</v>
      </c>
      <c r="E2224" s="8" t="s">
        <v>1083</v>
      </c>
      <c r="F2224" s="8" t="s">
        <v>131</v>
      </c>
      <c r="G2224" s="8" t="s">
        <v>61</v>
      </c>
      <c r="H2224" s="8" t="s">
        <v>215</v>
      </c>
      <c r="I2224" s="3">
        <v>2</v>
      </c>
      <c r="J2224" s="8" t="s">
        <v>155</v>
      </c>
      <c r="K2224" s="8" t="s">
        <v>156</v>
      </c>
      <c r="L2224" s="8" t="s">
        <v>556</v>
      </c>
      <c r="M2224" s="1" t="s">
        <v>205</v>
      </c>
      <c r="N2224" s="8" t="s">
        <v>206</v>
      </c>
      <c r="O2224" s="6">
        <v>0</v>
      </c>
      <c r="P2224" s="6">
        <v>0</v>
      </c>
      <c r="Q2224" s="6">
        <v>0</v>
      </c>
      <c r="R2224" s="6">
        <v>0</v>
      </c>
      <c r="S2224" s="6">
        <v>0</v>
      </c>
    </row>
    <row r="2225" spans="1:19" ht="15" hidden="1" x14ac:dyDescent="0.25">
      <c r="A2225" s="7" t="s">
        <v>16</v>
      </c>
      <c r="B2225" s="7" t="s">
        <v>23</v>
      </c>
      <c r="C2225" s="7" t="s">
        <v>24</v>
      </c>
      <c r="D2225" s="4">
        <v>6047087003316</v>
      </c>
      <c r="E2225" s="8" t="s">
        <v>1083</v>
      </c>
      <c r="F2225" s="8" t="s">
        <v>131</v>
      </c>
      <c r="G2225" s="8" t="s">
        <v>61</v>
      </c>
      <c r="H2225" s="8" t="s">
        <v>215</v>
      </c>
      <c r="I2225" s="3">
        <v>2</v>
      </c>
      <c r="J2225" s="8" t="s">
        <v>181</v>
      </c>
      <c r="K2225" s="8" t="s">
        <v>182</v>
      </c>
      <c r="L2225" s="8" t="s">
        <v>557</v>
      </c>
      <c r="M2225" s="1" t="s">
        <v>205</v>
      </c>
      <c r="N2225" s="8" t="s">
        <v>206</v>
      </c>
      <c r="O2225" s="6">
        <v>0</v>
      </c>
      <c r="P2225" s="6">
        <v>5</v>
      </c>
      <c r="Q2225" s="6">
        <v>2</v>
      </c>
      <c r="R2225" s="6">
        <v>0</v>
      </c>
      <c r="S2225" s="6">
        <v>0</v>
      </c>
    </row>
    <row r="2226" spans="1:19" ht="15" hidden="1" x14ac:dyDescent="0.25">
      <c r="A2226" s="7" t="s">
        <v>16</v>
      </c>
      <c r="B2226" s="7" t="s">
        <v>23</v>
      </c>
      <c r="C2226" s="7" t="s">
        <v>24</v>
      </c>
      <c r="D2226" s="4">
        <v>29435005005783</v>
      </c>
      <c r="E2226" s="8" t="s">
        <v>1104</v>
      </c>
      <c r="F2226" s="8" t="s">
        <v>131</v>
      </c>
      <c r="G2226" s="8" t="s">
        <v>61</v>
      </c>
      <c r="H2226" s="8" t="s">
        <v>215</v>
      </c>
      <c r="I2226" s="3">
        <v>2</v>
      </c>
      <c r="J2226" s="8" t="s">
        <v>155</v>
      </c>
      <c r="K2226" s="8" t="s">
        <v>156</v>
      </c>
      <c r="L2226" s="8" t="s">
        <v>556</v>
      </c>
      <c r="M2226" s="1" t="s">
        <v>205</v>
      </c>
      <c r="N2226" s="8" t="s">
        <v>206</v>
      </c>
      <c r="O2226" s="6">
        <v>0</v>
      </c>
      <c r="P2226" s="6">
        <v>0</v>
      </c>
      <c r="Q2226" s="6">
        <v>0</v>
      </c>
      <c r="R2226" s="6">
        <v>0</v>
      </c>
      <c r="S2226" s="6">
        <v>305</v>
      </c>
    </row>
    <row r="2227" spans="1:19" ht="15" hidden="1" x14ac:dyDescent="0.25">
      <c r="A2227" s="7" t="s">
        <v>16</v>
      </c>
      <c r="B2227" s="7" t="s">
        <v>23</v>
      </c>
      <c r="C2227" s="7" t="s">
        <v>24</v>
      </c>
      <c r="D2227" s="4">
        <v>29435005005783</v>
      </c>
      <c r="E2227" s="8" t="s">
        <v>1104</v>
      </c>
      <c r="F2227" s="8" t="s">
        <v>131</v>
      </c>
      <c r="G2227" s="8" t="s">
        <v>61</v>
      </c>
      <c r="H2227" s="8" t="s">
        <v>215</v>
      </c>
      <c r="I2227" s="3">
        <v>2</v>
      </c>
      <c r="J2227" s="8" t="s">
        <v>173</v>
      </c>
      <c r="K2227" s="8" t="s">
        <v>174</v>
      </c>
      <c r="L2227" s="8" t="s">
        <v>557</v>
      </c>
      <c r="M2227" s="1" t="s">
        <v>205</v>
      </c>
      <c r="N2227" s="8" t="s">
        <v>206</v>
      </c>
      <c r="O2227" s="6">
        <v>0</v>
      </c>
      <c r="P2227" s="6">
        <v>0</v>
      </c>
      <c r="Q2227" s="6">
        <v>0</v>
      </c>
      <c r="R2227" s="6">
        <v>0</v>
      </c>
      <c r="S2227" s="6">
        <v>305</v>
      </c>
    </row>
    <row r="2228" spans="1:19" ht="15" hidden="1" x14ac:dyDescent="0.25">
      <c r="A2228" s="7" t="s">
        <v>16</v>
      </c>
      <c r="B2228" s="7" t="s">
        <v>23</v>
      </c>
      <c r="C2228" s="7" t="s">
        <v>24</v>
      </c>
      <c r="D2228" s="4">
        <v>29435005005198</v>
      </c>
      <c r="E2228" s="8" t="s">
        <v>1102</v>
      </c>
      <c r="F2228" s="8" t="s">
        <v>131</v>
      </c>
      <c r="G2228" s="8" t="s">
        <v>61</v>
      </c>
      <c r="H2228" s="8" t="s">
        <v>215</v>
      </c>
      <c r="I2228" s="3">
        <v>2</v>
      </c>
      <c r="J2228" s="8" t="s">
        <v>155</v>
      </c>
      <c r="K2228" s="8" t="s">
        <v>156</v>
      </c>
      <c r="L2228" s="8" t="s">
        <v>556</v>
      </c>
      <c r="M2228" s="1" t="s">
        <v>205</v>
      </c>
      <c r="N2228" s="8" t="s">
        <v>206</v>
      </c>
      <c r="O2228" s="6">
        <v>0</v>
      </c>
      <c r="P2228" s="6">
        <v>0</v>
      </c>
      <c r="Q2228" s="6">
        <v>0</v>
      </c>
      <c r="R2228" s="6">
        <v>0</v>
      </c>
      <c r="S2228" s="6">
        <v>0</v>
      </c>
    </row>
    <row r="2229" spans="1:19" ht="15" hidden="1" x14ac:dyDescent="0.25">
      <c r="A2229" s="7" t="s">
        <v>16</v>
      </c>
      <c r="B2229" s="7" t="s">
        <v>23</v>
      </c>
      <c r="C2229" s="7" t="s">
        <v>24</v>
      </c>
      <c r="D2229" s="4">
        <v>29435005005198</v>
      </c>
      <c r="E2229" s="8" t="s">
        <v>1102</v>
      </c>
      <c r="F2229" s="8" t="s">
        <v>131</v>
      </c>
      <c r="G2229" s="8" t="s">
        <v>61</v>
      </c>
      <c r="H2229" s="8" t="s">
        <v>215</v>
      </c>
      <c r="I2229" s="3">
        <v>2</v>
      </c>
      <c r="J2229" s="8" t="s">
        <v>181</v>
      </c>
      <c r="K2229" s="8" t="s">
        <v>182</v>
      </c>
      <c r="L2229" s="8" t="s">
        <v>557</v>
      </c>
      <c r="M2229" s="1" t="s">
        <v>205</v>
      </c>
      <c r="N2229" s="8" t="s">
        <v>206</v>
      </c>
      <c r="O2229" s="6">
        <v>0</v>
      </c>
      <c r="P2229" s="6">
        <v>26</v>
      </c>
      <c r="Q2229" s="6">
        <v>61</v>
      </c>
      <c r="R2229" s="6">
        <v>0</v>
      </c>
      <c r="S2229" s="6">
        <v>0</v>
      </c>
    </row>
    <row r="2230" spans="1:19" ht="15" hidden="1" x14ac:dyDescent="0.25">
      <c r="A2230" s="7" t="s">
        <v>16</v>
      </c>
      <c r="B2230" s="7" t="s">
        <v>23</v>
      </c>
      <c r="C2230" s="7" t="s">
        <v>24</v>
      </c>
      <c r="D2230" s="4">
        <v>6047087001020</v>
      </c>
      <c r="E2230" s="8" t="s">
        <v>1081</v>
      </c>
      <c r="F2230" s="8" t="s">
        <v>131</v>
      </c>
      <c r="G2230" s="8" t="s">
        <v>61</v>
      </c>
      <c r="H2230" s="8" t="s">
        <v>215</v>
      </c>
      <c r="I2230" s="3">
        <v>2</v>
      </c>
      <c r="J2230" s="8" t="s">
        <v>155</v>
      </c>
      <c r="K2230" s="8" t="s">
        <v>156</v>
      </c>
      <c r="L2230" s="8" t="s">
        <v>556</v>
      </c>
      <c r="M2230" s="1" t="s">
        <v>205</v>
      </c>
      <c r="N2230" s="8" t="s">
        <v>206</v>
      </c>
      <c r="O2230" s="6">
        <v>0</v>
      </c>
      <c r="P2230" s="6">
        <v>0</v>
      </c>
      <c r="Q2230" s="6">
        <v>0</v>
      </c>
      <c r="R2230" s="6">
        <v>0</v>
      </c>
      <c r="S2230" s="6">
        <v>0</v>
      </c>
    </row>
    <row r="2231" spans="1:19" ht="15" hidden="1" x14ac:dyDescent="0.25">
      <c r="A2231" s="7" t="s">
        <v>16</v>
      </c>
      <c r="B2231" s="7" t="s">
        <v>23</v>
      </c>
      <c r="C2231" s="7" t="s">
        <v>24</v>
      </c>
      <c r="D2231" s="4">
        <v>6047087001020</v>
      </c>
      <c r="E2231" s="8" t="s">
        <v>1081</v>
      </c>
      <c r="F2231" s="8" t="s">
        <v>131</v>
      </c>
      <c r="G2231" s="8" t="s">
        <v>61</v>
      </c>
      <c r="H2231" s="8" t="s">
        <v>215</v>
      </c>
      <c r="I2231" s="3">
        <v>2</v>
      </c>
      <c r="J2231" s="8" t="s">
        <v>181</v>
      </c>
      <c r="K2231" s="8" t="s">
        <v>182</v>
      </c>
      <c r="L2231" s="8" t="s">
        <v>557</v>
      </c>
      <c r="M2231" s="1" t="s">
        <v>205</v>
      </c>
      <c r="N2231" s="8" t="s">
        <v>206</v>
      </c>
      <c r="O2231" s="6">
        <v>0</v>
      </c>
      <c r="P2231" s="6">
        <v>86</v>
      </c>
      <c r="Q2231" s="6">
        <v>35</v>
      </c>
      <c r="R2231" s="6">
        <v>0</v>
      </c>
      <c r="S2231" s="6">
        <v>0</v>
      </c>
    </row>
    <row r="2232" spans="1:19" ht="15" hidden="1" x14ac:dyDescent="0.25">
      <c r="A2232" s="7" t="s">
        <v>16</v>
      </c>
      <c r="B2232" s="7" t="s">
        <v>23</v>
      </c>
      <c r="C2232" s="7" t="s">
        <v>24</v>
      </c>
      <c r="D2232" s="4">
        <v>29259736000403</v>
      </c>
      <c r="E2232" s="8" t="s">
        <v>1101</v>
      </c>
      <c r="F2232" s="8" t="s">
        <v>131</v>
      </c>
      <c r="G2232" s="8" t="s">
        <v>61</v>
      </c>
      <c r="H2232" s="8" t="s">
        <v>215</v>
      </c>
      <c r="I2232" s="3">
        <v>2</v>
      </c>
      <c r="J2232" s="8" t="s">
        <v>155</v>
      </c>
      <c r="K2232" s="8" t="s">
        <v>156</v>
      </c>
      <c r="L2232" s="8" t="s">
        <v>556</v>
      </c>
      <c r="M2232" s="1" t="s">
        <v>205</v>
      </c>
      <c r="N2232" s="8" t="s">
        <v>206</v>
      </c>
      <c r="O2232" s="6">
        <v>0</v>
      </c>
      <c r="P2232" s="6">
        <v>0</v>
      </c>
      <c r="Q2232" s="6">
        <v>0</v>
      </c>
      <c r="R2232" s="6">
        <v>16</v>
      </c>
      <c r="S2232" s="6">
        <v>0</v>
      </c>
    </row>
    <row r="2233" spans="1:19" ht="15" hidden="1" x14ac:dyDescent="0.25">
      <c r="A2233" s="7" t="s">
        <v>16</v>
      </c>
      <c r="B2233" s="7" t="s">
        <v>23</v>
      </c>
      <c r="C2233" s="7" t="s">
        <v>24</v>
      </c>
      <c r="D2233" s="4">
        <v>29259736000403</v>
      </c>
      <c r="E2233" s="8" t="s">
        <v>1101</v>
      </c>
      <c r="F2233" s="8" t="s">
        <v>131</v>
      </c>
      <c r="G2233" s="8" t="s">
        <v>61</v>
      </c>
      <c r="H2233" s="8" t="s">
        <v>215</v>
      </c>
      <c r="I2233" s="3">
        <v>2</v>
      </c>
      <c r="J2233" s="8" t="s">
        <v>181</v>
      </c>
      <c r="K2233" s="8" t="s">
        <v>182</v>
      </c>
      <c r="L2233" s="8" t="s">
        <v>557</v>
      </c>
      <c r="M2233" s="1" t="s">
        <v>205</v>
      </c>
      <c r="N2233" s="8" t="s">
        <v>206</v>
      </c>
      <c r="O2233" s="6">
        <v>0</v>
      </c>
      <c r="P2233" s="6">
        <v>7</v>
      </c>
      <c r="Q2233" s="6">
        <v>0</v>
      </c>
      <c r="R2233" s="6">
        <v>0</v>
      </c>
      <c r="S2233" s="6">
        <v>0</v>
      </c>
    </row>
    <row r="2234" spans="1:19" ht="15" hidden="1" x14ac:dyDescent="0.25">
      <c r="A2234" s="7" t="s">
        <v>16</v>
      </c>
      <c r="B2234" s="7" t="s">
        <v>23</v>
      </c>
      <c r="C2234" s="7" t="s">
        <v>24</v>
      </c>
      <c r="D2234" s="4">
        <v>60884855001630</v>
      </c>
      <c r="E2234" s="8" t="s">
        <v>1124</v>
      </c>
      <c r="F2234" s="8" t="s">
        <v>131</v>
      </c>
      <c r="G2234" s="8" t="s">
        <v>61</v>
      </c>
      <c r="H2234" s="8" t="s">
        <v>215</v>
      </c>
      <c r="I2234" s="3">
        <v>2</v>
      </c>
      <c r="J2234" s="8" t="s">
        <v>155</v>
      </c>
      <c r="K2234" s="8" t="s">
        <v>156</v>
      </c>
      <c r="L2234" s="8" t="s">
        <v>556</v>
      </c>
      <c r="M2234" s="1" t="s">
        <v>205</v>
      </c>
      <c r="N2234" s="8" t="s">
        <v>206</v>
      </c>
      <c r="O2234" s="6">
        <v>0</v>
      </c>
      <c r="P2234" s="6">
        <v>0</v>
      </c>
      <c r="Q2234" s="6">
        <v>0</v>
      </c>
      <c r="R2234" s="6">
        <v>0</v>
      </c>
      <c r="S2234" s="6">
        <v>0</v>
      </c>
    </row>
    <row r="2235" spans="1:19" ht="15" hidden="1" x14ac:dyDescent="0.25">
      <c r="A2235" s="7" t="s">
        <v>16</v>
      </c>
      <c r="B2235" s="7" t="s">
        <v>23</v>
      </c>
      <c r="C2235" s="7" t="s">
        <v>24</v>
      </c>
      <c r="D2235" s="4">
        <v>60884855001630</v>
      </c>
      <c r="E2235" s="8" t="s">
        <v>1124</v>
      </c>
      <c r="F2235" s="8" t="s">
        <v>131</v>
      </c>
      <c r="G2235" s="8" t="s">
        <v>61</v>
      </c>
      <c r="H2235" s="8" t="s">
        <v>215</v>
      </c>
      <c r="I2235" s="3">
        <v>2</v>
      </c>
      <c r="J2235" s="8" t="s">
        <v>173</v>
      </c>
      <c r="K2235" s="8" t="s">
        <v>174</v>
      </c>
      <c r="L2235" s="8" t="s">
        <v>557</v>
      </c>
      <c r="M2235" s="1" t="s">
        <v>205</v>
      </c>
      <c r="N2235" s="8" t="s">
        <v>206</v>
      </c>
      <c r="O2235" s="6">
        <v>0</v>
      </c>
      <c r="P2235" s="6">
        <v>38</v>
      </c>
      <c r="Q2235" s="6">
        <v>61</v>
      </c>
      <c r="R2235" s="6">
        <v>0</v>
      </c>
      <c r="S2235" s="6">
        <v>0</v>
      </c>
    </row>
    <row r="2236" spans="1:19" ht="15" hidden="1" x14ac:dyDescent="0.25">
      <c r="A2236" s="7" t="s">
        <v>16</v>
      </c>
      <c r="B2236" s="7" t="s">
        <v>23</v>
      </c>
      <c r="C2236" s="7" t="s">
        <v>24</v>
      </c>
      <c r="D2236" s="4">
        <v>18010750000100</v>
      </c>
      <c r="E2236" s="8" t="s">
        <v>1092</v>
      </c>
      <c r="F2236" s="8" t="s">
        <v>131</v>
      </c>
      <c r="G2236" s="8" t="s">
        <v>61</v>
      </c>
      <c r="H2236" s="8" t="s">
        <v>215</v>
      </c>
      <c r="I2236" s="3">
        <v>2</v>
      </c>
      <c r="J2236" s="8" t="s">
        <v>155</v>
      </c>
      <c r="K2236" s="8" t="s">
        <v>156</v>
      </c>
      <c r="L2236" s="8" t="s">
        <v>556</v>
      </c>
      <c r="M2236" s="1" t="s">
        <v>205</v>
      </c>
      <c r="N2236" s="8" t="s">
        <v>206</v>
      </c>
      <c r="O2236" s="6">
        <v>0</v>
      </c>
      <c r="P2236" s="6">
        <v>0</v>
      </c>
      <c r="Q2236" s="6">
        <v>0</v>
      </c>
      <c r="R2236" s="6">
        <v>0</v>
      </c>
      <c r="S2236" s="6">
        <v>170</v>
      </c>
    </row>
    <row r="2237" spans="1:19" ht="15" hidden="1" x14ac:dyDescent="0.25">
      <c r="A2237" s="7" t="s">
        <v>16</v>
      </c>
      <c r="B2237" s="7" t="s">
        <v>23</v>
      </c>
      <c r="C2237" s="7" t="s">
        <v>24</v>
      </c>
      <c r="D2237" s="4">
        <v>18010750000100</v>
      </c>
      <c r="E2237" s="8" t="s">
        <v>1092</v>
      </c>
      <c r="F2237" s="8" t="s">
        <v>131</v>
      </c>
      <c r="G2237" s="8" t="s">
        <v>61</v>
      </c>
      <c r="H2237" s="8" t="s">
        <v>215</v>
      </c>
      <c r="I2237" s="3">
        <v>2</v>
      </c>
      <c r="J2237" s="8" t="s">
        <v>173</v>
      </c>
      <c r="K2237" s="8" t="s">
        <v>174</v>
      </c>
      <c r="L2237" s="8" t="s">
        <v>557</v>
      </c>
      <c r="M2237" s="1" t="s">
        <v>205</v>
      </c>
      <c r="N2237" s="8" t="s">
        <v>206</v>
      </c>
      <c r="O2237" s="6">
        <v>0</v>
      </c>
      <c r="P2237" s="6">
        <v>0</v>
      </c>
      <c r="Q2237" s="6">
        <v>0</v>
      </c>
      <c r="R2237" s="6">
        <v>0</v>
      </c>
      <c r="S2237" s="6">
        <v>170</v>
      </c>
    </row>
    <row r="2238" spans="1:19" ht="15" hidden="1" x14ac:dyDescent="0.25">
      <c r="A2238" s="7" t="s">
        <v>16</v>
      </c>
      <c r="B2238" s="7" t="s">
        <v>23</v>
      </c>
      <c r="C2238" s="7" t="s">
        <v>24</v>
      </c>
      <c r="D2238" s="4">
        <v>33663683005347</v>
      </c>
      <c r="E2238" s="8" t="s">
        <v>1114</v>
      </c>
      <c r="F2238" s="8" t="s">
        <v>131</v>
      </c>
      <c r="G2238" s="8" t="s">
        <v>61</v>
      </c>
      <c r="H2238" s="8" t="s">
        <v>215</v>
      </c>
      <c r="I2238" s="3">
        <v>2</v>
      </c>
      <c r="J2238" s="8" t="s">
        <v>155</v>
      </c>
      <c r="K2238" s="8" t="s">
        <v>156</v>
      </c>
      <c r="L2238" s="8" t="s">
        <v>556</v>
      </c>
      <c r="M2238" s="1" t="s">
        <v>205</v>
      </c>
      <c r="N2238" s="8" t="s">
        <v>206</v>
      </c>
      <c r="O2238" s="6">
        <v>0</v>
      </c>
      <c r="P2238" s="6">
        <v>0</v>
      </c>
      <c r="Q2238" s="6">
        <v>0</v>
      </c>
      <c r="R2238" s="6">
        <v>0</v>
      </c>
      <c r="S2238" s="6">
        <v>1600</v>
      </c>
    </row>
    <row r="2239" spans="1:19" ht="15" hidden="1" x14ac:dyDescent="0.25">
      <c r="A2239" s="7" t="s">
        <v>16</v>
      </c>
      <c r="B2239" s="7" t="s">
        <v>23</v>
      </c>
      <c r="C2239" s="7" t="s">
        <v>24</v>
      </c>
      <c r="D2239" s="4">
        <v>33663683005347</v>
      </c>
      <c r="E2239" s="8" t="s">
        <v>1114</v>
      </c>
      <c r="F2239" s="8" t="s">
        <v>131</v>
      </c>
      <c r="G2239" s="8" t="s">
        <v>61</v>
      </c>
      <c r="H2239" s="8" t="s">
        <v>215</v>
      </c>
      <c r="I2239" s="3">
        <v>2</v>
      </c>
      <c r="J2239" s="8" t="s">
        <v>173</v>
      </c>
      <c r="K2239" s="8" t="s">
        <v>174</v>
      </c>
      <c r="L2239" s="8" t="s">
        <v>557</v>
      </c>
      <c r="M2239" s="1" t="s">
        <v>205</v>
      </c>
      <c r="N2239" s="8" t="s">
        <v>206</v>
      </c>
      <c r="O2239" s="6">
        <v>0</v>
      </c>
      <c r="P2239" s="6">
        <v>41</v>
      </c>
      <c r="Q2239" s="6">
        <v>41</v>
      </c>
      <c r="R2239" s="6">
        <v>0</v>
      </c>
      <c r="S2239" s="6">
        <v>1600</v>
      </c>
    </row>
    <row r="2240" spans="1:19" ht="15" hidden="1" x14ac:dyDescent="0.25">
      <c r="A2240" s="7" t="s">
        <v>16</v>
      </c>
      <c r="B2240" s="7" t="s">
        <v>23</v>
      </c>
      <c r="C2240" s="7" t="s">
        <v>24</v>
      </c>
      <c r="D2240" s="4">
        <v>8850962000222</v>
      </c>
      <c r="E2240" s="8" t="s">
        <v>1086</v>
      </c>
      <c r="F2240" s="8" t="s">
        <v>131</v>
      </c>
      <c r="G2240" s="8" t="s">
        <v>61</v>
      </c>
      <c r="H2240" s="8" t="s">
        <v>215</v>
      </c>
      <c r="I2240" s="3">
        <v>2</v>
      </c>
      <c r="J2240" s="8" t="s">
        <v>155</v>
      </c>
      <c r="K2240" s="8" t="s">
        <v>156</v>
      </c>
      <c r="L2240" s="8" t="s">
        <v>556</v>
      </c>
      <c r="M2240" s="1" t="s">
        <v>205</v>
      </c>
      <c r="N2240" s="8" t="s">
        <v>206</v>
      </c>
      <c r="O2240" s="6">
        <v>0</v>
      </c>
      <c r="P2240" s="6">
        <v>0</v>
      </c>
      <c r="Q2240" s="6">
        <v>0</v>
      </c>
      <c r="R2240" s="6">
        <v>0</v>
      </c>
      <c r="S2240" s="6">
        <v>0</v>
      </c>
    </row>
    <row r="2241" spans="1:19" ht="15" hidden="1" x14ac:dyDescent="0.25">
      <c r="A2241" s="7" t="s">
        <v>16</v>
      </c>
      <c r="B2241" s="7" t="s">
        <v>23</v>
      </c>
      <c r="C2241" s="7" t="s">
        <v>24</v>
      </c>
      <c r="D2241" s="4">
        <v>8850962000222</v>
      </c>
      <c r="E2241" s="8" t="s">
        <v>1086</v>
      </c>
      <c r="F2241" s="8" t="s">
        <v>131</v>
      </c>
      <c r="G2241" s="8" t="s">
        <v>61</v>
      </c>
      <c r="H2241" s="8" t="s">
        <v>215</v>
      </c>
      <c r="I2241" s="3">
        <v>2</v>
      </c>
      <c r="J2241" s="8" t="s">
        <v>181</v>
      </c>
      <c r="K2241" s="8" t="s">
        <v>182</v>
      </c>
      <c r="L2241" s="8" t="s">
        <v>557</v>
      </c>
      <c r="M2241" s="1" t="s">
        <v>205</v>
      </c>
      <c r="N2241" s="8" t="s">
        <v>206</v>
      </c>
      <c r="O2241" s="6">
        <v>0</v>
      </c>
      <c r="P2241" s="6">
        <v>3</v>
      </c>
      <c r="Q2241" s="6">
        <v>0</v>
      </c>
      <c r="R2241" s="6">
        <v>0</v>
      </c>
      <c r="S2241" s="6">
        <v>0</v>
      </c>
    </row>
    <row r="2242" spans="1:19" ht="15" hidden="1" x14ac:dyDescent="0.25">
      <c r="A2242" s="7" t="s">
        <v>16</v>
      </c>
      <c r="B2242" s="7" t="s">
        <v>23</v>
      </c>
      <c r="C2242" s="7" t="s">
        <v>24</v>
      </c>
      <c r="D2242" s="4">
        <v>33781055000216</v>
      </c>
      <c r="E2242" s="8" t="s">
        <v>1116</v>
      </c>
      <c r="F2242" s="8" t="s">
        <v>131</v>
      </c>
      <c r="G2242" s="8" t="s">
        <v>61</v>
      </c>
      <c r="H2242" s="8" t="s">
        <v>215</v>
      </c>
      <c r="I2242" s="3">
        <v>2</v>
      </c>
      <c r="J2242" s="8" t="s">
        <v>155</v>
      </c>
      <c r="K2242" s="8" t="s">
        <v>156</v>
      </c>
      <c r="L2242" s="8" t="s">
        <v>556</v>
      </c>
      <c r="M2242" s="1" t="s">
        <v>205</v>
      </c>
      <c r="N2242" s="8" t="s">
        <v>206</v>
      </c>
      <c r="O2242" s="6">
        <v>0</v>
      </c>
      <c r="P2242" s="6">
        <v>0</v>
      </c>
      <c r="Q2242" s="6">
        <v>0</v>
      </c>
      <c r="R2242" s="6">
        <v>0</v>
      </c>
      <c r="S2242" s="6">
        <v>100</v>
      </c>
    </row>
    <row r="2243" spans="1:19" ht="15" hidden="1" x14ac:dyDescent="0.25">
      <c r="A2243" s="7" t="s">
        <v>16</v>
      </c>
      <c r="B2243" s="7" t="s">
        <v>23</v>
      </c>
      <c r="C2243" s="7" t="s">
        <v>24</v>
      </c>
      <c r="D2243" s="4">
        <v>33781055000216</v>
      </c>
      <c r="E2243" s="8" t="s">
        <v>1116</v>
      </c>
      <c r="F2243" s="8" t="s">
        <v>131</v>
      </c>
      <c r="G2243" s="8" t="s">
        <v>61</v>
      </c>
      <c r="H2243" s="8" t="s">
        <v>215</v>
      </c>
      <c r="I2243" s="3">
        <v>2</v>
      </c>
      <c r="J2243" s="8" t="s">
        <v>181</v>
      </c>
      <c r="K2243" s="8" t="s">
        <v>182</v>
      </c>
      <c r="L2243" s="8" t="s">
        <v>557</v>
      </c>
      <c r="M2243" s="1" t="s">
        <v>205</v>
      </c>
      <c r="N2243" s="8" t="s">
        <v>206</v>
      </c>
      <c r="O2243" s="6">
        <v>0</v>
      </c>
      <c r="P2243" s="6">
        <v>0</v>
      </c>
      <c r="Q2243" s="6">
        <v>0</v>
      </c>
      <c r="R2243" s="6">
        <v>0</v>
      </c>
      <c r="S2243" s="6">
        <v>100</v>
      </c>
    </row>
    <row r="2244" spans="1:19" ht="15" hidden="1" x14ac:dyDescent="0.25">
      <c r="A2244" s="7" t="s">
        <v>16</v>
      </c>
      <c r="B2244" s="7" t="s">
        <v>23</v>
      </c>
      <c r="C2244" s="7" t="s">
        <v>24</v>
      </c>
      <c r="D2244" s="4">
        <v>394544021344</v>
      </c>
      <c r="E2244" s="8" t="s">
        <v>1076</v>
      </c>
      <c r="F2244" s="8" t="s">
        <v>131</v>
      </c>
      <c r="G2244" s="8" t="s">
        <v>61</v>
      </c>
      <c r="H2244" s="8" t="s">
        <v>215</v>
      </c>
      <c r="I2244" s="3">
        <v>2</v>
      </c>
      <c r="J2244" s="8" t="s">
        <v>155</v>
      </c>
      <c r="K2244" s="8" t="s">
        <v>156</v>
      </c>
      <c r="L2244" s="8" t="s">
        <v>556</v>
      </c>
      <c r="M2244" s="1" t="s">
        <v>205</v>
      </c>
      <c r="N2244" s="8" t="s">
        <v>206</v>
      </c>
      <c r="O2244" s="6">
        <v>0</v>
      </c>
      <c r="P2244" s="6">
        <v>0</v>
      </c>
      <c r="Q2244" s="6">
        <v>0</v>
      </c>
      <c r="R2244" s="6">
        <v>0</v>
      </c>
      <c r="S2244" s="6">
        <v>0</v>
      </c>
    </row>
    <row r="2245" spans="1:19" ht="15" hidden="1" x14ac:dyDescent="0.25">
      <c r="A2245" s="7" t="s">
        <v>16</v>
      </c>
      <c r="B2245" s="7" t="s">
        <v>23</v>
      </c>
      <c r="C2245" s="7" t="s">
        <v>24</v>
      </c>
      <c r="D2245" s="4">
        <v>394544021344</v>
      </c>
      <c r="E2245" s="8" t="s">
        <v>1076</v>
      </c>
      <c r="F2245" s="8" t="s">
        <v>131</v>
      </c>
      <c r="G2245" s="8" t="s">
        <v>61</v>
      </c>
      <c r="H2245" s="8" t="s">
        <v>215</v>
      </c>
      <c r="I2245" s="3">
        <v>2</v>
      </c>
      <c r="J2245" s="8" t="s">
        <v>181</v>
      </c>
      <c r="K2245" s="8" t="s">
        <v>182</v>
      </c>
      <c r="L2245" s="8" t="s">
        <v>557</v>
      </c>
      <c r="M2245" s="1" t="s">
        <v>205</v>
      </c>
      <c r="N2245" s="8" t="s">
        <v>206</v>
      </c>
      <c r="O2245" s="6">
        <v>0</v>
      </c>
      <c r="P2245" s="6">
        <v>13</v>
      </c>
      <c r="Q2245" s="6">
        <v>0</v>
      </c>
      <c r="R2245" s="6">
        <v>0</v>
      </c>
      <c r="S2245" s="6">
        <v>0</v>
      </c>
    </row>
    <row r="2246" spans="1:19" ht="15" hidden="1" x14ac:dyDescent="0.25">
      <c r="A2246" s="7" t="s">
        <v>16</v>
      </c>
      <c r="B2246" s="7" t="s">
        <v>23</v>
      </c>
      <c r="C2246" s="7" t="s">
        <v>24</v>
      </c>
      <c r="D2246" s="4">
        <v>33419482000259</v>
      </c>
      <c r="E2246" s="8" t="s">
        <v>1111</v>
      </c>
      <c r="F2246" s="8" t="s">
        <v>131</v>
      </c>
      <c r="G2246" s="8" t="s">
        <v>61</v>
      </c>
      <c r="H2246" s="8" t="s">
        <v>215</v>
      </c>
      <c r="I2246" s="3">
        <v>2</v>
      </c>
      <c r="J2246" s="8" t="s">
        <v>155</v>
      </c>
      <c r="K2246" s="8" t="s">
        <v>156</v>
      </c>
      <c r="L2246" s="8" t="s">
        <v>556</v>
      </c>
      <c r="M2246" s="1" t="s">
        <v>205</v>
      </c>
      <c r="N2246" s="8" t="s">
        <v>206</v>
      </c>
      <c r="O2246" s="6">
        <v>0</v>
      </c>
      <c r="P2246" s="6">
        <v>0</v>
      </c>
      <c r="Q2246" s="6">
        <v>0</v>
      </c>
      <c r="R2246" s="6">
        <v>0</v>
      </c>
      <c r="S2246" s="6">
        <v>50</v>
      </c>
    </row>
    <row r="2247" spans="1:19" ht="15" hidden="1" x14ac:dyDescent="0.25">
      <c r="A2247" s="7" t="s">
        <v>16</v>
      </c>
      <c r="B2247" s="7" t="s">
        <v>23</v>
      </c>
      <c r="C2247" s="7" t="s">
        <v>24</v>
      </c>
      <c r="D2247" s="4">
        <v>33419482000259</v>
      </c>
      <c r="E2247" s="8" t="s">
        <v>1111</v>
      </c>
      <c r="F2247" s="8" t="s">
        <v>131</v>
      </c>
      <c r="G2247" s="8" t="s">
        <v>61</v>
      </c>
      <c r="H2247" s="8" t="s">
        <v>215</v>
      </c>
      <c r="I2247" s="3">
        <v>2</v>
      </c>
      <c r="J2247" s="8" t="s">
        <v>181</v>
      </c>
      <c r="K2247" s="8" t="s">
        <v>182</v>
      </c>
      <c r="L2247" s="8" t="s">
        <v>557</v>
      </c>
      <c r="M2247" s="1" t="s">
        <v>205</v>
      </c>
      <c r="N2247" s="8" t="s">
        <v>206</v>
      </c>
      <c r="O2247" s="6">
        <v>0</v>
      </c>
      <c r="P2247" s="6">
        <v>3</v>
      </c>
      <c r="Q2247" s="6">
        <v>4</v>
      </c>
      <c r="R2247" s="6">
        <v>0</v>
      </c>
      <c r="S2247" s="6">
        <v>50</v>
      </c>
    </row>
    <row r="2248" spans="1:19" ht="15" hidden="1" x14ac:dyDescent="0.25">
      <c r="A2248" s="7" t="s">
        <v>16</v>
      </c>
      <c r="B2248" s="7" t="s">
        <v>23</v>
      </c>
      <c r="C2248" s="7" t="s">
        <v>24</v>
      </c>
      <c r="D2248" s="4">
        <v>72101124000506</v>
      </c>
      <c r="E2248" s="8" t="s">
        <v>1126</v>
      </c>
      <c r="F2248" s="8" t="s">
        <v>131</v>
      </c>
      <c r="G2248" s="8" t="s">
        <v>61</v>
      </c>
      <c r="H2248" s="8" t="s">
        <v>215</v>
      </c>
      <c r="I2248" s="3">
        <v>2</v>
      </c>
      <c r="J2248" s="8" t="s">
        <v>155</v>
      </c>
      <c r="K2248" s="8" t="s">
        <v>156</v>
      </c>
      <c r="L2248" s="8" t="s">
        <v>556</v>
      </c>
      <c r="M2248" s="1" t="s">
        <v>205</v>
      </c>
      <c r="N2248" s="8" t="s">
        <v>206</v>
      </c>
      <c r="O2248" s="6">
        <v>0</v>
      </c>
      <c r="P2248" s="6">
        <v>0</v>
      </c>
      <c r="Q2248" s="6">
        <v>0</v>
      </c>
      <c r="R2248" s="6">
        <v>133</v>
      </c>
      <c r="S2248" s="6">
        <v>705</v>
      </c>
    </row>
    <row r="2249" spans="1:19" ht="15" hidden="1" x14ac:dyDescent="0.25">
      <c r="A2249" s="7" t="s">
        <v>16</v>
      </c>
      <c r="B2249" s="7" t="s">
        <v>23</v>
      </c>
      <c r="C2249" s="7" t="s">
        <v>24</v>
      </c>
      <c r="D2249" s="4">
        <v>72101124000506</v>
      </c>
      <c r="E2249" s="8" t="s">
        <v>1126</v>
      </c>
      <c r="F2249" s="8" t="s">
        <v>131</v>
      </c>
      <c r="G2249" s="8" t="s">
        <v>61</v>
      </c>
      <c r="H2249" s="8" t="s">
        <v>215</v>
      </c>
      <c r="I2249" s="3">
        <v>2</v>
      </c>
      <c r="J2249" s="8" t="s">
        <v>181</v>
      </c>
      <c r="K2249" s="8" t="s">
        <v>182</v>
      </c>
      <c r="L2249" s="8" t="s">
        <v>557</v>
      </c>
      <c r="M2249" s="1" t="s">
        <v>205</v>
      </c>
      <c r="N2249" s="8" t="s">
        <v>206</v>
      </c>
      <c r="O2249" s="6">
        <v>0</v>
      </c>
      <c r="P2249" s="6">
        <v>0</v>
      </c>
      <c r="Q2249" s="6">
        <v>0</v>
      </c>
      <c r="R2249" s="6">
        <v>0</v>
      </c>
      <c r="S2249" s="6">
        <v>705</v>
      </c>
    </row>
    <row r="2250" spans="1:19" ht="15" hidden="1" x14ac:dyDescent="0.25">
      <c r="A2250" s="7" t="s">
        <v>16</v>
      </c>
      <c r="B2250" s="7" t="s">
        <v>23</v>
      </c>
      <c r="C2250" s="7" t="s">
        <v>24</v>
      </c>
      <c r="D2250" s="4">
        <v>28000107000159</v>
      </c>
      <c r="E2250" s="8" t="s">
        <v>1099</v>
      </c>
      <c r="F2250" s="8" t="s">
        <v>131</v>
      </c>
      <c r="G2250" s="8" t="s">
        <v>61</v>
      </c>
      <c r="H2250" s="8" t="s">
        <v>215</v>
      </c>
      <c r="I2250" s="3">
        <v>2</v>
      </c>
      <c r="J2250" s="8" t="s">
        <v>155</v>
      </c>
      <c r="K2250" s="8" t="s">
        <v>156</v>
      </c>
      <c r="L2250" s="8" t="s">
        <v>556</v>
      </c>
      <c r="M2250" s="1" t="s">
        <v>205</v>
      </c>
      <c r="N2250" s="8" t="s">
        <v>206</v>
      </c>
      <c r="O2250" s="6">
        <v>0</v>
      </c>
      <c r="P2250" s="6">
        <v>0</v>
      </c>
      <c r="Q2250" s="6">
        <v>0</v>
      </c>
      <c r="R2250" s="6">
        <v>152</v>
      </c>
      <c r="S2250" s="6">
        <v>60</v>
      </c>
    </row>
    <row r="2251" spans="1:19" ht="15" hidden="1" x14ac:dyDescent="0.25">
      <c r="A2251" s="7" t="s">
        <v>16</v>
      </c>
      <c r="B2251" s="7" t="s">
        <v>23</v>
      </c>
      <c r="C2251" s="7" t="s">
        <v>24</v>
      </c>
      <c r="D2251" s="4">
        <v>28000107000159</v>
      </c>
      <c r="E2251" s="8" t="s">
        <v>1099</v>
      </c>
      <c r="F2251" s="8" t="s">
        <v>131</v>
      </c>
      <c r="G2251" s="8" t="s">
        <v>61</v>
      </c>
      <c r="H2251" s="8" t="s">
        <v>215</v>
      </c>
      <c r="I2251" s="3">
        <v>2</v>
      </c>
      <c r="J2251" s="8" t="s">
        <v>181</v>
      </c>
      <c r="K2251" s="8" t="s">
        <v>182</v>
      </c>
      <c r="L2251" s="8" t="s">
        <v>557</v>
      </c>
      <c r="M2251" s="1" t="s">
        <v>205</v>
      </c>
      <c r="N2251" s="8" t="s">
        <v>206</v>
      </c>
      <c r="O2251" s="6">
        <v>0</v>
      </c>
      <c r="P2251" s="6">
        <v>0</v>
      </c>
      <c r="Q2251" s="6">
        <v>0</v>
      </c>
      <c r="R2251" s="6">
        <v>0</v>
      </c>
      <c r="S2251" s="6">
        <v>60</v>
      </c>
    </row>
    <row r="2252" spans="1:19" ht="15" hidden="1" x14ac:dyDescent="0.25">
      <c r="A2252" s="7" t="s">
        <v>16</v>
      </c>
      <c r="B2252" s="7" t="s">
        <v>23</v>
      </c>
      <c r="C2252" s="7" t="s">
        <v>24</v>
      </c>
      <c r="D2252" s="4">
        <v>33000167000101</v>
      </c>
      <c r="E2252" s="8" t="s">
        <v>1110</v>
      </c>
      <c r="F2252" s="8" t="s">
        <v>131</v>
      </c>
      <c r="G2252" s="8" t="s">
        <v>61</v>
      </c>
      <c r="H2252" s="8" t="s">
        <v>215</v>
      </c>
      <c r="I2252" s="3">
        <v>2</v>
      </c>
      <c r="J2252" s="8" t="s">
        <v>155</v>
      </c>
      <c r="K2252" s="8" t="s">
        <v>156</v>
      </c>
      <c r="L2252" s="8" t="s">
        <v>556</v>
      </c>
      <c r="M2252" s="1" t="s">
        <v>205</v>
      </c>
      <c r="N2252" s="8" t="s">
        <v>206</v>
      </c>
      <c r="O2252" s="6">
        <v>0</v>
      </c>
      <c r="P2252" s="6">
        <v>0</v>
      </c>
      <c r="Q2252" s="6">
        <v>0</v>
      </c>
      <c r="R2252" s="6">
        <v>0</v>
      </c>
      <c r="S2252" s="6">
        <v>20</v>
      </c>
    </row>
    <row r="2253" spans="1:19" ht="15" hidden="1" x14ac:dyDescent="0.25">
      <c r="A2253" s="7" t="s">
        <v>16</v>
      </c>
      <c r="B2253" s="7" t="s">
        <v>23</v>
      </c>
      <c r="C2253" s="7" t="s">
        <v>24</v>
      </c>
      <c r="D2253" s="4">
        <v>33000167000101</v>
      </c>
      <c r="E2253" s="8" t="s">
        <v>1110</v>
      </c>
      <c r="F2253" s="8" t="s">
        <v>131</v>
      </c>
      <c r="G2253" s="8" t="s">
        <v>61</v>
      </c>
      <c r="H2253" s="8" t="s">
        <v>215</v>
      </c>
      <c r="I2253" s="3">
        <v>2</v>
      </c>
      <c r="J2253" s="8" t="s">
        <v>181</v>
      </c>
      <c r="K2253" s="8" t="s">
        <v>182</v>
      </c>
      <c r="L2253" s="8" t="s">
        <v>557</v>
      </c>
      <c r="M2253" s="1" t="s">
        <v>205</v>
      </c>
      <c r="N2253" s="8" t="s">
        <v>206</v>
      </c>
      <c r="O2253" s="6">
        <v>0</v>
      </c>
      <c r="P2253" s="6">
        <v>0</v>
      </c>
      <c r="Q2253" s="6">
        <v>0</v>
      </c>
      <c r="R2253" s="6">
        <v>0</v>
      </c>
      <c r="S2253" s="6">
        <v>20</v>
      </c>
    </row>
    <row r="2254" spans="1:19" ht="15" hidden="1" x14ac:dyDescent="0.25">
      <c r="A2254" s="7" t="s">
        <v>16</v>
      </c>
      <c r="B2254" s="7" t="s">
        <v>23</v>
      </c>
      <c r="C2254" s="7" t="s">
        <v>24</v>
      </c>
      <c r="D2254" s="4">
        <v>33540014000157</v>
      </c>
      <c r="E2254" s="8" t="s">
        <v>1112</v>
      </c>
      <c r="F2254" s="8" t="s">
        <v>131</v>
      </c>
      <c r="G2254" s="8" t="s">
        <v>61</v>
      </c>
      <c r="H2254" s="8" t="s">
        <v>215</v>
      </c>
      <c r="I2254" s="3">
        <v>2</v>
      </c>
      <c r="J2254" s="8" t="s">
        <v>155</v>
      </c>
      <c r="K2254" s="8" t="s">
        <v>156</v>
      </c>
      <c r="L2254" s="8" t="s">
        <v>556</v>
      </c>
      <c r="M2254" s="1" t="s">
        <v>205</v>
      </c>
      <c r="N2254" s="8" t="s">
        <v>206</v>
      </c>
      <c r="O2254" s="6">
        <v>3</v>
      </c>
      <c r="P2254" s="6">
        <v>0</v>
      </c>
      <c r="Q2254" s="6">
        <v>0</v>
      </c>
      <c r="R2254" s="6">
        <v>0</v>
      </c>
      <c r="S2254" s="6">
        <v>0</v>
      </c>
    </row>
    <row r="2255" spans="1:19" ht="15" hidden="1" x14ac:dyDescent="0.25">
      <c r="A2255" s="7" t="s">
        <v>16</v>
      </c>
      <c r="B2255" s="7" t="s">
        <v>23</v>
      </c>
      <c r="C2255" s="7" t="s">
        <v>24</v>
      </c>
      <c r="D2255" s="4">
        <v>33540014000157</v>
      </c>
      <c r="E2255" s="8" t="s">
        <v>1112</v>
      </c>
      <c r="F2255" s="8" t="s">
        <v>131</v>
      </c>
      <c r="G2255" s="8" t="s">
        <v>61</v>
      </c>
      <c r="H2255" s="8" t="s">
        <v>215</v>
      </c>
      <c r="I2255" s="3">
        <v>2</v>
      </c>
      <c r="J2255" s="8" t="s">
        <v>181</v>
      </c>
      <c r="K2255" s="8" t="s">
        <v>182</v>
      </c>
      <c r="L2255" s="8" t="s">
        <v>557</v>
      </c>
      <c r="M2255" s="1" t="s">
        <v>205</v>
      </c>
      <c r="N2255" s="8" t="s">
        <v>206</v>
      </c>
      <c r="O2255" s="6">
        <v>0</v>
      </c>
      <c r="P2255" s="6">
        <v>0</v>
      </c>
      <c r="Q2255" s="6">
        <v>0</v>
      </c>
      <c r="R2255" s="6">
        <v>0</v>
      </c>
      <c r="S2255" s="6">
        <v>0</v>
      </c>
    </row>
    <row r="2256" spans="1:19" ht="15" hidden="1" x14ac:dyDescent="0.25">
      <c r="A2256" s="7" t="s">
        <v>16</v>
      </c>
      <c r="B2256" s="7" t="s">
        <v>23</v>
      </c>
      <c r="C2256" s="7" t="s">
        <v>24</v>
      </c>
      <c r="D2256" s="4">
        <v>9219138000401</v>
      </c>
      <c r="E2256" s="8" t="s">
        <v>1087</v>
      </c>
      <c r="F2256" s="8" t="s">
        <v>131</v>
      </c>
      <c r="G2256" s="8" t="s">
        <v>61</v>
      </c>
      <c r="H2256" s="8" t="s">
        <v>215</v>
      </c>
      <c r="I2256" s="3">
        <v>2</v>
      </c>
      <c r="J2256" s="8" t="s">
        <v>155</v>
      </c>
      <c r="K2256" s="8" t="s">
        <v>156</v>
      </c>
      <c r="L2256" s="8" t="s">
        <v>556</v>
      </c>
      <c r="M2256" s="1" t="s">
        <v>205</v>
      </c>
      <c r="N2256" s="8" t="s">
        <v>206</v>
      </c>
      <c r="O2256" s="6">
        <v>0</v>
      </c>
      <c r="P2256" s="6">
        <v>0</v>
      </c>
      <c r="Q2256" s="6">
        <v>0</v>
      </c>
      <c r="R2256" s="6">
        <v>0</v>
      </c>
      <c r="S2256" s="6">
        <v>265</v>
      </c>
    </row>
    <row r="2257" spans="1:19" ht="15" hidden="1" x14ac:dyDescent="0.25">
      <c r="A2257" s="7" t="s">
        <v>16</v>
      </c>
      <c r="B2257" s="7" t="s">
        <v>23</v>
      </c>
      <c r="C2257" s="7" t="s">
        <v>24</v>
      </c>
      <c r="D2257" s="4">
        <v>9219138000401</v>
      </c>
      <c r="E2257" s="8" t="s">
        <v>1087</v>
      </c>
      <c r="F2257" s="8" t="s">
        <v>131</v>
      </c>
      <c r="G2257" s="8" t="s">
        <v>61</v>
      </c>
      <c r="H2257" s="8" t="s">
        <v>215</v>
      </c>
      <c r="I2257" s="3">
        <v>2</v>
      </c>
      <c r="J2257" s="8" t="s">
        <v>181</v>
      </c>
      <c r="K2257" s="8" t="s">
        <v>182</v>
      </c>
      <c r="L2257" s="8" t="s">
        <v>557</v>
      </c>
      <c r="M2257" s="1" t="s">
        <v>205</v>
      </c>
      <c r="N2257" s="8" t="s">
        <v>206</v>
      </c>
      <c r="O2257" s="6">
        <v>0</v>
      </c>
      <c r="P2257" s="6">
        <v>0</v>
      </c>
      <c r="Q2257" s="6">
        <v>0</v>
      </c>
      <c r="R2257" s="6">
        <v>0</v>
      </c>
      <c r="S2257" s="6">
        <v>265</v>
      </c>
    </row>
    <row r="2258" spans="1:19" ht="15" hidden="1" x14ac:dyDescent="0.25">
      <c r="A2258" s="7" t="s">
        <v>16</v>
      </c>
      <c r="B2258" s="7" t="s">
        <v>23</v>
      </c>
      <c r="C2258" s="7" t="s">
        <v>24</v>
      </c>
      <c r="D2258" s="4">
        <v>9219138000584</v>
      </c>
      <c r="E2258" s="8" t="s">
        <v>1088</v>
      </c>
      <c r="F2258" s="8" t="s">
        <v>131</v>
      </c>
      <c r="G2258" s="8" t="s">
        <v>61</v>
      </c>
      <c r="H2258" s="8" t="s">
        <v>215</v>
      </c>
      <c r="I2258" s="3">
        <v>2</v>
      </c>
      <c r="J2258" s="8" t="s">
        <v>155</v>
      </c>
      <c r="K2258" s="8" t="s">
        <v>156</v>
      </c>
      <c r="L2258" s="8" t="s">
        <v>556</v>
      </c>
      <c r="M2258" s="1" t="s">
        <v>205</v>
      </c>
      <c r="N2258" s="8" t="s">
        <v>206</v>
      </c>
      <c r="O2258" s="6">
        <v>0</v>
      </c>
      <c r="P2258" s="6">
        <v>0</v>
      </c>
      <c r="Q2258" s="6">
        <v>0</v>
      </c>
      <c r="R2258" s="6">
        <v>148</v>
      </c>
      <c r="S2258" s="6">
        <v>735</v>
      </c>
    </row>
    <row r="2259" spans="1:19" ht="15" hidden="1" x14ac:dyDescent="0.25">
      <c r="A2259" s="7" t="s">
        <v>16</v>
      </c>
      <c r="B2259" s="7" t="s">
        <v>23</v>
      </c>
      <c r="C2259" s="7" t="s">
        <v>24</v>
      </c>
      <c r="D2259" s="4">
        <v>9219138000584</v>
      </c>
      <c r="E2259" s="8" t="s">
        <v>1088</v>
      </c>
      <c r="F2259" s="8" t="s">
        <v>131</v>
      </c>
      <c r="G2259" s="8" t="s">
        <v>61</v>
      </c>
      <c r="H2259" s="8" t="s">
        <v>215</v>
      </c>
      <c r="I2259" s="3">
        <v>2</v>
      </c>
      <c r="J2259" s="8" t="s">
        <v>173</v>
      </c>
      <c r="K2259" s="8" t="s">
        <v>174</v>
      </c>
      <c r="L2259" s="8" t="s">
        <v>557</v>
      </c>
      <c r="M2259" s="1" t="s">
        <v>205</v>
      </c>
      <c r="N2259" s="8" t="s">
        <v>206</v>
      </c>
      <c r="O2259" s="6">
        <v>0</v>
      </c>
      <c r="P2259" s="6">
        <v>18</v>
      </c>
      <c r="Q2259" s="6">
        <v>17</v>
      </c>
      <c r="R2259" s="6">
        <v>0</v>
      </c>
      <c r="S2259" s="6">
        <v>735</v>
      </c>
    </row>
    <row r="2260" spans="1:19" ht="15" hidden="1" x14ac:dyDescent="0.25">
      <c r="A2260" s="7" t="s">
        <v>16</v>
      </c>
      <c r="B2260" s="7" t="s">
        <v>23</v>
      </c>
      <c r="C2260" s="7" t="s">
        <v>24</v>
      </c>
      <c r="D2260" s="4">
        <v>35917970000726</v>
      </c>
      <c r="E2260" s="8" t="s">
        <v>1062</v>
      </c>
      <c r="F2260" s="8" t="s">
        <v>105</v>
      </c>
      <c r="G2260" s="8" t="s">
        <v>61</v>
      </c>
      <c r="H2260" s="8" t="s">
        <v>215</v>
      </c>
      <c r="I2260" s="3">
        <v>2</v>
      </c>
      <c r="J2260" s="8" t="s">
        <v>155</v>
      </c>
      <c r="K2260" s="8" t="s">
        <v>156</v>
      </c>
      <c r="L2260" s="8" t="s">
        <v>556</v>
      </c>
      <c r="M2260" s="1" t="s">
        <v>205</v>
      </c>
      <c r="N2260" s="8" t="s">
        <v>206</v>
      </c>
      <c r="O2260" s="6">
        <v>0</v>
      </c>
      <c r="P2260" s="6">
        <v>0</v>
      </c>
      <c r="Q2260" s="6">
        <v>0</v>
      </c>
      <c r="R2260" s="6">
        <v>30</v>
      </c>
      <c r="S2260" s="6">
        <v>0</v>
      </c>
    </row>
    <row r="2261" spans="1:19" ht="15" hidden="1" x14ac:dyDescent="0.25">
      <c r="A2261" s="7" t="s">
        <v>16</v>
      </c>
      <c r="B2261" s="7" t="s">
        <v>23</v>
      </c>
      <c r="C2261" s="7" t="s">
        <v>24</v>
      </c>
      <c r="D2261" s="4">
        <v>35917970000726</v>
      </c>
      <c r="E2261" s="8" t="s">
        <v>1062</v>
      </c>
      <c r="F2261" s="8" t="s">
        <v>105</v>
      </c>
      <c r="G2261" s="8" t="s">
        <v>61</v>
      </c>
      <c r="H2261" s="8" t="s">
        <v>215</v>
      </c>
      <c r="I2261" s="3">
        <v>2</v>
      </c>
      <c r="J2261" s="8" t="s">
        <v>173</v>
      </c>
      <c r="K2261" s="8" t="s">
        <v>174</v>
      </c>
      <c r="L2261" s="8" t="s">
        <v>557</v>
      </c>
      <c r="M2261" s="1" t="s">
        <v>205</v>
      </c>
      <c r="N2261" s="8" t="s">
        <v>206</v>
      </c>
      <c r="O2261" s="6">
        <v>0</v>
      </c>
      <c r="P2261" s="6">
        <v>0</v>
      </c>
      <c r="Q2261" s="6">
        <v>0</v>
      </c>
      <c r="R2261" s="6">
        <v>0</v>
      </c>
      <c r="S2261" s="6">
        <v>0</v>
      </c>
    </row>
    <row r="2262" spans="1:19" ht="15" hidden="1" x14ac:dyDescent="0.25">
      <c r="A2262" s="7" t="s">
        <v>16</v>
      </c>
      <c r="B2262" s="7" t="s">
        <v>23</v>
      </c>
      <c r="C2262" s="7" t="s">
        <v>24</v>
      </c>
      <c r="D2262" s="4">
        <v>8319329000121</v>
      </c>
      <c r="E2262" s="8" t="s">
        <v>823</v>
      </c>
      <c r="F2262" s="8" t="s">
        <v>62</v>
      </c>
      <c r="G2262" s="8" t="s">
        <v>63</v>
      </c>
      <c r="H2262" s="8" t="s">
        <v>215</v>
      </c>
      <c r="I2262" s="3">
        <v>2</v>
      </c>
      <c r="J2262" s="8" t="s">
        <v>199</v>
      </c>
      <c r="K2262" s="8" t="s">
        <v>200</v>
      </c>
      <c r="L2262" s="8" t="s">
        <v>556</v>
      </c>
      <c r="M2262" s="1" t="s">
        <v>211</v>
      </c>
      <c r="N2262" s="8" t="s">
        <v>212</v>
      </c>
      <c r="O2262" s="6">
        <v>0</v>
      </c>
      <c r="P2262" s="6">
        <v>0</v>
      </c>
      <c r="Q2262" s="6">
        <v>0</v>
      </c>
      <c r="R2262" s="6">
        <v>0</v>
      </c>
      <c r="S2262" s="6">
        <v>0</v>
      </c>
    </row>
    <row r="2263" spans="1:19" ht="15" hidden="1" x14ac:dyDescent="0.25">
      <c r="A2263" s="7" t="s">
        <v>16</v>
      </c>
      <c r="B2263" s="7" t="s">
        <v>23</v>
      </c>
      <c r="C2263" s="7" t="s">
        <v>24</v>
      </c>
      <c r="D2263" s="4">
        <v>8319329000121</v>
      </c>
      <c r="E2263" s="8" t="s">
        <v>823</v>
      </c>
      <c r="F2263" s="8" t="s">
        <v>62</v>
      </c>
      <c r="G2263" s="8" t="s">
        <v>63</v>
      </c>
      <c r="H2263" s="8" t="s">
        <v>215</v>
      </c>
      <c r="I2263" s="3">
        <v>2</v>
      </c>
      <c r="J2263" s="8" t="s">
        <v>169</v>
      </c>
      <c r="K2263" s="8" t="s">
        <v>170</v>
      </c>
      <c r="L2263" s="8" t="s">
        <v>557</v>
      </c>
      <c r="M2263" s="1" t="s">
        <v>211</v>
      </c>
      <c r="N2263" s="8" t="s">
        <v>212</v>
      </c>
      <c r="O2263" s="6">
        <v>0</v>
      </c>
      <c r="P2263" s="6">
        <v>61</v>
      </c>
      <c r="Q2263" s="6">
        <v>0</v>
      </c>
      <c r="R2263" s="6">
        <v>0</v>
      </c>
      <c r="S2263" s="6">
        <v>0</v>
      </c>
    </row>
    <row r="2264" spans="1:19" ht="15" hidden="1" x14ac:dyDescent="0.25">
      <c r="A2264" s="7" t="s">
        <v>16</v>
      </c>
      <c r="B2264" s="7" t="s">
        <v>23</v>
      </c>
      <c r="C2264" s="7" t="s">
        <v>24</v>
      </c>
      <c r="D2264" s="4">
        <v>15126437000739</v>
      </c>
      <c r="E2264" s="8" t="s">
        <v>881</v>
      </c>
      <c r="F2264" s="8" t="s">
        <v>62</v>
      </c>
      <c r="G2264" s="8" t="s">
        <v>63</v>
      </c>
      <c r="H2264" s="8" t="s">
        <v>215</v>
      </c>
      <c r="I2264" s="3">
        <v>2</v>
      </c>
      <c r="J2264" s="8" t="s">
        <v>199</v>
      </c>
      <c r="K2264" s="8" t="s">
        <v>200</v>
      </c>
      <c r="L2264" s="8" t="s">
        <v>556</v>
      </c>
      <c r="M2264" s="1" t="s">
        <v>211</v>
      </c>
      <c r="N2264" s="8" t="s">
        <v>212</v>
      </c>
      <c r="O2264" s="6">
        <v>0</v>
      </c>
      <c r="P2264" s="6">
        <v>0</v>
      </c>
      <c r="Q2264" s="6">
        <v>0</v>
      </c>
      <c r="R2264" s="6">
        <v>0</v>
      </c>
      <c r="S2264" s="6">
        <v>400</v>
      </c>
    </row>
    <row r="2265" spans="1:19" ht="15" hidden="1" x14ac:dyDescent="0.25">
      <c r="A2265" s="7" t="s">
        <v>16</v>
      </c>
      <c r="B2265" s="7" t="s">
        <v>23</v>
      </c>
      <c r="C2265" s="7" t="s">
        <v>24</v>
      </c>
      <c r="D2265" s="4">
        <v>15126437000739</v>
      </c>
      <c r="E2265" s="8" t="s">
        <v>881</v>
      </c>
      <c r="F2265" s="8" t="s">
        <v>62</v>
      </c>
      <c r="G2265" s="8" t="s">
        <v>63</v>
      </c>
      <c r="H2265" s="8" t="s">
        <v>215</v>
      </c>
      <c r="I2265" s="3">
        <v>2</v>
      </c>
      <c r="J2265" s="8" t="s">
        <v>169</v>
      </c>
      <c r="K2265" s="8" t="s">
        <v>170</v>
      </c>
      <c r="L2265" s="8" t="s">
        <v>557</v>
      </c>
      <c r="M2265" s="1" t="s">
        <v>211</v>
      </c>
      <c r="N2265" s="8" t="s">
        <v>212</v>
      </c>
      <c r="O2265" s="6">
        <v>0</v>
      </c>
      <c r="P2265" s="6">
        <v>60</v>
      </c>
      <c r="Q2265" s="6">
        <v>0</v>
      </c>
      <c r="R2265" s="6">
        <v>0</v>
      </c>
      <c r="S2265" s="6">
        <v>400</v>
      </c>
    </row>
    <row r="2266" spans="1:19" ht="15" hidden="1" x14ac:dyDescent="0.25">
      <c r="A2266" s="7" t="s">
        <v>16</v>
      </c>
      <c r="B2266" s="7" t="s">
        <v>23</v>
      </c>
      <c r="C2266" s="7" t="s">
        <v>24</v>
      </c>
      <c r="D2266" s="4">
        <v>29435005009851</v>
      </c>
      <c r="E2266" s="8" t="s">
        <v>913</v>
      </c>
      <c r="F2266" s="8" t="s">
        <v>62</v>
      </c>
      <c r="G2266" s="8" t="s">
        <v>63</v>
      </c>
      <c r="H2266" s="8" t="s">
        <v>215</v>
      </c>
      <c r="I2266" s="3">
        <v>2</v>
      </c>
      <c r="J2266" s="8" t="s">
        <v>199</v>
      </c>
      <c r="K2266" s="8" t="s">
        <v>200</v>
      </c>
      <c r="L2266" s="8" t="s">
        <v>556</v>
      </c>
      <c r="M2266" s="1" t="s">
        <v>211</v>
      </c>
      <c r="N2266" s="8" t="s">
        <v>212</v>
      </c>
      <c r="O2266" s="6">
        <v>0</v>
      </c>
      <c r="P2266" s="6">
        <v>0</v>
      </c>
      <c r="Q2266" s="6">
        <v>0</v>
      </c>
      <c r="R2266" s="6">
        <v>0</v>
      </c>
      <c r="S2266" s="6">
        <v>100</v>
      </c>
    </row>
    <row r="2267" spans="1:19" ht="15" hidden="1" x14ac:dyDescent="0.25">
      <c r="A2267" s="7" t="s">
        <v>16</v>
      </c>
      <c r="B2267" s="7" t="s">
        <v>23</v>
      </c>
      <c r="C2267" s="7" t="s">
        <v>24</v>
      </c>
      <c r="D2267" s="4">
        <v>29435005009851</v>
      </c>
      <c r="E2267" s="8" t="s">
        <v>913</v>
      </c>
      <c r="F2267" s="8" t="s">
        <v>62</v>
      </c>
      <c r="G2267" s="8" t="s">
        <v>63</v>
      </c>
      <c r="H2267" s="8" t="s">
        <v>215</v>
      </c>
      <c r="I2267" s="3">
        <v>2</v>
      </c>
      <c r="J2267" s="8" t="s">
        <v>169</v>
      </c>
      <c r="K2267" s="8" t="s">
        <v>170</v>
      </c>
      <c r="L2267" s="8" t="s">
        <v>557</v>
      </c>
      <c r="M2267" s="1" t="s">
        <v>211</v>
      </c>
      <c r="N2267" s="8" t="s">
        <v>212</v>
      </c>
      <c r="O2267" s="6">
        <v>0</v>
      </c>
      <c r="P2267" s="6">
        <v>0</v>
      </c>
      <c r="Q2267" s="6">
        <v>0</v>
      </c>
      <c r="R2267" s="6">
        <v>0</v>
      </c>
      <c r="S2267" s="6">
        <v>100</v>
      </c>
    </row>
    <row r="2268" spans="1:19" ht="15" hidden="1" x14ac:dyDescent="0.25">
      <c r="A2268" s="7" t="s">
        <v>16</v>
      </c>
      <c r="B2268" s="7" t="s">
        <v>23</v>
      </c>
      <c r="C2268" s="7" t="s">
        <v>24</v>
      </c>
      <c r="D2268" s="4">
        <v>8337586000196</v>
      </c>
      <c r="E2268" s="8" t="s">
        <v>824</v>
      </c>
      <c r="F2268" s="8" t="s">
        <v>62</v>
      </c>
      <c r="G2268" s="8" t="s">
        <v>63</v>
      </c>
      <c r="H2268" s="8" t="s">
        <v>215</v>
      </c>
      <c r="I2268" s="3">
        <v>2</v>
      </c>
      <c r="J2268" s="8" t="s">
        <v>199</v>
      </c>
      <c r="K2268" s="8" t="s">
        <v>200</v>
      </c>
      <c r="L2268" s="8" t="s">
        <v>556</v>
      </c>
      <c r="M2268" s="1" t="s">
        <v>211</v>
      </c>
      <c r="N2268" s="8" t="s">
        <v>212</v>
      </c>
      <c r="O2268" s="6">
        <v>0</v>
      </c>
      <c r="P2268" s="6">
        <v>0</v>
      </c>
      <c r="Q2268" s="6">
        <v>0</v>
      </c>
      <c r="R2268" s="6">
        <v>0</v>
      </c>
      <c r="S2268" s="6">
        <v>0</v>
      </c>
    </row>
    <row r="2269" spans="1:19" ht="15" hidden="1" x14ac:dyDescent="0.25">
      <c r="A2269" s="7" t="s">
        <v>16</v>
      </c>
      <c r="B2269" s="7" t="s">
        <v>23</v>
      </c>
      <c r="C2269" s="7" t="s">
        <v>24</v>
      </c>
      <c r="D2269" s="4">
        <v>8337586000196</v>
      </c>
      <c r="E2269" s="8" t="s">
        <v>824</v>
      </c>
      <c r="F2269" s="8" t="s">
        <v>62</v>
      </c>
      <c r="G2269" s="8" t="s">
        <v>63</v>
      </c>
      <c r="H2269" s="8" t="s">
        <v>215</v>
      </c>
      <c r="I2269" s="3">
        <v>2</v>
      </c>
      <c r="J2269" s="8" t="s">
        <v>169</v>
      </c>
      <c r="K2269" s="8" t="s">
        <v>170</v>
      </c>
      <c r="L2269" s="8" t="s">
        <v>557</v>
      </c>
      <c r="M2269" s="1" t="s">
        <v>211</v>
      </c>
      <c r="N2269" s="8" t="s">
        <v>212</v>
      </c>
      <c r="O2269" s="6">
        <v>0</v>
      </c>
      <c r="P2269" s="6">
        <v>1</v>
      </c>
      <c r="Q2269" s="6">
        <v>0</v>
      </c>
      <c r="R2269" s="6">
        <v>0</v>
      </c>
      <c r="S2269" s="6">
        <v>0</v>
      </c>
    </row>
    <row r="2270" spans="1:19" ht="15" hidden="1" x14ac:dyDescent="0.25">
      <c r="A2270" s="7" t="s">
        <v>16</v>
      </c>
      <c r="B2270" s="7" t="s">
        <v>23</v>
      </c>
      <c r="C2270" s="7" t="s">
        <v>24</v>
      </c>
      <c r="D2270" s="4">
        <v>820737000150</v>
      </c>
      <c r="E2270" s="8" t="s">
        <v>757</v>
      </c>
      <c r="F2270" s="8" t="s">
        <v>62</v>
      </c>
      <c r="G2270" s="8" t="s">
        <v>63</v>
      </c>
      <c r="H2270" s="8" t="s">
        <v>215</v>
      </c>
      <c r="I2270" s="3">
        <v>2</v>
      </c>
      <c r="J2270" s="8" t="s">
        <v>199</v>
      </c>
      <c r="K2270" s="8" t="s">
        <v>200</v>
      </c>
      <c r="L2270" s="8" t="s">
        <v>556</v>
      </c>
      <c r="M2270" s="1" t="s">
        <v>211</v>
      </c>
      <c r="N2270" s="8" t="s">
        <v>212</v>
      </c>
      <c r="O2270" s="6">
        <v>0</v>
      </c>
      <c r="P2270" s="6">
        <v>0</v>
      </c>
      <c r="Q2270" s="6">
        <v>0</v>
      </c>
      <c r="R2270" s="6">
        <v>0</v>
      </c>
      <c r="S2270" s="6">
        <v>0</v>
      </c>
    </row>
    <row r="2271" spans="1:19" ht="15" hidden="1" x14ac:dyDescent="0.25">
      <c r="A2271" s="7" t="s">
        <v>16</v>
      </c>
      <c r="B2271" s="7" t="s">
        <v>23</v>
      </c>
      <c r="C2271" s="7" t="s">
        <v>24</v>
      </c>
      <c r="D2271" s="4">
        <v>820737000150</v>
      </c>
      <c r="E2271" s="8" t="s">
        <v>757</v>
      </c>
      <c r="F2271" s="8" t="s">
        <v>62</v>
      </c>
      <c r="G2271" s="8" t="s">
        <v>63</v>
      </c>
      <c r="H2271" s="8" t="s">
        <v>215</v>
      </c>
      <c r="I2271" s="3">
        <v>2</v>
      </c>
      <c r="J2271" s="8" t="s">
        <v>169</v>
      </c>
      <c r="K2271" s="8" t="s">
        <v>170</v>
      </c>
      <c r="L2271" s="8" t="s">
        <v>557</v>
      </c>
      <c r="M2271" s="1" t="s">
        <v>211</v>
      </c>
      <c r="N2271" s="8" t="s">
        <v>212</v>
      </c>
      <c r="O2271" s="6">
        <v>0</v>
      </c>
      <c r="P2271" s="6">
        <v>21</v>
      </c>
      <c r="Q2271" s="6">
        <v>0</v>
      </c>
      <c r="R2271" s="6">
        <v>0</v>
      </c>
      <c r="S2271" s="6">
        <v>0</v>
      </c>
    </row>
    <row r="2272" spans="1:19" ht="15" hidden="1" x14ac:dyDescent="0.25">
      <c r="A2272" s="7" t="s">
        <v>16</v>
      </c>
      <c r="B2272" s="7" t="s">
        <v>23</v>
      </c>
      <c r="C2272" s="7" t="s">
        <v>24</v>
      </c>
      <c r="D2272" s="4">
        <v>1507901000137</v>
      </c>
      <c r="E2272" s="8" t="s">
        <v>765</v>
      </c>
      <c r="F2272" s="8" t="s">
        <v>62</v>
      </c>
      <c r="G2272" s="8" t="s">
        <v>63</v>
      </c>
      <c r="H2272" s="8" t="s">
        <v>215</v>
      </c>
      <c r="I2272" s="3">
        <v>2</v>
      </c>
      <c r="J2272" s="8" t="s">
        <v>199</v>
      </c>
      <c r="K2272" s="8" t="s">
        <v>200</v>
      </c>
      <c r="L2272" s="8" t="s">
        <v>556</v>
      </c>
      <c r="M2272" s="1" t="s">
        <v>211</v>
      </c>
      <c r="N2272" s="8" t="s">
        <v>212</v>
      </c>
      <c r="O2272" s="6">
        <v>0</v>
      </c>
      <c r="P2272" s="6">
        <v>0</v>
      </c>
      <c r="Q2272" s="6">
        <v>0</v>
      </c>
      <c r="R2272" s="6">
        <v>0</v>
      </c>
      <c r="S2272" s="6">
        <v>0</v>
      </c>
    </row>
    <row r="2273" spans="1:19" ht="15" hidden="1" x14ac:dyDescent="0.25">
      <c r="A2273" s="7" t="s">
        <v>16</v>
      </c>
      <c r="B2273" s="7" t="s">
        <v>23</v>
      </c>
      <c r="C2273" s="7" t="s">
        <v>24</v>
      </c>
      <c r="D2273" s="4">
        <v>1507901000137</v>
      </c>
      <c r="E2273" s="8" t="s">
        <v>765</v>
      </c>
      <c r="F2273" s="8" t="s">
        <v>62</v>
      </c>
      <c r="G2273" s="8" t="s">
        <v>63</v>
      </c>
      <c r="H2273" s="8" t="s">
        <v>215</v>
      </c>
      <c r="I2273" s="3">
        <v>2</v>
      </c>
      <c r="J2273" s="8" t="s">
        <v>169</v>
      </c>
      <c r="K2273" s="8" t="s">
        <v>170</v>
      </c>
      <c r="L2273" s="8" t="s">
        <v>557</v>
      </c>
      <c r="M2273" s="1" t="s">
        <v>211</v>
      </c>
      <c r="N2273" s="8" t="s">
        <v>212</v>
      </c>
      <c r="O2273" s="6">
        <v>0</v>
      </c>
      <c r="P2273" s="6">
        <v>10</v>
      </c>
      <c r="Q2273" s="6">
        <v>0</v>
      </c>
      <c r="R2273" s="6">
        <v>0</v>
      </c>
      <c r="S2273" s="6">
        <v>0</v>
      </c>
    </row>
    <row r="2274" spans="1:19" ht="15" hidden="1" x14ac:dyDescent="0.25">
      <c r="A2274" s="7" t="s">
        <v>16</v>
      </c>
      <c r="B2274" s="7" t="s">
        <v>23</v>
      </c>
      <c r="C2274" s="7" t="s">
        <v>24</v>
      </c>
      <c r="D2274" s="4">
        <v>2109397000180</v>
      </c>
      <c r="E2274" s="8" t="s">
        <v>773</v>
      </c>
      <c r="F2274" s="8" t="s">
        <v>62</v>
      </c>
      <c r="G2274" s="8" t="s">
        <v>63</v>
      </c>
      <c r="H2274" s="8" t="s">
        <v>215</v>
      </c>
      <c r="I2274" s="3">
        <v>2</v>
      </c>
      <c r="J2274" s="8" t="s">
        <v>199</v>
      </c>
      <c r="K2274" s="8" t="s">
        <v>200</v>
      </c>
      <c r="L2274" s="8" t="s">
        <v>556</v>
      </c>
      <c r="M2274" s="1" t="s">
        <v>211</v>
      </c>
      <c r="N2274" s="8" t="s">
        <v>212</v>
      </c>
      <c r="O2274" s="6">
        <v>0</v>
      </c>
      <c r="P2274" s="6">
        <v>0</v>
      </c>
      <c r="Q2274" s="6">
        <v>0</v>
      </c>
      <c r="R2274" s="6">
        <v>0</v>
      </c>
      <c r="S2274" s="6">
        <v>0</v>
      </c>
    </row>
    <row r="2275" spans="1:19" ht="15" hidden="1" x14ac:dyDescent="0.25">
      <c r="A2275" s="7" t="s">
        <v>16</v>
      </c>
      <c r="B2275" s="7" t="s">
        <v>23</v>
      </c>
      <c r="C2275" s="7" t="s">
        <v>24</v>
      </c>
      <c r="D2275" s="4">
        <v>2109397000180</v>
      </c>
      <c r="E2275" s="8" t="s">
        <v>773</v>
      </c>
      <c r="F2275" s="8" t="s">
        <v>62</v>
      </c>
      <c r="G2275" s="8" t="s">
        <v>63</v>
      </c>
      <c r="H2275" s="8" t="s">
        <v>215</v>
      </c>
      <c r="I2275" s="3">
        <v>2</v>
      </c>
      <c r="J2275" s="8" t="s">
        <v>169</v>
      </c>
      <c r="K2275" s="8" t="s">
        <v>170</v>
      </c>
      <c r="L2275" s="8" t="s">
        <v>557</v>
      </c>
      <c r="M2275" s="1" t="s">
        <v>211</v>
      </c>
      <c r="N2275" s="8" t="s">
        <v>212</v>
      </c>
      <c r="O2275" s="6">
        <v>0</v>
      </c>
      <c r="P2275" s="6">
        <v>0</v>
      </c>
      <c r="Q2275" s="6">
        <v>3</v>
      </c>
      <c r="R2275" s="6">
        <v>0</v>
      </c>
      <c r="S2275" s="6">
        <v>0</v>
      </c>
    </row>
    <row r="2276" spans="1:19" ht="15" hidden="1" x14ac:dyDescent="0.25">
      <c r="A2276" s="7" t="s">
        <v>16</v>
      </c>
      <c r="B2276" s="7" t="s">
        <v>23</v>
      </c>
      <c r="C2276" s="7" t="s">
        <v>24</v>
      </c>
      <c r="D2276" s="4">
        <v>88645403001372</v>
      </c>
      <c r="E2276" s="8" t="s">
        <v>1025</v>
      </c>
      <c r="F2276" s="8" t="s">
        <v>66</v>
      </c>
      <c r="G2276" s="8" t="s">
        <v>67</v>
      </c>
      <c r="H2276" s="8" t="s">
        <v>215</v>
      </c>
      <c r="I2276" s="3">
        <v>2</v>
      </c>
      <c r="J2276" s="8" t="s">
        <v>175</v>
      </c>
      <c r="K2276" s="8" t="s">
        <v>176</v>
      </c>
      <c r="L2276" s="8" t="s">
        <v>556</v>
      </c>
      <c r="M2276" s="1" t="s">
        <v>205</v>
      </c>
      <c r="N2276" s="8" t="s">
        <v>206</v>
      </c>
      <c r="O2276" s="6">
        <v>0</v>
      </c>
      <c r="P2276" s="6">
        <v>0</v>
      </c>
      <c r="Q2276" s="6">
        <v>0</v>
      </c>
      <c r="R2276" s="6">
        <v>32</v>
      </c>
      <c r="S2276" s="6">
        <v>0</v>
      </c>
    </row>
    <row r="2277" spans="1:19" ht="15" hidden="1" x14ac:dyDescent="0.25">
      <c r="A2277" s="7" t="s">
        <v>16</v>
      </c>
      <c r="B2277" s="7" t="s">
        <v>23</v>
      </c>
      <c r="C2277" s="7" t="s">
        <v>24</v>
      </c>
      <c r="D2277" s="4">
        <v>88645403001372</v>
      </c>
      <c r="E2277" s="8" t="s">
        <v>1025</v>
      </c>
      <c r="F2277" s="8" t="s">
        <v>66</v>
      </c>
      <c r="G2277" s="8" t="s">
        <v>67</v>
      </c>
      <c r="H2277" s="8" t="s">
        <v>215</v>
      </c>
      <c r="I2277" s="3">
        <v>2</v>
      </c>
      <c r="J2277" s="8" t="s">
        <v>144</v>
      </c>
      <c r="K2277" s="8" t="s">
        <v>145</v>
      </c>
      <c r="L2277" s="8" t="s">
        <v>557</v>
      </c>
      <c r="M2277" s="1" t="s">
        <v>205</v>
      </c>
      <c r="N2277" s="8" t="s">
        <v>206</v>
      </c>
      <c r="O2277" s="6">
        <v>0</v>
      </c>
      <c r="P2277" s="6">
        <v>0</v>
      </c>
      <c r="Q2277" s="6">
        <v>0</v>
      </c>
      <c r="R2277" s="6">
        <v>0</v>
      </c>
      <c r="S2277" s="6">
        <v>0</v>
      </c>
    </row>
    <row r="2278" spans="1:19" ht="15" hidden="1" x14ac:dyDescent="0.25">
      <c r="A2278" s="7" t="s">
        <v>16</v>
      </c>
      <c r="B2278" s="7" t="s">
        <v>23</v>
      </c>
      <c r="C2278" s="7" t="s">
        <v>24</v>
      </c>
      <c r="D2278" s="4">
        <v>87827689002405</v>
      </c>
      <c r="E2278" s="8" t="s">
        <v>1021</v>
      </c>
      <c r="F2278" s="8" t="s">
        <v>66</v>
      </c>
      <c r="G2278" s="8" t="s">
        <v>67</v>
      </c>
      <c r="H2278" s="8" t="s">
        <v>215</v>
      </c>
      <c r="I2278" s="3">
        <v>2</v>
      </c>
      <c r="J2278" s="8" t="s">
        <v>175</v>
      </c>
      <c r="K2278" s="8" t="s">
        <v>176</v>
      </c>
      <c r="L2278" s="8" t="s">
        <v>556</v>
      </c>
      <c r="M2278" s="1" t="s">
        <v>205</v>
      </c>
      <c r="N2278" s="8" t="s">
        <v>206</v>
      </c>
      <c r="O2278" s="6">
        <v>0</v>
      </c>
      <c r="P2278" s="6">
        <v>0</v>
      </c>
      <c r="Q2278" s="6">
        <v>0</v>
      </c>
      <c r="R2278" s="6">
        <v>226</v>
      </c>
      <c r="S2278" s="6">
        <v>90</v>
      </c>
    </row>
    <row r="2279" spans="1:19" ht="15" hidden="1" x14ac:dyDescent="0.25">
      <c r="A2279" s="7" t="s">
        <v>16</v>
      </c>
      <c r="B2279" s="7" t="s">
        <v>23</v>
      </c>
      <c r="C2279" s="7" t="s">
        <v>24</v>
      </c>
      <c r="D2279" s="4">
        <v>87827689002405</v>
      </c>
      <c r="E2279" s="8" t="s">
        <v>1021</v>
      </c>
      <c r="F2279" s="8" t="s">
        <v>66</v>
      </c>
      <c r="G2279" s="8" t="s">
        <v>67</v>
      </c>
      <c r="H2279" s="8" t="s">
        <v>215</v>
      </c>
      <c r="I2279" s="3">
        <v>2</v>
      </c>
      <c r="J2279" s="8" t="s">
        <v>144</v>
      </c>
      <c r="K2279" s="8" t="s">
        <v>145</v>
      </c>
      <c r="L2279" s="8" t="s">
        <v>557</v>
      </c>
      <c r="M2279" s="1" t="s">
        <v>205</v>
      </c>
      <c r="N2279" s="8" t="s">
        <v>206</v>
      </c>
      <c r="O2279" s="6">
        <v>0</v>
      </c>
      <c r="P2279" s="6">
        <v>0</v>
      </c>
      <c r="Q2279" s="6">
        <v>0</v>
      </c>
      <c r="R2279" s="6">
        <v>0</v>
      </c>
      <c r="S2279" s="6">
        <v>90</v>
      </c>
    </row>
    <row r="2280" spans="1:19" ht="15" hidden="1" x14ac:dyDescent="0.25">
      <c r="A2280" s="7" t="s">
        <v>16</v>
      </c>
      <c r="B2280" s="7" t="s">
        <v>23</v>
      </c>
      <c r="C2280" s="7" t="s">
        <v>24</v>
      </c>
      <c r="D2280" s="4">
        <v>87638334000505</v>
      </c>
      <c r="E2280" s="8" t="s">
        <v>1020</v>
      </c>
      <c r="F2280" s="8" t="s">
        <v>129</v>
      </c>
      <c r="G2280" s="8" t="s">
        <v>67</v>
      </c>
      <c r="H2280" s="8" t="s">
        <v>215</v>
      </c>
      <c r="I2280" s="3">
        <v>2</v>
      </c>
      <c r="J2280" s="8" t="s">
        <v>175</v>
      </c>
      <c r="K2280" s="8" t="s">
        <v>176</v>
      </c>
      <c r="L2280" s="8" t="s">
        <v>556</v>
      </c>
      <c r="M2280" s="1" t="s">
        <v>205</v>
      </c>
      <c r="N2280" s="8" t="s">
        <v>206</v>
      </c>
      <c r="O2280" s="6">
        <v>0</v>
      </c>
      <c r="P2280" s="6">
        <v>0</v>
      </c>
      <c r="Q2280" s="6">
        <v>0</v>
      </c>
      <c r="R2280" s="6">
        <v>0</v>
      </c>
      <c r="S2280" s="6">
        <v>10</v>
      </c>
    </row>
    <row r="2281" spans="1:19" ht="15" hidden="1" x14ac:dyDescent="0.25">
      <c r="A2281" s="7" t="s">
        <v>16</v>
      </c>
      <c r="B2281" s="7" t="s">
        <v>23</v>
      </c>
      <c r="C2281" s="7" t="s">
        <v>24</v>
      </c>
      <c r="D2281" s="4">
        <v>87638334000505</v>
      </c>
      <c r="E2281" s="8" t="s">
        <v>1020</v>
      </c>
      <c r="F2281" s="8" t="s">
        <v>129</v>
      </c>
      <c r="G2281" s="8" t="s">
        <v>67</v>
      </c>
      <c r="H2281" s="8" t="s">
        <v>215</v>
      </c>
      <c r="I2281" s="3">
        <v>2</v>
      </c>
      <c r="J2281" s="8" t="s">
        <v>144</v>
      </c>
      <c r="K2281" s="8" t="s">
        <v>145</v>
      </c>
      <c r="L2281" s="8" t="s">
        <v>557</v>
      </c>
      <c r="M2281" s="1" t="s">
        <v>205</v>
      </c>
      <c r="N2281" s="8" t="s">
        <v>206</v>
      </c>
      <c r="O2281" s="6">
        <v>0</v>
      </c>
      <c r="P2281" s="6">
        <v>0</v>
      </c>
      <c r="Q2281" s="6">
        <v>0</v>
      </c>
      <c r="R2281" s="6">
        <v>0</v>
      </c>
      <c r="S2281" s="6">
        <v>10</v>
      </c>
    </row>
    <row r="2282" spans="1:19" ht="15" hidden="1" x14ac:dyDescent="0.25">
      <c r="A2282" s="7" t="s">
        <v>16</v>
      </c>
      <c r="B2282" s="7" t="s">
        <v>23</v>
      </c>
      <c r="C2282" s="7" t="s">
        <v>24</v>
      </c>
      <c r="D2282" s="4">
        <v>3123393000208</v>
      </c>
      <c r="E2282" s="8" t="s">
        <v>943</v>
      </c>
      <c r="F2282" s="8" t="s">
        <v>541</v>
      </c>
      <c r="G2282" s="8" t="s">
        <v>67</v>
      </c>
      <c r="H2282" s="8" t="s">
        <v>215</v>
      </c>
      <c r="I2282" s="3">
        <v>2</v>
      </c>
      <c r="J2282" s="8" t="s">
        <v>175</v>
      </c>
      <c r="K2282" s="8" t="s">
        <v>176</v>
      </c>
      <c r="L2282" s="8" t="s">
        <v>556</v>
      </c>
      <c r="M2282" s="1" t="s">
        <v>205</v>
      </c>
      <c r="N2282" s="8" t="s">
        <v>206</v>
      </c>
      <c r="O2282" s="6">
        <v>0</v>
      </c>
      <c r="P2282" s="6">
        <v>0</v>
      </c>
      <c r="Q2282" s="6">
        <v>0</v>
      </c>
      <c r="R2282" s="6">
        <v>3</v>
      </c>
      <c r="S2282" s="6">
        <v>0</v>
      </c>
    </row>
    <row r="2283" spans="1:19" ht="15" hidden="1" x14ac:dyDescent="0.25">
      <c r="A2283" s="7" t="s">
        <v>16</v>
      </c>
      <c r="B2283" s="7" t="s">
        <v>23</v>
      </c>
      <c r="C2283" s="7" t="s">
        <v>24</v>
      </c>
      <c r="D2283" s="4">
        <v>3123393000208</v>
      </c>
      <c r="E2283" s="8" t="s">
        <v>943</v>
      </c>
      <c r="F2283" s="8" t="s">
        <v>541</v>
      </c>
      <c r="G2283" s="8" t="s">
        <v>67</v>
      </c>
      <c r="H2283" s="8" t="s">
        <v>215</v>
      </c>
      <c r="I2283" s="3">
        <v>2</v>
      </c>
      <c r="J2283" s="8" t="s">
        <v>144</v>
      </c>
      <c r="K2283" s="8" t="s">
        <v>145</v>
      </c>
      <c r="L2283" s="8" t="s">
        <v>557</v>
      </c>
      <c r="M2283" s="1" t="s">
        <v>205</v>
      </c>
      <c r="N2283" s="8" t="s">
        <v>206</v>
      </c>
      <c r="O2283" s="6">
        <v>0</v>
      </c>
      <c r="P2283" s="6">
        <v>0</v>
      </c>
      <c r="Q2283" s="6">
        <v>0</v>
      </c>
      <c r="R2283" s="6">
        <v>0</v>
      </c>
      <c r="S2283" s="6">
        <v>0</v>
      </c>
    </row>
    <row r="2284" spans="1:19" ht="15" hidden="1" x14ac:dyDescent="0.25">
      <c r="A2284" s="7" t="s">
        <v>16</v>
      </c>
      <c r="B2284" s="7" t="s">
        <v>23</v>
      </c>
      <c r="C2284" s="7" t="s">
        <v>24</v>
      </c>
      <c r="D2284" s="4">
        <v>87317764001165</v>
      </c>
      <c r="E2284" s="8" t="s">
        <v>1016</v>
      </c>
      <c r="F2284" s="8" t="s">
        <v>541</v>
      </c>
      <c r="G2284" s="8" t="s">
        <v>67</v>
      </c>
      <c r="H2284" s="8" t="s">
        <v>215</v>
      </c>
      <c r="I2284" s="3">
        <v>2</v>
      </c>
      <c r="J2284" s="8" t="s">
        <v>175</v>
      </c>
      <c r="K2284" s="8" t="s">
        <v>176</v>
      </c>
      <c r="L2284" s="8" t="s">
        <v>556</v>
      </c>
      <c r="M2284" s="1" t="s">
        <v>205</v>
      </c>
      <c r="N2284" s="8" t="s">
        <v>206</v>
      </c>
      <c r="O2284" s="6">
        <v>0</v>
      </c>
      <c r="P2284" s="6">
        <v>0</v>
      </c>
      <c r="Q2284" s="6">
        <v>0</v>
      </c>
      <c r="R2284" s="6">
        <v>3</v>
      </c>
      <c r="S2284" s="6">
        <v>0</v>
      </c>
    </row>
    <row r="2285" spans="1:19" ht="15" hidden="1" x14ac:dyDescent="0.25">
      <c r="A2285" s="7" t="s">
        <v>16</v>
      </c>
      <c r="B2285" s="7" t="s">
        <v>23</v>
      </c>
      <c r="C2285" s="7" t="s">
        <v>24</v>
      </c>
      <c r="D2285" s="4">
        <v>87317764001165</v>
      </c>
      <c r="E2285" s="8" t="s">
        <v>1016</v>
      </c>
      <c r="F2285" s="8" t="s">
        <v>541</v>
      </c>
      <c r="G2285" s="8" t="s">
        <v>67</v>
      </c>
      <c r="H2285" s="8" t="s">
        <v>215</v>
      </c>
      <c r="I2285" s="3">
        <v>2</v>
      </c>
      <c r="J2285" s="8" t="s">
        <v>144</v>
      </c>
      <c r="K2285" s="8" t="s">
        <v>145</v>
      </c>
      <c r="L2285" s="8" t="s">
        <v>557</v>
      </c>
      <c r="M2285" s="1" t="s">
        <v>205</v>
      </c>
      <c r="N2285" s="8" t="s">
        <v>206</v>
      </c>
      <c r="O2285" s="6">
        <v>0</v>
      </c>
      <c r="P2285" s="6">
        <v>0</v>
      </c>
      <c r="Q2285" s="6">
        <v>0</v>
      </c>
      <c r="R2285" s="6">
        <v>0</v>
      </c>
      <c r="S2285" s="6">
        <v>0</v>
      </c>
    </row>
    <row r="2286" spans="1:19" ht="15" hidden="1" x14ac:dyDescent="0.25">
      <c r="A2286" s="7" t="s">
        <v>16</v>
      </c>
      <c r="B2286" s="7" t="s">
        <v>23</v>
      </c>
      <c r="C2286" s="7" t="s">
        <v>24</v>
      </c>
      <c r="D2286" s="4">
        <v>92404789000164</v>
      </c>
      <c r="E2286" s="8" t="s">
        <v>1028</v>
      </c>
      <c r="F2286" s="8" t="s">
        <v>106</v>
      </c>
      <c r="G2286" s="8" t="s">
        <v>67</v>
      </c>
      <c r="H2286" s="8" t="s">
        <v>215</v>
      </c>
      <c r="I2286" s="3">
        <v>2</v>
      </c>
      <c r="J2286" s="8" t="s">
        <v>175</v>
      </c>
      <c r="K2286" s="8" t="s">
        <v>176</v>
      </c>
      <c r="L2286" s="8" t="s">
        <v>556</v>
      </c>
      <c r="M2286" s="1" t="s">
        <v>205</v>
      </c>
      <c r="N2286" s="8" t="s">
        <v>206</v>
      </c>
      <c r="O2286" s="6">
        <v>0</v>
      </c>
      <c r="P2286" s="6">
        <v>0</v>
      </c>
      <c r="Q2286" s="6">
        <v>0</v>
      </c>
      <c r="R2286" s="6">
        <v>24</v>
      </c>
      <c r="S2286" s="6">
        <v>0</v>
      </c>
    </row>
    <row r="2287" spans="1:19" ht="15" hidden="1" x14ac:dyDescent="0.25">
      <c r="A2287" s="7" t="s">
        <v>16</v>
      </c>
      <c r="B2287" s="7" t="s">
        <v>23</v>
      </c>
      <c r="C2287" s="7" t="s">
        <v>24</v>
      </c>
      <c r="D2287" s="4">
        <v>92404789000164</v>
      </c>
      <c r="E2287" s="8" t="s">
        <v>1028</v>
      </c>
      <c r="F2287" s="8" t="s">
        <v>106</v>
      </c>
      <c r="G2287" s="8" t="s">
        <v>67</v>
      </c>
      <c r="H2287" s="8" t="s">
        <v>215</v>
      </c>
      <c r="I2287" s="3">
        <v>2</v>
      </c>
      <c r="J2287" s="8" t="s">
        <v>144</v>
      </c>
      <c r="K2287" s="8" t="s">
        <v>145</v>
      </c>
      <c r="L2287" s="8" t="s">
        <v>557</v>
      </c>
      <c r="M2287" s="1" t="s">
        <v>205</v>
      </c>
      <c r="N2287" s="8" t="s">
        <v>206</v>
      </c>
      <c r="O2287" s="6">
        <v>0</v>
      </c>
      <c r="P2287" s="6">
        <v>0</v>
      </c>
      <c r="Q2287" s="6">
        <v>0</v>
      </c>
      <c r="R2287" s="6">
        <v>0</v>
      </c>
      <c r="S2287" s="6">
        <v>0</v>
      </c>
    </row>
    <row r="2288" spans="1:19" ht="15" hidden="1" x14ac:dyDescent="0.25">
      <c r="A2288" s="7" t="s">
        <v>16</v>
      </c>
      <c r="B2288" s="7" t="s">
        <v>23</v>
      </c>
      <c r="C2288" s="7" t="s">
        <v>24</v>
      </c>
      <c r="D2288" s="4">
        <v>87607149000626</v>
      </c>
      <c r="E2288" s="8" t="s">
        <v>1019</v>
      </c>
      <c r="F2288" s="8" t="s">
        <v>96</v>
      </c>
      <c r="G2288" s="8" t="s">
        <v>67</v>
      </c>
      <c r="H2288" s="8" t="s">
        <v>215</v>
      </c>
      <c r="I2288" s="3">
        <v>2</v>
      </c>
      <c r="J2288" s="8" t="s">
        <v>175</v>
      </c>
      <c r="K2288" s="8" t="s">
        <v>176</v>
      </c>
      <c r="L2288" s="8" t="s">
        <v>556</v>
      </c>
      <c r="M2288" s="1" t="s">
        <v>205</v>
      </c>
      <c r="N2288" s="8" t="s">
        <v>206</v>
      </c>
      <c r="O2288" s="6">
        <v>0</v>
      </c>
      <c r="P2288" s="6">
        <v>0</v>
      </c>
      <c r="Q2288" s="6">
        <v>0</v>
      </c>
      <c r="R2288" s="6">
        <v>0</v>
      </c>
      <c r="S2288" s="6">
        <v>160</v>
      </c>
    </row>
    <row r="2289" spans="1:19" ht="15" hidden="1" x14ac:dyDescent="0.25">
      <c r="A2289" s="7" t="s">
        <v>16</v>
      </c>
      <c r="B2289" s="7" t="s">
        <v>23</v>
      </c>
      <c r="C2289" s="7" t="s">
        <v>24</v>
      </c>
      <c r="D2289" s="4">
        <v>87607149000626</v>
      </c>
      <c r="E2289" s="8" t="s">
        <v>1019</v>
      </c>
      <c r="F2289" s="8" t="s">
        <v>96</v>
      </c>
      <c r="G2289" s="8" t="s">
        <v>67</v>
      </c>
      <c r="H2289" s="8" t="s">
        <v>215</v>
      </c>
      <c r="I2289" s="3">
        <v>2</v>
      </c>
      <c r="J2289" s="8" t="s">
        <v>144</v>
      </c>
      <c r="K2289" s="8" t="s">
        <v>145</v>
      </c>
      <c r="L2289" s="8" t="s">
        <v>557</v>
      </c>
      <c r="M2289" s="1" t="s">
        <v>205</v>
      </c>
      <c r="N2289" s="8" t="s">
        <v>206</v>
      </c>
      <c r="O2289" s="6">
        <v>0</v>
      </c>
      <c r="P2289" s="6">
        <v>0</v>
      </c>
      <c r="Q2289" s="6">
        <v>0</v>
      </c>
      <c r="R2289" s="6">
        <v>0</v>
      </c>
      <c r="S2289" s="6">
        <v>160</v>
      </c>
    </row>
    <row r="2290" spans="1:19" ht="15" hidden="1" x14ac:dyDescent="0.25">
      <c r="A2290" s="7" t="s">
        <v>16</v>
      </c>
      <c r="B2290" s="7" t="s">
        <v>23</v>
      </c>
      <c r="C2290" s="7" t="s">
        <v>24</v>
      </c>
      <c r="D2290" s="4">
        <v>92685833000151</v>
      </c>
      <c r="E2290" s="8" t="s">
        <v>1029</v>
      </c>
      <c r="F2290" s="8" t="s">
        <v>83</v>
      </c>
      <c r="G2290" s="8" t="s">
        <v>67</v>
      </c>
      <c r="H2290" s="8" t="s">
        <v>215</v>
      </c>
      <c r="I2290" s="3">
        <v>2</v>
      </c>
      <c r="J2290" s="8" t="s">
        <v>175</v>
      </c>
      <c r="K2290" s="8" t="s">
        <v>176</v>
      </c>
      <c r="L2290" s="8" t="s">
        <v>556</v>
      </c>
      <c r="M2290" s="1" t="s">
        <v>205</v>
      </c>
      <c r="N2290" s="8" t="s">
        <v>206</v>
      </c>
      <c r="O2290" s="6">
        <v>0</v>
      </c>
      <c r="P2290" s="6">
        <v>0</v>
      </c>
      <c r="Q2290" s="6">
        <v>0</v>
      </c>
      <c r="R2290" s="6">
        <v>20</v>
      </c>
      <c r="S2290" s="6">
        <v>0</v>
      </c>
    </row>
    <row r="2291" spans="1:19" ht="15" hidden="1" x14ac:dyDescent="0.25">
      <c r="A2291" s="7" t="s">
        <v>16</v>
      </c>
      <c r="B2291" s="7" t="s">
        <v>23</v>
      </c>
      <c r="C2291" s="7" t="s">
        <v>24</v>
      </c>
      <c r="D2291" s="4">
        <v>92685833000151</v>
      </c>
      <c r="E2291" s="8" t="s">
        <v>1029</v>
      </c>
      <c r="F2291" s="8" t="s">
        <v>83</v>
      </c>
      <c r="G2291" s="8" t="s">
        <v>67</v>
      </c>
      <c r="H2291" s="8" t="s">
        <v>215</v>
      </c>
      <c r="I2291" s="3">
        <v>2</v>
      </c>
      <c r="J2291" s="8" t="s">
        <v>144</v>
      </c>
      <c r="K2291" s="8" t="s">
        <v>145</v>
      </c>
      <c r="L2291" s="8" t="s">
        <v>557</v>
      </c>
      <c r="M2291" s="1" t="s">
        <v>205</v>
      </c>
      <c r="N2291" s="8" t="s">
        <v>206</v>
      </c>
      <c r="O2291" s="6">
        <v>0</v>
      </c>
      <c r="P2291" s="6">
        <v>28</v>
      </c>
      <c r="Q2291" s="6">
        <v>10</v>
      </c>
      <c r="R2291" s="6">
        <v>0</v>
      </c>
      <c r="S2291" s="6">
        <v>0</v>
      </c>
    </row>
    <row r="2292" spans="1:19" ht="15" hidden="1" x14ac:dyDescent="0.25">
      <c r="A2292" s="7" t="s">
        <v>16</v>
      </c>
      <c r="B2292" s="7" t="s">
        <v>23</v>
      </c>
      <c r="C2292" s="7" t="s">
        <v>24</v>
      </c>
      <c r="D2292" s="4">
        <v>92898550000198</v>
      </c>
      <c r="E2292" s="8" t="s">
        <v>1034</v>
      </c>
      <c r="F2292" s="8" t="s">
        <v>83</v>
      </c>
      <c r="G2292" s="8" t="s">
        <v>67</v>
      </c>
      <c r="H2292" s="8" t="s">
        <v>215</v>
      </c>
      <c r="I2292" s="3">
        <v>2</v>
      </c>
      <c r="J2292" s="8" t="s">
        <v>175</v>
      </c>
      <c r="K2292" s="8" t="s">
        <v>176</v>
      </c>
      <c r="L2292" s="8" t="s">
        <v>556</v>
      </c>
      <c r="M2292" s="1" t="s">
        <v>205</v>
      </c>
      <c r="N2292" s="8" t="s">
        <v>206</v>
      </c>
      <c r="O2292" s="6">
        <v>0</v>
      </c>
      <c r="P2292" s="6">
        <v>0</v>
      </c>
      <c r="Q2292" s="6">
        <v>0</v>
      </c>
      <c r="R2292" s="6">
        <v>0</v>
      </c>
      <c r="S2292" s="6">
        <v>0</v>
      </c>
    </row>
    <row r="2293" spans="1:19" ht="15" hidden="1" x14ac:dyDescent="0.25">
      <c r="A2293" s="7" t="s">
        <v>16</v>
      </c>
      <c r="B2293" s="7" t="s">
        <v>23</v>
      </c>
      <c r="C2293" s="7" t="s">
        <v>24</v>
      </c>
      <c r="D2293" s="4">
        <v>92898550000198</v>
      </c>
      <c r="E2293" s="8" t="s">
        <v>1034</v>
      </c>
      <c r="F2293" s="8" t="s">
        <v>83</v>
      </c>
      <c r="G2293" s="8" t="s">
        <v>67</v>
      </c>
      <c r="H2293" s="8" t="s">
        <v>215</v>
      </c>
      <c r="I2293" s="3">
        <v>2</v>
      </c>
      <c r="J2293" s="8" t="s">
        <v>144</v>
      </c>
      <c r="K2293" s="8" t="s">
        <v>145</v>
      </c>
      <c r="L2293" s="8" t="s">
        <v>557</v>
      </c>
      <c r="M2293" s="1" t="s">
        <v>205</v>
      </c>
      <c r="N2293" s="8" t="s">
        <v>206</v>
      </c>
      <c r="O2293" s="6">
        <v>0</v>
      </c>
      <c r="P2293" s="6">
        <v>0</v>
      </c>
      <c r="Q2293" s="6">
        <v>3</v>
      </c>
      <c r="R2293" s="6">
        <v>0</v>
      </c>
      <c r="S2293" s="6">
        <v>0</v>
      </c>
    </row>
    <row r="2294" spans="1:19" ht="15" hidden="1" x14ac:dyDescent="0.25">
      <c r="A2294" s="7" t="s">
        <v>16</v>
      </c>
      <c r="B2294" s="7" t="s">
        <v>23</v>
      </c>
      <c r="C2294" s="7" t="s">
        <v>24</v>
      </c>
      <c r="D2294" s="4">
        <v>87020517000120</v>
      </c>
      <c r="E2294" s="8" t="s">
        <v>1013</v>
      </c>
      <c r="F2294" s="8" t="s">
        <v>83</v>
      </c>
      <c r="G2294" s="8" t="s">
        <v>67</v>
      </c>
      <c r="H2294" s="8" t="s">
        <v>215</v>
      </c>
      <c r="I2294" s="3">
        <v>2</v>
      </c>
      <c r="J2294" s="8" t="s">
        <v>175</v>
      </c>
      <c r="K2294" s="8" t="s">
        <v>176</v>
      </c>
      <c r="L2294" s="8" t="s">
        <v>556</v>
      </c>
      <c r="M2294" s="1" t="s">
        <v>205</v>
      </c>
      <c r="N2294" s="8" t="s">
        <v>206</v>
      </c>
      <c r="O2294" s="6">
        <v>0</v>
      </c>
      <c r="P2294" s="6">
        <v>0</v>
      </c>
      <c r="Q2294" s="6">
        <v>0</v>
      </c>
      <c r="R2294" s="6">
        <v>0</v>
      </c>
      <c r="S2294" s="6">
        <v>0</v>
      </c>
    </row>
    <row r="2295" spans="1:19" ht="15" hidden="1" x14ac:dyDescent="0.25">
      <c r="A2295" s="7" t="s">
        <v>16</v>
      </c>
      <c r="B2295" s="7" t="s">
        <v>23</v>
      </c>
      <c r="C2295" s="7" t="s">
        <v>24</v>
      </c>
      <c r="D2295" s="4">
        <v>87020517000120</v>
      </c>
      <c r="E2295" s="8" t="s">
        <v>1013</v>
      </c>
      <c r="F2295" s="8" t="s">
        <v>83</v>
      </c>
      <c r="G2295" s="8" t="s">
        <v>67</v>
      </c>
      <c r="H2295" s="8" t="s">
        <v>215</v>
      </c>
      <c r="I2295" s="3">
        <v>2</v>
      </c>
      <c r="J2295" s="8" t="s">
        <v>144</v>
      </c>
      <c r="K2295" s="8" t="s">
        <v>145</v>
      </c>
      <c r="L2295" s="8" t="s">
        <v>557</v>
      </c>
      <c r="M2295" s="1" t="s">
        <v>205</v>
      </c>
      <c r="N2295" s="8" t="s">
        <v>206</v>
      </c>
      <c r="O2295" s="6">
        <v>0</v>
      </c>
      <c r="P2295" s="6">
        <v>15</v>
      </c>
      <c r="Q2295" s="6">
        <v>20</v>
      </c>
      <c r="R2295" s="6">
        <v>0</v>
      </c>
      <c r="S2295" s="6">
        <v>0</v>
      </c>
    </row>
    <row r="2296" spans="1:19" ht="15" hidden="1" x14ac:dyDescent="0.25">
      <c r="A2296" s="7" t="s">
        <v>16</v>
      </c>
      <c r="B2296" s="7" t="s">
        <v>23</v>
      </c>
      <c r="C2296" s="7" t="s">
        <v>24</v>
      </c>
      <c r="D2296" s="4">
        <v>87317764001084</v>
      </c>
      <c r="E2296" s="8" t="s">
        <v>1015</v>
      </c>
      <c r="F2296" s="8" t="s">
        <v>83</v>
      </c>
      <c r="G2296" s="8" t="s">
        <v>67</v>
      </c>
      <c r="H2296" s="8" t="s">
        <v>215</v>
      </c>
      <c r="I2296" s="3">
        <v>2</v>
      </c>
      <c r="J2296" s="8" t="s">
        <v>175</v>
      </c>
      <c r="K2296" s="8" t="s">
        <v>176</v>
      </c>
      <c r="L2296" s="8" t="s">
        <v>556</v>
      </c>
      <c r="M2296" s="1" t="s">
        <v>205</v>
      </c>
      <c r="N2296" s="8" t="s">
        <v>206</v>
      </c>
      <c r="O2296" s="6">
        <v>0</v>
      </c>
      <c r="P2296" s="6">
        <v>0</v>
      </c>
      <c r="Q2296" s="6">
        <v>0</v>
      </c>
      <c r="R2296" s="6">
        <v>0</v>
      </c>
      <c r="S2296" s="6">
        <v>560</v>
      </c>
    </row>
    <row r="2297" spans="1:19" ht="15" hidden="1" x14ac:dyDescent="0.25">
      <c r="A2297" s="7" t="s">
        <v>16</v>
      </c>
      <c r="B2297" s="7" t="s">
        <v>23</v>
      </c>
      <c r="C2297" s="7" t="s">
        <v>24</v>
      </c>
      <c r="D2297" s="4">
        <v>87317764001084</v>
      </c>
      <c r="E2297" s="8" t="s">
        <v>1015</v>
      </c>
      <c r="F2297" s="8" t="s">
        <v>83</v>
      </c>
      <c r="G2297" s="8" t="s">
        <v>67</v>
      </c>
      <c r="H2297" s="8" t="s">
        <v>215</v>
      </c>
      <c r="I2297" s="3">
        <v>2</v>
      </c>
      <c r="J2297" s="8" t="s">
        <v>144</v>
      </c>
      <c r="K2297" s="8" t="s">
        <v>145</v>
      </c>
      <c r="L2297" s="8" t="s">
        <v>557</v>
      </c>
      <c r="M2297" s="1" t="s">
        <v>205</v>
      </c>
      <c r="N2297" s="8" t="s">
        <v>206</v>
      </c>
      <c r="O2297" s="6">
        <v>0</v>
      </c>
      <c r="P2297" s="6">
        <v>0</v>
      </c>
      <c r="Q2297" s="6">
        <v>0</v>
      </c>
      <c r="R2297" s="6">
        <v>0</v>
      </c>
      <c r="S2297" s="6">
        <v>560</v>
      </c>
    </row>
    <row r="2298" spans="1:19" ht="15" hidden="1" x14ac:dyDescent="0.25">
      <c r="A2298" s="7" t="s">
        <v>16</v>
      </c>
      <c r="B2298" s="7" t="s">
        <v>23</v>
      </c>
      <c r="C2298" s="7" t="s">
        <v>24</v>
      </c>
      <c r="D2298" s="4">
        <v>92741016000254</v>
      </c>
      <c r="E2298" s="8" t="s">
        <v>1030</v>
      </c>
      <c r="F2298" s="8" t="s">
        <v>83</v>
      </c>
      <c r="G2298" s="8" t="s">
        <v>67</v>
      </c>
      <c r="H2298" s="8" t="s">
        <v>215</v>
      </c>
      <c r="I2298" s="3">
        <v>2</v>
      </c>
      <c r="J2298" s="8" t="s">
        <v>175</v>
      </c>
      <c r="K2298" s="8" t="s">
        <v>176</v>
      </c>
      <c r="L2298" s="8" t="s">
        <v>556</v>
      </c>
      <c r="M2298" s="1" t="s">
        <v>205</v>
      </c>
      <c r="N2298" s="8" t="s">
        <v>206</v>
      </c>
      <c r="O2298" s="6">
        <v>0</v>
      </c>
      <c r="P2298" s="6">
        <v>0</v>
      </c>
      <c r="Q2298" s="6">
        <v>0</v>
      </c>
      <c r="R2298" s="6">
        <v>0</v>
      </c>
      <c r="S2298" s="6">
        <v>0</v>
      </c>
    </row>
    <row r="2299" spans="1:19" ht="15" hidden="1" x14ac:dyDescent="0.25">
      <c r="A2299" s="7" t="s">
        <v>16</v>
      </c>
      <c r="B2299" s="7" t="s">
        <v>23</v>
      </c>
      <c r="C2299" s="7" t="s">
        <v>24</v>
      </c>
      <c r="D2299" s="4">
        <v>92741016000254</v>
      </c>
      <c r="E2299" s="8" t="s">
        <v>1030</v>
      </c>
      <c r="F2299" s="8" t="s">
        <v>83</v>
      </c>
      <c r="G2299" s="8" t="s">
        <v>67</v>
      </c>
      <c r="H2299" s="8" t="s">
        <v>215</v>
      </c>
      <c r="I2299" s="3">
        <v>2</v>
      </c>
      <c r="J2299" s="8" t="s">
        <v>144</v>
      </c>
      <c r="K2299" s="8" t="s">
        <v>145</v>
      </c>
      <c r="L2299" s="8" t="s">
        <v>557</v>
      </c>
      <c r="M2299" s="1" t="s">
        <v>205</v>
      </c>
      <c r="N2299" s="8" t="s">
        <v>206</v>
      </c>
      <c r="O2299" s="6">
        <v>0</v>
      </c>
      <c r="P2299" s="6">
        <v>12</v>
      </c>
      <c r="Q2299" s="6">
        <v>0</v>
      </c>
      <c r="R2299" s="6">
        <v>0</v>
      </c>
      <c r="S2299" s="6">
        <v>0</v>
      </c>
    </row>
    <row r="2300" spans="1:19" ht="15" hidden="1" x14ac:dyDescent="0.25">
      <c r="A2300" s="7" t="s">
        <v>16</v>
      </c>
      <c r="B2300" s="7" t="s">
        <v>23</v>
      </c>
      <c r="C2300" s="7" t="s">
        <v>24</v>
      </c>
      <c r="D2300" s="4">
        <v>88625686002443</v>
      </c>
      <c r="E2300" s="8" t="s">
        <v>1023</v>
      </c>
      <c r="F2300" s="8" t="s">
        <v>83</v>
      </c>
      <c r="G2300" s="8" t="s">
        <v>67</v>
      </c>
      <c r="H2300" s="8" t="s">
        <v>215</v>
      </c>
      <c r="I2300" s="3">
        <v>2</v>
      </c>
      <c r="J2300" s="8" t="s">
        <v>175</v>
      </c>
      <c r="K2300" s="8" t="s">
        <v>176</v>
      </c>
      <c r="L2300" s="8" t="s">
        <v>556</v>
      </c>
      <c r="M2300" s="1" t="s">
        <v>205</v>
      </c>
      <c r="N2300" s="8" t="s">
        <v>206</v>
      </c>
      <c r="O2300" s="6">
        <v>0</v>
      </c>
      <c r="P2300" s="6">
        <v>0</v>
      </c>
      <c r="Q2300" s="6">
        <v>0</v>
      </c>
      <c r="R2300" s="6">
        <v>0</v>
      </c>
      <c r="S2300" s="6">
        <v>0</v>
      </c>
    </row>
    <row r="2301" spans="1:19" ht="15" hidden="1" x14ac:dyDescent="0.25">
      <c r="A2301" s="7" t="s">
        <v>16</v>
      </c>
      <c r="B2301" s="7" t="s">
        <v>23</v>
      </c>
      <c r="C2301" s="7" t="s">
        <v>24</v>
      </c>
      <c r="D2301" s="4">
        <v>88625686002443</v>
      </c>
      <c r="E2301" s="8" t="s">
        <v>1023</v>
      </c>
      <c r="F2301" s="8" t="s">
        <v>83</v>
      </c>
      <c r="G2301" s="8" t="s">
        <v>67</v>
      </c>
      <c r="H2301" s="8" t="s">
        <v>215</v>
      </c>
      <c r="I2301" s="3">
        <v>2</v>
      </c>
      <c r="J2301" s="8" t="s">
        <v>144</v>
      </c>
      <c r="K2301" s="8" t="s">
        <v>145</v>
      </c>
      <c r="L2301" s="8" t="s">
        <v>557</v>
      </c>
      <c r="M2301" s="1" t="s">
        <v>205</v>
      </c>
      <c r="N2301" s="8" t="s">
        <v>206</v>
      </c>
      <c r="O2301" s="6">
        <v>0</v>
      </c>
      <c r="P2301" s="6">
        <v>21</v>
      </c>
      <c r="Q2301" s="6">
        <v>8</v>
      </c>
      <c r="R2301" s="6">
        <v>0</v>
      </c>
      <c r="S2301" s="6">
        <v>0</v>
      </c>
    </row>
    <row r="2302" spans="1:19" ht="15" hidden="1" x14ac:dyDescent="0.25">
      <c r="A2302" s="7" t="s">
        <v>16</v>
      </c>
      <c r="B2302" s="7" t="s">
        <v>23</v>
      </c>
      <c r="C2302" s="7" t="s">
        <v>24</v>
      </c>
      <c r="D2302" s="4">
        <v>92787118000120</v>
      </c>
      <c r="E2302" s="8" t="s">
        <v>1031</v>
      </c>
      <c r="F2302" s="8" t="s">
        <v>83</v>
      </c>
      <c r="G2302" s="8" t="s">
        <v>67</v>
      </c>
      <c r="H2302" s="8" t="s">
        <v>215</v>
      </c>
      <c r="I2302" s="3">
        <v>2</v>
      </c>
      <c r="J2302" s="8" t="s">
        <v>175</v>
      </c>
      <c r="K2302" s="8" t="s">
        <v>176</v>
      </c>
      <c r="L2302" s="8" t="s">
        <v>556</v>
      </c>
      <c r="M2302" s="1" t="s">
        <v>205</v>
      </c>
      <c r="N2302" s="8" t="s">
        <v>206</v>
      </c>
      <c r="O2302" s="6">
        <v>0</v>
      </c>
      <c r="P2302" s="6">
        <v>0</v>
      </c>
      <c r="Q2302" s="6">
        <v>0</v>
      </c>
      <c r="R2302" s="6">
        <v>0</v>
      </c>
      <c r="S2302" s="6">
        <v>0</v>
      </c>
    </row>
    <row r="2303" spans="1:19" ht="15" hidden="1" x14ac:dyDescent="0.25">
      <c r="A2303" s="7" t="s">
        <v>16</v>
      </c>
      <c r="B2303" s="7" t="s">
        <v>23</v>
      </c>
      <c r="C2303" s="7" t="s">
        <v>24</v>
      </c>
      <c r="D2303" s="4">
        <v>92787118000120</v>
      </c>
      <c r="E2303" s="8" t="s">
        <v>1031</v>
      </c>
      <c r="F2303" s="8" t="s">
        <v>83</v>
      </c>
      <c r="G2303" s="8" t="s">
        <v>67</v>
      </c>
      <c r="H2303" s="8" t="s">
        <v>215</v>
      </c>
      <c r="I2303" s="3">
        <v>2</v>
      </c>
      <c r="J2303" s="8" t="s">
        <v>144</v>
      </c>
      <c r="K2303" s="8" t="s">
        <v>145</v>
      </c>
      <c r="L2303" s="8" t="s">
        <v>557</v>
      </c>
      <c r="M2303" s="1" t="s">
        <v>205</v>
      </c>
      <c r="N2303" s="8" t="s">
        <v>206</v>
      </c>
      <c r="O2303" s="6">
        <v>0</v>
      </c>
      <c r="P2303" s="6">
        <v>0</v>
      </c>
      <c r="Q2303" s="6">
        <v>2</v>
      </c>
      <c r="R2303" s="6">
        <v>0</v>
      </c>
      <c r="S2303" s="6">
        <v>0</v>
      </c>
    </row>
    <row r="2304" spans="1:19" ht="15" hidden="1" x14ac:dyDescent="0.25">
      <c r="A2304" s="7" t="s">
        <v>16</v>
      </c>
      <c r="B2304" s="7" t="s">
        <v>23</v>
      </c>
      <c r="C2304" s="7" t="s">
        <v>24</v>
      </c>
      <c r="D2304" s="4">
        <v>94831294000147</v>
      </c>
      <c r="E2304" s="8" t="s">
        <v>1036</v>
      </c>
      <c r="F2304" s="8" t="s">
        <v>83</v>
      </c>
      <c r="G2304" s="8" t="s">
        <v>67</v>
      </c>
      <c r="H2304" s="8" t="s">
        <v>215</v>
      </c>
      <c r="I2304" s="3">
        <v>2</v>
      </c>
      <c r="J2304" s="8" t="s">
        <v>175</v>
      </c>
      <c r="K2304" s="8" t="s">
        <v>176</v>
      </c>
      <c r="L2304" s="8" t="s">
        <v>556</v>
      </c>
      <c r="M2304" s="1" t="s">
        <v>205</v>
      </c>
      <c r="N2304" s="8" t="s">
        <v>206</v>
      </c>
      <c r="O2304" s="6">
        <v>0</v>
      </c>
      <c r="P2304" s="6">
        <v>0</v>
      </c>
      <c r="Q2304" s="6">
        <v>0</v>
      </c>
      <c r="R2304" s="6">
        <v>0</v>
      </c>
      <c r="S2304" s="6">
        <v>30</v>
      </c>
    </row>
    <row r="2305" spans="1:19" ht="15" hidden="1" x14ac:dyDescent="0.25">
      <c r="A2305" s="7" t="s">
        <v>16</v>
      </c>
      <c r="B2305" s="7" t="s">
        <v>23</v>
      </c>
      <c r="C2305" s="7" t="s">
        <v>24</v>
      </c>
      <c r="D2305" s="4">
        <v>94831294000147</v>
      </c>
      <c r="E2305" s="8" t="s">
        <v>1036</v>
      </c>
      <c r="F2305" s="8" t="s">
        <v>83</v>
      </c>
      <c r="G2305" s="8" t="s">
        <v>67</v>
      </c>
      <c r="H2305" s="8" t="s">
        <v>215</v>
      </c>
      <c r="I2305" s="3">
        <v>2</v>
      </c>
      <c r="J2305" s="8" t="s">
        <v>144</v>
      </c>
      <c r="K2305" s="8" t="s">
        <v>145</v>
      </c>
      <c r="L2305" s="8" t="s">
        <v>557</v>
      </c>
      <c r="M2305" s="1" t="s">
        <v>205</v>
      </c>
      <c r="N2305" s="8" t="s">
        <v>206</v>
      </c>
      <c r="O2305" s="6">
        <v>0</v>
      </c>
      <c r="P2305" s="6">
        <v>0</v>
      </c>
      <c r="Q2305" s="6">
        <v>0</v>
      </c>
      <c r="R2305" s="6">
        <v>0</v>
      </c>
      <c r="S2305" s="6">
        <v>30</v>
      </c>
    </row>
    <row r="2306" spans="1:19" ht="15" hidden="1" x14ac:dyDescent="0.25">
      <c r="A2306" s="7" t="s">
        <v>16</v>
      </c>
      <c r="B2306" s="7" t="s">
        <v>23</v>
      </c>
      <c r="C2306" s="7" t="s">
        <v>24</v>
      </c>
      <c r="D2306" s="4">
        <v>92815000000168</v>
      </c>
      <c r="E2306" s="8" t="s">
        <v>1033</v>
      </c>
      <c r="F2306" s="8" t="s">
        <v>83</v>
      </c>
      <c r="G2306" s="8" t="s">
        <v>67</v>
      </c>
      <c r="H2306" s="8" t="s">
        <v>215</v>
      </c>
      <c r="I2306" s="3">
        <v>2</v>
      </c>
      <c r="J2306" s="8" t="s">
        <v>175</v>
      </c>
      <c r="K2306" s="8" t="s">
        <v>176</v>
      </c>
      <c r="L2306" s="8" t="s">
        <v>556</v>
      </c>
      <c r="M2306" s="1" t="s">
        <v>205</v>
      </c>
      <c r="N2306" s="8" t="s">
        <v>206</v>
      </c>
      <c r="O2306" s="6">
        <v>0</v>
      </c>
      <c r="P2306" s="6">
        <v>0</v>
      </c>
      <c r="Q2306" s="6">
        <v>0</v>
      </c>
      <c r="R2306" s="6">
        <v>45</v>
      </c>
      <c r="S2306" s="6">
        <v>0</v>
      </c>
    </row>
    <row r="2307" spans="1:19" ht="15" hidden="1" x14ac:dyDescent="0.25">
      <c r="A2307" s="7" t="s">
        <v>16</v>
      </c>
      <c r="B2307" s="7" t="s">
        <v>23</v>
      </c>
      <c r="C2307" s="7" t="s">
        <v>24</v>
      </c>
      <c r="D2307" s="4">
        <v>92815000000168</v>
      </c>
      <c r="E2307" s="8" t="s">
        <v>1033</v>
      </c>
      <c r="F2307" s="8" t="s">
        <v>83</v>
      </c>
      <c r="G2307" s="8" t="s">
        <v>67</v>
      </c>
      <c r="H2307" s="8" t="s">
        <v>215</v>
      </c>
      <c r="I2307" s="3">
        <v>2</v>
      </c>
      <c r="J2307" s="8" t="s">
        <v>144</v>
      </c>
      <c r="K2307" s="8" t="s">
        <v>145</v>
      </c>
      <c r="L2307" s="8" t="s">
        <v>557</v>
      </c>
      <c r="M2307" s="1" t="s">
        <v>205</v>
      </c>
      <c r="N2307" s="8" t="s">
        <v>206</v>
      </c>
      <c r="O2307" s="6">
        <v>0</v>
      </c>
      <c r="P2307" s="6">
        <v>20</v>
      </c>
      <c r="Q2307" s="6">
        <v>62</v>
      </c>
      <c r="R2307" s="6">
        <v>0</v>
      </c>
      <c r="S2307" s="6">
        <v>0</v>
      </c>
    </row>
    <row r="2308" spans="1:19" ht="15" hidden="1" x14ac:dyDescent="0.25">
      <c r="A2308" s="7" t="s">
        <v>16</v>
      </c>
      <c r="B2308" s="7" t="s">
        <v>23</v>
      </c>
      <c r="C2308" s="7" t="s">
        <v>24</v>
      </c>
      <c r="D2308" s="4">
        <v>92963560000160</v>
      </c>
      <c r="E2308" s="8" t="s">
        <v>1035</v>
      </c>
      <c r="F2308" s="8" t="s">
        <v>83</v>
      </c>
      <c r="G2308" s="8" t="s">
        <v>67</v>
      </c>
      <c r="H2308" s="8" t="s">
        <v>215</v>
      </c>
      <c r="I2308" s="3">
        <v>2</v>
      </c>
      <c r="J2308" s="8" t="s">
        <v>175</v>
      </c>
      <c r="K2308" s="8" t="s">
        <v>176</v>
      </c>
      <c r="L2308" s="8" t="s">
        <v>556</v>
      </c>
      <c r="M2308" s="1" t="s">
        <v>205</v>
      </c>
      <c r="N2308" s="8" t="s">
        <v>206</v>
      </c>
      <c r="O2308" s="6">
        <v>0</v>
      </c>
      <c r="P2308" s="6">
        <v>0</v>
      </c>
      <c r="Q2308" s="6">
        <v>0</v>
      </c>
      <c r="R2308" s="6">
        <v>0</v>
      </c>
      <c r="S2308" s="6">
        <v>0</v>
      </c>
    </row>
    <row r="2309" spans="1:19" ht="15" hidden="1" x14ac:dyDescent="0.25">
      <c r="A2309" s="7" t="s">
        <v>16</v>
      </c>
      <c r="B2309" s="7" t="s">
        <v>23</v>
      </c>
      <c r="C2309" s="7" t="s">
        <v>24</v>
      </c>
      <c r="D2309" s="4">
        <v>92963560000160</v>
      </c>
      <c r="E2309" s="8" t="s">
        <v>1035</v>
      </c>
      <c r="F2309" s="8" t="s">
        <v>83</v>
      </c>
      <c r="G2309" s="8" t="s">
        <v>67</v>
      </c>
      <c r="H2309" s="8" t="s">
        <v>215</v>
      </c>
      <c r="I2309" s="3">
        <v>2</v>
      </c>
      <c r="J2309" s="8" t="s">
        <v>144</v>
      </c>
      <c r="K2309" s="8" t="s">
        <v>145</v>
      </c>
      <c r="L2309" s="8" t="s">
        <v>557</v>
      </c>
      <c r="M2309" s="1" t="s">
        <v>205</v>
      </c>
      <c r="N2309" s="8" t="s">
        <v>206</v>
      </c>
      <c r="O2309" s="6">
        <v>0</v>
      </c>
      <c r="P2309" s="6">
        <v>20</v>
      </c>
      <c r="Q2309" s="6">
        <v>30</v>
      </c>
      <c r="R2309" s="6">
        <v>0</v>
      </c>
      <c r="S2309" s="6">
        <v>0</v>
      </c>
    </row>
    <row r="2310" spans="1:19" ht="15" hidden="1" x14ac:dyDescent="0.25">
      <c r="A2310" s="7" t="s">
        <v>16</v>
      </c>
      <c r="B2310" s="7" t="s">
        <v>23</v>
      </c>
      <c r="C2310" s="7" t="s">
        <v>24</v>
      </c>
      <c r="D2310" s="4">
        <v>9087150000230</v>
      </c>
      <c r="E2310" s="8" t="s">
        <v>958</v>
      </c>
      <c r="F2310" s="8" t="s">
        <v>83</v>
      </c>
      <c r="G2310" s="8" t="s">
        <v>67</v>
      </c>
      <c r="H2310" s="8" t="s">
        <v>215</v>
      </c>
      <c r="I2310" s="3">
        <v>2</v>
      </c>
      <c r="J2310" s="8" t="s">
        <v>175</v>
      </c>
      <c r="K2310" s="8" t="s">
        <v>176</v>
      </c>
      <c r="L2310" s="8" t="s">
        <v>556</v>
      </c>
      <c r="M2310" s="1" t="s">
        <v>205</v>
      </c>
      <c r="N2310" s="8" t="s">
        <v>206</v>
      </c>
      <c r="O2310" s="6">
        <v>0</v>
      </c>
      <c r="P2310" s="6">
        <v>0</v>
      </c>
      <c r="Q2310" s="6">
        <v>0</v>
      </c>
      <c r="R2310" s="6">
        <v>10</v>
      </c>
      <c r="S2310" s="6">
        <v>0</v>
      </c>
    </row>
    <row r="2311" spans="1:19" ht="15" hidden="1" x14ac:dyDescent="0.25">
      <c r="A2311" s="7" t="s">
        <v>16</v>
      </c>
      <c r="B2311" s="7" t="s">
        <v>23</v>
      </c>
      <c r="C2311" s="7" t="s">
        <v>24</v>
      </c>
      <c r="D2311" s="4">
        <v>9087150000230</v>
      </c>
      <c r="E2311" s="8" t="s">
        <v>958</v>
      </c>
      <c r="F2311" s="8" t="s">
        <v>83</v>
      </c>
      <c r="G2311" s="8" t="s">
        <v>67</v>
      </c>
      <c r="H2311" s="8" t="s">
        <v>215</v>
      </c>
      <c r="I2311" s="3">
        <v>2</v>
      </c>
      <c r="J2311" s="8" t="s">
        <v>144</v>
      </c>
      <c r="K2311" s="8" t="s">
        <v>145</v>
      </c>
      <c r="L2311" s="8" t="s">
        <v>557</v>
      </c>
      <c r="M2311" s="1" t="s">
        <v>205</v>
      </c>
      <c r="N2311" s="8" t="s">
        <v>206</v>
      </c>
      <c r="O2311" s="6">
        <v>0</v>
      </c>
      <c r="P2311" s="6">
        <v>0</v>
      </c>
      <c r="Q2311" s="6">
        <v>0</v>
      </c>
      <c r="R2311" s="6">
        <v>0</v>
      </c>
      <c r="S2311" s="6">
        <v>0</v>
      </c>
    </row>
    <row r="2312" spans="1:19" ht="15" hidden="1" x14ac:dyDescent="0.25">
      <c r="A2312" s="7" t="s">
        <v>16</v>
      </c>
      <c r="B2312" s="7" t="s">
        <v>23</v>
      </c>
      <c r="C2312" s="7" t="s">
        <v>24</v>
      </c>
      <c r="D2312" s="4">
        <v>12508728000108</v>
      </c>
      <c r="E2312" s="8" t="s">
        <v>965</v>
      </c>
      <c r="F2312" s="8" t="s">
        <v>87</v>
      </c>
      <c r="G2312" s="8" t="s">
        <v>67</v>
      </c>
      <c r="H2312" s="8" t="s">
        <v>215</v>
      </c>
      <c r="I2312" s="3">
        <v>2</v>
      </c>
      <c r="J2312" s="8" t="s">
        <v>175</v>
      </c>
      <c r="K2312" s="8" t="s">
        <v>176</v>
      </c>
      <c r="L2312" s="8" t="s">
        <v>556</v>
      </c>
      <c r="M2312" s="1" t="s">
        <v>205</v>
      </c>
      <c r="N2312" s="8" t="s">
        <v>206</v>
      </c>
      <c r="O2312" s="6">
        <v>0</v>
      </c>
      <c r="P2312" s="6">
        <v>0</v>
      </c>
      <c r="Q2312" s="6">
        <v>0</v>
      </c>
      <c r="R2312" s="6">
        <v>0</v>
      </c>
      <c r="S2312" s="6">
        <v>60</v>
      </c>
    </row>
    <row r="2313" spans="1:19" ht="15" hidden="1" x14ac:dyDescent="0.25">
      <c r="A2313" s="7" t="s">
        <v>16</v>
      </c>
      <c r="B2313" s="7" t="s">
        <v>23</v>
      </c>
      <c r="C2313" s="7" t="s">
        <v>24</v>
      </c>
      <c r="D2313" s="4">
        <v>12508728000108</v>
      </c>
      <c r="E2313" s="8" t="s">
        <v>965</v>
      </c>
      <c r="F2313" s="8" t="s">
        <v>87</v>
      </c>
      <c r="G2313" s="8" t="s">
        <v>67</v>
      </c>
      <c r="H2313" s="8" t="s">
        <v>215</v>
      </c>
      <c r="I2313" s="3">
        <v>2</v>
      </c>
      <c r="J2313" s="8" t="s">
        <v>144</v>
      </c>
      <c r="K2313" s="8" t="s">
        <v>145</v>
      </c>
      <c r="L2313" s="8" t="s">
        <v>557</v>
      </c>
      <c r="M2313" s="1" t="s">
        <v>205</v>
      </c>
      <c r="N2313" s="8" t="s">
        <v>206</v>
      </c>
      <c r="O2313" s="6">
        <v>0</v>
      </c>
      <c r="P2313" s="6">
        <v>0</v>
      </c>
      <c r="Q2313" s="6">
        <v>0</v>
      </c>
      <c r="R2313" s="6">
        <v>0</v>
      </c>
      <c r="S2313" s="6">
        <v>60</v>
      </c>
    </row>
    <row r="2314" spans="1:19" ht="15" hidden="1" x14ac:dyDescent="0.25">
      <c r="A2314" s="7" t="s">
        <v>16</v>
      </c>
      <c r="B2314" s="7" t="s">
        <v>23</v>
      </c>
      <c r="C2314" s="7" t="s">
        <v>24</v>
      </c>
      <c r="D2314" s="4">
        <v>15126437001972</v>
      </c>
      <c r="E2314" s="8" t="s">
        <v>966</v>
      </c>
      <c r="F2314" s="8" t="s">
        <v>87</v>
      </c>
      <c r="G2314" s="8" t="s">
        <v>67</v>
      </c>
      <c r="H2314" s="8" t="s">
        <v>215</v>
      </c>
      <c r="I2314" s="3">
        <v>2</v>
      </c>
      <c r="J2314" s="8" t="s">
        <v>175</v>
      </c>
      <c r="K2314" s="8" t="s">
        <v>176</v>
      </c>
      <c r="L2314" s="8" t="s">
        <v>556</v>
      </c>
      <c r="M2314" s="1" t="s">
        <v>205</v>
      </c>
      <c r="N2314" s="8" t="s">
        <v>206</v>
      </c>
      <c r="O2314" s="6">
        <v>0</v>
      </c>
      <c r="P2314" s="6">
        <v>0</v>
      </c>
      <c r="Q2314" s="6">
        <v>0</v>
      </c>
      <c r="R2314" s="6">
        <v>0</v>
      </c>
      <c r="S2314" s="6">
        <v>0</v>
      </c>
    </row>
    <row r="2315" spans="1:19" ht="15" hidden="1" x14ac:dyDescent="0.25">
      <c r="A2315" s="7" t="s">
        <v>16</v>
      </c>
      <c r="B2315" s="7" t="s">
        <v>23</v>
      </c>
      <c r="C2315" s="7" t="s">
        <v>24</v>
      </c>
      <c r="D2315" s="4">
        <v>15126437001972</v>
      </c>
      <c r="E2315" s="8" t="s">
        <v>966</v>
      </c>
      <c r="F2315" s="8" t="s">
        <v>87</v>
      </c>
      <c r="G2315" s="8" t="s">
        <v>67</v>
      </c>
      <c r="H2315" s="8" t="s">
        <v>215</v>
      </c>
      <c r="I2315" s="3">
        <v>2</v>
      </c>
      <c r="J2315" s="8" t="s">
        <v>144</v>
      </c>
      <c r="K2315" s="8" t="s">
        <v>145</v>
      </c>
      <c r="L2315" s="8" t="s">
        <v>557</v>
      </c>
      <c r="M2315" s="1" t="s">
        <v>205</v>
      </c>
      <c r="N2315" s="8" t="s">
        <v>206</v>
      </c>
      <c r="O2315" s="6">
        <v>0</v>
      </c>
      <c r="P2315" s="6">
        <v>10</v>
      </c>
      <c r="Q2315" s="6">
        <v>0</v>
      </c>
      <c r="R2315" s="6">
        <v>0</v>
      </c>
      <c r="S2315" s="6">
        <v>0</v>
      </c>
    </row>
    <row r="2316" spans="1:19" ht="15" hidden="1" x14ac:dyDescent="0.25">
      <c r="A2316" s="7" t="s">
        <v>16</v>
      </c>
      <c r="B2316" s="7" t="s">
        <v>23</v>
      </c>
      <c r="C2316" s="7" t="s">
        <v>24</v>
      </c>
      <c r="D2316" s="4">
        <v>95610887000146</v>
      </c>
      <c r="E2316" s="8" t="s">
        <v>1037</v>
      </c>
      <c r="F2316" s="8" t="s">
        <v>87</v>
      </c>
      <c r="G2316" s="8" t="s">
        <v>67</v>
      </c>
      <c r="H2316" s="8" t="s">
        <v>215</v>
      </c>
      <c r="I2316" s="3">
        <v>2</v>
      </c>
      <c r="J2316" s="8" t="s">
        <v>175</v>
      </c>
      <c r="K2316" s="8" t="s">
        <v>176</v>
      </c>
      <c r="L2316" s="8" t="s">
        <v>556</v>
      </c>
      <c r="M2316" s="1" t="s">
        <v>205</v>
      </c>
      <c r="N2316" s="8" t="s">
        <v>206</v>
      </c>
      <c r="O2316" s="6">
        <v>0</v>
      </c>
      <c r="P2316" s="6">
        <v>0</v>
      </c>
      <c r="Q2316" s="6">
        <v>0</v>
      </c>
      <c r="R2316" s="6">
        <v>10</v>
      </c>
      <c r="S2316" s="6">
        <v>300</v>
      </c>
    </row>
    <row r="2317" spans="1:19" ht="15" hidden="1" x14ac:dyDescent="0.25">
      <c r="A2317" s="7" t="s">
        <v>16</v>
      </c>
      <c r="B2317" s="7" t="s">
        <v>23</v>
      </c>
      <c r="C2317" s="7" t="s">
        <v>24</v>
      </c>
      <c r="D2317" s="4">
        <v>95610887000146</v>
      </c>
      <c r="E2317" s="8" t="s">
        <v>1037</v>
      </c>
      <c r="F2317" s="8" t="s">
        <v>87</v>
      </c>
      <c r="G2317" s="8" t="s">
        <v>67</v>
      </c>
      <c r="H2317" s="8" t="s">
        <v>215</v>
      </c>
      <c r="I2317" s="3">
        <v>2</v>
      </c>
      <c r="J2317" s="8" t="s">
        <v>144</v>
      </c>
      <c r="K2317" s="8" t="s">
        <v>145</v>
      </c>
      <c r="L2317" s="8" t="s">
        <v>557</v>
      </c>
      <c r="M2317" s="1" t="s">
        <v>205</v>
      </c>
      <c r="N2317" s="8" t="s">
        <v>206</v>
      </c>
      <c r="O2317" s="6">
        <v>0</v>
      </c>
      <c r="P2317" s="6">
        <v>0</v>
      </c>
      <c r="Q2317" s="6">
        <v>8</v>
      </c>
      <c r="R2317" s="6">
        <v>0</v>
      </c>
      <c r="S2317" s="6">
        <v>300</v>
      </c>
    </row>
    <row r="2318" spans="1:19" ht="15" hidden="1" x14ac:dyDescent="0.25">
      <c r="A2318" s="7" t="s">
        <v>16</v>
      </c>
      <c r="B2318" s="7" t="s">
        <v>23</v>
      </c>
      <c r="C2318" s="7" t="s">
        <v>24</v>
      </c>
      <c r="D2318" s="4">
        <v>85377174000392</v>
      </c>
      <c r="E2318" s="8" t="s">
        <v>1012</v>
      </c>
      <c r="F2318" s="8" t="s">
        <v>938</v>
      </c>
      <c r="G2318" s="8" t="s">
        <v>68</v>
      </c>
      <c r="H2318" s="8" t="s">
        <v>215</v>
      </c>
      <c r="I2318" s="3">
        <v>2</v>
      </c>
      <c r="J2318" s="8" t="s">
        <v>175</v>
      </c>
      <c r="K2318" s="8" t="s">
        <v>176</v>
      </c>
      <c r="L2318" s="8" t="s">
        <v>556</v>
      </c>
      <c r="M2318" s="1" t="s">
        <v>205</v>
      </c>
      <c r="N2318" s="8" t="s">
        <v>206</v>
      </c>
      <c r="O2318" s="6">
        <v>0</v>
      </c>
      <c r="P2318" s="6">
        <v>0</v>
      </c>
      <c r="Q2318" s="6">
        <v>0</v>
      </c>
      <c r="R2318" s="6">
        <v>42</v>
      </c>
      <c r="S2318" s="6">
        <v>0</v>
      </c>
    </row>
    <row r="2319" spans="1:19" ht="15" hidden="1" x14ac:dyDescent="0.25">
      <c r="A2319" s="7" t="s">
        <v>16</v>
      </c>
      <c r="B2319" s="7" t="s">
        <v>23</v>
      </c>
      <c r="C2319" s="7" t="s">
        <v>24</v>
      </c>
      <c r="D2319" s="4">
        <v>85377174000392</v>
      </c>
      <c r="E2319" s="8" t="s">
        <v>1012</v>
      </c>
      <c r="F2319" s="8" t="s">
        <v>938</v>
      </c>
      <c r="G2319" s="8" t="s">
        <v>68</v>
      </c>
      <c r="H2319" s="8" t="s">
        <v>215</v>
      </c>
      <c r="I2319" s="3">
        <v>2</v>
      </c>
      <c r="J2319" s="8" t="s">
        <v>157</v>
      </c>
      <c r="K2319" s="8" t="s">
        <v>158</v>
      </c>
      <c r="L2319" s="8" t="s">
        <v>557</v>
      </c>
      <c r="M2319" s="1" t="s">
        <v>205</v>
      </c>
      <c r="N2319" s="8" t="s">
        <v>206</v>
      </c>
      <c r="O2319" s="6">
        <v>0</v>
      </c>
      <c r="P2319" s="6">
        <v>0</v>
      </c>
      <c r="Q2319" s="6">
        <v>0</v>
      </c>
      <c r="R2319" s="6">
        <v>0</v>
      </c>
      <c r="S2319" s="6">
        <v>0</v>
      </c>
    </row>
    <row r="2320" spans="1:19" ht="15" hidden="1" x14ac:dyDescent="0.25">
      <c r="A2320" s="7" t="s">
        <v>16</v>
      </c>
      <c r="B2320" s="7" t="s">
        <v>23</v>
      </c>
      <c r="C2320" s="7" t="s">
        <v>24</v>
      </c>
      <c r="D2320" s="4">
        <v>1880344000103</v>
      </c>
      <c r="E2320" s="8" t="s">
        <v>941</v>
      </c>
      <c r="F2320" s="8" t="s">
        <v>93</v>
      </c>
      <c r="G2320" s="8" t="s">
        <v>68</v>
      </c>
      <c r="H2320" s="8" t="s">
        <v>215</v>
      </c>
      <c r="I2320" s="3">
        <v>2</v>
      </c>
      <c r="J2320" s="8" t="s">
        <v>175</v>
      </c>
      <c r="K2320" s="8" t="s">
        <v>176</v>
      </c>
      <c r="L2320" s="8" t="s">
        <v>556</v>
      </c>
      <c r="M2320" s="1" t="s">
        <v>205</v>
      </c>
      <c r="N2320" s="8" t="s">
        <v>206</v>
      </c>
      <c r="O2320" s="6">
        <v>0</v>
      </c>
      <c r="P2320" s="6">
        <v>0</v>
      </c>
      <c r="Q2320" s="6">
        <v>0</v>
      </c>
      <c r="R2320" s="6">
        <v>0</v>
      </c>
      <c r="S2320" s="6">
        <v>245</v>
      </c>
    </row>
    <row r="2321" spans="1:19" ht="15" hidden="1" x14ac:dyDescent="0.25">
      <c r="A2321" s="7" t="s">
        <v>16</v>
      </c>
      <c r="B2321" s="7" t="s">
        <v>23</v>
      </c>
      <c r="C2321" s="7" t="s">
        <v>24</v>
      </c>
      <c r="D2321" s="4">
        <v>1880344000103</v>
      </c>
      <c r="E2321" s="8" t="s">
        <v>941</v>
      </c>
      <c r="F2321" s="8" t="s">
        <v>93</v>
      </c>
      <c r="G2321" s="8" t="s">
        <v>68</v>
      </c>
      <c r="H2321" s="8" t="s">
        <v>215</v>
      </c>
      <c r="I2321" s="3">
        <v>2</v>
      </c>
      <c r="J2321" s="8" t="s">
        <v>157</v>
      </c>
      <c r="K2321" s="8" t="s">
        <v>158</v>
      </c>
      <c r="L2321" s="8" t="s">
        <v>557</v>
      </c>
      <c r="M2321" s="1" t="s">
        <v>205</v>
      </c>
      <c r="N2321" s="8" t="s">
        <v>206</v>
      </c>
      <c r="O2321" s="6">
        <v>0</v>
      </c>
      <c r="P2321" s="6">
        <v>0</v>
      </c>
      <c r="Q2321" s="6">
        <v>0</v>
      </c>
      <c r="R2321" s="6">
        <v>0</v>
      </c>
      <c r="S2321" s="6">
        <v>245</v>
      </c>
    </row>
    <row r="2322" spans="1:19" ht="15" hidden="1" x14ac:dyDescent="0.25">
      <c r="A2322" s="7" t="s">
        <v>16</v>
      </c>
      <c r="B2322" s="7" t="s">
        <v>23</v>
      </c>
      <c r="C2322" s="7" t="s">
        <v>24</v>
      </c>
      <c r="D2322" s="4">
        <v>60922168005226</v>
      </c>
      <c r="E2322" s="8" t="s">
        <v>977</v>
      </c>
      <c r="F2322" s="8" t="s">
        <v>93</v>
      </c>
      <c r="G2322" s="8" t="s">
        <v>68</v>
      </c>
      <c r="H2322" s="8" t="s">
        <v>215</v>
      </c>
      <c r="I2322" s="3">
        <v>2</v>
      </c>
      <c r="J2322" s="8" t="s">
        <v>175</v>
      </c>
      <c r="K2322" s="8" t="s">
        <v>176</v>
      </c>
      <c r="L2322" s="8" t="s">
        <v>556</v>
      </c>
      <c r="M2322" s="1" t="s">
        <v>205</v>
      </c>
      <c r="N2322" s="8" t="s">
        <v>206</v>
      </c>
      <c r="O2322" s="6">
        <v>0</v>
      </c>
      <c r="P2322" s="6">
        <v>0</v>
      </c>
      <c r="Q2322" s="6">
        <v>0</v>
      </c>
      <c r="R2322" s="6">
        <v>0</v>
      </c>
      <c r="S2322" s="6">
        <v>0</v>
      </c>
    </row>
    <row r="2323" spans="1:19" ht="15" hidden="1" x14ac:dyDescent="0.25">
      <c r="A2323" s="7" t="s">
        <v>16</v>
      </c>
      <c r="B2323" s="7" t="s">
        <v>23</v>
      </c>
      <c r="C2323" s="7" t="s">
        <v>24</v>
      </c>
      <c r="D2323" s="4">
        <v>60922168005226</v>
      </c>
      <c r="E2323" s="8" t="s">
        <v>977</v>
      </c>
      <c r="F2323" s="8" t="s">
        <v>93</v>
      </c>
      <c r="G2323" s="8" t="s">
        <v>68</v>
      </c>
      <c r="H2323" s="8" t="s">
        <v>215</v>
      </c>
      <c r="I2323" s="3">
        <v>2</v>
      </c>
      <c r="J2323" s="8" t="s">
        <v>157</v>
      </c>
      <c r="K2323" s="8" t="s">
        <v>158</v>
      </c>
      <c r="L2323" s="8" t="s">
        <v>557</v>
      </c>
      <c r="M2323" s="1" t="s">
        <v>205</v>
      </c>
      <c r="N2323" s="8" t="s">
        <v>206</v>
      </c>
      <c r="O2323" s="6">
        <v>0</v>
      </c>
      <c r="P2323" s="6">
        <v>0</v>
      </c>
      <c r="Q2323" s="6">
        <v>2</v>
      </c>
      <c r="R2323" s="6">
        <v>0</v>
      </c>
      <c r="S2323" s="6">
        <v>0</v>
      </c>
    </row>
    <row r="2324" spans="1:19" ht="15" hidden="1" x14ac:dyDescent="0.25">
      <c r="A2324" s="7" t="s">
        <v>16</v>
      </c>
      <c r="B2324" s="7" t="s">
        <v>23</v>
      </c>
      <c r="C2324" s="7" t="s">
        <v>24</v>
      </c>
      <c r="D2324" s="4">
        <v>82624776000651</v>
      </c>
      <c r="E2324" s="8" t="s">
        <v>1007</v>
      </c>
      <c r="F2324" s="8" t="s">
        <v>93</v>
      </c>
      <c r="G2324" s="8" t="s">
        <v>68</v>
      </c>
      <c r="H2324" s="8" t="s">
        <v>215</v>
      </c>
      <c r="I2324" s="3">
        <v>2</v>
      </c>
      <c r="J2324" s="8" t="s">
        <v>175</v>
      </c>
      <c r="K2324" s="8" t="s">
        <v>176</v>
      </c>
      <c r="L2324" s="8" t="s">
        <v>556</v>
      </c>
      <c r="M2324" s="1" t="s">
        <v>205</v>
      </c>
      <c r="N2324" s="8" t="s">
        <v>206</v>
      </c>
      <c r="O2324" s="6">
        <v>0</v>
      </c>
      <c r="P2324" s="6">
        <v>0</v>
      </c>
      <c r="Q2324" s="6">
        <v>0</v>
      </c>
      <c r="R2324" s="6">
        <v>0</v>
      </c>
      <c r="S2324" s="6">
        <v>35</v>
      </c>
    </row>
    <row r="2325" spans="1:19" ht="15" hidden="1" x14ac:dyDescent="0.25">
      <c r="A2325" s="7" t="s">
        <v>16</v>
      </c>
      <c r="B2325" s="7" t="s">
        <v>23</v>
      </c>
      <c r="C2325" s="7" t="s">
        <v>24</v>
      </c>
      <c r="D2325" s="4">
        <v>82624776000651</v>
      </c>
      <c r="E2325" s="8" t="s">
        <v>1007</v>
      </c>
      <c r="F2325" s="8" t="s">
        <v>93</v>
      </c>
      <c r="G2325" s="8" t="s">
        <v>68</v>
      </c>
      <c r="H2325" s="8" t="s">
        <v>215</v>
      </c>
      <c r="I2325" s="3">
        <v>2</v>
      </c>
      <c r="J2325" s="8" t="s">
        <v>157</v>
      </c>
      <c r="K2325" s="8" t="s">
        <v>158</v>
      </c>
      <c r="L2325" s="8" t="s">
        <v>557</v>
      </c>
      <c r="M2325" s="1" t="s">
        <v>205</v>
      </c>
      <c r="N2325" s="8" t="s">
        <v>206</v>
      </c>
      <c r="O2325" s="6">
        <v>0</v>
      </c>
      <c r="P2325" s="6">
        <v>0</v>
      </c>
      <c r="Q2325" s="6">
        <v>0</v>
      </c>
      <c r="R2325" s="6">
        <v>0</v>
      </c>
      <c r="S2325" s="6">
        <v>35</v>
      </c>
    </row>
    <row r="2326" spans="1:19" ht="15" hidden="1" x14ac:dyDescent="0.25">
      <c r="A2326" s="7" t="s">
        <v>16</v>
      </c>
      <c r="B2326" s="7" t="s">
        <v>23</v>
      </c>
      <c r="C2326" s="7" t="s">
        <v>24</v>
      </c>
      <c r="D2326" s="4">
        <v>1554266000300</v>
      </c>
      <c r="E2326" s="8" t="s">
        <v>940</v>
      </c>
      <c r="F2326" s="8" t="s">
        <v>113</v>
      </c>
      <c r="G2326" s="8" t="s">
        <v>68</v>
      </c>
      <c r="H2326" s="8" t="s">
        <v>215</v>
      </c>
      <c r="I2326" s="3">
        <v>2</v>
      </c>
      <c r="J2326" s="8" t="s">
        <v>175</v>
      </c>
      <c r="K2326" s="8" t="s">
        <v>176</v>
      </c>
      <c r="L2326" s="8" t="s">
        <v>556</v>
      </c>
      <c r="M2326" s="1" t="s">
        <v>205</v>
      </c>
      <c r="N2326" s="8" t="s">
        <v>206</v>
      </c>
      <c r="O2326" s="6">
        <v>0</v>
      </c>
      <c r="P2326" s="6">
        <v>0</v>
      </c>
      <c r="Q2326" s="6">
        <v>0</v>
      </c>
      <c r="R2326" s="6">
        <v>0</v>
      </c>
      <c r="S2326" s="6">
        <v>70</v>
      </c>
    </row>
    <row r="2327" spans="1:19" ht="15" hidden="1" x14ac:dyDescent="0.25">
      <c r="A2327" s="7" t="s">
        <v>16</v>
      </c>
      <c r="B2327" s="7" t="s">
        <v>23</v>
      </c>
      <c r="C2327" s="7" t="s">
        <v>24</v>
      </c>
      <c r="D2327" s="4">
        <v>1554266000300</v>
      </c>
      <c r="E2327" s="8" t="s">
        <v>940</v>
      </c>
      <c r="F2327" s="8" t="s">
        <v>113</v>
      </c>
      <c r="G2327" s="8" t="s">
        <v>68</v>
      </c>
      <c r="H2327" s="8" t="s">
        <v>215</v>
      </c>
      <c r="I2327" s="3">
        <v>2</v>
      </c>
      <c r="J2327" s="8" t="s">
        <v>157</v>
      </c>
      <c r="K2327" s="8" t="s">
        <v>158</v>
      </c>
      <c r="L2327" s="8" t="s">
        <v>557</v>
      </c>
      <c r="M2327" s="1" t="s">
        <v>205</v>
      </c>
      <c r="N2327" s="8" t="s">
        <v>206</v>
      </c>
      <c r="O2327" s="6">
        <v>0</v>
      </c>
      <c r="P2327" s="6">
        <v>0</v>
      </c>
      <c r="Q2327" s="6">
        <v>0</v>
      </c>
      <c r="R2327" s="6">
        <v>0</v>
      </c>
      <c r="S2327" s="6">
        <v>70</v>
      </c>
    </row>
    <row r="2328" spans="1:19" ht="15" hidden="1" x14ac:dyDescent="0.25">
      <c r="A2328" s="7" t="s">
        <v>16</v>
      </c>
      <c r="B2328" s="7" t="s">
        <v>23</v>
      </c>
      <c r="C2328" s="7" t="s">
        <v>24</v>
      </c>
      <c r="D2328" s="4">
        <v>1554266000149</v>
      </c>
      <c r="E2328" s="8" t="s">
        <v>939</v>
      </c>
      <c r="F2328" s="8" t="s">
        <v>113</v>
      </c>
      <c r="G2328" s="8" t="s">
        <v>68</v>
      </c>
      <c r="H2328" s="8" t="s">
        <v>215</v>
      </c>
      <c r="I2328" s="3">
        <v>2</v>
      </c>
      <c r="J2328" s="8" t="s">
        <v>175</v>
      </c>
      <c r="K2328" s="8" t="s">
        <v>176</v>
      </c>
      <c r="L2328" s="8" t="s">
        <v>556</v>
      </c>
      <c r="M2328" s="1" t="s">
        <v>205</v>
      </c>
      <c r="N2328" s="8" t="s">
        <v>206</v>
      </c>
      <c r="O2328" s="6">
        <v>0</v>
      </c>
      <c r="P2328" s="6">
        <v>0</v>
      </c>
      <c r="Q2328" s="6">
        <v>0</v>
      </c>
      <c r="R2328" s="6">
        <v>0</v>
      </c>
      <c r="S2328" s="6">
        <v>70</v>
      </c>
    </row>
    <row r="2329" spans="1:19" ht="15" hidden="1" x14ac:dyDescent="0.25">
      <c r="A2329" s="7" t="s">
        <v>16</v>
      </c>
      <c r="B2329" s="7" t="s">
        <v>23</v>
      </c>
      <c r="C2329" s="7" t="s">
        <v>24</v>
      </c>
      <c r="D2329" s="4">
        <v>1554266000149</v>
      </c>
      <c r="E2329" s="8" t="s">
        <v>939</v>
      </c>
      <c r="F2329" s="8" t="s">
        <v>113</v>
      </c>
      <c r="G2329" s="8" t="s">
        <v>68</v>
      </c>
      <c r="H2329" s="8" t="s">
        <v>215</v>
      </c>
      <c r="I2329" s="3">
        <v>2</v>
      </c>
      <c r="J2329" s="8" t="s">
        <v>157</v>
      </c>
      <c r="K2329" s="8" t="s">
        <v>158</v>
      </c>
      <c r="L2329" s="8" t="s">
        <v>557</v>
      </c>
      <c r="M2329" s="1" t="s">
        <v>205</v>
      </c>
      <c r="N2329" s="8" t="s">
        <v>206</v>
      </c>
      <c r="O2329" s="6">
        <v>0</v>
      </c>
      <c r="P2329" s="6">
        <v>0</v>
      </c>
      <c r="Q2329" s="6">
        <v>0</v>
      </c>
      <c r="R2329" s="6">
        <v>0</v>
      </c>
      <c r="S2329" s="6">
        <v>70</v>
      </c>
    </row>
    <row r="2330" spans="1:19" ht="15" hidden="1" x14ac:dyDescent="0.25">
      <c r="A2330" s="7" t="s">
        <v>16</v>
      </c>
      <c r="B2330" s="7" t="s">
        <v>23</v>
      </c>
      <c r="C2330" s="7" t="s">
        <v>24</v>
      </c>
      <c r="D2330" s="4">
        <v>23982118000168</v>
      </c>
      <c r="E2330" s="8" t="s">
        <v>972</v>
      </c>
      <c r="F2330" s="8" t="s">
        <v>930</v>
      </c>
      <c r="G2330" s="8" t="s">
        <v>68</v>
      </c>
      <c r="H2330" s="8" t="s">
        <v>215</v>
      </c>
      <c r="I2330" s="3">
        <v>2</v>
      </c>
      <c r="J2330" s="8" t="s">
        <v>175</v>
      </c>
      <c r="K2330" s="8" t="s">
        <v>176</v>
      </c>
      <c r="L2330" s="8" t="s">
        <v>556</v>
      </c>
      <c r="M2330" s="1" t="s">
        <v>205</v>
      </c>
      <c r="N2330" s="8" t="s">
        <v>206</v>
      </c>
      <c r="O2330" s="6">
        <v>0</v>
      </c>
      <c r="P2330" s="6">
        <v>0</v>
      </c>
      <c r="Q2330" s="6">
        <v>0</v>
      </c>
      <c r="R2330" s="6">
        <v>0</v>
      </c>
      <c r="S2330" s="6">
        <v>765</v>
      </c>
    </row>
    <row r="2331" spans="1:19" ht="15" hidden="1" x14ac:dyDescent="0.25">
      <c r="A2331" s="7" t="s">
        <v>16</v>
      </c>
      <c r="B2331" s="7" t="s">
        <v>23</v>
      </c>
      <c r="C2331" s="7" t="s">
        <v>24</v>
      </c>
      <c r="D2331" s="4">
        <v>23982118000168</v>
      </c>
      <c r="E2331" s="8" t="s">
        <v>972</v>
      </c>
      <c r="F2331" s="8" t="s">
        <v>930</v>
      </c>
      <c r="G2331" s="8" t="s">
        <v>68</v>
      </c>
      <c r="H2331" s="8" t="s">
        <v>215</v>
      </c>
      <c r="I2331" s="3">
        <v>2</v>
      </c>
      <c r="J2331" s="8" t="s">
        <v>157</v>
      </c>
      <c r="K2331" s="8" t="s">
        <v>158</v>
      </c>
      <c r="L2331" s="8" t="s">
        <v>557</v>
      </c>
      <c r="M2331" s="1" t="s">
        <v>205</v>
      </c>
      <c r="N2331" s="8" t="s">
        <v>206</v>
      </c>
      <c r="O2331" s="6">
        <v>0</v>
      </c>
      <c r="P2331" s="6">
        <v>0</v>
      </c>
      <c r="Q2331" s="6">
        <v>0</v>
      </c>
      <c r="R2331" s="6">
        <v>0</v>
      </c>
      <c r="S2331" s="6">
        <v>765</v>
      </c>
    </row>
    <row r="2332" spans="1:19" ht="15" hidden="1" x14ac:dyDescent="0.25">
      <c r="A2332" s="7" t="s">
        <v>16</v>
      </c>
      <c r="B2332" s="7" t="s">
        <v>23</v>
      </c>
      <c r="C2332" s="7" t="s">
        <v>24</v>
      </c>
      <c r="D2332" s="4">
        <v>1125832000105</v>
      </c>
      <c r="E2332" s="8" t="s">
        <v>935</v>
      </c>
      <c r="F2332" s="8" t="s">
        <v>930</v>
      </c>
      <c r="G2332" s="8" t="s">
        <v>68</v>
      </c>
      <c r="H2332" s="8" t="s">
        <v>215</v>
      </c>
      <c r="I2332" s="3">
        <v>2</v>
      </c>
      <c r="J2332" s="8" t="s">
        <v>175</v>
      </c>
      <c r="K2332" s="8" t="s">
        <v>176</v>
      </c>
      <c r="L2332" s="8" t="s">
        <v>556</v>
      </c>
      <c r="M2332" s="1" t="s">
        <v>205</v>
      </c>
      <c r="N2332" s="8" t="s">
        <v>206</v>
      </c>
      <c r="O2332" s="6">
        <v>0</v>
      </c>
      <c r="P2332" s="6">
        <v>0</v>
      </c>
      <c r="Q2332" s="6">
        <v>0</v>
      </c>
      <c r="R2332" s="6">
        <v>0</v>
      </c>
      <c r="S2332" s="6">
        <v>60</v>
      </c>
    </row>
    <row r="2333" spans="1:19" ht="15" hidden="1" x14ac:dyDescent="0.25">
      <c r="A2333" s="7" t="s">
        <v>16</v>
      </c>
      <c r="B2333" s="7" t="s">
        <v>23</v>
      </c>
      <c r="C2333" s="7" t="s">
        <v>24</v>
      </c>
      <c r="D2333" s="4">
        <v>1125832000105</v>
      </c>
      <c r="E2333" s="8" t="s">
        <v>935</v>
      </c>
      <c r="F2333" s="8" t="s">
        <v>930</v>
      </c>
      <c r="G2333" s="8" t="s">
        <v>68</v>
      </c>
      <c r="H2333" s="8" t="s">
        <v>215</v>
      </c>
      <c r="I2333" s="3">
        <v>2</v>
      </c>
      <c r="J2333" s="8" t="s">
        <v>157</v>
      </c>
      <c r="K2333" s="8" t="s">
        <v>158</v>
      </c>
      <c r="L2333" s="8" t="s">
        <v>557</v>
      </c>
      <c r="M2333" s="1" t="s">
        <v>205</v>
      </c>
      <c r="N2333" s="8" t="s">
        <v>206</v>
      </c>
      <c r="O2333" s="6">
        <v>0</v>
      </c>
      <c r="P2333" s="6">
        <v>0</v>
      </c>
      <c r="Q2333" s="6">
        <v>0</v>
      </c>
      <c r="R2333" s="6">
        <v>0</v>
      </c>
      <c r="S2333" s="6">
        <v>60</v>
      </c>
    </row>
    <row r="2334" spans="1:19" ht="15" hidden="1" x14ac:dyDescent="0.25">
      <c r="A2334" s="7" t="s">
        <v>16</v>
      </c>
      <c r="B2334" s="7" t="s">
        <v>23</v>
      </c>
      <c r="C2334" s="7" t="s">
        <v>24</v>
      </c>
      <c r="D2334" s="4">
        <v>80673411000187</v>
      </c>
      <c r="E2334" s="8" t="s">
        <v>999</v>
      </c>
      <c r="F2334" s="8" t="s">
        <v>930</v>
      </c>
      <c r="G2334" s="8" t="s">
        <v>68</v>
      </c>
      <c r="H2334" s="8" t="s">
        <v>215</v>
      </c>
      <c r="I2334" s="3">
        <v>2</v>
      </c>
      <c r="J2334" s="8" t="s">
        <v>175</v>
      </c>
      <c r="K2334" s="8" t="s">
        <v>176</v>
      </c>
      <c r="L2334" s="8" t="s">
        <v>556</v>
      </c>
      <c r="M2334" s="1" t="s">
        <v>205</v>
      </c>
      <c r="N2334" s="8" t="s">
        <v>206</v>
      </c>
      <c r="O2334" s="6">
        <v>80</v>
      </c>
      <c r="P2334" s="6">
        <v>0</v>
      </c>
      <c r="Q2334" s="6">
        <v>0</v>
      </c>
      <c r="R2334" s="6">
        <v>0</v>
      </c>
      <c r="S2334" s="6">
        <v>0</v>
      </c>
    </row>
    <row r="2335" spans="1:19" ht="15" hidden="1" x14ac:dyDescent="0.25">
      <c r="A2335" s="7" t="s">
        <v>16</v>
      </c>
      <c r="B2335" s="7" t="s">
        <v>23</v>
      </c>
      <c r="C2335" s="7" t="s">
        <v>24</v>
      </c>
      <c r="D2335" s="4">
        <v>80673411000187</v>
      </c>
      <c r="E2335" s="8" t="s">
        <v>999</v>
      </c>
      <c r="F2335" s="8" t="s">
        <v>930</v>
      </c>
      <c r="G2335" s="8" t="s">
        <v>68</v>
      </c>
      <c r="H2335" s="8" t="s">
        <v>215</v>
      </c>
      <c r="I2335" s="3">
        <v>2</v>
      </c>
      <c r="J2335" s="8" t="s">
        <v>157</v>
      </c>
      <c r="K2335" s="8" t="s">
        <v>158</v>
      </c>
      <c r="L2335" s="8" t="s">
        <v>557</v>
      </c>
      <c r="M2335" s="1" t="s">
        <v>205</v>
      </c>
      <c r="N2335" s="8" t="s">
        <v>206</v>
      </c>
      <c r="O2335" s="6">
        <v>0</v>
      </c>
      <c r="P2335" s="6">
        <v>0</v>
      </c>
      <c r="Q2335" s="6">
        <v>0</v>
      </c>
      <c r="R2335" s="6">
        <v>0</v>
      </c>
      <c r="S2335" s="6">
        <v>0</v>
      </c>
    </row>
    <row r="2336" spans="1:19" ht="15" hidden="1" x14ac:dyDescent="0.25">
      <c r="A2336" s="7" t="s">
        <v>16</v>
      </c>
      <c r="B2336" s="7" t="s">
        <v>23</v>
      </c>
      <c r="C2336" s="7" t="s">
        <v>24</v>
      </c>
      <c r="D2336" s="4">
        <v>83899526000425</v>
      </c>
      <c r="E2336" s="8" t="s">
        <v>1010</v>
      </c>
      <c r="F2336" s="8" t="s">
        <v>930</v>
      </c>
      <c r="G2336" s="8" t="s">
        <v>68</v>
      </c>
      <c r="H2336" s="8" t="s">
        <v>215</v>
      </c>
      <c r="I2336" s="3">
        <v>2</v>
      </c>
      <c r="J2336" s="8" t="s">
        <v>175</v>
      </c>
      <c r="K2336" s="8" t="s">
        <v>176</v>
      </c>
      <c r="L2336" s="8" t="s">
        <v>556</v>
      </c>
      <c r="M2336" s="1" t="s">
        <v>205</v>
      </c>
      <c r="N2336" s="8" t="s">
        <v>206</v>
      </c>
      <c r="O2336" s="6">
        <v>0</v>
      </c>
      <c r="P2336" s="6">
        <v>0</v>
      </c>
      <c r="Q2336" s="6">
        <v>0</v>
      </c>
      <c r="R2336" s="6">
        <v>0</v>
      </c>
      <c r="S2336" s="6">
        <v>0</v>
      </c>
    </row>
    <row r="2337" spans="1:19" ht="15" hidden="1" x14ac:dyDescent="0.25">
      <c r="A2337" s="7" t="s">
        <v>16</v>
      </c>
      <c r="B2337" s="7" t="s">
        <v>23</v>
      </c>
      <c r="C2337" s="7" t="s">
        <v>24</v>
      </c>
      <c r="D2337" s="4">
        <v>83899526000425</v>
      </c>
      <c r="E2337" s="8" t="s">
        <v>1010</v>
      </c>
      <c r="F2337" s="8" t="s">
        <v>930</v>
      </c>
      <c r="G2337" s="8" t="s">
        <v>68</v>
      </c>
      <c r="H2337" s="8" t="s">
        <v>215</v>
      </c>
      <c r="I2337" s="3">
        <v>2</v>
      </c>
      <c r="J2337" s="8" t="s">
        <v>157</v>
      </c>
      <c r="K2337" s="8" t="s">
        <v>158</v>
      </c>
      <c r="L2337" s="8" t="s">
        <v>557</v>
      </c>
      <c r="M2337" s="1" t="s">
        <v>205</v>
      </c>
      <c r="N2337" s="8" t="s">
        <v>206</v>
      </c>
      <c r="O2337" s="6">
        <v>0</v>
      </c>
      <c r="P2337" s="6">
        <v>0</v>
      </c>
      <c r="Q2337" s="6">
        <v>11</v>
      </c>
      <c r="R2337" s="6">
        <v>0</v>
      </c>
      <c r="S2337" s="6">
        <v>0</v>
      </c>
    </row>
    <row r="2338" spans="1:19" ht="15" hidden="1" x14ac:dyDescent="0.25">
      <c r="A2338" s="7" t="s">
        <v>16</v>
      </c>
      <c r="B2338" s="7" t="s">
        <v>23</v>
      </c>
      <c r="C2338" s="7" t="s">
        <v>24</v>
      </c>
      <c r="D2338" s="4">
        <v>83884999000106</v>
      </c>
      <c r="E2338" s="8" t="s">
        <v>1009</v>
      </c>
      <c r="F2338" s="8" t="s">
        <v>930</v>
      </c>
      <c r="G2338" s="8" t="s">
        <v>68</v>
      </c>
      <c r="H2338" s="8" t="s">
        <v>215</v>
      </c>
      <c r="I2338" s="3">
        <v>2</v>
      </c>
      <c r="J2338" s="8" t="s">
        <v>175</v>
      </c>
      <c r="K2338" s="8" t="s">
        <v>176</v>
      </c>
      <c r="L2338" s="8" t="s">
        <v>556</v>
      </c>
      <c r="M2338" s="1" t="s">
        <v>205</v>
      </c>
      <c r="N2338" s="8" t="s">
        <v>206</v>
      </c>
      <c r="O2338" s="6">
        <v>0</v>
      </c>
      <c r="P2338" s="6">
        <v>0</v>
      </c>
      <c r="Q2338" s="6">
        <v>0</v>
      </c>
      <c r="R2338" s="6">
        <v>0</v>
      </c>
      <c r="S2338" s="6">
        <v>0</v>
      </c>
    </row>
    <row r="2339" spans="1:19" ht="15" hidden="1" x14ac:dyDescent="0.25">
      <c r="A2339" s="7" t="s">
        <v>16</v>
      </c>
      <c r="B2339" s="7" t="s">
        <v>23</v>
      </c>
      <c r="C2339" s="7" t="s">
        <v>24</v>
      </c>
      <c r="D2339" s="4">
        <v>83884999000106</v>
      </c>
      <c r="E2339" s="8" t="s">
        <v>1009</v>
      </c>
      <c r="F2339" s="8" t="s">
        <v>930</v>
      </c>
      <c r="G2339" s="8" t="s">
        <v>68</v>
      </c>
      <c r="H2339" s="8" t="s">
        <v>215</v>
      </c>
      <c r="I2339" s="3">
        <v>2</v>
      </c>
      <c r="J2339" s="8" t="s">
        <v>157</v>
      </c>
      <c r="K2339" s="8" t="s">
        <v>158</v>
      </c>
      <c r="L2339" s="8" t="s">
        <v>557</v>
      </c>
      <c r="M2339" s="1" t="s">
        <v>205</v>
      </c>
      <c r="N2339" s="8" t="s">
        <v>206</v>
      </c>
      <c r="O2339" s="6">
        <v>0</v>
      </c>
      <c r="P2339" s="6">
        <v>6</v>
      </c>
      <c r="Q2339" s="6">
        <v>0</v>
      </c>
      <c r="R2339" s="6">
        <v>0</v>
      </c>
      <c r="S2339" s="6">
        <v>0</v>
      </c>
    </row>
    <row r="2340" spans="1:19" ht="15" hidden="1" x14ac:dyDescent="0.25">
      <c r="A2340" s="7" t="s">
        <v>16</v>
      </c>
      <c r="B2340" s="7" t="s">
        <v>23</v>
      </c>
      <c r="C2340" s="7" t="s">
        <v>24</v>
      </c>
      <c r="D2340" s="4">
        <v>4670913000176</v>
      </c>
      <c r="E2340" s="8" t="s">
        <v>949</v>
      </c>
      <c r="F2340" s="8" t="s">
        <v>930</v>
      </c>
      <c r="G2340" s="8" t="s">
        <v>68</v>
      </c>
      <c r="H2340" s="8" t="s">
        <v>215</v>
      </c>
      <c r="I2340" s="3">
        <v>2</v>
      </c>
      <c r="J2340" s="8" t="s">
        <v>175</v>
      </c>
      <c r="K2340" s="8" t="s">
        <v>176</v>
      </c>
      <c r="L2340" s="8" t="s">
        <v>556</v>
      </c>
      <c r="M2340" s="1" t="s">
        <v>205</v>
      </c>
      <c r="N2340" s="8" t="s">
        <v>206</v>
      </c>
      <c r="O2340" s="6">
        <v>0</v>
      </c>
      <c r="P2340" s="6">
        <v>0</v>
      </c>
      <c r="Q2340" s="6">
        <v>0</v>
      </c>
      <c r="R2340" s="6">
        <v>0</v>
      </c>
      <c r="S2340" s="6">
        <v>435</v>
      </c>
    </row>
    <row r="2341" spans="1:19" ht="15" hidden="1" x14ac:dyDescent="0.25">
      <c r="A2341" s="7" t="s">
        <v>16</v>
      </c>
      <c r="B2341" s="7" t="s">
        <v>23</v>
      </c>
      <c r="C2341" s="7" t="s">
        <v>24</v>
      </c>
      <c r="D2341" s="4">
        <v>4670913000176</v>
      </c>
      <c r="E2341" s="8" t="s">
        <v>949</v>
      </c>
      <c r="F2341" s="8" t="s">
        <v>930</v>
      </c>
      <c r="G2341" s="8" t="s">
        <v>68</v>
      </c>
      <c r="H2341" s="8" t="s">
        <v>215</v>
      </c>
      <c r="I2341" s="3">
        <v>2</v>
      </c>
      <c r="J2341" s="8" t="s">
        <v>157</v>
      </c>
      <c r="K2341" s="8" t="s">
        <v>158</v>
      </c>
      <c r="L2341" s="8" t="s">
        <v>557</v>
      </c>
      <c r="M2341" s="1" t="s">
        <v>205</v>
      </c>
      <c r="N2341" s="8" t="s">
        <v>206</v>
      </c>
      <c r="O2341" s="6">
        <v>0</v>
      </c>
      <c r="P2341" s="6">
        <v>0</v>
      </c>
      <c r="Q2341" s="6">
        <v>0</v>
      </c>
      <c r="R2341" s="6">
        <v>0</v>
      </c>
      <c r="S2341" s="6">
        <v>435</v>
      </c>
    </row>
    <row r="2342" spans="1:19" ht="15" hidden="1" x14ac:dyDescent="0.25">
      <c r="A2342" s="7" t="s">
        <v>16</v>
      </c>
      <c r="B2342" s="7" t="s">
        <v>23</v>
      </c>
      <c r="C2342" s="7" t="s">
        <v>24</v>
      </c>
      <c r="D2342" s="4">
        <v>3855214000219</v>
      </c>
      <c r="E2342" s="8" t="s">
        <v>946</v>
      </c>
      <c r="F2342" s="8" t="s">
        <v>947</v>
      </c>
      <c r="G2342" s="8" t="s">
        <v>68</v>
      </c>
      <c r="H2342" s="8" t="s">
        <v>215</v>
      </c>
      <c r="I2342" s="3">
        <v>2</v>
      </c>
      <c r="J2342" s="8" t="s">
        <v>175</v>
      </c>
      <c r="K2342" s="8" t="s">
        <v>176</v>
      </c>
      <c r="L2342" s="8" t="s">
        <v>556</v>
      </c>
      <c r="M2342" s="1" t="s">
        <v>205</v>
      </c>
      <c r="N2342" s="8" t="s">
        <v>206</v>
      </c>
      <c r="O2342" s="6">
        <v>0</v>
      </c>
      <c r="P2342" s="6">
        <v>0</v>
      </c>
      <c r="Q2342" s="6">
        <v>0</v>
      </c>
      <c r="R2342" s="6">
        <v>0</v>
      </c>
      <c r="S2342" s="6">
        <v>10</v>
      </c>
    </row>
    <row r="2343" spans="1:19" ht="15" hidden="1" x14ac:dyDescent="0.25">
      <c r="A2343" s="7" t="s">
        <v>16</v>
      </c>
      <c r="B2343" s="7" t="s">
        <v>23</v>
      </c>
      <c r="C2343" s="7" t="s">
        <v>24</v>
      </c>
      <c r="D2343" s="4">
        <v>3855214000219</v>
      </c>
      <c r="E2343" s="8" t="s">
        <v>946</v>
      </c>
      <c r="F2343" s="8" t="s">
        <v>947</v>
      </c>
      <c r="G2343" s="8" t="s">
        <v>68</v>
      </c>
      <c r="H2343" s="8" t="s">
        <v>215</v>
      </c>
      <c r="I2343" s="3">
        <v>2</v>
      </c>
      <c r="J2343" s="8" t="s">
        <v>157</v>
      </c>
      <c r="K2343" s="8" t="s">
        <v>158</v>
      </c>
      <c r="L2343" s="8" t="s">
        <v>557</v>
      </c>
      <c r="M2343" s="1" t="s">
        <v>205</v>
      </c>
      <c r="N2343" s="8" t="s">
        <v>206</v>
      </c>
      <c r="O2343" s="6">
        <v>0</v>
      </c>
      <c r="P2343" s="6">
        <v>0</v>
      </c>
      <c r="Q2343" s="6">
        <v>0</v>
      </c>
      <c r="R2343" s="6">
        <v>0</v>
      </c>
      <c r="S2343" s="6">
        <v>10</v>
      </c>
    </row>
    <row r="2344" spans="1:19" ht="15" hidden="1" x14ac:dyDescent="0.25">
      <c r="A2344" s="7" t="s">
        <v>16</v>
      </c>
      <c r="B2344" s="7" t="s">
        <v>23</v>
      </c>
      <c r="C2344" s="7" t="s">
        <v>24</v>
      </c>
      <c r="D2344" s="4">
        <v>77858611001414</v>
      </c>
      <c r="E2344" s="8" t="s">
        <v>991</v>
      </c>
      <c r="F2344" s="8" t="s">
        <v>969</v>
      </c>
      <c r="G2344" s="8" t="s">
        <v>68</v>
      </c>
      <c r="H2344" s="8" t="s">
        <v>215</v>
      </c>
      <c r="I2344" s="3">
        <v>2</v>
      </c>
      <c r="J2344" s="8" t="s">
        <v>175</v>
      </c>
      <c r="K2344" s="8" t="s">
        <v>176</v>
      </c>
      <c r="L2344" s="8" t="s">
        <v>556</v>
      </c>
      <c r="M2344" s="1" t="s">
        <v>205</v>
      </c>
      <c r="N2344" s="8" t="s">
        <v>206</v>
      </c>
      <c r="O2344" s="6">
        <v>0</v>
      </c>
      <c r="P2344" s="6">
        <v>0</v>
      </c>
      <c r="Q2344" s="6">
        <v>0</v>
      </c>
      <c r="R2344" s="6">
        <v>0</v>
      </c>
      <c r="S2344" s="6">
        <v>165</v>
      </c>
    </row>
    <row r="2345" spans="1:19" ht="15" hidden="1" x14ac:dyDescent="0.25">
      <c r="A2345" s="7" t="s">
        <v>16</v>
      </c>
      <c r="B2345" s="7" t="s">
        <v>23</v>
      </c>
      <c r="C2345" s="7" t="s">
        <v>24</v>
      </c>
      <c r="D2345" s="4">
        <v>77858611001414</v>
      </c>
      <c r="E2345" s="8" t="s">
        <v>991</v>
      </c>
      <c r="F2345" s="8" t="s">
        <v>969</v>
      </c>
      <c r="G2345" s="8" t="s">
        <v>68</v>
      </c>
      <c r="H2345" s="8" t="s">
        <v>215</v>
      </c>
      <c r="I2345" s="3">
        <v>2</v>
      </c>
      <c r="J2345" s="8" t="s">
        <v>157</v>
      </c>
      <c r="K2345" s="8" t="s">
        <v>158</v>
      </c>
      <c r="L2345" s="8" t="s">
        <v>557</v>
      </c>
      <c r="M2345" s="1" t="s">
        <v>205</v>
      </c>
      <c r="N2345" s="8" t="s">
        <v>206</v>
      </c>
      <c r="O2345" s="6">
        <v>0</v>
      </c>
      <c r="P2345" s="6">
        <v>0</v>
      </c>
      <c r="Q2345" s="6">
        <v>0</v>
      </c>
      <c r="R2345" s="6">
        <v>0</v>
      </c>
      <c r="S2345" s="6">
        <v>165</v>
      </c>
    </row>
    <row r="2346" spans="1:19" ht="15" hidden="1" x14ac:dyDescent="0.25">
      <c r="A2346" s="7" t="s">
        <v>16</v>
      </c>
      <c r="B2346" s="7" t="s">
        <v>23</v>
      </c>
      <c r="C2346" s="7" t="s">
        <v>24</v>
      </c>
      <c r="D2346" s="4">
        <v>85241339000809</v>
      </c>
      <c r="E2346" s="8" t="s">
        <v>1011</v>
      </c>
      <c r="F2346" s="8" t="s">
        <v>998</v>
      </c>
      <c r="G2346" s="8" t="s">
        <v>68</v>
      </c>
      <c r="H2346" s="8" t="s">
        <v>215</v>
      </c>
      <c r="I2346" s="3">
        <v>2</v>
      </c>
      <c r="J2346" s="8" t="s">
        <v>175</v>
      </c>
      <c r="K2346" s="8" t="s">
        <v>176</v>
      </c>
      <c r="L2346" s="8" t="s">
        <v>556</v>
      </c>
      <c r="M2346" s="1" t="s">
        <v>205</v>
      </c>
      <c r="N2346" s="8" t="s">
        <v>206</v>
      </c>
      <c r="O2346" s="6">
        <v>0</v>
      </c>
      <c r="P2346" s="6">
        <v>0</v>
      </c>
      <c r="Q2346" s="6">
        <v>0</v>
      </c>
      <c r="R2346" s="6">
        <v>0</v>
      </c>
      <c r="S2346" s="6">
        <v>390</v>
      </c>
    </row>
    <row r="2347" spans="1:19" ht="15" hidden="1" x14ac:dyDescent="0.25">
      <c r="A2347" s="7" t="s">
        <v>16</v>
      </c>
      <c r="B2347" s="7" t="s">
        <v>23</v>
      </c>
      <c r="C2347" s="7" t="s">
        <v>24</v>
      </c>
      <c r="D2347" s="4">
        <v>85241339000809</v>
      </c>
      <c r="E2347" s="8" t="s">
        <v>1011</v>
      </c>
      <c r="F2347" s="8" t="s">
        <v>998</v>
      </c>
      <c r="G2347" s="8" t="s">
        <v>68</v>
      </c>
      <c r="H2347" s="8" t="s">
        <v>215</v>
      </c>
      <c r="I2347" s="3">
        <v>2</v>
      </c>
      <c r="J2347" s="8" t="s">
        <v>157</v>
      </c>
      <c r="K2347" s="8" t="s">
        <v>158</v>
      </c>
      <c r="L2347" s="8" t="s">
        <v>557</v>
      </c>
      <c r="M2347" s="1" t="s">
        <v>205</v>
      </c>
      <c r="N2347" s="8" t="s">
        <v>206</v>
      </c>
      <c r="O2347" s="6">
        <v>0</v>
      </c>
      <c r="P2347" s="6">
        <v>0</v>
      </c>
      <c r="Q2347" s="6">
        <v>0</v>
      </c>
      <c r="R2347" s="6">
        <v>0</v>
      </c>
      <c r="S2347" s="6">
        <v>390</v>
      </c>
    </row>
    <row r="2348" spans="1:19" ht="15" hidden="1" x14ac:dyDescent="0.25">
      <c r="A2348" s="7" t="s">
        <v>16</v>
      </c>
      <c r="B2348" s="7" t="s">
        <v>23</v>
      </c>
      <c r="C2348" s="7" t="s">
        <v>24</v>
      </c>
      <c r="D2348" s="4">
        <v>80490618000116</v>
      </c>
      <c r="E2348" s="8" t="s">
        <v>997</v>
      </c>
      <c r="F2348" s="8" t="s">
        <v>998</v>
      </c>
      <c r="G2348" s="8" t="s">
        <v>68</v>
      </c>
      <c r="H2348" s="8" t="s">
        <v>215</v>
      </c>
      <c r="I2348" s="3">
        <v>2</v>
      </c>
      <c r="J2348" s="8" t="s">
        <v>175</v>
      </c>
      <c r="K2348" s="8" t="s">
        <v>176</v>
      </c>
      <c r="L2348" s="8" t="s">
        <v>556</v>
      </c>
      <c r="M2348" s="1" t="s">
        <v>205</v>
      </c>
      <c r="N2348" s="8" t="s">
        <v>206</v>
      </c>
      <c r="O2348" s="6">
        <v>0</v>
      </c>
      <c r="P2348" s="6">
        <v>0</v>
      </c>
      <c r="Q2348" s="6">
        <v>0</v>
      </c>
      <c r="R2348" s="6">
        <v>0</v>
      </c>
      <c r="S2348" s="6">
        <v>60</v>
      </c>
    </row>
    <row r="2349" spans="1:19" ht="15" hidden="1" x14ac:dyDescent="0.25">
      <c r="A2349" s="7" t="s">
        <v>16</v>
      </c>
      <c r="B2349" s="7" t="s">
        <v>23</v>
      </c>
      <c r="C2349" s="7" t="s">
        <v>24</v>
      </c>
      <c r="D2349" s="4">
        <v>80490618000116</v>
      </c>
      <c r="E2349" s="8" t="s">
        <v>997</v>
      </c>
      <c r="F2349" s="8" t="s">
        <v>998</v>
      </c>
      <c r="G2349" s="8" t="s">
        <v>68</v>
      </c>
      <c r="H2349" s="8" t="s">
        <v>215</v>
      </c>
      <c r="I2349" s="3">
        <v>2</v>
      </c>
      <c r="J2349" s="8" t="s">
        <v>157</v>
      </c>
      <c r="K2349" s="8" t="s">
        <v>158</v>
      </c>
      <c r="L2349" s="8" t="s">
        <v>557</v>
      </c>
      <c r="M2349" s="1" t="s">
        <v>205</v>
      </c>
      <c r="N2349" s="8" t="s">
        <v>206</v>
      </c>
      <c r="O2349" s="6">
        <v>0</v>
      </c>
      <c r="P2349" s="6">
        <v>0</v>
      </c>
      <c r="Q2349" s="6">
        <v>0</v>
      </c>
      <c r="R2349" s="6">
        <v>0</v>
      </c>
      <c r="S2349" s="6">
        <v>60</v>
      </c>
    </row>
    <row r="2350" spans="1:19" ht="15" hidden="1" x14ac:dyDescent="0.25">
      <c r="A2350" s="7" t="s">
        <v>16</v>
      </c>
      <c r="B2350" s="7" t="s">
        <v>23</v>
      </c>
      <c r="C2350" s="7" t="s">
        <v>24</v>
      </c>
      <c r="D2350" s="4">
        <v>13016332000106</v>
      </c>
      <c r="E2350" s="8" t="s">
        <v>868</v>
      </c>
      <c r="F2350" s="8" t="s">
        <v>84</v>
      </c>
      <c r="G2350" s="8" t="s">
        <v>85</v>
      </c>
      <c r="H2350" s="8" t="s">
        <v>215</v>
      </c>
      <c r="I2350" s="3">
        <v>2</v>
      </c>
      <c r="J2350" s="8" t="s">
        <v>199</v>
      </c>
      <c r="K2350" s="8" t="s">
        <v>200</v>
      </c>
      <c r="L2350" s="8" t="s">
        <v>556</v>
      </c>
      <c r="M2350" s="1" t="s">
        <v>211</v>
      </c>
      <c r="N2350" s="8" t="s">
        <v>212</v>
      </c>
      <c r="O2350" s="6">
        <v>0</v>
      </c>
      <c r="P2350" s="6">
        <v>0</v>
      </c>
      <c r="Q2350" s="6">
        <v>0</v>
      </c>
      <c r="R2350" s="6">
        <v>0</v>
      </c>
      <c r="S2350" s="6">
        <v>0</v>
      </c>
    </row>
    <row r="2351" spans="1:19" ht="15" hidden="1" x14ac:dyDescent="0.25">
      <c r="A2351" s="7" t="s">
        <v>16</v>
      </c>
      <c r="B2351" s="7" t="s">
        <v>23</v>
      </c>
      <c r="C2351" s="7" t="s">
        <v>24</v>
      </c>
      <c r="D2351" s="4">
        <v>13016332000106</v>
      </c>
      <c r="E2351" s="8" t="s">
        <v>868</v>
      </c>
      <c r="F2351" s="8" t="s">
        <v>84</v>
      </c>
      <c r="G2351" s="8" t="s">
        <v>85</v>
      </c>
      <c r="H2351" s="8" t="s">
        <v>215</v>
      </c>
      <c r="I2351" s="3">
        <v>2</v>
      </c>
      <c r="J2351" s="8" t="s">
        <v>167</v>
      </c>
      <c r="K2351" s="8" t="s">
        <v>168</v>
      </c>
      <c r="L2351" s="8" t="s">
        <v>557</v>
      </c>
      <c r="M2351" s="1" t="s">
        <v>211</v>
      </c>
      <c r="N2351" s="8" t="s">
        <v>212</v>
      </c>
      <c r="O2351" s="6">
        <v>0</v>
      </c>
      <c r="P2351" s="6">
        <v>0</v>
      </c>
      <c r="Q2351" s="6">
        <v>6</v>
      </c>
      <c r="R2351" s="6">
        <v>0</v>
      </c>
      <c r="S2351" s="6">
        <v>0</v>
      </c>
    </row>
    <row r="2352" spans="1:19" ht="15" hidden="1" x14ac:dyDescent="0.25">
      <c r="A2352" s="7" t="s">
        <v>16</v>
      </c>
      <c r="B2352" s="7" t="s">
        <v>23</v>
      </c>
      <c r="C2352" s="7" t="s">
        <v>24</v>
      </c>
      <c r="D2352" s="4">
        <v>13131370000100</v>
      </c>
      <c r="E2352" s="8" t="s">
        <v>870</v>
      </c>
      <c r="F2352" s="8" t="s">
        <v>84</v>
      </c>
      <c r="G2352" s="8" t="s">
        <v>85</v>
      </c>
      <c r="H2352" s="8" t="s">
        <v>215</v>
      </c>
      <c r="I2352" s="3">
        <v>2</v>
      </c>
      <c r="J2352" s="8" t="s">
        <v>199</v>
      </c>
      <c r="K2352" s="8" t="s">
        <v>200</v>
      </c>
      <c r="L2352" s="8" t="s">
        <v>556</v>
      </c>
      <c r="M2352" s="1" t="s">
        <v>211</v>
      </c>
      <c r="N2352" s="8" t="s">
        <v>212</v>
      </c>
      <c r="O2352" s="6">
        <v>0</v>
      </c>
      <c r="P2352" s="6">
        <v>0</v>
      </c>
      <c r="Q2352" s="6">
        <v>0</v>
      </c>
      <c r="R2352" s="6">
        <v>46</v>
      </c>
      <c r="S2352" s="6">
        <v>250</v>
      </c>
    </row>
    <row r="2353" spans="1:19" ht="15" hidden="1" x14ac:dyDescent="0.25">
      <c r="A2353" s="7" t="s">
        <v>16</v>
      </c>
      <c r="B2353" s="7" t="s">
        <v>23</v>
      </c>
      <c r="C2353" s="7" t="s">
        <v>24</v>
      </c>
      <c r="D2353" s="4">
        <v>13131370000100</v>
      </c>
      <c r="E2353" s="8" t="s">
        <v>870</v>
      </c>
      <c r="F2353" s="8" t="s">
        <v>84</v>
      </c>
      <c r="G2353" s="8" t="s">
        <v>85</v>
      </c>
      <c r="H2353" s="8" t="s">
        <v>215</v>
      </c>
      <c r="I2353" s="3">
        <v>2</v>
      </c>
      <c r="J2353" s="8" t="s">
        <v>167</v>
      </c>
      <c r="K2353" s="8" t="s">
        <v>168</v>
      </c>
      <c r="L2353" s="8" t="s">
        <v>557</v>
      </c>
      <c r="M2353" s="1" t="s">
        <v>211</v>
      </c>
      <c r="N2353" s="8" t="s">
        <v>212</v>
      </c>
      <c r="O2353" s="6">
        <v>0</v>
      </c>
      <c r="P2353" s="6">
        <v>0</v>
      </c>
      <c r="Q2353" s="6">
        <v>0</v>
      </c>
      <c r="R2353" s="6">
        <v>0</v>
      </c>
      <c r="S2353" s="6">
        <v>250</v>
      </c>
    </row>
    <row r="2354" spans="1:19" ht="15" hidden="1" x14ac:dyDescent="0.25">
      <c r="A2354" s="7" t="s">
        <v>16</v>
      </c>
      <c r="B2354" s="7" t="s">
        <v>23</v>
      </c>
      <c r="C2354" s="7" t="s">
        <v>24</v>
      </c>
      <c r="D2354" s="4">
        <v>15592785000106</v>
      </c>
      <c r="E2354" s="8" t="s">
        <v>897</v>
      </c>
      <c r="F2354" s="8" t="s">
        <v>84</v>
      </c>
      <c r="G2354" s="8" t="s">
        <v>85</v>
      </c>
      <c r="H2354" s="8" t="s">
        <v>215</v>
      </c>
      <c r="I2354" s="3">
        <v>2</v>
      </c>
      <c r="J2354" s="8" t="s">
        <v>199</v>
      </c>
      <c r="K2354" s="8" t="s">
        <v>200</v>
      </c>
      <c r="L2354" s="8" t="s">
        <v>556</v>
      </c>
      <c r="M2354" s="1" t="s">
        <v>211</v>
      </c>
      <c r="N2354" s="8" t="s">
        <v>212</v>
      </c>
      <c r="O2354" s="6">
        <v>0</v>
      </c>
      <c r="P2354" s="6">
        <v>0</v>
      </c>
      <c r="Q2354" s="6">
        <v>0</v>
      </c>
      <c r="R2354" s="6">
        <v>0</v>
      </c>
      <c r="S2354" s="6">
        <v>35</v>
      </c>
    </row>
    <row r="2355" spans="1:19" ht="15" hidden="1" x14ac:dyDescent="0.25">
      <c r="A2355" s="7" t="s">
        <v>16</v>
      </c>
      <c r="B2355" s="7" t="s">
        <v>23</v>
      </c>
      <c r="C2355" s="7" t="s">
        <v>24</v>
      </c>
      <c r="D2355" s="4">
        <v>15592785000106</v>
      </c>
      <c r="E2355" s="8" t="s">
        <v>897</v>
      </c>
      <c r="F2355" s="8" t="s">
        <v>84</v>
      </c>
      <c r="G2355" s="8" t="s">
        <v>85</v>
      </c>
      <c r="H2355" s="8" t="s">
        <v>215</v>
      </c>
      <c r="I2355" s="3">
        <v>2</v>
      </c>
      <c r="J2355" s="8" t="s">
        <v>167</v>
      </c>
      <c r="K2355" s="8" t="s">
        <v>168</v>
      </c>
      <c r="L2355" s="8" t="s">
        <v>557</v>
      </c>
      <c r="M2355" s="1" t="s">
        <v>211</v>
      </c>
      <c r="N2355" s="8" t="s">
        <v>212</v>
      </c>
      <c r="O2355" s="6">
        <v>0</v>
      </c>
      <c r="P2355" s="6">
        <v>0</v>
      </c>
      <c r="Q2355" s="6">
        <v>0</v>
      </c>
      <c r="R2355" s="6">
        <v>0</v>
      </c>
      <c r="S2355" s="6">
        <v>35</v>
      </c>
    </row>
    <row r="2356" spans="1:19" ht="15" hidden="1" x14ac:dyDescent="0.25">
      <c r="A2356" s="7" t="s">
        <v>16</v>
      </c>
      <c r="B2356" s="7" t="s">
        <v>23</v>
      </c>
      <c r="C2356" s="7" t="s">
        <v>24</v>
      </c>
      <c r="D2356" s="4">
        <v>16064313000577</v>
      </c>
      <c r="E2356" s="8" t="s">
        <v>898</v>
      </c>
      <c r="F2356" s="8" t="s">
        <v>84</v>
      </c>
      <c r="G2356" s="8" t="s">
        <v>85</v>
      </c>
      <c r="H2356" s="8" t="s">
        <v>215</v>
      </c>
      <c r="I2356" s="3">
        <v>2</v>
      </c>
      <c r="J2356" s="8" t="s">
        <v>199</v>
      </c>
      <c r="K2356" s="8" t="s">
        <v>200</v>
      </c>
      <c r="L2356" s="8" t="s">
        <v>556</v>
      </c>
      <c r="M2356" s="1" t="s">
        <v>211</v>
      </c>
      <c r="N2356" s="8" t="s">
        <v>212</v>
      </c>
      <c r="O2356" s="6">
        <v>0</v>
      </c>
      <c r="P2356" s="6">
        <v>0</v>
      </c>
      <c r="Q2356" s="6">
        <v>0</v>
      </c>
      <c r="R2356" s="6">
        <v>38</v>
      </c>
      <c r="S2356" s="6">
        <v>0</v>
      </c>
    </row>
    <row r="2357" spans="1:19" ht="15" hidden="1" x14ac:dyDescent="0.25">
      <c r="A2357" s="7" t="s">
        <v>16</v>
      </c>
      <c r="B2357" s="7" t="s">
        <v>23</v>
      </c>
      <c r="C2357" s="7" t="s">
        <v>24</v>
      </c>
      <c r="D2357" s="4">
        <v>16064313000577</v>
      </c>
      <c r="E2357" s="8" t="s">
        <v>898</v>
      </c>
      <c r="F2357" s="8" t="s">
        <v>84</v>
      </c>
      <c r="G2357" s="8" t="s">
        <v>85</v>
      </c>
      <c r="H2357" s="8" t="s">
        <v>215</v>
      </c>
      <c r="I2357" s="3">
        <v>2</v>
      </c>
      <c r="J2357" s="8" t="s">
        <v>167</v>
      </c>
      <c r="K2357" s="8" t="s">
        <v>168</v>
      </c>
      <c r="L2357" s="8" t="s">
        <v>557</v>
      </c>
      <c r="M2357" s="1" t="s">
        <v>211</v>
      </c>
      <c r="N2357" s="8" t="s">
        <v>212</v>
      </c>
      <c r="O2357" s="6">
        <v>0</v>
      </c>
      <c r="P2357" s="6">
        <v>0</v>
      </c>
      <c r="Q2357" s="6">
        <v>0</v>
      </c>
      <c r="R2357" s="6">
        <v>0</v>
      </c>
      <c r="S2357" s="6">
        <v>0</v>
      </c>
    </row>
    <row r="2358" spans="1:19" ht="15" hidden="1" x14ac:dyDescent="0.25">
      <c r="A2358" s="7" t="s">
        <v>16</v>
      </c>
      <c r="B2358" s="7" t="s">
        <v>23</v>
      </c>
      <c r="C2358" s="7" t="s">
        <v>24</v>
      </c>
      <c r="D2358" s="4">
        <v>25026561000190</v>
      </c>
      <c r="E2358" s="8" t="s">
        <v>666</v>
      </c>
      <c r="F2358" s="8" t="s">
        <v>34</v>
      </c>
      <c r="G2358" s="8" t="s">
        <v>19</v>
      </c>
      <c r="H2358" s="8" t="s">
        <v>215</v>
      </c>
      <c r="I2358" s="3">
        <v>2</v>
      </c>
      <c r="J2358" s="8" t="s">
        <v>151</v>
      </c>
      <c r="K2358" s="8" t="s">
        <v>152</v>
      </c>
      <c r="L2358" s="8" t="s">
        <v>556</v>
      </c>
      <c r="M2358" s="1" t="s">
        <v>207</v>
      </c>
      <c r="N2358" s="8" t="s">
        <v>208</v>
      </c>
      <c r="O2358" s="6">
        <v>0</v>
      </c>
      <c r="P2358" s="6">
        <v>0</v>
      </c>
      <c r="Q2358" s="6">
        <v>0</v>
      </c>
      <c r="R2358" s="6">
        <v>0</v>
      </c>
      <c r="S2358" s="6">
        <v>40</v>
      </c>
    </row>
    <row r="2359" spans="1:19" ht="15" hidden="1" x14ac:dyDescent="0.25">
      <c r="A2359" s="7" t="s">
        <v>16</v>
      </c>
      <c r="B2359" s="7" t="s">
        <v>23</v>
      </c>
      <c r="C2359" s="7" t="s">
        <v>24</v>
      </c>
      <c r="D2359" s="4">
        <v>25026561000190</v>
      </c>
      <c r="E2359" s="8" t="s">
        <v>666</v>
      </c>
      <c r="F2359" s="8" t="s">
        <v>34</v>
      </c>
      <c r="G2359" s="8" t="s">
        <v>19</v>
      </c>
      <c r="H2359" s="8" t="s">
        <v>215</v>
      </c>
      <c r="I2359" s="3">
        <v>2</v>
      </c>
      <c r="J2359" s="8" t="s">
        <v>149</v>
      </c>
      <c r="K2359" s="8" t="s">
        <v>150</v>
      </c>
      <c r="L2359" s="8" t="s">
        <v>557</v>
      </c>
      <c r="M2359" s="1" t="s">
        <v>207</v>
      </c>
      <c r="N2359" s="8" t="s">
        <v>208</v>
      </c>
      <c r="O2359" s="6">
        <v>0</v>
      </c>
      <c r="P2359" s="6">
        <v>0</v>
      </c>
      <c r="Q2359" s="6">
        <v>0</v>
      </c>
      <c r="R2359" s="6">
        <v>0</v>
      </c>
      <c r="S2359" s="6">
        <v>40</v>
      </c>
    </row>
    <row r="2360" spans="1:19" ht="15" hidden="1" x14ac:dyDescent="0.25">
      <c r="A2360" s="7" t="s">
        <v>16</v>
      </c>
      <c r="B2360" s="7" t="s">
        <v>23</v>
      </c>
      <c r="C2360" s="7" t="s">
        <v>24</v>
      </c>
      <c r="D2360" s="4">
        <v>1613433010814</v>
      </c>
      <c r="E2360" s="8" t="s">
        <v>641</v>
      </c>
      <c r="F2360" s="8" t="s">
        <v>49</v>
      </c>
      <c r="G2360" s="8" t="s">
        <v>19</v>
      </c>
      <c r="H2360" s="8" t="s">
        <v>215</v>
      </c>
      <c r="I2360" s="3">
        <v>2</v>
      </c>
      <c r="J2360" s="8" t="s">
        <v>151</v>
      </c>
      <c r="K2360" s="8" t="s">
        <v>152</v>
      </c>
      <c r="L2360" s="8" t="s">
        <v>556</v>
      </c>
      <c r="M2360" s="1" t="s">
        <v>207</v>
      </c>
      <c r="N2360" s="8" t="s">
        <v>208</v>
      </c>
      <c r="O2360" s="6">
        <v>0</v>
      </c>
      <c r="P2360" s="6">
        <v>0</v>
      </c>
      <c r="Q2360" s="6">
        <v>0</v>
      </c>
      <c r="R2360" s="6">
        <v>0</v>
      </c>
      <c r="S2360" s="6">
        <v>50</v>
      </c>
    </row>
    <row r="2361" spans="1:19" ht="15" hidden="1" x14ac:dyDescent="0.25">
      <c r="A2361" s="7" t="s">
        <v>16</v>
      </c>
      <c r="B2361" s="7" t="s">
        <v>23</v>
      </c>
      <c r="C2361" s="7" t="s">
        <v>24</v>
      </c>
      <c r="D2361" s="4">
        <v>1613433010814</v>
      </c>
      <c r="E2361" s="8" t="s">
        <v>641</v>
      </c>
      <c r="F2361" s="8" t="s">
        <v>49</v>
      </c>
      <c r="G2361" s="8" t="s">
        <v>19</v>
      </c>
      <c r="H2361" s="8" t="s">
        <v>215</v>
      </c>
      <c r="I2361" s="3">
        <v>2</v>
      </c>
      <c r="J2361" s="8" t="s">
        <v>149</v>
      </c>
      <c r="K2361" s="8" t="s">
        <v>150</v>
      </c>
      <c r="L2361" s="8" t="s">
        <v>557</v>
      </c>
      <c r="M2361" s="1" t="s">
        <v>207</v>
      </c>
      <c r="N2361" s="8" t="s">
        <v>208</v>
      </c>
      <c r="O2361" s="6">
        <v>0</v>
      </c>
      <c r="P2361" s="6">
        <v>0</v>
      </c>
      <c r="Q2361" s="6">
        <v>0</v>
      </c>
      <c r="R2361" s="6">
        <v>0</v>
      </c>
      <c r="S2361" s="6">
        <v>50</v>
      </c>
    </row>
    <row r="2362" spans="1:19" ht="15" hidden="1" x14ac:dyDescent="0.25">
      <c r="A2362" s="7" t="s">
        <v>16</v>
      </c>
      <c r="B2362" s="7" t="s">
        <v>23</v>
      </c>
      <c r="C2362" s="7" t="s">
        <v>24</v>
      </c>
      <c r="D2362" s="4">
        <v>54012406000385</v>
      </c>
      <c r="E2362" s="8" t="s">
        <v>718</v>
      </c>
      <c r="F2362" s="8" t="s">
        <v>45</v>
      </c>
      <c r="G2362" s="8" t="s">
        <v>19</v>
      </c>
      <c r="H2362" s="8" t="s">
        <v>215</v>
      </c>
      <c r="I2362" s="3">
        <v>2</v>
      </c>
      <c r="J2362" s="8" t="s">
        <v>151</v>
      </c>
      <c r="K2362" s="8" t="s">
        <v>152</v>
      </c>
      <c r="L2362" s="8" t="s">
        <v>556</v>
      </c>
      <c r="M2362" s="1" t="s">
        <v>207</v>
      </c>
      <c r="N2362" s="8" t="s">
        <v>208</v>
      </c>
      <c r="O2362" s="6">
        <v>0</v>
      </c>
      <c r="P2362" s="6">
        <v>0</v>
      </c>
      <c r="Q2362" s="6">
        <v>0</v>
      </c>
      <c r="R2362" s="6">
        <v>0</v>
      </c>
      <c r="S2362" s="6">
        <v>70</v>
      </c>
    </row>
    <row r="2363" spans="1:19" ht="15" hidden="1" x14ac:dyDescent="0.25">
      <c r="A2363" s="7" t="s">
        <v>16</v>
      </c>
      <c r="B2363" s="7" t="s">
        <v>23</v>
      </c>
      <c r="C2363" s="7" t="s">
        <v>24</v>
      </c>
      <c r="D2363" s="4">
        <v>54012406000385</v>
      </c>
      <c r="E2363" s="8" t="s">
        <v>718</v>
      </c>
      <c r="F2363" s="8" t="s">
        <v>45</v>
      </c>
      <c r="G2363" s="8" t="s">
        <v>19</v>
      </c>
      <c r="H2363" s="8" t="s">
        <v>215</v>
      </c>
      <c r="I2363" s="3">
        <v>2</v>
      </c>
      <c r="J2363" s="8" t="s">
        <v>149</v>
      </c>
      <c r="K2363" s="8" t="s">
        <v>150</v>
      </c>
      <c r="L2363" s="8" t="s">
        <v>557</v>
      </c>
      <c r="M2363" s="1" t="s">
        <v>207</v>
      </c>
      <c r="N2363" s="8" t="s">
        <v>208</v>
      </c>
      <c r="O2363" s="6">
        <v>0</v>
      </c>
      <c r="P2363" s="6">
        <v>0</v>
      </c>
      <c r="Q2363" s="6">
        <v>0</v>
      </c>
      <c r="R2363" s="6">
        <v>0</v>
      </c>
      <c r="S2363" s="6">
        <v>70</v>
      </c>
    </row>
    <row r="2364" spans="1:19" ht="15" hidden="1" x14ac:dyDescent="0.25">
      <c r="A2364" s="7" t="s">
        <v>16</v>
      </c>
      <c r="B2364" s="7" t="s">
        <v>23</v>
      </c>
      <c r="C2364" s="7" t="s">
        <v>24</v>
      </c>
      <c r="D2364" s="4">
        <v>51093193000456</v>
      </c>
      <c r="E2364" s="8" t="s">
        <v>708</v>
      </c>
      <c r="F2364" s="8" t="s">
        <v>698</v>
      </c>
      <c r="G2364" s="8" t="s">
        <v>19</v>
      </c>
      <c r="H2364" s="8" t="s">
        <v>215</v>
      </c>
      <c r="I2364" s="3">
        <v>2</v>
      </c>
      <c r="J2364" s="8" t="s">
        <v>151</v>
      </c>
      <c r="K2364" s="8" t="s">
        <v>152</v>
      </c>
      <c r="L2364" s="8" t="s">
        <v>556</v>
      </c>
      <c r="M2364" s="1" t="s">
        <v>207</v>
      </c>
      <c r="N2364" s="8" t="s">
        <v>208</v>
      </c>
      <c r="O2364" s="6">
        <v>0</v>
      </c>
      <c r="P2364" s="6">
        <v>0</v>
      </c>
      <c r="Q2364" s="6">
        <v>0</v>
      </c>
      <c r="R2364" s="6">
        <v>0</v>
      </c>
      <c r="S2364" s="6">
        <v>20</v>
      </c>
    </row>
    <row r="2365" spans="1:19" ht="15" hidden="1" x14ac:dyDescent="0.25">
      <c r="A2365" s="7" t="s">
        <v>16</v>
      </c>
      <c r="B2365" s="7" t="s">
        <v>23</v>
      </c>
      <c r="C2365" s="7" t="s">
        <v>24</v>
      </c>
      <c r="D2365" s="4">
        <v>51093193000456</v>
      </c>
      <c r="E2365" s="8" t="s">
        <v>708</v>
      </c>
      <c r="F2365" s="8" t="s">
        <v>698</v>
      </c>
      <c r="G2365" s="8" t="s">
        <v>19</v>
      </c>
      <c r="H2365" s="8" t="s">
        <v>215</v>
      </c>
      <c r="I2365" s="3">
        <v>2</v>
      </c>
      <c r="J2365" s="8" t="s">
        <v>149</v>
      </c>
      <c r="K2365" s="8" t="s">
        <v>150</v>
      </c>
      <c r="L2365" s="8" t="s">
        <v>557</v>
      </c>
      <c r="M2365" s="1" t="s">
        <v>207</v>
      </c>
      <c r="N2365" s="8" t="s">
        <v>208</v>
      </c>
      <c r="O2365" s="6">
        <v>0</v>
      </c>
      <c r="P2365" s="6">
        <v>0</v>
      </c>
      <c r="Q2365" s="6">
        <v>0</v>
      </c>
      <c r="R2365" s="6">
        <v>0</v>
      </c>
      <c r="S2365" s="6">
        <v>20</v>
      </c>
    </row>
    <row r="2366" spans="1:19" ht="15" hidden="1" x14ac:dyDescent="0.25">
      <c r="A2366" s="7" t="s">
        <v>16</v>
      </c>
      <c r="B2366" s="7" t="s">
        <v>23</v>
      </c>
      <c r="C2366" s="7" t="s">
        <v>24</v>
      </c>
      <c r="D2366" s="4">
        <v>4275687000129</v>
      </c>
      <c r="E2366" s="8" t="s">
        <v>645</v>
      </c>
      <c r="F2366" s="8" t="s">
        <v>31</v>
      </c>
      <c r="G2366" s="8" t="s">
        <v>19</v>
      </c>
      <c r="H2366" s="8" t="s">
        <v>215</v>
      </c>
      <c r="I2366" s="3">
        <v>2</v>
      </c>
      <c r="J2366" s="8" t="s">
        <v>151</v>
      </c>
      <c r="K2366" s="8" t="s">
        <v>152</v>
      </c>
      <c r="L2366" s="8" t="s">
        <v>556</v>
      </c>
      <c r="M2366" s="1" t="s">
        <v>207</v>
      </c>
      <c r="N2366" s="8" t="s">
        <v>208</v>
      </c>
      <c r="O2366" s="6">
        <v>0</v>
      </c>
      <c r="P2366" s="6">
        <v>0</v>
      </c>
      <c r="Q2366" s="6">
        <v>0</v>
      </c>
      <c r="R2366" s="6">
        <v>36</v>
      </c>
      <c r="S2366" s="6">
        <v>0</v>
      </c>
    </row>
    <row r="2367" spans="1:19" ht="15" hidden="1" x14ac:dyDescent="0.25">
      <c r="A2367" s="7" t="s">
        <v>16</v>
      </c>
      <c r="B2367" s="7" t="s">
        <v>23</v>
      </c>
      <c r="C2367" s="7" t="s">
        <v>24</v>
      </c>
      <c r="D2367" s="4">
        <v>4275687000129</v>
      </c>
      <c r="E2367" s="8" t="s">
        <v>645</v>
      </c>
      <c r="F2367" s="8" t="s">
        <v>31</v>
      </c>
      <c r="G2367" s="8" t="s">
        <v>19</v>
      </c>
      <c r="H2367" s="8" t="s">
        <v>215</v>
      </c>
      <c r="I2367" s="3">
        <v>2</v>
      </c>
      <c r="J2367" s="8" t="s">
        <v>149</v>
      </c>
      <c r="K2367" s="8" t="s">
        <v>150</v>
      </c>
      <c r="L2367" s="8" t="s">
        <v>557</v>
      </c>
      <c r="M2367" s="1" t="s">
        <v>207</v>
      </c>
      <c r="N2367" s="8" t="s">
        <v>208</v>
      </c>
      <c r="O2367" s="6">
        <v>0</v>
      </c>
      <c r="P2367" s="6">
        <v>0</v>
      </c>
      <c r="Q2367" s="6">
        <v>0</v>
      </c>
      <c r="R2367" s="6">
        <v>0</v>
      </c>
      <c r="S2367" s="6">
        <v>0</v>
      </c>
    </row>
    <row r="2368" spans="1:19" ht="15" hidden="1" x14ac:dyDescent="0.25">
      <c r="A2368" s="7" t="s">
        <v>16</v>
      </c>
      <c r="B2368" s="7" t="s">
        <v>23</v>
      </c>
      <c r="C2368" s="7" t="s">
        <v>24</v>
      </c>
      <c r="D2368" s="4">
        <v>44456036000311</v>
      </c>
      <c r="E2368" s="8" t="s">
        <v>675</v>
      </c>
      <c r="F2368" s="8" t="s">
        <v>37</v>
      </c>
      <c r="G2368" s="8" t="s">
        <v>19</v>
      </c>
      <c r="H2368" s="8" t="s">
        <v>215</v>
      </c>
      <c r="I2368" s="3">
        <v>2</v>
      </c>
      <c r="J2368" s="8" t="s">
        <v>151</v>
      </c>
      <c r="K2368" s="8" t="s">
        <v>152</v>
      </c>
      <c r="L2368" s="8" t="s">
        <v>556</v>
      </c>
      <c r="M2368" s="1" t="s">
        <v>207</v>
      </c>
      <c r="N2368" s="8" t="s">
        <v>208</v>
      </c>
      <c r="O2368" s="6">
        <v>0</v>
      </c>
      <c r="P2368" s="6">
        <v>0</v>
      </c>
      <c r="Q2368" s="6">
        <v>0</v>
      </c>
      <c r="R2368" s="6">
        <v>0</v>
      </c>
      <c r="S2368" s="6">
        <v>0</v>
      </c>
    </row>
    <row r="2369" spans="1:19" ht="15" hidden="1" x14ac:dyDescent="0.25">
      <c r="A2369" s="7" t="s">
        <v>16</v>
      </c>
      <c r="B2369" s="7" t="s">
        <v>23</v>
      </c>
      <c r="C2369" s="7" t="s">
        <v>24</v>
      </c>
      <c r="D2369" s="4">
        <v>44456036000311</v>
      </c>
      <c r="E2369" s="8" t="s">
        <v>675</v>
      </c>
      <c r="F2369" s="8" t="s">
        <v>37</v>
      </c>
      <c r="G2369" s="8" t="s">
        <v>19</v>
      </c>
      <c r="H2369" s="8" t="s">
        <v>215</v>
      </c>
      <c r="I2369" s="3">
        <v>2</v>
      </c>
      <c r="J2369" s="8" t="s">
        <v>149</v>
      </c>
      <c r="K2369" s="8" t="s">
        <v>150</v>
      </c>
      <c r="L2369" s="8" t="s">
        <v>557</v>
      </c>
      <c r="M2369" s="1" t="s">
        <v>207</v>
      </c>
      <c r="N2369" s="8" t="s">
        <v>208</v>
      </c>
      <c r="O2369" s="6">
        <v>0</v>
      </c>
      <c r="P2369" s="6">
        <v>0</v>
      </c>
      <c r="Q2369" s="6">
        <v>12</v>
      </c>
      <c r="R2369" s="6">
        <v>0</v>
      </c>
      <c r="S2369" s="6">
        <v>0</v>
      </c>
    </row>
    <row r="2370" spans="1:19" ht="15" hidden="1" x14ac:dyDescent="0.25">
      <c r="A2370" s="7" t="s">
        <v>16</v>
      </c>
      <c r="B2370" s="7" t="s">
        <v>23</v>
      </c>
      <c r="C2370" s="7" t="s">
        <v>24</v>
      </c>
      <c r="D2370" s="4">
        <v>10447300000177</v>
      </c>
      <c r="E2370" s="8" t="s">
        <v>658</v>
      </c>
      <c r="F2370" s="8" t="s">
        <v>33</v>
      </c>
      <c r="G2370" s="8" t="s">
        <v>19</v>
      </c>
      <c r="H2370" s="8" t="s">
        <v>215</v>
      </c>
      <c r="I2370" s="3">
        <v>2</v>
      </c>
      <c r="J2370" s="8" t="s">
        <v>151</v>
      </c>
      <c r="K2370" s="8" t="s">
        <v>152</v>
      </c>
      <c r="L2370" s="8" t="s">
        <v>556</v>
      </c>
      <c r="M2370" s="1" t="s">
        <v>207</v>
      </c>
      <c r="N2370" s="8" t="s">
        <v>208</v>
      </c>
      <c r="O2370" s="6">
        <v>0</v>
      </c>
      <c r="P2370" s="6">
        <v>0</v>
      </c>
      <c r="Q2370" s="6">
        <v>0</v>
      </c>
      <c r="R2370" s="6">
        <v>16</v>
      </c>
      <c r="S2370" s="6">
        <v>0</v>
      </c>
    </row>
    <row r="2371" spans="1:19" ht="15" hidden="1" x14ac:dyDescent="0.25">
      <c r="A2371" s="7" t="s">
        <v>16</v>
      </c>
      <c r="B2371" s="7" t="s">
        <v>23</v>
      </c>
      <c r="C2371" s="7" t="s">
        <v>24</v>
      </c>
      <c r="D2371" s="4">
        <v>10447300000177</v>
      </c>
      <c r="E2371" s="8" t="s">
        <v>658</v>
      </c>
      <c r="F2371" s="8" t="s">
        <v>33</v>
      </c>
      <c r="G2371" s="8" t="s">
        <v>19</v>
      </c>
      <c r="H2371" s="8" t="s">
        <v>215</v>
      </c>
      <c r="I2371" s="3">
        <v>2</v>
      </c>
      <c r="J2371" s="8" t="s">
        <v>149</v>
      </c>
      <c r="K2371" s="8" t="s">
        <v>150</v>
      </c>
      <c r="L2371" s="8" t="s">
        <v>557</v>
      </c>
      <c r="M2371" s="1" t="s">
        <v>207</v>
      </c>
      <c r="N2371" s="8" t="s">
        <v>208</v>
      </c>
      <c r="O2371" s="6">
        <v>0</v>
      </c>
      <c r="P2371" s="6">
        <v>0</v>
      </c>
      <c r="Q2371" s="6">
        <v>0</v>
      </c>
      <c r="R2371" s="6">
        <v>0</v>
      </c>
      <c r="S2371" s="6">
        <v>0</v>
      </c>
    </row>
    <row r="2372" spans="1:19" ht="15" hidden="1" x14ac:dyDescent="0.25">
      <c r="A2372" s="7" t="s">
        <v>16</v>
      </c>
      <c r="B2372" s="7" t="s">
        <v>23</v>
      </c>
      <c r="C2372" s="7" t="s">
        <v>24</v>
      </c>
      <c r="D2372" s="4">
        <v>46020301000269</v>
      </c>
      <c r="E2372" s="8" t="s">
        <v>691</v>
      </c>
      <c r="F2372" s="8" t="s">
        <v>33</v>
      </c>
      <c r="G2372" s="8" t="s">
        <v>19</v>
      </c>
      <c r="H2372" s="8" t="s">
        <v>215</v>
      </c>
      <c r="I2372" s="3">
        <v>2</v>
      </c>
      <c r="J2372" s="8" t="s">
        <v>151</v>
      </c>
      <c r="K2372" s="8" t="s">
        <v>152</v>
      </c>
      <c r="L2372" s="8" t="s">
        <v>556</v>
      </c>
      <c r="M2372" s="1" t="s">
        <v>207</v>
      </c>
      <c r="N2372" s="8" t="s">
        <v>208</v>
      </c>
      <c r="O2372" s="6">
        <v>0</v>
      </c>
      <c r="P2372" s="6">
        <v>0</v>
      </c>
      <c r="Q2372" s="6">
        <v>0</v>
      </c>
      <c r="R2372" s="6">
        <v>35</v>
      </c>
      <c r="S2372" s="6">
        <v>0</v>
      </c>
    </row>
    <row r="2373" spans="1:19" ht="15" hidden="1" x14ac:dyDescent="0.25">
      <c r="A2373" s="7" t="s">
        <v>16</v>
      </c>
      <c r="B2373" s="7" t="s">
        <v>23</v>
      </c>
      <c r="C2373" s="7" t="s">
        <v>24</v>
      </c>
      <c r="D2373" s="4">
        <v>46020301000269</v>
      </c>
      <c r="E2373" s="8" t="s">
        <v>691</v>
      </c>
      <c r="F2373" s="8" t="s">
        <v>33</v>
      </c>
      <c r="G2373" s="8" t="s">
        <v>19</v>
      </c>
      <c r="H2373" s="8" t="s">
        <v>215</v>
      </c>
      <c r="I2373" s="3">
        <v>2</v>
      </c>
      <c r="J2373" s="8" t="s">
        <v>149</v>
      </c>
      <c r="K2373" s="8" t="s">
        <v>150</v>
      </c>
      <c r="L2373" s="8" t="s">
        <v>557</v>
      </c>
      <c r="M2373" s="1" t="s">
        <v>207</v>
      </c>
      <c r="N2373" s="8" t="s">
        <v>208</v>
      </c>
      <c r="O2373" s="6">
        <v>0</v>
      </c>
      <c r="P2373" s="6">
        <v>0</v>
      </c>
      <c r="Q2373" s="6">
        <v>0</v>
      </c>
      <c r="R2373" s="6">
        <v>0</v>
      </c>
      <c r="S2373" s="6">
        <v>0</v>
      </c>
    </row>
    <row r="2374" spans="1:19" ht="15" hidden="1" x14ac:dyDescent="0.25">
      <c r="A2374" s="7" t="s">
        <v>16</v>
      </c>
      <c r="B2374" s="7" t="s">
        <v>23</v>
      </c>
      <c r="C2374" s="7" t="s">
        <v>24</v>
      </c>
      <c r="D2374" s="4">
        <v>46009718000140</v>
      </c>
      <c r="E2374" s="8" t="s">
        <v>690</v>
      </c>
      <c r="F2374" s="8" t="s">
        <v>33</v>
      </c>
      <c r="G2374" s="8" t="s">
        <v>19</v>
      </c>
      <c r="H2374" s="8" t="s">
        <v>215</v>
      </c>
      <c r="I2374" s="3">
        <v>2</v>
      </c>
      <c r="J2374" s="8" t="s">
        <v>151</v>
      </c>
      <c r="K2374" s="8" t="s">
        <v>152</v>
      </c>
      <c r="L2374" s="8" t="s">
        <v>556</v>
      </c>
      <c r="M2374" s="1" t="s">
        <v>207</v>
      </c>
      <c r="N2374" s="8" t="s">
        <v>208</v>
      </c>
      <c r="O2374" s="6">
        <v>0</v>
      </c>
      <c r="P2374" s="6">
        <v>0</v>
      </c>
      <c r="Q2374" s="6">
        <v>0</v>
      </c>
      <c r="R2374" s="6">
        <v>48</v>
      </c>
      <c r="S2374" s="6">
        <v>0</v>
      </c>
    </row>
    <row r="2375" spans="1:19" ht="15" hidden="1" x14ac:dyDescent="0.25">
      <c r="A2375" s="7" t="s">
        <v>16</v>
      </c>
      <c r="B2375" s="7" t="s">
        <v>23</v>
      </c>
      <c r="C2375" s="7" t="s">
        <v>24</v>
      </c>
      <c r="D2375" s="4">
        <v>46009718000140</v>
      </c>
      <c r="E2375" s="8" t="s">
        <v>690</v>
      </c>
      <c r="F2375" s="8" t="s">
        <v>33</v>
      </c>
      <c r="G2375" s="8" t="s">
        <v>19</v>
      </c>
      <c r="H2375" s="8" t="s">
        <v>215</v>
      </c>
      <c r="I2375" s="3">
        <v>2</v>
      </c>
      <c r="J2375" s="8" t="s">
        <v>149</v>
      </c>
      <c r="K2375" s="8" t="s">
        <v>150</v>
      </c>
      <c r="L2375" s="8" t="s">
        <v>557</v>
      </c>
      <c r="M2375" s="1" t="s">
        <v>207</v>
      </c>
      <c r="N2375" s="8" t="s">
        <v>208</v>
      </c>
      <c r="O2375" s="6">
        <v>0</v>
      </c>
      <c r="P2375" s="6">
        <v>0</v>
      </c>
      <c r="Q2375" s="6">
        <v>0</v>
      </c>
      <c r="R2375" s="6">
        <v>0</v>
      </c>
      <c r="S2375" s="6">
        <v>0</v>
      </c>
    </row>
    <row r="2376" spans="1:19" ht="15" hidden="1" x14ac:dyDescent="0.25">
      <c r="A2376" s="7" t="s">
        <v>16</v>
      </c>
      <c r="B2376" s="7" t="s">
        <v>23</v>
      </c>
      <c r="C2376" s="7" t="s">
        <v>24</v>
      </c>
      <c r="D2376" s="4">
        <v>44649812019238</v>
      </c>
      <c r="E2376" s="8" t="s">
        <v>679</v>
      </c>
      <c r="F2376" s="8" t="s">
        <v>33</v>
      </c>
      <c r="G2376" s="8" t="s">
        <v>19</v>
      </c>
      <c r="H2376" s="8" t="s">
        <v>215</v>
      </c>
      <c r="I2376" s="3">
        <v>2</v>
      </c>
      <c r="J2376" s="8" t="s">
        <v>151</v>
      </c>
      <c r="K2376" s="8" t="s">
        <v>152</v>
      </c>
      <c r="L2376" s="8" t="s">
        <v>556</v>
      </c>
      <c r="M2376" s="1" t="s">
        <v>207</v>
      </c>
      <c r="N2376" s="8" t="s">
        <v>208</v>
      </c>
      <c r="O2376" s="6">
        <v>0</v>
      </c>
      <c r="P2376" s="6">
        <v>0</v>
      </c>
      <c r="Q2376" s="6">
        <v>0</v>
      </c>
      <c r="R2376" s="6">
        <v>8</v>
      </c>
      <c r="S2376" s="6">
        <v>0</v>
      </c>
    </row>
    <row r="2377" spans="1:19" ht="15" hidden="1" x14ac:dyDescent="0.25">
      <c r="A2377" s="7" t="s">
        <v>16</v>
      </c>
      <c r="B2377" s="7" t="s">
        <v>23</v>
      </c>
      <c r="C2377" s="7" t="s">
        <v>24</v>
      </c>
      <c r="D2377" s="4">
        <v>44649812019238</v>
      </c>
      <c r="E2377" s="8" t="s">
        <v>679</v>
      </c>
      <c r="F2377" s="8" t="s">
        <v>33</v>
      </c>
      <c r="G2377" s="8" t="s">
        <v>19</v>
      </c>
      <c r="H2377" s="8" t="s">
        <v>215</v>
      </c>
      <c r="I2377" s="3">
        <v>2</v>
      </c>
      <c r="J2377" s="8" t="s">
        <v>149</v>
      </c>
      <c r="K2377" s="8" t="s">
        <v>150</v>
      </c>
      <c r="L2377" s="8" t="s">
        <v>557</v>
      </c>
      <c r="M2377" s="1" t="s">
        <v>207</v>
      </c>
      <c r="N2377" s="8" t="s">
        <v>208</v>
      </c>
      <c r="O2377" s="6">
        <v>0</v>
      </c>
      <c r="P2377" s="6">
        <v>0</v>
      </c>
      <c r="Q2377" s="6">
        <v>0</v>
      </c>
      <c r="R2377" s="6">
        <v>0</v>
      </c>
      <c r="S2377" s="6">
        <v>0</v>
      </c>
    </row>
    <row r="2378" spans="1:19" ht="15" hidden="1" x14ac:dyDescent="0.25">
      <c r="A2378" s="7" t="s">
        <v>16</v>
      </c>
      <c r="B2378" s="7" t="s">
        <v>23</v>
      </c>
      <c r="C2378" s="7" t="s">
        <v>24</v>
      </c>
      <c r="D2378" s="4">
        <v>29435005008456</v>
      </c>
      <c r="E2378" s="8" t="s">
        <v>672</v>
      </c>
      <c r="F2378" s="8" t="s">
        <v>33</v>
      </c>
      <c r="G2378" s="8" t="s">
        <v>19</v>
      </c>
      <c r="H2378" s="8" t="s">
        <v>215</v>
      </c>
      <c r="I2378" s="3">
        <v>2</v>
      </c>
      <c r="J2378" s="8" t="s">
        <v>151</v>
      </c>
      <c r="K2378" s="8" t="s">
        <v>152</v>
      </c>
      <c r="L2378" s="8" t="s">
        <v>556</v>
      </c>
      <c r="M2378" s="1" t="s">
        <v>207</v>
      </c>
      <c r="N2378" s="8" t="s">
        <v>208</v>
      </c>
      <c r="O2378" s="6">
        <v>0</v>
      </c>
      <c r="P2378" s="6">
        <v>0</v>
      </c>
      <c r="Q2378" s="6">
        <v>0</v>
      </c>
      <c r="R2378" s="6">
        <v>0</v>
      </c>
      <c r="S2378" s="6">
        <v>175</v>
      </c>
    </row>
    <row r="2379" spans="1:19" ht="15" hidden="1" x14ac:dyDescent="0.25">
      <c r="A2379" s="7" t="s">
        <v>16</v>
      </c>
      <c r="B2379" s="7" t="s">
        <v>23</v>
      </c>
      <c r="C2379" s="7" t="s">
        <v>24</v>
      </c>
      <c r="D2379" s="4">
        <v>29435005008456</v>
      </c>
      <c r="E2379" s="8" t="s">
        <v>672</v>
      </c>
      <c r="F2379" s="8" t="s">
        <v>33</v>
      </c>
      <c r="G2379" s="8" t="s">
        <v>19</v>
      </c>
      <c r="H2379" s="8" t="s">
        <v>215</v>
      </c>
      <c r="I2379" s="3">
        <v>2</v>
      </c>
      <c r="J2379" s="8" t="s">
        <v>149</v>
      </c>
      <c r="K2379" s="8" t="s">
        <v>150</v>
      </c>
      <c r="L2379" s="8" t="s">
        <v>557</v>
      </c>
      <c r="M2379" s="1" t="s">
        <v>207</v>
      </c>
      <c r="N2379" s="8" t="s">
        <v>208</v>
      </c>
      <c r="O2379" s="6">
        <v>0</v>
      </c>
      <c r="P2379" s="6">
        <v>0</v>
      </c>
      <c r="Q2379" s="6">
        <v>0</v>
      </c>
      <c r="R2379" s="6">
        <v>0</v>
      </c>
      <c r="S2379" s="6">
        <v>175</v>
      </c>
    </row>
    <row r="2380" spans="1:19" ht="15" hidden="1" x14ac:dyDescent="0.25">
      <c r="A2380" s="7" t="s">
        <v>16</v>
      </c>
      <c r="B2380" s="7" t="s">
        <v>23</v>
      </c>
      <c r="C2380" s="7" t="s">
        <v>24</v>
      </c>
      <c r="D2380" s="4">
        <v>46124624000111</v>
      </c>
      <c r="E2380" s="8" t="s">
        <v>693</v>
      </c>
      <c r="F2380" s="8" t="s">
        <v>33</v>
      </c>
      <c r="G2380" s="8" t="s">
        <v>19</v>
      </c>
      <c r="H2380" s="8" t="s">
        <v>215</v>
      </c>
      <c r="I2380" s="3">
        <v>2</v>
      </c>
      <c r="J2380" s="8" t="s">
        <v>151</v>
      </c>
      <c r="K2380" s="8" t="s">
        <v>152</v>
      </c>
      <c r="L2380" s="8" t="s">
        <v>556</v>
      </c>
      <c r="M2380" s="1" t="s">
        <v>207</v>
      </c>
      <c r="N2380" s="8" t="s">
        <v>208</v>
      </c>
      <c r="O2380" s="6">
        <v>0</v>
      </c>
      <c r="P2380" s="6">
        <v>0</v>
      </c>
      <c r="Q2380" s="6">
        <v>0</v>
      </c>
      <c r="R2380" s="6">
        <v>72</v>
      </c>
      <c r="S2380" s="6">
        <v>1170</v>
      </c>
    </row>
    <row r="2381" spans="1:19" ht="15" hidden="1" x14ac:dyDescent="0.25">
      <c r="A2381" s="7" t="s">
        <v>16</v>
      </c>
      <c r="B2381" s="7" t="s">
        <v>23</v>
      </c>
      <c r="C2381" s="7" t="s">
        <v>24</v>
      </c>
      <c r="D2381" s="4">
        <v>46124624000111</v>
      </c>
      <c r="E2381" s="8" t="s">
        <v>693</v>
      </c>
      <c r="F2381" s="8" t="s">
        <v>33</v>
      </c>
      <c r="G2381" s="8" t="s">
        <v>19</v>
      </c>
      <c r="H2381" s="8" t="s">
        <v>215</v>
      </c>
      <c r="I2381" s="3">
        <v>2</v>
      </c>
      <c r="J2381" s="8" t="s">
        <v>149</v>
      </c>
      <c r="K2381" s="8" t="s">
        <v>150</v>
      </c>
      <c r="L2381" s="8" t="s">
        <v>557</v>
      </c>
      <c r="M2381" s="1" t="s">
        <v>207</v>
      </c>
      <c r="N2381" s="8" t="s">
        <v>208</v>
      </c>
      <c r="O2381" s="6">
        <v>0</v>
      </c>
      <c r="P2381" s="6">
        <v>0</v>
      </c>
      <c r="Q2381" s="6">
        <v>0</v>
      </c>
      <c r="R2381" s="6">
        <v>0</v>
      </c>
      <c r="S2381" s="6">
        <v>1170</v>
      </c>
    </row>
    <row r="2382" spans="1:19" ht="15" hidden="1" x14ac:dyDescent="0.25">
      <c r="A2382" s="7" t="s">
        <v>16</v>
      </c>
      <c r="B2382" s="7" t="s">
        <v>23</v>
      </c>
      <c r="C2382" s="7" t="s">
        <v>24</v>
      </c>
      <c r="D2382" s="4">
        <v>46068425000133</v>
      </c>
      <c r="E2382" s="8" t="s">
        <v>692</v>
      </c>
      <c r="F2382" s="8" t="s">
        <v>33</v>
      </c>
      <c r="G2382" s="8" t="s">
        <v>19</v>
      </c>
      <c r="H2382" s="8" t="s">
        <v>215</v>
      </c>
      <c r="I2382" s="3">
        <v>2</v>
      </c>
      <c r="J2382" s="8" t="s">
        <v>151</v>
      </c>
      <c r="K2382" s="8" t="s">
        <v>152</v>
      </c>
      <c r="L2382" s="8" t="s">
        <v>556</v>
      </c>
      <c r="M2382" s="1" t="s">
        <v>207</v>
      </c>
      <c r="N2382" s="8" t="s">
        <v>208</v>
      </c>
      <c r="O2382" s="6">
        <v>1</v>
      </c>
      <c r="P2382" s="6">
        <v>0</v>
      </c>
      <c r="Q2382" s="6">
        <v>0</v>
      </c>
      <c r="R2382" s="6">
        <v>0</v>
      </c>
      <c r="S2382" s="6">
        <v>0</v>
      </c>
    </row>
    <row r="2383" spans="1:19" ht="15" hidden="1" x14ac:dyDescent="0.25">
      <c r="A2383" s="7" t="s">
        <v>16</v>
      </c>
      <c r="B2383" s="7" t="s">
        <v>23</v>
      </c>
      <c r="C2383" s="7" t="s">
        <v>24</v>
      </c>
      <c r="D2383" s="4">
        <v>46068425000133</v>
      </c>
      <c r="E2383" s="8" t="s">
        <v>692</v>
      </c>
      <c r="F2383" s="8" t="s">
        <v>33</v>
      </c>
      <c r="G2383" s="8" t="s">
        <v>19</v>
      </c>
      <c r="H2383" s="8" t="s">
        <v>215</v>
      </c>
      <c r="I2383" s="3">
        <v>2</v>
      </c>
      <c r="J2383" s="8" t="s">
        <v>149</v>
      </c>
      <c r="K2383" s="8" t="s">
        <v>150</v>
      </c>
      <c r="L2383" s="8" t="s">
        <v>557</v>
      </c>
      <c r="M2383" s="1" t="s">
        <v>207</v>
      </c>
      <c r="N2383" s="8" t="s">
        <v>208</v>
      </c>
      <c r="O2383" s="6">
        <v>0</v>
      </c>
      <c r="P2383" s="6">
        <v>0</v>
      </c>
      <c r="Q2383" s="6">
        <v>0</v>
      </c>
      <c r="R2383" s="6">
        <v>0</v>
      </c>
      <c r="S2383" s="6">
        <v>0</v>
      </c>
    </row>
    <row r="2384" spans="1:19" ht="15" hidden="1" x14ac:dyDescent="0.25">
      <c r="A2384" s="7" t="s">
        <v>16</v>
      </c>
      <c r="B2384" s="7" t="s">
        <v>23</v>
      </c>
      <c r="C2384" s="7" t="s">
        <v>24</v>
      </c>
      <c r="D2384" s="4">
        <v>47074851000819</v>
      </c>
      <c r="E2384" s="8" t="s">
        <v>702</v>
      </c>
      <c r="F2384" s="8" t="s">
        <v>41</v>
      </c>
      <c r="G2384" s="8" t="s">
        <v>19</v>
      </c>
      <c r="H2384" s="8" t="s">
        <v>215</v>
      </c>
      <c r="I2384" s="3">
        <v>2</v>
      </c>
      <c r="J2384" s="8" t="s">
        <v>151</v>
      </c>
      <c r="K2384" s="8" t="s">
        <v>152</v>
      </c>
      <c r="L2384" s="8" t="s">
        <v>556</v>
      </c>
      <c r="M2384" s="1" t="s">
        <v>207</v>
      </c>
      <c r="N2384" s="8" t="s">
        <v>208</v>
      </c>
      <c r="O2384" s="6">
        <v>0</v>
      </c>
      <c r="P2384" s="6">
        <v>0</v>
      </c>
      <c r="Q2384" s="6">
        <v>0</v>
      </c>
      <c r="R2384" s="6">
        <v>12</v>
      </c>
      <c r="S2384" s="6">
        <v>0</v>
      </c>
    </row>
    <row r="2385" spans="1:19" ht="15" hidden="1" x14ac:dyDescent="0.25">
      <c r="A2385" s="7" t="s">
        <v>16</v>
      </c>
      <c r="B2385" s="7" t="s">
        <v>23</v>
      </c>
      <c r="C2385" s="7" t="s">
        <v>24</v>
      </c>
      <c r="D2385" s="4">
        <v>47074851000819</v>
      </c>
      <c r="E2385" s="8" t="s">
        <v>702</v>
      </c>
      <c r="F2385" s="8" t="s">
        <v>41</v>
      </c>
      <c r="G2385" s="8" t="s">
        <v>19</v>
      </c>
      <c r="H2385" s="8" t="s">
        <v>215</v>
      </c>
      <c r="I2385" s="3">
        <v>2</v>
      </c>
      <c r="J2385" s="8" t="s">
        <v>149</v>
      </c>
      <c r="K2385" s="8" t="s">
        <v>150</v>
      </c>
      <c r="L2385" s="8" t="s">
        <v>557</v>
      </c>
      <c r="M2385" s="1" t="s">
        <v>207</v>
      </c>
      <c r="N2385" s="8" t="s">
        <v>208</v>
      </c>
      <c r="O2385" s="6">
        <v>0</v>
      </c>
      <c r="P2385" s="6">
        <v>0</v>
      </c>
      <c r="Q2385" s="6">
        <v>0</v>
      </c>
      <c r="R2385" s="6">
        <v>0</v>
      </c>
      <c r="S2385" s="6">
        <v>0</v>
      </c>
    </row>
    <row r="2386" spans="1:19" ht="15" hidden="1" x14ac:dyDescent="0.25">
      <c r="A2386" s="7" t="s">
        <v>16</v>
      </c>
      <c r="B2386" s="7" t="s">
        <v>23</v>
      </c>
      <c r="C2386" s="7" t="s">
        <v>24</v>
      </c>
      <c r="D2386" s="4">
        <v>45118429001279</v>
      </c>
      <c r="E2386" s="8" t="s">
        <v>683</v>
      </c>
      <c r="F2386" s="8" t="s">
        <v>41</v>
      </c>
      <c r="G2386" s="8" t="s">
        <v>19</v>
      </c>
      <c r="H2386" s="8" t="s">
        <v>215</v>
      </c>
      <c r="I2386" s="3">
        <v>2</v>
      </c>
      <c r="J2386" s="8" t="s">
        <v>151</v>
      </c>
      <c r="K2386" s="8" t="s">
        <v>152</v>
      </c>
      <c r="L2386" s="8" t="s">
        <v>556</v>
      </c>
      <c r="M2386" s="1" t="s">
        <v>207</v>
      </c>
      <c r="N2386" s="8" t="s">
        <v>208</v>
      </c>
      <c r="O2386" s="6">
        <v>0</v>
      </c>
      <c r="P2386" s="6">
        <v>0</v>
      </c>
      <c r="Q2386" s="6">
        <v>0</v>
      </c>
      <c r="R2386" s="6">
        <v>12</v>
      </c>
      <c r="S2386" s="6">
        <v>0</v>
      </c>
    </row>
    <row r="2387" spans="1:19" ht="15" hidden="1" x14ac:dyDescent="0.25">
      <c r="A2387" s="7" t="s">
        <v>16</v>
      </c>
      <c r="B2387" s="7" t="s">
        <v>23</v>
      </c>
      <c r="C2387" s="7" t="s">
        <v>24</v>
      </c>
      <c r="D2387" s="4">
        <v>45118429001279</v>
      </c>
      <c r="E2387" s="8" t="s">
        <v>683</v>
      </c>
      <c r="F2387" s="8" t="s">
        <v>41</v>
      </c>
      <c r="G2387" s="8" t="s">
        <v>19</v>
      </c>
      <c r="H2387" s="8" t="s">
        <v>215</v>
      </c>
      <c r="I2387" s="3">
        <v>2</v>
      </c>
      <c r="J2387" s="8" t="s">
        <v>149</v>
      </c>
      <c r="K2387" s="8" t="s">
        <v>150</v>
      </c>
      <c r="L2387" s="8" t="s">
        <v>557</v>
      </c>
      <c r="M2387" s="1" t="s">
        <v>207</v>
      </c>
      <c r="N2387" s="8" t="s">
        <v>208</v>
      </c>
      <c r="O2387" s="6">
        <v>0</v>
      </c>
      <c r="P2387" s="6">
        <v>0</v>
      </c>
      <c r="Q2387" s="6">
        <v>0</v>
      </c>
      <c r="R2387" s="6">
        <v>0</v>
      </c>
      <c r="S2387" s="6">
        <v>0</v>
      </c>
    </row>
    <row r="2388" spans="1:19" ht="15" hidden="1" x14ac:dyDescent="0.25">
      <c r="A2388" s="7" t="s">
        <v>16</v>
      </c>
      <c r="B2388" s="7" t="s">
        <v>23</v>
      </c>
      <c r="C2388" s="7" t="s">
        <v>24</v>
      </c>
      <c r="D2388" s="4">
        <v>50486026000160</v>
      </c>
      <c r="E2388" s="8" t="s">
        <v>706</v>
      </c>
      <c r="F2388" s="8" t="s">
        <v>44</v>
      </c>
      <c r="G2388" s="8" t="s">
        <v>19</v>
      </c>
      <c r="H2388" s="8" t="s">
        <v>215</v>
      </c>
      <c r="I2388" s="3">
        <v>2</v>
      </c>
      <c r="J2388" s="8" t="s">
        <v>151</v>
      </c>
      <c r="K2388" s="8" t="s">
        <v>152</v>
      </c>
      <c r="L2388" s="8" t="s">
        <v>556</v>
      </c>
      <c r="M2388" s="1" t="s">
        <v>207</v>
      </c>
      <c r="N2388" s="8" t="s">
        <v>208</v>
      </c>
      <c r="O2388" s="6">
        <v>0</v>
      </c>
      <c r="P2388" s="6">
        <v>0</v>
      </c>
      <c r="Q2388" s="6">
        <v>0</v>
      </c>
      <c r="R2388" s="6">
        <v>0</v>
      </c>
      <c r="S2388" s="6">
        <v>100</v>
      </c>
    </row>
    <row r="2389" spans="1:19" ht="15" hidden="1" x14ac:dyDescent="0.25">
      <c r="A2389" s="7" t="s">
        <v>16</v>
      </c>
      <c r="B2389" s="7" t="s">
        <v>23</v>
      </c>
      <c r="C2389" s="7" t="s">
        <v>24</v>
      </c>
      <c r="D2389" s="4">
        <v>50486026000160</v>
      </c>
      <c r="E2389" s="8" t="s">
        <v>706</v>
      </c>
      <c r="F2389" s="8" t="s">
        <v>44</v>
      </c>
      <c r="G2389" s="8" t="s">
        <v>19</v>
      </c>
      <c r="H2389" s="8" t="s">
        <v>215</v>
      </c>
      <c r="I2389" s="3">
        <v>2</v>
      </c>
      <c r="J2389" s="8" t="s">
        <v>149</v>
      </c>
      <c r="K2389" s="8" t="s">
        <v>150</v>
      </c>
      <c r="L2389" s="8" t="s">
        <v>557</v>
      </c>
      <c r="M2389" s="1" t="s">
        <v>207</v>
      </c>
      <c r="N2389" s="8" t="s">
        <v>208</v>
      </c>
      <c r="O2389" s="6">
        <v>0</v>
      </c>
      <c r="P2389" s="6">
        <v>0</v>
      </c>
      <c r="Q2389" s="6">
        <v>0</v>
      </c>
      <c r="R2389" s="6">
        <v>0</v>
      </c>
      <c r="S2389" s="6">
        <v>100</v>
      </c>
    </row>
    <row r="2390" spans="1:19" ht="15" hidden="1" x14ac:dyDescent="0.25">
      <c r="A2390" s="7" t="s">
        <v>16</v>
      </c>
      <c r="B2390" s="7" t="s">
        <v>23</v>
      </c>
      <c r="C2390" s="7" t="s">
        <v>24</v>
      </c>
      <c r="D2390" s="4">
        <v>8000609000172</v>
      </c>
      <c r="E2390" s="8" t="s">
        <v>655</v>
      </c>
      <c r="F2390" s="8" t="s">
        <v>542</v>
      </c>
      <c r="G2390" s="8" t="s">
        <v>19</v>
      </c>
      <c r="H2390" s="8" t="s">
        <v>215</v>
      </c>
      <c r="I2390" s="3">
        <v>2</v>
      </c>
      <c r="J2390" s="8" t="s">
        <v>161</v>
      </c>
      <c r="K2390" s="8" t="s">
        <v>162</v>
      </c>
      <c r="L2390" s="8" t="s">
        <v>556</v>
      </c>
      <c r="M2390" s="1" t="s">
        <v>207</v>
      </c>
      <c r="N2390" s="8" t="s">
        <v>208</v>
      </c>
      <c r="O2390" s="6">
        <v>0</v>
      </c>
      <c r="P2390" s="6">
        <v>0</v>
      </c>
      <c r="Q2390" s="6">
        <v>0</v>
      </c>
      <c r="R2390" s="6">
        <v>0</v>
      </c>
      <c r="S2390" s="6">
        <v>0</v>
      </c>
    </row>
    <row r="2391" spans="1:19" ht="15" hidden="1" x14ac:dyDescent="0.25">
      <c r="A2391" s="7" t="s">
        <v>16</v>
      </c>
      <c r="B2391" s="7" t="s">
        <v>23</v>
      </c>
      <c r="C2391" s="7" t="s">
        <v>24</v>
      </c>
      <c r="D2391" s="4">
        <v>8000609000172</v>
      </c>
      <c r="E2391" s="8" t="s">
        <v>655</v>
      </c>
      <c r="F2391" s="8" t="s">
        <v>542</v>
      </c>
      <c r="G2391" s="8" t="s">
        <v>19</v>
      </c>
      <c r="H2391" s="8" t="s">
        <v>215</v>
      </c>
      <c r="I2391" s="3">
        <v>2</v>
      </c>
      <c r="J2391" s="8" t="s">
        <v>183</v>
      </c>
      <c r="K2391" s="8" t="s">
        <v>184</v>
      </c>
      <c r="L2391" s="8" t="s">
        <v>557</v>
      </c>
      <c r="M2391" s="1" t="s">
        <v>207</v>
      </c>
      <c r="N2391" s="8" t="s">
        <v>208</v>
      </c>
      <c r="O2391" s="6">
        <v>0</v>
      </c>
      <c r="P2391" s="6">
        <v>2</v>
      </c>
      <c r="Q2391" s="6">
        <v>0</v>
      </c>
      <c r="R2391" s="6">
        <v>0</v>
      </c>
      <c r="S2391" s="6">
        <v>0</v>
      </c>
    </row>
    <row r="2392" spans="1:19" ht="15" hidden="1" x14ac:dyDescent="0.25">
      <c r="A2392" s="7" t="s">
        <v>16</v>
      </c>
      <c r="B2392" s="7" t="s">
        <v>23</v>
      </c>
      <c r="C2392" s="7" t="s">
        <v>24</v>
      </c>
      <c r="D2392" s="4">
        <v>48468284000171</v>
      </c>
      <c r="E2392" s="8" t="s">
        <v>705</v>
      </c>
      <c r="F2392" s="8" t="s">
        <v>43</v>
      </c>
      <c r="G2392" s="8" t="s">
        <v>19</v>
      </c>
      <c r="H2392" s="8" t="s">
        <v>215</v>
      </c>
      <c r="I2392" s="3">
        <v>2</v>
      </c>
      <c r="J2392" s="8" t="s">
        <v>151</v>
      </c>
      <c r="K2392" s="8" t="s">
        <v>152</v>
      </c>
      <c r="L2392" s="8" t="s">
        <v>556</v>
      </c>
      <c r="M2392" s="1" t="s">
        <v>207</v>
      </c>
      <c r="N2392" s="8" t="s">
        <v>208</v>
      </c>
      <c r="O2392" s="6">
        <v>0</v>
      </c>
      <c r="P2392" s="6">
        <v>0</v>
      </c>
      <c r="Q2392" s="6">
        <v>0</v>
      </c>
      <c r="R2392" s="6">
        <v>0</v>
      </c>
      <c r="S2392" s="6">
        <v>100</v>
      </c>
    </row>
    <row r="2393" spans="1:19" ht="15" hidden="1" x14ac:dyDescent="0.25">
      <c r="A2393" s="7" t="s">
        <v>16</v>
      </c>
      <c r="B2393" s="7" t="s">
        <v>23</v>
      </c>
      <c r="C2393" s="7" t="s">
        <v>24</v>
      </c>
      <c r="D2393" s="4">
        <v>48468284000171</v>
      </c>
      <c r="E2393" s="8" t="s">
        <v>705</v>
      </c>
      <c r="F2393" s="8" t="s">
        <v>43</v>
      </c>
      <c r="G2393" s="8" t="s">
        <v>19</v>
      </c>
      <c r="H2393" s="8" t="s">
        <v>215</v>
      </c>
      <c r="I2393" s="3">
        <v>2</v>
      </c>
      <c r="J2393" s="8" t="s">
        <v>149</v>
      </c>
      <c r="K2393" s="8" t="s">
        <v>150</v>
      </c>
      <c r="L2393" s="8" t="s">
        <v>557</v>
      </c>
      <c r="M2393" s="1" t="s">
        <v>207</v>
      </c>
      <c r="N2393" s="8" t="s">
        <v>208</v>
      </c>
      <c r="O2393" s="6">
        <v>0</v>
      </c>
      <c r="P2393" s="6">
        <v>0</v>
      </c>
      <c r="Q2393" s="6">
        <v>0</v>
      </c>
      <c r="R2393" s="6">
        <v>0</v>
      </c>
      <c r="S2393" s="6">
        <v>100</v>
      </c>
    </row>
    <row r="2394" spans="1:19" ht="15" hidden="1" x14ac:dyDescent="0.25">
      <c r="A2394" s="7" t="s">
        <v>16</v>
      </c>
      <c r="B2394" s="7" t="s">
        <v>23</v>
      </c>
      <c r="C2394" s="7" t="s">
        <v>24</v>
      </c>
      <c r="D2394" s="4">
        <v>29435005008294</v>
      </c>
      <c r="E2394" s="8" t="s">
        <v>671</v>
      </c>
      <c r="F2394" s="8" t="s">
        <v>36</v>
      </c>
      <c r="G2394" s="8" t="s">
        <v>19</v>
      </c>
      <c r="H2394" s="8" t="s">
        <v>215</v>
      </c>
      <c r="I2394" s="3">
        <v>2</v>
      </c>
      <c r="J2394" s="8" t="s">
        <v>1355</v>
      </c>
      <c r="K2394" s="8" t="s">
        <v>1356</v>
      </c>
      <c r="L2394" s="8" t="s">
        <v>556</v>
      </c>
      <c r="M2394" s="1" t="s">
        <v>207</v>
      </c>
      <c r="N2394" s="8" t="s">
        <v>208</v>
      </c>
      <c r="O2394" s="6">
        <v>0</v>
      </c>
      <c r="P2394" s="6">
        <v>0</v>
      </c>
      <c r="Q2394" s="6">
        <v>0</v>
      </c>
      <c r="R2394" s="6">
        <v>0</v>
      </c>
      <c r="S2394" s="6">
        <v>250</v>
      </c>
    </row>
    <row r="2395" spans="1:19" ht="15" hidden="1" x14ac:dyDescent="0.25">
      <c r="A2395" s="7" t="s">
        <v>16</v>
      </c>
      <c r="B2395" s="7" t="s">
        <v>23</v>
      </c>
      <c r="C2395" s="7" t="s">
        <v>24</v>
      </c>
      <c r="D2395" s="4">
        <v>29435005008294</v>
      </c>
      <c r="E2395" s="8" t="s">
        <v>671</v>
      </c>
      <c r="F2395" s="8" t="s">
        <v>36</v>
      </c>
      <c r="G2395" s="8" t="s">
        <v>19</v>
      </c>
      <c r="H2395" s="8" t="s">
        <v>215</v>
      </c>
      <c r="I2395" s="3">
        <v>2</v>
      </c>
      <c r="J2395" s="8" t="s">
        <v>147</v>
      </c>
      <c r="K2395" s="8" t="s">
        <v>148</v>
      </c>
      <c r="L2395" s="8" t="s">
        <v>557</v>
      </c>
      <c r="M2395" s="1" t="s">
        <v>207</v>
      </c>
      <c r="N2395" s="8" t="s">
        <v>208</v>
      </c>
      <c r="O2395" s="6">
        <v>0</v>
      </c>
      <c r="P2395" s="6">
        <v>0</v>
      </c>
      <c r="Q2395" s="6">
        <v>0</v>
      </c>
      <c r="R2395" s="6">
        <v>0</v>
      </c>
      <c r="S2395" s="6">
        <v>250</v>
      </c>
    </row>
    <row r="2396" spans="1:19" ht="15" hidden="1" x14ac:dyDescent="0.25">
      <c r="A2396" s="7" t="s">
        <v>16</v>
      </c>
      <c r="B2396" s="7" t="s">
        <v>23</v>
      </c>
      <c r="C2396" s="7" t="s">
        <v>24</v>
      </c>
      <c r="D2396" s="4">
        <v>45780103000150</v>
      </c>
      <c r="E2396" s="8" t="s">
        <v>689</v>
      </c>
      <c r="F2396" s="8" t="s">
        <v>678</v>
      </c>
      <c r="G2396" s="8" t="s">
        <v>19</v>
      </c>
      <c r="H2396" s="8" t="s">
        <v>215</v>
      </c>
      <c r="I2396" s="3">
        <v>2</v>
      </c>
      <c r="J2396" s="8" t="s">
        <v>151</v>
      </c>
      <c r="K2396" s="8" t="s">
        <v>152</v>
      </c>
      <c r="L2396" s="8" t="s">
        <v>556</v>
      </c>
      <c r="M2396" s="1" t="s">
        <v>207</v>
      </c>
      <c r="N2396" s="8" t="s">
        <v>208</v>
      </c>
      <c r="O2396" s="6">
        <v>0</v>
      </c>
      <c r="P2396" s="6">
        <v>0</v>
      </c>
      <c r="Q2396" s="6">
        <v>0</v>
      </c>
      <c r="R2396" s="6">
        <v>0</v>
      </c>
      <c r="S2396" s="6">
        <v>365</v>
      </c>
    </row>
    <row r="2397" spans="1:19" ht="15" hidden="1" x14ac:dyDescent="0.25">
      <c r="A2397" s="7" t="s">
        <v>16</v>
      </c>
      <c r="B2397" s="7" t="s">
        <v>23</v>
      </c>
      <c r="C2397" s="7" t="s">
        <v>24</v>
      </c>
      <c r="D2397" s="4">
        <v>45780103000150</v>
      </c>
      <c r="E2397" s="8" t="s">
        <v>689</v>
      </c>
      <c r="F2397" s="8" t="s">
        <v>678</v>
      </c>
      <c r="G2397" s="8" t="s">
        <v>19</v>
      </c>
      <c r="H2397" s="8" t="s">
        <v>215</v>
      </c>
      <c r="I2397" s="3">
        <v>2</v>
      </c>
      <c r="J2397" s="8" t="s">
        <v>149</v>
      </c>
      <c r="K2397" s="8" t="s">
        <v>150</v>
      </c>
      <c r="L2397" s="8" t="s">
        <v>557</v>
      </c>
      <c r="M2397" s="1" t="s">
        <v>207</v>
      </c>
      <c r="N2397" s="8" t="s">
        <v>208</v>
      </c>
      <c r="O2397" s="6">
        <v>0</v>
      </c>
      <c r="P2397" s="6">
        <v>0</v>
      </c>
      <c r="Q2397" s="6">
        <v>0</v>
      </c>
      <c r="R2397" s="6">
        <v>0</v>
      </c>
      <c r="S2397" s="6">
        <v>365</v>
      </c>
    </row>
    <row r="2398" spans="1:19" ht="15" hidden="1" x14ac:dyDescent="0.25">
      <c r="A2398" s="7" t="s">
        <v>16</v>
      </c>
      <c r="B2398" s="7" t="s">
        <v>23</v>
      </c>
      <c r="C2398" s="7" t="s">
        <v>24</v>
      </c>
      <c r="D2398" s="4">
        <v>24082016000159</v>
      </c>
      <c r="E2398" s="8" t="s">
        <v>665</v>
      </c>
      <c r="F2398" s="8" t="s">
        <v>657</v>
      </c>
      <c r="G2398" s="8" t="s">
        <v>19</v>
      </c>
      <c r="H2398" s="8" t="s">
        <v>215</v>
      </c>
      <c r="I2398" s="3">
        <v>2</v>
      </c>
      <c r="J2398" s="8" t="s">
        <v>151</v>
      </c>
      <c r="K2398" s="8" t="s">
        <v>152</v>
      </c>
      <c r="L2398" s="8" t="s">
        <v>556</v>
      </c>
      <c r="M2398" s="1" t="s">
        <v>207</v>
      </c>
      <c r="N2398" s="8" t="s">
        <v>208</v>
      </c>
      <c r="O2398" s="6">
        <v>0</v>
      </c>
      <c r="P2398" s="6">
        <v>0</v>
      </c>
      <c r="Q2398" s="6">
        <v>0</v>
      </c>
      <c r="R2398" s="6">
        <v>0</v>
      </c>
      <c r="S2398" s="6">
        <v>250</v>
      </c>
    </row>
    <row r="2399" spans="1:19" ht="15" hidden="1" x14ac:dyDescent="0.25">
      <c r="A2399" s="7" t="s">
        <v>16</v>
      </c>
      <c r="B2399" s="7" t="s">
        <v>23</v>
      </c>
      <c r="C2399" s="7" t="s">
        <v>24</v>
      </c>
      <c r="D2399" s="4">
        <v>24082016000159</v>
      </c>
      <c r="E2399" s="8" t="s">
        <v>665</v>
      </c>
      <c r="F2399" s="8" t="s">
        <v>657</v>
      </c>
      <c r="G2399" s="8" t="s">
        <v>19</v>
      </c>
      <c r="H2399" s="8" t="s">
        <v>215</v>
      </c>
      <c r="I2399" s="3">
        <v>2</v>
      </c>
      <c r="J2399" s="8" t="s">
        <v>149</v>
      </c>
      <c r="K2399" s="8" t="s">
        <v>150</v>
      </c>
      <c r="L2399" s="8" t="s">
        <v>557</v>
      </c>
      <c r="M2399" s="1" t="s">
        <v>207</v>
      </c>
      <c r="N2399" s="8" t="s">
        <v>208</v>
      </c>
      <c r="O2399" s="6">
        <v>0</v>
      </c>
      <c r="P2399" s="6">
        <v>0</v>
      </c>
      <c r="Q2399" s="6">
        <v>0</v>
      </c>
      <c r="R2399" s="6">
        <v>0</v>
      </c>
      <c r="S2399" s="6">
        <v>250</v>
      </c>
    </row>
    <row r="2400" spans="1:19" ht="15" hidden="1" x14ac:dyDescent="0.25">
      <c r="A2400" s="7" t="s">
        <v>16</v>
      </c>
      <c r="B2400" s="7" t="s">
        <v>23</v>
      </c>
      <c r="C2400" s="7" t="s">
        <v>24</v>
      </c>
      <c r="D2400" s="4">
        <v>51722957014302</v>
      </c>
      <c r="E2400" s="8" t="s">
        <v>709</v>
      </c>
      <c r="F2400" s="8" t="s">
        <v>710</v>
      </c>
      <c r="G2400" s="8" t="s">
        <v>19</v>
      </c>
      <c r="H2400" s="8" t="s">
        <v>215</v>
      </c>
      <c r="I2400" s="3">
        <v>2</v>
      </c>
      <c r="J2400" s="8" t="s">
        <v>161</v>
      </c>
      <c r="K2400" s="8" t="s">
        <v>162</v>
      </c>
      <c r="L2400" s="8" t="s">
        <v>556</v>
      </c>
      <c r="M2400" s="1" t="s">
        <v>207</v>
      </c>
      <c r="N2400" s="8" t="s">
        <v>208</v>
      </c>
      <c r="O2400" s="6">
        <v>0</v>
      </c>
      <c r="P2400" s="6">
        <v>0</v>
      </c>
      <c r="Q2400" s="6">
        <v>0</v>
      </c>
      <c r="R2400" s="6">
        <v>0</v>
      </c>
      <c r="S2400" s="6">
        <v>75</v>
      </c>
    </row>
    <row r="2401" spans="1:19" ht="15" hidden="1" x14ac:dyDescent="0.25">
      <c r="A2401" s="7" t="s">
        <v>16</v>
      </c>
      <c r="B2401" s="7" t="s">
        <v>23</v>
      </c>
      <c r="C2401" s="7" t="s">
        <v>24</v>
      </c>
      <c r="D2401" s="4">
        <v>51722957014302</v>
      </c>
      <c r="E2401" s="8" t="s">
        <v>709</v>
      </c>
      <c r="F2401" s="8" t="s">
        <v>710</v>
      </c>
      <c r="G2401" s="8" t="s">
        <v>19</v>
      </c>
      <c r="H2401" s="8" t="s">
        <v>215</v>
      </c>
      <c r="I2401" s="3">
        <v>2</v>
      </c>
      <c r="J2401" s="8" t="s">
        <v>183</v>
      </c>
      <c r="K2401" s="8" t="s">
        <v>184</v>
      </c>
      <c r="L2401" s="8" t="s">
        <v>557</v>
      </c>
      <c r="M2401" s="1" t="s">
        <v>207</v>
      </c>
      <c r="N2401" s="8" t="s">
        <v>208</v>
      </c>
      <c r="O2401" s="6">
        <v>0</v>
      </c>
      <c r="P2401" s="6">
        <v>0</v>
      </c>
      <c r="Q2401" s="6">
        <v>0</v>
      </c>
      <c r="R2401" s="6">
        <v>0</v>
      </c>
      <c r="S2401" s="6">
        <v>75</v>
      </c>
    </row>
    <row r="2402" spans="1:19" ht="15" hidden="1" x14ac:dyDescent="0.25">
      <c r="A2402" s="7" t="s">
        <v>16</v>
      </c>
      <c r="B2402" s="7" t="s">
        <v>23</v>
      </c>
      <c r="C2402" s="7" t="s">
        <v>24</v>
      </c>
      <c r="D2402" s="4">
        <v>53311999000156</v>
      </c>
      <c r="E2402" s="8" t="s">
        <v>714</v>
      </c>
      <c r="F2402" s="8" t="s">
        <v>715</v>
      </c>
      <c r="G2402" s="8" t="s">
        <v>19</v>
      </c>
      <c r="H2402" s="8" t="s">
        <v>215</v>
      </c>
      <c r="I2402" s="3">
        <v>2</v>
      </c>
      <c r="J2402" s="8" t="s">
        <v>151</v>
      </c>
      <c r="K2402" s="8" t="s">
        <v>152</v>
      </c>
      <c r="L2402" s="8" t="s">
        <v>556</v>
      </c>
      <c r="M2402" s="1" t="s">
        <v>207</v>
      </c>
      <c r="N2402" s="8" t="s">
        <v>208</v>
      </c>
      <c r="O2402" s="6">
        <v>0</v>
      </c>
      <c r="P2402" s="6">
        <v>0</v>
      </c>
      <c r="Q2402" s="6">
        <v>0</v>
      </c>
      <c r="R2402" s="6">
        <v>0</v>
      </c>
      <c r="S2402" s="6">
        <v>0</v>
      </c>
    </row>
    <row r="2403" spans="1:19" ht="15" hidden="1" x14ac:dyDescent="0.25">
      <c r="A2403" s="7" t="s">
        <v>16</v>
      </c>
      <c r="B2403" s="7" t="s">
        <v>23</v>
      </c>
      <c r="C2403" s="7" t="s">
        <v>24</v>
      </c>
      <c r="D2403" s="4">
        <v>53311999000156</v>
      </c>
      <c r="E2403" s="8" t="s">
        <v>714</v>
      </c>
      <c r="F2403" s="8" t="s">
        <v>715</v>
      </c>
      <c r="G2403" s="8" t="s">
        <v>19</v>
      </c>
      <c r="H2403" s="8" t="s">
        <v>215</v>
      </c>
      <c r="I2403" s="3">
        <v>2</v>
      </c>
      <c r="J2403" s="8" t="s">
        <v>149</v>
      </c>
      <c r="K2403" s="8" t="s">
        <v>150</v>
      </c>
      <c r="L2403" s="8" t="s">
        <v>557</v>
      </c>
      <c r="M2403" s="1" t="s">
        <v>207</v>
      </c>
      <c r="N2403" s="8" t="s">
        <v>208</v>
      </c>
      <c r="O2403" s="6">
        <v>0</v>
      </c>
      <c r="P2403" s="6">
        <v>1</v>
      </c>
      <c r="Q2403" s="6">
        <v>0</v>
      </c>
      <c r="R2403" s="6">
        <v>0</v>
      </c>
      <c r="S2403" s="6">
        <v>0</v>
      </c>
    </row>
    <row r="2404" spans="1:19" ht="15" hidden="1" x14ac:dyDescent="0.25">
      <c r="A2404" s="7" t="s">
        <v>16</v>
      </c>
      <c r="B2404" s="7" t="s">
        <v>23</v>
      </c>
      <c r="C2404" s="7" t="s">
        <v>24</v>
      </c>
      <c r="D2404" s="4">
        <v>6047087007656</v>
      </c>
      <c r="E2404" s="8" t="s">
        <v>651</v>
      </c>
      <c r="F2404" s="8" t="s">
        <v>32</v>
      </c>
      <c r="G2404" s="8" t="s">
        <v>19</v>
      </c>
      <c r="H2404" s="8" t="s">
        <v>215</v>
      </c>
      <c r="I2404" s="3">
        <v>2</v>
      </c>
      <c r="J2404" s="8" t="s">
        <v>161</v>
      </c>
      <c r="K2404" s="8" t="s">
        <v>162</v>
      </c>
      <c r="L2404" s="8" t="s">
        <v>556</v>
      </c>
      <c r="M2404" s="1" t="s">
        <v>207</v>
      </c>
      <c r="N2404" s="8" t="s">
        <v>208</v>
      </c>
      <c r="O2404" s="6">
        <v>0</v>
      </c>
      <c r="P2404" s="6">
        <v>0</v>
      </c>
      <c r="Q2404" s="6">
        <v>0</v>
      </c>
      <c r="R2404" s="6">
        <v>0</v>
      </c>
      <c r="S2404" s="6">
        <v>0</v>
      </c>
    </row>
    <row r="2405" spans="1:19" ht="15" hidden="1" x14ac:dyDescent="0.25">
      <c r="A2405" s="7" t="s">
        <v>16</v>
      </c>
      <c r="B2405" s="7" t="s">
        <v>23</v>
      </c>
      <c r="C2405" s="7" t="s">
        <v>24</v>
      </c>
      <c r="D2405" s="4">
        <v>6047087007656</v>
      </c>
      <c r="E2405" s="8" t="s">
        <v>651</v>
      </c>
      <c r="F2405" s="8" t="s">
        <v>32</v>
      </c>
      <c r="G2405" s="8" t="s">
        <v>19</v>
      </c>
      <c r="H2405" s="8" t="s">
        <v>215</v>
      </c>
      <c r="I2405" s="3">
        <v>2</v>
      </c>
      <c r="J2405" s="8" t="s">
        <v>183</v>
      </c>
      <c r="K2405" s="8" t="s">
        <v>184</v>
      </c>
      <c r="L2405" s="8" t="s">
        <v>557</v>
      </c>
      <c r="M2405" s="1" t="s">
        <v>207</v>
      </c>
      <c r="N2405" s="8" t="s">
        <v>208</v>
      </c>
      <c r="O2405" s="6">
        <v>0</v>
      </c>
      <c r="P2405" s="6">
        <v>0</v>
      </c>
      <c r="Q2405" s="6">
        <v>1</v>
      </c>
      <c r="R2405" s="6">
        <v>0</v>
      </c>
      <c r="S2405" s="6">
        <v>0</v>
      </c>
    </row>
    <row r="2406" spans="1:19" ht="15" hidden="1" x14ac:dyDescent="0.25">
      <c r="A2406" s="7" t="s">
        <v>16</v>
      </c>
      <c r="B2406" s="7" t="s">
        <v>23</v>
      </c>
      <c r="C2406" s="7" t="s">
        <v>24</v>
      </c>
      <c r="D2406" s="4">
        <v>54370630000187</v>
      </c>
      <c r="E2406" s="8" t="s">
        <v>719</v>
      </c>
      <c r="F2406" s="8" t="s">
        <v>40</v>
      </c>
      <c r="G2406" s="8" t="s">
        <v>19</v>
      </c>
      <c r="H2406" s="8" t="s">
        <v>215</v>
      </c>
      <c r="I2406" s="3">
        <v>2</v>
      </c>
      <c r="J2406" s="8" t="s">
        <v>151</v>
      </c>
      <c r="K2406" s="8" t="s">
        <v>152</v>
      </c>
      <c r="L2406" s="8" t="s">
        <v>556</v>
      </c>
      <c r="M2406" s="1" t="s">
        <v>207</v>
      </c>
      <c r="N2406" s="8" t="s">
        <v>208</v>
      </c>
      <c r="O2406" s="6">
        <v>0</v>
      </c>
      <c r="P2406" s="6">
        <v>0</v>
      </c>
      <c r="Q2406" s="6">
        <v>0</v>
      </c>
      <c r="R2406" s="6">
        <v>0</v>
      </c>
      <c r="S2406" s="6">
        <v>120</v>
      </c>
    </row>
    <row r="2407" spans="1:19" ht="15" hidden="1" x14ac:dyDescent="0.25">
      <c r="A2407" s="7" t="s">
        <v>16</v>
      </c>
      <c r="B2407" s="7" t="s">
        <v>23</v>
      </c>
      <c r="C2407" s="7" t="s">
        <v>24</v>
      </c>
      <c r="D2407" s="4">
        <v>54370630000187</v>
      </c>
      <c r="E2407" s="8" t="s">
        <v>719</v>
      </c>
      <c r="F2407" s="8" t="s">
        <v>40</v>
      </c>
      <c r="G2407" s="8" t="s">
        <v>19</v>
      </c>
      <c r="H2407" s="8" t="s">
        <v>215</v>
      </c>
      <c r="I2407" s="3">
        <v>2</v>
      </c>
      <c r="J2407" s="8" t="s">
        <v>149</v>
      </c>
      <c r="K2407" s="8" t="s">
        <v>150</v>
      </c>
      <c r="L2407" s="8" t="s">
        <v>557</v>
      </c>
      <c r="M2407" s="1" t="s">
        <v>207</v>
      </c>
      <c r="N2407" s="8" t="s">
        <v>208</v>
      </c>
      <c r="O2407" s="6">
        <v>0</v>
      </c>
      <c r="P2407" s="6">
        <v>0</v>
      </c>
      <c r="Q2407" s="6">
        <v>0</v>
      </c>
      <c r="R2407" s="6">
        <v>0</v>
      </c>
      <c r="S2407" s="6">
        <v>120</v>
      </c>
    </row>
    <row r="2408" spans="1:19" ht="15" hidden="1" x14ac:dyDescent="0.25">
      <c r="A2408" s="7" t="s">
        <v>16</v>
      </c>
      <c r="B2408" s="7" t="s">
        <v>23</v>
      </c>
      <c r="C2408" s="7" t="s">
        <v>24</v>
      </c>
      <c r="D2408" s="4">
        <v>44803922000293</v>
      </c>
      <c r="E2408" s="8" t="s">
        <v>681</v>
      </c>
      <c r="F2408" s="8" t="s">
        <v>40</v>
      </c>
      <c r="G2408" s="8" t="s">
        <v>19</v>
      </c>
      <c r="H2408" s="8" t="s">
        <v>215</v>
      </c>
      <c r="I2408" s="3">
        <v>2</v>
      </c>
      <c r="J2408" s="8" t="s">
        <v>151</v>
      </c>
      <c r="K2408" s="8" t="s">
        <v>152</v>
      </c>
      <c r="L2408" s="8" t="s">
        <v>556</v>
      </c>
      <c r="M2408" s="1" t="s">
        <v>207</v>
      </c>
      <c r="N2408" s="8" t="s">
        <v>208</v>
      </c>
      <c r="O2408" s="6">
        <v>0</v>
      </c>
      <c r="P2408" s="6">
        <v>0</v>
      </c>
      <c r="Q2408" s="6">
        <v>0</v>
      </c>
      <c r="R2408" s="6">
        <v>8</v>
      </c>
      <c r="S2408" s="6">
        <v>0</v>
      </c>
    </row>
    <row r="2409" spans="1:19" ht="15" hidden="1" x14ac:dyDescent="0.25">
      <c r="A2409" s="7" t="s">
        <v>16</v>
      </c>
      <c r="B2409" s="7" t="s">
        <v>23</v>
      </c>
      <c r="C2409" s="7" t="s">
        <v>24</v>
      </c>
      <c r="D2409" s="4">
        <v>44803922000293</v>
      </c>
      <c r="E2409" s="8" t="s">
        <v>681</v>
      </c>
      <c r="F2409" s="8" t="s">
        <v>40</v>
      </c>
      <c r="G2409" s="8" t="s">
        <v>19</v>
      </c>
      <c r="H2409" s="8" t="s">
        <v>215</v>
      </c>
      <c r="I2409" s="3">
        <v>2</v>
      </c>
      <c r="J2409" s="8" t="s">
        <v>149</v>
      </c>
      <c r="K2409" s="8" t="s">
        <v>150</v>
      </c>
      <c r="L2409" s="8" t="s">
        <v>557</v>
      </c>
      <c r="M2409" s="1" t="s">
        <v>207</v>
      </c>
      <c r="N2409" s="8" t="s">
        <v>208</v>
      </c>
      <c r="O2409" s="6">
        <v>0</v>
      </c>
      <c r="P2409" s="6">
        <v>0</v>
      </c>
      <c r="Q2409" s="6">
        <v>0</v>
      </c>
      <c r="R2409" s="6">
        <v>0</v>
      </c>
      <c r="S2409" s="6">
        <v>0</v>
      </c>
    </row>
    <row r="2410" spans="1:19" ht="15" hidden="1" x14ac:dyDescent="0.25">
      <c r="A2410" s="7" t="s">
        <v>16</v>
      </c>
      <c r="B2410" s="7" t="s">
        <v>23</v>
      </c>
      <c r="C2410" s="7" t="s">
        <v>24</v>
      </c>
      <c r="D2410" s="4">
        <v>44863959000126</v>
      </c>
      <c r="E2410" s="8" t="s">
        <v>682</v>
      </c>
      <c r="F2410" s="8" t="s">
        <v>544</v>
      </c>
      <c r="G2410" s="8" t="s">
        <v>19</v>
      </c>
      <c r="H2410" s="8" t="s">
        <v>215</v>
      </c>
      <c r="I2410" s="3">
        <v>2</v>
      </c>
      <c r="J2410" s="8" t="s">
        <v>151</v>
      </c>
      <c r="K2410" s="8" t="s">
        <v>152</v>
      </c>
      <c r="L2410" s="8" t="s">
        <v>556</v>
      </c>
      <c r="M2410" s="1" t="s">
        <v>207</v>
      </c>
      <c r="N2410" s="8" t="s">
        <v>208</v>
      </c>
      <c r="O2410" s="6">
        <v>0</v>
      </c>
      <c r="P2410" s="6">
        <v>0</v>
      </c>
      <c r="Q2410" s="6">
        <v>0</v>
      </c>
      <c r="R2410" s="6">
        <v>0</v>
      </c>
      <c r="S2410" s="6">
        <v>125</v>
      </c>
    </row>
    <row r="2411" spans="1:19" ht="15" hidden="1" x14ac:dyDescent="0.25">
      <c r="A2411" s="7" t="s">
        <v>16</v>
      </c>
      <c r="B2411" s="7" t="s">
        <v>23</v>
      </c>
      <c r="C2411" s="7" t="s">
        <v>24</v>
      </c>
      <c r="D2411" s="4">
        <v>44863959000126</v>
      </c>
      <c r="E2411" s="8" t="s">
        <v>682</v>
      </c>
      <c r="F2411" s="8" t="s">
        <v>544</v>
      </c>
      <c r="G2411" s="8" t="s">
        <v>19</v>
      </c>
      <c r="H2411" s="8" t="s">
        <v>215</v>
      </c>
      <c r="I2411" s="3">
        <v>2</v>
      </c>
      <c r="J2411" s="8" t="s">
        <v>149</v>
      </c>
      <c r="K2411" s="8" t="s">
        <v>150</v>
      </c>
      <c r="L2411" s="8" t="s">
        <v>557</v>
      </c>
      <c r="M2411" s="1" t="s">
        <v>207</v>
      </c>
      <c r="N2411" s="8" t="s">
        <v>208</v>
      </c>
      <c r="O2411" s="6">
        <v>0</v>
      </c>
      <c r="P2411" s="6">
        <v>0</v>
      </c>
      <c r="Q2411" s="6">
        <v>0</v>
      </c>
      <c r="R2411" s="6">
        <v>0</v>
      </c>
      <c r="S2411" s="6">
        <v>125</v>
      </c>
    </row>
    <row r="2412" spans="1:19" ht="15" hidden="1" x14ac:dyDescent="0.25">
      <c r="A2412" s="7" t="s">
        <v>16</v>
      </c>
      <c r="B2412" s="7" t="s">
        <v>23</v>
      </c>
      <c r="C2412" s="7" t="s">
        <v>24</v>
      </c>
      <c r="D2412" s="4">
        <v>57722118000302</v>
      </c>
      <c r="E2412" s="8" t="s">
        <v>723</v>
      </c>
      <c r="F2412" s="8" t="s">
        <v>639</v>
      </c>
      <c r="G2412" s="8" t="s">
        <v>19</v>
      </c>
      <c r="H2412" s="8" t="s">
        <v>215</v>
      </c>
      <c r="I2412" s="3">
        <v>2</v>
      </c>
      <c r="J2412" s="8" t="s">
        <v>151</v>
      </c>
      <c r="K2412" s="8" t="s">
        <v>152</v>
      </c>
      <c r="L2412" s="8" t="s">
        <v>556</v>
      </c>
      <c r="M2412" s="1" t="s">
        <v>207</v>
      </c>
      <c r="N2412" s="8" t="s">
        <v>208</v>
      </c>
      <c r="O2412" s="6">
        <v>0</v>
      </c>
      <c r="P2412" s="6">
        <v>0</v>
      </c>
      <c r="Q2412" s="6">
        <v>0</v>
      </c>
      <c r="R2412" s="6">
        <v>68</v>
      </c>
      <c r="S2412" s="6">
        <v>0</v>
      </c>
    </row>
    <row r="2413" spans="1:19" ht="15" hidden="1" x14ac:dyDescent="0.25">
      <c r="A2413" s="7" t="s">
        <v>16</v>
      </c>
      <c r="B2413" s="7" t="s">
        <v>23</v>
      </c>
      <c r="C2413" s="7" t="s">
        <v>24</v>
      </c>
      <c r="D2413" s="4">
        <v>57722118000302</v>
      </c>
      <c r="E2413" s="8" t="s">
        <v>723</v>
      </c>
      <c r="F2413" s="8" t="s">
        <v>639</v>
      </c>
      <c r="G2413" s="8" t="s">
        <v>19</v>
      </c>
      <c r="H2413" s="8" t="s">
        <v>215</v>
      </c>
      <c r="I2413" s="3">
        <v>2</v>
      </c>
      <c r="J2413" s="8" t="s">
        <v>149</v>
      </c>
      <c r="K2413" s="8" t="s">
        <v>150</v>
      </c>
      <c r="L2413" s="8" t="s">
        <v>557</v>
      </c>
      <c r="M2413" s="1" t="s">
        <v>207</v>
      </c>
      <c r="N2413" s="8" t="s">
        <v>208</v>
      </c>
      <c r="O2413" s="6">
        <v>0</v>
      </c>
      <c r="P2413" s="6">
        <v>0</v>
      </c>
      <c r="Q2413" s="6">
        <v>0</v>
      </c>
      <c r="R2413" s="6">
        <v>0</v>
      </c>
      <c r="S2413" s="6">
        <v>0</v>
      </c>
    </row>
    <row r="2414" spans="1:19" ht="15" hidden="1" x14ac:dyDescent="0.25">
      <c r="A2414" s="7" t="s">
        <v>16</v>
      </c>
      <c r="B2414" s="7" t="s">
        <v>23</v>
      </c>
      <c r="C2414" s="7" t="s">
        <v>24</v>
      </c>
      <c r="D2414" s="4">
        <v>4127483000140</v>
      </c>
      <c r="E2414" s="8" t="s">
        <v>644</v>
      </c>
      <c r="F2414" s="8" t="s">
        <v>639</v>
      </c>
      <c r="G2414" s="8" t="s">
        <v>19</v>
      </c>
      <c r="H2414" s="8" t="s">
        <v>215</v>
      </c>
      <c r="I2414" s="3">
        <v>2</v>
      </c>
      <c r="J2414" s="8" t="s">
        <v>151</v>
      </c>
      <c r="K2414" s="8" t="s">
        <v>152</v>
      </c>
      <c r="L2414" s="8" t="s">
        <v>556</v>
      </c>
      <c r="M2414" s="1" t="s">
        <v>207</v>
      </c>
      <c r="N2414" s="8" t="s">
        <v>208</v>
      </c>
      <c r="O2414" s="6">
        <v>0</v>
      </c>
      <c r="P2414" s="6">
        <v>0</v>
      </c>
      <c r="Q2414" s="6">
        <v>0</v>
      </c>
      <c r="R2414" s="6">
        <v>0</v>
      </c>
      <c r="S2414" s="6">
        <v>5</v>
      </c>
    </row>
    <row r="2415" spans="1:19" ht="15" hidden="1" x14ac:dyDescent="0.25">
      <c r="A2415" s="7" t="s">
        <v>16</v>
      </c>
      <c r="B2415" s="7" t="s">
        <v>23</v>
      </c>
      <c r="C2415" s="7" t="s">
        <v>24</v>
      </c>
      <c r="D2415" s="4">
        <v>4127483000140</v>
      </c>
      <c r="E2415" s="8" t="s">
        <v>644</v>
      </c>
      <c r="F2415" s="8" t="s">
        <v>639</v>
      </c>
      <c r="G2415" s="8" t="s">
        <v>19</v>
      </c>
      <c r="H2415" s="8" t="s">
        <v>215</v>
      </c>
      <c r="I2415" s="3">
        <v>2</v>
      </c>
      <c r="J2415" s="8" t="s">
        <v>149</v>
      </c>
      <c r="K2415" s="8" t="s">
        <v>150</v>
      </c>
      <c r="L2415" s="8" t="s">
        <v>557</v>
      </c>
      <c r="M2415" s="1" t="s">
        <v>207</v>
      </c>
      <c r="N2415" s="8" t="s">
        <v>208</v>
      </c>
      <c r="O2415" s="6">
        <v>0</v>
      </c>
      <c r="P2415" s="6">
        <v>0</v>
      </c>
      <c r="Q2415" s="6">
        <v>0</v>
      </c>
      <c r="R2415" s="6">
        <v>0</v>
      </c>
      <c r="S2415" s="6">
        <v>5</v>
      </c>
    </row>
    <row r="2416" spans="1:19" ht="15" hidden="1" x14ac:dyDescent="0.25">
      <c r="A2416" s="7" t="s">
        <v>16</v>
      </c>
      <c r="B2416" s="7" t="s">
        <v>23</v>
      </c>
      <c r="C2416" s="7" t="s">
        <v>24</v>
      </c>
      <c r="D2416" s="4">
        <v>46374500003533</v>
      </c>
      <c r="E2416" s="8" t="s">
        <v>696</v>
      </c>
      <c r="F2416" s="8" t="s">
        <v>639</v>
      </c>
      <c r="G2416" s="8" t="s">
        <v>19</v>
      </c>
      <c r="H2416" s="8" t="s">
        <v>215</v>
      </c>
      <c r="I2416" s="3">
        <v>2</v>
      </c>
      <c r="J2416" s="8" t="s">
        <v>151</v>
      </c>
      <c r="K2416" s="8" t="s">
        <v>152</v>
      </c>
      <c r="L2416" s="8" t="s">
        <v>556</v>
      </c>
      <c r="M2416" s="1" t="s">
        <v>207</v>
      </c>
      <c r="N2416" s="8" t="s">
        <v>208</v>
      </c>
      <c r="O2416" s="6">
        <v>0</v>
      </c>
      <c r="P2416" s="6">
        <v>0</v>
      </c>
      <c r="Q2416" s="6">
        <v>0</v>
      </c>
      <c r="R2416" s="6">
        <v>0</v>
      </c>
      <c r="S2416" s="6">
        <v>1000</v>
      </c>
    </row>
    <row r="2417" spans="1:19" ht="15" hidden="1" x14ac:dyDescent="0.25">
      <c r="A2417" s="7" t="s">
        <v>16</v>
      </c>
      <c r="B2417" s="7" t="s">
        <v>23</v>
      </c>
      <c r="C2417" s="7" t="s">
        <v>24</v>
      </c>
      <c r="D2417" s="4">
        <v>46374500003533</v>
      </c>
      <c r="E2417" s="8" t="s">
        <v>696</v>
      </c>
      <c r="F2417" s="8" t="s">
        <v>639</v>
      </c>
      <c r="G2417" s="8" t="s">
        <v>19</v>
      </c>
      <c r="H2417" s="8" t="s">
        <v>215</v>
      </c>
      <c r="I2417" s="3">
        <v>2</v>
      </c>
      <c r="J2417" s="8" t="s">
        <v>149</v>
      </c>
      <c r="K2417" s="8" t="s">
        <v>150</v>
      </c>
      <c r="L2417" s="8" t="s">
        <v>557</v>
      </c>
      <c r="M2417" s="1" t="s">
        <v>207</v>
      </c>
      <c r="N2417" s="8" t="s">
        <v>208</v>
      </c>
      <c r="O2417" s="6">
        <v>0</v>
      </c>
      <c r="P2417" s="6">
        <v>0</v>
      </c>
      <c r="Q2417" s="6">
        <v>0</v>
      </c>
      <c r="R2417" s="6">
        <v>0</v>
      </c>
      <c r="S2417" s="6">
        <v>1000</v>
      </c>
    </row>
    <row r="2418" spans="1:19" ht="15" hidden="1" x14ac:dyDescent="0.25">
      <c r="A2418" s="7" t="s">
        <v>16</v>
      </c>
      <c r="B2418" s="7" t="s">
        <v>23</v>
      </c>
      <c r="C2418" s="7" t="s">
        <v>24</v>
      </c>
      <c r="D2418" s="4">
        <v>57723280000183</v>
      </c>
      <c r="E2418" s="8" t="s">
        <v>724</v>
      </c>
      <c r="F2418" s="8" t="s">
        <v>639</v>
      </c>
      <c r="G2418" s="8" t="s">
        <v>19</v>
      </c>
      <c r="H2418" s="8" t="s">
        <v>215</v>
      </c>
      <c r="I2418" s="3">
        <v>2</v>
      </c>
      <c r="J2418" s="8" t="s">
        <v>151</v>
      </c>
      <c r="K2418" s="8" t="s">
        <v>152</v>
      </c>
      <c r="L2418" s="8" t="s">
        <v>556</v>
      </c>
      <c r="M2418" s="1" t="s">
        <v>207</v>
      </c>
      <c r="N2418" s="8" t="s">
        <v>208</v>
      </c>
      <c r="O2418" s="6">
        <v>0</v>
      </c>
      <c r="P2418" s="6">
        <v>0</v>
      </c>
      <c r="Q2418" s="6">
        <v>0</v>
      </c>
      <c r="R2418" s="6">
        <v>0</v>
      </c>
      <c r="S2418" s="6">
        <v>5</v>
      </c>
    </row>
    <row r="2419" spans="1:19" ht="15" hidden="1" x14ac:dyDescent="0.25">
      <c r="A2419" s="7" t="s">
        <v>16</v>
      </c>
      <c r="B2419" s="7" t="s">
        <v>23</v>
      </c>
      <c r="C2419" s="7" t="s">
        <v>24</v>
      </c>
      <c r="D2419" s="4">
        <v>57723280000183</v>
      </c>
      <c r="E2419" s="8" t="s">
        <v>724</v>
      </c>
      <c r="F2419" s="8" t="s">
        <v>639</v>
      </c>
      <c r="G2419" s="8" t="s">
        <v>19</v>
      </c>
      <c r="H2419" s="8" t="s">
        <v>215</v>
      </c>
      <c r="I2419" s="3">
        <v>2</v>
      </c>
      <c r="J2419" s="8" t="s">
        <v>149</v>
      </c>
      <c r="K2419" s="8" t="s">
        <v>150</v>
      </c>
      <c r="L2419" s="8" t="s">
        <v>557</v>
      </c>
      <c r="M2419" s="1" t="s">
        <v>207</v>
      </c>
      <c r="N2419" s="8" t="s">
        <v>208</v>
      </c>
      <c r="O2419" s="6">
        <v>0</v>
      </c>
      <c r="P2419" s="6">
        <v>0</v>
      </c>
      <c r="Q2419" s="6">
        <v>0</v>
      </c>
      <c r="R2419" s="6">
        <v>0</v>
      </c>
      <c r="S2419" s="6">
        <v>5</v>
      </c>
    </row>
    <row r="2420" spans="1:19" ht="15" hidden="1" x14ac:dyDescent="0.25">
      <c r="A2420" s="7" t="s">
        <v>16</v>
      </c>
      <c r="B2420" s="7" t="s">
        <v>23</v>
      </c>
      <c r="C2420" s="7" t="s">
        <v>24</v>
      </c>
      <c r="D2420" s="4">
        <v>45232246000550</v>
      </c>
      <c r="E2420" s="8" t="s">
        <v>685</v>
      </c>
      <c r="F2420" s="8" t="s">
        <v>639</v>
      </c>
      <c r="G2420" s="8" t="s">
        <v>19</v>
      </c>
      <c r="H2420" s="8" t="s">
        <v>215</v>
      </c>
      <c r="I2420" s="3">
        <v>2</v>
      </c>
      <c r="J2420" s="8" t="s">
        <v>151</v>
      </c>
      <c r="K2420" s="8" t="s">
        <v>152</v>
      </c>
      <c r="L2420" s="8" t="s">
        <v>556</v>
      </c>
      <c r="M2420" s="1" t="s">
        <v>207</v>
      </c>
      <c r="N2420" s="8" t="s">
        <v>208</v>
      </c>
      <c r="O2420" s="6">
        <v>0</v>
      </c>
      <c r="P2420" s="6">
        <v>0</v>
      </c>
      <c r="Q2420" s="6">
        <v>0</v>
      </c>
      <c r="R2420" s="6">
        <v>15</v>
      </c>
      <c r="S2420" s="6">
        <v>290</v>
      </c>
    </row>
    <row r="2421" spans="1:19" ht="15" hidden="1" x14ac:dyDescent="0.25">
      <c r="A2421" s="7" t="s">
        <v>16</v>
      </c>
      <c r="B2421" s="7" t="s">
        <v>23</v>
      </c>
      <c r="C2421" s="7" t="s">
        <v>24</v>
      </c>
      <c r="D2421" s="4">
        <v>45232246000550</v>
      </c>
      <c r="E2421" s="8" t="s">
        <v>685</v>
      </c>
      <c r="F2421" s="8" t="s">
        <v>639</v>
      </c>
      <c r="G2421" s="8" t="s">
        <v>19</v>
      </c>
      <c r="H2421" s="8" t="s">
        <v>215</v>
      </c>
      <c r="I2421" s="3">
        <v>2</v>
      </c>
      <c r="J2421" s="8" t="s">
        <v>149</v>
      </c>
      <c r="K2421" s="8" t="s">
        <v>150</v>
      </c>
      <c r="L2421" s="8" t="s">
        <v>557</v>
      </c>
      <c r="M2421" s="1" t="s">
        <v>207</v>
      </c>
      <c r="N2421" s="8" t="s">
        <v>208</v>
      </c>
      <c r="O2421" s="6">
        <v>0</v>
      </c>
      <c r="P2421" s="6">
        <v>0</v>
      </c>
      <c r="Q2421" s="6">
        <v>23</v>
      </c>
      <c r="R2421" s="6">
        <v>0</v>
      </c>
      <c r="S2421" s="6">
        <v>290</v>
      </c>
    </row>
    <row r="2422" spans="1:19" ht="15" hidden="1" x14ac:dyDescent="0.25">
      <c r="A2422" s="7" t="s">
        <v>16</v>
      </c>
      <c r="B2422" s="7" t="s">
        <v>23</v>
      </c>
      <c r="C2422" s="7" t="s">
        <v>24</v>
      </c>
      <c r="D2422" s="4">
        <v>44663631000590</v>
      </c>
      <c r="E2422" s="8" t="s">
        <v>680</v>
      </c>
      <c r="F2422" s="8" t="s">
        <v>39</v>
      </c>
      <c r="G2422" s="8" t="s">
        <v>19</v>
      </c>
      <c r="H2422" s="8" t="s">
        <v>215</v>
      </c>
      <c r="I2422" s="3">
        <v>2</v>
      </c>
      <c r="J2422" s="8" t="s">
        <v>151</v>
      </c>
      <c r="K2422" s="8" t="s">
        <v>152</v>
      </c>
      <c r="L2422" s="8" t="s">
        <v>556</v>
      </c>
      <c r="M2422" s="1" t="s">
        <v>207</v>
      </c>
      <c r="N2422" s="8" t="s">
        <v>208</v>
      </c>
      <c r="O2422" s="6">
        <v>0</v>
      </c>
      <c r="P2422" s="6">
        <v>0</v>
      </c>
      <c r="Q2422" s="6">
        <v>0</v>
      </c>
      <c r="R2422" s="6">
        <v>32</v>
      </c>
      <c r="S2422" s="6">
        <v>195</v>
      </c>
    </row>
    <row r="2423" spans="1:19" ht="15" hidden="1" x14ac:dyDescent="0.25">
      <c r="A2423" s="7" t="s">
        <v>16</v>
      </c>
      <c r="B2423" s="7" t="s">
        <v>23</v>
      </c>
      <c r="C2423" s="7" t="s">
        <v>24</v>
      </c>
      <c r="D2423" s="4">
        <v>44663631000590</v>
      </c>
      <c r="E2423" s="8" t="s">
        <v>680</v>
      </c>
      <c r="F2423" s="8" t="s">
        <v>39</v>
      </c>
      <c r="G2423" s="8" t="s">
        <v>19</v>
      </c>
      <c r="H2423" s="8" t="s">
        <v>215</v>
      </c>
      <c r="I2423" s="3">
        <v>2</v>
      </c>
      <c r="J2423" s="8" t="s">
        <v>149</v>
      </c>
      <c r="K2423" s="8" t="s">
        <v>150</v>
      </c>
      <c r="L2423" s="8" t="s">
        <v>557</v>
      </c>
      <c r="M2423" s="1" t="s">
        <v>207</v>
      </c>
      <c r="N2423" s="8" t="s">
        <v>208</v>
      </c>
      <c r="O2423" s="6">
        <v>0</v>
      </c>
      <c r="P2423" s="6">
        <v>0</v>
      </c>
      <c r="Q2423" s="6">
        <v>0</v>
      </c>
      <c r="R2423" s="6">
        <v>0</v>
      </c>
      <c r="S2423" s="6">
        <v>195</v>
      </c>
    </row>
    <row r="2424" spans="1:19" ht="15" hidden="1" x14ac:dyDescent="0.25">
      <c r="A2424" s="7" t="s">
        <v>16</v>
      </c>
      <c r="B2424" s="7" t="s">
        <v>23</v>
      </c>
      <c r="C2424" s="7" t="s">
        <v>24</v>
      </c>
      <c r="D2424" s="4">
        <v>57507402000102</v>
      </c>
      <c r="E2424" s="8" t="s">
        <v>721</v>
      </c>
      <c r="F2424" s="8" t="s">
        <v>647</v>
      </c>
      <c r="G2424" s="8" t="s">
        <v>19</v>
      </c>
      <c r="H2424" s="8" t="s">
        <v>215</v>
      </c>
      <c r="I2424" s="3">
        <v>2</v>
      </c>
      <c r="J2424" s="8" t="s">
        <v>1355</v>
      </c>
      <c r="K2424" s="8" t="s">
        <v>1356</v>
      </c>
      <c r="L2424" s="8" t="s">
        <v>556</v>
      </c>
      <c r="M2424" s="1" t="s">
        <v>207</v>
      </c>
      <c r="N2424" s="8" t="s">
        <v>208</v>
      </c>
      <c r="O2424" s="6">
        <v>0</v>
      </c>
      <c r="P2424" s="6">
        <v>0</v>
      </c>
      <c r="Q2424" s="6">
        <v>0</v>
      </c>
      <c r="R2424" s="6">
        <v>150</v>
      </c>
      <c r="S2424" s="6">
        <v>150</v>
      </c>
    </row>
    <row r="2425" spans="1:19" ht="15" hidden="1" x14ac:dyDescent="0.25">
      <c r="A2425" s="7" t="s">
        <v>16</v>
      </c>
      <c r="B2425" s="7" t="s">
        <v>23</v>
      </c>
      <c r="C2425" s="7" t="s">
        <v>24</v>
      </c>
      <c r="D2425" s="4">
        <v>57507402000102</v>
      </c>
      <c r="E2425" s="8" t="s">
        <v>721</v>
      </c>
      <c r="F2425" s="8" t="s">
        <v>647</v>
      </c>
      <c r="G2425" s="8" t="s">
        <v>19</v>
      </c>
      <c r="H2425" s="8" t="s">
        <v>215</v>
      </c>
      <c r="I2425" s="3">
        <v>2</v>
      </c>
      <c r="J2425" s="8" t="s">
        <v>147</v>
      </c>
      <c r="K2425" s="8" t="s">
        <v>148</v>
      </c>
      <c r="L2425" s="8" t="s">
        <v>557</v>
      </c>
      <c r="M2425" s="1" t="s">
        <v>207</v>
      </c>
      <c r="N2425" s="8" t="s">
        <v>208</v>
      </c>
      <c r="O2425" s="6">
        <v>0</v>
      </c>
      <c r="P2425" s="6">
        <v>0</v>
      </c>
      <c r="Q2425" s="6">
        <v>0</v>
      </c>
      <c r="R2425" s="6">
        <v>0</v>
      </c>
      <c r="S2425" s="6">
        <v>150</v>
      </c>
    </row>
    <row r="2426" spans="1:19" ht="15" hidden="1" x14ac:dyDescent="0.25">
      <c r="A2426" s="7" t="s">
        <v>16</v>
      </c>
      <c r="B2426" s="7" t="s">
        <v>23</v>
      </c>
      <c r="C2426" s="7" t="s">
        <v>24</v>
      </c>
      <c r="D2426" s="4">
        <v>13718999001041</v>
      </c>
      <c r="E2426" s="8" t="s">
        <v>662</v>
      </c>
      <c r="F2426" s="8" t="s">
        <v>647</v>
      </c>
      <c r="G2426" s="8" t="s">
        <v>19</v>
      </c>
      <c r="H2426" s="8" t="s">
        <v>215</v>
      </c>
      <c r="I2426" s="3">
        <v>2</v>
      </c>
      <c r="J2426" s="8" t="s">
        <v>1355</v>
      </c>
      <c r="K2426" s="8" t="s">
        <v>1356</v>
      </c>
      <c r="L2426" s="8" t="s">
        <v>556</v>
      </c>
      <c r="M2426" s="1" t="s">
        <v>207</v>
      </c>
      <c r="N2426" s="8" t="s">
        <v>208</v>
      </c>
      <c r="O2426" s="6">
        <v>0</v>
      </c>
      <c r="P2426" s="6">
        <v>0</v>
      </c>
      <c r="Q2426" s="6">
        <v>0</v>
      </c>
      <c r="R2426" s="6">
        <v>12</v>
      </c>
      <c r="S2426" s="6">
        <v>0</v>
      </c>
    </row>
    <row r="2427" spans="1:19" ht="15" hidden="1" x14ac:dyDescent="0.25">
      <c r="A2427" s="7" t="s">
        <v>16</v>
      </c>
      <c r="B2427" s="7" t="s">
        <v>23</v>
      </c>
      <c r="C2427" s="7" t="s">
        <v>24</v>
      </c>
      <c r="D2427" s="4">
        <v>13718999001041</v>
      </c>
      <c r="E2427" s="8" t="s">
        <v>662</v>
      </c>
      <c r="F2427" s="8" t="s">
        <v>647</v>
      </c>
      <c r="G2427" s="8" t="s">
        <v>19</v>
      </c>
      <c r="H2427" s="8" t="s">
        <v>215</v>
      </c>
      <c r="I2427" s="3">
        <v>2</v>
      </c>
      <c r="J2427" s="8" t="s">
        <v>147</v>
      </c>
      <c r="K2427" s="8" t="s">
        <v>148</v>
      </c>
      <c r="L2427" s="8" t="s">
        <v>557</v>
      </c>
      <c r="M2427" s="1" t="s">
        <v>207</v>
      </c>
      <c r="N2427" s="8" t="s">
        <v>208</v>
      </c>
      <c r="O2427" s="6">
        <v>0</v>
      </c>
      <c r="P2427" s="6">
        <v>0</v>
      </c>
      <c r="Q2427" s="6">
        <v>0</v>
      </c>
      <c r="R2427" s="6">
        <v>0</v>
      </c>
      <c r="S2427" s="6">
        <v>0</v>
      </c>
    </row>
    <row r="2428" spans="1:19" ht="15" hidden="1" x14ac:dyDescent="0.25">
      <c r="A2428" s="7" t="s">
        <v>16</v>
      </c>
      <c r="B2428" s="7" t="s">
        <v>23</v>
      </c>
      <c r="C2428" s="7" t="s">
        <v>24</v>
      </c>
      <c r="D2428" s="4">
        <v>10868295000176</v>
      </c>
      <c r="E2428" s="8" t="s">
        <v>660</v>
      </c>
      <c r="F2428" s="8" t="s">
        <v>35</v>
      </c>
      <c r="G2428" s="8" t="s">
        <v>19</v>
      </c>
      <c r="H2428" s="8" t="s">
        <v>215</v>
      </c>
      <c r="I2428" s="3">
        <v>2</v>
      </c>
      <c r="J2428" s="8" t="s">
        <v>1355</v>
      </c>
      <c r="K2428" s="8" t="s">
        <v>1356</v>
      </c>
      <c r="L2428" s="8" t="s">
        <v>556</v>
      </c>
      <c r="M2428" s="1" t="s">
        <v>207</v>
      </c>
      <c r="N2428" s="8" t="s">
        <v>208</v>
      </c>
      <c r="O2428" s="6">
        <v>0</v>
      </c>
      <c r="P2428" s="6">
        <v>0</v>
      </c>
      <c r="Q2428" s="6">
        <v>0</v>
      </c>
      <c r="R2428" s="6">
        <v>0</v>
      </c>
      <c r="S2428" s="6">
        <v>90</v>
      </c>
    </row>
    <row r="2429" spans="1:19" ht="15" hidden="1" x14ac:dyDescent="0.25">
      <c r="A2429" s="7" t="s">
        <v>16</v>
      </c>
      <c r="B2429" s="7" t="s">
        <v>23</v>
      </c>
      <c r="C2429" s="7" t="s">
        <v>24</v>
      </c>
      <c r="D2429" s="4">
        <v>10868295000176</v>
      </c>
      <c r="E2429" s="8" t="s">
        <v>660</v>
      </c>
      <c r="F2429" s="8" t="s">
        <v>35</v>
      </c>
      <c r="G2429" s="8" t="s">
        <v>19</v>
      </c>
      <c r="H2429" s="8" t="s">
        <v>215</v>
      </c>
      <c r="I2429" s="3">
        <v>2</v>
      </c>
      <c r="J2429" s="8" t="s">
        <v>147</v>
      </c>
      <c r="K2429" s="8" t="s">
        <v>148</v>
      </c>
      <c r="L2429" s="8" t="s">
        <v>557</v>
      </c>
      <c r="M2429" s="1" t="s">
        <v>207</v>
      </c>
      <c r="N2429" s="8" t="s">
        <v>208</v>
      </c>
      <c r="O2429" s="6">
        <v>0</v>
      </c>
      <c r="P2429" s="6">
        <v>0</v>
      </c>
      <c r="Q2429" s="6">
        <v>0</v>
      </c>
      <c r="R2429" s="6">
        <v>0</v>
      </c>
      <c r="S2429" s="6">
        <v>90</v>
      </c>
    </row>
    <row r="2430" spans="1:19" ht="15" hidden="1" x14ac:dyDescent="0.25">
      <c r="A2430" s="7" t="s">
        <v>16</v>
      </c>
      <c r="B2430" s="7" t="s">
        <v>23</v>
      </c>
      <c r="C2430" s="7" t="s">
        <v>24</v>
      </c>
      <c r="D2430" s="4">
        <v>58229691001070</v>
      </c>
      <c r="E2430" s="8" t="s">
        <v>725</v>
      </c>
      <c r="F2430" s="8" t="s">
        <v>35</v>
      </c>
      <c r="G2430" s="8" t="s">
        <v>19</v>
      </c>
      <c r="H2430" s="8" t="s">
        <v>215</v>
      </c>
      <c r="I2430" s="3">
        <v>2</v>
      </c>
      <c r="J2430" s="8" t="s">
        <v>1355</v>
      </c>
      <c r="K2430" s="8" t="s">
        <v>1356</v>
      </c>
      <c r="L2430" s="8" t="s">
        <v>556</v>
      </c>
      <c r="M2430" s="1" t="s">
        <v>207</v>
      </c>
      <c r="N2430" s="8" t="s">
        <v>208</v>
      </c>
      <c r="O2430" s="6">
        <v>0</v>
      </c>
      <c r="P2430" s="6">
        <v>0</v>
      </c>
      <c r="Q2430" s="6">
        <v>0</v>
      </c>
      <c r="R2430" s="6">
        <v>32</v>
      </c>
      <c r="S2430" s="6">
        <v>0</v>
      </c>
    </row>
    <row r="2431" spans="1:19" ht="15" hidden="1" x14ac:dyDescent="0.25">
      <c r="A2431" s="7" t="s">
        <v>16</v>
      </c>
      <c r="B2431" s="7" t="s">
        <v>23</v>
      </c>
      <c r="C2431" s="7" t="s">
        <v>24</v>
      </c>
      <c r="D2431" s="4">
        <v>58229691001070</v>
      </c>
      <c r="E2431" s="8" t="s">
        <v>725</v>
      </c>
      <c r="F2431" s="8" t="s">
        <v>35</v>
      </c>
      <c r="G2431" s="8" t="s">
        <v>19</v>
      </c>
      <c r="H2431" s="8" t="s">
        <v>215</v>
      </c>
      <c r="I2431" s="3">
        <v>2</v>
      </c>
      <c r="J2431" s="8" t="s">
        <v>147</v>
      </c>
      <c r="K2431" s="8" t="s">
        <v>148</v>
      </c>
      <c r="L2431" s="8" t="s">
        <v>557</v>
      </c>
      <c r="M2431" s="1" t="s">
        <v>207</v>
      </c>
      <c r="N2431" s="8" t="s">
        <v>208</v>
      </c>
      <c r="O2431" s="6">
        <v>0</v>
      </c>
      <c r="P2431" s="6">
        <v>0</v>
      </c>
      <c r="Q2431" s="6">
        <v>0</v>
      </c>
      <c r="R2431" s="6">
        <v>0</v>
      </c>
      <c r="S2431" s="6">
        <v>0</v>
      </c>
    </row>
    <row r="2432" spans="1:19" ht="15" hidden="1" x14ac:dyDescent="0.25">
      <c r="A2432" s="7" t="s">
        <v>16</v>
      </c>
      <c r="B2432" s="7" t="s">
        <v>23</v>
      </c>
      <c r="C2432" s="7" t="s">
        <v>24</v>
      </c>
      <c r="D2432" s="4">
        <v>26048123000196</v>
      </c>
      <c r="E2432" s="8" t="s">
        <v>667</v>
      </c>
      <c r="F2432" s="8" t="s">
        <v>42</v>
      </c>
      <c r="G2432" s="8" t="s">
        <v>19</v>
      </c>
      <c r="H2432" s="8" t="s">
        <v>215</v>
      </c>
      <c r="I2432" s="3">
        <v>2</v>
      </c>
      <c r="J2432" s="8" t="s">
        <v>151</v>
      </c>
      <c r="K2432" s="8" t="s">
        <v>152</v>
      </c>
      <c r="L2432" s="8" t="s">
        <v>556</v>
      </c>
      <c r="M2432" s="1" t="s">
        <v>207</v>
      </c>
      <c r="N2432" s="8" t="s">
        <v>208</v>
      </c>
      <c r="O2432" s="6">
        <v>0</v>
      </c>
      <c r="P2432" s="6">
        <v>0</v>
      </c>
      <c r="Q2432" s="6">
        <v>0</v>
      </c>
      <c r="R2432" s="6">
        <v>0</v>
      </c>
      <c r="S2432" s="6">
        <v>40</v>
      </c>
    </row>
    <row r="2433" spans="1:19" ht="15" hidden="1" x14ac:dyDescent="0.25">
      <c r="A2433" s="7" t="s">
        <v>16</v>
      </c>
      <c r="B2433" s="7" t="s">
        <v>23</v>
      </c>
      <c r="C2433" s="7" t="s">
        <v>24</v>
      </c>
      <c r="D2433" s="4">
        <v>26048123000196</v>
      </c>
      <c r="E2433" s="8" t="s">
        <v>667</v>
      </c>
      <c r="F2433" s="8" t="s">
        <v>42</v>
      </c>
      <c r="G2433" s="8" t="s">
        <v>19</v>
      </c>
      <c r="H2433" s="8" t="s">
        <v>215</v>
      </c>
      <c r="I2433" s="3">
        <v>2</v>
      </c>
      <c r="J2433" s="8" t="s">
        <v>183</v>
      </c>
      <c r="K2433" s="8" t="s">
        <v>184</v>
      </c>
      <c r="L2433" s="8" t="s">
        <v>557</v>
      </c>
      <c r="M2433" s="1" t="s">
        <v>207</v>
      </c>
      <c r="N2433" s="8" t="s">
        <v>208</v>
      </c>
      <c r="O2433" s="6">
        <v>0</v>
      </c>
      <c r="P2433" s="6">
        <v>0</v>
      </c>
      <c r="Q2433" s="6">
        <v>0</v>
      </c>
      <c r="R2433" s="6">
        <v>0</v>
      </c>
      <c r="S2433" s="6">
        <v>40</v>
      </c>
    </row>
    <row r="2434" spans="1:19" ht="15" hidden="1" x14ac:dyDescent="0.25">
      <c r="A2434" s="7" t="s">
        <v>16</v>
      </c>
      <c r="B2434" s="7" t="s">
        <v>23</v>
      </c>
      <c r="C2434" s="7" t="s">
        <v>24</v>
      </c>
      <c r="D2434" s="4">
        <v>46124624002599</v>
      </c>
      <c r="E2434" s="8" t="s">
        <v>694</v>
      </c>
      <c r="F2434" s="8" t="s">
        <v>695</v>
      </c>
      <c r="G2434" s="8" t="s">
        <v>19</v>
      </c>
      <c r="H2434" s="8" t="s">
        <v>215</v>
      </c>
      <c r="I2434" s="3">
        <v>2</v>
      </c>
      <c r="J2434" s="8" t="s">
        <v>151</v>
      </c>
      <c r="K2434" s="8" t="s">
        <v>152</v>
      </c>
      <c r="L2434" s="8" t="s">
        <v>556</v>
      </c>
      <c r="M2434" s="1" t="s">
        <v>207</v>
      </c>
      <c r="N2434" s="8" t="s">
        <v>208</v>
      </c>
      <c r="O2434" s="6">
        <v>0</v>
      </c>
      <c r="P2434" s="6">
        <v>0</v>
      </c>
      <c r="Q2434" s="6">
        <v>0</v>
      </c>
      <c r="R2434" s="6">
        <v>280</v>
      </c>
      <c r="S2434" s="6">
        <v>1100</v>
      </c>
    </row>
    <row r="2435" spans="1:19" ht="15" hidden="1" x14ac:dyDescent="0.25">
      <c r="A2435" s="7" t="s">
        <v>16</v>
      </c>
      <c r="B2435" s="7" t="s">
        <v>23</v>
      </c>
      <c r="C2435" s="7" t="s">
        <v>24</v>
      </c>
      <c r="D2435" s="4">
        <v>46124624002599</v>
      </c>
      <c r="E2435" s="8" t="s">
        <v>694</v>
      </c>
      <c r="F2435" s="8" t="s">
        <v>695</v>
      </c>
      <c r="G2435" s="8" t="s">
        <v>19</v>
      </c>
      <c r="H2435" s="8" t="s">
        <v>215</v>
      </c>
      <c r="I2435" s="3">
        <v>2</v>
      </c>
      <c r="J2435" s="8" t="s">
        <v>149</v>
      </c>
      <c r="K2435" s="8" t="s">
        <v>150</v>
      </c>
      <c r="L2435" s="8" t="s">
        <v>557</v>
      </c>
      <c r="M2435" s="1" t="s">
        <v>207</v>
      </c>
      <c r="N2435" s="8" t="s">
        <v>208</v>
      </c>
      <c r="O2435" s="6">
        <v>0</v>
      </c>
      <c r="P2435" s="6">
        <v>0</v>
      </c>
      <c r="Q2435" s="6">
        <v>0</v>
      </c>
      <c r="R2435" s="6">
        <v>0</v>
      </c>
      <c r="S2435" s="6">
        <v>1100</v>
      </c>
    </row>
    <row r="2436" spans="1:19" ht="15" hidden="1" x14ac:dyDescent="0.25">
      <c r="A2436" s="7" t="s">
        <v>16</v>
      </c>
      <c r="B2436" s="7" t="s">
        <v>23</v>
      </c>
      <c r="C2436" s="7" t="s">
        <v>24</v>
      </c>
      <c r="D2436" s="4">
        <v>43293604002120</v>
      </c>
      <c r="E2436" s="8" t="s">
        <v>673</v>
      </c>
      <c r="F2436" s="8" t="s">
        <v>674</v>
      </c>
      <c r="G2436" s="8" t="s">
        <v>19</v>
      </c>
      <c r="H2436" s="8" t="s">
        <v>215</v>
      </c>
      <c r="I2436" s="3">
        <v>2</v>
      </c>
      <c r="J2436" s="8" t="s">
        <v>1355</v>
      </c>
      <c r="K2436" s="8" t="s">
        <v>1356</v>
      </c>
      <c r="L2436" s="8" t="s">
        <v>556</v>
      </c>
      <c r="M2436" s="1" t="s">
        <v>207</v>
      </c>
      <c r="N2436" s="8" t="s">
        <v>208</v>
      </c>
      <c r="O2436" s="6">
        <v>0</v>
      </c>
      <c r="P2436" s="6">
        <v>0</v>
      </c>
      <c r="Q2436" s="6">
        <v>0</v>
      </c>
      <c r="R2436" s="6">
        <v>0</v>
      </c>
      <c r="S2436" s="6">
        <v>150</v>
      </c>
    </row>
    <row r="2437" spans="1:19" ht="15" hidden="1" x14ac:dyDescent="0.25">
      <c r="A2437" s="7" t="s">
        <v>16</v>
      </c>
      <c r="B2437" s="7" t="s">
        <v>23</v>
      </c>
      <c r="C2437" s="7" t="s">
        <v>24</v>
      </c>
      <c r="D2437" s="4">
        <v>43293604002120</v>
      </c>
      <c r="E2437" s="8" t="s">
        <v>673</v>
      </c>
      <c r="F2437" s="8" t="s">
        <v>674</v>
      </c>
      <c r="G2437" s="8" t="s">
        <v>19</v>
      </c>
      <c r="H2437" s="8" t="s">
        <v>215</v>
      </c>
      <c r="I2437" s="3">
        <v>2</v>
      </c>
      <c r="J2437" s="8" t="s">
        <v>147</v>
      </c>
      <c r="K2437" s="8" t="s">
        <v>148</v>
      </c>
      <c r="L2437" s="8" t="s">
        <v>557</v>
      </c>
      <c r="M2437" s="1" t="s">
        <v>207</v>
      </c>
      <c r="N2437" s="8" t="s">
        <v>208</v>
      </c>
      <c r="O2437" s="6">
        <v>0</v>
      </c>
      <c r="P2437" s="6">
        <v>0</v>
      </c>
      <c r="Q2437" s="6">
        <v>0</v>
      </c>
      <c r="R2437" s="6">
        <v>0</v>
      </c>
      <c r="S2437" s="6">
        <v>150</v>
      </c>
    </row>
    <row r="2438" spans="1:19" ht="15" hidden="1" x14ac:dyDescent="0.25">
      <c r="A2438" s="7" t="s">
        <v>16</v>
      </c>
      <c r="B2438" s="7" t="s">
        <v>23</v>
      </c>
      <c r="C2438" s="7" t="s">
        <v>24</v>
      </c>
      <c r="D2438" s="4">
        <v>45359213000576</v>
      </c>
      <c r="E2438" s="8" t="s">
        <v>686</v>
      </c>
      <c r="F2438" s="8" t="s">
        <v>687</v>
      </c>
      <c r="G2438" s="8" t="s">
        <v>19</v>
      </c>
      <c r="H2438" s="8" t="s">
        <v>215</v>
      </c>
      <c r="I2438" s="3">
        <v>2</v>
      </c>
      <c r="J2438" s="8" t="s">
        <v>151</v>
      </c>
      <c r="K2438" s="8" t="s">
        <v>152</v>
      </c>
      <c r="L2438" s="8" t="s">
        <v>556</v>
      </c>
      <c r="M2438" s="1" t="s">
        <v>207</v>
      </c>
      <c r="N2438" s="8" t="s">
        <v>208</v>
      </c>
      <c r="O2438" s="6">
        <v>0</v>
      </c>
      <c r="P2438" s="6">
        <v>0</v>
      </c>
      <c r="Q2438" s="6">
        <v>0</v>
      </c>
      <c r="R2438" s="6">
        <v>66</v>
      </c>
      <c r="S2438" s="6">
        <v>0</v>
      </c>
    </row>
    <row r="2439" spans="1:19" ht="15" hidden="1" x14ac:dyDescent="0.25">
      <c r="A2439" s="7" t="s">
        <v>16</v>
      </c>
      <c r="B2439" s="7" t="s">
        <v>23</v>
      </c>
      <c r="C2439" s="7" t="s">
        <v>24</v>
      </c>
      <c r="D2439" s="4">
        <v>45359213000576</v>
      </c>
      <c r="E2439" s="8" t="s">
        <v>686</v>
      </c>
      <c r="F2439" s="8" t="s">
        <v>687</v>
      </c>
      <c r="G2439" s="8" t="s">
        <v>19</v>
      </c>
      <c r="H2439" s="8" t="s">
        <v>215</v>
      </c>
      <c r="I2439" s="3">
        <v>2</v>
      </c>
      <c r="J2439" s="8" t="s">
        <v>149</v>
      </c>
      <c r="K2439" s="8" t="s">
        <v>150</v>
      </c>
      <c r="L2439" s="8" t="s">
        <v>557</v>
      </c>
      <c r="M2439" s="1" t="s">
        <v>207</v>
      </c>
      <c r="N2439" s="8" t="s">
        <v>208</v>
      </c>
      <c r="O2439" s="6">
        <v>0</v>
      </c>
      <c r="P2439" s="6">
        <v>0</v>
      </c>
      <c r="Q2439" s="6">
        <v>0</v>
      </c>
      <c r="R2439" s="6">
        <v>0</v>
      </c>
      <c r="S2439" s="6">
        <v>0</v>
      </c>
    </row>
    <row r="2440" spans="1:19" ht="15" hidden="1" x14ac:dyDescent="0.25">
      <c r="A2440" s="7" t="s">
        <v>16</v>
      </c>
      <c r="B2440" s="7" t="s">
        <v>23</v>
      </c>
      <c r="C2440" s="7" t="s">
        <v>24</v>
      </c>
      <c r="D2440" s="4">
        <v>2643405000173</v>
      </c>
      <c r="E2440" s="8" t="s">
        <v>642</v>
      </c>
      <c r="F2440" s="8" t="s">
        <v>643</v>
      </c>
      <c r="G2440" s="8" t="s">
        <v>19</v>
      </c>
      <c r="H2440" s="8" t="s">
        <v>215</v>
      </c>
      <c r="I2440" s="3">
        <v>2</v>
      </c>
      <c r="J2440" s="8" t="s">
        <v>151</v>
      </c>
      <c r="K2440" s="8" t="s">
        <v>152</v>
      </c>
      <c r="L2440" s="8" t="s">
        <v>556</v>
      </c>
      <c r="M2440" s="1" t="s">
        <v>207</v>
      </c>
      <c r="N2440" s="8" t="s">
        <v>208</v>
      </c>
      <c r="O2440" s="6">
        <v>0</v>
      </c>
      <c r="P2440" s="6">
        <v>0</v>
      </c>
      <c r="Q2440" s="6">
        <v>0</v>
      </c>
      <c r="R2440" s="6">
        <v>17</v>
      </c>
      <c r="S2440" s="6">
        <v>0</v>
      </c>
    </row>
    <row r="2441" spans="1:19" ht="15" hidden="1" x14ac:dyDescent="0.25">
      <c r="A2441" s="7" t="s">
        <v>16</v>
      </c>
      <c r="B2441" s="7" t="s">
        <v>23</v>
      </c>
      <c r="C2441" s="7" t="s">
        <v>24</v>
      </c>
      <c r="D2441" s="4">
        <v>2643405000173</v>
      </c>
      <c r="E2441" s="8" t="s">
        <v>642</v>
      </c>
      <c r="F2441" s="8" t="s">
        <v>643</v>
      </c>
      <c r="G2441" s="8" t="s">
        <v>19</v>
      </c>
      <c r="H2441" s="8" t="s">
        <v>215</v>
      </c>
      <c r="I2441" s="3">
        <v>2</v>
      </c>
      <c r="J2441" s="8" t="s">
        <v>149</v>
      </c>
      <c r="K2441" s="8" t="s">
        <v>150</v>
      </c>
      <c r="L2441" s="8" t="s">
        <v>557</v>
      </c>
      <c r="M2441" s="1" t="s">
        <v>207</v>
      </c>
      <c r="N2441" s="8" t="s">
        <v>208</v>
      </c>
      <c r="O2441" s="6">
        <v>0</v>
      </c>
      <c r="P2441" s="6">
        <v>0</v>
      </c>
      <c r="Q2441" s="6">
        <v>0</v>
      </c>
      <c r="R2441" s="6">
        <v>0</v>
      </c>
      <c r="S2441" s="6">
        <v>0</v>
      </c>
    </row>
    <row r="2442" spans="1:19" ht="15" hidden="1" x14ac:dyDescent="0.25">
      <c r="A2442" s="7" t="s">
        <v>16</v>
      </c>
      <c r="B2442" s="7" t="s">
        <v>23</v>
      </c>
      <c r="C2442" s="7" t="s">
        <v>24</v>
      </c>
      <c r="D2442" s="4">
        <v>60003761000129</v>
      </c>
      <c r="E2442" s="8" t="s">
        <v>728</v>
      </c>
      <c r="F2442" s="8" t="s">
        <v>643</v>
      </c>
      <c r="G2442" s="8" t="s">
        <v>19</v>
      </c>
      <c r="H2442" s="8" t="s">
        <v>215</v>
      </c>
      <c r="I2442" s="3">
        <v>2</v>
      </c>
      <c r="J2442" s="8" t="s">
        <v>151</v>
      </c>
      <c r="K2442" s="8" t="s">
        <v>152</v>
      </c>
      <c r="L2442" s="8" t="s">
        <v>556</v>
      </c>
      <c r="M2442" s="1" t="s">
        <v>207</v>
      </c>
      <c r="N2442" s="8" t="s">
        <v>208</v>
      </c>
      <c r="O2442" s="6">
        <v>0</v>
      </c>
      <c r="P2442" s="6">
        <v>0</v>
      </c>
      <c r="Q2442" s="6">
        <v>0</v>
      </c>
      <c r="R2442" s="6">
        <v>0</v>
      </c>
      <c r="S2442" s="6">
        <v>0</v>
      </c>
    </row>
    <row r="2443" spans="1:19" ht="15" hidden="1" x14ac:dyDescent="0.25">
      <c r="A2443" s="7" t="s">
        <v>16</v>
      </c>
      <c r="B2443" s="7" t="s">
        <v>23</v>
      </c>
      <c r="C2443" s="7" t="s">
        <v>24</v>
      </c>
      <c r="D2443" s="4">
        <v>60003761000129</v>
      </c>
      <c r="E2443" s="8" t="s">
        <v>728</v>
      </c>
      <c r="F2443" s="8" t="s">
        <v>643</v>
      </c>
      <c r="G2443" s="8" t="s">
        <v>19</v>
      </c>
      <c r="H2443" s="8" t="s">
        <v>215</v>
      </c>
      <c r="I2443" s="3">
        <v>2</v>
      </c>
      <c r="J2443" s="8" t="s">
        <v>149</v>
      </c>
      <c r="K2443" s="8" t="s">
        <v>150</v>
      </c>
      <c r="L2443" s="8" t="s">
        <v>557</v>
      </c>
      <c r="M2443" s="1" t="s">
        <v>207</v>
      </c>
      <c r="N2443" s="8" t="s">
        <v>208</v>
      </c>
      <c r="O2443" s="6">
        <v>0</v>
      </c>
      <c r="P2443" s="6">
        <v>36</v>
      </c>
      <c r="Q2443" s="6">
        <v>20</v>
      </c>
      <c r="R2443" s="6">
        <v>0</v>
      </c>
      <c r="S2443" s="6">
        <v>0</v>
      </c>
    </row>
    <row r="2444" spans="1:19" ht="15" hidden="1" x14ac:dyDescent="0.25">
      <c r="A2444" s="7" t="s">
        <v>16</v>
      </c>
      <c r="B2444" s="7" t="s">
        <v>23</v>
      </c>
      <c r="C2444" s="7" t="s">
        <v>24</v>
      </c>
      <c r="D2444" s="4">
        <v>45184066000117</v>
      </c>
      <c r="E2444" s="8" t="s">
        <v>684</v>
      </c>
      <c r="F2444" s="8" t="s">
        <v>650</v>
      </c>
      <c r="G2444" s="8" t="s">
        <v>19</v>
      </c>
      <c r="H2444" s="8" t="s">
        <v>215</v>
      </c>
      <c r="I2444" s="3">
        <v>2</v>
      </c>
      <c r="J2444" s="8" t="s">
        <v>161</v>
      </c>
      <c r="K2444" s="8" t="s">
        <v>162</v>
      </c>
      <c r="L2444" s="8" t="s">
        <v>556</v>
      </c>
      <c r="M2444" s="1" t="s">
        <v>207</v>
      </c>
      <c r="N2444" s="8" t="s">
        <v>208</v>
      </c>
      <c r="O2444" s="6">
        <v>0</v>
      </c>
      <c r="P2444" s="6">
        <v>0</v>
      </c>
      <c r="Q2444" s="6">
        <v>0</v>
      </c>
      <c r="R2444" s="6">
        <v>15</v>
      </c>
      <c r="S2444" s="6">
        <v>0</v>
      </c>
    </row>
    <row r="2445" spans="1:19" ht="15" hidden="1" x14ac:dyDescent="0.25">
      <c r="A2445" s="7" t="s">
        <v>16</v>
      </c>
      <c r="B2445" s="7" t="s">
        <v>23</v>
      </c>
      <c r="C2445" s="7" t="s">
        <v>24</v>
      </c>
      <c r="D2445" s="4">
        <v>45184066000117</v>
      </c>
      <c r="E2445" s="8" t="s">
        <v>684</v>
      </c>
      <c r="F2445" s="8" t="s">
        <v>650</v>
      </c>
      <c r="G2445" s="8" t="s">
        <v>19</v>
      </c>
      <c r="H2445" s="8" t="s">
        <v>215</v>
      </c>
      <c r="I2445" s="3">
        <v>2</v>
      </c>
      <c r="J2445" s="8" t="s">
        <v>183</v>
      </c>
      <c r="K2445" s="8" t="s">
        <v>184</v>
      </c>
      <c r="L2445" s="8" t="s">
        <v>557</v>
      </c>
      <c r="M2445" s="1" t="s">
        <v>207</v>
      </c>
      <c r="N2445" s="8" t="s">
        <v>208</v>
      </c>
      <c r="O2445" s="6">
        <v>0</v>
      </c>
      <c r="P2445" s="6">
        <v>2</v>
      </c>
      <c r="Q2445" s="6">
        <v>0</v>
      </c>
      <c r="R2445" s="6">
        <v>0</v>
      </c>
      <c r="S2445" s="6">
        <v>0</v>
      </c>
    </row>
    <row r="2446" spans="1:19" ht="15" hidden="1" x14ac:dyDescent="0.25">
      <c r="A2446" s="7" t="s">
        <v>16</v>
      </c>
      <c r="B2446" s="7" t="s">
        <v>23</v>
      </c>
      <c r="C2446" s="7" t="s">
        <v>24</v>
      </c>
      <c r="D2446" s="4">
        <v>60214517001691</v>
      </c>
      <c r="E2446" s="8" t="s">
        <v>732</v>
      </c>
      <c r="F2446" s="8" t="s">
        <v>650</v>
      </c>
      <c r="G2446" s="8" t="s">
        <v>19</v>
      </c>
      <c r="H2446" s="8" t="s">
        <v>215</v>
      </c>
      <c r="I2446" s="3">
        <v>2</v>
      </c>
      <c r="J2446" s="8" t="s">
        <v>161</v>
      </c>
      <c r="K2446" s="8" t="s">
        <v>162</v>
      </c>
      <c r="L2446" s="8" t="s">
        <v>556</v>
      </c>
      <c r="M2446" s="1" t="s">
        <v>207</v>
      </c>
      <c r="N2446" s="8" t="s">
        <v>208</v>
      </c>
      <c r="O2446" s="6">
        <v>0</v>
      </c>
      <c r="P2446" s="6">
        <v>0</v>
      </c>
      <c r="Q2446" s="6">
        <v>0</v>
      </c>
      <c r="R2446" s="6">
        <v>0</v>
      </c>
      <c r="S2446" s="6">
        <v>500</v>
      </c>
    </row>
    <row r="2447" spans="1:19" ht="15" hidden="1" x14ac:dyDescent="0.25">
      <c r="A2447" s="7" t="s">
        <v>16</v>
      </c>
      <c r="B2447" s="7" t="s">
        <v>23</v>
      </c>
      <c r="C2447" s="7" t="s">
        <v>24</v>
      </c>
      <c r="D2447" s="4">
        <v>60214517001691</v>
      </c>
      <c r="E2447" s="8" t="s">
        <v>732</v>
      </c>
      <c r="F2447" s="8" t="s">
        <v>650</v>
      </c>
      <c r="G2447" s="8" t="s">
        <v>19</v>
      </c>
      <c r="H2447" s="8" t="s">
        <v>215</v>
      </c>
      <c r="I2447" s="3">
        <v>2</v>
      </c>
      <c r="J2447" s="8" t="s">
        <v>183</v>
      </c>
      <c r="K2447" s="8" t="s">
        <v>184</v>
      </c>
      <c r="L2447" s="8" t="s">
        <v>557</v>
      </c>
      <c r="M2447" s="1" t="s">
        <v>207</v>
      </c>
      <c r="N2447" s="8" t="s">
        <v>208</v>
      </c>
      <c r="O2447" s="6">
        <v>0</v>
      </c>
      <c r="P2447" s="6">
        <v>0</v>
      </c>
      <c r="Q2447" s="6">
        <v>20</v>
      </c>
      <c r="R2447" s="6">
        <v>0</v>
      </c>
      <c r="S2447" s="6">
        <v>500</v>
      </c>
    </row>
    <row r="2448" spans="1:19" ht="15" hidden="1" x14ac:dyDescent="0.25">
      <c r="A2448" s="7" t="s">
        <v>16</v>
      </c>
      <c r="B2448" s="7" t="s">
        <v>23</v>
      </c>
      <c r="C2448" s="7" t="s">
        <v>24</v>
      </c>
      <c r="D2448" s="4">
        <v>6047087003073</v>
      </c>
      <c r="E2448" s="8" t="s">
        <v>649</v>
      </c>
      <c r="F2448" s="8" t="s">
        <v>650</v>
      </c>
      <c r="G2448" s="8" t="s">
        <v>19</v>
      </c>
      <c r="H2448" s="8" t="s">
        <v>215</v>
      </c>
      <c r="I2448" s="3">
        <v>2</v>
      </c>
      <c r="J2448" s="8" t="s">
        <v>161</v>
      </c>
      <c r="K2448" s="8" t="s">
        <v>162</v>
      </c>
      <c r="L2448" s="8" t="s">
        <v>556</v>
      </c>
      <c r="M2448" s="1" t="s">
        <v>207</v>
      </c>
      <c r="N2448" s="8" t="s">
        <v>208</v>
      </c>
      <c r="O2448" s="6">
        <v>0</v>
      </c>
      <c r="P2448" s="6">
        <v>0</v>
      </c>
      <c r="Q2448" s="6">
        <v>0</v>
      </c>
      <c r="R2448" s="6">
        <v>48</v>
      </c>
      <c r="S2448" s="6">
        <v>0</v>
      </c>
    </row>
    <row r="2449" spans="1:19" ht="15" hidden="1" x14ac:dyDescent="0.25">
      <c r="A2449" s="7" t="s">
        <v>16</v>
      </c>
      <c r="B2449" s="7" t="s">
        <v>23</v>
      </c>
      <c r="C2449" s="7" t="s">
        <v>24</v>
      </c>
      <c r="D2449" s="4">
        <v>6047087003073</v>
      </c>
      <c r="E2449" s="8" t="s">
        <v>649</v>
      </c>
      <c r="F2449" s="8" t="s">
        <v>650</v>
      </c>
      <c r="G2449" s="8" t="s">
        <v>19</v>
      </c>
      <c r="H2449" s="8" t="s">
        <v>215</v>
      </c>
      <c r="I2449" s="3">
        <v>2</v>
      </c>
      <c r="J2449" s="8" t="s">
        <v>183</v>
      </c>
      <c r="K2449" s="8" t="s">
        <v>184</v>
      </c>
      <c r="L2449" s="8" t="s">
        <v>557</v>
      </c>
      <c r="M2449" s="1" t="s">
        <v>207</v>
      </c>
      <c r="N2449" s="8" t="s">
        <v>208</v>
      </c>
      <c r="O2449" s="6">
        <v>0</v>
      </c>
      <c r="P2449" s="6">
        <v>0</v>
      </c>
      <c r="Q2449" s="6">
        <v>0</v>
      </c>
      <c r="R2449" s="6">
        <v>0</v>
      </c>
      <c r="S2449" s="6">
        <v>0</v>
      </c>
    </row>
    <row r="2450" spans="1:19" ht="15" hidden="1" x14ac:dyDescent="0.25">
      <c r="A2450" s="7" t="s">
        <v>16</v>
      </c>
      <c r="B2450" s="7" t="s">
        <v>23</v>
      </c>
      <c r="C2450" s="7" t="s">
        <v>24</v>
      </c>
      <c r="D2450" s="4">
        <v>18321477000134</v>
      </c>
      <c r="E2450" s="8" t="s">
        <v>664</v>
      </c>
      <c r="F2450" s="8" t="s">
        <v>650</v>
      </c>
      <c r="G2450" s="8" t="s">
        <v>19</v>
      </c>
      <c r="H2450" s="8" t="s">
        <v>215</v>
      </c>
      <c r="I2450" s="3">
        <v>2</v>
      </c>
      <c r="J2450" s="8" t="s">
        <v>161</v>
      </c>
      <c r="K2450" s="8" t="s">
        <v>162</v>
      </c>
      <c r="L2450" s="8" t="s">
        <v>556</v>
      </c>
      <c r="M2450" s="1" t="s">
        <v>207</v>
      </c>
      <c r="N2450" s="8" t="s">
        <v>208</v>
      </c>
      <c r="O2450" s="6">
        <v>0</v>
      </c>
      <c r="P2450" s="6">
        <v>0</v>
      </c>
      <c r="Q2450" s="6">
        <v>0</v>
      </c>
      <c r="R2450" s="6">
        <v>48</v>
      </c>
      <c r="S2450" s="6">
        <v>0</v>
      </c>
    </row>
    <row r="2451" spans="1:19" ht="15" hidden="1" x14ac:dyDescent="0.25">
      <c r="A2451" s="7" t="s">
        <v>16</v>
      </c>
      <c r="B2451" s="7" t="s">
        <v>23</v>
      </c>
      <c r="C2451" s="7" t="s">
        <v>24</v>
      </c>
      <c r="D2451" s="4">
        <v>18321477000134</v>
      </c>
      <c r="E2451" s="8" t="s">
        <v>664</v>
      </c>
      <c r="F2451" s="8" t="s">
        <v>650</v>
      </c>
      <c r="G2451" s="8" t="s">
        <v>19</v>
      </c>
      <c r="H2451" s="8" t="s">
        <v>215</v>
      </c>
      <c r="I2451" s="3">
        <v>2</v>
      </c>
      <c r="J2451" s="8" t="s">
        <v>183</v>
      </c>
      <c r="K2451" s="8" t="s">
        <v>184</v>
      </c>
      <c r="L2451" s="8" t="s">
        <v>557</v>
      </c>
      <c r="M2451" s="1" t="s">
        <v>207</v>
      </c>
      <c r="N2451" s="8" t="s">
        <v>208</v>
      </c>
      <c r="O2451" s="6">
        <v>0</v>
      </c>
      <c r="P2451" s="6">
        <v>0</v>
      </c>
      <c r="Q2451" s="6">
        <v>0</v>
      </c>
      <c r="R2451" s="6">
        <v>0</v>
      </c>
      <c r="S2451" s="6">
        <v>0</v>
      </c>
    </row>
    <row r="2452" spans="1:19" ht="15" hidden="1" x14ac:dyDescent="0.25">
      <c r="A2452" s="7" t="s">
        <v>16</v>
      </c>
      <c r="B2452" s="7" t="s">
        <v>23</v>
      </c>
      <c r="C2452" s="7" t="s">
        <v>24</v>
      </c>
      <c r="D2452" s="4">
        <v>46643466000106</v>
      </c>
      <c r="E2452" s="8" t="s">
        <v>701</v>
      </c>
      <c r="F2452" s="8" t="s">
        <v>650</v>
      </c>
      <c r="G2452" s="8" t="s">
        <v>19</v>
      </c>
      <c r="H2452" s="8" t="s">
        <v>215</v>
      </c>
      <c r="I2452" s="3">
        <v>2</v>
      </c>
      <c r="J2452" s="8" t="s">
        <v>161</v>
      </c>
      <c r="K2452" s="8" t="s">
        <v>162</v>
      </c>
      <c r="L2452" s="8" t="s">
        <v>556</v>
      </c>
      <c r="M2452" s="1" t="s">
        <v>207</v>
      </c>
      <c r="N2452" s="8" t="s">
        <v>208</v>
      </c>
      <c r="O2452" s="6">
        <v>0</v>
      </c>
      <c r="P2452" s="6">
        <v>0</v>
      </c>
      <c r="Q2452" s="6">
        <v>0</v>
      </c>
      <c r="R2452" s="6">
        <v>0</v>
      </c>
      <c r="S2452" s="6">
        <v>1450</v>
      </c>
    </row>
    <row r="2453" spans="1:19" ht="15" hidden="1" x14ac:dyDescent="0.25">
      <c r="A2453" s="7" t="s">
        <v>16</v>
      </c>
      <c r="B2453" s="7" t="s">
        <v>23</v>
      </c>
      <c r="C2453" s="7" t="s">
        <v>24</v>
      </c>
      <c r="D2453" s="4">
        <v>46643466000106</v>
      </c>
      <c r="E2453" s="8" t="s">
        <v>701</v>
      </c>
      <c r="F2453" s="8" t="s">
        <v>650</v>
      </c>
      <c r="G2453" s="8" t="s">
        <v>19</v>
      </c>
      <c r="H2453" s="8" t="s">
        <v>215</v>
      </c>
      <c r="I2453" s="3">
        <v>2</v>
      </c>
      <c r="J2453" s="8" t="s">
        <v>183</v>
      </c>
      <c r="K2453" s="8" t="s">
        <v>184</v>
      </c>
      <c r="L2453" s="8" t="s">
        <v>557</v>
      </c>
      <c r="M2453" s="1" t="s">
        <v>207</v>
      </c>
      <c r="N2453" s="8" t="s">
        <v>208</v>
      </c>
      <c r="O2453" s="6">
        <v>0</v>
      </c>
      <c r="P2453" s="6">
        <v>0</v>
      </c>
      <c r="Q2453" s="6">
        <v>0</v>
      </c>
      <c r="R2453" s="6">
        <v>0</v>
      </c>
      <c r="S2453" s="6">
        <v>1450</v>
      </c>
    </row>
    <row r="2454" spans="1:19" ht="15" hidden="1" x14ac:dyDescent="0.25">
      <c r="A2454" s="7" t="s">
        <v>16</v>
      </c>
      <c r="B2454" s="7" t="s">
        <v>23</v>
      </c>
      <c r="C2454" s="7" t="s">
        <v>24</v>
      </c>
      <c r="D2454" s="4">
        <v>53678264000246</v>
      </c>
      <c r="E2454" s="8" t="s">
        <v>716</v>
      </c>
      <c r="F2454" s="8" t="s">
        <v>717</v>
      </c>
      <c r="G2454" s="8" t="s">
        <v>19</v>
      </c>
      <c r="H2454" s="8" t="s">
        <v>215</v>
      </c>
      <c r="I2454" s="3">
        <v>2</v>
      </c>
      <c r="J2454" s="8" t="s">
        <v>151</v>
      </c>
      <c r="K2454" s="8" t="s">
        <v>152</v>
      </c>
      <c r="L2454" s="8" t="s">
        <v>556</v>
      </c>
      <c r="M2454" s="1" t="s">
        <v>207</v>
      </c>
      <c r="N2454" s="8" t="s">
        <v>208</v>
      </c>
      <c r="O2454" s="6">
        <v>0</v>
      </c>
      <c r="P2454" s="6">
        <v>0</v>
      </c>
      <c r="Q2454" s="6">
        <v>0</v>
      </c>
      <c r="R2454" s="6">
        <v>0</v>
      </c>
      <c r="S2454" s="6">
        <v>80</v>
      </c>
    </row>
    <row r="2455" spans="1:19" ht="15" hidden="1" x14ac:dyDescent="0.25">
      <c r="A2455" s="7" t="s">
        <v>16</v>
      </c>
      <c r="B2455" s="7" t="s">
        <v>23</v>
      </c>
      <c r="C2455" s="7" t="s">
        <v>24</v>
      </c>
      <c r="D2455" s="4">
        <v>53678264000246</v>
      </c>
      <c r="E2455" s="8" t="s">
        <v>716</v>
      </c>
      <c r="F2455" s="8" t="s">
        <v>717</v>
      </c>
      <c r="G2455" s="8" t="s">
        <v>19</v>
      </c>
      <c r="H2455" s="8" t="s">
        <v>215</v>
      </c>
      <c r="I2455" s="3">
        <v>2</v>
      </c>
      <c r="J2455" s="8" t="s">
        <v>149</v>
      </c>
      <c r="K2455" s="8" t="s">
        <v>150</v>
      </c>
      <c r="L2455" s="8" t="s">
        <v>557</v>
      </c>
      <c r="M2455" s="1" t="s">
        <v>207</v>
      </c>
      <c r="N2455" s="8" t="s">
        <v>208</v>
      </c>
      <c r="O2455" s="6">
        <v>0</v>
      </c>
      <c r="P2455" s="6">
        <v>0</v>
      </c>
      <c r="Q2455" s="6">
        <v>0</v>
      </c>
      <c r="R2455" s="6">
        <v>0</v>
      </c>
      <c r="S2455" s="6">
        <v>80</v>
      </c>
    </row>
    <row r="2456" spans="1:19" ht="15" hidden="1" x14ac:dyDescent="0.25">
      <c r="A2456" s="7" t="s">
        <v>16</v>
      </c>
      <c r="B2456" s="7" t="s">
        <v>23</v>
      </c>
      <c r="C2456" s="7" t="s">
        <v>24</v>
      </c>
      <c r="D2456" s="4">
        <v>51722957010226</v>
      </c>
      <c r="E2456" s="8" t="s">
        <v>603</v>
      </c>
      <c r="F2456" s="8" t="s">
        <v>29</v>
      </c>
      <c r="G2456" s="8" t="s">
        <v>19</v>
      </c>
      <c r="H2456" s="8" t="s">
        <v>215</v>
      </c>
      <c r="I2456" s="3">
        <v>2</v>
      </c>
      <c r="J2456" s="8" t="s">
        <v>161</v>
      </c>
      <c r="K2456" s="8" t="s">
        <v>162</v>
      </c>
      <c r="L2456" s="8" t="s">
        <v>556</v>
      </c>
      <c r="M2456" s="1" t="s">
        <v>207</v>
      </c>
      <c r="N2456" s="8" t="s">
        <v>208</v>
      </c>
      <c r="O2456" s="6">
        <v>0</v>
      </c>
      <c r="P2456" s="6">
        <v>0</v>
      </c>
      <c r="Q2456" s="6">
        <v>0</v>
      </c>
      <c r="R2456" s="6">
        <v>3</v>
      </c>
      <c r="S2456" s="6">
        <v>0</v>
      </c>
    </row>
    <row r="2457" spans="1:19" ht="15" hidden="1" x14ac:dyDescent="0.25">
      <c r="A2457" s="7" t="s">
        <v>16</v>
      </c>
      <c r="B2457" s="7" t="s">
        <v>23</v>
      </c>
      <c r="C2457" s="7" t="s">
        <v>24</v>
      </c>
      <c r="D2457" s="4">
        <v>51722957010226</v>
      </c>
      <c r="E2457" s="8" t="s">
        <v>603</v>
      </c>
      <c r="F2457" s="8" t="s">
        <v>29</v>
      </c>
      <c r="G2457" s="8" t="s">
        <v>19</v>
      </c>
      <c r="H2457" s="8" t="s">
        <v>215</v>
      </c>
      <c r="I2457" s="3">
        <v>2</v>
      </c>
      <c r="J2457" s="8" t="s">
        <v>183</v>
      </c>
      <c r="K2457" s="8" t="s">
        <v>184</v>
      </c>
      <c r="L2457" s="8" t="s">
        <v>557</v>
      </c>
      <c r="M2457" s="1" t="s">
        <v>207</v>
      </c>
      <c r="N2457" s="8" t="s">
        <v>208</v>
      </c>
      <c r="O2457" s="6">
        <v>0</v>
      </c>
      <c r="P2457" s="6">
        <v>0</v>
      </c>
      <c r="Q2457" s="6">
        <v>0</v>
      </c>
      <c r="R2457" s="6">
        <v>0</v>
      </c>
      <c r="S2457" s="6">
        <v>0</v>
      </c>
    </row>
    <row r="2458" spans="1:19" ht="15" hidden="1" x14ac:dyDescent="0.25">
      <c r="A2458" s="7" t="s">
        <v>16</v>
      </c>
      <c r="B2458" s="7" t="s">
        <v>23</v>
      </c>
      <c r="C2458" s="7" t="s">
        <v>24</v>
      </c>
      <c r="D2458" s="4">
        <v>60992427000650</v>
      </c>
      <c r="E2458" s="8" t="s">
        <v>627</v>
      </c>
      <c r="F2458" s="8" t="s">
        <v>29</v>
      </c>
      <c r="G2458" s="8" t="s">
        <v>19</v>
      </c>
      <c r="H2458" s="8" t="s">
        <v>215</v>
      </c>
      <c r="I2458" s="3">
        <v>2</v>
      </c>
      <c r="J2458" s="8" t="s">
        <v>1355</v>
      </c>
      <c r="K2458" s="8" t="s">
        <v>1356</v>
      </c>
      <c r="L2458" s="8" t="s">
        <v>556</v>
      </c>
      <c r="M2458" s="1" t="s">
        <v>207</v>
      </c>
      <c r="N2458" s="8" t="s">
        <v>208</v>
      </c>
      <c r="O2458" s="6">
        <v>0</v>
      </c>
      <c r="P2458" s="6">
        <v>0</v>
      </c>
      <c r="Q2458" s="6">
        <v>0</v>
      </c>
      <c r="R2458" s="6">
        <v>0</v>
      </c>
      <c r="S2458" s="6">
        <v>0</v>
      </c>
    </row>
    <row r="2459" spans="1:19" ht="15" hidden="1" x14ac:dyDescent="0.25">
      <c r="A2459" s="7" t="s">
        <v>16</v>
      </c>
      <c r="B2459" s="7" t="s">
        <v>23</v>
      </c>
      <c r="C2459" s="7" t="s">
        <v>24</v>
      </c>
      <c r="D2459" s="4">
        <v>60992427000650</v>
      </c>
      <c r="E2459" s="8" t="s">
        <v>627</v>
      </c>
      <c r="F2459" s="8" t="s">
        <v>29</v>
      </c>
      <c r="G2459" s="8" t="s">
        <v>19</v>
      </c>
      <c r="H2459" s="8" t="s">
        <v>215</v>
      </c>
      <c r="I2459" s="3">
        <v>2</v>
      </c>
      <c r="J2459" s="8" t="s">
        <v>147</v>
      </c>
      <c r="K2459" s="8" t="s">
        <v>148</v>
      </c>
      <c r="L2459" s="8" t="s">
        <v>557</v>
      </c>
      <c r="M2459" s="1" t="s">
        <v>207</v>
      </c>
      <c r="N2459" s="8" t="s">
        <v>208</v>
      </c>
      <c r="O2459" s="6">
        <v>0</v>
      </c>
      <c r="P2459" s="6">
        <v>0</v>
      </c>
      <c r="Q2459" s="6">
        <v>0</v>
      </c>
      <c r="R2459" s="6">
        <v>0</v>
      </c>
      <c r="S2459" s="6">
        <v>0</v>
      </c>
    </row>
    <row r="2460" spans="1:19" ht="15" hidden="1" x14ac:dyDescent="0.25">
      <c r="A2460" s="7" t="s">
        <v>16</v>
      </c>
      <c r="B2460" s="7" t="s">
        <v>23</v>
      </c>
      <c r="C2460" s="7" t="s">
        <v>24</v>
      </c>
      <c r="D2460" s="4">
        <v>2383508000494</v>
      </c>
      <c r="E2460" s="8" t="s">
        <v>562</v>
      </c>
      <c r="F2460" s="8" t="s">
        <v>29</v>
      </c>
      <c r="G2460" s="8" t="s">
        <v>19</v>
      </c>
      <c r="H2460" s="8" t="s">
        <v>215</v>
      </c>
      <c r="I2460" s="3">
        <v>2</v>
      </c>
      <c r="J2460" s="8" t="s">
        <v>161</v>
      </c>
      <c r="K2460" s="8" t="s">
        <v>162</v>
      </c>
      <c r="L2460" s="8" t="s">
        <v>556</v>
      </c>
      <c r="M2460" s="1" t="s">
        <v>207</v>
      </c>
      <c r="N2460" s="8" t="s">
        <v>208</v>
      </c>
      <c r="O2460" s="6">
        <v>0</v>
      </c>
      <c r="P2460" s="6">
        <v>0</v>
      </c>
      <c r="Q2460" s="6">
        <v>0</v>
      </c>
      <c r="R2460" s="6">
        <v>43</v>
      </c>
      <c r="S2460" s="6">
        <v>160</v>
      </c>
    </row>
    <row r="2461" spans="1:19" ht="15" hidden="1" x14ac:dyDescent="0.25">
      <c r="A2461" s="7" t="s">
        <v>16</v>
      </c>
      <c r="B2461" s="7" t="s">
        <v>23</v>
      </c>
      <c r="C2461" s="7" t="s">
        <v>24</v>
      </c>
      <c r="D2461" s="4">
        <v>2383508000494</v>
      </c>
      <c r="E2461" s="8" t="s">
        <v>562</v>
      </c>
      <c r="F2461" s="8" t="s">
        <v>29</v>
      </c>
      <c r="G2461" s="8" t="s">
        <v>19</v>
      </c>
      <c r="H2461" s="8" t="s">
        <v>215</v>
      </c>
      <c r="I2461" s="3">
        <v>2</v>
      </c>
      <c r="J2461" s="8" t="s">
        <v>147</v>
      </c>
      <c r="K2461" s="8" t="s">
        <v>148</v>
      </c>
      <c r="L2461" s="8" t="s">
        <v>557</v>
      </c>
      <c r="M2461" s="1" t="s">
        <v>207</v>
      </c>
      <c r="N2461" s="8" t="s">
        <v>208</v>
      </c>
      <c r="O2461" s="6">
        <v>0</v>
      </c>
      <c r="P2461" s="6">
        <v>0</v>
      </c>
      <c r="Q2461" s="6">
        <v>0</v>
      </c>
      <c r="R2461" s="6">
        <v>0</v>
      </c>
      <c r="S2461" s="6">
        <v>160</v>
      </c>
    </row>
    <row r="2462" spans="1:19" ht="15" hidden="1" x14ac:dyDescent="0.25">
      <c r="A2462" s="7" t="s">
        <v>16</v>
      </c>
      <c r="B2462" s="7" t="s">
        <v>23</v>
      </c>
      <c r="C2462" s="7" t="s">
        <v>24</v>
      </c>
      <c r="D2462" s="4">
        <v>8871521000126</v>
      </c>
      <c r="E2462" s="8" t="s">
        <v>577</v>
      </c>
      <c r="F2462" s="8" t="s">
        <v>29</v>
      </c>
      <c r="G2462" s="8" t="s">
        <v>19</v>
      </c>
      <c r="H2462" s="8" t="s">
        <v>215</v>
      </c>
      <c r="I2462" s="3">
        <v>2</v>
      </c>
      <c r="J2462" s="8" t="s">
        <v>1355</v>
      </c>
      <c r="K2462" s="8" t="s">
        <v>1356</v>
      </c>
      <c r="L2462" s="8" t="s">
        <v>556</v>
      </c>
      <c r="M2462" s="1" t="s">
        <v>207</v>
      </c>
      <c r="N2462" s="8" t="s">
        <v>208</v>
      </c>
      <c r="O2462" s="6">
        <v>0</v>
      </c>
      <c r="P2462" s="6">
        <v>0</v>
      </c>
      <c r="Q2462" s="6">
        <v>0</v>
      </c>
      <c r="R2462" s="6">
        <v>0</v>
      </c>
      <c r="S2462" s="6">
        <v>870</v>
      </c>
    </row>
    <row r="2463" spans="1:19" ht="15" hidden="1" x14ac:dyDescent="0.25">
      <c r="A2463" s="7" t="s">
        <v>16</v>
      </c>
      <c r="B2463" s="7" t="s">
        <v>23</v>
      </c>
      <c r="C2463" s="7" t="s">
        <v>24</v>
      </c>
      <c r="D2463" s="4">
        <v>8871521000126</v>
      </c>
      <c r="E2463" s="8" t="s">
        <v>577</v>
      </c>
      <c r="F2463" s="8" t="s">
        <v>29</v>
      </c>
      <c r="G2463" s="8" t="s">
        <v>19</v>
      </c>
      <c r="H2463" s="8" t="s">
        <v>215</v>
      </c>
      <c r="I2463" s="3">
        <v>2</v>
      </c>
      <c r="J2463" s="8" t="s">
        <v>177</v>
      </c>
      <c r="K2463" s="8" t="s">
        <v>178</v>
      </c>
      <c r="L2463" s="8" t="s">
        <v>557</v>
      </c>
      <c r="M2463" s="1" t="s">
        <v>207</v>
      </c>
      <c r="N2463" s="8" t="s">
        <v>208</v>
      </c>
      <c r="O2463" s="6">
        <v>0</v>
      </c>
      <c r="P2463" s="6">
        <v>0</v>
      </c>
      <c r="Q2463" s="6">
        <v>0</v>
      </c>
      <c r="R2463" s="6">
        <v>0</v>
      </c>
      <c r="S2463" s="6">
        <v>870</v>
      </c>
    </row>
    <row r="2464" spans="1:19" ht="15" hidden="1" x14ac:dyDescent="0.25">
      <c r="A2464" s="7" t="s">
        <v>16</v>
      </c>
      <c r="B2464" s="7" t="s">
        <v>23</v>
      </c>
      <c r="C2464" s="7" t="s">
        <v>24</v>
      </c>
      <c r="D2464" s="4">
        <v>59481028000130</v>
      </c>
      <c r="E2464" s="8" t="s">
        <v>608</v>
      </c>
      <c r="F2464" s="8" t="s">
        <v>29</v>
      </c>
      <c r="G2464" s="8" t="s">
        <v>19</v>
      </c>
      <c r="H2464" s="8" t="s">
        <v>215</v>
      </c>
      <c r="I2464" s="3">
        <v>2</v>
      </c>
      <c r="J2464" s="8" t="s">
        <v>161</v>
      </c>
      <c r="K2464" s="8" t="s">
        <v>162</v>
      </c>
      <c r="L2464" s="8" t="s">
        <v>556</v>
      </c>
      <c r="M2464" s="1" t="s">
        <v>207</v>
      </c>
      <c r="N2464" s="8" t="s">
        <v>208</v>
      </c>
      <c r="O2464" s="6">
        <v>0</v>
      </c>
      <c r="P2464" s="6">
        <v>0</v>
      </c>
      <c r="Q2464" s="6">
        <v>0</v>
      </c>
      <c r="R2464" s="6">
        <v>0</v>
      </c>
      <c r="S2464" s="6">
        <v>30</v>
      </c>
    </row>
    <row r="2465" spans="1:19" ht="15" hidden="1" x14ac:dyDescent="0.25">
      <c r="A2465" s="7" t="s">
        <v>16</v>
      </c>
      <c r="B2465" s="7" t="s">
        <v>23</v>
      </c>
      <c r="C2465" s="7" t="s">
        <v>24</v>
      </c>
      <c r="D2465" s="4">
        <v>59481028000130</v>
      </c>
      <c r="E2465" s="8" t="s">
        <v>608</v>
      </c>
      <c r="F2465" s="8" t="s">
        <v>29</v>
      </c>
      <c r="G2465" s="8" t="s">
        <v>19</v>
      </c>
      <c r="H2465" s="8" t="s">
        <v>215</v>
      </c>
      <c r="I2465" s="3">
        <v>2</v>
      </c>
      <c r="J2465" s="8" t="s">
        <v>147</v>
      </c>
      <c r="K2465" s="8" t="s">
        <v>148</v>
      </c>
      <c r="L2465" s="8" t="s">
        <v>557</v>
      </c>
      <c r="M2465" s="1" t="s">
        <v>207</v>
      </c>
      <c r="N2465" s="8" t="s">
        <v>208</v>
      </c>
      <c r="O2465" s="6">
        <v>0</v>
      </c>
      <c r="P2465" s="6">
        <v>0</v>
      </c>
      <c r="Q2465" s="6">
        <v>0</v>
      </c>
      <c r="R2465" s="6">
        <v>0</v>
      </c>
      <c r="S2465" s="6">
        <v>30</v>
      </c>
    </row>
    <row r="2466" spans="1:19" ht="15" hidden="1" x14ac:dyDescent="0.25">
      <c r="A2466" s="7" t="s">
        <v>16</v>
      </c>
      <c r="B2466" s="7" t="s">
        <v>23</v>
      </c>
      <c r="C2466" s="7" t="s">
        <v>24</v>
      </c>
      <c r="D2466" s="4">
        <v>43775956000178</v>
      </c>
      <c r="E2466" s="8" t="s">
        <v>597</v>
      </c>
      <c r="F2466" s="8" t="s">
        <v>29</v>
      </c>
      <c r="G2466" s="8" t="s">
        <v>19</v>
      </c>
      <c r="H2466" s="8" t="s">
        <v>215</v>
      </c>
      <c r="I2466" s="3">
        <v>2</v>
      </c>
      <c r="J2466" s="8" t="s">
        <v>1355</v>
      </c>
      <c r="K2466" s="8" t="s">
        <v>1356</v>
      </c>
      <c r="L2466" s="8" t="s">
        <v>556</v>
      </c>
      <c r="M2466" s="1" t="s">
        <v>207</v>
      </c>
      <c r="N2466" s="8" t="s">
        <v>208</v>
      </c>
      <c r="O2466" s="6">
        <v>0</v>
      </c>
      <c r="P2466" s="6">
        <v>0</v>
      </c>
      <c r="Q2466" s="6">
        <v>0</v>
      </c>
      <c r="R2466" s="6">
        <v>0</v>
      </c>
      <c r="S2466" s="6">
        <v>30</v>
      </c>
    </row>
    <row r="2467" spans="1:19" ht="15" hidden="1" x14ac:dyDescent="0.25">
      <c r="A2467" s="7" t="s">
        <v>16</v>
      </c>
      <c r="B2467" s="7" t="s">
        <v>23</v>
      </c>
      <c r="C2467" s="7" t="s">
        <v>24</v>
      </c>
      <c r="D2467" s="4">
        <v>43775956000178</v>
      </c>
      <c r="E2467" s="8" t="s">
        <v>597</v>
      </c>
      <c r="F2467" s="8" t="s">
        <v>29</v>
      </c>
      <c r="G2467" s="8" t="s">
        <v>19</v>
      </c>
      <c r="H2467" s="8" t="s">
        <v>215</v>
      </c>
      <c r="I2467" s="3">
        <v>2</v>
      </c>
      <c r="J2467" s="8" t="s">
        <v>177</v>
      </c>
      <c r="K2467" s="8" t="s">
        <v>178</v>
      </c>
      <c r="L2467" s="8" t="s">
        <v>557</v>
      </c>
      <c r="M2467" s="1" t="s">
        <v>207</v>
      </c>
      <c r="N2467" s="8" t="s">
        <v>208</v>
      </c>
      <c r="O2467" s="6">
        <v>0</v>
      </c>
      <c r="P2467" s="6">
        <v>0</v>
      </c>
      <c r="Q2467" s="6">
        <v>0</v>
      </c>
      <c r="R2467" s="6">
        <v>0</v>
      </c>
      <c r="S2467" s="6">
        <v>30</v>
      </c>
    </row>
    <row r="2468" spans="1:19" ht="15" hidden="1" x14ac:dyDescent="0.25">
      <c r="A2468" s="7" t="s">
        <v>16</v>
      </c>
      <c r="B2468" s="7" t="s">
        <v>23</v>
      </c>
      <c r="C2468" s="7" t="s">
        <v>24</v>
      </c>
      <c r="D2468" s="4">
        <v>10468341000220</v>
      </c>
      <c r="E2468" s="8" t="s">
        <v>582</v>
      </c>
      <c r="F2468" s="8" t="s">
        <v>29</v>
      </c>
      <c r="G2468" s="8" t="s">
        <v>19</v>
      </c>
      <c r="H2468" s="8" t="s">
        <v>215</v>
      </c>
      <c r="I2468" s="3">
        <v>2</v>
      </c>
      <c r="J2468" s="8" t="s">
        <v>161</v>
      </c>
      <c r="K2468" s="8" t="s">
        <v>162</v>
      </c>
      <c r="L2468" s="8" t="s">
        <v>556</v>
      </c>
      <c r="M2468" s="1" t="s">
        <v>207</v>
      </c>
      <c r="N2468" s="8" t="s">
        <v>208</v>
      </c>
      <c r="O2468" s="6">
        <v>0</v>
      </c>
      <c r="P2468" s="6">
        <v>0</v>
      </c>
      <c r="Q2468" s="6">
        <v>0</v>
      </c>
      <c r="R2468" s="6">
        <v>24</v>
      </c>
      <c r="S2468" s="6">
        <v>950</v>
      </c>
    </row>
    <row r="2469" spans="1:19" ht="15" hidden="1" x14ac:dyDescent="0.25">
      <c r="A2469" s="7" t="s">
        <v>16</v>
      </c>
      <c r="B2469" s="7" t="s">
        <v>23</v>
      </c>
      <c r="C2469" s="7" t="s">
        <v>24</v>
      </c>
      <c r="D2469" s="4">
        <v>10468341000220</v>
      </c>
      <c r="E2469" s="8" t="s">
        <v>582</v>
      </c>
      <c r="F2469" s="8" t="s">
        <v>29</v>
      </c>
      <c r="G2469" s="8" t="s">
        <v>19</v>
      </c>
      <c r="H2469" s="8" t="s">
        <v>215</v>
      </c>
      <c r="I2469" s="3">
        <v>2</v>
      </c>
      <c r="J2469" s="8" t="s">
        <v>183</v>
      </c>
      <c r="K2469" s="8" t="s">
        <v>184</v>
      </c>
      <c r="L2469" s="8" t="s">
        <v>557</v>
      </c>
      <c r="M2469" s="1" t="s">
        <v>207</v>
      </c>
      <c r="N2469" s="8" t="s">
        <v>208</v>
      </c>
      <c r="O2469" s="6">
        <v>0</v>
      </c>
      <c r="P2469" s="6">
        <v>0</v>
      </c>
      <c r="Q2469" s="6">
        <v>0</v>
      </c>
      <c r="R2469" s="6">
        <v>0</v>
      </c>
      <c r="S2469" s="6">
        <v>950</v>
      </c>
    </row>
    <row r="2470" spans="1:19" ht="15" hidden="1" x14ac:dyDescent="0.25">
      <c r="A2470" s="7" t="s">
        <v>16</v>
      </c>
      <c r="B2470" s="7" t="s">
        <v>23</v>
      </c>
      <c r="C2470" s="7" t="s">
        <v>24</v>
      </c>
      <c r="D2470" s="4">
        <v>10468341000140</v>
      </c>
      <c r="E2470" s="8" t="s">
        <v>581</v>
      </c>
      <c r="F2470" s="8" t="s">
        <v>29</v>
      </c>
      <c r="G2470" s="8" t="s">
        <v>19</v>
      </c>
      <c r="H2470" s="8" t="s">
        <v>215</v>
      </c>
      <c r="I2470" s="3">
        <v>2</v>
      </c>
      <c r="J2470" s="8" t="s">
        <v>161</v>
      </c>
      <c r="K2470" s="8" t="s">
        <v>162</v>
      </c>
      <c r="L2470" s="8" t="s">
        <v>556</v>
      </c>
      <c r="M2470" s="1" t="s">
        <v>207</v>
      </c>
      <c r="N2470" s="8" t="s">
        <v>208</v>
      </c>
      <c r="O2470" s="6">
        <v>0</v>
      </c>
      <c r="P2470" s="6">
        <v>0</v>
      </c>
      <c r="Q2470" s="6">
        <v>0</v>
      </c>
      <c r="R2470" s="6">
        <v>12</v>
      </c>
      <c r="S2470" s="6">
        <v>1100</v>
      </c>
    </row>
    <row r="2471" spans="1:19" ht="15" hidden="1" x14ac:dyDescent="0.25">
      <c r="A2471" s="7" t="s">
        <v>16</v>
      </c>
      <c r="B2471" s="7" t="s">
        <v>23</v>
      </c>
      <c r="C2471" s="7" t="s">
        <v>24</v>
      </c>
      <c r="D2471" s="4">
        <v>10468341000140</v>
      </c>
      <c r="E2471" s="8" t="s">
        <v>581</v>
      </c>
      <c r="F2471" s="8" t="s">
        <v>29</v>
      </c>
      <c r="G2471" s="8" t="s">
        <v>19</v>
      </c>
      <c r="H2471" s="8" t="s">
        <v>215</v>
      </c>
      <c r="I2471" s="3">
        <v>2</v>
      </c>
      <c r="J2471" s="8" t="s">
        <v>183</v>
      </c>
      <c r="K2471" s="8" t="s">
        <v>184</v>
      </c>
      <c r="L2471" s="8" t="s">
        <v>557</v>
      </c>
      <c r="M2471" s="1" t="s">
        <v>207</v>
      </c>
      <c r="N2471" s="8" t="s">
        <v>208</v>
      </c>
      <c r="O2471" s="6">
        <v>0</v>
      </c>
      <c r="P2471" s="6">
        <v>0</v>
      </c>
      <c r="Q2471" s="6">
        <v>0</v>
      </c>
      <c r="R2471" s="6">
        <v>0</v>
      </c>
      <c r="S2471" s="6">
        <v>1100</v>
      </c>
    </row>
    <row r="2472" spans="1:19" ht="15" hidden="1" x14ac:dyDescent="0.25">
      <c r="A2472" s="7" t="s">
        <v>16</v>
      </c>
      <c r="B2472" s="7" t="s">
        <v>23</v>
      </c>
      <c r="C2472" s="7" t="s">
        <v>24</v>
      </c>
      <c r="D2472" s="4">
        <v>29435005009932</v>
      </c>
      <c r="E2472" s="8" t="s">
        <v>595</v>
      </c>
      <c r="F2472" s="8" t="s">
        <v>29</v>
      </c>
      <c r="G2472" s="8" t="s">
        <v>19</v>
      </c>
      <c r="H2472" s="8" t="s">
        <v>215</v>
      </c>
      <c r="I2472" s="3">
        <v>2</v>
      </c>
      <c r="J2472" s="8" t="s">
        <v>1355</v>
      </c>
      <c r="K2472" s="8" t="s">
        <v>1356</v>
      </c>
      <c r="L2472" s="8" t="s">
        <v>556</v>
      </c>
      <c r="M2472" s="1" t="s">
        <v>207</v>
      </c>
      <c r="N2472" s="8" t="s">
        <v>208</v>
      </c>
      <c r="O2472" s="6">
        <v>0</v>
      </c>
      <c r="P2472" s="6">
        <v>0</v>
      </c>
      <c r="Q2472" s="6">
        <v>0</v>
      </c>
      <c r="R2472" s="6">
        <v>0</v>
      </c>
      <c r="S2472" s="6">
        <v>650</v>
      </c>
    </row>
    <row r="2473" spans="1:19" ht="15" hidden="1" x14ac:dyDescent="0.25">
      <c r="A2473" s="7" t="s">
        <v>16</v>
      </c>
      <c r="B2473" s="7" t="s">
        <v>23</v>
      </c>
      <c r="C2473" s="7" t="s">
        <v>24</v>
      </c>
      <c r="D2473" s="4">
        <v>29435005009932</v>
      </c>
      <c r="E2473" s="8" t="s">
        <v>595</v>
      </c>
      <c r="F2473" s="8" t="s">
        <v>29</v>
      </c>
      <c r="G2473" s="8" t="s">
        <v>19</v>
      </c>
      <c r="H2473" s="8" t="s">
        <v>215</v>
      </c>
      <c r="I2473" s="3">
        <v>2</v>
      </c>
      <c r="J2473" s="8" t="s">
        <v>147</v>
      </c>
      <c r="K2473" s="8" t="s">
        <v>148</v>
      </c>
      <c r="L2473" s="8" t="s">
        <v>557</v>
      </c>
      <c r="M2473" s="1" t="s">
        <v>207</v>
      </c>
      <c r="N2473" s="8" t="s">
        <v>208</v>
      </c>
      <c r="O2473" s="6">
        <v>0</v>
      </c>
      <c r="P2473" s="6">
        <v>0</v>
      </c>
      <c r="Q2473" s="6">
        <v>30</v>
      </c>
      <c r="R2473" s="6">
        <v>0</v>
      </c>
      <c r="S2473" s="6">
        <v>650</v>
      </c>
    </row>
    <row r="2474" spans="1:19" ht="15" hidden="1" x14ac:dyDescent="0.25">
      <c r="A2474" s="7" t="s">
        <v>16</v>
      </c>
      <c r="B2474" s="7" t="s">
        <v>23</v>
      </c>
      <c r="C2474" s="7" t="s">
        <v>24</v>
      </c>
      <c r="D2474" s="4">
        <v>10323381000101</v>
      </c>
      <c r="E2474" s="8" t="s">
        <v>580</v>
      </c>
      <c r="F2474" s="8" t="s">
        <v>29</v>
      </c>
      <c r="G2474" s="8" t="s">
        <v>19</v>
      </c>
      <c r="H2474" s="8" t="s">
        <v>215</v>
      </c>
      <c r="I2474" s="3">
        <v>2</v>
      </c>
      <c r="J2474" s="8" t="s">
        <v>161</v>
      </c>
      <c r="K2474" s="8" t="s">
        <v>162</v>
      </c>
      <c r="L2474" s="8" t="s">
        <v>556</v>
      </c>
      <c r="M2474" s="1" t="s">
        <v>207</v>
      </c>
      <c r="N2474" s="8" t="s">
        <v>208</v>
      </c>
      <c r="O2474" s="6">
        <v>0</v>
      </c>
      <c r="P2474" s="6">
        <v>0</v>
      </c>
      <c r="Q2474" s="6">
        <v>0</v>
      </c>
      <c r="R2474" s="6">
        <v>2</v>
      </c>
      <c r="S2474" s="6">
        <v>0</v>
      </c>
    </row>
    <row r="2475" spans="1:19" ht="15" hidden="1" x14ac:dyDescent="0.25">
      <c r="A2475" s="7" t="s">
        <v>16</v>
      </c>
      <c r="B2475" s="7" t="s">
        <v>23</v>
      </c>
      <c r="C2475" s="7" t="s">
        <v>24</v>
      </c>
      <c r="D2475" s="4">
        <v>10323381000101</v>
      </c>
      <c r="E2475" s="8" t="s">
        <v>580</v>
      </c>
      <c r="F2475" s="8" t="s">
        <v>29</v>
      </c>
      <c r="G2475" s="8" t="s">
        <v>19</v>
      </c>
      <c r="H2475" s="8" t="s">
        <v>215</v>
      </c>
      <c r="I2475" s="3">
        <v>2</v>
      </c>
      <c r="J2475" s="8" t="s">
        <v>147</v>
      </c>
      <c r="K2475" s="8" t="s">
        <v>148</v>
      </c>
      <c r="L2475" s="8" t="s">
        <v>557</v>
      </c>
      <c r="M2475" s="1" t="s">
        <v>207</v>
      </c>
      <c r="N2475" s="8" t="s">
        <v>208</v>
      </c>
      <c r="O2475" s="6">
        <v>0</v>
      </c>
      <c r="P2475" s="6">
        <v>0</v>
      </c>
      <c r="Q2475" s="6">
        <v>0</v>
      </c>
      <c r="R2475" s="6">
        <v>0</v>
      </c>
      <c r="S2475" s="6">
        <v>0</v>
      </c>
    </row>
    <row r="2476" spans="1:19" ht="15" hidden="1" x14ac:dyDescent="0.25">
      <c r="A2476" s="7" t="s">
        <v>16</v>
      </c>
      <c r="B2476" s="7" t="s">
        <v>23</v>
      </c>
      <c r="C2476" s="7" t="s">
        <v>24</v>
      </c>
      <c r="D2476" s="4">
        <v>3872790000193</v>
      </c>
      <c r="E2476" s="8" t="s">
        <v>564</v>
      </c>
      <c r="F2476" s="8" t="s">
        <v>29</v>
      </c>
      <c r="G2476" s="8" t="s">
        <v>19</v>
      </c>
      <c r="H2476" s="8" t="s">
        <v>215</v>
      </c>
      <c r="I2476" s="3">
        <v>2</v>
      </c>
      <c r="J2476" s="8" t="s">
        <v>161</v>
      </c>
      <c r="K2476" s="8" t="s">
        <v>162</v>
      </c>
      <c r="L2476" s="8" t="s">
        <v>556</v>
      </c>
      <c r="M2476" s="1" t="s">
        <v>207</v>
      </c>
      <c r="N2476" s="8" t="s">
        <v>208</v>
      </c>
      <c r="O2476" s="6">
        <v>0</v>
      </c>
      <c r="P2476" s="6">
        <v>0</v>
      </c>
      <c r="Q2476" s="6">
        <v>0</v>
      </c>
      <c r="R2476" s="6">
        <v>12</v>
      </c>
      <c r="S2476" s="6">
        <v>0</v>
      </c>
    </row>
    <row r="2477" spans="1:19" ht="15" hidden="1" x14ac:dyDescent="0.25">
      <c r="A2477" s="7" t="s">
        <v>16</v>
      </c>
      <c r="B2477" s="7" t="s">
        <v>23</v>
      </c>
      <c r="C2477" s="7" t="s">
        <v>24</v>
      </c>
      <c r="D2477" s="4">
        <v>3872790000193</v>
      </c>
      <c r="E2477" s="8" t="s">
        <v>564</v>
      </c>
      <c r="F2477" s="8" t="s">
        <v>29</v>
      </c>
      <c r="G2477" s="8" t="s">
        <v>19</v>
      </c>
      <c r="H2477" s="8" t="s">
        <v>215</v>
      </c>
      <c r="I2477" s="3">
        <v>2</v>
      </c>
      <c r="J2477" s="8" t="s">
        <v>147</v>
      </c>
      <c r="K2477" s="8" t="s">
        <v>148</v>
      </c>
      <c r="L2477" s="8" t="s">
        <v>557</v>
      </c>
      <c r="M2477" s="1" t="s">
        <v>207</v>
      </c>
      <c r="N2477" s="8" t="s">
        <v>208</v>
      </c>
      <c r="O2477" s="6">
        <v>0</v>
      </c>
      <c r="P2477" s="6">
        <v>0</v>
      </c>
      <c r="Q2477" s="6">
        <v>0</v>
      </c>
      <c r="R2477" s="6">
        <v>0</v>
      </c>
      <c r="S2477" s="6">
        <v>0</v>
      </c>
    </row>
    <row r="2478" spans="1:19" ht="15" hidden="1" x14ac:dyDescent="0.25">
      <c r="A2478" s="7" t="s">
        <v>16</v>
      </c>
      <c r="B2478" s="7" t="s">
        <v>23</v>
      </c>
      <c r="C2478" s="7" t="s">
        <v>24</v>
      </c>
      <c r="D2478" s="4">
        <v>10475230000160</v>
      </c>
      <c r="E2478" s="8" t="s">
        <v>583</v>
      </c>
      <c r="F2478" s="8" t="s">
        <v>29</v>
      </c>
      <c r="G2478" s="8" t="s">
        <v>19</v>
      </c>
      <c r="H2478" s="8" t="s">
        <v>215</v>
      </c>
      <c r="I2478" s="3">
        <v>2</v>
      </c>
      <c r="J2478" s="8" t="s">
        <v>161</v>
      </c>
      <c r="K2478" s="8" t="s">
        <v>162</v>
      </c>
      <c r="L2478" s="8" t="s">
        <v>556</v>
      </c>
      <c r="M2478" s="1" t="s">
        <v>207</v>
      </c>
      <c r="N2478" s="8" t="s">
        <v>208</v>
      </c>
      <c r="O2478" s="6">
        <v>0</v>
      </c>
      <c r="P2478" s="6">
        <v>0</v>
      </c>
      <c r="Q2478" s="6">
        <v>0</v>
      </c>
      <c r="R2478" s="6">
        <v>0</v>
      </c>
      <c r="S2478" s="6">
        <v>45</v>
      </c>
    </row>
    <row r="2479" spans="1:19" ht="15" hidden="1" x14ac:dyDescent="0.25">
      <c r="A2479" s="7" t="s">
        <v>16</v>
      </c>
      <c r="B2479" s="7" t="s">
        <v>23</v>
      </c>
      <c r="C2479" s="7" t="s">
        <v>24</v>
      </c>
      <c r="D2479" s="4">
        <v>10475230000160</v>
      </c>
      <c r="E2479" s="8" t="s">
        <v>583</v>
      </c>
      <c r="F2479" s="8" t="s">
        <v>29</v>
      </c>
      <c r="G2479" s="8" t="s">
        <v>19</v>
      </c>
      <c r="H2479" s="8" t="s">
        <v>215</v>
      </c>
      <c r="I2479" s="3">
        <v>2</v>
      </c>
      <c r="J2479" s="8" t="s">
        <v>177</v>
      </c>
      <c r="K2479" s="8" t="s">
        <v>178</v>
      </c>
      <c r="L2479" s="8" t="s">
        <v>557</v>
      </c>
      <c r="M2479" s="1" t="s">
        <v>207</v>
      </c>
      <c r="N2479" s="8" t="s">
        <v>208</v>
      </c>
      <c r="O2479" s="6">
        <v>0</v>
      </c>
      <c r="P2479" s="6">
        <v>0</v>
      </c>
      <c r="Q2479" s="6">
        <v>0</v>
      </c>
      <c r="R2479" s="6">
        <v>0</v>
      </c>
      <c r="S2479" s="6">
        <v>45</v>
      </c>
    </row>
    <row r="2480" spans="1:19" ht="15" hidden="1" x14ac:dyDescent="0.25">
      <c r="A2480" s="7" t="s">
        <v>16</v>
      </c>
      <c r="B2480" s="7" t="s">
        <v>23</v>
      </c>
      <c r="C2480" s="7" t="s">
        <v>24</v>
      </c>
      <c r="D2480" s="4">
        <v>603226000187</v>
      </c>
      <c r="E2480" s="8" t="s">
        <v>561</v>
      </c>
      <c r="F2480" s="8" t="s">
        <v>29</v>
      </c>
      <c r="G2480" s="8" t="s">
        <v>19</v>
      </c>
      <c r="H2480" s="8" t="s">
        <v>215</v>
      </c>
      <c r="I2480" s="3">
        <v>2</v>
      </c>
      <c r="J2480" s="8" t="s">
        <v>161</v>
      </c>
      <c r="K2480" s="8" t="s">
        <v>162</v>
      </c>
      <c r="L2480" s="8" t="s">
        <v>556</v>
      </c>
      <c r="M2480" s="1" t="s">
        <v>207</v>
      </c>
      <c r="N2480" s="8" t="s">
        <v>208</v>
      </c>
      <c r="O2480" s="6">
        <v>0</v>
      </c>
      <c r="P2480" s="6">
        <v>0</v>
      </c>
      <c r="Q2480" s="6">
        <v>0</v>
      </c>
      <c r="R2480" s="6">
        <v>28</v>
      </c>
      <c r="S2480" s="6">
        <v>0</v>
      </c>
    </row>
    <row r="2481" spans="1:19" ht="15" hidden="1" x14ac:dyDescent="0.25">
      <c r="A2481" s="7" t="s">
        <v>16</v>
      </c>
      <c r="B2481" s="7" t="s">
        <v>23</v>
      </c>
      <c r="C2481" s="7" t="s">
        <v>24</v>
      </c>
      <c r="D2481" s="4">
        <v>603226000187</v>
      </c>
      <c r="E2481" s="8" t="s">
        <v>561</v>
      </c>
      <c r="F2481" s="8" t="s">
        <v>29</v>
      </c>
      <c r="G2481" s="8" t="s">
        <v>19</v>
      </c>
      <c r="H2481" s="8" t="s">
        <v>215</v>
      </c>
      <c r="I2481" s="3">
        <v>2</v>
      </c>
      <c r="J2481" s="8" t="s">
        <v>177</v>
      </c>
      <c r="K2481" s="8" t="s">
        <v>178</v>
      </c>
      <c r="L2481" s="8" t="s">
        <v>557</v>
      </c>
      <c r="M2481" s="1" t="s">
        <v>207</v>
      </c>
      <c r="N2481" s="8" t="s">
        <v>208</v>
      </c>
      <c r="O2481" s="6">
        <v>0</v>
      </c>
      <c r="P2481" s="6">
        <v>0</v>
      </c>
      <c r="Q2481" s="6">
        <v>0</v>
      </c>
      <c r="R2481" s="6">
        <v>0</v>
      </c>
      <c r="S2481" s="6">
        <v>0</v>
      </c>
    </row>
    <row r="2482" spans="1:19" ht="15" hidden="1" x14ac:dyDescent="0.25">
      <c r="A2482" s="7" t="s">
        <v>16</v>
      </c>
      <c r="B2482" s="7" t="s">
        <v>23</v>
      </c>
      <c r="C2482" s="7" t="s">
        <v>24</v>
      </c>
      <c r="D2482" s="4">
        <v>60884855000316</v>
      </c>
      <c r="E2482" s="8" t="s">
        <v>617</v>
      </c>
      <c r="F2482" s="8" t="s">
        <v>29</v>
      </c>
      <c r="G2482" s="8" t="s">
        <v>19</v>
      </c>
      <c r="H2482" s="8" t="s">
        <v>215</v>
      </c>
      <c r="I2482" s="3">
        <v>2</v>
      </c>
      <c r="J2482" s="8" t="s">
        <v>1355</v>
      </c>
      <c r="K2482" s="8" t="s">
        <v>1356</v>
      </c>
      <c r="L2482" s="8" t="s">
        <v>556</v>
      </c>
      <c r="M2482" s="1" t="s">
        <v>207</v>
      </c>
      <c r="N2482" s="8" t="s">
        <v>208</v>
      </c>
      <c r="O2482" s="6">
        <v>0</v>
      </c>
      <c r="P2482" s="6">
        <v>0</v>
      </c>
      <c r="Q2482" s="6">
        <v>0</v>
      </c>
      <c r="R2482" s="6">
        <v>40</v>
      </c>
      <c r="S2482" s="6">
        <v>1695</v>
      </c>
    </row>
    <row r="2483" spans="1:19" ht="15" hidden="1" x14ac:dyDescent="0.25">
      <c r="A2483" s="7" t="s">
        <v>16</v>
      </c>
      <c r="B2483" s="7" t="s">
        <v>23</v>
      </c>
      <c r="C2483" s="7" t="s">
        <v>24</v>
      </c>
      <c r="D2483" s="4">
        <v>60884855000316</v>
      </c>
      <c r="E2483" s="8" t="s">
        <v>617</v>
      </c>
      <c r="F2483" s="8" t="s">
        <v>29</v>
      </c>
      <c r="G2483" s="8" t="s">
        <v>19</v>
      </c>
      <c r="H2483" s="8" t="s">
        <v>215</v>
      </c>
      <c r="I2483" s="3">
        <v>2</v>
      </c>
      <c r="J2483" s="8" t="s">
        <v>183</v>
      </c>
      <c r="K2483" s="8" t="s">
        <v>184</v>
      </c>
      <c r="L2483" s="8" t="s">
        <v>557</v>
      </c>
      <c r="M2483" s="1" t="s">
        <v>207</v>
      </c>
      <c r="N2483" s="8" t="s">
        <v>208</v>
      </c>
      <c r="O2483" s="6">
        <v>0</v>
      </c>
      <c r="P2483" s="6">
        <v>0</v>
      </c>
      <c r="Q2483" s="6">
        <v>8</v>
      </c>
      <c r="R2483" s="6">
        <v>0</v>
      </c>
      <c r="S2483" s="6">
        <v>1695</v>
      </c>
    </row>
    <row r="2484" spans="1:19" ht="15" hidden="1" x14ac:dyDescent="0.25">
      <c r="A2484" s="7" t="s">
        <v>16</v>
      </c>
      <c r="B2484" s="7" t="s">
        <v>23</v>
      </c>
      <c r="C2484" s="7" t="s">
        <v>24</v>
      </c>
      <c r="D2484" s="4">
        <v>60726502000126</v>
      </c>
      <c r="E2484" s="8" t="s">
        <v>613</v>
      </c>
      <c r="F2484" s="8" t="s">
        <v>29</v>
      </c>
      <c r="G2484" s="8" t="s">
        <v>19</v>
      </c>
      <c r="H2484" s="8" t="s">
        <v>215</v>
      </c>
      <c r="I2484" s="3">
        <v>2</v>
      </c>
      <c r="J2484" s="8" t="s">
        <v>1355</v>
      </c>
      <c r="K2484" s="8" t="s">
        <v>1356</v>
      </c>
      <c r="L2484" s="8" t="s">
        <v>556</v>
      </c>
      <c r="M2484" s="1" t="s">
        <v>207</v>
      </c>
      <c r="N2484" s="8" t="s">
        <v>208</v>
      </c>
      <c r="O2484" s="6">
        <v>0</v>
      </c>
      <c r="P2484" s="6">
        <v>0</v>
      </c>
      <c r="Q2484" s="6">
        <v>0</v>
      </c>
      <c r="R2484" s="6">
        <v>0</v>
      </c>
      <c r="S2484" s="6">
        <v>405</v>
      </c>
    </row>
    <row r="2485" spans="1:19" ht="15" hidden="1" x14ac:dyDescent="0.25">
      <c r="A2485" s="7" t="s">
        <v>16</v>
      </c>
      <c r="B2485" s="7" t="s">
        <v>23</v>
      </c>
      <c r="C2485" s="7" t="s">
        <v>24</v>
      </c>
      <c r="D2485" s="4">
        <v>60726502000126</v>
      </c>
      <c r="E2485" s="8" t="s">
        <v>613</v>
      </c>
      <c r="F2485" s="8" t="s">
        <v>29</v>
      </c>
      <c r="G2485" s="8" t="s">
        <v>19</v>
      </c>
      <c r="H2485" s="8" t="s">
        <v>215</v>
      </c>
      <c r="I2485" s="3">
        <v>2</v>
      </c>
      <c r="J2485" s="8" t="s">
        <v>183</v>
      </c>
      <c r="K2485" s="8" t="s">
        <v>184</v>
      </c>
      <c r="L2485" s="8" t="s">
        <v>557</v>
      </c>
      <c r="M2485" s="1" t="s">
        <v>207</v>
      </c>
      <c r="N2485" s="8" t="s">
        <v>208</v>
      </c>
      <c r="O2485" s="6">
        <v>0</v>
      </c>
      <c r="P2485" s="6">
        <v>10</v>
      </c>
      <c r="Q2485" s="6">
        <v>10</v>
      </c>
      <c r="R2485" s="6">
        <v>0</v>
      </c>
      <c r="S2485" s="6">
        <v>405</v>
      </c>
    </row>
    <row r="2486" spans="1:19" ht="15" hidden="1" x14ac:dyDescent="0.25">
      <c r="A2486" s="7" t="s">
        <v>16</v>
      </c>
      <c r="B2486" s="7" t="s">
        <v>23</v>
      </c>
      <c r="C2486" s="7" t="s">
        <v>24</v>
      </c>
      <c r="D2486" s="4">
        <v>60726502000711</v>
      </c>
      <c r="E2486" s="8" t="s">
        <v>614</v>
      </c>
      <c r="F2486" s="8" t="s">
        <v>29</v>
      </c>
      <c r="G2486" s="8" t="s">
        <v>19</v>
      </c>
      <c r="H2486" s="8" t="s">
        <v>215</v>
      </c>
      <c r="I2486" s="3">
        <v>2</v>
      </c>
      <c r="J2486" s="8" t="s">
        <v>1355</v>
      </c>
      <c r="K2486" s="8" t="s">
        <v>1356</v>
      </c>
      <c r="L2486" s="8" t="s">
        <v>556</v>
      </c>
      <c r="M2486" s="1" t="s">
        <v>207</v>
      </c>
      <c r="N2486" s="8" t="s">
        <v>208</v>
      </c>
      <c r="O2486" s="6">
        <v>0</v>
      </c>
      <c r="P2486" s="6">
        <v>0</v>
      </c>
      <c r="Q2486" s="6">
        <v>0</v>
      </c>
      <c r="R2486" s="6">
        <v>0</v>
      </c>
      <c r="S2486" s="6">
        <v>0</v>
      </c>
    </row>
    <row r="2487" spans="1:19" ht="15" hidden="1" x14ac:dyDescent="0.25">
      <c r="A2487" s="7" t="s">
        <v>16</v>
      </c>
      <c r="B2487" s="7" t="s">
        <v>23</v>
      </c>
      <c r="C2487" s="7" t="s">
        <v>24</v>
      </c>
      <c r="D2487" s="4">
        <v>60726502000711</v>
      </c>
      <c r="E2487" s="8" t="s">
        <v>614</v>
      </c>
      <c r="F2487" s="8" t="s">
        <v>29</v>
      </c>
      <c r="G2487" s="8" t="s">
        <v>19</v>
      </c>
      <c r="H2487" s="8" t="s">
        <v>215</v>
      </c>
      <c r="I2487" s="3">
        <v>2</v>
      </c>
      <c r="J2487" s="8" t="s">
        <v>183</v>
      </c>
      <c r="K2487" s="8" t="s">
        <v>184</v>
      </c>
      <c r="L2487" s="8" t="s">
        <v>557</v>
      </c>
      <c r="M2487" s="1" t="s">
        <v>207</v>
      </c>
      <c r="N2487" s="8" t="s">
        <v>208</v>
      </c>
      <c r="O2487" s="6">
        <v>0</v>
      </c>
      <c r="P2487" s="6">
        <v>0</v>
      </c>
      <c r="Q2487" s="6">
        <v>4</v>
      </c>
      <c r="R2487" s="6">
        <v>0</v>
      </c>
      <c r="S2487" s="6">
        <v>0</v>
      </c>
    </row>
    <row r="2488" spans="1:19" ht="15" hidden="1" x14ac:dyDescent="0.25">
      <c r="A2488" s="7" t="s">
        <v>16</v>
      </c>
      <c r="B2488" s="7" t="s">
        <v>23</v>
      </c>
      <c r="C2488" s="7" t="s">
        <v>24</v>
      </c>
      <c r="D2488" s="4">
        <v>8100676000592</v>
      </c>
      <c r="E2488" s="8" t="s">
        <v>572</v>
      </c>
      <c r="F2488" s="8" t="s">
        <v>29</v>
      </c>
      <c r="G2488" s="8" t="s">
        <v>19</v>
      </c>
      <c r="H2488" s="8" t="s">
        <v>215</v>
      </c>
      <c r="I2488" s="3">
        <v>2</v>
      </c>
      <c r="J2488" s="8" t="s">
        <v>161</v>
      </c>
      <c r="K2488" s="8" t="s">
        <v>162</v>
      </c>
      <c r="L2488" s="8" t="s">
        <v>556</v>
      </c>
      <c r="M2488" s="1" t="s">
        <v>207</v>
      </c>
      <c r="N2488" s="8" t="s">
        <v>208</v>
      </c>
      <c r="O2488" s="6">
        <v>0</v>
      </c>
      <c r="P2488" s="6">
        <v>0</v>
      </c>
      <c r="Q2488" s="6">
        <v>0</v>
      </c>
      <c r="R2488" s="6">
        <v>0</v>
      </c>
      <c r="S2488" s="6">
        <v>300</v>
      </c>
    </row>
    <row r="2489" spans="1:19" ht="15" hidden="1" x14ac:dyDescent="0.25">
      <c r="A2489" s="7" t="s">
        <v>16</v>
      </c>
      <c r="B2489" s="7" t="s">
        <v>23</v>
      </c>
      <c r="C2489" s="7" t="s">
        <v>24</v>
      </c>
      <c r="D2489" s="4">
        <v>8100676000592</v>
      </c>
      <c r="E2489" s="8" t="s">
        <v>572</v>
      </c>
      <c r="F2489" s="8" t="s">
        <v>29</v>
      </c>
      <c r="G2489" s="8" t="s">
        <v>19</v>
      </c>
      <c r="H2489" s="8" t="s">
        <v>215</v>
      </c>
      <c r="I2489" s="3">
        <v>2</v>
      </c>
      <c r="J2489" s="8" t="s">
        <v>183</v>
      </c>
      <c r="K2489" s="8" t="s">
        <v>184</v>
      </c>
      <c r="L2489" s="8" t="s">
        <v>557</v>
      </c>
      <c r="M2489" s="1" t="s">
        <v>207</v>
      </c>
      <c r="N2489" s="8" t="s">
        <v>208</v>
      </c>
      <c r="O2489" s="6">
        <v>0</v>
      </c>
      <c r="P2489" s="6">
        <v>0</v>
      </c>
      <c r="Q2489" s="6">
        <v>0</v>
      </c>
      <c r="R2489" s="6">
        <v>0</v>
      </c>
      <c r="S2489" s="6">
        <v>300</v>
      </c>
    </row>
    <row r="2490" spans="1:19" ht="15" hidden="1" x14ac:dyDescent="0.25">
      <c r="A2490" s="7" t="s">
        <v>16</v>
      </c>
      <c r="B2490" s="7" t="s">
        <v>23</v>
      </c>
      <c r="C2490" s="7" t="s">
        <v>24</v>
      </c>
      <c r="D2490" s="4">
        <v>21371777000132</v>
      </c>
      <c r="E2490" s="8" t="s">
        <v>589</v>
      </c>
      <c r="F2490" s="8" t="s">
        <v>29</v>
      </c>
      <c r="G2490" s="8" t="s">
        <v>19</v>
      </c>
      <c r="H2490" s="8" t="s">
        <v>215</v>
      </c>
      <c r="I2490" s="3">
        <v>2</v>
      </c>
      <c r="J2490" s="8" t="s">
        <v>161</v>
      </c>
      <c r="K2490" s="8" t="s">
        <v>162</v>
      </c>
      <c r="L2490" s="8" t="s">
        <v>556</v>
      </c>
      <c r="M2490" s="1" t="s">
        <v>207</v>
      </c>
      <c r="N2490" s="8" t="s">
        <v>208</v>
      </c>
      <c r="O2490" s="6">
        <v>0</v>
      </c>
      <c r="P2490" s="6">
        <v>0</v>
      </c>
      <c r="Q2490" s="6">
        <v>0</v>
      </c>
      <c r="R2490" s="6">
        <v>0</v>
      </c>
      <c r="S2490" s="6">
        <v>0</v>
      </c>
    </row>
    <row r="2491" spans="1:19" ht="15" hidden="1" x14ac:dyDescent="0.25">
      <c r="A2491" s="7" t="s">
        <v>16</v>
      </c>
      <c r="B2491" s="7" t="s">
        <v>23</v>
      </c>
      <c r="C2491" s="7" t="s">
        <v>24</v>
      </c>
      <c r="D2491" s="4">
        <v>21371777000132</v>
      </c>
      <c r="E2491" s="8" t="s">
        <v>589</v>
      </c>
      <c r="F2491" s="8" t="s">
        <v>29</v>
      </c>
      <c r="G2491" s="8" t="s">
        <v>19</v>
      </c>
      <c r="H2491" s="8" t="s">
        <v>215</v>
      </c>
      <c r="I2491" s="3">
        <v>2</v>
      </c>
      <c r="J2491" s="8" t="s">
        <v>183</v>
      </c>
      <c r="K2491" s="8" t="s">
        <v>184</v>
      </c>
      <c r="L2491" s="8" t="s">
        <v>557</v>
      </c>
      <c r="M2491" s="1" t="s">
        <v>207</v>
      </c>
      <c r="N2491" s="8" t="s">
        <v>208</v>
      </c>
      <c r="O2491" s="6">
        <v>0</v>
      </c>
      <c r="P2491" s="6">
        <v>0</v>
      </c>
      <c r="Q2491" s="6">
        <v>33</v>
      </c>
      <c r="R2491" s="6">
        <v>0</v>
      </c>
      <c r="S2491" s="6">
        <v>0</v>
      </c>
    </row>
    <row r="2492" spans="1:19" ht="15" hidden="1" x14ac:dyDescent="0.25">
      <c r="A2492" s="7" t="s">
        <v>16</v>
      </c>
      <c r="B2492" s="7" t="s">
        <v>23</v>
      </c>
      <c r="C2492" s="7" t="s">
        <v>24</v>
      </c>
      <c r="D2492" s="4">
        <v>60448040000122</v>
      </c>
      <c r="E2492" s="8" t="s">
        <v>609</v>
      </c>
      <c r="F2492" s="8" t="s">
        <v>29</v>
      </c>
      <c r="G2492" s="8" t="s">
        <v>19</v>
      </c>
      <c r="H2492" s="8" t="s">
        <v>215</v>
      </c>
      <c r="I2492" s="3">
        <v>2</v>
      </c>
      <c r="J2492" s="8" t="s">
        <v>1355</v>
      </c>
      <c r="K2492" s="8" t="s">
        <v>1356</v>
      </c>
      <c r="L2492" s="8" t="s">
        <v>556</v>
      </c>
      <c r="M2492" s="1" t="s">
        <v>207</v>
      </c>
      <c r="N2492" s="8" t="s">
        <v>208</v>
      </c>
      <c r="O2492" s="6">
        <v>0</v>
      </c>
      <c r="P2492" s="6">
        <v>0</v>
      </c>
      <c r="Q2492" s="6">
        <v>0</v>
      </c>
      <c r="R2492" s="6">
        <v>0</v>
      </c>
      <c r="S2492" s="6">
        <v>0</v>
      </c>
    </row>
    <row r="2493" spans="1:19" ht="15" hidden="1" x14ac:dyDescent="0.25">
      <c r="A2493" s="7" t="s">
        <v>16</v>
      </c>
      <c r="B2493" s="7" t="s">
        <v>23</v>
      </c>
      <c r="C2493" s="7" t="s">
        <v>24</v>
      </c>
      <c r="D2493" s="4">
        <v>60448040000122</v>
      </c>
      <c r="E2493" s="8" t="s">
        <v>609</v>
      </c>
      <c r="F2493" s="8" t="s">
        <v>29</v>
      </c>
      <c r="G2493" s="8" t="s">
        <v>19</v>
      </c>
      <c r="H2493" s="8" t="s">
        <v>215</v>
      </c>
      <c r="I2493" s="3">
        <v>2</v>
      </c>
      <c r="J2493" s="8" t="s">
        <v>177</v>
      </c>
      <c r="K2493" s="8" t="s">
        <v>178</v>
      </c>
      <c r="L2493" s="8" t="s">
        <v>557</v>
      </c>
      <c r="M2493" s="1" t="s">
        <v>207</v>
      </c>
      <c r="N2493" s="8" t="s">
        <v>208</v>
      </c>
      <c r="O2493" s="6">
        <v>0</v>
      </c>
      <c r="P2493" s="6">
        <v>70</v>
      </c>
      <c r="Q2493" s="6">
        <v>66</v>
      </c>
      <c r="R2493" s="6">
        <v>0</v>
      </c>
      <c r="S2493" s="6">
        <v>0</v>
      </c>
    </row>
    <row r="2494" spans="1:19" ht="15" hidden="1" x14ac:dyDescent="0.25">
      <c r="A2494" s="7" t="s">
        <v>16</v>
      </c>
      <c r="B2494" s="7" t="s">
        <v>23</v>
      </c>
      <c r="C2494" s="7" t="s">
        <v>24</v>
      </c>
      <c r="D2494" s="4">
        <v>60453024000390</v>
      </c>
      <c r="E2494" s="8" t="s">
        <v>610</v>
      </c>
      <c r="F2494" s="8" t="s">
        <v>29</v>
      </c>
      <c r="G2494" s="8" t="s">
        <v>19</v>
      </c>
      <c r="H2494" s="8" t="s">
        <v>215</v>
      </c>
      <c r="I2494" s="3">
        <v>2</v>
      </c>
      <c r="J2494" s="8" t="s">
        <v>161</v>
      </c>
      <c r="K2494" s="8" t="s">
        <v>162</v>
      </c>
      <c r="L2494" s="8" t="s">
        <v>556</v>
      </c>
      <c r="M2494" s="1" t="s">
        <v>207</v>
      </c>
      <c r="N2494" s="8" t="s">
        <v>208</v>
      </c>
      <c r="O2494" s="6">
        <v>0</v>
      </c>
      <c r="P2494" s="6">
        <v>0</v>
      </c>
      <c r="Q2494" s="6">
        <v>0</v>
      </c>
      <c r="R2494" s="6">
        <v>0</v>
      </c>
      <c r="S2494" s="6">
        <v>0</v>
      </c>
    </row>
    <row r="2495" spans="1:19" ht="15" hidden="1" x14ac:dyDescent="0.25">
      <c r="A2495" s="7" t="s">
        <v>16</v>
      </c>
      <c r="B2495" s="7" t="s">
        <v>23</v>
      </c>
      <c r="C2495" s="7" t="s">
        <v>24</v>
      </c>
      <c r="D2495" s="4">
        <v>60453024000390</v>
      </c>
      <c r="E2495" s="8" t="s">
        <v>610</v>
      </c>
      <c r="F2495" s="8" t="s">
        <v>29</v>
      </c>
      <c r="G2495" s="8" t="s">
        <v>19</v>
      </c>
      <c r="H2495" s="8" t="s">
        <v>215</v>
      </c>
      <c r="I2495" s="3">
        <v>2</v>
      </c>
      <c r="J2495" s="8" t="s">
        <v>177</v>
      </c>
      <c r="K2495" s="8" t="s">
        <v>178</v>
      </c>
      <c r="L2495" s="8" t="s">
        <v>557</v>
      </c>
      <c r="M2495" s="1" t="s">
        <v>207</v>
      </c>
      <c r="N2495" s="8" t="s">
        <v>208</v>
      </c>
      <c r="O2495" s="6">
        <v>0</v>
      </c>
      <c r="P2495" s="6">
        <v>13</v>
      </c>
      <c r="Q2495" s="6">
        <v>30</v>
      </c>
      <c r="R2495" s="6">
        <v>0</v>
      </c>
      <c r="S2495" s="6">
        <v>0</v>
      </c>
    </row>
    <row r="2496" spans="1:19" ht="15" hidden="1" x14ac:dyDescent="0.25">
      <c r="A2496" s="7" t="s">
        <v>16</v>
      </c>
      <c r="B2496" s="7" t="s">
        <v>23</v>
      </c>
      <c r="C2496" s="7" t="s">
        <v>24</v>
      </c>
      <c r="D2496" s="4">
        <v>51722957012512</v>
      </c>
      <c r="E2496" s="8" t="s">
        <v>604</v>
      </c>
      <c r="F2496" s="8" t="s">
        <v>29</v>
      </c>
      <c r="G2496" s="8" t="s">
        <v>19</v>
      </c>
      <c r="H2496" s="8" t="s">
        <v>215</v>
      </c>
      <c r="I2496" s="3">
        <v>2</v>
      </c>
      <c r="J2496" s="8" t="s">
        <v>161</v>
      </c>
      <c r="K2496" s="8" t="s">
        <v>162</v>
      </c>
      <c r="L2496" s="8" t="s">
        <v>556</v>
      </c>
      <c r="M2496" s="1" t="s">
        <v>207</v>
      </c>
      <c r="N2496" s="8" t="s">
        <v>208</v>
      </c>
      <c r="O2496" s="6">
        <v>0</v>
      </c>
      <c r="P2496" s="6">
        <v>0</v>
      </c>
      <c r="Q2496" s="6">
        <v>0</v>
      </c>
      <c r="R2496" s="6">
        <v>0</v>
      </c>
      <c r="S2496" s="6">
        <v>680</v>
      </c>
    </row>
    <row r="2497" spans="1:19" ht="15" hidden="1" x14ac:dyDescent="0.25">
      <c r="A2497" s="7" t="s">
        <v>16</v>
      </c>
      <c r="B2497" s="7" t="s">
        <v>23</v>
      </c>
      <c r="C2497" s="7" t="s">
        <v>24</v>
      </c>
      <c r="D2497" s="4">
        <v>51722957012512</v>
      </c>
      <c r="E2497" s="8" t="s">
        <v>604</v>
      </c>
      <c r="F2497" s="8" t="s">
        <v>29</v>
      </c>
      <c r="G2497" s="8" t="s">
        <v>19</v>
      </c>
      <c r="H2497" s="8" t="s">
        <v>215</v>
      </c>
      <c r="I2497" s="3">
        <v>2</v>
      </c>
      <c r="J2497" s="8" t="s">
        <v>183</v>
      </c>
      <c r="K2497" s="8" t="s">
        <v>184</v>
      </c>
      <c r="L2497" s="8" t="s">
        <v>557</v>
      </c>
      <c r="M2497" s="1" t="s">
        <v>207</v>
      </c>
      <c r="N2497" s="8" t="s">
        <v>208</v>
      </c>
      <c r="O2497" s="6">
        <v>0</v>
      </c>
      <c r="P2497" s="6">
        <v>0</v>
      </c>
      <c r="Q2497" s="6">
        <v>0</v>
      </c>
      <c r="R2497" s="6">
        <v>0</v>
      </c>
      <c r="S2497" s="6">
        <v>680</v>
      </c>
    </row>
    <row r="2498" spans="1:19" ht="15" hidden="1" x14ac:dyDescent="0.25">
      <c r="A2498" s="7" t="s">
        <v>16</v>
      </c>
      <c r="B2498" s="7" t="s">
        <v>23</v>
      </c>
      <c r="C2498" s="7" t="s">
        <v>24</v>
      </c>
      <c r="D2498" s="4">
        <v>60678604000113</v>
      </c>
      <c r="E2498" s="8" t="s">
        <v>612</v>
      </c>
      <c r="F2498" s="8" t="s">
        <v>29</v>
      </c>
      <c r="G2498" s="8" t="s">
        <v>19</v>
      </c>
      <c r="H2498" s="8" t="s">
        <v>215</v>
      </c>
      <c r="I2498" s="3">
        <v>2</v>
      </c>
      <c r="J2498" s="8" t="s">
        <v>161</v>
      </c>
      <c r="K2498" s="8" t="s">
        <v>162</v>
      </c>
      <c r="L2498" s="8" t="s">
        <v>556</v>
      </c>
      <c r="M2498" s="1" t="s">
        <v>207</v>
      </c>
      <c r="N2498" s="8" t="s">
        <v>208</v>
      </c>
      <c r="O2498" s="6">
        <v>0</v>
      </c>
      <c r="P2498" s="6">
        <v>0</v>
      </c>
      <c r="Q2498" s="6">
        <v>0</v>
      </c>
      <c r="R2498" s="6">
        <v>0</v>
      </c>
      <c r="S2498" s="6">
        <v>100</v>
      </c>
    </row>
    <row r="2499" spans="1:19" ht="15" hidden="1" x14ac:dyDescent="0.25">
      <c r="A2499" s="7" t="s">
        <v>16</v>
      </c>
      <c r="B2499" s="7" t="s">
        <v>23</v>
      </c>
      <c r="C2499" s="7" t="s">
        <v>24</v>
      </c>
      <c r="D2499" s="4">
        <v>60678604000113</v>
      </c>
      <c r="E2499" s="8" t="s">
        <v>612</v>
      </c>
      <c r="F2499" s="8" t="s">
        <v>29</v>
      </c>
      <c r="G2499" s="8" t="s">
        <v>19</v>
      </c>
      <c r="H2499" s="8" t="s">
        <v>215</v>
      </c>
      <c r="I2499" s="3">
        <v>2</v>
      </c>
      <c r="J2499" s="8" t="s">
        <v>147</v>
      </c>
      <c r="K2499" s="8" t="s">
        <v>148</v>
      </c>
      <c r="L2499" s="8" t="s">
        <v>557</v>
      </c>
      <c r="M2499" s="1" t="s">
        <v>207</v>
      </c>
      <c r="N2499" s="8" t="s">
        <v>208</v>
      </c>
      <c r="O2499" s="6">
        <v>0</v>
      </c>
      <c r="P2499" s="6">
        <v>1</v>
      </c>
      <c r="Q2499" s="6">
        <v>56</v>
      </c>
      <c r="R2499" s="6">
        <v>0</v>
      </c>
      <c r="S2499" s="6">
        <v>100</v>
      </c>
    </row>
    <row r="2500" spans="1:19" ht="15" hidden="1" x14ac:dyDescent="0.25">
      <c r="A2500" s="7" t="s">
        <v>16</v>
      </c>
      <c r="B2500" s="7" t="s">
        <v>23</v>
      </c>
      <c r="C2500" s="7" t="s">
        <v>24</v>
      </c>
      <c r="D2500" s="4">
        <v>29435005004540</v>
      </c>
      <c r="E2500" s="8" t="s">
        <v>594</v>
      </c>
      <c r="F2500" s="8" t="s">
        <v>29</v>
      </c>
      <c r="G2500" s="8" t="s">
        <v>19</v>
      </c>
      <c r="H2500" s="8" t="s">
        <v>215</v>
      </c>
      <c r="I2500" s="3">
        <v>2</v>
      </c>
      <c r="J2500" s="8" t="s">
        <v>161</v>
      </c>
      <c r="K2500" s="8" t="s">
        <v>162</v>
      </c>
      <c r="L2500" s="8" t="s">
        <v>556</v>
      </c>
      <c r="M2500" s="1" t="s">
        <v>207</v>
      </c>
      <c r="N2500" s="8" t="s">
        <v>208</v>
      </c>
      <c r="O2500" s="6">
        <v>0</v>
      </c>
      <c r="P2500" s="6">
        <v>0</v>
      </c>
      <c r="Q2500" s="6">
        <v>0</v>
      </c>
      <c r="R2500" s="6">
        <v>0</v>
      </c>
      <c r="S2500" s="6">
        <v>250</v>
      </c>
    </row>
    <row r="2501" spans="1:19" ht="15" hidden="1" x14ac:dyDescent="0.25">
      <c r="A2501" s="7" t="s">
        <v>16</v>
      </c>
      <c r="B2501" s="7" t="s">
        <v>23</v>
      </c>
      <c r="C2501" s="7" t="s">
        <v>24</v>
      </c>
      <c r="D2501" s="4">
        <v>29435005004540</v>
      </c>
      <c r="E2501" s="8" t="s">
        <v>594</v>
      </c>
      <c r="F2501" s="8" t="s">
        <v>29</v>
      </c>
      <c r="G2501" s="8" t="s">
        <v>19</v>
      </c>
      <c r="H2501" s="8" t="s">
        <v>215</v>
      </c>
      <c r="I2501" s="3">
        <v>2</v>
      </c>
      <c r="J2501" s="8" t="s">
        <v>183</v>
      </c>
      <c r="K2501" s="8" t="s">
        <v>184</v>
      </c>
      <c r="L2501" s="8" t="s">
        <v>557</v>
      </c>
      <c r="M2501" s="1" t="s">
        <v>207</v>
      </c>
      <c r="N2501" s="8" t="s">
        <v>208</v>
      </c>
      <c r="O2501" s="6">
        <v>0</v>
      </c>
      <c r="P2501" s="6">
        <v>0</v>
      </c>
      <c r="Q2501" s="6">
        <v>0</v>
      </c>
      <c r="R2501" s="6">
        <v>0</v>
      </c>
      <c r="S2501" s="6">
        <v>250</v>
      </c>
    </row>
    <row r="2502" spans="1:19" ht="15" hidden="1" x14ac:dyDescent="0.25">
      <c r="A2502" s="7" t="s">
        <v>16</v>
      </c>
      <c r="B2502" s="7" t="s">
        <v>23</v>
      </c>
      <c r="C2502" s="7" t="s">
        <v>24</v>
      </c>
      <c r="D2502" s="4">
        <v>61213674000240</v>
      </c>
      <c r="E2502" s="8" t="s">
        <v>629</v>
      </c>
      <c r="F2502" s="8" t="s">
        <v>29</v>
      </c>
      <c r="G2502" s="8" t="s">
        <v>19</v>
      </c>
      <c r="H2502" s="8" t="s">
        <v>215</v>
      </c>
      <c r="I2502" s="3">
        <v>2</v>
      </c>
      <c r="J2502" s="8" t="s">
        <v>1355</v>
      </c>
      <c r="K2502" s="8" t="s">
        <v>1356</v>
      </c>
      <c r="L2502" s="8" t="s">
        <v>556</v>
      </c>
      <c r="M2502" s="1" t="s">
        <v>207</v>
      </c>
      <c r="N2502" s="8" t="s">
        <v>208</v>
      </c>
      <c r="O2502" s="6">
        <v>0</v>
      </c>
      <c r="P2502" s="6">
        <v>0</v>
      </c>
      <c r="Q2502" s="6">
        <v>0</v>
      </c>
      <c r="R2502" s="6">
        <v>97</v>
      </c>
      <c r="S2502" s="6">
        <v>0</v>
      </c>
    </row>
    <row r="2503" spans="1:19" ht="15" hidden="1" x14ac:dyDescent="0.25">
      <c r="A2503" s="7" t="s">
        <v>16</v>
      </c>
      <c r="B2503" s="7" t="s">
        <v>23</v>
      </c>
      <c r="C2503" s="7" t="s">
        <v>24</v>
      </c>
      <c r="D2503" s="4">
        <v>61213674000240</v>
      </c>
      <c r="E2503" s="8" t="s">
        <v>629</v>
      </c>
      <c r="F2503" s="8" t="s">
        <v>29</v>
      </c>
      <c r="G2503" s="8" t="s">
        <v>19</v>
      </c>
      <c r="H2503" s="8" t="s">
        <v>215</v>
      </c>
      <c r="I2503" s="3">
        <v>2</v>
      </c>
      <c r="J2503" s="8" t="s">
        <v>147</v>
      </c>
      <c r="K2503" s="8" t="s">
        <v>148</v>
      </c>
      <c r="L2503" s="8" t="s">
        <v>557</v>
      </c>
      <c r="M2503" s="1" t="s">
        <v>207</v>
      </c>
      <c r="N2503" s="8" t="s">
        <v>208</v>
      </c>
      <c r="O2503" s="6">
        <v>0</v>
      </c>
      <c r="P2503" s="6">
        <v>3</v>
      </c>
      <c r="Q2503" s="6">
        <v>3</v>
      </c>
      <c r="R2503" s="6">
        <v>0</v>
      </c>
      <c r="S2503" s="6">
        <v>0</v>
      </c>
    </row>
    <row r="2504" spans="1:19" ht="15" hidden="1" x14ac:dyDescent="0.25">
      <c r="A2504" s="7" t="s">
        <v>16</v>
      </c>
      <c r="B2504" s="7" t="s">
        <v>23</v>
      </c>
      <c r="C2504" s="7" t="s">
        <v>24</v>
      </c>
      <c r="D2504" s="4">
        <v>60765823000130</v>
      </c>
      <c r="E2504" s="8" t="s">
        <v>615</v>
      </c>
      <c r="F2504" s="8" t="s">
        <v>29</v>
      </c>
      <c r="G2504" s="8" t="s">
        <v>19</v>
      </c>
      <c r="H2504" s="8" t="s">
        <v>215</v>
      </c>
      <c r="I2504" s="3">
        <v>2</v>
      </c>
      <c r="J2504" s="8" t="s">
        <v>1355</v>
      </c>
      <c r="K2504" s="8" t="s">
        <v>1356</v>
      </c>
      <c r="L2504" s="8" t="s">
        <v>556</v>
      </c>
      <c r="M2504" s="1" t="s">
        <v>207</v>
      </c>
      <c r="N2504" s="8" t="s">
        <v>208</v>
      </c>
      <c r="O2504" s="6">
        <v>0</v>
      </c>
      <c r="P2504" s="6">
        <v>0</v>
      </c>
      <c r="Q2504" s="6">
        <v>0</v>
      </c>
      <c r="R2504" s="6">
        <v>0</v>
      </c>
      <c r="S2504" s="6">
        <v>0</v>
      </c>
    </row>
    <row r="2505" spans="1:19" ht="15" hidden="1" x14ac:dyDescent="0.25">
      <c r="A2505" s="7" t="s">
        <v>16</v>
      </c>
      <c r="B2505" s="7" t="s">
        <v>23</v>
      </c>
      <c r="C2505" s="7" t="s">
        <v>24</v>
      </c>
      <c r="D2505" s="4">
        <v>60765823000130</v>
      </c>
      <c r="E2505" s="8" t="s">
        <v>615</v>
      </c>
      <c r="F2505" s="8" t="s">
        <v>29</v>
      </c>
      <c r="G2505" s="8" t="s">
        <v>19</v>
      </c>
      <c r="H2505" s="8" t="s">
        <v>215</v>
      </c>
      <c r="I2505" s="3">
        <v>2</v>
      </c>
      <c r="J2505" s="8" t="s">
        <v>147</v>
      </c>
      <c r="K2505" s="8" t="s">
        <v>148</v>
      </c>
      <c r="L2505" s="8" t="s">
        <v>557</v>
      </c>
      <c r="M2505" s="1" t="s">
        <v>207</v>
      </c>
      <c r="N2505" s="8" t="s">
        <v>208</v>
      </c>
      <c r="O2505" s="6">
        <v>0</v>
      </c>
      <c r="P2505" s="6">
        <v>0</v>
      </c>
      <c r="Q2505" s="6">
        <v>60</v>
      </c>
      <c r="R2505" s="6">
        <v>0</v>
      </c>
      <c r="S2505" s="6">
        <v>0</v>
      </c>
    </row>
    <row r="2506" spans="1:19" ht="15" hidden="1" x14ac:dyDescent="0.25">
      <c r="A2506" s="7" t="s">
        <v>16</v>
      </c>
      <c r="B2506" s="7" t="s">
        <v>23</v>
      </c>
      <c r="C2506" s="7" t="s">
        <v>24</v>
      </c>
      <c r="D2506" s="4">
        <v>19056055000141</v>
      </c>
      <c r="E2506" s="8" t="s">
        <v>586</v>
      </c>
      <c r="F2506" s="8" t="s">
        <v>29</v>
      </c>
      <c r="G2506" s="8" t="s">
        <v>19</v>
      </c>
      <c r="H2506" s="8" t="s">
        <v>215</v>
      </c>
      <c r="I2506" s="3">
        <v>2</v>
      </c>
      <c r="J2506" s="8" t="s">
        <v>161</v>
      </c>
      <c r="K2506" s="8" t="s">
        <v>162</v>
      </c>
      <c r="L2506" s="8" t="s">
        <v>556</v>
      </c>
      <c r="M2506" s="1" t="s">
        <v>207</v>
      </c>
      <c r="N2506" s="8" t="s">
        <v>208</v>
      </c>
      <c r="O2506" s="6">
        <v>0</v>
      </c>
      <c r="P2506" s="6">
        <v>0</v>
      </c>
      <c r="Q2506" s="6">
        <v>0</v>
      </c>
      <c r="R2506" s="6">
        <v>0</v>
      </c>
      <c r="S2506" s="6">
        <v>0</v>
      </c>
    </row>
    <row r="2507" spans="1:19" ht="15" hidden="1" x14ac:dyDescent="0.25">
      <c r="A2507" s="7" t="s">
        <v>16</v>
      </c>
      <c r="B2507" s="7" t="s">
        <v>23</v>
      </c>
      <c r="C2507" s="7" t="s">
        <v>24</v>
      </c>
      <c r="D2507" s="4">
        <v>19056055000141</v>
      </c>
      <c r="E2507" s="8" t="s">
        <v>586</v>
      </c>
      <c r="F2507" s="8" t="s">
        <v>29</v>
      </c>
      <c r="G2507" s="8" t="s">
        <v>19</v>
      </c>
      <c r="H2507" s="8" t="s">
        <v>215</v>
      </c>
      <c r="I2507" s="3">
        <v>2</v>
      </c>
      <c r="J2507" s="8" t="s">
        <v>177</v>
      </c>
      <c r="K2507" s="8" t="s">
        <v>178</v>
      </c>
      <c r="L2507" s="8" t="s">
        <v>557</v>
      </c>
      <c r="M2507" s="1" t="s">
        <v>207</v>
      </c>
      <c r="N2507" s="8" t="s">
        <v>208</v>
      </c>
      <c r="O2507" s="6">
        <v>0</v>
      </c>
      <c r="P2507" s="6">
        <v>0</v>
      </c>
      <c r="Q2507" s="6">
        <v>15</v>
      </c>
      <c r="R2507" s="6">
        <v>0</v>
      </c>
      <c r="S2507" s="6">
        <v>0</v>
      </c>
    </row>
    <row r="2508" spans="1:19" ht="15" hidden="1" x14ac:dyDescent="0.25">
      <c r="A2508" s="7" t="s">
        <v>16</v>
      </c>
      <c r="B2508" s="7" t="s">
        <v>23</v>
      </c>
      <c r="C2508" s="7" t="s">
        <v>24</v>
      </c>
      <c r="D2508" s="4">
        <v>29435005002687</v>
      </c>
      <c r="E2508" s="8" t="s">
        <v>593</v>
      </c>
      <c r="F2508" s="8" t="s">
        <v>29</v>
      </c>
      <c r="G2508" s="8" t="s">
        <v>19</v>
      </c>
      <c r="H2508" s="8" t="s">
        <v>215</v>
      </c>
      <c r="I2508" s="3">
        <v>2</v>
      </c>
      <c r="J2508" s="8" t="s">
        <v>161</v>
      </c>
      <c r="K2508" s="8" t="s">
        <v>162</v>
      </c>
      <c r="L2508" s="8" t="s">
        <v>556</v>
      </c>
      <c r="M2508" s="1" t="s">
        <v>207</v>
      </c>
      <c r="N2508" s="8" t="s">
        <v>208</v>
      </c>
      <c r="O2508" s="6">
        <v>0</v>
      </c>
      <c r="P2508" s="6">
        <v>0</v>
      </c>
      <c r="Q2508" s="6">
        <v>0</v>
      </c>
      <c r="R2508" s="6">
        <v>0</v>
      </c>
      <c r="S2508" s="6">
        <v>1300</v>
      </c>
    </row>
    <row r="2509" spans="1:19" ht="15" hidden="1" x14ac:dyDescent="0.25">
      <c r="A2509" s="7" t="s">
        <v>16</v>
      </c>
      <c r="B2509" s="7" t="s">
        <v>23</v>
      </c>
      <c r="C2509" s="7" t="s">
        <v>24</v>
      </c>
      <c r="D2509" s="4">
        <v>29435005002687</v>
      </c>
      <c r="E2509" s="8" t="s">
        <v>593</v>
      </c>
      <c r="F2509" s="8" t="s">
        <v>29</v>
      </c>
      <c r="G2509" s="8" t="s">
        <v>19</v>
      </c>
      <c r="H2509" s="8" t="s">
        <v>215</v>
      </c>
      <c r="I2509" s="3">
        <v>2</v>
      </c>
      <c r="J2509" s="8" t="s">
        <v>183</v>
      </c>
      <c r="K2509" s="8" t="s">
        <v>184</v>
      </c>
      <c r="L2509" s="8" t="s">
        <v>557</v>
      </c>
      <c r="M2509" s="1" t="s">
        <v>207</v>
      </c>
      <c r="N2509" s="8" t="s">
        <v>208</v>
      </c>
      <c r="O2509" s="6">
        <v>0</v>
      </c>
      <c r="P2509" s="6">
        <v>5</v>
      </c>
      <c r="Q2509" s="6">
        <v>0</v>
      </c>
      <c r="R2509" s="6">
        <v>0</v>
      </c>
      <c r="S2509" s="6">
        <v>1300</v>
      </c>
    </row>
    <row r="2510" spans="1:19" ht="15" hidden="1" x14ac:dyDescent="0.25">
      <c r="A2510" s="7" t="s">
        <v>16</v>
      </c>
      <c r="B2510" s="7" t="s">
        <v>23</v>
      </c>
      <c r="C2510" s="7" t="s">
        <v>24</v>
      </c>
      <c r="D2510" s="4">
        <v>461479001054</v>
      </c>
      <c r="E2510" s="8" t="s">
        <v>558</v>
      </c>
      <c r="F2510" s="8" t="s">
        <v>29</v>
      </c>
      <c r="G2510" s="8" t="s">
        <v>19</v>
      </c>
      <c r="H2510" s="8" t="s">
        <v>215</v>
      </c>
      <c r="I2510" s="3">
        <v>2</v>
      </c>
      <c r="J2510" s="8" t="s">
        <v>1355</v>
      </c>
      <c r="K2510" s="8" t="s">
        <v>1356</v>
      </c>
      <c r="L2510" s="8" t="s">
        <v>556</v>
      </c>
      <c r="M2510" s="1" t="s">
        <v>207</v>
      </c>
      <c r="N2510" s="8" t="s">
        <v>208</v>
      </c>
      <c r="O2510" s="6">
        <v>0</v>
      </c>
      <c r="P2510" s="6">
        <v>0</v>
      </c>
      <c r="Q2510" s="6">
        <v>0</v>
      </c>
      <c r="R2510" s="6">
        <v>0</v>
      </c>
      <c r="S2510" s="6">
        <v>0</v>
      </c>
    </row>
    <row r="2511" spans="1:19" ht="15" hidden="1" x14ac:dyDescent="0.25">
      <c r="A2511" s="7" t="s">
        <v>16</v>
      </c>
      <c r="B2511" s="7" t="s">
        <v>23</v>
      </c>
      <c r="C2511" s="7" t="s">
        <v>24</v>
      </c>
      <c r="D2511" s="4">
        <v>461479001054</v>
      </c>
      <c r="E2511" s="8" t="s">
        <v>558</v>
      </c>
      <c r="F2511" s="8" t="s">
        <v>29</v>
      </c>
      <c r="G2511" s="8" t="s">
        <v>19</v>
      </c>
      <c r="H2511" s="8" t="s">
        <v>215</v>
      </c>
      <c r="I2511" s="3">
        <v>2</v>
      </c>
      <c r="J2511" s="8" t="s">
        <v>183</v>
      </c>
      <c r="K2511" s="8" t="s">
        <v>184</v>
      </c>
      <c r="L2511" s="8" t="s">
        <v>557</v>
      </c>
      <c r="M2511" s="1" t="s">
        <v>207</v>
      </c>
      <c r="N2511" s="8" t="s">
        <v>208</v>
      </c>
      <c r="O2511" s="6">
        <v>0</v>
      </c>
      <c r="P2511" s="6">
        <v>5</v>
      </c>
      <c r="Q2511" s="6">
        <v>0</v>
      </c>
      <c r="R2511" s="6">
        <v>0</v>
      </c>
      <c r="S2511" s="6">
        <v>0</v>
      </c>
    </row>
    <row r="2512" spans="1:19" ht="15" hidden="1" x14ac:dyDescent="0.25">
      <c r="A2512" s="7" t="s">
        <v>16</v>
      </c>
      <c r="B2512" s="7" t="s">
        <v>23</v>
      </c>
      <c r="C2512" s="7" t="s">
        <v>24</v>
      </c>
      <c r="D2512" s="4">
        <v>60922168000771</v>
      </c>
      <c r="E2512" s="8" t="s">
        <v>618</v>
      </c>
      <c r="F2512" s="8" t="s">
        <v>29</v>
      </c>
      <c r="G2512" s="8" t="s">
        <v>19</v>
      </c>
      <c r="H2512" s="8" t="s">
        <v>215</v>
      </c>
      <c r="I2512" s="3">
        <v>2</v>
      </c>
      <c r="J2512" s="8" t="s">
        <v>1355</v>
      </c>
      <c r="K2512" s="8" t="s">
        <v>1356</v>
      </c>
      <c r="L2512" s="8" t="s">
        <v>556</v>
      </c>
      <c r="M2512" s="1" t="s">
        <v>207</v>
      </c>
      <c r="N2512" s="8" t="s">
        <v>208</v>
      </c>
      <c r="O2512" s="6">
        <v>0</v>
      </c>
      <c r="P2512" s="6">
        <v>0</v>
      </c>
      <c r="Q2512" s="6">
        <v>0</v>
      </c>
      <c r="R2512" s="6">
        <v>22</v>
      </c>
      <c r="S2512" s="6">
        <v>195</v>
      </c>
    </row>
    <row r="2513" spans="1:19" ht="15" hidden="1" x14ac:dyDescent="0.25">
      <c r="A2513" s="7" t="s">
        <v>16</v>
      </c>
      <c r="B2513" s="7" t="s">
        <v>23</v>
      </c>
      <c r="C2513" s="7" t="s">
        <v>24</v>
      </c>
      <c r="D2513" s="4">
        <v>60922168000771</v>
      </c>
      <c r="E2513" s="8" t="s">
        <v>618</v>
      </c>
      <c r="F2513" s="8" t="s">
        <v>29</v>
      </c>
      <c r="G2513" s="8" t="s">
        <v>19</v>
      </c>
      <c r="H2513" s="8" t="s">
        <v>215</v>
      </c>
      <c r="I2513" s="3">
        <v>2</v>
      </c>
      <c r="J2513" s="8" t="s">
        <v>147</v>
      </c>
      <c r="K2513" s="8" t="s">
        <v>148</v>
      </c>
      <c r="L2513" s="8" t="s">
        <v>557</v>
      </c>
      <c r="M2513" s="1" t="s">
        <v>207</v>
      </c>
      <c r="N2513" s="8" t="s">
        <v>208</v>
      </c>
      <c r="O2513" s="6">
        <v>0</v>
      </c>
      <c r="P2513" s="6">
        <v>0</v>
      </c>
      <c r="Q2513" s="6">
        <v>21</v>
      </c>
      <c r="R2513" s="6">
        <v>0</v>
      </c>
      <c r="S2513" s="6">
        <v>195</v>
      </c>
    </row>
    <row r="2514" spans="1:19" ht="15" hidden="1" x14ac:dyDescent="0.25">
      <c r="A2514" s="7" t="s">
        <v>16</v>
      </c>
      <c r="B2514" s="7" t="s">
        <v>23</v>
      </c>
      <c r="C2514" s="7" t="s">
        <v>24</v>
      </c>
      <c r="D2514" s="4">
        <v>60552098000111</v>
      </c>
      <c r="E2514" s="8" t="s">
        <v>611</v>
      </c>
      <c r="F2514" s="8" t="s">
        <v>29</v>
      </c>
      <c r="G2514" s="8" t="s">
        <v>19</v>
      </c>
      <c r="H2514" s="8" t="s">
        <v>215</v>
      </c>
      <c r="I2514" s="3">
        <v>2</v>
      </c>
      <c r="J2514" s="8" t="s">
        <v>161</v>
      </c>
      <c r="K2514" s="8" t="s">
        <v>162</v>
      </c>
      <c r="L2514" s="8" t="s">
        <v>556</v>
      </c>
      <c r="M2514" s="1" t="s">
        <v>207</v>
      </c>
      <c r="N2514" s="8" t="s">
        <v>208</v>
      </c>
      <c r="O2514" s="6">
        <v>0</v>
      </c>
      <c r="P2514" s="6">
        <v>0</v>
      </c>
      <c r="Q2514" s="6">
        <v>0</v>
      </c>
      <c r="R2514" s="6">
        <v>0</v>
      </c>
      <c r="S2514" s="6">
        <v>635</v>
      </c>
    </row>
    <row r="2515" spans="1:19" ht="15" hidden="1" x14ac:dyDescent="0.25">
      <c r="A2515" s="7" t="s">
        <v>16</v>
      </c>
      <c r="B2515" s="7" t="s">
        <v>23</v>
      </c>
      <c r="C2515" s="7" t="s">
        <v>24</v>
      </c>
      <c r="D2515" s="4">
        <v>60552098000111</v>
      </c>
      <c r="E2515" s="8" t="s">
        <v>611</v>
      </c>
      <c r="F2515" s="8" t="s">
        <v>29</v>
      </c>
      <c r="G2515" s="8" t="s">
        <v>19</v>
      </c>
      <c r="H2515" s="8" t="s">
        <v>215</v>
      </c>
      <c r="I2515" s="3">
        <v>2</v>
      </c>
      <c r="J2515" s="8" t="s">
        <v>147</v>
      </c>
      <c r="K2515" s="8" t="s">
        <v>148</v>
      </c>
      <c r="L2515" s="8" t="s">
        <v>557</v>
      </c>
      <c r="M2515" s="1" t="s">
        <v>207</v>
      </c>
      <c r="N2515" s="8" t="s">
        <v>208</v>
      </c>
      <c r="O2515" s="6">
        <v>0</v>
      </c>
      <c r="P2515" s="6">
        <v>0</v>
      </c>
      <c r="Q2515" s="6">
        <v>0</v>
      </c>
      <c r="R2515" s="6">
        <v>0</v>
      </c>
      <c r="S2515" s="6">
        <v>635</v>
      </c>
    </row>
    <row r="2516" spans="1:19" ht="15" hidden="1" x14ac:dyDescent="0.25">
      <c r="A2516" s="7" t="s">
        <v>16</v>
      </c>
      <c r="B2516" s="7" t="s">
        <v>23</v>
      </c>
      <c r="C2516" s="7" t="s">
        <v>24</v>
      </c>
      <c r="D2516" s="4">
        <v>60777901000116</v>
      </c>
      <c r="E2516" s="8" t="s">
        <v>616</v>
      </c>
      <c r="F2516" s="8" t="s">
        <v>29</v>
      </c>
      <c r="G2516" s="8" t="s">
        <v>19</v>
      </c>
      <c r="H2516" s="8" t="s">
        <v>215</v>
      </c>
      <c r="I2516" s="3">
        <v>2</v>
      </c>
      <c r="J2516" s="8" t="s">
        <v>161</v>
      </c>
      <c r="K2516" s="8" t="s">
        <v>162</v>
      </c>
      <c r="L2516" s="8" t="s">
        <v>556</v>
      </c>
      <c r="M2516" s="1" t="s">
        <v>207</v>
      </c>
      <c r="N2516" s="8" t="s">
        <v>208</v>
      </c>
      <c r="O2516" s="6">
        <v>0</v>
      </c>
      <c r="P2516" s="6">
        <v>0</v>
      </c>
      <c r="Q2516" s="6">
        <v>0</v>
      </c>
      <c r="R2516" s="6">
        <v>0</v>
      </c>
      <c r="S2516" s="6">
        <v>1250</v>
      </c>
    </row>
    <row r="2517" spans="1:19" ht="15" hidden="1" x14ac:dyDescent="0.25">
      <c r="A2517" s="7" t="s">
        <v>16</v>
      </c>
      <c r="B2517" s="7" t="s">
        <v>23</v>
      </c>
      <c r="C2517" s="7" t="s">
        <v>24</v>
      </c>
      <c r="D2517" s="4">
        <v>60777901000116</v>
      </c>
      <c r="E2517" s="8" t="s">
        <v>616</v>
      </c>
      <c r="F2517" s="8" t="s">
        <v>29</v>
      </c>
      <c r="G2517" s="8" t="s">
        <v>19</v>
      </c>
      <c r="H2517" s="8" t="s">
        <v>215</v>
      </c>
      <c r="I2517" s="3">
        <v>2</v>
      </c>
      <c r="J2517" s="8" t="s">
        <v>183</v>
      </c>
      <c r="K2517" s="8" t="s">
        <v>184</v>
      </c>
      <c r="L2517" s="8" t="s">
        <v>557</v>
      </c>
      <c r="M2517" s="1" t="s">
        <v>207</v>
      </c>
      <c r="N2517" s="8" t="s">
        <v>208</v>
      </c>
      <c r="O2517" s="6">
        <v>0</v>
      </c>
      <c r="P2517" s="6">
        <v>0</v>
      </c>
      <c r="Q2517" s="6">
        <v>0</v>
      </c>
      <c r="R2517" s="6">
        <v>0</v>
      </c>
      <c r="S2517" s="6">
        <v>1250</v>
      </c>
    </row>
    <row r="2518" spans="1:19" ht="15" hidden="1" x14ac:dyDescent="0.25">
      <c r="A2518" s="7" t="s">
        <v>16</v>
      </c>
      <c r="B2518" s="7" t="s">
        <v>23</v>
      </c>
      <c r="C2518" s="7" t="s">
        <v>24</v>
      </c>
      <c r="D2518" s="4">
        <v>60975737001204</v>
      </c>
      <c r="E2518" s="8" t="s">
        <v>625</v>
      </c>
      <c r="F2518" s="8" t="s">
        <v>29</v>
      </c>
      <c r="G2518" s="8" t="s">
        <v>19</v>
      </c>
      <c r="H2518" s="8" t="s">
        <v>215</v>
      </c>
      <c r="I2518" s="3">
        <v>2</v>
      </c>
      <c r="J2518" s="8" t="s">
        <v>161</v>
      </c>
      <c r="K2518" s="8" t="s">
        <v>162</v>
      </c>
      <c r="L2518" s="8" t="s">
        <v>556</v>
      </c>
      <c r="M2518" s="1" t="s">
        <v>207</v>
      </c>
      <c r="N2518" s="8" t="s">
        <v>208</v>
      </c>
      <c r="O2518" s="6">
        <v>0</v>
      </c>
      <c r="P2518" s="6">
        <v>0</v>
      </c>
      <c r="Q2518" s="6">
        <v>0</v>
      </c>
      <c r="R2518" s="6">
        <v>0</v>
      </c>
      <c r="S2518" s="6">
        <v>0</v>
      </c>
    </row>
    <row r="2519" spans="1:19" ht="15" hidden="1" x14ac:dyDescent="0.25">
      <c r="A2519" s="7" t="s">
        <v>16</v>
      </c>
      <c r="B2519" s="7" t="s">
        <v>23</v>
      </c>
      <c r="C2519" s="7" t="s">
        <v>24</v>
      </c>
      <c r="D2519" s="4">
        <v>60975737001204</v>
      </c>
      <c r="E2519" s="8" t="s">
        <v>625</v>
      </c>
      <c r="F2519" s="8" t="s">
        <v>29</v>
      </c>
      <c r="G2519" s="8" t="s">
        <v>19</v>
      </c>
      <c r="H2519" s="8" t="s">
        <v>215</v>
      </c>
      <c r="I2519" s="3">
        <v>2</v>
      </c>
      <c r="J2519" s="8" t="s">
        <v>177</v>
      </c>
      <c r="K2519" s="8" t="s">
        <v>178</v>
      </c>
      <c r="L2519" s="8" t="s">
        <v>557</v>
      </c>
      <c r="M2519" s="1" t="s">
        <v>207</v>
      </c>
      <c r="N2519" s="8" t="s">
        <v>208</v>
      </c>
      <c r="O2519" s="6">
        <v>0</v>
      </c>
      <c r="P2519" s="6">
        <v>10</v>
      </c>
      <c r="Q2519" s="6">
        <v>4</v>
      </c>
      <c r="R2519" s="6">
        <v>0</v>
      </c>
      <c r="S2519" s="6">
        <v>0</v>
      </c>
    </row>
    <row r="2520" spans="1:19" ht="15" hidden="1" x14ac:dyDescent="0.25">
      <c r="A2520" s="7" t="s">
        <v>16</v>
      </c>
      <c r="B2520" s="7" t="s">
        <v>23</v>
      </c>
      <c r="C2520" s="7" t="s">
        <v>24</v>
      </c>
      <c r="D2520" s="4">
        <v>28290788000137</v>
      </c>
      <c r="E2520" s="8" t="s">
        <v>591</v>
      </c>
      <c r="F2520" s="8" t="s">
        <v>29</v>
      </c>
      <c r="G2520" s="8" t="s">
        <v>19</v>
      </c>
      <c r="H2520" s="8" t="s">
        <v>215</v>
      </c>
      <c r="I2520" s="3">
        <v>2</v>
      </c>
      <c r="J2520" s="8" t="s">
        <v>161</v>
      </c>
      <c r="K2520" s="8" t="s">
        <v>162</v>
      </c>
      <c r="L2520" s="8" t="s">
        <v>556</v>
      </c>
      <c r="M2520" s="1" t="s">
        <v>207</v>
      </c>
      <c r="N2520" s="8" t="s">
        <v>208</v>
      </c>
      <c r="O2520" s="6">
        <v>0</v>
      </c>
      <c r="P2520" s="6">
        <v>0</v>
      </c>
      <c r="Q2520" s="6">
        <v>0</v>
      </c>
      <c r="R2520" s="6">
        <v>0</v>
      </c>
      <c r="S2520" s="6">
        <v>0</v>
      </c>
    </row>
    <row r="2521" spans="1:19" ht="15" hidden="1" x14ac:dyDescent="0.25">
      <c r="A2521" s="7" t="s">
        <v>16</v>
      </c>
      <c r="B2521" s="7" t="s">
        <v>23</v>
      </c>
      <c r="C2521" s="7" t="s">
        <v>24</v>
      </c>
      <c r="D2521" s="4">
        <v>28290788000137</v>
      </c>
      <c r="E2521" s="8" t="s">
        <v>591</v>
      </c>
      <c r="F2521" s="8" t="s">
        <v>29</v>
      </c>
      <c r="G2521" s="8" t="s">
        <v>19</v>
      </c>
      <c r="H2521" s="8" t="s">
        <v>215</v>
      </c>
      <c r="I2521" s="3">
        <v>2</v>
      </c>
      <c r="J2521" s="8" t="s">
        <v>147</v>
      </c>
      <c r="K2521" s="8" t="s">
        <v>148</v>
      </c>
      <c r="L2521" s="8" t="s">
        <v>557</v>
      </c>
      <c r="M2521" s="1" t="s">
        <v>207</v>
      </c>
      <c r="N2521" s="8" t="s">
        <v>208</v>
      </c>
      <c r="O2521" s="6">
        <v>0</v>
      </c>
      <c r="P2521" s="6">
        <v>14</v>
      </c>
      <c r="Q2521" s="6">
        <v>0</v>
      </c>
      <c r="R2521" s="6">
        <v>0</v>
      </c>
      <c r="S2521" s="6">
        <v>0</v>
      </c>
    </row>
    <row r="2522" spans="1:19" ht="15" hidden="1" x14ac:dyDescent="0.25">
      <c r="A2522" s="7" t="s">
        <v>16</v>
      </c>
      <c r="B2522" s="7" t="s">
        <v>23</v>
      </c>
      <c r="C2522" s="7" t="s">
        <v>24</v>
      </c>
      <c r="D2522" s="4">
        <v>5831510000124</v>
      </c>
      <c r="E2522" s="8" t="s">
        <v>567</v>
      </c>
      <c r="F2522" s="8" t="s">
        <v>29</v>
      </c>
      <c r="G2522" s="8" t="s">
        <v>19</v>
      </c>
      <c r="H2522" s="8" t="s">
        <v>215</v>
      </c>
      <c r="I2522" s="3">
        <v>2</v>
      </c>
      <c r="J2522" s="8" t="s">
        <v>161</v>
      </c>
      <c r="K2522" s="8" t="s">
        <v>162</v>
      </c>
      <c r="L2522" s="8" t="s">
        <v>556</v>
      </c>
      <c r="M2522" s="1" t="s">
        <v>207</v>
      </c>
      <c r="N2522" s="8" t="s">
        <v>208</v>
      </c>
      <c r="O2522" s="6">
        <v>0</v>
      </c>
      <c r="P2522" s="6">
        <v>0</v>
      </c>
      <c r="Q2522" s="6">
        <v>0</v>
      </c>
      <c r="R2522" s="6">
        <v>0</v>
      </c>
      <c r="S2522" s="6">
        <v>135</v>
      </c>
    </row>
    <row r="2523" spans="1:19" ht="15" hidden="1" x14ac:dyDescent="0.25">
      <c r="A2523" s="7" t="s">
        <v>16</v>
      </c>
      <c r="B2523" s="7" t="s">
        <v>23</v>
      </c>
      <c r="C2523" s="7" t="s">
        <v>24</v>
      </c>
      <c r="D2523" s="4">
        <v>5831510000124</v>
      </c>
      <c r="E2523" s="8" t="s">
        <v>567</v>
      </c>
      <c r="F2523" s="8" t="s">
        <v>29</v>
      </c>
      <c r="G2523" s="8" t="s">
        <v>19</v>
      </c>
      <c r="H2523" s="8" t="s">
        <v>215</v>
      </c>
      <c r="I2523" s="3">
        <v>2</v>
      </c>
      <c r="J2523" s="8" t="s">
        <v>147</v>
      </c>
      <c r="K2523" s="8" t="s">
        <v>148</v>
      </c>
      <c r="L2523" s="8" t="s">
        <v>557</v>
      </c>
      <c r="M2523" s="1" t="s">
        <v>207</v>
      </c>
      <c r="N2523" s="8" t="s">
        <v>208</v>
      </c>
      <c r="O2523" s="6">
        <v>0</v>
      </c>
      <c r="P2523" s="6">
        <v>0</v>
      </c>
      <c r="Q2523" s="6">
        <v>0</v>
      </c>
      <c r="R2523" s="6">
        <v>0</v>
      </c>
      <c r="S2523" s="6">
        <v>135</v>
      </c>
    </row>
    <row r="2524" spans="1:19" ht="15" hidden="1" x14ac:dyDescent="0.25">
      <c r="A2524" s="7" t="s">
        <v>16</v>
      </c>
      <c r="B2524" s="7" t="s">
        <v>23</v>
      </c>
      <c r="C2524" s="7" t="s">
        <v>24</v>
      </c>
      <c r="D2524" s="4">
        <v>56577059000606</v>
      </c>
      <c r="E2524" s="8" t="s">
        <v>606</v>
      </c>
      <c r="F2524" s="8" t="s">
        <v>29</v>
      </c>
      <c r="G2524" s="8" t="s">
        <v>19</v>
      </c>
      <c r="H2524" s="8" t="s">
        <v>215</v>
      </c>
      <c r="I2524" s="3">
        <v>2</v>
      </c>
      <c r="J2524" s="8" t="s">
        <v>1355</v>
      </c>
      <c r="K2524" s="8" t="s">
        <v>1356</v>
      </c>
      <c r="L2524" s="8" t="s">
        <v>556</v>
      </c>
      <c r="M2524" s="1" t="s">
        <v>207</v>
      </c>
      <c r="N2524" s="8" t="s">
        <v>208</v>
      </c>
      <c r="O2524" s="6">
        <v>0</v>
      </c>
      <c r="P2524" s="6">
        <v>0</v>
      </c>
      <c r="Q2524" s="6">
        <v>0</v>
      </c>
      <c r="R2524" s="6">
        <v>0</v>
      </c>
      <c r="S2524" s="6">
        <v>0</v>
      </c>
    </row>
    <row r="2525" spans="1:19" ht="15" hidden="1" x14ac:dyDescent="0.25">
      <c r="A2525" s="7" t="s">
        <v>16</v>
      </c>
      <c r="B2525" s="7" t="s">
        <v>23</v>
      </c>
      <c r="C2525" s="7" t="s">
        <v>24</v>
      </c>
      <c r="D2525" s="4">
        <v>56577059000606</v>
      </c>
      <c r="E2525" s="8" t="s">
        <v>606</v>
      </c>
      <c r="F2525" s="8" t="s">
        <v>29</v>
      </c>
      <c r="G2525" s="8" t="s">
        <v>19</v>
      </c>
      <c r="H2525" s="8" t="s">
        <v>215</v>
      </c>
      <c r="I2525" s="3">
        <v>2</v>
      </c>
      <c r="J2525" s="8" t="s">
        <v>177</v>
      </c>
      <c r="K2525" s="8" t="s">
        <v>178</v>
      </c>
      <c r="L2525" s="8" t="s">
        <v>557</v>
      </c>
      <c r="M2525" s="1" t="s">
        <v>207</v>
      </c>
      <c r="N2525" s="8" t="s">
        <v>208</v>
      </c>
      <c r="O2525" s="6">
        <v>0</v>
      </c>
      <c r="P2525" s="6">
        <v>30</v>
      </c>
      <c r="Q2525" s="6">
        <v>0</v>
      </c>
      <c r="R2525" s="6">
        <v>0</v>
      </c>
      <c r="S2525" s="6">
        <v>0</v>
      </c>
    </row>
    <row r="2526" spans="1:19" ht="15" hidden="1" x14ac:dyDescent="0.25">
      <c r="A2526" s="7" t="s">
        <v>16</v>
      </c>
      <c r="B2526" s="7" t="s">
        <v>23</v>
      </c>
      <c r="C2526" s="7" t="s">
        <v>24</v>
      </c>
      <c r="D2526" s="4">
        <v>44649812005520</v>
      </c>
      <c r="E2526" s="8" t="s">
        <v>598</v>
      </c>
      <c r="F2526" s="8" t="s">
        <v>29</v>
      </c>
      <c r="G2526" s="8" t="s">
        <v>19</v>
      </c>
      <c r="H2526" s="8" t="s">
        <v>215</v>
      </c>
      <c r="I2526" s="3">
        <v>2</v>
      </c>
      <c r="J2526" s="8" t="s">
        <v>1355</v>
      </c>
      <c r="K2526" s="8" t="s">
        <v>1356</v>
      </c>
      <c r="L2526" s="8" t="s">
        <v>556</v>
      </c>
      <c r="M2526" s="1" t="s">
        <v>207</v>
      </c>
      <c r="N2526" s="8" t="s">
        <v>208</v>
      </c>
      <c r="O2526" s="6">
        <v>0</v>
      </c>
      <c r="P2526" s="6">
        <v>0</v>
      </c>
      <c r="Q2526" s="6">
        <v>0</v>
      </c>
      <c r="R2526" s="6">
        <v>52</v>
      </c>
      <c r="S2526" s="6">
        <v>70</v>
      </c>
    </row>
    <row r="2527" spans="1:19" ht="15" hidden="1" x14ac:dyDescent="0.25">
      <c r="A2527" s="7" t="s">
        <v>16</v>
      </c>
      <c r="B2527" s="7" t="s">
        <v>23</v>
      </c>
      <c r="C2527" s="7" t="s">
        <v>24</v>
      </c>
      <c r="D2527" s="4">
        <v>44649812005520</v>
      </c>
      <c r="E2527" s="8" t="s">
        <v>598</v>
      </c>
      <c r="F2527" s="8" t="s">
        <v>29</v>
      </c>
      <c r="G2527" s="8" t="s">
        <v>19</v>
      </c>
      <c r="H2527" s="8" t="s">
        <v>215</v>
      </c>
      <c r="I2527" s="3">
        <v>2</v>
      </c>
      <c r="J2527" s="8" t="s">
        <v>147</v>
      </c>
      <c r="K2527" s="8" t="s">
        <v>148</v>
      </c>
      <c r="L2527" s="8" t="s">
        <v>557</v>
      </c>
      <c r="M2527" s="1" t="s">
        <v>207</v>
      </c>
      <c r="N2527" s="8" t="s">
        <v>208</v>
      </c>
      <c r="O2527" s="6">
        <v>0</v>
      </c>
      <c r="P2527" s="6">
        <v>0</v>
      </c>
      <c r="Q2527" s="6">
        <v>0</v>
      </c>
      <c r="R2527" s="6">
        <v>0</v>
      </c>
      <c r="S2527" s="6">
        <v>70</v>
      </c>
    </row>
    <row r="2528" spans="1:19" ht="15" hidden="1" x14ac:dyDescent="0.25">
      <c r="A2528" s="7" t="s">
        <v>16</v>
      </c>
      <c r="B2528" s="7" t="s">
        <v>23</v>
      </c>
      <c r="C2528" s="7" t="s">
        <v>24</v>
      </c>
      <c r="D2528" s="4">
        <v>62779145000190</v>
      </c>
      <c r="E2528" s="8" t="s">
        <v>634</v>
      </c>
      <c r="F2528" s="8" t="s">
        <v>29</v>
      </c>
      <c r="G2528" s="8" t="s">
        <v>19</v>
      </c>
      <c r="H2528" s="8" t="s">
        <v>215</v>
      </c>
      <c r="I2528" s="3">
        <v>2</v>
      </c>
      <c r="J2528" s="8" t="s">
        <v>161</v>
      </c>
      <c r="K2528" s="8" t="s">
        <v>162</v>
      </c>
      <c r="L2528" s="8" t="s">
        <v>556</v>
      </c>
      <c r="M2528" s="1" t="s">
        <v>207</v>
      </c>
      <c r="N2528" s="8" t="s">
        <v>208</v>
      </c>
      <c r="O2528" s="6">
        <v>0</v>
      </c>
      <c r="P2528" s="6">
        <v>0</v>
      </c>
      <c r="Q2528" s="6">
        <v>0</v>
      </c>
      <c r="R2528" s="6">
        <v>0</v>
      </c>
      <c r="S2528" s="6">
        <v>0</v>
      </c>
    </row>
    <row r="2529" spans="1:19" ht="15" hidden="1" x14ac:dyDescent="0.25">
      <c r="A2529" s="7" t="s">
        <v>16</v>
      </c>
      <c r="B2529" s="7" t="s">
        <v>23</v>
      </c>
      <c r="C2529" s="7" t="s">
        <v>24</v>
      </c>
      <c r="D2529" s="4">
        <v>62779145000190</v>
      </c>
      <c r="E2529" s="8" t="s">
        <v>634</v>
      </c>
      <c r="F2529" s="8" t="s">
        <v>29</v>
      </c>
      <c r="G2529" s="8" t="s">
        <v>19</v>
      </c>
      <c r="H2529" s="8" t="s">
        <v>215</v>
      </c>
      <c r="I2529" s="3">
        <v>2</v>
      </c>
      <c r="J2529" s="8" t="s">
        <v>177</v>
      </c>
      <c r="K2529" s="8" t="s">
        <v>178</v>
      </c>
      <c r="L2529" s="8" t="s">
        <v>557</v>
      </c>
      <c r="M2529" s="1" t="s">
        <v>207</v>
      </c>
      <c r="N2529" s="8" t="s">
        <v>208</v>
      </c>
      <c r="O2529" s="6">
        <v>0</v>
      </c>
      <c r="P2529" s="6">
        <v>10</v>
      </c>
      <c r="Q2529" s="6">
        <v>0</v>
      </c>
      <c r="R2529" s="6">
        <v>0</v>
      </c>
      <c r="S2529" s="6">
        <v>0</v>
      </c>
    </row>
    <row r="2530" spans="1:19" ht="15" hidden="1" x14ac:dyDescent="0.25">
      <c r="A2530" s="7" t="s">
        <v>16</v>
      </c>
      <c r="B2530" s="7" t="s">
        <v>23</v>
      </c>
      <c r="C2530" s="7" t="s">
        <v>24</v>
      </c>
      <c r="D2530" s="4">
        <v>4036348000190</v>
      </c>
      <c r="E2530" s="8" t="s">
        <v>565</v>
      </c>
      <c r="F2530" s="8" t="s">
        <v>29</v>
      </c>
      <c r="G2530" s="8" t="s">
        <v>19</v>
      </c>
      <c r="H2530" s="8" t="s">
        <v>215</v>
      </c>
      <c r="I2530" s="3">
        <v>2</v>
      </c>
      <c r="J2530" s="8" t="s">
        <v>1355</v>
      </c>
      <c r="K2530" s="8" t="s">
        <v>1356</v>
      </c>
      <c r="L2530" s="8" t="s">
        <v>556</v>
      </c>
      <c r="M2530" s="1" t="s">
        <v>207</v>
      </c>
      <c r="N2530" s="8" t="s">
        <v>208</v>
      </c>
      <c r="O2530" s="6">
        <v>0</v>
      </c>
      <c r="P2530" s="6">
        <v>0</v>
      </c>
      <c r="Q2530" s="6">
        <v>0</v>
      </c>
      <c r="R2530" s="6">
        <v>0</v>
      </c>
      <c r="S2530" s="6">
        <v>330</v>
      </c>
    </row>
    <row r="2531" spans="1:19" ht="15" hidden="1" x14ac:dyDescent="0.25">
      <c r="A2531" s="7" t="s">
        <v>16</v>
      </c>
      <c r="B2531" s="7" t="s">
        <v>23</v>
      </c>
      <c r="C2531" s="7" t="s">
        <v>24</v>
      </c>
      <c r="D2531" s="4">
        <v>4036348000190</v>
      </c>
      <c r="E2531" s="8" t="s">
        <v>565</v>
      </c>
      <c r="F2531" s="8" t="s">
        <v>29</v>
      </c>
      <c r="G2531" s="8" t="s">
        <v>19</v>
      </c>
      <c r="H2531" s="8" t="s">
        <v>215</v>
      </c>
      <c r="I2531" s="3">
        <v>2</v>
      </c>
      <c r="J2531" s="8" t="s">
        <v>147</v>
      </c>
      <c r="K2531" s="8" t="s">
        <v>148</v>
      </c>
      <c r="L2531" s="8" t="s">
        <v>557</v>
      </c>
      <c r="M2531" s="1" t="s">
        <v>207</v>
      </c>
      <c r="N2531" s="8" t="s">
        <v>208</v>
      </c>
      <c r="O2531" s="6">
        <v>0</v>
      </c>
      <c r="P2531" s="6">
        <v>0</v>
      </c>
      <c r="Q2531" s="6">
        <v>0</v>
      </c>
      <c r="R2531" s="6">
        <v>0</v>
      </c>
      <c r="S2531" s="6">
        <v>330</v>
      </c>
    </row>
    <row r="2532" spans="1:19" ht="15" hidden="1" x14ac:dyDescent="0.25">
      <c r="A2532" s="7" t="s">
        <v>16</v>
      </c>
      <c r="B2532" s="7" t="s">
        <v>23</v>
      </c>
      <c r="C2532" s="7" t="s">
        <v>24</v>
      </c>
      <c r="D2532" s="4">
        <v>22227973000109</v>
      </c>
      <c r="E2532" s="8" t="s">
        <v>590</v>
      </c>
      <c r="F2532" s="8" t="s">
        <v>29</v>
      </c>
      <c r="G2532" s="8" t="s">
        <v>19</v>
      </c>
      <c r="H2532" s="8" t="s">
        <v>215</v>
      </c>
      <c r="I2532" s="3">
        <v>2</v>
      </c>
      <c r="J2532" s="8" t="s">
        <v>161</v>
      </c>
      <c r="K2532" s="8" t="s">
        <v>162</v>
      </c>
      <c r="L2532" s="8" t="s">
        <v>556</v>
      </c>
      <c r="M2532" s="1" t="s">
        <v>207</v>
      </c>
      <c r="N2532" s="8" t="s">
        <v>208</v>
      </c>
      <c r="O2532" s="6">
        <v>0</v>
      </c>
      <c r="P2532" s="6">
        <v>0</v>
      </c>
      <c r="Q2532" s="6">
        <v>0</v>
      </c>
      <c r="R2532" s="6">
        <v>0</v>
      </c>
      <c r="S2532" s="6">
        <v>2</v>
      </c>
    </row>
    <row r="2533" spans="1:19" ht="15" hidden="1" x14ac:dyDescent="0.25">
      <c r="A2533" s="7" t="s">
        <v>16</v>
      </c>
      <c r="B2533" s="7" t="s">
        <v>23</v>
      </c>
      <c r="C2533" s="7" t="s">
        <v>24</v>
      </c>
      <c r="D2533" s="4">
        <v>22227973000109</v>
      </c>
      <c r="E2533" s="8" t="s">
        <v>590</v>
      </c>
      <c r="F2533" s="8" t="s">
        <v>29</v>
      </c>
      <c r="G2533" s="8" t="s">
        <v>19</v>
      </c>
      <c r="H2533" s="8" t="s">
        <v>215</v>
      </c>
      <c r="I2533" s="3">
        <v>2</v>
      </c>
      <c r="J2533" s="8" t="s">
        <v>183</v>
      </c>
      <c r="K2533" s="8" t="s">
        <v>184</v>
      </c>
      <c r="L2533" s="8" t="s">
        <v>557</v>
      </c>
      <c r="M2533" s="1" t="s">
        <v>207</v>
      </c>
      <c r="N2533" s="8" t="s">
        <v>208</v>
      </c>
      <c r="O2533" s="6">
        <v>0</v>
      </c>
      <c r="P2533" s="6">
        <v>0</v>
      </c>
      <c r="Q2533" s="6">
        <v>0</v>
      </c>
      <c r="R2533" s="6">
        <v>0</v>
      </c>
      <c r="S2533" s="6">
        <v>2</v>
      </c>
    </row>
    <row r="2534" spans="1:19" ht="15" hidden="1" x14ac:dyDescent="0.25">
      <c r="A2534" s="7" t="s">
        <v>16</v>
      </c>
      <c r="B2534" s="7" t="s">
        <v>23</v>
      </c>
      <c r="C2534" s="7" t="s">
        <v>24</v>
      </c>
      <c r="D2534" s="4">
        <v>2837922000183</v>
      </c>
      <c r="E2534" s="8" t="s">
        <v>563</v>
      </c>
      <c r="F2534" s="8" t="s">
        <v>29</v>
      </c>
      <c r="G2534" s="8" t="s">
        <v>19</v>
      </c>
      <c r="H2534" s="8" t="s">
        <v>215</v>
      </c>
      <c r="I2534" s="3">
        <v>2</v>
      </c>
      <c r="J2534" s="8" t="s">
        <v>161</v>
      </c>
      <c r="K2534" s="8" t="s">
        <v>162</v>
      </c>
      <c r="L2534" s="8" t="s">
        <v>556</v>
      </c>
      <c r="M2534" s="1" t="s">
        <v>207</v>
      </c>
      <c r="N2534" s="8" t="s">
        <v>208</v>
      </c>
      <c r="O2534" s="6">
        <v>0</v>
      </c>
      <c r="P2534" s="6">
        <v>0</v>
      </c>
      <c r="Q2534" s="6">
        <v>0</v>
      </c>
      <c r="R2534" s="6">
        <v>100</v>
      </c>
      <c r="S2534" s="6">
        <v>0</v>
      </c>
    </row>
    <row r="2535" spans="1:19" ht="15" hidden="1" x14ac:dyDescent="0.25">
      <c r="A2535" s="7" t="s">
        <v>16</v>
      </c>
      <c r="B2535" s="7" t="s">
        <v>23</v>
      </c>
      <c r="C2535" s="7" t="s">
        <v>24</v>
      </c>
      <c r="D2535" s="4">
        <v>2837922000183</v>
      </c>
      <c r="E2535" s="8" t="s">
        <v>563</v>
      </c>
      <c r="F2535" s="8" t="s">
        <v>29</v>
      </c>
      <c r="G2535" s="8" t="s">
        <v>19</v>
      </c>
      <c r="H2535" s="8" t="s">
        <v>215</v>
      </c>
      <c r="I2535" s="3">
        <v>2</v>
      </c>
      <c r="J2535" s="8" t="s">
        <v>147</v>
      </c>
      <c r="K2535" s="8" t="s">
        <v>148</v>
      </c>
      <c r="L2535" s="8" t="s">
        <v>557</v>
      </c>
      <c r="M2535" s="1" t="s">
        <v>207</v>
      </c>
      <c r="N2535" s="8" t="s">
        <v>208</v>
      </c>
      <c r="O2535" s="6">
        <v>0</v>
      </c>
      <c r="P2535" s="6">
        <v>0</v>
      </c>
      <c r="Q2535" s="6">
        <v>0</v>
      </c>
      <c r="R2535" s="6">
        <v>0</v>
      </c>
      <c r="S2535" s="6">
        <v>0</v>
      </c>
    </row>
    <row r="2536" spans="1:19" ht="15" hidden="1" x14ac:dyDescent="0.25">
      <c r="A2536" s="7" t="s">
        <v>16</v>
      </c>
      <c r="B2536" s="7" t="s">
        <v>23</v>
      </c>
      <c r="C2536" s="7" t="s">
        <v>24</v>
      </c>
      <c r="D2536" s="4">
        <v>61599908000158</v>
      </c>
      <c r="E2536" s="8" t="s">
        <v>631</v>
      </c>
      <c r="F2536" s="8" t="s">
        <v>29</v>
      </c>
      <c r="G2536" s="8" t="s">
        <v>19</v>
      </c>
      <c r="H2536" s="8" t="s">
        <v>215</v>
      </c>
      <c r="I2536" s="3">
        <v>2</v>
      </c>
      <c r="J2536" s="8" t="s">
        <v>1355</v>
      </c>
      <c r="K2536" s="8" t="s">
        <v>1356</v>
      </c>
      <c r="L2536" s="8" t="s">
        <v>556</v>
      </c>
      <c r="M2536" s="1" t="s">
        <v>207</v>
      </c>
      <c r="N2536" s="8" t="s">
        <v>208</v>
      </c>
      <c r="O2536" s="6">
        <v>0</v>
      </c>
      <c r="P2536" s="6">
        <v>0</v>
      </c>
      <c r="Q2536" s="6">
        <v>0</v>
      </c>
      <c r="R2536" s="6">
        <v>0</v>
      </c>
      <c r="S2536" s="6">
        <v>0</v>
      </c>
    </row>
    <row r="2537" spans="1:19" ht="15" hidden="1" x14ac:dyDescent="0.25">
      <c r="A2537" s="7" t="s">
        <v>16</v>
      </c>
      <c r="B2537" s="7" t="s">
        <v>23</v>
      </c>
      <c r="C2537" s="7" t="s">
        <v>24</v>
      </c>
      <c r="D2537" s="4">
        <v>61599908000158</v>
      </c>
      <c r="E2537" s="8" t="s">
        <v>631</v>
      </c>
      <c r="F2537" s="8" t="s">
        <v>29</v>
      </c>
      <c r="G2537" s="8" t="s">
        <v>19</v>
      </c>
      <c r="H2537" s="8" t="s">
        <v>215</v>
      </c>
      <c r="I2537" s="3">
        <v>2</v>
      </c>
      <c r="J2537" s="8" t="s">
        <v>183</v>
      </c>
      <c r="K2537" s="8" t="s">
        <v>184</v>
      </c>
      <c r="L2537" s="8" t="s">
        <v>557</v>
      </c>
      <c r="M2537" s="1" t="s">
        <v>207</v>
      </c>
      <c r="N2537" s="8" t="s">
        <v>208</v>
      </c>
      <c r="O2537" s="6">
        <v>0</v>
      </c>
      <c r="P2537" s="6">
        <v>27</v>
      </c>
      <c r="Q2537" s="6">
        <v>72</v>
      </c>
      <c r="R2537" s="6">
        <v>0</v>
      </c>
      <c r="S2537" s="6">
        <v>0</v>
      </c>
    </row>
    <row r="2538" spans="1:19" ht="15" hidden="1" x14ac:dyDescent="0.25">
      <c r="A2538" s="7" t="s">
        <v>16</v>
      </c>
      <c r="B2538" s="7" t="s">
        <v>23</v>
      </c>
      <c r="C2538" s="7" t="s">
        <v>24</v>
      </c>
      <c r="D2538" s="4">
        <v>7045325000130</v>
      </c>
      <c r="E2538" s="8" t="s">
        <v>571</v>
      </c>
      <c r="F2538" s="8" t="s">
        <v>29</v>
      </c>
      <c r="G2538" s="8" t="s">
        <v>19</v>
      </c>
      <c r="H2538" s="8" t="s">
        <v>215</v>
      </c>
      <c r="I2538" s="3">
        <v>2</v>
      </c>
      <c r="J2538" s="8" t="s">
        <v>161</v>
      </c>
      <c r="K2538" s="8" t="s">
        <v>162</v>
      </c>
      <c r="L2538" s="8" t="s">
        <v>556</v>
      </c>
      <c r="M2538" s="1" t="s">
        <v>207</v>
      </c>
      <c r="N2538" s="8" t="s">
        <v>208</v>
      </c>
      <c r="O2538" s="6">
        <v>0</v>
      </c>
      <c r="P2538" s="6">
        <v>0</v>
      </c>
      <c r="Q2538" s="6">
        <v>0</v>
      </c>
      <c r="R2538" s="6">
        <v>88</v>
      </c>
      <c r="S2538" s="6">
        <v>0</v>
      </c>
    </row>
    <row r="2539" spans="1:19" ht="15" hidden="1" x14ac:dyDescent="0.25">
      <c r="A2539" s="7" t="s">
        <v>16</v>
      </c>
      <c r="B2539" s="7" t="s">
        <v>23</v>
      </c>
      <c r="C2539" s="7" t="s">
        <v>24</v>
      </c>
      <c r="D2539" s="4">
        <v>7045325000130</v>
      </c>
      <c r="E2539" s="8" t="s">
        <v>571</v>
      </c>
      <c r="F2539" s="8" t="s">
        <v>29</v>
      </c>
      <c r="G2539" s="8" t="s">
        <v>19</v>
      </c>
      <c r="H2539" s="8" t="s">
        <v>215</v>
      </c>
      <c r="I2539" s="3">
        <v>2</v>
      </c>
      <c r="J2539" s="8" t="s">
        <v>147</v>
      </c>
      <c r="K2539" s="8" t="s">
        <v>148</v>
      </c>
      <c r="L2539" s="8" t="s">
        <v>557</v>
      </c>
      <c r="M2539" s="1" t="s">
        <v>207</v>
      </c>
      <c r="N2539" s="8" t="s">
        <v>208</v>
      </c>
      <c r="O2539" s="6">
        <v>0</v>
      </c>
      <c r="P2539" s="6">
        <v>0</v>
      </c>
      <c r="Q2539" s="6">
        <v>0</v>
      </c>
      <c r="R2539" s="6">
        <v>0</v>
      </c>
      <c r="S2539" s="6">
        <v>0</v>
      </c>
    </row>
    <row r="2540" spans="1:19" ht="15" hidden="1" x14ac:dyDescent="0.25">
      <c r="A2540" s="7" t="s">
        <v>16</v>
      </c>
      <c r="B2540" s="7" t="s">
        <v>23</v>
      </c>
      <c r="C2540" s="7" t="s">
        <v>24</v>
      </c>
      <c r="D2540" s="4">
        <v>6047087000210</v>
      </c>
      <c r="E2540" s="8" t="s">
        <v>569</v>
      </c>
      <c r="F2540" s="8" t="s">
        <v>29</v>
      </c>
      <c r="G2540" s="8" t="s">
        <v>19</v>
      </c>
      <c r="H2540" s="8" t="s">
        <v>215</v>
      </c>
      <c r="I2540" s="3">
        <v>2</v>
      </c>
      <c r="J2540" s="8" t="s">
        <v>161</v>
      </c>
      <c r="K2540" s="8" t="s">
        <v>162</v>
      </c>
      <c r="L2540" s="8" t="s">
        <v>556</v>
      </c>
      <c r="M2540" s="1" t="s">
        <v>207</v>
      </c>
      <c r="N2540" s="8" t="s">
        <v>208</v>
      </c>
      <c r="O2540" s="6">
        <v>0</v>
      </c>
      <c r="P2540" s="6">
        <v>0</v>
      </c>
      <c r="Q2540" s="6">
        <v>0</v>
      </c>
      <c r="R2540" s="6">
        <v>0</v>
      </c>
      <c r="S2540" s="6">
        <v>0</v>
      </c>
    </row>
    <row r="2541" spans="1:19" ht="15" hidden="1" x14ac:dyDescent="0.25">
      <c r="A2541" s="7" t="s">
        <v>16</v>
      </c>
      <c r="B2541" s="7" t="s">
        <v>23</v>
      </c>
      <c r="C2541" s="7" t="s">
        <v>24</v>
      </c>
      <c r="D2541" s="4">
        <v>6047087000210</v>
      </c>
      <c r="E2541" s="8" t="s">
        <v>569</v>
      </c>
      <c r="F2541" s="8" t="s">
        <v>29</v>
      </c>
      <c r="G2541" s="8" t="s">
        <v>19</v>
      </c>
      <c r="H2541" s="8" t="s">
        <v>215</v>
      </c>
      <c r="I2541" s="3">
        <v>2</v>
      </c>
      <c r="J2541" s="8" t="s">
        <v>147</v>
      </c>
      <c r="K2541" s="8" t="s">
        <v>148</v>
      </c>
      <c r="L2541" s="8" t="s">
        <v>557</v>
      </c>
      <c r="M2541" s="1" t="s">
        <v>207</v>
      </c>
      <c r="N2541" s="8" t="s">
        <v>208</v>
      </c>
      <c r="O2541" s="6">
        <v>0</v>
      </c>
      <c r="P2541" s="6">
        <v>60</v>
      </c>
      <c r="Q2541" s="6">
        <v>69</v>
      </c>
      <c r="R2541" s="6">
        <v>0</v>
      </c>
      <c r="S2541" s="6">
        <v>0</v>
      </c>
    </row>
    <row r="2542" spans="1:19" ht="15" hidden="1" x14ac:dyDescent="0.25">
      <c r="A2542" s="7" t="s">
        <v>16</v>
      </c>
      <c r="B2542" s="7" t="s">
        <v>23</v>
      </c>
      <c r="C2542" s="7" t="s">
        <v>24</v>
      </c>
      <c r="D2542" s="4">
        <v>60961422000155</v>
      </c>
      <c r="E2542" s="8" t="s">
        <v>620</v>
      </c>
      <c r="F2542" s="8" t="s">
        <v>29</v>
      </c>
      <c r="G2542" s="8" t="s">
        <v>19</v>
      </c>
      <c r="H2542" s="8" t="s">
        <v>215</v>
      </c>
      <c r="I2542" s="3">
        <v>2</v>
      </c>
      <c r="J2542" s="8" t="s">
        <v>161</v>
      </c>
      <c r="K2542" s="8" t="s">
        <v>162</v>
      </c>
      <c r="L2542" s="8" t="s">
        <v>556</v>
      </c>
      <c r="M2542" s="1" t="s">
        <v>207</v>
      </c>
      <c r="N2542" s="8" t="s">
        <v>208</v>
      </c>
      <c r="O2542" s="6">
        <v>0</v>
      </c>
      <c r="P2542" s="6">
        <v>0</v>
      </c>
      <c r="Q2542" s="6">
        <v>0</v>
      </c>
      <c r="R2542" s="6">
        <v>0</v>
      </c>
      <c r="S2542" s="6">
        <v>20</v>
      </c>
    </row>
    <row r="2543" spans="1:19" ht="15" hidden="1" x14ac:dyDescent="0.25">
      <c r="A2543" s="7" t="s">
        <v>16</v>
      </c>
      <c r="B2543" s="7" t="s">
        <v>23</v>
      </c>
      <c r="C2543" s="7" t="s">
        <v>24</v>
      </c>
      <c r="D2543" s="4">
        <v>60961422000155</v>
      </c>
      <c r="E2543" s="8" t="s">
        <v>620</v>
      </c>
      <c r="F2543" s="8" t="s">
        <v>29</v>
      </c>
      <c r="G2543" s="8" t="s">
        <v>19</v>
      </c>
      <c r="H2543" s="8" t="s">
        <v>215</v>
      </c>
      <c r="I2543" s="3">
        <v>2</v>
      </c>
      <c r="J2543" s="8" t="s">
        <v>147</v>
      </c>
      <c r="K2543" s="8" t="s">
        <v>148</v>
      </c>
      <c r="L2543" s="8" t="s">
        <v>557</v>
      </c>
      <c r="M2543" s="1" t="s">
        <v>207</v>
      </c>
      <c r="N2543" s="8" t="s">
        <v>208</v>
      </c>
      <c r="O2543" s="6">
        <v>0</v>
      </c>
      <c r="P2543" s="6">
        <v>3</v>
      </c>
      <c r="Q2543" s="6">
        <v>13</v>
      </c>
      <c r="R2543" s="6">
        <v>0</v>
      </c>
      <c r="S2543" s="6">
        <v>20</v>
      </c>
    </row>
    <row r="2544" spans="1:19" ht="15" hidden="1" x14ac:dyDescent="0.25">
      <c r="A2544" s="7" t="s">
        <v>16</v>
      </c>
      <c r="B2544" s="7" t="s">
        <v>23</v>
      </c>
      <c r="C2544" s="7" t="s">
        <v>24</v>
      </c>
      <c r="D2544" s="4">
        <v>61590410000124</v>
      </c>
      <c r="E2544" s="8" t="s">
        <v>630</v>
      </c>
      <c r="F2544" s="8" t="s">
        <v>29</v>
      </c>
      <c r="G2544" s="8" t="s">
        <v>19</v>
      </c>
      <c r="H2544" s="8" t="s">
        <v>215</v>
      </c>
      <c r="I2544" s="3">
        <v>2</v>
      </c>
      <c r="J2544" s="8" t="s">
        <v>1355</v>
      </c>
      <c r="K2544" s="8" t="s">
        <v>1356</v>
      </c>
      <c r="L2544" s="8" t="s">
        <v>556</v>
      </c>
      <c r="M2544" s="1" t="s">
        <v>207</v>
      </c>
      <c r="N2544" s="8" t="s">
        <v>208</v>
      </c>
      <c r="O2544" s="6">
        <v>0</v>
      </c>
      <c r="P2544" s="6">
        <v>0</v>
      </c>
      <c r="Q2544" s="6">
        <v>0</v>
      </c>
      <c r="R2544" s="6">
        <v>0</v>
      </c>
      <c r="S2544" s="6">
        <v>1860</v>
      </c>
    </row>
    <row r="2545" spans="1:19" ht="15" hidden="1" x14ac:dyDescent="0.25">
      <c r="A2545" s="7" t="s">
        <v>16</v>
      </c>
      <c r="B2545" s="7" t="s">
        <v>23</v>
      </c>
      <c r="C2545" s="7" t="s">
        <v>24</v>
      </c>
      <c r="D2545" s="4">
        <v>61590410000124</v>
      </c>
      <c r="E2545" s="8" t="s">
        <v>630</v>
      </c>
      <c r="F2545" s="8" t="s">
        <v>29</v>
      </c>
      <c r="G2545" s="8" t="s">
        <v>19</v>
      </c>
      <c r="H2545" s="8" t="s">
        <v>215</v>
      </c>
      <c r="I2545" s="3">
        <v>2</v>
      </c>
      <c r="J2545" s="8" t="s">
        <v>177</v>
      </c>
      <c r="K2545" s="8" t="s">
        <v>178</v>
      </c>
      <c r="L2545" s="8" t="s">
        <v>557</v>
      </c>
      <c r="M2545" s="1" t="s">
        <v>207</v>
      </c>
      <c r="N2545" s="8" t="s">
        <v>208</v>
      </c>
      <c r="O2545" s="6">
        <v>0</v>
      </c>
      <c r="P2545" s="6">
        <v>26</v>
      </c>
      <c r="Q2545" s="6">
        <v>46</v>
      </c>
      <c r="R2545" s="6">
        <v>0</v>
      </c>
      <c r="S2545" s="6">
        <v>1860</v>
      </c>
    </row>
    <row r="2546" spans="1:19" ht="15" hidden="1" x14ac:dyDescent="0.25">
      <c r="A2546" s="7" t="s">
        <v>16</v>
      </c>
      <c r="B2546" s="7" t="s">
        <v>23</v>
      </c>
      <c r="C2546" s="7" t="s">
        <v>24</v>
      </c>
      <c r="D2546" s="4">
        <v>20812223000241</v>
      </c>
      <c r="E2546" s="8" t="s">
        <v>588</v>
      </c>
      <c r="F2546" s="8" t="s">
        <v>29</v>
      </c>
      <c r="G2546" s="8" t="s">
        <v>19</v>
      </c>
      <c r="H2546" s="8" t="s">
        <v>215</v>
      </c>
      <c r="I2546" s="3">
        <v>2</v>
      </c>
      <c r="J2546" s="8" t="s">
        <v>161</v>
      </c>
      <c r="K2546" s="8" t="s">
        <v>162</v>
      </c>
      <c r="L2546" s="8" t="s">
        <v>556</v>
      </c>
      <c r="M2546" s="1" t="s">
        <v>207</v>
      </c>
      <c r="N2546" s="8" t="s">
        <v>208</v>
      </c>
      <c r="O2546" s="6">
        <v>0</v>
      </c>
      <c r="P2546" s="6">
        <v>0</v>
      </c>
      <c r="Q2546" s="6">
        <v>0</v>
      </c>
      <c r="R2546" s="6">
        <v>30</v>
      </c>
      <c r="S2546" s="6">
        <v>0</v>
      </c>
    </row>
    <row r="2547" spans="1:19" ht="15" hidden="1" x14ac:dyDescent="0.25">
      <c r="A2547" s="7" t="s">
        <v>16</v>
      </c>
      <c r="B2547" s="7" t="s">
        <v>23</v>
      </c>
      <c r="C2547" s="7" t="s">
        <v>24</v>
      </c>
      <c r="D2547" s="4">
        <v>20812223000241</v>
      </c>
      <c r="E2547" s="8" t="s">
        <v>588</v>
      </c>
      <c r="F2547" s="8" t="s">
        <v>29</v>
      </c>
      <c r="G2547" s="8" t="s">
        <v>19</v>
      </c>
      <c r="H2547" s="8" t="s">
        <v>215</v>
      </c>
      <c r="I2547" s="3">
        <v>2</v>
      </c>
      <c r="J2547" s="8" t="s">
        <v>147</v>
      </c>
      <c r="K2547" s="8" t="s">
        <v>148</v>
      </c>
      <c r="L2547" s="8" t="s">
        <v>557</v>
      </c>
      <c r="M2547" s="1" t="s">
        <v>207</v>
      </c>
      <c r="N2547" s="8" t="s">
        <v>208</v>
      </c>
      <c r="O2547" s="6">
        <v>0</v>
      </c>
      <c r="P2547" s="6">
        <v>0</v>
      </c>
      <c r="Q2547" s="6">
        <v>0</v>
      </c>
      <c r="R2547" s="6">
        <v>0</v>
      </c>
      <c r="S2547" s="6">
        <v>0</v>
      </c>
    </row>
    <row r="2548" spans="1:19" ht="15" hidden="1" x14ac:dyDescent="0.25">
      <c r="A2548" s="7" t="s">
        <v>16</v>
      </c>
      <c r="B2548" s="7" t="s">
        <v>23</v>
      </c>
      <c r="C2548" s="7" t="s">
        <v>24</v>
      </c>
      <c r="D2548" s="4">
        <v>9087150000159</v>
      </c>
      <c r="E2548" s="8" t="s">
        <v>578</v>
      </c>
      <c r="F2548" s="8" t="s">
        <v>29</v>
      </c>
      <c r="G2548" s="8" t="s">
        <v>19</v>
      </c>
      <c r="H2548" s="8" t="s">
        <v>215</v>
      </c>
      <c r="I2548" s="3">
        <v>2</v>
      </c>
      <c r="J2548" s="8" t="s">
        <v>1355</v>
      </c>
      <c r="K2548" s="8" t="s">
        <v>1356</v>
      </c>
      <c r="L2548" s="8" t="s">
        <v>556</v>
      </c>
      <c r="M2548" s="1" t="s">
        <v>207</v>
      </c>
      <c r="N2548" s="8" t="s">
        <v>208</v>
      </c>
      <c r="O2548" s="6">
        <v>0</v>
      </c>
      <c r="P2548" s="6">
        <v>0</v>
      </c>
      <c r="Q2548" s="6">
        <v>0</v>
      </c>
      <c r="R2548" s="6">
        <v>11</v>
      </c>
      <c r="S2548" s="6">
        <v>0</v>
      </c>
    </row>
    <row r="2549" spans="1:19" ht="15" hidden="1" x14ac:dyDescent="0.25">
      <c r="A2549" s="7" t="s">
        <v>16</v>
      </c>
      <c r="B2549" s="7" t="s">
        <v>23</v>
      </c>
      <c r="C2549" s="7" t="s">
        <v>24</v>
      </c>
      <c r="D2549" s="4">
        <v>9087150000159</v>
      </c>
      <c r="E2549" s="8" t="s">
        <v>578</v>
      </c>
      <c r="F2549" s="8" t="s">
        <v>29</v>
      </c>
      <c r="G2549" s="8" t="s">
        <v>19</v>
      </c>
      <c r="H2549" s="8" t="s">
        <v>215</v>
      </c>
      <c r="I2549" s="3">
        <v>2</v>
      </c>
      <c r="J2549" s="8" t="s">
        <v>177</v>
      </c>
      <c r="K2549" s="8" t="s">
        <v>178</v>
      </c>
      <c r="L2549" s="8" t="s">
        <v>557</v>
      </c>
      <c r="M2549" s="1" t="s">
        <v>207</v>
      </c>
      <c r="N2549" s="8" t="s">
        <v>208</v>
      </c>
      <c r="O2549" s="6">
        <v>0</v>
      </c>
      <c r="P2549" s="6">
        <v>0</v>
      </c>
      <c r="Q2549" s="6">
        <v>0</v>
      </c>
      <c r="R2549" s="6">
        <v>0</v>
      </c>
      <c r="S2549" s="6">
        <v>0</v>
      </c>
    </row>
    <row r="2550" spans="1:19" ht="15" hidden="1" x14ac:dyDescent="0.25">
      <c r="A2550" s="7" t="s">
        <v>16</v>
      </c>
      <c r="B2550" s="7" t="s">
        <v>229</v>
      </c>
      <c r="C2550" s="7" t="s">
        <v>24</v>
      </c>
      <c r="D2550" s="4">
        <v>5612725000154</v>
      </c>
      <c r="E2550" s="8" t="s">
        <v>800</v>
      </c>
      <c r="F2550" s="8" t="s">
        <v>742</v>
      </c>
      <c r="G2550" s="8" t="s">
        <v>91</v>
      </c>
      <c r="H2550" s="8" t="s">
        <v>215</v>
      </c>
      <c r="I2550" s="3">
        <v>2</v>
      </c>
      <c r="J2550" s="8" t="s">
        <v>199</v>
      </c>
      <c r="K2550" s="8" t="s">
        <v>200</v>
      </c>
      <c r="L2550" s="8" t="s">
        <v>556</v>
      </c>
      <c r="M2550" s="1" t="s">
        <v>211</v>
      </c>
      <c r="N2550" s="8" t="s">
        <v>212</v>
      </c>
      <c r="O2550" s="6">
        <v>0</v>
      </c>
      <c r="P2550" s="6">
        <v>0</v>
      </c>
      <c r="Q2550" s="6">
        <v>0</v>
      </c>
      <c r="R2550" s="6">
        <v>0</v>
      </c>
      <c r="S2550" s="6">
        <v>30</v>
      </c>
    </row>
    <row r="2551" spans="1:19" ht="15" hidden="1" x14ac:dyDescent="0.25">
      <c r="A2551" s="7" t="s">
        <v>16</v>
      </c>
      <c r="B2551" s="7" t="s">
        <v>229</v>
      </c>
      <c r="C2551" s="7" t="s">
        <v>24</v>
      </c>
      <c r="D2551" s="4">
        <v>5612725000154</v>
      </c>
      <c r="E2551" s="8" t="s">
        <v>800</v>
      </c>
      <c r="F2551" s="8" t="s">
        <v>742</v>
      </c>
      <c r="G2551" s="8" t="s">
        <v>91</v>
      </c>
      <c r="H2551" s="8" t="s">
        <v>215</v>
      </c>
      <c r="I2551" s="3">
        <v>2</v>
      </c>
      <c r="J2551" s="8" t="s">
        <v>167</v>
      </c>
      <c r="K2551" s="8" t="s">
        <v>168</v>
      </c>
      <c r="L2551" s="8" t="s">
        <v>557</v>
      </c>
      <c r="M2551" s="1" t="s">
        <v>211</v>
      </c>
      <c r="N2551" s="8" t="s">
        <v>212</v>
      </c>
      <c r="O2551" s="6">
        <v>0</v>
      </c>
      <c r="P2551" s="6">
        <v>0</v>
      </c>
      <c r="Q2551" s="6">
        <v>0</v>
      </c>
      <c r="R2551" s="6">
        <v>0</v>
      </c>
      <c r="S2551" s="6">
        <v>30</v>
      </c>
    </row>
    <row r="2552" spans="1:19" ht="15" hidden="1" x14ac:dyDescent="0.25">
      <c r="A2552" s="7" t="s">
        <v>16</v>
      </c>
      <c r="B2552" s="7" t="s">
        <v>229</v>
      </c>
      <c r="C2552" s="7" t="s">
        <v>24</v>
      </c>
      <c r="D2552" s="4">
        <v>1454407000151</v>
      </c>
      <c r="E2552" s="8" t="s">
        <v>764</v>
      </c>
      <c r="F2552" s="8" t="s">
        <v>742</v>
      </c>
      <c r="G2552" s="8" t="s">
        <v>91</v>
      </c>
      <c r="H2552" s="8" t="s">
        <v>215</v>
      </c>
      <c r="I2552" s="3">
        <v>2</v>
      </c>
      <c r="J2552" s="8" t="s">
        <v>199</v>
      </c>
      <c r="K2552" s="8" t="s">
        <v>200</v>
      </c>
      <c r="L2552" s="8" t="s">
        <v>556</v>
      </c>
      <c r="M2552" s="1" t="s">
        <v>211</v>
      </c>
      <c r="N2552" s="8" t="s">
        <v>212</v>
      </c>
      <c r="O2552" s="6">
        <v>0</v>
      </c>
      <c r="P2552" s="6">
        <v>0</v>
      </c>
      <c r="Q2552" s="6">
        <v>0</v>
      </c>
      <c r="R2552" s="6">
        <v>0</v>
      </c>
      <c r="S2552" s="6">
        <v>180</v>
      </c>
    </row>
    <row r="2553" spans="1:19" ht="15" hidden="1" x14ac:dyDescent="0.25">
      <c r="A2553" s="7" t="s">
        <v>16</v>
      </c>
      <c r="B2553" s="7" t="s">
        <v>229</v>
      </c>
      <c r="C2553" s="7" t="s">
        <v>24</v>
      </c>
      <c r="D2553" s="4">
        <v>1454407000151</v>
      </c>
      <c r="E2553" s="8" t="s">
        <v>764</v>
      </c>
      <c r="F2553" s="8" t="s">
        <v>742</v>
      </c>
      <c r="G2553" s="8" t="s">
        <v>91</v>
      </c>
      <c r="H2553" s="8" t="s">
        <v>215</v>
      </c>
      <c r="I2553" s="3">
        <v>2</v>
      </c>
      <c r="J2553" s="8" t="s">
        <v>167</v>
      </c>
      <c r="K2553" s="8" t="s">
        <v>168</v>
      </c>
      <c r="L2553" s="8" t="s">
        <v>557</v>
      </c>
      <c r="M2553" s="1" t="s">
        <v>211</v>
      </c>
      <c r="N2553" s="8" t="s">
        <v>212</v>
      </c>
      <c r="O2553" s="6">
        <v>0</v>
      </c>
      <c r="P2553" s="6">
        <v>0</v>
      </c>
      <c r="Q2553" s="6">
        <v>0</v>
      </c>
      <c r="R2553" s="6">
        <v>0</v>
      </c>
      <c r="S2553" s="6">
        <v>180</v>
      </c>
    </row>
    <row r="2554" spans="1:19" ht="15" hidden="1" x14ac:dyDescent="0.25">
      <c r="A2554" s="7" t="s">
        <v>16</v>
      </c>
      <c r="B2554" s="7" t="s">
        <v>229</v>
      </c>
      <c r="C2554" s="7" t="s">
        <v>24</v>
      </c>
      <c r="D2554" s="4">
        <v>12442737000496</v>
      </c>
      <c r="E2554" s="8" t="s">
        <v>865</v>
      </c>
      <c r="F2554" s="8" t="s">
        <v>742</v>
      </c>
      <c r="G2554" s="8" t="s">
        <v>91</v>
      </c>
      <c r="H2554" s="8" t="s">
        <v>215</v>
      </c>
      <c r="I2554" s="3">
        <v>2</v>
      </c>
      <c r="J2554" s="8" t="s">
        <v>199</v>
      </c>
      <c r="K2554" s="8" t="s">
        <v>200</v>
      </c>
      <c r="L2554" s="8" t="s">
        <v>556</v>
      </c>
      <c r="M2554" s="1" t="s">
        <v>211</v>
      </c>
      <c r="N2554" s="8" t="s">
        <v>212</v>
      </c>
      <c r="O2554" s="6">
        <v>0</v>
      </c>
      <c r="P2554" s="6">
        <v>0</v>
      </c>
      <c r="Q2554" s="6">
        <v>0</v>
      </c>
      <c r="R2554" s="6">
        <v>0</v>
      </c>
      <c r="S2554" s="6">
        <v>1085</v>
      </c>
    </row>
    <row r="2555" spans="1:19" ht="15" hidden="1" x14ac:dyDescent="0.25">
      <c r="A2555" s="7" t="s">
        <v>16</v>
      </c>
      <c r="B2555" s="7" t="s">
        <v>229</v>
      </c>
      <c r="C2555" s="7" t="s">
        <v>24</v>
      </c>
      <c r="D2555" s="4">
        <v>12442737000496</v>
      </c>
      <c r="E2555" s="8" t="s">
        <v>865</v>
      </c>
      <c r="F2555" s="8" t="s">
        <v>742</v>
      </c>
      <c r="G2555" s="8" t="s">
        <v>91</v>
      </c>
      <c r="H2555" s="8" t="s">
        <v>215</v>
      </c>
      <c r="I2555" s="3">
        <v>2</v>
      </c>
      <c r="J2555" s="8" t="s">
        <v>167</v>
      </c>
      <c r="K2555" s="8" t="s">
        <v>168</v>
      </c>
      <c r="L2555" s="8" t="s">
        <v>557</v>
      </c>
      <c r="M2555" s="1" t="s">
        <v>211</v>
      </c>
      <c r="N2555" s="8" t="s">
        <v>212</v>
      </c>
      <c r="O2555" s="6">
        <v>0</v>
      </c>
      <c r="P2555" s="6">
        <v>0</v>
      </c>
      <c r="Q2555" s="6">
        <v>0</v>
      </c>
      <c r="R2555" s="6">
        <v>0</v>
      </c>
      <c r="S2555" s="6">
        <v>1085</v>
      </c>
    </row>
    <row r="2556" spans="1:19" ht="15" hidden="1" x14ac:dyDescent="0.25">
      <c r="A2556" s="7" t="s">
        <v>16</v>
      </c>
      <c r="B2556" s="7" t="s">
        <v>229</v>
      </c>
      <c r="C2556" s="7" t="s">
        <v>24</v>
      </c>
      <c r="D2556" s="4">
        <v>3866223000124</v>
      </c>
      <c r="E2556" s="8" t="s">
        <v>792</v>
      </c>
      <c r="F2556" s="8" t="s">
        <v>742</v>
      </c>
      <c r="G2556" s="8" t="s">
        <v>91</v>
      </c>
      <c r="H2556" s="8" t="s">
        <v>215</v>
      </c>
      <c r="I2556" s="3">
        <v>2</v>
      </c>
      <c r="J2556" s="8" t="s">
        <v>199</v>
      </c>
      <c r="K2556" s="8" t="s">
        <v>200</v>
      </c>
      <c r="L2556" s="8" t="s">
        <v>556</v>
      </c>
      <c r="M2556" s="1" t="s">
        <v>211</v>
      </c>
      <c r="N2556" s="8" t="s">
        <v>212</v>
      </c>
      <c r="O2556" s="6">
        <v>0</v>
      </c>
      <c r="P2556" s="6">
        <v>0</v>
      </c>
      <c r="Q2556" s="6">
        <v>0</v>
      </c>
      <c r="R2556" s="6">
        <v>0</v>
      </c>
      <c r="S2556" s="6">
        <v>420</v>
      </c>
    </row>
    <row r="2557" spans="1:19" ht="15" hidden="1" x14ac:dyDescent="0.25">
      <c r="A2557" s="7" t="s">
        <v>16</v>
      </c>
      <c r="B2557" s="7" t="s">
        <v>229</v>
      </c>
      <c r="C2557" s="7" t="s">
        <v>24</v>
      </c>
      <c r="D2557" s="4">
        <v>3866223000124</v>
      </c>
      <c r="E2557" s="8" t="s">
        <v>792</v>
      </c>
      <c r="F2557" s="8" t="s">
        <v>742</v>
      </c>
      <c r="G2557" s="8" t="s">
        <v>91</v>
      </c>
      <c r="H2557" s="8" t="s">
        <v>215</v>
      </c>
      <c r="I2557" s="3">
        <v>2</v>
      </c>
      <c r="J2557" s="8" t="s">
        <v>167</v>
      </c>
      <c r="K2557" s="8" t="s">
        <v>168</v>
      </c>
      <c r="L2557" s="8" t="s">
        <v>557</v>
      </c>
      <c r="M2557" s="1" t="s">
        <v>211</v>
      </c>
      <c r="N2557" s="8" t="s">
        <v>212</v>
      </c>
      <c r="O2557" s="6">
        <v>0</v>
      </c>
      <c r="P2557" s="6">
        <v>0</v>
      </c>
      <c r="Q2557" s="6">
        <v>0</v>
      </c>
      <c r="R2557" s="6">
        <v>0</v>
      </c>
      <c r="S2557" s="6">
        <v>420</v>
      </c>
    </row>
    <row r="2558" spans="1:19" ht="15" hidden="1" x14ac:dyDescent="0.25">
      <c r="A2558" s="7" t="s">
        <v>16</v>
      </c>
      <c r="B2558" s="7" t="s">
        <v>229</v>
      </c>
      <c r="C2558" s="7" t="s">
        <v>24</v>
      </c>
      <c r="D2558" s="4">
        <v>84537141000138</v>
      </c>
      <c r="E2558" s="8" t="s">
        <v>1238</v>
      </c>
      <c r="F2558" s="8" t="s">
        <v>109</v>
      </c>
      <c r="G2558" s="8" t="s">
        <v>110</v>
      </c>
      <c r="H2558" s="8" t="s">
        <v>215</v>
      </c>
      <c r="I2558" s="3">
        <v>1</v>
      </c>
      <c r="J2558" s="8" t="s">
        <v>201</v>
      </c>
      <c r="K2558" s="8" t="s">
        <v>202</v>
      </c>
      <c r="L2558" s="8" t="s">
        <v>740</v>
      </c>
      <c r="M2558" s="1" t="s">
        <v>211</v>
      </c>
      <c r="N2558" s="8" t="s">
        <v>212</v>
      </c>
      <c r="O2558" s="6">
        <v>0</v>
      </c>
      <c r="P2558" s="6">
        <v>3</v>
      </c>
      <c r="Q2558" s="6">
        <v>0</v>
      </c>
      <c r="R2558" s="6">
        <v>0</v>
      </c>
      <c r="S2558" s="6">
        <v>0</v>
      </c>
    </row>
    <row r="2559" spans="1:19" ht="15" hidden="1" x14ac:dyDescent="0.25">
      <c r="A2559" s="7" t="s">
        <v>16</v>
      </c>
      <c r="B2559" s="7" t="s">
        <v>229</v>
      </c>
      <c r="C2559" s="7" t="s">
        <v>24</v>
      </c>
      <c r="D2559" s="4">
        <v>12361267010407</v>
      </c>
      <c r="E2559" s="8" t="s">
        <v>862</v>
      </c>
      <c r="F2559" s="8" t="s">
        <v>86</v>
      </c>
      <c r="G2559" s="8" t="s">
        <v>74</v>
      </c>
      <c r="H2559" s="8" t="s">
        <v>215</v>
      </c>
      <c r="I2559" s="3">
        <v>2</v>
      </c>
      <c r="J2559" s="8" t="s">
        <v>199</v>
      </c>
      <c r="K2559" s="8" t="s">
        <v>200</v>
      </c>
      <c r="L2559" s="8" t="s">
        <v>556</v>
      </c>
      <c r="M2559" s="1" t="s">
        <v>211</v>
      </c>
      <c r="N2559" s="8" t="s">
        <v>212</v>
      </c>
      <c r="O2559" s="6">
        <v>0</v>
      </c>
      <c r="P2559" s="6">
        <v>0</v>
      </c>
      <c r="Q2559" s="6">
        <v>0</v>
      </c>
      <c r="R2559" s="6">
        <v>0</v>
      </c>
      <c r="S2559" s="6">
        <v>0</v>
      </c>
    </row>
    <row r="2560" spans="1:19" ht="15" hidden="1" x14ac:dyDescent="0.25">
      <c r="A2560" s="7" t="s">
        <v>16</v>
      </c>
      <c r="B2560" s="7" t="s">
        <v>229</v>
      </c>
      <c r="C2560" s="7" t="s">
        <v>24</v>
      </c>
      <c r="D2560" s="4">
        <v>12361267010407</v>
      </c>
      <c r="E2560" s="8" t="s">
        <v>862</v>
      </c>
      <c r="F2560" s="8" t="s">
        <v>86</v>
      </c>
      <c r="G2560" s="8" t="s">
        <v>74</v>
      </c>
      <c r="H2560" s="8" t="s">
        <v>215</v>
      </c>
      <c r="I2560" s="3">
        <v>2</v>
      </c>
      <c r="J2560" s="8" t="s">
        <v>167</v>
      </c>
      <c r="K2560" s="8" t="s">
        <v>168</v>
      </c>
      <c r="L2560" s="8" t="s">
        <v>557</v>
      </c>
      <c r="M2560" s="1" t="s">
        <v>211</v>
      </c>
      <c r="N2560" s="8" t="s">
        <v>212</v>
      </c>
      <c r="O2560" s="6">
        <v>0</v>
      </c>
      <c r="P2560" s="6">
        <v>0</v>
      </c>
      <c r="Q2560" s="6">
        <v>2</v>
      </c>
      <c r="R2560" s="6">
        <v>0</v>
      </c>
      <c r="S2560" s="6">
        <v>0</v>
      </c>
    </row>
    <row r="2561" spans="1:19" ht="15" hidden="1" x14ac:dyDescent="0.25">
      <c r="A2561" s="7" t="s">
        <v>16</v>
      </c>
      <c r="B2561" s="7" t="s">
        <v>229</v>
      </c>
      <c r="C2561" s="7" t="s">
        <v>24</v>
      </c>
      <c r="D2561" s="4">
        <v>5430118000173</v>
      </c>
      <c r="E2561" s="8" t="s">
        <v>1295</v>
      </c>
      <c r="F2561" s="8" t="s">
        <v>1296</v>
      </c>
      <c r="G2561" s="8" t="s">
        <v>74</v>
      </c>
      <c r="H2561" s="8" t="s">
        <v>215</v>
      </c>
      <c r="I2561" s="3">
        <v>2</v>
      </c>
      <c r="J2561" s="8" t="s">
        <v>199</v>
      </c>
      <c r="K2561" s="8" t="s">
        <v>200</v>
      </c>
      <c r="L2561" s="8" t="s">
        <v>556</v>
      </c>
      <c r="M2561" s="1" t="s">
        <v>211</v>
      </c>
      <c r="N2561" s="8" t="s">
        <v>212</v>
      </c>
      <c r="O2561" s="6">
        <v>0</v>
      </c>
      <c r="P2561" s="6">
        <v>0</v>
      </c>
      <c r="Q2561" s="6">
        <v>0</v>
      </c>
      <c r="R2561" s="6">
        <v>12</v>
      </c>
      <c r="S2561" s="6">
        <v>0</v>
      </c>
    </row>
    <row r="2562" spans="1:19" ht="15" hidden="1" x14ac:dyDescent="0.25">
      <c r="A2562" s="7" t="s">
        <v>16</v>
      </c>
      <c r="B2562" s="7" t="s">
        <v>229</v>
      </c>
      <c r="C2562" s="7" t="s">
        <v>24</v>
      </c>
      <c r="D2562" s="4">
        <v>5430118000173</v>
      </c>
      <c r="E2562" s="8" t="s">
        <v>1295</v>
      </c>
      <c r="F2562" s="8" t="s">
        <v>1296</v>
      </c>
      <c r="G2562" s="8" t="s">
        <v>74</v>
      </c>
      <c r="H2562" s="8" t="s">
        <v>215</v>
      </c>
      <c r="I2562" s="3">
        <v>2</v>
      </c>
      <c r="J2562" s="8" t="s">
        <v>167</v>
      </c>
      <c r="K2562" s="8" t="s">
        <v>168</v>
      </c>
      <c r="L2562" s="8" t="s">
        <v>557</v>
      </c>
      <c r="M2562" s="1" t="s">
        <v>211</v>
      </c>
      <c r="N2562" s="8" t="s">
        <v>212</v>
      </c>
      <c r="O2562" s="6">
        <v>0</v>
      </c>
      <c r="P2562" s="6">
        <v>0</v>
      </c>
      <c r="Q2562" s="6">
        <v>0</v>
      </c>
      <c r="R2562" s="6">
        <v>0</v>
      </c>
      <c r="S2562" s="6">
        <v>0</v>
      </c>
    </row>
    <row r="2563" spans="1:19" ht="15" hidden="1" x14ac:dyDescent="0.25">
      <c r="A2563" s="7" t="s">
        <v>16</v>
      </c>
      <c r="B2563" s="7" t="s">
        <v>229</v>
      </c>
      <c r="C2563" s="7" t="s">
        <v>24</v>
      </c>
      <c r="D2563" s="4">
        <v>12361267014739</v>
      </c>
      <c r="E2563" s="8" t="s">
        <v>864</v>
      </c>
      <c r="F2563" s="8" t="s">
        <v>75</v>
      </c>
      <c r="G2563" s="8" t="s">
        <v>74</v>
      </c>
      <c r="H2563" s="8" t="s">
        <v>215</v>
      </c>
      <c r="I2563" s="3">
        <v>2</v>
      </c>
      <c r="J2563" s="8" t="s">
        <v>199</v>
      </c>
      <c r="K2563" s="8" t="s">
        <v>200</v>
      </c>
      <c r="L2563" s="8" t="s">
        <v>556</v>
      </c>
      <c r="M2563" s="1" t="s">
        <v>211</v>
      </c>
      <c r="N2563" s="8" t="s">
        <v>212</v>
      </c>
      <c r="O2563" s="6">
        <v>0</v>
      </c>
      <c r="P2563" s="6">
        <v>0</v>
      </c>
      <c r="Q2563" s="6">
        <v>0</v>
      </c>
      <c r="R2563" s="6">
        <v>0</v>
      </c>
      <c r="S2563" s="6">
        <v>220</v>
      </c>
    </row>
    <row r="2564" spans="1:19" ht="15" hidden="1" x14ac:dyDescent="0.25">
      <c r="A2564" s="7" t="s">
        <v>16</v>
      </c>
      <c r="B2564" s="7" t="s">
        <v>229</v>
      </c>
      <c r="C2564" s="7" t="s">
        <v>24</v>
      </c>
      <c r="D2564" s="4">
        <v>12361267014739</v>
      </c>
      <c r="E2564" s="8" t="s">
        <v>864</v>
      </c>
      <c r="F2564" s="8" t="s">
        <v>75</v>
      </c>
      <c r="G2564" s="8" t="s">
        <v>74</v>
      </c>
      <c r="H2564" s="8" t="s">
        <v>215</v>
      </c>
      <c r="I2564" s="3">
        <v>2</v>
      </c>
      <c r="J2564" s="8" t="s">
        <v>167</v>
      </c>
      <c r="K2564" s="8" t="s">
        <v>168</v>
      </c>
      <c r="L2564" s="8" t="s">
        <v>557</v>
      </c>
      <c r="M2564" s="1" t="s">
        <v>211</v>
      </c>
      <c r="N2564" s="8" t="s">
        <v>212</v>
      </c>
      <c r="O2564" s="6">
        <v>0</v>
      </c>
      <c r="P2564" s="6">
        <v>0</v>
      </c>
      <c r="Q2564" s="6">
        <v>10</v>
      </c>
      <c r="R2564" s="6">
        <v>0</v>
      </c>
      <c r="S2564" s="6">
        <v>220</v>
      </c>
    </row>
    <row r="2565" spans="1:19" ht="15" hidden="1" x14ac:dyDescent="0.25">
      <c r="A2565" s="7" t="s">
        <v>16</v>
      </c>
      <c r="B2565" s="7" t="s">
        <v>229</v>
      </c>
      <c r="C2565" s="7" t="s">
        <v>24</v>
      </c>
      <c r="D2565" s="4">
        <v>9324322559</v>
      </c>
      <c r="E2565" s="8" t="s">
        <v>737</v>
      </c>
      <c r="F2565" s="8" t="s">
        <v>75</v>
      </c>
      <c r="G2565" s="8" t="s">
        <v>74</v>
      </c>
      <c r="H2565" s="8" t="s">
        <v>215</v>
      </c>
      <c r="I2565" s="3">
        <v>2</v>
      </c>
      <c r="J2565" s="8" t="s">
        <v>199</v>
      </c>
      <c r="K2565" s="8" t="s">
        <v>200</v>
      </c>
      <c r="L2565" s="8" t="s">
        <v>556</v>
      </c>
      <c r="M2565" s="1" t="s">
        <v>211</v>
      </c>
      <c r="N2565" s="8" t="s">
        <v>212</v>
      </c>
      <c r="O2565" s="6">
        <v>0</v>
      </c>
      <c r="P2565" s="6">
        <v>0</v>
      </c>
      <c r="Q2565" s="6">
        <v>0</v>
      </c>
      <c r="R2565" s="6">
        <v>5</v>
      </c>
      <c r="S2565" s="6">
        <v>0</v>
      </c>
    </row>
    <row r="2566" spans="1:19" ht="15" hidden="1" x14ac:dyDescent="0.25">
      <c r="A2566" s="7" t="s">
        <v>16</v>
      </c>
      <c r="B2566" s="7" t="s">
        <v>229</v>
      </c>
      <c r="C2566" s="7" t="s">
        <v>24</v>
      </c>
      <c r="D2566" s="4">
        <v>9324322559</v>
      </c>
      <c r="E2566" s="8" t="s">
        <v>737</v>
      </c>
      <c r="F2566" s="8" t="s">
        <v>75</v>
      </c>
      <c r="G2566" s="8" t="s">
        <v>74</v>
      </c>
      <c r="H2566" s="8" t="s">
        <v>215</v>
      </c>
      <c r="I2566" s="3">
        <v>2</v>
      </c>
      <c r="J2566" s="8" t="s">
        <v>167</v>
      </c>
      <c r="K2566" s="8" t="s">
        <v>168</v>
      </c>
      <c r="L2566" s="8" t="s">
        <v>557</v>
      </c>
      <c r="M2566" s="1" t="s">
        <v>211</v>
      </c>
      <c r="N2566" s="8" t="s">
        <v>212</v>
      </c>
      <c r="O2566" s="6">
        <v>0</v>
      </c>
      <c r="P2566" s="6">
        <v>0</v>
      </c>
      <c r="Q2566" s="6">
        <v>0</v>
      </c>
      <c r="R2566" s="6">
        <v>0</v>
      </c>
      <c r="S2566" s="6">
        <v>0</v>
      </c>
    </row>
    <row r="2567" spans="1:19" ht="15" hidden="1" x14ac:dyDescent="0.25">
      <c r="A2567" s="7" t="s">
        <v>16</v>
      </c>
      <c r="B2567" s="7" t="s">
        <v>229</v>
      </c>
      <c r="C2567" s="7" t="s">
        <v>24</v>
      </c>
      <c r="D2567" s="4">
        <v>5816630000152</v>
      </c>
      <c r="E2567" s="8" t="s">
        <v>803</v>
      </c>
      <c r="F2567" s="8" t="s">
        <v>75</v>
      </c>
      <c r="G2567" s="8" t="s">
        <v>74</v>
      </c>
      <c r="H2567" s="8" t="s">
        <v>215</v>
      </c>
      <c r="I2567" s="3">
        <v>2</v>
      </c>
      <c r="J2567" s="8" t="s">
        <v>199</v>
      </c>
      <c r="K2567" s="8" t="s">
        <v>200</v>
      </c>
      <c r="L2567" s="8" t="s">
        <v>556</v>
      </c>
      <c r="M2567" s="1" t="s">
        <v>211</v>
      </c>
      <c r="N2567" s="8" t="s">
        <v>212</v>
      </c>
      <c r="O2567" s="6">
        <v>0</v>
      </c>
      <c r="P2567" s="6">
        <v>0</v>
      </c>
      <c r="Q2567" s="6">
        <v>0</v>
      </c>
      <c r="R2567" s="6">
        <v>0</v>
      </c>
      <c r="S2567" s="6">
        <v>3455</v>
      </c>
    </row>
    <row r="2568" spans="1:19" ht="15" hidden="1" x14ac:dyDescent="0.25">
      <c r="A2568" s="7" t="s">
        <v>16</v>
      </c>
      <c r="B2568" s="7" t="s">
        <v>229</v>
      </c>
      <c r="C2568" s="7" t="s">
        <v>24</v>
      </c>
      <c r="D2568" s="4">
        <v>5816630000152</v>
      </c>
      <c r="E2568" s="8" t="s">
        <v>803</v>
      </c>
      <c r="F2568" s="8" t="s">
        <v>75</v>
      </c>
      <c r="G2568" s="8" t="s">
        <v>74</v>
      </c>
      <c r="H2568" s="8" t="s">
        <v>215</v>
      </c>
      <c r="I2568" s="3">
        <v>2</v>
      </c>
      <c r="J2568" s="8" t="s">
        <v>167</v>
      </c>
      <c r="K2568" s="8" t="s">
        <v>168</v>
      </c>
      <c r="L2568" s="8" t="s">
        <v>557</v>
      </c>
      <c r="M2568" s="1" t="s">
        <v>211</v>
      </c>
      <c r="N2568" s="8" t="s">
        <v>212</v>
      </c>
      <c r="O2568" s="6">
        <v>0</v>
      </c>
      <c r="P2568" s="6">
        <v>0</v>
      </c>
      <c r="Q2568" s="6">
        <v>0</v>
      </c>
      <c r="R2568" s="6">
        <v>0</v>
      </c>
      <c r="S2568" s="6">
        <v>3455</v>
      </c>
    </row>
    <row r="2569" spans="1:19" ht="15" hidden="1" x14ac:dyDescent="0.25">
      <c r="A2569" s="7" t="s">
        <v>16</v>
      </c>
      <c r="B2569" s="7" t="s">
        <v>229</v>
      </c>
      <c r="C2569" s="7" t="s">
        <v>24</v>
      </c>
      <c r="D2569" s="4">
        <v>15194004000125</v>
      </c>
      <c r="E2569" s="8" t="s">
        <v>895</v>
      </c>
      <c r="F2569" s="8" t="s">
        <v>75</v>
      </c>
      <c r="G2569" s="8" t="s">
        <v>74</v>
      </c>
      <c r="H2569" s="8" t="s">
        <v>215</v>
      </c>
      <c r="I2569" s="3">
        <v>2</v>
      </c>
      <c r="J2569" s="8" t="s">
        <v>199</v>
      </c>
      <c r="K2569" s="8" t="s">
        <v>200</v>
      </c>
      <c r="L2569" s="8" t="s">
        <v>556</v>
      </c>
      <c r="M2569" s="1" t="s">
        <v>211</v>
      </c>
      <c r="N2569" s="8" t="s">
        <v>212</v>
      </c>
      <c r="O2569" s="6">
        <v>0</v>
      </c>
      <c r="P2569" s="6">
        <v>0</v>
      </c>
      <c r="Q2569" s="6">
        <v>0</v>
      </c>
      <c r="R2569" s="6">
        <v>0</v>
      </c>
      <c r="S2569" s="6">
        <v>0</v>
      </c>
    </row>
    <row r="2570" spans="1:19" ht="15" hidden="1" x14ac:dyDescent="0.25">
      <c r="A2570" s="7" t="s">
        <v>16</v>
      </c>
      <c r="B2570" s="7" t="s">
        <v>229</v>
      </c>
      <c r="C2570" s="7" t="s">
        <v>24</v>
      </c>
      <c r="D2570" s="4">
        <v>15194004000125</v>
      </c>
      <c r="E2570" s="8" t="s">
        <v>895</v>
      </c>
      <c r="F2570" s="8" t="s">
        <v>75</v>
      </c>
      <c r="G2570" s="8" t="s">
        <v>74</v>
      </c>
      <c r="H2570" s="8" t="s">
        <v>215</v>
      </c>
      <c r="I2570" s="3">
        <v>2</v>
      </c>
      <c r="J2570" s="8" t="s">
        <v>167</v>
      </c>
      <c r="K2570" s="8" t="s">
        <v>168</v>
      </c>
      <c r="L2570" s="8" t="s">
        <v>557</v>
      </c>
      <c r="M2570" s="1" t="s">
        <v>211</v>
      </c>
      <c r="N2570" s="8" t="s">
        <v>212</v>
      </c>
      <c r="O2570" s="6">
        <v>0</v>
      </c>
      <c r="P2570" s="6">
        <v>2</v>
      </c>
      <c r="Q2570" s="6">
        <v>0</v>
      </c>
      <c r="R2570" s="6">
        <v>0</v>
      </c>
      <c r="S2570" s="6">
        <v>0</v>
      </c>
    </row>
    <row r="2571" spans="1:19" ht="15" hidden="1" x14ac:dyDescent="0.25">
      <c r="A2571" s="7" t="s">
        <v>16</v>
      </c>
      <c r="B2571" s="7" t="s">
        <v>229</v>
      </c>
      <c r="C2571" s="7" t="s">
        <v>24</v>
      </c>
      <c r="D2571" s="4">
        <v>5469172000122</v>
      </c>
      <c r="E2571" s="8" t="s">
        <v>799</v>
      </c>
      <c r="F2571" s="8" t="s">
        <v>75</v>
      </c>
      <c r="G2571" s="8" t="s">
        <v>74</v>
      </c>
      <c r="H2571" s="8" t="s">
        <v>215</v>
      </c>
      <c r="I2571" s="3">
        <v>2</v>
      </c>
      <c r="J2571" s="8" t="s">
        <v>199</v>
      </c>
      <c r="K2571" s="8" t="s">
        <v>200</v>
      </c>
      <c r="L2571" s="8" t="s">
        <v>556</v>
      </c>
      <c r="M2571" s="1" t="s">
        <v>211</v>
      </c>
      <c r="N2571" s="8" t="s">
        <v>212</v>
      </c>
      <c r="O2571" s="6">
        <v>0</v>
      </c>
      <c r="P2571" s="6">
        <v>0</v>
      </c>
      <c r="Q2571" s="6">
        <v>0</v>
      </c>
      <c r="R2571" s="6">
        <v>0</v>
      </c>
      <c r="S2571" s="6">
        <v>0</v>
      </c>
    </row>
    <row r="2572" spans="1:19" ht="15" hidden="1" x14ac:dyDescent="0.25">
      <c r="A2572" s="7" t="s">
        <v>16</v>
      </c>
      <c r="B2572" s="7" t="s">
        <v>229</v>
      </c>
      <c r="C2572" s="7" t="s">
        <v>24</v>
      </c>
      <c r="D2572" s="4">
        <v>5469172000122</v>
      </c>
      <c r="E2572" s="8" t="s">
        <v>799</v>
      </c>
      <c r="F2572" s="8" t="s">
        <v>75</v>
      </c>
      <c r="G2572" s="8" t="s">
        <v>74</v>
      </c>
      <c r="H2572" s="8" t="s">
        <v>215</v>
      </c>
      <c r="I2572" s="3">
        <v>2</v>
      </c>
      <c r="J2572" s="8" t="s">
        <v>167</v>
      </c>
      <c r="K2572" s="8" t="s">
        <v>168</v>
      </c>
      <c r="L2572" s="8" t="s">
        <v>557</v>
      </c>
      <c r="M2572" s="1" t="s">
        <v>211</v>
      </c>
      <c r="N2572" s="8" t="s">
        <v>212</v>
      </c>
      <c r="O2572" s="6">
        <v>0</v>
      </c>
      <c r="P2572" s="6">
        <v>31</v>
      </c>
      <c r="Q2572" s="6">
        <v>10</v>
      </c>
      <c r="R2572" s="6">
        <v>0</v>
      </c>
      <c r="S2572" s="6">
        <v>0</v>
      </c>
    </row>
    <row r="2573" spans="1:19" ht="15" hidden="1" x14ac:dyDescent="0.25">
      <c r="A2573" s="7" t="s">
        <v>16</v>
      </c>
      <c r="B2573" s="7" t="s">
        <v>229</v>
      </c>
      <c r="C2573" s="7" t="s">
        <v>24</v>
      </c>
      <c r="D2573" s="4">
        <v>15166416000151</v>
      </c>
      <c r="E2573" s="8" t="s">
        <v>889</v>
      </c>
      <c r="F2573" s="8" t="s">
        <v>75</v>
      </c>
      <c r="G2573" s="8" t="s">
        <v>74</v>
      </c>
      <c r="H2573" s="8" t="s">
        <v>215</v>
      </c>
      <c r="I2573" s="3">
        <v>2</v>
      </c>
      <c r="J2573" s="8" t="s">
        <v>199</v>
      </c>
      <c r="K2573" s="8" t="s">
        <v>200</v>
      </c>
      <c r="L2573" s="8" t="s">
        <v>556</v>
      </c>
      <c r="M2573" s="1" t="s">
        <v>211</v>
      </c>
      <c r="N2573" s="8" t="s">
        <v>212</v>
      </c>
      <c r="O2573" s="6">
        <v>0</v>
      </c>
      <c r="P2573" s="6">
        <v>0</v>
      </c>
      <c r="Q2573" s="6">
        <v>0</v>
      </c>
      <c r="R2573" s="6">
        <v>0</v>
      </c>
      <c r="S2573" s="6">
        <v>0</v>
      </c>
    </row>
    <row r="2574" spans="1:19" ht="15" hidden="1" x14ac:dyDescent="0.25">
      <c r="A2574" s="7" t="s">
        <v>16</v>
      </c>
      <c r="B2574" s="7" t="s">
        <v>229</v>
      </c>
      <c r="C2574" s="7" t="s">
        <v>24</v>
      </c>
      <c r="D2574" s="4">
        <v>15166416000151</v>
      </c>
      <c r="E2574" s="8" t="s">
        <v>889</v>
      </c>
      <c r="F2574" s="8" t="s">
        <v>75</v>
      </c>
      <c r="G2574" s="8" t="s">
        <v>74</v>
      </c>
      <c r="H2574" s="8" t="s">
        <v>215</v>
      </c>
      <c r="I2574" s="3">
        <v>2</v>
      </c>
      <c r="J2574" s="8" t="s">
        <v>167</v>
      </c>
      <c r="K2574" s="8" t="s">
        <v>168</v>
      </c>
      <c r="L2574" s="8" t="s">
        <v>557</v>
      </c>
      <c r="M2574" s="1" t="s">
        <v>211</v>
      </c>
      <c r="N2574" s="8" t="s">
        <v>212</v>
      </c>
      <c r="O2574" s="6">
        <v>0</v>
      </c>
      <c r="P2574" s="6">
        <v>2</v>
      </c>
      <c r="Q2574" s="6">
        <v>2</v>
      </c>
      <c r="R2574" s="6">
        <v>0</v>
      </c>
      <c r="S2574" s="6">
        <v>0</v>
      </c>
    </row>
    <row r="2575" spans="1:19" ht="15" hidden="1" x14ac:dyDescent="0.25">
      <c r="A2575" s="7" t="s">
        <v>16</v>
      </c>
      <c r="B2575" s="7" t="s">
        <v>229</v>
      </c>
      <c r="C2575" s="7" t="s">
        <v>24</v>
      </c>
      <c r="D2575" s="4">
        <v>15180714000287</v>
      </c>
      <c r="E2575" s="8" t="s">
        <v>892</v>
      </c>
      <c r="F2575" s="8" t="s">
        <v>75</v>
      </c>
      <c r="G2575" s="8" t="s">
        <v>74</v>
      </c>
      <c r="H2575" s="8" t="s">
        <v>215</v>
      </c>
      <c r="I2575" s="3">
        <v>2</v>
      </c>
      <c r="J2575" s="8" t="s">
        <v>199</v>
      </c>
      <c r="K2575" s="8" t="s">
        <v>200</v>
      </c>
      <c r="L2575" s="8" t="s">
        <v>556</v>
      </c>
      <c r="M2575" s="1" t="s">
        <v>211</v>
      </c>
      <c r="N2575" s="8" t="s">
        <v>212</v>
      </c>
      <c r="O2575" s="6">
        <v>0</v>
      </c>
      <c r="P2575" s="6">
        <v>0</v>
      </c>
      <c r="Q2575" s="6">
        <v>0</v>
      </c>
      <c r="R2575" s="6">
        <v>0</v>
      </c>
      <c r="S2575" s="6">
        <v>400</v>
      </c>
    </row>
    <row r="2576" spans="1:19" ht="15" hidden="1" x14ac:dyDescent="0.25">
      <c r="A2576" s="7" t="s">
        <v>16</v>
      </c>
      <c r="B2576" s="7" t="s">
        <v>229</v>
      </c>
      <c r="C2576" s="7" t="s">
        <v>24</v>
      </c>
      <c r="D2576" s="4">
        <v>15180714000287</v>
      </c>
      <c r="E2576" s="8" t="s">
        <v>892</v>
      </c>
      <c r="F2576" s="8" t="s">
        <v>75</v>
      </c>
      <c r="G2576" s="8" t="s">
        <v>74</v>
      </c>
      <c r="H2576" s="8" t="s">
        <v>215</v>
      </c>
      <c r="I2576" s="3">
        <v>2</v>
      </c>
      <c r="J2576" s="8" t="s">
        <v>167</v>
      </c>
      <c r="K2576" s="8" t="s">
        <v>168</v>
      </c>
      <c r="L2576" s="8" t="s">
        <v>557</v>
      </c>
      <c r="M2576" s="1" t="s">
        <v>211</v>
      </c>
      <c r="N2576" s="8" t="s">
        <v>212</v>
      </c>
      <c r="O2576" s="6">
        <v>0</v>
      </c>
      <c r="P2576" s="6">
        <v>0</v>
      </c>
      <c r="Q2576" s="6">
        <v>0</v>
      </c>
      <c r="R2576" s="6">
        <v>0</v>
      </c>
      <c r="S2576" s="6">
        <v>400</v>
      </c>
    </row>
    <row r="2577" spans="1:19" ht="15" hidden="1" x14ac:dyDescent="0.25">
      <c r="A2577" s="7" t="s">
        <v>16</v>
      </c>
      <c r="B2577" s="7" t="s">
        <v>229</v>
      </c>
      <c r="C2577" s="7" t="s">
        <v>24</v>
      </c>
      <c r="D2577" s="4">
        <v>15153745000249</v>
      </c>
      <c r="E2577" s="8" t="s">
        <v>887</v>
      </c>
      <c r="F2577" s="8" t="s">
        <v>75</v>
      </c>
      <c r="G2577" s="8" t="s">
        <v>74</v>
      </c>
      <c r="H2577" s="8" t="s">
        <v>215</v>
      </c>
      <c r="I2577" s="3">
        <v>2</v>
      </c>
      <c r="J2577" s="8" t="s">
        <v>199</v>
      </c>
      <c r="K2577" s="8" t="s">
        <v>200</v>
      </c>
      <c r="L2577" s="8" t="s">
        <v>556</v>
      </c>
      <c r="M2577" s="1" t="s">
        <v>211</v>
      </c>
      <c r="N2577" s="8" t="s">
        <v>212</v>
      </c>
      <c r="O2577" s="6">
        <v>0</v>
      </c>
      <c r="P2577" s="6">
        <v>0</v>
      </c>
      <c r="Q2577" s="6">
        <v>0</v>
      </c>
      <c r="R2577" s="6">
        <v>0</v>
      </c>
      <c r="S2577" s="6">
        <v>0</v>
      </c>
    </row>
    <row r="2578" spans="1:19" ht="15" hidden="1" x14ac:dyDescent="0.25">
      <c r="A2578" s="7" t="s">
        <v>16</v>
      </c>
      <c r="B2578" s="7" t="s">
        <v>229</v>
      </c>
      <c r="C2578" s="7" t="s">
        <v>24</v>
      </c>
      <c r="D2578" s="4">
        <v>15153745000249</v>
      </c>
      <c r="E2578" s="8" t="s">
        <v>887</v>
      </c>
      <c r="F2578" s="8" t="s">
        <v>75</v>
      </c>
      <c r="G2578" s="8" t="s">
        <v>74</v>
      </c>
      <c r="H2578" s="8" t="s">
        <v>215</v>
      </c>
      <c r="I2578" s="3">
        <v>2</v>
      </c>
      <c r="J2578" s="8" t="s">
        <v>167</v>
      </c>
      <c r="K2578" s="8" t="s">
        <v>168</v>
      </c>
      <c r="L2578" s="8" t="s">
        <v>557</v>
      </c>
      <c r="M2578" s="1" t="s">
        <v>211</v>
      </c>
      <c r="N2578" s="8" t="s">
        <v>212</v>
      </c>
      <c r="O2578" s="6">
        <v>0</v>
      </c>
      <c r="P2578" s="6">
        <v>7</v>
      </c>
      <c r="Q2578" s="6">
        <v>4</v>
      </c>
      <c r="R2578" s="6">
        <v>0</v>
      </c>
      <c r="S2578" s="6">
        <v>0</v>
      </c>
    </row>
    <row r="2579" spans="1:19" ht="15" hidden="1" x14ac:dyDescent="0.25">
      <c r="A2579" s="7" t="s">
        <v>16</v>
      </c>
      <c r="B2579" s="7" t="s">
        <v>229</v>
      </c>
      <c r="C2579" s="7" t="s">
        <v>24</v>
      </c>
      <c r="D2579" s="4">
        <v>27372066000169</v>
      </c>
      <c r="E2579" s="8" t="s">
        <v>908</v>
      </c>
      <c r="F2579" s="8" t="s">
        <v>75</v>
      </c>
      <c r="G2579" s="8" t="s">
        <v>74</v>
      </c>
      <c r="H2579" s="8" t="s">
        <v>215</v>
      </c>
      <c r="I2579" s="3">
        <v>2</v>
      </c>
      <c r="J2579" s="8" t="s">
        <v>199</v>
      </c>
      <c r="K2579" s="8" t="s">
        <v>200</v>
      </c>
      <c r="L2579" s="8" t="s">
        <v>556</v>
      </c>
      <c r="M2579" s="1" t="s">
        <v>211</v>
      </c>
      <c r="N2579" s="8" t="s">
        <v>212</v>
      </c>
      <c r="O2579" s="6">
        <v>0</v>
      </c>
      <c r="P2579" s="6">
        <v>0</v>
      </c>
      <c r="Q2579" s="6">
        <v>0</v>
      </c>
      <c r="R2579" s="6">
        <v>0</v>
      </c>
      <c r="S2579" s="6">
        <v>0</v>
      </c>
    </row>
    <row r="2580" spans="1:19" ht="15" hidden="1" x14ac:dyDescent="0.25">
      <c r="A2580" s="7" t="s">
        <v>16</v>
      </c>
      <c r="B2580" s="7" t="s">
        <v>229</v>
      </c>
      <c r="C2580" s="7" t="s">
        <v>24</v>
      </c>
      <c r="D2580" s="4">
        <v>27372066000169</v>
      </c>
      <c r="E2580" s="8" t="s">
        <v>908</v>
      </c>
      <c r="F2580" s="8" t="s">
        <v>75</v>
      </c>
      <c r="G2580" s="8" t="s">
        <v>74</v>
      </c>
      <c r="H2580" s="8" t="s">
        <v>215</v>
      </c>
      <c r="I2580" s="3">
        <v>2</v>
      </c>
      <c r="J2580" s="8" t="s">
        <v>167</v>
      </c>
      <c r="K2580" s="8" t="s">
        <v>168</v>
      </c>
      <c r="L2580" s="8" t="s">
        <v>557</v>
      </c>
      <c r="M2580" s="1" t="s">
        <v>211</v>
      </c>
      <c r="N2580" s="8" t="s">
        <v>212</v>
      </c>
      <c r="O2580" s="6">
        <v>0</v>
      </c>
      <c r="P2580" s="6">
        <v>17</v>
      </c>
      <c r="Q2580" s="6">
        <v>5</v>
      </c>
      <c r="R2580" s="6">
        <v>0</v>
      </c>
      <c r="S2580" s="6">
        <v>0</v>
      </c>
    </row>
    <row r="2581" spans="1:19" ht="15" hidden="1" x14ac:dyDescent="0.25">
      <c r="A2581" s="7" t="s">
        <v>16</v>
      </c>
      <c r="B2581" s="7" t="s">
        <v>229</v>
      </c>
      <c r="C2581" s="7" t="s">
        <v>24</v>
      </c>
      <c r="D2581" s="4">
        <v>15170723000106</v>
      </c>
      <c r="E2581" s="8" t="s">
        <v>890</v>
      </c>
      <c r="F2581" s="8" t="s">
        <v>75</v>
      </c>
      <c r="G2581" s="8" t="s">
        <v>74</v>
      </c>
      <c r="H2581" s="8" t="s">
        <v>215</v>
      </c>
      <c r="I2581" s="3">
        <v>2</v>
      </c>
      <c r="J2581" s="8" t="s">
        <v>199</v>
      </c>
      <c r="K2581" s="8" t="s">
        <v>200</v>
      </c>
      <c r="L2581" s="8" t="s">
        <v>556</v>
      </c>
      <c r="M2581" s="1" t="s">
        <v>211</v>
      </c>
      <c r="N2581" s="8" t="s">
        <v>212</v>
      </c>
      <c r="O2581" s="6">
        <v>0</v>
      </c>
      <c r="P2581" s="6">
        <v>0</v>
      </c>
      <c r="Q2581" s="6">
        <v>0</v>
      </c>
      <c r="R2581" s="6">
        <v>0</v>
      </c>
      <c r="S2581" s="6">
        <v>0</v>
      </c>
    </row>
    <row r="2582" spans="1:19" ht="15" hidden="1" x14ac:dyDescent="0.25">
      <c r="A2582" s="7" t="s">
        <v>16</v>
      </c>
      <c r="B2582" s="7" t="s">
        <v>229</v>
      </c>
      <c r="C2582" s="7" t="s">
        <v>24</v>
      </c>
      <c r="D2582" s="4">
        <v>15170723000106</v>
      </c>
      <c r="E2582" s="8" t="s">
        <v>890</v>
      </c>
      <c r="F2582" s="8" t="s">
        <v>75</v>
      </c>
      <c r="G2582" s="8" t="s">
        <v>74</v>
      </c>
      <c r="H2582" s="8" t="s">
        <v>215</v>
      </c>
      <c r="I2582" s="3">
        <v>2</v>
      </c>
      <c r="J2582" s="8" t="s">
        <v>167</v>
      </c>
      <c r="K2582" s="8" t="s">
        <v>168</v>
      </c>
      <c r="L2582" s="8" t="s">
        <v>557</v>
      </c>
      <c r="M2582" s="1" t="s">
        <v>211</v>
      </c>
      <c r="N2582" s="8" t="s">
        <v>212</v>
      </c>
      <c r="O2582" s="6">
        <v>0</v>
      </c>
      <c r="P2582" s="6">
        <v>7</v>
      </c>
      <c r="Q2582" s="6">
        <v>0</v>
      </c>
      <c r="R2582" s="6">
        <v>0</v>
      </c>
      <c r="S2582" s="6">
        <v>0</v>
      </c>
    </row>
    <row r="2583" spans="1:19" ht="15" hidden="1" x14ac:dyDescent="0.25">
      <c r="A2583" s="7" t="s">
        <v>16</v>
      </c>
      <c r="B2583" s="7" t="s">
        <v>229</v>
      </c>
      <c r="C2583" s="7" t="s">
        <v>24</v>
      </c>
      <c r="D2583" s="4">
        <v>15126437002863</v>
      </c>
      <c r="E2583" s="8" t="s">
        <v>884</v>
      </c>
      <c r="F2583" s="8" t="s">
        <v>75</v>
      </c>
      <c r="G2583" s="8" t="s">
        <v>74</v>
      </c>
      <c r="H2583" s="8" t="s">
        <v>215</v>
      </c>
      <c r="I2583" s="3">
        <v>2</v>
      </c>
      <c r="J2583" s="8" t="s">
        <v>199</v>
      </c>
      <c r="K2583" s="8" t="s">
        <v>200</v>
      </c>
      <c r="L2583" s="8" t="s">
        <v>556</v>
      </c>
      <c r="M2583" s="1" t="s">
        <v>211</v>
      </c>
      <c r="N2583" s="8" t="s">
        <v>212</v>
      </c>
      <c r="O2583" s="6">
        <v>0</v>
      </c>
      <c r="P2583" s="6">
        <v>0</v>
      </c>
      <c r="Q2583" s="6">
        <v>0</v>
      </c>
      <c r="R2583" s="6">
        <v>0</v>
      </c>
      <c r="S2583" s="6">
        <v>0</v>
      </c>
    </row>
    <row r="2584" spans="1:19" ht="15" hidden="1" x14ac:dyDescent="0.25">
      <c r="A2584" s="7" t="s">
        <v>16</v>
      </c>
      <c r="B2584" s="7" t="s">
        <v>229</v>
      </c>
      <c r="C2584" s="7" t="s">
        <v>24</v>
      </c>
      <c r="D2584" s="4">
        <v>15126437002863</v>
      </c>
      <c r="E2584" s="8" t="s">
        <v>884</v>
      </c>
      <c r="F2584" s="8" t="s">
        <v>75</v>
      </c>
      <c r="G2584" s="8" t="s">
        <v>74</v>
      </c>
      <c r="H2584" s="8" t="s">
        <v>215</v>
      </c>
      <c r="I2584" s="3">
        <v>2</v>
      </c>
      <c r="J2584" s="8" t="s">
        <v>167</v>
      </c>
      <c r="K2584" s="8" t="s">
        <v>168</v>
      </c>
      <c r="L2584" s="8" t="s">
        <v>557</v>
      </c>
      <c r="M2584" s="1" t="s">
        <v>211</v>
      </c>
      <c r="N2584" s="8" t="s">
        <v>212</v>
      </c>
      <c r="O2584" s="6">
        <v>0</v>
      </c>
      <c r="P2584" s="6">
        <v>12</v>
      </c>
      <c r="Q2584" s="6">
        <v>0</v>
      </c>
      <c r="R2584" s="6">
        <v>0</v>
      </c>
      <c r="S2584" s="6">
        <v>0</v>
      </c>
    </row>
    <row r="2585" spans="1:19" ht="15" hidden="1" x14ac:dyDescent="0.25">
      <c r="A2585" s="7" t="s">
        <v>16</v>
      </c>
      <c r="B2585" s="7" t="s">
        <v>229</v>
      </c>
      <c r="C2585" s="7" t="s">
        <v>24</v>
      </c>
      <c r="D2585" s="4">
        <v>15242761000127</v>
      </c>
      <c r="E2585" s="8" t="s">
        <v>896</v>
      </c>
      <c r="F2585" s="8" t="s">
        <v>75</v>
      </c>
      <c r="G2585" s="8" t="s">
        <v>74</v>
      </c>
      <c r="H2585" s="8" t="s">
        <v>215</v>
      </c>
      <c r="I2585" s="3">
        <v>2</v>
      </c>
      <c r="J2585" s="8" t="s">
        <v>199</v>
      </c>
      <c r="K2585" s="8" t="s">
        <v>200</v>
      </c>
      <c r="L2585" s="8" t="s">
        <v>556</v>
      </c>
      <c r="M2585" s="1" t="s">
        <v>211</v>
      </c>
      <c r="N2585" s="8" t="s">
        <v>212</v>
      </c>
      <c r="O2585" s="6">
        <v>0</v>
      </c>
      <c r="P2585" s="6">
        <v>0</v>
      </c>
      <c r="Q2585" s="6">
        <v>0</v>
      </c>
      <c r="R2585" s="6">
        <v>54</v>
      </c>
      <c r="S2585" s="6">
        <v>0</v>
      </c>
    </row>
    <row r="2586" spans="1:19" ht="15" hidden="1" x14ac:dyDescent="0.25">
      <c r="A2586" s="7" t="s">
        <v>16</v>
      </c>
      <c r="B2586" s="7" t="s">
        <v>229</v>
      </c>
      <c r="C2586" s="7" t="s">
        <v>24</v>
      </c>
      <c r="D2586" s="4">
        <v>15242761000127</v>
      </c>
      <c r="E2586" s="8" t="s">
        <v>896</v>
      </c>
      <c r="F2586" s="8" t="s">
        <v>75</v>
      </c>
      <c r="G2586" s="8" t="s">
        <v>74</v>
      </c>
      <c r="H2586" s="8" t="s">
        <v>215</v>
      </c>
      <c r="I2586" s="3">
        <v>2</v>
      </c>
      <c r="J2586" s="8" t="s">
        <v>167</v>
      </c>
      <c r="K2586" s="8" t="s">
        <v>168</v>
      </c>
      <c r="L2586" s="8" t="s">
        <v>557</v>
      </c>
      <c r="M2586" s="1" t="s">
        <v>211</v>
      </c>
      <c r="N2586" s="8" t="s">
        <v>212</v>
      </c>
      <c r="O2586" s="6">
        <v>0</v>
      </c>
      <c r="P2586" s="6">
        <v>0</v>
      </c>
      <c r="Q2586" s="6">
        <v>0</v>
      </c>
      <c r="R2586" s="6">
        <v>0</v>
      </c>
      <c r="S2586" s="6">
        <v>0</v>
      </c>
    </row>
    <row r="2587" spans="1:19" ht="15" hidden="1" x14ac:dyDescent="0.25">
      <c r="A2587" s="7" t="s">
        <v>16</v>
      </c>
      <c r="B2587" s="7" t="s">
        <v>229</v>
      </c>
      <c r="C2587" s="7" t="s">
        <v>24</v>
      </c>
      <c r="D2587" s="4">
        <v>12361267011802</v>
      </c>
      <c r="E2587" s="8" t="s">
        <v>863</v>
      </c>
      <c r="F2587" s="8" t="s">
        <v>76</v>
      </c>
      <c r="G2587" s="8" t="s">
        <v>77</v>
      </c>
      <c r="H2587" s="8" t="s">
        <v>215</v>
      </c>
      <c r="I2587" s="3">
        <v>2</v>
      </c>
      <c r="J2587" s="8" t="s">
        <v>199</v>
      </c>
      <c r="K2587" s="8" t="s">
        <v>200</v>
      </c>
      <c r="L2587" s="8" t="s">
        <v>556</v>
      </c>
      <c r="M2587" s="1" t="s">
        <v>211</v>
      </c>
      <c r="N2587" s="8" t="s">
        <v>212</v>
      </c>
      <c r="O2587" s="6">
        <v>0</v>
      </c>
      <c r="P2587" s="6">
        <v>0</v>
      </c>
      <c r="Q2587" s="6">
        <v>0</v>
      </c>
      <c r="R2587" s="6">
        <v>0</v>
      </c>
      <c r="S2587" s="6">
        <v>0</v>
      </c>
    </row>
    <row r="2588" spans="1:19" ht="15" hidden="1" x14ac:dyDescent="0.25">
      <c r="A2588" s="7" t="s">
        <v>16</v>
      </c>
      <c r="B2588" s="7" t="s">
        <v>229</v>
      </c>
      <c r="C2588" s="7" t="s">
        <v>24</v>
      </c>
      <c r="D2588" s="4">
        <v>12361267011802</v>
      </c>
      <c r="E2588" s="8" t="s">
        <v>863</v>
      </c>
      <c r="F2588" s="8" t="s">
        <v>76</v>
      </c>
      <c r="G2588" s="8" t="s">
        <v>77</v>
      </c>
      <c r="H2588" s="8" t="s">
        <v>215</v>
      </c>
      <c r="I2588" s="3">
        <v>2</v>
      </c>
      <c r="J2588" s="8" t="s">
        <v>165</v>
      </c>
      <c r="K2588" s="8" t="s">
        <v>166</v>
      </c>
      <c r="L2588" s="8" t="s">
        <v>557</v>
      </c>
      <c r="M2588" s="1" t="s">
        <v>211</v>
      </c>
      <c r="N2588" s="8" t="s">
        <v>212</v>
      </c>
      <c r="O2588" s="6">
        <v>0</v>
      </c>
      <c r="P2588" s="6">
        <v>3</v>
      </c>
      <c r="Q2588" s="6">
        <v>2</v>
      </c>
      <c r="R2588" s="6">
        <v>0</v>
      </c>
      <c r="S2588" s="6">
        <v>0</v>
      </c>
    </row>
    <row r="2589" spans="1:19" ht="15" hidden="1" x14ac:dyDescent="0.25">
      <c r="A2589" s="7" t="s">
        <v>16</v>
      </c>
      <c r="B2589" s="7" t="s">
        <v>229</v>
      </c>
      <c r="C2589" s="7" t="s">
        <v>24</v>
      </c>
      <c r="D2589" s="4">
        <v>5874946000281</v>
      </c>
      <c r="E2589" s="8" t="s">
        <v>807</v>
      </c>
      <c r="F2589" s="8" t="s">
        <v>76</v>
      </c>
      <c r="G2589" s="8" t="s">
        <v>77</v>
      </c>
      <c r="H2589" s="8" t="s">
        <v>215</v>
      </c>
      <c r="I2589" s="3">
        <v>2</v>
      </c>
      <c r="J2589" s="8" t="s">
        <v>199</v>
      </c>
      <c r="K2589" s="8" t="s">
        <v>200</v>
      </c>
      <c r="L2589" s="8" t="s">
        <v>556</v>
      </c>
      <c r="M2589" s="1" t="s">
        <v>211</v>
      </c>
      <c r="N2589" s="8" t="s">
        <v>212</v>
      </c>
      <c r="O2589" s="6">
        <v>0</v>
      </c>
      <c r="P2589" s="6">
        <v>0</v>
      </c>
      <c r="Q2589" s="6">
        <v>0</v>
      </c>
      <c r="R2589" s="6">
        <v>0</v>
      </c>
      <c r="S2589" s="6">
        <v>225</v>
      </c>
    </row>
    <row r="2590" spans="1:19" ht="15" hidden="1" x14ac:dyDescent="0.25">
      <c r="A2590" s="7" t="s">
        <v>16</v>
      </c>
      <c r="B2590" s="7" t="s">
        <v>229</v>
      </c>
      <c r="C2590" s="7" t="s">
        <v>24</v>
      </c>
      <c r="D2590" s="4">
        <v>5874946000281</v>
      </c>
      <c r="E2590" s="8" t="s">
        <v>807</v>
      </c>
      <c r="F2590" s="8" t="s">
        <v>76</v>
      </c>
      <c r="G2590" s="8" t="s">
        <v>77</v>
      </c>
      <c r="H2590" s="8" t="s">
        <v>215</v>
      </c>
      <c r="I2590" s="3">
        <v>2</v>
      </c>
      <c r="J2590" s="8" t="s">
        <v>165</v>
      </c>
      <c r="K2590" s="8" t="s">
        <v>166</v>
      </c>
      <c r="L2590" s="8" t="s">
        <v>557</v>
      </c>
      <c r="M2590" s="1" t="s">
        <v>211</v>
      </c>
      <c r="N2590" s="8" t="s">
        <v>212</v>
      </c>
      <c r="O2590" s="6">
        <v>0</v>
      </c>
      <c r="P2590" s="6">
        <v>0</v>
      </c>
      <c r="Q2590" s="6">
        <v>0</v>
      </c>
      <c r="R2590" s="6">
        <v>0</v>
      </c>
      <c r="S2590" s="6">
        <v>225</v>
      </c>
    </row>
    <row r="2591" spans="1:19" ht="15" hidden="1" x14ac:dyDescent="0.25">
      <c r="A2591" s="7" t="s">
        <v>16</v>
      </c>
      <c r="B2591" s="7" t="s">
        <v>229</v>
      </c>
      <c r="C2591" s="7" t="s">
        <v>24</v>
      </c>
      <c r="D2591" s="4">
        <v>15126437001468</v>
      </c>
      <c r="E2591" s="8" t="s">
        <v>883</v>
      </c>
      <c r="F2591" s="8" t="s">
        <v>76</v>
      </c>
      <c r="G2591" s="8" t="s">
        <v>77</v>
      </c>
      <c r="H2591" s="8" t="s">
        <v>215</v>
      </c>
      <c r="I2591" s="3">
        <v>2</v>
      </c>
      <c r="J2591" s="8" t="s">
        <v>199</v>
      </c>
      <c r="K2591" s="8" t="s">
        <v>200</v>
      </c>
      <c r="L2591" s="8" t="s">
        <v>556</v>
      </c>
      <c r="M2591" s="1" t="s">
        <v>211</v>
      </c>
      <c r="N2591" s="8" t="s">
        <v>212</v>
      </c>
      <c r="O2591" s="6">
        <v>0</v>
      </c>
      <c r="P2591" s="6">
        <v>0</v>
      </c>
      <c r="Q2591" s="6">
        <v>0</v>
      </c>
      <c r="R2591" s="6">
        <v>0</v>
      </c>
      <c r="S2591" s="6">
        <v>0</v>
      </c>
    </row>
    <row r="2592" spans="1:19" ht="15" hidden="1" x14ac:dyDescent="0.25">
      <c r="A2592" s="7" t="s">
        <v>16</v>
      </c>
      <c r="B2592" s="7" t="s">
        <v>229</v>
      </c>
      <c r="C2592" s="7" t="s">
        <v>24</v>
      </c>
      <c r="D2592" s="4">
        <v>15126437001468</v>
      </c>
      <c r="E2592" s="8" t="s">
        <v>883</v>
      </c>
      <c r="F2592" s="8" t="s">
        <v>76</v>
      </c>
      <c r="G2592" s="8" t="s">
        <v>77</v>
      </c>
      <c r="H2592" s="8" t="s">
        <v>215</v>
      </c>
      <c r="I2592" s="3">
        <v>2</v>
      </c>
      <c r="J2592" s="8" t="s">
        <v>165</v>
      </c>
      <c r="K2592" s="8" t="s">
        <v>166</v>
      </c>
      <c r="L2592" s="8" t="s">
        <v>557</v>
      </c>
      <c r="M2592" s="1" t="s">
        <v>211</v>
      </c>
      <c r="N2592" s="8" t="s">
        <v>212</v>
      </c>
      <c r="O2592" s="6">
        <v>0</v>
      </c>
      <c r="P2592" s="6">
        <v>50</v>
      </c>
      <c r="Q2592" s="6">
        <v>0</v>
      </c>
      <c r="R2592" s="6">
        <v>0</v>
      </c>
      <c r="S2592" s="6">
        <v>0</v>
      </c>
    </row>
    <row r="2593" spans="1:19" ht="15" hidden="1" x14ac:dyDescent="0.25">
      <c r="A2593" s="7" t="s">
        <v>16</v>
      </c>
      <c r="B2593" s="7" t="s">
        <v>229</v>
      </c>
      <c r="C2593" s="7" t="s">
        <v>24</v>
      </c>
      <c r="D2593" s="4">
        <v>28102490000156</v>
      </c>
      <c r="E2593" s="8" t="s">
        <v>1209</v>
      </c>
      <c r="F2593" s="8" t="s">
        <v>76</v>
      </c>
      <c r="G2593" s="8" t="s">
        <v>77</v>
      </c>
      <c r="H2593" s="8" t="s">
        <v>215</v>
      </c>
      <c r="I2593" s="3">
        <v>1</v>
      </c>
      <c r="J2593" s="8" t="s">
        <v>199</v>
      </c>
      <c r="K2593" s="8" t="s">
        <v>200</v>
      </c>
      <c r="L2593" s="8" t="s">
        <v>556</v>
      </c>
      <c r="M2593" s="1" t="s">
        <v>211</v>
      </c>
      <c r="N2593" s="8" t="s">
        <v>212</v>
      </c>
      <c r="O2593" s="6">
        <v>0</v>
      </c>
      <c r="P2593" s="6">
        <v>0</v>
      </c>
      <c r="Q2593" s="6">
        <v>0</v>
      </c>
      <c r="R2593" s="6">
        <v>30</v>
      </c>
      <c r="S2593" s="6">
        <v>0</v>
      </c>
    </row>
    <row r="2594" spans="1:19" ht="15" hidden="1" x14ac:dyDescent="0.25">
      <c r="A2594" s="7" t="s">
        <v>16</v>
      </c>
      <c r="B2594" s="7" t="s">
        <v>229</v>
      </c>
      <c r="C2594" s="7" t="s">
        <v>24</v>
      </c>
      <c r="D2594" s="4">
        <v>74031865000151</v>
      </c>
      <c r="E2594" s="8" t="s">
        <v>926</v>
      </c>
      <c r="F2594" s="8" t="s">
        <v>76</v>
      </c>
      <c r="G2594" s="8" t="s">
        <v>77</v>
      </c>
      <c r="H2594" s="8" t="s">
        <v>215</v>
      </c>
      <c r="I2594" s="3">
        <v>2</v>
      </c>
      <c r="J2594" s="8" t="s">
        <v>199</v>
      </c>
      <c r="K2594" s="8" t="s">
        <v>200</v>
      </c>
      <c r="L2594" s="8" t="s">
        <v>556</v>
      </c>
      <c r="M2594" s="1" t="s">
        <v>211</v>
      </c>
      <c r="N2594" s="8" t="s">
        <v>212</v>
      </c>
      <c r="O2594" s="6">
        <v>0</v>
      </c>
      <c r="P2594" s="6">
        <v>0</v>
      </c>
      <c r="Q2594" s="6">
        <v>0</v>
      </c>
      <c r="R2594" s="6">
        <v>0</v>
      </c>
      <c r="S2594" s="6">
        <v>0</v>
      </c>
    </row>
    <row r="2595" spans="1:19" ht="15" hidden="1" x14ac:dyDescent="0.25">
      <c r="A2595" s="7" t="s">
        <v>16</v>
      </c>
      <c r="B2595" s="7" t="s">
        <v>229</v>
      </c>
      <c r="C2595" s="7" t="s">
        <v>24</v>
      </c>
      <c r="D2595" s="4">
        <v>74031865000151</v>
      </c>
      <c r="E2595" s="8" t="s">
        <v>926</v>
      </c>
      <c r="F2595" s="8" t="s">
        <v>76</v>
      </c>
      <c r="G2595" s="8" t="s">
        <v>77</v>
      </c>
      <c r="H2595" s="8" t="s">
        <v>215</v>
      </c>
      <c r="I2595" s="3">
        <v>2</v>
      </c>
      <c r="J2595" s="8" t="s">
        <v>165</v>
      </c>
      <c r="K2595" s="8" t="s">
        <v>166</v>
      </c>
      <c r="L2595" s="8" t="s">
        <v>557</v>
      </c>
      <c r="M2595" s="1" t="s">
        <v>211</v>
      </c>
      <c r="N2595" s="8" t="s">
        <v>212</v>
      </c>
      <c r="O2595" s="6">
        <v>0</v>
      </c>
      <c r="P2595" s="6">
        <v>0</v>
      </c>
      <c r="Q2595" s="6">
        <v>390</v>
      </c>
      <c r="R2595" s="6">
        <v>0</v>
      </c>
      <c r="S2595" s="6">
        <v>0</v>
      </c>
    </row>
    <row r="2596" spans="1:19" ht="15" hidden="1" x14ac:dyDescent="0.25">
      <c r="A2596" s="7" t="s">
        <v>16</v>
      </c>
      <c r="B2596" s="7" t="s">
        <v>229</v>
      </c>
      <c r="C2596" s="7" t="s">
        <v>24</v>
      </c>
      <c r="D2596" s="4">
        <v>60975737003509</v>
      </c>
      <c r="E2596" s="8" t="s">
        <v>921</v>
      </c>
      <c r="F2596" s="8" t="s">
        <v>76</v>
      </c>
      <c r="G2596" s="8" t="s">
        <v>77</v>
      </c>
      <c r="H2596" s="8" t="s">
        <v>215</v>
      </c>
      <c r="I2596" s="3">
        <v>2</v>
      </c>
      <c r="J2596" s="8" t="s">
        <v>199</v>
      </c>
      <c r="K2596" s="8" t="s">
        <v>200</v>
      </c>
      <c r="L2596" s="8" t="s">
        <v>556</v>
      </c>
      <c r="M2596" s="1" t="s">
        <v>211</v>
      </c>
      <c r="N2596" s="8" t="s">
        <v>212</v>
      </c>
      <c r="O2596" s="6">
        <v>0</v>
      </c>
      <c r="P2596" s="6">
        <v>0</v>
      </c>
      <c r="Q2596" s="6">
        <v>0</v>
      </c>
      <c r="R2596" s="6">
        <v>3</v>
      </c>
      <c r="S2596" s="6">
        <v>0</v>
      </c>
    </row>
    <row r="2597" spans="1:19" ht="15" hidden="1" x14ac:dyDescent="0.25">
      <c r="A2597" s="7" t="s">
        <v>16</v>
      </c>
      <c r="B2597" s="7" t="s">
        <v>229</v>
      </c>
      <c r="C2597" s="7" t="s">
        <v>24</v>
      </c>
      <c r="D2597" s="4">
        <v>60975737003509</v>
      </c>
      <c r="E2597" s="8" t="s">
        <v>921</v>
      </c>
      <c r="F2597" s="8" t="s">
        <v>76</v>
      </c>
      <c r="G2597" s="8" t="s">
        <v>77</v>
      </c>
      <c r="H2597" s="8" t="s">
        <v>215</v>
      </c>
      <c r="I2597" s="3">
        <v>2</v>
      </c>
      <c r="J2597" s="8" t="s">
        <v>165</v>
      </c>
      <c r="K2597" s="8" t="s">
        <v>166</v>
      </c>
      <c r="L2597" s="8" t="s">
        <v>557</v>
      </c>
      <c r="M2597" s="1" t="s">
        <v>211</v>
      </c>
      <c r="N2597" s="8" t="s">
        <v>212</v>
      </c>
      <c r="O2597" s="6">
        <v>0</v>
      </c>
      <c r="P2597" s="6">
        <v>17</v>
      </c>
      <c r="Q2597" s="6">
        <v>12</v>
      </c>
      <c r="R2597" s="6">
        <v>0</v>
      </c>
      <c r="S2597" s="6">
        <v>0</v>
      </c>
    </row>
    <row r="2598" spans="1:19" ht="15" hidden="1" x14ac:dyDescent="0.25">
      <c r="A2598" s="7" t="s">
        <v>16</v>
      </c>
      <c r="B2598" s="7" t="s">
        <v>229</v>
      </c>
      <c r="C2598" s="7" t="s">
        <v>24</v>
      </c>
      <c r="D2598" s="4">
        <v>29435005007484</v>
      </c>
      <c r="E2598" s="8" t="s">
        <v>912</v>
      </c>
      <c r="F2598" s="8" t="s">
        <v>76</v>
      </c>
      <c r="G2598" s="8" t="s">
        <v>77</v>
      </c>
      <c r="H2598" s="8" t="s">
        <v>215</v>
      </c>
      <c r="I2598" s="3">
        <v>2</v>
      </c>
      <c r="J2598" s="8" t="s">
        <v>199</v>
      </c>
      <c r="K2598" s="8" t="s">
        <v>200</v>
      </c>
      <c r="L2598" s="8" t="s">
        <v>556</v>
      </c>
      <c r="M2598" s="1" t="s">
        <v>211</v>
      </c>
      <c r="N2598" s="8" t="s">
        <v>212</v>
      </c>
      <c r="O2598" s="6">
        <v>0</v>
      </c>
      <c r="P2598" s="6">
        <v>0</v>
      </c>
      <c r="Q2598" s="6">
        <v>0</v>
      </c>
      <c r="R2598" s="6">
        <v>0</v>
      </c>
      <c r="S2598" s="6">
        <v>0</v>
      </c>
    </row>
    <row r="2599" spans="1:19" ht="15" hidden="1" x14ac:dyDescent="0.25">
      <c r="A2599" s="7" t="s">
        <v>16</v>
      </c>
      <c r="B2599" s="7" t="s">
        <v>229</v>
      </c>
      <c r="C2599" s="7" t="s">
        <v>24</v>
      </c>
      <c r="D2599" s="4">
        <v>29435005007484</v>
      </c>
      <c r="E2599" s="8" t="s">
        <v>912</v>
      </c>
      <c r="F2599" s="8" t="s">
        <v>76</v>
      </c>
      <c r="G2599" s="8" t="s">
        <v>77</v>
      </c>
      <c r="H2599" s="8" t="s">
        <v>215</v>
      </c>
      <c r="I2599" s="3">
        <v>2</v>
      </c>
      <c r="J2599" s="8" t="s">
        <v>165</v>
      </c>
      <c r="K2599" s="8" t="s">
        <v>166</v>
      </c>
      <c r="L2599" s="8" t="s">
        <v>557</v>
      </c>
      <c r="M2599" s="1" t="s">
        <v>211</v>
      </c>
      <c r="N2599" s="8" t="s">
        <v>212</v>
      </c>
      <c r="O2599" s="6">
        <v>0</v>
      </c>
      <c r="P2599" s="6">
        <v>20</v>
      </c>
      <c r="Q2599" s="6">
        <v>6</v>
      </c>
      <c r="R2599" s="6">
        <v>0</v>
      </c>
      <c r="S2599" s="6">
        <v>0</v>
      </c>
    </row>
    <row r="2600" spans="1:19" ht="15" hidden="1" x14ac:dyDescent="0.25">
      <c r="A2600" s="7" t="s">
        <v>16</v>
      </c>
      <c r="B2600" s="7" t="s">
        <v>229</v>
      </c>
      <c r="C2600" s="7" t="s">
        <v>24</v>
      </c>
      <c r="D2600" s="4">
        <v>23443518000103</v>
      </c>
      <c r="E2600" s="8" t="s">
        <v>903</v>
      </c>
      <c r="F2600" s="8" t="s">
        <v>76</v>
      </c>
      <c r="G2600" s="8" t="s">
        <v>77</v>
      </c>
      <c r="H2600" s="8" t="s">
        <v>215</v>
      </c>
      <c r="I2600" s="3">
        <v>2</v>
      </c>
      <c r="J2600" s="8" t="s">
        <v>199</v>
      </c>
      <c r="K2600" s="8" t="s">
        <v>200</v>
      </c>
      <c r="L2600" s="8" t="s">
        <v>556</v>
      </c>
      <c r="M2600" s="1" t="s">
        <v>211</v>
      </c>
      <c r="N2600" s="8" t="s">
        <v>212</v>
      </c>
      <c r="O2600" s="6">
        <v>0</v>
      </c>
      <c r="P2600" s="6">
        <v>0</v>
      </c>
      <c r="Q2600" s="6">
        <v>0</v>
      </c>
      <c r="R2600" s="6">
        <v>0</v>
      </c>
      <c r="S2600" s="6">
        <v>0</v>
      </c>
    </row>
    <row r="2601" spans="1:19" ht="15" hidden="1" x14ac:dyDescent="0.25">
      <c r="A2601" s="7" t="s">
        <v>16</v>
      </c>
      <c r="B2601" s="7" t="s">
        <v>229</v>
      </c>
      <c r="C2601" s="7" t="s">
        <v>24</v>
      </c>
      <c r="D2601" s="4">
        <v>23443518000103</v>
      </c>
      <c r="E2601" s="8" t="s">
        <v>903</v>
      </c>
      <c r="F2601" s="8" t="s">
        <v>76</v>
      </c>
      <c r="G2601" s="8" t="s">
        <v>77</v>
      </c>
      <c r="H2601" s="8" t="s">
        <v>215</v>
      </c>
      <c r="I2601" s="3">
        <v>2</v>
      </c>
      <c r="J2601" s="8" t="s">
        <v>165</v>
      </c>
      <c r="K2601" s="8" t="s">
        <v>166</v>
      </c>
      <c r="L2601" s="8" t="s">
        <v>557</v>
      </c>
      <c r="M2601" s="1" t="s">
        <v>211</v>
      </c>
      <c r="N2601" s="8" t="s">
        <v>212</v>
      </c>
      <c r="O2601" s="6">
        <v>0</v>
      </c>
      <c r="P2601" s="6">
        <v>3</v>
      </c>
      <c r="Q2601" s="6">
        <v>0</v>
      </c>
      <c r="R2601" s="6">
        <v>0</v>
      </c>
      <c r="S2601" s="6">
        <v>0</v>
      </c>
    </row>
    <row r="2602" spans="1:19" ht="15" hidden="1" x14ac:dyDescent="0.25">
      <c r="A2602" s="7" t="s">
        <v>16</v>
      </c>
      <c r="B2602" s="7" t="s">
        <v>229</v>
      </c>
      <c r="C2602" s="7" t="s">
        <v>24</v>
      </c>
      <c r="D2602" s="4">
        <v>5868278000280</v>
      </c>
      <c r="E2602" s="8" t="s">
        <v>805</v>
      </c>
      <c r="F2602" s="8" t="s">
        <v>76</v>
      </c>
      <c r="G2602" s="8" t="s">
        <v>77</v>
      </c>
      <c r="H2602" s="8" t="s">
        <v>215</v>
      </c>
      <c r="I2602" s="3">
        <v>2</v>
      </c>
      <c r="J2602" s="8" t="s">
        <v>199</v>
      </c>
      <c r="K2602" s="8" t="s">
        <v>200</v>
      </c>
      <c r="L2602" s="8" t="s">
        <v>556</v>
      </c>
      <c r="M2602" s="1" t="s">
        <v>211</v>
      </c>
      <c r="N2602" s="8" t="s">
        <v>212</v>
      </c>
      <c r="O2602" s="6">
        <v>0</v>
      </c>
      <c r="P2602" s="6">
        <v>0</v>
      </c>
      <c r="Q2602" s="6">
        <v>0</v>
      </c>
      <c r="R2602" s="6">
        <v>154</v>
      </c>
      <c r="S2602" s="6">
        <v>585</v>
      </c>
    </row>
    <row r="2603" spans="1:19" ht="15" hidden="1" x14ac:dyDescent="0.25">
      <c r="A2603" s="7" t="s">
        <v>16</v>
      </c>
      <c r="B2603" s="7" t="s">
        <v>229</v>
      </c>
      <c r="C2603" s="7" t="s">
        <v>24</v>
      </c>
      <c r="D2603" s="4">
        <v>5868278000280</v>
      </c>
      <c r="E2603" s="8" t="s">
        <v>805</v>
      </c>
      <c r="F2603" s="8" t="s">
        <v>76</v>
      </c>
      <c r="G2603" s="8" t="s">
        <v>77</v>
      </c>
      <c r="H2603" s="8" t="s">
        <v>215</v>
      </c>
      <c r="I2603" s="3">
        <v>2</v>
      </c>
      <c r="J2603" s="8" t="s">
        <v>165</v>
      </c>
      <c r="K2603" s="8" t="s">
        <v>166</v>
      </c>
      <c r="L2603" s="8" t="s">
        <v>557</v>
      </c>
      <c r="M2603" s="1" t="s">
        <v>211</v>
      </c>
      <c r="N2603" s="8" t="s">
        <v>212</v>
      </c>
      <c r="O2603" s="6">
        <v>0</v>
      </c>
      <c r="P2603" s="6">
        <v>16</v>
      </c>
      <c r="Q2603" s="6">
        <v>24</v>
      </c>
      <c r="R2603" s="6">
        <v>0</v>
      </c>
      <c r="S2603" s="6">
        <v>585</v>
      </c>
    </row>
    <row r="2604" spans="1:19" ht="15" hidden="1" x14ac:dyDescent="0.25">
      <c r="A2604" s="7" t="s">
        <v>16</v>
      </c>
      <c r="B2604" s="7" t="s">
        <v>229</v>
      </c>
      <c r="C2604" s="7" t="s">
        <v>24</v>
      </c>
      <c r="D2604" s="4">
        <v>12568570000161</v>
      </c>
      <c r="E2604" s="8" t="s">
        <v>866</v>
      </c>
      <c r="F2604" s="8" t="s">
        <v>76</v>
      </c>
      <c r="G2604" s="8" t="s">
        <v>77</v>
      </c>
      <c r="H2604" s="8" t="s">
        <v>215</v>
      </c>
      <c r="I2604" s="3">
        <v>2</v>
      </c>
      <c r="J2604" s="8" t="s">
        <v>199</v>
      </c>
      <c r="K2604" s="8" t="s">
        <v>200</v>
      </c>
      <c r="L2604" s="8" t="s">
        <v>556</v>
      </c>
      <c r="M2604" s="1" t="s">
        <v>211</v>
      </c>
      <c r="N2604" s="8" t="s">
        <v>212</v>
      </c>
      <c r="O2604" s="6">
        <v>0</v>
      </c>
      <c r="P2604" s="6">
        <v>0</v>
      </c>
      <c r="Q2604" s="6">
        <v>0</v>
      </c>
      <c r="R2604" s="6">
        <v>0</v>
      </c>
      <c r="S2604" s="6">
        <v>5</v>
      </c>
    </row>
    <row r="2605" spans="1:19" ht="15" hidden="1" x14ac:dyDescent="0.25">
      <c r="A2605" s="7" t="s">
        <v>16</v>
      </c>
      <c r="B2605" s="7" t="s">
        <v>229</v>
      </c>
      <c r="C2605" s="7" t="s">
        <v>24</v>
      </c>
      <c r="D2605" s="4">
        <v>12568570000161</v>
      </c>
      <c r="E2605" s="8" t="s">
        <v>866</v>
      </c>
      <c r="F2605" s="8" t="s">
        <v>76</v>
      </c>
      <c r="G2605" s="8" t="s">
        <v>77</v>
      </c>
      <c r="H2605" s="8" t="s">
        <v>215</v>
      </c>
      <c r="I2605" s="3">
        <v>2</v>
      </c>
      <c r="J2605" s="8" t="s">
        <v>165</v>
      </c>
      <c r="K2605" s="8" t="s">
        <v>166</v>
      </c>
      <c r="L2605" s="8" t="s">
        <v>557</v>
      </c>
      <c r="M2605" s="1" t="s">
        <v>211</v>
      </c>
      <c r="N2605" s="8" t="s">
        <v>212</v>
      </c>
      <c r="O2605" s="6">
        <v>0</v>
      </c>
      <c r="P2605" s="6">
        <v>0</v>
      </c>
      <c r="Q2605" s="6">
        <v>0</v>
      </c>
      <c r="R2605" s="6">
        <v>0</v>
      </c>
      <c r="S2605" s="6">
        <v>5</v>
      </c>
    </row>
    <row r="2606" spans="1:19" ht="15" hidden="1" x14ac:dyDescent="0.25">
      <c r="A2606" s="7" t="s">
        <v>16</v>
      </c>
      <c r="B2606" s="7" t="s">
        <v>229</v>
      </c>
      <c r="C2606" s="7" t="s">
        <v>24</v>
      </c>
      <c r="D2606" s="4">
        <v>5867015000175</v>
      </c>
      <c r="E2606" s="8" t="s">
        <v>804</v>
      </c>
      <c r="F2606" s="8" t="s">
        <v>76</v>
      </c>
      <c r="G2606" s="8" t="s">
        <v>77</v>
      </c>
      <c r="H2606" s="8" t="s">
        <v>215</v>
      </c>
      <c r="I2606" s="3">
        <v>2</v>
      </c>
      <c r="J2606" s="8" t="s">
        <v>199</v>
      </c>
      <c r="K2606" s="8" t="s">
        <v>200</v>
      </c>
      <c r="L2606" s="8" t="s">
        <v>556</v>
      </c>
      <c r="M2606" s="1" t="s">
        <v>211</v>
      </c>
      <c r="N2606" s="8" t="s">
        <v>212</v>
      </c>
      <c r="O2606" s="6">
        <v>0</v>
      </c>
      <c r="P2606" s="6">
        <v>0</v>
      </c>
      <c r="Q2606" s="6">
        <v>0</v>
      </c>
      <c r="R2606" s="6">
        <v>8</v>
      </c>
      <c r="S2606" s="6">
        <v>0</v>
      </c>
    </row>
    <row r="2607" spans="1:19" ht="15" hidden="1" x14ac:dyDescent="0.25">
      <c r="A2607" s="7" t="s">
        <v>16</v>
      </c>
      <c r="B2607" s="7" t="s">
        <v>229</v>
      </c>
      <c r="C2607" s="7" t="s">
        <v>24</v>
      </c>
      <c r="D2607" s="4">
        <v>5867015000175</v>
      </c>
      <c r="E2607" s="8" t="s">
        <v>804</v>
      </c>
      <c r="F2607" s="8" t="s">
        <v>76</v>
      </c>
      <c r="G2607" s="8" t="s">
        <v>77</v>
      </c>
      <c r="H2607" s="8" t="s">
        <v>215</v>
      </c>
      <c r="I2607" s="3">
        <v>2</v>
      </c>
      <c r="J2607" s="8" t="s">
        <v>165</v>
      </c>
      <c r="K2607" s="8" t="s">
        <v>166</v>
      </c>
      <c r="L2607" s="8" t="s">
        <v>557</v>
      </c>
      <c r="M2607" s="1" t="s">
        <v>211</v>
      </c>
      <c r="N2607" s="8" t="s">
        <v>212</v>
      </c>
      <c r="O2607" s="6">
        <v>0</v>
      </c>
      <c r="P2607" s="6">
        <v>0</v>
      </c>
      <c r="Q2607" s="6">
        <v>0</v>
      </c>
      <c r="R2607" s="6">
        <v>0</v>
      </c>
      <c r="S2607" s="6">
        <v>0</v>
      </c>
    </row>
    <row r="2608" spans="1:19" ht="15" hidden="1" x14ac:dyDescent="0.25">
      <c r="A2608" s="7" t="s">
        <v>16</v>
      </c>
      <c r="B2608" s="7" t="s">
        <v>229</v>
      </c>
      <c r="C2608" s="7" t="s">
        <v>24</v>
      </c>
      <c r="D2608" s="4">
        <v>12361267008410</v>
      </c>
      <c r="E2608" s="8" t="s">
        <v>854</v>
      </c>
      <c r="F2608" s="8" t="s">
        <v>855</v>
      </c>
      <c r="G2608" s="8" t="s">
        <v>77</v>
      </c>
      <c r="H2608" s="8" t="s">
        <v>215</v>
      </c>
      <c r="I2608" s="3">
        <v>2</v>
      </c>
      <c r="J2608" s="8" t="s">
        <v>199</v>
      </c>
      <c r="K2608" s="8" t="s">
        <v>200</v>
      </c>
      <c r="L2608" s="8" t="s">
        <v>556</v>
      </c>
      <c r="M2608" s="1" t="s">
        <v>211</v>
      </c>
      <c r="N2608" s="8" t="s">
        <v>212</v>
      </c>
      <c r="O2608" s="6">
        <v>0</v>
      </c>
      <c r="P2608" s="6">
        <v>0</v>
      </c>
      <c r="Q2608" s="6">
        <v>0</v>
      </c>
      <c r="R2608" s="6">
        <v>0</v>
      </c>
      <c r="S2608" s="6">
        <v>0</v>
      </c>
    </row>
    <row r="2609" spans="1:19" ht="15" hidden="1" x14ac:dyDescent="0.25">
      <c r="A2609" s="7" t="s">
        <v>16</v>
      </c>
      <c r="B2609" s="7" t="s">
        <v>229</v>
      </c>
      <c r="C2609" s="7" t="s">
        <v>24</v>
      </c>
      <c r="D2609" s="4">
        <v>12361267008410</v>
      </c>
      <c r="E2609" s="8" t="s">
        <v>854</v>
      </c>
      <c r="F2609" s="8" t="s">
        <v>855</v>
      </c>
      <c r="G2609" s="8" t="s">
        <v>77</v>
      </c>
      <c r="H2609" s="8" t="s">
        <v>215</v>
      </c>
      <c r="I2609" s="3">
        <v>2</v>
      </c>
      <c r="J2609" s="8" t="s">
        <v>165</v>
      </c>
      <c r="K2609" s="8" t="s">
        <v>166</v>
      </c>
      <c r="L2609" s="8" t="s">
        <v>557</v>
      </c>
      <c r="M2609" s="1" t="s">
        <v>211</v>
      </c>
      <c r="N2609" s="8" t="s">
        <v>212</v>
      </c>
      <c r="O2609" s="6">
        <v>0</v>
      </c>
      <c r="P2609" s="6">
        <v>0</v>
      </c>
      <c r="Q2609" s="6">
        <v>2</v>
      </c>
      <c r="R2609" s="6">
        <v>0</v>
      </c>
      <c r="S2609" s="6">
        <v>0</v>
      </c>
    </row>
    <row r="2610" spans="1:19" ht="15" hidden="1" x14ac:dyDescent="0.25">
      <c r="A2610" s="7" t="s">
        <v>16</v>
      </c>
      <c r="B2610" s="7" t="s">
        <v>229</v>
      </c>
      <c r="C2610" s="7" t="s">
        <v>24</v>
      </c>
      <c r="D2610" s="4">
        <v>9104513000974</v>
      </c>
      <c r="E2610" s="8" t="s">
        <v>830</v>
      </c>
      <c r="F2610" s="8" t="s">
        <v>739</v>
      </c>
      <c r="G2610" s="8" t="s">
        <v>55</v>
      </c>
      <c r="H2610" s="8" t="s">
        <v>215</v>
      </c>
      <c r="I2610" s="3">
        <v>2</v>
      </c>
      <c r="J2610" s="8" t="s">
        <v>163</v>
      </c>
      <c r="K2610" s="8" t="s">
        <v>164</v>
      </c>
      <c r="L2610" s="8" t="s">
        <v>557</v>
      </c>
      <c r="M2610" s="1" t="s">
        <v>211</v>
      </c>
      <c r="N2610" s="8" t="s">
        <v>212</v>
      </c>
      <c r="O2610" s="6">
        <v>0</v>
      </c>
      <c r="P2610" s="6">
        <v>0</v>
      </c>
      <c r="Q2610" s="6">
        <v>0</v>
      </c>
      <c r="R2610" s="6">
        <v>0</v>
      </c>
      <c r="S2610" s="6">
        <v>570</v>
      </c>
    </row>
    <row r="2611" spans="1:19" ht="15" hidden="1" x14ac:dyDescent="0.25">
      <c r="A2611" s="7" t="s">
        <v>16</v>
      </c>
      <c r="B2611" s="7" t="s">
        <v>229</v>
      </c>
      <c r="C2611" s="7" t="s">
        <v>24</v>
      </c>
      <c r="D2611" s="4">
        <v>9104513000974</v>
      </c>
      <c r="E2611" s="8" t="s">
        <v>830</v>
      </c>
      <c r="F2611" s="8" t="s">
        <v>739</v>
      </c>
      <c r="G2611" s="8" t="s">
        <v>55</v>
      </c>
      <c r="H2611" s="8" t="s">
        <v>215</v>
      </c>
      <c r="I2611" s="3">
        <v>2</v>
      </c>
      <c r="J2611" s="8" t="s">
        <v>201</v>
      </c>
      <c r="K2611" s="8" t="s">
        <v>202</v>
      </c>
      <c r="L2611" s="8" t="s">
        <v>740</v>
      </c>
      <c r="M2611" s="1" t="s">
        <v>211</v>
      </c>
      <c r="N2611" s="8" t="s">
        <v>212</v>
      </c>
      <c r="O2611" s="6">
        <v>0</v>
      </c>
      <c r="P2611" s="6">
        <v>0</v>
      </c>
      <c r="Q2611" s="6">
        <v>0</v>
      </c>
      <c r="R2611" s="6">
        <v>0</v>
      </c>
      <c r="S2611" s="6">
        <v>570</v>
      </c>
    </row>
    <row r="2612" spans="1:19" ht="15" hidden="1" x14ac:dyDescent="0.25">
      <c r="A2612" s="7" t="s">
        <v>16</v>
      </c>
      <c r="B2612" s="7" t="s">
        <v>229</v>
      </c>
      <c r="C2612" s="7" t="s">
        <v>24</v>
      </c>
      <c r="D2612" s="4">
        <v>520237000101</v>
      </c>
      <c r="E2612" s="8" t="s">
        <v>755</v>
      </c>
      <c r="F2612" s="8" t="s">
        <v>739</v>
      </c>
      <c r="G2612" s="8" t="s">
        <v>55</v>
      </c>
      <c r="H2612" s="8" t="s">
        <v>215</v>
      </c>
      <c r="I2612" s="3">
        <v>2</v>
      </c>
      <c r="J2612" s="8" t="s">
        <v>163</v>
      </c>
      <c r="K2612" s="8" t="s">
        <v>164</v>
      </c>
      <c r="L2612" s="8" t="s">
        <v>557</v>
      </c>
      <c r="M2612" s="1" t="s">
        <v>211</v>
      </c>
      <c r="N2612" s="8" t="s">
        <v>212</v>
      </c>
      <c r="O2612" s="6">
        <v>0</v>
      </c>
      <c r="P2612" s="6">
        <v>0</v>
      </c>
      <c r="Q2612" s="6">
        <v>0</v>
      </c>
      <c r="R2612" s="6">
        <v>0</v>
      </c>
      <c r="S2612" s="6">
        <v>550</v>
      </c>
    </row>
    <row r="2613" spans="1:19" ht="15" hidden="1" x14ac:dyDescent="0.25">
      <c r="A2613" s="7" t="s">
        <v>16</v>
      </c>
      <c r="B2613" s="7" t="s">
        <v>229</v>
      </c>
      <c r="C2613" s="7" t="s">
        <v>24</v>
      </c>
      <c r="D2613" s="4">
        <v>520237000101</v>
      </c>
      <c r="E2613" s="8" t="s">
        <v>755</v>
      </c>
      <c r="F2613" s="8" t="s">
        <v>739</v>
      </c>
      <c r="G2613" s="8" t="s">
        <v>55</v>
      </c>
      <c r="H2613" s="8" t="s">
        <v>215</v>
      </c>
      <c r="I2613" s="3">
        <v>2</v>
      </c>
      <c r="J2613" s="8" t="s">
        <v>201</v>
      </c>
      <c r="K2613" s="8" t="s">
        <v>202</v>
      </c>
      <c r="L2613" s="8" t="s">
        <v>740</v>
      </c>
      <c r="M2613" s="1" t="s">
        <v>211</v>
      </c>
      <c r="N2613" s="8" t="s">
        <v>212</v>
      </c>
      <c r="O2613" s="6">
        <v>0</v>
      </c>
      <c r="P2613" s="6">
        <v>0</v>
      </c>
      <c r="Q2613" s="6">
        <v>0</v>
      </c>
      <c r="R2613" s="6">
        <v>86</v>
      </c>
      <c r="S2613" s="6">
        <v>550</v>
      </c>
    </row>
    <row r="2614" spans="1:19" ht="15" hidden="1" x14ac:dyDescent="0.25">
      <c r="A2614" s="7" t="s">
        <v>16</v>
      </c>
      <c r="B2614" s="7" t="s">
        <v>229</v>
      </c>
      <c r="C2614" s="7" t="s">
        <v>24</v>
      </c>
      <c r="D2614" s="4">
        <v>30135335000188</v>
      </c>
      <c r="E2614" s="8" t="s">
        <v>914</v>
      </c>
      <c r="F2614" s="8" t="s">
        <v>739</v>
      </c>
      <c r="G2614" s="8" t="s">
        <v>55</v>
      </c>
      <c r="H2614" s="8" t="s">
        <v>215</v>
      </c>
      <c r="I2614" s="3">
        <v>2</v>
      </c>
      <c r="J2614" s="8" t="s">
        <v>163</v>
      </c>
      <c r="K2614" s="8" t="s">
        <v>164</v>
      </c>
      <c r="L2614" s="8" t="s">
        <v>557</v>
      </c>
      <c r="M2614" s="1" t="s">
        <v>211</v>
      </c>
      <c r="N2614" s="8" t="s">
        <v>212</v>
      </c>
      <c r="O2614" s="6">
        <v>0</v>
      </c>
      <c r="P2614" s="6">
        <v>0</v>
      </c>
      <c r="Q2614" s="6">
        <v>0</v>
      </c>
      <c r="R2614" s="6">
        <v>0</v>
      </c>
      <c r="S2614" s="6">
        <v>745</v>
      </c>
    </row>
    <row r="2615" spans="1:19" ht="15" hidden="1" x14ac:dyDescent="0.25">
      <c r="A2615" s="7" t="s">
        <v>16</v>
      </c>
      <c r="B2615" s="7" t="s">
        <v>229</v>
      </c>
      <c r="C2615" s="7" t="s">
        <v>24</v>
      </c>
      <c r="D2615" s="4">
        <v>30135335000188</v>
      </c>
      <c r="E2615" s="8" t="s">
        <v>914</v>
      </c>
      <c r="F2615" s="8" t="s">
        <v>739</v>
      </c>
      <c r="G2615" s="8" t="s">
        <v>55</v>
      </c>
      <c r="H2615" s="8" t="s">
        <v>215</v>
      </c>
      <c r="I2615" s="3">
        <v>2</v>
      </c>
      <c r="J2615" s="8" t="s">
        <v>201</v>
      </c>
      <c r="K2615" s="8" t="s">
        <v>202</v>
      </c>
      <c r="L2615" s="8" t="s">
        <v>740</v>
      </c>
      <c r="M2615" s="1" t="s">
        <v>211</v>
      </c>
      <c r="N2615" s="8" t="s">
        <v>212</v>
      </c>
      <c r="O2615" s="6">
        <v>0</v>
      </c>
      <c r="P2615" s="6">
        <v>0</v>
      </c>
      <c r="Q2615" s="6">
        <v>0</v>
      </c>
      <c r="R2615" s="6">
        <v>0</v>
      </c>
      <c r="S2615" s="6">
        <v>745</v>
      </c>
    </row>
    <row r="2616" spans="1:19" ht="15" hidden="1" x14ac:dyDescent="0.25">
      <c r="A2616" s="7" t="s">
        <v>16</v>
      </c>
      <c r="B2616" s="7" t="s">
        <v>229</v>
      </c>
      <c r="C2616" s="7" t="s">
        <v>24</v>
      </c>
      <c r="D2616" s="4">
        <v>394544000851</v>
      </c>
      <c r="E2616" s="8" t="s">
        <v>1136</v>
      </c>
      <c r="F2616" s="8" t="s">
        <v>739</v>
      </c>
      <c r="G2616" s="8" t="s">
        <v>55</v>
      </c>
      <c r="H2616" s="8" t="s">
        <v>215</v>
      </c>
      <c r="I2616" s="3">
        <v>2</v>
      </c>
      <c r="J2616" s="8" t="s">
        <v>1380</v>
      </c>
      <c r="K2616" s="8" t="s">
        <v>1381</v>
      </c>
      <c r="L2616" s="8"/>
      <c r="M2616" s="1" t="s">
        <v>1510</v>
      </c>
      <c r="N2616" s="8" t="s">
        <v>1382</v>
      </c>
      <c r="O2616" s="6">
        <v>0</v>
      </c>
      <c r="P2616" s="6">
        <v>0</v>
      </c>
      <c r="Q2616" s="6">
        <v>0</v>
      </c>
      <c r="R2616" s="6">
        <v>24</v>
      </c>
      <c r="S2616" s="6">
        <v>0</v>
      </c>
    </row>
    <row r="2617" spans="1:19" ht="15" hidden="1" x14ac:dyDescent="0.25">
      <c r="A2617" s="7" t="s">
        <v>16</v>
      </c>
      <c r="B2617" s="7" t="s">
        <v>229</v>
      </c>
      <c r="C2617" s="7" t="s">
        <v>24</v>
      </c>
      <c r="D2617" s="4">
        <v>394544000851</v>
      </c>
      <c r="E2617" s="8" t="s">
        <v>1136</v>
      </c>
      <c r="F2617" s="8" t="s">
        <v>739</v>
      </c>
      <c r="G2617" s="8" t="s">
        <v>55</v>
      </c>
      <c r="H2617" s="8" t="s">
        <v>215</v>
      </c>
      <c r="I2617" s="3">
        <v>2</v>
      </c>
      <c r="J2617" s="8" t="s">
        <v>1383</v>
      </c>
      <c r="K2617" s="8" t="s">
        <v>1384</v>
      </c>
      <c r="L2617" s="8"/>
      <c r="M2617" s="1" t="s">
        <v>1510</v>
      </c>
      <c r="N2617" s="8" t="s">
        <v>1382</v>
      </c>
      <c r="O2617" s="6">
        <v>0</v>
      </c>
      <c r="P2617" s="6">
        <v>0</v>
      </c>
      <c r="Q2617" s="6">
        <v>0</v>
      </c>
      <c r="R2617" s="6">
        <v>0</v>
      </c>
      <c r="S2617" s="6">
        <v>0</v>
      </c>
    </row>
    <row r="2618" spans="1:19" ht="15" hidden="1" x14ac:dyDescent="0.25">
      <c r="A2618" s="7" t="s">
        <v>16</v>
      </c>
      <c r="B2618" s="7" t="s">
        <v>229</v>
      </c>
      <c r="C2618" s="7" t="s">
        <v>24</v>
      </c>
      <c r="D2618" s="4">
        <v>2560878000107</v>
      </c>
      <c r="E2618" s="8" t="s">
        <v>781</v>
      </c>
      <c r="F2618" s="8" t="s">
        <v>739</v>
      </c>
      <c r="G2618" s="8" t="s">
        <v>55</v>
      </c>
      <c r="H2618" s="8" t="s">
        <v>215</v>
      </c>
      <c r="I2618" s="3">
        <v>2</v>
      </c>
      <c r="J2618" s="8" t="s">
        <v>163</v>
      </c>
      <c r="K2618" s="8" t="s">
        <v>164</v>
      </c>
      <c r="L2618" s="8" t="s">
        <v>557</v>
      </c>
      <c r="M2618" s="1" t="s">
        <v>211</v>
      </c>
      <c r="N2618" s="8" t="s">
        <v>212</v>
      </c>
      <c r="O2618" s="6">
        <v>0</v>
      </c>
      <c r="P2618" s="6">
        <v>12</v>
      </c>
      <c r="Q2618" s="6">
        <v>6</v>
      </c>
      <c r="R2618" s="6">
        <v>0</v>
      </c>
      <c r="S2618" s="6">
        <v>55</v>
      </c>
    </row>
    <row r="2619" spans="1:19" ht="15" hidden="1" x14ac:dyDescent="0.25">
      <c r="A2619" s="7" t="s">
        <v>16</v>
      </c>
      <c r="B2619" s="7" t="s">
        <v>229</v>
      </c>
      <c r="C2619" s="7" t="s">
        <v>24</v>
      </c>
      <c r="D2619" s="4">
        <v>2560878000107</v>
      </c>
      <c r="E2619" s="8" t="s">
        <v>781</v>
      </c>
      <c r="F2619" s="8" t="s">
        <v>739</v>
      </c>
      <c r="G2619" s="8" t="s">
        <v>55</v>
      </c>
      <c r="H2619" s="8" t="s">
        <v>215</v>
      </c>
      <c r="I2619" s="3">
        <v>2</v>
      </c>
      <c r="J2619" s="8" t="s">
        <v>201</v>
      </c>
      <c r="K2619" s="8" t="s">
        <v>202</v>
      </c>
      <c r="L2619" s="8" t="s">
        <v>740</v>
      </c>
      <c r="M2619" s="1" t="s">
        <v>211</v>
      </c>
      <c r="N2619" s="8" t="s">
        <v>212</v>
      </c>
      <c r="O2619" s="6">
        <v>0</v>
      </c>
      <c r="P2619" s="6">
        <v>0</v>
      </c>
      <c r="Q2619" s="6">
        <v>0</v>
      </c>
      <c r="R2619" s="6">
        <v>0</v>
      </c>
      <c r="S2619" s="6">
        <v>55</v>
      </c>
    </row>
    <row r="2620" spans="1:19" ht="15" hidden="1" x14ac:dyDescent="0.25">
      <c r="A2620" s="7" t="s">
        <v>16</v>
      </c>
      <c r="B2620" s="7" t="s">
        <v>229</v>
      </c>
      <c r="C2620" s="7" t="s">
        <v>24</v>
      </c>
      <c r="D2620" s="4">
        <v>60884855002289</v>
      </c>
      <c r="E2620" s="8" t="s">
        <v>920</v>
      </c>
      <c r="F2620" s="8" t="s">
        <v>739</v>
      </c>
      <c r="G2620" s="8" t="s">
        <v>55</v>
      </c>
      <c r="H2620" s="8" t="s">
        <v>215</v>
      </c>
      <c r="I2620" s="3">
        <v>2</v>
      </c>
      <c r="J2620" s="8" t="s">
        <v>163</v>
      </c>
      <c r="K2620" s="8" t="s">
        <v>164</v>
      </c>
      <c r="L2620" s="8" t="s">
        <v>557</v>
      </c>
      <c r="M2620" s="1" t="s">
        <v>211</v>
      </c>
      <c r="N2620" s="8" t="s">
        <v>212</v>
      </c>
      <c r="O2620" s="6">
        <v>0</v>
      </c>
      <c r="P2620" s="6">
        <v>28</v>
      </c>
      <c r="Q2620" s="6">
        <v>19</v>
      </c>
      <c r="R2620" s="6">
        <v>0</v>
      </c>
      <c r="S2620" s="6">
        <v>75</v>
      </c>
    </row>
    <row r="2621" spans="1:19" ht="15" hidden="1" x14ac:dyDescent="0.25">
      <c r="A2621" s="7" t="s">
        <v>16</v>
      </c>
      <c r="B2621" s="7" t="s">
        <v>229</v>
      </c>
      <c r="C2621" s="7" t="s">
        <v>24</v>
      </c>
      <c r="D2621" s="4">
        <v>60884855002289</v>
      </c>
      <c r="E2621" s="8" t="s">
        <v>920</v>
      </c>
      <c r="F2621" s="8" t="s">
        <v>739</v>
      </c>
      <c r="G2621" s="8" t="s">
        <v>55</v>
      </c>
      <c r="H2621" s="8" t="s">
        <v>215</v>
      </c>
      <c r="I2621" s="3">
        <v>2</v>
      </c>
      <c r="J2621" s="8" t="s">
        <v>201</v>
      </c>
      <c r="K2621" s="8" t="s">
        <v>202</v>
      </c>
      <c r="L2621" s="8" t="s">
        <v>740</v>
      </c>
      <c r="M2621" s="1" t="s">
        <v>211</v>
      </c>
      <c r="N2621" s="8" t="s">
        <v>212</v>
      </c>
      <c r="O2621" s="6">
        <v>0</v>
      </c>
      <c r="P2621" s="6">
        <v>0</v>
      </c>
      <c r="Q2621" s="6">
        <v>0</v>
      </c>
      <c r="R2621" s="6">
        <v>0</v>
      </c>
      <c r="S2621" s="6">
        <v>75</v>
      </c>
    </row>
    <row r="2622" spans="1:19" ht="15" hidden="1" x14ac:dyDescent="0.25">
      <c r="A2622" s="7" t="s">
        <v>16</v>
      </c>
      <c r="B2622" s="7" t="s">
        <v>229</v>
      </c>
      <c r="C2622" s="7" t="s">
        <v>24</v>
      </c>
      <c r="D2622" s="4">
        <v>382069000127</v>
      </c>
      <c r="E2622" s="8" t="s">
        <v>749</v>
      </c>
      <c r="F2622" s="8" t="s">
        <v>739</v>
      </c>
      <c r="G2622" s="8" t="s">
        <v>55</v>
      </c>
      <c r="H2622" s="8" t="s">
        <v>215</v>
      </c>
      <c r="I2622" s="3">
        <v>2</v>
      </c>
      <c r="J2622" s="8" t="s">
        <v>163</v>
      </c>
      <c r="K2622" s="8" t="s">
        <v>164</v>
      </c>
      <c r="L2622" s="8" t="s">
        <v>557</v>
      </c>
      <c r="M2622" s="1" t="s">
        <v>211</v>
      </c>
      <c r="N2622" s="8" t="s">
        <v>212</v>
      </c>
      <c r="O2622" s="6">
        <v>0</v>
      </c>
      <c r="P2622" s="6">
        <v>9</v>
      </c>
      <c r="Q2622" s="6">
        <v>6</v>
      </c>
      <c r="R2622" s="6">
        <v>0</v>
      </c>
      <c r="S2622" s="6">
        <v>100</v>
      </c>
    </row>
    <row r="2623" spans="1:19" ht="15" hidden="1" x14ac:dyDescent="0.25">
      <c r="A2623" s="7" t="s">
        <v>16</v>
      </c>
      <c r="B2623" s="7" t="s">
        <v>229</v>
      </c>
      <c r="C2623" s="7" t="s">
        <v>24</v>
      </c>
      <c r="D2623" s="4">
        <v>382069000127</v>
      </c>
      <c r="E2623" s="8" t="s">
        <v>749</v>
      </c>
      <c r="F2623" s="8" t="s">
        <v>739</v>
      </c>
      <c r="G2623" s="8" t="s">
        <v>55</v>
      </c>
      <c r="H2623" s="8" t="s">
        <v>215</v>
      </c>
      <c r="I2623" s="3">
        <v>2</v>
      </c>
      <c r="J2623" s="8" t="s">
        <v>201</v>
      </c>
      <c r="K2623" s="8" t="s">
        <v>202</v>
      </c>
      <c r="L2623" s="8" t="s">
        <v>740</v>
      </c>
      <c r="M2623" s="1" t="s">
        <v>211</v>
      </c>
      <c r="N2623" s="8" t="s">
        <v>212</v>
      </c>
      <c r="O2623" s="6">
        <v>0</v>
      </c>
      <c r="P2623" s="6">
        <v>0</v>
      </c>
      <c r="Q2623" s="6">
        <v>0</v>
      </c>
      <c r="R2623" s="6">
        <v>0</v>
      </c>
      <c r="S2623" s="6">
        <v>100</v>
      </c>
    </row>
    <row r="2624" spans="1:19" ht="15" hidden="1" x14ac:dyDescent="0.25">
      <c r="A2624" s="7" t="s">
        <v>16</v>
      </c>
      <c r="B2624" s="7" t="s">
        <v>229</v>
      </c>
      <c r="C2624" s="7" t="s">
        <v>24</v>
      </c>
      <c r="D2624" s="4">
        <v>6047087004207</v>
      </c>
      <c r="E2624" s="8" t="s">
        <v>811</v>
      </c>
      <c r="F2624" s="8" t="s">
        <v>739</v>
      </c>
      <c r="G2624" s="8" t="s">
        <v>55</v>
      </c>
      <c r="H2624" s="8" t="s">
        <v>215</v>
      </c>
      <c r="I2624" s="3">
        <v>2</v>
      </c>
      <c r="J2624" s="8" t="s">
        <v>163</v>
      </c>
      <c r="K2624" s="8" t="s">
        <v>164</v>
      </c>
      <c r="L2624" s="8" t="s">
        <v>557</v>
      </c>
      <c r="M2624" s="1" t="s">
        <v>211</v>
      </c>
      <c r="N2624" s="8" t="s">
        <v>212</v>
      </c>
      <c r="O2624" s="6">
        <v>0</v>
      </c>
      <c r="P2624" s="6">
        <v>4</v>
      </c>
      <c r="Q2624" s="6">
        <v>0</v>
      </c>
      <c r="R2624" s="6">
        <v>0</v>
      </c>
      <c r="S2624" s="6">
        <v>0</v>
      </c>
    </row>
    <row r="2625" spans="1:19" ht="15" hidden="1" x14ac:dyDescent="0.25">
      <c r="A2625" s="7" t="s">
        <v>16</v>
      </c>
      <c r="B2625" s="7" t="s">
        <v>229</v>
      </c>
      <c r="C2625" s="7" t="s">
        <v>24</v>
      </c>
      <c r="D2625" s="4">
        <v>6047087004207</v>
      </c>
      <c r="E2625" s="8" t="s">
        <v>811</v>
      </c>
      <c r="F2625" s="8" t="s">
        <v>739</v>
      </c>
      <c r="G2625" s="8" t="s">
        <v>55</v>
      </c>
      <c r="H2625" s="8" t="s">
        <v>215</v>
      </c>
      <c r="I2625" s="3">
        <v>2</v>
      </c>
      <c r="J2625" s="8" t="s">
        <v>201</v>
      </c>
      <c r="K2625" s="8" t="s">
        <v>202</v>
      </c>
      <c r="L2625" s="8" t="s">
        <v>740</v>
      </c>
      <c r="M2625" s="1" t="s">
        <v>211</v>
      </c>
      <c r="N2625" s="8" t="s">
        <v>212</v>
      </c>
      <c r="O2625" s="6">
        <v>0</v>
      </c>
      <c r="P2625" s="6">
        <v>0</v>
      </c>
      <c r="Q2625" s="6">
        <v>0</v>
      </c>
      <c r="R2625" s="6">
        <v>0</v>
      </c>
      <c r="S2625" s="6">
        <v>0</v>
      </c>
    </row>
    <row r="2626" spans="1:19" ht="15" hidden="1" x14ac:dyDescent="0.25">
      <c r="A2626" s="7" t="s">
        <v>16</v>
      </c>
      <c r="B2626" s="7" t="s">
        <v>229</v>
      </c>
      <c r="C2626" s="7" t="s">
        <v>24</v>
      </c>
      <c r="D2626" s="4">
        <v>610980000144</v>
      </c>
      <c r="E2626" s="8" t="s">
        <v>756</v>
      </c>
      <c r="F2626" s="8" t="s">
        <v>739</v>
      </c>
      <c r="G2626" s="8" t="s">
        <v>55</v>
      </c>
      <c r="H2626" s="8" t="s">
        <v>215</v>
      </c>
      <c r="I2626" s="3">
        <v>2</v>
      </c>
      <c r="J2626" s="8" t="s">
        <v>163</v>
      </c>
      <c r="K2626" s="8" t="s">
        <v>164</v>
      </c>
      <c r="L2626" s="8" t="s">
        <v>557</v>
      </c>
      <c r="M2626" s="1" t="s">
        <v>211</v>
      </c>
      <c r="N2626" s="8" t="s">
        <v>212</v>
      </c>
      <c r="O2626" s="6">
        <v>0</v>
      </c>
      <c r="P2626" s="6">
        <v>7</v>
      </c>
      <c r="Q2626" s="6">
        <v>2</v>
      </c>
      <c r="R2626" s="6">
        <v>0</v>
      </c>
      <c r="S2626" s="6">
        <v>50</v>
      </c>
    </row>
    <row r="2627" spans="1:19" ht="15" hidden="1" x14ac:dyDescent="0.25">
      <c r="A2627" s="7" t="s">
        <v>16</v>
      </c>
      <c r="B2627" s="7" t="s">
        <v>229</v>
      </c>
      <c r="C2627" s="7" t="s">
        <v>24</v>
      </c>
      <c r="D2627" s="4">
        <v>610980000144</v>
      </c>
      <c r="E2627" s="8" t="s">
        <v>756</v>
      </c>
      <c r="F2627" s="8" t="s">
        <v>739</v>
      </c>
      <c r="G2627" s="8" t="s">
        <v>55</v>
      </c>
      <c r="H2627" s="8" t="s">
        <v>215</v>
      </c>
      <c r="I2627" s="3">
        <v>2</v>
      </c>
      <c r="J2627" s="8" t="s">
        <v>201</v>
      </c>
      <c r="K2627" s="8" t="s">
        <v>202</v>
      </c>
      <c r="L2627" s="8" t="s">
        <v>740</v>
      </c>
      <c r="M2627" s="1" t="s">
        <v>211</v>
      </c>
      <c r="N2627" s="8" t="s">
        <v>212</v>
      </c>
      <c r="O2627" s="6">
        <v>0</v>
      </c>
      <c r="P2627" s="6">
        <v>0</v>
      </c>
      <c r="Q2627" s="6">
        <v>0</v>
      </c>
      <c r="R2627" s="6">
        <v>0</v>
      </c>
      <c r="S2627" s="6">
        <v>50</v>
      </c>
    </row>
    <row r="2628" spans="1:19" ht="15" hidden="1" x14ac:dyDescent="0.25">
      <c r="A2628" s="7" t="s">
        <v>16</v>
      </c>
      <c r="B2628" s="7" t="s">
        <v>229</v>
      </c>
      <c r="C2628" s="7" t="s">
        <v>24</v>
      </c>
      <c r="D2628" s="4">
        <v>72576143000157</v>
      </c>
      <c r="E2628" s="8" t="s">
        <v>1235</v>
      </c>
      <c r="F2628" s="8" t="s">
        <v>739</v>
      </c>
      <c r="G2628" s="8" t="s">
        <v>55</v>
      </c>
      <c r="H2628" s="8" t="s">
        <v>215</v>
      </c>
      <c r="I2628" s="3">
        <v>2</v>
      </c>
      <c r="J2628" s="8" t="s">
        <v>163</v>
      </c>
      <c r="K2628" s="8" t="s">
        <v>164</v>
      </c>
      <c r="L2628" s="8" t="s">
        <v>557</v>
      </c>
      <c r="M2628" s="1" t="s">
        <v>211</v>
      </c>
      <c r="N2628" s="8" t="s">
        <v>212</v>
      </c>
      <c r="O2628" s="6">
        <v>0</v>
      </c>
      <c r="P2628" s="6">
        <v>20</v>
      </c>
      <c r="Q2628" s="6">
        <v>0</v>
      </c>
      <c r="R2628" s="6">
        <v>0</v>
      </c>
      <c r="S2628" s="6">
        <v>0</v>
      </c>
    </row>
    <row r="2629" spans="1:19" ht="15" hidden="1" x14ac:dyDescent="0.25">
      <c r="A2629" s="7" t="s">
        <v>16</v>
      </c>
      <c r="B2629" s="7" t="s">
        <v>229</v>
      </c>
      <c r="C2629" s="7" t="s">
        <v>24</v>
      </c>
      <c r="D2629" s="4">
        <v>72576143000157</v>
      </c>
      <c r="E2629" s="8" t="s">
        <v>1235</v>
      </c>
      <c r="F2629" s="8" t="s">
        <v>739</v>
      </c>
      <c r="G2629" s="8" t="s">
        <v>55</v>
      </c>
      <c r="H2629" s="8" t="s">
        <v>215</v>
      </c>
      <c r="I2629" s="3">
        <v>2</v>
      </c>
      <c r="J2629" s="8" t="s">
        <v>201</v>
      </c>
      <c r="K2629" s="8" t="s">
        <v>202</v>
      </c>
      <c r="L2629" s="8" t="s">
        <v>740</v>
      </c>
      <c r="M2629" s="1" t="s">
        <v>211</v>
      </c>
      <c r="N2629" s="8" t="s">
        <v>212</v>
      </c>
      <c r="O2629" s="6">
        <v>0</v>
      </c>
      <c r="P2629" s="6">
        <v>0</v>
      </c>
      <c r="Q2629" s="6">
        <v>0</v>
      </c>
      <c r="R2629" s="6">
        <v>0</v>
      </c>
      <c r="S2629" s="6">
        <v>0</v>
      </c>
    </row>
    <row r="2630" spans="1:19" ht="15" hidden="1" x14ac:dyDescent="0.25">
      <c r="A2630" s="7" t="s">
        <v>16</v>
      </c>
      <c r="B2630" s="7" t="s">
        <v>229</v>
      </c>
      <c r="C2630" s="7" t="s">
        <v>24</v>
      </c>
      <c r="D2630" s="4">
        <v>10942995000163</v>
      </c>
      <c r="E2630" s="8" t="s">
        <v>836</v>
      </c>
      <c r="F2630" s="8" t="s">
        <v>739</v>
      </c>
      <c r="G2630" s="8" t="s">
        <v>55</v>
      </c>
      <c r="H2630" s="8" t="s">
        <v>215</v>
      </c>
      <c r="I2630" s="3">
        <v>2</v>
      </c>
      <c r="J2630" s="8" t="s">
        <v>163</v>
      </c>
      <c r="K2630" s="8" t="s">
        <v>164</v>
      </c>
      <c r="L2630" s="8" t="s">
        <v>557</v>
      </c>
      <c r="M2630" s="1" t="s">
        <v>211</v>
      </c>
      <c r="N2630" s="8" t="s">
        <v>212</v>
      </c>
      <c r="O2630" s="6">
        <v>0</v>
      </c>
      <c r="P2630" s="6">
        <v>0</v>
      </c>
      <c r="Q2630" s="6">
        <v>0</v>
      </c>
      <c r="R2630" s="6">
        <v>0</v>
      </c>
      <c r="S2630" s="6">
        <v>850</v>
      </c>
    </row>
    <row r="2631" spans="1:19" ht="15" hidden="1" x14ac:dyDescent="0.25">
      <c r="A2631" s="7" t="s">
        <v>16</v>
      </c>
      <c r="B2631" s="7" t="s">
        <v>229</v>
      </c>
      <c r="C2631" s="7" t="s">
        <v>24</v>
      </c>
      <c r="D2631" s="4">
        <v>10942995000163</v>
      </c>
      <c r="E2631" s="8" t="s">
        <v>836</v>
      </c>
      <c r="F2631" s="8" t="s">
        <v>739</v>
      </c>
      <c r="G2631" s="8" t="s">
        <v>55</v>
      </c>
      <c r="H2631" s="8" t="s">
        <v>215</v>
      </c>
      <c r="I2631" s="3">
        <v>2</v>
      </c>
      <c r="J2631" s="8" t="s">
        <v>201</v>
      </c>
      <c r="K2631" s="8" t="s">
        <v>202</v>
      </c>
      <c r="L2631" s="8" t="s">
        <v>740</v>
      </c>
      <c r="M2631" s="1" t="s">
        <v>211</v>
      </c>
      <c r="N2631" s="8" t="s">
        <v>212</v>
      </c>
      <c r="O2631" s="6">
        <v>0</v>
      </c>
      <c r="P2631" s="6">
        <v>0</v>
      </c>
      <c r="Q2631" s="6">
        <v>0</v>
      </c>
      <c r="R2631" s="6">
        <v>200</v>
      </c>
      <c r="S2631" s="6">
        <v>850</v>
      </c>
    </row>
    <row r="2632" spans="1:19" ht="15" hidden="1" x14ac:dyDescent="0.25">
      <c r="A2632" s="7" t="s">
        <v>16</v>
      </c>
      <c r="B2632" s="7" t="s">
        <v>229</v>
      </c>
      <c r="C2632" s="7" t="s">
        <v>24</v>
      </c>
      <c r="D2632" s="4">
        <v>11859927000106</v>
      </c>
      <c r="E2632" s="8" t="s">
        <v>846</v>
      </c>
      <c r="F2632" s="8" t="s">
        <v>739</v>
      </c>
      <c r="G2632" s="8" t="s">
        <v>55</v>
      </c>
      <c r="H2632" s="8" t="s">
        <v>215</v>
      </c>
      <c r="I2632" s="3">
        <v>2</v>
      </c>
      <c r="J2632" s="8" t="s">
        <v>163</v>
      </c>
      <c r="K2632" s="8" t="s">
        <v>164</v>
      </c>
      <c r="L2632" s="8" t="s">
        <v>557</v>
      </c>
      <c r="M2632" s="1" t="s">
        <v>211</v>
      </c>
      <c r="N2632" s="8" t="s">
        <v>212</v>
      </c>
      <c r="O2632" s="6">
        <v>0</v>
      </c>
      <c r="P2632" s="6">
        <v>0</v>
      </c>
      <c r="Q2632" s="6">
        <v>0</v>
      </c>
      <c r="R2632" s="6">
        <v>0</v>
      </c>
      <c r="S2632" s="6">
        <v>0</v>
      </c>
    </row>
    <row r="2633" spans="1:19" ht="15" hidden="1" x14ac:dyDescent="0.25">
      <c r="A2633" s="7" t="s">
        <v>16</v>
      </c>
      <c r="B2633" s="7" t="s">
        <v>229</v>
      </c>
      <c r="C2633" s="7" t="s">
        <v>24</v>
      </c>
      <c r="D2633" s="4">
        <v>11859927000106</v>
      </c>
      <c r="E2633" s="8" t="s">
        <v>846</v>
      </c>
      <c r="F2633" s="8" t="s">
        <v>739</v>
      </c>
      <c r="G2633" s="8" t="s">
        <v>55</v>
      </c>
      <c r="H2633" s="8" t="s">
        <v>215</v>
      </c>
      <c r="I2633" s="3">
        <v>2</v>
      </c>
      <c r="J2633" s="8" t="s">
        <v>201</v>
      </c>
      <c r="K2633" s="8" t="s">
        <v>202</v>
      </c>
      <c r="L2633" s="8" t="s">
        <v>740</v>
      </c>
      <c r="M2633" s="1" t="s">
        <v>211</v>
      </c>
      <c r="N2633" s="8" t="s">
        <v>212</v>
      </c>
      <c r="O2633" s="6">
        <v>0</v>
      </c>
      <c r="P2633" s="6">
        <v>0</v>
      </c>
      <c r="Q2633" s="6">
        <v>0</v>
      </c>
      <c r="R2633" s="6">
        <v>34</v>
      </c>
      <c r="S2633" s="6">
        <v>0</v>
      </c>
    </row>
    <row r="2634" spans="1:19" ht="15" hidden="1" x14ac:dyDescent="0.25">
      <c r="A2634" s="7" t="s">
        <v>16</v>
      </c>
      <c r="B2634" s="7" t="s">
        <v>229</v>
      </c>
      <c r="C2634" s="7" t="s">
        <v>24</v>
      </c>
      <c r="D2634" s="4">
        <v>1682668000129</v>
      </c>
      <c r="E2634" s="8" t="s">
        <v>769</v>
      </c>
      <c r="F2634" s="8" t="s">
        <v>739</v>
      </c>
      <c r="G2634" s="8" t="s">
        <v>55</v>
      </c>
      <c r="H2634" s="8" t="s">
        <v>215</v>
      </c>
      <c r="I2634" s="3">
        <v>2</v>
      </c>
      <c r="J2634" s="8" t="s">
        <v>163</v>
      </c>
      <c r="K2634" s="8" t="s">
        <v>164</v>
      </c>
      <c r="L2634" s="8" t="s">
        <v>557</v>
      </c>
      <c r="M2634" s="1" t="s">
        <v>211</v>
      </c>
      <c r="N2634" s="8" t="s">
        <v>212</v>
      </c>
      <c r="O2634" s="6">
        <v>0</v>
      </c>
      <c r="P2634" s="6">
        <v>0</v>
      </c>
      <c r="Q2634" s="6">
        <v>0</v>
      </c>
      <c r="R2634" s="6">
        <v>0</v>
      </c>
      <c r="S2634" s="6">
        <v>25</v>
      </c>
    </row>
    <row r="2635" spans="1:19" ht="15" hidden="1" x14ac:dyDescent="0.25">
      <c r="A2635" s="7" t="s">
        <v>16</v>
      </c>
      <c r="B2635" s="7" t="s">
        <v>229</v>
      </c>
      <c r="C2635" s="7" t="s">
        <v>24</v>
      </c>
      <c r="D2635" s="4">
        <v>1682668000129</v>
      </c>
      <c r="E2635" s="8" t="s">
        <v>769</v>
      </c>
      <c r="F2635" s="8" t="s">
        <v>739</v>
      </c>
      <c r="G2635" s="8" t="s">
        <v>55</v>
      </c>
      <c r="H2635" s="8" t="s">
        <v>215</v>
      </c>
      <c r="I2635" s="3">
        <v>2</v>
      </c>
      <c r="J2635" s="8" t="s">
        <v>201</v>
      </c>
      <c r="K2635" s="8" t="s">
        <v>202</v>
      </c>
      <c r="L2635" s="8" t="s">
        <v>740</v>
      </c>
      <c r="M2635" s="1" t="s">
        <v>211</v>
      </c>
      <c r="N2635" s="8" t="s">
        <v>212</v>
      </c>
      <c r="O2635" s="6">
        <v>0</v>
      </c>
      <c r="P2635" s="6">
        <v>0</v>
      </c>
      <c r="Q2635" s="6">
        <v>0</v>
      </c>
      <c r="R2635" s="6">
        <v>0</v>
      </c>
      <c r="S2635" s="6">
        <v>25</v>
      </c>
    </row>
    <row r="2636" spans="1:19" ht="15" hidden="1" x14ac:dyDescent="0.25">
      <c r="A2636" s="7" t="s">
        <v>16</v>
      </c>
      <c r="B2636" s="7" t="s">
        <v>229</v>
      </c>
      <c r="C2636" s="7" t="s">
        <v>24</v>
      </c>
      <c r="D2636" s="4">
        <v>16739984000167</v>
      </c>
      <c r="E2636" s="8" t="s">
        <v>900</v>
      </c>
      <c r="F2636" s="8" t="s">
        <v>739</v>
      </c>
      <c r="G2636" s="8" t="s">
        <v>55</v>
      </c>
      <c r="H2636" s="8" t="s">
        <v>215</v>
      </c>
      <c r="I2636" s="3">
        <v>2</v>
      </c>
      <c r="J2636" s="8" t="s">
        <v>163</v>
      </c>
      <c r="K2636" s="8" t="s">
        <v>164</v>
      </c>
      <c r="L2636" s="8" t="s">
        <v>557</v>
      </c>
      <c r="M2636" s="1" t="s">
        <v>211</v>
      </c>
      <c r="N2636" s="8" t="s">
        <v>212</v>
      </c>
      <c r="O2636" s="6">
        <v>0</v>
      </c>
      <c r="P2636" s="6">
        <v>0</v>
      </c>
      <c r="Q2636" s="6">
        <v>0</v>
      </c>
      <c r="R2636" s="6">
        <v>0</v>
      </c>
      <c r="S2636" s="6">
        <v>0</v>
      </c>
    </row>
    <row r="2637" spans="1:19" ht="15" hidden="1" x14ac:dyDescent="0.25">
      <c r="A2637" s="7" t="s">
        <v>16</v>
      </c>
      <c r="B2637" s="7" t="s">
        <v>229</v>
      </c>
      <c r="C2637" s="7" t="s">
        <v>24</v>
      </c>
      <c r="D2637" s="4">
        <v>16739984000167</v>
      </c>
      <c r="E2637" s="8" t="s">
        <v>900</v>
      </c>
      <c r="F2637" s="8" t="s">
        <v>739</v>
      </c>
      <c r="G2637" s="8" t="s">
        <v>55</v>
      </c>
      <c r="H2637" s="8" t="s">
        <v>215</v>
      </c>
      <c r="I2637" s="3">
        <v>2</v>
      </c>
      <c r="J2637" s="8" t="s">
        <v>201</v>
      </c>
      <c r="K2637" s="8" t="s">
        <v>202</v>
      </c>
      <c r="L2637" s="8" t="s">
        <v>740</v>
      </c>
      <c r="M2637" s="1" t="s">
        <v>211</v>
      </c>
      <c r="N2637" s="8" t="s">
        <v>212</v>
      </c>
      <c r="O2637" s="6">
        <v>0</v>
      </c>
      <c r="P2637" s="6">
        <v>0</v>
      </c>
      <c r="Q2637" s="6">
        <v>0</v>
      </c>
      <c r="R2637" s="6">
        <v>18</v>
      </c>
      <c r="S2637" s="6">
        <v>0</v>
      </c>
    </row>
    <row r="2638" spans="1:19" ht="15" hidden="1" x14ac:dyDescent="0.25">
      <c r="A2638" s="7" t="s">
        <v>16</v>
      </c>
      <c r="B2638" s="7" t="s">
        <v>229</v>
      </c>
      <c r="C2638" s="7" t="s">
        <v>24</v>
      </c>
      <c r="D2638" s="4">
        <v>511816000180</v>
      </c>
      <c r="E2638" s="8" t="s">
        <v>754</v>
      </c>
      <c r="F2638" s="8" t="s">
        <v>739</v>
      </c>
      <c r="G2638" s="8" t="s">
        <v>55</v>
      </c>
      <c r="H2638" s="8" t="s">
        <v>215</v>
      </c>
      <c r="I2638" s="3">
        <v>2</v>
      </c>
      <c r="J2638" s="8" t="s">
        <v>163</v>
      </c>
      <c r="K2638" s="8" t="s">
        <v>164</v>
      </c>
      <c r="L2638" s="8" t="s">
        <v>557</v>
      </c>
      <c r="M2638" s="1" t="s">
        <v>211</v>
      </c>
      <c r="N2638" s="8" t="s">
        <v>212</v>
      </c>
      <c r="O2638" s="6">
        <v>0</v>
      </c>
      <c r="P2638" s="6">
        <v>4</v>
      </c>
      <c r="Q2638" s="6">
        <v>0</v>
      </c>
      <c r="R2638" s="6">
        <v>0</v>
      </c>
      <c r="S2638" s="6">
        <v>0</v>
      </c>
    </row>
    <row r="2639" spans="1:19" ht="15" hidden="1" x14ac:dyDescent="0.25">
      <c r="A2639" s="7" t="s">
        <v>16</v>
      </c>
      <c r="B2639" s="7" t="s">
        <v>229</v>
      </c>
      <c r="C2639" s="7" t="s">
        <v>24</v>
      </c>
      <c r="D2639" s="4">
        <v>511816000180</v>
      </c>
      <c r="E2639" s="8" t="s">
        <v>754</v>
      </c>
      <c r="F2639" s="8" t="s">
        <v>739</v>
      </c>
      <c r="G2639" s="8" t="s">
        <v>55</v>
      </c>
      <c r="H2639" s="8" t="s">
        <v>215</v>
      </c>
      <c r="I2639" s="3">
        <v>2</v>
      </c>
      <c r="J2639" s="8" t="s">
        <v>201</v>
      </c>
      <c r="K2639" s="8" t="s">
        <v>202</v>
      </c>
      <c r="L2639" s="8" t="s">
        <v>740</v>
      </c>
      <c r="M2639" s="1" t="s">
        <v>211</v>
      </c>
      <c r="N2639" s="8" t="s">
        <v>212</v>
      </c>
      <c r="O2639" s="6">
        <v>0</v>
      </c>
      <c r="P2639" s="6">
        <v>0</v>
      </c>
      <c r="Q2639" s="6">
        <v>0</v>
      </c>
      <c r="R2639" s="6">
        <v>0</v>
      </c>
      <c r="S2639" s="6">
        <v>0</v>
      </c>
    </row>
    <row r="2640" spans="1:19" ht="15" hidden="1" x14ac:dyDescent="0.25">
      <c r="A2640" s="7" t="s">
        <v>16</v>
      </c>
      <c r="B2640" s="7" t="s">
        <v>229</v>
      </c>
      <c r="C2640" s="7" t="s">
        <v>24</v>
      </c>
      <c r="D2640" s="4">
        <v>7039651000134</v>
      </c>
      <c r="E2640" s="8" t="s">
        <v>1153</v>
      </c>
      <c r="F2640" s="8" t="s">
        <v>116</v>
      </c>
      <c r="G2640" s="8" t="s">
        <v>98</v>
      </c>
      <c r="H2640" s="8" t="s">
        <v>215</v>
      </c>
      <c r="I2640" s="3">
        <v>1</v>
      </c>
      <c r="J2640" s="8" t="s">
        <v>159</v>
      </c>
      <c r="K2640" s="8" t="s">
        <v>160</v>
      </c>
      <c r="L2640" s="8" t="s">
        <v>740</v>
      </c>
      <c r="M2640" s="1" t="s">
        <v>205</v>
      </c>
      <c r="N2640" s="8" t="s">
        <v>206</v>
      </c>
      <c r="O2640" s="6">
        <v>0</v>
      </c>
      <c r="P2640" s="6">
        <v>0</v>
      </c>
      <c r="Q2640" s="6">
        <v>0</v>
      </c>
      <c r="R2640" s="6">
        <v>0</v>
      </c>
      <c r="S2640" s="6">
        <v>25</v>
      </c>
    </row>
    <row r="2641" spans="1:19" ht="15" hidden="1" x14ac:dyDescent="0.25">
      <c r="A2641" s="7" t="s">
        <v>16</v>
      </c>
      <c r="B2641" s="7" t="s">
        <v>229</v>
      </c>
      <c r="C2641" s="7" t="s">
        <v>24</v>
      </c>
      <c r="D2641" s="4">
        <v>1396804000114</v>
      </c>
      <c r="E2641" s="8" t="s">
        <v>1140</v>
      </c>
      <c r="F2641" s="8" t="s">
        <v>97</v>
      </c>
      <c r="G2641" s="8" t="s">
        <v>98</v>
      </c>
      <c r="H2641" s="8" t="s">
        <v>215</v>
      </c>
      <c r="I2641" s="3">
        <v>1</v>
      </c>
      <c r="J2641" s="8" t="s">
        <v>159</v>
      </c>
      <c r="K2641" s="8" t="s">
        <v>160</v>
      </c>
      <c r="L2641" s="8" t="s">
        <v>740</v>
      </c>
      <c r="M2641" s="1" t="s">
        <v>205</v>
      </c>
      <c r="N2641" s="8" t="s">
        <v>206</v>
      </c>
      <c r="O2641" s="6">
        <v>0</v>
      </c>
      <c r="P2641" s="6">
        <v>0</v>
      </c>
      <c r="Q2641" s="6">
        <v>0</v>
      </c>
      <c r="R2641" s="6">
        <v>0</v>
      </c>
      <c r="S2641" s="6">
        <v>25</v>
      </c>
    </row>
    <row r="2642" spans="1:19" ht="15" hidden="1" x14ac:dyDescent="0.25">
      <c r="A2642" s="7" t="s">
        <v>16</v>
      </c>
      <c r="B2642" s="7" t="s">
        <v>229</v>
      </c>
      <c r="C2642" s="7" t="s">
        <v>24</v>
      </c>
      <c r="D2642" s="4">
        <v>27578434001525</v>
      </c>
      <c r="E2642" s="8" t="s">
        <v>1208</v>
      </c>
      <c r="F2642" s="8" t="s">
        <v>1157</v>
      </c>
      <c r="G2642" s="8" t="s">
        <v>98</v>
      </c>
      <c r="H2642" s="8" t="s">
        <v>215</v>
      </c>
      <c r="I2642" s="3">
        <v>1</v>
      </c>
      <c r="J2642" s="8" t="s">
        <v>159</v>
      </c>
      <c r="K2642" s="8" t="s">
        <v>160</v>
      </c>
      <c r="L2642" s="8" t="s">
        <v>740</v>
      </c>
      <c r="M2642" s="1" t="s">
        <v>205</v>
      </c>
      <c r="N2642" s="8" t="s">
        <v>206</v>
      </c>
      <c r="O2642" s="6">
        <v>0</v>
      </c>
      <c r="P2642" s="6">
        <v>0</v>
      </c>
      <c r="Q2642" s="6">
        <v>0</v>
      </c>
      <c r="R2642" s="6">
        <v>0</v>
      </c>
      <c r="S2642" s="6">
        <v>1500</v>
      </c>
    </row>
    <row r="2643" spans="1:19" ht="15" hidden="1" x14ac:dyDescent="0.25">
      <c r="A2643" s="7" t="s">
        <v>16</v>
      </c>
      <c r="B2643" s="7" t="s">
        <v>229</v>
      </c>
      <c r="C2643" s="7" t="s">
        <v>24</v>
      </c>
      <c r="D2643" s="4">
        <v>28137925000106</v>
      </c>
      <c r="E2643" s="8" t="s">
        <v>1210</v>
      </c>
      <c r="F2643" s="8" t="s">
        <v>1157</v>
      </c>
      <c r="G2643" s="8" t="s">
        <v>98</v>
      </c>
      <c r="H2643" s="8" t="s">
        <v>215</v>
      </c>
      <c r="I2643" s="3">
        <v>1</v>
      </c>
      <c r="J2643" s="8" t="s">
        <v>159</v>
      </c>
      <c r="K2643" s="8" t="s">
        <v>160</v>
      </c>
      <c r="L2643" s="8" t="s">
        <v>740</v>
      </c>
      <c r="M2643" s="1" t="s">
        <v>205</v>
      </c>
      <c r="N2643" s="8" t="s">
        <v>206</v>
      </c>
      <c r="O2643" s="6">
        <v>0</v>
      </c>
      <c r="P2643" s="6">
        <v>0</v>
      </c>
      <c r="Q2643" s="6">
        <v>0</v>
      </c>
      <c r="R2643" s="6">
        <v>0</v>
      </c>
      <c r="S2643" s="6">
        <v>150</v>
      </c>
    </row>
    <row r="2644" spans="1:19" ht="15" hidden="1" x14ac:dyDescent="0.25">
      <c r="A2644" s="7" t="s">
        <v>16</v>
      </c>
      <c r="B2644" s="7" t="s">
        <v>229</v>
      </c>
      <c r="C2644" s="7" t="s">
        <v>24</v>
      </c>
      <c r="D2644" s="4">
        <v>39387477000107</v>
      </c>
      <c r="E2644" s="8" t="s">
        <v>1218</v>
      </c>
      <c r="F2644" s="8" t="s">
        <v>1157</v>
      </c>
      <c r="G2644" s="8" t="s">
        <v>98</v>
      </c>
      <c r="H2644" s="8" t="s">
        <v>215</v>
      </c>
      <c r="I2644" s="3">
        <v>1</v>
      </c>
      <c r="J2644" s="8" t="s">
        <v>159</v>
      </c>
      <c r="K2644" s="8" t="s">
        <v>160</v>
      </c>
      <c r="L2644" s="8" t="s">
        <v>740</v>
      </c>
      <c r="M2644" s="1" t="s">
        <v>205</v>
      </c>
      <c r="N2644" s="8" t="s">
        <v>206</v>
      </c>
      <c r="O2644" s="6">
        <v>0</v>
      </c>
      <c r="P2644" s="6">
        <v>0</v>
      </c>
      <c r="Q2644" s="6">
        <v>0</v>
      </c>
      <c r="R2644" s="6">
        <v>0</v>
      </c>
      <c r="S2644" s="6">
        <v>375</v>
      </c>
    </row>
    <row r="2645" spans="1:19" ht="15" hidden="1" x14ac:dyDescent="0.25">
      <c r="A2645" s="7" t="s">
        <v>16</v>
      </c>
      <c r="B2645" s="7" t="s">
        <v>229</v>
      </c>
      <c r="C2645" s="7" t="s">
        <v>24</v>
      </c>
      <c r="D2645" s="4">
        <v>10586940000168</v>
      </c>
      <c r="E2645" s="8" t="s">
        <v>1156</v>
      </c>
      <c r="F2645" s="8" t="s">
        <v>1157</v>
      </c>
      <c r="G2645" s="8" t="s">
        <v>98</v>
      </c>
      <c r="H2645" s="8" t="s">
        <v>215</v>
      </c>
      <c r="I2645" s="3">
        <v>1</v>
      </c>
      <c r="J2645" s="8" t="s">
        <v>159</v>
      </c>
      <c r="K2645" s="8" t="s">
        <v>160</v>
      </c>
      <c r="L2645" s="8" t="s">
        <v>740</v>
      </c>
      <c r="M2645" s="1" t="s">
        <v>205</v>
      </c>
      <c r="N2645" s="8" t="s">
        <v>206</v>
      </c>
      <c r="O2645" s="6">
        <v>0</v>
      </c>
      <c r="P2645" s="6">
        <v>30</v>
      </c>
      <c r="Q2645" s="6">
        <v>0</v>
      </c>
      <c r="R2645" s="6">
        <v>80</v>
      </c>
      <c r="S2645" s="6">
        <v>0</v>
      </c>
    </row>
    <row r="2646" spans="1:19" ht="15" hidden="1" x14ac:dyDescent="0.25">
      <c r="A2646" s="7" t="s">
        <v>16</v>
      </c>
      <c r="B2646" s="7" t="s">
        <v>229</v>
      </c>
      <c r="C2646" s="7" t="s">
        <v>24</v>
      </c>
      <c r="D2646" s="4">
        <v>1326206000179</v>
      </c>
      <c r="E2646" s="8" t="s">
        <v>761</v>
      </c>
      <c r="F2646" s="8" t="s">
        <v>762</v>
      </c>
      <c r="G2646" s="8" t="s">
        <v>59</v>
      </c>
      <c r="H2646" s="8" t="s">
        <v>215</v>
      </c>
      <c r="I2646" s="3">
        <v>2</v>
      </c>
      <c r="J2646" s="8" t="s">
        <v>187</v>
      </c>
      <c r="K2646" s="8" t="s">
        <v>188</v>
      </c>
      <c r="L2646" s="8" t="s">
        <v>556</v>
      </c>
      <c r="M2646" s="1" t="s">
        <v>211</v>
      </c>
      <c r="N2646" s="8" t="s">
        <v>212</v>
      </c>
      <c r="O2646" s="6">
        <v>0</v>
      </c>
      <c r="P2646" s="6">
        <v>0</v>
      </c>
      <c r="Q2646" s="6">
        <v>0</v>
      </c>
      <c r="R2646" s="6">
        <v>26</v>
      </c>
      <c r="S2646" s="6">
        <v>0</v>
      </c>
    </row>
    <row r="2647" spans="1:19" ht="15" hidden="1" x14ac:dyDescent="0.25">
      <c r="A2647" s="7" t="s">
        <v>16</v>
      </c>
      <c r="B2647" s="7" t="s">
        <v>229</v>
      </c>
      <c r="C2647" s="7" t="s">
        <v>24</v>
      </c>
      <c r="D2647" s="4">
        <v>1326206000179</v>
      </c>
      <c r="E2647" s="8" t="s">
        <v>761</v>
      </c>
      <c r="F2647" s="8" t="s">
        <v>762</v>
      </c>
      <c r="G2647" s="8" t="s">
        <v>59</v>
      </c>
      <c r="H2647" s="8" t="s">
        <v>215</v>
      </c>
      <c r="I2647" s="3">
        <v>2</v>
      </c>
      <c r="J2647" s="8" t="s">
        <v>163</v>
      </c>
      <c r="K2647" s="8" t="s">
        <v>164</v>
      </c>
      <c r="L2647" s="8" t="s">
        <v>557</v>
      </c>
      <c r="M2647" s="1" t="s">
        <v>211</v>
      </c>
      <c r="N2647" s="8" t="s">
        <v>212</v>
      </c>
      <c r="O2647" s="6">
        <v>0</v>
      </c>
      <c r="P2647" s="6">
        <v>0</v>
      </c>
      <c r="Q2647" s="6">
        <v>0</v>
      </c>
      <c r="R2647" s="6">
        <v>0</v>
      </c>
      <c r="S2647" s="6">
        <v>0</v>
      </c>
    </row>
    <row r="2648" spans="1:19" ht="15" hidden="1" x14ac:dyDescent="0.25">
      <c r="A2648" s="7" t="s">
        <v>16</v>
      </c>
      <c r="B2648" s="7" t="s">
        <v>229</v>
      </c>
      <c r="C2648" s="7" t="s">
        <v>24</v>
      </c>
      <c r="D2648" s="4">
        <v>2476067000394</v>
      </c>
      <c r="E2648" s="8" t="s">
        <v>780</v>
      </c>
      <c r="F2648" s="8" t="s">
        <v>745</v>
      </c>
      <c r="G2648" s="8" t="s">
        <v>59</v>
      </c>
      <c r="H2648" s="8" t="s">
        <v>215</v>
      </c>
      <c r="I2648" s="3">
        <v>2</v>
      </c>
      <c r="J2648" s="8" t="s">
        <v>187</v>
      </c>
      <c r="K2648" s="8" t="s">
        <v>188</v>
      </c>
      <c r="L2648" s="8" t="s">
        <v>556</v>
      </c>
      <c r="M2648" s="1" t="s">
        <v>211</v>
      </c>
      <c r="N2648" s="8" t="s">
        <v>212</v>
      </c>
      <c r="O2648" s="6">
        <v>0</v>
      </c>
      <c r="P2648" s="6">
        <v>0</v>
      </c>
      <c r="Q2648" s="6">
        <v>0</v>
      </c>
      <c r="R2648" s="6">
        <v>0</v>
      </c>
      <c r="S2648" s="6">
        <v>135</v>
      </c>
    </row>
    <row r="2649" spans="1:19" ht="15" hidden="1" x14ac:dyDescent="0.25">
      <c r="A2649" s="7" t="s">
        <v>16</v>
      </c>
      <c r="B2649" s="7" t="s">
        <v>229</v>
      </c>
      <c r="C2649" s="7" t="s">
        <v>24</v>
      </c>
      <c r="D2649" s="4">
        <v>2476067000394</v>
      </c>
      <c r="E2649" s="8" t="s">
        <v>780</v>
      </c>
      <c r="F2649" s="8" t="s">
        <v>745</v>
      </c>
      <c r="G2649" s="8" t="s">
        <v>59</v>
      </c>
      <c r="H2649" s="8" t="s">
        <v>215</v>
      </c>
      <c r="I2649" s="3">
        <v>2</v>
      </c>
      <c r="J2649" s="8" t="s">
        <v>163</v>
      </c>
      <c r="K2649" s="8" t="s">
        <v>164</v>
      </c>
      <c r="L2649" s="8" t="s">
        <v>557</v>
      </c>
      <c r="M2649" s="1" t="s">
        <v>211</v>
      </c>
      <c r="N2649" s="8" t="s">
        <v>212</v>
      </c>
      <c r="O2649" s="6">
        <v>0</v>
      </c>
      <c r="P2649" s="6">
        <v>0</v>
      </c>
      <c r="Q2649" s="6">
        <v>0</v>
      </c>
      <c r="R2649" s="6">
        <v>0</v>
      </c>
      <c r="S2649" s="6">
        <v>135</v>
      </c>
    </row>
    <row r="2650" spans="1:19" ht="15" hidden="1" x14ac:dyDescent="0.25">
      <c r="A2650" s="7" t="s">
        <v>16</v>
      </c>
      <c r="B2650" s="7" t="s">
        <v>229</v>
      </c>
      <c r="C2650" s="7" t="s">
        <v>24</v>
      </c>
      <c r="D2650" s="4">
        <v>1277573000120</v>
      </c>
      <c r="E2650" s="8" t="s">
        <v>760</v>
      </c>
      <c r="F2650" s="8" t="s">
        <v>745</v>
      </c>
      <c r="G2650" s="8" t="s">
        <v>59</v>
      </c>
      <c r="H2650" s="8" t="s">
        <v>215</v>
      </c>
      <c r="I2650" s="3">
        <v>2</v>
      </c>
      <c r="J2650" s="8" t="s">
        <v>187</v>
      </c>
      <c r="K2650" s="8" t="s">
        <v>188</v>
      </c>
      <c r="L2650" s="8" t="s">
        <v>556</v>
      </c>
      <c r="M2650" s="1" t="s">
        <v>211</v>
      </c>
      <c r="N2650" s="8" t="s">
        <v>212</v>
      </c>
      <c r="O2650" s="6">
        <v>0</v>
      </c>
      <c r="P2650" s="6">
        <v>0</v>
      </c>
      <c r="Q2650" s="6">
        <v>0</v>
      </c>
      <c r="R2650" s="6">
        <v>0</v>
      </c>
      <c r="S2650" s="6">
        <v>0</v>
      </c>
    </row>
    <row r="2651" spans="1:19" ht="15" hidden="1" x14ac:dyDescent="0.25">
      <c r="A2651" s="7" t="s">
        <v>16</v>
      </c>
      <c r="B2651" s="7" t="s">
        <v>229</v>
      </c>
      <c r="C2651" s="7" t="s">
        <v>24</v>
      </c>
      <c r="D2651" s="4">
        <v>1277573000120</v>
      </c>
      <c r="E2651" s="8" t="s">
        <v>760</v>
      </c>
      <c r="F2651" s="8" t="s">
        <v>745</v>
      </c>
      <c r="G2651" s="8" t="s">
        <v>59</v>
      </c>
      <c r="H2651" s="8" t="s">
        <v>215</v>
      </c>
      <c r="I2651" s="3">
        <v>2</v>
      </c>
      <c r="J2651" s="8" t="s">
        <v>163</v>
      </c>
      <c r="K2651" s="8" t="s">
        <v>164</v>
      </c>
      <c r="L2651" s="8" t="s">
        <v>557</v>
      </c>
      <c r="M2651" s="1" t="s">
        <v>211</v>
      </c>
      <c r="N2651" s="8" t="s">
        <v>212</v>
      </c>
      <c r="O2651" s="6">
        <v>0</v>
      </c>
      <c r="P2651" s="6">
        <v>11</v>
      </c>
      <c r="Q2651" s="6">
        <v>0</v>
      </c>
      <c r="R2651" s="6">
        <v>0</v>
      </c>
      <c r="S2651" s="6">
        <v>0</v>
      </c>
    </row>
    <row r="2652" spans="1:19" ht="15" hidden="1" x14ac:dyDescent="0.25">
      <c r="A2652" s="7" t="s">
        <v>16</v>
      </c>
      <c r="B2652" s="7" t="s">
        <v>229</v>
      </c>
      <c r="C2652" s="7" t="s">
        <v>24</v>
      </c>
      <c r="D2652" s="4">
        <v>1011865000116</v>
      </c>
      <c r="E2652" s="8" t="s">
        <v>759</v>
      </c>
      <c r="F2652" s="8" t="s">
        <v>745</v>
      </c>
      <c r="G2652" s="8" t="s">
        <v>59</v>
      </c>
      <c r="H2652" s="8" t="s">
        <v>215</v>
      </c>
      <c r="I2652" s="3">
        <v>2</v>
      </c>
      <c r="J2652" s="8" t="s">
        <v>187</v>
      </c>
      <c r="K2652" s="8" t="s">
        <v>188</v>
      </c>
      <c r="L2652" s="8" t="s">
        <v>556</v>
      </c>
      <c r="M2652" s="1" t="s">
        <v>211</v>
      </c>
      <c r="N2652" s="8" t="s">
        <v>212</v>
      </c>
      <c r="O2652" s="6">
        <v>0</v>
      </c>
      <c r="P2652" s="6">
        <v>0</v>
      </c>
      <c r="Q2652" s="6">
        <v>0</v>
      </c>
      <c r="R2652" s="6">
        <v>0</v>
      </c>
      <c r="S2652" s="6">
        <v>450</v>
      </c>
    </row>
    <row r="2653" spans="1:19" ht="15" hidden="1" x14ac:dyDescent="0.25">
      <c r="A2653" s="7" t="s">
        <v>16</v>
      </c>
      <c r="B2653" s="7" t="s">
        <v>229</v>
      </c>
      <c r="C2653" s="7" t="s">
        <v>24</v>
      </c>
      <c r="D2653" s="4">
        <v>1011865000116</v>
      </c>
      <c r="E2653" s="8" t="s">
        <v>759</v>
      </c>
      <c r="F2653" s="8" t="s">
        <v>745</v>
      </c>
      <c r="G2653" s="8" t="s">
        <v>59</v>
      </c>
      <c r="H2653" s="8" t="s">
        <v>215</v>
      </c>
      <c r="I2653" s="3">
        <v>2</v>
      </c>
      <c r="J2653" s="8" t="s">
        <v>163</v>
      </c>
      <c r="K2653" s="8" t="s">
        <v>164</v>
      </c>
      <c r="L2653" s="8" t="s">
        <v>557</v>
      </c>
      <c r="M2653" s="1" t="s">
        <v>211</v>
      </c>
      <c r="N2653" s="8" t="s">
        <v>212</v>
      </c>
      <c r="O2653" s="6">
        <v>0</v>
      </c>
      <c r="P2653" s="6">
        <v>0</v>
      </c>
      <c r="Q2653" s="6">
        <v>0</v>
      </c>
      <c r="R2653" s="6">
        <v>0</v>
      </c>
      <c r="S2653" s="6">
        <v>450</v>
      </c>
    </row>
    <row r="2654" spans="1:19" ht="15" hidden="1" x14ac:dyDescent="0.25">
      <c r="A2654" s="7" t="s">
        <v>16</v>
      </c>
      <c r="B2654" s="7" t="s">
        <v>229</v>
      </c>
      <c r="C2654" s="7" t="s">
        <v>24</v>
      </c>
      <c r="D2654" s="4">
        <v>27456372000183</v>
      </c>
      <c r="E2654" s="8" t="s">
        <v>909</v>
      </c>
      <c r="F2654" s="8" t="s">
        <v>745</v>
      </c>
      <c r="G2654" s="8" t="s">
        <v>59</v>
      </c>
      <c r="H2654" s="8" t="s">
        <v>215</v>
      </c>
      <c r="I2654" s="3">
        <v>2</v>
      </c>
      <c r="J2654" s="8" t="s">
        <v>187</v>
      </c>
      <c r="K2654" s="8" t="s">
        <v>188</v>
      </c>
      <c r="L2654" s="8" t="s">
        <v>556</v>
      </c>
      <c r="M2654" s="1" t="s">
        <v>211</v>
      </c>
      <c r="N2654" s="8" t="s">
        <v>212</v>
      </c>
      <c r="O2654" s="6">
        <v>0</v>
      </c>
      <c r="P2654" s="6">
        <v>0</v>
      </c>
      <c r="Q2654" s="6">
        <v>0</v>
      </c>
      <c r="R2654" s="6">
        <v>0</v>
      </c>
      <c r="S2654" s="6">
        <v>0</v>
      </c>
    </row>
    <row r="2655" spans="1:19" ht="15" hidden="1" x14ac:dyDescent="0.25">
      <c r="A2655" s="7" t="s">
        <v>16</v>
      </c>
      <c r="B2655" s="7" t="s">
        <v>229</v>
      </c>
      <c r="C2655" s="7" t="s">
        <v>24</v>
      </c>
      <c r="D2655" s="4">
        <v>27456372000183</v>
      </c>
      <c r="E2655" s="8" t="s">
        <v>909</v>
      </c>
      <c r="F2655" s="8" t="s">
        <v>745</v>
      </c>
      <c r="G2655" s="8" t="s">
        <v>59</v>
      </c>
      <c r="H2655" s="8" t="s">
        <v>215</v>
      </c>
      <c r="I2655" s="3">
        <v>2</v>
      </c>
      <c r="J2655" s="8" t="s">
        <v>163</v>
      </c>
      <c r="K2655" s="8" t="s">
        <v>164</v>
      </c>
      <c r="L2655" s="8" t="s">
        <v>557</v>
      </c>
      <c r="M2655" s="1" t="s">
        <v>211</v>
      </c>
      <c r="N2655" s="8" t="s">
        <v>212</v>
      </c>
      <c r="O2655" s="6">
        <v>0</v>
      </c>
      <c r="P2655" s="6">
        <v>2</v>
      </c>
      <c r="Q2655" s="6">
        <v>0</v>
      </c>
      <c r="R2655" s="6">
        <v>0</v>
      </c>
      <c r="S2655" s="6">
        <v>0</v>
      </c>
    </row>
    <row r="2656" spans="1:19" ht="15" hidden="1" x14ac:dyDescent="0.25">
      <c r="A2656" s="7" t="s">
        <v>16</v>
      </c>
      <c r="B2656" s="7" t="s">
        <v>229</v>
      </c>
      <c r="C2656" s="7" t="s">
        <v>24</v>
      </c>
      <c r="D2656" s="4">
        <v>2476067000203</v>
      </c>
      <c r="E2656" s="8" t="s">
        <v>779</v>
      </c>
      <c r="F2656" s="8" t="s">
        <v>745</v>
      </c>
      <c r="G2656" s="8" t="s">
        <v>59</v>
      </c>
      <c r="H2656" s="8" t="s">
        <v>215</v>
      </c>
      <c r="I2656" s="3">
        <v>2</v>
      </c>
      <c r="J2656" s="8" t="s">
        <v>187</v>
      </c>
      <c r="K2656" s="8" t="s">
        <v>188</v>
      </c>
      <c r="L2656" s="8" t="s">
        <v>556</v>
      </c>
      <c r="M2656" s="1" t="s">
        <v>211</v>
      </c>
      <c r="N2656" s="8" t="s">
        <v>212</v>
      </c>
      <c r="O2656" s="6">
        <v>0</v>
      </c>
      <c r="P2656" s="6">
        <v>0</v>
      </c>
      <c r="Q2656" s="6">
        <v>0</v>
      </c>
      <c r="R2656" s="6">
        <v>58</v>
      </c>
      <c r="S2656" s="6">
        <v>0</v>
      </c>
    </row>
    <row r="2657" spans="1:19" ht="15" hidden="1" x14ac:dyDescent="0.25">
      <c r="A2657" s="7" t="s">
        <v>16</v>
      </c>
      <c r="B2657" s="7" t="s">
        <v>229</v>
      </c>
      <c r="C2657" s="7" t="s">
        <v>24</v>
      </c>
      <c r="D2657" s="4">
        <v>2476067000203</v>
      </c>
      <c r="E2657" s="8" t="s">
        <v>779</v>
      </c>
      <c r="F2657" s="8" t="s">
        <v>745</v>
      </c>
      <c r="G2657" s="8" t="s">
        <v>59</v>
      </c>
      <c r="H2657" s="8" t="s">
        <v>215</v>
      </c>
      <c r="I2657" s="3">
        <v>2</v>
      </c>
      <c r="J2657" s="8" t="s">
        <v>163</v>
      </c>
      <c r="K2657" s="8" t="s">
        <v>164</v>
      </c>
      <c r="L2657" s="8" t="s">
        <v>557</v>
      </c>
      <c r="M2657" s="1" t="s">
        <v>211</v>
      </c>
      <c r="N2657" s="8" t="s">
        <v>212</v>
      </c>
      <c r="O2657" s="6">
        <v>0</v>
      </c>
      <c r="P2657" s="6">
        <v>0</v>
      </c>
      <c r="Q2657" s="6">
        <v>0</v>
      </c>
      <c r="R2657" s="6">
        <v>0</v>
      </c>
      <c r="S2657" s="6">
        <v>0</v>
      </c>
    </row>
    <row r="2658" spans="1:19" ht="15" hidden="1" x14ac:dyDescent="0.25">
      <c r="A2658" s="7" t="s">
        <v>16</v>
      </c>
      <c r="B2658" s="7" t="s">
        <v>229</v>
      </c>
      <c r="C2658" s="7" t="s">
        <v>24</v>
      </c>
      <c r="D2658" s="4">
        <v>12361267000789</v>
      </c>
      <c r="E2658" s="8" t="s">
        <v>850</v>
      </c>
      <c r="F2658" s="8" t="s">
        <v>777</v>
      </c>
      <c r="G2658" s="8" t="s">
        <v>72</v>
      </c>
      <c r="H2658" s="8" t="s">
        <v>215</v>
      </c>
      <c r="I2658" s="3">
        <v>2</v>
      </c>
      <c r="J2658" s="8" t="s">
        <v>165</v>
      </c>
      <c r="K2658" s="8" t="s">
        <v>166</v>
      </c>
      <c r="L2658" s="8" t="s">
        <v>557</v>
      </c>
      <c r="M2658" s="1" t="s">
        <v>211</v>
      </c>
      <c r="N2658" s="8" t="s">
        <v>212</v>
      </c>
      <c r="O2658" s="6">
        <v>0</v>
      </c>
      <c r="P2658" s="6">
        <v>-2</v>
      </c>
      <c r="Q2658" s="6">
        <v>2</v>
      </c>
      <c r="R2658" s="6">
        <v>0</v>
      </c>
      <c r="S2658" s="6">
        <v>20</v>
      </c>
    </row>
    <row r="2659" spans="1:19" ht="15" hidden="1" x14ac:dyDescent="0.25">
      <c r="A2659" s="7" t="s">
        <v>16</v>
      </c>
      <c r="B2659" s="7" t="s">
        <v>229</v>
      </c>
      <c r="C2659" s="7" t="s">
        <v>24</v>
      </c>
      <c r="D2659" s="4">
        <v>12361267000789</v>
      </c>
      <c r="E2659" s="8" t="s">
        <v>850</v>
      </c>
      <c r="F2659" s="8" t="s">
        <v>777</v>
      </c>
      <c r="G2659" s="8" t="s">
        <v>72</v>
      </c>
      <c r="H2659" s="8" t="s">
        <v>215</v>
      </c>
      <c r="I2659" s="3">
        <v>2</v>
      </c>
      <c r="J2659" s="8" t="s">
        <v>201</v>
      </c>
      <c r="K2659" s="8" t="s">
        <v>202</v>
      </c>
      <c r="L2659" s="8" t="s">
        <v>740</v>
      </c>
      <c r="M2659" s="1" t="s">
        <v>211</v>
      </c>
      <c r="N2659" s="8" t="s">
        <v>212</v>
      </c>
      <c r="O2659" s="6">
        <v>0</v>
      </c>
      <c r="P2659" s="6">
        <v>0</v>
      </c>
      <c r="Q2659" s="6">
        <v>0</v>
      </c>
      <c r="R2659" s="6">
        <v>0</v>
      </c>
      <c r="S2659" s="6">
        <v>20</v>
      </c>
    </row>
    <row r="2660" spans="1:19" ht="15" hidden="1" x14ac:dyDescent="0.25">
      <c r="A2660" s="7" t="s">
        <v>16</v>
      </c>
      <c r="B2660" s="7" t="s">
        <v>229</v>
      </c>
      <c r="C2660" s="7" t="s">
        <v>24</v>
      </c>
      <c r="D2660" s="4">
        <v>11006293000130</v>
      </c>
      <c r="E2660" s="8" t="s">
        <v>838</v>
      </c>
      <c r="F2660" s="8" t="s">
        <v>777</v>
      </c>
      <c r="G2660" s="8" t="s">
        <v>72</v>
      </c>
      <c r="H2660" s="8" t="s">
        <v>215</v>
      </c>
      <c r="I2660" s="3">
        <v>2</v>
      </c>
      <c r="J2660" s="8" t="s">
        <v>165</v>
      </c>
      <c r="K2660" s="8" t="s">
        <v>166</v>
      </c>
      <c r="L2660" s="8" t="s">
        <v>557</v>
      </c>
      <c r="M2660" s="1" t="s">
        <v>211</v>
      </c>
      <c r="N2660" s="8" t="s">
        <v>212</v>
      </c>
      <c r="O2660" s="6">
        <v>0</v>
      </c>
      <c r="P2660" s="6">
        <v>0</v>
      </c>
      <c r="Q2660" s="6">
        <v>1</v>
      </c>
      <c r="R2660" s="6">
        <v>0</v>
      </c>
      <c r="S2660" s="6">
        <v>500</v>
      </c>
    </row>
    <row r="2661" spans="1:19" ht="15" hidden="1" x14ac:dyDescent="0.25">
      <c r="A2661" s="7" t="s">
        <v>16</v>
      </c>
      <c r="B2661" s="7" t="s">
        <v>229</v>
      </c>
      <c r="C2661" s="7" t="s">
        <v>24</v>
      </c>
      <c r="D2661" s="4">
        <v>11006293000130</v>
      </c>
      <c r="E2661" s="8" t="s">
        <v>838</v>
      </c>
      <c r="F2661" s="8" t="s">
        <v>777</v>
      </c>
      <c r="G2661" s="8" t="s">
        <v>72</v>
      </c>
      <c r="H2661" s="8" t="s">
        <v>215</v>
      </c>
      <c r="I2661" s="3">
        <v>2</v>
      </c>
      <c r="J2661" s="8" t="s">
        <v>201</v>
      </c>
      <c r="K2661" s="8" t="s">
        <v>202</v>
      </c>
      <c r="L2661" s="8" t="s">
        <v>740</v>
      </c>
      <c r="M2661" s="1" t="s">
        <v>211</v>
      </c>
      <c r="N2661" s="8" t="s">
        <v>212</v>
      </c>
      <c r="O2661" s="6">
        <v>0</v>
      </c>
      <c r="P2661" s="6">
        <v>0</v>
      </c>
      <c r="Q2661" s="6">
        <v>0</v>
      </c>
      <c r="R2661" s="6">
        <v>0</v>
      </c>
      <c r="S2661" s="6">
        <v>500</v>
      </c>
    </row>
    <row r="2662" spans="1:19" ht="15" hidden="1" x14ac:dyDescent="0.25">
      <c r="A2662" s="7" t="s">
        <v>16</v>
      </c>
      <c r="B2662" s="7" t="s">
        <v>229</v>
      </c>
      <c r="C2662" s="7" t="s">
        <v>24</v>
      </c>
      <c r="D2662" s="4">
        <v>2284062001170</v>
      </c>
      <c r="E2662" s="8" t="s">
        <v>776</v>
      </c>
      <c r="F2662" s="8" t="s">
        <v>777</v>
      </c>
      <c r="G2662" s="8" t="s">
        <v>72</v>
      </c>
      <c r="H2662" s="8" t="s">
        <v>215</v>
      </c>
      <c r="I2662" s="3">
        <v>2</v>
      </c>
      <c r="J2662" s="8" t="s">
        <v>165</v>
      </c>
      <c r="K2662" s="8" t="s">
        <v>166</v>
      </c>
      <c r="L2662" s="8" t="s">
        <v>557</v>
      </c>
      <c r="M2662" s="1" t="s">
        <v>211</v>
      </c>
      <c r="N2662" s="8" t="s">
        <v>212</v>
      </c>
      <c r="O2662" s="6">
        <v>0</v>
      </c>
      <c r="P2662" s="6">
        <v>2</v>
      </c>
      <c r="Q2662" s="6">
        <v>0</v>
      </c>
      <c r="R2662" s="6">
        <v>0</v>
      </c>
      <c r="S2662" s="6">
        <v>0</v>
      </c>
    </row>
    <row r="2663" spans="1:19" ht="15" hidden="1" x14ac:dyDescent="0.25">
      <c r="A2663" s="7" t="s">
        <v>16</v>
      </c>
      <c r="B2663" s="7" t="s">
        <v>229</v>
      </c>
      <c r="C2663" s="7" t="s">
        <v>24</v>
      </c>
      <c r="D2663" s="4">
        <v>2284062001170</v>
      </c>
      <c r="E2663" s="8" t="s">
        <v>776</v>
      </c>
      <c r="F2663" s="8" t="s">
        <v>777</v>
      </c>
      <c r="G2663" s="8" t="s">
        <v>72</v>
      </c>
      <c r="H2663" s="8" t="s">
        <v>215</v>
      </c>
      <c r="I2663" s="3">
        <v>2</v>
      </c>
      <c r="J2663" s="8" t="s">
        <v>201</v>
      </c>
      <c r="K2663" s="8" t="s">
        <v>202</v>
      </c>
      <c r="L2663" s="8" t="s">
        <v>740</v>
      </c>
      <c r="M2663" s="1" t="s">
        <v>211</v>
      </c>
      <c r="N2663" s="8" t="s">
        <v>212</v>
      </c>
      <c r="O2663" s="6">
        <v>0</v>
      </c>
      <c r="P2663" s="6">
        <v>0</v>
      </c>
      <c r="Q2663" s="6">
        <v>0</v>
      </c>
      <c r="R2663" s="6">
        <v>0</v>
      </c>
      <c r="S2663" s="6">
        <v>0</v>
      </c>
    </row>
    <row r="2664" spans="1:19" ht="15" hidden="1" x14ac:dyDescent="0.25">
      <c r="A2664" s="7" t="s">
        <v>16</v>
      </c>
      <c r="B2664" s="7" t="s">
        <v>229</v>
      </c>
      <c r="C2664" s="7" t="s">
        <v>24</v>
      </c>
      <c r="D2664" s="4">
        <v>20909271000171</v>
      </c>
      <c r="E2664" s="8" t="s">
        <v>1189</v>
      </c>
      <c r="F2664" s="8" t="s">
        <v>101</v>
      </c>
      <c r="G2664" s="8" t="s">
        <v>54</v>
      </c>
      <c r="H2664" s="8" t="s">
        <v>215</v>
      </c>
      <c r="I2664" s="3">
        <v>1</v>
      </c>
      <c r="J2664" s="8" t="s">
        <v>159</v>
      </c>
      <c r="K2664" s="8" t="s">
        <v>160</v>
      </c>
      <c r="L2664" s="8" t="s">
        <v>740</v>
      </c>
      <c r="M2664" s="1" t="s">
        <v>205</v>
      </c>
      <c r="N2664" s="8" t="s">
        <v>206</v>
      </c>
      <c r="O2664" s="6">
        <v>0</v>
      </c>
      <c r="P2664" s="6">
        <v>0</v>
      </c>
      <c r="Q2664" s="6">
        <v>0</v>
      </c>
      <c r="R2664" s="6">
        <v>40</v>
      </c>
      <c r="S2664" s="6">
        <v>0</v>
      </c>
    </row>
    <row r="2665" spans="1:19" ht="15" hidden="1" x14ac:dyDescent="0.25">
      <c r="A2665" s="7" t="s">
        <v>16</v>
      </c>
      <c r="B2665" s="7" t="s">
        <v>229</v>
      </c>
      <c r="C2665" s="7" t="s">
        <v>24</v>
      </c>
      <c r="D2665" s="4">
        <v>19843929001697</v>
      </c>
      <c r="E2665" s="8" t="s">
        <v>1182</v>
      </c>
      <c r="F2665" s="8" t="s">
        <v>539</v>
      </c>
      <c r="G2665" s="8" t="s">
        <v>54</v>
      </c>
      <c r="H2665" s="8" t="s">
        <v>215</v>
      </c>
      <c r="I2665" s="3">
        <v>1</v>
      </c>
      <c r="J2665" s="8" t="s">
        <v>159</v>
      </c>
      <c r="K2665" s="8" t="s">
        <v>160</v>
      </c>
      <c r="L2665" s="8" t="s">
        <v>740</v>
      </c>
      <c r="M2665" s="1" t="s">
        <v>205</v>
      </c>
      <c r="N2665" s="8" t="s">
        <v>206</v>
      </c>
      <c r="O2665" s="6">
        <v>0</v>
      </c>
      <c r="P2665" s="6">
        <v>0</v>
      </c>
      <c r="Q2665" s="6">
        <v>0</v>
      </c>
      <c r="R2665" s="6">
        <v>0</v>
      </c>
      <c r="S2665" s="6">
        <v>125</v>
      </c>
    </row>
    <row r="2666" spans="1:19" ht="15" hidden="1" x14ac:dyDescent="0.25">
      <c r="A2666" s="7" t="s">
        <v>16</v>
      </c>
      <c r="B2666" s="7" t="s">
        <v>229</v>
      </c>
      <c r="C2666" s="7" t="s">
        <v>24</v>
      </c>
      <c r="D2666" s="4">
        <v>17214149000176</v>
      </c>
      <c r="E2666" s="8" t="s">
        <v>1172</v>
      </c>
      <c r="F2666" s="8" t="s">
        <v>58</v>
      </c>
      <c r="G2666" s="8" t="s">
        <v>54</v>
      </c>
      <c r="H2666" s="8" t="s">
        <v>215</v>
      </c>
      <c r="I2666" s="3">
        <v>1</v>
      </c>
      <c r="J2666" s="8" t="s">
        <v>159</v>
      </c>
      <c r="K2666" s="8" t="s">
        <v>160</v>
      </c>
      <c r="L2666" s="8" t="s">
        <v>740</v>
      </c>
      <c r="M2666" s="1" t="s">
        <v>205</v>
      </c>
      <c r="N2666" s="8" t="s">
        <v>206</v>
      </c>
      <c r="O2666" s="6">
        <v>0</v>
      </c>
      <c r="P2666" s="6">
        <v>0</v>
      </c>
      <c r="Q2666" s="6">
        <v>22</v>
      </c>
      <c r="R2666" s="6">
        <v>0</v>
      </c>
      <c r="S2666" s="6">
        <v>0</v>
      </c>
    </row>
    <row r="2667" spans="1:19" ht="15" hidden="1" x14ac:dyDescent="0.25">
      <c r="A2667" s="7" t="s">
        <v>16</v>
      </c>
      <c r="B2667" s="7" t="s">
        <v>229</v>
      </c>
      <c r="C2667" s="7" t="s">
        <v>24</v>
      </c>
      <c r="D2667" s="4">
        <v>410960000120</v>
      </c>
      <c r="E2667" s="8" t="s">
        <v>1137</v>
      </c>
      <c r="F2667" s="8" t="s">
        <v>58</v>
      </c>
      <c r="G2667" s="8" t="s">
        <v>54</v>
      </c>
      <c r="H2667" s="8" t="s">
        <v>215</v>
      </c>
      <c r="I2667" s="3">
        <v>1</v>
      </c>
      <c r="J2667" s="8" t="s">
        <v>159</v>
      </c>
      <c r="K2667" s="8" t="s">
        <v>160</v>
      </c>
      <c r="L2667" s="8" t="s">
        <v>740</v>
      </c>
      <c r="M2667" s="1" t="s">
        <v>205</v>
      </c>
      <c r="N2667" s="8" t="s">
        <v>206</v>
      </c>
      <c r="O2667" s="6">
        <v>0</v>
      </c>
      <c r="P2667" s="6">
        <v>0</v>
      </c>
      <c r="Q2667" s="6">
        <v>0</v>
      </c>
      <c r="R2667" s="6">
        <v>32</v>
      </c>
      <c r="S2667" s="6">
        <v>1050</v>
      </c>
    </row>
    <row r="2668" spans="1:19" ht="15" hidden="1" x14ac:dyDescent="0.25">
      <c r="A2668" s="7" t="s">
        <v>16</v>
      </c>
      <c r="B2668" s="7" t="s">
        <v>229</v>
      </c>
      <c r="C2668" s="7" t="s">
        <v>24</v>
      </c>
      <c r="D2668" s="4">
        <v>19843929001182</v>
      </c>
      <c r="E2668" s="8" t="s">
        <v>1180</v>
      </c>
      <c r="F2668" s="8" t="s">
        <v>58</v>
      </c>
      <c r="G2668" s="8" t="s">
        <v>54</v>
      </c>
      <c r="H2668" s="8" t="s">
        <v>215</v>
      </c>
      <c r="I2668" s="3">
        <v>1</v>
      </c>
      <c r="J2668" s="8" t="s">
        <v>159</v>
      </c>
      <c r="K2668" s="8" t="s">
        <v>160</v>
      </c>
      <c r="L2668" s="8" t="s">
        <v>740</v>
      </c>
      <c r="M2668" s="1" t="s">
        <v>205</v>
      </c>
      <c r="N2668" s="8" t="s">
        <v>206</v>
      </c>
      <c r="O2668" s="6">
        <v>0</v>
      </c>
      <c r="P2668" s="6">
        <v>0</v>
      </c>
      <c r="Q2668" s="6">
        <v>0</v>
      </c>
      <c r="R2668" s="6">
        <v>0</v>
      </c>
      <c r="S2668" s="6">
        <v>405</v>
      </c>
    </row>
    <row r="2669" spans="1:19" ht="15" hidden="1" x14ac:dyDescent="0.25">
      <c r="A2669" s="7" t="s">
        <v>16</v>
      </c>
      <c r="B2669" s="7" t="s">
        <v>229</v>
      </c>
      <c r="C2669" s="7" t="s">
        <v>24</v>
      </c>
      <c r="D2669" s="4">
        <v>19843929001344</v>
      </c>
      <c r="E2669" s="8" t="s">
        <v>1303</v>
      </c>
      <c r="F2669" s="8" t="s">
        <v>58</v>
      </c>
      <c r="G2669" s="8" t="s">
        <v>54</v>
      </c>
      <c r="H2669" s="8" t="s">
        <v>215</v>
      </c>
      <c r="I2669" s="3">
        <v>1</v>
      </c>
      <c r="J2669" s="8" t="s">
        <v>159</v>
      </c>
      <c r="K2669" s="8" t="s">
        <v>160</v>
      </c>
      <c r="L2669" s="8" t="s">
        <v>740</v>
      </c>
      <c r="M2669" s="1" t="s">
        <v>205</v>
      </c>
      <c r="N2669" s="8" t="s">
        <v>206</v>
      </c>
      <c r="O2669" s="6">
        <v>0</v>
      </c>
      <c r="P2669" s="6">
        <v>0</v>
      </c>
      <c r="Q2669" s="6">
        <v>0</v>
      </c>
      <c r="R2669" s="6">
        <v>0</v>
      </c>
      <c r="S2669" s="6">
        <v>125</v>
      </c>
    </row>
    <row r="2670" spans="1:19" ht="15" hidden="1" x14ac:dyDescent="0.25">
      <c r="A2670" s="7" t="s">
        <v>16</v>
      </c>
      <c r="B2670" s="7" t="s">
        <v>229</v>
      </c>
      <c r="C2670" s="7" t="s">
        <v>24</v>
      </c>
      <c r="D2670" s="4">
        <v>19843929002820</v>
      </c>
      <c r="E2670" s="8" t="s">
        <v>1183</v>
      </c>
      <c r="F2670" s="8" t="s">
        <v>58</v>
      </c>
      <c r="G2670" s="8" t="s">
        <v>54</v>
      </c>
      <c r="H2670" s="8" t="s">
        <v>215</v>
      </c>
      <c r="I2670" s="3">
        <v>1</v>
      </c>
      <c r="J2670" s="8" t="s">
        <v>159</v>
      </c>
      <c r="K2670" s="8" t="s">
        <v>160</v>
      </c>
      <c r="L2670" s="8" t="s">
        <v>740</v>
      </c>
      <c r="M2670" s="1" t="s">
        <v>205</v>
      </c>
      <c r="N2670" s="8" t="s">
        <v>206</v>
      </c>
      <c r="O2670" s="6">
        <v>0</v>
      </c>
      <c r="P2670" s="6">
        <v>0</v>
      </c>
      <c r="Q2670" s="6">
        <v>0</v>
      </c>
      <c r="R2670" s="6">
        <v>0</v>
      </c>
      <c r="S2670" s="6">
        <v>1170</v>
      </c>
    </row>
    <row r="2671" spans="1:19" ht="15" hidden="1" x14ac:dyDescent="0.25">
      <c r="A2671" s="7" t="s">
        <v>16</v>
      </c>
      <c r="B2671" s="7" t="s">
        <v>229</v>
      </c>
      <c r="C2671" s="7" t="s">
        <v>24</v>
      </c>
      <c r="D2671" s="4">
        <v>60194990000844</v>
      </c>
      <c r="E2671" s="8" t="s">
        <v>1231</v>
      </c>
      <c r="F2671" s="8" t="s">
        <v>58</v>
      </c>
      <c r="G2671" s="8" t="s">
        <v>54</v>
      </c>
      <c r="H2671" s="8" t="s">
        <v>215</v>
      </c>
      <c r="I2671" s="3">
        <v>1</v>
      </c>
      <c r="J2671" s="8" t="s">
        <v>159</v>
      </c>
      <c r="K2671" s="8" t="s">
        <v>160</v>
      </c>
      <c r="L2671" s="8" t="s">
        <v>740</v>
      </c>
      <c r="M2671" s="1" t="s">
        <v>205</v>
      </c>
      <c r="N2671" s="8" t="s">
        <v>206</v>
      </c>
      <c r="O2671" s="6">
        <v>0</v>
      </c>
      <c r="P2671" s="6">
        <v>0</v>
      </c>
      <c r="Q2671" s="6">
        <v>6</v>
      </c>
      <c r="R2671" s="6">
        <v>0</v>
      </c>
      <c r="S2671" s="6">
        <v>0</v>
      </c>
    </row>
    <row r="2672" spans="1:19" ht="15" hidden="1" x14ac:dyDescent="0.25">
      <c r="A2672" s="7" t="s">
        <v>16</v>
      </c>
      <c r="B2672" s="7" t="s">
        <v>229</v>
      </c>
      <c r="C2672" s="7" t="s">
        <v>24</v>
      </c>
      <c r="D2672" s="4">
        <v>2623693000102</v>
      </c>
      <c r="E2672" s="8" t="s">
        <v>1142</v>
      </c>
      <c r="F2672" s="8" t="s">
        <v>58</v>
      </c>
      <c r="G2672" s="8" t="s">
        <v>54</v>
      </c>
      <c r="H2672" s="8" t="s">
        <v>215</v>
      </c>
      <c r="I2672" s="3">
        <v>1</v>
      </c>
      <c r="J2672" s="8" t="s">
        <v>159</v>
      </c>
      <c r="K2672" s="8" t="s">
        <v>160</v>
      </c>
      <c r="L2672" s="8" t="s">
        <v>740</v>
      </c>
      <c r="M2672" s="1" t="s">
        <v>205</v>
      </c>
      <c r="N2672" s="8" t="s">
        <v>206</v>
      </c>
      <c r="O2672" s="6">
        <v>0</v>
      </c>
      <c r="P2672" s="6">
        <v>0</v>
      </c>
      <c r="Q2672" s="6">
        <v>0</v>
      </c>
      <c r="R2672" s="6">
        <v>0</v>
      </c>
      <c r="S2672" s="6">
        <v>20</v>
      </c>
    </row>
    <row r="2673" spans="1:19" ht="15" hidden="1" x14ac:dyDescent="0.25">
      <c r="A2673" s="7" t="s">
        <v>16</v>
      </c>
      <c r="B2673" s="7" t="s">
        <v>229</v>
      </c>
      <c r="C2673" s="7" t="s">
        <v>24</v>
      </c>
      <c r="D2673" s="4">
        <v>132229000180</v>
      </c>
      <c r="E2673" s="8" t="s">
        <v>1135</v>
      </c>
      <c r="F2673" s="8" t="s">
        <v>58</v>
      </c>
      <c r="G2673" s="8" t="s">
        <v>54</v>
      </c>
      <c r="H2673" s="8" t="s">
        <v>215</v>
      </c>
      <c r="I2673" s="3">
        <v>1</v>
      </c>
      <c r="J2673" s="8" t="s">
        <v>159</v>
      </c>
      <c r="K2673" s="8" t="s">
        <v>160</v>
      </c>
      <c r="L2673" s="8" t="s">
        <v>740</v>
      </c>
      <c r="M2673" s="1" t="s">
        <v>205</v>
      </c>
      <c r="N2673" s="8" t="s">
        <v>206</v>
      </c>
      <c r="O2673" s="6">
        <v>0</v>
      </c>
      <c r="P2673" s="6">
        <v>0</v>
      </c>
      <c r="Q2673" s="6">
        <v>0</v>
      </c>
      <c r="R2673" s="6">
        <v>0</v>
      </c>
      <c r="S2673" s="6">
        <v>25</v>
      </c>
    </row>
    <row r="2674" spans="1:19" ht="15" hidden="1" x14ac:dyDescent="0.25">
      <c r="A2674" s="7" t="s">
        <v>16</v>
      </c>
      <c r="B2674" s="7" t="s">
        <v>229</v>
      </c>
      <c r="C2674" s="7" t="s">
        <v>24</v>
      </c>
      <c r="D2674" s="4">
        <v>19130186000121</v>
      </c>
      <c r="E2674" s="8" t="s">
        <v>1300</v>
      </c>
      <c r="F2674" s="8" t="s">
        <v>1301</v>
      </c>
      <c r="G2674" s="8" t="s">
        <v>54</v>
      </c>
      <c r="H2674" s="8" t="s">
        <v>215</v>
      </c>
      <c r="I2674" s="3">
        <v>1</v>
      </c>
      <c r="J2674" s="8" t="s">
        <v>159</v>
      </c>
      <c r="K2674" s="8" t="s">
        <v>160</v>
      </c>
      <c r="L2674" s="8" t="s">
        <v>740</v>
      </c>
      <c r="M2674" s="1" t="s">
        <v>205</v>
      </c>
      <c r="N2674" s="8" t="s">
        <v>206</v>
      </c>
      <c r="O2674" s="6">
        <v>0</v>
      </c>
      <c r="P2674" s="6">
        <v>0</v>
      </c>
      <c r="Q2674" s="6">
        <v>0</v>
      </c>
      <c r="R2674" s="6">
        <v>0</v>
      </c>
      <c r="S2674" s="6">
        <v>5</v>
      </c>
    </row>
    <row r="2675" spans="1:19" ht="15" hidden="1" x14ac:dyDescent="0.25">
      <c r="A2675" s="7" t="s">
        <v>16</v>
      </c>
      <c r="B2675" s="7" t="s">
        <v>229</v>
      </c>
      <c r="C2675" s="7" t="s">
        <v>24</v>
      </c>
      <c r="D2675" s="4">
        <v>20622890000180</v>
      </c>
      <c r="E2675" s="8" t="s">
        <v>1187</v>
      </c>
      <c r="F2675" s="8" t="s">
        <v>1188</v>
      </c>
      <c r="G2675" s="8" t="s">
        <v>54</v>
      </c>
      <c r="H2675" s="8" t="s">
        <v>215</v>
      </c>
      <c r="I2675" s="3">
        <v>1</v>
      </c>
      <c r="J2675" s="8" t="s">
        <v>159</v>
      </c>
      <c r="K2675" s="8" t="s">
        <v>160</v>
      </c>
      <c r="L2675" s="8" t="s">
        <v>740</v>
      </c>
      <c r="M2675" s="1" t="s">
        <v>205</v>
      </c>
      <c r="N2675" s="8" t="s">
        <v>206</v>
      </c>
      <c r="O2675" s="6">
        <v>0</v>
      </c>
      <c r="P2675" s="6">
        <v>0</v>
      </c>
      <c r="Q2675" s="6">
        <v>0</v>
      </c>
      <c r="R2675" s="6">
        <v>0</v>
      </c>
      <c r="S2675" s="6">
        <v>325</v>
      </c>
    </row>
    <row r="2676" spans="1:19" ht="15" hidden="1" x14ac:dyDescent="0.25">
      <c r="A2676" s="7" t="s">
        <v>16</v>
      </c>
      <c r="B2676" s="7" t="s">
        <v>229</v>
      </c>
      <c r="C2676" s="7" t="s">
        <v>24</v>
      </c>
      <c r="D2676" s="4">
        <v>19878404000100</v>
      </c>
      <c r="E2676" s="8" t="s">
        <v>1184</v>
      </c>
      <c r="F2676" s="8" t="s">
        <v>89</v>
      </c>
      <c r="G2676" s="8" t="s">
        <v>54</v>
      </c>
      <c r="H2676" s="8" t="s">
        <v>215</v>
      </c>
      <c r="I2676" s="3">
        <v>1</v>
      </c>
      <c r="J2676" s="8" t="s">
        <v>159</v>
      </c>
      <c r="K2676" s="8" t="s">
        <v>160</v>
      </c>
      <c r="L2676" s="8" t="s">
        <v>740</v>
      </c>
      <c r="M2676" s="1" t="s">
        <v>205</v>
      </c>
      <c r="N2676" s="8" t="s">
        <v>206</v>
      </c>
      <c r="O2676" s="6">
        <v>0</v>
      </c>
      <c r="P2676" s="6">
        <v>0</v>
      </c>
      <c r="Q2676" s="6">
        <v>0</v>
      </c>
      <c r="R2676" s="6">
        <v>96</v>
      </c>
      <c r="S2676" s="6">
        <v>0</v>
      </c>
    </row>
    <row r="2677" spans="1:19" ht="15" hidden="1" x14ac:dyDescent="0.25">
      <c r="A2677" s="7" t="s">
        <v>16</v>
      </c>
      <c r="B2677" s="7" t="s">
        <v>229</v>
      </c>
      <c r="C2677" s="7" t="s">
        <v>24</v>
      </c>
      <c r="D2677" s="4">
        <v>19843929001000</v>
      </c>
      <c r="E2677" s="8" t="s">
        <v>1179</v>
      </c>
      <c r="F2677" s="8" t="s">
        <v>88</v>
      </c>
      <c r="G2677" s="8" t="s">
        <v>54</v>
      </c>
      <c r="H2677" s="8" t="s">
        <v>215</v>
      </c>
      <c r="I2677" s="3">
        <v>1</v>
      </c>
      <c r="J2677" s="8" t="s">
        <v>159</v>
      </c>
      <c r="K2677" s="8" t="s">
        <v>160</v>
      </c>
      <c r="L2677" s="8" t="s">
        <v>740</v>
      </c>
      <c r="M2677" s="1" t="s">
        <v>205</v>
      </c>
      <c r="N2677" s="8" t="s">
        <v>206</v>
      </c>
      <c r="O2677" s="6">
        <v>0</v>
      </c>
      <c r="P2677" s="6">
        <v>0</v>
      </c>
      <c r="Q2677" s="6">
        <v>0</v>
      </c>
      <c r="R2677" s="6">
        <v>0</v>
      </c>
      <c r="S2677" s="6">
        <v>200</v>
      </c>
    </row>
    <row r="2678" spans="1:19" ht="15" hidden="1" x14ac:dyDescent="0.25">
      <c r="A2678" s="7" t="s">
        <v>16</v>
      </c>
      <c r="B2678" s="7" t="s">
        <v>229</v>
      </c>
      <c r="C2678" s="7" t="s">
        <v>24</v>
      </c>
      <c r="D2678" s="4">
        <v>17689407000928</v>
      </c>
      <c r="E2678" s="8" t="s">
        <v>1174</v>
      </c>
      <c r="F2678" s="8" t="s">
        <v>88</v>
      </c>
      <c r="G2678" s="8" t="s">
        <v>54</v>
      </c>
      <c r="H2678" s="8" t="s">
        <v>215</v>
      </c>
      <c r="I2678" s="3">
        <v>1</v>
      </c>
      <c r="J2678" s="8" t="s">
        <v>159</v>
      </c>
      <c r="K2678" s="8" t="s">
        <v>160</v>
      </c>
      <c r="L2678" s="8" t="s">
        <v>740</v>
      </c>
      <c r="M2678" s="1" t="s">
        <v>205</v>
      </c>
      <c r="N2678" s="8" t="s">
        <v>206</v>
      </c>
      <c r="O2678" s="6">
        <v>0</v>
      </c>
      <c r="P2678" s="6">
        <v>0</v>
      </c>
      <c r="Q2678" s="6">
        <v>0</v>
      </c>
      <c r="R2678" s="6">
        <v>10</v>
      </c>
      <c r="S2678" s="6">
        <v>0</v>
      </c>
    </row>
    <row r="2679" spans="1:19" ht="15" hidden="1" x14ac:dyDescent="0.25">
      <c r="A2679" s="7" t="s">
        <v>16</v>
      </c>
      <c r="B2679" s="7" t="s">
        <v>229</v>
      </c>
      <c r="C2679" s="7" t="s">
        <v>24</v>
      </c>
      <c r="D2679" s="4">
        <v>23338387000196</v>
      </c>
      <c r="E2679" s="8" t="s">
        <v>1195</v>
      </c>
      <c r="F2679" s="8" t="s">
        <v>90</v>
      </c>
      <c r="G2679" s="8" t="s">
        <v>54</v>
      </c>
      <c r="H2679" s="8" t="s">
        <v>215</v>
      </c>
      <c r="I2679" s="3">
        <v>1</v>
      </c>
      <c r="J2679" s="8" t="s">
        <v>159</v>
      </c>
      <c r="K2679" s="8" t="s">
        <v>160</v>
      </c>
      <c r="L2679" s="8" t="s">
        <v>740</v>
      </c>
      <c r="M2679" s="1" t="s">
        <v>205</v>
      </c>
      <c r="N2679" s="8" t="s">
        <v>206</v>
      </c>
      <c r="O2679" s="6">
        <v>0</v>
      </c>
      <c r="P2679" s="6">
        <v>0</v>
      </c>
      <c r="Q2679" s="6">
        <v>0</v>
      </c>
      <c r="R2679" s="6">
        <v>10</v>
      </c>
      <c r="S2679" s="6">
        <v>0</v>
      </c>
    </row>
    <row r="2680" spans="1:19" ht="15" hidden="1" x14ac:dyDescent="0.25">
      <c r="A2680" s="7" t="s">
        <v>16</v>
      </c>
      <c r="B2680" s="7" t="s">
        <v>229</v>
      </c>
      <c r="C2680" s="7" t="s">
        <v>24</v>
      </c>
      <c r="D2680" s="4">
        <v>41781949000234</v>
      </c>
      <c r="E2680" s="8" t="s">
        <v>1219</v>
      </c>
      <c r="F2680" s="8" t="s">
        <v>1220</v>
      </c>
      <c r="G2680" s="8" t="s">
        <v>54</v>
      </c>
      <c r="H2680" s="8" t="s">
        <v>215</v>
      </c>
      <c r="I2680" s="3">
        <v>1</v>
      </c>
      <c r="J2680" s="8" t="s">
        <v>159</v>
      </c>
      <c r="K2680" s="8" t="s">
        <v>160</v>
      </c>
      <c r="L2680" s="8" t="s">
        <v>740</v>
      </c>
      <c r="M2680" s="1" t="s">
        <v>205</v>
      </c>
      <c r="N2680" s="8" t="s">
        <v>206</v>
      </c>
      <c r="O2680" s="6">
        <v>0</v>
      </c>
      <c r="P2680" s="6">
        <v>0</v>
      </c>
      <c r="Q2680" s="6">
        <v>0</v>
      </c>
      <c r="R2680" s="6">
        <v>0</v>
      </c>
      <c r="S2680" s="6">
        <v>40</v>
      </c>
    </row>
    <row r="2681" spans="1:19" ht="15" hidden="1" x14ac:dyDescent="0.25">
      <c r="A2681" s="7" t="s">
        <v>16</v>
      </c>
      <c r="B2681" s="7" t="s">
        <v>229</v>
      </c>
      <c r="C2681" s="7" t="s">
        <v>24</v>
      </c>
      <c r="D2681" s="4">
        <v>18836965000184</v>
      </c>
      <c r="E2681" s="8" t="s">
        <v>1177</v>
      </c>
      <c r="F2681" s="8" t="s">
        <v>111</v>
      </c>
      <c r="G2681" s="8" t="s">
        <v>54</v>
      </c>
      <c r="H2681" s="8" t="s">
        <v>215</v>
      </c>
      <c r="I2681" s="3">
        <v>1</v>
      </c>
      <c r="J2681" s="8" t="s">
        <v>159</v>
      </c>
      <c r="K2681" s="8" t="s">
        <v>160</v>
      </c>
      <c r="L2681" s="8" t="s">
        <v>740</v>
      </c>
      <c r="M2681" s="1" t="s">
        <v>205</v>
      </c>
      <c r="N2681" s="8" t="s">
        <v>206</v>
      </c>
      <c r="O2681" s="6">
        <v>0</v>
      </c>
      <c r="P2681" s="6">
        <v>0</v>
      </c>
      <c r="Q2681" s="6">
        <v>0</v>
      </c>
      <c r="R2681" s="6">
        <v>20</v>
      </c>
      <c r="S2681" s="6">
        <v>0</v>
      </c>
    </row>
    <row r="2682" spans="1:19" ht="15" hidden="1" x14ac:dyDescent="0.25">
      <c r="A2682" s="7" t="s">
        <v>16</v>
      </c>
      <c r="B2682" s="7" t="s">
        <v>229</v>
      </c>
      <c r="C2682" s="7" t="s">
        <v>24</v>
      </c>
      <c r="D2682" s="4">
        <v>42855999000362</v>
      </c>
      <c r="E2682" s="8" t="s">
        <v>1222</v>
      </c>
      <c r="F2682" s="8" t="s">
        <v>1223</v>
      </c>
      <c r="G2682" s="8" t="s">
        <v>54</v>
      </c>
      <c r="H2682" s="8" t="s">
        <v>215</v>
      </c>
      <c r="I2682" s="3">
        <v>1</v>
      </c>
      <c r="J2682" s="8" t="s">
        <v>159</v>
      </c>
      <c r="K2682" s="8" t="s">
        <v>160</v>
      </c>
      <c r="L2682" s="8" t="s">
        <v>740</v>
      </c>
      <c r="M2682" s="1" t="s">
        <v>205</v>
      </c>
      <c r="N2682" s="8" t="s">
        <v>206</v>
      </c>
      <c r="O2682" s="6">
        <v>0</v>
      </c>
      <c r="P2682" s="6">
        <v>0</v>
      </c>
      <c r="Q2682" s="6">
        <v>0</v>
      </c>
      <c r="R2682" s="6">
        <v>9</v>
      </c>
      <c r="S2682" s="6">
        <v>75</v>
      </c>
    </row>
    <row r="2683" spans="1:19" ht="15" hidden="1" x14ac:dyDescent="0.25">
      <c r="A2683" s="7" t="s">
        <v>16</v>
      </c>
      <c r="B2683" s="7" t="s">
        <v>229</v>
      </c>
      <c r="C2683" s="7" t="s">
        <v>24</v>
      </c>
      <c r="D2683" s="4">
        <v>17774738000613</v>
      </c>
      <c r="E2683" s="8" t="s">
        <v>1175</v>
      </c>
      <c r="F2683" s="8" t="s">
        <v>126</v>
      </c>
      <c r="G2683" s="8" t="s">
        <v>54</v>
      </c>
      <c r="H2683" s="8" t="s">
        <v>215</v>
      </c>
      <c r="I2683" s="3">
        <v>1</v>
      </c>
      <c r="J2683" s="8" t="s">
        <v>159</v>
      </c>
      <c r="K2683" s="8" t="s">
        <v>160</v>
      </c>
      <c r="L2683" s="8" t="s">
        <v>740</v>
      </c>
      <c r="M2683" s="1" t="s">
        <v>205</v>
      </c>
      <c r="N2683" s="8" t="s">
        <v>206</v>
      </c>
      <c r="O2683" s="6">
        <v>0</v>
      </c>
      <c r="P2683" s="6">
        <v>0</v>
      </c>
      <c r="Q2683" s="6">
        <v>0</v>
      </c>
      <c r="R2683" s="6">
        <v>8</v>
      </c>
      <c r="S2683" s="6">
        <v>0</v>
      </c>
    </row>
    <row r="2684" spans="1:19" ht="15" hidden="1" x14ac:dyDescent="0.25">
      <c r="A2684" s="7" t="s">
        <v>16</v>
      </c>
      <c r="B2684" s="7" t="s">
        <v>229</v>
      </c>
      <c r="C2684" s="7" t="s">
        <v>24</v>
      </c>
      <c r="D2684" s="4">
        <v>15126437000577</v>
      </c>
      <c r="E2684" s="8" t="s">
        <v>1165</v>
      </c>
      <c r="F2684" s="8" t="s">
        <v>126</v>
      </c>
      <c r="G2684" s="8" t="s">
        <v>54</v>
      </c>
      <c r="H2684" s="8" t="s">
        <v>215</v>
      </c>
      <c r="I2684" s="3">
        <v>1</v>
      </c>
      <c r="J2684" s="8" t="s">
        <v>159</v>
      </c>
      <c r="K2684" s="8" t="s">
        <v>160</v>
      </c>
      <c r="L2684" s="8" t="s">
        <v>740</v>
      </c>
      <c r="M2684" s="1" t="s">
        <v>205</v>
      </c>
      <c r="N2684" s="8" t="s">
        <v>206</v>
      </c>
      <c r="O2684" s="6">
        <v>0</v>
      </c>
      <c r="P2684" s="6">
        <v>0</v>
      </c>
      <c r="Q2684" s="6">
        <v>0</v>
      </c>
      <c r="R2684" s="6">
        <v>0</v>
      </c>
      <c r="S2684" s="6">
        <v>500</v>
      </c>
    </row>
    <row r="2685" spans="1:19" ht="15" hidden="1" x14ac:dyDescent="0.25">
      <c r="A2685" s="7" t="s">
        <v>16</v>
      </c>
      <c r="B2685" s="7" t="s">
        <v>229</v>
      </c>
      <c r="C2685" s="7" t="s">
        <v>24</v>
      </c>
      <c r="D2685" s="4">
        <v>25648387000207</v>
      </c>
      <c r="E2685" s="8" t="s">
        <v>1201</v>
      </c>
      <c r="F2685" s="8" t="s">
        <v>1171</v>
      </c>
      <c r="G2685" s="8" t="s">
        <v>54</v>
      </c>
      <c r="H2685" s="8" t="s">
        <v>215</v>
      </c>
      <c r="I2685" s="3">
        <v>1</v>
      </c>
      <c r="J2685" s="8" t="s">
        <v>159</v>
      </c>
      <c r="K2685" s="8" t="s">
        <v>160</v>
      </c>
      <c r="L2685" s="8" t="s">
        <v>740</v>
      </c>
      <c r="M2685" s="1" t="s">
        <v>205</v>
      </c>
      <c r="N2685" s="8" t="s">
        <v>206</v>
      </c>
      <c r="O2685" s="6">
        <v>0</v>
      </c>
      <c r="P2685" s="6">
        <v>0</v>
      </c>
      <c r="Q2685" s="6">
        <v>0</v>
      </c>
      <c r="R2685" s="6">
        <v>0</v>
      </c>
      <c r="S2685" s="6">
        <v>600</v>
      </c>
    </row>
    <row r="2686" spans="1:19" ht="15" hidden="1" x14ac:dyDescent="0.25">
      <c r="A2686" s="7" t="s">
        <v>16</v>
      </c>
      <c r="B2686" s="7" t="s">
        <v>229</v>
      </c>
      <c r="C2686" s="7" t="s">
        <v>24</v>
      </c>
      <c r="D2686" s="4">
        <v>20150900000122</v>
      </c>
      <c r="E2686" s="8" t="s">
        <v>1185</v>
      </c>
      <c r="F2686" s="8" t="s">
        <v>1171</v>
      </c>
      <c r="G2686" s="8" t="s">
        <v>54</v>
      </c>
      <c r="H2686" s="8" t="s">
        <v>215</v>
      </c>
      <c r="I2686" s="3">
        <v>1</v>
      </c>
      <c r="J2686" s="8" t="s">
        <v>159</v>
      </c>
      <c r="K2686" s="8" t="s">
        <v>160</v>
      </c>
      <c r="L2686" s="8" t="s">
        <v>740</v>
      </c>
      <c r="M2686" s="1" t="s">
        <v>205</v>
      </c>
      <c r="N2686" s="8" t="s">
        <v>206</v>
      </c>
      <c r="O2686" s="6">
        <v>0</v>
      </c>
      <c r="P2686" s="6">
        <v>0</v>
      </c>
      <c r="Q2686" s="6">
        <v>0</v>
      </c>
      <c r="R2686" s="6">
        <v>12</v>
      </c>
      <c r="S2686" s="6">
        <v>0</v>
      </c>
    </row>
    <row r="2687" spans="1:19" ht="15" hidden="1" x14ac:dyDescent="0.25">
      <c r="A2687" s="7" t="s">
        <v>16</v>
      </c>
      <c r="B2687" s="7" t="s">
        <v>229</v>
      </c>
      <c r="C2687" s="7" t="s">
        <v>24</v>
      </c>
      <c r="D2687" s="4">
        <v>14408631000159</v>
      </c>
      <c r="E2687" s="8" t="s">
        <v>1163</v>
      </c>
      <c r="F2687" s="8" t="s">
        <v>1164</v>
      </c>
      <c r="G2687" s="8" t="s">
        <v>54</v>
      </c>
      <c r="H2687" s="8" t="s">
        <v>215</v>
      </c>
      <c r="I2687" s="3">
        <v>1</v>
      </c>
      <c r="J2687" s="8" t="s">
        <v>159</v>
      </c>
      <c r="K2687" s="8" t="s">
        <v>160</v>
      </c>
      <c r="L2687" s="8" t="s">
        <v>740</v>
      </c>
      <c r="M2687" s="1" t="s">
        <v>205</v>
      </c>
      <c r="N2687" s="8" t="s">
        <v>206</v>
      </c>
      <c r="O2687" s="6">
        <v>0</v>
      </c>
      <c r="P2687" s="6">
        <v>0</v>
      </c>
      <c r="Q2687" s="6">
        <v>0</v>
      </c>
      <c r="R2687" s="6">
        <v>4</v>
      </c>
      <c r="S2687" s="6">
        <v>0</v>
      </c>
    </row>
    <row r="2688" spans="1:19" ht="15" hidden="1" x14ac:dyDescent="0.25">
      <c r="A2688" s="7" t="s">
        <v>16</v>
      </c>
      <c r="B2688" s="7" t="s">
        <v>229</v>
      </c>
      <c r="C2688" s="7" t="s">
        <v>24</v>
      </c>
      <c r="D2688" s="4">
        <v>3315918000541</v>
      </c>
      <c r="E2688" s="8" t="s">
        <v>785</v>
      </c>
      <c r="F2688" s="8" t="s">
        <v>64</v>
      </c>
      <c r="G2688" s="8" t="s">
        <v>65</v>
      </c>
      <c r="H2688" s="8" t="s">
        <v>215</v>
      </c>
      <c r="I2688" s="3">
        <v>2</v>
      </c>
      <c r="J2688" s="8" t="s">
        <v>187</v>
      </c>
      <c r="K2688" s="8" t="s">
        <v>188</v>
      </c>
      <c r="L2688" s="8" t="s">
        <v>556</v>
      </c>
      <c r="M2688" s="1" t="s">
        <v>211</v>
      </c>
      <c r="N2688" s="8" t="s">
        <v>212</v>
      </c>
      <c r="O2688" s="6">
        <v>0</v>
      </c>
      <c r="P2688" s="6">
        <v>0</v>
      </c>
      <c r="Q2688" s="6">
        <v>0</v>
      </c>
      <c r="R2688" s="6">
        <v>0</v>
      </c>
      <c r="S2688" s="6">
        <v>50</v>
      </c>
    </row>
    <row r="2689" spans="1:19" ht="15" hidden="1" x14ac:dyDescent="0.25">
      <c r="A2689" s="7" t="s">
        <v>16</v>
      </c>
      <c r="B2689" s="7" t="s">
        <v>229</v>
      </c>
      <c r="C2689" s="7" t="s">
        <v>24</v>
      </c>
      <c r="D2689" s="4">
        <v>3315918000541</v>
      </c>
      <c r="E2689" s="8" t="s">
        <v>785</v>
      </c>
      <c r="F2689" s="8" t="s">
        <v>64</v>
      </c>
      <c r="G2689" s="8" t="s">
        <v>65</v>
      </c>
      <c r="H2689" s="8" t="s">
        <v>215</v>
      </c>
      <c r="I2689" s="3">
        <v>2</v>
      </c>
      <c r="J2689" s="8" t="s">
        <v>163</v>
      </c>
      <c r="K2689" s="8" t="s">
        <v>164</v>
      </c>
      <c r="L2689" s="8" t="s">
        <v>557</v>
      </c>
      <c r="M2689" s="1" t="s">
        <v>211</v>
      </c>
      <c r="N2689" s="8" t="s">
        <v>212</v>
      </c>
      <c r="O2689" s="6">
        <v>0</v>
      </c>
      <c r="P2689" s="6">
        <v>0</v>
      </c>
      <c r="Q2689" s="6">
        <v>0</v>
      </c>
      <c r="R2689" s="6">
        <v>0</v>
      </c>
      <c r="S2689" s="6">
        <v>50</v>
      </c>
    </row>
    <row r="2690" spans="1:19" ht="15" hidden="1" x14ac:dyDescent="0.25">
      <c r="A2690" s="7" t="s">
        <v>16</v>
      </c>
      <c r="B2690" s="7" t="s">
        <v>229</v>
      </c>
      <c r="C2690" s="7" t="s">
        <v>24</v>
      </c>
      <c r="D2690" s="4">
        <v>7775847000278</v>
      </c>
      <c r="E2690" s="8" t="s">
        <v>820</v>
      </c>
      <c r="F2690" s="8" t="s">
        <v>123</v>
      </c>
      <c r="G2690" s="8" t="s">
        <v>65</v>
      </c>
      <c r="H2690" s="8" t="s">
        <v>215</v>
      </c>
      <c r="I2690" s="3">
        <v>2</v>
      </c>
      <c r="J2690" s="8" t="s">
        <v>187</v>
      </c>
      <c r="K2690" s="8" t="s">
        <v>188</v>
      </c>
      <c r="L2690" s="8" t="s">
        <v>556</v>
      </c>
      <c r="M2690" s="1" t="s">
        <v>211</v>
      </c>
      <c r="N2690" s="8" t="s">
        <v>212</v>
      </c>
      <c r="O2690" s="6">
        <v>0</v>
      </c>
      <c r="P2690" s="6">
        <v>0</v>
      </c>
      <c r="Q2690" s="6">
        <v>0</v>
      </c>
      <c r="R2690" s="6">
        <v>0</v>
      </c>
      <c r="S2690" s="6">
        <v>360</v>
      </c>
    </row>
    <row r="2691" spans="1:19" ht="15" hidden="1" x14ac:dyDescent="0.25">
      <c r="A2691" s="7" t="s">
        <v>16</v>
      </c>
      <c r="B2691" s="7" t="s">
        <v>229</v>
      </c>
      <c r="C2691" s="7" t="s">
        <v>24</v>
      </c>
      <c r="D2691" s="4">
        <v>7775847000278</v>
      </c>
      <c r="E2691" s="8" t="s">
        <v>820</v>
      </c>
      <c r="F2691" s="8" t="s">
        <v>123</v>
      </c>
      <c r="G2691" s="8" t="s">
        <v>65</v>
      </c>
      <c r="H2691" s="8" t="s">
        <v>215</v>
      </c>
      <c r="I2691" s="3">
        <v>2</v>
      </c>
      <c r="J2691" s="8" t="s">
        <v>163</v>
      </c>
      <c r="K2691" s="8" t="s">
        <v>164</v>
      </c>
      <c r="L2691" s="8" t="s">
        <v>557</v>
      </c>
      <c r="M2691" s="1" t="s">
        <v>211</v>
      </c>
      <c r="N2691" s="8" t="s">
        <v>212</v>
      </c>
      <c r="O2691" s="6">
        <v>0</v>
      </c>
      <c r="P2691" s="6">
        <v>0</v>
      </c>
      <c r="Q2691" s="6">
        <v>0</v>
      </c>
      <c r="R2691" s="6">
        <v>0</v>
      </c>
      <c r="S2691" s="6">
        <v>360</v>
      </c>
    </row>
    <row r="2692" spans="1:19" ht="15" hidden="1" x14ac:dyDescent="0.25">
      <c r="A2692" s="7" t="s">
        <v>16</v>
      </c>
      <c r="B2692" s="7" t="s">
        <v>229</v>
      </c>
      <c r="C2692" s="7" t="s">
        <v>24</v>
      </c>
      <c r="D2692" s="4">
        <v>15016827000160</v>
      </c>
      <c r="E2692" s="8" t="s">
        <v>877</v>
      </c>
      <c r="F2692" s="8" t="s">
        <v>772</v>
      </c>
      <c r="G2692" s="8" t="s">
        <v>69</v>
      </c>
      <c r="H2692" s="8" t="s">
        <v>215</v>
      </c>
      <c r="I2692" s="3">
        <v>2</v>
      </c>
      <c r="J2692" s="8" t="s">
        <v>187</v>
      </c>
      <c r="K2692" s="8" t="s">
        <v>188</v>
      </c>
      <c r="L2692" s="8" t="s">
        <v>556</v>
      </c>
      <c r="M2692" s="1" t="s">
        <v>211</v>
      </c>
      <c r="N2692" s="8" t="s">
        <v>212</v>
      </c>
      <c r="O2692" s="6">
        <v>0</v>
      </c>
      <c r="P2692" s="6">
        <v>0</v>
      </c>
      <c r="Q2692" s="6">
        <v>0</v>
      </c>
      <c r="R2692" s="6">
        <v>0</v>
      </c>
      <c r="S2692" s="6">
        <v>0</v>
      </c>
    </row>
    <row r="2693" spans="1:19" ht="15" hidden="1" x14ac:dyDescent="0.25">
      <c r="A2693" s="7" t="s">
        <v>16</v>
      </c>
      <c r="B2693" s="7" t="s">
        <v>229</v>
      </c>
      <c r="C2693" s="7" t="s">
        <v>24</v>
      </c>
      <c r="D2693" s="4">
        <v>15016827000160</v>
      </c>
      <c r="E2693" s="8" t="s">
        <v>877</v>
      </c>
      <c r="F2693" s="8" t="s">
        <v>772</v>
      </c>
      <c r="G2693" s="8" t="s">
        <v>69</v>
      </c>
      <c r="H2693" s="8" t="s">
        <v>215</v>
      </c>
      <c r="I2693" s="3">
        <v>2</v>
      </c>
      <c r="J2693" s="8" t="s">
        <v>163</v>
      </c>
      <c r="K2693" s="8" t="s">
        <v>164</v>
      </c>
      <c r="L2693" s="8" t="s">
        <v>557</v>
      </c>
      <c r="M2693" s="1" t="s">
        <v>211</v>
      </c>
      <c r="N2693" s="8" t="s">
        <v>212</v>
      </c>
      <c r="O2693" s="6">
        <v>0</v>
      </c>
      <c r="P2693" s="6">
        <v>14</v>
      </c>
      <c r="Q2693" s="6">
        <v>0</v>
      </c>
      <c r="R2693" s="6">
        <v>0</v>
      </c>
      <c r="S2693" s="6">
        <v>0</v>
      </c>
    </row>
    <row r="2694" spans="1:19" ht="15" hidden="1" x14ac:dyDescent="0.25">
      <c r="A2694" s="7" t="s">
        <v>16</v>
      </c>
      <c r="B2694" s="7" t="s">
        <v>229</v>
      </c>
      <c r="C2694" s="7" t="s">
        <v>24</v>
      </c>
      <c r="D2694" s="4">
        <v>1757351000104</v>
      </c>
      <c r="E2694" s="8" t="s">
        <v>771</v>
      </c>
      <c r="F2694" s="8" t="s">
        <v>772</v>
      </c>
      <c r="G2694" s="8" t="s">
        <v>69</v>
      </c>
      <c r="H2694" s="8" t="s">
        <v>215</v>
      </c>
      <c r="I2694" s="3">
        <v>2</v>
      </c>
      <c r="J2694" s="8" t="s">
        <v>187</v>
      </c>
      <c r="K2694" s="8" t="s">
        <v>188</v>
      </c>
      <c r="L2694" s="8" t="s">
        <v>556</v>
      </c>
      <c r="M2694" s="1" t="s">
        <v>211</v>
      </c>
      <c r="N2694" s="8" t="s">
        <v>212</v>
      </c>
      <c r="O2694" s="6">
        <v>0</v>
      </c>
      <c r="P2694" s="6">
        <v>0</v>
      </c>
      <c r="Q2694" s="6">
        <v>0</v>
      </c>
      <c r="R2694" s="6">
        <v>0</v>
      </c>
      <c r="S2694" s="6">
        <v>0</v>
      </c>
    </row>
    <row r="2695" spans="1:19" ht="15" hidden="1" x14ac:dyDescent="0.25">
      <c r="A2695" s="7" t="s">
        <v>16</v>
      </c>
      <c r="B2695" s="7" t="s">
        <v>229</v>
      </c>
      <c r="C2695" s="7" t="s">
        <v>24</v>
      </c>
      <c r="D2695" s="4">
        <v>1757351000104</v>
      </c>
      <c r="E2695" s="8" t="s">
        <v>771</v>
      </c>
      <c r="F2695" s="8" t="s">
        <v>772</v>
      </c>
      <c r="G2695" s="8" t="s">
        <v>69</v>
      </c>
      <c r="H2695" s="8" t="s">
        <v>215</v>
      </c>
      <c r="I2695" s="3">
        <v>2</v>
      </c>
      <c r="J2695" s="8" t="s">
        <v>163</v>
      </c>
      <c r="K2695" s="8" t="s">
        <v>164</v>
      </c>
      <c r="L2695" s="8" t="s">
        <v>557</v>
      </c>
      <c r="M2695" s="1" t="s">
        <v>211</v>
      </c>
      <c r="N2695" s="8" t="s">
        <v>212</v>
      </c>
      <c r="O2695" s="6">
        <v>0</v>
      </c>
      <c r="P2695" s="6">
        <v>5</v>
      </c>
      <c r="Q2695" s="6">
        <v>4</v>
      </c>
      <c r="R2695" s="6">
        <v>0</v>
      </c>
      <c r="S2695" s="6">
        <v>0</v>
      </c>
    </row>
    <row r="2696" spans="1:19" ht="15" hidden="1" x14ac:dyDescent="0.25">
      <c r="A2696" s="7" t="s">
        <v>16</v>
      </c>
      <c r="B2696" s="7" t="s">
        <v>229</v>
      </c>
      <c r="C2696" s="7" t="s">
        <v>24</v>
      </c>
      <c r="D2696" s="4">
        <v>3925419000142</v>
      </c>
      <c r="E2696" s="8" t="s">
        <v>795</v>
      </c>
      <c r="F2696" s="8" t="s">
        <v>772</v>
      </c>
      <c r="G2696" s="8" t="s">
        <v>69</v>
      </c>
      <c r="H2696" s="8" t="s">
        <v>215</v>
      </c>
      <c r="I2696" s="3">
        <v>2</v>
      </c>
      <c r="J2696" s="8" t="s">
        <v>187</v>
      </c>
      <c r="K2696" s="8" t="s">
        <v>188</v>
      </c>
      <c r="L2696" s="8" t="s">
        <v>556</v>
      </c>
      <c r="M2696" s="1" t="s">
        <v>211</v>
      </c>
      <c r="N2696" s="8" t="s">
        <v>212</v>
      </c>
      <c r="O2696" s="6">
        <v>0</v>
      </c>
      <c r="P2696" s="6">
        <v>0</v>
      </c>
      <c r="Q2696" s="6">
        <v>0</v>
      </c>
      <c r="R2696" s="6">
        <v>0</v>
      </c>
      <c r="S2696" s="6">
        <v>0</v>
      </c>
    </row>
    <row r="2697" spans="1:19" ht="15" hidden="1" x14ac:dyDescent="0.25">
      <c r="A2697" s="7" t="s">
        <v>16</v>
      </c>
      <c r="B2697" s="7" t="s">
        <v>229</v>
      </c>
      <c r="C2697" s="7" t="s">
        <v>24</v>
      </c>
      <c r="D2697" s="4">
        <v>3925419000142</v>
      </c>
      <c r="E2697" s="8" t="s">
        <v>795</v>
      </c>
      <c r="F2697" s="8" t="s">
        <v>772</v>
      </c>
      <c r="G2697" s="8" t="s">
        <v>69</v>
      </c>
      <c r="H2697" s="8" t="s">
        <v>215</v>
      </c>
      <c r="I2697" s="3">
        <v>2</v>
      </c>
      <c r="J2697" s="8" t="s">
        <v>163</v>
      </c>
      <c r="K2697" s="8" t="s">
        <v>164</v>
      </c>
      <c r="L2697" s="8" t="s">
        <v>557</v>
      </c>
      <c r="M2697" s="1" t="s">
        <v>211</v>
      </c>
      <c r="N2697" s="8" t="s">
        <v>212</v>
      </c>
      <c r="O2697" s="6">
        <v>0</v>
      </c>
      <c r="P2697" s="6">
        <v>9</v>
      </c>
      <c r="Q2697" s="6">
        <v>0</v>
      </c>
      <c r="R2697" s="6">
        <v>0</v>
      </c>
      <c r="S2697" s="6">
        <v>0</v>
      </c>
    </row>
    <row r="2698" spans="1:19" ht="15" hidden="1" x14ac:dyDescent="0.25">
      <c r="A2698" s="7" t="s">
        <v>16</v>
      </c>
      <c r="B2698" s="7" t="s">
        <v>229</v>
      </c>
      <c r="C2698" s="7" t="s">
        <v>24</v>
      </c>
      <c r="D2698" s="4">
        <v>11836436000131</v>
      </c>
      <c r="E2698" s="8" t="s">
        <v>1297</v>
      </c>
      <c r="F2698" s="8" t="s">
        <v>907</v>
      </c>
      <c r="G2698" s="8" t="s">
        <v>69</v>
      </c>
      <c r="H2698" s="8" t="s">
        <v>215</v>
      </c>
      <c r="I2698" s="3">
        <v>2</v>
      </c>
      <c r="J2698" s="8" t="s">
        <v>187</v>
      </c>
      <c r="K2698" s="8" t="s">
        <v>188</v>
      </c>
      <c r="L2698" s="8" t="s">
        <v>556</v>
      </c>
      <c r="M2698" s="1" t="s">
        <v>211</v>
      </c>
      <c r="N2698" s="8" t="s">
        <v>212</v>
      </c>
      <c r="O2698" s="6">
        <v>0</v>
      </c>
      <c r="P2698" s="6">
        <v>0</v>
      </c>
      <c r="Q2698" s="6">
        <v>0</v>
      </c>
      <c r="R2698" s="6">
        <v>0</v>
      </c>
      <c r="S2698" s="6">
        <v>25</v>
      </c>
    </row>
    <row r="2699" spans="1:19" ht="15" hidden="1" x14ac:dyDescent="0.25">
      <c r="A2699" s="7" t="s">
        <v>16</v>
      </c>
      <c r="B2699" s="7" t="s">
        <v>229</v>
      </c>
      <c r="C2699" s="7" t="s">
        <v>24</v>
      </c>
      <c r="D2699" s="4">
        <v>11836436000131</v>
      </c>
      <c r="E2699" s="8" t="s">
        <v>1297</v>
      </c>
      <c r="F2699" s="8" t="s">
        <v>907</v>
      </c>
      <c r="G2699" s="8" t="s">
        <v>69</v>
      </c>
      <c r="H2699" s="8" t="s">
        <v>215</v>
      </c>
      <c r="I2699" s="3">
        <v>2</v>
      </c>
      <c r="J2699" s="8" t="s">
        <v>163</v>
      </c>
      <c r="K2699" s="8" t="s">
        <v>164</v>
      </c>
      <c r="L2699" s="8" t="s">
        <v>557</v>
      </c>
      <c r="M2699" s="1" t="s">
        <v>211</v>
      </c>
      <c r="N2699" s="8" t="s">
        <v>212</v>
      </c>
      <c r="O2699" s="6">
        <v>0</v>
      </c>
      <c r="P2699" s="6">
        <v>0</v>
      </c>
      <c r="Q2699" s="6">
        <v>0</v>
      </c>
      <c r="R2699" s="6">
        <v>0</v>
      </c>
      <c r="S2699" s="6">
        <v>25</v>
      </c>
    </row>
    <row r="2700" spans="1:19" ht="15" hidden="1" x14ac:dyDescent="0.25">
      <c r="A2700" s="7" t="s">
        <v>16</v>
      </c>
      <c r="B2700" s="7" t="s">
        <v>229</v>
      </c>
      <c r="C2700" s="7" t="s">
        <v>24</v>
      </c>
      <c r="D2700" s="4">
        <v>12361267003370</v>
      </c>
      <c r="E2700" s="8" t="s">
        <v>1298</v>
      </c>
      <c r="F2700" s="8" t="s">
        <v>1129</v>
      </c>
      <c r="G2700" s="8" t="s">
        <v>52</v>
      </c>
      <c r="H2700" s="8" t="s">
        <v>215</v>
      </c>
      <c r="I2700" s="3">
        <v>1</v>
      </c>
      <c r="J2700" s="8" t="s">
        <v>201</v>
      </c>
      <c r="K2700" s="8" t="s">
        <v>202</v>
      </c>
      <c r="L2700" s="8" t="s">
        <v>740</v>
      </c>
      <c r="M2700" s="1" t="s">
        <v>211</v>
      </c>
      <c r="N2700" s="8" t="s">
        <v>212</v>
      </c>
      <c r="O2700" s="6">
        <v>0</v>
      </c>
      <c r="P2700" s="6">
        <v>0</v>
      </c>
      <c r="Q2700" s="6">
        <v>4</v>
      </c>
      <c r="R2700" s="6">
        <v>0</v>
      </c>
      <c r="S2700" s="6">
        <v>305</v>
      </c>
    </row>
    <row r="2701" spans="1:19" ht="15" hidden="1" x14ac:dyDescent="0.25">
      <c r="A2701" s="7" t="s">
        <v>16</v>
      </c>
      <c r="B2701" s="7" t="s">
        <v>229</v>
      </c>
      <c r="C2701" s="7" t="s">
        <v>24</v>
      </c>
      <c r="D2701" s="4">
        <v>4929345000185</v>
      </c>
      <c r="E2701" s="8" t="s">
        <v>1147</v>
      </c>
      <c r="F2701" s="8" t="s">
        <v>1129</v>
      </c>
      <c r="G2701" s="8" t="s">
        <v>52</v>
      </c>
      <c r="H2701" s="8" t="s">
        <v>215</v>
      </c>
      <c r="I2701" s="3">
        <v>1</v>
      </c>
      <c r="J2701" s="8" t="s">
        <v>201</v>
      </c>
      <c r="K2701" s="8" t="s">
        <v>202</v>
      </c>
      <c r="L2701" s="8" t="s">
        <v>740</v>
      </c>
      <c r="M2701" s="1" t="s">
        <v>211</v>
      </c>
      <c r="N2701" s="8" t="s">
        <v>212</v>
      </c>
      <c r="O2701" s="6">
        <v>0</v>
      </c>
      <c r="P2701" s="6">
        <v>25</v>
      </c>
      <c r="Q2701" s="6">
        <v>25</v>
      </c>
      <c r="R2701" s="6">
        <v>50</v>
      </c>
      <c r="S2701" s="6">
        <v>625</v>
      </c>
    </row>
    <row r="2702" spans="1:19" ht="15" hidden="1" x14ac:dyDescent="0.25">
      <c r="A2702" s="7" t="s">
        <v>16</v>
      </c>
      <c r="B2702" s="7" t="s">
        <v>229</v>
      </c>
      <c r="C2702" s="7" t="s">
        <v>24</v>
      </c>
      <c r="D2702" s="4">
        <v>83367342000252</v>
      </c>
      <c r="E2702" s="8" t="s">
        <v>1237</v>
      </c>
      <c r="F2702" s="8" t="s">
        <v>1129</v>
      </c>
      <c r="G2702" s="8" t="s">
        <v>52</v>
      </c>
      <c r="H2702" s="8" t="s">
        <v>215</v>
      </c>
      <c r="I2702" s="3">
        <v>1</v>
      </c>
      <c r="J2702" s="8" t="s">
        <v>201</v>
      </c>
      <c r="K2702" s="8" t="s">
        <v>202</v>
      </c>
      <c r="L2702" s="8" t="s">
        <v>740</v>
      </c>
      <c r="M2702" s="1" t="s">
        <v>211</v>
      </c>
      <c r="N2702" s="8" t="s">
        <v>212</v>
      </c>
      <c r="O2702" s="6">
        <v>0</v>
      </c>
      <c r="P2702" s="6">
        <v>10</v>
      </c>
      <c r="Q2702" s="6">
        <v>0</v>
      </c>
      <c r="R2702" s="6">
        <v>0</v>
      </c>
      <c r="S2702" s="6">
        <v>25</v>
      </c>
    </row>
    <row r="2703" spans="1:19" ht="15" hidden="1" x14ac:dyDescent="0.25">
      <c r="A2703" s="7" t="s">
        <v>16</v>
      </c>
      <c r="B2703" s="7" t="s">
        <v>229</v>
      </c>
      <c r="C2703" s="7" t="s">
        <v>24</v>
      </c>
      <c r="D2703" s="4">
        <v>12371009253</v>
      </c>
      <c r="E2703" s="8" t="s">
        <v>1128</v>
      </c>
      <c r="F2703" s="8" t="s">
        <v>1129</v>
      </c>
      <c r="G2703" s="8" t="s">
        <v>52</v>
      </c>
      <c r="H2703" s="8" t="s">
        <v>215</v>
      </c>
      <c r="I2703" s="3">
        <v>1</v>
      </c>
      <c r="J2703" s="8" t="s">
        <v>201</v>
      </c>
      <c r="K2703" s="8" t="s">
        <v>202</v>
      </c>
      <c r="L2703" s="8" t="s">
        <v>740</v>
      </c>
      <c r="M2703" s="1" t="s">
        <v>211</v>
      </c>
      <c r="N2703" s="8" t="s">
        <v>212</v>
      </c>
      <c r="O2703" s="6">
        <v>0</v>
      </c>
      <c r="P2703" s="6">
        <v>0</v>
      </c>
      <c r="Q2703" s="6">
        <v>0</v>
      </c>
      <c r="R2703" s="6">
        <v>24</v>
      </c>
      <c r="S2703" s="6">
        <v>0</v>
      </c>
    </row>
    <row r="2704" spans="1:19" ht="15" hidden="1" x14ac:dyDescent="0.25">
      <c r="A2704" s="7" t="s">
        <v>16</v>
      </c>
      <c r="B2704" s="7" t="s">
        <v>229</v>
      </c>
      <c r="C2704" s="7" t="s">
        <v>24</v>
      </c>
      <c r="D2704" s="4">
        <v>4201372001028</v>
      </c>
      <c r="E2704" s="8" t="s">
        <v>1145</v>
      </c>
      <c r="F2704" s="8" t="s">
        <v>1129</v>
      </c>
      <c r="G2704" s="8" t="s">
        <v>52</v>
      </c>
      <c r="H2704" s="8" t="s">
        <v>215</v>
      </c>
      <c r="I2704" s="3">
        <v>1</v>
      </c>
      <c r="J2704" s="8" t="s">
        <v>201</v>
      </c>
      <c r="K2704" s="8" t="s">
        <v>202</v>
      </c>
      <c r="L2704" s="8" t="s">
        <v>740</v>
      </c>
      <c r="M2704" s="1" t="s">
        <v>211</v>
      </c>
      <c r="N2704" s="8" t="s">
        <v>212</v>
      </c>
      <c r="O2704" s="6">
        <v>0</v>
      </c>
      <c r="P2704" s="6">
        <v>0</v>
      </c>
      <c r="Q2704" s="6">
        <v>0</v>
      </c>
      <c r="R2704" s="6">
        <v>48</v>
      </c>
      <c r="S2704" s="6">
        <v>0</v>
      </c>
    </row>
    <row r="2705" spans="1:19" ht="15" hidden="1" x14ac:dyDescent="0.25">
      <c r="A2705" s="7" t="s">
        <v>16</v>
      </c>
      <c r="B2705" s="7" t="s">
        <v>229</v>
      </c>
      <c r="C2705" s="7" t="s">
        <v>24</v>
      </c>
      <c r="D2705" s="4">
        <v>15126437003240</v>
      </c>
      <c r="E2705" s="8" t="s">
        <v>885</v>
      </c>
      <c r="F2705" s="8" t="s">
        <v>130</v>
      </c>
      <c r="G2705" s="8" t="s">
        <v>56</v>
      </c>
      <c r="H2705" s="8" t="s">
        <v>215</v>
      </c>
      <c r="I2705" s="3">
        <v>2</v>
      </c>
      <c r="J2705" s="8" t="s">
        <v>199</v>
      </c>
      <c r="K2705" s="8" t="s">
        <v>200</v>
      </c>
      <c r="L2705" s="8" t="s">
        <v>556</v>
      </c>
      <c r="M2705" s="1" t="s">
        <v>211</v>
      </c>
      <c r="N2705" s="8" t="s">
        <v>212</v>
      </c>
      <c r="O2705" s="6">
        <v>0</v>
      </c>
      <c r="P2705" s="6">
        <v>0</v>
      </c>
      <c r="Q2705" s="6">
        <v>0</v>
      </c>
      <c r="R2705" s="6">
        <v>0</v>
      </c>
      <c r="S2705" s="6">
        <v>75</v>
      </c>
    </row>
    <row r="2706" spans="1:19" ht="15" hidden="1" x14ac:dyDescent="0.25">
      <c r="A2706" s="7" t="s">
        <v>16</v>
      </c>
      <c r="B2706" s="7" t="s">
        <v>229</v>
      </c>
      <c r="C2706" s="7" t="s">
        <v>24</v>
      </c>
      <c r="D2706" s="4">
        <v>15126437003240</v>
      </c>
      <c r="E2706" s="8" t="s">
        <v>885</v>
      </c>
      <c r="F2706" s="8" t="s">
        <v>130</v>
      </c>
      <c r="G2706" s="8" t="s">
        <v>56</v>
      </c>
      <c r="H2706" s="8" t="s">
        <v>215</v>
      </c>
      <c r="I2706" s="3">
        <v>2</v>
      </c>
      <c r="J2706" s="8" t="s">
        <v>169</v>
      </c>
      <c r="K2706" s="8" t="s">
        <v>170</v>
      </c>
      <c r="L2706" s="8" t="s">
        <v>557</v>
      </c>
      <c r="M2706" s="1" t="s">
        <v>211</v>
      </c>
      <c r="N2706" s="8" t="s">
        <v>212</v>
      </c>
      <c r="O2706" s="6">
        <v>0</v>
      </c>
      <c r="P2706" s="6">
        <v>0</v>
      </c>
      <c r="Q2706" s="6">
        <v>0</v>
      </c>
      <c r="R2706" s="6">
        <v>0</v>
      </c>
      <c r="S2706" s="6">
        <v>75</v>
      </c>
    </row>
    <row r="2707" spans="1:19" ht="15" hidden="1" x14ac:dyDescent="0.25">
      <c r="A2707" s="7" t="s">
        <v>16</v>
      </c>
      <c r="B2707" s="7" t="s">
        <v>229</v>
      </c>
      <c r="C2707" s="7" t="s">
        <v>24</v>
      </c>
      <c r="D2707" s="4">
        <v>83925694404</v>
      </c>
      <c r="E2707" s="8" t="s">
        <v>746</v>
      </c>
      <c r="F2707" s="8" t="s">
        <v>747</v>
      </c>
      <c r="G2707" s="8" t="s">
        <v>56</v>
      </c>
      <c r="H2707" s="8" t="s">
        <v>215</v>
      </c>
      <c r="I2707" s="3">
        <v>2</v>
      </c>
      <c r="J2707" s="8" t="s">
        <v>199</v>
      </c>
      <c r="K2707" s="8" t="s">
        <v>200</v>
      </c>
      <c r="L2707" s="8" t="s">
        <v>556</v>
      </c>
      <c r="M2707" s="1" t="s">
        <v>211</v>
      </c>
      <c r="N2707" s="8" t="s">
        <v>212</v>
      </c>
      <c r="O2707" s="6">
        <v>24</v>
      </c>
      <c r="P2707" s="6">
        <v>0</v>
      </c>
      <c r="Q2707" s="6">
        <v>0</v>
      </c>
      <c r="R2707" s="6">
        <v>0</v>
      </c>
      <c r="S2707" s="6">
        <v>0</v>
      </c>
    </row>
    <row r="2708" spans="1:19" ht="15" hidden="1" x14ac:dyDescent="0.25">
      <c r="A2708" s="7" t="s">
        <v>16</v>
      </c>
      <c r="B2708" s="7" t="s">
        <v>229</v>
      </c>
      <c r="C2708" s="7" t="s">
        <v>24</v>
      </c>
      <c r="D2708" s="4">
        <v>83925694404</v>
      </c>
      <c r="E2708" s="8" t="s">
        <v>746</v>
      </c>
      <c r="F2708" s="8" t="s">
        <v>747</v>
      </c>
      <c r="G2708" s="8" t="s">
        <v>56</v>
      </c>
      <c r="H2708" s="8" t="s">
        <v>215</v>
      </c>
      <c r="I2708" s="3">
        <v>2</v>
      </c>
      <c r="J2708" s="8" t="s">
        <v>169</v>
      </c>
      <c r="K2708" s="8" t="s">
        <v>170</v>
      </c>
      <c r="L2708" s="8" t="s">
        <v>557</v>
      </c>
      <c r="M2708" s="1" t="s">
        <v>211</v>
      </c>
      <c r="N2708" s="8" t="s">
        <v>212</v>
      </c>
      <c r="O2708" s="6">
        <v>0</v>
      </c>
      <c r="P2708" s="6">
        <v>0</v>
      </c>
      <c r="Q2708" s="6">
        <v>0</v>
      </c>
      <c r="R2708" s="6">
        <v>0</v>
      </c>
      <c r="S2708" s="6">
        <v>0</v>
      </c>
    </row>
    <row r="2709" spans="1:19" ht="15" hidden="1" x14ac:dyDescent="0.25">
      <c r="A2709" s="7" t="s">
        <v>16</v>
      </c>
      <c r="B2709" s="7" t="s">
        <v>229</v>
      </c>
      <c r="C2709" s="7" t="s">
        <v>24</v>
      </c>
      <c r="D2709" s="4">
        <v>8680639000681</v>
      </c>
      <c r="E2709" s="8" t="s">
        <v>827</v>
      </c>
      <c r="F2709" s="8" t="s">
        <v>747</v>
      </c>
      <c r="G2709" s="8" t="s">
        <v>56</v>
      </c>
      <c r="H2709" s="8" t="s">
        <v>215</v>
      </c>
      <c r="I2709" s="3">
        <v>2</v>
      </c>
      <c r="J2709" s="8" t="s">
        <v>199</v>
      </c>
      <c r="K2709" s="8" t="s">
        <v>200</v>
      </c>
      <c r="L2709" s="8" t="s">
        <v>556</v>
      </c>
      <c r="M2709" s="1" t="s">
        <v>211</v>
      </c>
      <c r="N2709" s="8" t="s">
        <v>212</v>
      </c>
      <c r="O2709" s="6">
        <v>0</v>
      </c>
      <c r="P2709" s="6">
        <v>0</v>
      </c>
      <c r="Q2709" s="6">
        <v>0</v>
      </c>
      <c r="R2709" s="6">
        <v>52</v>
      </c>
      <c r="S2709" s="6">
        <v>0</v>
      </c>
    </row>
    <row r="2710" spans="1:19" ht="15" hidden="1" x14ac:dyDescent="0.25">
      <c r="A2710" s="7" t="s">
        <v>16</v>
      </c>
      <c r="B2710" s="7" t="s">
        <v>229</v>
      </c>
      <c r="C2710" s="7" t="s">
        <v>24</v>
      </c>
      <c r="D2710" s="4">
        <v>8680639000681</v>
      </c>
      <c r="E2710" s="8" t="s">
        <v>827</v>
      </c>
      <c r="F2710" s="8" t="s">
        <v>747</v>
      </c>
      <c r="G2710" s="8" t="s">
        <v>56</v>
      </c>
      <c r="H2710" s="8" t="s">
        <v>215</v>
      </c>
      <c r="I2710" s="3">
        <v>2</v>
      </c>
      <c r="J2710" s="8" t="s">
        <v>169</v>
      </c>
      <c r="K2710" s="8" t="s">
        <v>170</v>
      </c>
      <c r="L2710" s="8" t="s">
        <v>557</v>
      </c>
      <c r="M2710" s="1" t="s">
        <v>211</v>
      </c>
      <c r="N2710" s="8" t="s">
        <v>212</v>
      </c>
      <c r="O2710" s="6">
        <v>0</v>
      </c>
      <c r="P2710" s="6">
        <v>0</v>
      </c>
      <c r="Q2710" s="6">
        <v>0</v>
      </c>
      <c r="R2710" s="6">
        <v>0</v>
      </c>
      <c r="S2710" s="6">
        <v>0</v>
      </c>
    </row>
    <row r="2711" spans="1:19" ht="15" hidden="1" x14ac:dyDescent="0.25">
      <c r="A2711" s="7" t="s">
        <v>16</v>
      </c>
      <c r="B2711" s="7" t="s">
        <v>229</v>
      </c>
      <c r="C2711" s="7" t="s">
        <v>24</v>
      </c>
      <c r="D2711" s="4">
        <v>12361267005748</v>
      </c>
      <c r="E2711" s="8" t="s">
        <v>1299</v>
      </c>
      <c r="F2711" s="8" t="s">
        <v>794</v>
      </c>
      <c r="G2711" s="8" t="s">
        <v>71</v>
      </c>
      <c r="H2711" s="8" t="s">
        <v>215</v>
      </c>
      <c r="I2711" s="3">
        <v>2</v>
      </c>
      <c r="J2711" s="8" t="s">
        <v>199</v>
      </c>
      <c r="K2711" s="8" t="s">
        <v>200</v>
      </c>
      <c r="L2711" s="8" t="s">
        <v>556</v>
      </c>
      <c r="M2711" s="1" t="s">
        <v>211</v>
      </c>
      <c r="N2711" s="8" t="s">
        <v>212</v>
      </c>
      <c r="O2711" s="6">
        <v>0</v>
      </c>
      <c r="P2711" s="6">
        <v>0</v>
      </c>
      <c r="Q2711" s="6">
        <v>0</v>
      </c>
      <c r="R2711" s="6">
        <v>0</v>
      </c>
      <c r="S2711" s="6">
        <v>0</v>
      </c>
    </row>
    <row r="2712" spans="1:19" ht="15" hidden="1" x14ac:dyDescent="0.25">
      <c r="A2712" s="7" t="s">
        <v>16</v>
      </c>
      <c r="B2712" s="7" t="s">
        <v>229</v>
      </c>
      <c r="C2712" s="7" t="s">
        <v>24</v>
      </c>
      <c r="D2712" s="4">
        <v>12361267005748</v>
      </c>
      <c r="E2712" s="8" t="s">
        <v>1299</v>
      </c>
      <c r="F2712" s="8" t="s">
        <v>794</v>
      </c>
      <c r="G2712" s="8" t="s">
        <v>71</v>
      </c>
      <c r="H2712" s="8" t="s">
        <v>215</v>
      </c>
      <c r="I2712" s="3">
        <v>2</v>
      </c>
      <c r="J2712" s="8" t="s">
        <v>169</v>
      </c>
      <c r="K2712" s="8" t="s">
        <v>170</v>
      </c>
      <c r="L2712" s="8" t="s">
        <v>557</v>
      </c>
      <c r="M2712" s="1" t="s">
        <v>211</v>
      </c>
      <c r="N2712" s="8" t="s">
        <v>212</v>
      </c>
      <c r="O2712" s="6">
        <v>0</v>
      </c>
      <c r="P2712" s="6">
        <v>0</v>
      </c>
      <c r="Q2712" s="6">
        <v>4</v>
      </c>
      <c r="R2712" s="6">
        <v>0</v>
      </c>
      <c r="S2712" s="6">
        <v>0</v>
      </c>
    </row>
    <row r="2713" spans="1:19" ht="15" hidden="1" x14ac:dyDescent="0.25">
      <c r="A2713" s="7" t="s">
        <v>16</v>
      </c>
      <c r="B2713" s="7" t="s">
        <v>229</v>
      </c>
      <c r="C2713" s="7" t="s">
        <v>24</v>
      </c>
      <c r="D2713" s="4">
        <v>10892164000124</v>
      </c>
      <c r="E2713" s="8" t="s">
        <v>835</v>
      </c>
      <c r="F2713" s="8" t="s">
        <v>70</v>
      </c>
      <c r="G2713" s="8" t="s">
        <v>71</v>
      </c>
      <c r="H2713" s="8" t="s">
        <v>215</v>
      </c>
      <c r="I2713" s="3">
        <v>2</v>
      </c>
      <c r="J2713" s="8" t="s">
        <v>199</v>
      </c>
      <c r="K2713" s="8" t="s">
        <v>200</v>
      </c>
      <c r="L2713" s="8" t="s">
        <v>556</v>
      </c>
      <c r="M2713" s="1" t="s">
        <v>211</v>
      </c>
      <c r="N2713" s="8" t="s">
        <v>212</v>
      </c>
      <c r="O2713" s="6">
        <v>0</v>
      </c>
      <c r="P2713" s="6">
        <v>0</v>
      </c>
      <c r="Q2713" s="6">
        <v>0</v>
      </c>
      <c r="R2713" s="6">
        <v>60</v>
      </c>
      <c r="S2713" s="6">
        <v>0</v>
      </c>
    </row>
    <row r="2714" spans="1:19" ht="15" hidden="1" x14ac:dyDescent="0.25">
      <c r="A2714" s="7" t="s">
        <v>16</v>
      </c>
      <c r="B2714" s="7" t="s">
        <v>229</v>
      </c>
      <c r="C2714" s="7" t="s">
        <v>24</v>
      </c>
      <c r="D2714" s="4">
        <v>10892164000124</v>
      </c>
      <c r="E2714" s="8" t="s">
        <v>835</v>
      </c>
      <c r="F2714" s="8" t="s">
        <v>70</v>
      </c>
      <c r="G2714" s="8" t="s">
        <v>71</v>
      </c>
      <c r="H2714" s="8" t="s">
        <v>215</v>
      </c>
      <c r="I2714" s="3">
        <v>2</v>
      </c>
      <c r="J2714" s="8" t="s">
        <v>169</v>
      </c>
      <c r="K2714" s="8" t="s">
        <v>170</v>
      </c>
      <c r="L2714" s="8" t="s">
        <v>557</v>
      </c>
      <c r="M2714" s="1" t="s">
        <v>211</v>
      </c>
      <c r="N2714" s="8" t="s">
        <v>212</v>
      </c>
      <c r="O2714" s="6">
        <v>0</v>
      </c>
      <c r="P2714" s="6">
        <v>10</v>
      </c>
      <c r="Q2714" s="6">
        <v>0</v>
      </c>
      <c r="R2714" s="6">
        <v>0</v>
      </c>
      <c r="S2714" s="6">
        <v>0</v>
      </c>
    </row>
    <row r="2715" spans="1:19" ht="15" hidden="1" x14ac:dyDescent="0.25">
      <c r="A2715" s="7" t="s">
        <v>16</v>
      </c>
      <c r="B2715" s="7" t="s">
        <v>229</v>
      </c>
      <c r="C2715" s="7" t="s">
        <v>24</v>
      </c>
      <c r="D2715" s="4">
        <v>11214624000470</v>
      </c>
      <c r="E2715" s="8" t="s">
        <v>841</v>
      </c>
      <c r="F2715" s="8" t="s">
        <v>70</v>
      </c>
      <c r="G2715" s="8" t="s">
        <v>71</v>
      </c>
      <c r="H2715" s="8" t="s">
        <v>215</v>
      </c>
      <c r="I2715" s="3">
        <v>2</v>
      </c>
      <c r="J2715" s="8" t="s">
        <v>199</v>
      </c>
      <c r="K2715" s="8" t="s">
        <v>200</v>
      </c>
      <c r="L2715" s="8" t="s">
        <v>556</v>
      </c>
      <c r="M2715" s="1" t="s">
        <v>211</v>
      </c>
      <c r="N2715" s="8" t="s">
        <v>212</v>
      </c>
      <c r="O2715" s="6">
        <v>0</v>
      </c>
      <c r="P2715" s="6">
        <v>0</v>
      </c>
      <c r="Q2715" s="6">
        <v>0</v>
      </c>
      <c r="R2715" s="6">
        <v>0</v>
      </c>
      <c r="S2715" s="6">
        <v>50</v>
      </c>
    </row>
    <row r="2716" spans="1:19" ht="15" hidden="1" x14ac:dyDescent="0.25">
      <c r="A2716" s="7" t="s">
        <v>16</v>
      </c>
      <c r="B2716" s="7" t="s">
        <v>229</v>
      </c>
      <c r="C2716" s="7" t="s">
        <v>24</v>
      </c>
      <c r="D2716" s="4">
        <v>11214624000470</v>
      </c>
      <c r="E2716" s="8" t="s">
        <v>841</v>
      </c>
      <c r="F2716" s="8" t="s">
        <v>70</v>
      </c>
      <c r="G2716" s="8" t="s">
        <v>71</v>
      </c>
      <c r="H2716" s="8" t="s">
        <v>215</v>
      </c>
      <c r="I2716" s="3">
        <v>2</v>
      </c>
      <c r="J2716" s="8" t="s">
        <v>169</v>
      </c>
      <c r="K2716" s="8" t="s">
        <v>170</v>
      </c>
      <c r="L2716" s="8" t="s">
        <v>557</v>
      </c>
      <c r="M2716" s="1" t="s">
        <v>211</v>
      </c>
      <c r="N2716" s="8" t="s">
        <v>212</v>
      </c>
      <c r="O2716" s="6">
        <v>0</v>
      </c>
      <c r="P2716" s="6">
        <v>0</v>
      </c>
      <c r="Q2716" s="6">
        <v>0</v>
      </c>
      <c r="R2716" s="6">
        <v>0</v>
      </c>
      <c r="S2716" s="6">
        <v>50</v>
      </c>
    </row>
    <row r="2717" spans="1:19" ht="15" hidden="1" x14ac:dyDescent="0.25">
      <c r="A2717" s="7" t="s">
        <v>16</v>
      </c>
      <c r="B2717" s="7" t="s">
        <v>229</v>
      </c>
      <c r="C2717" s="7" t="s">
        <v>24</v>
      </c>
      <c r="D2717" s="4">
        <v>10839561000132</v>
      </c>
      <c r="E2717" s="8" t="s">
        <v>834</v>
      </c>
      <c r="F2717" s="8" t="s">
        <v>70</v>
      </c>
      <c r="G2717" s="8" t="s">
        <v>71</v>
      </c>
      <c r="H2717" s="8" t="s">
        <v>215</v>
      </c>
      <c r="I2717" s="3">
        <v>2</v>
      </c>
      <c r="J2717" s="8" t="s">
        <v>199</v>
      </c>
      <c r="K2717" s="8" t="s">
        <v>200</v>
      </c>
      <c r="L2717" s="8" t="s">
        <v>556</v>
      </c>
      <c r="M2717" s="1" t="s">
        <v>211</v>
      </c>
      <c r="N2717" s="8" t="s">
        <v>212</v>
      </c>
      <c r="O2717" s="6">
        <v>0</v>
      </c>
      <c r="P2717" s="6">
        <v>0</v>
      </c>
      <c r="Q2717" s="6">
        <v>0</v>
      </c>
      <c r="R2717" s="6">
        <v>8</v>
      </c>
      <c r="S2717" s="6">
        <v>0</v>
      </c>
    </row>
    <row r="2718" spans="1:19" ht="15" hidden="1" x14ac:dyDescent="0.25">
      <c r="A2718" s="7" t="s">
        <v>16</v>
      </c>
      <c r="B2718" s="7" t="s">
        <v>229</v>
      </c>
      <c r="C2718" s="7" t="s">
        <v>24</v>
      </c>
      <c r="D2718" s="4">
        <v>10839561000132</v>
      </c>
      <c r="E2718" s="8" t="s">
        <v>834</v>
      </c>
      <c r="F2718" s="8" t="s">
        <v>70</v>
      </c>
      <c r="G2718" s="8" t="s">
        <v>71</v>
      </c>
      <c r="H2718" s="8" t="s">
        <v>215</v>
      </c>
      <c r="I2718" s="3">
        <v>2</v>
      </c>
      <c r="J2718" s="8" t="s">
        <v>169</v>
      </c>
      <c r="K2718" s="8" t="s">
        <v>170</v>
      </c>
      <c r="L2718" s="8" t="s">
        <v>557</v>
      </c>
      <c r="M2718" s="1" t="s">
        <v>211</v>
      </c>
      <c r="N2718" s="8" t="s">
        <v>212</v>
      </c>
      <c r="O2718" s="6">
        <v>0</v>
      </c>
      <c r="P2718" s="6">
        <v>0</v>
      </c>
      <c r="Q2718" s="6">
        <v>0</v>
      </c>
      <c r="R2718" s="6">
        <v>0</v>
      </c>
      <c r="S2718" s="6">
        <v>0</v>
      </c>
    </row>
    <row r="2719" spans="1:19" ht="15" hidden="1" x14ac:dyDescent="0.25">
      <c r="A2719" s="7" t="s">
        <v>16</v>
      </c>
      <c r="B2719" s="7" t="s">
        <v>229</v>
      </c>
      <c r="C2719" s="7" t="s">
        <v>24</v>
      </c>
      <c r="D2719" s="4">
        <v>15126437000224</v>
      </c>
      <c r="E2719" s="8" t="s">
        <v>878</v>
      </c>
      <c r="F2719" s="8" t="s">
        <v>81</v>
      </c>
      <c r="G2719" s="8" t="s">
        <v>82</v>
      </c>
      <c r="H2719" s="8" t="s">
        <v>215</v>
      </c>
      <c r="I2719" s="3">
        <v>2</v>
      </c>
      <c r="J2719" s="8" t="s">
        <v>199</v>
      </c>
      <c r="K2719" s="8" t="s">
        <v>200</v>
      </c>
      <c r="L2719" s="8" t="s">
        <v>556</v>
      </c>
      <c r="M2719" s="1" t="s">
        <v>211</v>
      </c>
      <c r="N2719" s="8" t="s">
        <v>212</v>
      </c>
      <c r="O2719" s="6">
        <v>0</v>
      </c>
      <c r="P2719" s="6">
        <v>0</v>
      </c>
      <c r="Q2719" s="6">
        <v>0</v>
      </c>
      <c r="R2719" s="6">
        <v>0</v>
      </c>
      <c r="S2719" s="6">
        <v>0</v>
      </c>
    </row>
    <row r="2720" spans="1:19" ht="15" hidden="1" x14ac:dyDescent="0.25">
      <c r="A2720" s="7" t="s">
        <v>16</v>
      </c>
      <c r="B2720" s="7" t="s">
        <v>229</v>
      </c>
      <c r="C2720" s="7" t="s">
        <v>24</v>
      </c>
      <c r="D2720" s="4">
        <v>15126437000224</v>
      </c>
      <c r="E2720" s="8" t="s">
        <v>878</v>
      </c>
      <c r="F2720" s="8" t="s">
        <v>81</v>
      </c>
      <c r="G2720" s="8" t="s">
        <v>82</v>
      </c>
      <c r="H2720" s="8" t="s">
        <v>215</v>
      </c>
      <c r="I2720" s="3">
        <v>2</v>
      </c>
      <c r="J2720" s="8" t="s">
        <v>165</v>
      </c>
      <c r="K2720" s="8" t="s">
        <v>166</v>
      </c>
      <c r="L2720" s="8" t="s">
        <v>557</v>
      </c>
      <c r="M2720" s="1" t="s">
        <v>211</v>
      </c>
      <c r="N2720" s="8" t="s">
        <v>212</v>
      </c>
      <c r="O2720" s="6">
        <v>0</v>
      </c>
      <c r="P2720" s="6">
        <v>10</v>
      </c>
      <c r="Q2720" s="6">
        <v>0</v>
      </c>
      <c r="R2720" s="6">
        <v>0</v>
      </c>
      <c r="S2720" s="6">
        <v>0</v>
      </c>
    </row>
    <row r="2721" spans="1:19" ht="15" hidden="1" x14ac:dyDescent="0.25">
      <c r="A2721" s="7" t="s">
        <v>16</v>
      </c>
      <c r="B2721" s="7" t="s">
        <v>229</v>
      </c>
      <c r="C2721" s="7" t="s">
        <v>24</v>
      </c>
      <c r="D2721" s="4">
        <v>6555031000276</v>
      </c>
      <c r="E2721" s="8" t="s">
        <v>815</v>
      </c>
      <c r="F2721" s="8" t="s">
        <v>81</v>
      </c>
      <c r="G2721" s="8" t="s">
        <v>82</v>
      </c>
      <c r="H2721" s="8" t="s">
        <v>215</v>
      </c>
      <c r="I2721" s="3">
        <v>2</v>
      </c>
      <c r="J2721" s="8" t="s">
        <v>199</v>
      </c>
      <c r="K2721" s="8" t="s">
        <v>200</v>
      </c>
      <c r="L2721" s="8" t="s">
        <v>556</v>
      </c>
      <c r="M2721" s="1" t="s">
        <v>211</v>
      </c>
      <c r="N2721" s="8" t="s">
        <v>212</v>
      </c>
      <c r="O2721" s="6">
        <v>0</v>
      </c>
      <c r="P2721" s="6">
        <v>0</v>
      </c>
      <c r="Q2721" s="6">
        <v>0</v>
      </c>
      <c r="R2721" s="6">
        <v>64</v>
      </c>
      <c r="S2721" s="6">
        <v>0</v>
      </c>
    </row>
    <row r="2722" spans="1:19" ht="15" hidden="1" x14ac:dyDescent="0.25">
      <c r="A2722" s="7" t="s">
        <v>16</v>
      </c>
      <c r="B2722" s="7" t="s">
        <v>229</v>
      </c>
      <c r="C2722" s="7" t="s">
        <v>24</v>
      </c>
      <c r="D2722" s="4">
        <v>6555031000276</v>
      </c>
      <c r="E2722" s="8" t="s">
        <v>815</v>
      </c>
      <c r="F2722" s="8" t="s">
        <v>81</v>
      </c>
      <c r="G2722" s="8" t="s">
        <v>82</v>
      </c>
      <c r="H2722" s="8" t="s">
        <v>215</v>
      </c>
      <c r="I2722" s="3">
        <v>2</v>
      </c>
      <c r="J2722" s="8" t="s">
        <v>165</v>
      </c>
      <c r="K2722" s="8" t="s">
        <v>166</v>
      </c>
      <c r="L2722" s="8" t="s">
        <v>557</v>
      </c>
      <c r="M2722" s="1" t="s">
        <v>211</v>
      </c>
      <c r="N2722" s="8" t="s">
        <v>212</v>
      </c>
      <c r="O2722" s="6">
        <v>0</v>
      </c>
      <c r="P2722" s="6">
        <v>5</v>
      </c>
      <c r="Q2722" s="6">
        <v>0</v>
      </c>
      <c r="R2722" s="6">
        <v>0</v>
      </c>
      <c r="S2722" s="6">
        <v>0</v>
      </c>
    </row>
    <row r="2723" spans="1:19" ht="15" hidden="1" x14ac:dyDescent="0.25">
      <c r="A2723" s="7" t="s">
        <v>16</v>
      </c>
      <c r="B2723" s="7" t="s">
        <v>229</v>
      </c>
      <c r="C2723" s="7" t="s">
        <v>24</v>
      </c>
      <c r="D2723" s="4">
        <v>6553564000138</v>
      </c>
      <c r="E2723" s="8" t="s">
        <v>1152</v>
      </c>
      <c r="F2723" s="8" t="s">
        <v>81</v>
      </c>
      <c r="G2723" s="8" t="s">
        <v>82</v>
      </c>
      <c r="H2723" s="8" t="s">
        <v>215</v>
      </c>
      <c r="I2723" s="3">
        <v>2</v>
      </c>
      <c r="J2723" s="8" t="s">
        <v>199</v>
      </c>
      <c r="K2723" s="8" t="s">
        <v>200</v>
      </c>
      <c r="L2723" s="8" t="s">
        <v>556</v>
      </c>
      <c r="M2723" s="1" t="s">
        <v>211</v>
      </c>
      <c r="N2723" s="8" t="s">
        <v>212</v>
      </c>
      <c r="O2723" s="6">
        <v>0</v>
      </c>
      <c r="P2723" s="6">
        <v>0</v>
      </c>
      <c r="Q2723" s="6">
        <v>0</v>
      </c>
      <c r="R2723" s="6">
        <v>0</v>
      </c>
      <c r="S2723" s="6">
        <v>210</v>
      </c>
    </row>
    <row r="2724" spans="1:19" ht="15" hidden="1" x14ac:dyDescent="0.25">
      <c r="A2724" s="7" t="s">
        <v>16</v>
      </c>
      <c r="B2724" s="7" t="s">
        <v>229</v>
      </c>
      <c r="C2724" s="7" t="s">
        <v>24</v>
      </c>
      <c r="D2724" s="4">
        <v>6553564000138</v>
      </c>
      <c r="E2724" s="8" t="s">
        <v>1152</v>
      </c>
      <c r="F2724" s="8" t="s">
        <v>81</v>
      </c>
      <c r="G2724" s="8" t="s">
        <v>82</v>
      </c>
      <c r="H2724" s="8" t="s">
        <v>215</v>
      </c>
      <c r="I2724" s="3">
        <v>2</v>
      </c>
      <c r="J2724" s="8" t="s">
        <v>165</v>
      </c>
      <c r="K2724" s="8" t="s">
        <v>166</v>
      </c>
      <c r="L2724" s="8" t="s">
        <v>557</v>
      </c>
      <c r="M2724" s="1" t="s">
        <v>211</v>
      </c>
      <c r="N2724" s="8" t="s">
        <v>212</v>
      </c>
      <c r="O2724" s="6">
        <v>0</v>
      </c>
      <c r="P2724" s="6">
        <v>0</v>
      </c>
      <c r="Q2724" s="6">
        <v>0</v>
      </c>
      <c r="R2724" s="6">
        <v>0</v>
      </c>
      <c r="S2724" s="6">
        <v>210</v>
      </c>
    </row>
    <row r="2725" spans="1:19" ht="15" hidden="1" x14ac:dyDescent="0.25">
      <c r="A2725" s="7" t="s">
        <v>16</v>
      </c>
      <c r="B2725" s="7" t="s">
        <v>229</v>
      </c>
      <c r="C2725" s="7" t="s">
        <v>24</v>
      </c>
      <c r="D2725" s="4">
        <v>81170003000256</v>
      </c>
      <c r="E2725" s="8" t="s">
        <v>1000</v>
      </c>
      <c r="F2725" s="8" t="s">
        <v>112</v>
      </c>
      <c r="G2725" s="8" t="s">
        <v>57</v>
      </c>
      <c r="H2725" s="8" t="s">
        <v>215</v>
      </c>
      <c r="I2725" s="3">
        <v>2</v>
      </c>
      <c r="J2725" s="8" t="s">
        <v>175</v>
      </c>
      <c r="K2725" s="8" t="s">
        <v>176</v>
      </c>
      <c r="L2725" s="8" t="s">
        <v>556</v>
      </c>
      <c r="M2725" s="1" t="s">
        <v>205</v>
      </c>
      <c r="N2725" s="8" t="s">
        <v>206</v>
      </c>
      <c r="O2725" s="6">
        <v>1</v>
      </c>
      <c r="P2725" s="6">
        <v>0</v>
      </c>
      <c r="Q2725" s="6">
        <v>0</v>
      </c>
      <c r="R2725" s="6">
        <v>0</v>
      </c>
      <c r="S2725" s="6">
        <v>0</v>
      </c>
    </row>
    <row r="2726" spans="1:19" ht="15" hidden="1" x14ac:dyDescent="0.25">
      <c r="A2726" s="7" t="s">
        <v>16</v>
      </c>
      <c r="B2726" s="7" t="s">
        <v>229</v>
      </c>
      <c r="C2726" s="7" t="s">
        <v>24</v>
      </c>
      <c r="D2726" s="4">
        <v>81170003000256</v>
      </c>
      <c r="E2726" s="8" t="s">
        <v>1000</v>
      </c>
      <c r="F2726" s="8" t="s">
        <v>112</v>
      </c>
      <c r="G2726" s="8" t="s">
        <v>57</v>
      </c>
      <c r="H2726" s="8" t="s">
        <v>215</v>
      </c>
      <c r="I2726" s="3">
        <v>2</v>
      </c>
      <c r="J2726" s="8" t="s">
        <v>157</v>
      </c>
      <c r="K2726" s="8" t="s">
        <v>158</v>
      </c>
      <c r="L2726" s="8" t="s">
        <v>557</v>
      </c>
      <c r="M2726" s="1" t="s">
        <v>205</v>
      </c>
      <c r="N2726" s="8" t="s">
        <v>206</v>
      </c>
      <c r="O2726" s="6">
        <v>0</v>
      </c>
      <c r="P2726" s="6">
        <v>0</v>
      </c>
      <c r="Q2726" s="6">
        <v>0</v>
      </c>
      <c r="R2726" s="6">
        <v>0</v>
      </c>
      <c r="S2726" s="6">
        <v>0</v>
      </c>
    </row>
    <row r="2727" spans="1:19" ht="15" x14ac:dyDescent="0.25">
      <c r="A2727" s="7" t="s">
        <v>16</v>
      </c>
      <c r="B2727" s="7" t="s">
        <v>229</v>
      </c>
      <c r="C2727" s="7" t="s">
        <v>24</v>
      </c>
      <c r="D2727" s="4">
        <v>21998635000108</v>
      </c>
      <c r="E2727" s="8" t="s">
        <v>971</v>
      </c>
      <c r="F2727" s="8" t="s">
        <v>112</v>
      </c>
      <c r="G2727" s="8" t="s">
        <v>57</v>
      </c>
      <c r="H2727" s="8" t="s">
        <v>215</v>
      </c>
      <c r="I2727" s="3">
        <v>2</v>
      </c>
      <c r="J2727" s="8" t="s">
        <v>175</v>
      </c>
      <c r="K2727" s="8" t="s">
        <v>176</v>
      </c>
      <c r="L2727" s="8" t="s">
        <v>556</v>
      </c>
      <c r="M2727" s="1" t="s">
        <v>205</v>
      </c>
      <c r="N2727" s="8" t="s">
        <v>206</v>
      </c>
      <c r="O2727" s="6">
        <v>0</v>
      </c>
      <c r="P2727" s="6">
        <v>0</v>
      </c>
      <c r="Q2727" s="6">
        <v>0</v>
      </c>
      <c r="R2727" s="6">
        <v>0</v>
      </c>
      <c r="S2727" s="6">
        <v>20</v>
      </c>
    </row>
    <row r="2728" spans="1:19" ht="15" hidden="1" x14ac:dyDescent="0.25">
      <c r="A2728" s="7" t="s">
        <v>16</v>
      </c>
      <c r="B2728" s="7" t="s">
        <v>229</v>
      </c>
      <c r="C2728" s="7" t="s">
        <v>24</v>
      </c>
      <c r="D2728" s="4">
        <v>21998635000108</v>
      </c>
      <c r="E2728" s="8" t="s">
        <v>971</v>
      </c>
      <c r="F2728" s="8" t="s">
        <v>112</v>
      </c>
      <c r="G2728" s="8" t="s">
        <v>57</v>
      </c>
      <c r="H2728" s="8" t="s">
        <v>215</v>
      </c>
      <c r="I2728" s="3">
        <v>2</v>
      </c>
      <c r="J2728" s="8" t="s">
        <v>157</v>
      </c>
      <c r="K2728" s="8" t="s">
        <v>158</v>
      </c>
      <c r="L2728" s="8" t="s">
        <v>557</v>
      </c>
      <c r="M2728" s="1" t="s">
        <v>205</v>
      </c>
      <c r="N2728" s="8" t="s">
        <v>206</v>
      </c>
      <c r="O2728" s="6">
        <v>0</v>
      </c>
      <c r="P2728" s="6">
        <v>0</v>
      </c>
      <c r="Q2728" s="6">
        <v>0</v>
      </c>
      <c r="R2728" s="6">
        <v>0</v>
      </c>
      <c r="S2728" s="6">
        <v>20</v>
      </c>
    </row>
    <row r="2729" spans="1:19" ht="15" hidden="1" x14ac:dyDescent="0.25">
      <c r="A2729" s="7" t="s">
        <v>16</v>
      </c>
      <c r="B2729" s="7" t="s">
        <v>229</v>
      </c>
      <c r="C2729" s="7" t="s">
        <v>24</v>
      </c>
      <c r="D2729" s="4">
        <v>81270548000153</v>
      </c>
      <c r="E2729" s="8" t="s">
        <v>1002</v>
      </c>
      <c r="F2729" s="8" t="s">
        <v>112</v>
      </c>
      <c r="G2729" s="8" t="s">
        <v>57</v>
      </c>
      <c r="H2729" s="8" t="s">
        <v>215</v>
      </c>
      <c r="I2729" s="3">
        <v>2</v>
      </c>
      <c r="J2729" s="8" t="s">
        <v>175</v>
      </c>
      <c r="K2729" s="8" t="s">
        <v>176</v>
      </c>
      <c r="L2729" s="8" t="s">
        <v>556</v>
      </c>
      <c r="M2729" s="1" t="s">
        <v>205</v>
      </c>
      <c r="N2729" s="8" t="s">
        <v>206</v>
      </c>
      <c r="O2729" s="6">
        <v>0</v>
      </c>
      <c r="P2729" s="6">
        <v>0</v>
      </c>
      <c r="Q2729" s="6">
        <v>0</v>
      </c>
      <c r="R2729" s="6">
        <v>0</v>
      </c>
      <c r="S2729" s="6">
        <v>0</v>
      </c>
    </row>
    <row r="2730" spans="1:19" ht="15" hidden="1" x14ac:dyDescent="0.25">
      <c r="A2730" s="7" t="s">
        <v>16</v>
      </c>
      <c r="B2730" s="7" t="s">
        <v>229</v>
      </c>
      <c r="C2730" s="7" t="s">
        <v>24</v>
      </c>
      <c r="D2730" s="4">
        <v>81270548000153</v>
      </c>
      <c r="E2730" s="8" t="s">
        <v>1002</v>
      </c>
      <c r="F2730" s="8" t="s">
        <v>112</v>
      </c>
      <c r="G2730" s="8" t="s">
        <v>57</v>
      </c>
      <c r="H2730" s="8" t="s">
        <v>215</v>
      </c>
      <c r="I2730" s="3">
        <v>2</v>
      </c>
      <c r="J2730" s="8" t="s">
        <v>157</v>
      </c>
      <c r="K2730" s="8" t="s">
        <v>158</v>
      </c>
      <c r="L2730" s="8" t="s">
        <v>557</v>
      </c>
      <c r="M2730" s="1" t="s">
        <v>205</v>
      </c>
      <c r="N2730" s="8" t="s">
        <v>206</v>
      </c>
      <c r="O2730" s="6">
        <v>0</v>
      </c>
      <c r="P2730" s="6">
        <v>0</v>
      </c>
      <c r="Q2730" s="6">
        <v>5</v>
      </c>
      <c r="R2730" s="6">
        <v>0</v>
      </c>
      <c r="S2730" s="6">
        <v>0</v>
      </c>
    </row>
    <row r="2731" spans="1:19" ht="15" x14ac:dyDescent="0.25">
      <c r="A2731" s="7" t="s">
        <v>16</v>
      </c>
      <c r="B2731" s="7" t="s">
        <v>229</v>
      </c>
      <c r="C2731" s="7" t="s">
        <v>24</v>
      </c>
      <c r="D2731" s="4">
        <v>81733115000197</v>
      </c>
      <c r="E2731" s="8" t="s">
        <v>1005</v>
      </c>
      <c r="F2731" s="8" t="s">
        <v>1006</v>
      </c>
      <c r="G2731" s="8" t="s">
        <v>57</v>
      </c>
      <c r="H2731" s="8" t="s">
        <v>215</v>
      </c>
      <c r="I2731" s="3">
        <v>2</v>
      </c>
      <c r="J2731" s="8" t="s">
        <v>175</v>
      </c>
      <c r="K2731" s="8" t="s">
        <v>176</v>
      </c>
      <c r="L2731" s="8" t="s">
        <v>556</v>
      </c>
      <c r="M2731" s="1" t="s">
        <v>205</v>
      </c>
      <c r="N2731" s="8" t="s">
        <v>206</v>
      </c>
      <c r="O2731" s="6">
        <v>0</v>
      </c>
      <c r="P2731" s="6">
        <v>0</v>
      </c>
      <c r="Q2731" s="6">
        <v>0</v>
      </c>
      <c r="R2731" s="6">
        <v>0</v>
      </c>
      <c r="S2731" s="6">
        <v>60</v>
      </c>
    </row>
    <row r="2732" spans="1:19" ht="15" hidden="1" x14ac:dyDescent="0.25">
      <c r="A2732" s="7" t="s">
        <v>16</v>
      </c>
      <c r="B2732" s="7" t="s">
        <v>229</v>
      </c>
      <c r="C2732" s="7" t="s">
        <v>24</v>
      </c>
      <c r="D2732" s="4">
        <v>81733115000197</v>
      </c>
      <c r="E2732" s="8" t="s">
        <v>1005</v>
      </c>
      <c r="F2732" s="8" t="s">
        <v>1006</v>
      </c>
      <c r="G2732" s="8" t="s">
        <v>57</v>
      </c>
      <c r="H2732" s="8" t="s">
        <v>215</v>
      </c>
      <c r="I2732" s="3">
        <v>2</v>
      </c>
      <c r="J2732" s="8" t="s">
        <v>157</v>
      </c>
      <c r="K2732" s="8" t="s">
        <v>158</v>
      </c>
      <c r="L2732" s="8" t="s">
        <v>557</v>
      </c>
      <c r="M2732" s="1" t="s">
        <v>205</v>
      </c>
      <c r="N2732" s="8" t="s">
        <v>206</v>
      </c>
      <c r="O2732" s="6">
        <v>0</v>
      </c>
      <c r="P2732" s="6">
        <v>0</v>
      </c>
      <c r="Q2732" s="6">
        <v>0</v>
      </c>
      <c r="R2732" s="6">
        <v>0</v>
      </c>
      <c r="S2732" s="6">
        <v>60</v>
      </c>
    </row>
    <row r="2733" spans="1:19" ht="15" hidden="1" x14ac:dyDescent="0.25">
      <c r="A2733" s="7" t="s">
        <v>16</v>
      </c>
      <c r="B2733" s="7" t="s">
        <v>229</v>
      </c>
      <c r="C2733" s="7" t="s">
        <v>24</v>
      </c>
      <c r="D2733" s="4">
        <v>7734165000136</v>
      </c>
      <c r="E2733" s="8" t="s">
        <v>954</v>
      </c>
      <c r="F2733" s="8" t="s">
        <v>94</v>
      </c>
      <c r="G2733" s="8" t="s">
        <v>57</v>
      </c>
      <c r="H2733" s="8" t="s">
        <v>215</v>
      </c>
      <c r="I2733" s="3">
        <v>2</v>
      </c>
      <c r="J2733" s="8" t="s">
        <v>175</v>
      </c>
      <c r="K2733" s="8" t="s">
        <v>176</v>
      </c>
      <c r="L2733" s="8" t="s">
        <v>556</v>
      </c>
      <c r="M2733" s="1" t="s">
        <v>205</v>
      </c>
      <c r="N2733" s="8" t="s">
        <v>206</v>
      </c>
      <c r="O2733" s="6">
        <v>0</v>
      </c>
      <c r="P2733" s="6">
        <v>0</v>
      </c>
      <c r="Q2733" s="6">
        <v>0</v>
      </c>
      <c r="R2733" s="6">
        <v>64</v>
      </c>
      <c r="S2733" s="6">
        <v>3000</v>
      </c>
    </row>
    <row r="2734" spans="1:19" ht="15" hidden="1" x14ac:dyDescent="0.25">
      <c r="A2734" s="7" t="s">
        <v>16</v>
      </c>
      <c r="B2734" s="7" t="s">
        <v>229</v>
      </c>
      <c r="C2734" s="7" t="s">
        <v>24</v>
      </c>
      <c r="D2734" s="4">
        <v>7734165000136</v>
      </c>
      <c r="E2734" s="8" t="s">
        <v>954</v>
      </c>
      <c r="F2734" s="8" t="s">
        <v>94</v>
      </c>
      <c r="G2734" s="8" t="s">
        <v>57</v>
      </c>
      <c r="H2734" s="8" t="s">
        <v>215</v>
      </c>
      <c r="I2734" s="3">
        <v>2</v>
      </c>
      <c r="J2734" s="8" t="s">
        <v>157</v>
      </c>
      <c r="K2734" s="8" t="s">
        <v>158</v>
      </c>
      <c r="L2734" s="8" t="s">
        <v>557</v>
      </c>
      <c r="M2734" s="1" t="s">
        <v>205</v>
      </c>
      <c r="N2734" s="8" t="s">
        <v>206</v>
      </c>
      <c r="O2734" s="6">
        <v>0</v>
      </c>
      <c r="P2734" s="6">
        <v>0</v>
      </c>
      <c r="Q2734" s="6">
        <v>0</v>
      </c>
      <c r="R2734" s="6">
        <v>0</v>
      </c>
      <c r="S2734" s="6">
        <v>3000</v>
      </c>
    </row>
    <row r="2735" spans="1:19" ht="15" hidden="1" x14ac:dyDescent="0.25">
      <c r="A2735" s="7" t="s">
        <v>16</v>
      </c>
      <c r="B2735" s="7" t="s">
        <v>229</v>
      </c>
      <c r="C2735" s="7" t="s">
        <v>24</v>
      </c>
      <c r="D2735" s="4">
        <v>7404052000172</v>
      </c>
      <c r="E2735" s="8" t="s">
        <v>953</v>
      </c>
      <c r="F2735" s="8" t="s">
        <v>94</v>
      </c>
      <c r="G2735" s="8" t="s">
        <v>57</v>
      </c>
      <c r="H2735" s="8" t="s">
        <v>215</v>
      </c>
      <c r="I2735" s="3">
        <v>2</v>
      </c>
      <c r="J2735" s="8" t="s">
        <v>175</v>
      </c>
      <c r="K2735" s="8" t="s">
        <v>176</v>
      </c>
      <c r="L2735" s="8" t="s">
        <v>556</v>
      </c>
      <c r="M2735" s="1" t="s">
        <v>205</v>
      </c>
      <c r="N2735" s="8" t="s">
        <v>206</v>
      </c>
      <c r="O2735" s="6">
        <v>0</v>
      </c>
      <c r="P2735" s="6">
        <v>0</v>
      </c>
      <c r="Q2735" s="6">
        <v>0</v>
      </c>
      <c r="R2735" s="6">
        <v>0</v>
      </c>
      <c r="S2735" s="6">
        <v>65</v>
      </c>
    </row>
    <row r="2736" spans="1:19" ht="15" hidden="1" x14ac:dyDescent="0.25">
      <c r="A2736" s="7" t="s">
        <v>16</v>
      </c>
      <c r="B2736" s="7" t="s">
        <v>229</v>
      </c>
      <c r="C2736" s="7" t="s">
        <v>24</v>
      </c>
      <c r="D2736" s="4">
        <v>7404052000172</v>
      </c>
      <c r="E2736" s="8" t="s">
        <v>953</v>
      </c>
      <c r="F2736" s="8" t="s">
        <v>94</v>
      </c>
      <c r="G2736" s="8" t="s">
        <v>57</v>
      </c>
      <c r="H2736" s="8" t="s">
        <v>215</v>
      </c>
      <c r="I2736" s="3">
        <v>2</v>
      </c>
      <c r="J2736" s="8" t="s">
        <v>157</v>
      </c>
      <c r="K2736" s="8" t="s">
        <v>158</v>
      </c>
      <c r="L2736" s="8" t="s">
        <v>557</v>
      </c>
      <c r="M2736" s="1" t="s">
        <v>205</v>
      </c>
      <c r="N2736" s="8" t="s">
        <v>206</v>
      </c>
      <c r="O2736" s="6">
        <v>0</v>
      </c>
      <c r="P2736" s="6">
        <v>0</v>
      </c>
      <c r="Q2736" s="6">
        <v>0</v>
      </c>
      <c r="R2736" s="6">
        <v>0</v>
      </c>
      <c r="S2736" s="6">
        <v>65</v>
      </c>
    </row>
    <row r="2737" spans="1:19" ht="15" x14ac:dyDescent="0.25">
      <c r="A2737" s="7" t="s">
        <v>16</v>
      </c>
      <c r="B2737" s="7" t="s">
        <v>229</v>
      </c>
      <c r="C2737" s="7" t="s">
        <v>24</v>
      </c>
      <c r="D2737" s="4">
        <v>76591569000130</v>
      </c>
      <c r="E2737" s="8" t="s">
        <v>985</v>
      </c>
      <c r="F2737" s="8" t="s">
        <v>94</v>
      </c>
      <c r="G2737" s="8" t="s">
        <v>57</v>
      </c>
      <c r="H2737" s="8" t="s">
        <v>215</v>
      </c>
      <c r="I2737" s="3">
        <v>2</v>
      </c>
      <c r="J2737" s="8" t="s">
        <v>175</v>
      </c>
      <c r="K2737" s="8" t="s">
        <v>176</v>
      </c>
      <c r="L2737" s="8" t="s">
        <v>556</v>
      </c>
      <c r="M2737" s="1" t="s">
        <v>205</v>
      </c>
      <c r="N2737" s="8" t="s">
        <v>206</v>
      </c>
      <c r="O2737" s="6">
        <v>0</v>
      </c>
      <c r="P2737" s="6">
        <v>0</v>
      </c>
      <c r="Q2737" s="6">
        <v>0</v>
      </c>
      <c r="R2737" s="6">
        <v>0</v>
      </c>
      <c r="S2737" s="6">
        <v>375</v>
      </c>
    </row>
    <row r="2738" spans="1:19" ht="15" hidden="1" x14ac:dyDescent="0.25">
      <c r="A2738" s="7" t="s">
        <v>16</v>
      </c>
      <c r="B2738" s="7" t="s">
        <v>229</v>
      </c>
      <c r="C2738" s="7" t="s">
        <v>24</v>
      </c>
      <c r="D2738" s="4">
        <v>76591569000130</v>
      </c>
      <c r="E2738" s="8" t="s">
        <v>985</v>
      </c>
      <c r="F2738" s="8" t="s">
        <v>94</v>
      </c>
      <c r="G2738" s="8" t="s">
        <v>57</v>
      </c>
      <c r="H2738" s="8" t="s">
        <v>215</v>
      </c>
      <c r="I2738" s="3">
        <v>2</v>
      </c>
      <c r="J2738" s="8" t="s">
        <v>157</v>
      </c>
      <c r="K2738" s="8" t="s">
        <v>158</v>
      </c>
      <c r="L2738" s="8" t="s">
        <v>557</v>
      </c>
      <c r="M2738" s="1" t="s">
        <v>205</v>
      </c>
      <c r="N2738" s="8" t="s">
        <v>206</v>
      </c>
      <c r="O2738" s="6">
        <v>0</v>
      </c>
      <c r="P2738" s="6">
        <v>0</v>
      </c>
      <c r="Q2738" s="6">
        <v>0</v>
      </c>
      <c r="R2738" s="6">
        <v>0</v>
      </c>
      <c r="S2738" s="6">
        <v>375</v>
      </c>
    </row>
    <row r="2739" spans="1:19" ht="15" x14ac:dyDescent="0.25">
      <c r="A2739" s="7" t="s">
        <v>16</v>
      </c>
      <c r="B2739" s="7" t="s">
        <v>229</v>
      </c>
      <c r="C2739" s="7" t="s">
        <v>24</v>
      </c>
      <c r="D2739" s="4">
        <v>76659820002367</v>
      </c>
      <c r="E2739" s="8" t="s">
        <v>986</v>
      </c>
      <c r="F2739" s="8" t="s">
        <v>94</v>
      </c>
      <c r="G2739" s="8" t="s">
        <v>57</v>
      </c>
      <c r="H2739" s="8" t="s">
        <v>215</v>
      </c>
      <c r="I2739" s="3">
        <v>2</v>
      </c>
      <c r="J2739" s="8" t="s">
        <v>175</v>
      </c>
      <c r="K2739" s="8" t="s">
        <v>176</v>
      </c>
      <c r="L2739" s="8" t="s">
        <v>556</v>
      </c>
      <c r="M2739" s="1" t="s">
        <v>205</v>
      </c>
      <c r="N2739" s="8" t="s">
        <v>206</v>
      </c>
      <c r="O2739" s="6">
        <v>0</v>
      </c>
      <c r="P2739" s="6">
        <v>0</v>
      </c>
      <c r="Q2739" s="6">
        <v>0</v>
      </c>
      <c r="R2739" s="6">
        <v>0</v>
      </c>
      <c r="S2739" s="6">
        <v>90</v>
      </c>
    </row>
    <row r="2740" spans="1:19" ht="15" hidden="1" x14ac:dyDescent="0.25">
      <c r="A2740" s="7" t="s">
        <v>16</v>
      </c>
      <c r="B2740" s="7" t="s">
        <v>229</v>
      </c>
      <c r="C2740" s="7" t="s">
        <v>24</v>
      </c>
      <c r="D2740" s="4">
        <v>76659820002367</v>
      </c>
      <c r="E2740" s="8" t="s">
        <v>986</v>
      </c>
      <c r="F2740" s="8" t="s">
        <v>94</v>
      </c>
      <c r="G2740" s="8" t="s">
        <v>57</v>
      </c>
      <c r="H2740" s="8" t="s">
        <v>215</v>
      </c>
      <c r="I2740" s="3">
        <v>2</v>
      </c>
      <c r="J2740" s="8" t="s">
        <v>157</v>
      </c>
      <c r="K2740" s="8" t="s">
        <v>158</v>
      </c>
      <c r="L2740" s="8" t="s">
        <v>557</v>
      </c>
      <c r="M2740" s="1" t="s">
        <v>205</v>
      </c>
      <c r="N2740" s="8" t="s">
        <v>206</v>
      </c>
      <c r="O2740" s="6">
        <v>0</v>
      </c>
      <c r="P2740" s="6">
        <v>0</v>
      </c>
      <c r="Q2740" s="6">
        <v>0</v>
      </c>
      <c r="R2740" s="6">
        <v>0</v>
      </c>
      <c r="S2740" s="6">
        <v>90</v>
      </c>
    </row>
    <row r="2741" spans="1:19" ht="15" hidden="1" x14ac:dyDescent="0.25">
      <c r="A2741" s="7" t="s">
        <v>16</v>
      </c>
      <c r="B2741" s="7" t="s">
        <v>229</v>
      </c>
      <c r="C2741" s="7" t="s">
        <v>24</v>
      </c>
      <c r="D2741" s="4">
        <v>76498013000102</v>
      </c>
      <c r="E2741" s="8" t="s">
        <v>982</v>
      </c>
      <c r="F2741" s="8" t="s">
        <v>94</v>
      </c>
      <c r="G2741" s="8" t="s">
        <v>57</v>
      </c>
      <c r="H2741" s="8" t="s">
        <v>215</v>
      </c>
      <c r="I2741" s="3">
        <v>2</v>
      </c>
      <c r="J2741" s="8" t="s">
        <v>175</v>
      </c>
      <c r="K2741" s="8" t="s">
        <v>176</v>
      </c>
      <c r="L2741" s="8" t="s">
        <v>556</v>
      </c>
      <c r="M2741" s="1" t="s">
        <v>205</v>
      </c>
      <c r="N2741" s="8" t="s">
        <v>206</v>
      </c>
      <c r="O2741" s="6">
        <v>0</v>
      </c>
      <c r="P2741" s="6">
        <v>0</v>
      </c>
      <c r="Q2741" s="6">
        <v>0</v>
      </c>
      <c r="R2741" s="6">
        <v>0</v>
      </c>
      <c r="S2741" s="6">
        <v>150</v>
      </c>
    </row>
    <row r="2742" spans="1:19" ht="15" hidden="1" x14ac:dyDescent="0.25">
      <c r="A2742" s="7" t="s">
        <v>16</v>
      </c>
      <c r="B2742" s="7" t="s">
        <v>229</v>
      </c>
      <c r="C2742" s="7" t="s">
        <v>24</v>
      </c>
      <c r="D2742" s="4">
        <v>76498013000102</v>
      </c>
      <c r="E2742" s="8" t="s">
        <v>982</v>
      </c>
      <c r="F2742" s="8" t="s">
        <v>94</v>
      </c>
      <c r="G2742" s="8" t="s">
        <v>57</v>
      </c>
      <c r="H2742" s="8" t="s">
        <v>215</v>
      </c>
      <c r="I2742" s="3">
        <v>2</v>
      </c>
      <c r="J2742" s="8" t="s">
        <v>157</v>
      </c>
      <c r="K2742" s="8" t="s">
        <v>158</v>
      </c>
      <c r="L2742" s="8" t="s">
        <v>557</v>
      </c>
      <c r="M2742" s="1" t="s">
        <v>205</v>
      </c>
      <c r="N2742" s="8" t="s">
        <v>206</v>
      </c>
      <c r="O2742" s="6">
        <v>0</v>
      </c>
      <c r="P2742" s="6">
        <v>0</v>
      </c>
      <c r="Q2742" s="6">
        <v>0</v>
      </c>
      <c r="R2742" s="6">
        <v>0</v>
      </c>
      <c r="S2742" s="6">
        <v>150</v>
      </c>
    </row>
    <row r="2743" spans="1:19" ht="15" hidden="1" x14ac:dyDescent="0.25">
      <c r="A2743" s="7" t="s">
        <v>16</v>
      </c>
      <c r="B2743" s="7" t="s">
        <v>229</v>
      </c>
      <c r="C2743" s="7" t="s">
        <v>24</v>
      </c>
      <c r="D2743" s="4">
        <v>76555069000143</v>
      </c>
      <c r="E2743" s="8" t="s">
        <v>983</v>
      </c>
      <c r="F2743" s="8" t="s">
        <v>94</v>
      </c>
      <c r="G2743" s="8" t="s">
        <v>57</v>
      </c>
      <c r="H2743" s="8" t="s">
        <v>215</v>
      </c>
      <c r="I2743" s="3">
        <v>2</v>
      </c>
      <c r="J2743" s="8" t="s">
        <v>175</v>
      </c>
      <c r="K2743" s="8" t="s">
        <v>176</v>
      </c>
      <c r="L2743" s="8" t="s">
        <v>556</v>
      </c>
      <c r="M2743" s="1" t="s">
        <v>205</v>
      </c>
      <c r="N2743" s="8" t="s">
        <v>206</v>
      </c>
      <c r="O2743" s="6">
        <v>0</v>
      </c>
      <c r="P2743" s="6">
        <v>0</v>
      </c>
      <c r="Q2743" s="6">
        <v>0</v>
      </c>
      <c r="R2743" s="6">
        <v>0</v>
      </c>
      <c r="S2743" s="6">
        <v>95</v>
      </c>
    </row>
    <row r="2744" spans="1:19" ht="15" hidden="1" x14ac:dyDescent="0.25">
      <c r="A2744" s="7" t="s">
        <v>16</v>
      </c>
      <c r="B2744" s="7" t="s">
        <v>229</v>
      </c>
      <c r="C2744" s="7" t="s">
        <v>24</v>
      </c>
      <c r="D2744" s="4">
        <v>76555069000143</v>
      </c>
      <c r="E2744" s="8" t="s">
        <v>983</v>
      </c>
      <c r="F2744" s="8" t="s">
        <v>94</v>
      </c>
      <c r="G2744" s="8" t="s">
        <v>57</v>
      </c>
      <c r="H2744" s="8" t="s">
        <v>215</v>
      </c>
      <c r="I2744" s="3">
        <v>2</v>
      </c>
      <c r="J2744" s="8" t="s">
        <v>157</v>
      </c>
      <c r="K2744" s="8" t="s">
        <v>158</v>
      </c>
      <c r="L2744" s="8" t="s">
        <v>557</v>
      </c>
      <c r="M2744" s="1" t="s">
        <v>205</v>
      </c>
      <c r="N2744" s="8" t="s">
        <v>206</v>
      </c>
      <c r="O2744" s="6">
        <v>0</v>
      </c>
      <c r="P2744" s="6">
        <v>0</v>
      </c>
      <c r="Q2744" s="6">
        <v>0</v>
      </c>
      <c r="R2744" s="6">
        <v>0</v>
      </c>
      <c r="S2744" s="6">
        <v>95</v>
      </c>
    </row>
    <row r="2745" spans="1:19" ht="15" x14ac:dyDescent="0.25">
      <c r="A2745" s="7" t="s">
        <v>16</v>
      </c>
      <c r="B2745" s="7" t="s">
        <v>229</v>
      </c>
      <c r="C2745" s="7" t="s">
        <v>24</v>
      </c>
      <c r="D2745" s="4">
        <v>29435005005600</v>
      </c>
      <c r="E2745" s="8" t="s">
        <v>974</v>
      </c>
      <c r="F2745" s="8" t="s">
        <v>94</v>
      </c>
      <c r="G2745" s="8" t="s">
        <v>57</v>
      </c>
      <c r="H2745" s="8" t="s">
        <v>215</v>
      </c>
      <c r="I2745" s="3">
        <v>2</v>
      </c>
      <c r="J2745" s="8" t="s">
        <v>175</v>
      </c>
      <c r="K2745" s="8" t="s">
        <v>176</v>
      </c>
      <c r="L2745" s="8" t="s">
        <v>556</v>
      </c>
      <c r="M2745" s="1" t="s">
        <v>205</v>
      </c>
      <c r="N2745" s="8" t="s">
        <v>206</v>
      </c>
      <c r="O2745" s="6">
        <v>0</v>
      </c>
      <c r="P2745" s="6">
        <v>0</v>
      </c>
      <c r="Q2745" s="6">
        <v>0</v>
      </c>
      <c r="R2745" s="6">
        <v>0</v>
      </c>
      <c r="S2745" s="6">
        <v>55</v>
      </c>
    </row>
    <row r="2746" spans="1:19" ht="15" hidden="1" x14ac:dyDescent="0.25">
      <c r="A2746" s="7" t="s">
        <v>16</v>
      </c>
      <c r="B2746" s="7" t="s">
        <v>229</v>
      </c>
      <c r="C2746" s="7" t="s">
        <v>24</v>
      </c>
      <c r="D2746" s="4">
        <v>29435005005600</v>
      </c>
      <c r="E2746" s="8" t="s">
        <v>974</v>
      </c>
      <c r="F2746" s="8" t="s">
        <v>94</v>
      </c>
      <c r="G2746" s="8" t="s">
        <v>57</v>
      </c>
      <c r="H2746" s="8" t="s">
        <v>215</v>
      </c>
      <c r="I2746" s="3">
        <v>2</v>
      </c>
      <c r="J2746" s="8" t="s">
        <v>157</v>
      </c>
      <c r="K2746" s="8" t="s">
        <v>158</v>
      </c>
      <c r="L2746" s="8" t="s">
        <v>557</v>
      </c>
      <c r="M2746" s="1" t="s">
        <v>205</v>
      </c>
      <c r="N2746" s="8" t="s">
        <v>206</v>
      </c>
      <c r="O2746" s="6">
        <v>0</v>
      </c>
      <c r="P2746" s="6">
        <v>0</v>
      </c>
      <c r="Q2746" s="6">
        <v>0</v>
      </c>
      <c r="R2746" s="6">
        <v>0</v>
      </c>
      <c r="S2746" s="6">
        <v>55</v>
      </c>
    </row>
    <row r="2747" spans="1:19" ht="15" x14ac:dyDescent="0.25">
      <c r="A2747" s="7" t="s">
        <v>16</v>
      </c>
      <c r="B2747" s="7" t="s">
        <v>229</v>
      </c>
      <c r="C2747" s="7" t="s">
        <v>24</v>
      </c>
      <c r="D2747" s="4">
        <v>3850913000195</v>
      </c>
      <c r="E2747" s="8" t="s">
        <v>945</v>
      </c>
      <c r="F2747" s="8" t="s">
        <v>94</v>
      </c>
      <c r="G2747" s="8" t="s">
        <v>57</v>
      </c>
      <c r="H2747" s="8" t="s">
        <v>215</v>
      </c>
      <c r="I2747" s="3">
        <v>2</v>
      </c>
      <c r="J2747" s="8" t="s">
        <v>175</v>
      </c>
      <c r="K2747" s="8" t="s">
        <v>176</v>
      </c>
      <c r="L2747" s="8" t="s">
        <v>556</v>
      </c>
      <c r="M2747" s="1" t="s">
        <v>205</v>
      </c>
      <c r="N2747" s="8" t="s">
        <v>206</v>
      </c>
      <c r="O2747" s="6">
        <v>0</v>
      </c>
      <c r="P2747" s="6">
        <v>0</v>
      </c>
      <c r="Q2747" s="6">
        <v>0</v>
      </c>
      <c r="R2747" s="6">
        <v>0</v>
      </c>
      <c r="S2747" s="6">
        <v>630</v>
      </c>
    </row>
    <row r="2748" spans="1:19" ht="15" hidden="1" x14ac:dyDescent="0.25">
      <c r="A2748" s="7" t="s">
        <v>16</v>
      </c>
      <c r="B2748" s="7" t="s">
        <v>229</v>
      </c>
      <c r="C2748" s="7" t="s">
        <v>24</v>
      </c>
      <c r="D2748" s="4">
        <v>3850913000195</v>
      </c>
      <c r="E2748" s="8" t="s">
        <v>945</v>
      </c>
      <c r="F2748" s="8" t="s">
        <v>94</v>
      </c>
      <c r="G2748" s="8" t="s">
        <v>57</v>
      </c>
      <c r="H2748" s="8" t="s">
        <v>215</v>
      </c>
      <c r="I2748" s="3">
        <v>2</v>
      </c>
      <c r="J2748" s="8" t="s">
        <v>157</v>
      </c>
      <c r="K2748" s="8" t="s">
        <v>158</v>
      </c>
      <c r="L2748" s="8" t="s">
        <v>557</v>
      </c>
      <c r="M2748" s="1" t="s">
        <v>205</v>
      </c>
      <c r="N2748" s="8" t="s">
        <v>206</v>
      </c>
      <c r="O2748" s="6">
        <v>0</v>
      </c>
      <c r="P2748" s="6">
        <v>0</v>
      </c>
      <c r="Q2748" s="6">
        <v>0</v>
      </c>
      <c r="R2748" s="6">
        <v>0</v>
      </c>
      <c r="S2748" s="6">
        <v>630</v>
      </c>
    </row>
    <row r="2749" spans="1:19" ht="15" hidden="1" x14ac:dyDescent="0.25">
      <c r="A2749" s="7" t="s">
        <v>16</v>
      </c>
      <c r="B2749" s="7" t="s">
        <v>229</v>
      </c>
      <c r="C2749" s="7" t="s">
        <v>24</v>
      </c>
      <c r="D2749" s="4">
        <v>5503803000182</v>
      </c>
      <c r="E2749" s="8" t="s">
        <v>1400</v>
      </c>
      <c r="F2749" s="8" t="s">
        <v>94</v>
      </c>
      <c r="G2749" s="8" t="s">
        <v>57</v>
      </c>
      <c r="H2749" s="8" t="s">
        <v>215</v>
      </c>
      <c r="I2749" s="3">
        <v>2</v>
      </c>
      <c r="J2749" s="8" t="s">
        <v>175</v>
      </c>
      <c r="K2749" s="8" t="s">
        <v>176</v>
      </c>
      <c r="L2749" s="8" t="s">
        <v>556</v>
      </c>
      <c r="M2749" s="1" t="s">
        <v>205</v>
      </c>
      <c r="N2749" s="8" t="s">
        <v>206</v>
      </c>
      <c r="O2749" s="6">
        <v>0</v>
      </c>
      <c r="P2749" s="6">
        <v>0</v>
      </c>
      <c r="Q2749" s="6">
        <v>0</v>
      </c>
      <c r="R2749" s="6">
        <v>12</v>
      </c>
      <c r="S2749" s="6">
        <v>0</v>
      </c>
    </row>
    <row r="2750" spans="1:19" ht="15" hidden="1" x14ac:dyDescent="0.25">
      <c r="A2750" s="7" t="s">
        <v>16</v>
      </c>
      <c r="B2750" s="7" t="s">
        <v>229</v>
      </c>
      <c r="C2750" s="7" t="s">
        <v>24</v>
      </c>
      <c r="D2750" s="4">
        <v>5503803000182</v>
      </c>
      <c r="E2750" s="8" t="s">
        <v>1400</v>
      </c>
      <c r="F2750" s="8" t="s">
        <v>94</v>
      </c>
      <c r="G2750" s="8" t="s">
        <v>57</v>
      </c>
      <c r="H2750" s="8" t="s">
        <v>215</v>
      </c>
      <c r="I2750" s="3">
        <v>2</v>
      </c>
      <c r="J2750" s="8" t="s">
        <v>157</v>
      </c>
      <c r="K2750" s="8" t="s">
        <v>158</v>
      </c>
      <c r="L2750" s="8" t="s">
        <v>557</v>
      </c>
      <c r="M2750" s="1" t="s">
        <v>205</v>
      </c>
      <c r="N2750" s="8" t="s">
        <v>206</v>
      </c>
      <c r="O2750" s="6">
        <v>0</v>
      </c>
      <c r="P2750" s="6">
        <v>0</v>
      </c>
      <c r="Q2750" s="6">
        <v>0</v>
      </c>
      <c r="R2750" s="6">
        <v>0</v>
      </c>
      <c r="S2750" s="6">
        <v>0</v>
      </c>
    </row>
    <row r="2751" spans="1:19" ht="15" x14ac:dyDescent="0.25">
      <c r="A2751" s="7" t="s">
        <v>16</v>
      </c>
      <c r="B2751" s="7" t="s">
        <v>229</v>
      </c>
      <c r="C2751" s="7" t="s">
        <v>24</v>
      </c>
      <c r="D2751" s="4">
        <v>75055772002254</v>
      </c>
      <c r="E2751" s="8" t="s">
        <v>979</v>
      </c>
      <c r="F2751" s="8" t="s">
        <v>94</v>
      </c>
      <c r="G2751" s="8" t="s">
        <v>57</v>
      </c>
      <c r="H2751" s="8" t="s">
        <v>215</v>
      </c>
      <c r="I2751" s="3">
        <v>2</v>
      </c>
      <c r="J2751" s="8" t="s">
        <v>175</v>
      </c>
      <c r="K2751" s="8" t="s">
        <v>176</v>
      </c>
      <c r="L2751" s="8" t="s">
        <v>556</v>
      </c>
      <c r="M2751" s="1" t="s">
        <v>205</v>
      </c>
      <c r="N2751" s="8" t="s">
        <v>206</v>
      </c>
      <c r="O2751" s="6">
        <v>0</v>
      </c>
      <c r="P2751" s="6">
        <v>0</v>
      </c>
      <c r="Q2751" s="6">
        <v>0</v>
      </c>
      <c r="R2751" s="6">
        <v>0</v>
      </c>
      <c r="S2751" s="6">
        <v>120</v>
      </c>
    </row>
    <row r="2752" spans="1:19" ht="15" hidden="1" x14ac:dyDescent="0.25">
      <c r="A2752" s="7" t="s">
        <v>16</v>
      </c>
      <c r="B2752" s="7" t="s">
        <v>229</v>
      </c>
      <c r="C2752" s="7" t="s">
        <v>24</v>
      </c>
      <c r="D2752" s="4">
        <v>75055772002254</v>
      </c>
      <c r="E2752" s="8" t="s">
        <v>979</v>
      </c>
      <c r="F2752" s="8" t="s">
        <v>94</v>
      </c>
      <c r="G2752" s="8" t="s">
        <v>57</v>
      </c>
      <c r="H2752" s="8" t="s">
        <v>215</v>
      </c>
      <c r="I2752" s="3">
        <v>2</v>
      </c>
      <c r="J2752" s="8" t="s">
        <v>157</v>
      </c>
      <c r="K2752" s="8" t="s">
        <v>158</v>
      </c>
      <c r="L2752" s="8" t="s">
        <v>557</v>
      </c>
      <c r="M2752" s="1" t="s">
        <v>205</v>
      </c>
      <c r="N2752" s="8" t="s">
        <v>206</v>
      </c>
      <c r="O2752" s="6">
        <v>0</v>
      </c>
      <c r="P2752" s="6">
        <v>0</v>
      </c>
      <c r="Q2752" s="6">
        <v>0</v>
      </c>
      <c r="R2752" s="6">
        <v>0</v>
      </c>
      <c r="S2752" s="6">
        <v>120</v>
      </c>
    </row>
    <row r="2753" spans="1:19" ht="15" hidden="1" x14ac:dyDescent="0.25">
      <c r="A2753" s="7" t="s">
        <v>16</v>
      </c>
      <c r="B2753" s="7" t="s">
        <v>229</v>
      </c>
      <c r="C2753" s="7" t="s">
        <v>24</v>
      </c>
      <c r="D2753" s="4">
        <v>304148000110</v>
      </c>
      <c r="E2753" s="8" t="s">
        <v>932</v>
      </c>
      <c r="F2753" s="8" t="s">
        <v>933</v>
      </c>
      <c r="G2753" s="8" t="s">
        <v>57</v>
      </c>
      <c r="H2753" s="8" t="s">
        <v>215</v>
      </c>
      <c r="I2753" s="3">
        <v>2</v>
      </c>
      <c r="J2753" s="8" t="s">
        <v>175</v>
      </c>
      <c r="K2753" s="8" t="s">
        <v>176</v>
      </c>
      <c r="L2753" s="8" t="s">
        <v>556</v>
      </c>
      <c r="M2753" s="1" t="s">
        <v>205</v>
      </c>
      <c r="N2753" s="8" t="s">
        <v>206</v>
      </c>
      <c r="O2753" s="6">
        <v>0</v>
      </c>
      <c r="P2753" s="6">
        <v>0</v>
      </c>
      <c r="Q2753" s="6">
        <v>0</v>
      </c>
      <c r="R2753" s="6">
        <v>4</v>
      </c>
      <c r="S2753" s="6">
        <v>0</v>
      </c>
    </row>
    <row r="2754" spans="1:19" ht="15" hidden="1" x14ac:dyDescent="0.25">
      <c r="A2754" s="7" t="s">
        <v>16</v>
      </c>
      <c r="B2754" s="7" t="s">
        <v>229</v>
      </c>
      <c r="C2754" s="7" t="s">
        <v>24</v>
      </c>
      <c r="D2754" s="4">
        <v>304148000110</v>
      </c>
      <c r="E2754" s="8" t="s">
        <v>932</v>
      </c>
      <c r="F2754" s="8" t="s">
        <v>933</v>
      </c>
      <c r="G2754" s="8" t="s">
        <v>57</v>
      </c>
      <c r="H2754" s="8" t="s">
        <v>215</v>
      </c>
      <c r="I2754" s="3">
        <v>2</v>
      </c>
      <c r="J2754" s="8" t="s">
        <v>157</v>
      </c>
      <c r="K2754" s="8" t="s">
        <v>158</v>
      </c>
      <c r="L2754" s="8" t="s">
        <v>557</v>
      </c>
      <c r="M2754" s="1" t="s">
        <v>205</v>
      </c>
      <c r="N2754" s="8" t="s">
        <v>206</v>
      </c>
      <c r="O2754" s="6">
        <v>0</v>
      </c>
      <c r="P2754" s="6">
        <v>0</v>
      </c>
      <c r="Q2754" s="6">
        <v>0</v>
      </c>
      <c r="R2754" s="6">
        <v>0</v>
      </c>
      <c r="S2754" s="6">
        <v>0</v>
      </c>
    </row>
    <row r="2755" spans="1:19" ht="15" x14ac:dyDescent="0.25">
      <c r="A2755" s="7" t="s">
        <v>16</v>
      </c>
      <c r="B2755" s="7" t="s">
        <v>229</v>
      </c>
      <c r="C2755" s="7" t="s">
        <v>24</v>
      </c>
      <c r="D2755" s="4">
        <v>78044815000240</v>
      </c>
      <c r="E2755" s="8" t="s">
        <v>992</v>
      </c>
      <c r="F2755" s="8" t="s">
        <v>993</v>
      </c>
      <c r="G2755" s="8" t="s">
        <v>57</v>
      </c>
      <c r="H2755" s="8" t="s">
        <v>215</v>
      </c>
      <c r="I2755" s="3">
        <v>2</v>
      </c>
      <c r="J2755" s="8" t="s">
        <v>175</v>
      </c>
      <c r="K2755" s="8" t="s">
        <v>176</v>
      </c>
      <c r="L2755" s="8" t="s">
        <v>556</v>
      </c>
      <c r="M2755" s="1" t="s">
        <v>205</v>
      </c>
      <c r="N2755" s="8" t="s">
        <v>206</v>
      </c>
      <c r="O2755" s="6">
        <v>0</v>
      </c>
      <c r="P2755" s="6">
        <v>0</v>
      </c>
      <c r="Q2755" s="6">
        <v>0</v>
      </c>
      <c r="R2755" s="6">
        <v>0</v>
      </c>
      <c r="S2755" s="6">
        <v>75</v>
      </c>
    </row>
    <row r="2756" spans="1:19" ht="15" hidden="1" x14ac:dyDescent="0.25">
      <c r="A2756" s="7" t="s">
        <v>16</v>
      </c>
      <c r="B2756" s="7" t="s">
        <v>229</v>
      </c>
      <c r="C2756" s="7" t="s">
        <v>24</v>
      </c>
      <c r="D2756" s="4">
        <v>78044815000240</v>
      </c>
      <c r="E2756" s="8" t="s">
        <v>992</v>
      </c>
      <c r="F2756" s="8" t="s">
        <v>993</v>
      </c>
      <c r="G2756" s="8" t="s">
        <v>57</v>
      </c>
      <c r="H2756" s="8" t="s">
        <v>215</v>
      </c>
      <c r="I2756" s="3">
        <v>2</v>
      </c>
      <c r="J2756" s="8" t="s">
        <v>157</v>
      </c>
      <c r="K2756" s="8" t="s">
        <v>158</v>
      </c>
      <c r="L2756" s="8" t="s">
        <v>557</v>
      </c>
      <c r="M2756" s="1" t="s">
        <v>205</v>
      </c>
      <c r="N2756" s="8" t="s">
        <v>206</v>
      </c>
      <c r="O2756" s="6">
        <v>0</v>
      </c>
      <c r="P2756" s="6">
        <v>0</v>
      </c>
      <c r="Q2756" s="6">
        <v>0</v>
      </c>
      <c r="R2756" s="6">
        <v>0</v>
      </c>
      <c r="S2756" s="6">
        <v>75</v>
      </c>
    </row>
    <row r="2757" spans="1:19" ht="15" x14ac:dyDescent="0.25">
      <c r="A2757" s="7" t="s">
        <v>16</v>
      </c>
      <c r="B2757" s="7" t="s">
        <v>229</v>
      </c>
      <c r="C2757" s="7" t="s">
        <v>24</v>
      </c>
      <c r="D2757" s="4">
        <v>78633088000176</v>
      </c>
      <c r="E2757" s="8" t="s">
        <v>995</v>
      </c>
      <c r="F2757" s="8" t="s">
        <v>121</v>
      </c>
      <c r="G2757" s="8" t="s">
        <v>57</v>
      </c>
      <c r="H2757" s="8" t="s">
        <v>215</v>
      </c>
      <c r="I2757" s="3">
        <v>2</v>
      </c>
      <c r="J2757" s="8" t="s">
        <v>175</v>
      </c>
      <c r="K2757" s="8" t="s">
        <v>176</v>
      </c>
      <c r="L2757" s="8" t="s">
        <v>556</v>
      </c>
      <c r="M2757" s="1" t="s">
        <v>205</v>
      </c>
      <c r="N2757" s="8" t="s">
        <v>206</v>
      </c>
      <c r="O2757" s="6">
        <v>0</v>
      </c>
      <c r="P2757" s="6">
        <v>0</v>
      </c>
      <c r="Q2757" s="6">
        <v>0</v>
      </c>
      <c r="R2757" s="6">
        <v>0</v>
      </c>
      <c r="S2757" s="6">
        <v>25</v>
      </c>
    </row>
    <row r="2758" spans="1:19" ht="15" hidden="1" x14ac:dyDescent="0.25">
      <c r="A2758" s="7" t="s">
        <v>16</v>
      </c>
      <c r="B2758" s="7" t="s">
        <v>229</v>
      </c>
      <c r="C2758" s="7" t="s">
        <v>24</v>
      </c>
      <c r="D2758" s="4">
        <v>78633088000176</v>
      </c>
      <c r="E2758" s="8" t="s">
        <v>995</v>
      </c>
      <c r="F2758" s="8" t="s">
        <v>121</v>
      </c>
      <c r="G2758" s="8" t="s">
        <v>57</v>
      </c>
      <c r="H2758" s="8" t="s">
        <v>215</v>
      </c>
      <c r="I2758" s="3">
        <v>2</v>
      </c>
      <c r="J2758" s="8" t="s">
        <v>157</v>
      </c>
      <c r="K2758" s="8" t="s">
        <v>158</v>
      </c>
      <c r="L2758" s="8" t="s">
        <v>557</v>
      </c>
      <c r="M2758" s="1" t="s">
        <v>205</v>
      </c>
      <c r="N2758" s="8" t="s">
        <v>206</v>
      </c>
      <c r="O2758" s="6">
        <v>0</v>
      </c>
      <c r="P2758" s="6">
        <v>0</v>
      </c>
      <c r="Q2758" s="6">
        <v>0</v>
      </c>
      <c r="R2758" s="6">
        <v>0</v>
      </c>
      <c r="S2758" s="6">
        <v>25</v>
      </c>
    </row>
    <row r="2759" spans="1:19" ht="15" x14ac:dyDescent="0.25">
      <c r="A2759" s="7" t="s">
        <v>16</v>
      </c>
      <c r="B2759" s="7" t="s">
        <v>229</v>
      </c>
      <c r="C2759" s="7" t="s">
        <v>24</v>
      </c>
      <c r="D2759" s="4">
        <v>75222224001895</v>
      </c>
      <c r="E2759" s="8" t="s">
        <v>981</v>
      </c>
      <c r="F2759" s="8" t="s">
        <v>121</v>
      </c>
      <c r="G2759" s="8" t="s">
        <v>57</v>
      </c>
      <c r="H2759" s="8" t="s">
        <v>215</v>
      </c>
      <c r="I2759" s="3">
        <v>2</v>
      </c>
      <c r="J2759" s="8" t="s">
        <v>175</v>
      </c>
      <c r="K2759" s="8" t="s">
        <v>176</v>
      </c>
      <c r="L2759" s="8" t="s">
        <v>556</v>
      </c>
      <c r="M2759" s="1" t="s">
        <v>205</v>
      </c>
      <c r="N2759" s="8" t="s">
        <v>206</v>
      </c>
      <c r="O2759" s="6">
        <v>0</v>
      </c>
      <c r="P2759" s="6">
        <v>0</v>
      </c>
      <c r="Q2759" s="6">
        <v>0</v>
      </c>
      <c r="R2759" s="6">
        <v>0</v>
      </c>
      <c r="S2759" s="6">
        <v>630</v>
      </c>
    </row>
    <row r="2760" spans="1:19" ht="15" hidden="1" x14ac:dyDescent="0.25">
      <c r="A2760" s="7" t="s">
        <v>16</v>
      </c>
      <c r="B2760" s="7" t="s">
        <v>229</v>
      </c>
      <c r="C2760" s="7" t="s">
        <v>24</v>
      </c>
      <c r="D2760" s="4">
        <v>75222224001895</v>
      </c>
      <c r="E2760" s="8" t="s">
        <v>981</v>
      </c>
      <c r="F2760" s="8" t="s">
        <v>121</v>
      </c>
      <c r="G2760" s="8" t="s">
        <v>57</v>
      </c>
      <c r="H2760" s="8" t="s">
        <v>215</v>
      </c>
      <c r="I2760" s="3">
        <v>2</v>
      </c>
      <c r="J2760" s="8" t="s">
        <v>157</v>
      </c>
      <c r="K2760" s="8" t="s">
        <v>158</v>
      </c>
      <c r="L2760" s="8" t="s">
        <v>557</v>
      </c>
      <c r="M2760" s="1" t="s">
        <v>205</v>
      </c>
      <c r="N2760" s="8" t="s">
        <v>206</v>
      </c>
      <c r="O2760" s="6">
        <v>0</v>
      </c>
      <c r="P2760" s="6">
        <v>0</v>
      </c>
      <c r="Q2760" s="6">
        <v>0</v>
      </c>
      <c r="R2760" s="6">
        <v>0</v>
      </c>
      <c r="S2760" s="6">
        <v>630</v>
      </c>
    </row>
    <row r="2761" spans="1:19" ht="15" x14ac:dyDescent="0.25">
      <c r="A2761" s="7" t="s">
        <v>16</v>
      </c>
      <c r="B2761" s="7" t="s">
        <v>229</v>
      </c>
      <c r="C2761" s="7" t="s">
        <v>24</v>
      </c>
      <c r="D2761" s="4">
        <v>79115762000193</v>
      </c>
      <c r="E2761" s="8" t="s">
        <v>996</v>
      </c>
      <c r="F2761" s="8" t="s">
        <v>988</v>
      </c>
      <c r="G2761" s="8" t="s">
        <v>57</v>
      </c>
      <c r="H2761" s="8" t="s">
        <v>215</v>
      </c>
      <c r="I2761" s="3">
        <v>2</v>
      </c>
      <c r="J2761" s="8" t="s">
        <v>175</v>
      </c>
      <c r="K2761" s="8" t="s">
        <v>176</v>
      </c>
      <c r="L2761" s="8" t="s">
        <v>556</v>
      </c>
      <c r="M2761" s="1" t="s">
        <v>205</v>
      </c>
      <c r="N2761" s="8" t="s">
        <v>206</v>
      </c>
      <c r="O2761" s="6">
        <v>0</v>
      </c>
      <c r="P2761" s="6">
        <v>0</v>
      </c>
      <c r="Q2761" s="6">
        <v>0</v>
      </c>
      <c r="R2761" s="6">
        <v>0</v>
      </c>
      <c r="S2761" s="6">
        <v>175</v>
      </c>
    </row>
    <row r="2762" spans="1:19" ht="15" hidden="1" x14ac:dyDescent="0.25">
      <c r="A2762" s="7" t="s">
        <v>16</v>
      </c>
      <c r="B2762" s="7" t="s">
        <v>229</v>
      </c>
      <c r="C2762" s="7" t="s">
        <v>24</v>
      </c>
      <c r="D2762" s="4">
        <v>79115762000193</v>
      </c>
      <c r="E2762" s="8" t="s">
        <v>996</v>
      </c>
      <c r="F2762" s="8" t="s">
        <v>988</v>
      </c>
      <c r="G2762" s="8" t="s">
        <v>57</v>
      </c>
      <c r="H2762" s="8" t="s">
        <v>215</v>
      </c>
      <c r="I2762" s="3">
        <v>2</v>
      </c>
      <c r="J2762" s="8" t="s">
        <v>157</v>
      </c>
      <c r="K2762" s="8" t="s">
        <v>158</v>
      </c>
      <c r="L2762" s="8" t="s">
        <v>557</v>
      </c>
      <c r="M2762" s="1" t="s">
        <v>205</v>
      </c>
      <c r="N2762" s="8" t="s">
        <v>206</v>
      </c>
      <c r="O2762" s="6">
        <v>0</v>
      </c>
      <c r="P2762" s="6">
        <v>0</v>
      </c>
      <c r="Q2762" s="6">
        <v>0</v>
      </c>
      <c r="R2762" s="6">
        <v>0</v>
      </c>
      <c r="S2762" s="6">
        <v>175</v>
      </c>
    </row>
    <row r="2763" spans="1:19" ht="15" x14ac:dyDescent="0.25">
      <c r="A2763" s="7" t="s">
        <v>16</v>
      </c>
      <c r="B2763" s="7" t="s">
        <v>229</v>
      </c>
      <c r="C2763" s="7" t="s">
        <v>24</v>
      </c>
      <c r="D2763" s="4">
        <v>77265361000194</v>
      </c>
      <c r="E2763" s="8" t="s">
        <v>987</v>
      </c>
      <c r="F2763" s="8" t="s">
        <v>988</v>
      </c>
      <c r="G2763" s="8" t="s">
        <v>57</v>
      </c>
      <c r="H2763" s="8" t="s">
        <v>215</v>
      </c>
      <c r="I2763" s="3">
        <v>2</v>
      </c>
      <c r="J2763" s="8" t="s">
        <v>175</v>
      </c>
      <c r="K2763" s="8" t="s">
        <v>176</v>
      </c>
      <c r="L2763" s="8" t="s">
        <v>556</v>
      </c>
      <c r="M2763" s="1" t="s">
        <v>205</v>
      </c>
      <c r="N2763" s="8" t="s">
        <v>206</v>
      </c>
      <c r="O2763" s="6">
        <v>0</v>
      </c>
      <c r="P2763" s="6">
        <v>0</v>
      </c>
      <c r="Q2763" s="6">
        <v>0</v>
      </c>
      <c r="R2763" s="6">
        <v>0</v>
      </c>
      <c r="S2763" s="6">
        <v>175</v>
      </c>
    </row>
    <row r="2764" spans="1:19" ht="15" hidden="1" x14ac:dyDescent="0.25">
      <c r="A2764" s="7" t="s">
        <v>16</v>
      </c>
      <c r="B2764" s="7" t="s">
        <v>229</v>
      </c>
      <c r="C2764" s="7" t="s">
        <v>24</v>
      </c>
      <c r="D2764" s="4">
        <v>77265361000194</v>
      </c>
      <c r="E2764" s="8" t="s">
        <v>987</v>
      </c>
      <c r="F2764" s="8" t="s">
        <v>988</v>
      </c>
      <c r="G2764" s="8" t="s">
        <v>57</v>
      </c>
      <c r="H2764" s="8" t="s">
        <v>215</v>
      </c>
      <c r="I2764" s="3">
        <v>2</v>
      </c>
      <c r="J2764" s="8" t="s">
        <v>157</v>
      </c>
      <c r="K2764" s="8" t="s">
        <v>158</v>
      </c>
      <c r="L2764" s="8" t="s">
        <v>557</v>
      </c>
      <c r="M2764" s="1" t="s">
        <v>205</v>
      </c>
      <c r="N2764" s="8" t="s">
        <v>206</v>
      </c>
      <c r="O2764" s="6">
        <v>0</v>
      </c>
      <c r="P2764" s="6">
        <v>0</v>
      </c>
      <c r="Q2764" s="6">
        <v>0</v>
      </c>
      <c r="R2764" s="6">
        <v>0</v>
      </c>
      <c r="S2764" s="6">
        <v>175</v>
      </c>
    </row>
    <row r="2765" spans="1:19" ht="15" x14ac:dyDescent="0.25">
      <c r="A2765" s="7" t="s">
        <v>16</v>
      </c>
      <c r="B2765" s="7" t="s">
        <v>229</v>
      </c>
      <c r="C2765" s="7" t="s">
        <v>24</v>
      </c>
      <c r="D2765" s="4">
        <v>77781706000243</v>
      </c>
      <c r="E2765" s="8" t="s">
        <v>989</v>
      </c>
      <c r="F2765" s="8" t="s">
        <v>990</v>
      </c>
      <c r="G2765" s="8" t="s">
        <v>57</v>
      </c>
      <c r="H2765" s="8" t="s">
        <v>215</v>
      </c>
      <c r="I2765" s="3">
        <v>2</v>
      </c>
      <c r="J2765" s="8" t="s">
        <v>175</v>
      </c>
      <c r="K2765" s="8" t="s">
        <v>176</v>
      </c>
      <c r="L2765" s="8" t="s">
        <v>556</v>
      </c>
      <c r="M2765" s="1" t="s">
        <v>205</v>
      </c>
      <c r="N2765" s="8" t="s">
        <v>206</v>
      </c>
      <c r="O2765" s="6">
        <v>0</v>
      </c>
      <c r="P2765" s="6">
        <v>0</v>
      </c>
      <c r="Q2765" s="6">
        <v>0</v>
      </c>
      <c r="R2765" s="6">
        <v>0</v>
      </c>
      <c r="S2765" s="6">
        <v>10</v>
      </c>
    </row>
    <row r="2766" spans="1:19" ht="15" hidden="1" x14ac:dyDescent="0.25">
      <c r="A2766" s="7" t="s">
        <v>16</v>
      </c>
      <c r="B2766" s="7" t="s">
        <v>229</v>
      </c>
      <c r="C2766" s="7" t="s">
        <v>24</v>
      </c>
      <c r="D2766" s="4">
        <v>77781706000243</v>
      </c>
      <c r="E2766" s="8" t="s">
        <v>989</v>
      </c>
      <c r="F2766" s="8" t="s">
        <v>990</v>
      </c>
      <c r="G2766" s="8" t="s">
        <v>57</v>
      </c>
      <c r="H2766" s="8" t="s">
        <v>215</v>
      </c>
      <c r="I2766" s="3">
        <v>2</v>
      </c>
      <c r="J2766" s="8" t="s">
        <v>157</v>
      </c>
      <c r="K2766" s="8" t="s">
        <v>158</v>
      </c>
      <c r="L2766" s="8" t="s">
        <v>557</v>
      </c>
      <c r="M2766" s="1" t="s">
        <v>205</v>
      </c>
      <c r="N2766" s="8" t="s">
        <v>206</v>
      </c>
      <c r="O2766" s="6">
        <v>0</v>
      </c>
      <c r="P2766" s="6">
        <v>0</v>
      </c>
      <c r="Q2766" s="6">
        <v>0</v>
      </c>
      <c r="R2766" s="6">
        <v>0</v>
      </c>
      <c r="S2766" s="6">
        <v>10</v>
      </c>
    </row>
    <row r="2767" spans="1:19" ht="15" x14ac:dyDescent="0.25">
      <c r="A2767" s="7" t="s">
        <v>16</v>
      </c>
      <c r="B2767" s="7" t="s">
        <v>229</v>
      </c>
      <c r="C2767" s="7" t="s">
        <v>24</v>
      </c>
      <c r="D2767" s="4">
        <v>7794623002257</v>
      </c>
      <c r="E2767" s="8" t="s">
        <v>955</v>
      </c>
      <c r="F2767" s="8" t="s">
        <v>956</v>
      </c>
      <c r="G2767" s="8" t="s">
        <v>57</v>
      </c>
      <c r="H2767" s="8" t="s">
        <v>215</v>
      </c>
      <c r="I2767" s="3">
        <v>2</v>
      </c>
      <c r="J2767" s="8" t="s">
        <v>175</v>
      </c>
      <c r="K2767" s="8" t="s">
        <v>176</v>
      </c>
      <c r="L2767" s="8" t="s">
        <v>556</v>
      </c>
      <c r="M2767" s="1" t="s">
        <v>205</v>
      </c>
      <c r="N2767" s="8" t="s">
        <v>206</v>
      </c>
      <c r="O2767" s="6">
        <v>0</v>
      </c>
      <c r="P2767" s="6">
        <v>0</v>
      </c>
      <c r="Q2767" s="6">
        <v>0</v>
      </c>
      <c r="R2767" s="6">
        <v>0</v>
      </c>
      <c r="S2767" s="6">
        <v>290</v>
      </c>
    </row>
    <row r="2768" spans="1:19" ht="15" hidden="1" x14ac:dyDescent="0.25">
      <c r="A2768" s="7" t="s">
        <v>16</v>
      </c>
      <c r="B2768" s="7" t="s">
        <v>229</v>
      </c>
      <c r="C2768" s="7" t="s">
        <v>24</v>
      </c>
      <c r="D2768" s="4">
        <v>7794623002257</v>
      </c>
      <c r="E2768" s="8" t="s">
        <v>955</v>
      </c>
      <c r="F2768" s="8" t="s">
        <v>956</v>
      </c>
      <c r="G2768" s="8" t="s">
        <v>57</v>
      </c>
      <c r="H2768" s="8" t="s">
        <v>215</v>
      </c>
      <c r="I2768" s="3">
        <v>2</v>
      </c>
      <c r="J2768" s="8" t="s">
        <v>157</v>
      </c>
      <c r="K2768" s="8" t="s">
        <v>158</v>
      </c>
      <c r="L2768" s="8" t="s">
        <v>557</v>
      </c>
      <c r="M2768" s="1" t="s">
        <v>205</v>
      </c>
      <c r="N2768" s="8" t="s">
        <v>206</v>
      </c>
      <c r="O2768" s="6">
        <v>0</v>
      </c>
      <c r="P2768" s="6">
        <v>0</v>
      </c>
      <c r="Q2768" s="6">
        <v>0</v>
      </c>
      <c r="R2768" s="6">
        <v>0</v>
      </c>
      <c r="S2768" s="6">
        <v>290</v>
      </c>
    </row>
    <row r="2769" spans="1:19" ht="15" hidden="1" x14ac:dyDescent="0.25">
      <c r="A2769" s="7" t="s">
        <v>16</v>
      </c>
      <c r="B2769" s="7" t="s">
        <v>229</v>
      </c>
      <c r="C2769" s="7" t="s">
        <v>24</v>
      </c>
      <c r="D2769" s="4">
        <v>36238913000198</v>
      </c>
      <c r="E2769" s="8" t="s">
        <v>1063</v>
      </c>
      <c r="F2769" s="8" t="s">
        <v>1064</v>
      </c>
      <c r="G2769" s="8" t="s">
        <v>61</v>
      </c>
      <c r="H2769" s="8" t="s">
        <v>215</v>
      </c>
      <c r="I2769" s="3">
        <v>2</v>
      </c>
      <c r="J2769" s="8" t="s">
        <v>155</v>
      </c>
      <c r="K2769" s="8" t="s">
        <v>156</v>
      </c>
      <c r="L2769" s="8" t="s">
        <v>556</v>
      </c>
      <c r="M2769" s="1" t="s">
        <v>205</v>
      </c>
      <c r="N2769" s="8" t="s">
        <v>206</v>
      </c>
      <c r="O2769" s="6">
        <v>0</v>
      </c>
      <c r="P2769" s="6">
        <v>0</v>
      </c>
      <c r="Q2769" s="6">
        <v>0</v>
      </c>
      <c r="R2769" s="6">
        <v>112</v>
      </c>
      <c r="S2769" s="6">
        <v>0</v>
      </c>
    </row>
    <row r="2770" spans="1:19" ht="15" hidden="1" x14ac:dyDescent="0.25">
      <c r="A2770" s="7" t="s">
        <v>16</v>
      </c>
      <c r="B2770" s="7" t="s">
        <v>229</v>
      </c>
      <c r="C2770" s="7" t="s">
        <v>24</v>
      </c>
      <c r="D2770" s="4">
        <v>36238913000198</v>
      </c>
      <c r="E2770" s="8" t="s">
        <v>1063</v>
      </c>
      <c r="F2770" s="8" t="s">
        <v>1064</v>
      </c>
      <c r="G2770" s="8" t="s">
        <v>61</v>
      </c>
      <c r="H2770" s="8" t="s">
        <v>215</v>
      </c>
      <c r="I2770" s="3">
        <v>2</v>
      </c>
      <c r="J2770" s="8" t="s">
        <v>173</v>
      </c>
      <c r="K2770" s="8" t="s">
        <v>174</v>
      </c>
      <c r="L2770" s="8" t="s">
        <v>557</v>
      </c>
      <c r="M2770" s="1" t="s">
        <v>205</v>
      </c>
      <c r="N2770" s="8" t="s">
        <v>206</v>
      </c>
      <c r="O2770" s="6">
        <v>0</v>
      </c>
      <c r="P2770" s="6">
        <v>0</v>
      </c>
      <c r="Q2770" s="6">
        <v>0</v>
      </c>
      <c r="R2770" s="6">
        <v>0</v>
      </c>
      <c r="S2770" s="6">
        <v>0</v>
      </c>
    </row>
    <row r="2771" spans="1:19" ht="15" hidden="1" x14ac:dyDescent="0.25">
      <c r="A2771" s="7" t="s">
        <v>16</v>
      </c>
      <c r="B2771" s="7" t="s">
        <v>229</v>
      </c>
      <c r="C2771" s="7" t="s">
        <v>24</v>
      </c>
      <c r="D2771" s="4">
        <v>6047087001372</v>
      </c>
      <c r="E2771" s="8" t="s">
        <v>1041</v>
      </c>
      <c r="F2771" s="8" t="s">
        <v>78</v>
      </c>
      <c r="G2771" s="8" t="s">
        <v>61</v>
      </c>
      <c r="H2771" s="8" t="s">
        <v>215</v>
      </c>
      <c r="I2771" s="3">
        <v>2</v>
      </c>
      <c r="J2771" s="8" t="s">
        <v>155</v>
      </c>
      <c r="K2771" s="8" t="s">
        <v>156</v>
      </c>
      <c r="L2771" s="8" t="s">
        <v>556</v>
      </c>
      <c r="M2771" s="1" t="s">
        <v>205</v>
      </c>
      <c r="N2771" s="8" t="s">
        <v>206</v>
      </c>
      <c r="O2771" s="6">
        <v>0</v>
      </c>
      <c r="P2771" s="6">
        <v>0</v>
      </c>
      <c r="Q2771" s="6">
        <v>0</v>
      </c>
      <c r="R2771" s="6">
        <v>0</v>
      </c>
      <c r="S2771" s="6">
        <v>0</v>
      </c>
    </row>
    <row r="2772" spans="1:19" ht="15" hidden="1" x14ac:dyDescent="0.25">
      <c r="A2772" s="7" t="s">
        <v>16</v>
      </c>
      <c r="B2772" s="7" t="s">
        <v>229</v>
      </c>
      <c r="C2772" s="7" t="s">
        <v>24</v>
      </c>
      <c r="D2772" s="4">
        <v>6047087001372</v>
      </c>
      <c r="E2772" s="8" t="s">
        <v>1041</v>
      </c>
      <c r="F2772" s="8" t="s">
        <v>78</v>
      </c>
      <c r="G2772" s="8" t="s">
        <v>61</v>
      </c>
      <c r="H2772" s="8" t="s">
        <v>215</v>
      </c>
      <c r="I2772" s="3">
        <v>2</v>
      </c>
      <c r="J2772" s="8" t="s">
        <v>181</v>
      </c>
      <c r="K2772" s="8" t="s">
        <v>182</v>
      </c>
      <c r="L2772" s="8" t="s">
        <v>557</v>
      </c>
      <c r="M2772" s="1" t="s">
        <v>205</v>
      </c>
      <c r="N2772" s="8" t="s">
        <v>206</v>
      </c>
      <c r="O2772" s="6">
        <v>0</v>
      </c>
      <c r="P2772" s="6">
        <v>7</v>
      </c>
      <c r="Q2772" s="6">
        <v>0</v>
      </c>
      <c r="R2772" s="6">
        <v>0</v>
      </c>
      <c r="S2772" s="6">
        <v>0</v>
      </c>
    </row>
    <row r="2773" spans="1:19" ht="15" hidden="1" x14ac:dyDescent="0.25">
      <c r="A2773" s="7" t="s">
        <v>16</v>
      </c>
      <c r="B2773" s="7" t="s">
        <v>229</v>
      </c>
      <c r="C2773" s="7" t="s">
        <v>24</v>
      </c>
      <c r="D2773" s="4">
        <v>29435005003497</v>
      </c>
      <c r="E2773" s="8" t="s">
        <v>1054</v>
      </c>
      <c r="F2773" s="8" t="s">
        <v>78</v>
      </c>
      <c r="G2773" s="8" t="s">
        <v>61</v>
      </c>
      <c r="H2773" s="8" t="s">
        <v>215</v>
      </c>
      <c r="I2773" s="3">
        <v>2</v>
      </c>
      <c r="J2773" s="8" t="s">
        <v>155</v>
      </c>
      <c r="K2773" s="8" t="s">
        <v>156</v>
      </c>
      <c r="L2773" s="8" t="s">
        <v>556</v>
      </c>
      <c r="M2773" s="1" t="s">
        <v>205</v>
      </c>
      <c r="N2773" s="8" t="s">
        <v>206</v>
      </c>
      <c r="O2773" s="6">
        <v>0</v>
      </c>
      <c r="P2773" s="6">
        <v>0</v>
      </c>
      <c r="Q2773" s="6">
        <v>0</v>
      </c>
      <c r="R2773" s="6">
        <v>0</v>
      </c>
      <c r="S2773" s="6">
        <v>100</v>
      </c>
    </row>
    <row r="2774" spans="1:19" ht="15" hidden="1" x14ac:dyDescent="0.25">
      <c r="A2774" s="7" t="s">
        <v>16</v>
      </c>
      <c r="B2774" s="7" t="s">
        <v>229</v>
      </c>
      <c r="C2774" s="7" t="s">
        <v>24</v>
      </c>
      <c r="D2774" s="4">
        <v>29435005003497</v>
      </c>
      <c r="E2774" s="8" t="s">
        <v>1054</v>
      </c>
      <c r="F2774" s="8" t="s">
        <v>78</v>
      </c>
      <c r="G2774" s="8" t="s">
        <v>61</v>
      </c>
      <c r="H2774" s="8" t="s">
        <v>215</v>
      </c>
      <c r="I2774" s="3">
        <v>2</v>
      </c>
      <c r="J2774" s="8" t="s">
        <v>173</v>
      </c>
      <c r="K2774" s="8" t="s">
        <v>174</v>
      </c>
      <c r="L2774" s="8" t="s">
        <v>557</v>
      </c>
      <c r="M2774" s="1" t="s">
        <v>205</v>
      </c>
      <c r="N2774" s="8" t="s">
        <v>206</v>
      </c>
      <c r="O2774" s="6">
        <v>0</v>
      </c>
      <c r="P2774" s="6">
        <v>0</v>
      </c>
      <c r="Q2774" s="6">
        <v>0</v>
      </c>
      <c r="R2774" s="6">
        <v>0</v>
      </c>
      <c r="S2774" s="6">
        <v>100</v>
      </c>
    </row>
    <row r="2775" spans="1:19" ht="15" hidden="1" x14ac:dyDescent="0.25">
      <c r="A2775" s="7" t="s">
        <v>16</v>
      </c>
      <c r="B2775" s="7" t="s">
        <v>229</v>
      </c>
      <c r="C2775" s="7" t="s">
        <v>24</v>
      </c>
      <c r="D2775" s="4">
        <v>29640612000120</v>
      </c>
      <c r="E2775" s="8" t="s">
        <v>1055</v>
      </c>
      <c r="F2775" s="8" t="s">
        <v>103</v>
      </c>
      <c r="G2775" s="8" t="s">
        <v>61</v>
      </c>
      <c r="H2775" s="8" t="s">
        <v>215</v>
      </c>
      <c r="I2775" s="3">
        <v>2</v>
      </c>
      <c r="J2775" s="8" t="s">
        <v>155</v>
      </c>
      <c r="K2775" s="8" t="s">
        <v>156</v>
      </c>
      <c r="L2775" s="8" t="s">
        <v>556</v>
      </c>
      <c r="M2775" s="1" t="s">
        <v>205</v>
      </c>
      <c r="N2775" s="8" t="s">
        <v>206</v>
      </c>
      <c r="O2775" s="6">
        <v>0</v>
      </c>
      <c r="P2775" s="6">
        <v>0</v>
      </c>
      <c r="Q2775" s="6">
        <v>0</v>
      </c>
      <c r="R2775" s="6">
        <v>0</v>
      </c>
      <c r="S2775" s="6">
        <v>0</v>
      </c>
    </row>
    <row r="2776" spans="1:19" ht="15" hidden="1" x14ac:dyDescent="0.25">
      <c r="A2776" s="7" t="s">
        <v>16</v>
      </c>
      <c r="B2776" s="7" t="s">
        <v>229</v>
      </c>
      <c r="C2776" s="7" t="s">
        <v>24</v>
      </c>
      <c r="D2776" s="4">
        <v>29640612000120</v>
      </c>
      <c r="E2776" s="8" t="s">
        <v>1055</v>
      </c>
      <c r="F2776" s="8" t="s">
        <v>103</v>
      </c>
      <c r="G2776" s="8" t="s">
        <v>61</v>
      </c>
      <c r="H2776" s="8" t="s">
        <v>215</v>
      </c>
      <c r="I2776" s="3">
        <v>2</v>
      </c>
      <c r="J2776" s="8" t="s">
        <v>173</v>
      </c>
      <c r="K2776" s="8" t="s">
        <v>174</v>
      </c>
      <c r="L2776" s="8" t="s">
        <v>557</v>
      </c>
      <c r="M2776" s="1" t="s">
        <v>205</v>
      </c>
      <c r="N2776" s="8" t="s">
        <v>206</v>
      </c>
      <c r="O2776" s="6">
        <v>0</v>
      </c>
      <c r="P2776" s="6">
        <v>4</v>
      </c>
      <c r="Q2776" s="6">
        <v>0</v>
      </c>
      <c r="R2776" s="6">
        <v>0</v>
      </c>
      <c r="S2776" s="6">
        <v>0</v>
      </c>
    </row>
    <row r="2777" spans="1:19" ht="15" hidden="1" x14ac:dyDescent="0.25">
      <c r="A2777" s="7" t="s">
        <v>16</v>
      </c>
      <c r="B2777" s="7" t="s">
        <v>229</v>
      </c>
      <c r="C2777" s="7" t="s">
        <v>24</v>
      </c>
      <c r="D2777" s="4">
        <v>15126437003673</v>
      </c>
      <c r="E2777" s="8" t="s">
        <v>1166</v>
      </c>
      <c r="F2777" s="8" t="s">
        <v>60</v>
      </c>
      <c r="G2777" s="8" t="s">
        <v>61</v>
      </c>
      <c r="H2777" s="8" t="s">
        <v>215</v>
      </c>
      <c r="I2777" s="3">
        <v>2</v>
      </c>
      <c r="J2777" s="8" t="s">
        <v>155</v>
      </c>
      <c r="K2777" s="8" t="s">
        <v>156</v>
      </c>
      <c r="L2777" s="8" t="s">
        <v>556</v>
      </c>
      <c r="M2777" s="1" t="s">
        <v>205</v>
      </c>
      <c r="N2777" s="8" t="s">
        <v>206</v>
      </c>
      <c r="O2777" s="6">
        <v>0</v>
      </c>
      <c r="P2777" s="6">
        <v>0</v>
      </c>
      <c r="Q2777" s="6">
        <v>0</v>
      </c>
      <c r="R2777" s="6">
        <v>0</v>
      </c>
      <c r="S2777" s="6">
        <v>100</v>
      </c>
    </row>
    <row r="2778" spans="1:19" ht="15" hidden="1" x14ac:dyDescent="0.25">
      <c r="A2778" s="7" t="s">
        <v>16</v>
      </c>
      <c r="B2778" s="7" t="s">
        <v>229</v>
      </c>
      <c r="C2778" s="7" t="s">
        <v>24</v>
      </c>
      <c r="D2778" s="4">
        <v>15126437003673</v>
      </c>
      <c r="E2778" s="8" t="s">
        <v>1166</v>
      </c>
      <c r="F2778" s="8" t="s">
        <v>60</v>
      </c>
      <c r="G2778" s="8" t="s">
        <v>61</v>
      </c>
      <c r="H2778" s="8" t="s">
        <v>215</v>
      </c>
      <c r="I2778" s="3">
        <v>2</v>
      </c>
      <c r="J2778" s="8" t="s">
        <v>181</v>
      </c>
      <c r="K2778" s="8" t="s">
        <v>182</v>
      </c>
      <c r="L2778" s="8" t="s">
        <v>557</v>
      </c>
      <c r="M2778" s="1" t="s">
        <v>205</v>
      </c>
      <c r="N2778" s="8" t="s">
        <v>206</v>
      </c>
      <c r="O2778" s="6">
        <v>0</v>
      </c>
      <c r="P2778" s="6">
        <v>5</v>
      </c>
      <c r="Q2778" s="6">
        <v>0</v>
      </c>
      <c r="R2778" s="6">
        <v>0</v>
      </c>
      <c r="S2778" s="6">
        <v>100</v>
      </c>
    </row>
    <row r="2779" spans="1:19" ht="15" hidden="1" x14ac:dyDescent="0.25">
      <c r="A2779" s="7" t="s">
        <v>16</v>
      </c>
      <c r="B2779" s="7" t="s">
        <v>229</v>
      </c>
      <c r="C2779" s="7" t="s">
        <v>24</v>
      </c>
      <c r="D2779" s="4">
        <v>437007000175</v>
      </c>
      <c r="E2779" s="8" t="s">
        <v>1038</v>
      </c>
      <c r="F2779" s="8" t="s">
        <v>1039</v>
      </c>
      <c r="G2779" s="8" t="s">
        <v>61</v>
      </c>
      <c r="H2779" s="8" t="s">
        <v>215</v>
      </c>
      <c r="I2779" s="3">
        <v>2</v>
      </c>
      <c r="J2779" s="8" t="s">
        <v>155</v>
      </c>
      <c r="K2779" s="8" t="s">
        <v>156</v>
      </c>
      <c r="L2779" s="8" t="s">
        <v>556</v>
      </c>
      <c r="M2779" s="1" t="s">
        <v>205</v>
      </c>
      <c r="N2779" s="8" t="s">
        <v>206</v>
      </c>
      <c r="O2779" s="6">
        <v>0</v>
      </c>
      <c r="P2779" s="6">
        <v>0</v>
      </c>
      <c r="Q2779" s="6">
        <v>0</v>
      </c>
      <c r="R2779" s="6">
        <v>206</v>
      </c>
      <c r="S2779" s="6">
        <v>35</v>
      </c>
    </row>
    <row r="2780" spans="1:19" ht="15" hidden="1" x14ac:dyDescent="0.25">
      <c r="A2780" s="7" t="s">
        <v>16</v>
      </c>
      <c r="B2780" s="7" t="s">
        <v>229</v>
      </c>
      <c r="C2780" s="7" t="s">
        <v>24</v>
      </c>
      <c r="D2780" s="4">
        <v>437007000175</v>
      </c>
      <c r="E2780" s="8" t="s">
        <v>1038</v>
      </c>
      <c r="F2780" s="8" t="s">
        <v>1039</v>
      </c>
      <c r="G2780" s="8" t="s">
        <v>61</v>
      </c>
      <c r="H2780" s="8" t="s">
        <v>215</v>
      </c>
      <c r="I2780" s="3">
        <v>2</v>
      </c>
      <c r="J2780" s="8" t="s">
        <v>181</v>
      </c>
      <c r="K2780" s="8" t="s">
        <v>182</v>
      </c>
      <c r="L2780" s="8" t="s">
        <v>557</v>
      </c>
      <c r="M2780" s="1" t="s">
        <v>205</v>
      </c>
      <c r="N2780" s="8" t="s">
        <v>206</v>
      </c>
      <c r="O2780" s="6">
        <v>0</v>
      </c>
      <c r="P2780" s="6">
        <v>0</v>
      </c>
      <c r="Q2780" s="6">
        <v>0</v>
      </c>
      <c r="R2780" s="6">
        <v>0</v>
      </c>
      <c r="S2780" s="6">
        <v>35</v>
      </c>
    </row>
    <row r="2781" spans="1:19" ht="15" hidden="1" x14ac:dyDescent="0.25">
      <c r="A2781" s="7" t="s">
        <v>16</v>
      </c>
      <c r="B2781" s="7" t="s">
        <v>229</v>
      </c>
      <c r="C2781" s="7" t="s">
        <v>24</v>
      </c>
      <c r="D2781" s="4">
        <v>60884855001207</v>
      </c>
      <c r="E2781" s="8" t="s">
        <v>1065</v>
      </c>
      <c r="F2781" s="8" t="s">
        <v>1039</v>
      </c>
      <c r="G2781" s="8" t="s">
        <v>61</v>
      </c>
      <c r="H2781" s="8" t="s">
        <v>215</v>
      </c>
      <c r="I2781" s="3">
        <v>2</v>
      </c>
      <c r="J2781" s="8" t="s">
        <v>155</v>
      </c>
      <c r="K2781" s="8" t="s">
        <v>156</v>
      </c>
      <c r="L2781" s="8" t="s">
        <v>556</v>
      </c>
      <c r="M2781" s="1" t="s">
        <v>205</v>
      </c>
      <c r="N2781" s="8" t="s">
        <v>206</v>
      </c>
      <c r="O2781" s="6">
        <v>0</v>
      </c>
      <c r="P2781" s="6">
        <v>0</v>
      </c>
      <c r="Q2781" s="6">
        <v>0</v>
      </c>
      <c r="R2781" s="6">
        <v>0</v>
      </c>
      <c r="S2781" s="6">
        <v>910</v>
      </c>
    </row>
    <row r="2782" spans="1:19" ht="15" hidden="1" x14ac:dyDescent="0.25">
      <c r="A2782" s="7" t="s">
        <v>16</v>
      </c>
      <c r="B2782" s="7" t="s">
        <v>229</v>
      </c>
      <c r="C2782" s="7" t="s">
        <v>24</v>
      </c>
      <c r="D2782" s="4">
        <v>60884855001207</v>
      </c>
      <c r="E2782" s="8" t="s">
        <v>1065</v>
      </c>
      <c r="F2782" s="8" t="s">
        <v>1039</v>
      </c>
      <c r="G2782" s="8" t="s">
        <v>61</v>
      </c>
      <c r="H2782" s="8" t="s">
        <v>215</v>
      </c>
      <c r="I2782" s="3">
        <v>2</v>
      </c>
      <c r="J2782" s="8" t="s">
        <v>181</v>
      </c>
      <c r="K2782" s="8" t="s">
        <v>182</v>
      </c>
      <c r="L2782" s="8" t="s">
        <v>557</v>
      </c>
      <c r="M2782" s="1" t="s">
        <v>205</v>
      </c>
      <c r="N2782" s="8" t="s">
        <v>206</v>
      </c>
      <c r="O2782" s="6">
        <v>0</v>
      </c>
      <c r="P2782" s="6">
        <v>53</v>
      </c>
      <c r="Q2782" s="6">
        <v>28</v>
      </c>
      <c r="R2782" s="6">
        <v>0</v>
      </c>
      <c r="S2782" s="6">
        <v>910</v>
      </c>
    </row>
    <row r="2783" spans="1:19" ht="15" hidden="1" x14ac:dyDescent="0.25">
      <c r="A2783" s="7" t="s">
        <v>16</v>
      </c>
      <c r="B2783" s="7" t="s">
        <v>229</v>
      </c>
      <c r="C2783" s="7" t="s">
        <v>24</v>
      </c>
      <c r="D2783" s="4">
        <v>31671480000308</v>
      </c>
      <c r="E2783" s="8" t="s">
        <v>1216</v>
      </c>
      <c r="F2783" s="8" t="s">
        <v>1039</v>
      </c>
      <c r="G2783" s="8" t="s">
        <v>61</v>
      </c>
      <c r="H2783" s="8" t="s">
        <v>215</v>
      </c>
      <c r="I2783" s="3">
        <v>2</v>
      </c>
      <c r="J2783" s="8" t="s">
        <v>155</v>
      </c>
      <c r="K2783" s="8" t="s">
        <v>156</v>
      </c>
      <c r="L2783" s="8" t="s">
        <v>556</v>
      </c>
      <c r="M2783" s="1" t="s">
        <v>205</v>
      </c>
      <c r="N2783" s="8" t="s">
        <v>206</v>
      </c>
      <c r="O2783" s="6">
        <v>0</v>
      </c>
      <c r="P2783" s="6">
        <v>0</v>
      </c>
      <c r="Q2783" s="6">
        <v>0</v>
      </c>
      <c r="R2783" s="6">
        <v>0</v>
      </c>
      <c r="S2783" s="6">
        <v>0</v>
      </c>
    </row>
    <row r="2784" spans="1:19" ht="15" hidden="1" x14ac:dyDescent="0.25">
      <c r="A2784" s="7" t="s">
        <v>16</v>
      </c>
      <c r="B2784" s="7" t="s">
        <v>229</v>
      </c>
      <c r="C2784" s="7" t="s">
        <v>24</v>
      </c>
      <c r="D2784" s="4">
        <v>31671480000308</v>
      </c>
      <c r="E2784" s="8" t="s">
        <v>1216</v>
      </c>
      <c r="F2784" s="8" t="s">
        <v>1039</v>
      </c>
      <c r="G2784" s="8" t="s">
        <v>61</v>
      </c>
      <c r="H2784" s="8" t="s">
        <v>215</v>
      </c>
      <c r="I2784" s="3">
        <v>2</v>
      </c>
      <c r="J2784" s="8" t="s">
        <v>181</v>
      </c>
      <c r="K2784" s="8" t="s">
        <v>182</v>
      </c>
      <c r="L2784" s="8" t="s">
        <v>557</v>
      </c>
      <c r="M2784" s="1" t="s">
        <v>205</v>
      </c>
      <c r="N2784" s="8" t="s">
        <v>206</v>
      </c>
      <c r="O2784" s="6">
        <v>0</v>
      </c>
      <c r="P2784" s="6">
        <v>10</v>
      </c>
      <c r="Q2784" s="6">
        <v>0</v>
      </c>
      <c r="R2784" s="6">
        <v>0</v>
      </c>
      <c r="S2784" s="6">
        <v>0</v>
      </c>
    </row>
    <row r="2785" spans="1:19" ht="15" hidden="1" x14ac:dyDescent="0.25">
      <c r="A2785" s="7" t="s">
        <v>16</v>
      </c>
      <c r="B2785" s="7" t="s">
        <v>229</v>
      </c>
      <c r="C2785" s="7" t="s">
        <v>24</v>
      </c>
      <c r="D2785" s="4">
        <v>521197000104</v>
      </c>
      <c r="E2785" s="8" t="s">
        <v>1040</v>
      </c>
      <c r="F2785" s="8" t="s">
        <v>1039</v>
      </c>
      <c r="G2785" s="8" t="s">
        <v>61</v>
      </c>
      <c r="H2785" s="8" t="s">
        <v>215</v>
      </c>
      <c r="I2785" s="3">
        <v>2</v>
      </c>
      <c r="J2785" s="8" t="s">
        <v>155</v>
      </c>
      <c r="K2785" s="8" t="s">
        <v>156</v>
      </c>
      <c r="L2785" s="8" t="s">
        <v>556</v>
      </c>
      <c r="M2785" s="1" t="s">
        <v>205</v>
      </c>
      <c r="N2785" s="8" t="s">
        <v>206</v>
      </c>
      <c r="O2785" s="6">
        <v>0</v>
      </c>
      <c r="P2785" s="6">
        <v>0</v>
      </c>
      <c r="Q2785" s="6">
        <v>0</v>
      </c>
      <c r="R2785" s="6">
        <v>0</v>
      </c>
      <c r="S2785" s="6">
        <v>310</v>
      </c>
    </row>
    <row r="2786" spans="1:19" ht="15" hidden="1" x14ac:dyDescent="0.25">
      <c r="A2786" s="7" t="s">
        <v>16</v>
      </c>
      <c r="B2786" s="7" t="s">
        <v>229</v>
      </c>
      <c r="C2786" s="7" t="s">
        <v>24</v>
      </c>
      <c r="D2786" s="4">
        <v>521197000104</v>
      </c>
      <c r="E2786" s="8" t="s">
        <v>1040</v>
      </c>
      <c r="F2786" s="8" t="s">
        <v>1039</v>
      </c>
      <c r="G2786" s="8" t="s">
        <v>61</v>
      </c>
      <c r="H2786" s="8" t="s">
        <v>215</v>
      </c>
      <c r="I2786" s="3">
        <v>2</v>
      </c>
      <c r="J2786" s="8" t="s">
        <v>173</v>
      </c>
      <c r="K2786" s="8" t="s">
        <v>174</v>
      </c>
      <c r="L2786" s="8" t="s">
        <v>557</v>
      </c>
      <c r="M2786" s="1" t="s">
        <v>205</v>
      </c>
      <c r="N2786" s="8" t="s">
        <v>206</v>
      </c>
      <c r="O2786" s="6">
        <v>0</v>
      </c>
      <c r="P2786" s="6">
        <v>0</v>
      </c>
      <c r="Q2786" s="6">
        <v>0</v>
      </c>
      <c r="R2786" s="6">
        <v>0</v>
      </c>
      <c r="S2786" s="6">
        <v>310</v>
      </c>
    </row>
    <row r="2787" spans="1:19" ht="15" hidden="1" x14ac:dyDescent="0.25">
      <c r="A2787" s="7" t="s">
        <v>16</v>
      </c>
      <c r="B2787" s="7" t="s">
        <v>229</v>
      </c>
      <c r="C2787" s="7" t="s">
        <v>24</v>
      </c>
      <c r="D2787" s="4">
        <v>29135795000208</v>
      </c>
      <c r="E2787" s="8" t="s">
        <v>1053</v>
      </c>
      <c r="F2787" s="8" t="s">
        <v>120</v>
      </c>
      <c r="G2787" s="8" t="s">
        <v>61</v>
      </c>
      <c r="H2787" s="8" t="s">
        <v>215</v>
      </c>
      <c r="I2787" s="3">
        <v>2</v>
      </c>
      <c r="J2787" s="8" t="s">
        <v>155</v>
      </c>
      <c r="K2787" s="8" t="s">
        <v>156</v>
      </c>
      <c r="L2787" s="8" t="s">
        <v>556</v>
      </c>
      <c r="M2787" s="1" t="s">
        <v>205</v>
      </c>
      <c r="N2787" s="8" t="s">
        <v>206</v>
      </c>
      <c r="O2787" s="6">
        <v>0</v>
      </c>
      <c r="P2787" s="6">
        <v>0</v>
      </c>
      <c r="Q2787" s="6">
        <v>0</v>
      </c>
      <c r="R2787" s="6">
        <v>0</v>
      </c>
      <c r="S2787" s="6">
        <v>75</v>
      </c>
    </row>
    <row r="2788" spans="1:19" ht="15" hidden="1" x14ac:dyDescent="0.25">
      <c r="A2788" s="7" t="s">
        <v>16</v>
      </c>
      <c r="B2788" s="7" t="s">
        <v>229</v>
      </c>
      <c r="C2788" s="7" t="s">
        <v>24</v>
      </c>
      <c r="D2788" s="4">
        <v>29135795000208</v>
      </c>
      <c r="E2788" s="8" t="s">
        <v>1053</v>
      </c>
      <c r="F2788" s="8" t="s">
        <v>120</v>
      </c>
      <c r="G2788" s="8" t="s">
        <v>61</v>
      </c>
      <c r="H2788" s="8" t="s">
        <v>215</v>
      </c>
      <c r="I2788" s="3">
        <v>2</v>
      </c>
      <c r="J2788" s="8" t="s">
        <v>173</v>
      </c>
      <c r="K2788" s="8" t="s">
        <v>174</v>
      </c>
      <c r="L2788" s="8" t="s">
        <v>557</v>
      </c>
      <c r="M2788" s="1" t="s">
        <v>205</v>
      </c>
      <c r="N2788" s="8" t="s">
        <v>206</v>
      </c>
      <c r="O2788" s="6">
        <v>0</v>
      </c>
      <c r="P2788" s="6">
        <v>0</v>
      </c>
      <c r="Q2788" s="6">
        <v>0</v>
      </c>
      <c r="R2788" s="6">
        <v>0</v>
      </c>
      <c r="S2788" s="6">
        <v>75</v>
      </c>
    </row>
    <row r="2789" spans="1:19" ht="15" hidden="1" x14ac:dyDescent="0.25">
      <c r="A2789" s="7" t="s">
        <v>16</v>
      </c>
      <c r="B2789" s="7" t="s">
        <v>229</v>
      </c>
      <c r="C2789" s="7" t="s">
        <v>24</v>
      </c>
      <c r="D2789" s="4">
        <v>7794623001528</v>
      </c>
      <c r="E2789" s="8" t="s">
        <v>1042</v>
      </c>
      <c r="F2789" s="8" t="s">
        <v>1043</v>
      </c>
      <c r="G2789" s="8" t="s">
        <v>61</v>
      </c>
      <c r="H2789" s="8" t="s">
        <v>215</v>
      </c>
      <c r="I2789" s="3">
        <v>2</v>
      </c>
      <c r="J2789" s="8" t="s">
        <v>155</v>
      </c>
      <c r="K2789" s="8" t="s">
        <v>156</v>
      </c>
      <c r="L2789" s="8" t="s">
        <v>556</v>
      </c>
      <c r="M2789" s="1" t="s">
        <v>205</v>
      </c>
      <c r="N2789" s="8" t="s">
        <v>206</v>
      </c>
      <c r="O2789" s="6">
        <v>0</v>
      </c>
      <c r="P2789" s="6">
        <v>0</v>
      </c>
      <c r="Q2789" s="6">
        <v>0</v>
      </c>
      <c r="R2789" s="6">
        <v>14</v>
      </c>
      <c r="S2789" s="6">
        <v>0</v>
      </c>
    </row>
    <row r="2790" spans="1:19" ht="15" hidden="1" x14ac:dyDescent="0.25">
      <c r="A2790" s="7" t="s">
        <v>16</v>
      </c>
      <c r="B2790" s="7" t="s">
        <v>229</v>
      </c>
      <c r="C2790" s="7" t="s">
        <v>24</v>
      </c>
      <c r="D2790" s="4">
        <v>7794623001528</v>
      </c>
      <c r="E2790" s="8" t="s">
        <v>1042</v>
      </c>
      <c r="F2790" s="8" t="s">
        <v>1043</v>
      </c>
      <c r="G2790" s="8" t="s">
        <v>61</v>
      </c>
      <c r="H2790" s="8" t="s">
        <v>215</v>
      </c>
      <c r="I2790" s="3">
        <v>2</v>
      </c>
      <c r="J2790" s="8" t="s">
        <v>181</v>
      </c>
      <c r="K2790" s="8" t="s">
        <v>182</v>
      </c>
      <c r="L2790" s="8" t="s">
        <v>557</v>
      </c>
      <c r="M2790" s="1" t="s">
        <v>205</v>
      </c>
      <c r="N2790" s="8" t="s">
        <v>206</v>
      </c>
      <c r="O2790" s="6">
        <v>0</v>
      </c>
      <c r="P2790" s="6">
        <v>0</v>
      </c>
      <c r="Q2790" s="6">
        <v>0</v>
      </c>
      <c r="R2790" s="6">
        <v>0</v>
      </c>
      <c r="S2790" s="6">
        <v>0</v>
      </c>
    </row>
    <row r="2791" spans="1:19" ht="15" hidden="1" x14ac:dyDescent="0.25">
      <c r="A2791" s="7" t="s">
        <v>16</v>
      </c>
      <c r="B2791" s="7" t="s">
        <v>229</v>
      </c>
      <c r="C2791" s="7" t="s">
        <v>24</v>
      </c>
      <c r="D2791" s="4">
        <v>28806545000532</v>
      </c>
      <c r="E2791" s="8" t="s">
        <v>1050</v>
      </c>
      <c r="F2791" s="8" t="s">
        <v>1051</v>
      </c>
      <c r="G2791" s="8" t="s">
        <v>61</v>
      </c>
      <c r="H2791" s="8" t="s">
        <v>215</v>
      </c>
      <c r="I2791" s="3">
        <v>2</v>
      </c>
      <c r="J2791" s="8" t="s">
        <v>155</v>
      </c>
      <c r="K2791" s="8" t="s">
        <v>156</v>
      </c>
      <c r="L2791" s="8" t="s">
        <v>556</v>
      </c>
      <c r="M2791" s="1" t="s">
        <v>205</v>
      </c>
      <c r="N2791" s="8" t="s">
        <v>206</v>
      </c>
      <c r="O2791" s="6">
        <v>0</v>
      </c>
      <c r="P2791" s="6">
        <v>0</v>
      </c>
      <c r="Q2791" s="6">
        <v>0</v>
      </c>
      <c r="R2791" s="6">
        <v>72</v>
      </c>
      <c r="S2791" s="6">
        <v>0</v>
      </c>
    </row>
    <row r="2792" spans="1:19" ht="15" hidden="1" x14ac:dyDescent="0.25">
      <c r="A2792" s="7" t="s">
        <v>16</v>
      </c>
      <c r="B2792" s="7" t="s">
        <v>229</v>
      </c>
      <c r="C2792" s="7" t="s">
        <v>24</v>
      </c>
      <c r="D2792" s="4">
        <v>28806545000532</v>
      </c>
      <c r="E2792" s="8" t="s">
        <v>1050</v>
      </c>
      <c r="F2792" s="8" t="s">
        <v>1051</v>
      </c>
      <c r="G2792" s="8" t="s">
        <v>61</v>
      </c>
      <c r="H2792" s="8" t="s">
        <v>215</v>
      </c>
      <c r="I2792" s="3">
        <v>2</v>
      </c>
      <c r="J2792" s="8" t="s">
        <v>173</v>
      </c>
      <c r="K2792" s="8" t="s">
        <v>174</v>
      </c>
      <c r="L2792" s="8" t="s">
        <v>557</v>
      </c>
      <c r="M2792" s="1" t="s">
        <v>205</v>
      </c>
      <c r="N2792" s="8" t="s">
        <v>206</v>
      </c>
      <c r="O2792" s="6">
        <v>0</v>
      </c>
      <c r="P2792" s="6">
        <v>0</v>
      </c>
      <c r="Q2792" s="6">
        <v>0</v>
      </c>
      <c r="R2792" s="6">
        <v>0</v>
      </c>
      <c r="S2792" s="6">
        <v>0</v>
      </c>
    </row>
    <row r="2793" spans="1:19" ht="15" hidden="1" x14ac:dyDescent="0.25">
      <c r="A2793" s="7" t="s">
        <v>16</v>
      </c>
      <c r="B2793" s="7" t="s">
        <v>229</v>
      </c>
      <c r="C2793" s="7" t="s">
        <v>24</v>
      </c>
      <c r="D2793" s="4">
        <v>68709211000212</v>
      </c>
      <c r="E2793" s="8" t="s">
        <v>1066</v>
      </c>
      <c r="F2793" s="8" t="s">
        <v>92</v>
      </c>
      <c r="G2793" s="8" t="s">
        <v>61</v>
      </c>
      <c r="H2793" s="8" t="s">
        <v>215</v>
      </c>
      <c r="I2793" s="3">
        <v>2</v>
      </c>
      <c r="J2793" s="8" t="s">
        <v>155</v>
      </c>
      <c r="K2793" s="8" t="s">
        <v>156</v>
      </c>
      <c r="L2793" s="8" t="s">
        <v>556</v>
      </c>
      <c r="M2793" s="1" t="s">
        <v>205</v>
      </c>
      <c r="N2793" s="8" t="s">
        <v>206</v>
      </c>
      <c r="O2793" s="6">
        <v>0</v>
      </c>
      <c r="P2793" s="6">
        <v>0</v>
      </c>
      <c r="Q2793" s="6">
        <v>0</v>
      </c>
      <c r="R2793" s="6">
        <v>0</v>
      </c>
      <c r="S2793" s="6">
        <v>475</v>
      </c>
    </row>
    <row r="2794" spans="1:19" ht="15" hidden="1" x14ac:dyDescent="0.25">
      <c r="A2794" s="7" t="s">
        <v>16</v>
      </c>
      <c r="B2794" s="7" t="s">
        <v>229</v>
      </c>
      <c r="C2794" s="7" t="s">
        <v>24</v>
      </c>
      <c r="D2794" s="4">
        <v>68709211000212</v>
      </c>
      <c r="E2794" s="8" t="s">
        <v>1066</v>
      </c>
      <c r="F2794" s="8" t="s">
        <v>92</v>
      </c>
      <c r="G2794" s="8" t="s">
        <v>61</v>
      </c>
      <c r="H2794" s="8" t="s">
        <v>215</v>
      </c>
      <c r="I2794" s="3">
        <v>2</v>
      </c>
      <c r="J2794" s="8" t="s">
        <v>173</v>
      </c>
      <c r="K2794" s="8" t="s">
        <v>174</v>
      </c>
      <c r="L2794" s="8" t="s">
        <v>557</v>
      </c>
      <c r="M2794" s="1" t="s">
        <v>205</v>
      </c>
      <c r="N2794" s="8" t="s">
        <v>206</v>
      </c>
      <c r="O2794" s="6">
        <v>0</v>
      </c>
      <c r="P2794" s="6">
        <v>0</v>
      </c>
      <c r="Q2794" s="6">
        <v>0</v>
      </c>
      <c r="R2794" s="6">
        <v>0</v>
      </c>
      <c r="S2794" s="6">
        <v>475</v>
      </c>
    </row>
    <row r="2795" spans="1:19" ht="15" hidden="1" x14ac:dyDescent="0.25">
      <c r="A2795" s="7" t="s">
        <v>16</v>
      </c>
      <c r="B2795" s="7" t="s">
        <v>229</v>
      </c>
      <c r="C2795" s="7" t="s">
        <v>24</v>
      </c>
      <c r="D2795" s="4">
        <v>29072642000188</v>
      </c>
      <c r="E2795" s="8" t="s">
        <v>1052</v>
      </c>
      <c r="F2795" s="8" t="s">
        <v>92</v>
      </c>
      <c r="G2795" s="8" t="s">
        <v>61</v>
      </c>
      <c r="H2795" s="8" t="s">
        <v>215</v>
      </c>
      <c r="I2795" s="3">
        <v>2</v>
      </c>
      <c r="J2795" s="8" t="s">
        <v>155</v>
      </c>
      <c r="K2795" s="8" t="s">
        <v>156</v>
      </c>
      <c r="L2795" s="8" t="s">
        <v>556</v>
      </c>
      <c r="M2795" s="1" t="s">
        <v>205</v>
      </c>
      <c r="N2795" s="8" t="s">
        <v>206</v>
      </c>
      <c r="O2795" s="6">
        <v>0</v>
      </c>
      <c r="P2795" s="6">
        <v>0</v>
      </c>
      <c r="Q2795" s="6">
        <v>0</v>
      </c>
      <c r="R2795" s="6">
        <v>0</v>
      </c>
      <c r="S2795" s="6">
        <v>0</v>
      </c>
    </row>
    <row r="2796" spans="1:19" ht="15" hidden="1" x14ac:dyDescent="0.25">
      <c r="A2796" s="7" t="s">
        <v>16</v>
      </c>
      <c r="B2796" s="7" t="s">
        <v>229</v>
      </c>
      <c r="C2796" s="7" t="s">
        <v>24</v>
      </c>
      <c r="D2796" s="4">
        <v>29072642000188</v>
      </c>
      <c r="E2796" s="8" t="s">
        <v>1052</v>
      </c>
      <c r="F2796" s="8" t="s">
        <v>92</v>
      </c>
      <c r="G2796" s="8" t="s">
        <v>61</v>
      </c>
      <c r="H2796" s="8" t="s">
        <v>215</v>
      </c>
      <c r="I2796" s="3">
        <v>2</v>
      </c>
      <c r="J2796" s="8" t="s">
        <v>173</v>
      </c>
      <c r="K2796" s="8" t="s">
        <v>174</v>
      </c>
      <c r="L2796" s="8" t="s">
        <v>557</v>
      </c>
      <c r="M2796" s="1" t="s">
        <v>205</v>
      </c>
      <c r="N2796" s="8" t="s">
        <v>206</v>
      </c>
      <c r="O2796" s="6">
        <v>0</v>
      </c>
      <c r="P2796" s="6">
        <v>6</v>
      </c>
      <c r="Q2796" s="6">
        <v>0</v>
      </c>
      <c r="R2796" s="6">
        <v>0</v>
      </c>
      <c r="S2796" s="6">
        <v>0</v>
      </c>
    </row>
    <row r="2797" spans="1:19" ht="15" hidden="1" x14ac:dyDescent="0.25">
      <c r="A2797" s="7" t="s">
        <v>16</v>
      </c>
      <c r="B2797" s="7" t="s">
        <v>229</v>
      </c>
      <c r="C2797" s="7" t="s">
        <v>24</v>
      </c>
      <c r="D2797" s="4">
        <v>33575127000600</v>
      </c>
      <c r="E2797" s="8" t="s">
        <v>1217</v>
      </c>
      <c r="F2797" s="8" t="s">
        <v>131</v>
      </c>
      <c r="G2797" s="8" t="s">
        <v>61</v>
      </c>
      <c r="H2797" s="8" t="s">
        <v>215</v>
      </c>
      <c r="I2797" s="3">
        <v>2</v>
      </c>
      <c r="J2797" s="8" t="s">
        <v>155</v>
      </c>
      <c r="K2797" s="8" t="s">
        <v>156</v>
      </c>
      <c r="L2797" s="8" t="s">
        <v>556</v>
      </c>
      <c r="M2797" s="1" t="s">
        <v>205</v>
      </c>
      <c r="N2797" s="8" t="s">
        <v>206</v>
      </c>
      <c r="O2797" s="6">
        <v>0</v>
      </c>
      <c r="P2797" s="6">
        <v>0</v>
      </c>
      <c r="Q2797" s="6">
        <v>0</v>
      </c>
      <c r="R2797" s="6">
        <v>0</v>
      </c>
      <c r="S2797" s="6">
        <v>175</v>
      </c>
    </row>
    <row r="2798" spans="1:19" ht="15" hidden="1" x14ac:dyDescent="0.25">
      <c r="A2798" s="7" t="s">
        <v>16</v>
      </c>
      <c r="B2798" s="7" t="s">
        <v>229</v>
      </c>
      <c r="C2798" s="7" t="s">
        <v>24</v>
      </c>
      <c r="D2798" s="4">
        <v>33575127000600</v>
      </c>
      <c r="E2798" s="8" t="s">
        <v>1217</v>
      </c>
      <c r="F2798" s="8" t="s">
        <v>131</v>
      </c>
      <c r="G2798" s="8" t="s">
        <v>61</v>
      </c>
      <c r="H2798" s="8" t="s">
        <v>215</v>
      </c>
      <c r="I2798" s="3">
        <v>2</v>
      </c>
      <c r="J2798" s="8" t="s">
        <v>181</v>
      </c>
      <c r="K2798" s="8" t="s">
        <v>182</v>
      </c>
      <c r="L2798" s="8" t="s">
        <v>557</v>
      </c>
      <c r="M2798" s="1" t="s">
        <v>205</v>
      </c>
      <c r="N2798" s="8" t="s">
        <v>206</v>
      </c>
      <c r="O2798" s="6">
        <v>0</v>
      </c>
      <c r="P2798" s="6">
        <v>0</v>
      </c>
      <c r="Q2798" s="6">
        <v>0</v>
      </c>
      <c r="R2798" s="6">
        <v>0</v>
      </c>
      <c r="S2798" s="6">
        <v>175</v>
      </c>
    </row>
    <row r="2799" spans="1:19" ht="15" hidden="1" x14ac:dyDescent="0.25">
      <c r="A2799" s="7" t="s">
        <v>16</v>
      </c>
      <c r="B2799" s="7" t="s">
        <v>229</v>
      </c>
      <c r="C2799" s="7" t="s">
        <v>24</v>
      </c>
      <c r="D2799" s="4">
        <v>60922168000348</v>
      </c>
      <c r="E2799" s="8" t="s">
        <v>1125</v>
      </c>
      <c r="F2799" s="8" t="s">
        <v>131</v>
      </c>
      <c r="G2799" s="8" t="s">
        <v>61</v>
      </c>
      <c r="H2799" s="8" t="s">
        <v>215</v>
      </c>
      <c r="I2799" s="3">
        <v>2</v>
      </c>
      <c r="J2799" s="8" t="s">
        <v>155</v>
      </c>
      <c r="K2799" s="8" t="s">
        <v>156</v>
      </c>
      <c r="L2799" s="8" t="s">
        <v>556</v>
      </c>
      <c r="M2799" s="1" t="s">
        <v>205</v>
      </c>
      <c r="N2799" s="8" t="s">
        <v>206</v>
      </c>
      <c r="O2799" s="6">
        <v>0</v>
      </c>
      <c r="P2799" s="6">
        <v>0</v>
      </c>
      <c r="Q2799" s="6">
        <v>0</v>
      </c>
      <c r="R2799" s="6">
        <v>0</v>
      </c>
      <c r="S2799" s="6">
        <v>380</v>
      </c>
    </row>
    <row r="2800" spans="1:19" ht="15" hidden="1" x14ac:dyDescent="0.25">
      <c r="A2800" s="7" t="s">
        <v>16</v>
      </c>
      <c r="B2800" s="7" t="s">
        <v>229</v>
      </c>
      <c r="C2800" s="7" t="s">
        <v>24</v>
      </c>
      <c r="D2800" s="4">
        <v>60922168000348</v>
      </c>
      <c r="E2800" s="8" t="s">
        <v>1125</v>
      </c>
      <c r="F2800" s="8" t="s">
        <v>131</v>
      </c>
      <c r="G2800" s="8" t="s">
        <v>61</v>
      </c>
      <c r="H2800" s="8" t="s">
        <v>215</v>
      </c>
      <c r="I2800" s="3">
        <v>2</v>
      </c>
      <c r="J2800" s="8" t="s">
        <v>181</v>
      </c>
      <c r="K2800" s="8" t="s">
        <v>182</v>
      </c>
      <c r="L2800" s="8" t="s">
        <v>557</v>
      </c>
      <c r="M2800" s="1" t="s">
        <v>205</v>
      </c>
      <c r="N2800" s="8" t="s">
        <v>206</v>
      </c>
      <c r="O2800" s="6">
        <v>0</v>
      </c>
      <c r="P2800" s="6">
        <v>12</v>
      </c>
      <c r="Q2800" s="6">
        <v>0</v>
      </c>
      <c r="R2800" s="6">
        <v>0</v>
      </c>
      <c r="S2800" s="6">
        <v>380</v>
      </c>
    </row>
    <row r="2801" spans="1:19" ht="15" hidden="1" x14ac:dyDescent="0.25">
      <c r="A2801" s="7" t="s">
        <v>16</v>
      </c>
      <c r="B2801" s="7" t="s">
        <v>229</v>
      </c>
      <c r="C2801" s="7" t="s">
        <v>24</v>
      </c>
      <c r="D2801" s="4">
        <v>7794623004896</v>
      </c>
      <c r="E2801" s="8" t="s">
        <v>1084</v>
      </c>
      <c r="F2801" s="8" t="s">
        <v>131</v>
      </c>
      <c r="G2801" s="8" t="s">
        <v>61</v>
      </c>
      <c r="H2801" s="8" t="s">
        <v>215</v>
      </c>
      <c r="I2801" s="3">
        <v>2</v>
      </c>
      <c r="J2801" s="8" t="s">
        <v>155</v>
      </c>
      <c r="K2801" s="8" t="s">
        <v>156</v>
      </c>
      <c r="L2801" s="8" t="s">
        <v>556</v>
      </c>
      <c r="M2801" s="1" t="s">
        <v>205</v>
      </c>
      <c r="N2801" s="8" t="s">
        <v>206</v>
      </c>
      <c r="O2801" s="6">
        <v>0</v>
      </c>
      <c r="P2801" s="6">
        <v>0</v>
      </c>
      <c r="Q2801" s="6">
        <v>0</v>
      </c>
      <c r="R2801" s="6">
        <v>0</v>
      </c>
      <c r="S2801" s="6">
        <v>400</v>
      </c>
    </row>
    <row r="2802" spans="1:19" ht="15" hidden="1" x14ac:dyDescent="0.25">
      <c r="A2802" s="7" t="s">
        <v>16</v>
      </c>
      <c r="B2802" s="7" t="s">
        <v>229</v>
      </c>
      <c r="C2802" s="7" t="s">
        <v>24</v>
      </c>
      <c r="D2802" s="4">
        <v>7794623004896</v>
      </c>
      <c r="E2802" s="8" t="s">
        <v>1084</v>
      </c>
      <c r="F2802" s="8" t="s">
        <v>131</v>
      </c>
      <c r="G2802" s="8" t="s">
        <v>61</v>
      </c>
      <c r="H2802" s="8" t="s">
        <v>215</v>
      </c>
      <c r="I2802" s="3">
        <v>2</v>
      </c>
      <c r="J2802" s="8" t="s">
        <v>181</v>
      </c>
      <c r="K2802" s="8" t="s">
        <v>182</v>
      </c>
      <c r="L2802" s="8" t="s">
        <v>557</v>
      </c>
      <c r="M2802" s="1" t="s">
        <v>205</v>
      </c>
      <c r="N2802" s="8" t="s">
        <v>206</v>
      </c>
      <c r="O2802" s="6">
        <v>0</v>
      </c>
      <c r="P2802" s="6">
        <v>0</v>
      </c>
      <c r="Q2802" s="6">
        <v>0</v>
      </c>
      <c r="R2802" s="6">
        <v>0</v>
      </c>
      <c r="S2802" s="6">
        <v>400</v>
      </c>
    </row>
    <row r="2803" spans="1:19" ht="15" hidden="1" x14ac:dyDescent="0.25">
      <c r="A2803" s="7" t="s">
        <v>16</v>
      </c>
      <c r="B2803" s="7" t="s">
        <v>229</v>
      </c>
      <c r="C2803" s="7" t="s">
        <v>24</v>
      </c>
      <c r="D2803" s="4">
        <v>2864097000106</v>
      </c>
      <c r="E2803" s="8" t="s">
        <v>1078</v>
      </c>
      <c r="F2803" s="8" t="s">
        <v>131</v>
      </c>
      <c r="G2803" s="8" t="s">
        <v>61</v>
      </c>
      <c r="H2803" s="8" t="s">
        <v>215</v>
      </c>
      <c r="I2803" s="3">
        <v>2</v>
      </c>
      <c r="J2803" s="8" t="s">
        <v>155</v>
      </c>
      <c r="K2803" s="8" t="s">
        <v>156</v>
      </c>
      <c r="L2803" s="8" t="s">
        <v>556</v>
      </c>
      <c r="M2803" s="1" t="s">
        <v>205</v>
      </c>
      <c r="N2803" s="8" t="s">
        <v>206</v>
      </c>
      <c r="O2803" s="6">
        <v>0</v>
      </c>
      <c r="P2803" s="6">
        <v>0</v>
      </c>
      <c r="Q2803" s="6">
        <v>0</v>
      </c>
      <c r="R2803" s="6">
        <v>0</v>
      </c>
      <c r="S2803" s="6">
        <v>80</v>
      </c>
    </row>
    <row r="2804" spans="1:19" ht="15" hidden="1" x14ac:dyDescent="0.25">
      <c r="A2804" s="7" t="s">
        <v>16</v>
      </c>
      <c r="B2804" s="7" t="s">
        <v>229</v>
      </c>
      <c r="C2804" s="7" t="s">
        <v>24</v>
      </c>
      <c r="D2804" s="4">
        <v>2864097000106</v>
      </c>
      <c r="E2804" s="8" t="s">
        <v>1078</v>
      </c>
      <c r="F2804" s="8" t="s">
        <v>131</v>
      </c>
      <c r="G2804" s="8" t="s">
        <v>61</v>
      </c>
      <c r="H2804" s="8" t="s">
        <v>215</v>
      </c>
      <c r="I2804" s="3">
        <v>2</v>
      </c>
      <c r="J2804" s="8" t="s">
        <v>181</v>
      </c>
      <c r="K2804" s="8" t="s">
        <v>182</v>
      </c>
      <c r="L2804" s="8" t="s">
        <v>557</v>
      </c>
      <c r="M2804" s="1" t="s">
        <v>205</v>
      </c>
      <c r="N2804" s="8" t="s">
        <v>206</v>
      </c>
      <c r="O2804" s="6">
        <v>0</v>
      </c>
      <c r="P2804" s="6">
        <v>0</v>
      </c>
      <c r="Q2804" s="6">
        <v>0</v>
      </c>
      <c r="R2804" s="6">
        <v>0</v>
      </c>
      <c r="S2804" s="6">
        <v>80</v>
      </c>
    </row>
    <row r="2805" spans="1:19" ht="15" hidden="1" x14ac:dyDescent="0.25">
      <c r="A2805" s="7" t="s">
        <v>16</v>
      </c>
      <c r="B2805" s="7" t="s">
        <v>229</v>
      </c>
      <c r="C2805" s="7" t="s">
        <v>24</v>
      </c>
      <c r="D2805" s="4">
        <v>10922058000146</v>
      </c>
      <c r="E2805" s="8" t="s">
        <v>1158</v>
      </c>
      <c r="F2805" s="8" t="s">
        <v>131</v>
      </c>
      <c r="G2805" s="8" t="s">
        <v>61</v>
      </c>
      <c r="H2805" s="8" t="s">
        <v>215</v>
      </c>
      <c r="I2805" s="3">
        <v>2</v>
      </c>
      <c r="J2805" s="8" t="s">
        <v>155</v>
      </c>
      <c r="K2805" s="8" t="s">
        <v>156</v>
      </c>
      <c r="L2805" s="8" t="s">
        <v>556</v>
      </c>
      <c r="M2805" s="1" t="s">
        <v>205</v>
      </c>
      <c r="N2805" s="8" t="s">
        <v>206</v>
      </c>
      <c r="O2805" s="6">
        <v>0</v>
      </c>
      <c r="P2805" s="6">
        <v>0</v>
      </c>
      <c r="Q2805" s="6">
        <v>0</v>
      </c>
      <c r="R2805" s="6">
        <v>0</v>
      </c>
      <c r="S2805" s="6">
        <v>150</v>
      </c>
    </row>
    <row r="2806" spans="1:19" ht="15" hidden="1" x14ac:dyDescent="0.25">
      <c r="A2806" s="7" t="s">
        <v>16</v>
      </c>
      <c r="B2806" s="7" t="s">
        <v>229</v>
      </c>
      <c r="C2806" s="7" t="s">
        <v>24</v>
      </c>
      <c r="D2806" s="4">
        <v>10922058000146</v>
      </c>
      <c r="E2806" s="8" t="s">
        <v>1158</v>
      </c>
      <c r="F2806" s="8" t="s">
        <v>131</v>
      </c>
      <c r="G2806" s="8" t="s">
        <v>61</v>
      </c>
      <c r="H2806" s="8" t="s">
        <v>215</v>
      </c>
      <c r="I2806" s="3">
        <v>2</v>
      </c>
      <c r="J2806" s="8" t="s">
        <v>181</v>
      </c>
      <c r="K2806" s="8" t="s">
        <v>182</v>
      </c>
      <c r="L2806" s="8" t="s">
        <v>557</v>
      </c>
      <c r="M2806" s="1" t="s">
        <v>205</v>
      </c>
      <c r="N2806" s="8" t="s">
        <v>206</v>
      </c>
      <c r="O2806" s="6">
        <v>0</v>
      </c>
      <c r="P2806" s="6">
        <v>0</v>
      </c>
      <c r="Q2806" s="6">
        <v>0</v>
      </c>
      <c r="R2806" s="6">
        <v>0</v>
      </c>
      <c r="S2806" s="6">
        <v>150</v>
      </c>
    </row>
    <row r="2807" spans="1:19" ht="15" hidden="1" x14ac:dyDescent="0.25">
      <c r="A2807" s="7" t="s">
        <v>16</v>
      </c>
      <c r="B2807" s="7" t="s">
        <v>229</v>
      </c>
      <c r="C2807" s="7" t="s">
        <v>24</v>
      </c>
      <c r="D2807" s="4">
        <v>39086160000130</v>
      </c>
      <c r="E2807" s="8" t="s">
        <v>1119</v>
      </c>
      <c r="F2807" s="8" t="s">
        <v>131</v>
      </c>
      <c r="G2807" s="8" t="s">
        <v>61</v>
      </c>
      <c r="H2807" s="8" t="s">
        <v>215</v>
      </c>
      <c r="I2807" s="3">
        <v>2</v>
      </c>
      <c r="J2807" s="8" t="s">
        <v>155</v>
      </c>
      <c r="K2807" s="8" t="s">
        <v>156</v>
      </c>
      <c r="L2807" s="8" t="s">
        <v>556</v>
      </c>
      <c r="M2807" s="1" t="s">
        <v>205</v>
      </c>
      <c r="N2807" s="8" t="s">
        <v>206</v>
      </c>
      <c r="O2807" s="6">
        <v>0</v>
      </c>
      <c r="P2807" s="6">
        <v>0</v>
      </c>
      <c r="Q2807" s="6">
        <v>0</v>
      </c>
      <c r="R2807" s="6">
        <v>120</v>
      </c>
      <c r="S2807" s="6">
        <v>200</v>
      </c>
    </row>
    <row r="2808" spans="1:19" ht="15" hidden="1" x14ac:dyDescent="0.25">
      <c r="A2808" s="7" t="s">
        <v>16</v>
      </c>
      <c r="B2808" s="7" t="s">
        <v>229</v>
      </c>
      <c r="C2808" s="7" t="s">
        <v>24</v>
      </c>
      <c r="D2808" s="4">
        <v>39086160000130</v>
      </c>
      <c r="E2808" s="8" t="s">
        <v>1119</v>
      </c>
      <c r="F2808" s="8" t="s">
        <v>131</v>
      </c>
      <c r="G2808" s="8" t="s">
        <v>61</v>
      </c>
      <c r="H2808" s="8" t="s">
        <v>215</v>
      </c>
      <c r="I2808" s="3">
        <v>2</v>
      </c>
      <c r="J2808" s="8" t="s">
        <v>181</v>
      </c>
      <c r="K2808" s="8" t="s">
        <v>182</v>
      </c>
      <c r="L2808" s="8" t="s">
        <v>557</v>
      </c>
      <c r="M2808" s="1" t="s">
        <v>205</v>
      </c>
      <c r="N2808" s="8" t="s">
        <v>206</v>
      </c>
      <c r="O2808" s="6">
        <v>0</v>
      </c>
      <c r="P2808" s="6">
        <v>0</v>
      </c>
      <c r="Q2808" s="6">
        <v>0</v>
      </c>
      <c r="R2808" s="6">
        <v>0</v>
      </c>
      <c r="S2808" s="6">
        <v>200</v>
      </c>
    </row>
    <row r="2809" spans="1:19" ht="15" hidden="1" x14ac:dyDescent="0.25">
      <c r="A2809" s="7" t="s">
        <v>16</v>
      </c>
      <c r="B2809" s="7" t="s">
        <v>229</v>
      </c>
      <c r="C2809" s="7" t="s">
        <v>24</v>
      </c>
      <c r="D2809" s="4">
        <v>10834118000179</v>
      </c>
      <c r="E2809" s="8" t="s">
        <v>1328</v>
      </c>
      <c r="F2809" s="8" t="s">
        <v>131</v>
      </c>
      <c r="G2809" s="8" t="s">
        <v>61</v>
      </c>
      <c r="H2809" s="8" t="s">
        <v>215</v>
      </c>
      <c r="I2809" s="3">
        <v>2</v>
      </c>
      <c r="J2809" s="8" t="s">
        <v>155</v>
      </c>
      <c r="K2809" s="8" t="s">
        <v>156</v>
      </c>
      <c r="L2809" s="8" t="s">
        <v>556</v>
      </c>
      <c r="M2809" s="1" t="s">
        <v>205</v>
      </c>
      <c r="N2809" s="8" t="s">
        <v>206</v>
      </c>
      <c r="O2809" s="6">
        <v>0</v>
      </c>
      <c r="P2809" s="6">
        <v>0</v>
      </c>
      <c r="Q2809" s="6">
        <v>0</v>
      </c>
      <c r="R2809" s="6">
        <v>0</v>
      </c>
      <c r="S2809" s="6">
        <v>0</v>
      </c>
    </row>
    <row r="2810" spans="1:19" ht="15" hidden="1" x14ac:dyDescent="0.25">
      <c r="A2810" s="7" t="s">
        <v>16</v>
      </c>
      <c r="B2810" s="7" t="s">
        <v>229</v>
      </c>
      <c r="C2810" s="7" t="s">
        <v>24</v>
      </c>
      <c r="D2810" s="4">
        <v>10834118000179</v>
      </c>
      <c r="E2810" s="8" t="s">
        <v>1328</v>
      </c>
      <c r="F2810" s="8" t="s">
        <v>131</v>
      </c>
      <c r="G2810" s="8" t="s">
        <v>61</v>
      </c>
      <c r="H2810" s="8" t="s">
        <v>215</v>
      </c>
      <c r="I2810" s="3">
        <v>2</v>
      </c>
      <c r="J2810" s="8" t="s">
        <v>173</v>
      </c>
      <c r="K2810" s="8" t="s">
        <v>174</v>
      </c>
      <c r="L2810" s="8" t="s">
        <v>557</v>
      </c>
      <c r="M2810" s="1" t="s">
        <v>205</v>
      </c>
      <c r="N2810" s="8" t="s">
        <v>206</v>
      </c>
      <c r="O2810" s="6">
        <v>0</v>
      </c>
      <c r="P2810" s="6">
        <v>20</v>
      </c>
      <c r="Q2810" s="6">
        <v>0</v>
      </c>
      <c r="R2810" s="6">
        <v>0</v>
      </c>
      <c r="S2810" s="6">
        <v>0</v>
      </c>
    </row>
    <row r="2811" spans="1:19" ht="15" hidden="1" x14ac:dyDescent="0.25">
      <c r="A2811" s="7" t="s">
        <v>16</v>
      </c>
      <c r="B2811" s="7" t="s">
        <v>229</v>
      </c>
      <c r="C2811" s="7" t="s">
        <v>24</v>
      </c>
      <c r="D2811" s="4">
        <v>21265360000195</v>
      </c>
      <c r="E2811" s="8" t="s">
        <v>1094</v>
      </c>
      <c r="F2811" s="8" t="s">
        <v>131</v>
      </c>
      <c r="G2811" s="8" t="s">
        <v>61</v>
      </c>
      <c r="H2811" s="8" t="s">
        <v>215</v>
      </c>
      <c r="I2811" s="3">
        <v>2</v>
      </c>
      <c r="J2811" s="8" t="s">
        <v>155</v>
      </c>
      <c r="K2811" s="8" t="s">
        <v>156</v>
      </c>
      <c r="L2811" s="8" t="s">
        <v>556</v>
      </c>
      <c r="M2811" s="1" t="s">
        <v>205</v>
      </c>
      <c r="N2811" s="8" t="s">
        <v>206</v>
      </c>
      <c r="O2811" s="6">
        <v>0</v>
      </c>
      <c r="P2811" s="6">
        <v>0</v>
      </c>
      <c r="Q2811" s="6">
        <v>0</v>
      </c>
      <c r="R2811" s="6">
        <v>16</v>
      </c>
      <c r="S2811" s="6">
        <v>0</v>
      </c>
    </row>
    <row r="2812" spans="1:19" ht="15" hidden="1" x14ac:dyDescent="0.25">
      <c r="A2812" s="7" t="s">
        <v>16</v>
      </c>
      <c r="B2812" s="7" t="s">
        <v>229</v>
      </c>
      <c r="C2812" s="7" t="s">
        <v>24</v>
      </c>
      <c r="D2812" s="4">
        <v>21265360000195</v>
      </c>
      <c r="E2812" s="8" t="s">
        <v>1094</v>
      </c>
      <c r="F2812" s="8" t="s">
        <v>131</v>
      </c>
      <c r="G2812" s="8" t="s">
        <v>61</v>
      </c>
      <c r="H2812" s="8" t="s">
        <v>215</v>
      </c>
      <c r="I2812" s="3">
        <v>2</v>
      </c>
      <c r="J2812" s="8" t="s">
        <v>173</v>
      </c>
      <c r="K2812" s="8" t="s">
        <v>174</v>
      </c>
      <c r="L2812" s="8" t="s">
        <v>557</v>
      </c>
      <c r="M2812" s="1" t="s">
        <v>205</v>
      </c>
      <c r="N2812" s="8" t="s">
        <v>206</v>
      </c>
      <c r="O2812" s="6">
        <v>0</v>
      </c>
      <c r="P2812" s="6">
        <v>0</v>
      </c>
      <c r="Q2812" s="6">
        <v>0</v>
      </c>
      <c r="R2812" s="6">
        <v>0</v>
      </c>
      <c r="S2812" s="6">
        <v>0</v>
      </c>
    </row>
    <row r="2813" spans="1:19" ht="15" hidden="1" x14ac:dyDescent="0.25">
      <c r="A2813" s="7" t="s">
        <v>16</v>
      </c>
      <c r="B2813" s="7" t="s">
        <v>229</v>
      </c>
      <c r="C2813" s="7" t="s">
        <v>24</v>
      </c>
      <c r="D2813" s="4">
        <v>31635857000292</v>
      </c>
      <c r="E2813" s="8" t="s">
        <v>1107</v>
      </c>
      <c r="F2813" s="8" t="s">
        <v>131</v>
      </c>
      <c r="G2813" s="8" t="s">
        <v>61</v>
      </c>
      <c r="H2813" s="8" t="s">
        <v>215</v>
      </c>
      <c r="I2813" s="3">
        <v>2</v>
      </c>
      <c r="J2813" s="8" t="s">
        <v>155</v>
      </c>
      <c r="K2813" s="8" t="s">
        <v>156</v>
      </c>
      <c r="L2813" s="8" t="s">
        <v>556</v>
      </c>
      <c r="M2813" s="1" t="s">
        <v>205</v>
      </c>
      <c r="N2813" s="8" t="s">
        <v>206</v>
      </c>
      <c r="O2813" s="6">
        <v>0</v>
      </c>
      <c r="P2813" s="6">
        <v>0</v>
      </c>
      <c r="Q2813" s="6">
        <v>0</v>
      </c>
      <c r="R2813" s="6">
        <v>16</v>
      </c>
      <c r="S2813" s="6">
        <v>0</v>
      </c>
    </row>
    <row r="2814" spans="1:19" ht="15" hidden="1" x14ac:dyDescent="0.25">
      <c r="A2814" s="7" t="s">
        <v>16</v>
      </c>
      <c r="B2814" s="7" t="s">
        <v>229</v>
      </c>
      <c r="C2814" s="7" t="s">
        <v>24</v>
      </c>
      <c r="D2814" s="4">
        <v>31635857000292</v>
      </c>
      <c r="E2814" s="8" t="s">
        <v>1107</v>
      </c>
      <c r="F2814" s="8" t="s">
        <v>131</v>
      </c>
      <c r="G2814" s="8" t="s">
        <v>61</v>
      </c>
      <c r="H2814" s="8" t="s">
        <v>215</v>
      </c>
      <c r="I2814" s="3">
        <v>2</v>
      </c>
      <c r="J2814" s="8" t="s">
        <v>181</v>
      </c>
      <c r="K2814" s="8" t="s">
        <v>182</v>
      </c>
      <c r="L2814" s="8" t="s">
        <v>557</v>
      </c>
      <c r="M2814" s="1" t="s">
        <v>205</v>
      </c>
      <c r="N2814" s="8" t="s">
        <v>206</v>
      </c>
      <c r="O2814" s="6">
        <v>0</v>
      </c>
      <c r="P2814" s="6">
        <v>0</v>
      </c>
      <c r="Q2814" s="6">
        <v>0</v>
      </c>
      <c r="R2814" s="6">
        <v>0</v>
      </c>
      <c r="S2814" s="6">
        <v>0</v>
      </c>
    </row>
    <row r="2815" spans="1:19" ht="15" hidden="1" x14ac:dyDescent="0.25">
      <c r="A2815" s="7" t="s">
        <v>16</v>
      </c>
      <c r="B2815" s="7" t="s">
        <v>229</v>
      </c>
      <c r="C2815" s="7" t="s">
        <v>24</v>
      </c>
      <c r="D2815" s="4">
        <v>73696718000219</v>
      </c>
      <c r="E2815" s="8" t="s">
        <v>1127</v>
      </c>
      <c r="F2815" s="8" t="s">
        <v>131</v>
      </c>
      <c r="G2815" s="8" t="s">
        <v>61</v>
      </c>
      <c r="H2815" s="8" t="s">
        <v>215</v>
      </c>
      <c r="I2815" s="3">
        <v>2</v>
      </c>
      <c r="J2815" s="8" t="s">
        <v>155</v>
      </c>
      <c r="K2815" s="8" t="s">
        <v>156</v>
      </c>
      <c r="L2815" s="8" t="s">
        <v>556</v>
      </c>
      <c r="M2815" s="1" t="s">
        <v>205</v>
      </c>
      <c r="N2815" s="8" t="s">
        <v>206</v>
      </c>
      <c r="O2815" s="6">
        <v>0</v>
      </c>
      <c r="P2815" s="6">
        <v>0</v>
      </c>
      <c r="Q2815" s="6">
        <v>0</v>
      </c>
      <c r="R2815" s="6">
        <v>0</v>
      </c>
      <c r="S2815" s="6">
        <v>0</v>
      </c>
    </row>
    <row r="2816" spans="1:19" ht="15" hidden="1" x14ac:dyDescent="0.25">
      <c r="A2816" s="7" t="s">
        <v>16</v>
      </c>
      <c r="B2816" s="7" t="s">
        <v>229</v>
      </c>
      <c r="C2816" s="7" t="s">
        <v>24</v>
      </c>
      <c r="D2816" s="4">
        <v>73696718000219</v>
      </c>
      <c r="E2816" s="8" t="s">
        <v>1127</v>
      </c>
      <c r="F2816" s="8" t="s">
        <v>131</v>
      </c>
      <c r="G2816" s="8" t="s">
        <v>61</v>
      </c>
      <c r="H2816" s="8" t="s">
        <v>215</v>
      </c>
      <c r="I2816" s="3">
        <v>2</v>
      </c>
      <c r="J2816" s="8" t="s">
        <v>173</v>
      </c>
      <c r="K2816" s="8" t="s">
        <v>174</v>
      </c>
      <c r="L2816" s="8" t="s">
        <v>557</v>
      </c>
      <c r="M2816" s="1" t="s">
        <v>205</v>
      </c>
      <c r="N2816" s="8" t="s">
        <v>206</v>
      </c>
      <c r="O2816" s="6">
        <v>0</v>
      </c>
      <c r="P2816" s="6">
        <v>5</v>
      </c>
      <c r="Q2816" s="6">
        <v>8</v>
      </c>
      <c r="R2816" s="6">
        <v>0</v>
      </c>
      <c r="S2816" s="6">
        <v>0</v>
      </c>
    </row>
    <row r="2817" spans="1:19" ht="15" hidden="1" x14ac:dyDescent="0.25">
      <c r="A2817" s="7" t="s">
        <v>16</v>
      </c>
      <c r="B2817" s="7" t="s">
        <v>229</v>
      </c>
      <c r="C2817" s="7" t="s">
        <v>24</v>
      </c>
      <c r="D2817" s="4">
        <v>2284062000521</v>
      </c>
      <c r="E2817" s="8" t="s">
        <v>1077</v>
      </c>
      <c r="F2817" s="8" t="s">
        <v>131</v>
      </c>
      <c r="G2817" s="8" t="s">
        <v>61</v>
      </c>
      <c r="H2817" s="8" t="s">
        <v>215</v>
      </c>
      <c r="I2817" s="3">
        <v>2</v>
      </c>
      <c r="J2817" s="8" t="s">
        <v>155</v>
      </c>
      <c r="K2817" s="8" t="s">
        <v>156</v>
      </c>
      <c r="L2817" s="8" t="s">
        <v>556</v>
      </c>
      <c r="M2817" s="1" t="s">
        <v>205</v>
      </c>
      <c r="N2817" s="8" t="s">
        <v>206</v>
      </c>
      <c r="O2817" s="6">
        <v>0</v>
      </c>
      <c r="P2817" s="6">
        <v>0</v>
      </c>
      <c r="Q2817" s="6">
        <v>0</v>
      </c>
      <c r="R2817" s="6">
        <v>0</v>
      </c>
      <c r="S2817" s="6">
        <v>0</v>
      </c>
    </row>
    <row r="2818" spans="1:19" ht="15" hidden="1" x14ac:dyDescent="0.25">
      <c r="A2818" s="7" t="s">
        <v>16</v>
      </c>
      <c r="B2818" s="7" t="s">
        <v>229</v>
      </c>
      <c r="C2818" s="7" t="s">
        <v>24</v>
      </c>
      <c r="D2818" s="4">
        <v>2284062000521</v>
      </c>
      <c r="E2818" s="8" t="s">
        <v>1077</v>
      </c>
      <c r="F2818" s="8" t="s">
        <v>131</v>
      </c>
      <c r="G2818" s="8" t="s">
        <v>61</v>
      </c>
      <c r="H2818" s="8" t="s">
        <v>215</v>
      </c>
      <c r="I2818" s="3">
        <v>2</v>
      </c>
      <c r="J2818" s="8" t="s">
        <v>173</v>
      </c>
      <c r="K2818" s="8" t="s">
        <v>174</v>
      </c>
      <c r="L2818" s="8" t="s">
        <v>557</v>
      </c>
      <c r="M2818" s="1" t="s">
        <v>205</v>
      </c>
      <c r="N2818" s="8" t="s">
        <v>206</v>
      </c>
      <c r="O2818" s="6">
        <v>0</v>
      </c>
      <c r="P2818" s="6">
        <v>5</v>
      </c>
      <c r="Q2818" s="6">
        <v>0</v>
      </c>
      <c r="R2818" s="6">
        <v>0</v>
      </c>
      <c r="S2818" s="6">
        <v>0</v>
      </c>
    </row>
    <row r="2819" spans="1:19" ht="15" hidden="1" x14ac:dyDescent="0.25">
      <c r="A2819" s="7" t="s">
        <v>16</v>
      </c>
      <c r="B2819" s="7" t="s">
        <v>229</v>
      </c>
      <c r="C2819" s="7" t="s">
        <v>24</v>
      </c>
      <c r="D2819" s="4">
        <v>24217779000160</v>
      </c>
      <c r="E2819" s="8" t="s">
        <v>1097</v>
      </c>
      <c r="F2819" s="8" t="s">
        <v>131</v>
      </c>
      <c r="G2819" s="8" t="s">
        <v>61</v>
      </c>
      <c r="H2819" s="8" t="s">
        <v>215</v>
      </c>
      <c r="I2819" s="3">
        <v>2</v>
      </c>
      <c r="J2819" s="8" t="s">
        <v>155</v>
      </c>
      <c r="K2819" s="8" t="s">
        <v>156</v>
      </c>
      <c r="L2819" s="8" t="s">
        <v>556</v>
      </c>
      <c r="M2819" s="1" t="s">
        <v>205</v>
      </c>
      <c r="N2819" s="8" t="s">
        <v>206</v>
      </c>
      <c r="O2819" s="6">
        <v>0</v>
      </c>
      <c r="P2819" s="6">
        <v>0</v>
      </c>
      <c r="Q2819" s="6">
        <v>0</v>
      </c>
      <c r="R2819" s="6">
        <v>0</v>
      </c>
      <c r="S2819" s="6">
        <v>0</v>
      </c>
    </row>
    <row r="2820" spans="1:19" ht="15" hidden="1" x14ac:dyDescent="0.25">
      <c r="A2820" s="7" t="s">
        <v>16</v>
      </c>
      <c r="B2820" s="7" t="s">
        <v>229</v>
      </c>
      <c r="C2820" s="7" t="s">
        <v>24</v>
      </c>
      <c r="D2820" s="4">
        <v>24217779000160</v>
      </c>
      <c r="E2820" s="8" t="s">
        <v>1097</v>
      </c>
      <c r="F2820" s="8" t="s">
        <v>131</v>
      </c>
      <c r="G2820" s="8" t="s">
        <v>61</v>
      </c>
      <c r="H2820" s="8" t="s">
        <v>215</v>
      </c>
      <c r="I2820" s="3">
        <v>2</v>
      </c>
      <c r="J2820" s="8" t="s">
        <v>173</v>
      </c>
      <c r="K2820" s="8" t="s">
        <v>174</v>
      </c>
      <c r="L2820" s="8" t="s">
        <v>557</v>
      </c>
      <c r="M2820" s="1" t="s">
        <v>205</v>
      </c>
      <c r="N2820" s="8" t="s">
        <v>206</v>
      </c>
      <c r="O2820" s="6">
        <v>0</v>
      </c>
      <c r="P2820" s="6">
        <v>4</v>
      </c>
      <c r="Q2820" s="6">
        <v>3</v>
      </c>
      <c r="R2820" s="6">
        <v>0</v>
      </c>
      <c r="S2820" s="6">
        <v>0</v>
      </c>
    </row>
    <row r="2821" spans="1:19" ht="15" hidden="1" x14ac:dyDescent="0.25">
      <c r="A2821" s="7" t="s">
        <v>16</v>
      </c>
      <c r="B2821" s="7" t="s">
        <v>229</v>
      </c>
      <c r="C2821" s="7" t="s">
        <v>24</v>
      </c>
      <c r="D2821" s="4">
        <v>6047087000996</v>
      </c>
      <c r="E2821" s="8" t="s">
        <v>1080</v>
      </c>
      <c r="F2821" s="8" t="s">
        <v>131</v>
      </c>
      <c r="G2821" s="8" t="s">
        <v>61</v>
      </c>
      <c r="H2821" s="8" t="s">
        <v>215</v>
      </c>
      <c r="I2821" s="3">
        <v>2</v>
      </c>
      <c r="J2821" s="8" t="s">
        <v>155</v>
      </c>
      <c r="K2821" s="8" t="s">
        <v>156</v>
      </c>
      <c r="L2821" s="8" t="s">
        <v>556</v>
      </c>
      <c r="M2821" s="1" t="s">
        <v>205</v>
      </c>
      <c r="N2821" s="8" t="s">
        <v>206</v>
      </c>
      <c r="O2821" s="6">
        <v>0</v>
      </c>
      <c r="P2821" s="6">
        <v>0</v>
      </c>
      <c r="Q2821" s="6">
        <v>0</v>
      </c>
      <c r="R2821" s="6">
        <v>24</v>
      </c>
      <c r="S2821" s="6">
        <v>120</v>
      </c>
    </row>
    <row r="2822" spans="1:19" ht="15" hidden="1" x14ac:dyDescent="0.25">
      <c r="A2822" s="7" t="s">
        <v>16</v>
      </c>
      <c r="B2822" s="7" t="s">
        <v>229</v>
      </c>
      <c r="C2822" s="7" t="s">
        <v>24</v>
      </c>
      <c r="D2822" s="4">
        <v>6047087000996</v>
      </c>
      <c r="E2822" s="8" t="s">
        <v>1080</v>
      </c>
      <c r="F2822" s="8" t="s">
        <v>131</v>
      </c>
      <c r="G2822" s="8" t="s">
        <v>61</v>
      </c>
      <c r="H2822" s="8" t="s">
        <v>215</v>
      </c>
      <c r="I2822" s="3">
        <v>2</v>
      </c>
      <c r="J2822" s="8" t="s">
        <v>181</v>
      </c>
      <c r="K2822" s="8" t="s">
        <v>182</v>
      </c>
      <c r="L2822" s="8" t="s">
        <v>557</v>
      </c>
      <c r="M2822" s="1" t="s">
        <v>205</v>
      </c>
      <c r="N2822" s="8" t="s">
        <v>206</v>
      </c>
      <c r="O2822" s="6">
        <v>0</v>
      </c>
      <c r="P2822" s="6">
        <v>0</v>
      </c>
      <c r="Q2822" s="6">
        <v>0</v>
      </c>
      <c r="R2822" s="6">
        <v>0</v>
      </c>
      <c r="S2822" s="6">
        <v>120</v>
      </c>
    </row>
    <row r="2823" spans="1:19" ht="15" hidden="1" x14ac:dyDescent="0.25">
      <c r="A2823" s="7" t="s">
        <v>16</v>
      </c>
      <c r="B2823" s="7" t="s">
        <v>229</v>
      </c>
      <c r="C2823" s="7" t="s">
        <v>24</v>
      </c>
      <c r="D2823" s="4">
        <v>6047087002697</v>
      </c>
      <c r="E2823" s="8" t="s">
        <v>1082</v>
      </c>
      <c r="F2823" s="8" t="s">
        <v>131</v>
      </c>
      <c r="G2823" s="8" t="s">
        <v>61</v>
      </c>
      <c r="H2823" s="8" t="s">
        <v>215</v>
      </c>
      <c r="I2823" s="3">
        <v>2</v>
      </c>
      <c r="J2823" s="8" t="s">
        <v>155</v>
      </c>
      <c r="K2823" s="8" t="s">
        <v>156</v>
      </c>
      <c r="L2823" s="8" t="s">
        <v>556</v>
      </c>
      <c r="M2823" s="1" t="s">
        <v>205</v>
      </c>
      <c r="N2823" s="8" t="s">
        <v>206</v>
      </c>
      <c r="O2823" s="6">
        <v>0</v>
      </c>
      <c r="P2823" s="6">
        <v>0</v>
      </c>
      <c r="Q2823" s="6">
        <v>0</v>
      </c>
      <c r="R2823" s="6">
        <v>0</v>
      </c>
      <c r="S2823" s="6">
        <v>0</v>
      </c>
    </row>
    <row r="2824" spans="1:19" ht="15" hidden="1" x14ac:dyDescent="0.25">
      <c r="A2824" s="7" t="s">
        <v>16</v>
      </c>
      <c r="B2824" s="7" t="s">
        <v>229</v>
      </c>
      <c r="C2824" s="7" t="s">
        <v>24</v>
      </c>
      <c r="D2824" s="4">
        <v>6047087002697</v>
      </c>
      <c r="E2824" s="8" t="s">
        <v>1082</v>
      </c>
      <c r="F2824" s="8" t="s">
        <v>131</v>
      </c>
      <c r="G2824" s="8" t="s">
        <v>61</v>
      </c>
      <c r="H2824" s="8" t="s">
        <v>215</v>
      </c>
      <c r="I2824" s="3">
        <v>2</v>
      </c>
      <c r="J2824" s="8" t="s">
        <v>181</v>
      </c>
      <c r="K2824" s="8" t="s">
        <v>182</v>
      </c>
      <c r="L2824" s="8" t="s">
        <v>557</v>
      </c>
      <c r="M2824" s="1" t="s">
        <v>205</v>
      </c>
      <c r="N2824" s="8" t="s">
        <v>206</v>
      </c>
      <c r="O2824" s="6">
        <v>0</v>
      </c>
      <c r="P2824" s="6">
        <v>0</v>
      </c>
      <c r="Q2824" s="6">
        <v>4</v>
      </c>
      <c r="R2824" s="6">
        <v>0</v>
      </c>
      <c r="S2824" s="6">
        <v>0</v>
      </c>
    </row>
    <row r="2825" spans="1:19" ht="15" hidden="1" x14ac:dyDescent="0.25">
      <c r="A2825" s="7" t="s">
        <v>16</v>
      </c>
      <c r="B2825" s="7" t="s">
        <v>229</v>
      </c>
      <c r="C2825" s="7" t="s">
        <v>24</v>
      </c>
      <c r="D2825" s="4">
        <v>27901222000131</v>
      </c>
      <c r="E2825" s="8" t="s">
        <v>1098</v>
      </c>
      <c r="F2825" s="8" t="s">
        <v>131</v>
      </c>
      <c r="G2825" s="8" t="s">
        <v>61</v>
      </c>
      <c r="H2825" s="8" t="s">
        <v>215</v>
      </c>
      <c r="I2825" s="3">
        <v>2</v>
      </c>
      <c r="J2825" s="8" t="s">
        <v>155</v>
      </c>
      <c r="K2825" s="8" t="s">
        <v>156</v>
      </c>
      <c r="L2825" s="8" t="s">
        <v>556</v>
      </c>
      <c r="M2825" s="1" t="s">
        <v>205</v>
      </c>
      <c r="N2825" s="8" t="s">
        <v>206</v>
      </c>
      <c r="O2825" s="6">
        <v>0</v>
      </c>
      <c r="P2825" s="6">
        <v>0</v>
      </c>
      <c r="Q2825" s="6">
        <v>0</v>
      </c>
      <c r="R2825" s="6">
        <v>0</v>
      </c>
      <c r="S2825" s="6">
        <v>0</v>
      </c>
    </row>
    <row r="2826" spans="1:19" ht="15" hidden="1" x14ac:dyDescent="0.25">
      <c r="A2826" s="7" t="s">
        <v>16</v>
      </c>
      <c r="B2826" s="7" t="s">
        <v>229</v>
      </c>
      <c r="C2826" s="7" t="s">
        <v>24</v>
      </c>
      <c r="D2826" s="4">
        <v>27901222000131</v>
      </c>
      <c r="E2826" s="8" t="s">
        <v>1098</v>
      </c>
      <c r="F2826" s="8" t="s">
        <v>131</v>
      </c>
      <c r="G2826" s="8" t="s">
        <v>61</v>
      </c>
      <c r="H2826" s="8" t="s">
        <v>215</v>
      </c>
      <c r="I2826" s="3">
        <v>2</v>
      </c>
      <c r="J2826" s="8" t="s">
        <v>181</v>
      </c>
      <c r="K2826" s="8" t="s">
        <v>182</v>
      </c>
      <c r="L2826" s="8" t="s">
        <v>557</v>
      </c>
      <c r="M2826" s="1" t="s">
        <v>205</v>
      </c>
      <c r="N2826" s="8" t="s">
        <v>206</v>
      </c>
      <c r="O2826" s="6">
        <v>0</v>
      </c>
      <c r="P2826" s="6">
        <v>1</v>
      </c>
      <c r="Q2826" s="6">
        <v>0</v>
      </c>
      <c r="R2826" s="6">
        <v>0</v>
      </c>
      <c r="S2826" s="6">
        <v>0</v>
      </c>
    </row>
    <row r="2827" spans="1:19" ht="15" hidden="1" x14ac:dyDescent="0.25">
      <c r="A2827" s="7" t="s">
        <v>16</v>
      </c>
      <c r="B2827" s="7" t="s">
        <v>229</v>
      </c>
      <c r="C2827" s="7" t="s">
        <v>24</v>
      </c>
      <c r="D2827" s="4">
        <v>33705849000543</v>
      </c>
      <c r="E2827" s="8" t="s">
        <v>1329</v>
      </c>
      <c r="F2827" s="8" t="s">
        <v>131</v>
      </c>
      <c r="G2827" s="8" t="s">
        <v>61</v>
      </c>
      <c r="H2827" s="8" t="s">
        <v>215</v>
      </c>
      <c r="I2827" s="3">
        <v>2</v>
      </c>
      <c r="J2827" s="8" t="s">
        <v>155</v>
      </c>
      <c r="K2827" s="8" t="s">
        <v>156</v>
      </c>
      <c r="L2827" s="8" t="s">
        <v>556</v>
      </c>
      <c r="M2827" s="1" t="s">
        <v>205</v>
      </c>
      <c r="N2827" s="8" t="s">
        <v>206</v>
      </c>
      <c r="O2827" s="6">
        <v>0</v>
      </c>
      <c r="P2827" s="6">
        <v>0</v>
      </c>
      <c r="Q2827" s="6">
        <v>0</v>
      </c>
      <c r="R2827" s="6">
        <v>0</v>
      </c>
      <c r="S2827" s="6">
        <v>0</v>
      </c>
    </row>
    <row r="2828" spans="1:19" ht="15" hidden="1" x14ac:dyDescent="0.25">
      <c r="A2828" s="7" t="s">
        <v>16</v>
      </c>
      <c r="B2828" s="7" t="s">
        <v>229</v>
      </c>
      <c r="C2828" s="7" t="s">
        <v>24</v>
      </c>
      <c r="D2828" s="4">
        <v>33705849000543</v>
      </c>
      <c r="E2828" s="8" t="s">
        <v>1329</v>
      </c>
      <c r="F2828" s="8" t="s">
        <v>131</v>
      </c>
      <c r="G2828" s="8" t="s">
        <v>61</v>
      </c>
      <c r="H2828" s="8" t="s">
        <v>215</v>
      </c>
      <c r="I2828" s="3">
        <v>2</v>
      </c>
      <c r="J2828" s="8" t="s">
        <v>173</v>
      </c>
      <c r="K2828" s="8" t="s">
        <v>174</v>
      </c>
      <c r="L2828" s="8" t="s">
        <v>557</v>
      </c>
      <c r="M2828" s="1" t="s">
        <v>205</v>
      </c>
      <c r="N2828" s="8" t="s">
        <v>206</v>
      </c>
      <c r="O2828" s="6">
        <v>0</v>
      </c>
      <c r="P2828" s="6">
        <v>4</v>
      </c>
      <c r="Q2828" s="6">
        <v>4</v>
      </c>
      <c r="R2828" s="6">
        <v>0</v>
      </c>
      <c r="S2828" s="6">
        <v>0</v>
      </c>
    </row>
    <row r="2829" spans="1:19" ht="15" hidden="1" x14ac:dyDescent="0.25">
      <c r="A2829" s="7" t="s">
        <v>16</v>
      </c>
      <c r="B2829" s="7" t="s">
        <v>229</v>
      </c>
      <c r="C2829" s="7" t="s">
        <v>24</v>
      </c>
      <c r="D2829" s="4">
        <v>394502014870</v>
      </c>
      <c r="E2829" s="8" t="s">
        <v>1070</v>
      </c>
      <c r="F2829" s="8" t="s">
        <v>131</v>
      </c>
      <c r="G2829" s="8" t="s">
        <v>61</v>
      </c>
      <c r="H2829" s="8" t="s">
        <v>215</v>
      </c>
      <c r="I2829" s="3">
        <v>2</v>
      </c>
      <c r="J2829" s="8" t="s">
        <v>155</v>
      </c>
      <c r="K2829" s="8" t="s">
        <v>156</v>
      </c>
      <c r="L2829" s="8" t="s">
        <v>556</v>
      </c>
      <c r="M2829" s="1" t="s">
        <v>205</v>
      </c>
      <c r="N2829" s="8" t="s">
        <v>206</v>
      </c>
      <c r="O2829" s="6">
        <v>0</v>
      </c>
      <c r="P2829" s="6">
        <v>0</v>
      </c>
      <c r="Q2829" s="6">
        <v>0</v>
      </c>
      <c r="R2829" s="6">
        <v>0</v>
      </c>
      <c r="S2829" s="6">
        <v>1000</v>
      </c>
    </row>
    <row r="2830" spans="1:19" ht="15" hidden="1" x14ac:dyDescent="0.25">
      <c r="A2830" s="7" t="s">
        <v>16</v>
      </c>
      <c r="B2830" s="7" t="s">
        <v>229</v>
      </c>
      <c r="C2830" s="7" t="s">
        <v>24</v>
      </c>
      <c r="D2830" s="4">
        <v>394502014870</v>
      </c>
      <c r="E2830" s="8" t="s">
        <v>1070</v>
      </c>
      <c r="F2830" s="8" t="s">
        <v>131</v>
      </c>
      <c r="G2830" s="8" t="s">
        <v>61</v>
      </c>
      <c r="H2830" s="8" t="s">
        <v>215</v>
      </c>
      <c r="I2830" s="3">
        <v>2</v>
      </c>
      <c r="J2830" s="8" t="s">
        <v>173</v>
      </c>
      <c r="K2830" s="8" t="s">
        <v>174</v>
      </c>
      <c r="L2830" s="8" t="s">
        <v>557</v>
      </c>
      <c r="M2830" s="1" t="s">
        <v>205</v>
      </c>
      <c r="N2830" s="8" t="s">
        <v>206</v>
      </c>
      <c r="O2830" s="6">
        <v>0</v>
      </c>
      <c r="P2830" s="6">
        <v>10</v>
      </c>
      <c r="Q2830" s="6">
        <v>0</v>
      </c>
      <c r="R2830" s="6">
        <v>0</v>
      </c>
      <c r="S2830" s="6">
        <v>1000</v>
      </c>
    </row>
    <row r="2831" spans="1:19" ht="15" hidden="1" x14ac:dyDescent="0.25">
      <c r="A2831" s="7" t="s">
        <v>16</v>
      </c>
      <c r="B2831" s="7" t="s">
        <v>229</v>
      </c>
      <c r="C2831" s="7" t="s">
        <v>24</v>
      </c>
      <c r="D2831" s="4">
        <v>9578217000158</v>
      </c>
      <c r="E2831" s="8" t="s">
        <v>1089</v>
      </c>
      <c r="F2831" s="8" t="s">
        <v>131</v>
      </c>
      <c r="G2831" s="8" t="s">
        <v>61</v>
      </c>
      <c r="H2831" s="8" t="s">
        <v>215</v>
      </c>
      <c r="I2831" s="3">
        <v>2</v>
      </c>
      <c r="J2831" s="8" t="s">
        <v>155</v>
      </c>
      <c r="K2831" s="8" t="s">
        <v>156</v>
      </c>
      <c r="L2831" s="8" t="s">
        <v>556</v>
      </c>
      <c r="M2831" s="1" t="s">
        <v>205</v>
      </c>
      <c r="N2831" s="8" t="s">
        <v>206</v>
      </c>
      <c r="O2831" s="6">
        <v>0</v>
      </c>
      <c r="P2831" s="6">
        <v>0</v>
      </c>
      <c r="Q2831" s="6">
        <v>0</v>
      </c>
      <c r="R2831" s="6">
        <v>0</v>
      </c>
      <c r="S2831" s="6">
        <v>0</v>
      </c>
    </row>
    <row r="2832" spans="1:19" ht="15" hidden="1" x14ac:dyDescent="0.25">
      <c r="A2832" s="7" t="s">
        <v>16</v>
      </c>
      <c r="B2832" s="7" t="s">
        <v>229</v>
      </c>
      <c r="C2832" s="7" t="s">
        <v>24</v>
      </c>
      <c r="D2832" s="4">
        <v>9578217000158</v>
      </c>
      <c r="E2832" s="8" t="s">
        <v>1089</v>
      </c>
      <c r="F2832" s="8" t="s">
        <v>131</v>
      </c>
      <c r="G2832" s="8" t="s">
        <v>61</v>
      </c>
      <c r="H2832" s="8" t="s">
        <v>215</v>
      </c>
      <c r="I2832" s="3">
        <v>2</v>
      </c>
      <c r="J2832" s="8" t="s">
        <v>181</v>
      </c>
      <c r="K2832" s="8" t="s">
        <v>182</v>
      </c>
      <c r="L2832" s="8" t="s">
        <v>557</v>
      </c>
      <c r="M2832" s="1" t="s">
        <v>205</v>
      </c>
      <c r="N2832" s="8" t="s">
        <v>206</v>
      </c>
      <c r="O2832" s="6">
        <v>0</v>
      </c>
      <c r="P2832" s="6">
        <v>4</v>
      </c>
      <c r="Q2832" s="6">
        <v>3</v>
      </c>
      <c r="R2832" s="6">
        <v>0</v>
      </c>
      <c r="S2832" s="6">
        <v>0</v>
      </c>
    </row>
    <row r="2833" spans="1:19" ht="15" hidden="1" x14ac:dyDescent="0.25">
      <c r="A2833" s="7" t="s">
        <v>16</v>
      </c>
      <c r="B2833" s="7" t="s">
        <v>229</v>
      </c>
      <c r="C2833" s="7" t="s">
        <v>24</v>
      </c>
      <c r="D2833" s="4">
        <v>6047087003316</v>
      </c>
      <c r="E2833" s="8" t="s">
        <v>1083</v>
      </c>
      <c r="F2833" s="8" t="s">
        <v>131</v>
      </c>
      <c r="G2833" s="8" t="s">
        <v>61</v>
      </c>
      <c r="H2833" s="8" t="s">
        <v>215</v>
      </c>
      <c r="I2833" s="3">
        <v>2</v>
      </c>
      <c r="J2833" s="8" t="s">
        <v>155</v>
      </c>
      <c r="K2833" s="8" t="s">
        <v>156</v>
      </c>
      <c r="L2833" s="8" t="s">
        <v>556</v>
      </c>
      <c r="M2833" s="1" t="s">
        <v>205</v>
      </c>
      <c r="N2833" s="8" t="s">
        <v>206</v>
      </c>
      <c r="O2833" s="6">
        <v>0</v>
      </c>
      <c r="P2833" s="6">
        <v>0</v>
      </c>
      <c r="Q2833" s="6">
        <v>0</v>
      </c>
      <c r="R2833" s="6">
        <v>0</v>
      </c>
      <c r="S2833" s="6">
        <v>0</v>
      </c>
    </row>
    <row r="2834" spans="1:19" ht="15" hidden="1" x14ac:dyDescent="0.25">
      <c r="A2834" s="7" t="s">
        <v>16</v>
      </c>
      <c r="B2834" s="7" t="s">
        <v>229</v>
      </c>
      <c r="C2834" s="7" t="s">
        <v>24</v>
      </c>
      <c r="D2834" s="4">
        <v>6047087003316</v>
      </c>
      <c r="E2834" s="8" t="s">
        <v>1083</v>
      </c>
      <c r="F2834" s="8" t="s">
        <v>131</v>
      </c>
      <c r="G2834" s="8" t="s">
        <v>61</v>
      </c>
      <c r="H2834" s="8" t="s">
        <v>215</v>
      </c>
      <c r="I2834" s="3">
        <v>2</v>
      </c>
      <c r="J2834" s="8" t="s">
        <v>181</v>
      </c>
      <c r="K2834" s="8" t="s">
        <v>182</v>
      </c>
      <c r="L2834" s="8" t="s">
        <v>557</v>
      </c>
      <c r="M2834" s="1" t="s">
        <v>205</v>
      </c>
      <c r="N2834" s="8" t="s">
        <v>206</v>
      </c>
      <c r="O2834" s="6">
        <v>0</v>
      </c>
      <c r="P2834" s="6">
        <v>0</v>
      </c>
      <c r="Q2834" s="6">
        <v>2</v>
      </c>
      <c r="R2834" s="6">
        <v>0</v>
      </c>
      <c r="S2834" s="6">
        <v>0</v>
      </c>
    </row>
    <row r="2835" spans="1:19" ht="15" hidden="1" x14ac:dyDescent="0.25">
      <c r="A2835" s="7" t="s">
        <v>16</v>
      </c>
      <c r="B2835" s="7" t="s">
        <v>229</v>
      </c>
      <c r="C2835" s="7" t="s">
        <v>24</v>
      </c>
      <c r="D2835" s="4">
        <v>29435005005783</v>
      </c>
      <c r="E2835" s="8" t="s">
        <v>1104</v>
      </c>
      <c r="F2835" s="8" t="s">
        <v>131</v>
      </c>
      <c r="G2835" s="8" t="s">
        <v>61</v>
      </c>
      <c r="H2835" s="8" t="s">
        <v>215</v>
      </c>
      <c r="I2835" s="3">
        <v>2</v>
      </c>
      <c r="J2835" s="8" t="s">
        <v>155</v>
      </c>
      <c r="K2835" s="8" t="s">
        <v>156</v>
      </c>
      <c r="L2835" s="8" t="s">
        <v>556</v>
      </c>
      <c r="M2835" s="1" t="s">
        <v>205</v>
      </c>
      <c r="N2835" s="8" t="s">
        <v>206</v>
      </c>
      <c r="O2835" s="6">
        <v>0</v>
      </c>
      <c r="P2835" s="6">
        <v>0</v>
      </c>
      <c r="Q2835" s="6">
        <v>0</v>
      </c>
      <c r="R2835" s="6">
        <v>0</v>
      </c>
      <c r="S2835" s="6">
        <v>25</v>
      </c>
    </row>
    <row r="2836" spans="1:19" ht="15" hidden="1" x14ac:dyDescent="0.25">
      <c r="A2836" s="7" t="s">
        <v>16</v>
      </c>
      <c r="B2836" s="7" t="s">
        <v>229</v>
      </c>
      <c r="C2836" s="7" t="s">
        <v>24</v>
      </c>
      <c r="D2836" s="4">
        <v>29435005005783</v>
      </c>
      <c r="E2836" s="8" t="s">
        <v>1104</v>
      </c>
      <c r="F2836" s="8" t="s">
        <v>131</v>
      </c>
      <c r="G2836" s="8" t="s">
        <v>61</v>
      </c>
      <c r="H2836" s="8" t="s">
        <v>215</v>
      </c>
      <c r="I2836" s="3">
        <v>2</v>
      </c>
      <c r="J2836" s="8" t="s">
        <v>173</v>
      </c>
      <c r="K2836" s="8" t="s">
        <v>174</v>
      </c>
      <c r="L2836" s="8" t="s">
        <v>557</v>
      </c>
      <c r="M2836" s="1" t="s">
        <v>205</v>
      </c>
      <c r="N2836" s="8" t="s">
        <v>206</v>
      </c>
      <c r="O2836" s="6">
        <v>0</v>
      </c>
      <c r="P2836" s="6">
        <v>0</v>
      </c>
      <c r="Q2836" s="6">
        <v>0</v>
      </c>
      <c r="R2836" s="6">
        <v>0</v>
      </c>
      <c r="S2836" s="6">
        <v>25</v>
      </c>
    </row>
    <row r="2837" spans="1:19" ht="15" hidden="1" x14ac:dyDescent="0.25">
      <c r="A2837" s="7" t="s">
        <v>16</v>
      </c>
      <c r="B2837" s="7" t="s">
        <v>229</v>
      </c>
      <c r="C2837" s="7" t="s">
        <v>24</v>
      </c>
      <c r="D2837" s="4">
        <v>29435005005198</v>
      </c>
      <c r="E2837" s="8" t="s">
        <v>1102</v>
      </c>
      <c r="F2837" s="8" t="s">
        <v>131</v>
      </c>
      <c r="G2837" s="8" t="s">
        <v>61</v>
      </c>
      <c r="H2837" s="8" t="s">
        <v>215</v>
      </c>
      <c r="I2837" s="3">
        <v>2</v>
      </c>
      <c r="J2837" s="8" t="s">
        <v>155</v>
      </c>
      <c r="K2837" s="8" t="s">
        <v>156</v>
      </c>
      <c r="L2837" s="8" t="s">
        <v>556</v>
      </c>
      <c r="M2837" s="1" t="s">
        <v>205</v>
      </c>
      <c r="N2837" s="8" t="s">
        <v>206</v>
      </c>
      <c r="O2837" s="6">
        <v>0</v>
      </c>
      <c r="P2837" s="6">
        <v>0</v>
      </c>
      <c r="Q2837" s="6">
        <v>0</v>
      </c>
      <c r="R2837" s="6">
        <v>0</v>
      </c>
      <c r="S2837" s="6">
        <v>200</v>
      </c>
    </row>
    <row r="2838" spans="1:19" ht="15" hidden="1" x14ac:dyDescent="0.25">
      <c r="A2838" s="7" t="s">
        <v>16</v>
      </c>
      <c r="B2838" s="7" t="s">
        <v>229</v>
      </c>
      <c r="C2838" s="7" t="s">
        <v>24</v>
      </c>
      <c r="D2838" s="4">
        <v>29435005005198</v>
      </c>
      <c r="E2838" s="8" t="s">
        <v>1102</v>
      </c>
      <c r="F2838" s="8" t="s">
        <v>131</v>
      </c>
      <c r="G2838" s="8" t="s">
        <v>61</v>
      </c>
      <c r="H2838" s="8" t="s">
        <v>215</v>
      </c>
      <c r="I2838" s="3">
        <v>2</v>
      </c>
      <c r="J2838" s="8" t="s">
        <v>181</v>
      </c>
      <c r="K2838" s="8" t="s">
        <v>182</v>
      </c>
      <c r="L2838" s="8" t="s">
        <v>557</v>
      </c>
      <c r="M2838" s="1" t="s">
        <v>205</v>
      </c>
      <c r="N2838" s="8" t="s">
        <v>206</v>
      </c>
      <c r="O2838" s="6">
        <v>0</v>
      </c>
      <c r="P2838" s="6">
        <v>10</v>
      </c>
      <c r="Q2838" s="6">
        <v>12</v>
      </c>
      <c r="R2838" s="6">
        <v>0</v>
      </c>
      <c r="S2838" s="6">
        <v>200</v>
      </c>
    </row>
    <row r="2839" spans="1:19" ht="15" hidden="1" x14ac:dyDescent="0.25">
      <c r="A2839" s="7" t="s">
        <v>16</v>
      </c>
      <c r="B2839" s="7" t="s">
        <v>229</v>
      </c>
      <c r="C2839" s="7" t="s">
        <v>24</v>
      </c>
      <c r="D2839" s="4">
        <v>6047087001020</v>
      </c>
      <c r="E2839" s="8" t="s">
        <v>1081</v>
      </c>
      <c r="F2839" s="8" t="s">
        <v>131</v>
      </c>
      <c r="G2839" s="8" t="s">
        <v>61</v>
      </c>
      <c r="H2839" s="8" t="s">
        <v>215</v>
      </c>
      <c r="I2839" s="3">
        <v>2</v>
      </c>
      <c r="J2839" s="8" t="s">
        <v>155</v>
      </c>
      <c r="K2839" s="8" t="s">
        <v>156</v>
      </c>
      <c r="L2839" s="8" t="s">
        <v>556</v>
      </c>
      <c r="M2839" s="1" t="s">
        <v>205</v>
      </c>
      <c r="N2839" s="8" t="s">
        <v>206</v>
      </c>
      <c r="O2839" s="6">
        <v>0</v>
      </c>
      <c r="P2839" s="6">
        <v>0</v>
      </c>
      <c r="Q2839" s="6">
        <v>0</v>
      </c>
      <c r="R2839" s="6">
        <v>0</v>
      </c>
      <c r="S2839" s="6">
        <v>0</v>
      </c>
    </row>
    <row r="2840" spans="1:19" ht="15" hidden="1" x14ac:dyDescent="0.25">
      <c r="A2840" s="7" t="s">
        <v>16</v>
      </c>
      <c r="B2840" s="7" t="s">
        <v>229</v>
      </c>
      <c r="C2840" s="7" t="s">
        <v>24</v>
      </c>
      <c r="D2840" s="4">
        <v>6047087001020</v>
      </c>
      <c r="E2840" s="8" t="s">
        <v>1081</v>
      </c>
      <c r="F2840" s="8" t="s">
        <v>131</v>
      </c>
      <c r="G2840" s="8" t="s">
        <v>61</v>
      </c>
      <c r="H2840" s="8" t="s">
        <v>215</v>
      </c>
      <c r="I2840" s="3">
        <v>2</v>
      </c>
      <c r="J2840" s="8" t="s">
        <v>181</v>
      </c>
      <c r="K2840" s="8" t="s">
        <v>182</v>
      </c>
      <c r="L2840" s="8" t="s">
        <v>557</v>
      </c>
      <c r="M2840" s="1" t="s">
        <v>205</v>
      </c>
      <c r="N2840" s="8" t="s">
        <v>206</v>
      </c>
      <c r="O2840" s="6">
        <v>0</v>
      </c>
      <c r="P2840" s="6">
        <v>41</v>
      </c>
      <c r="Q2840" s="6">
        <v>65</v>
      </c>
      <c r="R2840" s="6">
        <v>0</v>
      </c>
      <c r="S2840" s="6">
        <v>0</v>
      </c>
    </row>
    <row r="2841" spans="1:19" ht="15" hidden="1" x14ac:dyDescent="0.25">
      <c r="A2841" s="7" t="s">
        <v>16</v>
      </c>
      <c r="B2841" s="7" t="s">
        <v>229</v>
      </c>
      <c r="C2841" s="7" t="s">
        <v>24</v>
      </c>
      <c r="D2841" s="4">
        <v>29259736000403</v>
      </c>
      <c r="E2841" s="8" t="s">
        <v>1101</v>
      </c>
      <c r="F2841" s="8" t="s">
        <v>131</v>
      </c>
      <c r="G2841" s="8" t="s">
        <v>61</v>
      </c>
      <c r="H2841" s="8" t="s">
        <v>215</v>
      </c>
      <c r="I2841" s="3">
        <v>2</v>
      </c>
      <c r="J2841" s="8" t="s">
        <v>155</v>
      </c>
      <c r="K2841" s="8" t="s">
        <v>156</v>
      </c>
      <c r="L2841" s="8" t="s">
        <v>556</v>
      </c>
      <c r="M2841" s="1" t="s">
        <v>205</v>
      </c>
      <c r="N2841" s="8" t="s">
        <v>206</v>
      </c>
      <c r="O2841" s="6">
        <v>0</v>
      </c>
      <c r="P2841" s="6">
        <v>0</v>
      </c>
      <c r="Q2841" s="6">
        <v>0</v>
      </c>
      <c r="R2841" s="6">
        <v>29</v>
      </c>
      <c r="S2841" s="6">
        <v>0</v>
      </c>
    </row>
    <row r="2842" spans="1:19" ht="15" hidden="1" x14ac:dyDescent="0.25">
      <c r="A2842" s="7" t="s">
        <v>16</v>
      </c>
      <c r="B2842" s="7" t="s">
        <v>229</v>
      </c>
      <c r="C2842" s="7" t="s">
        <v>24</v>
      </c>
      <c r="D2842" s="4">
        <v>29259736000403</v>
      </c>
      <c r="E2842" s="8" t="s">
        <v>1101</v>
      </c>
      <c r="F2842" s="8" t="s">
        <v>131</v>
      </c>
      <c r="G2842" s="8" t="s">
        <v>61</v>
      </c>
      <c r="H2842" s="8" t="s">
        <v>215</v>
      </c>
      <c r="I2842" s="3">
        <v>2</v>
      </c>
      <c r="J2842" s="8" t="s">
        <v>181</v>
      </c>
      <c r="K2842" s="8" t="s">
        <v>182</v>
      </c>
      <c r="L2842" s="8" t="s">
        <v>557</v>
      </c>
      <c r="M2842" s="1" t="s">
        <v>205</v>
      </c>
      <c r="N2842" s="8" t="s">
        <v>206</v>
      </c>
      <c r="O2842" s="6">
        <v>0</v>
      </c>
      <c r="P2842" s="6">
        <v>2</v>
      </c>
      <c r="Q2842" s="6">
        <v>0</v>
      </c>
      <c r="R2842" s="6">
        <v>0</v>
      </c>
      <c r="S2842" s="6">
        <v>0</v>
      </c>
    </row>
    <row r="2843" spans="1:19" ht="15" hidden="1" x14ac:dyDescent="0.25">
      <c r="A2843" s="7" t="s">
        <v>16</v>
      </c>
      <c r="B2843" s="7" t="s">
        <v>229</v>
      </c>
      <c r="C2843" s="7" t="s">
        <v>24</v>
      </c>
      <c r="D2843" s="4">
        <v>8100676002102</v>
      </c>
      <c r="E2843" s="8" t="s">
        <v>1085</v>
      </c>
      <c r="F2843" s="8" t="s">
        <v>131</v>
      </c>
      <c r="G2843" s="8" t="s">
        <v>61</v>
      </c>
      <c r="H2843" s="8" t="s">
        <v>215</v>
      </c>
      <c r="I2843" s="3">
        <v>2</v>
      </c>
      <c r="J2843" s="8" t="s">
        <v>155</v>
      </c>
      <c r="K2843" s="8" t="s">
        <v>156</v>
      </c>
      <c r="L2843" s="8" t="s">
        <v>556</v>
      </c>
      <c r="M2843" s="1" t="s">
        <v>205</v>
      </c>
      <c r="N2843" s="8" t="s">
        <v>206</v>
      </c>
      <c r="O2843" s="6">
        <v>0</v>
      </c>
      <c r="P2843" s="6">
        <v>0</v>
      </c>
      <c r="Q2843" s="6">
        <v>0</v>
      </c>
      <c r="R2843" s="6">
        <v>0</v>
      </c>
      <c r="S2843" s="6">
        <v>0</v>
      </c>
    </row>
    <row r="2844" spans="1:19" ht="15" hidden="1" x14ac:dyDescent="0.25">
      <c r="A2844" s="7" t="s">
        <v>16</v>
      </c>
      <c r="B2844" s="7" t="s">
        <v>229</v>
      </c>
      <c r="C2844" s="7" t="s">
        <v>24</v>
      </c>
      <c r="D2844" s="4">
        <v>8100676002102</v>
      </c>
      <c r="E2844" s="8" t="s">
        <v>1085</v>
      </c>
      <c r="F2844" s="8" t="s">
        <v>131</v>
      </c>
      <c r="G2844" s="8" t="s">
        <v>61</v>
      </c>
      <c r="H2844" s="8" t="s">
        <v>215</v>
      </c>
      <c r="I2844" s="3">
        <v>2</v>
      </c>
      <c r="J2844" s="8" t="s">
        <v>181</v>
      </c>
      <c r="K2844" s="8" t="s">
        <v>182</v>
      </c>
      <c r="L2844" s="8" t="s">
        <v>557</v>
      </c>
      <c r="M2844" s="1" t="s">
        <v>205</v>
      </c>
      <c r="N2844" s="8" t="s">
        <v>206</v>
      </c>
      <c r="O2844" s="6">
        <v>0</v>
      </c>
      <c r="P2844" s="6">
        <v>20</v>
      </c>
      <c r="Q2844" s="6">
        <v>10</v>
      </c>
      <c r="R2844" s="6">
        <v>0</v>
      </c>
      <c r="S2844" s="6">
        <v>0</v>
      </c>
    </row>
    <row r="2845" spans="1:19" ht="15" hidden="1" x14ac:dyDescent="0.25">
      <c r="A2845" s="7" t="s">
        <v>16</v>
      </c>
      <c r="B2845" s="7" t="s">
        <v>229</v>
      </c>
      <c r="C2845" s="7" t="s">
        <v>24</v>
      </c>
      <c r="D2845" s="4">
        <v>29435005006160</v>
      </c>
      <c r="E2845" s="8" t="s">
        <v>1105</v>
      </c>
      <c r="F2845" s="8" t="s">
        <v>131</v>
      </c>
      <c r="G2845" s="8" t="s">
        <v>61</v>
      </c>
      <c r="H2845" s="8" t="s">
        <v>215</v>
      </c>
      <c r="I2845" s="3">
        <v>2</v>
      </c>
      <c r="J2845" s="8" t="s">
        <v>155</v>
      </c>
      <c r="K2845" s="8" t="s">
        <v>156</v>
      </c>
      <c r="L2845" s="8" t="s">
        <v>556</v>
      </c>
      <c r="M2845" s="1" t="s">
        <v>205</v>
      </c>
      <c r="N2845" s="8" t="s">
        <v>206</v>
      </c>
      <c r="O2845" s="6">
        <v>0</v>
      </c>
      <c r="P2845" s="6">
        <v>0</v>
      </c>
      <c r="Q2845" s="6">
        <v>0</v>
      </c>
      <c r="R2845" s="6">
        <v>0</v>
      </c>
      <c r="S2845" s="6">
        <v>0</v>
      </c>
    </row>
    <row r="2846" spans="1:19" ht="15" hidden="1" x14ac:dyDescent="0.25">
      <c r="A2846" s="7" t="s">
        <v>16</v>
      </c>
      <c r="B2846" s="7" t="s">
        <v>229</v>
      </c>
      <c r="C2846" s="7" t="s">
        <v>24</v>
      </c>
      <c r="D2846" s="4">
        <v>29435005006160</v>
      </c>
      <c r="E2846" s="8" t="s">
        <v>1105</v>
      </c>
      <c r="F2846" s="8" t="s">
        <v>131</v>
      </c>
      <c r="G2846" s="8" t="s">
        <v>61</v>
      </c>
      <c r="H2846" s="8" t="s">
        <v>215</v>
      </c>
      <c r="I2846" s="3">
        <v>2</v>
      </c>
      <c r="J2846" s="8" t="s">
        <v>181</v>
      </c>
      <c r="K2846" s="8" t="s">
        <v>182</v>
      </c>
      <c r="L2846" s="8" t="s">
        <v>557</v>
      </c>
      <c r="M2846" s="1" t="s">
        <v>205</v>
      </c>
      <c r="N2846" s="8" t="s">
        <v>206</v>
      </c>
      <c r="O2846" s="6">
        <v>0</v>
      </c>
      <c r="P2846" s="6">
        <v>0</v>
      </c>
      <c r="Q2846" s="6">
        <v>2</v>
      </c>
      <c r="R2846" s="6">
        <v>0</v>
      </c>
      <c r="S2846" s="6">
        <v>0</v>
      </c>
    </row>
    <row r="2847" spans="1:19" ht="15" hidden="1" x14ac:dyDescent="0.25">
      <c r="A2847" s="7" t="s">
        <v>16</v>
      </c>
      <c r="B2847" s="7" t="s">
        <v>229</v>
      </c>
      <c r="C2847" s="7" t="s">
        <v>24</v>
      </c>
      <c r="D2847" s="4">
        <v>53221255004995</v>
      </c>
      <c r="E2847" s="8" t="s">
        <v>1123</v>
      </c>
      <c r="F2847" s="8" t="s">
        <v>131</v>
      </c>
      <c r="G2847" s="8" t="s">
        <v>61</v>
      </c>
      <c r="H2847" s="8" t="s">
        <v>215</v>
      </c>
      <c r="I2847" s="3">
        <v>2</v>
      </c>
      <c r="J2847" s="8" t="s">
        <v>155</v>
      </c>
      <c r="K2847" s="8" t="s">
        <v>156</v>
      </c>
      <c r="L2847" s="8" t="s">
        <v>556</v>
      </c>
      <c r="M2847" s="1" t="s">
        <v>205</v>
      </c>
      <c r="N2847" s="8" t="s">
        <v>206</v>
      </c>
      <c r="O2847" s="6">
        <v>0</v>
      </c>
      <c r="P2847" s="6">
        <v>0</v>
      </c>
      <c r="Q2847" s="6">
        <v>0</v>
      </c>
      <c r="R2847" s="6">
        <v>0</v>
      </c>
      <c r="S2847" s="6">
        <v>0</v>
      </c>
    </row>
    <row r="2848" spans="1:19" ht="15" hidden="1" x14ac:dyDescent="0.25">
      <c r="A2848" s="7" t="s">
        <v>16</v>
      </c>
      <c r="B2848" s="7" t="s">
        <v>229</v>
      </c>
      <c r="C2848" s="7" t="s">
        <v>24</v>
      </c>
      <c r="D2848" s="4">
        <v>53221255004995</v>
      </c>
      <c r="E2848" s="8" t="s">
        <v>1123</v>
      </c>
      <c r="F2848" s="8" t="s">
        <v>131</v>
      </c>
      <c r="G2848" s="8" t="s">
        <v>61</v>
      </c>
      <c r="H2848" s="8" t="s">
        <v>215</v>
      </c>
      <c r="I2848" s="3">
        <v>2</v>
      </c>
      <c r="J2848" s="8" t="s">
        <v>181</v>
      </c>
      <c r="K2848" s="8" t="s">
        <v>182</v>
      </c>
      <c r="L2848" s="8" t="s">
        <v>557</v>
      </c>
      <c r="M2848" s="1" t="s">
        <v>205</v>
      </c>
      <c r="N2848" s="8" t="s">
        <v>206</v>
      </c>
      <c r="O2848" s="6">
        <v>0</v>
      </c>
      <c r="P2848" s="6">
        <v>0</v>
      </c>
      <c r="Q2848" s="6">
        <v>1</v>
      </c>
      <c r="R2848" s="6">
        <v>0</v>
      </c>
      <c r="S2848" s="6">
        <v>0</v>
      </c>
    </row>
    <row r="2849" spans="1:19" ht="15" hidden="1" x14ac:dyDescent="0.25">
      <c r="A2849" s="7" t="s">
        <v>16</v>
      </c>
      <c r="B2849" s="7" t="s">
        <v>229</v>
      </c>
      <c r="C2849" s="7" t="s">
        <v>24</v>
      </c>
      <c r="D2849" s="4">
        <v>60884855001630</v>
      </c>
      <c r="E2849" s="8" t="s">
        <v>1124</v>
      </c>
      <c r="F2849" s="8" t="s">
        <v>131</v>
      </c>
      <c r="G2849" s="8" t="s">
        <v>61</v>
      </c>
      <c r="H2849" s="8" t="s">
        <v>215</v>
      </c>
      <c r="I2849" s="3">
        <v>2</v>
      </c>
      <c r="J2849" s="8" t="s">
        <v>155</v>
      </c>
      <c r="K2849" s="8" t="s">
        <v>156</v>
      </c>
      <c r="L2849" s="8" t="s">
        <v>556</v>
      </c>
      <c r="M2849" s="1" t="s">
        <v>205</v>
      </c>
      <c r="N2849" s="8" t="s">
        <v>206</v>
      </c>
      <c r="O2849" s="6">
        <v>0</v>
      </c>
      <c r="P2849" s="6">
        <v>0</v>
      </c>
      <c r="Q2849" s="6">
        <v>0</v>
      </c>
      <c r="R2849" s="6">
        <v>0</v>
      </c>
      <c r="S2849" s="6">
        <v>255</v>
      </c>
    </row>
    <row r="2850" spans="1:19" ht="15" hidden="1" x14ac:dyDescent="0.25">
      <c r="A2850" s="7" t="s">
        <v>16</v>
      </c>
      <c r="B2850" s="7" t="s">
        <v>229</v>
      </c>
      <c r="C2850" s="7" t="s">
        <v>24</v>
      </c>
      <c r="D2850" s="4">
        <v>60884855001630</v>
      </c>
      <c r="E2850" s="8" t="s">
        <v>1124</v>
      </c>
      <c r="F2850" s="8" t="s">
        <v>131</v>
      </c>
      <c r="G2850" s="8" t="s">
        <v>61</v>
      </c>
      <c r="H2850" s="8" t="s">
        <v>215</v>
      </c>
      <c r="I2850" s="3">
        <v>2</v>
      </c>
      <c r="J2850" s="8" t="s">
        <v>173</v>
      </c>
      <c r="K2850" s="8" t="s">
        <v>174</v>
      </c>
      <c r="L2850" s="8" t="s">
        <v>557</v>
      </c>
      <c r="M2850" s="1" t="s">
        <v>205</v>
      </c>
      <c r="N2850" s="8" t="s">
        <v>206</v>
      </c>
      <c r="O2850" s="6">
        <v>0</v>
      </c>
      <c r="P2850" s="6">
        <v>20</v>
      </c>
      <c r="Q2850" s="6">
        <v>27</v>
      </c>
      <c r="R2850" s="6">
        <v>0</v>
      </c>
      <c r="S2850" s="6">
        <v>255</v>
      </c>
    </row>
    <row r="2851" spans="1:19" ht="15" hidden="1" x14ac:dyDescent="0.25">
      <c r="A2851" s="7" t="s">
        <v>16</v>
      </c>
      <c r="B2851" s="7" t="s">
        <v>229</v>
      </c>
      <c r="C2851" s="7" t="s">
        <v>24</v>
      </c>
      <c r="D2851" s="4">
        <v>18010750000100</v>
      </c>
      <c r="E2851" s="8" t="s">
        <v>1092</v>
      </c>
      <c r="F2851" s="8" t="s">
        <v>131</v>
      </c>
      <c r="G2851" s="8" t="s">
        <v>61</v>
      </c>
      <c r="H2851" s="8" t="s">
        <v>215</v>
      </c>
      <c r="I2851" s="3">
        <v>2</v>
      </c>
      <c r="J2851" s="8" t="s">
        <v>155</v>
      </c>
      <c r="K2851" s="8" t="s">
        <v>156</v>
      </c>
      <c r="L2851" s="8" t="s">
        <v>556</v>
      </c>
      <c r="M2851" s="1" t="s">
        <v>205</v>
      </c>
      <c r="N2851" s="8" t="s">
        <v>206</v>
      </c>
      <c r="O2851" s="6">
        <v>0</v>
      </c>
      <c r="P2851" s="6">
        <v>0</v>
      </c>
      <c r="Q2851" s="6">
        <v>0</v>
      </c>
      <c r="R2851" s="6">
        <v>0</v>
      </c>
      <c r="S2851" s="6">
        <v>655</v>
      </c>
    </row>
    <row r="2852" spans="1:19" ht="15" hidden="1" x14ac:dyDescent="0.25">
      <c r="A2852" s="7" t="s">
        <v>16</v>
      </c>
      <c r="B2852" s="7" t="s">
        <v>229</v>
      </c>
      <c r="C2852" s="7" t="s">
        <v>24</v>
      </c>
      <c r="D2852" s="4">
        <v>18010750000100</v>
      </c>
      <c r="E2852" s="8" t="s">
        <v>1092</v>
      </c>
      <c r="F2852" s="8" t="s">
        <v>131</v>
      </c>
      <c r="G2852" s="8" t="s">
        <v>61</v>
      </c>
      <c r="H2852" s="8" t="s">
        <v>215</v>
      </c>
      <c r="I2852" s="3">
        <v>2</v>
      </c>
      <c r="J2852" s="8" t="s">
        <v>173</v>
      </c>
      <c r="K2852" s="8" t="s">
        <v>174</v>
      </c>
      <c r="L2852" s="8" t="s">
        <v>557</v>
      </c>
      <c r="M2852" s="1" t="s">
        <v>205</v>
      </c>
      <c r="N2852" s="8" t="s">
        <v>206</v>
      </c>
      <c r="O2852" s="6">
        <v>0</v>
      </c>
      <c r="P2852" s="6">
        <v>0</v>
      </c>
      <c r="Q2852" s="6">
        <v>2</v>
      </c>
      <c r="R2852" s="6">
        <v>0</v>
      </c>
      <c r="S2852" s="6">
        <v>655</v>
      </c>
    </row>
    <row r="2853" spans="1:19" ht="15" hidden="1" x14ac:dyDescent="0.25">
      <c r="A2853" s="7" t="s">
        <v>16</v>
      </c>
      <c r="B2853" s="7" t="s">
        <v>229</v>
      </c>
      <c r="C2853" s="7" t="s">
        <v>24</v>
      </c>
      <c r="D2853" s="4">
        <v>8850962000222</v>
      </c>
      <c r="E2853" s="8" t="s">
        <v>1086</v>
      </c>
      <c r="F2853" s="8" t="s">
        <v>131</v>
      </c>
      <c r="G2853" s="8" t="s">
        <v>61</v>
      </c>
      <c r="H2853" s="8" t="s">
        <v>215</v>
      </c>
      <c r="I2853" s="3">
        <v>2</v>
      </c>
      <c r="J2853" s="8" t="s">
        <v>155</v>
      </c>
      <c r="K2853" s="8" t="s">
        <v>156</v>
      </c>
      <c r="L2853" s="8" t="s">
        <v>556</v>
      </c>
      <c r="M2853" s="1" t="s">
        <v>205</v>
      </c>
      <c r="N2853" s="8" t="s">
        <v>206</v>
      </c>
      <c r="O2853" s="6">
        <v>0</v>
      </c>
      <c r="P2853" s="6">
        <v>0</v>
      </c>
      <c r="Q2853" s="6">
        <v>0</v>
      </c>
      <c r="R2853" s="6">
        <v>0</v>
      </c>
      <c r="S2853" s="6">
        <v>0</v>
      </c>
    </row>
    <row r="2854" spans="1:19" ht="15" hidden="1" x14ac:dyDescent="0.25">
      <c r="A2854" s="7" t="s">
        <v>16</v>
      </c>
      <c r="B2854" s="7" t="s">
        <v>229</v>
      </c>
      <c r="C2854" s="7" t="s">
        <v>24</v>
      </c>
      <c r="D2854" s="4">
        <v>8850962000222</v>
      </c>
      <c r="E2854" s="8" t="s">
        <v>1086</v>
      </c>
      <c r="F2854" s="8" t="s">
        <v>131</v>
      </c>
      <c r="G2854" s="8" t="s">
        <v>61</v>
      </c>
      <c r="H2854" s="8" t="s">
        <v>215</v>
      </c>
      <c r="I2854" s="3">
        <v>2</v>
      </c>
      <c r="J2854" s="8" t="s">
        <v>181</v>
      </c>
      <c r="K2854" s="8" t="s">
        <v>182</v>
      </c>
      <c r="L2854" s="8" t="s">
        <v>557</v>
      </c>
      <c r="M2854" s="1" t="s">
        <v>205</v>
      </c>
      <c r="N2854" s="8" t="s">
        <v>206</v>
      </c>
      <c r="O2854" s="6">
        <v>0</v>
      </c>
      <c r="P2854" s="6">
        <v>4</v>
      </c>
      <c r="Q2854" s="6">
        <v>7</v>
      </c>
      <c r="R2854" s="6">
        <v>0</v>
      </c>
      <c r="S2854" s="6">
        <v>0</v>
      </c>
    </row>
    <row r="2855" spans="1:19" ht="15" hidden="1" x14ac:dyDescent="0.25">
      <c r="A2855" s="7" t="s">
        <v>16</v>
      </c>
      <c r="B2855" s="7" t="s">
        <v>229</v>
      </c>
      <c r="C2855" s="7" t="s">
        <v>24</v>
      </c>
      <c r="D2855" s="4">
        <v>33781055000216</v>
      </c>
      <c r="E2855" s="8" t="s">
        <v>1116</v>
      </c>
      <c r="F2855" s="8" t="s">
        <v>131</v>
      </c>
      <c r="G2855" s="8" t="s">
        <v>61</v>
      </c>
      <c r="H2855" s="8" t="s">
        <v>215</v>
      </c>
      <c r="I2855" s="3">
        <v>2</v>
      </c>
      <c r="J2855" s="8" t="s">
        <v>155</v>
      </c>
      <c r="K2855" s="8" t="s">
        <v>156</v>
      </c>
      <c r="L2855" s="8" t="s">
        <v>556</v>
      </c>
      <c r="M2855" s="1" t="s">
        <v>205</v>
      </c>
      <c r="N2855" s="8" t="s">
        <v>206</v>
      </c>
      <c r="O2855" s="6">
        <v>0</v>
      </c>
      <c r="P2855" s="6">
        <v>0</v>
      </c>
      <c r="Q2855" s="6">
        <v>0</v>
      </c>
      <c r="R2855" s="6">
        <v>0</v>
      </c>
      <c r="S2855" s="6">
        <v>350</v>
      </c>
    </row>
    <row r="2856" spans="1:19" ht="15" hidden="1" x14ac:dyDescent="0.25">
      <c r="A2856" s="7" t="s">
        <v>16</v>
      </c>
      <c r="B2856" s="7" t="s">
        <v>229</v>
      </c>
      <c r="C2856" s="7" t="s">
        <v>24</v>
      </c>
      <c r="D2856" s="4">
        <v>33781055000216</v>
      </c>
      <c r="E2856" s="8" t="s">
        <v>1116</v>
      </c>
      <c r="F2856" s="8" t="s">
        <v>131</v>
      </c>
      <c r="G2856" s="8" t="s">
        <v>61</v>
      </c>
      <c r="H2856" s="8" t="s">
        <v>215</v>
      </c>
      <c r="I2856" s="3">
        <v>2</v>
      </c>
      <c r="J2856" s="8" t="s">
        <v>181</v>
      </c>
      <c r="K2856" s="8" t="s">
        <v>182</v>
      </c>
      <c r="L2856" s="8" t="s">
        <v>557</v>
      </c>
      <c r="M2856" s="1" t="s">
        <v>205</v>
      </c>
      <c r="N2856" s="8" t="s">
        <v>206</v>
      </c>
      <c r="O2856" s="6">
        <v>0</v>
      </c>
      <c r="P2856" s="6">
        <v>0</v>
      </c>
      <c r="Q2856" s="6">
        <v>0</v>
      </c>
      <c r="R2856" s="6">
        <v>0</v>
      </c>
      <c r="S2856" s="6">
        <v>350</v>
      </c>
    </row>
    <row r="2857" spans="1:19" ht="15" hidden="1" x14ac:dyDescent="0.25">
      <c r="A2857" s="7" t="s">
        <v>16</v>
      </c>
      <c r="B2857" s="7" t="s">
        <v>229</v>
      </c>
      <c r="C2857" s="7" t="s">
        <v>24</v>
      </c>
      <c r="D2857" s="4">
        <v>33419482000259</v>
      </c>
      <c r="E2857" s="8" t="s">
        <v>1111</v>
      </c>
      <c r="F2857" s="8" t="s">
        <v>131</v>
      </c>
      <c r="G2857" s="8" t="s">
        <v>61</v>
      </c>
      <c r="H2857" s="8" t="s">
        <v>215</v>
      </c>
      <c r="I2857" s="3">
        <v>2</v>
      </c>
      <c r="J2857" s="8" t="s">
        <v>155</v>
      </c>
      <c r="K2857" s="8" t="s">
        <v>156</v>
      </c>
      <c r="L2857" s="8" t="s">
        <v>556</v>
      </c>
      <c r="M2857" s="1" t="s">
        <v>205</v>
      </c>
      <c r="N2857" s="8" t="s">
        <v>206</v>
      </c>
      <c r="O2857" s="6">
        <v>0</v>
      </c>
      <c r="P2857" s="6">
        <v>0</v>
      </c>
      <c r="Q2857" s="6">
        <v>0</v>
      </c>
      <c r="R2857" s="6">
        <v>0</v>
      </c>
      <c r="S2857" s="6">
        <v>0</v>
      </c>
    </row>
    <row r="2858" spans="1:19" ht="15" hidden="1" x14ac:dyDescent="0.25">
      <c r="A2858" s="7" t="s">
        <v>16</v>
      </c>
      <c r="B2858" s="7" t="s">
        <v>229</v>
      </c>
      <c r="C2858" s="7" t="s">
        <v>24</v>
      </c>
      <c r="D2858" s="4">
        <v>33419482000259</v>
      </c>
      <c r="E2858" s="8" t="s">
        <v>1111</v>
      </c>
      <c r="F2858" s="8" t="s">
        <v>131</v>
      </c>
      <c r="G2858" s="8" t="s">
        <v>61</v>
      </c>
      <c r="H2858" s="8" t="s">
        <v>215</v>
      </c>
      <c r="I2858" s="3">
        <v>2</v>
      </c>
      <c r="J2858" s="8" t="s">
        <v>181</v>
      </c>
      <c r="K2858" s="8" t="s">
        <v>182</v>
      </c>
      <c r="L2858" s="8" t="s">
        <v>557</v>
      </c>
      <c r="M2858" s="1" t="s">
        <v>205</v>
      </c>
      <c r="N2858" s="8" t="s">
        <v>206</v>
      </c>
      <c r="O2858" s="6">
        <v>0</v>
      </c>
      <c r="P2858" s="6">
        <v>6</v>
      </c>
      <c r="Q2858" s="6">
        <v>5</v>
      </c>
      <c r="R2858" s="6">
        <v>0</v>
      </c>
      <c r="S2858" s="6">
        <v>0</v>
      </c>
    </row>
    <row r="2859" spans="1:19" ht="15" hidden="1" x14ac:dyDescent="0.25">
      <c r="A2859" s="7" t="s">
        <v>16</v>
      </c>
      <c r="B2859" s="7" t="s">
        <v>229</v>
      </c>
      <c r="C2859" s="7" t="s">
        <v>24</v>
      </c>
      <c r="D2859" s="4">
        <v>72101124000506</v>
      </c>
      <c r="E2859" s="8" t="s">
        <v>1126</v>
      </c>
      <c r="F2859" s="8" t="s">
        <v>131</v>
      </c>
      <c r="G2859" s="8" t="s">
        <v>61</v>
      </c>
      <c r="H2859" s="8" t="s">
        <v>215</v>
      </c>
      <c r="I2859" s="3">
        <v>2</v>
      </c>
      <c r="J2859" s="8" t="s">
        <v>155</v>
      </c>
      <c r="K2859" s="8" t="s">
        <v>156</v>
      </c>
      <c r="L2859" s="8" t="s">
        <v>556</v>
      </c>
      <c r="M2859" s="1" t="s">
        <v>205</v>
      </c>
      <c r="N2859" s="8" t="s">
        <v>206</v>
      </c>
      <c r="O2859" s="6">
        <v>0</v>
      </c>
      <c r="P2859" s="6">
        <v>0</v>
      </c>
      <c r="Q2859" s="6">
        <v>0</v>
      </c>
      <c r="R2859" s="6">
        <v>55</v>
      </c>
      <c r="S2859" s="6">
        <v>280</v>
      </c>
    </row>
    <row r="2860" spans="1:19" ht="15" hidden="1" x14ac:dyDescent="0.25">
      <c r="A2860" s="7" t="s">
        <v>16</v>
      </c>
      <c r="B2860" s="7" t="s">
        <v>229</v>
      </c>
      <c r="C2860" s="7" t="s">
        <v>24</v>
      </c>
      <c r="D2860" s="4">
        <v>72101124000506</v>
      </c>
      <c r="E2860" s="8" t="s">
        <v>1126</v>
      </c>
      <c r="F2860" s="8" t="s">
        <v>131</v>
      </c>
      <c r="G2860" s="8" t="s">
        <v>61</v>
      </c>
      <c r="H2860" s="8" t="s">
        <v>215</v>
      </c>
      <c r="I2860" s="3">
        <v>2</v>
      </c>
      <c r="J2860" s="8" t="s">
        <v>181</v>
      </c>
      <c r="K2860" s="8" t="s">
        <v>182</v>
      </c>
      <c r="L2860" s="8" t="s">
        <v>557</v>
      </c>
      <c r="M2860" s="1" t="s">
        <v>205</v>
      </c>
      <c r="N2860" s="8" t="s">
        <v>206</v>
      </c>
      <c r="O2860" s="6">
        <v>0</v>
      </c>
      <c r="P2860" s="6">
        <v>0</v>
      </c>
      <c r="Q2860" s="6">
        <v>0</v>
      </c>
      <c r="R2860" s="6">
        <v>0</v>
      </c>
      <c r="S2860" s="6">
        <v>280</v>
      </c>
    </row>
    <row r="2861" spans="1:19" ht="15" hidden="1" x14ac:dyDescent="0.25">
      <c r="A2861" s="7" t="s">
        <v>16</v>
      </c>
      <c r="B2861" s="7" t="s">
        <v>229</v>
      </c>
      <c r="C2861" s="7" t="s">
        <v>24</v>
      </c>
      <c r="D2861" s="4">
        <v>28000107000159</v>
      </c>
      <c r="E2861" s="8" t="s">
        <v>1099</v>
      </c>
      <c r="F2861" s="8" t="s">
        <v>131</v>
      </c>
      <c r="G2861" s="8" t="s">
        <v>61</v>
      </c>
      <c r="H2861" s="8" t="s">
        <v>215</v>
      </c>
      <c r="I2861" s="3">
        <v>2</v>
      </c>
      <c r="J2861" s="8" t="s">
        <v>155</v>
      </c>
      <c r="K2861" s="8" t="s">
        <v>156</v>
      </c>
      <c r="L2861" s="8" t="s">
        <v>556</v>
      </c>
      <c r="M2861" s="1" t="s">
        <v>205</v>
      </c>
      <c r="N2861" s="8" t="s">
        <v>206</v>
      </c>
      <c r="O2861" s="6">
        <v>0</v>
      </c>
      <c r="P2861" s="6">
        <v>0</v>
      </c>
      <c r="Q2861" s="6">
        <v>0</v>
      </c>
      <c r="R2861" s="6">
        <v>40</v>
      </c>
      <c r="S2861" s="6">
        <v>90</v>
      </c>
    </row>
    <row r="2862" spans="1:19" ht="15" hidden="1" x14ac:dyDescent="0.25">
      <c r="A2862" s="7" t="s">
        <v>16</v>
      </c>
      <c r="B2862" s="7" t="s">
        <v>229</v>
      </c>
      <c r="C2862" s="7" t="s">
        <v>24</v>
      </c>
      <c r="D2862" s="4">
        <v>28000107000159</v>
      </c>
      <c r="E2862" s="8" t="s">
        <v>1099</v>
      </c>
      <c r="F2862" s="8" t="s">
        <v>131</v>
      </c>
      <c r="G2862" s="8" t="s">
        <v>61</v>
      </c>
      <c r="H2862" s="8" t="s">
        <v>215</v>
      </c>
      <c r="I2862" s="3">
        <v>2</v>
      </c>
      <c r="J2862" s="8" t="s">
        <v>181</v>
      </c>
      <c r="K2862" s="8" t="s">
        <v>182</v>
      </c>
      <c r="L2862" s="8" t="s">
        <v>557</v>
      </c>
      <c r="M2862" s="1" t="s">
        <v>205</v>
      </c>
      <c r="N2862" s="8" t="s">
        <v>206</v>
      </c>
      <c r="O2862" s="6">
        <v>0</v>
      </c>
      <c r="P2862" s="6">
        <v>0</v>
      </c>
      <c r="Q2862" s="6">
        <v>0</v>
      </c>
      <c r="R2862" s="6">
        <v>0</v>
      </c>
      <c r="S2862" s="6">
        <v>90</v>
      </c>
    </row>
    <row r="2863" spans="1:19" ht="15" hidden="1" x14ac:dyDescent="0.25">
      <c r="A2863" s="7" t="s">
        <v>16</v>
      </c>
      <c r="B2863" s="7" t="s">
        <v>229</v>
      </c>
      <c r="C2863" s="7" t="s">
        <v>24</v>
      </c>
      <c r="D2863" s="4">
        <v>92929000198</v>
      </c>
      <c r="E2863" s="8" t="s">
        <v>1327</v>
      </c>
      <c r="F2863" s="8" t="s">
        <v>131</v>
      </c>
      <c r="G2863" s="8" t="s">
        <v>61</v>
      </c>
      <c r="H2863" s="8" t="s">
        <v>215</v>
      </c>
      <c r="I2863" s="3">
        <v>2</v>
      </c>
      <c r="J2863" s="8" t="s">
        <v>155</v>
      </c>
      <c r="K2863" s="8" t="s">
        <v>156</v>
      </c>
      <c r="L2863" s="8" t="s">
        <v>556</v>
      </c>
      <c r="M2863" s="1" t="s">
        <v>205</v>
      </c>
      <c r="N2863" s="8" t="s">
        <v>206</v>
      </c>
      <c r="O2863" s="6">
        <v>0</v>
      </c>
      <c r="P2863" s="6">
        <v>0</v>
      </c>
      <c r="Q2863" s="6">
        <v>0</v>
      </c>
      <c r="R2863" s="6">
        <v>60</v>
      </c>
      <c r="S2863" s="6">
        <v>0</v>
      </c>
    </row>
    <row r="2864" spans="1:19" ht="15" hidden="1" x14ac:dyDescent="0.25">
      <c r="A2864" s="7" t="s">
        <v>16</v>
      </c>
      <c r="B2864" s="7" t="s">
        <v>229</v>
      </c>
      <c r="C2864" s="7" t="s">
        <v>24</v>
      </c>
      <c r="D2864" s="4">
        <v>92929000198</v>
      </c>
      <c r="E2864" s="8" t="s">
        <v>1327</v>
      </c>
      <c r="F2864" s="8" t="s">
        <v>131</v>
      </c>
      <c r="G2864" s="8" t="s">
        <v>61</v>
      </c>
      <c r="H2864" s="8" t="s">
        <v>215</v>
      </c>
      <c r="I2864" s="3">
        <v>2</v>
      </c>
      <c r="J2864" s="8" t="s">
        <v>181</v>
      </c>
      <c r="K2864" s="8" t="s">
        <v>182</v>
      </c>
      <c r="L2864" s="8" t="s">
        <v>557</v>
      </c>
      <c r="M2864" s="1" t="s">
        <v>205</v>
      </c>
      <c r="N2864" s="8" t="s">
        <v>206</v>
      </c>
      <c r="O2864" s="6">
        <v>0</v>
      </c>
      <c r="P2864" s="6">
        <v>0</v>
      </c>
      <c r="Q2864" s="6">
        <v>0</v>
      </c>
      <c r="R2864" s="6">
        <v>0</v>
      </c>
      <c r="S2864" s="6">
        <v>0</v>
      </c>
    </row>
    <row r="2865" spans="1:19" ht="15" hidden="1" x14ac:dyDescent="0.25">
      <c r="A2865" s="7" t="s">
        <v>16</v>
      </c>
      <c r="B2865" s="7" t="s">
        <v>229</v>
      </c>
      <c r="C2865" s="7" t="s">
        <v>24</v>
      </c>
      <c r="D2865" s="4">
        <v>42498733000148</v>
      </c>
      <c r="E2865" s="8" t="s">
        <v>1221</v>
      </c>
      <c r="F2865" s="8" t="s">
        <v>131</v>
      </c>
      <c r="G2865" s="8" t="s">
        <v>61</v>
      </c>
      <c r="H2865" s="8" t="s">
        <v>215</v>
      </c>
      <c r="I2865" s="3">
        <v>2</v>
      </c>
      <c r="J2865" s="8" t="s">
        <v>155</v>
      </c>
      <c r="K2865" s="8" t="s">
        <v>156</v>
      </c>
      <c r="L2865" s="8" t="s">
        <v>556</v>
      </c>
      <c r="M2865" s="1" t="s">
        <v>205</v>
      </c>
      <c r="N2865" s="8" t="s">
        <v>206</v>
      </c>
      <c r="O2865" s="6">
        <v>0</v>
      </c>
      <c r="P2865" s="6">
        <v>0</v>
      </c>
      <c r="Q2865" s="6">
        <v>0</v>
      </c>
      <c r="R2865" s="6">
        <v>0</v>
      </c>
      <c r="S2865" s="6">
        <v>200</v>
      </c>
    </row>
    <row r="2866" spans="1:19" ht="15" hidden="1" x14ac:dyDescent="0.25">
      <c r="A2866" s="7" t="s">
        <v>16</v>
      </c>
      <c r="B2866" s="7" t="s">
        <v>229</v>
      </c>
      <c r="C2866" s="7" t="s">
        <v>24</v>
      </c>
      <c r="D2866" s="4">
        <v>42498733000148</v>
      </c>
      <c r="E2866" s="8" t="s">
        <v>1221</v>
      </c>
      <c r="F2866" s="8" t="s">
        <v>131</v>
      </c>
      <c r="G2866" s="8" t="s">
        <v>61</v>
      </c>
      <c r="H2866" s="8" t="s">
        <v>215</v>
      </c>
      <c r="I2866" s="3">
        <v>2</v>
      </c>
      <c r="J2866" s="8" t="s">
        <v>181</v>
      </c>
      <c r="K2866" s="8" t="s">
        <v>182</v>
      </c>
      <c r="L2866" s="8" t="s">
        <v>557</v>
      </c>
      <c r="M2866" s="1" t="s">
        <v>205</v>
      </c>
      <c r="N2866" s="8" t="s">
        <v>206</v>
      </c>
      <c r="O2866" s="6">
        <v>0</v>
      </c>
      <c r="P2866" s="6">
        <v>0</v>
      </c>
      <c r="Q2866" s="6">
        <v>0</v>
      </c>
      <c r="R2866" s="6">
        <v>0</v>
      </c>
      <c r="S2866" s="6">
        <v>200</v>
      </c>
    </row>
    <row r="2867" spans="1:19" ht="15" hidden="1" x14ac:dyDescent="0.25">
      <c r="A2867" s="7" t="s">
        <v>16</v>
      </c>
      <c r="B2867" s="7" t="s">
        <v>229</v>
      </c>
      <c r="C2867" s="7" t="s">
        <v>24</v>
      </c>
      <c r="D2867" s="4">
        <v>9219138000401</v>
      </c>
      <c r="E2867" s="8" t="s">
        <v>1087</v>
      </c>
      <c r="F2867" s="8" t="s">
        <v>131</v>
      </c>
      <c r="G2867" s="8" t="s">
        <v>61</v>
      </c>
      <c r="H2867" s="8" t="s">
        <v>215</v>
      </c>
      <c r="I2867" s="3">
        <v>2</v>
      </c>
      <c r="J2867" s="8" t="s">
        <v>155</v>
      </c>
      <c r="K2867" s="8" t="s">
        <v>156</v>
      </c>
      <c r="L2867" s="8" t="s">
        <v>556</v>
      </c>
      <c r="M2867" s="1" t="s">
        <v>205</v>
      </c>
      <c r="N2867" s="8" t="s">
        <v>206</v>
      </c>
      <c r="O2867" s="6">
        <v>0</v>
      </c>
      <c r="P2867" s="6">
        <v>0</v>
      </c>
      <c r="Q2867" s="6">
        <v>0</v>
      </c>
      <c r="R2867" s="6">
        <v>0</v>
      </c>
      <c r="S2867" s="6">
        <v>1105</v>
      </c>
    </row>
    <row r="2868" spans="1:19" ht="15" hidden="1" x14ac:dyDescent="0.25">
      <c r="A2868" s="7" t="s">
        <v>16</v>
      </c>
      <c r="B2868" s="7" t="s">
        <v>229</v>
      </c>
      <c r="C2868" s="7" t="s">
        <v>24</v>
      </c>
      <c r="D2868" s="4">
        <v>9219138000401</v>
      </c>
      <c r="E2868" s="8" t="s">
        <v>1087</v>
      </c>
      <c r="F2868" s="8" t="s">
        <v>131</v>
      </c>
      <c r="G2868" s="8" t="s">
        <v>61</v>
      </c>
      <c r="H2868" s="8" t="s">
        <v>215</v>
      </c>
      <c r="I2868" s="3">
        <v>2</v>
      </c>
      <c r="J2868" s="8" t="s">
        <v>181</v>
      </c>
      <c r="K2868" s="8" t="s">
        <v>182</v>
      </c>
      <c r="L2868" s="8" t="s">
        <v>557</v>
      </c>
      <c r="M2868" s="1" t="s">
        <v>205</v>
      </c>
      <c r="N2868" s="8" t="s">
        <v>206</v>
      </c>
      <c r="O2868" s="6">
        <v>0</v>
      </c>
      <c r="P2868" s="6">
        <v>0</v>
      </c>
      <c r="Q2868" s="6">
        <v>0</v>
      </c>
      <c r="R2868" s="6">
        <v>0</v>
      </c>
      <c r="S2868" s="6">
        <v>1105</v>
      </c>
    </row>
    <row r="2869" spans="1:19" ht="15" hidden="1" x14ac:dyDescent="0.25">
      <c r="A2869" s="7" t="s">
        <v>16</v>
      </c>
      <c r="B2869" s="7" t="s">
        <v>229</v>
      </c>
      <c r="C2869" s="7" t="s">
        <v>24</v>
      </c>
      <c r="D2869" s="4">
        <v>9219138000584</v>
      </c>
      <c r="E2869" s="8" t="s">
        <v>1088</v>
      </c>
      <c r="F2869" s="8" t="s">
        <v>131</v>
      </c>
      <c r="G2869" s="8" t="s">
        <v>61</v>
      </c>
      <c r="H2869" s="8" t="s">
        <v>215</v>
      </c>
      <c r="I2869" s="3">
        <v>2</v>
      </c>
      <c r="J2869" s="8" t="s">
        <v>155</v>
      </c>
      <c r="K2869" s="8" t="s">
        <v>156</v>
      </c>
      <c r="L2869" s="8" t="s">
        <v>556</v>
      </c>
      <c r="M2869" s="1" t="s">
        <v>205</v>
      </c>
      <c r="N2869" s="8" t="s">
        <v>206</v>
      </c>
      <c r="O2869" s="6">
        <v>0</v>
      </c>
      <c r="P2869" s="6">
        <v>0</v>
      </c>
      <c r="Q2869" s="6">
        <v>0</v>
      </c>
      <c r="R2869" s="6">
        <v>104</v>
      </c>
      <c r="S2869" s="6">
        <v>430</v>
      </c>
    </row>
    <row r="2870" spans="1:19" ht="15" hidden="1" x14ac:dyDescent="0.25">
      <c r="A2870" s="7" t="s">
        <v>16</v>
      </c>
      <c r="B2870" s="7" t="s">
        <v>229</v>
      </c>
      <c r="C2870" s="7" t="s">
        <v>24</v>
      </c>
      <c r="D2870" s="4">
        <v>9219138000584</v>
      </c>
      <c r="E2870" s="8" t="s">
        <v>1088</v>
      </c>
      <c r="F2870" s="8" t="s">
        <v>131</v>
      </c>
      <c r="G2870" s="8" t="s">
        <v>61</v>
      </c>
      <c r="H2870" s="8" t="s">
        <v>215</v>
      </c>
      <c r="I2870" s="3">
        <v>2</v>
      </c>
      <c r="J2870" s="8" t="s">
        <v>173</v>
      </c>
      <c r="K2870" s="8" t="s">
        <v>174</v>
      </c>
      <c r="L2870" s="8" t="s">
        <v>557</v>
      </c>
      <c r="M2870" s="1" t="s">
        <v>205</v>
      </c>
      <c r="N2870" s="8" t="s">
        <v>206</v>
      </c>
      <c r="O2870" s="6">
        <v>0</v>
      </c>
      <c r="P2870" s="6">
        <v>0</v>
      </c>
      <c r="Q2870" s="6">
        <v>4</v>
      </c>
      <c r="R2870" s="6">
        <v>0</v>
      </c>
      <c r="S2870" s="6">
        <v>430</v>
      </c>
    </row>
    <row r="2871" spans="1:19" ht="15" hidden="1" x14ac:dyDescent="0.25">
      <c r="A2871" s="7" t="s">
        <v>16</v>
      </c>
      <c r="B2871" s="7" t="s">
        <v>229</v>
      </c>
      <c r="C2871" s="7" t="s">
        <v>24</v>
      </c>
      <c r="D2871" s="4">
        <v>28602407000108</v>
      </c>
      <c r="E2871" s="8" t="s">
        <v>1100</v>
      </c>
      <c r="F2871" s="8" t="s">
        <v>131</v>
      </c>
      <c r="G2871" s="8" t="s">
        <v>61</v>
      </c>
      <c r="H2871" s="8" t="s">
        <v>215</v>
      </c>
      <c r="I2871" s="3">
        <v>2</v>
      </c>
      <c r="J2871" s="8" t="s">
        <v>155</v>
      </c>
      <c r="K2871" s="8" t="s">
        <v>156</v>
      </c>
      <c r="L2871" s="8" t="s">
        <v>556</v>
      </c>
      <c r="M2871" s="1" t="s">
        <v>205</v>
      </c>
      <c r="N2871" s="8" t="s">
        <v>206</v>
      </c>
      <c r="O2871" s="6">
        <v>0</v>
      </c>
      <c r="P2871" s="6">
        <v>0</v>
      </c>
      <c r="Q2871" s="6">
        <v>0</v>
      </c>
      <c r="R2871" s="6">
        <v>4</v>
      </c>
      <c r="S2871" s="6">
        <v>0</v>
      </c>
    </row>
    <row r="2872" spans="1:19" ht="15" hidden="1" x14ac:dyDescent="0.25">
      <c r="A2872" s="7" t="s">
        <v>16</v>
      </c>
      <c r="B2872" s="7" t="s">
        <v>229</v>
      </c>
      <c r="C2872" s="7" t="s">
        <v>24</v>
      </c>
      <c r="D2872" s="4">
        <v>28602407000108</v>
      </c>
      <c r="E2872" s="8" t="s">
        <v>1100</v>
      </c>
      <c r="F2872" s="8" t="s">
        <v>131</v>
      </c>
      <c r="G2872" s="8" t="s">
        <v>61</v>
      </c>
      <c r="H2872" s="8" t="s">
        <v>215</v>
      </c>
      <c r="I2872" s="3">
        <v>2</v>
      </c>
      <c r="J2872" s="8" t="s">
        <v>181</v>
      </c>
      <c r="K2872" s="8" t="s">
        <v>182</v>
      </c>
      <c r="L2872" s="8" t="s">
        <v>557</v>
      </c>
      <c r="M2872" s="1" t="s">
        <v>205</v>
      </c>
      <c r="N2872" s="8" t="s">
        <v>206</v>
      </c>
      <c r="O2872" s="6">
        <v>0</v>
      </c>
      <c r="P2872" s="6">
        <v>4</v>
      </c>
      <c r="Q2872" s="6">
        <v>0</v>
      </c>
      <c r="R2872" s="6">
        <v>0</v>
      </c>
      <c r="S2872" s="6">
        <v>0</v>
      </c>
    </row>
    <row r="2873" spans="1:19" ht="15" hidden="1" x14ac:dyDescent="0.25">
      <c r="A2873" s="7" t="s">
        <v>16</v>
      </c>
      <c r="B2873" s="7" t="s">
        <v>229</v>
      </c>
      <c r="C2873" s="7" t="s">
        <v>24</v>
      </c>
      <c r="D2873" s="4">
        <v>31671480000146</v>
      </c>
      <c r="E2873" s="8" t="s">
        <v>1214</v>
      </c>
      <c r="F2873" s="8" t="s">
        <v>1215</v>
      </c>
      <c r="G2873" s="8" t="s">
        <v>61</v>
      </c>
      <c r="H2873" s="8" t="s">
        <v>215</v>
      </c>
      <c r="I2873" s="3">
        <v>2</v>
      </c>
      <c r="J2873" s="8" t="s">
        <v>155</v>
      </c>
      <c r="K2873" s="8" t="s">
        <v>156</v>
      </c>
      <c r="L2873" s="8" t="s">
        <v>556</v>
      </c>
      <c r="M2873" s="1" t="s">
        <v>205</v>
      </c>
      <c r="N2873" s="8" t="s">
        <v>206</v>
      </c>
      <c r="O2873" s="6">
        <v>0</v>
      </c>
      <c r="P2873" s="6">
        <v>0</v>
      </c>
      <c r="Q2873" s="6">
        <v>0</v>
      </c>
      <c r="R2873" s="6">
        <v>0</v>
      </c>
      <c r="S2873" s="6">
        <v>0</v>
      </c>
    </row>
    <row r="2874" spans="1:19" ht="15" hidden="1" x14ac:dyDescent="0.25">
      <c r="A2874" s="7" t="s">
        <v>16</v>
      </c>
      <c r="B2874" s="7" t="s">
        <v>229</v>
      </c>
      <c r="C2874" s="7" t="s">
        <v>24</v>
      </c>
      <c r="D2874" s="4">
        <v>31671480000146</v>
      </c>
      <c r="E2874" s="8" t="s">
        <v>1214</v>
      </c>
      <c r="F2874" s="8" t="s">
        <v>1215</v>
      </c>
      <c r="G2874" s="8" t="s">
        <v>61</v>
      </c>
      <c r="H2874" s="8" t="s">
        <v>215</v>
      </c>
      <c r="I2874" s="3">
        <v>2</v>
      </c>
      <c r="J2874" s="8" t="s">
        <v>181</v>
      </c>
      <c r="K2874" s="8" t="s">
        <v>182</v>
      </c>
      <c r="L2874" s="8" t="s">
        <v>557</v>
      </c>
      <c r="M2874" s="1" t="s">
        <v>205</v>
      </c>
      <c r="N2874" s="8" t="s">
        <v>206</v>
      </c>
      <c r="O2874" s="6">
        <v>0</v>
      </c>
      <c r="P2874" s="6">
        <v>10</v>
      </c>
      <c r="Q2874" s="6">
        <v>0</v>
      </c>
      <c r="R2874" s="6">
        <v>0</v>
      </c>
      <c r="S2874" s="6">
        <v>0</v>
      </c>
    </row>
    <row r="2875" spans="1:19" ht="15" hidden="1" x14ac:dyDescent="0.25">
      <c r="A2875" s="7" t="s">
        <v>16</v>
      </c>
      <c r="B2875" s="7" t="s">
        <v>229</v>
      </c>
      <c r="C2875" s="7" t="s">
        <v>24</v>
      </c>
      <c r="D2875" s="4">
        <v>35917970000726</v>
      </c>
      <c r="E2875" s="8" t="s">
        <v>1062</v>
      </c>
      <c r="F2875" s="8" t="s">
        <v>105</v>
      </c>
      <c r="G2875" s="8" t="s">
        <v>61</v>
      </c>
      <c r="H2875" s="8" t="s">
        <v>215</v>
      </c>
      <c r="I2875" s="3">
        <v>2</v>
      </c>
      <c r="J2875" s="8" t="s">
        <v>155</v>
      </c>
      <c r="K2875" s="8" t="s">
        <v>156</v>
      </c>
      <c r="L2875" s="8" t="s">
        <v>556</v>
      </c>
      <c r="M2875" s="1" t="s">
        <v>205</v>
      </c>
      <c r="N2875" s="8" t="s">
        <v>206</v>
      </c>
      <c r="O2875" s="6">
        <v>0</v>
      </c>
      <c r="P2875" s="6">
        <v>0</v>
      </c>
      <c r="Q2875" s="6">
        <v>0</v>
      </c>
      <c r="R2875" s="6">
        <v>12</v>
      </c>
      <c r="S2875" s="6">
        <v>0</v>
      </c>
    </row>
    <row r="2876" spans="1:19" ht="15" hidden="1" x14ac:dyDescent="0.25">
      <c r="A2876" s="7" t="s">
        <v>16</v>
      </c>
      <c r="B2876" s="7" t="s">
        <v>229</v>
      </c>
      <c r="C2876" s="7" t="s">
        <v>24</v>
      </c>
      <c r="D2876" s="4">
        <v>35917970000726</v>
      </c>
      <c r="E2876" s="8" t="s">
        <v>1062</v>
      </c>
      <c r="F2876" s="8" t="s">
        <v>105</v>
      </c>
      <c r="G2876" s="8" t="s">
        <v>61</v>
      </c>
      <c r="H2876" s="8" t="s">
        <v>215</v>
      </c>
      <c r="I2876" s="3">
        <v>2</v>
      </c>
      <c r="J2876" s="8" t="s">
        <v>173</v>
      </c>
      <c r="K2876" s="8" t="s">
        <v>174</v>
      </c>
      <c r="L2876" s="8" t="s">
        <v>557</v>
      </c>
      <c r="M2876" s="1" t="s">
        <v>205</v>
      </c>
      <c r="N2876" s="8" t="s">
        <v>206</v>
      </c>
      <c r="O2876" s="6">
        <v>0</v>
      </c>
      <c r="P2876" s="6">
        <v>0</v>
      </c>
      <c r="Q2876" s="6">
        <v>0</v>
      </c>
      <c r="R2876" s="6">
        <v>0</v>
      </c>
      <c r="S2876" s="6">
        <v>0</v>
      </c>
    </row>
    <row r="2877" spans="1:19" ht="15" hidden="1" x14ac:dyDescent="0.25">
      <c r="A2877" s="7" t="s">
        <v>16</v>
      </c>
      <c r="B2877" s="7" t="s">
        <v>229</v>
      </c>
      <c r="C2877" s="7" t="s">
        <v>24</v>
      </c>
      <c r="D2877" s="4">
        <v>15126437000739</v>
      </c>
      <c r="E2877" s="8" t="s">
        <v>881</v>
      </c>
      <c r="F2877" s="8" t="s">
        <v>62</v>
      </c>
      <c r="G2877" s="8" t="s">
        <v>63</v>
      </c>
      <c r="H2877" s="8" t="s">
        <v>215</v>
      </c>
      <c r="I2877" s="3">
        <v>2</v>
      </c>
      <c r="J2877" s="8" t="s">
        <v>199</v>
      </c>
      <c r="K2877" s="8" t="s">
        <v>200</v>
      </c>
      <c r="L2877" s="8" t="s">
        <v>556</v>
      </c>
      <c r="M2877" s="1" t="s">
        <v>211</v>
      </c>
      <c r="N2877" s="8" t="s">
        <v>212</v>
      </c>
      <c r="O2877" s="6">
        <v>0</v>
      </c>
      <c r="P2877" s="6">
        <v>0</v>
      </c>
      <c r="Q2877" s="6">
        <v>0</v>
      </c>
      <c r="R2877" s="6">
        <v>0</v>
      </c>
      <c r="S2877" s="6">
        <v>0</v>
      </c>
    </row>
    <row r="2878" spans="1:19" ht="15" hidden="1" x14ac:dyDescent="0.25">
      <c r="A2878" s="7" t="s">
        <v>16</v>
      </c>
      <c r="B2878" s="7" t="s">
        <v>229</v>
      </c>
      <c r="C2878" s="7" t="s">
        <v>24</v>
      </c>
      <c r="D2878" s="4">
        <v>15126437000739</v>
      </c>
      <c r="E2878" s="8" t="s">
        <v>881</v>
      </c>
      <c r="F2878" s="8" t="s">
        <v>62</v>
      </c>
      <c r="G2878" s="8" t="s">
        <v>63</v>
      </c>
      <c r="H2878" s="8" t="s">
        <v>215</v>
      </c>
      <c r="I2878" s="3">
        <v>2</v>
      </c>
      <c r="J2878" s="8" t="s">
        <v>169</v>
      </c>
      <c r="K2878" s="8" t="s">
        <v>170</v>
      </c>
      <c r="L2878" s="8" t="s">
        <v>557</v>
      </c>
      <c r="M2878" s="1" t="s">
        <v>211</v>
      </c>
      <c r="N2878" s="8" t="s">
        <v>212</v>
      </c>
      <c r="O2878" s="6">
        <v>0</v>
      </c>
      <c r="P2878" s="6">
        <v>500</v>
      </c>
      <c r="Q2878" s="6">
        <v>0</v>
      </c>
      <c r="R2878" s="6">
        <v>0</v>
      </c>
      <c r="S2878" s="6">
        <v>0</v>
      </c>
    </row>
    <row r="2879" spans="1:19" ht="15" hidden="1" x14ac:dyDescent="0.25">
      <c r="A2879" s="7" t="s">
        <v>16</v>
      </c>
      <c r="B2879" s="7" t="s">
        <v>229</v>
      </c>
      <c r="C2879" s="7" t="s">
        <v>24</v>
      </c>
      <c r="D2879" s="4">
        <v>29435005009851</v>
      </c>
      <c r="E2879" s="8" t="s">
        <v>913</v>
      </c>
      <c r="F2879" s="8" t="s">
        <v>62</v>
      </c>
      <c r="G2879" s="8" t="s">
        <v>63</v>
      </c>
      <c r="H2879" s="8" t="s">
        <v>215</v>
      </c>
      <c r="I2879" s="3">
        <v>2</v>
      </c>
      <c r="J2879" s="8" t="s">
        <v>199</v>
      </c>
      <c r="K2879" s="8" t="s">
        <v>200</v>
      </c>
      <c r="L2879" s="8" t="s">
        <v>556</v>
      </c>
      <c r="M2879" s="1" t="s">
        <v>211</v>
      </c>
      <c r="N2879" s="8" t="s">
        <v>212</v>
      </c>
      <c r="O2879" s="6">
        <v>0</v>
      </c>
      <c r="P2879" s="6">
        <v>0</v>
      </c>
      <c r="Q2879" s="6">
        <v>0</v>
      </c>
      <c r="R2879" s="6">
        <v>0</v>
      </c>
      <c r="S2879" s="6">
        <v>175</v>
      </c>
    </row>
    <row r="2880" spans="1:19" ht="15" hidden="1" x14ac:dyDescent="0.25">
      <c r="A2880" s="7" t="s">
        <v>16</v>
      </c>
      <c r="B2880" s="7" t="s">
        <v>229</v>
      </c>
      <c r="C2880" s="7" t="s">
        <v>24</v>
      </c>
      <c r="D2880" s="4">
        <v>29435005009851</v>
      </c>
      <c r="E2880" s="8" t="s">
        <v>913</v>
      </c>
      <c r="F2880" s="8" t="s">
        <v>62</v>
      </c>
      <c r="G2880" s="8" t="s">
        <v>63</v>
      </c>
      <c r="H2880" s="8" t="s">
        <v>215</v>
      </c>
      <c r="I2880" s="3">
        <v>2</v>
      </c>
      <c r="J2880" s="8" t="s">
        <v>169</v>
      </c>
      <c r="K2880" s="8" t="s">
        <v>170</v>
      </c>
      <c r="L2880" s="8" t="s">
        <v>557</v>
      </c>
      <c r="M2880" s="1" t="s">
        <v>211</v>
      </c>
      <c r="N2880" s="8" t="s">
        <v>212</v>
      </c>
      <c r="O2880" s="6">
        <v>0</v>
      </c>
      <c r="P2880" s="6">
        <v>25</v>
      </c>
      <c r="Q2880" s="6">
        <v>0</v>
      </c>
      <c r="R2880" s="6">
        <v>0</v>
      </c>
      <c r="S2880" s="6">
        <v>175</v>
      </c>
    </row>
    <row r="2881" spans="1:19" ht="15" hidden="1" x14ac:dyDescent="0.25">
      <c r="A2881" s="7" t="s">
        <v>16</v>
      </c>
      <c r="B2881" s="7" t="s">
        <v>229</v>
      </c>
      <c r="C2881" s="7" t="s">
        <v>24</v>
      </c>
      <c r="D2881" s="4">
        <v>820737000150</v>
      </c>
      <c r="E2881" s="8" t="s">
        <v>757</v>
      </c>
      <c r="F2881" s="8" t="s">
        <v>62</v>
      </c>
      <c r="G2881" s="8" t="s">
        <v>63</v>
      </c>
      <c r="H2881" s="8" t="s">
        <v>215</v>
      </c>
      <c r="I2881" s="3">
        <v>2</v>
      </c>
      <c r="J2881" s="8" t="s">
        <v>199</v>
      </c>
      <c r="K2881" s="8" t="s">
        <v>200</v>
      </c>
      <c r="L2881" s="8" t="s">
        <v>556</v>
      </c>
      <c r="M2881" s="1" t="s">
        <v>211</v>
      </c>
      <c r="N2881" s="8" t="s">
        <v>212</v>
      </c>
      <c r="O2881" s="6">
        <v>0</v>
      </c>
      <c r="P2881" s="6">
        <v>0</v>
      </c>
      <c r="Q2881" s="6">
        <v>0</v>
      </c>
      <c r="R2881" s="6">
        <v>0</v>
      </c>
      <c r="S2881" s="6">
        <v>0</v>
      </c>
    </row>
    <row r="2882" spans="1:19" ht="15" hidden="1" x14ac:dyDescent="0.25">
      <c r="A2882" s="7" t="s">
        <v>16</v>
      </c>
      <c r="B2882" s="7" t="s">
        <v>229</v>
      </c>
      <c r="C2882" s="7" t="s">
        <v>24</v>
      </c>
      <c r="D2882" s="4">
        <v>820737000150</v>
      </c>
      <c r="E2882" s="8" t="s">
        <v>757</v>
      </c>
      <c r="F2882" s="8" t="s">
        <v>62</v>
      </c>
      <c r="G2882" s="8" t="s">
        <v>63</v>
      </c>
      <c r="H2882" s="8" t="s">
        <v>215</v>
      </c>
      <c r="I2882" s="3">
        <v>2</v>
      </c>
      <c r="J2882" s="8" t="s">
        <v>169</v>
      </c>
      <c r="K2882" s="8" t="s">
        <v>170</v>
      </c>
      <c r="L2882" s="8" t="s">
        <v>557</v>
      </c>
      <c r="M2882" s="1" t="s">
        <v>211</v>
      </c>
      <c r="N2882" s="8" t="s">
        <v>212</v>
      </c>
      <c r="O2882" s="6">
        <v>0</v>
      </c>
      <c r="P2882" s="6">
        <v>30</v>
      </c>
      <c r="Q2882" s="6">
        <v>9</v>
      </c>
      <c r="R2882" s="6">
        <v>0</v>
      </c>
      <c r="S2882" s="6">
        <v>0</v>
      </c>
    </row>
    <row r="2883" spans="1:19" ht="15" hidden="1" x14ac:dyDescent="0.25">
      <c r="A2883" s="7" t="s">
        <v>16</v>
      </c>
      <c r="B2883" s="7" t="s">
        <v>229</v>
      </c>
      <c r="C2883" s="7" t="s">
        <v>24</v>
      </c>
      <c r="D2883" s="4">
        <v>88645403001372</v>
      </c>
      <c r="E2883" s="8" t="s">
        <v>1025</v>
      </c>
      <c r="F2883" s="8" t="s">
        <v>66</v>
      </c>
      <c r="G2883" s="8" t="s">
        <v>67</v>
      </c>
      <c r="H2883" s="8" t="s">
        <v>215</v>
      </c>
      <c r="I2883" s="3">
        <v>2</v>
      </c>
      <c r="J2883" s="8" t="s">
        <v>175</v>
      </c>
      <c r="K2883" s="8" t="s">
        <v>176</v>
      </c>
      <c r="L2883" s="8" t="s">
        <v>556</v>
      </c>
      <c r="M2883" s="1" t="s">
        <v>205</v>
      </c>
      <c r="N2883" s="8" t="s">
        <v>206</v>
      </c>
      <c r="O2883" s="6">
        <v>0</v>
      </c>
      <c r="P2883" s="6">
        <v>0</v>
      </c>
      <c r="Q2883" s="6">
        <v>0</v>
      </c>
      <c r="R2883" s="6">
        <v>32</v>
      </c>
      <c r="S2883" s="6">
        <v>0</v>
      </c>
    </row>
    <row r="2884" spans="1:19" ht="15" hidden="1" x14ac:dyDescent="0.25">
      <c r="A2884" s="7" t="s">
        <v>16</v>
      </c>
      <c r="B2884" s="7" t="s">
        <v>229</v>
      </c>
      <c r="C2884" s="7" t="s">
        <v>24</v>
      </c>
      <c r="D2884" s="4">
        <v>88645403001372</v>
      </c>
      <c r="E2884" s="8" t="s">
        <v>1025</v>
      </c>
      <c r="F2884" s="8" t="s">
        <v>66</v>
      </c>
      <c r="G2884" s="8" t="s">
        <v>67</v>
      </c>
      <c r="H2884" s="8" t="s">
        <v>215</v>
      </c>
      <c r="I2884" s="3">
        <v>2</v>
      </c>
      <c r="J2884" s="8" t="s">
        <v>144</v>
      </c>
      <c r="K2884" s="8" t="s">
        <v>145</v>
      </c>
      <c r="L2884" s="8" t="s">
        <v>557</v>
      </c>
      <c r="M2884" s="1" t="s">
        <v>205</v>
      </c>
      <c r="N2884" s="8" t="s">
        <v>206</v>
      </c>
      <c r="O2884" s="6">
        <v>0</v>
      </c>
      <c r="P2884" s="6">
        <v>0</v>
      </c>
      <c r="Q2884" s="6">
        <v>0</v>
      </c>
      <c r="R2884" s="6">
        <v>0</v>
      </c>
      <c r="S2884" s="6">
        <v>0</v>
      </c>
    </row>
    <row r="2885" spans="1:19" ht="15" hidden="1" x14ac:dyDescent="0.25">
      <c r="A2885" s="7" t="s">
        <v>16</v>
      </c>
      <c r="B2885" s="7" t="s">
        <v>229</v>
      </c>
      <c r="C2885" s="7" t="s">
        <v>24</v>
      </c>
      <c r="D2885" s="4">
        <v>87827689002405</v>
      </c>
      <c r="E2885" s="8" t="s">
        <v>1021</v>
      </c>
      <c r="F2885" s="8" t="s">
        <v>66</v>
      </c>
      <c r="G2885" s="8" t="s">
        <v>67</v>
      </c>
      <c r="H2885" s="8" t="s">
        <v>215</v>
      </c>
      <c r="I2885" s="3">
        <v>2</v>
      </c>
      <c r="J2885" s="8" t="s">
        <v>175</v>
      </c>
      <c r="K2885" s="8" t="s">
        <v>176</v>
      </c>
      <c r="L2885" s="8" t="s">
        <v>556</v>
      </c>
      <c r="M2885" s="1" t="s">
        <v>205</v>
      </c>
      <c r="N2885" s="8" t="s">
        <v>206</v>
      </c>
      <c r="O2885" s="6">
        <v>0</v>
      </c>
      <c r="P2885" s="6">
        <v>0</v>
      </c>
      <c r="Q2885" s="6">
        <v>0</v>
      </c>
      <c r="R2885" s="6">
        <v>186</v>
      </c>
      <c r="S2885" s="6">
        <v>0</v>
      </c>
    </row>
    <row r="2886" spans="1:19" ht="15" hidden="1" x14ac:dyDescent="0.25">
      <c r="A2886" s="7" t="s">
        <v>16</v>
      </c>
      <c r="B2886" s="7" t="s">
        <v>229</v>
      </c>
      <c r="C2886" s="7" t="s">
        <v>24</v>
      </c>
      <c r="D2886" s="4">
        <v>87827689002405</v>
      </c>
      <c r="E2886" s="8" t="s">
        <v>1021</v>
      </c>
      <c r="F2886" s="8" t="s">
        <v>66</v>
      </c>
      <c r="G2886" s="8" t="s">
        <v>67</v>
      </c>
      <c r="H2886" s="8" t="s">
        <v>215</v>
      </c>
      <c r="I2886" s="3">
        <v>2</v>
      </c>
      <c r="J2886" s="8" t="s">
        <v>144</v>
      </c>
      <c r="K2886" s="8" t="s">
        <v>145</v>
      </c>
      <c r="L2886" s="8" t="s">
        <v>557</v>
      </c>
      <c r="M2886" s="1" t="s">
        <v>205</v>
      </c>
      <c r="N2886" s="8" t="s">
        <v>206</v>
      </c>
      <c r="O2886" s="6">
        <v>0</v>
      </c>
      <c r="P2886" s="6">
        <v>0</v>
      </c>
      <c r="Q2886" s="6">
        <v>0</v>
      </c>
      <c r="R2886" s="6">
        <v>0</v>
      </c>
      <c r="S2886" s="6">
        <v>0</v>
      </c>
    </row>
    <row r="2887" spans="1:19" ht="15" x14ac:dyDescent="0.25">
      <c r="A2887" s="7" t="s">
        <v>16</v>
      </c>
      <c r="B2887" s="7" t="s">
        <v>229</v>
      </c>
      <c r="C2887" s="7" t="s">
        <v>24</v>
      </c>
      <c r="D2887" s="4">
        <v>87638334000505</v>
      </c>
      <c r="E2887" s="8" t="s">
        <v>1020</v>
      </c>
      <c r="F2887" s="8" t="s">
        <v>129</v>
      </c>
      <c r="G2887" s="8" t="s">
        <v>67</v>
      </c>
      <c r="H2887" s="8" t="s">
        <v>215</v>
      </c>
      <c r="I2887" s="3">
        <v>2</v>
      </c>
      <c r="J2887" s="8" t="s">
        <v>175</v>
      </c>
      <c r="K2887" s="8" t="s">
        <v>176</v>
      </c>
      <c r="L2887" s="8" t="s">
        <v>556</v>
      </c>
      <c r="M2887" s="1" t="s">
        <v>205</v>
      </c>
      <c r="N2887" s="8" t="s">
        <v>206</v>
      </c>
      <c r="O2887" s="6">
        <v>0</v>
      </c>
      <c r="P2887" s="6">
        <v>0</v>
      </c>
      <c r="Q2887" s="6">
        <v>0</v>
      </c>
      <c r="R2887" s="6">
        <v>0</v>
      </c>
      <c r="S2887" s="6">
        <v>10</v>
      </c>
    </row>
    <row r="2888" spans="1:19" ht="15" hidden="1" x14ac:dyDescent="0.25">
      <c r="A2888" s="7" t="s">
        <v>16</v>
      </c>
      <c r="B2888" s="7" t="s">
        <v>229</v>
      </c>
      <c r="C2888" s="7" t="s">
        <v>24</v>
      </c>
      <c r="D2888" s="4">
        <v>87638334000505</v>
      </c>
      <c r="E2888" s="8" t="s">
        <v>1020</v>
      </c>
      <c r="F2888" s="8" t="s">
        <v>129</v>
      </c>
      <c r="G2888" s="8" t="s">
        <v>67</v>
      </c>
      <c r="H2888" s="8" t="s">
        <v>215</v>
      </c>
      <c r="I2888" s="3">
        <v>2</v>
      </c>
      <c r="J2888" s="8" t="s">
        <v>144</v>
      </c>
      <c r="K2888" s="8" t="s">
        <v>145</v>
      </c>
      <c r="L2888" s="8" t="s">
        <v>557</v>
      </c>
      <c r="M2888" s="1" t="s">
        <v>205</v>
      </c>
      <c r="N2888" s="8" t="s">
        <v>206</v>
      </c>
      <c r="O2888" s="6">
        <v>0</v>
      </c>
      <c r="P2888" s="6">
        <v>0</v>
      </c>
      <c r="Q2888" s="6">
        <v>0</v>
      </c>
      <c r="R2888" s="6">
        <v>0</v>
      </c>
      <c r="S2888" s="6">
        <v>10</v>
      </c>
    </row>
    <row r="2889" spans="1:19" ht="15" hidden="1" x14ac:dyDescent="0.25">
      <c r="A2889" s="7" t="s">
        <v>16</v>
      </c>
      <c r="B2889" s="7" t="s">
        <v>229</v>
      </c>
      <c r="C2889" s="7" t="s">
        <v>24</v>
      </c>
      <c r="D2889" s="4">
        <v>92404789000164</v>
      </c>
      <c r="E2889" s="8" t="s">
        <v>1028</v>
      </c>
      <c r="F2889" s="8" t="s">
        <v>106</v>
      </c>
      <c r="G2889" s="8" t="s">
        <v>67</v>
      </c>
      <c r="H2889" s="8" t="s">
        <v>215</v>
      </c>
      <c r="I2889" s="3">
        <v>2</v>
      </c>
      <c r="J2889" s="8" t="s">
        <v>175</v>
      </c>
      <c r="K2889" s="8" t="s">
        <v>176</v>
      </c>
      <c r="L2889" s="8" t="s">
        <v>556</v>
      </c>
      <c r="M2889" s="1" t="s">
        <v>205</v>
      </c>
      <c r="N2889" s="8" t="s">
        <v>206</v>
      </c>
      <c r="O2889" s="6">
        <v>0</v>
      </c>
      <c r="P2889" s="6">
        <v>0</v>
      </c>
      <c r="Q2889" s="6">
        <v>0</v>
      </c>
      <c r="R2889" s="6">
        <v>16</v>
      </c>
      <c r="S2889" s="6">
        <v>0</v>
      </c>
    </row>
    <row r="2890" spans="1:19" ht="15" hidden="1" x14ac:dyDescent="0.25">
      <c r="A2890" s="7" t="s">
        <v>16</v>
      </c>
      <c r="B2890" s="7" t="s">
        <v>229</v>
      </c>
      <c r="C2890" s="7" t="s">
        <v>24</v>
      </c>
      <c r="D2890" s="4">
        <v>92404789000164</v>
      </c>
      <c r="E2890" s="8" t="s">
        <v>1028</v>
      </c>
      <c r="F2890" s="8" t="s">
        <v>106</v>
      </c>
      <c r="G2890" s="8" t="s">
        <v>67</v>
      </c>
      <c r="H2890" s="8" t="s">
        <v>215</v>
      </c>
      <c r="I2890" s="3">
        <v>2</v>
      </c>
      <c r="J2890" s="8" t="s">
        <v>144</v>
      </c>
      <c r="K2890" s="8" t="s">
        <v>145</v>
      </c>
      <c r="L2890" s="8" t="s">
        <v>557</v>
      </c>
      <c r="M2890" s="1" t="s">
        <v>205</v>
      </c>
      <c r="N2890" s="8" t="s">
        <v>206</v>
      </c>
      <c r="O2890" s="6">
        <v>0</v>
      </c>
      <c r="P2890" s="6">
        <v>0</v>
      </c>
      <c r="Q2890" s="6">
        <v>0</v>
      </c>
      <c r="R2890" s="6">
        <v>0</v>
      </c>
      <c r="S2890" s="6">
        <v>0</v>
      </c>
    </row>
    <row r="2891" spans="1:19" ht="15" x14ac:dyDescent="0.25">
      <c r="A2891" s="7" t="s">
        <v>16</v>
      </c>
      <c r="B2891" s="7" t="s">
        <v>229</v>
      </c>
      <c r="C2891" s="7" t="s">
        <v>24</v>
      </c>
      <c r="D2891" s="4">
        <v>87607149000626</v>
      </c>
      <c r="E2891" s="8" t="s">
        <v>1019</v>
      </c>
      <c r="F2891" s="8" t="s">
        <v>96</v>
      </c>
      <c r="G2891" s="8" t="s">
        <v>67</v>
      </c>
      <c r="H2891" s="8" t="s">
        <v>215</v>
      </c>
      <c r="I2891" s="3">
        <v>2</v>
      </c>
      <c r="J2891" s="8" t="s">
        <v>175</v>
      </c>
      <c r="K2891" s="8" t="s">
        <v>176</v>
      </c>
      <c r="L2891" s="8" t="s">
        <v>556</v>
      </c>
      <c r="M2891" s="1" t="s">
        <v>205</v>
      </c>
      <c r="N2891" s="8" t="s">
        <v>206</v>
      </c>
      <c r="O2891" s="6">
        <v>0</v>
      </c>
      <c r="P2891" s="6">
        <v>0</v>
      </c>
      <c r="Q2891" s="6">
        <v>0</v>
      </c>
      <c r="R2891" s="6">
        <v>0</v>
      </c>
      <c r="S2891" s="6">
        <v>145</v>
      </c>
    </row>
    <row r="2892" spans="1:19" ht="15" hidden="1" x14ac:dyDescent="0.25">
      <c r="A2892" s="7" t="s">
        <v>16</v>
      </c>
      <c r="B2892" s="7" t="s">
        <v>229</v>
      </c>
      <c r="C2892" s="7" t="s">
        <v>24</v>
      </c>
      <c r="D2892" s="4">
        <v>87607149000626</v>
      </c>
      <c r="E2892" s="8" t="s">
        <v>1019</v>
      </c>
      <c r="F2892" s="8" t="s">
        <v>96</v>
      </c>
      <c r="G2892" s="8" t="s">
        <v>67</v>
      </c>
      <c r="H2892" s="8" t="s">
        <v>215</v>
      </c>
      <c r="I2892" s="3">
        <v>2</v>
      </c>
      <c r="J2892" s="8" t="s">
        <v>144</v>
      </c>
      <c r="K2892" s="8" t="s">
        <v>145</v>
      </c>
      <c r="L2892" s="8" t="s">
        <v>557</v>
      </c>
      <c r="M2892" s="1" t="s">
        <v>205</v>
      </c>
      <c r="N2892" s="8" t="s">
        <v>206</v>
      </c>
      <c r="O2892" s="6">
        <v>0</v>
      </c>
      <c r="P2892" s="6">
        <v>0</v>
      </c>
      <c r="Q2892" s="6">
        <v>0</v>
      </c>
      <c r="R2892" s="6">
        <v>0</v>
      </c>
      <c r="S2892" s="6">
        <v>145</v>
      </c>
    </row>
    <row r="2893" spans="1:19" ht="15" hidden="1" x14ac:dyDescent="0.25">
      <c r="A2893" s="7" t="s">
        <v>16</v>
      </c>
      <c r="B2893" s="7" t="s">
        <v>229</v>
      </c>
      <c r="C2893" s="7" t="s">
        <v>24</v>
      </c>
      <c r="D2893" s="4">
        <v>92685833000151</v>
      </c>
      <c r="E2893" s="8" t="s">
        <v>1029</v>
      </c>
      <c r="F2893" s="8" t="s">
        <v>83</v>
      </c>
      <c r="G2893" s="8" t="s">
        <v>67</v>
      </c>
      <c r="H2893" s="8" t="s">
        <v>215</v>
      </c>
      <c r="I2893" s="3">
        <v>2</v>
      </c>
      <c r="J2893" s="8" t="s">
        <v>175</v>
      </c>
      <c r="K2893" s="8" t="s">
        <v>176</v>
      </c>
      <c r="L2893" s="8" t="s">
        <v>556</v>
      </c>
      <c r="M2893" s="1" t="s">
        <v>205</v>
      </c>
      <c r="N2893" s="8" t="s">
        <v>206</v>
      </c>
      <c r="O2893" s="6">
        <v>0</v>
      </c>
      <c r="P2893" s="6">
        <v>0</v>
      </c>
      <c r="Q2893" s="6">
        <v>0</v>
      </c>
      <c r="R2893" s="6">
        <v>26</v>
      </c>
      <c r="S2893" s="6">
        <v>0</v>
      </c>
    </row>
    <row r="2894" spans="1:19" ht="15" hidden="1" x14ac:dyDescent="0.25">
      <c r="A2894" s="7" t="s">
        <v>16</v>
      </c>
      <c r="B2894" s="7" t="s">
        <v>229</v>
      </c>
      <c r="C2894" s="7" t="s">
        <v>24</v>
      </c>
      <c r="D2894" s="4">
        <v>92685833000151</v>
      </c>
      <c r="E2894" s="8" t="s">
        <v>1029</v>
      </c>
      <c r="F2894" s="8" t="s">
        <v>83</v>
      </c>
      <c r="G2894" s="8" t="s">
        <v>67</v>
      </c>
      <c r="H2894" s="8" t="s">
        <v>215</v>
      </c>
      <c r="I2894" s="3">
        <v>2</v>
      </c>
      <c r="J2894" s="8" t="s">
        <v>144</v>
      </c>
      <c r="K2894" s="8" t="s">
        <v>145</v>
      </c>
      <c r="L2894" s="8" t="s">
        <v>557</v>
      </c>
      <c r="M2894" s="1" t="s">
        <v>205</v>
      </c>
      <c r="N2894" s="8" t="s">
        <v>206</v>
      </c>
      <c r="O2894" s="6">
        <v>0</v>
      </c>
      <c r="P2894" s="6">
        <v>6</v>
      </c>
      <c r="Q2894" s="6">
        <v>14</v>
      </c>
      <c r="R2894" s="6">
        <v>0</v>
      </c>
      <c r="S2894" s="6">
        <v>0</v>
      </c>
    </row>
    <row r="2895" spans="1:19" ht="15" hidden="1" x14ac:dyDescent="0.25">
      <c r="A2895" s="7" t="s">
        <v>16</v>
      </c>
      <c r="B2895" s="7" t="s">
        <v>229</v>
      </c>
      <c r="C2895" s="7" t="s">
        <v>24</v>
      </c>
      <c r="D2895" s="4">
        <v>92898550000198</v>
      </c>
      <c r="E2895" s="8" t="s">
        <v>1034</v>
      </c>
      <c r="F2895" s="8" t="s">
        <v>83</v>
      </c>
      <c r="G2895" s="8" t="s">
        <v>67</v>
      </c>
      <c r="H2895" s="8" t="s">
        <v>215</v>
      </c>
      <c r="I2895" s="3">
        <v>2</v>
      </c>
      <c r="J2895" s="8" t="s">
        <v>175</v>
      </c>
      <c r="K2895" s="8" t="s">
        <v>176</v>
      </c>
      <c r="L2895" s="8" t="s">
        <v>556</v>
      </c>
      <c r="M2895" s="1" t="s">
        <v>205</v>
      </c>
      <c r="N2895" s="8" t="s">
        <v>206</v>
      </c>
      <c r="O2895" s="6">
        <v>0</v>
      </c>
      <c r="P2895" s="6">
        <v>0</v>
      </c>
      <c r="Q2895" s="6">
        <v>0</v>
      </c>
      <c r="R2895" s="6">
        <v>0</v>
      </c>
      <c r="S2895" s="6">
        <v>0</v>
      </c>
    </row>
    <row r="2896" spans="1:19" ht="15" hidden="1" x14ac:dyDescent="0.25">
      <c r="A2896" s="7" t="s">
        <v>16</v>
      </c>
      <c r="B2896" s="7" t="s">
        <v>229</v>
      </c>
      <c r="C2896" s="7" t="s">
        <v>24</v>
      </c>
      <c r="D2896" s="4">
        <v>92898550000198</v>
      </c>
      <c r="E2896" s="8" t="s">
        <v>1034</v>
      </c>
      <c r="F2896" s="8" t="s">
        <v>83</v>
      </c>
      <c r="G2896" s="8" t="s">
        <v>67</v>
      </c>
      <c r="H2896" s="8" t="s">
        <v>215</v>
      </c>
      <c r="I2896" s="3">
        <v>2</v>
      </c>
      <c r="J2896" s="8" t="s">
        <v>144</v>
      </c>
      <c r="K2896" s="8" t="s">
        <v>145</v>
      </c>
      <c r="L2896" s="8" t="s">
        <v>557</v>
      </c>
      <c r="M2896" s="1" t="s">
        <v>205</v>
      </c>
      <c r="N2896" s="8" t="s">
        <v>206</v>
      </c>
      <c r="O2896" s="6">
        <v>0</v>
      </c>
      <c r="P2896" s="6">
        <v>2</v>
      </c>
      <c r="Q2896" s="6">
        <v>1</v>
      </c>
      <c r="R2896" s="6">
        <v>0</v>
      </c>
      <c r="S2896" s="6">
        <v>0</v>
      </c>
    </row>
    <row r="2897" spans="1:19" ht="15" hidden="1" x14ac:dyDescent="0.25">
      <c r="A2897" s="7" t="s">
        <v>16</v>
      </c>
      <c r="B2897" s="7" t="s">
        <v>229</v>
      </c>
      <c r="C2897" s="7" t="s">
        <v>24</v>
      </c>
      <c r="D2897" s="4">
        <v>92787118000391</v>
      </c>
      <c r="E2897" s="8" t="s">
        <v>1032</v>
      </c>
      <c r="F2897" s="8" t="s">
        <v>83</v>
      </c>
      <c r="G2897" s="8" t="s">
        <v>67</v>
      </c>
      <c r="H2897" s="8" t="s">
        <v>215</v>
      </c>
      <c r="I2897" s="3">
        <v>2</v>
      </c>
      <c r="J2897" s="8" t="s">
        <v>175</v>
      </c>
      <c r="K2897" s="8" t="s">
        <v>176</v>
      </c>
      <c r="L2897" s="8" t="s">
        <v>556</v>
      </c>
      <c r="M2897" s="1" t="s">
        <v>205</v>
      </c>
      <c r="N2897" s="8" t="s">
        <v>206</v>
      </c>
      <c r="O2897" s="6">
        <v>0</v>
      </c>
      <c r="P2897" s="6">
        <v>0</v>
      </c>
      <c r="Q2897" s="6">
        <v>0</v>
      </c>
      <c r="R2897" s="6">
        <v>0</v>
      </c>
      <c r="S2897" s="6">
        <v>0</v>
      </c>
    </row>
    <row r="2898" spans="1:19" ht="15" hidden="1" x14ac:dyDescent="0.25">
      <c r="A2898" s="7" t="s">
        <v>16</v>
      </c>
      <c r="B2898" s="7" t="s">
        <v>229</v>
      </c>
      <c r="C2898" s="7" t="s">
        <v>24</v>
      </c>
      <c r="D2898" s="4">
        <v>92787118000391</v>
      </c>
      <c r="E2898" s="8" t="s">
        <v>1032</v>
      </c>
      <c r="F2898" s="8" t="s">
        <v>83</v>
      </c>
      <c r="G2898" s="8" t="s">
        <v>67</v>
      </c>
      <c r="H2898" s="8" t="s">
        <v>215</v>
      </c>
      <c r="I2898" s="3">
        <v>2</v>
      </c>
      <c r="J2898" s="8" t="s">
        <v>144</v>
      </c>
      <c r="K2898" s="8" t="s">
        <v>145</v>
      </c>
      <c r="L2898" s="8" t="s">
        <v>557</v>
      </c>
      <c r="M2898" s="1" t="s">
        <v>205</v>
      </c>
      <c r="N2898" s="8" t="s">
        <v>206</v>
      </c>
      <c r="O2898" s="6">
        <v>0</v>
      </c>
      <c r="P2898" s="6">
        <v>0</v>
      </c>
      <c r="Q2898" s="6">
        <v>1</v>
      </c>
      <c r="R2898" s="6">
        <v>0</v>
      </c>
      <c r="S2898" s="6">
        <v>0</v>
      </c>
    </row>
    <row r="2899" spans="1:19" ht="15" x14ac:dyDescent="0.25">
      <c r="A2899" s="7" t="s">
        <v>16</v>
      </c>
      <c r="B2899" s="7" t="s">
        <v>229</v>
      </c>
      <c r="C2899" s="7" t="s">
        <v>24</v>
      </c>
      <c r="D2899" s="4">
        <v>87317764001084</v>
      </c>
      <c r="E2899" s="8" t="s">
        <v>1015</v>
      </c>
      <c r="F2899" s="8" t="s">
        <v>83</v>
      </c>
      <c r="G2899" s="8" t="s">
        <v>67</v>
      </c>
      <c r="H2899" s="8" t="s">
        <v>215</v>
      </c>
      <c r="I2899" s="3">
        <v>2</v>
      </c>
      <c r="J2899" s="8" t="s">
        <v>175</v>
      </c>
      <c r="K2899" s="8" t="s">
        <v>176</v>
      </c>
      <c r="L2899" s="8" t="s">
        <v>556</v>
      </c>
      <c r="M2899" s="1" t="s">
        <v>205</v>
      </c>
      <c r="N2899" s="8" t="s">
        <v>206</v>
      </c>
      <c r="O2899" s="6">
        <v>0</v>
      </c>
      <c r="P2899" s="6">
        <v>0</v>
      </c>
      <c r="Q2899" s="6">
        <v>0</v>
      </c>
      <c r="R2899" s="6">
        <v>0</v>
      </c>
      <c r="S2899" s="6">
        <v>130</v>
      </c>
    </row>
    <row r="2900" spans="1:19" ht="15" hidden="1" x14ac:dyDescent="0.25">
      <c r="A2900" s="7" t="s">
        <v>16</v>
      </c>
      <c r="B2900" s="7" t="s">
        <v>229</v>
      </c>
      <c r="C2900" s="7" t="s">
        <v>24</v>
      </c>
      <c r="D2900" s="4">
        <v>87317764001084</v>
      </c>
      <c r="E2900" s="8" t="s">
        <v>1015</v>
      </c>
      <c r="F2900" s="8" t="s">
        <v>83</v>
      </c>
      <c r="G2900" s="8" t="s">
        <v>67</v>
      </c>
      <c r="H2900" s="8" t="s">
        <v>215</v>
      </c>
      <c r="I2900" s="3">
        <v>2</v>
      </c>
      <c r="J2900" s="8" t="s">
        <v>144</v>
      </c>
      <c r="K2900" s="8" t="s">
        <v>145</v>
      </c>
      <c r="L2900" s="8" t="s">
        <v>557</v>
      </c>
      <c r="M2900" s="1" t="s">
        <v>205</v>
      </c>
      <c r="N2900" s="8" t="s">
        <v>206</v>
      </c>
      <c r="O2900" s="6">
        <v>0</v>
      </c>
      <c r="P2900" s="6">
        <v>1</v>
      </c>
      <c r="Q2900" s="6">
        <v>0</v>
      </c>
      <c r="R2900" s="6">
        <v>0</v>
      </c>
      <c r="S2900" s="6">
        <v>130</v>
      </c>
    </row>
    <row r="2901" spans="1:19" ht="15" hidden="1" x14ac:dyDescent="0.25">
      <c r="A2901" s="7" t="s">
        <v>16</v>
      </c>
      <c r="B2901" s="7" t="s">
        <v>229</v>
      </c>
      <c r="C2901" s="7" t="s">
        <v>24</v>
      </c>
      <c r="D2901" s="4">
        <v>92741016000254</v>
      </c>
      <c r="E2901" s="8" t="s">
        <v>1030</v>
      </c>
      <c r="F2901" s="8" t="s">
        <v>83</v>
      </c>
      <c r="G2901" s="8" t="s">
        <v>67</v>
      </c>
      <c r="H2901" s="8" t="s">
        <v>215</v>
      </c>
      <c r="I2901" s="3">
        <v>2</v>
      </c>
      <c r="J2901" s="8" t="s">
        <v>175</v>
      </c>
      <c r="K2901" s="8" t="s">
        <v>176</v>
      </c>
      <c r="L2901" s="8" t="s">
        <v>556</v>
      </c>
      <c r="M2901" s="1" t="s">
        <v>205</v>
      </c>
      <c r="N2901" s="8" t="s">
        <v>206</v>
      </c>
      <c r="O2901" s="6">
        <v>0</v>
      </c>
      <c r="P2901" s="6">
        <v>0</v>
      </c>
      <c r="Q2901" s="6">
        <v>0</v>
      </c>
      <c r="R2901" s="6">
        <v>0</v>
      </c>
      <c r="S2901" s="6">
        <v>0</v>
      </c>
    </row>
    <row r="2902" spans="1:19" ht="15" hidden="1" x14ac:dyDescent="0.25">
      <c r="A2902" s="7" t="s">
        <v>16</v>
      </c>
      <c r="B2902" s="7" t="s">
        <v>229</v>
      </c>
      <c r="C2902" s="7" t="s">
        <v>24</v>
      </c>
      <c r="D2902" s="4">
        <v>92741016000254</v>
      </c>
      <c r="E2902" s="8" t="s">
        <v>1030</v>
      </c>
      <c r="F2902" s="8" t="s">
        <v>83</v>
      </c>
      <c r="G2902" s="8" t="s">
        <v>67</v>
      </c>
      <c r="H2902" s="8" t="s">
        <v>215</v>
      </c>
      <c r="I2902" s="3">
        <v>2</v>
      </c>
      <c r="J2902" s="8" t="s">
        <v>144</v>
      </c>
      <c r="K2902" s="8" t="s">
        <v>145</v>
      </c>
      <c r="L2902" s="8" t="s">
        <v>557</v>
      </c>
      <c r="M2902" s="1" t="s">
        <v>205</v>
      </c>
      <c r="N2902" s="8" t="s">
        <v>206</v>
      </c>
      <c r="O2902" s="6">
        <v>0</v>
      </c>
      <c r="P2902" s="6">
        <v>10</v>
      </c>
      <c r="Q2902" s="6">
        <v>0</v>
      </c>
      <c r="R2902" s="6">
        <v>0</v>
      </c>
      <c r="S2902" s="6">
        <v>0</v>
      </c>
    </row>
    <row r="2903" spans="1:19" ht="15" hidden="1" x14ac:dyDescent="0.25">
      <c r="A2903" s="7" t="s">
        <v>16</v>
      </c>
      <c r="B2903" s="7" t="s">
        <v>229</v>
      </c>
      <c r="C2903" s="7" t="s">
        <v>24</v>
      </c>
      <c r="D2903" s="4">
        <v>88625686002443</v>
      </c>
      <c r="E2903" s="8" t="s">
        <v>1023</v>
      </c>
      <c r="F2903" s="8" t="s">
        <v>83</v>
      </c>
      <c r="G2903" s="8" t="s">
        <v>67</v>
      </c>
      <c r="H2903" s="8" t="s">
        <v>215</v>
      </c>
      <c r="I2903" s="3">
        <v>2</v>
      </c>
      <c r="J2903" s="8" t="s">
        <v>175</v>
      </c>
      <c r="K2903" s="8" t="s">
        <v>176</v>
      </c>
      <c r="L2903" s="8" t="s">
        <v>556</v>
      </c>
      <c r="M2903" s="1" t="s">
        <v>205</v>
      </c>
      <c r="N2903" s="8" t="s">
        <v>206</v>
      </c>
      <c r="O2903" s="6">
        <v>0</v>
      </c>
      <c r="P2903" s="6">
        <v>0</v>
      </c>
      <c r="Q2903" s="6">
        <v>0</v>
      </c>
      <c r="R2903" s="6">
        <v>0</v>
      </c>
      <c r="S2903" s="6">
        <v>0</v>
      </c>
    </row>
    <row r="2904" spans="1:19" ht="15" hidden="1" x14ac:dyDescent="0.25">
      <c r="A2904" s="7" t="s">
        <v>16</v>
      </c>
      <c r="B2904" s="7" t="s">
        <v>229</v>
      </c>
      <c r="C2904" s="7" t="s">
        <v>24</v>
      </c>
      <c r="D2904" s="4">
        <v>88625686002443</v>
      </c>
      <c r="E2904" s="8" t="s">
        <v>1023</v>
      </c>
      <c r="F2904" s="8" t="s">
        <v>83</v>
      </c>
      <c r="G2904" s="8" t="s">
        <v>67</v>
      </c>
      <c r="H2904" s="8" t="s">
        <v>215</v>
      </c>
      <c r="I2904" s="3">
        <v>2</v>
      </c>
      <c r="J2904" s="8" t="s">
        <v>144</v>
      </c>
      <c r="K2904" s="8" t="s">
        <v>145</v>
      </c>
      <c r="L2904" s="8" t="s">
        <v>557</v>
      </c>
      <c r="M2904" s="1" t="s">
        <v>205</v>
      </c>
      <c r="N2904" s="8" t="s">
        <v>206</v>
      </c>
      <c r="O2904" s="6">
        <v>0</v>
      </c>
      <c r="P2904" s="6">
        <v>17</v>
      </c>
      <c r="Q2904" s="6">
        <v>0</v>
      </c>
      <c r="R2904" s="6">
        <v>0</v>
      </c>
      <c r="S2904" s="6">
        <v>0</v>
      </c>
    </row>
    <row r="2905" spans="1:19" ht="15" hidden="1" x14ac:dyDescent="0.25">
      <c r="A2905" s="7" t="s">
        <v>16</v>
      </c>
      <c r="B2905" s="7" t="s">
        <v>229</v>
      </c>
      <c r="C2905" s="7" t="s">
        <v>24</v>
      </c>
      <c r="D2905" s="4">
        <v>88630413000796</v>
      </c>
      <c r="E2905" s="8" t="s">
        <v>1024</v>
      </c>
      <c r="F2905" s="8" t="s">
        <v>83</v>
      </c>
      <c r="G2905" s="8" t="s">
        <v>67</v>
      </c>
      <c r="H2905" s="8" t="s">
        <v>215</v>
      </c>
      <c r="I2905" s="3">
        <v>2</v>
      </c>
      <c r="J2905" s="8" t="s">
        <v>175</v>
      </c>
      <c r="K2905" s="8" t="s">
        <v>176</v>
      </c>
      <c r="L2905" s="8" t="s">
        <v>556</v>
      </c>
      <c r="M2905" s="1" t="s">
        <v>205</v>
      </c>
      <c r="N2905" s="8" t="s">
        <v>206</v>
      </c>
      <c r="O2905" s="6">
        <v>0</v>
      </c>
      <c r="P2905" s="6">
        <v>0</v>
      </c>
      <c r="Q2905" s="6">
        <v>0</v>
      </c>
      <c r="R2905" s="6">
        <v>0</v>
      </c>
      <c r="S2905" s="6">
        <v>0</v>
      </c>
    </row>
    <row r="2906" spans="1:19" ht="15" hidden="1" x14ac:dyDescent="0.25">
      <c r="A2906" s="7" t="s">
        <v>16</v>
      </c>
      <c r="B2906" s="7" t="s">
        <v>229</v>
      </c>
      <c r="C2906" s="7" t="s">
        <v>24</v>
      </c>
      <c r="D2906" s="4">
        <v>88630413000796</v>
      </c>
      <c r="E2906" s="8" t="s">
        <v>1024</v>
      </c>
      <c r="F2906" s="8" t="s">
        <v>83</v>
      </c>
      <c r="G2906" s="8" t="s">
        <v>67</v>
      </c>
      <c r="H2906" s="8" t="s">
        <v>215</v>
      </c>
      <c r="I2906" s="3">
        <v>2</v>
      </c>
      <c r="J2906" s="8" t="s">
        <v>144</v>
      </c>
      <c r="K2906" s="8" t="s">
        <v>145</v>
      </c>
      <c r="L2906" s="8" t="s">
        <v>557</v>
      </c>
      <c r="M2906" s="1" t="s">
        <v>205</v>
      </c>
      <c r="N2906" s="8" t="s">
        <v>206</v>
      </c>
      <c r="O2906" s="6">
        <v>0</v>
      </c>
      <c r="P2906" s="6">
        <v>14</v>
      </c>
      <c r="Q2906" s="6">
        <v>0</v>
      </c>
      <c r="R2906" s="6">
        <v>0</v>
      </c>
      <c r="S2906" s="6">
        <v>0</v>
      </c>
    </row>
    <row r="2907" spans="1:19" ht="15" x14ac:dyDescent="0.25">
      <c r="A2907" s="7" t="s">
        <v>16</v>
      </c>
      <c r="B2907" s="7" t="s">
        <v>229</v>
      </c>
      <c r="C2907" s="7" t="s">
        <v>24</v>
      </c>
      <c r="D2907" s="4">
        <v>94831294000147</v>
      </c>
      <c r="E2907" s="8" t="s">
        <v>1036</v>
      </c>
      <c r="F2907" s="8" t="s">
        <v>83</v>
      </c>
      <c r="G2907" s="8" t="s">
        <v>67</v>
      </c>
      <c r="H2907" s="8" t="s">
        <v>215</v>
      </c>
      <c r="I2907" s="3">
        <v>2</v>
      </c>
      <c r="J2907" s="8" t="s">
        <v>175</v>
      </c>
      <c r="K2907" s="8" t="s">
        <v>176</v>
      </c>
      <c r="L2907" s="8" t="s">
        <v>556</v>
      </c>
      <c r="M2907" s="1" t="s">
        <v>205</v>
      </c>
      <c r="N2907" s="8" t="s">
        <v>206</v>
      </c>
      <c r="O2907" s="6">
        <v>0</v>
      </c>
      <c r="P2907" s="6">
        <v>0</v>
      </c>
      <c r="Q2907" s="6">
        <v>0</v>
      </c>
      <c r="R2907" s="6">
        <v>0</v>
      </c>
      <c r="S2907" s="6">
        <v>30</v>
      </c>
    </row>
    <row r="2908" spans="1:19" ht="15" hidden="1" x14ac:dyDescent="0.25">
      <c r="A2908" s="7" t="s">
        <v>16</v>
      </c>
      <c r="B2908" s="7" t="s">
        <v>229</v>
      </c>
      <c r="C2908" s="7" t="s">
        <v>24</v>
      </c>
      <c r="D2908" s="4">
        <v>94831294000147</v>
      </c>
      <c r="E2908" s="8" t="s">
        <v>1036</v>
      </c>
      <c r="F2908" s="8" t="s">
        <v>83</v>
      </c>
      <c r="G2908" s="8" t="s">
        <v>67</v>
      </c>
      <c r="H2908" s="8" t="s">
        <v>215</v>
      </c>
      <c r="I2908" s="3">
        <v>2</v>
      </c>
      <c r="J2908" s="8" t="s">
        <v>144</v>
      </c>
      <c r="K2908" s="8" t="s">
        <v>145</v>
      </c>
      <c r="L2908" s="8" t="s">
        <v>557</v>
      </c>
      <c r="M2908" s="1" t="s">
        <v>205</v>
      </c>
      <c r="N2908" s="8" t="s">
        <v>206</v>
      </c>
      <c r="O2908" s="6">
        <v>0</v>
      </c>
      <c r="P2908" s="6">
        <v>0</v>
      </c>
      <c r="Q2908" s="6">
        <v>0</v>
      </c>
      <c r="R2908" s="6">
        <v>0</v>
      </c>
      <c r="S2908" s="6">
        <v>30</v>
      </c>
    </row>
    <row r="2909" spans="1:19" ht="15" hidden="1" x14ac:dyDescent="0.25">
      <c r="A2909" s="7" t="s">
        <v>16</v>
      </c>
      <c r="B2909" s="7" t="s">
        <v>229</v>
      </c>
      <c r="C2909" s="7" t="s">
        <v>24</v>
      </c>
      <c r="D2909" s="4">
        <v>92815000000168</v>
      </c>
      <c r="E2909" s="8" t="s">
        <v>1033</v>
      </c>
      <c r="F2909" s="8" t="s">
        <v>83</v>
      </c>
      <c r="G2909" s="8" t="s">
        <v>67</v>
      </c>
      <c r="H2909" s="8" t="s">
        <v>215</v>
      </c>
      <c r="I2909" s="3">
        <v>2</v>
      </c>
      <c r="J2909" s="8" t="s">
        <v>175</v>
      </c>
      <c r="K2909" s="8" t="s">
        <v>176</v>
      </c>
      <c r="L2909" s="8" t="s">
        <v>556</v>
      </c>
      <c r="M2909" s="1" t="s">
        <v>205</v>
      </c>
      <c r="N2909" s="8" t="s">
        <v>206</v>
      </c>
      <c r="O2909" s="6">
        <v>0</v>
      </c>
      <c r="P2909" s="6">
        <v>0</v>
      </c>
      <c r="Q2909" s="6">
        <v>0</v>
      </c>
      <c r="R2909" s="6">
        <v>36</v>
      </c>
      <c r="S2909" s="6">
        <v>0</v>
      </c>
    </row>
    <row r="2910" spans="1:19" ht="15" hidden="1" x14ac:dyDescent="0.25">
      <c r="A2910" s="7" t="s">
        <v>16</v>
      </c>
      <c r="B2910" s="7" t="s">
        <v>229</v>
      </c>
      <c r="C2910" s="7" t="s">
        <v>24</v>
      </c>
      <c r="D2910" s="4">
        <v>92815000000168</v>
      </c>
      <c r="E2910" s="8" t="s">
        <v>1033</v>
      </c>
      <c r="F2910" s="8" t="s">
        <v>83</v>
      </c>
      <c r="G2910" s="8" t="s">
        <v>67</v>
      </c>
      <c r="H2910" s="8" t="s">
        <v>215</v>
      </c>
      <c r="I2910" s="3">
        <v>2</v>
      </c>
      <c r="J2910" s="8" t="s">
        <v>144</v>
      </c>
      <c r="K2910" s="8" t="s">
        <v>145</v>
      </c>
      <c r="L2910" s="8" t="s">
        <v>557</v>
      </c>
      <c r="M2910" s="1" t="s">
        <v>205</v>
      </c>
      <c r="N2910" s="8" t="s">
        <v>206</v>
      </c>
      <c r="O2910" s="6">
        <v>0</v>
      </c>
      <c r="P2910" s="6">
        <v>20</v>
      </c>
      <c r="Q2910" s="6">
        <v>93</v>
      </c>
      <c r="R2910" s="6">
        <v>0</v>
      </c>
      <c r="S2910" s="6">
        <v>0</v>
      </c>
    </row>
    <row r="2911" spans="1:19" ht="15" hidden="1" x14ac:dyDescent="0.25">
      <c r="A2911" s="7" t="s">
        <v>16</v>
      </c>
      <c r="B2911" s="7" t="s">
        <v>229</v>
      </c>
      <c r="C2911" s="7" t="s">
        <v>24</v>
      </c>
      <c r="D2911" s="4">
        <v>9087150000230</v>
      </c>
      <c r="E2911" s="8" t="s">
        <v>958</v>
      </c>
      <c r="F2911" s="8" t="s">
        <v>83</v>
      </c>
      <c r="G2911" s="8" t="s">
        <v>67</v>
      </c>
      <c r="H2911" s="8" t="s">
        <v>215</v>
      </c>
      <c r="I2911" s="3">
        <v>2</v>
      </c>
      <c r="J2911" s="8" t="s">
        <v>175</v>
      </c>
      <c r="K2911" s="8" t="s">
        <v>176</v>
      </c>
      <c r="L2911" s="8" t="s">
        <v>556</v>
      </c>
      <c r="M2911" s="1" t="s">
        <v>205</v>
      </c>
      <c r="N2911" s="8" t="s">
        <v>206</v>
      </c>
      <c r="O2911" s="6">
        <v>0</v>
      </c>
      <c r="P2911" s="6">
        <v>0</v>
      </c>
      <c r="Q2911" s="6">
        <v>0</v>
      </c>
      <c r="R2911" s="6">
        <v>8</v>
      </c>
      <c r="S2911" s="6">
        <v>0</v>
      </c>
    </row>
    <row r="2912" spans="1:19" ht="15" hidden="1" x14ac:dyDescent="0.25">
      <c r="A2912" s="7" t="s">
        <v>16</v>
      </c>
      <c r="B2912" s="7" t="s">
        <v>229</v>
      </c>
      <c r="C2912" s="7" t="s">
        <v>24</v>
      </c>
      <c r="D2912" s="4">
        <v>9087150000230</v>
      </c>
      <c r="E2912" s="8" t="s">
        <v>958</v>
      </c>
      <c r="F2912" s="8" t="s">
        <v>83</v>
      </c>
      <c r="G2912" s="8" t="s">
        <v>67</v>
      </c>
      <c r="H2912" s="8" t="s">
        <v>215</v>
      </c>
      <c r="I2912" s="3">
        <v>2</v>
      </c>
      <c r="J2912" s="8" t="s">
        <v>144</v>
      </c>
      <c r="K2912" s="8" t="s">
        <v>145</v>
      </c>
      <c r="L2912" s="8" t="s">
        <v>557</v>
      </c>
      <c r="M2912" s="1" t="s">
        <v>205</v>
      </c>
      <c r="N2912" s="8" t="s">
        <v>206</v>
      </c>
      <c r="O2912" s="6">
        <v>0</v>
      </c>
      <c r="P2912" s="6">
        <v>0</v>
      </c>
      <c r="Q2912" s="6">
        <v>0</v>
      </c>
      <c r="R2912" s="6">
        <v>0</v>
      </c>
      <c r="S2912" s="6">
        <v>0</v>
      </c>
    </row>
    <row r="2913" spans="1:19" ht="15" x14ac:dyDescent="0.25">
      <c r="A2913" s="7" t="s">
        <v>16</v>
      </c>
      <c r="B2913" s="7" t="s">
        <v>229</v>
      </c>
      <c r="C2913" s="7" t="s">
        <v>24</v>
      </c>
      <c r="D2913" s="4">
        <v>12508728000108</v>
      </c>
      <c r="E2913" s="8" t="s">
        <v>965</v>
      </c>
      <c r="F2913" s="8" t="s">
        <v>87</v>
      </c>
      <c r="G2913" s="8" t="s">
        <v>67</v>
      </c>
      <c r="H2913" s="8" t="s">
        <v>215</v>
      </c>
      <c r="I2913" s="3">
        <v>2</v>
      </c>
      <c r="J2913" s="8" t="s">
        <v>175</v>
      </c>
      <c r="K2913" s="8" t="s">
        <v>176</v>
      </c>
      <c r="L2913" s="8" t="s">
        <v>556</v>
      </c>
      <c r="M2913" s="1" t="s">
        <v>205</v>
      </c>
      <c r="N2913" s="8" t="s">
        <v>206</v>
      </c>
      <c r="O2913" s="6">
        <v>0</v>
      </c>
      <c r="P2913" s="6">
        <v>0</v>
      </c>
      <c r="Q2913" s="6">
        <v>0</v>
      </c>
      <c r="R2913" s="6">
        <v>0</v>
      </c>
      <c r="S2913" s="6">
        <v>20</v>
      </c>
    </row>
    <row r="2914" spans="1:19" ht="15" hidden="1" x14ac:dyDescent="0.25">
      <c r="A2914" s="7" t="s">
        <v>16</v>
      </c>
      <c r="B2914" s="7" t="s">
        <v>229</v>
      </c>
      <c r="C2914" s="7" t="s">
        <v>24</v>
      </c>
      <c r="D2914" s="4">
        <v>12508728000108</v>
      </c>
      <c r="E2914" s="8" t="s">
        <v>965</v>
      </c>
      <c r="F2914" s="8" t="s">
        <v>87</v>
      </c>
      <c r="G2914" s="8" t="s">
        <v>67</v>
      </c>
      <c r="H2914" s="8" t="s">
        <v>215</v>
      </c>
      <c r="I2914" s="3">
        <v>2</v>
      </c>
      <c r="J2914" s="8" t="s">
        <v>144</v>
      </c>
      <c r="K2914" s="8" t="s">
        <v>145</v>
      </c>
      <c r="L2914" s="8" t="s">
        <v>557</v>
      </c>
      <c r="M2914" s="1" t="s">
        <v>205</v>
      </c>
      <c r="N2914" s="8" t="s">
        <v>206</v>
      </c>
      <c r="O2914" s="6">
        <v>0</v>
      </c>
      <c r="P2914" s="6">
        <v>0</v>
      </c>
      <c r="Q2914" s="6">
        <v>0</v>
      </c>
      <c r="R2914" s="6">
        <v>0</v>
      </c>
      <c r="S2914" s="6">
        <v>20</v>
      </c>
    </row>
    <row r="2915" spans="1:19" ht="15" hidden="1" x14ac:dyDescent="0.25">
      <c r="A2915" s="7" t="s">
        <v>16</v>
      </c>
      <c r="B2915" s="7" t="s">
        <v>229</v>
      </c>
      <c r="C2915" s="7" t="s">
        <v>24</v>
      </c>
      <c r="D2915" s="4">
        <v>15126437001972</v>
      </c>
      <c r="E2915" s="8" t="s">
        <v>966</v>
      </c>
      <c r="F2915" s="8" t="s">
        <v>87</v>
      </c>
      <c r="G2915" s="8" t="s">
        <v>67</v>
      </c>
      <c r="H2915" s="8" t="s">
        <v>215</v>
      </c>
      <c r="I2915" s="3">
        <v>2</v>
      </c>
      <c r="J2915" s="8" t="s">
        <v>175</v>
      </c>
      <c r="K2915" s="8" t="s">
        <v>176</v>
      </c>
      <c r="L2915" s="8" t="s">
        <v>556</v>
      </c>
      <c r="M2915" s="1" t="s">
        <v>205</v>
      </c>
      <c r="N2915" s="8" t="s">
        <v>206</v>
      </c>
      <c r="O2915" s="6">
        <v>0</v>
      </c>
      <c r="P2915" s="6">
        <v>0</v>
      </c>
      <c r="Q2915" s="6">
        <v>0</v>
      </c>
      <c r="R2915" s="6">
        <v>0</v>
      </c>
      <c r="S2915" s="6">
        <v>0</v>
      </c>
    </row>
    <row r="2916" spans="1:19" ht="15" hidden="1" x14ac:dyDescent="0.25">
      <c r="A2916" s="7" t="s">
        <v>16</v>
      </c>
      <c r="B2916" s="7" t="s">
        <v>229</v>
      </c>
      <c r="C2916" s="7" t="s">
        <v>24</v>
      </c>
      <c r="D2916" s="4">
        <v>15126437001972</v>
      </c>
      <c r="E2916" s="8" t="s">
        <v>966</v>
      </c>
      <c r="F2916" s="8" t="s">
        <v>87</v>
      </c>
      <c r="G2916" s="8" t="s">
        <v>67</v>
      </c>
      <c r="H2916" s="8" t="s">
        <v>215</v>
      </c>
      <c r="I2916" s="3">
        <v>2</v>
      </c>
      <c r="J2916" s="8" t="s">
        <v>144</v>
      </c>
      <c r="K2916" s="8" t="s">
        <v>145</v>
      </c>
      <c r="L2916" s="8" t="s">
        <v>557</v>
      </c>
      <c r="M2916" s="1" t="s">
        <v>205</v>
      </c>
      <c r="N2916" s="8" t="s">
        <v>206</v>
      </c>
      <c r="O2916" s="6">
        <v>0</v>
      </c>
      <c r="P2916" s="6">
        <v>0</v>
      </c>
      <c r="Q2916" s="6">
        <v>10</v>
      </c>
      <c r="R2916" s="6">
        <v>0</v>
      </c>
      <c r="S2916" s="6">
        <v>0</v>
      </c>
    </row>
    <row r="2917" spans="1:19" ht="15" x14ac:dyDescent="0.25">
      <c r="A2917" s="7" t="s">
        <v>16</v>
      </c>
      <c r="B2917" s="7" t="s">
        <v>229</v>
      </c>
      <c r="C2917" s="7" t="s">
        <v>24</v>
      </c>
      <c r="D2917" s="4">
        <v>95610887000146</v>
      </c>
      <c r="E2917" s="8" t="s">
        <v>1037</v>
      </c>
      <c r="F2917" s="8" t="s">
        <v>87</v>
      </c>
      <c r="G2917" s="8" t="s">
        <v>67</v>
      </c>
      <c r="H2917" s="8" t="s">
        <v>215</v>
      </c>
      <c r="I2917" s="3">
        <v>2</v>
      </c>
      <c r="J2917" s="8" t="s">
        <v>175</v>
      </c>
      <c r="K2917" s="8" t="s">
        <v>176</v>
      </c>
      <c r="L2917" s="8" t="s">
        <v>556</v>
      </c>
      <c r="M2917" s="1" t="s">
        <v>205</v>
      </c>
      <c r="N2917" s="8" t="s">
        <v>206</v>
      </c>
      <c r="O2917" s="6">
        <v>0</v>
      </c>
      <c r="P2917" s="6">
        <v>0</v>
      </c>
      <c r="Q2917" s="6">
        <v>0</v>
      </c>
      <c r="R2917" s="6">
        <v>20</v>
      </c>
      <c r="S2917" s="6">
        <v>750</v>
      </c>
    </row>
    <row r="2918" spans="1:19" ht="15" hidden="1" x14ac:dyDescent="0.25">
      <c r="A2918" s="7" t="s">
        <v>16</v>
      </c>
      <c r="B2918" s="7" t="s">
        <v>229</v>
      </c>
      <c r="C2918" s="7" t="s">
        <v>24</v>
      </c>
      <c r="D2918" s="4">
        <v>95610887000146</v>
      </c>
      <c r="E2918" s="8" t="s">
        <v>1037</v>
      </c>
      <c r="F2918" s="8" t="s">
        <v>87</v>
      </c>
      <c r="G2918" s="8" t="s">
        <v>67</v>
      </c>
      <c r="H2918" s="8" t="s">
        <v>215</v>
      </c>
      <c r="I2918" s="3">
        <v>2</v>
      </c>
      <c r="J2918" s="8" t="s">
        <v>144</v>
      </c>
      <c r="K2918" s="8" t="s">
        <v>145</v>
      </c>
      <c r="L2918" s="8" t="s">
        <v>557</v>
      </c>
      <c r="M2918" s="1" t="s">
        <v>205</v>
      </c>
      <c r="N2918" s="8" t="s">
        <v>206</v>
      </c>
      <c r="O2918" s="6">
        <v>0</v>
      </c>
      <c r="P2918" s="6">
        <v>0</v>
      </c>
      <c r="Q2918" s="6">
        <v>13</v>
      </c>
      <c r="R2918" s="6">
        <v>0</v>
      </c>
      <c r="S2918" s="6">
        <v>750</v>
      </c>
    </row>
    <row r="2919" spans="1:19" ht="15" x14ac:dyDescent="0.25">
      <c r="A2919" s="7" t="s">
        <v>16</v>
      </c>
      <c r="B2919" s="7" t="s">
        <v>229</v>
      </c>
      <c r="C2919" s="7" t="s">
        <v>24</v>
      </c>
      <c r="D2919" s="4">
        <v>9605231000284</v>
      </c>
      <c r="E2919" s="8" t="s">
        <v>962</v>
      </c>
      <c r="F2919" s="8" t="s">
        <v>87</v>
      </c>
      <c r="G2919" s="8" t="s">
        <v>67</v>
      </c>
      <c r="H2919" s="8" t="s">
        <v>215</v>
      </c>
      <c r="I2919" s="3">
        <v>2</v>
      </c>
      <c r="J2919" s="8" t="s">
        <v>175</v>
      </c>
      <c r="K2919" s="8" t="s">
        <v>176</v>
      </c>
      <c r="L2919" s="8" t="s">
        <v>556</v>
      </c>
      <c r="M2919" s="1" t="s">
        <v>205</v>
      </c>
      <c r="N2919" s="8" t="s">
        <v>206</v>
      </c>
      <c r="O2919" s="6">
        <v>0</v>
      </c>
      <c r="P2919" s="6">
        <v>0</v>
      </c>
      <c r="Q2919" s="6">
        <v>0</v>
      </c>
      <c r="R2919" s="6">
        <v>0</v>
      </c>
      <c r="S2919" s="6">
        <v>100</v>
      </c>
    </row>
    <row r="2920" spans="1:19" ht="15" hidden="1" x14ac:dyDescent="0.25">
      <c r="A2920" s="7" t="s">
        <v>16</v>
      </c>
      <c r="B2920" s="7" t="s">
        <v>229</v>
      </c>
      <c r="C2920" s="7" t="s">
        <v>24</v>
      </c>
      <c r="D2920" s="4">
        <v>9605231000284</v>
      </c>
      <c r="E2920" s="8" t="s">
        <v>962</v>
      </c>
      <c r="F2920" s="8" t="s">
        <v>87</v>
      </c>
      <c r="G2920" s="8" t="s">
        <v>67</v>
      </c>
      <c r="H2920" s="8" t="s">
        <v>215</v>
      </c>
      <c r="I2920" s="3">
        <v>2</v>
      </c>
      <c r="J2920" s="8" t="s">
        <v>144</v>
      </c>
      <c r="K2920" s="8" t="s">
        <v>145</v>
      </c>
      <c r="L2920" s="8" t="s">
        <v>557</v>
      </c>
      <c r="M2920" s="1" t="s">
        <v>205</v>
      </c>
      <c r="N2920" s="8" t="s">
        <v>206</v>
      </c>
      <c r="O2920" s="6">
        <v>0</v>
      </c>
      <c r="P2920" s="6">
        <v>0</v>
      </c>
      <c r="Q2920" s="6">
        <v>0</v>
      </c>
      <c r="R2920" s="6">
        <v>0</v>
      </c>
      <c r="S2920" s="6">
        <v>100</v>
      </c>
    </row>
    <row r="2921" spans="1:19" ht="15" hidden="1" x14ac:dyDescent="0.25">
      <c r="A2921" s="7" t="s">
        <v>16</v>
      </c>
      <c r="B2921" s="7" t="s">
        <v>229</v>
      </c>
      <c r="C2921" s="7" t="s">
        <v>24</v>
      </c>
      <c r="D2921" s="4">
        <v>1517626000132</v>
      </c>
      <c r="E2921" s="8" t="s">
        <v>937</v>
      </c>
      <c r="F2921" s="8" t="s">
        <v>938</v>
      </c>
      <c r="G2921" s="8" t="s">
        <v>68</v>
      </c>
      <c r="H2921" s="8" t="s">
        <v>215</v>
      </c>
      <c r="I2921" s="3">
        <v>2</v>
      </c>
      <c r="J2921" s="8" t="s">
        <v>175</v>
      </c>
      <c r="K2921" s="8" t="s">
        <v>176</v>
      </c>
      <c r="L2921" s="8" t="s">
        <v>556</v>
      </c>
      <c r="M2921" s="1" t="s">
        <v>205</v>
      </c>
      <c r="N2921" s="8" t="s">
        <v>206</v>
      </c>
      <c r="O2921" s="6">
        <v>0</v>
      </c>
      <c r="P2921" s="6">
        <v>0</v>
      </c>
      <c r="Q2921" s="6">
        <v>0</v>
      </c>
      <c r="R2921" s="6">
        <v>12</v>
      </c>
      <c r="S2921" s="6">
        <v>0</v>
      </c>
    </row>
    <row r="2922" spans="1:19" ht="15" hidden="1" x14ac:dyDescent="0.25">
      <c r="A2922" s="7" t="s">
        <v>16</v>
      </c>
      <c r="B2922" s="7" t="s">
        <v>229</v>
      </c>
      <c r="C2922" s="7" t="s">
        <v>24</v>
      </c>
      <c r="D2922" s="4">
        <v>1517626000132</v>
      </c>
      <c r="E2922" s="8" t="s">
        <v>937</v>
      </c>
      <c r="F2922" s="8" t="s">
        <v>938</v>
      </c>
      <c r="G2922" s="8" t="s">
        <v>68</v>
      </c>
      <c r="H2922" s="8" t="s">
        <v>215</v>
      </c>
      <c r="I2922" s="3">
        <v>2</v>
      </c>
      <c r="J2922" s="8" t="s">
        <v>157</v>
      </c>
      <c r="K2922" s="8" t="s">
        <v>158</v>
      </c>
      <c r="L2922" s="8" t="s">
        <v>557</v>
      </c>
      <c r="M2922" s="1" t="s">
        <v>205</v>
      </c>
      <c r="N2922" s="8" t="s">
        <v>206</v>
      </c>
      <c r="O2922" s="6">
        <v>0</v>
      </c>
      <c r="P2922" s="6">
        <v>0</v>
      </c>
      <c r="Q2922" s="6">
        <v>0</v>
      </c>
      <c r="R2922" s="6">
        <v>0</v>
      </c>
      <c r="S2922" s="6">
        <v>0</v>
      </c>
    </row>
    <row r="2923" spans="1:19" ht="15" x14ac:dyDescent="0.25">
      <c r="A2923" s="7" t="s">
        <v>16</v>
      </c>
      <c r="B2923" s="7" t="s">
        <v>229</v>
      </c>
      <c r="C2923" s="7" t="s">
        <v>24</v>
      </c>
      <c r="D2923" s="4">
        <v>85377174000392</v>
      </c>
      <c r="E2923" s="8" t="s">
        <v>1012</v>
      </c>
      <c r="F2923" s="8" t="s">
        <v>938</v>
      </c>
      <c r="G2923" s="8" t="s">
        <v>68</v>
      </c>
      <c r="H2923" s="8" t="s">
        <v>215</v>
      </c>
      <c r="I2923" s="3">
        <v>2</v>
      </c>
      <c r="J2923" s="8" t="s">
        <v>175</v>
      </c>
      <c r="K2923" s="8" t="s">
        <v>176</v>
      </c>
      <c r="L2923" s="8" t="s">
        <v>556</v>
      </c>
      <c r="M2923" s="1" t="s">
        <v>205</v>
      </c>
      <c r="N2923" s="8" t="s">
        <v>206</v>
      </c>
      <c r="O2923" s="6">
        <v>0</v>
      </c>
      <c r="P2923" s="6">
        <v>0</v>
      </c>
      <c r="Q2923" s="6">
        <v>0</v>
      </c>
      <c r="R2923" s="6">
        <v>13</v>
      </c>
      <c r="S2923" s="6">
        <v>10</v>
      </c>
    </row>
    <row r="2924" spans="1:19" ht="15" hidden="1" x14ac:dyDescent="0.25">
      <c r="A2924" s="7" t="s">
        <v>16</v>
      </c>
      <c r="B2924" s="7" t="s">
        <v>229</v>
      </c>
      <c r="C2924" s="7" t="s">
        <v>24</v>
      </c>
      <c r="D2924" s="4">
        <v>85377174000392</v>
      </c>
      <c r="E2924" s="8" t="s">
        <v>1012</v>
      </c>
      <c r="F2924" s="8" t="s">
        <v>938</v>
      </c>
      <c r="G2924" s="8" t="s">
        <v>68</v>
      </c>
      <c r="H2924" s="8" t="s">
        <v>215</v>
      </c>
      <c r="I2924" s="3">
        <v>2</v>
      </c>
      <c r="J2924" s="8" t="s">
        <v>157</v>
      </c>
      <c r="K2924" s="8" t="s">
        <v>158</v>
      </c>
      <c r="L2924" s="8" t="s">
        <v>557</v>
      </c>
      <c r="M2924" s="1" t="s">
        <v>205</v>
      </c>
      <c r="N2924" s="8" t="s">
        <v>206</v>
      </c>
      <c r="O2924" s="6">
        <v>0</v>
      </c>
      <c r="P2924" s="6">
        <v>0</v>
      </c>
      <c r="Q2924" s="6">
        <v>0</v>
      </c>
      <c r="R2924" s="6">
        <v>0</v>
      </c>
      <c r="S2924" s="6">
        <v>10</v>
      </c>
    </row>
    <row r="2925" spans="1:19" ht="15" x14ac:dyDescent="0.25">
      <c r="A2925" s="7" t="s">
        <v>16</v>
      </c>
      <c r="B2925" s="7" t="s">
        <v>229</v>
      </c>
      <c r="C2925" s="7" t="s">
        <v>24</v>
      </c>
      <c r="D2925" s="4">
        <v>3354642000187</v>
      </c>
      <c r="E2925" s="8" t="s">
        <v>1143</v>
      </c>
      <c r="F2925" s="8" t="s">
        <v>93</v>
      </c>
      <c r="G2925" s="8" t="s">
        <v>68</v>
      </c>
      <c r="H2925" s="8" t="s">
        <v>215</v>
      </c>
      <c r="I2925" s="3">
        <v>2</v>
      </c>
      <c r="J2925" s="8" t="s">
        <v>175</v>
      </c>
      <c r="K2925" s="8" t="s">
        <v>176</v>
      </c>
      <c r="L2925" s="8" t="s">
        <v>556</v>
      </c>
      <c r="M2925" s="1" t="s">
        <v>205</v>
      </c>
      <c r="N2925" s="8" t="s">
        <v>206</v>
      </c>
      <c r="O2925" s="6">
        <v>0</v>
      </c>
      <c r="P2925" s="6">
        <v>0</v>
      </c>
      <c r="Q2925" s="6">
        <v>0</v>
      </c>
      <c r="R2925" s="6">
        <v>0</v>
      </c>
      <c r="S2925" s="6">
        <v>15</v>
      </c>
    </row>
    <row r="2926" spans="1:19" ht="15" hidden="1" x14ac:dyDescent="0.25">
      <c r="A2926" s="7" t="s">
        <v>16</v>
      </c>
      <c r="B2926" s="7" t="s">
        <v>229</v>
      </c>
      <c r="C2926" s="7" t="s">
        <v>24</v>
      </c>
      <c r="D2926" s="4">
        <v>3354642000187</v>
      </c>
      <c r="E2926" s="8" t="s">
        <v>1143</v>
      </c>
      <c r="F2926" s="8" t="s">
        <v>93</v>
      </c>
      <c r="G2926" s="8" t="s">
        <v>68</v>
      </c>
      <c r="H2926" s="8" t="s">
        <v>215</v>
      </c>
      <c r="I2926" s="3">
        <v>2</v>
      </c>
      <c r="J2926" s="8" t="s">
        <v>157</v>
      </c>
      <c r="K2926" s="8" t="s">
        <v>158</v>
      </c>
      <c r="L2926" s="8" t="s">
        <v>557</v>
      </c>
      <c r="M2926" s="1" t="s">
        <v>205</v>
      </c>
      <c r="N2926" s="8" t="s">
        <v>206</v>
      </c>
      <c r="O2926" s="6">
        <v>0</v>
      </c>
      <c r="P2926" s="6">
        <v>0</v>
      </c>
      <c r="Q2926" s="6">
        <v>0</v>
      </c>
      <c r="R2926" s="6">
        <v>0</v>
      </c>
      <c r="S2926" s="6">
        <v>15</v>
      </c>
    </row>
    <row r="2927" spans="1:19" ht="15" x14ac:dyDescent="0.25">
      <c r="A2927" s="7" t="s">
        <v>16</v>
      </c>
      <c r="B2927" s="7" t="s">
        <v>229</v>
      </c>
      <c r="C2927" s="7" t="s">
        <v>24</v>
      </c>
      <c r="D2927" s="4">
        <v>1880344000103</v>
      </c>
      <c r="E2927" s="8" t="s">
        <v>941</v>
      </c>
      <c r="F2927" s="8" t="s">
        <v>93</v>
      </c>
      <c r="G2927" s="8" t="s">
        <v>68</v>
      </c>
      <c r="H2927" s="8" t="s">
        <v>215</v>
      </c>
      <c r="I2927" s="3">
        <v>2</v>
      </c>
      <c r="J2927" s="8" t="s">
        <v>175</v>
      </c>
      <c r="K2927" s="8" t="s">
        <v>176</v>
      </c>
      <c r="L2927" s="8" t="s">
        <v>556</v>
      </c>
      <c r="M2927" s="1" t="s">
        <v>205</v>
      </c>
      <c r="N2927" s="8" t="s">
        <v>206</v>
      </c>
      <c r="O2927" s="6">
        <v>0</v>
      </c>
      <c r="P2927" s="6">
        <v>0</v>
      </c>
      <c r="Q2927" s="6">
        <v>0</v>
      </c>
      <c r="R2927" s="6">
        <v>0</v>
      </c>
      <c r="S2927" s="6">
        <v>20</v>
      </c>
    </row>
    <row r="2928" spans="1:19" ht="15" hidden="1" x14ac:dyDescent="0.25">
      <c r="A2928" s="7" t="s">
        <v>16</v>
      </c>
      <c r="B2928" s="7" t="s">
        <v>229</v>
      </c>
      <c r="C2928" s="7" t="s">
        <v>24</v>
      </c>
      <c r="D2928" s="4">
        <v>1880344000103</v>
      </c>
      <c r="E2928" s="8" t="s">
        <v>941</v>
      </c>
      <c r="F2928" s="8" t="s">
        <v>93</v>
      </c>
      <c r="G2928" s="8" t="s">
        <v>68</v>
      </c>
      <c r="H2928" s="8" t="s">
        <v>215</v>
      </c>
      <c r="I2928" s="3">
        <v>2</v>
      </c>
      <c r="J2928" s="8" t="s">
        <v>157</v>
      </c>
      <c r="K2928" s="8" t="s">
        <v>158</v>
      </c>
      <c r="L2928" s="8" t="s">
        <v>557</v>
      </c>
      <c r="M2928" s="1" t="s">
        <v>205</v>
      </c>
      <c r="N2928" s="8" t="s">
        <v>206</v>
      </c>
      <c r="O2928" s="6">
        <v>0</v>
      </c>
      <c r="P2928" s="6">
        <v>0</v>
      </c>
      <c r="Q2928" s="6">
        <v>0</v>
      </c>
      <c r="R2928" s="6">
        <v>0</v>
      </c>
      <c r="S2928" s="6">
        <v>20</v>
      </c>
    </row>
    <row r="2929" spans="1:19" ht="15" hidden="1" x14ac:dyDescent="0.25">
      <c r="A2929" s="7" t="s">
        <v>16</v>
      </c>
      <c r="B2929" s="7" t="s">
        <v>229</v>
      </c>
      <c r="C2929" s="7" t="s">
        <v>24</v>
      </c>
      <c r="D2929" s="4">
        <v>60922168005226</v>
      </c>
      <c r="E2929" s="8" t="s">
        <v>977</v>
      </c>
      <c r="F2929" s="8" t="s">
        <v>93</v>
      </c>
      <c r="G2929" s="8" t="s">
        <v>68</v>
      </c>
      <c r="H2929" s="8" t="s">
        <v>215</v>
      </c>
      <c r="I2929" s="3">
        <v>2</v>
      </c>
      <c r="J2929" s="8" t="s">
        <v>175</v>
      </c>
      <c r="K2929" s="8" t="s">
        <v>176</v>
      </c>
      <c r="L2929" s="8" t="s">
        <v>556</v>
      </c>
      <c r="M2929" s="1" t="s">
        <v>205</v>
      </c>
      <c r="N2929" s="8" t="s">
        <v>206</v>
      </c>
      <c r="O2929" s="6">
        <v>0</v>
      </c>
      <c r="P2929" s="6">
        <v>0</v>
      </c>
      <c r="Q2929" s="6">
        <v>0</v>
      </c>
      <c r="R2929" s="6">
        <v>0</v>
      </c>
      <c r="S2929" s="6">
        <v>0</v>
      </c>
    </row>
    <row r="2930" spans="1:19" ht="15" hidden="1" x14ac:dyDescent="0.25">
      <c r="A2930" s="7" t="s">
        <v>16</v>
      </c>
      <c r="B2930" s="7" t="s">
        <v>229</v>
      </c>
      <c r="C2930" s="7" t="s">
        <v>24</v>
      </c>
      <c r="D2930" s="4">
        <v>60922168005226</v>
      </c>
      <c r="E2930" s="8" t="s">
        <v>977</v>
      </c>
      <c r="F2930" s="8" t="s">
        <v>93</v>
      </c>
      <c r="G2930" s="8" t="s">
        <v>68</v>
      </c>
      <c r="H2930" s="8" t="s">
        <v>215</v>
      </c>
      <c r="I2930" s="3">
        <v>2</v>
      </c>
      <c r="J2930" s="8" t="s">
        <v>157</v>
      </c>
      <c r="K2930" s="8" t="s">
        <v>158</v>
      </c>
      <c r="L2930" s="8" t="s">
        <v>557</v>
      </c>
      <c r="M2930" s="1" t="s">
        <v>205</v>
      </c>
      <c r="N2930" s="8" t="s">
        <v>206</v>
      </c>
      <c r="O2930" s="6">
        <v>0</v>
      </c>
      <c r="P2930" s="6">
        <v>2</v>
      </c>
      <c r="Q2930" s="6">
        <v>7</v>
      </c>
      <c r="R2930" s="6">
        <v>0</v>
      </c>
      <c r="S2930" s="6">
        <v>0</v>
      </c>
    </row>
    <row r="2931" spans="1:19" ht="15" x14ac:dyDescent="0.25">
      <c r="A2931" s="7" t="s">
        <v>16</v>
      </c>
      <c r="B2931" s="7" t="s">
        <v>229</v>
      </c>
      <c r="C2931" s="7" t="s">
        <v>24</v>
      </c>
      <c r="D2931" s="4">
        <v>82624776000651</v>
      </c>
      <c r="E2931" s="8" t="s">
        <v>1007</v>
      </c>
      <c r="F2931" s="8" t="s">
        <v>93</v>
      </c>
      <c r="G2931" s="8" t="s">
        <v>68</v>
      </c>
      <c r="H2931" s="8" t="s">
        <v>215</v>
      </c>
      <c r="I2931" s="3">
        <v>2</v>
      </c>
      <c r="J2931" s="8" t="s">
        <v>175</v>
      </c>
      <c r="K2931" s="8" t="s">
        <v>176</v>
      </c>
      <c r="L2931" s="8" t="s">
        <v>556</v>
      </c>
      <c r="M2931" s="1" t="s">
        <v>205</v>
      </c>
      <c r="N2931" s="8" t="s">
        <v>206</v>
      </c>
      <c r="O2931" s="6">
        <v>0</v>
      </c>
      <c r="P2931" s="6">
        <v>0</v>
      </c>
      <c r="Q2931" s="6">
        <v>0</v>
      </c>
      <c r="R2931" s="6">
        <v>0</v>
      </c>
      <c r="S2931" s="6">
        <v>15</v>
      </c>
    </row>
    <row r="2932" spans="1:19" ht="15" hidden="1" x14ac:dyDescent="0.25">
      <c r="A2932" s="7" t="s">
        <v>16</v>
      </c>
      <c r="B2932" s="7" t="s">
        <v>229</v>
      </c>
      <c r="C2932" s="7" t="s">
        <v>24</v>
      </c>
      <c r="D2932" s="4">
        <v>82624776000651</v>
      </c>
      <c r="E2932" s="8" t="s">
        <v>1007</v>
      </c>
      <c r="F2932" s="8" t="s">
        <v>93</v>
      </c>
      <c r="G2932" s="8" t="s">
        <v>68</v>
      </c>
      <c r="H2932" s="8" t="s">
        <v>215</v>
      </c>
      <c r="I2932" s="3">
        <v>2</v>
      </c>
      <c r="J2932" s="8" t="s">
        <v>157</v>
      </c>
      <c r="K2932" s="8" t="s">
        <v>158</v>
      </c>
      <c r="L2932" s="8" t="s">
        <v>557</v>
      </c>
      <c r="M2932" s="1" t="s">
        <v>205</v>
      </c>
      <c r="N2932" s="8" t="s">
        <v>206</v>
      </c>
      <c r="O2932" s="6">
        <v>0</v>
      </c>
      <c r="P2932" s="6">
        <v>0</v>
      </c>
      <c r="Q2932" s="6">
        <v>0</v>
      </c>
      <c r="R2932" s="6">
        <v>0</v>
      </c>
      <c r="S2932" s="6">
        <v>15</v>
      </c>
    </row>
    <row r="2933" spans="1:19" ht="15" x14ac:dyDescent="0.25">
      <c r="A2933" s="7" t="s">
        <v>16</v>
      </c>
      <c r="B2933" s="7" t="s">
        <v>229</v>
      </c>
      <c r="C2933" s="7" t="s">
        <v>24</v>
      </c>
      <c r="D2933" s="4">
        <v>1554266000300</v>
      </c>
      <c r="E2933" s="8" t="s">
        <v>940</v>
      </c>
      <c r="F2933" s="8" t="s">
        <v>113</v>
      </c>
      <c r="G2933" s="8" t="s">
        <v>68</v>
      </c>
      <c r="H2933" s="8" t="s">
        <v>215</v>
      </c>
      <c r="I2933" s="3">
        <v>2</v>
      </c>
      <c r="J2933" s="8" t="s">
        <v>175</v>
      </c>
      <c r="K2933" s="8" t="s">
        <v>176</v>
      </c>
      <c r="L2933" s="8" t="s">
        <v>556</v>
      </c>
      <c r="M2933" s="1" t="s">
        <v>205</v>
      </c>
      <c r="N2933" s="8" t="s">
        <v>206</v>
      </c>
      <c r="O2933" s="6">
        <v>0</v>
      </c>
      <c r="P2933" s="6">
        <v>0</v>
      </c>
      <c r="Q2933" s="6">
        <v>0</v>
      </c>
      <c r="R2933" s="6">
        <v>0</v>
      </c>
      <c r="S2933" s="6">
        <v>70</v>
      </c>
    </row>
    <row r="2934" spans="1:19" ht="15" hidden="1" x14ac:dyDescent="0.25">
      <c r="A2934" s="7" t="s">
        <v>16</v>
      </c>
      <c r="B2934" s="7" t="s">
        <v>229</v>
      </c>
      <c r="C2934" s="7" t="s">
        <v>24</v>
      </c>
      <c r="D2934" s="4">
        <v>1554266000300</v>
      </c>
      <c r="E2934" s="8" t="s">
        <v>940</v>
      </c>
      <c r="F2934" s="8" t="s">
        <v>113</v>
      </c>
      <c r="G2934" s="8" t="s">
        <v>68</v>
      </c>
      <c r="H2934" s="8" t="s">
        <v>215</v>
      </c>
      <c r="I2934" s="3">
        <v>2</v>
      </c>
      <c r="J2934" s="8" t="s">
        <v>157</v>
      </c>
      <c r="K2934" s="8" t="s">
        <v>158</v>
      </c>
      <c r="L2934" s="8" t="s">
        <v>557</v>
      </c>
      <c r="M2934" s="1" t="s">
        <v>205</v>
      </c>
      <c r="N2934" s="8" t="s">
        <v>206</v>
      </c>
      <c r="O2934" s="6">
        <v>0</v>
      </c>
      <c r="P2934" s="6">
        <v>0</v>
      </c>
      <c r="Q2934" s="6">
        <v>0</v>
      </c>
      <c r="R2934" s="6">
        <v>0</v>
      </c>
      <c r="S2934" s="6">
        <v>70</v>
      </c>
    </row>
    <row r="2935" spans="1:19" ht="15" hidden="1" x14ac:dyDescent="0.25">
      <c r="A2935" s="7" t="s">
        <v>16</v>
      </c>
      <c r="B2935" s="7" t="s">
        <v>229</v>
      </c>
      <c r="C2935" s="7" t="s">
        <v>24</v>
      </c>
      <c r="D2935" s="4">
        <v>15126437003401</v>
      </c>
      <c r="E2935" s="8" t="s">
        <v>967</v>
      </c>
      <c r="F2935" s="8" t="s">
        <v>95</v>
      </c>
      <c r="G2935" s="8" t="s">
        <v>68</v>
      </c>
      <c r="H2935" s="8" t="s">
        <v>215</v>
      </c>
      <c r="I2935" s="3">
        <v>2</v>
      </c>
      <c r="J2935" s="8" t="s">
        <v>175</v>
      </c>
      <c r="K2935" s="8" t="s">
        <v>176</v>
      </c>
      <c r="L2935" s="8" t="s">
        <v>556</v>
      </c>
      <c r="M2935" s="1" t="s">
        <v>205</v>
      </c>
      <c r="N2935" s="8" t="s">
        <v>206</v>
      </c>
      <c r="O2935" s="6">
        <v>0</v>
      </c>
      <c r="P2935" s="6">
        <v>0</v>
      </c>
      <c r="Q2935" s="6">
        <v>0</v>
      </c>
      <c r="R2935" s="6">
        <v>0</v>
      </c>
      <c r="S2935" s="6">
        <v>0</v>
      </c>
    </row>
    <row r="2936" spans="1:19" ht="15" hidden="1" x14ac:dyDescent="0.25">
      <c r="A2936" s="7" t="s">
        <v>16</v>
      </c>
      <c r="B2936" s="7" t="s">
        <v>229</v>
      </c>
      <c r="C2936" s="7" t="s">
        <v>24</v>
      </c>
      <c r="D2936" s="4">
        <v>15126437003401</v>
      </c>
      <c r="E2936" s="8" t="s">
        <v>967</v>
      </c>
      <c r="F2936" s="8" t="s">
        <v>95</v>
      </c>
      <c r="G2936" s="8" t="s">
        <v>68</v>
      </c>
      <c r="H2936" s="8" t="s">
        <v>215</v>
      </c>
      <c r="I2936" s="3">
        <v>2</v>
      </c>
      <c r="J2936" s="8" t="s">
        <v>157</v>
      </c>
      <c r="K2936" s="8" t="s">
        <v>158</v>
      </c>
      <c r="L2936" s="8" t="s">
        <v>557</v>
      </c>
      <c r="M2936" s="1" t="s">
        <v>205</v>
      </c>
      <c r="N2936" s="8" t="s">
        <v>206</v>
      </c>
      <c r="O2936" s="6">
        <v>0</v>
      </c>
      <c r="P2936" s="6">
        <v>0</v>
      </c>
      <c r="Q2936" s="6">
        <v>8</v>
      </c>
      <c r="R2936" s="6">
        <v>0</v>
      </c>
      <c r="S2936" s="6">
        <v>0</v>
      </c>
    </row>
    <row r="2937" spans="1:19" ht="15" x14ac:dyDescent="0.25">
      <c r="A2937" s="7" t="s">
        <v>16</v>
      </c>
      <c r="B2937" s="7" t="s">
        <v>229</v>
      </c>
      <c r="C2937" s="7" t="s">
        <v>24</v>
      </c>
      <c r="D2937" s="4">
        <v>1125832000105</v>
      </c>
      <c r="E2937" s="8" t="s">
        <v>935</v>
      </c>
      <c r="F2937" s="8" t="s">
        <v>930</v>
      </c>
      <c r="G2937" s="8" t="s">
        <v>68</v>
      </c>
      <c r="H2937" s="8" t="s">
        <v>215</v>
      </c>
      <c r="I2937" s="3">
        <v>2</v>
      </c>
      <c r="J2937" s="8" t="s">
        <v>175</v>
      </c>
      <c r="K2937" s="8" t="s">
        <v>176</v>
      </c>
      <c r="L2937" s="8" t="s">
        <v>556</v>
      </c>
      <c r="M2937" s="1" t="s">
        <v>205</v>
      </c>
      <c r="N2937" s="8" t="s">
        <v>206</v>
      </c>
      <c r="O2937" s="6">
        <v>0</v>
      </c>
      <c r="P2937" s="6">
        <v>0</v>
      </c>
      <c r="Q2937" s="6">
        <v>0</v>
      </c>
      <c r="R2937" s="6">
        <v>0</v>
      </c>
      <c r="S2937" s="6">
        <v>140</v>
      </c>
    </row>
    <row r="2938" spans="1:19" ht="15" hidden="1" x14ac:dyDescent="0.25">
      <c r="A2938" s="7" t="s">
        <v>16</v>
      </c>
      <c r="B2938" s="7" t="s">
        <v>229</v>
      </c>
      <c r="C2938" s="7" t="s">
        <v>24</v>
      </c>
      <c r="D2938" s="4">
        <v>1125832000105</v>
      </c>
      <c r="E2938" s="8" t="s">
        <v>935</v>
      </c>
      <c r="F2938" s="8" t="s">
        <v>930</v>
      </c>
      <c r="G2938" s="8" t="s">
        <v>68</v>
      </c>
      <c r="H2938" s="8" t="s">
        <v>215</v>
      </c>
      <c r="I2938" s="3">
        <v>2</v>
      </c>
      <c r="J2938" s="8" t="s">
        <v>157</v>
      </c>
      <c r="K2938" s="8" t="s">
        <v>158</v>
      </c>
      <c r="L2938" s="8" t="s">
        <v>557</v>
      </c>
      <c r="M2938" s="1" t="s">
        <v>205</v>
      </c>
      <c r="N2938" s="8" t="s">
        <v>206</v>
      </c>
      <c r="O2938" s="6">
        <v>0</v>
      </c>
      <c r="P2938" s="6">
        <v>0</v>
      </c>
      <c r="Q2938" s="6">
        <v>0</v>
      </c>
      <c r="R2938" s="6">
        <v>0</v>
      </c>
      <c r="S2938" s="6">
        <v>140</v>
      </c>
    </row>
    <row r="2939" spans="1:19" ht="15" x14ac:dyDescent="0.25">
      <c r="A2939" s="7" t="s">
        <v>16</v>
      </c>
      <c r="B2939" s="7" t="s">
        <v>229</v>
      </c>
      <c r="C2939" s="7" t="s">
        <v>24</v>
      </c>
      <c r="D2939" s="4">
        <v>80673411000187</v>
      </c>
      <c r="E2939" s="8" t="s">
        <v>999</v>
      </c>
      <c r="F2939" s="8" t="s">
        <v>930</v>
      </c>
      <c r="G2939" s="8" t="s">
        <v>68</v>
      </c>
      <c r="H2939" s="8" t="s">
        <v>215</v>
      </c>
      <c r="I2939" s="3">
        <v>2</v>
      </c>
      <c r="J2939" s="8" t="s">
        <v>175</v>
      </c>
      <c r="K2939" s="8" t="s">
        <v>176</v>
      </c>
      <c r="L2939" s="8" t="s">
        <v>556</v>
      </c>
      <c r="M2939" s="1" t="s">
        <v>205</v>
      </c>
      <c r="N2939" s="8" t="s">
        <v>206</v>
      </c>
      <c r="O2939" s="6">
        <v>0</v>
      </c>
      <c r="P2939" s="6">
        <v>0</v>
      </c>
      <c r="Q2939" s="6">
        <v>0</v>
      </c>
      <c r="R2939" s="6">
        <v>64</v>
      </c>
      <c r="S2939" s="6">
        <v>1000</v>
      </c>
    </row>
    <row r="2940" spans="1:19" ht="15" hidden="1" x14ac:dyDescent="0.25">
      <c r="A2940" s="7" t="s">
        <v>16</v>
      </c>
      <c r="B2940" s="7" t="s">
        <v>229</v>
      </c>
      <c r="C2940" s="7" t="s">
        <v>24</v>
      </c>
      <c r="D2940" s="4">
        <v>80673411000187</v>
      </c>
      <c r="E2940" s="8" t="s">
        <v>999</v>
      </c>
      <c r="F2940" s="8" t="s">
        <v>930</v>
      </c>
      <c r="G2940" s="8" t="s">
        <v>68</v>
      </c>
      <c r="H2940" s="8" t="s">
        <v>215</v>
      </c>
      <c r="I2940" s="3">
        <v>2</v>
      </c>
      <c r="J2940" s="8" t="s">
        <v>157</v>
      </c>
      <c r="K2940" s="8" t="s">
        <v>158</v>
      </c>
      <c r="L2940" s="8" t="s">
        <v>557</v>
      </c>
      <c r="M2940" s="1" t="s">
        <v>205</v>
      </c>
      <c r="N2940" s="8" t="s">
        <v>206</v>
      </c>
      <c r="O2940" s="6">
        <v>0</v>
      </c>
      <c r="P2940" s="6">
        <v>0</v>
      </c>
      <c r="Q2940" s="6">
        <v>0</v>
      </c>
      <c r="R2940" s="6">
        <v>0</v>
      </c>
      <c r="S2940" s="6">
        <v>1000</v>
      </c>
    </row>
    <row r="2941" spans="1:19" ht="15" x14ac:dyDescent="0.25">
      <c r="A2941" s="7" t="s">
        <v>16</v>
      </c>
      <c r="B2941" s="7" t="s">
        <v>229</v>
      </c>
      <c r="C2941" s="7" t="s">
        <v>24</v>
      </c>
      <c r="D2941" s="4">
        <v>83899526000425</v>
      </c>
      <c r="E2941" s="8" t="s">
        <v>1010</v>
      </c>
      <c r="F2941" s="8" t="s">
        <v>930</v>
      </c>
      <c r="G2941" s="8" t="s">
        <v>68</v>
      </c>
      <c r="H2941" s="8" t="s">
        <v>215</v>
      </c>
      <c r="I2941" s="3">
        <v>2</v>
      </c>
      <c r="J2941" s="8" t="s">
        <v>175</v>
      </c>
      <c r="K2941" s="8" t="s">
        <v>176</v>
      </c>
      <c r="L2941" s="8" t="s">
        <v>556</v>
      </c>
      <c r="M2941" s="1" t="s">
        <v>205</v>
      </c>
      <c r="N2941" s="8" t="s">
        <v>206</v>
      </c>
      <c r="O2941" s="6">
        <v>0</v>
      </c>
      <c r="P2941" s="6">
        <v>0</v>
      </c>
      <c r="Q2941" s="6">
        <v>0</v>
      </c>
      <c r="R2941" s="6">
        <v>0</v>
      </c>
      <c r="S2941" s="6">
        <v>300</v>
      </c>
    </row>
    <row r="2942" spans="1:19" ht="15" hidden="1" x14ac:dyDescent="0.25">
      <c r="A2942" s="7" t="s">
        <v>16</v>
      </c>
      <c r="B2942" s="7" t="s">
        <v>229</v>
      </c>
      <c r="C2942" s="7" t="s">
        <v>24</v>
      </c>
      <c r="D2942" s="4">
        <v>83899526000425</v>
      </c>
      <c r="E2942" s="8" t="s">
        <v>1010</v>
      </c>
      <c r="F2942" s="8" t="s">
        <v>930</v>
      </c>
      <c r="G2942" s="8" t="s">
        <v>68</v>
      </c>
      <c r="H2942" s="8" t="s">
        <v>215</v>
      </c>
      <c r="I2942" s="3">
        <v>2</v>
      </c>
      <c r="J2942" s="8" t="s">
        <v>157</v>
      </c>
      <c r="K2942" s="8" t="s">
        <v>158</v>
      </c>
      <c r="L2942" s="8" t="s">
        <v>557</v>
      </c>
      <c r="M2942" s="1" t="s">
        <v>205</v>
      </c>
      <c r="N2942" s="8" t="s">
        <v>206</v>
      </c>
      <c r="O2942" s="6">
        <v>0</v>
      </c>
      <c r="P2942" s="6">
        <v>0</v>
      </c>
      <c r="Q2942" s="6">
        <v>0</v>
      </c>
      <c r="R2942" s="6">
        <v>0</v>
      </c>
      <c r="S2942" s="6">
        <v>300</v>
      </c>
    </row>
    <row r="2943" spans="1:19" ht="15" x14ac:dyDescent="0.25">
      <c r="A2943" s="7" t="s">
        <v>16</v>
      </c>
      <c r="B2943" s="7" t="s">
        <v>229</v>
      </c>
      <c r="C2943" s="7" t="s">
        <v>24</v>
      </c>
      <c r="D2943" s="4">
        <v>4670913000176</v>
      </c>
      <c r="E2943" s="8" t="s">
        <v>949</v>
      </c>
      <c r="F2943" s="8" t="s">
        <v>930</v>
      </c>
      <c r="G2943" s="8" t="s">
        <v>68</v>
      </c>
      <c r="H2943" s="8" t="s">
        <v>215</v>
      </c>
      <c r="I2943" s="3">
        <v>2</v>
      </c>
      <c r="J2943" s="8" t="s">
        <v>175</v>
      </c>
      <c r="K2943" s="8" t="s">
        <v>176</v>
      </c>
      <c r="L2943" s="8" t="s">
        <v>556</v>
      </c>
      <c r="M2943" s="1" t="s">
        <v>205</v>
      </c>
      <c r="N2943" s="8" t="s">
        <v>206</v>
      </c>
      <c r="O2943" s="6">
        <v>0</v>
      </c>
      <c r="P2943" s="6">
        <v>0</v>
      </c>
      <c r="Q2943" s="6">
        <v>0</v>
      </c>
      <c r="R2943" s="6">
        <v>0</v>
      </c>
      <c r="S2943" s="6">
        <v>355</v>
      </c>
    </row>
    <row r="2944" spans="1:19" ht="15" hidden="1" x14ac:dyDescent="0.25">
      <c r="A2944" s="7" t="s">
        <v>16</v>
      </c>
      <c r="B2944" s="7" t="s">
        <v>229</v>
      </c>
      <c r="C2944" s="7" t="s">
        <v>24</v>
      </c>
      <c r="D2944" s="4">
        <v>4670913000176</v>
      </c>
      <c r="E2944" s="8" t="s">
        <v>949</v>
      </c>
      <c r="F2944" s="8" t="s">
        <v>930</v>
      </c>
      <c r="G2944" s="8" t="s">
        <v>68</v>
      </c>
      <c r="H2944" s="8" t="s">
        <v>215</v>
      </c>
      <c r="I2944" s="3">
        <v>2</v>
      </c>
      <c r="J2944" s="8" t="s">
        <v>157</v>
      </c>
      <c r="K2944" s="8" t="s">
        <v>158</v>
      </c>
      <c r="L2944" s="8" t="s">
        <v>557</v>
      </c>
      <c r="M2944" s="1" t="s">
        <v>205</v>
      </c>
      <c r="N2944" s="8" t="s">
        <v>206</v>
      </c>
      <c r="O2944" s="6">
        <v>0</v>
      </c>
      <c r="P2944" s="6">
        <v>0</v>
      </c>
      <c r="Q2944" s="6">
        <v>0</v>
      </c>
      <c r="R2944" s="6">
        <v>0</v>
      </c>
      <c r="S2944" s="6">
        <v>355</v>
      </c>
    </row>
    <row r="2945" spans="1:19" ht="15" x14ac:dyDescent="0.25">
      <c r="A2945" s="7" t="s">
        <v>16</v>
      </c>
      <c r="B2945" s="7" t="s">
        <v>229</v>
      </c>
      <c r="C2945" s="7" t="s">
        <v>24</v>
      </c>
      <c r="D2945" s="4">
        <v>3855214000219</v>
      </c>
      <c r="E2945" s="8" t="s">
        <v>946</v>
      </c>
      <c r="F2945" s="8" t="s">
        <v>947</v>
      </c>
      <c r="G2945" s="8" t="s">
        <v>68</v>
      </c>
      <c r="H2945" s="8" t="s">
        <v>215</v>
      </c>
      <c r="I2945" s="3">
        <v>2</v>
      </c>
      <c r="J2945" s="8" t="s">
        <v>175</v>
      </c>
      <c r="K2945" s="8" t="s">
        <v>176</v>
      </c>
      <c r="L2945" s="8" t="s">
        <v>556</v>
      </c>
      <c r="M2945" s="1" t="s">
        <v>205</v>
      </c>
      <c r="N2945" s="8" t="s">
        <v>206</v>
      </c>
      <c r="O2945" s="6">
        <v>0</v>
      </c>
      <c r="P2945" s="6">
        <v>0</v>
      </c>
      <c r="Q2945" s="6">
        <v>0</v>
      </c>
      <c r="R2945" s="6">
        <v>0</v>
      </c>
      <c r="S2945" s="6">
        <v>10</v>
      </c>
    </row>
    <row r="2946" spans="1:19" ht="15" hidden="1" x14ac:dyDescent="0.25">
      <c r="A2946" s="7" t="s">
        <v>16</v>
      </c>
      <c r="B2946" s="7" t="s">
        <v>229</v>
      </c>
      <c r="C2946" s="7" t="s">
        <v>24</v>
      </c>
      <c r="D2946" s="4">
        <v>3855214000219</v>
      </c>
      <c r="E2946" s="8" t="s">
        <v>946</v>
      </c>
      <c r="F2946" s="8" t="s">
        <v>947</v>
      </c>
      <c r="G2946" s="8" t="s">
        <v>68</v>
      </c>
      <c r="H2946" s="8" t="s">
        <v>215</v>
      </c>
      <c r="I2946" s="3">
        <v>2</v>
      </c>
      <c r="J2946" s="8" t="s">
        <v>157</v>
      </c>
      <c r="K2946" s="8" t="s">
        <v>158</v>
      </c>
      <c r="L2946" s="8" t="s">
        <v>557</v>
      </c>
      <c r="M2946" s="1" t="s">
        <v>205</v>
      </c>
      <c r="N2946" s="8" t="s">
        <v>206</v>
      </c>
      <c r="O2946" s="6">
        <v>0</v>
      </c>
      <c r="P2946" s="6">
        <v>0</v>
      </c>
      <c r="Q2946" s="6">
        <v>0</v>
      </c>
      <c r="R2946" s="6">
        <v>0</v>
      </c>
      <c r="S2946" s="6">
        <v>10</v>
      </c>
    </row>
    <row r="2947" spans="1:19" ht="15" hidden="1" x14ac:dyDescent="0.25">
      <c r="A2947" s="7" t="s">
        <v>16</v>
      </c>
      <c r="B2947" s="7" t="s">
        <v>229</v>
      </c>
      <c r="C2947" s="7" t="s">
        <v>24</v>
      </c>
      <c r="D2947" s="4">
        <v>82602327000360</v>
      </c>
      <c r="E2947" s="8" t="s">
        <v>1236</v>
      </c>
      <c r="F2947" s="8" t="s">
        <v>125</v>
      </c>
      <c r="G2947" s="8" t="s">
        <v>68</v>
      </c>
      <c r="H2947" s="8" t="s">
        <v>215</v>
      </c>
      <c r="I2947" s="3">
        <v>2</v>
      </c>
      <c r="J2947" s="8" t="s">
        <v>175</v>
      </c>
      <c r="K2947" s="8" t="s">
        <v>176</v>
      </c>
      <c r="L2947" s="8" t="s">
        <v>556</v>
      </c>
      <c r="M2947" s="1" t="s">
        <v>205</v>
      </c>
      <c r="N2947" s="8" t="s">
        <v>206</v>
      </c>
      <c r="O2947" s="6">
        <v>0</v>
      </c>
      <c r="P2947" s="6">
        <v>0</v>
      </c>
      <c r="Q2947" s="6">
        <v>0</v>
      </c>
      <c r="R2947" s="6">
        <v>0</v>
      </c>
      <c r="S2947" s="6">
        <v>0</v>
      </c>
    </row>
    <row r="2948" spans="1:19" ht="15" hidden="1" x14ac:dyDescent="0.25">
      <c r="A2948" s="7" t="s">
        <v>16</v>
      </c>
      <c r="B2948" s="7" t="s">
        <v>229</v>
      </c>
      <c r="C2948" s="7" t="s">
        <v>24</v>
      </c>
      <c r="D2948" s="4">
        <v>82602327000360</v>
      </c>
      <c r="E2948" s="8" t="s">
        <v>1236</v>
      </c>
      <c r="F2948" s="8" t="s">
        <v>125</v>
      </c>
      <c r="G2948" s="8" t="s">
        <v>68</v>
      </c>
      <c r="H2948" s="8" t="s">
        <v>215</v>
      </c>
      <c r="I2948" s="3">
        <v>2</v>
      </c>
      <c r="J2948" s="8" t="s">
        <v>157</v>
      </c>
      <c r="K2948" s="8" t="s">
        <v>158</v>
      </c>
      <c r="L2948" s="8" t="s">
        <v>557</v>
      </c>
      <c r="M2948" s="1" t="s">
        <v>205</v>
      </c>
      <c r="N2948" s="8" t="s">
        <v>206</v>
      </c>
      <c r="O2948" s="6">
        <v>0</v>
      </c>
      <c r="P2948" s="6">
        <v>6</v>
      </c>
      <c r="Q2948" s="6">
        <v>0</v>
      </c>
      <c r="R2948" s="6">
        <v>0</v>
      </c>
      <c r="S2948" s="6">
        <v>0</v>
      </c>
    </row>
    <row r="2949" spans="1:19" ht="15" x14ac:dyDescent="0.25">
      <c r="A2949" s="7" t="s">
        <v>16</v>
      </c>
      <c r="B2949" s="7" t="s">
        <v>229</v>
      </c>
      <c r="C2949" s="7" t="s">
        <v>24</v>
      </c>
      <c r="D2949" s="4">
        <v>77858611001414</v>
      </c>
      <c r="E2949" s="8" t="s">
        <v>991</v>
      </c>
      <c r="F2949" s="8" t="s">
        <v>969</v>
      </c>
      <c r="G2949" s="8" t="s">
        <v>68</v>
      </c>
      <c r="H2949" s="8" t="s">
        <v>215</v>
      </c>
      <c r="I2949" s="3">
        <v>2</v>
      </c>
      <c r="J2949" s="8" t="s">
        <v>175</v>
      </c>
      <c r="K2949" s="8" t="s">
        <v>176</v>
      </c>
      <c r="L2949" s="8" t="s">
        <v>556</v>
      </c>
      <c r="M2949" s="1" t="s">
        <v>205</v>
      </c>
      <c r="N2949" s="8" t="s">
        <v>206</v>
      </c>
      <c r="O2949" s="6">
        <v>0</v>
      </c>
      <c r="P2949" s="6">
        <v>0</v>
      </c>
      <c r="Q2949" s="6">
        <v>0</v>
      </c>
      <c r="R2949" s="6">
        <v>0</v>
      </c>
      <c r="S2949" s="6">
        <v>325</v>
      </c>
    </row>
    <row r="2950" spans="1:19" ht="15" hidden="1" x14ac:dyDescent="0.25">
      <c r="A2950" s="7" t="s">
        <v>16</v>
      </c>
      <c r="B2950" s="7" t="s">
        <v>229</v>
      </c>
      <c r="C2950" s="7" t="s">
        <v>24</v>
      </c>
      <c r="D2950" s="4">
        <v>77858611001414</v>
      </c>
      <c r="E2950" s="8" t="s">
        <v>991</v>
      </c>
      <c r="F2950" s="8" t="s">
        <v>969</v>
      </c>
      <c r="G2950" s="8" t="s">
        <v>68</v>
      </c>
      <c r="H2950" s="8" t="s">
        <v>215</v>
      </c>
      <c r="I2950" s="3">
        <v>2</v>
      </c>
      <c r="J2950" s="8" t="s">
        <v>157</v>
      </c>
      <c r="K2950" s="8" t="s">
        <v>158</v>
      </c>
      <c r="L2950" s="8" t="s">
        <v>557</v>
      </c>
      <c r="M2950" s="1" t="s">
        <v>205</v>
      </c>
      <c r="N2950" s="8" t="s">
        <v>206</v>
      </c>
      <c r="O2950" s="6">
        <v>0</v>
      </c>
      <c r="P2950" s="6">
        <v>0</v>
      </c>
      <c r="Q2950" s="6">
        <v>0</v>
      </c>
      <c r="R2950" s="6">
        <v>0</v>
      </c>
      <c r="S2950" s="6">
        <v>325</v>
      </c>
    </row>
    <row r="2951" spans="1:19" ht="15" x14ac:dyDescent="0.25">
      <c r="A2951" s="7" t="s">
        <v>16</v>
      </c>
      <c r="B2951" s="7" t="s">
        <v>229</v>
      </c>
      <c r="C2951" s="7" t="s">
        <v>24</v>
      </c>
      <c r="D2951" s="4">
        <v>80490618000116</v>
      </c>
      <c r="E2951" s="8" t="s">
        <v>997</v>
      </c>
      <c r="F2951" s="8" t="s">
        <v>998</v>
      </c>
      <c r="G2951" s="8" t="s">
        <v>68</v>
      </c>
      <c r="H2951" s="8" t="s">
        <v>215</v>
      </c>
      <c r="I2951" s="3">
        <v>2</v>
      </c>
      <c r="J2951" s="8" t="s">
        <v>175</v>
      </c>
      <c r="K2951" s="8" t="s">
        <v>176</v>
      </c>
      <c r="L2951" s="8" t="s">
        <v>556</v>
      </c>
      <c r="M2951" s="1" t="s">
        <v>205</v>
      </c>
      <c r="N2951" s="8" t="s">
        <v>206</v>
      </c>
      <c r="O2951" s="6">
        <v>0</v>
      </c>
      <c r="P2951" s="6">
        <v>0</v>
      </c>
      <c r="Q2951" s="6">
        <v>0</v>
      </c>
      <c r="R2951" s="6">
        <v>0</v>
      </c>
      <c r="S2951" s="6">
        <v>60</v>
      </c>
    </row>
    <row r="2952" spans="1:19" ht="15" hidden="1" x14ac:dyDescent="0.25">
      <c r="A2952" s="7" t="s">
        <v>16</v>
      </c>
      <c r="B2952" s="7" t="s">
        <v>229</v>
      </c>
      <c r="C2952" s="7" t="s">
        <v>24</v>
      </c>
      <c r="D2952" s="4">
        <v>80490618000116</v>
      </c>
      <c r="E2952" s="8" t="s">
        <v>997</v>
      </c>
      <c r="F2952" s="8" t="s">
        <v>998</v>
      </c>
      <c r="G2952" s="8" t="s">
        <v>68</v>
      </c>
      <c r="H2952" s="8" t="s">
        <v>215</v>
      </c>
      <c r="I2952" s="3">
        <v>2</v>
      </c>
      <c r="J2952" s="8" t="s">
        <v>157</v>
      </c>
      <c r="K2952" s="8" t="s">
        <v>158</v>
      </c>
      <c r="L2952" s="8" t="s">
        <v>557</v>
      </c>
      <c r="M2952" s="1" t="s">
        <v>205</v>
      </c>
      <c r="N2952" s="8" t="s">
        <v>206</v>
      </c>
      <c r="O2952" s="6">
        <v>0</v>
      </c>
      <c r="P2952" s="6">
        <v>0</v>
      </c>
      <c r="Q2952" s="6">
        <v>0</v>
      </c>
      <c r="R2952" s="6">
        <v>0</v>
      </c>
      <c r="S2952" s="6">
        <v>60</v>
      </c>
    </row>
    <row r="2953" spans="1:19" ht="15" hidden="1" x14ac:dyDescent="0.25">
      <c r="A2953" s="7" t="s">
        <v>16</v>
      </c>
      <c r="B2953" s="7" t="s">
        <v>229</v>
      </c>
      <c r="C2953" s="7" t="s">
        <v>24</v>
      </c>
      <c r="D2953" s="4">
        <v>12361267000517</v>
      </c>
      <c r="E2953" s="8" t="s">
        <v>849</v>
      </c>
      <c r="F2953" s="8" t="s">
        <v>84</v>
      </c>
      <c r="G2953" s="8" t="s">
        <v>85</v>
      </c>
      <c r="H2953" s="8" t="s">
        <v>215</v>
      </c>
      <c r="I2953" s="3">
        <v>2</v>
      </c>
      <c r="J2953" s="8" t="s">
        <v>199</v>
      </c>
      <c r="K2953" s="8" t="s">
        <v>200</v>
      </c>
      <c r="L2953" s="8" t="s">
        <v>556</v>
      </c>
      <c r="M2953" s="1" t="s">
        <v>211</v>
      </c>
      <c r="N2953" s="8" t="s">
        <v>212</v>
      </c>
      <c r="O2953" s="6">
        <v>0</v>
      </c>
      <c r="P2953" s="6">
        <v>0</v>
      </c>
      <c r="Q2953" s="6">
        <v>0</v>
      </c>
      <c r="R2953" s="6">
        <v>0</v>
      </c>
      <c r="S2953" s="6">
        <v>30</v>
      </c>
    </row>
    <row r="2954" spans="1:19" ht="15" hidden="1" x14ac:dyDescent="0.25">
      <c r="A2954" s="7" t="s">
        <v>16</v>
      </c>
      <c r="B2954" s="7" t="s">
        <v>229</v>
      </c>
      <c r="C2954" s="7" t="s">
        <v>24</v>
      </c>
      <c r="D2954" s="4">
        <v>12361267000517</v>
      </c>
      <c r="E2954" s="8" t="s">
        <v>849</v>
      </c>
      <c r="F2954" s="8" t="s">
        <v>84</v>
      </c>
      <c r="G2954" s="8" t="s">
        <v>85</v>
      </c>
      <c r="H2954" s="8" t="s">
        <v>215</v>
      </c>
      <c r="I2954" s="3">
        <v>2</v>
      </c>
      <c r="J2954" s="8" t="s">
        <v>167</v>
      </c>
      <c r="K2954" s="8" t="s">
        <v>168</v>
      </c>
      <c r="L2954" s="8" t="s">
        <v>557</v>
      </c>
      <c r="M2954" s="1" t="s">
        <v>211</v>
      </c>
      <c r="N2954" s="8" t="s">
        <v>212</v>
      </c>
      <c r="O2954" s="6">
        <v>0</v>
      </c>
      <c r="P2954" s="6">
        <v>2</v>
      </c>
      <c r="Q2954" s="6">
        <v>0</v>
      </c>
      <c r="R2954" s="6">
        <v>0</v>
      </c>
      <c r="S2954" s="6">
        <v>30</v>
      </c>
    </row>
    <row r="2955" spans="1:19" ht="15" hidden="1" x14ac:dyDescent="0.25">
      <c r="A2955" s="7" t="s">
        <v>16</v>
      </c>
      <c r="B2955" s="7" t="s">
        <v>229</v>
      </c>
      <c r="C2955" s="7" t="s">
        <v>24</v>
      </c>
      <c r="D2955" s="4">
        <v>13016332000106</v>
      </c>
      <c r="E2955" s="8" t="s">
        <v>868</v>
      </c>
      <c r="F2955" s="8" t="s">
        <v>84</v>
      </c>
      <c r="G2955" s="8" t="s">
        <v>85</v>
      </c>
      <c r="H2955" s="8" t="s">
        <v>215</v>
      </c>
      <c r="I2955" s="3">
        <v>2</v>
      </c>
      <c r="J2955" s="8" t="s">
        <v>199</v>
      </c>
      <c r="K2955" s="8" t="s">
        <v>200</v>
      </c>
      <c r="L2955" s="8" t="s">
        <v>556</v>
      </c>
      <c r="M2955" s="1" t="s">
        <v>211</v>
      </c>
      <c r="N2955" s="8" t="s">
        <v>212</v>
      </c>
      <c r="O2955" s="6">
        <v>0</v>
      </c>
      <c r="P2955" s="6">
        <v>0</v>
      </c>
      <c r="Q2955" s="6">
        <v>0</v>
      </c>
      <c r="R2955" s="6">
        <v>0</v>
      </c>
      <c r="S2955" s="6">
        <v>0</v>
      </c>
    </row>
    <row r="2956" spans="1:19" ht="15" hidden="1" x14ac:dyDescent="0.25">
      <c r="A2956" s="7" t="s">
        <v>16</v>
      </c>
      <c r="B2956" s="7" t="s">
        <v>229</v>
      </c>
      <c r="C2956" s="7" t="s">
        <v>24</v>
      </c>
      <c r="D2956" s="4">
        <v>13016332000106</v>
      </c>
      <c r="E2956" s="8" t="s">
        <v>868</v>
      </c>
      <c r="F2956" s="8" t="s">
        <v>84</v>
      </c>
      <c r="G2956" s="8" t="s">
        <v>85</v>
      </c>
      <c r="H2956" s="8" t="s">
        <v>215</v>
      </c>
      <c r="I2956" s="3">
        <v>2</v>
      </c>
      <c r="J2956" s="8" t="s">
        <v>167</v>
      </c>
      <c r="K2956" s="8" t="s">
        <v>168</v>
      </c>
      <c r="L2956" s="8" t="s">
        <v>557</v>
      </c>
      <c r="M2956" s="1" t="s">
        <v>211</v>
      </c>
      <c r="N2956" s="8" t="s">
        <v>212</v>
      </c>
      <c r="O2956" s="6">
        <v>0</v>
      </c>
      <c r="P2956" s="6">
        <v>0</v>
      </c>
      <c r="Q2956" s="6">
        <v>4</v>
      </c>
      <c r="R2956" s="6">
        <v>0</v>
      </c>
      <c r="S2956" s="6">
        <v>0</v>
      </c>
    </row>
    <row r="2957" spans="1:19" ht="15" hidden="1" x14ac:dyDescent="0.25">
      <c r="A2957" s="7" t="s">
        <v>16</v>
      </c>
      <c r="B2957" s="7" t="s">
        <v>229</v>
      </c>
      <c r="C2957" s="7" t="s">
        <v>24</v>
      </c>
      <c r="D2957" s="4">
        <v>13131370000100</v>
      </c>
      <c r="E2957" s="8" t="s">
        <v>870</v>
      </c>
      <c r="F2957" s="8" t="s">
        <v>84</v>
      </c>
      <c r="G2957" s="8" t="s">
        <v>85</v>
      </c>
      <c r="H2957" s="8" t="s">
        <v>215</v>
      </c>
      <c r="I2957" s="3">
        <v>2</v>
      </c>
      <c r="J2957" s="8" t="s">
        <v>199</v>
      </c>
      <c r="K2957" s="8" t="s">
        <v>200</v>
      </c>
      <c r="L2957" s="8" t="s">
        <v>556</v>
      </c>
      <c r="M2957" s="1" t="s">
        <v>211</v>
      </c>
      <c r="N2957" s="8" t="s">
        <v>212</v>
      </c>
      <c r="O2957" s="6">
        <v>0</v>
      </c>
      <c r="P2957" s="6">
        <v>0</v>
      </c>
      <c r="Q2957" s="6">
        <v>0</v>
      </c>
      <c r="R2957" s="6">
        <v>66</v>
      </c>
      <c r="S2957" s="6">
        <v>200</v>
      </c>
    </row>
    <row r="2958" spans="1:19" ht="15" hidden="1" x14ac:dyDescent="0.25">
      <c r="A2958" s="7" t="s">
        <v>16</v>
      </c>
      <c r="B2958" s="7" t="s">
        <v>229</v>
      </c>
      <c r="C2958" s="7" t="s">
        <v>24</v>
      </c>
      <c r="D2958" s="4">
        <v>13131370000100</v>
      </c>
      <c r="E2958" s="8" t="s">
        <v>870</v>
      </c>
      <c r="F2958" s="8" t="s">
        <v>84</v>
      </c>
      <c r="G2958" s="8" t="s">
        <v>85</v>
      </c>
      <c r="H2958" s="8" t="s">
        <v>215</v>
      </c>
      <c r="I2958" s="3">
        <v>2</v>
      </c>
      <c r="J2958" s="8" t="s">
        <v>167</v>
      </c>
      <c r="K2958" s="8" t="s">
        <v>168</v>
      </c>
      <c r="L2958" s="8" t="s">
        <v>557</v>
      </c>
      <c r="M2958" s="1" t="s">
        <v>211</v>
      </c>
      <c r="N2958" s="8" t="s">
        <v>212</v>
      </c>
      <c r="O2958" s="6">
        <v>0</v>
      </c>
      <c r="P2958" s="6">
        <v>4</v>
      </c>
      <c r="Q2958" s="6">
        <v>0</v>
      </c>
      <c r="R2958" s="6">
        <v>0</v>
      </c>
      <c r="S2958" s="6">
        <v>200</v>
      </c>
    </row>
    <row r="2959" spans="1:19" ht="15" hidden="1" x14ac:dyDescent="0.25">
      <c r="A2959" s="7" t="s">
        <v>16</v>
      </c>
      <c r="B2959" s="7" t="s">
        <v>229</v>
      </c>
      <c r="C2959" s="7" t="s">
        <v>24</v>
      </c>
      <c r="D2959" s="4">
        <v>3091003000176</v>
      </c>
      <c r="E2959" s="8" t="s">
        <v>782</v>
      </c>
      <c r="F2959" s="8" t="s">
        <v>84</v>
      </c>
      <c r="G2959" s="8" t="s">
        <v>85</v>
      </c>
      <c r="H2959" s="8" t="s">
        <v>215</v>
      </c>
      <c r="I2959" s="3">
        <v>2</v>
      </c>
      <c r="J2959" s="8" t="s">
        <v>199</v>
      </c>
      <c r="K2959" s="8" t="s">
        <v>200</v>
      </c>
      <c r="L2959" s="8" t="s">
        <v>556</v>
      </c>
      <c r="M2959" s="1" t="s">
        <v>211</v>
      </c>
      <c r="N2959" s="8" t="s">
        <v>212</v>
      </c>
      <c r="O2959" s="6">
        <v>0</v>
      </c>
      <c r="P2959" s="6">
        <v>0</v>
      </c>
      <c r="Q2959" s="6">
        <v>0</v>
      </c>
      <c r="R2959" s="6">
        <v>0</v>
      </c>
      <c r="S2959" s="6">
        <v>175</v>
      </c>
    </row>
    <row r="2960" spans="1:19" ht="15" hidden="1" x14ac:dyDescent="0.25">
      <c r="A2960" s="7" t="s">
        <v>16</v>
      </c>
      <c r="B2960" s="7" t="s">
        <v>229</v>
      </c>
      <c r="C2960" s="7" t="s">
        <v>24</v>
      </c>
      <c r="D2960" s="4">
        <v>3091003000176</v>
      </c>
      <c r="E2960" s="8" t="s">
        <v>782</v>
      </c>
      <c r="F2960" s="8" t="s">
        <v>84</v>
      </c>
      <c r="G2960" s="8" t="s">
        <v>85</v>
      </c>
      <c r="H2960" s="8" t="s">
        <v>215</v>
      </c>
      <c r="I2960" s="3">
        <v>2</v>
      </c>
      <c r="J2960" s="8" t="s">
        <v>167</v>
      </c>
      <c r="K2960" s="8" t="s">
        <v>168</v>
      </c>
      <c r="L2960" s="8" t="s">
        <v>557</v>
      </c>
      <c r="M2960" s="1" t="s">
        <v>211</v>
      </c>
      <c r="N2960" s="8" t="s">
        <v>212</v>
      </c>
      <c r="O2960" s="6">
        <v>0</v>
      </c>
      <c r="P2960" s="6">
        <v>0</v>
      </c>
      <c r="Q2960" s="6">
        <v>0</v>
      </c>
      <c r="R2960" s="6">
        <v>0</v>
      </c>
      <c r="S2960" s="6">
        <v>175</v>
      </c>
    </row>
    <row r="2961" spans="1:19" ht="15" hidden="1" x14ac:dyDescent="0.25">
      <c r="A2961" s="7" t="s">
        <v>16</v>
      </c>
      <c r="B2961" s="7" t="s">
        <v>229</v>
      </c>
      <c r="C2961" s="7" t="s">
        <v>24</v>
      </c>
      <c r="D2961" s="4">
        <v>16064313000577</v>
      </c>
      <c r="E2961" s="8" t="s">
        <v>898</v>
      </c>
      <c r="F2961" s="8" t="s">
        <v>84</v>
      </c>
      <c r="G2961" s="8" t="s">
        <v>85</v>
      </c>
      <c r="H2961" s="8" t="s">
        <v>215</v>
      </c>
      <c r="I2961" s="3">
        <v>2</v>
      </c>
      <c r="J2961" s="8" t="s">
        <v>199</v>
      </c>
      <c r="K2961" s="8" t="s">
        <v>200</v>
      </c>
      <c r="L2961" s="8" t="s">
        <v>556</v>
      </c>
      <c r="M2961" s="1" t="s">
        <v>211</v>
      </c>
      <c r="N2961" s="8" t="s">
        <v>212</v>
      </c>
      <c r="O2961" s="6">
        <v>0</v>
      </c>
      <c r="P2961" s="6">
        <v>0</v>
      </c>
      <c r="Q2961" s="6">
        <v>0</v>
      </c>
      <c r="R2961" s="6">
        <v>21</v>
      </c>
      <c r="S2961" s="6">
        <v>0</v>
      </c>
    </row>
    <row r="2962" spans="1:19" ht="15" hidden="1" x14ac:dyDescent="0.25">
      <c r="A2962" s="7" t="s">
        <v>16</v>
      </c>
      <c r="B2962" s="7" t="s">
        <v>229</v>
      </c>
      <c r="C2962" s="7" t="s">
        <v>24</v>
      </c>
      <c r="D2962" s="4">
        <v>16064313000577</v>
      </c>
      <c r="E2962" s="8" t="s">
        <v>898</v>
      </c>
      <c r="F2962" s="8" t="s">
        <v>84</v>
      </c>
      <c r="G2962" s="8" t="s">
        <v>85</v>
      </c>
      <c r="H2962" s="8" t="s">
        <v>215</v>
      </c>
      <c r="I2962" s="3">
        <v>2</v>
      </c>
      <c r="J2962" s="8" t="s">
        <v>167</v>
      </c>
      <c r="K2962" s="8" t="s">
        <v>168</v>
      </c>
      <c r="L2962" s="8" t="s">
        <v>557</v>
      </c>
      <c r="M2962" s="1" t="s">
        <v>211</v>
      </c>
      <c r="N2962" s="8" t="s">
        <v>212</v>
      </c>
      <c r="O2962" s="6">
        <v>0</v>
      </c>
      <c r="P2962" s="6">
        <v>0</v>
      </c>
      <c r="Q2962" s="6">
        <v>0</v>
      </c>
      <c r="R2962" s="6">
        <v>0</v>
      </c>
      <c r="S2962" s="6">
        <v>0</v>
      </c>
    </row>
    <row r="2963" spans="1:19" ht="15" hidden="1" x14ac:dyDescent="0.25">
      <c r="A2963" s="7" t="s">
        <v>16</v>
      </c>
      <c r="B2963" s="7" t="s">
        <v>229</v>
      </c>
      <c r="C2963" s="7" t="s">
        <v>24</v>
      </c>
      <c r="D2963" s="4">
        <v>25026561000190</v>
      </c>
      <c r="E2963" s="8" t="s">
        <v>666</v>
      </c>
      <c r="F2963" s="8" t="s">
        <v>34</v>
      </c>
      <c r="G2963" s="8" t="s">
        <v>19</v>
      </c>
      <c r="H2963" s="8" t="s">
        <v>215</v>
      </c>
      <c r="I2963" s="3">
        <v>2</v>
      </c>
      <c r="J2963" s="8" t="s">
        <v>151</v>
      </c>
      <c r="K2963" s="8" t="s">
        <v>152</v>
      </c>
      <c r="L2963" s="8" t="s">
        <v>556</v>
      </c>
      <c r="M2963" s="1" t="s">
        <v>207</v>
      </c>
      <c r="N2963" s="8" t="s">
        <v>208</v>
      </c>
      <c r="O2963" s="6">
        <v>0</v>
      </c>
      <c r="P2963" s="6">
        <v>0</v>
      </c>
      <c r="Q2963" s="6">
        <v>0</v>
      </c>
      <c r="R2963" s="6">
        <v>0</v>
      </c>
      <c r="S2963" s="6">
        <v>40</v>
      </c>
    </row>
    <row r="2964" spans="1:19" ht="15" hidden="1" x14ac:dyDescent="0.25">
      <c r="A2964" s="7" t="s">
        <v>16</v>
      </c>
      <c r="B2964" s="7" t="s">
        <v>229</v>
      </c>
      <c r="C2964" s="7" t="s">
        <v>24</v>
      </c>
      <c r="D2964" s="4">
        <v>25026561000190</v>
      </c>
      <c r="E2964" s="8" t="s">
        <v>666</v>
      </c>
      <c r="F2964" s="8" t="s">
        <v>34</v>
      </c>
      <c r="G2964" s="8" t="s">
        <v>19</v>
      </c>
      <c r="H2964" s="8" t="s">
        <v>215</v>
      </c>
      <c r="I2964" s="3">
        <v>2</v>
      </c>
      <c r="J2964" s="8" t="s">
        <v>149</v>
      </c>
      <c r="K2964" s="8" t="s">
        <v>150</v>
      </c>
      <c r="L2964" s="8" t="s">
        <v>557</v>
      </c>
      <c r="M2964" s="1" t="s">
        <v>207</v>
      </c>
      <c r="N2964" s="8" t="s">
        <v>208</v>
      </c>
      <c r="O2964" s="6">
        <v>0</v>
      </c>
      <c r="P2964" s="6">
        <v>0</v>
      </c>
      <c r="Q2964" s="6">
        <v>0</v>
      </c>
      <c r="R2964" s="6">
        <v>0</v>
      </c>
      <c r="S2964" s="6">
        <v>40</v>
      </c>
    </row>
    <row r="2965" spans="1:19" ht="15" hidden="1" x14ac:dyDescent="0.25">
      <c r="A2965" s="7" t="s">
        <v>16</v>
      </c>
      <c r="B2965" s="7" t="s">
        <v>229</v>
      </c>
      <c r="C2965" s="7" t="s">
        <v>24</v>
      </c>
      <c r="D2965" s="4">
        <v>54012406000385</v>
      </c>
      <c r="E2965" s="8" t="s">
        <v>718</v>
      </c>
      <c r="F2965" s="8" t="s">
        <v>45</v>
      </c>
      <c r="G2965" s="8" t="s">
        <v>19</v>
      </c>
      <c r="H2965" s="8" t="s">
        <v>215</v>
      </c>
      <c r="I2965" s="3">
        <v>2</v>
      </c>
      <c r="J2965" s="8" t="s">
        <v>151</v>
      </c>
      <c r="K2965" s="8" t="s">
        <v>152</v>
      </c>
      <c r="L2965" s="8" t="s">
        <v>556</v>
      </c>
      <c r="M2965" s="1" t="s">
        <v>207</v>
      </c>
      <c r="N2965" s="8" t="s">
        <v>208</v>
      </c>
      <c r="O2965" s="6">
        <v>0</v>
      </c>
      <c r="P2965" s="6">
        <v>0</v>
      </c>
      <c r="Q2965" s="6">
        <v>0</v>
      </c>
      <c r="R2965" s="6">
        <v>0</v>
      </c>
      <c r="S2965" s="6">
        <v>65</v>
      </c>
    </row>
    <row r="2966" spans="1:19" ht="15" hidden="1" x14ac:dyDescent="0.25">
      <c r="A2966" s="7" t="s">
        <v>16</v>
      </c>
      <c r="B2966" s="7" t="s">
        <v>229</v>
      </c>
      <c r="C2966" s="7" t="s">
        <v>24</v>
      </c>
      <c r="D2966" s="4">
        <v>54012406000385</v>
      </c>
      <c r="E2966" s="8" t="s">
        <v>718</v>
      </c>
      <c r="F2966" s="8" t="s">
        <v>45</v>
      </c>
      <c r="G2966" s="8" t="s">
        <v>19</v>
      </c>
      <c r="H2966" s="8" t="s">
        <v>215</v>
      </c>
      <c r="I2966" s="3">
        <v>2</v>
      </c>
      <c r="J2966" s="8" t="s">
        <v>149</v>
      </c>
      <c r="K2966" s="8" t="s">
        <v>150</v>
      </c>
      <c r="L2966" s="8" t="s">
        <v>557</v>
      </c>
      <c r="M2966" s="1" t="s">
        <v>207</v>
      </c>
      <c r="N2966" s="8" t="s">
        <v>208</v>
      </c>
      <c r="O2966" s="6">
        <v>0</v>
      </c>
      <c r="P2966" s="6">
        <v>0</v>
      </c>
      <c r="Q2966" s="6">
        <v>0</v>
      </c>
      <c r="R2966" s="6">
        <v>0</v>
      </c>
      <c r="S2966" s="6">
        <v>65</v>
      </c>
    </row>
    <row r="2967" spans="1:19" ht="15" hidden="1" x14ac:dyDescent="0.25">
      <c r="A2967" s="7" t="s">
        <v>16</v>
      </c>
      <c r="B2967" s="7" t="s">
        <v>229</v>
      </c>
      <c r="C2967" s="7" t="s">
        <v>24</v>
      </c>
      <c r="D2967" s="4">
        <v>51093193000456</v>
      </c>
      <c r="E2967" s="8" t="s">
        <v>708</v>
      </c>
      <c r="F2967" s="8" t="s">
        <v>698</v>
      </c>
      <c r="G2967" s="8" t="s">
        <v>19</v>
      </c>
      <c r="H2967" s="8" t="s">
        <v>215</v>
      </c>
      <c r="I2967" s="3">
        <v>2</v>
      </c>
      <c r="J2967" s="8" t="s">
        <v>151</v>
      </c>
      <c r="K2967" s="8" t="s">
        <v>152</v>
      </c>
      <c r="L2967" s="8" t="s">
        <v>556</v>
      </c>
      <c r="M2967" s="1" t="s">
        <v>207</v>
      </c>
      <c r="N2967" s="8" t="s">
        <v>208</v>
      </c>
      <c r="O2967" s="6">
        <v>0</v>
      </c>
      <c r="P2967" s="6">
        <v>0</v>
      </c>
      <c r="Q2967" s="6">
        <v>0</v>
      </c>
      <c r="R2967" s="6">
        <v>0</v>
      </c>
      <c r="S2967" s="6">
        <v>20</v>
      </c>
    </row>
    <row r="2968" spans="1:19" ht="15" hidden="1" x14ac:dyDescent="0.25">
      <c r="A2968" s="7" t="s">
        <v>16</v>
      </c>
      <c r="B2968" s="7" t="s">
        <v>229</v>
      </c>
      <c r="C2968" s="7" t="s">
        <v>24</v>
      </c>
      <c r="D2968" s="4">
        <v>51093193000456</v>
      </c>
      <c r="E2968" s="8" t="s">
        <v>708</v>
      </c>
      <c r="F2968" s="8" t="s">
        <v>698</v>
      </c>
      <c r="G2968" s="8" t="s">
        <v>19</v>
      </c>
      <c r="H2968" s="8" t="s">
        <v>215</v>
      </c>
      <c r="I2968" s="3">
        <v>2</v>
      </c>
      <c r="J2968" s="8" t="s">
        <v>149</v>
      </c>
      <c r="K2968" s="8" t="s">
        <v>150</v>
      </c>
      <c r="L2968" s="8" t="s">
        <v>557</v>
      </c>
      <c r="M2968" s="1" t="s">
        <v>207</v>
      </c>
      <c r="N2968" s="8" t="s">
        <v>208</v>
      </c>
      <c r="O2968" s="6">
        <v>0</v>
      </c>
      <c r="P2968" s="6">
        <v>0</v>
      </c>
      <c r="Q2968" s="6">
        <v>0</v>
      </c>
      <c r="R2968" s="6">
        <v>0</v>
      </c>
      <c r="S2968" s="6">
        <v>20</v>
      </c>
    </row>
    <row r="2969" spans="1:19" ht="15" hidden="1" x14ac:dyDescent="0.25">
      <c r="A2969" s="7" t="s">
        <v>16</v>
      </c>
      <c r="B2969" s="7" t="s">
        <v>229</v>
      </c>
      <c r="C2969" s="7" t="s">
        <v>24</v>
      </c>
      <c r="D2969" s="4">
        <v>4275687000129</v>
      </c>
      <c r="E2969" s="8" t="s">
        <v>645</v>
      </c>
      <c r="F2969" s="8" t="s">
        <v>31</v>
      </c>
      <c r="G2969" s="8" t="s">
        <v>19</v>
      </c>
      <c r="H2969" s="8" t="s">
        <v>215</v>
      </c>
      <c r="I2969" s="3">
        <v>2</v>
      </c>
      <c r="J2969" s="8" t="s">
        <v>151</v>
      </c>
      <c r="K2969" s="8" t="s">
        <v>152</v>
      </c>
      <c r="L2969" s="8" t="s">
        <v>556</v>
      </c>
      <c r="M2969" s="1" t="s">
        <v>207</v>
      </c>
      <c r="N2969" s="8" t="s">
        <v>208</v>
      </c>
      <c r="O2969" s="6">
        <v>0</v>
      </c>
      <c r="P2969" s="6">
        <v>0</v>
      </c>
      <c r="Q2969" s="6">
        <v>0</v>
      </c>
      <c r="R2969" s="6">
        <v>45</v>
      </c>
      <c r="S2969" s="6">
        <v>0</v>
      </c>
    </row>
    <row r="2970" spans="1:19" ht="15" hidden="1" x14ac:dyDescent="0.25">
      <c r="A2970" s="7" t="s">
        <v>16</v>
      </c>
      <c r="B2970" s="7" t="s">
        <v>229</v>
      </c>
      <c r="C2970" s="7" t="s">
        <v>24</v>
      </c>
      <c r="D2970" s="4">
        <v>4275687000129</v>
      </c>
      <c r="E2970" s="8" t="s">
        <v>645</v>
      </c>
      <c r="F2970" s="8" t="s">
        <v>31</v>
      </c>
      <c r="G2970" s="8" t="s">
        <v>19</v>
      </c>
      <c r="H2970" s="8" t="s">
        <v>215</v>
      </c>
      <c r="I2970" s="3">
        <v>2</v>
      </c>
      <c r="J2970" s="8" t="s">
        <v>149</v>
      </c>
      <c r="K2970" s="8" t="s">
        <v>150</v>
      </c>
      <c r="L2970" s="8" t="s">
        <v>557</v>
      </c>
      <c r="M2970" s="1" t="s">
        <v>207</v>
      </c>
      <c r="N2970" s="8" t="s">
        <v>208</v>
      </c>
      <c r="O2970" s="6">
        <v>0</v>
      </c>
      <c r="P2970" s="6">
        <v>0</v>
      </c>
      <c r="Q2970" s="6">
        <v>0</v>
      </c>
      <c r="R2970" s="6">
        <v>0</v>
      </c>
      <c r="S2970" s="6">
        <v>0</v>
      </c>
    </row>
    <row r="2971" spans="1:19" ht="15" hidden="1" x14ac:dyDescent="0.25">
      <c r="A2971" s="7" t="s">
        <v>16</v>
      </c>
      <c r="B2971" s="7" t="s">
        <v>229</v>
      </c>
      <c r="C2971" s="7" t="s">
        <v>24</v>
      </c>
      <c r="D2971" s="4">
        <v>49150352000201</v>
      </c>
      <c r="E2971" s="8" t="s">
        <v>1228</v>
      </c>
      <c r="F2971" s="8" t="s">
        <v>1229</v>
      </c>
      <c r="G2971" s="8" t="s">
        <v>19</v>
      </c>
      <c r="H2971" s="8" t="s">
        <v>215</v>
      </c>
      <c r="I2971" s="3">
        <v>2</v>
      </c>
      <c r="J2971" s="8" t="s">
        <v>151</v>
      </c>
      <c r="K2971" s="8" t="s">
        <v>152</v>
      </c>
      <c r="L2971" s="8" t="s">
        <v>556</v>
      </c>
      <c r="M2971" s="1" t="s">
        <v>207</v>
      </c>
      <c r="N2971" s="8" t="s">
        <v>208</v>
      </c>
      <c r="O2971" s="6">
        <v>0</v>
      </c>
      <c r="P2971" s="6">
        <v>0</v>
      </c>
      <c r="Q2971" s="6">
        <v>0</v>
      </c>
      <c r="R2971" s="6">
        <v>0</v>
      </c>
      <c r="S2971" s="6">
        <v>0</v>
      </c>
    </row>
    <row r="2972" spans="1:19" ht="15" hidden="1" x14ac:dyDescent="0.25">
      <c r="A2972" s="7" t="s">
        <v>16</v>
      </c>
      <c r="B2972" s="7" t="s">
        <v>229</v>
      </c>
      <c r="C2972" s="7" t="s">
        <v>24</v>
      </c>
      <c r="D2972" s="4">
        <v>49150352000201</v>
      </c>
      <c r="E2972" s="8" t="s">
        <v>1228</v>
      </c>
      <c r="F2972" s="8" t="s">
        <v>1229</v>
      </c>
      <c r="G2972" s="8" t="s">
        <v>19</v>
      </c>
      <c r="H2972" s="8" t="s">
        <v>215</v>
      </c>
      <c r="I2972" s="3">
        <v>2</v>
      </c>
      <c r="J2972" s="8" t="s">
        <v>149</v>
      </c>
      <c r="K2972" s="8" t="s">
        <v>150</v>
      </c>
      <c r="L2972" s="8" t="s">
        <v>557</v>
      </c>
      <c r="M2972" s="1" t="s">
        <v>207</v>
      </c>
      <c r="N2972" s="8" t="s">
        <v>208</v>
      </c>
      <c r="O2972" s="6">
        <v>0</v>
      </c>
      <c r="P2972" s="6">
        <v>5</v>
      </c>
      <c r="Q2972" s="6">
        <v>0</v>
      </c>
      <c r="R2972" s="6">
        <v>0</v>
      </c>
      <c r="S2972" s="6">
        <v>0</v>
      </c>
    </row>
    <row r="2973" spans="1:19" ht="15" hidden="1" x14ac:dyDescent="0.25">
      <c r="A2973" s="7" t="s">
        <v>16</v>
      </c>
      <c r="B2973" s="7" t="s">
        <v>229</v>
      </c>
      <c r="C2973" s="7" t="s">
        <v>24</v>
      </c>
      <c r="D2973" s="4">
        <v>44456036000311</v>
      </c>
      <c r="E2973" s="8" t="s">
        <v>675</v>
      </c>
      <c r="F2973" s="8" t="s">
        <v>37</v>
      </c>
      <c r="G2973" s="8" t="s">
        <v>19</v>
      </c>
      <c r="H2973" s="8" t="s">
        <v>215</v>
      </c>
      <c r="I2973" s="3">
        <v>2</v>
      </c>
      <c r="J2973" s="8" t="s">
        <v>151</v>
      </c>
      <c r="K2973" s="8" t="s">
        <v>152</v>
      </c>
      <c r="L2973" s="8" t="s">
        <v>556</v>
      </c>
      <c r="M2973" s="1" t="s">
        <v>207</v>
      </c>
      <c r="N2973" s="8" t="s">
        <v>208</v>
      </c>
      <c r="O2973" s="6">
        <v>4</v>
      </c>
      <c r="P2973" s="6">
        <v>0</v>
      </c>
      <c r="Q2973" s="6">
        <v>0</v>
      </c>
      <c r="R2973" s="6">
        <v>0</v>
      </c>
      <c r="S2973" s="6">
        <v>0</v>
      </c>
    </row>
    <row r="2974" spans="1:19" ht="15" hidden="1" x14ac:dyDescent="0.25">
      <c r="A2974" s="7" t="s">
        <v>16</v>
      </c>
      <c r="B2974" s="7" t="s">
        <v>229</v>
      </c>
      <c r="C2974" s="7" t="s">
        <v>24</v>
      </c>
      <c r="D2974" s="4">
        <v>44456036000311</v>
      </c>
      <c r="E2974" s="8" t="s">
        <v>675</v>
      </c>
      <c r="F2974" s="8" t="s">
        <v>37</v>
      </c>
      <c r="G2974" s="8" t="s">
        <v>19</v>
      </c>
      <c r="H2974" s="8" t="s">
        <v>215</v>
      </c>
      <c r="I2974" s="3">
        <v>2</v>
      </c>
      <c r="J2974" s="8" t="s">
        <v>149</v>
      </c>
      <c r="K2974" s="8" t="s">
        <v>150</v>
      </c>
      <c r="L2974" s="8" t="s">
        <v>557</v>
      </c>
      <c r="M2974" s="1" t="s">
        <v>207</v>
      </c>
      <c r="N2974" s="8" t="s">
        <v>208</v>
      </c>
      <c r="O2974" s="6">
        <v>0</v>
      </c>
      <c r="P2974" s="6">
        <v>2</v>
      </c>
      <c r="Q2974" s="6">
        <v>1</v>
      </c>
      <c r="R2974" s="6">
        <v>0</v>
      </c>
      <c r="S2974" s="6">
        <v>0</v>
      </c>
    </row>
    <row r="2975" spans="1:19" ht="15" hidden="1" x14ac:dyDescent="0.25">
      <c r="A2975" s="7" t="s">
        <v>16</v>
      </c>
      <c r="B2975" s="7" t="s">
        <v>229</v>
      </c>
      <c r="C2975" s="7" t="s">
        <v>24</v>
      </c>
      <c r="D2975" s="4">
        <v>10447300000177</v>
      </c>
      <c r="E2975" s="8" t="s">
        <v>658</v>
      </c>
      <c r="F2975" s="8" t="s">
        <v>33</v>
      </c>
      <c r="G2975" s="8" t="s">
        <v>19</v>
      </c>
      <c r="H2975" s="8" t="s">
        <v>215</v>
      </c>
      <c r="I2975" s="3">
        <v>2</v>
      </c>
      <c r="J2975" s="8" t="s">
        <v>151</v>
      </c>
      <c r="K2975" s="8" t="s">
        <v>152</v>
      </c>
      <c r="L2975" s="8" t="s">
        <v>556</v>
      </c>
      <c r="M2975" s="1" t="s">
        <v>207</v>
      </c>
      <c r="N2975" s="8" t="s">
        <v>208</v>
      </c>
      <c r="O2975" s="6">
        <v>0</v>
      </c>
      <c r="P2975" s="6">
        <v>0</v>
      </c>
      <c r="Q2975" s="6">
        <v>0</v>
      </c>
      <c r="R2975" s="6">
        <v>20</v>
      </c>
      <c r="S2975" s="6">
        <v>0</v>
      </c>
    </row>
    <row r="2976" spans="1:19" ht="15" hidden="1" x14ac:dyDescent="0.25">
      <c r="A2976" s="7" t="s">
        <v>16</v>
      </c>
      <c r="B2976" s="7" t="s">
        <v>229</v>
      </c>
      <c r="C2976" s="7" t="s">
        <v>24</v>
      </c>
      <c r="D2976" s="4">
        <v>10447300000177</v>
      </c>
      <c r="E2976" s="8" t="s">
        <v>658</v>
      </c>
      <c r="F2976" s="8" t="s">
        <v>33</v>
      </c>
      <c r="G2976" s="8" t="s">
        <v>19</v>
      </c>
      <c r="H2976" s="8" t="s">
        <v>215</v>
      </c>
      <c r="I2976" s="3">
        <v>2</v>
      </c>
      <c r="J2976" s="8" t="s">
        <v>149</v>
      </c>
      <c r="K2976" s="8" t="s">
        <v>150</v>
      </c>
      <c r="L2976" s="8" t="s">
        <v>557</v>
      </c>
      <c r="M2976" s="1" t="s">
        <v>207</v>
      </c>
      <c r="N2976" s="8" t="s">
        <v>208</v>
      </c>
      <c r="O2976" s="6">
        <v>0</v>
      </c>
      <c r="P2976" s="6">
        <v>0</v>
      </c>
      <c r="Q2976" s="6">
        <v>0</v>
      </c>
      <c r="R2976" s="6">
        <v>0</v>
      </c>
      <c r="S2976" s="6">
        <v>0</v>
      </c>
    </row>
    <row r="2977" spans="1:19" ht="15" hidden="1" x14ac:dyDescent="0.25">
      <c r="A2977" s="7" t="s">
        <v>16</v>
      </c>
      <c r="B2977" s="7" t="s">
        <v>229</v>
      </c>
      <c r="C2977" s="7" t="s">
        <v>24</v>
      </c>
      <c r="D2977" s="4">
        <v>46020301000269</v>
      </c>
      <c r="E2977" s="8" t="s">
        <v>691</v>
      </c>
      <c r="F2977" s="8" t="s">
        <v>33</v>
      </c>
      <c r="G2977" s="8" t="s">
        <v>19</v>
      </c>
      <c r="H2977" s="8" t="s">
        <v>215</v>
      </c>
      <c r="I2977" s="3">
        <v>2</v>
      </c>
      <c r="J2977" s="8" t="s">
        <v>151</v>
      </c>
      <c r="K2977" s="8" t="s">
        <v>152</v>
      </c>
      <c r="L2977" s="8" t="s">
        <v>556</v>
      </c>
      <c r="M2977" s="1" t="s">
        <v>207</v>
      </c>
      <c r="N2977" s="8" t="s">
        <v>208</v>
      </c>
      <c r="O2977" s="6">
        <v>0</v>
      </c>
      <c r="P2977" s="6">
        <v>0</v>
      </c>
      <c r="Q2977" s="6">
        <v>0</v>
      </c>
      <c r="R2977" s="6">
        <v>35</v>
      </c>
      <c r="S2977" s="6">
        <v>0</v>
      </c>
    </row>
    <row r="2978" spans="1:19" ht="15" hidden="1" x14ac:dyDescent="0.25">
      <c r="A2978" s="7" t="s">
        <v>16</v>
      </c>
      <c r="B2978" s="7" t="s">
        <v>229</v>
      </c>
      <c r="C2978" s="7" t="s">
        <v>24</v>
      </c>
      <c r="D2978" s="4">
        <v>46020301000269</v>
      </c>
      <c r="E2978" s="8" t="s">
        <v>691</v>
      </c>
      <c r="F2978" s="8" t="s">
        <v>33</v>
      </c>
      <c r="G2978" s="8" t="s">
        <v>19</v>
      </c>
      <c r="H2978" s="8" t="s">
        <v>215</v>
      </c>
      <c r="I2978" s="3">
        <v>2</v>
      </c>
      <c r="J2978" s="8" t="s">
        <v>149</v>
      </c>
      <c r="K2978" s="8" t="s">
        <v>150</v>
      </c>
      <c r="L2978" s="8" t="s">
        <v>557</v>
      </c>
      <c r="M2978" s="1" t="s">
        <v>207</v>
      </c>
      <c r="N2978" s="8" t="s">
        <v>208</v>
      </c>
      <c r="O2978" s="6">
        <v>0</v>
      </c>
      <c r="P2978" s="6">
        <v>1</v>
      </c>
      <c r="Q2978" s="6">
        <v>0</v>
      </c>
      <c r="R2978" s="6">
        <v>0</v>
      </c>
      <c r="S2978" s="6">
        <v>0</v>
      </c>
    </row>
    <row r="2979" spans="1:19" ht="15" hidden="1" x14ac:dyDescent="0.25">
      <c r="A2979" s="7" t="s">
        <v>16</v>
      </c>
      <c r="B2979" s="7" t="s">
        <v>229</v>
      </c>
      <c r="C2979" s="7" t="s">
        <v>24</v>
      </c>
      <c r="D2979" s="4">
        <v>46009718000140</v>
      </c>
      <c r="E2979" s="8" t="s">
        <v>690</v>
      </c>
      <c r="F2979" s="8" t="s">
        <v>33</v>
      </c>
      <c r="G2979" s="8" t="s">
        <v>19</v>
      </c>
      <c r="H2979" s="8" t="s">
        <v>215</v>
      </c>
      <c r="I2979" s="3">
        <v>2</v>
      </c>
      <c r="J2979" s="8" t="s">
        <v>151</v>
      </c>
      <c r="K2979" s="8" t="s">
        <v>152</v>
      </c>
      <c r="L2979" s="8" t="s">
        <v>556</v>
      </c>
      <c r="M2979" s="1" t="s">
        <v>207</v>
      </c>
      <c r="N2979" s="8" t="s">
        <v>208</v>
      </c>
      <c r="O2979" s="6">
        <v>0</v>
      </c>
      <c r="P2979" s="6">
        <v>0</v>
      </c>
      <c r="Q2979" s="6">
        <v>0</v>
      </c>
      <c r="R2979" s="6">
        <v>36</v>
      </c>
      <c r="S2979" s="6">
        <v>0</v>
      </c>
    </row>
    <row r="2980" spans="1:19" ht="15" hidden="1" x14ac:dyDescent="0.25">
      <c r="A2980" s="7" t="s">
        <v>16</v>
      </c>
      <c r="B2980" s="7" t="s">
        <v>229</v>
      </c>
      <c r="C2980" s="7" t="s">
        <v>24</v>
      </c>
      <c r="D2980" s="4">
        <v>46009718000140</v>
      </c>
      <c r="E2980" s="8" t="s">
        <v>690</v>
      </c>
      <c r="F2980" s="8" t="s">
        <v>33</v>
      </c>
      <c r="G2980" s="8" t="s">
        <v>19</v>
      </c>
      <c r="H2980" s="8" t="s">
        <v>215</v>
      </c>
      <c r="I2980" s="3">
        <v>2</v>
      </c>
      <c r="J2980" s="8" t="s">
        <v>149</v>
      </c>
      <c r="K2980" s="8" t="s">
        <v>150</v>
      </c>
      <c r="L2980" s="8" t="s">
        <v>557</v>
      </c>
      <c r="M2980" s="1" t="s">
        <v>207</v>
      </c>
      <c r="N2980" s="8" t="s">
        <v>208</v>
      </c>
      <c r="O2980" s="6">
        <v>0</v>
      </c>
      <c r="P2980" s="6">
        <v>0</v>
      </c>
      <c r="Q2980" s="6">
        <v>0</v>
      </c>
      <c r="R2980" s="6">
        <v>0</v>
      </c>
      <c r="S2980" s="6">
        <v>0</v>
      </c>
    </row>
    <row r="2981" spans="1:19" ht="15" hidden="1" x14ac:dyDescent="0.25">
      <c r="A2981" s="7" t="s">
        <v>16</v>
      </c>
      <c r="B2981" s="7" t="s">
        <v>229</v>
      </c>
      <c r="C2981" s="7" t="s">
        <v>24</v>
      </c>
      <c r="D2981" s="4">
        <v>51885242000140</v>
      </c>
      <c r="E2981" s="8" t="s">
        <v>712</v>
      </c>
      <c r="F2981" s="8" t="s">
        <v>33</v>
      </c>
      <c r="G2981" s="8" t="s">
        <v>19</v>
      </c>
      <c r="H2981" s="8" t="s">
        <v>215</v>
      </c>
      <c r="I2981" s="3">
        <v>2</v>
      </c>
      <c r="J2981" s="8" t="s">
        <v>151</v>
      </c>
      <c r="K2981" s="8" t="s">
        <v>152</v>
      </c>
      <c r="L2981" s="8" t="s">
        <v>556</v>
      </c>
      <c r="M2981" s="1" t="s">
        <v>207</v>
      </c>
      <c r="N2981" s="8" t="s">
        <v>208</v>
      </c>
      <c r="O2981" s="6">
        <v>0</v>
      </c>
      <c r="P2981" s="6">
        <v>0</v>
      </c>
      <c r="Q2981" s="6">
        <v>0</v>
      </c>
      <c r="R2981" s="6">
        <v>240</v>
      </c>
      <c r="S2981" s="6">
        <v>0</v>
      </c>
    </row>
    <row r="2982" spans="1:19" ht="15" hidden="1" x14ac:dyDescent="0.25">
      <c r="A2982" s="7" t="s">
        <v>16</v>
      </c>
      <c r="B2982" s="7" t="s">
        <v>229</v>
      </c>
      <c r="C2982" s="7" t="s">
        <v>24</v>
      </c>
      <c r="D2982" s="4">
        <v>51885242000140</v>
      </c>
      <c r="E2982" s="8" t="s">
        <v>712</v>
      </c>
      <c r="F2982" s="8" t="s">
        <v>33</v>
      </c>
      <c r="G2982" s="8" t="s">
        <v>19</v>
      </c>
      <c r="H2982" s="8" t="s">
        <v>215</v>
      </c>
      <c r="I2982" s="3">
        <v>2</v>
      </c>
      <c r="J2982" s="8" t="s">
        <v>149</v>
      </c>
      <c r="K2982" s="8" t="s">
        <v>150</v>
      </c>
      <c r="L2982" s="8" t="s">
        <v>557</v>
      </c>
      <c r="M2982" s="1" t="s">
        <v>207</v>
      </c>
      <c r="N2982" s="8" t="s">
        <v>208</v>
      </c>
      <c r="O2982" s="6">
        <v>0</v>
      </c>
      <c r="P2982" s="6">
        <v>0</v>
      </c>
      <c r="Q2982" s="6">
        <v>0</v>
      </c>
      <c r="R2982" s="6">
        <v>0</v>
      </c>
      <c r="S2982" s="6">
        <v>0</v>
      </c>
    </row>
    <row r="2983" spans="1:19" ht="15" hidden="1" x14ac:dyDescent="0.25">
      <c r="A2983" s="7" t="s">
        <v>16</v>
      </c>
      <c r="B2983" s="7" t="s">
        <v>229</v>
      </c>
      <c r="C2983" s="7" t="s">
        <v>24</v>
      </c>
      <c r="D2983" s="4">
        <v>29435005008456</v>
      </c>
      <c r="E2983" s="8" t="s">
        <v>672</v>
      </c>
      <c r="F2983" s="8" t="s">
        <v>33</v>
      </c>
      <c r="G2983" s="8" t="s">
        <v>19</v>
      </c>
      <c r="H2983" s="8" t="s">
        <v>215</v>
      </c>
      <c r="I2983" s="3">
        <v>2</v>
      </c>
      <c r="J2983" s="8" t="s">
        <v>151</v>
      </c>
      <c r="K2983" s="8" t="s">
        <v>152</v>
      </c>
      <c r="L2983" s="8" t="s">
        <v>556</v>
      </c>
      <c r="M2983" s="1" t="s">
        <v>207</v>
      </c>
      <c r="N2983" s="8" t="s">
        <v>208</v>
      </c>
      <c r="O2983" s="6">
        <v>0</v>
      </c>
      <c r="P2983" s="6">
        <v>0</v>
      </c>
      <c r="Q2983" s="6">
        <v>0</v>
      </c>
      <c r="R2983" s="6">
        <v>0</v>
      </c>
      <c r="S2983" s="6">
        <v>250</v>
      </c>
    </row>
    <row r="2984" spans="1:19" ht="15" hidden="1" x14ac:dyDescent="0.25">
      <c r="A2984" s="7" t="s">
        <v>16</v>
      </c>
      <c r="B2984" s="7" t="s">
        <v>229</v>
      </c>
      <c r="C2984" s="7" t="s">
        <v>24</v>
      </c>
      <c r="D2984" s="4">
        <v>29435005008456</v>
      </c>
      <c r="E2984" s="8" t="s">
        <v>672</v>
      </c>
      <c r="F2984" s="8" t="s">
        <v>33</v>
      </c>
      <c r="G2984" s="8" t="s">
        <v>19</v>
      </c>
      <c r="H2984" s="8" t="s">
        <v>215</v>
      </c>
      <c r="I2984" s="3">
        <v>2</v>
      </c>
      <c r="J2984" s="8" t="s">
        <v>149</v>
      </c>
      <c r="K2984" s="8" t="s">
        <v>150</v>
      </c>
      <c r="L2984" s="8" t="s">
        <v>557</v>
      </c>
      <c r="M2984" s="1" t="s">
        <v>207</v>
      </c>
      <c r="N2984" s="8" t="s">
        <v>208</v>
      </c>
      <c r="O2984" s="6">
        <v>0</v>
      </c>
      <c r="P2984" s="6">
        <v>0</v>
      </c>
      <c r="Q2984" s="6">
        <v>0</v>
      </c>
      <c r="R2984" s="6">
        <v>0</v>
      </c>
      <c r="S2984" s="6">
        <v>250</v>
      </c>
    </row>
    <row r="2985" spans="1:19" ht="15" hidden="1" x14ac:dyDescent="0.25">
      <c r="A2985" s="7" t="s">
        <v>16</v>
      </c>
      <c r="B2985" s="7" t="s">
        <v>229</v>
      </c>
      <c r="C2985" s="7" t="s">
        <v>24</v>
      </c>
      <c r="D2985" s="4">
        <v>46124624000111</v>
      </c>
      <c r="E2985" s="8" t="s">
        <v>693</v>
      </c>
      <c r="F2985" s="8" t="s">
        <v>33</v>
      </c>
      <c r="G2985" s="8" t="s">
        <v>19</v>
      </c>
      <c r="H2985" s="8" t="s">
        <v>215</v>
      </c>
      <c r="I2985" s="3">
        <v>2</v>
      </c>
      <c r="J2985" s="8" t="s">
        <v>151</v>
      </c>
      <c r="K2985" s="8" t="s">
        <v>152</v>
      </c>
      <c r="L2985" s="8" t="s">
        <v>556</v>
      </c>
      <c r="M2985" s="1" t="s">
        <v>207</v>
      </c>
      <c r="N2985" s="8" t="s">
        <v>208</v>
      </c>
      <c r="O2985" s="6">
        <v>0</v>
      </c>
      <c r="P2985" s="6">
        <v>0</v>
      </c>
      <c r="Q2985" s="6">
        <v>0</v>
      </c>
      <c r="R2985" s="6">
        <v>32</v>
      </c>
      <c r="S2985" s="6">
        <v>690</v>
      </c>
    </row>
    <row r="2986" spans="1:19" ht="15" hidden="1" x14ac:dyDescent="0.25">
      <c r="A2986" s="7" t="s">
        <v>16</v>
      </c>
      <c r="B2986" s="7" t="s">
        <v>229</v>
      </c>
      <c r="C2986" s="7" t="s">
        <v>24</v>
      </c>
      <c r="D2986" s="4">
        <v>46124624000111</v>
      </c>
      <c r="E2986" s="8" t="s">
        <v>693</v>
      </c>
      <c r="F2986" s="8" t="s">
        <v>33</v>
      </c>
      <c r="G2986" s="8" t="s">
        <v>19</v>
      </c>
      <c r="H2986" s="8" t="s">
        <v>215</v>
      </c>
      <c r="I2986" s="3">
        <v>2</v>
      </c>
      <c r="J2986" s="8" t="s">
        <v>149</v>
      </c>
      <c r="K2986" s="8" t="s">
        <v>150</v>
      </c>
      <c r="L2986" s="8" t="s">
        <v>557</v>
      </c>
      <c r="M2986" s="1" t="s">
        <v>207</v>
      </c>
      <c r="N2986" s="8" t="s">
        <v>208</v>
      </c>
      <c r="O2986" s="6">
        <v>0</v>
      </c>
      <c r="P2986" s="6">
        <v>0</v>
      </c>
      <c r="Q2986" s="6">
        <v>0</v>
      </c>
      <c r="R2986" s="6">
        <v>0</v>
      </c>
      <c r="S2986" s="6">
        <v>690</v>
      </c>
    </row>
    <row r="2987" spans="1:19" ht="15" hidden="1" x14ac:dyDescent="0.25">
      <c r="A2987" s="7" t="s">
        <v>16</v>
      </c>
      <c r="B2987" s="7" t="s">
        <v>229</v>
      </c>
      <c r="C2987" s="7" t="s">
        <v>24</v>
      </c>
      <c r="D2987" s="4">
        <v>46068425000133</v>
      </c>
      <c r="E2987" s="8" t="s">
        <v>692</v>
      </c>
      <c r="F2987" s="8" t="s">
        <v>33</v>
      </c>
      <c r="G2987" s="8" t="s">
        <v>19</v>
      </c>
      <c r="H2987" s="8" t="s">
        <v>215</v>
      </c>
      <c r="I2987" s="3">
        <v>2</v>
      </c>
      <c r="J2987" s="8" t="s">
        <v>151</v>
      </c>
      <c r="K2987" s="8" t="s">
        <v>152</v>
      </c>
      <c r="L2987" s="8" t="s">
        <v>556</v>
      </c>
      <c r="M2987" s="1" t="s">
        <v>207</v>
      </c>
      <c r="N2987" s="8" t="s">
        <v>208</v>
      </c>
      <c r="O2987" s="6">
        <v>2</v>
      </c>
      <c r="P2987" s="6">
        <v>0</v>
      </c>
      <c r="Q2987" s="6">
        <v>0</v>
      </c>
      <c r="R2987" s="6">
        <v>0</v>
      </c>
      <c r="S2987" s="6">
        <v>0</v>
      </c>
    </row>
    <row r="2988" spans="1:19" ht="15" hidden="1" x14ac:dyDescent="0.25">
      <c r="A2988" s="7" t="s">
        <v>16</v>
      </c>
      <c r="B2988" s="7" t="s">
        <v>229</v>
      </c>
      <c r="C2988" s="7" t="s">
        <v>24</v>
      </c>
      <c r="D2988" s="4">
        <v>46068425000133</v>
      </c>
      <c r="E2988" s="8" t="s">
        <v>692</v>
      </c>
      <c r="F2988" s="8" t="s">
        <v>33</v>
      </c>
      <c r="G2988" s="8" t="s">
        <v>19</v>
      </c>
      <c r="H2988" s="8" t="s">
        <v>215</v>
      </c>
      <c r="I2988" s="3">
        <v>2</v>
      </c>
      <c r="J2988" s="8" t="s">
        <v>149</v>
      </c>
      <c r="K2988" s="8" t="s">
        <v>150</v>
      </c>
      <c r="L2988" s="8" t="s">
        <v>557</v>
      </c>
      <c r="M2988" s="1" t="s">
        <v>207</v>
      </c>
      <c r="N2988" s="8" t="s">
        <v>208</v>
      </c>
      <c r="O2988" s="6">
        <v>0</v>
      </c>
      <c r="P2988" s="6">
        <v>0</v>
      </c>
      <c r="Q2988" s="6">
        <v>0</v>
      </c>
      <c r="R2988" s="6">
        <v>0</v>
      </c>
      <c r="S2988" s="6">
        <v>0</v>
      </c>
    </row>
    <row r="2989" spans="1:19" ht="15" hidden="1" x14ac:dyDescent="0.25">
      <c r="A2989" s="7" t="s">
        <v>16</v>
      </c>
      <c r="B2989" s="7" t="s">
        <v>229</v>
      </c>
      <c r="C2989" s="7" t="s">
        <v>24</v>
      </c>
      <c r="D2989" s="4">
        <v>45118429001279</v>
      </c>
      <c r="E2989" s="8" t="s">
        <v>683</v>
      </c>
      <c r="F2989" s="8" t="s">
        <v>41</v>
      </c>
      <c r="G2989" s="8" t="s">
        <v>19</v>
      </c>
      <c r="H2989" s="8" t="s">
        <v>215</v>
      </c>
      <c r="I2989" s="3">
        <v>2</v>
      </c>
      <c r="J2989" s="8" t="s">
        <v>151</v>
      </c>
      <c r="K2989" s="8" t="s">
        <v>152</v>
      </c>
      <c r="L2989" s="8" t="s">
        <v>556</v>
      </c>
      <c r="M2989" s="1" t="s">
        <v>207</v>
      </c>
      <c r="N2989" s="8" t="s">
        <v>208</v>
      </c>
      <c r="O2989" s="6">
        <v>0</v>
      </c>
      <c r="P2989" s="6">
        <v>0</v>
      </c>
      <c r="Q2989" s="6">
        <v>0</v>
      </c>
      <c r="R2989" s="6">
        <v>0</v>
      </c>
      <c r="S2989" s="6">
        <v>50</v>
      </c>
    </row>
    <row r="2990" spans="1:19" ht="15" hidden="1" x14ac:dyDescent="0.25">
      <c r="A2990" s="7" t="s">
        <v>16</v>
      </c>
      <c r="B2990" s="7" t="s">
        <v>229</v>
      </c>
      <c r="C2990" s="7" t="s">
        <v>24</v>
      </c>
      <c r="D2990" s="4">
        <v>45118429001279</v>
      </c>
      <c r="E2990" s="8" t="s">
        <v>683</v>
      </c>
      <c r="F2990" s="8" t="s">
        <v>41</v>
      </c>
      <c r="G2990" s="8" t="s">
        <v>19</v>
      </c>
      <c r="H2990" s="8" t="s">
        <v>215</v>
      </c>
      <c r="I2990" s="3">
        <v>2</v>
      </c>
      <c r="J2990" s="8" t="s">
        <v>149</v>
      </c>
      <c r="K2990" s="8" t="s">
        <v>150</v>
      </c>
      <c r="L2990" s="8" t="s">
        <v>557</v>
      </c>
      <c r="M2990" s="1" t="s">
        <v>207</v>
      </c>
      <c r="N2990" s="8" t="s">
        <v>208</v>
      </c>
      <c r="O2990" s="6">
        <v>0</v>
      </c>
      <c r="P2990" s="6">
        <v>0</v>
      </c>
      <c r="Q2990" s="6">
        <v>0</v>
      </c>
      <c r="R2990" s="6">
        <v>0</v>
      </c>
      <c r="S2990" s="6">
        <v>50</v>
      </c>
    </row>
    <row r="2991" spans="1:19" ht="15" hidden="1" x14ac:dyDescent="0.25">
      <c r="A2991" s="7" t="s">
        <v>16</v>
      </c>
      <c r="B2991" s="7" t="s">
        <v>229</v>
      </c>
      <c r="C2991" s="7" t="s">
        <v>24</v>
      </c>
      <c r="D2991" s="4">
        <v>50486026000160</v>
      </c>
      <c r="E2991" s="8" t="s">
        <v>706</v>
      </c>
      <c r="F2991" s="8" t="s">
        <v>44</v>
      </c>
      <c r="G2991" s="8" t="s">
        <v>19</v>
      </c>
      <c r="H2991" s="8" t="s">
        <v>215</v>
      </c>
      <c r="I2991" s="3">
        <v>2</v>
      </c>
      <c r="J2991" s="8" t="s">
        <v>151</v>
      </c>
      <c r="K2991" s="8" t="s">
        <v>152</v>
      </c>
      <c r="L2991" s="8" t="s">
        <v>556</v>
      </c>
      <c r="M2991" s="1" t="s">
        <v>207</v>
      </c>
      <c r="N2991" s="8" t="s">
        <v>208</v>
      </c>
      <c r="O2991" s="6">
        <v>0</v>
      </c>
      <c r="P2991" s="6">
        <v>0</v>
      </c>
      <c r="Q2991" s="6">
        <v>0</v>
      </c>
      <c r="R2991" s="6">
        <v>0</v>
      </c>
      <c r="S2991" s="6">
        <v>100</v>
      </c>
    </row>
    <row r="2992" spans="1:19" ht="15" hidden="1" x14ac:dyDescent="0.25">
      <c r="A2992" s="7" t="s">
        <v>16</v>
      </c>
      <c r="B2992" s="7" t="s">
        <v>229</v>
      </c>
      <c r="C2992" s="7" t="s">
        <v>24</v>
      </c>
      <c r="D2992" s="4">
        <v>50486026000160</v>
      </c>
      <c r="E2992" s="8" t="s">
        <v>706</v>
      </c>
      <c r="F2992" s="8" t="s">
        <v>44</v>
      </c>
      <c r="G2992" s="8" t="s">
        <v>19</v>
      </c>
      <c r="H2992" s="8" t="s">
        <v>215</v>
      </c>
      <c r="I2992" s="3">
        <v>2</v>
      </c>
      <c r="J2992" s="8" t="s">
        <v>149</v>
      </c>
      <c r="K2992" s="8" t="s">
        <v>150</v>
      </c>
      <c r="L2992" s="8" t="s">
        <v>557</v>
      </c>
      <c r="M2992" s="1" t="s">
        <v>207</v>
      </c>
      <c r="N2992" s="8" t="s">
        <v>208</v>
      </c>
      <c r="O2992" s="6">
        <v>0</v>
      </c>
      <c r="P2992" s="6">
        <v>0</v>
      </c>
      <c r="Q2992" s="6">
        <v>0</v>
      </c>
      <c r="R2992" s="6">
        <v>0</v>
      </c>
      <c r="S2992" s="6">
        <v>100</v>
      </c>
    </row>
    <row r="2993" spans="1:19" ht="15" hidden="1" x14ac:dyDescent="0.25">
      <c r="A2993" s="7" t="s">
        <v>16</v>
      </c>
      <c r="B2993" s="7" t="s">
        <v>229</v>
      </c>
      <c r="C2993" s="7" t="s">
        <v>24</v>
      </c>
      <c r="D2993" s="4">
        <v>44732469000190</v>
      </c>
      <c r="E2993" s="8" t="s">
        <v>1224</v>
      </c>
      <c r="F2993" s="8" t="s">
        <v>1225</v>
      </c>
      <c r="G2993" s="8" t="s">
        <v>19</v>
      </c>
      <c r="H2993" s="8" t="s">
        <v>215</v>
      </c>
      <c r="I2993" s="3">
        <v>2</v>
      </c>
      <c r="J2993" s="8" t="s">
        <v>151</v>
      </c>
      <c r="K2993" s="8" t="s">
        <v>152</v>
      </c>
      <c r="L2993" s="8" t="s">
        <v>556</v>
      </c>
      <c r="M2993" s="1" t="s">
        <v>207</v>
      </c>
      <c r="N2993" s="8" t="s">
        <v>208</v>
      </c>
      <c r="O2993" s="6">
        <v>0</v>
      </c>
      <c r="P2993" s="6">
        <v>0</v>
      </c>
      <c r="Q2993" s="6">
        <v>0</v>
      </c>
      <c r="R2993" s="6">
        <v>0</v>
      </c>
      <c r="S2993" s="6">
        <v>55</v>
      </c>
    </row>
    <row r="2994" spans="1:19" ht="15" hidden="1" x14ac:dyDescent="0.25">
      <c r="A2994" s="7" t="s">
        <v>16</v>
      </c>
      <c r="B2994" s="7" t="s">
        <v>229</v>
      </c>
      <c r="C2994" s="7" t="s">
        <v>24</v>
      </c>
      <c r="D2994" s="4">
        <v>44732469000190</v>
      </c>
      <c r="E2994" s="8" t="s">
        <v>1224</v>
      </c>
      <c r="F2994" s="8" t="s">
        <v>1225</v>
      </c>
      <c r="G2994" s="8" t="s">
        <v>19</v>
      </c>
      <c r="H2994" s="8" t="s">
        <v>215</v>
      </c>
      <c r="I2994" s="3">
        <v>2</v>
      </c>
      <c r="J2994" s="8" t="s">
        <v>149</v>
      </c>
      <c r="K2994" s="8" t="s">
        <v>150</v>
      </c>
      <c r="L2994" s="8" t="s">
        <v>557</v>
      </c>
      <c r="M2994" s="1" t="s">
        <v>207</v>
      </c>
      <c r="N2994" s="8" t="s">
        <v>208</v>
      </c>
      <c r="O2994" s="6">
        <v>0</v>
      </c>
      <c r="P2994" s="6">
        <v>0</v>
      </c>
      <c r="Q2994" s="6">
        <v>0</v>
      </c>
      <c r="R2994" s="6">
        <v>0</v>
      </c>
      <c r="S2994" s="6">
        <v>55</v>
      </c>
    </row>
    <row r="2995" spans="1:19" ht="15" hidden="1" x14ac:dyDescent="0.25">
      <c r="A2995" s="7" t="s">
        <v>16</v>
      </c>
      <c r="B2995" s="7" t="s">
        <v>229</v>
      </c>
      <c r="C2995" s="7" t="s">
        <v>24</v>
      </c>
      <c r="D2995" s="4">
        <v>50944198000130</v>
      </c>
      <c r="E2995" s="8" t="s">
        <v>707</v>
      </c>
      <c r="F2995" s="8" t="s">
        <v>678</v>
      </c>
      <c r="G2995" s="8" t="s">
        <v>19</v>
      </c>
      <c r="H2995" s="8" t="s">
        <v>215</v>
      </c>
      <c r="I2995" s="3">
        <v>2</v>
      </c>
      <c r="J2995" s="8" t="s">
        <v>151</v>
      </c>
      <c r="K2995" s="8" t="s">
        <v>152</v>
      </c>
      <c r="L2995" s="8" t="s">
        <v>556</v>
      </c>
      <c r="M2995" s="1" t="s">
        <v>207</v>
      </c>
      <c r="N2995" s="8" t="s">
        <v>208</v>
      </c>
      <c r="O2995" s="6">
        <v>0</v>
      </c>
      <c r="P2995" s="6">
        <v>0</v>
      </c>
      <c r="Q2995" s="6">
        <v>0</v>
      </c>
      <c r="R2995" s="6">
        <v>0</v>
      </c>
      <c r="S2995" s="6">
        <v>0</v>
      </c>
    </row>
    <row r="2996" spans="1:19" ht="15" hidden="1" x14ac:dyDescent="0.25">
      <c r="A2996" s="7" t="s">
        <v>16</v>
      </c>
      <c r="B2996" s="7" t="s">
        <v>229</v>
      </c>
      <c r="C2996" s="7" t="s">
        <v>24</v>
      </c>
      <c r="D2996" s="4">
        <v>50944198000130</v>
      </c>
      <c r="E2996" s="8" t="s">
        <v>707</v>
      </c>
      <c r="F2996" s="8" t="s">
        <v>678</v>
      </c>
      <c r="G2996" s="8" t="s">
        <v>19</v>
      </c>
      <c r="H2996" s="8" t="s">
        <v>215</v>
      </c>
      <c r="I2996" s="3">
        <v>2</v>
      </c>
      <c r="J2996" s="8" t="s">
        <v>149</v>
      </c>
      <c r="K2996" s="8" t="s">
        <v>150</v>
      </c>
      <c r="L2996" s="8" t="s">
        <v>557</v>
      </c>
      <c r="M2996" s="1" t="s">
        <v>207</v>
      </c>
      <c r="N2996" s="8" t="s">
        <v>208</v>
      </c>
      <c r="O2996" s="6">
        <v>0</v>
      </c>
      <c r="P2996" s="6">
        <v>16</v>
      </c>
      <c r="Q2996" s="6">
        <v>0</v>
      </c>
      <c r="R2996" s="6">
        <v>0</v>
      </c>
      <c r="S2996" s="6">
        <v>0</v>
      </c>
    </row>
    <row r="2997" spans="1:19" ht="15" hidden="1" x14ac:dyDescent="0.25">
      <c r="A2997" s="7" t="s">
        <v>16</v>
      </c>
      <c r="B2997" s="7" t="s">
        <v>229</v>
      </c>
      <c r="C2997" s="7" t="s">
        <v>24</v>
      </c>
      <c r="D2997" s="4">
        <v>44649812001614</v>
      </c>
      <c r="E2997" s="8" t="s">
        <v>677</v>
      </c>
      <c r="F2997" s="8" t="s">
        <v>678</v>
      </c>
      <c r="G2997" s="8" t="s">
        <v>19</v>
      </c>
      <c r="H2997" s="8" t="s">
        <v>215</v>
      </c>
      <c r="I2997" s="3">
        <v>2</v>
      </c>
      <c r="J2997" s="8" t="s">
        <v>151</v>
      </c>
      <c r="K2997" s="8" t="s">
        <v>152</v>
      </c>
      <c r="L2997" s="8" t="s">
        <v>556</v>
      </c>
      <c r="M2997" s="1" t="s">
        <v>207</v>
      </c>
      <c r="N2997" s="8" t="s">
        <v>208</v>
      </c>
      <c r="O2997" s="6">
        <v>0</v>
      </c>
      <c r="P2997" s="6">
        <v>0</v>
      </c>
      <c r="Q2997" s="6">
        <v>0</v>
      </c>
      <c r="R2997" s="6">
        <v>0</v>
      </c>
      <c r="S2997" s="6">
        <v>0</v>
      </c>
    </row>
    <row r="2998" spans="1:19" ht="15" hidden="1" x14ac:dyDescent="0.25">
      <c r="A2998" s="7" t="s">
        <v>16</v>
      </c>
      <c r="B2998" s="7" t="s">
        <v>229</v>
      </c>
      <c r="C2998" s="7" t="s">
        <v>24</v>
      </c>
      <c r="D2998" s="4">
        <v>44649812001614</v>
      </c>
      <c r="E2998" s="8" t="s">
        <v>677</v>
      </c>
      <c r="F2998" s="8" t="s">
        <v>678</v>
      </c>
      <c r="G2998" s="8" t="s">
        <v>19</v>
      </c>
      <c r="H2998" s="8" t="s">
        <v>215</v>
      </c>
      <c r="I2998" s="3">
        <v>2</v>
      </c>
      <c r="J2998" s="8" t="s">
        <v>149</v>
      </c>
      <c r="K2998" s="8" t="s">
        <v>150</v>
      </c>
      <c r="L2998" s="8" t="s">
        <v>557</v>
      </c>
      <c r="M2998" s="1" t="s">
        <v>207</v>
      </c>
      <c r="N2998" s="8" t="s">
        <v>208</v>
      </c>
      <c r="O2998" s="6">
        <v>0</v>
      </c>
      <c r="P2998" s="6">
        <v>2</v>
      </c>
      <c r="Q2998" s="6">
        <v>0</v>
      </c>
      <c r="R2998" s="6">
        <v>0</v>
      </c>
      <c r="S2998" s="6">
        <v>0</v>
      </c>
    </row>
    <row r="2999" spans="1:19" ht="15" hidden="1" x14ac:dyDescent="0.25">
      <c r="A2999" s="7" t="s">
        <v>16</v>
      </c>
      <c r="B2999" s="7" t="s">
        <v>229</v>
      </c>
      <c r="C2999" s="7" t="s">
        <v>24</v>
      </c>
      <c r="D2999" s="4">
        <v>56727134001216</v>
      </c>
      <c r="E2999" s="8" t="s">
        <v>1230</v>
      </c>
      <c r="F2999" s="8" t="s">
        <v>678</v>
      </c>
      <c r="G2999" s="8" t="s">
        <v>19</v>
      </c>
      <c r="H2999" s="8" t="s">
        <v>215</v>
      </c>
      <c r="I2999" s="3">
        <v>2</v>
      </c>
      <c r="J2999" s="8" t="s">
        <v>151</v>
      </c>
      <c r="K2999" s="8" t="s">
        <v>152</v>
      </c>
      <c r="L2999" s="8" t="s">
        <v>556</v>
      </c>
      <c r="M2999" s="1" t="s">
        <v>207</v>
      </c>
      <c r="N2999" s="8" t="s">
        <v>208</v>
      </c>
      <c r="O2999" s="6">
        <v>0</v>
      </c>
      <c r="P2999" s="6">
        <v>0</v>
      </c>
      <c r="Q2999" s="6">
        <v>0</v>
      </c>
      <c r="R2999" s="6">
        <v>0</v>
      </c>
      <c r="S2999" s="6">
        <v>0</v>
      </c>
    </row>
    <row r="3000" spans="1:19" ht="15" hidden="1" x14ac:dyDescent="0.25">
      <c r="A3000" s="7" t="s">
        <v>16</v>
      </c>
      <c r="B3000" s="7" t="s">
        <v>229</v>
      </c>
      <c r="C3000" s="7" t="s">
        <v>24</v>
      </c>
      <c r="D3000" s="4">
        <v>56727134001216</v>
      </c>
      <c r="E3000" s="8" t="s">
        <v>1230</v>
      </c>
      <c r="F3000" s="8" t="s">
        <v>678</v>
      </c>
      <c r="G3000" s="8" t="s">
        <v>19</v>
      </c>
      <c r="H3000" s="8" t="s">
        <v>215</v>
      </c>
      <c r="I3000" s="3">
        <v>2</v>
      </c>
      <c r="J3000" s="8" t="s">
        <v>149</v>
      </c>
      <c r="K3000" s="8" t="s">
        <v>150</v>
      </c>
      <c r="L3000" s="8" t="s">
        <v>557</v>
      </c>
      <c r="M3000" s="1" t="s">
        <v>207</v>
      </c>
      <c r="N3000" s="8" t="s">
        <v>208</v>
      </c>
      <c r="O3000" s="6">
        <v>0</v>
      </c>
      <c r="P3000" s="6">
        <v>2</v>
      </c>
      <c r="Q3000" s="6">
        <v>0</v>
      </c>
      <c r="R3000" s="6">
        <v>0</v>
      </c>
      <c r="S3000" s="6">
        <v>0</v>
      </c>
    </row>
    <row r="3001" spans="1:19" ht="15" hidden="1" x14ac:dyDescent="0.25">
      <c r="A3001" s="7" t="s">
        <v>16</v>
      </c>
      <c r="B3001" s="7" t="s">
        <v>229</v>
      </c>
      <c r="C3001" s="7" t="s">
        <v>24</v>
      </c>
      <c r="D3001" s="4">
        <v>61699567000869</v>
      </c>
      <c r="E3001" s="8" t="s">
        <v>1233</v>
      </c>
      <c r="F3001" s="8" t="s">
        <v>710</v>
      </c>
      <c r="G3001" s="8" t="s">
        <v>19</v>
      </c>
      <c r="H3001" s="8" t="s">
        <v>215</v>
      </c>
      <c r="I3001" s="3">
        <v>2</v>
      </c>
      <c r="J3001" s="8" t="s">
        <v>161</v>
      </c>
      <c r="K3001" s="8" t="s">
        <v>162</v>
      </c>
      <c r="L3001" s="8" t="s">
        <v>556</v>
      </c>
      <c r="M3001" s="1" t="s">
        <v>207</v>
      </c>
      <c r="N3001" s="8" t="s">
        <v>208</v>
      </c>
      <c r="O3001" s="6">
        <v>0</v>
      </c>
      <c r="P3001" s="6">
        <v>0</v>
      </c>
      <c r="Q3001" s="6">
        <v>0</v>
      </c>
      <c r="R3001" s="6">
        <v>0</v>
      </c>
      <c r="S3001" s="6">
        <v>160</v>
      </c>
    </row>
    <row r="3002" spans="1:19" ht="15" hidden="1" x14ac:dyDescent="0.25">
      <c r="A3002" s="7" t="s">
        <v>16</v>
      </c>
      <c r="B3002" s="7" t="s">
        <v>229</v>
      </c>
      <c r="C3002" s="7" t="s">
        <v>24</v>
      </c>
      <c r="D3002" s="4">
        <v>61699567000869</v>
      </c>
      <c r="E3002" s="8" t="s">
        <v>1233</v>
      </c>
      <c r="F3002" s="8" t="s">
        <v>710</v>
      </c>
      <c r="G3002" s="8" t="s">
        <v>19</v>
      </c>
      <c r="H3002" s="8" t="s">
        <v>215</v>
      </c>
      <c r="I3002" s="3">
        <v>2</v>
      </c>
      <c r="J3002" s="8" t="s">
        <v>147</v>
      </c>
      <c r="K3002" s="8" t="s">
        <v>148</v>
      </c>
      <c r="L3002" s="8" t="s">
        <v>557</v>
      </c>
      <c r="M3002" s="1" t="s">
        <v>207</v>
      </c>
      <c r="N3002" s="8" t="s">
        <v>208</v>
      </c>
      <c r="O3002" s="6">
        <v>0</v>
      </c>
      <c r="P3002" s="6">
        <v>0</v>
      </c>
      <c r="Q3002" s="6">
        <v>0</v>
      </c>
      <c r="R3002" s="6">
        <v>0</v>
      </c>
      <c r="S3002" s="6">
        <v>160</v>
      </c>
    </row>
    <row r="3003" spans="1:19" ht="15" hidden="1" x14ac:dyDescent="0.25">
      <c r="A3003" s="7" t="s">
        <v>16</v>
      </c>
      <c r="B3003" s="7" t="s">
        <v>229</v>
      </c>
      <c r="C3003" s="7" t="s">
        <v>24</v>
      </c>
      <c r="D3003" s="4">
        <v>53311999000156</v>
      </c>
      <c r="E3003" s="8" t="s">
        <v>714</v>
      </c>
      <c r="F3003" s="8" t="s">
        <v>715</v>
      </c>
      <c r="G3003" s="8" t="s">
        <v>19</v>
      </c>
      <c r="H3003" s="8" t="s">
        <v>215</v>
      </c>
      <c r="I3003" s="3">
        <v>2</v>
      </c>
      <c r="J3003" s="8" t="s">
        <v>151</v>
      </c>
      <c r="K3003" s="8" t="s">
        <v>152</v>
      </c>
      <c r="L3003" s="8" t="s">
        <v>556</v>
      </c>
      <c r="M3003" s="1" t="s">
        <v>207</v>
      </c>
      <c r="N3003" s="8" t="s">
        <v>208</v>
      </c>
      <c r="O3003" s="6">
        <v>0</v>
      </c>
      <c r="P3003" s="6">
        <v>0</v>
      </c>
      <c r="Q3003" s="6">
        <v>0</v>
      </c>
      <c r="R3003" s="6">
        <v>0</v>
      </c>
      <c r="S3003" s="6">
        <v>0</v>
      </c>
    </row>
    <row r="3004" spans="1:19" ht="15" hidden="1" x14ac:dyDescent="0.25">
      <c r="A3004" s="7" t="s">
        <v>16</v>
      </c>
      <c r="B3004" s="7" t="s">
        <v>229</v>
      </c>
      <c r="C3004" s="7" t="s">
        <v>24</v>
      </c>
      <c r="D3004" s="4">
        <v>53311999000156</v>
      </c>
      <c r="E3004" s="8" t="s">
        <v>714</v>
      </c>
      <c r="F3004" s="8" t="s">
        <v>715</v>
      </c>
      <c r="G3004" s="8" t="s">
        <v>19</v>
      </c>
      <c r="H3004" s="8" t="s">
        <v>215</v>
      </c>
      <c r="I3004" s="3">
        <v>2</v>
      </c>
      <c r="J3004" s="8" t="s">
        <v>149</v>
      </c>
      <c r="K3004" s="8" t="s">
        <v>150</v>
      </c>
      <c r="L3004" s="8" t="s">
        <v>557</v>
      </c>
      <c r="M3004" s="1" t="s">
        <v>207</v>
      </c>
      <c r="N3004" s="8" t="s">
        <v>208</v>
      </c>
      <c r="O3004" s="6">
        <v>0</v>
      </c>
      <c r="P3004" s="6">
        <v>10</v>
      </c>
      <c r="Q3004" s="6">
        <v>0</v>
      </c>
      <c r="R3004" s="6">
        <v>0</v>
      </c>
      <c r="S3004" s="6">
        <v>0</v>
      </c>
    </row>
    <row r="3005" spans="1:19" ht="15" hidden="1" x14ac:dyDescent="0.25">
      <c r="A3005" s="7" t="s">
        <v>16</v>
      </c>
      <c r="B3005" s="7" t="s">
        <v>229</v>
      </c>
      <c r="C3005" s="7" t="s">
        <v>24</v>
      </c>
      <c r="D3005" s="4">
        <v>6047087007656</v>
      </c>
      <c r="E3005" s="8" t="s">
        <v>651</v>
      </c>
      <c r="F3005" s="8" t="s">
        <v>32</v>
      </c>
      <c r="G3005" s="8" t="s">
        <v>19</v>
      </c>
      <c r="H3005" s="8" t="s">
        <v>215</v>
      </c>
      <c r="I3005" s="3">
        <v>2</v>
      </c>
      <c r="J3005" s="8" t="s">
        <v>161</v>
      </c>
      <c r="K3005" s="8" t="s">
        <v>162</v>
      </c>
      <c r="L3005" s="8" t="s">
        <v>556</v>
      </c>
      <c r="M3005" s="1" t="s">
        <v>207</v>
      </c>
      <c r="N3005" s="8" t="s">
        <v>208</v>
      </c>
      <c r="O3005" s="6">
        <v>0</v>
      </c>
      <c r="P3005" s="6">
        <v>0</v>
      </c>
      <c r="Q3005" s="6">
        <v>0</v>
      </c>
      <c r="R3005" s="6">
        <v>0</v>
      </c>
      <c r="S3005" s="6">
        <v>0</v>
      </c>
    </row>
    <row r="3006" spans="1:19" ht="15" hidden="1" x14ac:dyDescent="0.25">
      <c r="A3006" s="7" t="s">
        <v>16</v>
      </c>
      <c r="B3006" s="7" t="s">
        <v>229</v>
      </c>
      <c r="C3006" s="7" t="s">
        <v>24</v>
      </c>
      <c r="D3006" s="4">
        <v>6047087007656</v>
      </c>
      <c r="E3006" s="8" t="s">
        <v>651</v>
      </c>
      <c r="F3006" s="8" t="s">
        <v>32</v>
      </c>
      <c r="G3006" s="8" t="s">
        <v>19</v>
      </c>
      <c r="H3006" s="8" t="s">
        <v>215</v>
      </c>
      <c r="I3006" s="3">
        <v>2</v>
      </c>
      <c r="J3006" s="8" t="s">
        <v>183</v>
      </c>
      <c r="K3006" s="8" t="s">
        <v>184</v>
      </c>
      <c r="L3006" s="8" t="s">
        <v>557</v>
      </c>
      <c r="M3006" s="1" t="s">
        <v>207</v>
      </c>
      <c r="N3006" s="8" t="s">
        <v>208</v>
      </c>
      <c r="O3006" s="6">
        <v>0</v>
      </c>
      <c r="P3006" s="6">
        <v>0</v>
      </c>
      <c r="Q3006" s="6">
        <v>2</v>
      </c>
      <c r="R3006" s="6">
        <v>0</v>
      </c>
      <c r="S3006" s="6">
        <v>0</v>
      </c>
    </row>
    <row r="3007" spans="1:19" ht="15" hidden="1" x14ac:dyDescent="0.25">
      <c r="A3007" s="7" t="s">
        <v>16</v>
      </c>
      <c r="B3007" s="7" t="s">
        <v>229</v>
      </c>
      <c r="C3007" s="7" t="s">
        <v>24</v>
      </c>
      <c r="D3007" s="4">
        <v>840048000450</v>
      </c>
      <c r="E3007" s="8" t="s">
        <v>637</v>
      </c>
      <c r="F3007" s="8" t="s">
        <v>30</v>
      </c>
      <c r="G3007" s="8" t="s">
        <v>19</v>
      </c>
      <c r="H3007" s="8" t="s">
        <v>215</v>
      </c>
      <c r="I3007" s="3">
        <v>2</v>
      </c>
      <c r="J3007" s="8" t="s">
        <v>151</v>
      </c>
      <c r="K3007" s="8" t="s">
        <v>152</v>
      </c>
      <c r="L3007" s="8" t="s">
        <v>556</v>
      </c>
      <c r="M3007" s="1" t="s">
        <v>207</v>
      </c>
      <c r="N3007" s="8" t="s">
        <v>208</v>
      </c>
      <c r="O3007" s="6">
        <v>0</v>
      </c>
      <c r="P3007" s="6">
        <v>0</v>
      </c>
      <c r="Q3007" s="6">
        <v>0</v>
      </c>
      <c r="R3007" s="6">
        <v>0</v>
      </c>
      <c r="S3007" s="6">
        <v>160</v>
      </c>
    </row>
    <row r="3008" spans="1:19" ht="15" hidden="1" x14ac:dyDescent="0.25">
      <c r="A3008" s="7" t="s">
        <v>16</v>
      </c>
      <c r="B3008" s="7" t="s">
        <v>229</v>
      </c>
      <c r="C3008" s="7" t="s">
        <v>24</v>
      </c>
      <c r="D3008" s="4">
        <v>840048000450</v>
      </c>
      <c r="E3008" s="8" t="s">
        <v>637</v>
      </c>
      <c r="F3008" s="8" t="s">
        <v>30</v>
      </c>
      <c r="G3008" s="8" t="s">
        <v>19</v>
      </c>
      <c r="H3008" s="8" t="s">
        <v>215</v>
      </c>
      <c r="I3008" s="3">
        <v>2</v>
      </c>
      <c r="J3008" s="8" t="s">
        <v>149</v>
      </c>
      <c r="K3008" s="8" t="s">
        <v>150</v>
      </c>
      <c r="L3008" s="8" t="s">
        <v>557</v>
      </c>
      <c r="M3008" s="1" t="s">
        <v>207</v>
      </c>
      <c r="N3008" s="8" t="s">
        <v>208</v>
      </c>
      <c r="O3008" s="6">
        <v>0</v>
      </c>
      <c r="P3008" s="6">
        <v>0</v>
      </c>
      <c r="Q3008" s="6">
        <v>0</v>
      </c>
      <c r="R3008" s="6">
        <v>0</v>
      </c>
      <c r="S3008" s="6">
        <v>160</v>
      </c>
    </row>
    <row r="3009" spans="1:19" ht="15" hidden="1" x14ac:dyDescent="0.25">
      <c r="A3009" s="7" t="s">
        <v>16</v>
      </c>
      <c r="B3009" s="7" t="s">
        <v>229</v>
      </c>
      <c r="C3009" s="7" t="s">
        <v>24</v>
      </c>
      <c r="D3009" s="4">
        <v>46374500003533</v>
      </c>
      <c r="E3009" s="8" t="s">
        <v>696</v>
      </c>
      <c r="F3009" s="8" t="s">
        <v>639</v>
      </c>
      <c r="G3009" s="8" t="s">
        <v>19</v>
      </c>
      <c r="H3009" s="8" t="s">
        <v>215</v>
      </c>
      <c r="I3009" s="3">
        <v>2</v>
      </c>
      <c r="J3009" s="8" t="s">
        <v>151</v>
      </c>
      <c r="K3009" s="8" t="s">
        <v>152</v>
      </c>
      <c r="L3009" s="8" t="s">
        <v>556</v>
      </c>
      <c r="M3009" s="1" t="s">
        <v>207</v>
      </c>
      <c r="N3009" s="8" t="s">
        <v>208</v>
      </c>
      <c r="O3009" s="6">
        <v>0</v>
      </c>
      <c r="P3009" s="6">
        <v>0</v>
      </c>
      <c r="Q3009" s="6">
        <v>0</v>
      </c>
      <c r="R3009" s="6">
        <v>0</v>
      </c>
      <c r="S3009" s="6">
        <v>1000</v>
      </c>
    </row>
    <row r="3010" spans="1:19" ht="15" hidden="1" x14ac:dyDescent="0.25">
      <c r="A3010" s="7" t="s">
        <v>16</v>
      </c>
      <c r="B3010" s="7" t="s">
        <v>229</v>
      </c>
      <c r="C3010" s="7" t="s">
        <v>24</v>
      </c>
      <c r="D3010" s="4">
        <v>46374500003533</v>
      </c>
      <c r="E3010" s="8" t="s">
        <v>696</v>
      </c>
      <c r="F3010" s="8" t="s">
        <v>639</v>
      </c>
      <c r="G3010" s="8" t="s">
        <v>19</v>
      </c>
      <c r="H3010" s="8" t="s">
        <v>215</v>
      </c>
      <c r="I3010" s="3">
        <v>2</v>
      </c>
      <c r="J3010" s="8" t="s">
        <v>149</v>
      </c>
      <c r="K3010" s="8" t="s">
        <v>150</v>
      </c>
      <c r="L3010" s="8" t="s">
        <v>557</v>
      </c>
      <c r="M3010" s="1" t="s">
        <v>207</v>
      </c>
      <c r="N3010" s="8" t="s">
        <v>208</v>
      </c>
      <c r="O3010" s="6">
        <v>0</v>
      </c>
      <c r="P3010" s="6">
        <v>0</v>
      </c>
      <c r="Q3010" s="6">
        <v>0</v>
      </c>
      <c r="R3010" s="6">
        <v>0</v>
      </c>
      <c r="S3010" s="6">
        <v>1000</v>
      </c>
    </row>
    <row r="3011" spans="1:19" ht="15" hidden="1" x14ac:dyDescent="0.25">
      <c r="A3011" s="7" t="s">
        <v>16</v>
      </c>
      <c r="B3011" s="7" t="s">
        <v>229</v>
      </c>
      <c r="C3011" s="7" t="s">
        <v>24</v>
      </c>
      <c r="D3011" s="4">
        <v>1613433006892</v>
      </c>
      <c r="E3011" s="8" t="s">
        <v>638</v>
      </c>
      <c r="F3011" s="8" t="s">
        <v>639</v>
      </c>
      <c r="G3011" s="8" t="s">
        <v>19</v>
      </c>
      <c r="H3011" s="8" t="s">
        <v>215</v>
      </c>
      <c r="I3011" s="3">
        <v>2</v>
      </c>
      <c r="J3011" s="8" t="s">
        <v>151</v>
      </c>
      <c r="K3011" s="8" t="s">
        <v>152</v>
      </c>
      <c r="L3011" s="8" t="s">
        <v>556</v>
      </c>
      <c r="M3011" s="1" t="s">
        <v>207</v>
      </c>
      <c r="N3011" s="8" t="s">
        <v>208</v>
      </c>
      <c r="O3011" s="6">
        <v>0</v>
      </c>
      <c r="P3011" s="6">
        <v>0</v>
      </c>
      <c r="Q3011" s="6">
        <v>0</v>
      </c>
      <c r="R3011" s="6">
        <v>0</v>
      </c>
      <c r="S3011" s="6">
        <v>805</v>
      </c>
    </row>
    <row r="3012" spans="1:19" ht="15" hidden="1" x14ac:dyDescent="0.25">
      <c r="A3012" s="7" t="s">
        <v>16</v>
      </c>
      <c r="B3012" s="7" t="s">
        <v>229</v>
      </c>
      <c r="C3012" s="7" t="s">
        <v>24</v>
      </c>
      <c r="D3012" s="4">
        <v>1613433006892</v>
      </c>
      <c r="E3012" s="8" t="s">
        <v>638</v>
      </c>
      <c r="F3012" s="8" t="s">
        <v>639</v>
      </c>
      <c r="G3012" s="8" t="s">
        <v>19</v>
      </c>
      <c r="H3012" s="8" t="s">
        <v>215</v>
      </c>
      <c r="I3012" s="3">
        <v>2</v>
      </c>
      <c r="J3012" s="8" t="s">
        <v>149</v>
      </c>
      <c r="K3012" s="8" t="s">
        <v>150</v>
      </c>
      <c r="L3012" s="8" t="s">
        <v>557</v>
      </c>
      <c r="M3012" s="1" t="s">
        <v>207</v>
      </c>
      <c r="N3012" s="8" t="s">
        <v>208</v>
      </c>
      <c r="O3012" s="6">
        <v>0</v>
      </c>
      <c r="P3012" s="6">
        <v>0</v>
      </c>
      <c r="Q3012" s="6">
        <v>0</v>
      </c>
      <c r="R3012" s="6">
        <v>0</v>
      </c>
      <c r="S3012" s="6">
        <v>805</v>
      </c>
    </row>
    <row r="3013" spans="1:19" ht="15" hidden="1" x14ac:dyDescent="0.25">
      <c r="A3013" s="7" t="s">
        <v>16</v>
      </c>
      <c r="B3013" s="7" t="s">
        <v>229</v>
      </c>
      <c r="C3013" s="7" t="s">
        <v>24</v>
      </c>
      <c r="D3013" s="4">
        <v>57723280000183</v>
      </c>
      <c r="E3013" s="8" t="s">
        <v>724</v>
      </c>
      <c r="F3013" s="8" t="s">
        <v>639</v>
      </c>
      <c r="G3013" s="8" t="s">
        <v>19</v>
      </c>
      <c r="H3013" s="8" t="s">
        <v>215</v>
      </c>
      <c r="I3013" s="3">
        <v>2</v>
      </c>
      <c r="J3013" s="8" t="s">
        <v>151</v>
      </c>
      <c r="K3013" s="8" t="s">
        <v>152</v>
      </c>
      <c r="L3013" s="8" t="s">
        <v>556</v>
      </c>
      <c r="M3013" s="1" t="s">
        <v>207</v>
      </c>
      <c r="N3013" s="8" t="s">
        <v>208</v>
      </c>
      <c r="O3013" s="6">
        <v>0</v>
      </c>
      <c r="P3013" s="6">
        <v>0</v>
      </c>
      <c r="Q3013" s="6">
        <v>0</v>
      </c>
      <c r="R3013" s="6">
        <v>0</v>
      </c>
      <c r="S3013" s="6">
        <v>35</v>
      </c>
    </row>
    <row r="3014" spans="1:19" ht="15" hidden="1" x14ac:dyDescent="0.25">
      <c r="A3014" s="7" t="s">
        <v>16</v>
      </c>
      <c r="B3014" s="7" t="s">
        <v>229</v>
      </c>
      <c r="C3014" s="7" t="s">
        <v>24</v>
      </c>
      <c r="D3014" s="4">
        <v>57723280000183</v>
      </c>
      <c r="E3014" s="8" t="s">
        <v>724</v>
      </c>
      <c r="F3014" s="8" t="s">
        <v>639</v>
      </c>
      <c r="G3014" s="8" t="s">
        <v>19</v>
      </c>
      <c r="H3014" s="8" t="s">
        <v>215</v>
      </c>
      <c r="I3014" s="3">
        <v>2</v>
      </c>
      <c r="J3014" s="8" t="s">
        <v>149</v>
      </c>
      <c r="K3014" s="8" t="s">
        <v>150</v>
      </c>
      <c r="L3014" s="8" t="s">
        <v>557</v>
      </c>
      <c r="M3014" s="1" t="s">
        <v>207</v>
      </c>
      <c r="N3014" s="8" t="s">
        <v>208</v>
      </c>
      <c r="O3014" s="6">
        <v>0</v>
      </c>
      <c r="P3014" s="6">
        <v>0</v>
      </c>
      <c r="Q3014" s="6">
        <v>0</v>
      </c>
      <c r="R3014" s="6">
        <v>0</v>
      </c>
      <c r="S3014" s="6">
        <v>35</v>
      </c>
    </row>
    <row r="3015" spans="1:19" ht="15" hidden="1" x14ac:dyDescent="0.25">
      <c r="A3015" s="7" t="s">
        <v>16</v>
      </c>
      <c r="B3015" s="7" t="s">
        <v>229</v>
      </c>
      <c r="C3015" s="7" t="s">
        <v>24</v>
      </c>
      <c r="D3015" s="4">
        <v>45232246000550</v>
      </c>
      <c r="E3015" s="8" t="s">
        <v>685</v>
      </c>
      <c r="F3015" s="8" t="s">
        <v>639</v>
      </c>
      <c r="G3015" s="8" t="s">
        <v>19</v>
      </c>
      <c r="H3015" s="8" t="s">
        <v>215</v>
      </c>
      <c r="I3015" s="3">
        <v>2</v>
      </c>
      <c r="J3015" s="8" t="s">
        <v>151</v>
      </c>
      <c r="K3015" s="8" t="s">
        <v>152</v>
      </c>
      <c r="L3015" s="8" t="s">
        <v>556</v>
      </c>
      <c r="M3015" s="1" t="s">
        <v>207</v>
      </c>
      <c r="N3015" s="8" t="s">
        <v>208</v>
      </c>
      <c r="O3015" s="6">
        <v>0</v>
      </c>
      <c r="P3015" s="6">
        <v>0</v>
      </c>
      <c r="Q3015" s="6">
        <v>0</v>
      </c>
      <c r="R3015" s="6">
        <v>42</v>
      </c>
      <c r="S3015" s="6">
        <v>80</v>
      </c>
    </row>
    <row r="3016" spans="1:19" ht="15" hidden="1" x14ac:dyDescent="0.25">
      <c r="A3016" s="7" t="s">
        <v>16</v>
      </c>
      <c r="B3016" s="7" t="s">
        <v>229</v>
      </c>
      <c r="C3016" s="7" t="s">
        <v>24</v>
      </c>
      <c r="D3016" s="4">
        <v>45232246000550</v>
      </c>
      <c r="E3016" s="8" t="s">
        <v>685</v>
      </c>
      <c r="F3016" s="8" t="s">
        <v>639</v>
      </c>
      <c r="G3016" s="8" t="s">
        <v>19</v>
      </c>
      <c r="H3016" s="8" t="s">
        <v>215</v>
      </c>
      <c r="I3016" s="3">
        <v>2</v>
      </c>
      <c r="J3016" s="8" t="s">
        <v>149</v>
      </c>
      <c r="K3016" s="8" t="s">
        <v>150</v>
      </c>
      <c r="L3016" s="8" t="s">
        <v>557</v>
      </c>
      <c r="M3016" s="1" t="s">
        <v>207</v>
      </c>
      <c r="N3016" s="8" t="s">
        <v>208</v>
      </c>
      <c r="O3016" s="6">
        <v>0</v>
      </c>
      <c r="P3016" s="6">
        <v>0</v>
      </c>
      <c r="Q3016" s="6">
        <v>0</v>
      </c>
      <c r="R3016" s="6">
        <v>0</v>
      </c>
      <c r="S3016" s="6">
        <v>80</v>
      </c>
    </row>
    <row r="3017" spans="1:19" ht="15" hidden="1" x14ac:dyDescent="0.25">
      <c r="A3017" s="7" t="s">
        <v>16</v>
      </c>
      <c r="B3017" s="7" t="s">
        <v>229</v>
      </c>
      <c r="C3017" s="7" t="s">
        <v>24</v>
      </c>
      <c r="D3017" s="4">
        <v>13718999001041</v>
      </c>
      <c r="E3017" s="8" t="s">
        <v>662</v>
      </c>
      <c r="F3017" s="8" t="s">
        <v>647</v>
      </c>
      <c r="G3017" s="8" t="s">
        <v>19</v>
      </c>
      <c r="H3017" s="8" t="s">
        <v>215</v>
      </c>
      <c r="I3017" s="3">
        <v>2</v>
      </c>
      <c r="J3017" s="8" t="s">
        <v>1355</v>
      </c>
      <c r="K3017" s="8" t="s">
        <v>1356</v>
      </c>
      <c r="L3017" s="8" t="s">
        <v>556</v>
      </c>
      <c r="M3017" s="1" t="s">
        <v>207</v>
      </c>
      <c r="N3017" s="8" t="s">
        <v>208</v>
      </c>
      <c r="O3017" s="6">
        <v>0</v>
      </c>
      <c r="P3017" s="6">
        <v>0</v>
      </c>
      <c r="Q3017" s="6">
        <v>0</v>
      </c>
      <c r="R3017" s="6">
        <v>8</v>
      </c>
      <c r="S3017" s="6">
        <v>0</v>
      </c>
    </row>
    <row r="3018" spans="1:19" ht="15" hidden="1" x14ac:dyDescent="0.25">
      <c r="A3018" s="7" t="s">
        <v>16</v>
      </c>
      <c r="B3018" s="7" t="s">
        <v>229</v>
      </c>
      <c r="C3018" s="7" t="s">
        <v>24</v>
      </c>
      <c r="D3018" s="4">
        <v>13718999001041</v>
      </c>
      <c r="E3018" s="8" t="s">
        <v>662</v>
      </c>
      <c r="F3018" s="8" t="s">
        <v>647</v>
      </c>
      <c r="G3018" s="8" t="s">
        <v>19</v>
      </c>
      <c r="H3018" s="8" t="s">
        <v>215</v>
      </c>
      <c r="I3018" s="3">
        <v>2</v>
      </c>
      <c r="J3018" s="8" t="s">
        <v>147</v>
      </c>
      <c r="K3018" s="8" t="s">
        <v>148</v>
      </c>
      <c r="L3018" s="8" t="s">
        <v>557</v>
      </c>
      <c r="M3018" s="1" t="s">
        <v>207</v>
      </c>
      <c r="N3018" s="8" t="s">
        <v>208</v>
      </c>
      <c r="O3018" s="6">
        <v>0</v>
      </c>
      <c r="P3018" s="6">
        <v>0</v>
      </c>
      <c r="Q3018" s="6">
        <v>0</v>
      </c>
      <c r="R3018" s="6">
        <v>0</v>
      </c>
      <c r="S3018" s="6">
        <v>0</v>
      </c>
    </row>
    <row r="3019" spans="1:19" ht="15" hidden="1" x14ac:dyDescent="0.25">
      <c r="A3019" s="7" t="s">
        <v>16</v>
      </c>
      <c r="B3019" s="7" t="s">
        <v>229</v>
      </c>
      <c r="C3019" s="7" t="s">
        <v>24</v>
      </c>
      <c r="D3019" s="4">
        <v>10868295000176</v>
      </c>
      <c r="E3019" s="8" t="s">
        <v>660</v>
      </c>
      <c r="F3019" s="8" t="s">
        <v>35</v>
      </c>
      <c r="G3019" s="8" t="s">
        <v>19</v>
      </c>
      <c r="H3019" s="8" t="s">
        <v>215</v>
      </c>
      <c r="I3019" s="3">
        <v>2</v>
      </c>
      <c r="J3019" s="8" t="s">
        <v>1355</v>
      </c>
      <c r="K3019" s="8" t="s">
        <v>1356</v>
      </c>
      <c r="L3019" s="8" t="s">
        <v>556</v>
      </c>
      <c r="M3019" s="1" t="s">
        <v>207</v>
      </c>
      <c r="N3019" s="8" t="s">
        <v>208</v>
      </c>
      <c r="O3019" s="6">
        <v>0</v>
      </c>
      <c r="P3019" s="6">
        <v>0</v>
      </c>
      <c r="Q3019" s="6">
        <v>0</v>
      </c>
      <c r="R3019" s="6">
        <v>0</v>
      </c>
      <c r="S3019" s="6">
        <v>270</v>
      </c>
    </row>
    <row r="3020" spans="1:19" ht="15" hidden="1" x14ac:dyDescent="0.25">
      <c r="A3020" s="7" t="s">
        <v>16</v>
      </c>
      <c r="B3020" s="7" t="s">
        <v>229</v>
      </c>
      <c r="C3020" s="7" t="s">
        <v>24</v>
      </c>
      <c r="D3020" s="4">
        <v>10868295000176</v>
      </c>
      <c r="E3020" s="8" t="s">
        <v>660</v>
      </c>
      <c r="F3020" s="8" t="s">
        <v>35</v>
      </c>
      <c r="G3020" s="8" t="s">
        <v>19</v>
      </c>
      <c r="H3020" s="8" t="s">
        <v>215</v>
      </c>
      <c r="I3020" s="3">
        <v>2</v>
      </c>
      <c r="J3020" s="8" t="s">
        <v>147</v>
      </c>
      <c r="K3020" s="8" t="s">
        <v>148</v>
      </c>
      <c r="L3020" s="8" t="s">
        <v>557</v>
      </c>
      <c r="M3020" s="1" t="s">
        <v>207</v>
      </c>
      <c r="N3020" s="8" t="s">
        <v>208</v>
      </c>
      <c r="O3020" s="6">
        <v>0</v>
      </c>
      <c r="P3020" s="6">
        <v>0</v>
      </c>
      <c r="Q3020" s="6">
        <v>0</v>
      </c>
      <c r="R3020" s="6">
        <v>0</v>
      </c>
      <c r="S3020" s="6">
        <v>270</v>
      </c>
    </row>
    <row r="3021" spans="1:19" ht="15" hidden="1" x14ac:dyDescent="0.25">
      <c r="A3021" s="7" t="s">
        <v>16</v>
      </c>
      <c r="B3021" s="7" t="s">
        <v>229</v>
      </c>
      <c r="C3021" s="7" t="s">
        <v>24</v>
      </c>
      <c r="D3021" s="4">
        <v>58229691001070</v>
      </c>
      <c r="E3021" s="8" t="s">
        <v>725</v>
      </c>
      <c r="F3021" s="8" t="s">
        <v>35</v>
      </c>
      <c r="G3021" s="8" t="s">
        <v>19</v>
      </c>
      <c r="H3021" s="8" t="s">
        <v>215</v>
      </c>
      <c r="I3021" s="3">
        <v>2</v>
      </c>
      <c r="J3021" s="8" t="s">
        <v>1355</v>
      </c>
      <c r="K3021" s="8" t="s">
        <v>1356</v>
      </c>
      <c r="L3021" s="8" t="s">
        <v>556</v>
      </c>
      <c r="M3021" s="1" t="s">
        <v>207</v>
      </c>
      <c r="N3021" s="8" t="s">
        <v>208</v>
      </c>
      <c r="O3021" s="6">
        <v>0</v>
      </c>
      <c r="P3021" s="6">
        <v>0</v>
      </c>
      <c r="Q3021" s="6">
        <v>0</v>
      </c>
      <c r="R3021" s="6">
        <v>16</v>
      </c>
      <c r="S3021" s="6">
        <v>0</v>
      </c>
    </row>
    <row r="3022" spans="1:19" ht="15" hidden="1" x14ac:dyDescent="0.25">
      <c r="A3022" s="7" t="s">
        <v>16</v>
      </c>
      <c r="B3022" s="7" t="s">
        <v>229</v>
      </c>
      <c r="C3022" s="7" t="s">
        <v>24</v>
      </c>
      <c r="D3022" s="4">
        <v>58229691001070</v>
      </c>
      <c r="E3022" s="8" t="s">
        <v>725</v>
      </c>
      <c r="F3022" s="8" t="s">
        <v>35</v>
      </c>
      <c r="G3022" s="8" t="s">
        <v>19</v>
      </c>
      <c r="H3022" s="8" t="s">
        <v>215</v>
      </c>
      <c r="I3022" s="3">
        <v>2</v>
      </c>
      <c r="J3022" s="8" t="s">
        <v>147</v>
      </c>
      <c r="K3022" s="8" t="s">
        <v>148</v>
      </c>
      <c r="L3022" s="8" t="s">
        <v>557</v>
      </c>
      <c r="M3022" s="1" t="s">
        <v>207</v>
      </c>
      <c r="N3022" s="8" t="s">
        <v>208</v>
      </c>
      <c r="O3022" s="6">
        <v>0</v>
      </c>
      <c r="P3022" s="6">
        <v>0</v>
      </c>
      <c r="Q3022" s="6">
        <v>0</v>
      </c>
      <c r="R3022" s="6">
        <v>0</v>
      </c>
      <c r="S3022" s="6">
        <v>0</v>
      </c>
    </row>
    <row r="3023" spans="1:19" ht="15" hidden="1" x14ac:dyDescent="0.25">
      <c r="A3023" s="7" t="s">
        <v>16</v>
      </c>
      <c r="B3023" s="7" t="s">
        <v>229</v>
      </c>
      <c r="C3023" s="7" t="s">
        <v>24</v>
      </c>
      <c r="D3023" s="4">
        <v>45399961000230</v>
      </c>
      <c r="E3023" s="8" t="s">
        <v>688</v>
      </c>
      <c r="F3023" s="8" t="s">
        <v>42</v>
      </c>
      <c r="G3023" s="8" t="s">
        <v>19</v>
      </c>
      <c r="H3023" s="8" t="s">
        <v>215</v>
      </c>
      <c r="I3023" s="3">
        <v>2</v>
      </c>
      <c r="J3023" s="8" t="s">
        <v>151</v>
      </c>
      <c r="K3023" s="8" t="s">
        <v>152</v>
      </c>
      <c r="L3023" s="8" t="s">
        <v>556</v>
      </c>
      <c r="M3023" s="1" t="s">
        <v>207</v>
      </c>
      <c r="N3023" s="8" t="s">
        <v>208</v>
      </c>
      <c r="O3023" s="6">
        <v>0</v>
      </c>
      <c r="P3023" s="6">
        <v>0</v>
      </c>
      <c r="Q3023" s="6">
        <v>0</v>
      </c>
      <c r="R3023" s="6">
        <v>0</v>
      </c>
      <c r="S3023" s="6">
        <v>250</v>
      </c>
    </row>
    <row r="3024" spans="1:19" ht="15" hidden="1" x14ac:dyDescent="0.25">
      <c r="A3024" s="7" t="s">
        <v>16</v>
      </c>
      <c r="B3024" s="7" t="s">
        <v>229</v>
      </c>
      <c r="C3024" s="7" t="s">
        <v>24</v>
      </c>
      <c r="D3024" s="4">
        <v>45399961000230</v>
      </c>
      <c r="E3024" s="8" t="s">
        <v>688</v>
      </c>
      <c r="F3024" s="8" t="s">
        <v>42</v>
      </c>
      <c r="G3024" s="8" t="s">
        <v>19</v>
      </c>
      <c r="H3024" s="8" t="s">
        <v>215</v>
      </c>
      <c r="I3024" s="3">
        <v>2</v>
      </c>
      <c r="J3024" s="8" t="s">
        <v>183</v>
      </c>
      <c r="K3024" s="8" t="s">
        <v>184</v>
      </c>
      <c r="L3024" s="8" t="s">
        <v>557</v>
      </c>
      <c r="M3024" s="1" t="s">
        <v>207</v>
      </c>
      <c r="N3024" s="8" t="s">
        <v>208</v>
      </c>
      <c r="O3024" s="6">
        <v>0</v>
      </c>
      <c r="P3024" s="6">
        <v>0</v>
      </c>
      <c r="Q3024" s="6">
        <v>0</v>
      </c>
      <c r="R3024" s="6">
        <v>0</v>
      </c>
      <c r="S3024" s="6">
        <v>250</v>
      </c>
    </row>
    <row r="3025" spans="1:19" ht="15" hidden="1" x14ac:dyDescent="0.25">
      <c r="A3025" s="7" t="s">
        <v>16</v>
      </c>
      <c r="B3025" s="7" t="s">
        <v>229</v>
      </c>
      <c r="C3025" s="7" t="s">
        <v>24</v>
      </c>
      <c r="D3025" s="4">
        <v>46124624002599</v>
      </c>
      <c r="E3025" s="8" t="s">
        <v>694</v>
      </c>
      <c r="F3025" s="8" t="s">
        <v>695</v>
      </c>
      <c r="G3025" s="8" t="s">
        <v>19</v>
      </c>
      <c r="H3025" s="8" t="s">
        <v>215</v>
      </c>
      <c r="I3025" s="3">
        <v>2</v>
      </c>
      <c r="J3025" s="8" t="s">
        <v>151</v>
      </c>
      <c r="K3025" s="8" t="s">
        <v>152</v>
      </c>
      <c r="L3025" s="8" t="s">
        <v>556</v>
      </c>
      <c r="M3025" s="1" t="s">
        <v>207</v>
      </c>
      <c r="N3025" s="8" t="s">
        <v>208</v>
      </c>
      <c r="O3025" s="6">
        <v>0</v>
      </c>
      <c r="P3025" s="6">
        <v>0</v>
      </c>
      <c r="Q3025" s="6">
        <v>0</v>
      </c>
      <c r="R3025" s="6">
        <v>120</v>
      </c>
      <c r="S3025" s="6">
        <v>300</v>
      </c>
    </row>
    <row r="3026" spans="1:19" ht="15" hidden="1" x14ac:dyDescent="0.25">
      <c r="A3026" s="7" t="s">
        <v>16</v>
      </c>
      <c r="B3026" s="7" t="s">
        <v>229</v>
      </c>
      <c r="C3026" s="7" t="s">
        <v>24</v>
      </c>
      <c r="D3026" s="4">
        <v>46124624002599</v>
      </c>
      <c r="E3026" s="8" t="s">
        <v>694</v>
      </c>
      <c r="F3026" s="8" t="s">
        <v>695</v>
      </c>
      <c r="G3026" s="8" t="s">
        <v>19</v>
      </c>
      <c r="H3026" s="8" t="s">
        <v>215</v>
      </c>
      <c r="I3026" s="3">
        <v>2</v>
      </c>
      <c r="J3026" s="8" t="s">
        <v>149</v>
      </c>
      <c r="K3026" s="8" t="s">
        <v>150</v>
      </c>
      <c r="L3026" s="8" t="s">
        <v>557</v>
      </c>
      <c r="M3026" s="1" t="s">
        <v>207</v>
      </c>
      <c r="N3026" s="8" t="s">
        <v>208</v>
      </c>
      <c r="O3026" s="6">
        <v>0</v>
      </c>
      <c r="P3026" s="6">
        <v>0</v>
      </c>
      <c r="Q3026" s="6">
        <v>0</v>
      </c>
      <c r="R3026" s="6">
        <v>0</v>
      </c>
      <c r="S3026" s="6">
        <v>300</v>
      </c>
    </row>
    <row r="3027" spans="1:19" ht="15" hidden="1" x14ac:dyDescent="0.25">
      <c r="A3027" s="7" t="s">
        <v>16</v>
      </c>
      <c r="B3027" s="7" t="s">
        <v>229</v>
      </c>
      <c r="C3027" s="7" t="s">
        <v>24</v>
      </c>
      <c r="D3027" s="4">
        <v>45359213000576</v>
      </c>
      <c r="E3027" s="8" t="s">
        <v>686</v>
      </c>
      <c r="F3027" s="8" t="s">
        <v>687</v>
      </c>
      <c r="G3027" s="8" t="s">
        <v>19</v>
      </c>
      <c r="H3027" s="8" t="s">
        <v>215</v>
      </c>
      <c r="I3027" s="3">
        <v>2</v>
      </c>
      <c r="J3027" s="8" t="s">
        <v>151</v>
      </c>
      <c r="K3027" s="8" t="s">
        <v>152</v>
      </c>
      <c r="L3027" s="8" t="s">
        <v>556</v>
      </c>
      <c r="M3027" s="1" t="s">
        <v>207</v>
      </c>
      <c r="N3027" s="8" t="s">
        <v>208</v>
      </c>
      <c r="O3027" s="6">
        <v>0</v>
      </c>
      <c r="P3027" s="6">
        <v>0</v>
      </c>
      <c r="Q3027" s="6">
        <v>0</v>
      </c>
      <c r="R3027" s="6">
        <v>16</v>
      </c>
      <c r="S3027" s="6">
        <v>0</v>
      </c>
    </row>
    <row r="3028" spans="1:19" ht="15" hidden="1" x14ac:dyDescent="0.25">
      <c r="A3028" s="7" t="s">
        <v>16</v>
      </c>
      <c r="B3028" s="7" t="s">
        <v>229</v>
      </c>
      <c r="C3028" s="7" t="s">
        <v>24</v>
      </c>
      <c r="D3028" s="4">
        <v>45359213000576</v>
      </c>
      <c r="E3028" s="8" t="s">
        <v>686</v>
      </c>
      <c r="F3028" s="8" t="s">
        <v>687</v>
      </c>
      <c r="G3028" s="8" t="s">
        <v>19</v>
      </c>
      <c r="H3028" s="8" t="s">
        <v>215</v>
      </c>
      <c r="I3028" s="3">
        <v>2</v>
      </c>
      <c r="J3028" s="8" t="s">
        <v>149</v>
      </c>
      <c r="K3028" s="8" t="s">
        <v>150</v>
      </c>
      <c r="L3028" s="8" t="s">
        <v>557</v>
      </c>
      <c r="M3028" s="1" t="s">
        <v>207</v>
      </c>
      <c r="N3028" s="8" t="s">
        <v>208</v>
      </c>
      <c r="O3028" s="6">
        <v>0</v>
      </c>
      <c r="P3028" s="6">
        <v>0</v>
      </c>
      <c r="Q3028" s="6">
        <v>0</v>
      </c>
      <c r="R3028" s="6">
        <v>0</v>
      </c>
      <c r="S3028" s="6">
        <v>0</v>
      </c>
    </row>
    <row r="3029" spans="1:19" ht="15" hidden="1" x14ac:dyDescent="0.25">
      <c r="A3029" s="7" t="s">
        <v>16</v>
      </c>
      <c r="B3029" s="7" t="s">
        <v>229</v>
      </c>
      <c r="C3029" s="7" t="s">
        <v>24</v>
      </c>
      <c r="D3029" s="4">
        <v>10576443000189</v>
      </c>
      <c r="E3029" s="8" t="s">
        <v>659</v>
      </c>
      <c r="F3029" s="8" t="s">
        <v>643</v>
      </c>
      <c r="G3029" s="8" t="s">
        <v>19</v>
      </c>
      <c r="H3029" s="8" t="s">
        <v>215</v>
      </c>
      <c r="I3029" s="3">
        <v>2</v>
      </c>
      <c r="J3029" s="8" t="s">
        <v>151</v>
      </c>
      <c r="K3029" s="8" t="s">
        <v>152</v>
      </c>
      <c r="L3029" s="8" t="s">
        <v>556</v>
      </c>
      <c r="M3029" s="1" t="s">
        <v>207</v>
      </c>
      <c r="N3029" s="8" t="s">
        <v>208</v>
      </c>
      <c r="O3029" s="6">
        <v>0</v>
      </c>
      <c r="P3029" s="6">
        <v>0</v>
      </c>
      <c r="Q3029" s="6">
        <v>0</v>
      </c>
      <c r="R3029" s="6">
        <v>0</v>
      </c>
      <c r="S3029" s="6">
        <v>185</v>
      </c>
    </row>
    <row r="3030" spans="1:19" ht="15" hidden="1" x14ac:dyDescent="0.25">
      <c r="A3030" s="7" t="s">
        <v>16</v>
      </c>
      <c r="B3030" s="7" t="s">
        <v>229</v>
      </c>
      <c r="C3030" s="7" t="s">
        <v>24</v>
      </c>
      <c r="D3030" s="4">
        <v>10576443000189</v>
      </c>
      <c r="E3030" s="8" t="s">
        <v>659</v>
      </c>
      <c r="F3030" s="8" t="s">
        <v>643</v>
      </c>
      <c r="G3030" s="8" t="s">
        <v>19</v>
      </c>
      <c r="H3030" s="8" t="s">
        <v>215</v>
      </c>
      <c r="I3030" s="3">
        <v>2</v>
      </c>
      <c r="J3030" s="8" t="s">
        <v>149</v>
      </c>
      <c r="K3030" s="8" t="s">
        <v>150</v>
      </c>
      <c r="L3030" s="8" t="s">
        <v>557</v>
      </c>
      <c r="M3030" s="1" t="s">
        <v>207</v>
      </c>
      <c r="N3030" s="8" t="s">
        <v>208</v>
      </c>
      <c r="O3030" s="6">
        <v>0</v>
      </c>
      <c r="P3030" s="6">
        <v>0</v>
      </c>
      <c r="Q3030" s="6">
        <v>0</v>
      </c>
      <c r="R3030" s="6">
        <v>0</v>
      </c>
      <c r="S3030" s="6">
        <v>185</v>
      </c>
    </row>
    <row r="3031" spans="1:19" ht="15" hidden="1" x14ac:dyDescent="0.25">
      <c r="A3031" s="7" t="s">
        <v>16</v>
      </c>
      <c r="B3031" s="7" t="s">
        <v>229</v>
      </c>
      <c r="C3031" s="7" t="s">
        <v>24</v>
      </c>
      <c r="D3031" s="4">
        <v>2643405000173</v>
      </c>
      <c r="E3031" s="8" t="s">
        <v>642</v>
      </c>
      <c r="F3031" s="8" t="s">
        <v>643</v>
      </c>
      <c r="G3031" s="8" t="s">
        <v>19</v>
      </c>
      <c r="H3031" s="8" t="s">
        <v>215</v>
      </c>
      <c r="I3031" s="3">
        <v>2</v>
      </c>
      <c r="J3031" s="8" t="s">
        <v>151</v>
      </c>
      <c r="K3031" s="8" t="s">
        <v>152</v>
      </c>
      <c r="L3031" s="8" t="s">
        <v>556</v>
      </c>
      <c r="M3031" s="1" t="s">
        <v>207</v>
      </c>
      <c r="N3031" s="8" t="s">
        <v>208</v>
      </c>
      <c r="O3031" s="6">
        <v>0</v>
      </c>
      <c r="P3031" s="6">
        <v>0</v>
      </c>
      <c r="Q3031" s="6">
        <v>0</v>
      </c>
      <c r="R3031" s="6">
        <v>25</v>
      </c>
      <c r="S3031" s="6">
        <v>0</v>
      </c>
    </row>
    <row r="3032" spans="1:19" ht="15" hidden="1" x14ac:dyDescent="0.25">
      <c r="A3032" s="7" t="s">
        <v>16</v>
      </c>
      <c r="B3032" s="7" t="s">
        <v>229</v>
      </c>
      <c r="C3032" s="7" t="s">
        <v>24</v>
      </c>
      <c r="D3032" s="4">
        <v>2643405000173</v>
      </c>
      <c r="E3032" s="8" t="s">
        <v>642</v>
      </c>
      <c r="F3032" s="8" t="s">
        <v>643</v>
      </c>
      <c r="G3032" s="8" t="s">
        <v>19</v>
      </c>
      <c r="H3032" s="8" t="s">
        <v>215</v>
      </c>
      <c r="I3032" s="3">
        <v>2</v>
      </c>
      <c r="J3032" s="8" t="s">
        <v>149</v>
      </c>
      <c r="K3032" s="8" t="s">
        <v>150</v>
      </c>
      <c r="L3032" s="8" t="s">
        <v>557</v>
      </c>
      <c r="M3032" s="1" t="s">
        <v>207</v>
      </c>
      <c r="N3032" s="8" t="s">
        <v>208</v>
      </c>
      <c r="O3032" s="6">
        <v>0</v>
      </c>
      <c r="P3032" s="6">
        <v>0</v>
      </c>
      <c r="Q3032" s="6">
        <v>0</v>
      </c>
      <c r="R3032" s="6">
        <v>0</v>
      </c>
      <c r="S3032" s="6">
        <v>0</v>
      </c>
    </row>
    <row r="3033" spans="1:19" ht="15" hidden="1" x14ac:dyDescent="0.25">
      <c r="A3033" s="7" t="s">
        <v>16</v>
      </c>
      <c r="B3033" s="7" t="s">
        <v>229</v>
      </c>
      <c r="C3033" s="7" t="s">
        <v>24</v>
      </c>
      <c r="D3033" s="4">
        <v>60003761000129</v>
      </c>
      <c r="E3033" s="8" t="s">
        <v>728</v>
      </c>
      <c r="F3033" s="8" t="s">
        <v>643</v>
      </c>
      <c r="G3033" s="8" t="s">
        <v>19</v>
      </c>
      <c r="H3033" s="8" t="s">
        <v>215</v>
      </c>
      <c r="I3033" s="3">
        <v>2</v>
      </c>
      <c r="J3033" s="8" t="s">
        <v>151</v>
      </c>
      <c r="K3033" s="8" t="s">
        <v>152</v>
      </c>
      <c r="L3033" s="8" t="s">
        <v>556</v>
      </c>
      <c r="M3033" s="1" t="s">
        <v>207</v>
      </c>
      <c r="N3033" s="8" t="s">
        <v>208</v>
      </c>
      <c r="O3033" s="6">
        <v>0</v>
      </c>
      <c r="P3033" s="6">
        <v>0</v>
      </c>
      <c r="Q3033" s="6">
        <v>0</v>
      </c>
      <c r="R3033" s="6">
        <v>0</v>
      </c>
      <c r="S3033" s="6">
        <v>0</v>
      </c>
    </row>
    <row r="3034" spans="1:19" ht="15" hidden="1" x14ac:dyDescent="0.25">
      <c r="A3034" s="7" t="s">
        <v>16</v>
      </c>
      <c r="B3034" s="7" t="s">
        <v>229</v>
      </c>
      <c r="C3034" s="7" t="s">
        <v>24</v>
      </c>
      <c r="D3034" s="4">
        <v>60003761000129</v>
      </c>
      <c r="E3034" s="8" t="s">
        <v>728</v>
      </c>
      <c r="F3034" s="8" t="s">
        <v>643</v>
      </c>
      <c r="G3034" s="8" t="s">
        <v>19</v>
      </c>
      <c r="H3034" s="8" t="s">
        <v>215</v>
      </c>
      <c r="I3034" s="3">
        <v>2</v>
      </c>
      <c r="J3034" s="8" t="s">
        <v>149</v>
      </c>
      <c r="K3034" s="8" t="s">
        <v>150</v>
      </c>
      <c r="L3034" s="8" t="s">
        <v>557</v>
      </c>
      <c r="M3034" s="1" t="s">
        <v>207</v>
      </c>
      <c r="N3034" s="8" t="s">
        <v>208</v>
      </c>
      <c r="O3034" s="6">
        <v>0</v>
      </c>
      <c r="P3034" s="6">
        <v>30</v>
      </c>
      <c r="Q3034" s="6">
        <v>16</v>
      </c>
      <c r="R3034" s="6">
        <v>0</v>
      </c>
      <c r="S3034" s="6">
        <v>0</v>
      </c>
    </row>
    <row r="3035" spans="1:19" ht="15" hidden="1" x14ac:dyDescent="0.25">
      <c r="A3035" s="7" t="s">
        <v>16</v>
      </c>
      <c r="B3035" s="7" t="s">
        <v>229</v>
      </c>
      <c r="C3035" s="7" t="s">
        <v>24</v>
      </c>
      <c r="D3035" s="4">
        <v>45184066000117</v>
      </c>
      <c r="E3035" s="8" t="s">
        <v>684</v>
      </c>
      <c r="F3035" s="8" t="s">
        <v>650</v>
      </c>
      <c r="G3035" s="8" t="s">
        <v>19</v>
      </c>
      <c r="H3035" s="8" t="s">
        <v>215</v>
      </c>
      <c r="I3035" s="3">
        <v>2</v>
      </c>
      <c r="J3035" s="8" t="s">
        <v>161</v>
      </c>
      <c r="K3035" s="8" t="s">
        <v>162</v>
      </c>
      <c r="L3035" s="8" t="s">
        <v>556</v>
      </c>
      <c r="M3035" s="1" t="s">
        <v>207</v>
      </c>
      <c r="N3035" s="8" t="s">
        <v>208</v>
      </c>
      <c r="O3035" s="6">
        <v>0</v>
      </c>
      <c r="P3035" s="6">
        <v>0</v>
      </c>
      <c r="Q3035" s="6">
        <v>0</v>
      </c>
      <c r="R3035" s="6">
        <v>10</v>
      </c>
      <c r="S3035" s="6">
        <v>0</v>
      </c>
    </row>
    <row r="3036" spans="1:19" ht="15" hidden="1" x14ac:dyDescent="0.25">
      <c r="A3036" s="7" t="s">
        <v>16</v>
      </c>
      <c r="B3036" s="7" t="s">
        <v>229</v>
      </c>
      <c r="C3036" s="7" t="s">
        <v>24</v>
      </c>
      <c r="D3036" s="4">
        <v>45184066000117</v>
      </c>
      <c r="E3036" s="8" t="s">
        <v>684</v>
      </c>
      <c r="F3036" s="8" t="s">
        <v>650</v>
      </c>
      <c r="G3036" s="8" t="s">
        <v>19</v>
      </c>
      <c r="H3036" s="8" t="s">
        <v>215</v>
      </c>
      <c r="I3036" s="3">
        <v>2</v>
      </c>
      <c r="J3036" s="8" t="s">
        <v>183</v>
      </c>
      <c r="K3036" s="8" t="s">
        <v>184</v>
      </c>
      <c r="L3036" s="8" t="s">
        <v>557</v>
      </c>
      <c r="M3036" s="1" t="s">
        <v>207</v>
      </c>
      <c r="N3036" s="8" t="s">
        <v>208</v>
      </c>
      <c r="O3036" s="6">
        <v>0</v>
      </c>
      <c r="P3036" s="6">
        <v>0</v>
      </c>
      <c r="Q3036" s="6">
        <v>0</v>
      </c>
      <c r="R3036" s="6">
        <v>0</v>
      </c>
      <c r="S3036" s="6">
        <v>0</v>
      </c>
    </row>
    <row r="3037" spans="1:19" ht="15" hidden="1" x14ac:dyDescent="0.25">
      <c r="A3037" s="7" t="s">
        <v>16</v>
      </c>
      <c r="B3037" s="7" t="s">
        <v>229</v>
      </c>
      <c r="C3037" s="7" t="s">
        <v>24</v>
      </c>
      <c r="D3037" s="4">
        <v>60214517001691</v>
      </c>
      <c r="E3037" s="8" t="s">
        <v>732</v>
      </c>
      <c r="F3037" s="8" t="s">
        <v>650</v>
      </c>
      <c r="G3037" s="8" t="s">
        <v>19</v>
      </c>
      <c r="H3037" s="8" t="s">
        <v>215</v>
      </c>
      <c r="I3037" s="3">
        <v>2</v>
      </c>
      <c r="J3037" s="8" t="s">
        <v>161</v>
      </c>
      <c r="K3037" s="8" t="s">
        <v>162</v>
      </c>
      <c r="L3037" s="8" t="s">
        <v>556</v>
      </c>
      <c r="M3037" s="1" t="s">
        <v>207</v>
      </c>
      <c r="N3037" s="8" t="s">
        <v>208</v>
      </c>
      <c r="O3037" s="6">
        <v>0</v>
      </c>
      <c r="P3037" s="6">
        <v>0</v>
      </c>
      <c r="Q3037" s="6">
        <v>0</v>
      </c>
      <c r="R3037" s="6">
        <v>0</v>
      </c>
      <c r="S3037" s="6">
        <v>35</v>
      </c>
    </row>
    <row r="3038" spans="1:19" ht="15" hidden="1" x14ac:dyDescent="0.25">
      <c r="A3038" s="7" t="s">
        <v>16</v>
      </c>
      <c r="B3038" s="7" t="s">
        <v>229</v>
      </c>
      <c r="C3038" s="7" t="s">
        <v>24</v>
      </c>
      <c r="D3038" s="4">
        <v>60214517001691</v>
      </c>
      <c r="E3038" s="8" t="s">
        <v>732</v>
      </c>
      <c r="F3038" s="8" t="s">
        <v>650</v>
      </c>
      <c r="G3038" s="8" t="s">
        <v>19</v>
      </c>
      <c r="H3038" s="8" t="s">
        <v>215</v>
      </c>
      <c r="I3038" s="3">
        <v>2</v>
      </c>
      <c r="J3038" s="8" t="s">
        <v>183</v>
      </c>
      <c r="K3038" s="8" t="s">
        <v>184</v>
      </c>
      <c r="L3038" s="8" t="s">
        <v>557</v>
      </c>
      <c r="M3038" s="1" t="s">
        <v>207</v>
      </c>
      <c r="N3038" s="8" t="s">
        <v>208</v>
      </c>
      <c r="O3038" s="6">
        <v>0</v>
      </c>
      <c r="P3038" s="6">
        <v>0</v>
      </c>
      <c r="Q3038" s="6">
        <v>0</v>
      </c>
      <c r="R3038" s="6">
        <v>0</v>
      </c>
      <c r="S3038" s="6">
        <v>35</v>
      </c>
    </row>
    <row r="3039" spans="1:19" ht="15" hidden="1" x14ac:dyDescent="0.25">
      <c r="A3039" s="7" t="s">
        <v>16</v>
      </c>
      <c r="B3039" s="7" t="s">
        <v>229</v>
      </c>
      <c r="C3039" s="7" t="s">
        <v>24</v>
      </c>
      <c r="D3039" s="4">
        <v>6047087003073</v>
      </c>
      <c r="E3039" s="8" t="s">
        <v>649</v>
      </c>
      <c r="F3039" s="8" t="s">
        <v>650</v>
      </c>
      <c r="G3039" s="8" t="s">
        <v>19</v>
      </c>
      <c r="H3039" s="8" t="s">
        <v>215</v>
      </c>
      <c r="I3039" s="3">
        <v>2</v>
      </c>
      <c r="J3039" s="8" t="s">
        <v>161</v>
      </c>
      <c r="K3039" s="8" t="s">
        <v>162</v>
      </c>
      <c r="L3039" s="8" t="s">
        <v>556</v>
      </c>
      <c r="M3039" s="1" t="s">
        <v>207</v>
      </c>
      <c r="N3039" s="8" t="s">
        <v>208</v>
      </c>
      <c r="O3039" s="6">
        <v>4</v>
      </c>
      <c r="P3039" s="6">
        <v>0</v>
      </c>
      <c r="Q3039" s="6">
        <v>0</v>
      </c>
      <c r="R3039" s="6">
        <v>48</v>
      </c>
      <c r="S3039" s="6">
        <v>0</v>
      </c>
    </row>
    <row r="3040" spans="1:19" ht="15" hidden="1" x14ac:dyDescent="0.25">
      <c r="A3040" s="7" t="s">
        <v>16</v>
      </c>
      <c r="B3040" s="7" t="s">
        <v>229</v>
      </c>
      <c r="C3040" s="7" t="s">
        <v>24</v>
      </c>
      <c r="D3040" s="4">
        <v>6047087003073</v>
      </c>
      <c r="E3040" s="8" t="s">
        <v>649</v>
      </c>
      <c r="F3040" s="8" t="s">
        <v>650</v>
      </c>
      <c r="G3040" s="8" t="s">
        <v>19</v>
      </c>
      <c r="H3040" s="8" t="s">
        <v>215</v>
      </c>
      <c r="I3040" s="3">
        <v>2</v>
      </c>
      <c r="J3040" s="8" t="s">
        <v>183</v>
      </c>
      <c r="K3040" s="8" t="s">
        <v>184</v>
      </c>
      <c r="L3040" s="8" t="s">
        <v>557</v>
      </c>
      <c r="M3040" s="1" t="s">
        <v>207</v>
      </c>
      <c r="N3040" s="8" t="s">
        <v>208</v>
      </c>
      <c r="O3040" s="6">
        <v>0</v>
      </c>
      <c r="P3040" s="6">
        <v>0</v>
      </c>
      <c r="Q3040" s="6">
        <v>0</v>
      </c>
      <c r="R3040" s="6">
        <v>0</v>
      </c>
      <c r="S3040" s="6">
        <v>0</v>
      </c>
    </row>
    <row r="3041" spans="1:19" ht="15" hidden="1" x14ac:dyDescent="0.25">
      <c r="A3041" s="7" t="s">
        <v>16</v>
      </c>
      <c r="B3041" s="7" t="s">
        <v>229</v>
      </c>
      <c r="C3041" s="7" t="s">
        <v>24</v>
      </c>
      <c r="D3041" s="4">
        <v>18321477000134</v>
      </c>
      <c r="E3041" s="8" t="s">
        <v>664</v>
      </c>
      <c r="F3041" s="8" t="s">
        <v>650</v>
      </c>
      <c r="G3041" s="8" t="s">
        <v>19</v>
      </c>
      <c r="H3041" s="8" t="s">
        <v>215</v>
      </c>
      <c r="I3041" s="3">
        <v>2</v>
      </c>
      <c r="J3041" s="8" t="s">
        <v>161</v>
      </c>
      <c r="K3041" s="8" t="s">
        <v>162</v>
      </c>
      <c r="L3041" s="8" t="s">
        <v>556</v>
      </c>
      <c r="M3041" s="1" t="s">
        <v>207</v>
      </c>
      <c r="N3041" s="8" t="s">
        <v>208</v>
      </c>
      <c r="O3041" s="6">
        <v>0</v>
      </c>
      <c r="P3041" s="6">
        <v>0</v>
      </c>
      <c r="Q3041" s="6">
        <v>0</v>
      </c>
      <c r="R3041" s="6">
        <v>50</v>
      </c>
      <c r="S3041" s="6">
        <v>0</v>
      </c>
    </row>
    <row r="3042" spans="1:19" ht="15" hidden="1" x14ac:dyDescent="0.25">
      <c r="A3042" s="7" t="s">
        <v>16</v>
      </c>
      <c r="B3042" s="7" t="s">
        <v>229</v>
      </c>
      <c r="C3042" s="7" t="s">
        <v>24</v>
      </c>
      <c r="D3042" s="4">
        <v>18321477000134</v>
      </c>
      <c r="E3042" s="8" t="s">
        <v>664</v>
      </c>
      <c r="F3042" s="8" t="s">
        <v>650</v>
      </c>
      <c r="G3042" s="8" t="s">
        <v>19</v>
      </c>
      <c r="H3042" s="8" t="s">
        <v>215</v>
      </c>
      <c r="I3042" s="3">
        <v>2</v>
      </c>
      <c r="J3042" s="8" t="s">
        <v>183</v>
      </c>
      <c r="K3042" s="8" t="s">
        <v>184</v>
      </c>
      <c r="L3042" s="8" t="s">
        <v>557</v>
      </c>
      <c r="M3042" s="1" t="s">
        <v>207</v>
      </c>
      <c r="N3042" s="8" t="s">
        <v>208</v>
      </c>
      <c r="O3042" s="6">
        <v>0</v>
      </c>
      <c r="P3042" s="6">
        <v>0</v>
      </c>
      <c r="Q3042" s="6">
        <v>0</v>
      </c>
      <c r="R3042" s="6">
        <v>0</v>
      </c>
      <c r="S3042" s="6">
        <v>0</v>
      </c>
    </row>
    <row r="3043" spans="1:19" ht="15" hidden="1" x14ac:dyDescent="0.25">
      <c r="A3043" s="7" t="s">
        <v>16</v>
      </c>
      <c r="B3043" s="7" t="s">
        <v>229</v>
      </c>
      <c r="C3043" s="7" t="s">
        <v>24</v>
      </c>
      <c r="D3043" s="4">
        <v>60979457000111</v>
      </c>
      <c r="E3043" s="8" t="s">
        <v>1232</v>
      </c>
      <c r="F3043" s="8" t="s">
        <v>29</v>
      </c>
      <c r="G3043" s="8" t="s">
        <v>19</v>
      </c>
      <c r="H3043" s="8" t="s">
        <v>215</v>
      </c>
      <c r="I3043" s="3">
        <v>2</v>
      </c>
      <c r="J3043" s="8" t="s">
        <v>161</v>
      </c>
      <c r="K3043" s="8" t="s">
        <v>162</v>
      </c>
      <c r="L3043" s="8" t="s">
        <v>556</v>
      </c>
      <c r="M3043" s="1" t="s">
        <v>207</v>
      </c>
      <c r="N3043" s="8" t="s">
        <v>208</v>
      </c>
      <c r="O3043" s="6">
        <v>0</v>
      </c>
      <c r="P3043" s="6">
        <v>0</v>
      </c>
      <c r="Q3043" s="6">
        <v>0</v>
      </c>
      <c r="R3043" s="6">
        <v>0</v>
      </c>
      <c r="S3043" s="6">
        <v>20</v>
      </c>
    </row>
    <row r="3044" spans="1:19" ht="15" hidden="1" x14ac:dyDescent="0.25">
      <c r="A3044" s="7" t="s">
        <v>16</v>
      </c>
      <c r="B3044" s="7" t="s">
        <v>229</v>
      </c>
      <c r="C3044" s="7" t="s">
        <v>24</v>
      </c>
      <c r="D3044" s="4">
        <v>60979457000111</v>
      </c>
      <c r="E3044" s="8" t="s">
        <v>1232</v>
      </c>
      <c r="F3044" s="8" t="s">
        <v>29</v>
      </c>
      <c r="G3044" s="8" t="s">
        <v>19</v>
      </c>
      <c r="H3044" s="8" t="s">
        <v>215</v>
      </c>
      <c r="I3044" s="3">
        <v>2</v>
      </c>
      <c r="J3044" s="8" t="s">
        <v>183</v>
      </c>
      <c r="K3044" s="8" t="s">
        <v>184</v>
      </c>
      <c r="L3044" s="8" t="s">
        <v>557</v>
      </c>
      <c r="M3044" s="1" t="s">
        <v>207</v>
      </c>
      <c r="N3044" s="8" t="s">
        <v>208</v>
      </c>
      <c r="O3044" s="6">
        <v>0</v>
      </c>
      <c r="P3044" s="6">
        <v>0</v>
      </c>
      <c r="Q3044" s="6">
        <v>0</v>
      </c>
      <c r="R3044" s="6">
        <v>0</v>
      </c>
      <c r="S3044" s="6">
        <v>20</v>
      </c>
    </row>
    <row r="3045" spans="1:19" ht="15" hidden="1" x14ac:dyDescent="0.25">
      <c r="A3045" s="7" t="s">
        <v>16</v>
      </c>
      <c r="B3045" s="7" t="s">
        <v>229</v>
      </c>
      <c r="C3045" s="7" t="s">
        <v>24</v>
      </c>
      <c r="D3045" s="4">
        <v>51722957000506</v>
      </c>
      <c r="E3045" s="8" t="s">
        <v>602</v>
      </c>
      <c r="F3045" s="8" t="s">
        <v>29</v>
      </c>
      <c r="G3045" s="8" t="s">
        <v>19</v>
      </c>
      <c r="H3045" s="8" t="s">
        <v>215</v>
      </c>
      <c r="I3045" s="3">
        <v>2</v>
      </c>
      <c r="J3045" s="8" t="s">
        <v>161</v>
      </c>
      <c r="K3045" s="8" t="s">
        <v>162</v>
      </c>
      <c r="L3045" s="8" t="s">
        <v>556</v>
      </c>
      <c r="M3045" s="1" t="s">
        <v>207</v>
      </c>
      <c r="N3045" s="8" t="s">
        <v>208</v>
      </c>
      <c r="O3045" s="6">
        <v>0</v>
      </c>
      <c r="P3045" s="6">
        <v>0</v>
      </c>
      <c r="Q3045" s="6">
        <v>0</v>
      </c>
      <c r="R3045" s="6">
        <v>0</v>
      </c>
      <c r="S3045" s="6">
        <v>100</v>
      </c>
    </row>
    <row r="3046" spans="1:19" ht="15" hidden="1" x14ac:dyDescent="0.25">
      <c r="A3046" s="7" t="s">
        <v>16</v>
      </c>
      <c r="B3046" s="7" t="s">
        <v>229</v>
      </c>
      <c r="C3046" s="7" t="s">
        <v>24</v>
      </c>
      <c r="D3046" s="4">
        <v>51722957000506</v>
      </c>
      <c r="E3046" s="8" t="s">
        <v>602</v>
      </c>
      <c r="F3046" s="8" t="s">
        <v>29</v>
      </c>
      <c r="G3046" s="8" t="s">
        <v>19</v>
      </c>
      <c r="H3046" s="8" t="s">
        <v>215</v>
      </c>
      <c r="I3046" s="3">
        <v>2</v>
      </c>
      <c r="J3046" s="8" t="s">
        <v>183</v>
      </c>
      <c r="K3046" s="8" t="s">
        <v>184</v>
      </c>
      <c r="L3046" s="8" t="s">
        <v>557</v>
      </c>
      <c r="M3046" s="1" t="s">
        <v>207</v>
      </c>
      <c r="N3046" s="8" t="s">
        <v>208</v>
      </c>
      <c r="O3046" s="6">
        <v>0</v>
      </c>
      <c r="P3046" s="6">
        <v>0</v>
      </c>
      <c r="Q3046" s="6">
        <v>0</v>
      </c>
      <c r="R3046" s="6">
        <v>0</v>
      </c>
      <c r="S3046" s="6">
        <v>100</v>
      </c>
    </row>
    <row r="3047" spans="1:19" ht="15" hidden="1" x14ac:dyDescent="0.25">
      <c r="A3047" s="7" t="s">
        <v>16</v>
      </c>
      <c r="B3047" s="7" t="s">
        <v>229</v>
      </c>
      <c r="C3047" s="7" t="s">
        <v>24</v>
      </c>
      <c r="D3047" s="4">
        <v>51722957010226</v>
      </c>
      <c r="E3047" s="8" t="s">
        <v>603</v>
      </c>
      <c r="F3047" s="8" t="s">
        <v>29</v>
      </c>
      <c r="G3047" s="8" t="s">
        <v>19</v>
      </c>
      <c r="H3047" s="8" t="s">
        <v>215</v>
      </c>
      <c r="I3047" s="3">
        <v>2</v>
      </c>
      <c r="J3047" s="8" t="s">
        <v>161</v>
      </c>
      <c r="K3047" s="8" t="s">
        <v>162</v>
      </c>
      <c r="L3047" s="8" t="s">
        <v>556</v>
      </c>
      <c r="M3047" s="1" t="s">
        <v>207</v>
      </c>
      <c r="N3047" s="8" t="s">
        <v>208</v>
      </c>
      <c r="O3047" s="6">
        <v>0</v>
      </c>
      <c r="P3047" s="6">
        <v>0</v>
      </c>
      <c r="Q3047" s="6">
        <v>0</v>
      </c>
      <c r="R3047" s="6">
        <v>8</v>
      </c>
      <c r="S3047" s="6">
        <v>165</v>
      </c>
    </row>
    <row r="3048" spans="1:19" ht="15" hidden="1" x14ac:dyDescent="0.25">
      <c r="A3048" s="7" t="s">
        <v>16</v>
      </c>
      <c r="B3048" s="7" t="s">
        <v>229</v>
      </c>
      <c r="C3048" s="7" t="s">
        <v>24</v>
      </c>
      <c r="D3048" s="4">
        <v>51722957010226</v>
      </c>
      <c r="E3048" s="8" t="s">
        <v>603</v>
      </c>
      <c r="F3048" s="8" t="s">
        <v>29</v>
      </c>
      <c r="G3048" s="8" t="s">
        <v>19</v>
      </c>
      <c r="H3048" s="8" t="s">
        <v>215</v>
      </c>
      <c r="I3048" s="3">
        <v>2</v>
      </c>
      <c r="J3048" s="8" t="s">
        <v>183</v>
      </c>
      <c r="K3048" s="8" t="s">
        <v>184</v>
      </c>
      <c r="L3048" s="8" t="s">
        <v>557</v>
      </c>
      <c r="M3048" s="1" t="s">
        <v>207</v>
      </c>
      <c r="N3048" s="8" t="s">
        <v>208</v>
      </c>
      <c r="O3048" s="6">
        <v>0</v>
      </c>
      <c r="P3048" s="6">
        <v>0</v>
      </c>
      <c r="Q3048" s="6">
        <v>0</v>
      </c>
      <c r="R3048" s="6">
        <v>0</v>
      </c>
      <c r="S3048" s="6">
        <v>165</v>
      </c>
    </row>
    <row r="3049" spans="1:19" ht="15" hidden="1" x14ac:dyDescent="0.25">
      <c r="A3049" s="7" t="s">
        <v>16</v>
      </c>
      <c r="B3049" s="7" t="s">
        <v>229</v>
      </c>
      <c r="C3049" s="7" t="s">
        <v>24</v>
      </c>
      <c r="D3049" s="4">
        <v>18180008000142</v>
      </c>
      <c r="E3049" s="8" t="s">
        <v>585</v>
      </c>
      <c r="F3049" s="8" t="s">
        <v>29</v>
      </c>
      <c r="G3049" s="8" t="s">
        <v>19</v>
      </c>
      <c r="H3049" s="8" t="s">
        <v>215</v>
      </c>
      <c r="I3049" s="3">
        <v>2</v>
      </c>
      <c r="J3049" s="8" t="s">
        <v>161</v>
      </c>
      <c r="K3049" s="8" t="s">
        <v>162</v>
      </c>
      <c r="L3049" s="8" t="s">
        <v>556</v>
      </c>
      <c r="M3049" s="1" t="s">
        <v>207</v>
      </c>
      <c r="N3049" s="8" t="s">
        <v>208</v>
      </c>
      <c r="O3049" s="6">
        <v>0</v>
      </c>
      <c r="P3049" s="6">
        <v>0</v>
      </c>
      <c r="Q3049" s="6">
        <v>0</v>
      </c>
      <c r="R3049" s="6">
        <v>0</v>
      </c>
      <c r="S3049" s="6">
        <v>0</v>
      </c>
    </row>
    <row r="3050" spans="1:19" ht="15" hidden="1" x14ac:dyDescent="0.25">
      <c r="A3050" s="7" t="s">
        <v>16</v>
      </c>
      <c r="B3050" s="7" t="s">
        <v>229</v>
      </c>
      <c r="C3050" s="7" t="s">
        <v>24</v>
      </c>
      <c r="D3050" s="4">
        <v>18180008000142</v>
      </c>
      <c r="E3050" s="8" t="s">
        <v>585</v>
      </c>
      <c r="F3050" s="8" t="s">
        <v>29</v>
      </c>
      <c r="G3050" s="8" t="s">
        <v>19</v>
      </c>
      <c r="H3050" s="8" t="s">
        <v>215</v>
      </c>
      <c r="I3050" s="3">
        <v>2</v>
      </c>
      <c r="J3050" s="8" t="s">
        <v>177</v>
      </c>
      <c r="K3050" s="8" t="s">
        <v>178</v>
      </c>
      <c r="L3050" s="8" t="s">
        <v>557</v>
      </c>
      <c r="M3050" s="1" t="s">
        <v>207</v>
      </c>
      <c r="N3050" s="8" t="s">
        <v>208</v>
      </c>
      <c r="O3050" s="6">
        <v>0</v>
      </c>
      <c r="P3050" s="6">
        <v>8</v>
      </c>
      <c r="Q3050" s="6">
        <v>6</v>
      </c>
      <c r="R3050" s="6">
        <v>0</v>
      </c>
      <c r="S3050" s="6">
        <v>0</v>
      </c>
    </row>
    <row r="3051" spans="1:19" ht="15" hidden="1" x14ac:dyDescent="0.25">
      <c r="A3051" s="7" t="s">
        <v>16</v>
      </c>
      <c r="B3051" s="7" t="s">
        <v>229</v>
      </c>
      <c r="C3051" s="7" t="s">
        <v>24</v>
      </c>
      <c r="D3051" s="4">
        <v>4995603000121</v>
      </c>
      <c r="E3051" s="8" t="s">
        <v>566</v>
      </c>
      <c r="F3051" s="8" t="s">
        <v>29</v>
      </c>
      <c r="G3051" s="8" t="s">
        <v>19</v>
      </c>
      <c r="H3051" s="8" t="s">
        <v>215</v>
      </c>
      <c r="I3051" s="3">
        <v>2</v>
      </c>
      <c r="J3051" s="8" t="s">
        <v>1355</v>
      </c>
      <c r="K3051" s="8" t="s">
        <v>1356</v>
      </c>
      <c r="L3051" s="8" t="s">
        <v>556</v>
      </c>
      <c r="M3051" s="1" t="s">
        <v>207</v>
      </c>
      <c r="N3051" s="8" t="s">
        <v>208</v>
      </c>
      <c r="O3051" s="6">
        <v>0</v>
      </c>
      <c r="P3051" s="6">
        <v>0</v>
      </c>
      <c r="Q3051" s="6">
        <v>0</v>
      </c>
      <c r="R3051" s="6">
        <v>0</v>
      </c>
      <c r="S3051" s="6">
        <v>1000</v>
      </c>
    </row>
    <row r="3052" spans="1:19" ht="15" hidden="1" x14ac:dyDescent="0.25">
      <c r="A3052" s="7" t="s">
        <v>16</v>
      </c>
      <c r="B3052" s="7" t="s">
        <v>229</v>
      </c>
      <c r="C3052" s="7" t="s">
        <v>24</v>
      </c>
      <c r="D3052" s="4">
        <v>4995603000121</v>
      </c>
      <c r="E3052" s="8" t="s">
        <v>566</v>
      </c>
      <c r="F3052" s="8" t="s">
        <v>29</v>
      </c>
      <c r="G3052" s="8" t="s">
        <v>19</v>
      </c>
      <c r="H3052" s="8" t="s">
        <v>215</v>
      </c>
      <c r="I3052" s="3">
        <v>2</v>
      </c>
      <c r="J3052" s="8" t="s">
        <v>183</v>
      </c>
      <c r="K3052" s="8" t="s">
        <v>184</v>
      </c>
      <c r="L3052" s="8" t="s">
        <v>557</v>
      </c>
      <c r="M3052" s="1" t="s">
        <v>207</v>
      </c>
      <c r="N3052" s="8" t="s">
        <v>208</v>
      </c>
      <c r="O3052" s="6">
        <v>0</v>
      </c>
      <c r="P3052" s="6">
        <v>0</v>
      </c>
      <c r="Q3052" s="6">
        <v>0</v>
      </c>
      <c r="R3052" s="6">
        <v>0</v>
      </c>
      <c r="S3052" s="6">
        <v>1000</v>
      </c>
    </row>
    <row r="3053" spans="1:19" ht="15" hidden="1" x14ac:dyDescent="0.25">
      <c r="A3053" s="7" t="s">
        <v>16</v>
      </c>
      <c r="B3053" s="7" t="s">
        <v>229</v>
      </c>
      <c r="C3053" s="7" t="s">
        <v>24</v>
      </c>
      <c r="D3053" s="4">
        <v>60992427000650</v>
      </c>
      <c r="E3053" s="8" t="s">
        <v>627</v>
      </c>
      <c r="F3053" s="8" t="s">
        <v>29</v>
      </c>
      <c r="G3053" s="8" t="s">
        <v>19</v>
      </c>
      <c r="H3053" s="8" t="s">
        <v>215</v>
      </c>
      <c r="I3053" s="3">
        <v>2</v>
      </c>
      <c r="J3053" s="8" t="s">
        <v>1355</v>
      </c>
      <c r="K3053" s="8" t="s">
        <v>1356</v>
      </c>
      <c r="L3053" s="8" t="s">
        <v>556</v>
      </c>
      <c r="M3053" s="1" t="s">
        <v>207</v>
      </c>
      <c r="N3053" s="8" t="s">
        <v>208</v>
      </c>
      <c r="O3053" s="6">
        <v>0</v>
      </c>
      <c r="P3053" s="6">
        <v>0</v>
      </c>
      <c r="Q3053" s="6">
        <v>0</v>
      </c>
      <c r="R3053" s="6">
        <v>0</v>
      </c>
      <c r="S3053" s="6">
        <v>0</v>
      </c>
    </row>
    <row r="3054" spans="1:19" ht="15" hidden="1" x14ac:dyDescent="0.25">
      <c r="A3054" s="7" t="s">
        <v>16</v>
      </c>
      <c r="B3054" s="7" t="s">
        <v>229</v>
      </c>
      <c r="C3054" s="7" t="s">
        <v>24</v>
      </c>
      <c r="D3054" s="4">
        <v>60992427000650</v>
      </c>
      <c r="E3054" s="8" t="s">
        <v>627</v>
      </c>
      <c r="F3054" s="8" t="s">
        <v>29</v>
      </c>
      <c r="G3054" s="8" t="s">
        <v>19</v>
      </c>
      <c r="H3054" s="8" t="s">
        <v>215</v>
      </c>
      <c r="I3054" s="3">
        <v>2</v>
      </c>
      <c r="J3054" s="8" t="s">
        <v>147</v>
      </c>
      <c r="K3054" s="8" t="s">
        <v>148</v>
      </c>
      <c r="L3054" s="8" t="s">
        <v>557</v>
      </c>
      <c r="M3054" s="1" t="s">
        <v>207</v>
      </c>
      <c r="N3054" s="8" t="s">
        <v>208</v>
      </c>
      <c r="O3054" s="6">
        <v>0</v>
      </c>
      <c r="P3054" s="6">
        <v>11</v>
      </c>
      <c r="Q3054" s="6">
        <v>0</v>
      </c>
      <c r="R3054" s="6">
        <v>0</v>
      </c>
      <c r="S3054" s="6">
        <v>0</v>
      </c>
    </row>
    <row r="3055" spans="1:19" ht="15" hidden="1" x14ac:dyDescent="0.25">
      <c r="A3055" s="7" t="s">
        <v>16</v>
      </c>
      <c r="B3055" s="7" t="s">
        <v>229</v>
      </c>
      <c r="C3055" s="7" t="s">
        <v>24</v>
      </c>
      <c r="D3055" s="4">
        <v>2383508000494</v>
      </c>
      <c r="E3055" s="8" t="s">
        <v>562</v>
      </c>
      <c r="F3055" s="8" t="s">
        <v>29</v>
      </c>
      <c r="G3055" s="8" t="s">
        <v>19</v>
      </c>
      <c r="H3055" s="8" t="s">
        <v>215</v>
      </c>
      <c r="I3055" s="3">
        <v>2</v>
      </c>
      <c r="J3055" s="8" t="s">
        <v>161</v>
      </c>
      <c r="K3055" s="8" t="s">
        <v>162</v>
      </c>
      <c r="L3055" s="8" t="s">
        <v>556</v>
      </c>
      <c r="M3055" s="1" t="s">
        <v>207</v>
      </c>
      <c r="N3055" s="8" t="s">
        <v>208</v>
      </c>
      <c r="O3055" s="6">
        <v>0</v>
      </c>
      <c r="P3055" s="6">
        <v>0</v>
      </c>
      <c r="Q3055" s="6">
        <v>0</v>
      </c>
      <c r="R3055" s="6">
        <v>17</v>
      </c>
      <c r="S3055" s="6">
        <v>0</v>
      </c>
    </row>
    <row r="3056" spans="1:19" ht="15" hidden="1" x14ac:dyDescent="0.25">
      <c r="A3056" s="7" t="s">
        <v>16</v>
      </c>
      <c r="B3056" s="7" t="s">
        <v>229</v>
      </c>
      <c r="C3056" s="7" t="s">
        <v>24</v>
      </c>
      <c r="D3056" s="4">
        <v>2383508000494</v>
      </c>
      <c r="E3056" s="8" t="s">
        <v>562</v>
      </c>
      <c r="F3056" s="8" t="s">
        <v>29</v>
      </c>
      <c r="G3056" s="8" t="s">
        <v>19</v>
      </c>
      <c r="H3056" s="8" t="s">
        <v>215</v>
      </c>
      <c r="I3056" s="3">
        <v>2</v>
      </c>
      <c r="J3056" s="8" t="s">
        <v>147</v>
      </c>
      <c r="K3056" s="8" t="s">
        <v>148</v>
      </c>
      <c r="L3056" s="8" t="s">
        <v>557</v>
      </c>
      <c r="M3056" s="1" t="s">
        <v>207</v>
      </c>
      <c r="N3056" s="8" t="s">
        <v>208</v>
      </c>
      <c r="O3056" s="6">
        <v>0</v>
      </c>
      <c r="P3056" s="6">
        <v>0</v>
      </c>
      <c r="Q3056" s="6">
        <v>0</v>
      </c>
      <c r="R3056" s="6">
        <v>0</v>
      </c>
      <c r="S3056" s="6">
        <v>0</v>
      </c>
    </row>
    <row r="3057" spans="1:19" ht="15" hidden="1" x14ac:dyDescent="0.25">
      <c r="A3057" s="7" t="s">
        <v>16</v>
      </c>
      <c r="B3057" s="7" t="s">
        <v>229</v>
      </c>
      <c r="C3057" s="7" t="s">
        <v>24</v>
      </c>
      <c r="D3057" s="4">
        <v>8871521000126</v>
      </c>
      <c r="E3057" s="8" t="s">
        <v>577</v>
      </c>
      <c r="F3057" s="8" t="s">
        <v>29</v>
      </c>
      <c r="G3057" s="8" t="s">
        <v>19</v>
      </c>
      <c r="H3057" s="8" t="s">
        <v>215</v>
      </c>
      <c r="I3057" s="3">
        <v>2</v>
      </c>
      <c r="J3057" s="8" t="s">
        <v>1355</v>
      </c>
      <c r="K3057" s="8" t="s">
        <v>1356</v>
      </c>
      <c r="L3057" s="8" t="s">
        <v>556</v>
      </c>
      <c r="M3057" s="1" t="s">
        <v>207</v>
      </c>
      <c r="N3057" s="8" t="s">
        <v>208</v>
      </c>
      <c r="O3057" s="6">
        <v>0</v>
      </c>
      <c r="P3057" s="6">
        <v>0</v>
      </c>
      <c r="Q3057" s="6">
        <v>0</v>
      </c>
      <c r="R3057" s="6">
        <v>0</v>
      </c>
      <c r="S3057" s="6">
        <v>528</v>
      </c>
    </row>
    <row r="3058" spans="1:19" ht="15" hidden="1" x14ac:dyDescent="0.25">
      <c r="A3058" s="7" t="s">
        <v>16</v>
      </c>
      <c r="B3058" s="7" t="s">
        <v>229</v>
      </c>
      <c r="C3058" s="7" t="s">
        <v>24</v>
      </c>
      <c r="D3058" s="4">
        <v>8871521000126</v>
      </c>
      <c r="E3058" s="8" t="s">
        <v>577</v>
      </c>
      <c r="F3058" s="8" t="s">
        <v>29</v>
      </c>
      <c r="G3058" s="8" t="s">
        <v>19</v>
      </c>
      <c r="H3058" s="8" t="s">
        <v>215</v>
      </c>
      <c r="I3058" s="3">
        <v>2</v>
      </c>
      <c r="J3058" s="8" t="s">
        <v>177</v>
      </c>
      <c r="K3058" s="8" t="s">
        <v>178</v>
      </c>
      <c r="L3058" s="8" t="s">
        <v>557</v>
      </c>
      <c r="M3058" s="1" t="s">
        <v>207</v>
      </c>
      <c r="N3058" s="8" t="s">
        <v>208</v>
      </c>
      <c r="O3058" s="6">
        <v>0</v>
      </c>
      <c r="P3058" s="6">
        <v>0</v>
      </c>
      <c r="Q3058" s="6">
        <v>0</v>
      </c>
      <c r="R3058" s="6">
        <v>0</v>
      </c>
      <c r="S3058" s="6">
        <v>528</v>
      </c>
    </row>
    <row r="3059" spans="1:19" ht="15" hidden="1" x14ac:dyDescent="0.25">
      <c r="A3059" s="7" t="s">
        <v>16</v>
      </c>
      <c r="B3059" s="7" t="s">
        <v>229</v>
      </c>
      <c r="C3059" s="7" t="s">
        <v>24</v>
      </c>
      <c r="D3059" s="4">
        <v>59481028000130</v>
      </c>
      <c r="E3059" s="8" t="s">
        <v>608</v>
      </c>
      <c r="F3059" s="8" t="s">
        <v>29</v>
      </c>
      <c r="G3059" s="8" t="s">
        <v>19</v>
      </c>
      <c r="H3059" s="8" t="s">
        <v>215</v>
      </c>
      <c r="I3059" s="3">
        <v>2</v>
      </c>
      <c r="J3059" s="8" t="s">
        <v>161</v>
      </c>
      <c r="K3059" s="8" t="s">
        <v>162</v>
      </c>
      <c r="L3059" s="8" t="s">
        <v>556</v>
      </c>
      <c r="M3059" s="1" t="s">
        <v>207</v>
      </c>
      <c r="N3059" s="8" t="s">
        <v>208</v>
      </c>
      <c r="O3059" s="6">
        <v>0</v>
      </c>
      <c r="P3059" s="6">
        <v>0</v>
      </c>
      <c r="Q3059" s="6">
        <v>0</v>
      </c>
      <c r="R3059" s="6">
        <v>0</v>
      </c>
      <c r="S3059" s="6">
        <v>30</v>
      </c>
    </row>
    <row r="3060" spans="1:19" ht="15" hidden="1" x14ac:dyDescent="0.25">
      <c r="A3060" s="7" t="s">
        <v>16</v>
      </c>
      <c r="B3060" s="7" t="s">
        <v>229</v>
      </c>
      <c r="C3060" s="7" t="s">
        <v>24</v>
      </c>
      <c r="D3060" s="4">
        <v>59481028000130</v>
      </c>
      <c r="E3060" s="8" t="s">
        <v>608</v>
      </c>
      <c r="F3060" s="8" t="s">
        <v>29</v>
      </c>
      <c r="G3060" s="8" t="s">
        <v>19</v>
      </c>
      <c r="H3060" s="8" t="s">
        <v>215</v>
      </c>
      <c r="I3060" s="3">
        <v>2</v>
      </c>
      <c r="J3060" s="8" t="s">
        <v>147</v>
      </c>
      <c r="K3060" s="8" t="s">
        <v>148</v>
      </c>
      <c r="L3060" s="8" t="s">
        <v>557</v>
      </c>
      <c r="M3060" s="1" t="s">
        <v>207</v>
      </c>
      <c r="N3060" s="8" t="s">
        <v>208</v>
      </c>
      <c r="O3060" s="6">
        <v>0</v>
      </c>
      <c r="P3060" s="6">
        <v>0</v>
      </c>
      <c r="Q3060" s="6">
        <v>0</v>
      </c>
      <c r="R3060" s="6">
        <v>0</v>
      </c>
      <c r="S3060" s="6">
        <v>30</v>
      </c>
    </row>
    <row r="3061" spans="1:19" ht="15" hidden="1" x14ac:dyDescent="0.25">
      <c r="A3061" s="7" t="s">
        <v>16</v>
      </c>
      <c r="B3061" s="7" t="s">
        <v>229</v>
      </c>
      <c r="C3061" s="7" t="s">
        <v>24</v>
      </c>
      <c r="D3061" s="4">
        <v>43775956000178</v>
      </c>
      <c r="E3061" s="8" t="s">
        <v>597</v>
      </c>
      <c r="F3061" s="8" t="s">
        <v>29</v>
      </c>
      <c r="G3061" s="8" t="s">
        <v>19</v>
      </c>
      <c r="H3061" s="8" t="s">
        <v>215</v>
      </c>
      <c r="I3061" s="3">
        <v>2</v>
      </c>
      <c r="J3061" s="8" t="s">
        <v>1355</v>
      </c>
      <c r="K3061" s="8" t="s">
        <v>1356</v>
      </c>
      <c r="L3061" s="8" t="s">
        <v>556</v>
      </c>
      <c r="M3061" s="1" t="s">
        <v>207</v>
      </c>
      <c r="N3061" s="8" t="s">
        <v>208</v>
      </c>
      <c r="O3061" s="6">
        <v>0</v>
      </c>
      <c r="P3061" s="6">
        <v>0</v>
      </c>
      <c r="Q3061" s="6">
        <v>0</v>
      </c>
      <c r="R3061" s="6">
        <v>0</v>
      </c>
      <c r="S3061" s="6">
        <v>30</v>
      </c>
    </row>
    <row r="3062" spans="1:19" ht="15" hidden="1" x14ac:dyDescent="0.25">
      <c r="A3062" s="7" t="s">
        <v>16</v>
      </c>
      <c r="B3062" s="7" t="s">
        <v>229</v>
      </c>
      <c r="C3062" s="7" t="s">
        <v>24</v>
      </c>
      <c r="D3062" s="4">
        <v>43775956000178</v>
      </c>
      <c r="E3062" s="8" t="s">
        <v>597</v>
      </c>
      <c r="F3062" s="8" t="s">
        <v>29</v>
      </c>
      <c r="G3062" s="8" t="s">
        <v>19</v>
      </c>
      <c r="H3062" s="8" t="s">
        <v>215</v>
      </c>
      <c r="I3062" s="3">
        <v>2</v>
      </c>
      <c r="J3062" s="8" t="s">
        <v>177</v>
      </c>
      <c r="K3062" s="8" t="s">
        <v>178</v>
      </c>
      <c r="L3062" s="8" t="s">
        <v>557</v>
      </c>
      <c r="M3062" s="1" t="s">
        <v>207</v>
      </c>
      <c r="N3062" s="8" t="s">
        <v>208</v>
      </c>
      <c r="O3062" s="6">
        <v>0</v>
      </c>
      <c r="P3062" s="6">
        <v>0</v>
      </c>
      <c r="Q3062" s="6">
        <v>0</v>
      </c>
      <c r="R3062" s="6">
        <v>0</v>
      </c>
      <c r="S3062" s="6">
        <v>30</v>
      </c>
    </row>
    <row r="3063" spans="1:19" ht="15" hidden="1" x14ac:dyDescent="0.25">
      <c r="A3063" s="7" t="s">
        <v>16</v>
      </c>
      <c r="B3063" s="7" t="s">
        <v>229</v>
      </c>
      <c r="C3063" s="7" t="s">
        <v>24</v>
      </c>
      <c r="D3063" s="4">
        <v>10468341000220</v>
      </c>
      <c r="E3063" s="8" t="s">
        <v>582</v>
      </c>
      <c r="F3063" s="8" t="s">
        <v>29</v>
      </c>
      <c r="G3063" s="8" t="s">
        <v>19</v>
      </c>
      <c r="H3063" s="8" t="s">
        <v>215</v>
      </c>
      <c r="I3063" s="3">
        <v>2</v>
      </c>
      <c r="J3063" s="8" t="s">
        <v>161</v>
      </c>
      <c r="K3063" s="8" t="s">
        <v>162</v>
      </c>
      <c r="L3063" s="8" t="s">
        <v>556</v>
      </c>
      <c r="M3063" s="1" t="s">
        <v>207</v>
      </c>
      <c r="N3063" s="8" t="s">
        <v>208</v>
      </c>
      <c r="O3063" s="6">
        <v>0</v>
      </c>
      <c r="P3063" s="6">
        <v>0</v>
      </c>
      <c r="Q3063" s="6">
        <v>0</v>
      </c>
      <c r="R3063" s="6">
        <v>0</v>
      </c>
      <c r="S3063" s="6">
        <v>895</v>
      </c>
    </row>
    <row r="3064" spans="1:19" ht="15" hidden="1" x14ac:dyDescent="0.25">
      <c r="A3064" s="7" t="s">
        <v>16</v>
      </c>
      <c r="B3064" s="7" t="s">
        <v>229</v>
      </c>
      <c r="C3064" s="7" t="s">
        <v>24</v>
      </c>
      <c r="D3064" s="4">
        <v>10468341000220</v>
      </c>
      <c r="E3064" s="8" t="s">
        <v>582</v>
      </c>
      <c r="F3064" s="8" t="s">
        <v>29</v>
      </c>
      <c r="G3064" s="8" t="s">
        <v>19</v>
      </c>
      <c r="H3064" s="8" t="s">
        <v>215</v>
      </c>
      <c r="I3064" s="3">
        <v>2</v>
      </c>
      <c r="J3064" s="8" t="s">
        <v>183</v>
      </c>
      <c r="K3064" s="8" t="s">
        <v>184</v>
      </c>
      <c r="L3064" s="8" t="s">
        <v>557</v>
      </c>
      <c r="M3064" s="1" t="s">
        <v>207</v>
      </c>
      <c r="N3064" s="8" t="s">
        <v>208</v>
      </c>
      <c r="O3064" s="6">
        <v>0</v>
      </c>
      <c r="P3064" s="6">
        <v>0</v>
      </c>
      <c r="Q3064" s="6">
        <v>0</v>
      </c>
      <c r="R3064" s="6">
        <v>0</v>
      </c>
      <c r="S3064" s="6">
        <v>895</v>
      </c>
    </row>
    <row r="3065" spans="1:19" ht="15" hidden="1" x14ac:dyDescent="0.25">
      <c r="A3065" s="7" t="s">
        <v>16</v>
      </c>
      <c r="B3065" s="7" t="s">
        <v>229</v>
      </c>
      <c r="C3065" s="7" t="s">
        <v>24</v>
      </c>
      <c r="D3065" s="4">
        <v>10468341000140</v>
      </c>
      <c r="E3065" s="8" t="s">
        <v>581</v>
      </c>
      <c r="F3065" s="8" t="s">
        <v>29</v>
      </c>
      <c r="G3065" s="8" t="s">
        <v>19</v>
      </c>
      <c r="H3065" s="8" t="s">
        <v>215</v>
      </c>
      <c r="I3065" s="3">
        <v>2</v>
      </c>
      <c r="J3065" s="8" t="s">
        <v>161</v>
      </c>
      <c r="K3065" s="8" t="s">
        <v>162</v>
      </c>
      <c r="L3065" s="8" t="s">
        <v>556</v>
      </c>
      <c r="M3065" s="1" t="s">
        <v>207</v>
      </c>
      <c r="N3065" s="8" t="s">
        <v>208</v>
      </c>
      <c r="O3065" s="6">
        <v>0</v>
      </c>
      <c r="P3065" s="6">
        <v>0</v>
      </c>
      <c r="Q3065" s="6">
        <v>0</v>
      </c>
      <c r="R3065" s="6">
        <v>48</v>
      </c>
      <c r="S3065" s="6">
        <v>760</v>
      </c>
    </row>
    <row r="3066" spans="1:19" ht="15" hidden="1" x14ac:dyDescent="0.25">
      <c r="A3066" s="7" t="s">
        <v>16</v>
      </c>
      <c r="B3066" s="7" t="s">
        <v>229</v>
      </c>
      <c r="C3066" s="7" t="s">
        <v>24</v>
      </c>
      <c r="D3066" s="4">
        <v>10468341000140</v>
      </c>
      <c r="E3066" s="8" t="s">
        <v>581</v>
      </c>
      <c r="F3066" s="8" t="s">
        <v>29</v>
      </c>
      <c r="G3066" s="8" t="s">
        <v>19</v>
      </c>
      <c r="H3066" s="8" t="s">
        <v>215</v>
      </c>
      <c r="I3066" s="3">
        <v>2</v>
      </c>
      <c r="J3066" s="8" t="s">
        <v>183</v>
      </c>
      <c r="K3066" s="8" t="s">
        <v>184</v>
      </c>
      <c r="L3066" s="8" t="s">
        <v>557</v>
      </c>
      <c r="M3066" s="1" t="s">
        <v>207</v>
      </c>
      <c r="N3066" s="8" t="s">
        <v>208</v>
      </c>
      <c r="O3066" s="6">
        <v>0</v>
      </c>
      <c r="P3066" s="6">
        <v>0</v>
      </c>
      <c r="Q3066" s="6">
        <v>0</v>
      </c>
      <c r="R3066" s="6">
        <v>0</v>
      </c>
      <c r="S3066" s="6">
        <v>760</v>
      </c>
    </row>
    <row r="3067" spans="1:19" ht="15" hidden="1" x14ac:dyDescent="0.25">
      <c r="A3067" s="7" t="s">
        <v>16</v>
      </c>
      <c r="B3067" s="7" t="s">
        <v>229</v>
      </c>
      <c r="C3067" s="7" t="s">
        <v>24</v>
      </c>
      <c r="D3067" s="4">
        <v>29435005009932</v>
      </c>
      <c r="E3067" s="8" t="s">
        <v>595</v>
      </c>
      <c r="F3067" s="8" t="s">
        <v>29</v>
      </c>
      <c r="G3067" s="8" t="s">
        <v>19</v>
      </c>
      <c r="H3067" s="8" t="s">
        <v>215</v>
      </c>
      <c r="I3067" s="3">
        <v>2</v>
      </c>
      <c r="J3067" s="8" t="s">
        <v>1355</v>
      </c>
      <c r="K3067" s="8" t="s">
        <v>1356</v>
      </c>
      <c r="L3067" s="8" t="s">
        <v>556</v>
      </c>
      <c r="M3067" s="1" t="s">
        <v>207</v>
      </c>
      <c r="N3067" s="8" t="s">
        <v>208</v>
      </c>
      <c r="O3067" s="6">
        <v>0</v>
      </c>
      <c r="P3067" s="6">
        <v>0</v>
      </c>
      <c r="Q3067" s="6">
        <v>0</v>
      </c>
      <c r="R3067" s="6">
        <v>0</v>
      </c>
      <c r="S3067" s="6">
        <v>1010</v>
      </c>
    </row>
    <row r="3068" spans="1:19" ht="15" hidden="1" x14ac:dyDescent="0.25">
      <c r="A3068" s="7" t="s">
        <v>16</v>
      </c>
      <c r="B3068" s="7" t="s">
        <v>229</v>
      </c>
      <c r="C3068" s="7" t="s">
        <v>24</v>
      </c>
      <c r="D3068" s="4">
        <v>29435005009932</v>
      </c>
      <c r="E3068" s="8" t="s">
        <v>595</v>
      </c>
      <c r="F3068" s="8" t="s">
        <v>29</v>
      </c>
      <c r="G3068" s="8" t="s">
        <v>19</v>
      </c>
      <c r="H3068" s="8" t="s">
        <v>215</v>
      </c>
      <c r="I3068" s="3">
        <v>2</v>
      </c>
      <c r="J3068" s="8" t="s">
        <v>147</v>
      </c>
      <c r="K3068" s="8" t="s">
        <v>148</v>
      </c>
      <c r="L3068" s="8" t="s">
        <v>557</v>
      </c>
      <c r="M3068" s="1" t="s">
        <v>207</v>
      </c>
      <c r="N3068" s="8" t="s">
        <v>208</v>
      </c>
      <c r="O3068" s="6">
        <v>0</v>
      </c>
      <c r="P3068" s="6">
        <v>2</v>
      </c>
      <c r="Q3068" s="6">
        <v>0</v>
      </c>
      <c r="R3068" s="6">
        <v>0</v>
      </c>
      <c r="S3068" s="6">
        <v>1010</v>
      </c>
    </row>
    <row r="3069" spans="1:19" ht="15" hidden="1" x14ac:dyDescent="0.25">
      <c r="A3069" s="7" t="s">
        <v>16</v>
      </c>
      <c r="B3069" s="7" t="s">
        <v>229</v>
      </c>
      <c r="C3069" s="7" t="s">
        <v>24</v>
      </c>
      <c r="D3069" s="4">
        <v>3872790000193</v>
      </c>
      <c r="E3069" s="8" t="s">
        <v>564</v>
      </c>
      <c r="F3069" s="8" t="s">
        <v>29</v>
      </c>
      <c r="G3069" s="8" t="s">
        <v>19</v>
      </c>
      <c r="H3069" s="8" t="s">
        <v>215</v>
      </c>
      <c r="I3069" s="3">
        <v>2</v>
      </c>
      <c r="J3069" s="8" t="s">
        <v>161</v>
      </c>
      <c r="K3069" s="8" t="s">
        <v>162</v>
      </c>
      <c r="L3069" s="8" t="s">
        <v>556</v>
      </c>
      <c r="M3069" s="1" t="s">
        <v>207</v>
      </c>
      <c r="N3069" s="8" t="s">
        <v>208</v>
      </c>
      <c r="O3069" s="6">
        <v>0</v>
      </c>
      <c r="P3069" s="6">
        <v>0</v>
      </c>
      <c r="Q3069" s="6">
        <v>0</v>
      </c>
      <c r="R3069" s="6">
        <v>4</v>
      </c>
      <c r="S3069" s="6">
        <v>0</v>
      </c>
    </row>
    <row r="3070" spans="1:19" ht="15" hidden="1" x14ac:dyDescent="0.25">
      <c r="A3070" s="7" t="s">
        <v>16</v>
      </c>
      <c r="B3070" s="7" t="s">
        <v>229</v>
      </c>
      <c r="C3070" s="7" t="s">
        <v>24</v>
      </c>
      <c r="D3070" s="4">
        <v>3872790000193</v>
      </c>
      <c r="E3070" s="8" t="s">
        <v>564</v>
      </c>
      <c r="F3070" s="8" t="s">
        <v>29</v>
      </c>
      <c r="G3070" s="8" t="s">
        <v>19</v>
      </c>
      <c r="H3070" s="8" t="s">
        <v>215</v>
      </c>
      <c r="I3070" s="3">
        <v>2</v>
      </c>
      <c r="J3070" s="8" t="s">
        <v>147</v>
      </c>
      <c r="K3070" s="8" t="s">
        <v>148</v>
      </c>
      <c r="L3070" s="8" t="s">
        <v>557</v>
      </c>
      <c r="M3070" s="1" t="s">
        <v>207</v>
      </c>
      <c r="N3070" s="8" t="s">
        <v>208</v>
      </c>
      <c r="O3070" s="6">
        <v>0</v>
      </c>
      <c r="P3070" s="6">
        <v>0</v>
      </c>
      <c r="Q3070" s="6">
        <v>0</v>
      </c>
      <c r="R3070" s="6">
        <v>0</v>
      </c>
      <c r="S3070" s="6">
        <v>0</v>
      </c>
    </row>
    <row r="3071" spans="1:19" ht="15" hidden="1" x14ac:dyDescent="0.25">
      <c r="A3071" s="7" t="s">
        <v>16</v>
      </c>
      <c r="B3071" s="7" t="s">
        <v>229</v>
      </c>
      <c r="C3071" s="7" t="s">
        <v>24</v>
      </c>
      <c r="D3071" s="4">
        <v>10475230000160</v>
      </c>
      <c r="E3071" s="8" t="s">
        <v>583</v>
      </c>
      <c r="F3071" s="8" t="s">
        <v>29</v>
      </c>
      <c r="G3071" s="8" t="s">
        <v>19</v>
      </c>
      <c r="H3071" s="8" t="s">
        <v>215</v>
      </c>
      <c r="I3071" s="3">
        <v>2</v>
      </c>
      <c r="J3071" s="8" t="s">
        <v>161</v>
      </c>
      <c r="K3071" s="8" t="s">
        <v>162</v>
      </c>
      <c r="L3071" s="8" t="s">
        <v>556</v>
      </c>
      <c r="M3071" s="1" t="s">
        <v>207</v>
      </c>
      <c r="N3071" s="8" t="s">
        <v>208</v>
      </c>
      <c r="O3071" s="6">
        <v>0</v>
      </c>
      <c r="P3071" s="6">
        <v>0</v>
      </c>
      <c r="Q3071" s="6">
        <v>0</v>
      </c>
      <c r="R3071" s="6">
        <v>0</v>
      </c>
      <c r="S3071" s="6">
        <v>45</v>
      </c>
    </row>
    <row r="3072" spans="1:19" ht="15" hidden="1" x14ac:dyDescent="0.25">
      <c r="A3072" s="7" t="s">
        <v>16</v>
      </c>
      <c r="B3072" s="7" t="s">
        <v>229</v>
      </c>
      <c r="C3072" s="7" t="s">
        <v>24</v>
      </c>
      <c r="D3072" s="4">
        <v>10475230000160</v>
      </c>
      <c r="E3072" s="8" t="s">
        <v>583</v>
      </c>
      <c r="F3072" s="8" t="s">
        <v>29</v>
      </c>
      <c r="G3072" s="8" t="s">
        <v>19</v>
      </c>
      <c r="H3072" s="8" t="s">
        <v>215</v>
      </c>
      <c r="I3072" s="3">
        <v>2</v>
      </c>
      <c r="J3072" s="8" t="s">
        <v>177</v>
      </c>
      <c r="K3072" s="8" t="s">
        <v>178</v>
      </c>
      <c r="L3072" s="8" t="s">
        <v>557</v>
      </c>
      <c r="M3072" s="1" t="s">
        <v>207</v>
      </c>
      <c r="N3072" s="8" t="s">
        <v>208</v>
      </c>
      <c r="O3072" s="6">
        <v>0</v>
      </c>
      <c r="P3072" s="6">
        <v>0</v>
      </c>
      <c r="Q3072" s="6">
        <v>0</v>
      </c>
      <c r="R3072" s="6">
        <v>0</v>
      </c>
      <c r="S3072" s="6">
        <v>45</v>
      </c>
    </row>
    <row r="3073" spans="1:19" ht="15" hidden="1" x14ac:dyDescent="0.25">
      <c r="A3073" s="7" t="s">
        <v>16</v>
      </c>
      <c r="B3073" s="7" t="s">
        <v>229</v>
      </c>
      <c r="C3073" s="7" t="s">
        <v>24</v>
      </c>
      <c r="D3073" s="4">
        <v>603226000187</v>
      </c>
      <c r="E3073" s="8" t="s">
        <v>561</v>
      </c>
      <c r="F3073" s="8" t="s">
        <v>29</v>
      </c>
      <c r="G3073" s="8" t="s">
        <v>19</v>
      </c>
      <c r="H3073" s="8" t="s">
        <v>215</v>
      </c>
      <c r="I3073" s="3">
        <v>2</v>
      </c>
      <c r="J3073" s="8" t="s">
        <v>161</v>
      </c>
      <c r="K3073" s="8" t="s">
        <v>162</v>
      </c>
      <c r="L3073" s="8" t="s">
        <v>556</v>
      </c>
      <c r="M3073" s="1" t="s">
        <v>207</v>
      </c>
      <c r="N3073" s="8" t="s">
        <v>208</v>
      </c>
      <c r="O3073" s="6">
        <v>0</v>
      </c>
      <c r="P3073" s="6">
        <v>0</v>
      </c>
      <c r="Q3073" s="6">
        <v>0</v>
      </c>
      <c r="R3073" s="6">
        <v>8</v>
      </c>
      <c r="S3073" s="6">
        <v>0</v>
      </c>
    </row>
    <row r="3074" spans="1:19" ht="15" hidden="1" x14ac:dyDescent="0.25">
      <c r="A3074" s="7" t="s">
        <v>16</v>
      </c>
      <c r="B3074" s="7" t="s">
        <v>229</v>
      </c>
      <c r="C3074" s="7" t="s">
        <v>24</v>
      </c>
      <c r="D3074" s="4">
        <v>603226000187</v>
      </c>
      <c r="E3074" s="8" t="s">
        <v>561</v>
      </c>
      <c r="F3074" s="8" t="s">
        <v>29</v>
      </c>
      <c r="G3074" s="8" t="s">
        <v>19</v>
      </c>
      <c r="H3074" s="8" t="s">
        <v>215</v>
      </c>
      <c r="I3074" s="3">
        <v>2</v>
      </c>
      <c r="J3074" s="8" t="s">
        <v>177</v>
      </c>
      <c r="K3074" s="8" t="s">
        <v>178</v>
      </c>
      <c r="L3074" s="8" t="s">
        <v>557</v>
      </c>
      <c r="M3074" s="1" t="s">
        <v>207</v>
      </c>
      <c r="N3074" s="8" t="s">
        <v>208</v>
      </c>
      <c r="O3074" s="6">
        <v>0</v>
      </c>
      <c r="P3074" s="6">
        <v>0</v>
      </c>
      <c r="Q3074" s="6">
        <v>0</v>
      </c>
      <c r="R3074" s="6">
        <v>0</v>
      </c>
      <c r="S3074" s="6">
        <v>0</v>
      </c>
    </row>
    <row r="3075" spans="1:19" ht="15" hidden="1" x14ac:dyDescent="0.25">
      <c r="A3075" s="7" t="s">
        <v>16</v>
      </c>
      <c r="B3075" s="7" t="s">
        <v>229</v>
      </c>
      <c r="C3075" s="7" t="s">
        <v>24</v>
      </c>
      <c r="D3075" s="4">
        <v>60884855000316</v>
      </c>
      <c r="E3075" s="8" t="s">
        <v>617</v>
      </c>
      <c r="F3075" s="8" t="s">
        <v>29</v>
      </c>
      <c r="G3075" s="8" t="s">
        <v>19</v>
      </c>
      <c r="H3075" s="8" t="s">
        <v>215</v>
      </c>
      <c r="I3075" s="3">
        <v>2</v>
      </c>
      <c r="J3075" s="8" t="s">
        <v>1355</v>
      </c>
      <c r="K3075" s="8" t="s">
        <v>1356</v>
      </c>
      <c r="L3075" s="8" t="s">
        <v>556</v>
      </c>
      <c r="M3075" s="1" t="s">
        <v>207</v>
      </c>
      <c r="N3075" s="8" t="s">
        <v>208</v>
      </c>
      <c r="O3075" s="6">
        <v>0</v>
      </c>
      <c r="P3075" s="6">
        <v>0</v>
      </c>
      <c r="Q3075" s="6">
        <v>0</v>
      </c>
      <c r="R3075" s="6">
        <v>48</v>
      </c>
      <c r="S3075" s="6">
        <v>1205</v>
      </c>
    </row>
    <row r="3076" spans="1:19" ht="15" hidden="1" x14ac:dyDescent="0.25">
      <c r="A3076" s="7" t="s">
        <v>16</v>
      </c>
      <c r="B3076" s="7" t="s">
        <v>229</v>
      </c>
      <c r="C3076" s="7" t="s">
        <v>24</v>
      </c>
      <c r="D3076" s="4">
        <v>60884855000316</v>
      </c>
      <c r="E3076" s="8" t="s">
        <v>617</v>
      </c>
      <c r="F3076" s="8" t="s">
        <v>29</v>
      </c>
      <c r="G3076" s="8" t="s">
        <v>19</v>
      </c>
      <c r="H3076" s="8" t="s">
        <v>215</v>
      </c>
      <c r="I3076" s="3">
        <v>2</v>
      </c>
      <c r="J3076" s="8" t="s">
        <v>183</v>
      </c>
      <c r="K3076" s="8" t="s">
        <v>184</v>
      </c>
      <c r="L3076" s="8" t="s">
        <v>557</v>
      </c>
      <c r="M3076" s="1" t="s">
        <v>207</v>
      </c>
      <c r="N3076" s="8" t="s">
        <v>208</v>
      </c>
      <c r="O3076" s="6">
        <v>0</v>
      </c>
      <c r="P3076" s="6">
        <v>6</v>
      </c>
      <c r="Q3076" s="6">
        <v>5</v>
      </c>
      <c r="R3076" s="6">
        <v>0</v>
      </c>
      <c r="S3076" s="6">
        <v>1205</v>
      </c>
    </row>
    <row r="3077" spans="1:19" ht="15" hidden="1" x14ac:dyDescent="0.25">
      <c r="A3077" s="7" t="s">
        <v>16</v>
      </c>
      <c r="B3077" s="7" t="s">
        <v>229</v>
      </c>
      <c r="C3077" s="7" t="s">
        <v>24</v>
      </c>
      <c r="D3077" s="4">
        <v>60726502000126</v>
      </c>
      <c r="E3077" s="8" t="s">
        <v>613</v>
      </c>
      <c r="F3077" s="8" t="s">
        <v>29</v>
      </c>
      <c r="G3077" s="8" t="s">
        <v>19</v>
      </c>
      <c r="H3077" s="8" t="s">
        <v>215</v>
      </c>
      <c r="I3077" s="3">
        <v>2</v>
      </c>
      <c r="J3077" s="8" t="s">
        <v>1355</v>
      </c>
      <c r="K3077" s="8" t="s">
        <v>1356</v>
      </c>
      <c r="L3077" s="8" t="s">
        <v>556</v>
      </c>
      <c r="M3077" s="1" t="s">
        <v>207</v>
      </c>
      <c r="N3077" s="8" t="s">
        <v>208</v>
      </c>
      <c r="O3077" s="6">
        <v>0</v>
      </c>
      <c r="P3077" s="6">
        <v>0</v>
      </c>
      <c r="Q3077" s="6">
        <v>0</v>
      </c>
      <c r="R3077" s="6">
        <v>0</v>
      </c>
      <c r="S3077" s="6">
        <v>70</v>
      </c>
    </row>
    <row r="3078" spans="1:19" ht="15" hidden="1" x14ac:dyDescent="0.25">
      <c r="A3078" s="7" t="s">
        <v>16</v>
      </c>
      <c r="B3078" s="7" t="s">
        <v>229</v>
      </c>
      <c r="C3078" s="7" t="s">
        <v>24</v>
      </c>
      <c r="D3078" s="4">
        <v>60726502000126</v>
      </c>
      <c r="E3078" s="8" t="s">
        <v>613</v>
      </c>
      <c r="F3078" s="8" t="s">
        <v>29</v>
      </c>
      <c r="G3078" s="8" t="s">
        <v>19</v>
      </c>
      <c r="H3078" s="8" t="s">
        <v>215</v>
      </c>
      <c r="I3078" s="3">
        <v>2</v>
      </c>
      <c r="J3078" s="8" t="s">
        <v>183</v>
      </c>
      <c r="K3078" s="8" t="s">
        <v>184</v>
      </c>
      <c r="L3078" s="8" t="s">
        <v>557</v>
      </c>
      <c r="M3078" s="1" t="s">
        <v>207</v>
      </c>
      <c r="N3078" s="8" t="s">
        <v>208</v>
      </c>
      <c r="O3078" s="6">
        <v>0</v>
      </c>
      <c r="P3078" s="6">
        <v>3</v>
      </c>
      <c r="Q3078" s="6">
        <v>0</v>
      </c>
      <c r="R3078" s="6">
        <v>0</v>
      </c>
      <c r="S3078" s="6">
        <v>70</v>
      </c>
    </row>
    <row r="3079" spans="1:19" ht="15" hidden="1" x14ac:dyDescent="0.25">
      <c r="A3079" s="7" t="s">
        <v>16</v>
      </c>
      <c r="B3079" s="7" t="s">
        <v>229</v>
      </c>
      <c r="C3079" s="7" t="s">
        <v>24</v>
      </c>
      <c r="D3079" s="4">
        <v>8100676000592</v>
      </c>
      <c r="E3079" s="8" t="s">
        <v>572</v>
      </c>
      <c r="F3079" s="8" t="s">
        <v>29</v>
      </c>
      <c r="G3079" s="8" t="s">
        <v>19</v>
      </c>
      <c r="H3079" s="8" t="s">
        <v>215</v>
      </c>
      <c r="I3079" s="3">
        <v>2</v>
      </c>
      <c r="J3079" s="8" t="s">
        <v>161</v>
      </c>
      <c r="K3079" s="8" t="s">
        <v>162</v>
      </c>
      <c r="L3079" s="8" t="s">
        <v>556</v>
      </c>
      <c r="M3079" s="1" t="s">
        <v>207</v>
      </c>
      <c r="N3079" s="8" t="s">
        <v>208</v>
      </c>
      <c r="O3079" s="6">
        <v>0</v>
      </c>
      <c r="P3079" s="6">
        <v>0</v>
      </c>
      <c r="Q3079" s="6">
        <v>0</v>
      </c>
      <c r="R3079" s="6">
        <v>0</v>
      </c>
      <c r="S3079" s="6">
        <v>285</v>
      </c>
    </row>
    <row r="3080" spans="1:19" ht="15" hidden="1" x14ac:dyDescent="0.25">
      <c r="A3080" s="7" t="s">
        <v>16</v>
      </c>
      <c r="B3080" s="7" t="s">
        <v>229</v>
      </c>
      <c r="C3080" s="7" t="s">
        <v>24</v>
      </c>
      <c r="D3080" s="4">
        <v>8100676000592</v>
      </c>
      <c r="E3080" s="8" t="s">
        <v>572</v>
      </c>
      <c r="F3080" s="8" t="s">
        <v>29</v>
      </c>
      <c r="G3080" s="8" t="s">
        <v>19</v>
      </c>
      <c r="H3080" s="8" t="s">
        <v>215</v>
      </c>
      <c r="I3080" s="3">
        <v>2</v>
      </c>
      <c r="J3080" s="8" t="s">
        <v>183</v>
      </c>
      <c r="K3080" s="8" t="s">
        <v>184</v>
      </c>
      <c r="L3080" s="8" t="s">
        <v>557</v>
      </c>
      <c r="M3080" s="1" t="s">
        <v>207</v>
      </c>
      <c r="N3080" s="8" t="s">
        <v>208</v>
      </c>
      <c r="O3080" s="6">
        <v>0</v>
      </c>
      <c r="P3080" s="6">
        <v>0</v>
      </c>
      <c r="Q3080" s="6">
        <v>0</v>
      </c>
      <c r="R3080" s="6">
        <v>0</v>
      </c>
      <c r="S3080" s="6">
        <v>285</v>
      </c>
    </row>
    <row r="3081" spans="1:19" ht="15" hidden="1" x14ac:dyDescent="0.25">
      <c r="A3081" s="7" t="s">
        <v>16</v>
      </c>
      <c r="B3081" s="7" t="s">
        <v>229</v>
      </c>
      <c r="C3081" s="7" t="s">
        <v>24</v>
      </c>
      <c r="D3081" s="4">
        <v>8100676000673</v>
      </c>
      <c r="E3081" s="8" t="s">
        <v>1155</v>
      </c>
      <c r="F3081" s="8" t="s">
        <v>29</v>
      </c>
      <c r="G3081" s="8" t="s">
        <v>19</v>
      </c>
      <c r="H3081" s="8" t="s">
        <v>215</v>
      </c>
      <c r="I3081" s="3">
        <v>2</v>
      </c>
      <c r="J3081" s="8" t="s">
        <v>161</v>
      </c>
      <c r="K3081" s="8" t="s">
        <v>162</v>
      </c>
      <c r="L3081" s="8" t="s">
        <v>556</v>
      </c>
      <c r="M3081" s="1" t="s">
        <v>207</v>
      </c>
      <c r="N3081" s="8" t="s">
        <v>208</v>
      </c>
      <c r="O3081" s="6">
        <v>0</v>
      </c>
      <c r="P3081" s="6">
        <v>0</v>
      </c>
      <c r="Q3081" s="6">
        <v>0</v>
      </c>
      <c r="R3081" s="6">
        <v>0</v>
      </c>
      <c r="S3081" s="6">
        <v>10</v>
      </c>
    </row>
    <row r="3082" spans="1:19" ht="15" hidden="1" x14ac:dyDescent="0.25">
      <c r="A3082" s="7" t="s">
        <v>16</v>
      </c>
      <c r="B3082" s="7" t="s">
        <v>229</v>
      </c>
      <c r="C3082" s="7" t="s">
        <v>24</v>
      </c>
      <c r="D3082" s="4">
        <v>8100676000673</v>
      </c>
      <c r="E3082" s="8" t="s">
        <v>1155</v>
      </c>
      <c r="F3082" s="8" t="s">
        <v>29</v>
      </c>
      <c r="G3082" s="8" t="s">
        <v>19</v>
      </c>
      <c r="H3082" s="8" t="s">
        <v>215</v>
      </c>
      <c r="I3082" s="3">
        <v>2</v>
      </c>
      <c r="J3082" s="8" t="s">
        <v>183</v>
      </c>
      <c r="K3082" s="8" t="s">
        <v>184</v>
      </c>
      <c r="L3082" s="8" t="s">
        <v>557</v>
      </c>
      <c r="M3082" s="1" t="s">
        <v>207</v>
      </c>
      <c r="N3082" s="8" t="s">
        <v>208</v>
      </c>
      <c r="O3082" s="6">
        <v>0</v>
      </c>
      <c r="P3082" s="6">
        <v>0</v>
      </c>
      <c r="Q3082" s="6">
        <v>0</v>
      </c>
      <c r="R3082" s="6">
        <v>0</v>
      </c>
      <c r="S3082" s="6">
        <v>10</v>
      </c>
    </row>
    <row r="3083" spans="1:19" ht="15" hidden="1" x14ac:dyDescent="0.25">
      <c r="A3083" s="7" t="s">
        <v>16</v>
      </c>
      <c r="B3083" s="7" t="s">
        <v>229</v>
      </c>
      <c r="C3083" s="7" t="s">
        <v>24</v>
      </c>
      <c r="D3083" s="4">
        <v>8100676002455</v>
      </c>
      <c r="E3083" s="8" t="s">
        <v>574</v>
      </c>
      <c r="F3083" s="8" t="s">
        <v>29</v>
      </c>
      <c r="G3083" s="8" t="s">
        <v>19</v>
      </c>
      <c r="H3083" s="8" t="s">
        <v>215</v>
      </c>
      <c r="I3083" s="3">
        <v>2</v>
      </c>
      <c r="J3083" s="8" t="s">
        <v>161</v>
      </c>
      <c r="K3083" s="8" t="s">
        <v>162</v>
      </c>
      <c r="L3083" s="8" t="s">
        <v>556</v>
      </c>
      <c r="M3083" s="1" t="s">
        <v>207</v>
      </c>
      <c r="N3083" s="8" t="s">
        <v>208</v>
      </c>
      <c r="O3083" s="6">
        <v>0</v>
      </c>
      <c r="P3083" s="6">
        <v>0</v>
      </c>
      <c r="Q3083" s="6">
        <v>0</v>
      </c>
      <c r="R3083" s="6">
        <v>0</v>
      </c>
      <c r="S3083" s="6">
        <v>0</v>
      </c>
    </row>
    <row r="3084" spans="1:19" ht="15" hidden="1" x14ac:dyDescent="0.25">
      <c r="A3084" s="7" t="s">
        <v>16</v>
      </c>
      <c r="B3084" s="7" t="s">
        <v>229</v>
      </c>
      <c r="C3084" s="7" t="s">
        <v>24</v>
      </c>
      <c r="D3084" s="4">
        <v>8100676002455</v>
      </c>
      <c r="E3084" s="8" t="s">
        <v>574</v>
      </c>
      <c r="F3084" s="8" t="s">
        <v>29</v>
      </c>
      <c r="G3084" s="8" t="s">
        <v>19</v>
      </c>
      <c r="H3084" s="8" t="s">
        <v>215</v>
      </c>
      <c r="I3084" s="3">
        <v>2</v>
      </c>
      <c r="J3084" s="8" t="s">
        <v>183</v>
      </c>
      <c r="K3084" s="8" t="s">
        <v>184</v>
      </c>
      <c r="L3084" s="8" t="s">
        <v>557</v>
      </c>
      <c r="M3084" s="1" t="s">
        <v>207</v>
      </c>
      <c r="N3084" s="8" t="s">
        <v>208</v>
      </c>
      <c r="O3084" s="6">
        <v>0</v>
      </c>
      <c r="P3084" s="6">
        <v>36</v>
      </c>
      <c r="Q3084" s="6">
        <v>0</v>
      </c>
      <c r="R3084" s="6">
        <v>0</v>
      </c>
      <c r="S3084" s="6">
        <v>0</v>
      </c>
    </row>
    <row r="3085" spans="1:19" ht="15" hidden="1" x14ac:dyDescent="0.25">
      <c r="A3085" s="7" t="s">
        <v>16</v>
      </c>
      <c r="B3085" s="7" t="s">
        <v>229</v>
      </c>
      <c r="C3085" s="7" t="s">
        <v>24</v>
      </c>
      <c r="D3085" s="4">
        <v>21371777000132</v>
      </c>
      <c r="E3085" s="8" t="s">
        <v>589</v>
      </c>
      <c r="F3085" s="8" t="s">
        <v>29</v>
      </c>
      <c r="G3085" s="8" t="s">
        <v>19</v>
      </c>
      <c r="H3085" s="8" t="s">
        <v>215</v>
      </c>
      <c r="I3085" s="3">
        <v>2</v>
      </c>
      <c r="J3085" s="8" t="s">
        <v>161</v>
      </c>
      <c r="K3085" s="8" t="s">
        <v>162</v>
      </c>
      <c r="L3085" s="8" t="s">
        <v>556</v>
      </c>
      <c r="M3085" s="1" t="s">
        <v>207</v>
      </c>
      <c r="N3085" s="8" t="s">
        <v>208</v>
      </c>
      <c r="O3085" s="6">
        <v>0</v>
      </c>
      <c r="P3085" s="6">
        <v>0</v>
      </c>
      <c r="Q3085" s="6">
        <v>0</v>
      </c>
      <c r="R3085" s="6">
        <v>0</v>
      </c>
      <c r="S3085" s="6">
        <v>100</v>
      </c>
    </row>
    <row r="3086" spans="1:19" ht="15" hidden="1" x14ac:dyDescent="0.25">
      <c r="A3086" s="7" t="s">
        <v>16</v>
      </c>
      <c r="B3086" s="7" t="s">
        <v>229</v>
      </c>
      <c r="C3086" s="7" t="s">
        <v>24</v>
      </c>
      <c r="D3086" s="4">
        <v>21371777000132</v>
      </c>
      <c r="E3086" s="8" t="s">
        <v>589</v>
      </c>
      <c r="F3086" s="8" t="s">
        <v>29</v>
      </c>
      <c r="G3086" s="8" t="s">
        <v>19</v>
      </c>
      <c r="H3086" s="8" t="s">
        <v>215</v>
      </c>
      <c r="I3086" s="3">
        <v>2</v>
      </c>
      <c r="J3086" s="8" t="s">
        <v>183</v>
      </c>
      <c r="K3086" s="8" t="s">
        <v>184</v>
      </c>
      <c r="L3086" s="8" t="s">
        <v>557</v>
      </c>
      <c r="M3086" s="1" t="s">
        <v>207</v>
      </c>
      <c r="N3086" s="8" t="s">
        <v>208</v>
      </c>
      <c r="O3086" s="6">
        <v>0</v>
      </c>
      <c r="P3086" s="6">
        <v>0</v>
      </c>
      <c r="Q3086" s="6">
        <v>10</v>
      </c>
      <c r="R3086" s="6">
        <v>0</v>
      </c>
      <c r="S3086" s="6">
        <v>100</v>
      </c>
    </row>
    <row r="3087" spans="1:19" ht="15" hidden="1" x14ac:dyDescent="0.25">
      <c r="A3087" s="7" t="s">
        <v>16</v>
      </c>
      <c r="B3087" s="7" t="s">
        <v>229</v>
      </c>
      <c r="C3087" s="7" t="s">
        <v>24</v>
      </c>
      <c r="D3087" s="4">
        <v>60448040000122</v>
      </c>
      <c r="E3087" s="8" t="s">
        <v>609</v>
      </c>
      <c r="F3087" s="8" t="s">
        <v>29</v>
      </c>
      <c r="G3087" s="8" t="s">
        <v>19</v>
      </c>
      <c r="H3087" s="8" t="s">
        <v>215</v>
      </c>
      <c r="I3087" s="3">
        <v>2</v>
      </c>
      <c r="J3087" s="8" t="s">
        <v>1355</v>
      </c>
      <c r="K3087" s="8" t="s">
        <v>1356</v>
      </c>
      <c r="L3087" s="8" t="s">
        <v>556</v>
      </c>
      <c r="M3087" s="1" t="s">
        <v>207</v>
      </c>
      <c r="N3087" s="8" t="s">
        <v>208</v>
      </c>
      <c r="O3087" s="6">
        <v>0</v>
      </c>
      <c r="P3087" s="6">
        <v>0</v>
      </c>
      <c r="Q3087" s="6">
        <v>0</v>
      </c>
      <c r="R3087" s="6">
        <v>40</v>
      </c>
      <c r="S3087" s="6">
        <v>0</v>
      </c>
    </row>
    <row r="3088" spans="1:19" ht="15" hidden="1" x14ac:dyDescent="0.25">
      <c r="A3088" s="7" t="s">
        <v>16</v>
      </c>
      <c r="B3088" s="7" t="s">
        <v>229</v>
      </c>
      <c r="C3088" s="7" t="s">
        <v>24</v>
      </c>
      <c r="D3088" s="4">
        <v>60448040000122</v>
      </c>
      <c r="E3088" s="8" t="s">
        <v>609</v>
      </c>
      <c r="F3088" s="8" t="s">
        <v>29</v>
      </c>
      <c r="G3088" s="8" t="s">
        <v>19</v>
      </c>
      <c r="H3088" s="8" t="s">
        <v>215</v>
      </c>
      <c r="I3088" s="3">
        <v>2</v>
      </c>
      <c r="J3088" s="8" t="s">
        <v>177</v>
      </c>
      <c r="K3088" s="8" t="s">
        <v>178</v>
      </c>
      <c r="L3088" s="8" t="s">
        <v>557</v>
      </c>
      <c r="M3088" s="1" t="s">
        <v>207</v>
      </c>
      <c r="N3088" s="8" t="s">
        <v>208</v>
      </c>
      <c r="O3088" s="6">
        <v>0</v>
      </c>
      <c r="P3088" s="6">
        <v>0</v>
      </c>
      <c r="Q3088" s="6">
        <v>66</v>
      </c>
      <c r="R3088" s="6">
        <v>0</v>
      </c>
      <c r="S3088" s="6">
        <v>0</v>
      </c>
    </row>
    <row r="3089" spans="1:19" ht="15" hidden="1" x14ac:dyDescent="0.25">
      <c r="A3089" s="7" t="s">
        <v>16</v>
      </c>
      <c r="B3089" s="7" t="s">
        <v>229</v>
      </c>
      <c r="C3089" s="7" t="s">
        <v>24</v>
      </c>
      <c r="D3089" s="4">
        <v>60453024000390</v>
      </c>
      <c r="E3089" s="8" t="s">
        <v>610</v>
      </c>
      <c r="F3089" s="8" t="s">
        <v>29</v>
      </c>
      <c r="G3089" s="8" t="s">
        <v>19</v>
      </c>
      <c r="H3089" s="8" t="s">
        <v>215</v>
      </c>
      <c r="I3089" s="3">
        <v>2</v>
      </c>
      <c r="J3089" s="8" t="s">
        <v>161</v>
      </c>
      <c r="K3089" s="8" t="s">
        <v>162</v>
      </c>
      <c r="L3089" s="8" t="s">
        <v>556</v>
      </c>
      <c r="M3089" s="1" t="s">
        <v>207</v>
      </c>
      <c r="N3089" s="8" t="s">
        <v>208</v>
      </c>
      <c r="O3089" s="6">
        <v>0</v>
      </c>
      <c r="P3089" s="6">
        <v>0</v>
      </c>
      <c r="Q3089" s="6">
        <v>0</v>
      </c>
      <c r="R3089" s="6">
        <v>0</v>
      </c>
      <c r="S3089" s="6">
        <v>0</v>
      </c>
    </row>
    <row r="3090" spans="1:19" ht="15" hidden="1" x14ac:dyDescent="0.25">
      <c r="A3090" s="7" t="s">
        <v>16</v>
      </c>
      <c r="B3090" s="7" t="s">
        <v>229</v>
      </c>
      <c r="C3090" s="7" t="s">
        <v>24</v>
      </c>
      <c r="D3090" s="4">
        <v>60453024000390</v>
      </c>
      <c r="E3090" s="8" t="s">
        <v>610</v>
      </c>
      <c r="F3090" s="8" t="s">
        <v>29</v>
      </c>
      <c r="G3090" s="8" t="s">
        <v>19</v>
      </c>
      <c r="H3090" s="8" t="s">
        <v>215</v>
      </c>
      <c r="I3090" s="3">
        <v>2</v>
      </c>
      <c r="J3090" s="8" t="s">
        <v>177</v>
      </c>
      <c r="K3090" s="8" t="s">
        <v>178</v>
      </c>
      <c r="L3090" s="8" t="s">
        <v>557</v>
      </c>
      <c r="M3090" s="1" t="s">
        <v>207</v>
      </c>
      <c r="N3090" s="8" t="s">
        <v>208</v>
      </c>
      <c r="O3090" s="6">
        <v>0</v>
      </c>
      <c r="P3090" s="6">
        <v>11</v>
      </c>
      <c r="Q3090" s="6">
        <v>33</v>
      </c>
      <c r="R3090" s="6">
        <v>0</v>
      </c>
      <c r="S3090" s="6">
        <v>0</v>
      </c>
    </row>
    <row r="3091" spans="1:19" ht="15" hidden="1" x14ac:dyDescent="0.25">
      <c r="A3091" s="7" t="s">
        <v>16</v>
      </c>
      <c r="B3091" s="7" t="s">
        <v>229</v>
      </c>
      <c r="C3091" s="7" t="s">
        <v>24</v>
      </c>
      <c r="D3091" s="4">
        <v>51722957012512</v>
      </c>
      <c r="E3091" s="8" t="s">
        <v>604</v>
      </c>
      <c r="F3091" s="8" t="s">
        <v>29</v>
      </c>
      <c r="G3091" s="8" t="s">
        <v>19</v>
      </c>
      <c r="H3091" s="8" t="s">
        <v>215</v>
      </c>
      <c r="I3091" s="3">
        <v>2</v>
      </c>
      <c r="J3091" s="8" t="s">
        <v>161</v>
      </c>
      <c r="K3091" s="8" t="s">
        <v>162</v>
      </c>
      <c r="L3091" s="8" t="s">
        <v>556</v>
      </c>
      <c r="M3091" s="1" t="s">
        <v>207</v>
      </c>
      <c r="N3091" s="8" t="s">
        <v>208</v>
      </c>
      <c r="O3091" s="6">
        <v>0</v>
      </c>
      <c r="P3091" s="6">
        <v>0</v>
      </c>
      <c r="Q3091" s="6">
        <v>0</v>
      </c>
      <c r="R3091" s="6">
        <v>0</v>
      </c>
      <c r="S3091" s="6">
        <v>280</v>
      </c>
    </row>
    <row r="3092" spans="1:19" ht="15" hidden="1" x14ac:dyDescent="0.25">
      <c r="A3092" s="7" t="s">
        <v>16</v>
      </c>
      <c r="B3092" s="7" t="s">
        <v>229</v>
      </c>
      <c r="C3092" s="7" t="s">
        <v>24</v>
      </c>
      <c r="D3092" s="4">
        <v>51722957012512</v>
      </c>
      <c r="E3092" s="8" t="s">
        <v>604</v>
      </c>
      <c r="F3092" s="8" t="s">
        <v>29</v>
      </c>
      <c r="G3092" s="8" t="s">
        <v>19</v>
      </c>
      <c r="H3092" s="8" t="s">
        <v>215</v>
      </c>
      <c r="I3092" s="3">
        <v>2</v>
      </c>
      <c r="J3092" s="8" t="s">
        <v>183</v>
      </c>
      <c r="K3092" s="8" t="s">
        <v>184</v>
      </c>
      <c r="L3092" s="8" t="s">
        <v>557</v>
      </c>
      <c r="M3092" s="1" t="s">
        <v>207</v>
      </c>
      <c r="N3092" s="8" t="s">
        <v>208</v>
      </c>
      <c r="O3092" s="6">
        <v>0</v>
      </c>
      <c r="P3092" s="6">
        <v>0</v>
      </c>
      <c r="Q3092" s="6">
        <v>0</v>
      </c>
      <c r="R3092" s="6">
        <v>0</v>
      </c>
      <c r="S3092" s="6">
        <v>280</v>
      </c>
    </row>
    <row r="3093" spans="1:19" ht="15" hidden="1" x14ac:dyDescent="0.25">
      <c r="A3093" s="7" t="s">
        <v>16</v>
      </c>
      <c r="B3093" s="7" t="s">
        <v>229</v>
      </c>
      <c r="C3093" s="7" t="s">
        <v>24</v>
      </c>
      <c r="D3093" s="4">
        <v>60678604000113</v>
      </c>
      <c r="E3093" s="8" t="s">
        <v>612</v>
      </c>
      <c r="F3093" s="8" t="s">
        <v>29</v>
      </c>
      <c r="G3093" s="8" t="s">
        <v>19</v>
      </c>
      <c r="H3093" s="8" t="s">
        <v>215</v>
      </c>
      <c r="I3093" s="3">
        <v>2</v>
      </c>
      <c r="J3093" s="8" t="s">
        <v>161</v>
      </c>
      <c r="K3093" s="8" t="s">
        <v>162</v>
      </c>
      <c r="L3093" s="8" t="s">
        <v>556</v>
      </c>
      <c r="M3093" s="1" t="s">
        <v>207</v>
      </c>
      <c r="N3093" s="8" t="s">
        <v>208</v>
      </c>
      <c r="O3093" s="6">
        <v>0</v>
      </c>
      <c r="P3093" s="6">
        <v>0</v>
      </c>
      <c r="Q3093" s="6">
        <v>0</v>
      </c>
      <c r="R3093" s="6">
        <v>0</v>
      </c>
      <c r="S3093" s="6">
        <v>0</v>
      </c>
    </row>
    <row r="3094" spans="1:19" ht="15" hidden="1" x14ac:dyDescent="0.25">
      <c r="A3094" s="7" t="s">
        <v>16</v>
      </c>
      <c r="B3094" s="7" t="s">
        <v>229</v>
      </c>
      <c r="C3094" s="7" t="s">
        <v>24</v>
      </c>
      <c r="D3094" s="4">
        <v>60678604000113</v>
      </c>
      <c r="E3094" s="8" t="s">
        <v>612</v>
      </c>
      <c r="F3094" s="8" t="s">
        <v>29</v>
      </c>
      <c r="G3094" s="8" t="s">
        <v>19</v>
      </c>
      <c r="H3094" s="8" t="s">
        <v>215</v>
      </c>
      <c r="I3094" s="3">
        <v>2</v>
      </c>
      <c r="J3094" s="8" t="s">
        <v>147</v>
      </c>
      <c r="K3094" s="8" t="s">
        <v>148</v>
      </c>
      <c r="L3094" s="8" t="s">
        <v>557</v>
      </c>
      <c r="M3094" s="1" t="s">
        <v>207</v>
      </c>
      <c r="N3094" s="8" t="s">
        <v>208</v>
      </c>
      <c r="O3094" s="6">
        <v>0</v>
      </c>
      <c r="P3094" s="6">
        <v>1</v>
      </c>
      <c r="Q3094" s="6">
        <v>26</v>
      </c>
      <c r="R3094" s="6">
        <v>0</v>
      </c>
      <c r="S3094" s="6">
        <v>0</v>
      </c>
    </row>
    <row r="3095" spans="1:19" ht="15" hidden="1" x14ac:dyDescent="0.25">
      <c r="A3095" s="7" t="s">
        <v>16</v>
      </c>
      <c r="B3095" s="7" t="s">
        <v>229</v>
      </c>
      <c r="C3095" s="7" t="s">
        <v>24</v>
      </c>
      <c r="D3095" s="4">
        <v>29435005004540</v>
      </c>
      <c r="E3095" s="8" t="s">
        <v>594</v>
      </c>
      <c r="F3095" s="8" t="s">
        <v>29</v>
      </c>
      <c r="G3095" s="8" t="s">
        <v>19</v>
      </c>
      <c r="H3095" s="8" t="s">
        <v>215</v>
      </c>
      <c r="I3095" s="3">
        <v>2</v>
      </c>
      <c r="J3095" s="8" t="s">
        <v>161</v>
      </c>
      <c r="K3095" s="8" t="s">
        <v>162</v>
      </c>
      <c r="L3095" s="8" t="s">
        <v>556</v>
      </c>
      <c r="M3095" s="1" t="s">
        <v>207</v>
      </c>
      <c r="N3095" s="8" t="s">
        <v>208</v>
      </c>
      <c r="O3095" s="6">
        <v>0</v>
      </c>
      <c r="P3095" s="6">
        <v>0</v>
      </c>
      <c r="Q3095" s="6">
        <v>0</v>
      </c>
      <c r="R3095" s="6">
        <v>0</v>
      </c>
      <c r="S3095" s="6">
        <v>150</v>
      </c>
    </row>
    <row r="3096" spans="1:19" ht="15" hidden="1" x14ac:dyDescent="0.25">
      <c r="A3096" s="7" t="s">
        <v>16</v>
      </c>
      <c r="B3096" s="7" t="s">
        <v>229</v>
      </c>
      <c r="C3096" s="7" t="s">
        <v>24</v>
      </c>
      <c r="D3096" s="4">
        <v>29435005004540</v>
      </c>
      <c r="E3096" s="8" t="s">
        <v>594</v>
      </c>
      <c r="F3096" s="8" t="s">
        <v>29</v>
      </c>
      <c r="G3096" s="8" t="s">
        <v>19</v>
      </c>
      <c r="H3096" s="8" t="s">
        <v>215</v>
      </c>
      <c r="I3096" s="3">
        <v>2</v>
      </c>
      <c r="J3096" s="8" t="s">
        <v>183</v>
      </c>
      <c r="K3096" s="8" t="s">
        <v>184</v>
      </c>
      <c r="L3096" s="8" t="s">
        <v>557</v>
      </c>
      <c r="M3096" s="1" t="s">
        <v>207</v>
      </c>
      <c r="N3096" s="8" t="s">
        <v>208</v>
      </c>
      <c r="O3096" s="6">
        <v>0</v>
      </c>
      <c r="P3096" s="6">
        <v>0</v>
      </c>
      <c r="Q3096" s="6">
        <v>0</v>
      </c>
      <c r="R3096" s="6">
        <v>0</v>
      </c>
      <c r="S3096" s="6">
        <v>150</v>
      </c>
    </row>
    <row r="3097" spans="1:19" ht="15" hidden="1" x14ac:dyDescent="0.25">
      <c r="A3097" s="7" t="s">
        <v>16</v>
      </c>
      <c r="B3097" s="7" t="s">
        <v>229</v>
      </c>
      <c r="C3097" s="7" t="s">
        <v>24</v>
      </c>
      <c r="D3097" s="4">
        <v>61213674000240</v>
      </c>
      <c r="E3097" s="8" t="s">
        <v>629</v>
      </c>
      <c r="F3097" s="8" t="s">
        <v>29</v>
      </c>
      <c r="G3097" s="8" t="s">
        <v>19</v>
      </c>
      <c r="H3097" s="8" t="s">
        <v>215</v>
      </c>
      <c r="I3097" s="3">
        <v>2</v>
      </c>
      <c r="J3097" s="8" t="s">
        <v>1355</v>
      </c>
      <c r="K3097" s="8" t="s">
        <v>1356</v>
      </c>
      <c r="L3097" s="8" t="s">
        <v>556</v>
      </c>
      <c r="M3097" s="1" t="s">
        <v>207</v>
      </c>
      <c r="N3097" s="8" t="s">
        <v>208</v>
      </c>
      <c r="O3097" s="6">
        <v>0</v>
      </c>
      <c r="P3097" s="6">
        <v>0</v>
      </c>
      <c r="Q3097" s="6">
        <v>0</v>
      </c>
      <c r="R3097" s="6">
        <v>110</v>
      </c>
      <c r="S3097" s="6">
        <v>0</v>
      </c>
    </row>
    <row r="3098" spans="1:19" ht="15" hidden="1" x14ac:dyDescent="0.25">
      <c r="A3098" s="7" t="s">
        <v>16</v>
      </c>
      <c r="B3098" s="7" t="s">
        <v>229</v>
      </c>
      <c r="C3098" s="7" t="s">
        <v>24</v>
      </c>
      <c r="D3098" s="4">
        <v>61213674000240</v>
      </c>
      <c r="E3098" s="8" t="s">
        <v>629</v>
      </c>
      <c r="F3098" s="8" t="s">
        <v>29</v>
      </c>
      <c r="G3098" s="8" t="s">
        <v>19</v>
      </c>
      <c r="H3098" s="8" t="s">
        <v>215</v>
      </c>
      <c r="I3098" s="3">
        <v>2</v>
      </c>
      <c r="J3098" s="8" t="s">
        <v>147</v>
      </c>
      <c r="K3098" s="8" t="s">
        <v>148</v>
      </c>
      <c r="L3098" s="8" t="s">
        <v>557</v>
      </c>
      <c r="M3098" s="1" t="s">
        <v>207</v>
      </c>
      <c r="N3098" s="8" t="s">
        <v>208</v>
      </c>
      <c r="O3098" s="6">
        <v>0</v>
      </c>
      <c r="P3098" s="6">
        <v>5</v>
      </c>
      <c r="Q3098" s="6">
        <v>16</v>
      </c>
      <c r="R3098" s="6">
        <v>0</v>
      </c>
      <c r="S3098" s="6">
        <v>0</v>
      </c>
    </row>
    <row r="3099" spans="1:19" ht="15" hidden="1" x14ac:dyDescent="0.25">
      <c r="A3099" s="7" t="s">
        <v>16</v>
      </c>
      <c r="B3099" s="7" t="s">
        <v>229</v>
      </c>
      <c r="C3099" s="7" t="s">
        <v>24</v>
      </c>
      <c r="D3099" s="4">
        <v>60765823000130</v>
      </c>
      <c r="E3099" s="8" t="s">
        <v>615</v>
      </c>
      <c r="F3099" s="8" t="s">
        <v>29</v>
      </c>
      <c r="G3099" s="8" t="s">
        <v>19</v>
      </c>
      <c r="H3099" s="8" t="s">
        <v>215</v>
      </c>
      <c r="I3099" s="3">
        <v>2</v>
      </c>
      <c r="J3099" s="8" t="s">
        <v>1355</v>
      </c>
      <c r="K3099" s="8" t="s">
        <v>1356</v>
      </c>
      <c r="L3099" s="8" t="s">
        <v>556</v>
      </c>
      <c r="M3099" s="1" t="s">
        <v>207</v>
      </c>
      <c r="N3099" s="8" t="s">
        <v>208</v>
      </c>
      <c r="O3099" s="6">
        <v>0</v>
      </c>
      <c r="P3099" s="6">
        <v>0</v>
      </c>
      <c r="Q3099" s="6">
        <v>0</v>
      </c>
      <c r="R3099" s="6">
        <v>130</v>
      </c>
      <c r="S3099" s="6">
        <v>75</v>
      </c>
    </row>
    <row r="3100" spans="1:19" ht="15" hidden="1" x14ac:dyDescent="0.25">
      <c r="A3100" s="7" t="s">
        <v>16</v>
      </c>
      <c r="B3100" s="7" t="s">
        <v>229</v>
      </c>
      <c r="C3100" s="7" t="s">
        <v>24</v>
      </c>
      <c r="D3100" s="4">
        <v>60765823000130</v>
      </c>
      <c r="E3100" s="8" t="s">
        <v>615</v>
      </c>
      <c r="F3100" s="8" t="s">
        <v>29</v>
      </c>
      <c r="G3100" s="8" t="s">
        <v>19</v>
      </c>
      <c r="H3100" s="8" t="s">
        <v>215</v>
      </c>
      <c r="I3100" s="3">
        <v>2</v>
      </c>
      <c r="J3100" s="8" t="s">
        <v>147</v>
      </c>
      <c r="K3100" s="8" t="s">
        <v>148</v>
      </c>
      <c r="L3100" s="8" t="s">
        <v>557</v>
      </c>
      <c r="M3100" s="1" t="s">
        <v>207</v>
      </c>
      <c r="N3100" s="8" t="s">
        <v>208</v>
      </c>
      <c r="O3100" s="6">
        <v>0</v>
      </c>
      <c r="P3100" s="6">
        <v>40</v>
      </c>
      <c r="Q3100" s="6">
        <v>200</v>
      </c>
      <c r="R3100" s="6">
        <v>0</v>
      </c>
      <c r="S3100" s="6">
        <v>75</v>
      </c>
    </row>
    <row r="3101" spans="1:19" ht="15" hidden="1" x14ac:dyDescent="0.25">
      <c r="A3101" s="7" t="s">
        <v>16</v>
      </c>
      <c r="B3101" s="7" t="s">
        <v>229</v>
      </c>
      <c r="C3101" s="7" t="s">
        <v>24</v>
      </c>
      <c r="D3101" s="4">
        <v>29435005002687</v>
      </c>
      <c r="E3101" s="8" t="s">
        <v>593</v>
      </c>
      <c r="F3101" s="8" t="s">
        <v>29</v>
      </c>
      <c r="G3101" s="8" t="s">
        <v>19</v>
      </c>
      <c r="H3101" s="8" t="s">
        <v>215</v>
      </c>
      <c r="I3101" s="3">
        <v>2</v>
      </c>
      <c r="J3101" s="8" t="s">
        <v>161</v>
      </c>
      <c r="K3101" s="8" t="s">
        <v>162</v>
      </c>
      <c r="L3101" s="8" t="s">
        <v>556</v>
      </c>
      <c r="M3101" s="1" t="s">
        <v>207</v>
      </c>
      <c r="N3101" s="8" t="s">
        <v>208</v>
      </c>
      <c r="O3101" s="6">
        <v>0</v>
      </c>
      <c r="P3101" s="6">
        <v>0</v>
      </c>
      <c r="Q3101" s="6">
        <v>0</v>
      </c>
      <c r="R3101" s="6">
        <v>0</v>
      </c>
      <c r="S3101" s="6">
        <v>500</v>
      </c>
    </row>
    <row r="3102" spans="1:19" ht="15" hidden="1" x14ac:dyDescent="0.25">
      <c r="A3102" s="7" t="s">
        <v>16</v>
      </c>
      <c r="B3102" s="7" t="s">
        <v>229</v>
      </c>
      <c r="C3102" s="7" t="s">
        <v>24</v>
      </c>
      <c r="D3102" s="4">
        <v>29435005002687</v>
      </c>
      <c r="E3102" s="8" t="s">
        <v>593</v>
      </c>
      <c r="F3102" s="8" t="s">
        <v>29</v>
      </c>
      <c r="G3102" s="8" t="s">
        <v>19</v>
      </c>
      <c r="H3102" s="8" t="s">
        <v>215</v>
      </c>
      <c r="I3102" s="3">
        <v>2</v>
      </c>
      <c r="J3102" s="8" t="s">
        <v>183</v>
      </c>
      <c r="K3102" s="8" t="s">
        <v>184</v>
      </c>
      <c r="L3102" s="8" t="s">
        <v>557</v>
      </c>
      <c r="M3102" s="1" t="s">
        <v>207</v>
      </c>
      <c r="N3102" s="8" t="s">
        <v>208</v>
      </c>
      <c r="O3102" s="6">
        <v>0</v>
      </c>
      <c r="P3102" s="6">
        <v>0</v>
      </c>
      <c r="Q3102" s="6">
        <v>0</v>
      </c>
      <c r="R3102" s="6">
        <v>0</v>
      </c>
      <c r="S3102" s="6">
        <v>500</v>
      </c>
    </row>
    <row r="3103" spans="1:19" ht="15" hidden="1" x14ac:dyDescent="0.25">
      <c r="A3103" s="7" t="s">
        <v>16</v>
      </c>
      <c r="B3103" s="7" t="s">
        <v>229</v>
      </c>
      <c r="C3103" s="7" t="s">
        <v>24</v>
      </c>
      <c r="D3103" s="4">
        <v>461479001054</v>
      </c>
      <c r="E3103" s="8" t="s">
        <v>558</v>
      </c>
      <c r="F3103" s="8" t="s">
        <v>29</v>
      </c>
      <c r="G3103" s="8" t="s">
        <v>19</v>
      </c>
      <c r="H3103" s="8" t="s">
        <v>215</v>
      </c>
      <c r="I3103" s="3">
        <v>2</v>
      </c>
      <c r="J3103" s="8" t="s">
        <v>1355</v>
      </c>
      <c r="K3103" s="8" t="s">
        <v>1356</v>
      </c>
      <c r="L3103" s="8" t="s">
        <v>556</v>
      </c>
      <c r="M3103" s="1" t="s">
        <v>207</v>
      </c>
      <c r="N3103" s="8" t="s">
        <v>208</v>
      </c>
      <c r="O3103" s="6">
        <v>0</v>
      </c>
      <c r="P3103" s="6">
        <v>0</v>
      </c>
      <c r="Q3103" s="6">
        <v>0</v>
      </c>
      <c r="R3103" s="6">
        <v>0</v>
      </c>
      <c r="S3103" s="6">
        <v>0</v>
      </c>
    </row>
    <row r="3104" spans="1:19" ht="15" hidden="1" x14ac:dyDescent="0.25">
      <c r="A3104" s="7" t="s">
        <v>16</v>
      </c>
      <c r="B3104" s="7" t="s">
        <v>229</v>
      </c>
      <c r="C3104" s="7" t="s">
        <v>24</v>
      </c>
      <c r="D3104" s="4">
        <v>461479001054</v>
      </c>
      <c r="E3104" s="8" t="s">
        <v>558</v>
      </c>
      <c r="F3104" s="8" t="s">
        <v>29</v>
      </c>
      <c r="G3104" s="8" t="s">
        <v>19</v>
      </c>
      <c r="H3104" s="8" t="s">
        <v>215</v>
      </c>
      <c r="I3104" s="3">
        <v>2</v>
      </c>
      <c r="J3104" s="8" t="s">
        <v>183</v>
      </c>
      <c r="K3104" s="8" t="s">
        <v>184</v>
      </c>
      <c r="L3104" s="8" t="s">
        <v>557</v>
      </c>
      <c r="M3104" s="1" t="s">
        <v>207</v>
      </c>
      <c r="N3104" s="8" t="s">
        <v>208</v>
      </c>
      <c r="O3104" s="6">
        <v>0</v>
      </c>
      <c r="P3104" s="6">
        <v>8</v>
      </c>
      <c r="Q3104" s="6">
        <v>0</v>
      </c>
      <c r="R3104" s="6">
        <v>0</v>
      </c>
      <c r="S3104" s="6">
        <v>0</v>
      </c>
    </row>
    <row r="3105" spans="1:19" ht="15" hidden="1" x14ac:dyDescent="0.25">
      <c r="A3105" s="7" t="s">
        <v>16</v>
      </c>
      <c r="B3105" s="7" t="s">
        <v>229</v>
      </c>
      <c r="C3105" s="7" t="s">
        <v>24</v>
      </c>
      <c r="D3105" s="4">
        <v>461479004150</v>
      </c>
      <c r="E3105" s="8" t="s">
        <v>1138</v>
      </c>
      <c r="F3105" s="8" t="s">
        <v>29</v>
      </c>
      <c r="G3105" s="8" t="s">
        <v>19</v>
      </c>
      <c r="H3105" s="8" t="s">
        <v>215</v>
      </c>
      <c r="I3105" s="3">
        <v>2</v>
      </c>
      <c r="J3105" s="8" t="s">
        <v>1355</v>
      </c>
      <c r="K3105" s="8" t="s">
        <v>1356</v>
      </c>
      <c r="L3105" s="8" t="s">
        <v>556</v>
      </c>
      <c r="M3105" s="1" t="s">
        <v>207</v>
      </c>
      <c r="N3105" s="8" t="s">
        <v>208</v>
      </c>
      <c r="O3105" s="6">
        <v>0</v>
      </c>
      <c r="P3105" s="6">
        <v>0</v>
      </c>
      <c r="Q3105" s="6">
        <v>0</v>
      </c>
      <c r="R3105" s="6">
        <v>0</v>
      </c>
      <c r="S3105" s="6">
        <v>80</v>
      </c>
    </row>
    <row r="3106" spans="1:19" ht="15" hidden="1" x14ac:dyDescent="0.25">
      <c r="A3106" s="7" t="s">
        <v>16</v>
      </c>
      <c r="B3106" s="7" t="s">
        <v>229</v>
      </c>
      <c r="C3106" s="7" t="s">
        <v>24</v>
      </c>
      <c r="D3106" s="4">
        <v>461479004150</v>
      </c>
      <c r="E3106" s="8" t="s">
        <v>1138</v>
      </c>
      <c r="F3106" s="8" t="s">
        <v>29</v>
      </c>
      <c r="G3106" s="8" t="s">
        <v>19</v>
      </c>
      <c r="H3106" s="8" t="s">
        <v>215</v>
      </c>
      <c r="I3106" s="3">
        <v>2</v>
      </c>
      <c r="J3106" s="8" t="s">
        <v>183</v>
      </c>
      <c r="K3106" s="8" t="s">
        <v>184</v>
      </c>
      <c r="L3106" s="8" t="s">
        <v>557</v>
      </c>
      <c r="M3106" s="1" t="s">
        <v>207</v>
      </c>
      <c r="N3106" s="8" t="s">
        <v>208</v>
      </c>
      <c r="O3106" s="6">
        <v>0</v>
      </c>
      <c r="P3106" s="6">
        <v>0</v>
      </c>
      <c r="Q3106" s="6">
        <v>0</v>
      </c>
      <c r="R3106" s="6">
        <v>0</v>
      </c>
      <c r="S3106" s="6">
        <v>80</v>
      </c>
    </row>
    <row r="3107" spans="1:19" ht="15" hidden="1" x14ac:dyDescent="0.25">
      <c r="A3107" s="7" t="s">
        <v>16</v>
      </c>
      <c r="B3107" s="7" t="s">
        <v>229</v>
      </c>
      <c r="C3107" s="7" t="s">
        <v>24</v>
      </c>
      <c r="D3107" s="4">
        <v>60922168000771</v>
      </c>
      <c r="E3107" s="8" t="s">
        <v>618</v>
      </c>
      <c r="F3107" s="8" t="s">
        <v>29</v>
      </c>
      <c r="G3107" s="8" t="s">
        <v>19</v>
      </c>
      <c r="H3107" s="8" t="s">
        <v>215</v>
      </c>
      <c r="I3107" s="3">
        <v>2</v>
      </c>
      <c r="J3107" s="8" t="s">
        <v>1355</v>
      </c>
      <c r="K3107" s="8" t="s">
        <v>1356</v>
      </c>
      <c r="L3107" s="8" t="s">
        <v>556</v>
      </c>
      <c r="M3107" s="1" t="s">
        <v>207</v>
      </c>
      <c r="N3107" s="8" t="s">
        <v>208</v>
      </c>
      <c r="O3107" s="6">
        <v>0</v>
      </c>
      <c r="P3107" s="6">
        <v>0</v>
      </c>
      <c r="Q3107" s="6">
        <v>0</v>
      </c>
      <c r="R3107" s="6">
        <v>6</v>
      </c>
      <c r="S3107" s="6">
        <v>100</v>
      </c>
    </row>
    <row r="3108" spans="1:19" ht="15" hidden="1" x14ac:dyDescent="0.25">
      <c r="A3108" s="7" t="s">
        <v>16</v>
      </c>
      <c r="B3108" s="7" t="s">
        <v>229</v>
      </c>
      <c r="C3108" s="7" t="s">
        <v>24</v>
      </c>
      <c r="D3108" s="4">
        <v>60922168000771</v>
      </c>
      <c r="E3108" s="8" t="s">
        <v>618</v>
      </c>
      <c r="F3108" s="8" t="s">
        <v>29</v>
      </c>
      <c r="G3108" s="8" t="s">
        <v>19</v>
      </c>
      <c r="H3108" s="8" t="s">
        <v>215</v>
      </c>
      <c r="I3108" s="3">
        <v>2</v>
      </c>
      <c r="J3108" s="8" t="s">
        <v>147</v>
      </c>
      <c r="K3108" s="8" t="s">
        <v>148</v>
      </c>
      <c r="L3108" s="8" t="s">
        <v>557</v>
      </c>
      <c r="M3108" s="1" t="s">
        <v>207</v>
      </c>
      <c r="N3108" s="8" t="s">
        <v>208</v>
      </c>
      <c r="O3108" s="6">
        <v>0</v>
      </c>
      <c r="P3108" s="6">
        <v>0</v>
      </c>
      <c r="Q3108" s="6">
        <v>13</v>
      </c>
      <c r="R3108" s="6">
        <v>0</v>
      </c>
      <c r="S3108" s="6">
        <v>100</v>
      </c>
    </row>
    <row r="3109" spans="1:19" ht="15" hidden="1" x14ac:dyDescent="0.25">
      <c r="A3109" s="7" t="s">
        <v>16</v>
      </c>
      <c r="B3109" s="7" t="s">
        <v>229</v>
      </c>
      <c r="C3109" s="7" t="s">
        <v>24</v>
      </c>
      <c r="D3109" s="4">
        <v>60777901000116</v>
      </c>
      <c r="E3109" s="8" t="s">
        <v>616</v>
      </c>
      <c r="F3109" s="8" t="s">
        <v>29</v>
      </c>
      <c r="G3109" s="8" t="s">
        <v>19</v>
      </c>
      <c r="H3109" s="8" t="s">
        <v>215</v>
      </c>
      <c r="I3109" s="3">
        <v>2</v>
      </c>
      <c r="J3109" s="8" t="s">
        <v>161</v>
      </c>
      <c r="K3109" s="8" t="s">
        <v>162</v>
      </c>
      <c r="L3109" s="8" t="s">
        <v>556</v>
      </c>
      <c r="M3109" s="1" t="s">
        <v>207</v>
      </c>
      <c r="N3109" s="8" t="s">
        <v>208</v>
      </c>
      <c r="O3109" s="6">
        <v>0</v>
      </c>
      <c r="P3109" s="6">
        <v>0</v>
      </c>
      <c r="Q3109" s="6">
        <v>0</v>
      </c>
      <c r="R3109" s="6">
        <v>0</v>
      </c>
      <c r="S3109" s="6">
        <v>1150</v>
      </c>
    </row>
    <row r="3110" spans="1:19" ht="15" hidden="1" x14ac:dyDescent="0.25">
      <c r="A3110" s="7" t="s">
        <v>16</v>
      </c>
      <c r="B3110" s="7" t="s">
        <v>229</v>
      </c>
      <c r="C3110" s="7" t="s">
        <v>24</v>
      </c>
      <c r="D3110" s="4">
        <v>60777901000116</v>
      </c>
      <c r="E3110" s="8" t="s">
        <v>616</v>
      </c>
      <c r="F3110" s="8" t="s">
        <v>29</v>
      </c>
      <c r="G3110" s="8" t="s">
        <v>19</v>
      </c>
      <c r="H3110" s="8" t="s">
        <v>215</v>
      </c>
      <c r="I3110" s="3">
        <v>2</v>
      </c>
      <c r="J3110" s="8" t="s">
        <v>183</v>
      </c>
      <c r="K3110" s="8" t="s">
        <v>184</v>
      </c>
      <c r="L3110" s="8" t="s">
        <v>557</v>
      </c>
      <c r="M3110" s="1" t="s">
        <v>207</v>
      </c>
      <c r="N3110" s="8" t="s">
        <v>208</v>
      </c>
      <c r="O3110" s="6">
        <v>0</v>
      </c>
      <c r="P3110" s="6">
        <v>0</v>
      </c>
      <c r="Q3110" s="6">
        <v>0</v>
      </c>
      <c r="R3110" s="6">
        <v>0</v>
      </c>
      <c r="S3110" s="6">
        <v>1150</v>
      </c>
    </row>
    <row r="3111" spans="1:19" ht="15" hidden="1" x14ac:dyDescent="0.25">
      <c r="A3111" s="7" t="s">
        <v>16</v>
      </c>
      <c r="B3111" s="7" t="s">
        <v>229</v>
      </c>
      <c r="C3111" s="7" t="s">
        <v>24</v>
      </c>
      <c r="D3111" s="4">
        <v>60975737005110</v>
      </c>
      <c r="E3111" s="8" t="s">
        <v>626</v>
      </c>
      <c r="F3111" s="8" t="s">
        <v>29</v>
      </c>
      <c r="G3111" s="8" t="s">
        <v>19</v>
      </c>
      <c r="H3111" s="8" t="s">
        <v>215</v>
      </c>
      <c r="I3111" s="3">
        <v>2</v>
      </c>
      <c r="J3111" s="8" t="s">
        <v>161</v>
      </c>
      <c r="K3111" s="8" t="s">
        <v>162</v>
      </c>
      <c r="L3111" s="8" t="s">
        <v>556</v>
      </c>
      <c r="M3111" s="1" t="s">
        <v>207</v>
      </c>
      <c r="N3111" s="8" t="s">
        <v>208</v>
      </c>
      <c r="O3111" s="6">
        <v>0</v>
      </c>
      <c r="P3111" s="6">
        <v>0</v>
      </c>
      <c r="Q3111" s="6">
        <v>0</v>
      </c>
      <c r="R3111" s="6">
        <v>0</v>
      </c>
      <c r="S3111" s="6">
        <v>0</v>
      </c>
    </row>
    <row r="3112" spans="1:19" ht="15" hidden="1" x14ac:dyDescent="0.25">
      <c r="A3112" s="7" t="s">
        <v>16</v>
      </c>
      <c r="B3112" s="7" t="s">
        <v>229</v>
      </c>
      <c r="C3112" s="7" t="s">
        <v>24</v>
      </c>
      <c r="D3112" s="4">
        <v>60975737005110</v>
      </c>
      <c r="E3112" s="8" t="s">
        <v>626</v>
      </c>
      <c r="F3112" s="8" t="s">
        <v>29</v>
      </c>
      <c r="G3112" s="8" t="s">
        <v>19</v>
      </c>
      <c r="H3112" s="8" t="s">
        <v>215</v>
      </c>
      <c r="I3112" s="3">
        <v>2</v>
      </c>
      <c r="J3112" s="8" t="s">
        <v>177</v>
      </c>
      <c r="K3112" s="8" t="s">
        <v>178</v>
      </c>
      <c r="L3112" s="8" t="s">
        <v>557</v>
      </c>
      <c r="M3112" s="1" t="s">
        <v>207</v>
      </c>
      <c r="N3112" s="8" t="s">
        <v>208</v>
      </c>
      <c r="O3112" s="6">
        <v>0</v>
      </c>
      <c r="P3112" s="6">
        <v>2</v>
      </c>
      <c r="Q3112" s="6">
        <v>2</v>
      </c>
      <c r="R3112" s="6">
        <v>0</v>
      </c>
      <c r="S3112" s="6">
        <v>0</v>
      </c>
    </row>
    <row r="3113" spans="1:19" ht="15" hidden="1" x14ac:dyDescent="0.25">
      <c r="A3113" s="7" t="s">
        <v>16</v>
      </c>
      <c r="B3113" s="7" t="s">
        <v>229</v>
      </c>
      <c r="C3113" s="7" t="s">
        <v>24</v>
      </c>
      <c r="D3113" s="4">
        <v>60975737000232</v>
      </c>
      <c r="E3113" s="8" t="s">
        <v>624</v>
      </c>
      <c r="F3113" s="8" t="s">
        <v>29</v>
      </c>
      <c r="G3113" s="8" t="s">
        <v>19</v>
      </c>
      <c r="H3113" s="8" t="s">
        <v>215</v>
      </c>
      <c r="I3113" s="3">
        <v>2</v>
      </c>
      <c r="J3113" s="8" t="s">
        <v>161</v>
      </c>
      <c r="K3113" s="8" t="s">
        <v>162</v>
      </c>
      <c r="L3113" s="8" t="s">
        <v>556</v>
      </c>
      <c r="M3113" s="1" t="s">
        <v>207</v>
      </c>
      <c r="N3113" s="8" t="s">
        <v>208</v>
      </c>
      <c r="O3113" s="6">
        <v>0</v>
      </c>
      <c r="P3113" s="6">
        <v>0</v>
      </c>
      <c r="Q3113" s="6">
        <v>0</v>
      </c>
      <c r="R3113" s="6">
        <v>0</v>
      </c>
      <c r="S3113" s="6">
        <v>0</v>
      </c>
    </row>
    <row r="3114" spans="1:19" ht="15" hidden="1" x14ac:dyDescent="0.25">
      <c r="A3114" s="7" t="s">
        <v>16</v>
      </c>
      <c r="B3114" s="7" t="s">
        <v>229</v>
      </c>
      <c r="C3114" s="7" t="s">
        <v>24</v>
      </c>
      <c r="D3114" s="4">
        <v>60975737000232</v>
      </c>
      <c r="E3114" s="8" t="s">
        <v>624</v>
      </c>
      <c r="F3114" s="8" t="s">
        <v>29</v>
      </c>
      <c r="G3114" s="8" t="s">
        <v>19</v>
      </c>
      <c r="H3114" s="8" t="s">
        <v>215</v>
      </c>
      <c r="I3114" s="3">
        <v>2</v>
      </c>
      <c r="J3114" s="8" t="s">
        <v>177</v>
      </c>
      <c r="K3114" s="8" t="s">
        <v>178</v>
      </c>
      <c r="L3114" s="8" t="s">
        <v>557</v>
      </c>
      <c r="M3114" s="1" t="s">
        <v>207</v>
      </c>
      <c r="N3114" s="8" t="s">
        <v>208</v>
      </c>
      <c r="O3114" s="6">
        <v>0</v>
      </c>
      <c r="P3114" s="6">
        <v>0</v>
      </c>
      <c r="Q3114" s="6">
        <v>8</v>
      </c>
      <c r="R3114" s="6">
        <v>0</v>
      </c>
      <c r="S3114" s="6">
        <v>0</v>
      </c>
    </row>
    <row r="3115" spans="1:19" ht="15" hidden="1" x14ac:dyDescent="0.25">
      <c r="A3115" s="7" t="s">
        <v>16</v>
      </c>
      <c r="B3115" s="7" t="s">
        <v>229</v>
      </c>
      <c r="C3115" s="7" t="s">
        <v>24</v>
      </c>
      <c r="D3115" s="4">
        <v>60975737001204</v>
      </c>
      <c r="E3115" s="8" t="s">
        <v>625</v>
      </c>
      <c r="F3115" s="8" t="s">
        <v>29</v>
      </c>
      <c r="G3115" s="8" t="s">
        <v>19</v>
      </c>
      <c r="H3115" s="8" t="s">
        <v>215</v>
      </c>
      <c r="I3115" s="3">
        <v>2</v>
      </c>
      <c r="J3115" s="8" t="s">
        <v>161</v>
      </c>
      <c r="K3115" s="8" t="s">
        <v>162</v>
      </c>
      <c r="L3115" s="8" t="s">
        <v>556</v>
      </c>
      <c r="M3115" s="1" t="s">
        <v>207</v>
      </c>
      <c r="N3115" s="8" t="s">
        <v>208</v>
      </c>
      <c r="O3115" s="6">
        <v>0</v>
      </c>
      <c r="P3115" s="6">
        <v>0</v>
      </c>
      <c r="Q3115" s="6">
        <v>0</v>
      </c>
      <c r="R3115" s="6">
        <v>0</v>
      </c>
      <c r="S3115" s="6">
        <v>0</v>
      </c>
    </row>
    <row r="3116" spans="1:19" ht="15" hidden="1" x14ac:dyDescent="0.25">
      <c r="A3116" s="7" t="s">
        <v>16</v>
      </c>
      <c r="B3116" s="7" t="s">
        <v>229</v>
      </c>
      <c r="C3116" s="7" t="s">
        <v>24</v>
      </c>
      <c r="D3116" s="4">
        <v>60975737001204</v>
      </c>
      <c r="E3116" s="8" t="s">
        <v>625</v>
      </c>
      <c r="F3116" s="8" t="s">
        <v>29</v>
      </c>
      <c r="G3116" s="8" t="s">
        <v>19</v>
      </c>
      <c r="H3116" s="8" t="s">
        <v>215</v>
      </c>
      <c r="I3116" s="3">
        <v>2</v>
      </c>
      <c r="J3116" s="8" t="s">
        <v>177</v>
      </c>
      <c r="K3116" s="8" t="s">
        <v>178</v>
      </c>
      <c r="L3116" s="8" t="s">
        <v>557</v>
      </c>
      <c r="M3116" s="1" t="s">
        <v>207</v>
      </c>
      <c r="N3116" s="8" t="s">
        <v>208</v>
      </c>
      <c r="O3116" s="6">
        <v>0</v>
      </c>
      <c r="P3116" s="6">
        <v>0</v>
      </c>
      <c r="Q3116" s="6">
        <v>4</v>
      </c>
      <c r="R3116" s="6">
        <v>0</v>
      </c>
      <c r="S3116" s="6">
        <v>0</v>
      </c>
    </row>
    <row r="3117" spans="1:19" ht="15" hidden="1" x14ac:dyDescent="0.25">
      <c r="A3117" s="7" t="s">
        <v>16</v>
      </c>
      <c r="B3117" s="7" t="s">
        <v>229</v>
      </c>
      <c r="C3117" s="7" t="s">
        <v>24</v>
      </c>
      <c r="D3117" s="4">
        <v>46374500000941</v>
      </c>
      <c r="E3117" s="8" t="s">
        <v>1227</v>
      </c>
      <c r="F3117" s="8" t="s">
        <v>29</v>
      </c>
      <c r="G3117" s="8" t="s">
        <v>19</v>
      </c>
      <c r="H3117" s="8" t="s">
        <v>215</v>
      </c>
      <c r="I3117" s="3">
        <v>2</v>
      </c>
      <c r="J3117" s="8" t="s">
        <v>161</v>
      </c>
      <c r="K3117" s="8" t="s">
        <v>162</v>
      </c>
      <c r="L3117" s="8" t="s">
        <v>556</v>
      </c>
      <c r="M3117" s="1" t="s">
        <v>207</v>
      </c>
      <c r="N3117" s="8" t="s">
        <v>208</v>
      </c>
      <c r="O3117" s="6">
        <v>0</v>
      </c>
      <c r="P3117" s="6">
        <v>0</v>
      </c>
      <c r="Q3117" s="6">
        <v>0</v>
      </c>
      <c r="R3117" s="6">
        <v>0</v>
      </c>
      <c r="S3117" s="6">
        <v>0</v>
      </c>
    </row>
    <row r="3118" spans="1:19" ht="15" hidden="1" x14ac:dyDescent="0.25">
      <c r="A3118" s="7" t="s">
        <v>16</v>
      </c>
      <c r="B3118" s="7" t="s">
        <v>229</v>
      </c>
      <c r="C3118" s="7" t="s">
        <v>24</v>
      </c>
      <c r="D3118" s="4">
        <v>46374500000941</v>
      </c>
      <c r="E3118" s="8" t="s">
        <v>1227</v>
      </c>
      <c r="F3118" s="8" t="s">
        <v>29</v>
      </c>
      <c r="G3118" s="8" t="s">
        <v>19</v>
      </c>
      <c r="H3118" s="8" t="s">
        <v>215</v>
      </c>
      <c r="I3118" s="3">
        <v>2</v>
      </c>
      <c r="J3118" s="8" t="s">
        <v>177</v>
      </c>
      <c r="K3118" s="8" t="s">
        <v>178</v>
      </c>
      <c r="L3118" s="8" t="s">
        <v>557</v>
      </c>
      <c r="M3118" s="1" t="s">
        <v>207</v>
      </c>
      <c r="N3118" s="8" t="s">
        <v>208</v>
      </c>
      <c r="O3118" s="6">
        <v>0</v>
      </c>
      <c r="P3118" s="6">
        <v>24</v>
      </c>
      <c r="Q3118" s="6">
        <v>0</v>
      </c>
      <c r="R3118" s="6">
        <v>0</v>
      </c>
      <c r="S3118" s="6">
        <v>0</v>
      </c>
    </row>
    <row r="3119" spans="1:19" ht="15" hidden="1" x14ac:dyDescent="0.25">
      <c r="A3119" s="7" t="s">
        <v>16</v>
      </c>
      <c r="B3119" s="7" t="s">
        <v>229</v>
      </c>
      <c r="C3119" s="7" t="s">
        <v>24</v>
      </c>
      <c r="D3119" s="4">
        <v>5831510000124</v>
      </c>
      <c r="E3119" s="8" t="s">
        <v>567</v>
      </c>
      <c r="F3119" s="8" t="s">
        <v>29</v>
      </c>
      <c r="G3119" s="8" t="s">
        <v>19</v>
      </c>
      <c r="H3119" s="8" t="s">
        <v>215</v>
      </c>
      <c r="I3119" s="3">
        <v>2</v>
      </c>
      <c r="J3119" s="8" t="s">
        <v>161</v>
      </c>
      <c r="K3119" s="8" t="s">
        <v>162</v>
      </c>
      <c r="L3119" s="8" t="s">
        <v>556</v>
      </c>
      <c r="M3119" s="1" t="s">
        <v>207</v>
      </c>
      <c r="N3119" s="8" t="s">
        <v>208</v>
      </c>
      <c r="O3119" s="6">
        <v>0</v>
      </c>
      <c r="P3119" s="6">
        <v>0</v>
      </c>
      <c r="Q3119" s="6">
        <v>0</v>
      </c>
      <c r="R3119" s="6">
        <v>0</v>
      </c>
      <c r="S3119" s="6">
        <v>140</v>
      </c>
    </row>
    <row r="3120" spans="1:19" ht="15" hidden="1" x14ac:dyDescent="0.25">
      <c r="A3120" s="7" t="s">
        <v>16</v>
      </c>
      <c r="B3120" s="7" t="s">
        <v>229</v>
      </c>
      <c r="C3120" s="7" t="s">
        <v>24</v>
      </c>
      <c r="D3120" s="4">
        <v>5831510000124</v>
      </c>
      <c r="E3120" s="8" t="s">
        <v>567</v>
      </c>
      <c r="F3120" s="8" t="s">
        <v>29</v>
      </c>
      <c r="G3120" s="8" t="s">
        <v>19</v>
      </c>
      <c r="H3120" s="8" t="s">
        <v>215</v>
      </c>
      <c r="I3120" s="3">
        <v>2</v>
      </c>
      <c r="J3120" s="8" t="s">
        <v>147</v>
      </c>
      <c r="K3120" s="8" t="s">
        <v>148</v>
      </c>
      <c r="L3120" s="8" t="s">
        <v>557</v>
      </c>
      <c r="M3120" s="1" t="s">
        <v>207</v>
      </c>
      <c r="N3120" s="8" t="s">
        <v>208</v>
      </c>
      <c r="O3120" s="6">
        <v>0</v>
      </c>
      <c r="P3120" s="6">
        <v>0</v>
      </c>
      <c r="Q3120" s="6">
        <v>0</v>
      </c>
      <c r="R3120" s="6">
        <v>0</v>
      </c>
      <c r="S3120" s="6">
        <v>140</v>
      </c>
    </row>
    <row r="3121" spans="1:19" ht="15" hidden="1" x14ac:dyDescent="0.25">
      <c r="A3121" s="7" t="s">
        <v>16</v>
      </c>
      <c r="B3121" s="7" t="s">
        <v>229</v>
      </c>
      <c r="C3121" s="7" t="s">
        <v>24</v>
      </c>
      <c r="D3121" s="4">
        <v>15217814000150</v>
      </c>
      <c r="E3121" s="8" t="s">
        <v>1167</v>
      </c>
      <c r="F3121" s="8" t="s">
        <v>29</v>
      </c>
      <c r="G3121" s="8" t="s">
        <v>19</v>
      </c>
      <c r="H3121" s="8" t="s">
        <v>215</v>
      </c>
      <c r="I3121" s="3">
        <v>2</v>
      </c>
      <c r="J3121" s="8" t="s">
        <v>161</v>
      </c>
      <c r="K3121" s="8" t="s">
        <v>162</v>
      </c>
      <c r="L3121" s="8" t="s">
        <v>556</v>
      </c>
      <c r="M3121" s="1" t="s">
        <v>207</v>
      </c>
      <c r="N3121" s="8" t="s">
        <v>208</v>
      </c>
      <c r="O3121" s="6">
        <v>0</v>
      </c>
      <c r="P3121" s="6">
        <v>0</v>
      </c>
      <c r="Q3121" s="6">
        <v>0</v>
      </c>
      <c r="R3121" s="6">
        <v>0</v>
      </c>
      <c r="S3121" s="6">
        <v>5</v>
      </c>
    </row>
    <row r="3122" spans="1:19" ht="15" hidden="1" x14ac:dyDescent="0.25">
      <c r="A3122" s="7" t="s">
        <v>16</v>
      </c>
      <c r="B3122" s="7" t="s">
        <v>229</v>
      </c>
      <c r="C3122" s="7" t="s">
        <v>24</v>
      </c>
      <c r="D3122" s="4">
        <v>15217814000150</v>
      </c>
      <c r="E3122" s="8" t="s">
        <v>1167</v>
      </c>
      <c r="F3122" s="8" t="s">
        <v>29</v>
      </c>
      <c r="G3122" s="8" t="s">
        <v>19</v>
      </c>
      <c r="H3122" s="8" t="s">
        <v>215</v>
      </c>
      <c r="I3122" s="3">
        <v>2</v>
      </c>
      <c r="J3122" s="8" t="s">
        <v>183</v>
      </c>
      <c r="K3122" s="8" t="s">
        <v>184</v>
      </c>
      <c r="L3122" s="8" t="s">
        <v>557</v>
      </c>
      <c r="M3122" s="1" t="s">
        <v>207</v>
      </c>
      <c r="N3122" s="8" t="s">
        <v>208</v>
      </c>
      <c r="O3122" s="6">
        <v>0</v>
      </c>
      <c r="P3122" s="6">
        <v>0</v>
      </c>
      <c r="Q3122" s="6">
        <v>0</v>
      </c>
      <c r="R3122" s="6">
        <v>0</v>
      </c>
      <c r="S3122" s="6">
        <v>5</v>
      </c>
    </row>
    <row r="3123" spans="1:19" ht="15" hidden="1" x14ac:dyDescent="0.25">
      <c r="A3123" s="7" t="s">
        <v>16</v>
      </c>
      <c r="B3123" s="7" t="s">
        <v>229</v>
      </c>
      <c r="C3123" s="7" t="s">
        <v>24</v>
      </c>
      <c r="D3123" s="4">
        <v>4036348000190</v>
      </c>
      <c r="E3123" s="8" t="s">
        <v>565</v>
      </c>
      <c r="F3123" s="8" t="s">
        <v>29</v>
      </c>
      <c r="G3123" s="8" t="s">
        <v>19</v>
      </c>
      <c r="H3123" s="8" t="s">
        <v>215</v>
      </c>
      <c r="I3123" s="3">
        <v>2</v>
      </c>
      <c r="J3123" s="8" t="s">
        <v>1355</v>
      </c>
      <c r="K3123" s="8" t="s">
        <v>1356</v>
      </c>
      <c r="L3123" s="8" t="s">
        <v>556</v>
      </c>
      <c r="M3123" s="1" t="s">
        <v>207</v>
      </c>
      <c r="N3123" s="8" t="s">
        <v>208</v>
      </c>
      <c r="O3123" s="6">
        <v>0</v>
      </c>
      <c r="P3123" s="6">
        <v>0</v>
      </c>
      <c r="Q3123" s="6">
        <v>0</v>
      </c>
      <c r="R3123" s="6">
        <v>0</v>
      </c>
      <c r="S3123" s="6">
        <v>250</v>
      </c>
    </row>
    <row r="3124" spans="1:19" ht="15" hidden="1" x14ac:dyDescent="0.25">
      <c r="A3124" s="7" t="s">
        <v>16</v>
      </c>
      <c r="B3124" s="7" t="s">
        <v>229</v>
      </c>
      <c r="C3124" s="7" t="s">
        <v>24</v>
      </c>
      <c r="D3124" s="4">
        <v>4036348000190</v>
      </c>
      <c r="E3124" s="8" t="s">
        <v>565</v>
      </c>
      <c r="F3124" s="8" t="s">
        <v>29</v>
      </c>
      <c r="G3124" s="8" t="s">
        <v>19</v>
      </c>
      <c r="H3124" s="8" t="s">
        <v>215</v>
      </c>
      <c r="I3124" s="3">
        <v>2</v>
      </c>
      <c r="J3124" s="8" t="s">
        <v>147</v>
      </c>
      <c r="K3124" s="8" t="s">
        <v>148</v>
      </c>
      <c r="L3124" s="8" t="s">
        <v>557</v>
      </c>
      <c r="M3124" s="1" t="s">
        <v>207</v>
      </c>
      <c r="N3124" s="8" t="s">
        <v>208</v>
      </c>
      <c r="O3124" s="6">
        <v>0</v>
      </c>
      <c r="P3124" s="6">
        <v>0</v>
      </c>
      <c r="Q3124" s="6">
        <v>0</v>
      </c>
      <c r="R3124" s="6">
        <v>0</v>
      </c>
      <c r="S3124" s="6">
        <v>250</v>
      </c>
    </row>
    <row r="3125" spans="1:19" ht="15" hidden="1" x14ac:dyDescent="0.25">
      <c r="A3125" s="7" t="s">
        <v>16</v>
      </c>
      <c r="B3125" s="7" t="s">
        <v>229</v>
      </c>
      <c r="C3125" s="7" t="s">
        <v>24</v>
      </c>
      <c r="D3125" s="4">
        <v>2837922000183</v>
      </c>
      <c r="E3125" s="8" t="s">
        <v>563</v>
      </c>
      <c r="F3125" s="8" t="s">
        <v>29</v>
      </c>
      <c r="G3125" s="8" t="s">
        <v>19</v>
      </c>
      <c r="H3125" s="8" t="s">
        <v>215</v>
      </c>
      <c r="I3125" s="3">
        <v>2</v>
      </c>
      <c r="J3125" s="8" t="s">
        <v>161</v>
      </c>
      <c r="K3125" s="8" t="s">
        <v>162</v>
      </c>
      <c r="L3125" s="8" t="s">
        <v>556</v>
      </c>
      <c r="M3125" s="1" t="s">
        <v>207</v>
      </c>
      <c r="N3125" s="8" t="s">
        <v>208</v>
      </c>
      <c r="O3125" s="6">
        <v>0</v>
      </c>
      <c r="P3125" s="6">
        <v>0</v>
      </c>
      <c r="Q3125" s="6">
        <v>0</v>
      </c>
      <c r="R3125" s="6">
        <v>100</v>
      </c>
      <c r="S3125" s="6">
        <v>0</v>
      </c>
    </row>
    <row r="3126" spans="1:19" ht="15" hidden="1" x14ac:dyDescent="0.25">
      <c r="A3126" s="7" t="s">
        <v>16</v>
      </c>
      <c r="B3126" s="7" t="s">
        <v>229</v>
      </c>
      <c r="C3126" s="7" t="s">
        <v>24</v>
      </c>
      <c r="D3126" s="4">
        <v>2837922000183</v>
      </c>
      <c r="E3126" s="8" t="s">
        <v>563</v>
      </c>
      <c r="F3126" s="8" t="s">
        <v>29</v>
      </c>
      <c r="G3126" s="8" t="s">
        <v>19</v>
      </c>
      <c r="H3126" s="8" t="s">
        <v>215</v>
      </c>
      <c r="I3126" s="3">
        <v>2</v>
      </c>
      <c r="J3126" s="8" t="s">
        <v>147</v>
      </c>
      <c r="K3126" s="8" t="s">
        <v>148</v>
      </c>
      <c r="L3126" s="8" t="s">
        <v>557</v>
      </c>
      <c r="M3126" s="1" t="s">
        <v>207</v>
      </c>
      <c r="N3126" s="8" t="s">
        <v>208</v>
      </c>
      <c r="O3126" s="6">
        <v>0</v>
      </c>
      <c r="P3126" s="6">
        <v>0</v>
      </c>
      <c r="Q3126" s="6">
        <v>0</v>
      </c>
      <c r="R3126" s="6">
        <v>0</v>
      </c>
      <c r="S3126" s="6">
        <v>0</v>
      </c>
    </row>
    <row r="3127" spans="1:19" ht="15" hidden="1" x14ac:dyDescent="0.25">
      <c r="A3127" s="7" t="s">
        <v>16</v>
      </c>
      <c r="B3127" s="7" t="s">
        <v>229</v>
      </c>
      <c r="C3127" s="7" t="s">
        <v>24</v>
      </c>
      <c r="D3127" s="4">
        <v>461479005122</v>
      </c>
      <c r="E3127" s="8" t="s">
        <v>1139</v>
      </c>
      <c r="F3127" s="8" t="s">
        <v>29</v>
      </c>
      <c r="G3127" s="8" t="s">
        <v>19</v>
      </c>
      <c r="H3127" s="8" t="s">
        <v>215</v>
      </c>
      <c r="I3127" s="3">
        <v>2</v>
      </c>
      <c r="J3127" s="8" t="s">
        <v>1355</v>
      </c>
      <c r="K3127" s="8" t="s">
        <v>1356</v>
      </c>
      <c r="L3127" s="8" t="s">
        <v>556</v>
      </c>
      <c r="M3127" s="1" t="s">
        <v>207</v>
      </c>
      <c r="N3127" s="8" t="s">
        <v>208</v>
      </c>
      <c r="O3127" s="6">
        <v>0</v>
      </c>
      <c r="P3127" s="6">
        <v>0</v>
      </c>
      <c r="Q3127" s="6">
        <v>0</v>
      </c>
      <c r="R3127" s="6">
        <v>0</v>
      </c>
      <c r="S3127" s="6">
        <v>125</v>
      </c>
    </row>
    <row r="3128" spans="1:19" ht="15" hidden="1" x14ac:dyDescent="0.25">
      <c r="A3128" s="7" t="s">
        <v>16</v>
      </c>
      <c r="B3128" s="7" t="s">
        <v>229</v>
      </c>
      <c r="C3128" s="7" t="s">
        <v>24</v>
      </c>
      <c r="D3128" s="4">
        <v>461479005122</v>
      </c>
      <c r="E3128" s="8" t="s">
        <v>1139</v>
      </c>
      <c r="F3128" s="8" t="s">
        <v>29</v>
      </c>
      <c r="G3128" s="8" t="s">
        <v>19</v>
      </c>
      <c r="H3128" s="8" t="s">
        <v>215</v>
      </c>
      <c r="I3128" s="3">
        <v>2</v>
      </c>
      <c r="J3128" s="8" t="s">
        <v>183</v>
      </c>
      <c r="K3128" s="8" t="s">
        <v>184</v>
      </c>
      <c r="L3128" s="8" t="s">
        <v>557</v>
      </c>
      <c r="M3128" s="1" t="s">
        <v>207</v>
      </c>
      <c r="N3128" s="8" t="s">
        <v>208</v>
      </c>
      <c r="O3128" s="6">
        <v>0</v>
      </c>
      <c r="P3128" s="6">
        <v>0</v>
      </c>
      <c r="Q3128" s="6">
        <v>0</v>
      </c>
      <c r="R3128" s="6">
        <v>0</v>
      </c>
      <c r="S3128" s="6">
        <v>125</v>
      </c>
    </row>
    <row r="3129" spans="1:19" ht="15" hidden="1" x14ac:dyDescent="0.25">
      <c r="A3129" s="7" t="s">
        <v>16</v>
      </c>
      <c r="B3129" s="7" t="s">
        <v>229</v>
      </c>
      <c r="C3129" s="7" t="s">
        <v>24</v>
      </c>
      <c r="D3129" s="4">
        <v>61599908000158</v>
      </c>
      <c r="E3129" s="8" t="s">
        <v>631</v>
      </c>
      <c r="F3129" s="8" t="s">
        <v>29</v>
      </c>
      <c r="G3129" s="8" t="s">
        <v>19</v>
      </c>
      <c r="H3129" s="8" t="s">
        <v>215</v>
      </c>
      <c r="I3129" s="3">
        <v>2</v>
      </c>
      <c r="J3129" s="8" t="s">
        <v>1355</v>
      </c>
      <c r="K3129" s="8" t="s">
        <v>1356</v>
      </c>
      <c r="L3129" s="8" t="s">
        <v>556</v>
      </c>
      <c r="M3129" s="1" t="s">
        <v>207</v>
      </c>
      <c r="N3129" s="8" t="s">
        <v>208</v>
      </c>
      <c r="O3129" s="6">
        <v>0</v>
      </c>
      <c r="P3129" s="6">
        <v>0</v>
      </c>
      <c r="Q3129" s="6">
        <v>0</v>
      </c>
      <c r="R3129" s="6">
        <v>0</v>
      </c>
      <c r="S3129" s="6">
        <v>0</v>
      </c>
    </row>
    <row r="3130" spans="1:19" ht="15" hidden="1" x14ac:dyDescent="0.25">
      <c r="A3130" s="7" t="s">
        <v>16</v>
      </c>
      <c r="B3130" s="7" t="s">
        <v>229</v>
      </c>
      <c r="C3130" s="7" t="s">
        <v>24</v>
      </c>
      <c r="D3130" s="4">
        <v>61599908000158</v>
      </c>
      <c r="E3130" s="8" t="s">
        <v>631</v>
      </c>
      <c r="F3130" s="8" t="s">
        <v>29</v>
      </c>
      <c r="G3130" s="8" t="s">
        <v>19</v>
      </c>
      <c r="H3130" s="8" t="s">
        <v>215</v>
      </c>
      <c r="I3130" s="3">
        <v>2</v>
      </c>
      <c r="J3130" s="8" t="s">
        <v>183</v>
      </c>
      <c r="K3130" s="8" t="s">
        <v>184</v>
      </c>
      <c r="L3130" s="8" t="s">
        <v>557</v>
      </c>
      <c r="M3130" s="1" t="s">
        <v>207</v>
      </c>
      <c r="N3130" s="8" t="s">
        <v>208</v>
      </c>
      <c r="O3130" s="6">
        <v>0</v>
      </c>
      <c r="P3130" s="6">
        <v>180</v>
      </c>
      <c r="Q3130" s="6">
        <v>168</v>
      </c>
      <c r="R3130" s="6">
        <v>0</v>
      </c>
      <c r="S3130" s="6">
        <v>0</v>
      </c>
    </row>
    <row r="3131" spans="1:19" ht="15" hidden="1" x14ac:dyDescent="0.25">
      <c r="A3131" s="7" t="s">
        <v>16</v>
      </c>
      <c r="B3131" s="7" t="s">
        <v>229</v>
      </c>
      <c r="C3131" s="7" t="s">
        <v>24</v>
      </c>
      <c r="D3131" s="4">
        <v>7045325000130</v>
      </c>
      <c r="E3131" s="8" t="s">
        <v>571</v>
      </c>
      <c r="F3131" s="8" t="s">
        <v>29</v>
      </c>
      <c r="G3131" s="8" t="s">
        <v>19</v>
      </c>
      <c r="H3131" s="8" t="s">
        <v>215</v>
      </c>
      <c r="I3131" s="3">
        <v>2</v>
      </c>
      <c r="J3131" s="8" t="s">
        <v>161</v>
      </c>
      <c r="K3131" s="8" t="s">
        <v>162</v>
      </c>
      <c r="L3131" s="8" t="s">
        <v>556</v>
      </c>
      <c r="M3131" s="1" t="s">
        <v>207</v>
      </c>
      <c r="N3131" s="8" t="s">
        <v>208</v>
      </c>
      <c r="O3131" s="6">
        <v>0</v>
      </c>
      <c r="P3131" s="6">
        <v>0</v>
      </c>
      <c r="Q3131" s="6">
        <v>0</v>
      </c>
      <c r="R3131" s="6">
        <v>0</v>
      </c>
      <c r="S3131" s="6">
        <v>375</v>
      </c>
    </row>
    <row r="3132" spans="1:19" ht="15" hidden="1" x14ac:dyDescent="0.25">
      <c r="A3132" s="7" t="s">
        <v>16</v>
      </c>
      <c r="B3132" s="7" t="s">
        <v>229</v>
      </c>
      <c r="C3132" s="7" t="s">
        <v>24</v>
      </c>
      <c r="D3132" s="4">
        <v>7045325000130</v>
      </c>
      <c r="E3132" s="8" t="s">
        <v>571</v>
      </c>
      <c r="F3132" s="8" t="s">
        <v>29</v>
      </c>
      <c r="G3132" s="8" t="s">
        <v>19</v>
      </c>
      <c r="H3132" s="8" t="s">
        <v>215</v>
      </c>
      <c r="I3132" s="3">
        <v>2</v>
      </c>
      <c r="J3132" s="8" t="s">
        <v>147</v>
      </c>
      <c r="K3132" s="8" t="s">
        <v>148</v>
      </c>
      <c r="L3132" s="8" t="s">
        <v>557</v>
      </c>
      <c r="M3132" s="1" t="s">
        <v>207</v>
      </c>
      <c r="N3132" s="8" t="s">
        <v>208</v>
      </c>
      <c r="O3132" s="6">
        <v>0</v>
      </c>
      <c r="P3132" s="6">
        <v>0</v>
      </c>
      <c r="Q3132" s="6">
        <v>0</v>
      </c>
      <c r="R3132" s="6">
        <v>0</v>
      </c>
      <c r="S3132" s="6">
        <v>375</v>
      </c>
    </row>
    <row r="3133" spans="1:19" ht="15" hidden="1" x14ac:dyDescent="0.25">
      <c r="A3133" s="7" t="s">
        <v>16</v>
      </c>
      <c r="B3133" s="7" t="s">
        <v>229</v>
      </c>
      <c r="C3133" s="7" t="s">
        <v>24</v>
      </c>
      <c r="D3133" s="4">
        <v>60961422000155</v>
      </c>
      <c r="E3133" s="8" t="s">
        <v>620</v>
      </c>
      <c r="F3133" s="8" t="s">
        <v>29</v>
      </c>
      <c r="G3133" s="8" t="s">
        <v>19</v>
      </c>
      <c r="H3133" s="8" t="s">
        <v>215</v>
      </c>
      <c r="I3133" s="3">
        <v>2</v>
      </c>
      <c r="J3133" s="8" t="s">
        <v>161</v>
      </c>
      <c r="K3133" s="8" t="s">
        <v>162</v>
      </c>
      <c r="L3133" s="8" t="s">
        <v>556</v>
      </c>
      <c r="M3133" s="1" t="s">
        <v>207</v>
      </c>
      <c r="N3133" s="8" t="s">
        <v>208</v>
      </c>
      <c r="O3133" s="6">
        <v>0</v>
      </c>
      <c r="P3133" s="6">
        <v>0</v>
      </c>
      <c r="Q3133" s="6">
        <v>0</v>
      </c>
      <c r="R3133" s="6">
        <v>0</v>
      </c>
      <c r="S3133" s="6">
        <v>20</v>
      </c>
    </row>
    <row r="3134" spans="1:19" ht="15" hidden="1" x14ac:dyDescent="0.25">
      <c r="A3134" s="7" t="s">
        <v>16</v>
      </c>
      <c r="B3134" s="7" t="s">
        <v>229</v>
      </c>
      <c r="C3134" s="7" t="s">
        <v>24</v>
      </c>
      <c r="D3134" s="4">
        <v>60961422000155</v>
      </c>
      <c r="E3134" s="8" t="s">
        <v>620</v>
      </c>
      <c r="F3134" s="8" t="s">
        <v>29</v>
      </c>
      <c r="G3134" s="8" t="s">
        <v>19</v>
      </c>
      <c r="H3134" s="8" t="s">
        <v>215</v>
      </c>
      <c r="I3134" s="3">
        <v>2</v>
      </c>
      <c r="J3134" s="8" t="s">
        <v>147</v>
      </c>
      <c r="K3134" s="8" t="s">
        <v>148</v>
      </c>
      <c r="L3134" s="8" t="s">
        <v>557</v>
      </c>
      <c r="M3134" s="1" t="s">
        <v>207</v>
      </c>
      <c r="N3134" s="8" t="s">
        <v>208</v>
      </c>
      <c r="O3134" s="6">
        <v>0</v>
      </c>
      <c r="P3134" s="6">
        <v>4</v>
      </c>
      <c r="Q3134" s="6">
        <v>11</v>
      </c>
      <c r="R3134" s="6">
        <v>0</v>
      </c>
      <c r="S3134" s="6">
        <v>20</v>
      </c>
    </row>
    <row r="3135" spans="1:19" ht="15" hidden="1" x14ac:dyDescent="0.25">
      <c r="A3135" s="7" t="s">
        <v>16</v>
      </c>
      <c r="B3135" s="7" t="s">
        <v>229</v>
      </c>
      <c r="C3135" s="7" t="s">
        <v>24</v>
      </c>
      <c r="D3135" s="4">
        <v>61590410000124</v>
      </c>
      <c r="E3135" s="8" t="s">
        <v>630</v>
      </c>
      <c r="F3135" s="8" t="s">
        <v>29</v>
      </c>
      <c r="G3135" s="8" t="s">
        <v>19</v>
      </c>
      <c r="H3135" s="8" t="s">
        <v>215</v>
      </c>
      <c r="I3135" s="3">
        <v>2</v>
      </c>
      <c r="J3135" s="8" t="s">
        <v>1355</v>
      </c>
      <c r="K3135" s="8" t="s">
        <v>1356</v>
      </c>
      <c r="L3135" s="8" t="s">
        <v>556</v>
      </c>
      <c r="M3135" s="1" t="s">
        <v>207</v>
      </c>
      <c r="N3135" s="8" t="s">
        <v>208</v>
      </c>
      <c r="O3135" s="6">
        <v>0</v>
      </c>
      <c r="P3135" s="6">
        <v>0</v>
      </c>
      <c r="Q3135" s="6">
        <v>0</v>
      </c>
      <c r="R3135" s="6">
        <v>0</v>
      </c>
      <c r="S3135" s="6">
        <v>0</v>
      </c>
    </row>
    <row r="3136" spans="1:19" ht="15" hidden="1" x14ac:dyDescent="0.25">
      <c r="A3136" s="7" t="s">
        <v>16</v>
      </c>
      <c r="B3136" s="7" t="s">
        <v>229</v>
      </c>
      <c r="C3136" s="7" t="s">
        <v>24</v>
      </c>
      <c r="D3136" s="4">
        <v>61590410000124</v>
      </c>
      <c r="E3136" s="8" t="s">
        <v>630</v>
      </c>
      <c r="F3136" s="8" t="s">
        <v>29</v>
      </c>
      <c r="G3136" s="8" t="s">
        <v>19</v>
      </c>
      <c r="H3136" s="8" t="s">
        <v>215</v>
      </c>
      <c r="I3136" s="3">
        <v>2</v>
      </c>
      <c r="J3136" s="8" t="s">
        <v>177</v>
      </c>
      <c r="K3136" s="8" t="s">
        <v>178</v>
      </c>
      <c r="L3136" s="8" t="s">
        <v>557</v>
      </c>
      <c r="M3136" s="1" t="s">
        <v>207</v>
      </c>
      <c r="N3136" s="8" t="s">
        <v>208</v>
      </c>
      <c r="O3136" s="6">
        <v>0</v>
      </c>
      <c r="P3136" s="6">
        <v>20</v>
      </c>
      <c r="Q3136" s="6">
        <v>4</v>
      </c>
      <c r="R3136" s="6">
        <v>0</v>
      </c>
      <c r="S3136" s="6">
        <v>0</v>
      </c>
    </row>
    <row r="3137" spans="1:19" ht="15" hidden="1" x14ac:dyDescent="0.25">
      <c r="A3137" s="7" t="s">
        <v>16</v>
      </c>
      <c r="B3137" s="7" t="s">
        <v>229</v>
      </c>
      <c r="C3137" s="7" t="s">
        <v>24</v>
      </c>
      <c r="D3137" s="4">
        <v>20812223000241</v>
      </c>
      <c r="E3137" s="8" t="s">
        <v>588</v>
      </c>
      <c r="F3137" s="8" t="s">
        <v>29</v>
      </c>
      <c r="G3137" s="8" t="s">
        <v>19</v>
      </c>
      <c r="H3137" s="8" t="s">
        <v>215</v>
      </c>
      <c r="I3137" s="3">
        <v>2</v>
      </c>
      <c r="J3137" s="8" t="s">
        <v>161</v>
      </c>
      <c r="K3137" s="8" t="s">
        <v>162</v>
      </c>
      <c r="L3137" s="8" t="s">
        <v>556</v>
      </c>
      <c r="M3137" s="1" t="s">
        <v>207</v>
      </c>
      <c r="N3137" s="8" t="s">
        <v>208</v>
      </c>
      <c r="O3137" s="6">
        <v>0</v>
      </c>
      <c r="P3137" s="6">
        <v>0</v>
      </c>
      <c r="Q3137" s="6">
        <v>0</v>
      </c>
      <c r="R3137" s="6">
        <v>23</v>
      </c>
      <c r="S3137" s="6">
        <v>0</v>
      </c>
    </row>
    <row r="3138" spans="1:19" ht="15" hidden="1" x14ac:dyDescent="0.25">
      <c r="A3138" s="7" t="s">
        <v>16</v>
      </c>
      <c r="B3138" s="7" t="s">
        <v>229</v>
      </c>
      <c r="C3138" s="7" t="s">
        <v>24</v>
      </c>
      <c r="D3138" s="4">
        <v>20812223000241</v>
      </c>
      <c r="E3138" s="8" t="s">
        <v>588</v>
      </c>
      <c r="F3138" s="8" t="s">
        <v>29</v>
      </c>
      <c r="G3138" s="8" t="s">
        <v>19</v>
      </c>
      <c r="H3138" s="8" t="s">
        <v>215</v>
      </c>
      <c r="I3138" s="3">
        <v>2</v>
      </c>
      <c r="J3138" s="8" t="s">
        <v>147</v>
      </c>
      <c r="K3138" s="8" t="s">
        <v>148</v>
      </c>
      <c r="L3138" s="8" t="s">
        <v>557</v>
      </c>
      <c r="M3138" s="1" t="s">
        <v>207</v>
      </c>
      <c r="N3138" s="8" t="s">
        <v>208</v>
      </c>
      <c r="O3138" s="6">
        <v>0</v>
      </c>
      <c r="P3138" s="6">
        <v>0</v>
      </c>
      <c r="Q3138" s="6">
        <v>0</v>
      </c>
      <c r="R3138" s="6">
        <v>0</v>
      </c>
      <c r="S3138" s="6">
        <v>0</v>
      </c>
    </row>
    <row r="3139" spans="1:19" ht="15" hidden="1" x14ac:dyDescent="0.25">
      <c r="A3139" s="7" t="s">
        <v>16</v>
      </c>
      <c r="B3139" s="7" t="s">
        <v>229</v>
      </c>
      <c r="C3139" s="7" t="s">
        <v>24</v>
      </c>
      <c r="D3139" s="4">
        <v>46124624002670</v>
      </c>
      <c r="E3139" s="8" t="s">
        <v>1226</v>
      </c>
      <c r="F3139" s="8" t="s">
        <v>29</v>
      </c>
      <c r="G3139" s="8" t="s">
        <v>19</v>
      </c>
      <c r="H3139" s="8" t="s">
        <v>215</v>
      </c>
      <c r="I3139" s="3">
        <v>2</v>
      </c>
      <c r="J3139" s="8" t="s">
        <v>151</v>
      </c>
      <c r="K3139" s="8" t="s">
        <v>152</v>
      </c>
      <c r="L3139" s="8" t="s">
        <v>556</v>
      </c>
      <c r="M3139" s="1" t="s">
        <v>207</v>
      </c>
      <c r="N3139" s="8" t="s">
        <v>208</v>
      </c>
      <c r="O3139" s="6">
        <v>0</v>
      </c>
      <c r="P3139" s="6">
        <v>0</v>
      </c>
      <c r="Q3139" s="6">
        <v>0</v>
      </c>
      <c r="R3139" s="6">
        <v>240</v>
      </c>
      <c r="S3139" s="6">
        <v>750</v>
      </c>
    </row>
    <row r="3140" spans="1:19" ht="15" hidden="1" x14ac:dyDescent="0.25">
      <c r="A3140" s="7" t="s">
        <v>16</v>
      </c>
      <c r="B3140" s="7" t="s">
        <v>229</v>
      </c>
      <c r="C3140" s="7" t="s">
        <v>24</v>
      </c>
      <c r="D3140" s="4">
        <v>46124624002670</v>
      </c>
      <c r="E3140" s="8" t="s">
        <v>1226</v>
      </c>
      <c r="F3140" s="8" t="s">
        <v>29</v>
      </c>
      <c r="G3140" s="8" t="s">
        <v>19</v>
      </c>
      <c r="H3140" s="8" t="s">
        <v>215</v>
      </c>
      <c r="I3140" s="3">
        <v>2</v>
      </c>
      <c r="J3140" s="8" t="s">
        <v>149</v>
      </c>
      <c r="K3140" s="8" t="s">
        <v>150</v>
      </c>
      <c r="L3140" s="8" t="s">
        <v>557</v>
      </c>
      <c r="M3140" s="1" t="s">
        <v>207</v>
      </c>
      <c r="N3140" s="8" t="s">
        <v>208</v>
      </c>
      <c r="O3140" s="6">
        <v>0</v>
      </c>
      <c r="P3140" s="6">
        <v>0</v>
      </c>
      <c r="Q3140" s="6">
        <v>0</v>
      </c>
      <c r="R3140" s="6">
        <v>0</v>
      </c>
      <c r="S3140" s="6">
        <v>750</v>
      </c>
    </row>
    <row r="3141" spans="1:19" ht="15" hidden="1" x14ac:dyDescent="0.25">
      <c r="A3141" s="7" t="s">
        <v>16</v>
      </c>
      <c r="B3141" s="7" t="s">
        <v>229</v>
      </c>
      <c r="C3141" s="7" t="s">
        <v>24</v>
      </c>
      <c r="D3141" s="4">
        <v>9087150000159</v>
      </c>
      <c r="E3141" s="8" t="s">
        <v>578</v>
      </c>
      <c r="F3141" s="8" t="s">
        <v>29</v>
      </c>
      <c r="G3141" s="8" t="s">
        <v>19</v>
      </c>
      <c r="H3141" s="8" t="s">
        <v>215</v>
      </c>
      <c r="I3141" s="3">
        <v>2</v>
      </c>
      <c r="J3141" s="8" t="s">
        <v>1355</v>
      </c>
      <c r="K3141" s="8" t="s">
        <v>1356</v>
      </c>
      <c r="L3141" s="8" t="s">
        <v>556</v>
      </c>
      <c r="M3141" s="1" t="s">
        <v>207</v>
      </c>
      <c r="N3141" s="8" t="s">
        <v>208</v>
      </c>
      <c r="O3141" s="6">
        <v>0</v>
      </c>
      <c r="P3141" s="6">
        <v>0</v>
      </c>
      <c r="Q3141" s="6">
        <v>0</v>
      </c>
      <c r="R3141" s="6">
        <v>7</v>
      </c>
      <c r="S3141" s="6">
        <v>0</v>
      </c>
    </row>
    <row r="3142" spans="1:19" ht="15" hidden="1" x14ac:dyDescent="0.25">
      <c r="A3142" s="7" t="s">
        <v>16</v>
      </c>
      <c r="B3142" s="7" t="s">
        <v>229</v>
      </c>
      <c r="C3142" s="7" t="s">
        <v>24</v>
      </c>
      <c r="D3142" s="4">
        <v>9087150000159</v>
      </c>
      <c r="E3142" s="8" t="s">
        <v>578</v>
      </c>
      <c r="F3142" s="8" t="s">
        <v>29</v>
      </c>
      <c r="G3142" s="8" t="s">
        <v>19</v>
      </c>
      <c r="H3142" s="8" t="s">
        <v>215</v>
      </c>
      <c r="I3142" s="3">
        <v>2</v>
      </c>
      <c r="J3142" s="8" t="s">
        <v>177</v>
      </c>
      <c r="K3142" s="8" t="s">
        <v>178</v>
      </c>
      <c r="L3142" s="8" t="s">
        <v>557</v>
      </c>
      <c r="M3142" s="1" t="s">
        <v>207</v>
      </c>
      <c r="N3142" s="8" t="s">
        <v>208</v>
      </c>
      <c r="O3142" s="6">
        <v>0</v>
      </c>
      <c r="P3142" s="6">
        <v>0</v>
      </c>
      <c r="Q3142" s="6">
        <v>0</v>
      </c>
      <c r="R3142" s="6">
        <v>0</v>
      </c>
      <c r="S3142" s="6">
        <v>0</v>
      </c>
    </row>
    <row r="3143" spans="1:19" ht="15" hidden="1" x14ac:dyDescent="0.25">
      <c r="A3143" s="7" t="s">
        <v>16</v>
      </c>
      <c r="B3143" s="7" t="s">
        <v>229</v>
      </c>
      <c r="C3143" s="7" t="s">
        <v>24</v>
      </c>
      <c r="D3143" s="4">
        <v>29929600000110</v>
      </c>
      <c r="E3143" s="8" t="s">
        <v>1212</v>
      </c>
      <c r="F3143" s="8" t="s">
        <v>1213</v>
      </c>
      <c r="G3143" s="8" t="s">
        <v>19</v>
      </c>
      <c r="H3143" s="8" t="s">
        <v>215</v>
      </c>
      <c r="I3143" s="3">
        <v>2</v>
      </c>
      <c r="J3143" s="8" t="s">
        <v>151</v>
      </c>
      <c r="K3143" s="8" t="s">
        <v>152</v>
      </c>
      <c r="L3143" s="8" t="s">
        <v>556</v>
      </c>
      <c r="M3143" s="1" t="s">
        <v>207</v>
      </c>
      <c r="N3143" s="8" t="s">
        <v>208</v>
      </c>
      <c r="O3143" s="6">
        <v>0</v>
      </c>
      <c r="P3143" s="6">
        <v>0</v>
      </c>
      <c r="Q3143" s="6">
        <v>0</v>
      </c>
      <c r="R3143" s="6">
        <v>8</v>
      </c>
      <c r="S3143" s="6">
        <v>0</v>
      </c>
    </row>
    <row r="3144" spans="1:19" ht="15" hidden="1" x14ac:dyDescent="0.25">
      <c r="A3144" s="7" t="s">
        <v>16</v>
      </c>
      <c r="B3144" s="7" t="s">
        <v>229</v>
      </c>
      <c r="C3144" s="7" t="s">
        <v>24</v>
      </c>
      <c r="D3144" s="4">
        <v>29929600000110</v>
      </c>
      <c r="E3144" s="8" t="s">
        <v>1212</v>
      </c>
      <c r="F3144" s="8" t="s">
        <v>1213</v>
      </c>
      <c r="G3144" s="8" t="s">
        <v>19</v>
      </c>
      <c r="H3144" s="8" t="s">
        <v>215</v>
      </c>
      <c r="I3144" s="3">
        <v>2</v>
      </c>
      <c r="J3144" s="8" t="s">
        <v>149</v>
      </c>
      <c r="K3144" s="8" t="s">
        <v>150</v>
      </c>
      <c r="L3144" s="8" t="s">
        <v>557</v>
      </c>
      <c r="M3144" s="1" t="s">
        <v>207</v>
      </c>
      <c r="N3144" s="8" t="s">
        <v>208</v>
      </c>
      <c r="O3144" s="6">
        <v>0</v>
      </c>
      <c r="P3144" s="6">
        <v>0</v>
      </c>
      <c r="Q3144" s="6">
        <v>0</v>
      </c>
      <c r="R3144" s="6">
        <v>0</v>
      </c>
      <c r="S3144" s="6">
        <v>0</v>
      </c>
    </row>
    <row r="3145" spans="1:19" ht="15" hidden="1" x14ac:dyDescent="0.25">
      <c r="A3145" s="7" t="s">
        <v>16</v>
      </c>
      <c r="B3145" s="7" t="s">
        <v>229</v>
      </c>
      <c r="C3145" s="7" t="s">
        <v>24</v>
      </c>
      <c r="D3145" s="4">
        <v>61699567008924</v>
      </c>
      <c r="E3145" s="8" t="s">
        <v>1234</v>
      </c>
      <c r="F3145" s="8" t="s">
        <v>1213</v>
      </c>
      <c r="G3145" s="8" t="s">
        <v>19</v>
      </c>
      <c r="H3145" s="8" t="s">
        <v>215</v>
      </c>
      <c r="I3145" s="3">
        <v>2</v>
      </c>
      <c r="J3145" s="8" t="s">
        <v>151</v>
      </c>
      <c r="K3145" s="8" t="s">
        <v>152</v>
      </c>
      <c r="L3145" s="8" t="s">
        <v>556</v>
      </c>
      <c r="M3145" s="1" t="s">
        <v>207</v>
      </c>
      <c r="N3145" s="8" t="s">
        <v>208</v>
      </c>
      <c r="O3145" s="6">
        <v>0</v>
      </c>
      <c r="P3145" s="6">
        <v>0</v>
      </c>
      <c r="Q3145" s="6">
        <v>0</v>
      </c>
      <c r="R3145" s="6">
        <v>0</v>
      </c>
      <c r="S3145" s="6">
        <v>30</v>
      </c>
    </row>
    <row r="3146" spans="1:19" ht="15" hidden="1" x14ac:dyDescent="0.25">
      <c r="A3146" s="7" t="s">
        <v>16</v>
      </c>
      <c r="B3146" s="7" t="s">
        <v>229</v>
      </c>
      <c r="C3146" s="7" t="s">
        <v>24</v>
      </c>
      <c r="D3146" s="4">
        <v>61699567008924</v>
      </c>
      <c r="E3146" s="8" t="s">
        <v>1234</v>
      </c>
      <c r="F3146" s="8" t="s">
        <v>1213</v>
      </c>
      <c r="G3146" s="8" t="s">
        <v>19</v>
      </c>
      <c r="H3146" s="8" t="s">
        <v>215</v>
      </c>
      <c r="I3146" s="3">
        <v>2</v>
      </c>
      <c r="J3146" s="8" t="s">
        <v>149</v>
      </c>
      <c r="K3146" s="8" t="s">
        <v>150</v>
      </c>
      <c r="L3146" s="8" t="s">
        <v>557</v>
      </c>
      <c r="M3146" s="1" t="s">
        <v>207</v>
      </c>
      <c r="N3146" s="8" t="s">
        <v>208</v>
      </c>
      <c r="O3146" s="6">
        <v>0</v>
      </c>
      <c r="P3146" s="6">
        <v>0</v>
      </c>
      <c r="Q3146" s="6">
        <v>0</v>
      </c>
      <c r="R3146" s="6">
        <v>0</v>
      </c>
      <c r="S3146" s="6">
        <v>30</v>
      </c>
    </row>
    <row r="3147" spans="1:19" ht="15" hidden="1" x14ac:dyDescent="0.25">
      <c r="A3147" s="7" t="s">
        <v>16</v>
      </c>
      <c r="B3147" s="7" t="s">
        <v>230</v>
      </c>
      <c r="C3147" s="7" t="s">
        <v>24</v>
      </c>
      <c r="D3147" s="4">
        <v>5612725000154</v>
      </c>
      <c r="E3147" s="8" t="s">
        <v>800</v>
      </c>
      <c r="F3147" s="8" t="s">
        <v>742</v>
      </c>
      <c r="G3147" s="8" t="s">
        <v>91</v>
      </c>
      <c r="H3147" s="8" t="s">
        <v>215</v>
      </c>
      <c r="I3147" s="3">
        <v>2</v>
      </c>
      <c r="J3147" s="8" t="s">
        <v>199</v>
      </c>
      <c r="K3147" s="8" t="s">
        <v>200</v>
      </c>
      <c r="L3147" s="8" t="s">
        <v>556</v>
      </c>
      <c r="M3147" s="1" t="s">
        <v>211</v>
      </c>
      <c r="N3147" s="8" t="s">
        <v>212</v>
      </c>
      <c r="O3147" s="6">
        <v>0</v>
      </c>
      <c r="P3147" s="6">
        <v>0</v>
      </c>
      <c r="Q3147" s="6">
        <v>0</v>
      </c>
      <c r="R3147" s="6">
        <v>0</v>
      </c>
      <c r="S3147" s="6">
        <v>30</v>
      </c>
    </row>
    <row r="3148" spans="1:19" ht="15" hidden="1" x14ac:dyDescent="0.25">
      <c r="A3148" s="7" t="s">
        <v>16</v>
      </c>
      <c r="B3148" s="7" t="s">
        <v>230</v>
      </c>
      <c r="C3148" s="7" t="s">
        <v>24</v>
      </c>
      <c r="D3148" s="4">
        <v>5612725000154</v>
      </c>
      <c r="E3148" s="8" t="s">
        <v>800</v>
      </c>
      <c r="F3148" s="8" t="s">
        <v>742</v>
      </c>
      <c r="G3148" s="8" t="s">
        <v>91</v>
      </c>
      <c r="H3148" s="8" t="s">
        <v>215</v>
      </c>
      <c r="I3148" s="3">
        <v>2</v>
      </c>
      <c r="J3148" s="8" t="s">
        <v>167</v>
      </c>
      <c r="K3148" s="8" t="s">
        <v>168</v>
      </c>
      <c r="L3148" s="8" t="s">
        <v>557</v>
      </c>
      <c r="M3148" s="1" t="s">
        <v>211</v>
      </c>
      <c r="N3148" s="8" t="s">
        <v>212</v>
      </c>
      <c r="O3148" s="6">
        <v>0</v>
      </c>
      <c r="P3148" s="6">
        <v>0</v>
      </c>
      <c r="Q3148" s="6">
        <v>0</v>
      </c>
      <c r="R3148" s="6">
        <v>0</v>
      </c>
      <c r="S3148" s="6">
        <v>30</v>
      </c>
    </row>
    <row r="3149" spans="1:19" ht="15" hidden="1" x14ac:dyDescent="0.25">
      <c r="A3149" s="7" t="s">
        <v>16</v>
      </c>
      <c r="B3149" s="7" t="s">
        <v>230</v>
      </c>
      <c r="C3149" s="7" t="s">
        <v>24</v>
      </c>
      <c r="D3149" s="4">
        <v>1454407000151</v>
      </c>
      <c r="E3149" s="8" t="s">
        <v>764</v>
      </c>
      <c r="F3149" s="8" t="s">
        <v>742</v>
      </c>
      <c r="G3149" s="8" t="s">
        <v>91</v>
      </c>
      <c r="H3149" s="8" t="s">
        <v>215</v>
      </c>
      <c r="I3149" s="3">
        <v>2</v>
      </c>
      <c r="J3149" s="8" t="s">
        <v>199</v>
      </c>
      <c r="K3149" s="8" t="s">
        <v>200</v>
      </c>
      <c r="L3149" s="8" t="s">
        <v>556</v>
      </c>
      <c r="M3149" s="1" t="s">
        <v>211</v>
      </c>
      <c r="N3149" s="8" t="s">
        <v>212</v>
      </c>
      <c r="O3149" s="6">
        <v>0</v>
      </c>
      <c r="P3149" s="6">
        <v>0</v>
      </c>
      <c r="Q3149" s="6">
        <v>0</v>
      </c>
      <c r="R3149" s="6">
        <v>0</v>
      </c>
      <c r="S3149" s="6">
        <v>100</v>
      </c>
    </row>
    <row r="3150" spans="1:19" ht="15" hidden="1" x14ac:dyDescent="0.25">
      <c r="A3150" s="7" t="s">
        <v>16</v>
      </c>
      <c r="B3150" s="7" t="s">
        <v>230</v>
      </c>
      <c r="C3150" s="7" t="s">
        <v>24</v>
      </c>
      <c r="D3150" s="4">
        <v>1454407000151</v>
      </c>
      <c r="E3150" s="8" t="s">
        <v>764</v>
      </c>
      <c r="F3150" s="8" t="s">
        <v>742</v>
      </c>
      <c r="G3150" s="8" t="s">
        <v>91</v>
      </c>
      <c r="H3150" s="8" t="s">
        <v>215</v>
      </c>
      <c r="I3150" s="3">
        <v>2</v>
      </c>
      <c r="J3150" s="8" t="s">
        <v>167</v>
      </c>
      <c r="K3150" s="8" t="s">
        <v>168</v>
      </c>
      <c r="L3150" s="8" t="s">
        <v>557</v>
      </c>
      <c r="M3150" s="1" t="s">
        <v>211</v>
      </c>
      <c r="N3150" s="8" t="s">
        <v>212</v>
      </c>
      <c r="O3150" s="6">
        <v>0</v>
      </c>
      <c r="P3150" s="6">
        <v>0</v>
      </c>
      <c r="Q3150" s="6">
        <v>0</v>
      </c>
      <c r="R3150" s="6">
        <v>0</v>
      </c>
      <c r="S3150" s="6">
        <v>100</v>
      </c>
    </row>
    <row r="3151" spans="1:19" ht="15" hidden="1" x14ac:dyDescent="0.25">
      <c r="A3151" s="7" t="s">
        <v>16</v>
      </c>
      <c r="B3151" s="7" t="s">
        <v>230</v>
      </c>
      <c r="C3151" s="7" t="s">
        <v>24</v>
      </c>
      <c r="D3151" s="4">
        <v>12361267000860</v>
      </c>
      <c r="E3151" s="8" t="s">
        <v>851</v>
      </c>
      <c r="F3151" s="8" t="s">
        <v>742</v>
      </c>
      <c r="G3151" s="8" t="s">
        <v>91</v>
      </c>
      <c r="H3151" s="8" t="s">
        <v>215</v>
      </c>
      <c r="I3151" s="3">
        <v>2</v>
      </c>
      <c r="J3151" s="8" t="s">
        <v>199</v>
      </c>
      <c r="K3151" s="8" t="s">
        <v>200</v>
      </c>
      <c r="L3151" s="8" t="s">
        <v>556</v>
      </c>
      <c r="M3151" s="1" t="s">
        <v>211</v>
      </c>
      <c r="N3151" s="8" t="s">
        <v>212</v>
      </c>
      <c r="O3151" s="6">
        <v>0</v>
      </c>
      <c r="P3151" s="6">
        <v>0</v>
      </c>
      <c r="Q3151" s="6">
        <v>0</v>
      </c>
      <c r="R3151" s="6">
        <v>0</v>
      </c>
      <c r="S3151" s="6">
        <v>0</v>
      </c>
    </row>
    <row r="3152" spans="1:19" ht="15" hidden="1" x14ac:dyDescent="0.25">
      <c r="A3152" s="7" t="s">
        <v>16</v>
      </c>
      <c r="B3152" s="7" t="s">
        <v>230</v>
      </c>
      <c r="C3152" s="7" t="s">
        <v>24</v>
      </c>
      <c r="D3152" s="4">
        <v>12361267000860</v>
      </c>
      <c r="E3152" s="8" t="s">
        <v>851</v>
      </c>
      <c r="F3152" s="8" t="s">
        <v>742</v>
      </c>
      <c r="G3152" s="8" t="s">
        <v>91</v>
      </c>
      <c r="H3152" s="8" t="s">
        <v>215</v>
      </c>
      <c r="I3152" s="3">
        <v>2</v>
      </c>
      <c r="J3152" s="8" t="s">
        <v>167</v>
      </c>
      <c r="K3152" s="8" t="s">
        <v>168</v>
      </c>
      <c r="L3152" s="8" t="s">
        <v>557</v>
      </c>
      <c r="M3152" s="1" t="s">
        <v>211</v>
      </c>
      <c r="N3152" s="8" t="s">
        <v>212</v>
      </c>
      <c r="O3152" s="6">
        <v>0</v>
      </c>
      <c r="P3152" s="6">
        <v>0</v>
      </c>
      <c r="Q3152" s="6">
        <v>5</v>
      </c>
      <c r="R3152" s="6">
        <v>0</v>
      </c>
      <c r="S3152" s="6">
        <v>0</v>
      </c>
    </row>
    <row r="3153" spans="1:19" ht="15" hidden="1" x14ac:dyDescent="0.25">
      <c r="A3153" s="7" t="s">
        <v>16</v>
      </c>
      <c r="B3153" s="7" t="s">
        <v>230</v>
      </c>
      <c r="C3153" s="7" t="s">
        <v>24</v>
      </c>
      <c r="D3153" s="4">
        <v>12442737000496</v>
      </c>
      <c r="E3153" s="8" t="s">
        <v>865</v>
      </c>
      <c r="F3153" s="8" t="s">
        <v>742</v>
      </c>
      <c r="G3153" s="8" t="s">
        <v>91</v>
      </c>
      <c r="H3153" s="8" t="s">
        <v>215</v>
      </c>
      <c r="I3153" s="3">
        <v>2</v>
      </c>
      <c r="J3153" s="8" t="s">
        <v>199</v>
      </c>
      <c r="K3153" s="8" t="s">
        <v>200</v>
      </c>
      <c r="L3153" s="8" t="s">
        <v>556</v>
      </c>
      <c r="M3153" s="1" t="s">
        <v>211</v>
      </c>
      <c r="N3153" s="8" t="s">
        <v>212</v>
      </c>
      <c r="O3153" s="6">
        <v>0</v>
      </c>
      <c r="P3153" s="6">
        <v>0</v>
      </c>
      <c r="Q3153" s="6">
        <v>0</v>
      </c>
      <c r="R3153" s="6">
        <v>0</v>
      </c>
      <c r="S3153" s="6">
        <v>1295</v>
      </c>
    </row>
    <row r="3154" spans="1:19" ht="15" hidden="1" x14ac:dyDescent="0.25">
      <c r="A3154" s="7" t="s">
        <v>16</v>
      </c>
      <c r="B3154" s="7" t="s">
        <v>230</v>
      </c>
      <c r="C3154" s="7" t="s">
        <v>24</v>
      </c>
      <c r="D3154" s="4">
        <v>12442737000496</v>
      </c>
      <c r="E3154" s="8" t="s">
        <v>865</v>
      </c>
      <c r="F3154" s="8" t="s">
        <v>742</v>
      </c>
      <c r="G3154" s="8" t="s">
        <v>91</v>
      </c>
      <c r="H3154" s="8" t="s">
        <v>215</v>
      </c>
      <c r="I3154" s="3">
        <v>2</v>
      </c>
      <c r="J3154" s="8" t="s">
        <v>167</v>
      </c>
      <c r="K3154" s="8" t="s">
        <v>168</v>
      </c>
      <c r="L3154" s="8" t="s">
        <v>557</v>
      </c>
      <c r="M3154" s="1" t="s">
        <v>211</v>
      </c>
      <c r="N3154" s="8" t="s">
        <v>212</v>
      </c>
      <c r="O3154" s="6">
        <v>0</v>
      </c>
      <c r="P3154" s="6">
        <v>0</v>
      </c>
      <c r="Q3154" s="6">
        <v>0</v>
      </c>
      <c r="R3154" s="6">
        <v>0</v>
      </c>
      <c r="S3154" s="6">
        <v>1295</v>
      </c>
    </row>
    <row r="3155" spans="1:19" ht="15" hidden="1" x14ac:dyDescent="0.25">
      <c r="A3155" s="7" t="s">
        <v>16</v>
      </c>
      <c r="B3155" s="7" t="s">
        <v>230</v>
      </c>
      <c r="C3155" s="7" t="s">
        <v>24</v>
      </c>
      <c r="D3155" s="4">
        <v>24464109000229</v>
      </c>
      <c r="E3155" s="8" t="s">
        <v>905</v>
      </c>
      <c r="F3155" s="8" t="s">
        <v>742</v>
      </c>
      <c r="G3155" s="8" t="s">
        <v>91</v>
      </c>
      <c r="H3155" s="8" t="s">
        <v>215</v>
      </c>
      <c r="I3155" s="3">
        <v>2</v>
      </c>
      <c r="J3155" s="8" t="s">
        <v>199</v>
      </c>
      <c r="K3155" s="8" t="s">
        <v>200</v>
      </c>
      <c r="L3155" s="8" t="s">
        <v>556</v>
      </c>
      <c r="M3155" s="1" t="s">
        <v>211</v>
      </c>
      <c r="N3155" s="8" t="s">
        <v>212</v>
      </c>
      <c r="O3155" s="6">
        <v>24</v>
      </c>
      <c r="P3155" s="6">
        <v>0</v>
      </c>
      <c r="Q3155" s="6">
        <v>0</v>
      </c>
      <c r="R3155" s="6">
        <v>0</v>
      </c>
      <c r="S3155" s="6">
        <v>0</v>
      </c>
    </row>
    <row r="3156" spans="1:19" ht="15" hidden="1" x14ac:dyDescent="0.25">
      <c r="A3156" s="7" t="s">
        <v>16</v>
      </c>
      <c r="B3156" s="7" t="s">
        <v>230</v>
      </c>
      <c r="C3156" s="7" t="s">
        <v>24</v>
      </c>
      <c r="D3156" s="4">
        <v>24464109000229</v>
      </c>
      <c r="E3156" s="8" t="s">
        <v>905</v>
      </c>
      <c r="F3156" s="8" t="s">
        <v>742</v>
      </c>
      <c r="G3156" s="8" t="s">
        <v>91</v>
      </c>
      <c r="H3156" s="8" t="s">
        <v>215</v>
      </c>
      <c r="I3156" s="3">
        <v>2</v>
      </c>
      <c r="J3156" s="8" t="s">
        <v>167</v>
      </c>
      <c r="K3156" s="8" t="s">
        <v>168</v>
      </c>
      <c r="L3156" s="8" t="s">
        <v>557</v>
      </c>
      <c r="M3156" s="1" t="s">
        <v>211</v>
      </c>
      <c r="N3156" s="8" t="s">
        <v>212</v>
      </c>
      <c r="O3156" s="6">
        <v>0</v>
      </c>
      <c r="P3156" s="6">
        <v>0</v>
      </c>
      <c r="Q3156" s="6">
        <v>0</v>
      </c>
      <c r="R3156" s="6">
        <v>0</v>
      </c>
      <c r="S3156" s="6">
        <v>0</v>
      </c>
    </row>
    <row r="3157" spans="1:19" ht="15" hidden="1" x14ac:dyDescent="0.25">
      <c r="A3157" s="7" t="s">
        <v>16</v>
      </c>
      <c r="B3157" s="7" t="s">
        <v>230</v>
      </c>
      <c r="C3157" s="7" t="s">
        <v>24</v>
      </c>
      <c r="D3157" s="4">
        <v>3866223000124</v>
      </c>
      <c r="E3157" s="8" t="s">
        <v>792</v>
      </c>
      <c r="F3157" s="8" t="s">
        <v>742</v>
      </c>
      <c r="G3157" s="8" t="s">
        <v>91</v>
      </c>
      <c r="H3157" s="8" t="s">
        <v>215</v>
      </c>
      <c r="I3157" s="3">
        <v>2</v>
      </c>
      <c r="J3157" s="8" t="s">
        <v>199</v>
      </c>
      <c r="K3157" s="8" t="s">
        <v>200</v>
      </c>
      <c r="L3157" s="8" t="s">
        <v>556</v>
      </c>
      <c r="M3157" s="1" t="s">
        <v>211</v>
      </c>
      <c r="N3157" s="8" t="s">
        <v>212</v>
      </c>
      <c r="O3157" s="6">
        <v>0</v>
      </c>
      <c r="P3157" s="6">
        <v>0</v>
      </c>
      <c r="Q3157" s="6">
        <v>0</v>
      </c>
      <c r="R3157" s="6">
        <v>0</v>
      </c>
      <c r="S3157" s="6">
        <v>1395</v>
      </c>
    </row>
    <row r="3158" spans="1:19" ht="15" hidden="1" x14ac:dyDescent="0.25">
      <c r="A3158" s="7" t="s">
        <v>16</v>
      </c>
      <c r="B3158" s="7" t="s">
        <v>230</v>
      </c>
      <c r="C3158" s="7" t="s">
        <v>24</v>
      </c>
      <c r="D3158" s="4">
        <v>3866223000124</v>
      </c>
      <c r="E3158" s="8" t="s">
        <v>792</v>
      </c>
      <c r="F3158" s="8" t="s">
        <v>742</v>
      </c>
      <c r="G3158" s="8" t="s">
        <v>91</v>
      </c>
      <c r="H3158" s="8" t="s">
        <v>215</v>
      </c>
      <c r="I3158" s="3">
        <v>2</v>
      </c>
      <c r="J3158" s="8" t="s">
        <v>167</v>
      </c>
      <c r="K3158" s="8" t="s">
        <v>168</v>
      </c>
      <c r="L3158" s="8" t="s">
        <v>557</v>
      </c>
      <c r="M3158" s="1" t="s">
        <v>211</v>
      </c>
      <c r="N3158" s="8" t="s">
        <v>212</v>
      </c>
      <c r="O3158" s="6">
        <v>0</v>
      </c>
      <c r="P3158" s="6">
        <v>0</v>
      </c>
      <c r="Q3158" s="6">
        <v>0</v>
      </c>
      <c r="R3158" s="6">
        <v>0</v>
      </c>
      <c r="S3158" s="6">
        <v>1395</v>
      </c>
    </row>
    <row r="3159" spans="1:19" ht="15" hidden="1" x14ac:dyDescent="0.25">
      <c r="A3159" s="7" t="s">
        <v>16</v>
      </c>
      <c r="B3159" s="7" t="s">
        <v>230</v>
      </c>
      <c r="C3159" s="7" t="s">
        <v>24</v>
      </c>
      <c r="D3159" s="4">
        <v>12361267011632</v>
      </c>
      <c r="E3159" s="8" t="s">
        <v>1160</v>
      </c>
      <c r="F3159" s="8" t="s">
        <v>109</v>
      </c>
      <c r="G3159" s="8" t="s">
        <v>110</v>
      </c>
      <c r="H3159" s="8" t="s">
        <v>215</v>
      </c>
      <c r="I3159" s="3">
        <v>1</v>
      </c>
      <c r="J3159" s="8" t="s">
        <v>201</v>
      </c>
      <c r="K3159" s="8" t="s">
        <v>202</v>
      </c>
      <c r="L3159" s="8" t="s">
        <v>740</v>
      </c>
      <c r="M3159" s="1" t="s">
        <v>211</v>
      </c>
      <c r="N3159" s="8" t="s">
        <v>212</v>
      </c>
      <c r="O3159" s="6">
        <v>0</v>
      </c>
      <c r="P3159" s="6">
        <v>0</v>
      </c>
      <c r="Q3159" s="6">
        <v>0</v>
      </c>
      <c r="R3159" s="6">
        <v>0</v>
      </c>
      <c r="S3159" s="6">
        <v>35</v>
      </c>
    </row>
    <row r="3160" spans="1:19" ht="15" hidden="1" x14ac:dyDescent="0.25">
      <c r="A3160" s="7" t="s">
        <v>16</v>
      </c>
      <c r="B3160" s="7" t="s">
        <v>230</v>
      </c>
      <c r="C3160" s="7" t="s">
        <v>24</v>
      </c>
      <c r="D3160" s="4">
        <v>84112481000117</v>
      </c>
      <c r="E3160" s="8" t="s">
        <v>1501</v>
      </c>
      <c r="F3160" s="8" t="s">
        <v>109</v>
      </c>
      <c r="G3160" s="8" t="s">
        <v>110</v>
      </c>
      <c r="H3160" s="8" t="s">
        <v>215</v>
      </c>
      <c r="I3160" s="3">
        <v>1</v>
      </c>
      <c r="J3160" s="8" t="s">
        <v>201</v>
      </c>
      <c r="K3160" s="8" t="s">
        <v>202</v>
      </c>
      <c r="L3160" s="8" t="s">
        <v>740</v>
      </c>
      <c r="M3160" s="1" t="s">
        <v>211</v>
      </c>
      <c r="N3160" s="8" t="s">
        <v>212</v>
      </c>
      <c r="O3160" s="6">
        <v>0</v>
      </c>
      <c r="P3160" s="6">
        <v>0</v>
      </c>
      <c r="Q3160" s="6">
        <v>0</v>
      </c>
      <c r="R3160" s="6">
        <v>18</v>
      </c>
      <c r="S3160" s="6">
        <v>0</v>
      </c>
    </row>
    <row r="3161" spans="1:19" ht="15" hidden="1" x14ac:dyDescent="0.25">
      <c r="A3161" s="7" t="s">
        <v>16</v>
      </c>
      <c r="B3161" s="7" t="s">
        <v>230</v>
      </c>
      <c r="C3161" s="7" t="s">
        <v>24</v>
      </c>
      <c r="D3161" s="4">
        <v>14074546000100</v>
      </c>
      <c r="E3161" s="8" t="s">
        <v>876</v>
      </c>
      <c r="F3161" s="8" t="s">
        <v>86</v>
      </c>
      <c r="G3161" s="8" t="s">
        <v>74</v>
      </c>
      <c r="H3161" s="8" t="s">
        <v>215</v>
      </c>
      <c r="I3161" s="3">
        <v>2</v>
      </c>
      <c r="J3161" s="8" t="s">
        <v>199</v>
      </c>
      <c r="K3161" s="8" t="s">
        <v>200</v>
      </c>
      <c r="L3161" s="8" t="s">
        <v>556</v>
      </c>
      <c r="M3161" s="1" t="s">
        <v>211</v>
      </c>
      <c r="N3161" s="8" t="s">
        <v>212</v>
      </c>
      <c r="O3161" s="6">
        <v>0</v>
      </c>
      <c r="P3161" s="6">
        <v>0</v>
      </c>
      <c r="Q3161" s="6">
        <v>0</v>
      </c>
      <c r="R3161" s="6">
        <v>0</v>
      </c>
      <c r="S3161" s="6">
        <v>0</v>
      </c>
    </row>
    <row r="3162" spans="1:19" ht="15" hidden="1" x14ac:dyDescent="0.25">
      <c r="A3162" s="7" t="s">
        <v>16</v>
      </c>
      <c r="B3162" s="7" t="s">
        <v>230</v>
      </c>
      <c r="C3162" s="7" t="s">
        <v>24</v>
      </c>
      <c r="D3162" s="4">
        <v>14074546000100</v>
      </c>
      <c r="E3162" s="8" t="s">
        <v>876</v>
      </c>
      <c r="F3162" s="8" t="s">
        <v>86</v>
      </c>
      <c r="G3162" s="8" t="s">
        <v>74</v>
      </c>
      <c r="H3162" s="8" t="s">
        <v>215</v>
      </c>
      <c r="I3162" s="3">
        <v>2</v>
      </c>
      <c r="J3162" s="8" t="s">
        <v>167</v>
      </c>
      <c r="K3162" s="8" t="s">
        <v>168</v>
      </c>
      <c r="L3162" s="8" t="s">
        <v>557</v>
      </c>
      <c r="M3162" s="1" t="s">
        <v>211</v>
      </c>
      <c r="N3162" s="8" t="s">
        <v>212</v>
      </c>
      <c r="O3162" s="6">
        <v>0</v>
      </c>
      <c r="P3162" s="6">
        <v>1</v>
      </c>
      <c r="Q3162" s="6">
        <v>0</v>
      </c>
      <c r="R3162" s="6">
        <v>0</v>
      </c>
      <c r="S3162" s="6">
        <v>0</v>
      </c>
    </row>
    <row r="3163" spans="1:19" ht="15" hidden="1" x14ac:dyDescent="0.25">
      <c r="A3163" s="7" t="s">
        <v>16</v>
      </c>
      <c r="B3163" s="7" t="s">
        <v>230</v>
      </c>
      <c r="C3163" s="7" t="s">
        <v>24</v>
      </c>
      <c r="D3163" s="4">
        <v>13969621000120</v>
      </c>
      <c r="E3163" s="8" t="s">
        <v>1393</v>
      </c>
      <c r="F3163" s="8" t="s">
        <v>86</v>
      </c>
      <c r="G3163" s="8" t="s">
        <v>74</v>
      </c>
      <c r="H3163" s="8" t="s">
        <v>215</v>
      </c>
      <c r="I3163" s="3">
        <v>2</v>
      </c>
      <c r="J3163" s="8" t="s">
        <v>199</v>
      </c>
      <c r="K3163" s="8" t="s">
        <v>200</v>
      </c>
      <c r="L3163" s="8" t="s">
        <v>556</v>
      </c>
      <c r="M3163" s="1" t="s">
        <v>211</v>
      </c>
      <c r="N3163" s="8" t="s">
        <v>212</v>
      </c>
      <c r="O3163" s="6">
        <v>0</v>
      </c>
      <c r="P3163" s="6">
        <v>0</v>
      </c>
      <c r="Q3163" s="6">
        <v>0</v>
      </c>
      <c r="R3163" s="6">
        <v>0</v>
      </c>
      <c r="S3163" s="6">
        <v>35</v>
      </c>
    </row>
    <row r="3164" spans="1:19" ht="15" hidden="1" x14ac:dyDescent="0.25">
      <c r="A3164" s="7" t="s">
        <v>16</v>
      </c>
      <c r="B3164" s="7" t="s">
        <v>230</v>
      </c>
      <c r="C3164" s="7" t="s">
        <v>24</v>
      </c>
      <c r="D3164" s="4">
        <v>13969621000120</v>
      </c>
      <c r="E3164" s="8" t="s">
        <v>1393</v>
      </c>
      <c r="F3164" s="8" t="s">
        <v>86</v>
      </c>
      <c r="G3164" s="8" t="s">
        <v>74</v>
      </c>
      <c r="H3164" s="8" t="s">
        <v>215</v>
      </c>
      <c r="I3164" s="3">
        <v>2</v>
      </c>
      <c r="J3164" s="8" t="s">
        <v>167</v>
      </c>
      <c r="K3164" s="8" t="s">
        <v>168</v>
      </c>
      <c r="L3164" s="8" t="s">
        <v>557</v>
      </c>
      <c r="M3164" s="1" t="s">
        <v>211</v>
      </c>
      <c r="N3164" s="8" t="s">
        <v>212</v>
      </c>
      <c r="O3164" s="6">
        <v>0</v>
      </c>
      <c r="P3164" s="6">
        <v>0</v>
      </c>
      <c r="Q3164" s="6">
        <v>0</v>
      </c>
      <c r="R3164" s="6">
        <v>0</v>
      </c>
      <c r="S3164" s="6">
        <v>35</v>
      </c>
    </row>
    <row r="3165" spans="1:19" ht="15" hidden="1" x14ac:dyDescent="0.25">
      <c r="A3165" s="7" t="s">
        <v>16</v>
      </c>
      <c r="B3165" s="7" t="s">
        <v>230</v>
      </c>
      <c r="C3165" s="7" t="s">
        <v>24</v>
      </c>
      <c r="D3165" s="4">
        <v>1837492000137</v>
      </c>
      <c r="E3165" s="8" t="s">
        <v>1387</v>
      </c>
      <c r="F3165" s="8" t="s">
        <v>75</v>
      </c>
      <c r="G3165" s="8" t="s">
        <v>74</v>
      </c>
      <c r="H3165" s="8" t="s">
        <v>215</v>
      </c>
      <c r="I3165" s="3">
        <v>2</v>
      </c>
      <c r="J3165" s="8" t="s">
        <v>199</v>
      </c>
      <c r="K3165" s="8" t="s">
        <v>200</v>
      </c>
      <c r="L3165" s="8" t="s">
        <v>556</v>
      </c>
      <c r="M3165" s="1" t="s">
        <v>211</v>
      </c>
      <c r="N3165" s="8" t="s">
        <v>212</v>
      </c>
      <c r="O3165" s="6">
        <v>0</v>
      </c>
      <c r="P3165" s="6">
        <v>0</v>
      </c>
      <c r="Q3165" s="6">
        <v>0</v>
      </c>
      <c r="R3165" s="6">
        <v>0</v>
      </c>
      <c r="S3165" s="6">
        <v>120</v>
      </c>
    </row>
    <row r="3166" spans="1:19" ht="15" hidden="1" x14ac:dyDescent="0.25">
      <c r="A3166" s="7" t="s">
        <v>16</v>
      </c>
      <c r="B3166" s="7" t="s">
        <v>230</v>
      </c>
      <c r="C3166" s="7" t="s">
        <v>24</v>
      </c>
      <c r="D3166" s="4">
        <v>1837492000137</v>
      </c>
      <c r="E3166" s="8" t="s">
        <v>1387</v>
      </c>
      <c r="F3166" s="8" t="s">
        <v>75</v>
      </c>
      <c r="G3166" s="8" t="s">
        <v>74</v>
      </c>
      <c r="H3166" s="8" t="s">
        <v>215</v>
      </c>
      <c r="I3166" s="3">
        <v>2</v>
      </c>
      <c r="J3166" s="8" t="s">
        <v>167</v>
      </c>
      <c r="K3166" s="8" t="s">
        <v>168</v>
      </c>
      <c r="L3166" s="8" t="s">
        <v>557</v>
      </c>
      <c r="M3166" s="1" t="s">
        <v>211</v>
      </c>
      <c r="N3166" s="8" t="s">
        <v>212</v>
      </c>
      <c r="O3166" s="6">
        <v>0</v>
      </c>
      <c r="P3166" s="6">
        <v>0</v>
      </c>
      <c r="Q3166" s="6">
        <v>0</v>
      </c>
      <c r="R3166" s="6">
        <v>0</v>
      </c>
      <c r="S3166" s="6">
        <v>120</v>
      </c>
    </row>
    <row r="3167" spans="1:19" ht="15" hidden="1" x14ac:dyDescent="0.25">
      <c r="A3167" s="7" t="s">
        <v>16</v>
      </c>
      <c r="B3167" s="7" t="s">
        <v>230</v>
      </c>
      <c r="C3167" s="7" t="s">
        <v>24</v>
      </c>
      <c r="D3167" s="4">
        <v>5816630000152</v>
      </c>
      <c r="E3167" s="8" t="s">
        <v>803</v>
      </c>
      <c r="F3167" s="8" t="s">
        <v>75</v>
      </c>
      <c r="G3167" s="8" t="s">
        <v>74</v>
      </c>
      <c r="H3167" s="8" t="s">
        <v>215</v>
      </c>
      <c r="I3167" s="3">
        <v>2</v>
      </c>
      <c r="J3167" s="8" t="s">
        <v>199</v>
      </c>
      <c r="K3167" s="8" t="s">
        <v>200</v>
      </c>
      <c r="L3167" s="8" t="s">
        <v>556</v>
      </c>
      <c r="M3167" s="1" t="s">
        <v>211</v>
      </c>
      <c r="N3167" s="8" t="s">
        <v>212</v>
      </c>
      <c r="O3167" s="6">
        <v>0</v>
      </c>
      <c r="P3167" s="6">
        <v>0</v>
      </c>
      <c r="Q3167" s="6">
        <v>0</v>
      </c>
      <c r="R3167" s="6">
        <v>0</v>
      </c>
      <c r="S3167" s="6">
        <v>790</v>
      </c>
    </row>
    <row r="3168" spans="1:19" ht="15" hidden="1" x14ac:dyDescent="0.25">
      <c r="A3168" s="7" t="s">
        <v>16</v>
      </c>
      <c r="B3168" s="7" t="s">
        <v>230</v>
      </c>
      <c r="C3168" s="7" t="s">
        <v>24</v>
      </c>
      <c r="D3168" s="4">
        <v>5816630000152</v>
      </c>
      <c r="E3168" s="8" t="s">
        <v>803</v>
      </c>
      <c r="F3168" s="8" t="s">
        <v>75</v>
      </c>
      <c r="G3168" s="8" t="s">
        <v>74</v>
      </c>
      <c r="H3168" s="8" t="s">
        <v>215</v>
      </c>
      <c r="I3168" s="3">
        <v>2</v>
      </c>
      <c r="J3168" s="8" t="s">
        <v>167</v>
      </c>
      <c r="K3168" s="8" t="s">
        <v>168</v>
      </c>
      <c r="L3168" s="8" t="s">
        <v>557</v>
      </c>
      <c r="M3168" s="1" t="s">
        <v>211</v>
      </c>
      <c r="N3168" s="8" t="s">
        <v>212</v>
      </c>
      <c r="O3168" s="6">
        <v>0</v>
      </c>
      <c r="P3168" s="6">
        <v>50</v>
      </c>
      <c r="Q3168" s="6">
        <v>0</v>
      </c>
      <c r="R3168" s="6">
        <v>0</v>
      </c>
      <c r="S3168" s="6">
        <v>790</v>
      </c>
    </row>
    <row r="3169" spans="1:19" ht="15" hidden="1" x14ac:dyDescent="0.25">
      <c r="A3169" s="7" t="s">
        <v>16</v>
      </c>
      <c r="B3169" s="7" t="s">
        <v>230</v>
      </c>
      <c r="C3169" s="7" t="s">
        <v>24</v>
      </c>
      <c r="D3169" s="4">
        <v>15194004000125</v>
      </c>
      <c r="E3169" s="8" t="s">
        <v>895</v>
      </c>
      <c r="F3169" s="8" t="s">
        <v>75</v>
      </c>
      <c r="G3169" s="8" t="s">
        <v>74</v>
      </c>
      <c r="H3169" s="8" t="s">
        <v>215</v>
      </c>
      <c r="I3169" s="3">
        <v>2</v>
      </c>
      <c r="J3169" s="8" t="s">
        <v>199</v>
      </c>
      <c r="K3169" s="8" t="s">
        <v>200</v>
      </c>
      <c r="L3169" s="8" t="s">
        <v>556</v>
      </c>
      <c r="M3169" s="1" t="s">
        <v>211</v>
      </c>
      <c r="N3169" s="8" t="s">
        <v>212</v>
      </c>
      <c r="O3169" s="6">
        <v>0</v>
      </c>
      <c r="P3169" s="6">
        <v>0</v>
      </c>
      <c r="Q3169" s="6">
        <v>0</v>
      </c>
      <c r="R3169" s="6">
        <v>0</v>
      </c>
      <c r="S3169" s="6">
        <v>0</v>
      </c>
    </row>
    <row r="3170" spans="1:19" ht="15" hidden="1" x14ac:dyDescent="0.25">
      <c r="A3170" s="7" t="s">
        <v>16</v>
      </c>
      <c r="B3170" s="7" t="s">
        <v>230</v>
      </c>
      <c r="C3170" s="7" t="s">
        <v>24</v>
      </c>
      <c r="D3170" s="4">
        <v>15194004000125</v>
      </c>
      <c r="E3170" s="8" t="s">
        <v>895</v>
      </c>
      <c r="F3170" s="8" t="s">
        <v>75</v>
      </c>
      <c r="G3170" s="8" t="s">
        <v>74</v>
      </c>
      <c r="H3170" s="8" t="s">
        <v>215</v>
      </c>
      <c r="I3170" s="3">
        <v>2</v>
      </c>
      <c r="J3170" s="8" t="s">
        <v>167</v>
      </c>
      <c r="K3170" s="8" t="s">
        <v>168</v>
      </c>
      <c r="L3170" s="8" t="s">
        <v>557</v>
      </c>
      <c r="M3170" s="1" t="s">
        <v>211</v>
      </c>
      <c r="N3170" s="8" t="s">
        <v>212</v>
      </c>
      <c r="O3170" s="6">
        <v>0</v>
      </c>
      <c r="P3170" s="6">
        <v>1</v>
      </c>
      <c r="Q3170" s="6">
        <v>0</v>
      </c>
      <c r="R3170" s="6">
        <v>0</v>
      </c>
      <c r="S3170" s="6">
        <v>0</v>
      </c>
    </row>
    <row r="3171" spans="1:19" ht="15" hidden="1" x14ac:dyDescent="0.25">
      <c r="A3171" s="7" t="s">
        <v>16</v>
      </c>
      <c r="B3171" s="7" t="s">
        <v>230</v>
      </c>
      <c r="C3171" s="7" t="s">
        <v>24</v>
      </c>
      <c r="D3171" s="4">
        <v>5469172000122</v>
      </c>
      <c r="E3171" s="8" t="s">
        <v>799</v>
      </c>
      <c r="F3171" s="8" t="s">
        <v>75</v>
      </c>
      <c r="G3171" s="8" t="s">
        <v>74</v>
      </c>
      <c r="H3171" s="8" t="s">
        <v>215</v>
      </c>
      <c r="I3171" s="3">
        <v>2</v>
      </c>
      <c r="J3171" s="8" t="s">
        <v>199</v>
      </c>
      <c r="K3171" s="8" t="s">
        <v>200</v>
      </c>
      <c r="L3171" s="8" t="s">
        <v>556</v>
      </c>
      <c r="M3171" s="1" t="s">
        <v>211</v>
      </c>
      <c r="N3171" s="8" t="s">
        <v>212</v>
      </c>
      <c r="O3171" s="6">
        <v>0</v>
      </c>
      <c r="P3171" s="6">
        <v>0</v>
      </c>
      <c r="Q3171" s="6">
        <v>0</v>
      </c>
      <c r="R3171" s="6">
        <v>0</v>
      </c>
      <c r="S3171" s="6">
        <v>0</v>
      </c>
    </row>
    <row r="3172" spans="1:19" ht="15" hidden="1" x14ac:dyDescent="0.25">
      <c r="A3172" s="7" t="s">
        <v>16</v>
      </c>
      <c r="B3172" s="7" t="s">
        <v>230</v>
      </c>
      <c r="C3172" s="7" t="s">
        <v>24</v>
      </c>
      <c r="D3172" s="4">
        <v>5469172000122</v>
      </c>
      <c r="E3172" s="8" t="s">
        <v>799</v>
      </c>
      <c r="F3172" s="8" t="s">
        <v>75</v>
      </c>
      <c r="G3172" s="8" t="s">
        <v>74</v>
      </c>
      <c r="H3172" s="8" t="s">
        <v>215</v>
      </c>
      <c r="I3172" s="3">
        <v>2</v>
      </c>
      <c r="J3172" s="8" t="s">
        <v>167</v>
      </c>
      <c r="K3172" s="8" t="s">
        <v>168</v>
      </c>
      <c r="L3172" s="8" t="s">
        <v>557</v>
      </c>
      <c r="M3172" s="1" t="s">
        <v>211</v>
      </c>
      <c r="N3172" s="8" t="s">
        <v>212</v>
      </c>
      <c r="O3172" s="6">
        <v>0</v>
      </c>
      <c r="P3172" s="6">
        <v>8</v>
      </c>
      <c r="Q3172" s="6">
        <v>2</v>
      </c>
      <c r="R3172" s="6">
        <v>0</v>
      </c>
      <c r="S3172" s="6">
        <v>0</v>
      </c>
    </row>
    <row r="3173" spans="1:19" ht="15" hidden="1" x14ac:dyDescent="0.25">
      <c r="A3173" s="7" t="s">
        <v>16</v>
      </c>
      <c r="B3173" s="7" t="s">
        <v>230</v>
      </c>
      <c r="C3173" s="7" t="s">
        <v>24</v>
      </c>
      <c r="D3173" s="4">
        <v>13016092000140</v>
      </c>
      <c r="E3173" s="8" t="s">
        <v>867</v>
      </c>
      <c r="F3173" s="8" t="s">
        <v>75</v>
      </c>
      <c r="G3173" s="8" t="s">
        <v>74</v>
      </c>
      <c r="H3173" s="8" t="s">
        <v>215</v>
      </c>
      <c r="I3173" s="3">
        <v>2</v>
      </c>
      <c r="J3173" s="8" t="s">
        <v>199</v>
      </c>
      <c r="K3173" s="8" t="s">
        <v>200</v>
      </c>
      <c r="L3173" s="8" t="s">
        <v>556</v>
      </c>
      <c r="M3173" s="1" t="s">
        <v>211</v>
      </c>
      <c r="N3173" s="8" t="s">
        <v>212</v>
      </c>
      <c r="O3173" s="6">
        <v>0</v>
      </c>
      <c r="P3173" s="6">
        <v>0</v>
      </c>
      <c r="Q3173" s="6">
        <v>0</v>
      </c>
      <c r="R3173" s="6">
        <v>0</v>
      </c>
      <c r="S3173" s="6">
        <v>0</v>
      </c>
    </row>
    <row r="3174" spans="1:19" ht="15" hidden="1" x14ac:dyDescent="0.25">
      <c r="A3174" s="7" t="s">
        <v>16</v>
      </c>
      <c r="B3174" s="7" t="s">
        <v>230</v>
      </c>
      <c r="C3174" s="7" t="s">
        <v>24</v>
      </c>
      <c r="D3174" s="4">
        <v>13016092000140</v>
      </c>
      <c r="E3174" s="8" t="s">
        <v>867</v>
      </c>
      <c r="F3174" s="8" t="s">
        <v>75</v>
      </c>
      <c r="G3174" s="8" t="s">
        <v>74</v>
      </c>
      <c r="H3174" s="8" t="s">
        <v>215</v>
      </c>
      <c r="I3174" s="3">
        <v>2</v>
      </c>
      <c r="J3174" s="8" t="s">
        <v>167</v>
      </c>
      <c r="K3174" s="8" t="s">
        <v>168</v>
      </c>
      <c r="L3174" s="8" t="s">
        <v>557</v>
      </c>
      <c r="M3174" s="1" t="s">
        <v>211</v>
      </c>
      <c r="N3174" s="8" t="s">
        <v>212</v>
      </c>
      <c r="O3174" s="6">
        <v>0</v>
      </c>
      <c r="P3174" s="6">
        <v>5</v>
      </c>
      <c r="Q3174" s="6">
        <v>0</v>
      </c>
      <c r="R3174" s="6">
        <v>0</v>
      </c>
      <c r="S3174" s="6">
        <v>0</v>
      </c>
    </row>
    <row r="3175" spans="1:19" ht="15" hidden="1" x14ac:dyDescent="0.25">
      <c r="A3175" s="7" t="s">
        <v>16</v>
      </c>
      <c r="B3175" s="7" t="s">
        <v>230</v>
      </c>
      <c r="C3175" s="7" t="s">
        <v>24</v>
      </c>
      <c r="D3175" s="4">
        <v>394502006770</v>
      </c>
      <c r="E3175" s="8" t="s">
        <v>1385</v>
      </c>
      <c r="F3175" s="8" t="s">
        <v>75</v>
      </c>
      <c r="G3175" s="8" t="s">
        <v>74</v>
      </c>
      <c r="H3175" s="8" t="s">
        <v>215</v>
      </c>
      <c r="I3175" s="3">
        <v>2</v>
      </c>
      <c r="J3175" s="8" t="s">
        <v>199</v>
      </c>
      <c r="K3175" s="8" t="s">
        <v>200</v>
      </c>
      <c r="L3175" s="8" t="s">
        <v>556</v>
      </c>
      <c r="M3175" s="1" t="s">
        <v>211</v>
      </c>
      <c r="N3175" s="8" t="s">
        <v>212</v>
      </c>
      <c r="O3175" s="6">
        <v>0</v>
      </c>
      <c r="P3175" s="6">
        <v>0</v>
      </c>
      <c r="Q3175" s="6">
        <v>0</v>
      </c>
      <c r="R3175" s="6">
        <v>0</v>
      </c>
      <c r="S3175" s="6">
        <v>200</v>
      </c>
    </row>
    <row r="3176" spans="1:19" ht="15" hidden="1" x14ac:dyDescent="0.25">
      <c r="A3176" s="7" t="s">
        <v>16</v>
      </c>
      <c r="B3176" s="7" t="s">
        <v>230</v>
      </c>
      <c r="C3176" s="7" t="s">
        <v>24</v>
      </c>
      <c r="D3176" s="4">
        <v>394502006770</v>
      </c>
      <c r="E3176" s="8" t="s">
        <v>1385</v>
      </c>
      <c r="F3176" s="8" t="s">
        <v>75</v>
      </c>
      <c r="G3176" s="8" t="s">
        <v>74</v>
      </c>
      <c r="H3176" s="8" t="s">
        <v>215</v>
      </c>
      <c r="I3176" s="3">
        <v>2</v>
      </c>
      <c r="J3176" s="8" t="s">
        <v>167</v>
      </c>
      <c r="K3176" s="8" t="s">
        <v>168</v>
      </c>
      <c r="L3176" s="8" t="s">
        <v>557</v>
      </c>
      <c r="M3176" s="1" t="s">
        <v>211</v>
      </c>
      <c r="N3176" s="8" t="s">
        <v>212</v>
      </c>
      <c r="O3176" s="6">
        <v>0</v>
      </c>
      <c r="P3176" s="6">
        <v>0</v>
      </c>
      <c r="Q3176" s="6">
        <v>0</v>
      </c>
      <c r="R3176" s="6">
        <v>0</v>
      </c>
      <c r="S3176" s="6">
        <v>200</v>
      </c>
    </row>
    <row r="3177" spans="1:19" ht="15" hidden="1" x14ac:dyDescent="0.25">
      <c r="A3177" s="7" t="s">
        <v>16</v>
      </c>
      <c r="B3177" s="7" t="s">
        <v>230</v>
      </c>
      <c r="C3177" s="7" t="s">
        <v>24</v>
      </c>
      <c r="D3177" s="4">
        <v>15166416000151</v>
      </c>
      <c r="E3177" s="8" t="s">
        <v>889</v>
      </c>
      <c r="F3177" s="8" t="s">
        <v>75</v>
      </c>
      <c r="G3177" s="8" t="s">
        <v>74</v>
      </c>
      <c r="H3177" s="8" t="s">
        <v>215</v>
      </c>
      <c r="I3177" s="3">
        <v>2</v>
      </c>
      <c r="J3177" s="8" t="s">
        <v>199</v>
      </c>
      <c r="K3177" s="8" t="s">
        <v>200</v>
      </c>
      <c r="L3177" s="8" t="s">
        <v>556</v>
      </c>
      <c r="M3177" s="1" t="s">
        <v>211</v>
      </c>
      <c r="N3177" s="8" t="s">
        <v>212</v>
      </c>
      <c r="O3177" s="6">
        <v>0</v>
      </c>
      <c r="P3177" s="6">
        <v>0</v>
      </c>
      <c r="Q3177" s="6">
        <v>0</v>
      </c>
      <c r="R3177" s="6">
        <v>0</v>
      </c>
      <c r="S3177" s="6">
        <v>0</v>
      </c>
    </row>
    <row r="3178" spans="1:19" ht="15" hidden="1" x14ac:dyDescent="0.25">
      <c r="A3178" s="7" t="s">
        <v>16</v>
      </c>
      <c r="B3178" s="7" t="s">
        <v>230</v>
      </c>
      <c r="C3178" s="7" t="s">
        <v>24</v>
      </c>
      <c r="D3178" s="4">
        <v>15166416000151</v>
      </c>
      <c r="E3178" s="8" t="s">
        <v>889</v>
      </c>
      <c r="F3178" s="8" t="s">
        <v>75</v>
      </c>
      <c r="G3178" s="8" t="s">
        <v>74</v>
      </c>
      <c r="H3178" s="8" t="s">
        <v>215</v>
      </c>
      <c r="I3178" s="3">
        <v>2</v>
      </c>
      <c r="J3178" s="8" t="s">
        <v>167</v>
      </c>
      <c r="K3178" s="8" t="s">
        <v>168</v>
      </c>
      <c r="L3178" s="8" t="s">
        <v>557</v>
      </c>
      <c r="M3178" s="1" t="s">
        <v>211</v>
      </c>
      <c r="N3178" s="8" t="s">
        <v>212</v>
      </c>
      <c r="O3178" s="6">
        <v>0</v>
      </c>
      <c r="P3178" s="6">
        <v>60</v>
      </c>
      <c r="Q3178" s="6">
        <v>10</v>
      </c>
      <c r="R3178" s="6">
        <v>0</v>
      </c>
      <c r="S3178" s="6">
        <v>0</v>
      </c>
    </row>
    <row r="3179" spans="1:19" ht="15" hidden="1" x14ac:dyDescent="0.25">
      <c r="A3179" s="7" t="s">
        <v>16</v>
      </c>
      <c r="B3179" s="7" t="s">
        <v>230</v>
      </c>
      <c r="C3179" s="7" t="s">
        <v>24</v>
      </c>
      <c r="D3179" s="4">
        <v>15153745000249</v>
      </c>
      <c r="E3179" s="8" t="s">
        <v>887</v>
      </c>
      <c r="F3179" s="8" t="s">
        <v>75</v>
      </c>
      <c r="G3179" s="8" t="s">
        <v>74</v>
      </c>
      <c r="H3179" s="8" t="s">
        <v>215</v>
      </c>
      <c r="I3179" s="3">
        <v>2</v>
      </c>
      <c r="J3179" s="8" t="s">
        <v>199</v>
      </c>
      <c r="K3179" s="8" t="s">
        <v>200</v>
      </c>
      <c r="L3179" s="8" t="s">
        <v>556</v>
      </c>
      <c r="M3179" s="1" t="s">
        <v>211</v>
      </c>
      <c r="N3179" s="8" t="s">
        <v>212</v>
      </c>
      <c r="O3179" s="6">
        <v>0</v>
      </c>
      <c r="P3179" s="6">
        <v>0</v>
      </c>
      <c r="Q3179" s="6">
        <v>0</v>
      </c>
      <c r="R3179" s="6">
        <v>0</v>
      </c>
      <c r="S3179" s="6">
        <v>0</v>
      </c>
    </row>
    <row r="3180" spans="1:19" ht="15" hidden="1" x14ac:dyDescent="0.25">
      <c r="A3180" s="7" t="s">
        <v>16</v>
      </c>
      <c r="B3180" s="7" t="s">
        <v>230</v>
      </c>
      <c r="C3180" s="7" t="s">
        <v>24</v>
      </c>
      <c r="D3180" s="4">
        <v>15153745000249</v>
      </c>
      <c r="E3180" s="8" t="s">
        <v>887</v>
      </c>
      <c r="F3180" s="8" t="s">
        <v>75</v>
      </c>
      <c r="G3180" s="8" t="s">
        <v>74</v>
      </c>
      <c r="H3180" s="8" t="s">
        <v>215</v>
      </c>
      <c r="I3180" s="3">
        <v>2</v>
      </c>
      <c r="J3180" s="8" t="s">
        <v>167</v>
      </c>
      <c r="K3180" s="8" t="s">
        <v>168</v>
      </c>
      <c r="L3180" s="8" t="s">
        <v>557</v>
      </c>
      <c r="M3180" s="1" t="s">
        <v>211</v>
      </c>
      <c r="N3180" s="8" t="s">
        <v>212</v>
      </c>
      <c r="O3180" s="6">
        <v>0</v>
      </c>
      <c r="P3180" s="6">
        <v>8</v>
      </c>
      <c r="Q3180" s="6">
        <v>0</v>
      </c>
      <c r="R3180" s="6">
        <v>0</v>
      </c>
      <c r="S3180" s="6">
        <v>0</v>
      </c>
    </row>
    <row r="3181" spans="1:19" ht="15" hidden="1" x14ac:dyDescent="0.25">
      <c r="A3181" s="7" t="s">
        <v>16</v>
      </c>
      <c r="B3181" s="7" t="s">
        <v>230</v>
      </c>
      <c r="C3181" s="7" t="s">
        <v>24</v>
      </c>
      <c r="D3181" s="4">
        <v>27372066000169</v>
      </c>
      <c r="E3181" s="8" t="s">
        <v>908</v>
      </c>
      <c r="F3181" s="8" t="s">
        <v>75</v>
      </c>
      <c r="G3181" s="8" t="s">
        <v>74</v>
      </c>
      <c r="H3181" s="8" t="s">
        <v>215</v>
      </c>
      <c r="I3181" s="3">
        <v>2</v>
      </c>
      <c r="J3181" s="8" t="s">
        <v>199</v>
      </c>
      <c r="K3181" s="8" t="s">
        <v>200</v>
      </c>
      <c r="L3181" s="8" t="s">
        <v>556</v>
      </c>
      <c r="M3181" s="1" t="s">
        <v>211</v>
      </c>
      <c r="N3181" s="8" t="s">
        <v>212</v>
      </c>
      <c r="O3181" s="6">
        <v>0</v>
      </c>
      <c r="P3181" s="6">
        <v>0</v>
      </c>
      <c r="Q3181" s="6">
        <v>0</v>
      </c>
      <c r="R3181" s="6">
        <v>0</v>
      </c>
      <c r="S3181" s="6">
        <v>0</v>
      </c>
    </row>
    <row r="3182" spans="1:19" ht="15" hidden="1" x14ac:dyDescent="0.25">
      <c r="A3182" s="7" t="s">
        <v>16</v>
      </c>
      <c r="B3182" s="7" t="s">
        <v>230</v>
      </c>
      <c r="C3182" s="7" t="s">
        <v>24</v>
      </c>
      <c r="D3182" s="4">
        <v>27372066000169</v>
      </c>
      <c r="E3182" s="8" t="s">
        <v>908</v>
      </c>
      <c r="F3182" s="8" t="s">
        <v>75</v>
      </c>
      <c r="G3182" s="8" t="s">
        <v>74</v>
      </c>
      <c r="H3182" s="8" t="s">
        <v>215</v>
      </c>
      <c r="I3182" s="3">
        <v>2</v>
      </c>
      <c r="J3182" s="8" t="s">
        <v>167</v>
      </c>
      <c r="K3182" s="8" t="s">
        <v>168</v>
      </c>
      <c r="L3182" s="8" t="s">
        <v>557</v>
      </c>
      <c r="M3182" s="1" t="s">
        <v>211</v>
      </c>
      <c r="N3182" s="8" t="s">
        <v>212</v>
      </c>
      <c r="O3182" s="6">
        <v>0</v>
      </c>
      <c r="P3182" s="6">
        <v>10</v>
      </c>
      <c r="Q3182" s="6">
        <v>15</v>
      </c>
      <c r="R3182" s="6">
        <v>0</v>
      </c>
      <c r="S3182" s="6">
        <v>0</v>
      </c>
    </row>
    <row r="3183" spans="1:19" ht="15" hidden="1" x14ac:dyDescent="0.25">
      <c r="A3183" s="7" t="s">
        <v>16</v>
      </c>
      <c r="B3183" s="7" t="s">
        <v>230</v>
      </c>
      <c r="C3183" s="7" t="s">
        <v>24</v>
      </c>
      <c r="D3183" s="4">
        <v>15170723000106</v>
      </c>
      <c r="E3183" s="8" t="s">
        <v>890</v>
      </c>
      <c r="F3183" s="8" t="s">
        <v>75</v>
      </c>
      <c r="G3183" s="8" t="s">
        <v>74</v>
      </c>
      <c r="H3183" s="8" t="s">
        <v>215</v>
      </c>
      <c r="I3183" s="3">
        <v>2</v>
      </c>
      <c r="J3183" s="8" t="s">
        <v>199</v>
      </c>
      <c r="K3183" s="8" t="s">
        <v>200</v>
      </c>
      <c r="L3183" s="8" t="s">
        <v>556</v>
      </c>
      <c r="M3183" s="1" t="s">
        <v>211</v>
      </c>
      <c r="N3183" s="8" t="s">
        <v>212</v>
      </c>
      <c r="O3183" s="6">
        <v>0</v>
      </c>
      <c r="P3183" s="6">
        <v>0</v>
      </c>
      <c r="Q3183" s="6">
        <v>0</v>
      </c>
      <c r="R3183" s="6">
        <v>0</v>
      </c>
      <c r="S3183" s="6">
        <v>75</v>
      </c>
    </row>
    <row r="3184" spans="1:19" ht="15" hidden="1" x14ac:dyDescent="0.25">
      <c r="A3184" s="7" t="s">
        <v>16</v>
      </c>
      <c r="B3184" s="7" t="s">
        <v>230</v>
      </c>
      <c r="C3184" s="7" t="s">
        <v>24</v>
      </c>
      <c r="D3184" s="4">
        <v>15170723000106</v>
      </c>
      <c r="E3184" s="8" t="s">
        <v>890</v>
      </c>
      <c r="F3184" s="8" t="s">
        <v>75</v>
      </c>
      <c r="G3184" s="8" t="s">
        <v>74</v>
      </c>
      <c r="H3184" s="8" t="s">
        <v>215</v>
      </c>
      <c r="I3184" s="3">
        <v>2</v>
      </c>
      <c r="J3184" s="8" t="s">
        <v>167</v>
      </c>
      <c r="K3184" s="8" t="s">
        <v>168</v>
      </c>
      <c r="L3184" s="8" t="s">
        <v>557</v>
      </c>
      <c r="M3184" s="1" t="s">
        <v>211</v>
      </c>
      <c r="N3184" s="8" t="s">
        <v>212</v>
      </c>
      <c r="O3184" s="6">
        <v>0</v>
      </c>
      <c r="P3184" s="6">
        <v>0</v>
      </c>
      <c r="Q3184" s="6">
        <v>0</v>
      </c>
      <c r="R3184" s="6">
        <v>0</v>
      </c>
      <c r="S3184" s="6">
        <v>75</v>
      </c>
    </row>
    <row r="3185" spans="1:19" ht="15" hidden="1" x14ac:dyDescent="0.25">
      <c r="A3185" s="7" t="s">
        <v>16</v>
      </c>
      <c r="B3185" s="7" t="s">
        <v>230</v>
      </c>
      <c r="C3185" s="7" t="s">
        <v>24</v>
      </c>
      <c r="D3185" s="4">
        <v>5874946000281</v>
      </c>
      <c r="E3185" s="8" t="s">
        <v>807</v>
      </c>
      <c r="F3185" s="8" t="s">
        <v>76</v>
      </c>
      <c r="G3185" s="8" t="s">
        <v>77</v>
      </c>
      <c r="H3185" s="8" t="s">
        <v>215</v>
      </c>
      <c r="I3185" s="3">
        <v>2</v>
      </c>
      <c r="J3185" s="8" t="s">
        <v>199</v>
      </c>
      <c r="K3185" s="8" t="s">
        <v>200</v>
      </c>
      <c r="L3185" s="8" t="s">
        <v>556</v>
      </c>
      <c r="M3185" s="1" t="s">
        <v>211</v>
      </c>
      <c r="N3185" s="8" t="s">
        <v>212</v>
      </c>
      <c r="O3185" s="6">
        <v>0</v>
      </c>
      <c r="P3185" s="6">
        <v>0</v>
      </c>
      <c r="Q3185" s="6">
        <v>0</v>
      </c>
      <c r="R3185" s="6">
        <v>0</v>
      </c>
      <c r="S3185" s="6">
        <v>25</v>
      </c>
    </row>
    <row r="3186" spans="1:19" ht="15" hidden="1" x14ac:dyDescent="0.25">
      <c r="A3186" s="7" t="s">
        <v>16</v>
      </c>
      <c r="B3186" s="7" t="s">
        <v>230</v>
      </c>
      <c r="C3186" s="7" t="s">
        <v>24</v>
      </c>
      <c r="D3186" s="4">
        <v>5874946000281</v>
      </c>
      <c r="E3186" s="8" t="s">
        <v>807</v>
      </c>
      <c r="F3186" s="8" t="s">
        <v>76</v>
      </c>
      <c r="G3186" s="8" t="s">
        <v>77</v>
      </c>
      <c r="H3186" s="8" t="s">
        <v>215</v>
      </c>
      <c r="I3186" s="3">
        <v>2</v>
      </c>
      <c r="J3186" s="8" t="s">
        <v>165</v>
      </c>
      <c r="K3186" s="8" t="s">
        <v>166</v>
      </c>
      <c r="L3186" s="8" t="s">
        <v>557</v>
      </c>
      <c r="M3186" s="1" t="s">
        <v>211</v>
      </c>
      <c r="N3186" s="8" t="s">
        <v>212</v>
      </c>
      <c r="O3186" s="6">
        <v>0</v>
      </c>
      <c r="P3186" s="6">
        <v>0</v>
      </c>
      <c r="Q3186" s="6">
        <v>0</v>
      </c>
      <c r="R3186" s="6">
        <v>0</v>
      </c>
      <c r="S3186" s="6">
        <v>25</v>
      </c>
    </row>
    <row r="3187" spans="1:19" ht="15" hidden="1" x14ac:dyDescent="0.25">
      <c r="A3187" s="7" t="s">
        <v>16</v>
      </c>
      <c r="B3187" s="7" t="s">
        <v>230</v>
      </c>
      <c r="C3187" s="7" t="s">
        <v>24</v>
      </c>
      <c r="D3187" s="4">
        <v>60975737003509</v>
      </c>
      <c r="E3187" s="8" t="s">
        <v>921</v>
      </c>
      <c r="F3187" s="8" t="s">
        <v>76</v>
      </c>
      <c r="G3187" s="8" t="s">
        <v>77</v>
      </c>
      <c r="H3187" s="8" t="s">
        <v>215</v>
      </c>
      <c r="I3187" s="3">
        <v>2</v>
      </c>
      <c r="J3187" s="8" t="s">
        <v>199</v>
      </c>
      <c r="K3187" s="8" t="s">
        <v>200</v>
      </c>
      <c r="L3187" s="8" t="s">
        <v>556</v>
      </c>
      <c r="M3187" s="1" t="s">
        <v>211</v>
      </c>
      <c r="N3187" s="8" t="s">
        <v>212</v>
      </c>
      <c r="O3187" s="6">
        <v>0</v>
      </c>
      <c r="P3187" s="6">
        <v>0</v>
      </c>
      <c r="Q3187" s="6">
        <v>0</v>
      </c>
      <c r="R3187" s="6">
        <v>3</v>
      </c>
      <c r="S3187" s="6">
        <v>0</v>
      </c>
    </row>
    <row r="3188" spans="1:19" ht="15" hidden="1" x14ac:dyDescent="0.25">
      <c r="A3188" s="7" t="s">
        <v>16</v>
      </c>
      <c r="B3188" s="7" t="s">
        <v>230</v>
      </c>
      <c r="C3188" s="7" t="s">
        <v>24</v>
      </c>
      <c r="D3188" s="4">
        <v>60975737003509</v>
      </c>
      <c r="E3188" s="8" t="s">
        <v>921</v>
      </c>
      <c r="F3188" s="8" t="s">
        <v>76</v>
      </c>
      <c r="G3188" s="8" t="s">
        <v>77</v>
      </c>
      <c r="H3188" s="8" t="s">
        <v>215</v>
      </c>
      <c r="I3188" s="3">
        <v>2</v>
      </c>
      <c r="J3188" s="8" t="s">
        <v>165</v>
      </c>
      <c r="K3188" s="8" t="s">
        <v>166</v>
      </c>
      <c r="L3188" s="8" t="s">
        <v>557</v>
      </c>
      <c r="M3188" s="1" t="s">
        <v>211</v>
      </c>
      <c r="N3188" s="8" t="s">
        <v>212</v>
      </c>
      <c r="O3188" s="6">
        <v>0</v>
      </c>
      <c r="P3188" s="6">
        <v>2</v>
      </c>
      <c r="Q3188" s="6">
        <v>9</v>
      </c>
      <c r="R3188" s="6">
        <v>0</v>
      </c>
      <c r="S3188" s="6">
        <v>0</v>
      </c>
    </row>
    <row r="3189" spans="1:19" ht="15" hidden="1" x14ac:dyDescent="0.25">
      <c r="A3189" s="7" t="s">
        <v>16</v>
      </c>
      <c r="B3189" s="7" t="s">
        <v>230</v>
      </c>
      <c r="C3189" s="7" t="s">
        <v>24</v>
      </c>
      <c r="D3189" s="4">
        <v>23443518000103</v>
      </c>
      <c r="E3189" s="8" t="s">
        <v>903</v>
      </c>
      <c r="F3189" s="8" t="s">
        <v>76</v>
      </c>
      <c r="G3189" s="8" t="s">
        <v>77</v>
      </c>
      <c r="H3189" s="8" t="s">
        <v>215</v>
      </c>
      <c r="I3189" s="3">
        <v>2</v>
      </c>
      <c r="J3189" s="8" t="s">
        <v>199</v>
      </c>
      <c r="K3189" s="8" t="s">
        <v>200</v>
      </c>
      <c r="L3189" s="8" t="s">
        <v>556</v>
      </c>
      <c r="M3189" s="1" t="s">
        <v>211</v>
      </c>
      <c r="N3189" s="8" t="s">
        <v>212</v>
      </c>
      <c r="O3189" s="6">
        <v>0</v>
      </c>
      <c r="P3189" s="6">
        <v>0</v>
      </c>
      <c r="Q3189" s="6">
        <v>0</v>
      </c>
      <c r="R3189" s="6">
        <v>0</v>
      </c>
      <c r="S3189" s="6">
        <v>0</v>
      </c>
    </row>
    <row r="3190" spans="1:19" ht="15" hidden="1" x14ac:dyDescent="0.25">
      <c r="A3190" s="7" t="s">
        <v>16</v>
      </c>
      <c r="B3190" s="7" t="s">
        <v>230</v>
      </c>
      <c r="C3190" s="7" t="s">
        <v>24</v>
      </c>
      <c r="D3190" s="4">
        <v>23443518000103</v>
      </c>
      <c r="E3190" s="8" t="s">
        <v>903</v>
      </c>
      <c r="F3190" s="8" t="s">
        <v>76</v>
      </c>
      <c r="G3190" s="8" t="s">
        <v>77</v>
      </c>
      <c r="H3190" s="8" t="s">
        <v>215</v>
      </c>
      <c r="I3190" s="3">
        <v>2</v>
      </c>
      <c r="J3190" s="8" t="s">
        <v>165</v>
      </c>
      <c r="K3190" s="8" t="s">
        <v>166</v>
      </c>
      <c r="L3190" s="8" t="s">
        <v>557</v>
      </c>
      <c r="M3190" s="1" t="s">
        <v>211</v>
      </c>
      <c r="N3190" s="8" t="s">
        <v>212</v>
      </c>
      <c r="O3190" s="6">
        <v>0</v>
      </c>
      <c r="P3190" s="6">
        <v>0</v>
      </c>
      <c r="Q3190" s="6">
        <v>6</v>
      </c>
      <c r="R3190" s="6">
        <v>0</v>
      </c>
      <c r="S3190" s="6">
        <v>0</v>
      </c>
    </row>
    <row r="3191" spans="1:19" ht="15" hidden="1" x14ac:dyDescent="0.25">
      <c r="A3191" s="7" t="s">
        <v>16</v>
      </c>
      <c r="B3191" s="7" t="s">
        <v>230</v>
      </c>
      <c r="C3191" s="7" t="s">
        <v>24</v>
      </c>
      <c r="D3191" s="4">
        <v>5868278000280</v>
      </c>
      <c r="E3191" s="8" t="s">
        <v>805</v>
      </c>
      <c r="F3191" s="8" t="s">
        <v>76</v>
      </c>
      <c r="G3191" s="8" t="s">
        <v>77</v>
      </c>
      <c r="H3191" s="8" t="s">
        <v>215</v>
      </c>
      <c r="I3191" s="3">
        <v>2</v>
      </c>
      <c r="J3191" s="8" t="s">
        <v>199</v>
      </c>
      <c r="K3191" s="8" t="s">
        <v>200</v>
      </c>
      <c r="L3191" s="8" t="s">
        <v>556</v>
      </c>
      <c r="M3191" s="1" t="s">
        <v>211</v>
      </c>
      <c r="N3191" s="8" t="s">
        <v>212</v>
      </c>
      <c r="O3191" s="6">
        <v>0</v>
      </c>
      <c r="P3191" s="6">
        <v>0</v>
      </c>
      <c r="Q3191" s="6">
        <v>0</v>
      </c>
      <c r="R3191" s="6">
        <v>40</v>
      </c>
      <c r="S3191" s="6">
        <v>0</v>
      </c>
    </row>
    <row r="3192" spans="1:19" ht="15" hidden="1" x14ac:dyDescent="0.25">
      <c r="A3192" s="7" t="s">
        <v>16</v>
      </c>
      <c r="B3192" s="7" t="s">
        <v>230</v>
      </c>
      <c r="C3192" s="7" t="s">
        <v>24</v>
      </c>
      <c r="D3192" s="4">
        <v>5868278000280</v>
      </c>
      <c r="E3192" s="8" t="s">
        <v>805</v>
      </c>
      <c r="F3192" s="8" t="s">
        <v>76</v>
      </c>
      <c r="G3192" s="8" t="s">
        <v>77</v>
      </c>
      <c r="H3192" s="8" t="s">
        <v>215</v>
      </c>
      <c r="I3192" s="3">
        <v>2</v>
      </c>
      <c r="J3192" s="8" t="s">
        <v>165</v>
      </c>
      <c r="K3192" s="8" t="s">
        <v>166</v>
      </c>
      <c r="L3192" s="8" t="s">
        <v>557</v>
      </c>
      <c r="M3192" s="1" t="s">
        <v>211</v>
      </c>
      <c r="N3192" s="8" t="s">
        <v>212</v>
      </c>
      <c r="O3192" s="6">
        <v>0</v>
      </c>
      <c r="P3192" s="6">
        <v>22</v>
      </c>
      <c r="Q3192" s="6">
        <v>38</v>
      </c>
      <c r="R3192" s="6">
        <v>0</v>
      </c>
      <c r="S3192" s="6">
        <v>0</v>
      </c>
    </row>
    <row r="3193" spans="1:19" ht="15" hidden="1" x14ac:dyDescent="0.25">
      <c r="A3193" s="7" t="s">
        <v>16</v>
      </c>
      <c r="B3193" s="7" t="s">
        <v>230</v>
      </c>
      <c r="C3193" s="7" t="s">
        <v>24</v>
      </c>
      <c r="D3193" s="4">
        <v>11794674000121</v>
      </c>
      <c r="E3193" s="8" t="s">
        <v>845</v>
      </c>
      <c r="F3193" s="8" t="s">
        <v>76</v>
      </c>
      <c r="G3193" s="8" t="s">
        <v>77</v>
      </c>
      <c r="H3193" s="8" t="s">
        <v>215</v>
      </c>
      <c r="I3193" s="3">
        <v>2</v>
      </c>
      <c r="J3193" s="8" t="s">
        <v>199</v>
      </c>
      <c r="K3193" s="8" t="s">
        <v>200</v>
      </c>
      <c r="L3193" s="8" t="s">
        <v>556</v>
      </c>
      <c r="M3193" s="1" t="s">
        <v>211</v>
      </c>
      <c r="N3193" s="8" t="s">
        <v>212</v>
      </c>
      <c r="O3193" s="6">
        <v>0</v>
      </c>
      <c r="P3193" s="6">
        <v>0</v>
      </c>
      <c r="Q3193" s="6">
        <v>0</v>
      </c>
      <c r="R3193" s="6">
        <v>0</v>
      </c>
      <c r="S3193" s="6">
        <v>250</v>
      </c>
    </row>
    <row r="3194" spans="1:19" ht="15" hidden="1" x14ac:dyDescent="0.25">
      <c r="A3194" s="7" t="s">
        <v>16</v>
      </c>
      <c r="B3194" s="7" t="s">
        <v>230</v>
      </c>
      <c r="C3194" s="7" t="s">
        <v>24</v>
      </c>
      <c r="D3194" s="4">
        <v>11794674000121</v>
      </c>
      <c r="E3194" s="8" t="s">
        <v>845</v>
      </c>
      <c r="F3194" s="8" t="s">
        <v>76</v>
      </c>
      <c r="G3194" s="8" t="s">
        <v>77</v>
      </c>
      <c r="H3194" s="8" t="s">
        <v>215</v>
      </c>
      <c r="I3194" s="3">
        <v>2</v>
      </c>
      <c r="J3194" s="8" t="s">
        <v>165</v>
      </c>
      <c r="K3194" s="8" t="s">
        <v>166</v>
      </c>
      <c r="L3194" s="8" t="s">
        <v>557</v>
      </c>
      <c r="M3194" s="1" t="s">
        <v>211</v>
      </c>
      <c r="N3194" s="8" t="s">
        <v>212</v>
      </c>
      <c r="O3194" s="6">
        <v>0</v>
      </c>
      <c r="P3194" s="6">
        <v>18</v>
      </c>
      <c r="Q3194" s="6">
        <v>0</v>
      </c>
      <c r="R3194" s="6">
        <v>0</v>
      </c>
      <c r="S3194" s="6">
        <v>250</v>
      </c>
    </row>
    <row r="3195" spans="1:19" ht="15" hidden="1" x14ac:dyDescent="0.25">
      <c r="A3195" s="7" t="s">
        <v>16</v>
      </c>
      <c r="B3195" s="7" t="s">
        <v>230</v>
      </c>
      <c r="C3195" s="7" t="s">
        <v>24</v>
      </c>
      <c r="D3195" s="4">
        <v>7272636000212</v>
      </c>
      <c r="E3195" s="8" t="s">
        <v>818</v>
      </c>
      <c r="F3195" s="8" t="s">
        <v>76</v>
      </c>
      <c r="G3195" s="8" t="s">
        <v>77</v>
      </c>
      <c r="H3195" s="8" t="s">
        <v>215</v>
      </c>
      <c r="I3195" s="3">
        <v>2</v>
      </c>
      <c r="J3195" s="8" t="s">
        <v>199</v>
      </c>
      <c r="K3195" s="8" t="s">
        <v>200</v>
      </c>
      <c r="L3195" s="8" t="s">
        <v>556</v>
      </c>
      <c r="M3195" s="1" t="s">
        <v>211</v>
      </c>
      <c r="N3195" s="8" t="s">
        <v>212</v>
      </c>
      <c r="O3195" s="6">
        <v>0</v>
      </c>
      <c r="P3195" s="6">
        <v>0</v>
      </c>
      <c r="Q3195" s="6">
        <v>0</v>
      </c>
      <c r="R3195" s="6">
        <v>0</v>
      </c>
      <c r="S3195" s="6">
        <v>0</v>
      </c>
    </row>
    <row r="3196" spans="1:19" ht="15" hidden="1" x14ac:dyDescent="0.25">
      <c r="A3196" s="7" t="s">
        <v>16</v>
      </c>
      <c r="B3196" s="7" t="s">
        <v>230</v>
      </c>
      <c r="C3196" s="7" t="s">
        <v>24</v>
      </c>
      <c r="D3196" s="4">
        <v>7272636000212</v>
      </c>
      <c r="E3196" s="8" t="s">
        <v>818</v>
      </c>
      <c r="F3196" s="8" t="s">
        <v>76</v>
      </c>
      <c r="G3196" s="8" t="s">
        <v>77</v>
      </c>
      <c r="H3196" s="8" t="s">
        <v>215</v>
      </c>
      <c r="I3196" s="3">
        <v>2</v>
      </c>
      <c r="J3196" s="8" t="s">
        <v>165</v>
      </c>
      <c r="K3196" s="8" t="s">
        <v>166</v>
      </c>
      <c r="L3196" s="8" t="s">
        <v>557</v>
      </c>
      <c r="M3196" s="1" t="s">
        <v>211</v>
      </c>
      <c r="N3196" s="8" t="s">
        <v>212</v>
      </c>
      <c r="O3196" s="6">
        <v>0</v>
      </c>
      <c r="P3196" s="6">
        <v>0</v>
      </c>
      <c r="Q3196" s="6">
        <v>30</v>
      </c>
      <c r="R3196" s="6">
        <v>0</v>
      </c>
      <c r="S3196" s="6">
        <v>0</v>
      </c>
    </row>
    <row r="3197" spans="1:19" ht="15" hidden="1" x14ac:dyDescent="0.25">
      <c r="A3197" s="7" t="s">
        <v>16</v>
      </c>
      <c r="B3197" s="7" t="s">
        <v>230</v>
      </c>
      <c r="C3197" s="7" t="s">
        <v>24</v>
      </c>
      <c r="D3197" s="4">
        <v>5867015000175</v>
      </c>
      <c r="E3197" s="8" t="s">
        <v>804</v>
      </c>
      <c r="F3197" s="8" t="s">
        <v>76</v>
      </c>
      <c r="G3197" s="8" t="s">
        <v>77</v>
      </c>
      <c r="H3197" s="8" t="s">
        <v>215</v>
      </c>
      <c r="I3197" s="3">
        <v>2</v>
      </c>
      <c r="J3197" s="8" t="s">
        <v>199</v>
      </c>
      <c r="K3197" s="8" t="s">
        <v>200</v>
      </c>
      <c r="L3197" s="8" t="s">
        <v>556</v>
      </c>
      <c r="M3197" s="1" t="s">
        <v>211</v>
      </c>
      <c r="N3197" s="8" t="s">
        <v>212</v>
      </c>
      <c r="O3197" s="6">
        <v>0</v>
      </c>
      <c r="P3197" s="6">
        <v>0</v>
      </c>
      <c r="Q3197" s="6">
        <v>0</v>
      </c>
      <c r="R3197" s="6">
        <v>8</v>
      </c>
      <c r="S3197" s="6">
        <v>0</v>
      </c>
    </row>
    <row r="3198" spans="1:19" ht="15" hidden="1" x14ac:dyDescent="0.25">
      <c r="A3198" s="7" t="s">
        <v>16</v>
      </c>
      <c r="B3198" s="7" t="s">
        <v>230</v>
      </c>
      <c r="C3198" s="7" t="s">
        <v>24</v>
      </c>
      <c r="D3198" s="4">
        <v>5867015000175</v>
      </c>
      <c r="E3198" s="8" t="s">
        <v>804</v>
      </c>
      <c r="F3198" s="8" t="s">
        <v>76</v>
      </c>
      <c r="G3198" s="8" t="s">
        <v>77</v>
      </c>
      <c r="H3198" s="8" t="s">
        <v>215</v>
      </c>
      <c r="I3198" s="3">
        <v>2</v>
      </c>
      <c r="J3198" s="8" t="s">
        <v>165</v>
      </c>
      <c r="K3198" s="8" t="s">
        <v>166</v>
      </c>
      <c r="L3198" s="8" t="s">
        <v>557</v>
      </c>
      <c r="M3198" s="1" t="s">
        <v>211</v>
      </c>
      <c r="N3198" s="8" t="s">
        <v>212</v>
      </c>
      <c r="O3198" s="6">
        <v>0</v>
      </c>
      <c r="P3198" s="6">
        <v>0</v>
      </c>
      <c r="Q3198" s="6">
        <v>0</v>
      </c>
      <c r="R3198" s="6">
        <v>0</v>
      </c>
      <c r="S3198" s="6">
        <v>0</v>
      </c>
    </row>
    <row r="3199" spans="1:19" ht="15" hidden="1" x14ac:dyDescent="0.25">
      <c r="A3199" s="7" t="s">
        <v>16</v>
      </c>
      <c r="B3199" s="7" t="s">
        <v>230</v>
      </c>
      <c r="C3199" s="7" t="s">
        <v>24</v>
      </c>
      <c r="D3199" s="4">
        <v>9104513000974</v>
      </c>
      <c r="E3199" s="8" t="s">
        <v>830</v>
      </c>
      <c r="F3199" s="8" t="s">
        <v>739</v>
      </c>
      <c r="G3199" s="8" t="s">
        <v>55</v>
      </c>
      <c r="H3199" s="8" t="s">
        <v>215</v>
      </c>
      <c r="I3199" s="3">
        <v>2</v>
      </c>
      <c r="J3199" s="8" t="s">
        <v>163</v>
      </c>
      <c r="K3199" s="8" t="s">
        <v>164</v>
      </c>
      <c r="L3199" s="8" t="s">
        <v>557</v>
      </c>
      <c r="M3199" s="1" t="s">
        <v>211</v>
      </c>
      <c r="N3199" s="8" t="s">
        <v>212</v>
      </c>
      <c r="O3199" s="6">
        <v>0</v>
      </c>
      <c r="P3199" s="6">
        <v>0</v>
      </c>
      <c r="Q3199" s="6">
        <v>0</v>
      </c>
      <c r="R3199" s="6">
        <v>0</v>
      </c>
      <c r="S3199" s="6">
        <v>610</v>
      </c>
    </row>
    <row r="3200" spans="1:19" ht="15" hidden="1" x14ac:dyDescent="0.25">
      <c r="A3200" s="7" t="s">
        <v>16</v>
      </c>
      <c r="B3200" s="7" t="s">
        <v>230</v>
      </c>
      <c r="C3200" s="7" t="s">
        <v>24</v>
      </c>
      <c r="D3200" s="4">
        <v>9104513000974</v>
      </c>
      <c r="E3200" s="8" t="s">
        <v>830</v>
      </c>
      <c r="F3200" s="8" t="s">
        <v>739</v>
      </c>
      <c r="G3200" s="8" t="s">
        <v>55</v>
      </c>
      <c r="H3200" s="8" t="s">
        <v>215</v>
      </c>
      <c r="I3200" s="3">
        <v>2</v>
      </c>
      <c r="J3200" s="8" t="s">
        <v>201</v>
      </c>
      <c r="K3200" s="8" t="s">
        <v>202</v>
      </c>
      <c r="L3200" s="8" t="s">
        <v>740</v>
      </c>
      <c r="M3200" s="1" t="s">
        <v>211</v>
      </c>
      <c r="N3200" s="8" t="s">
        <v>212</v>
      </c>
      <c r="O3200" s="6">
        <v>0</v>
      </c>
      <c r="P3200" s="6">
        <v>0</v>
      </c>
      <c r="Q3200" s="6">
        <v>0</v>
      </c>
      <c r="R3200" s="6">
        <v>2</v>
      </c>
      <c r="S3200" s="6">
        <v>610</v>
      </c>
    </row>
    <row r="3201" spans="1:19" ht="15" hidden="1" x14ac:dyDescent="0.25">
      <c r="A3201" s="7" t="s">
        <v>16</v>
      </c>
      <c r="B3201" s="7" t="s">
        <v>230</v>
      </c>
      <c r="C3201" s="7" t="s">
        <v>24</v>
      </c>
      <c r="D3201" s="4">
        <v>520237000101</v>
      </c>
      <c r="E3201" s="8" t="s">
        <v>755</v>
      </c>
      <c r="F3201" s="8" t="s">
        <v>739</v>
      </c>
      <c r="G3201" s="8" t="s">
        <v>55</v>
      </c>
      <c r="H3201" s="8" t="s">
        <v>215</v>
      </c>
      <c r="I3201" s="3">
        <v>2</v>
      </c>
      <c r="J3201" s="8" t="s">
        <v>163</v>
      </c>
      <c r="K3201" s="8" t="s">
        <v>164</v>
      </c>
      <c r="L3201" s="8" t="s">
        <v>557</v>
      </c>
      <c r="M3201" s="1" t="s">
        <v>211</v>
      </c>
      <c r="N3201" s="8" t="s">
        <v>212</v>
      </c>
      <c r="O3201" s="6">
        <v>0</v>
      </c>
      <c r="P3201" s="6">
        <v>0</v>
      </c>
      <c r="Q3201" s="6">
        <v>0</v>
      </c>
      <c r="R3201" s="6">
        <v>0</v>
      </c>
      <c r="S3201" s="6">
        <v>660</v>
      </c>
    </row>
    <row r="3202" spans="1:19" ht="15" hidden="1" x14ac:dyDescent="0.25">
      <c r="A3202" s="7" t="s">
        <v>16</v>
      </c>
      <c r="B3202" s="7" t="s">
        <v>230</v>
      </c>
      <c r="C3202" s="7" t="s">
        <v>24</v>
      </c>
      <c r="D3202" s="4">
        <v>520237000101</v>
      </c>
      <c r="E3202" s="8" t="s">
        <v>755</v>
      </c>
      <c r="F3202" s="8" t="s">
        <v>739</v>
      </c>
      <c r="G3202" s="8" t="s">
        <v>55</v>
      </c>
      <c r="H3202" s="8" t="s">
        <v>215</v>
      </c>
      <c r="I3202" s="3">
        <v>2</v>
      </c>
      <c r="J3202" s="8" t="s">
        <v>201</v>
      </c>
      <c r="K3202" s="8" t="s">
        <v>202</v>
      </c>
      <c r="L3202" s="8" t="s">
        <v>740</v>
      </c>
      <c r="M3202" s="1" t="s">
        <v>211</v>
      </c>
      <c r="N3202" s="8" t="s">
        <v>212</v>
      </c>
      <c r="O3202" s="6">
        <v>0</v>
      </c>
      <c r="P3202" s="6">
        <v>0</v>
      </c>
      <c r="Q3202" s="6">
        <v>0</v>
      </c>
      <c r="R3202" s="6">
        <v>167</v>
      </c>
      <c r="S3202" s="6">
        <v>660</v>
      </c>
    </row>
    <row r="3203" spans="1:19" ht="15" hidden="1" x14ac:dyDescent="0.25">
      <c r="A3203" s="7" t="s">
        <v>16</v>
      </c>
      <c r="B3203" s="7" t="s">
        <v>230</v>
      </c>
      <c r="C3203" s="7" t="s">
        <v>24</v>
      </c>
      <c r="D3203" s="4">
        <v>30135335000188</v>
      </c>
      <c r="E3203" s="8" t="s">
        <v>914</v>
      </c>
      <c r="F3203" s="8" t="s">
        <v>739</v>
      </c>
      <c r="G3203" s="8" t="s">
        <v>55</v>
      </c>
      <c r="H3203" s="8" t="s">
        <v>215</v>
      </c>
      <c r="I3203" s="3">
        <v>2</v>
      </c>
      <c r="J3203" s="8" t="s">
        <v>163</v>
      </c>
      <c r="K3203" s="8" t="s">
        <v>164</v>
      </c>
      <c r="L3203" s="8" t="s">
        <v>557</v>
      </c>
      <c r="M3203" s="1" t="s">
        <v>211</v>
      </c>
      <c r="N3203" s="8" t="s">
        <v>212</v>
      </c>
      <c r="O3203" s="6">
        <v>0</v>
      </c>
      <c r="P3203" s="6">
        <v>0</v>
      </c>
      <c r="Q3203" s="6">
        <v>0</v>
      </c>
      <c r="R3203" s="6">
        <v>0</v>
      </c>
      <c r="S3203" s="6">
        <v>100</v>
      </c>
    </row>
    <row r="3204" spans="1:19" ht="15" hidden="1" x14ac:dyDescent="0.25">
      <c r="A3204" s="7" t="s">
        <v>16</v>
      </c>
      <c r="B3204" s="7" t="s">
        <v>230</v>
      </c>
      <c r="C3204" s="7" t="s">
        <v>24</v>
      </c>
      <c r="D3204" s="4">
        <v>30135335000188</v>
      </c>
      <c r="E3204" s="8" t="s">
        <v>914</v>
      </c>
      <c r="F3204" s="8" t="s">
        <v>739</v>
      </c>
      <c r="G3204" s="8" t="s">
        <v>55</v>
      </c>
      <c r="H3204" s="8" t="s">
        <v>215</v>
      </c>
      <c r="I3204" s="3">
        <v>2</v>
      </c>
      <c r="J3204" s="8" t="s">
        <v>201</v>
      </c>
      <c r="K3204" s="8" t="s">
        <v>202</v>
      </c>
      <c r="L3204" s="8" t="s">
        <v>740</v>
      </c>
      <c r="M3204" s="1" t="s">
        <v>211</v>
      </c>
      <c r="N3204" s="8" t="s">
        <v>212</v>
      </c>
      <c r="O3204" s="6">
        <v>0</v>
      </c>
      <c r="P3204" s="6">
        <v>0</v>
      </c>
      <c r="Q3204" s="6">
        <v>0</v>
      </c>
      <c r="R3204" s="6">
        <v>0</v>
      </c>
      <c r="S3204" s="6">
        <v>100</v>
      </c>
    </row>
    <row r="3205" spans="1:19" ht="15" hidden="1" x14ac:dyDescent="0.25">
      <c r="A3205" s="7" t="s">
        <v>16</v>
      </c>
      <c r="B3205" s="7" t="s">
        <v>230</v>
      </c>
      <c r="C3205" s="7" t="s">
        <v>24</v>
      </c>
      <c r="D3205" s="4">
        <v>3989821000190</v>
      </c>
      <c r="E3205" s="8" t="s">
        <v>796</v>
      </c>
      <c r="F3205" s="8" t="s">
        <v>739</v>
      </c>
      <c r="G3205" s="8" t="s">
        <v>55</v>
      </c>
      <c r="H3205" s="8" t="s">
        <v>215</v>
      </c>
      <c r="I3205" s="3">
        <v>2</v>
      </c>
      <c r="J3205" s="8" t="s">
        <v>163</v>
      </c>
      <c r="K3205" s="8" t="s">
        <v>164</v>
      </c>
      <c r="L3205" s="8" t="s">
        <v>557</v>
      </c>
      <c r="M3205" s="1" t="s">
        <v>211</v>
      </c>
      <c r="N3205" s="8" t="s">
        <v>212</v>
      </c>
      <c r="O3205" s="6">
        <v>0</v>
      </c>
      <c r="P3205" s="6">
        <v>0</v>
      </c>
      <c r="Q3205" s="6">
        <v>0</v>
      </c>
      <c r="R3205" s="6">
        <v>0</v>
      </c>
      <c r="S3205" s="6">
        <v>45</v>
      </c>
    </row>
    <row r="3206" spans="1:19" ht="15" hidden="1" x14ac:dyDescent="0.25">
      <c r="A3206" s="7" t="s">
        <v>16</v>
      </c>
      <c r="B3206" s="7" t="s">
        <v>230</v>
      </c>
      <c r="C3206" s="7" t="s">
        <v>24</v>
      </c>
      <c r="D3206" s="4">
        <v>3989821000190</v>
      </c>
      <c r="E3206" s="8" t="s">
        <v>796</v>
      </c>
      <c r="F3206" s="8" t="s">
        <v>739</v>
      </c>
      <c r="G3206" s="8" t="s">
        <v>55</v>
      </c>
      <c r="H3206" s="8" t="s">
        <v>215</v>
      </c>
      <c r="I3206" s="3">
        <v>2</v>
      </c>
      <c r="J3206" s="8" t="s">
        <v>201</v>
      </c>
      <c r="K3206" s="8" t="s">
        <v>202</v>
      </c>
      <c r="L3206" s="8" t="s">
        <v>740</v>
      </c>
      <c r="M3206" s="1" t="s">
        <v>211</v>
      </c>
      <c r="N3206" s="8" t="s">
        <v>212</v>
      </c>
      <c r="O3206" s="6">
        <v>0</v>
      </c>
      <c r="P3206" s="6">
        <v>0</v>
      </c>
      <c r="Q3206" s="6">
        <v>0</v>
      </c>
      <c r="R3206" s="6">
        <v>0</v>
      </c>
      <c r="S3206" s="6">
        <v>45</v>
      </c>
    </row>
    <row r="3207" spans="1:19" ht="15" hidden="1" x14ac:dyDescent="0.25">
      <c r="A3207" s="7" t="s">
        <v>16</v>
      </c>
      <c r="B3207" s="7" t="s">
        <v>230</v>
      </c>
      <c r="C3207" s="7" t="s">
        <v>24</v>
      </c>
      <c r="D3207" s="4">
        <v>37108388000159</v>
      </c>
      <c r="E3207" s="8" t="s">
        <v>916</v>
      </c>
      <c r="F3207" s="8" t="s">
        <v>739</v>
      </c>
      <c r="G3207" s="8" t="s">
        <v>55</v>
      </c>
      <c r="H3207" s="8" t="s">
        <v>215</v>
      </c>
      <c r="I3207" s="3">
        <v>2</v>
      </c>
      <c r="J3207" s="8" t="s">
        <v>163</v>
      </c>
      <c r="K3207" s="8" t="s">
        <v>164</v>
      </c>
      <c r="L3207" s="8" t="s">
        <v>557</v>
      </c>
      <c r="M3207" s="1" t="s">
        <v>211</v>
      </c>
      <c r="N3207" s="8" t="s">
        <v>212</v>
      </c>
      <c r="O3207" s="6">
        <v>0</v>
      </c>
      <c r="P3207" s="6">
        <v>17</v>
      </c>
      <c r="Q3207" s="6">
        <v>4</v>
      </c>
      <c r="R3207" s="6">
        <v>0</v>
      </c>
      <c r="S3207" s="6">
        <v>0</v>
      </c>
    </row>
    <row r="3208" spans="1:19" ht="15" hidden="1" x14ac:dyDescent="0.25">
      <c r="A3208" s="7" t="s">
        <v>16</v>
      </c>
      <c r="B3208" s="7" t="s">
        <v>230</v>
      </c>
      <c r="C3208" s="7" t="s">
        <v>24</v>
      </c>
      <c r="D3208" s="4">
        <v>37108388000159</v>
      </c>
      <c r="E3208" s="8" t="s">
        <v>916</v>
      </c>
      <c r="F3208" s="8" t="s">
        <v>739</v>
      </c>
      <c r="G3208" s="8" t="s">
        <v>55</v>
      </c>
      <c r="H3208" s="8" t="s">
        <v>215</v>
      </c>
      <c r="I3208" s="3">
        <v>2</v>
      </c>
      <c r="J3208" s="8" t="s">
        <v>201</v>
      </c>
      <c r="K3208" s="8" t="s">
        <v>202</v>
      </c>
      <c r="L3208" s="8" t="s">
        <v>740</v>
      </c>
      <c r="M3208" s="1" t="s">
        <v>211</v>
      </c>
      <c r="N3208" s="8" t="s">
        <v>212</v>
      </c>
      <c r="O3208" s="6">
        <v>0</v>
      </c>
      <c r="P3208" s="6">
        <v>0</v>
      </c>
      <c r="Q3208" s="6">
        <v>0</v>
      </c>
      <c r="R3208" s="6">
        <v>0</v>
      </c>
      <c r="S3208" s="6">
        <v>0</v>
      </c>
    </row>
    <row r="3209" spans="1:19" ht="15" hidden="1" x14ac:dyDescent="0.25">
      <c r="A3209" s="7" t="s">
        <v>16</v>
      </c>
      <c r="B3209" s="7" t="s">
        <v>230</v>
      </c>
      <c r="C3209" s="7" t="s">
        <v>24</v>
      </c>
      <c r="D3209" s="4">
        <v>29435005004620</v>
      </c>
      <c r="E3209" s="8" t="s">
        <v>911</v>
      </c>
      <c r="F3209" s="8" t="s">
        <v>739</v>
      </c>
      <c r="G3209" s="8" t="s">
        <v>55</v>
      </c>
      <c r="H3209" s="8" t="s">
        <v>215</v>
      </c>
      <c r="I3209" s="3">
        <v>2</v>
      </c>
      <c r="J3209" s="8" t="s">
        <v>163</v>
      </c>
      <c r="K3209" s="8" t="s">
        <v>164</v>
      </c>
      <c r="L3209" s="8" t="s">
        <v>557</v>
      </c>
      <c r="M3209" s="1" t="s">
        <v>211</v>
      </c>
      <c r="N3209" s="8" t="s">
        <v>212</v>
      </c>
      <c r="O3209" s="6">
        <v>0</v>
      </c>
      <c r="P3209" s="6">
        <v>0</v>
      </c>
      <c r="Q3209" s="6">
        <v>3</v>
      </c>
      <c r="R3209" s="6">
        <v>0</v>
      </c>
      <c r="S3209" s="6">
        <v>0</v>
      </c>
    </row>
    <row r="3210" spans="1:19" ht="15" hidden="1" x14ac:dyDescent="0.25">
      <c r="A3210" s="7" t="s">
        <v>16</v>
      </c>
      <c r="B3210" s="7" t="s">
        <v>230</v>
      </c>
      <c r="C3210" s="7" t="s">
        <v>24</v>
      </c>
      <c r="D3210" s="4">
        <v>29435005004620</v>
      </c>
      <c r="E3210" s="8" t="s">
        <v>911</v>
      </c>
      <c r="F3210" s="8" t="s">
        <v>739</v>
      </c>
      <c r="G3210" s="8" t="s">
        <v>55</v>
      </c>
      <c r="H3210" s="8" t="s">
        <v>215</v>
      </c>
      <c r="I3210" s="3">
        <v>2</v>
      </c>
      <c r="J3210" s="8" t="s">
        <v>201</v>
      </c>
      <c r="K3210" s="8" t="s">
        <v>202</v>
      </c>
      <c r="L3210" s="8" t="s">
        <v>740</v>
      </c>
      <c r="M3210" s="1" t="s">
        <v>211</v>
      </c>
      <c r="N3210" s="8" t="s">
        <v>212</v>
      </c>
      <c r="O3210" s="6">
        <v>0</v>
      </c>
      <c r="P3210" s="6">
        <v>0</v>
      </c>
      <c r="Q3210" s="6">
        <v>0</v>
      </c>
      <c r="R3210" s="6">
        <v>0</v>
      </c>
      <c r="S3210" s="6">
        <v>0</v>
      </c>
    </row>
    <row r="3211" spans="1:19" ht="15" hidden="1" x14ac:dyDescent="0.25">
      <c r="A3211" s="7" t="s">
        <v>16</v>
      </c>
      <c r="B3211" s="7" t="s">
        <v>230</v>
      </c>
      <c r="C3211" s="7" t="s">
        <v>24</v>
      </c>
      <c r="D3211" s="4">
        <v>2560878000107</v>
      </c>
      <c r="E3211" s="8" t="s">
        <v>781</v>
      </c>
      <c r="F3211" s="8" t="s">
        <v>739</v>
      </c>
      <c r="G3211" s="8" t="s">
        <v>55</v>
      </c>
      <c r="H3211" s="8" t="s">
        <v>215</v>
      </c>
      <c r="I3211" s="3">
        <v>2</v>
      </c>
      <c r="J3211" s="8" t="s">
        <v>163</v>
      </c>
      <c r="K3211" s="8" t="s">
        <v>164</v>
      </c>
      <c r="L3211" s="8" t="s">
        <v>557</v>
      </c>
      <c r="M3211" s="1" t="s">
        <v>211</v>
      </c>
      <c r="N3211" s="8" t="s">
        <v>212</v>
      </c>
      <c r="O3211" s="6">
        <v>0</v>
      </c>
      <c r="P3211" s="6">
        <v>18</v>
      </c>
      <c r="Q3211" s="6">
        <v>10</v>
      </c>
      <c r="R3211" s="6">
        <v>0</v>
      </c>
      <c r="S3211" s="6">
        <v>175</v>
      </c>
    </row>
    <row r="3212" spans="1:19" ht="15" hidden="1" x14ac:dyDescent="0.25">
      <c r="A3212" s="7" t="s">
        <v>16</v>
      </c>
      <c r="B3212" s="7" t="s">
        <v>230</v>
      </c>
      <c r="C3212" s="7" t="s">
        <v>24</v>
      </c>
      <c r="D3212" s="4">
        <v>2560878000107</v>
      </c>
      <c r="E3212" s="8" t="s">
        <v>781</v>
      </c>
      <c r="F3212" s="8" t="s">
        <v>739</v>
      </c>
      <c r="G3212" s="8" t="s">
        <v>55</v>
      </c>
      <c r="H3212" s="8" t="s">
        <v>215</v>
      </c>
      <c r="I3212" s="3">
        <v>2</v>
      </c>
      <c r="J3212" s="8" t="s">
        <v>201</v>
      </c>
      <c r="K3212" s="8" t="s">
        <v>202</v>
      </c>
      <c r="L3212" s="8" t="s">
        <v>740</v>
      </c>
      <c r="M3212" s="1" t="s">
        <v>211</v>
      </c>
      <c r="N3212" s="8" t="s">
        <v>212</v>
      </c>
      <c r="O3212" s="6">
        <v>0</v>
      </c>
      <c r="P3212" s="6">
        <v>0</v>
      </c>
      <c r="Q3212" s="6">
        <v>0</v>
      </c>
      <c r="R3212" s="6">
        <v>0</v>
      </c>
      <c r="S3212" s="6">
        <v>175</v>
      </c>
    </row>
    <row r="3213" spans="1:19" ht="15" hidden="1" x14ac:dyDescent="0.25">
      <c r="A3213" s="7" t="s">
        <v>16</v>
      </c>
      <c r="B3213" s="7" t="s">
        <v>230</v>
      </c>
      <c r="C3213" s="7" t="s">
        <v>24</v>
      </c>
      <c r="D3213" s="4">
        <v>60884855002289</v>
      </c>
      <c r="E3213" s="8" t="s">
        <v>920</v>
      </c>
      <c r="F3213" s="8" t="s">
        <v>739</v>
      </c>
      <c r="G3213" s="8" t="s">
        <v>55</v>
      </c>
      <c r="H3213" s="8" t="s">
        <v>215</v>
      </c>
      <c r="I3213" s="3">
        <v>2</v>
      </c>
      <c r="J3213" s="8" t="s">
        <v>163</v>
      </c>
      <c r="K3213" s="8" t="s">
        <v>164</v>
      </c>
      <c r="L3213" s="8" t="s">
        <v>557</v>
      </c>
      <c r="M3213" s="1" t="s">
        <v>211</v>
      </c>
      <c r="N3213" s="8" t="s">
        <v>212</v>
      </c>
      <c r="O3213" s="6">
        <v>0</v>
      </c>
      <c r="P3213" s="6">
        <v>5</v>
      </c>
      <c r="Q3213" s="6">
        <v>10</v>
      </c>
      <c r="R3213" s="6">
        <v>0</v>
      </c>
      <c r="S3213" s="6">
        <v>370</v>
      </c>
    </row>
    <row r="3214" spans="1:19" ht="15" hidden="1" x14ac:dyDescent="0.25">
      <c r="A3214" s="7" t="s">
        <v>16</v>
      </c>
      <c r="B3214" s="7" t="s">
        <v>230</v>
      </c>
      <c r="C3214" s="7" t="s">
        <v>24</v>
      </c>
      <c r="D3214" s="4">
        <v>60884855002289</v>
      </c>
      <c r="E3214" s="8" t="s">
        <v>920</v>
      </c>
      <c r="F3214" s="8" t="s">
        <v>739</v>
      </c>
      <c r="G3214" s="8" t="s">
        <v>55</v>
      </c>
      <c r="H3214" s="8" t="s">
        <v>215</v>
      </c>
      <c r="I3214" s="3">
        <v>2</v>
      </c>
      <c r="J3214" s="8" t="s">
        <v>201</v>
      </c>
      <c r="K3214" s="8" t="s">
        <v>202</v>
      </c>
      <c r="L3214" s="8" t="s">
        <v>740</v>
      </c>
      <c r="M3214" s="1" t="s">
        <v>211</v>
      </c>
      <c r="N3214" s="8" t="s">
        <v>212</v>
      </c>
      <c r="O3214" s="6">
        <v>0</v>
      </c>
      <c r="P3214" s="6">
        <v>0</v>
      </c>
      <c r="Q3214" s="6">
        <v>0</v>
      </c>
      <c r="R3214" s="6">
        <v>0</v>
      </c>
      <c r="S3214" s="6">
        <v>370</v>
      </c>
    </row>
    <row r="3215" spans="1:19" ht="15" hidden="1" x14ac:dyDescent="0.25">
      <c r="A3215" s="7" t="s">
        <v>16</v>
      </c>
      <c r="B3215" s="7" t="s">
        <v>230</v>
      </c>
      <c r="C3215" s="7" t="s">
        <v>24</v>
      </c>
      <c r="D3215" s="4">
        <v>6047087004207</v>
      </c>
      <c r="E3215" s="8" t="s">
        <v>811</v>
      </c>
      <c r="F3215" s="8" t="s">
        <v>739</v>
      </c>
      <c r="G3215" s="8" t="s">
        <v>55</v>
      </c>
      <c r="H3215" s="8" t="s">
        <v>215</v>
      </c>
      <c r="I3215" s="3">
        <v>2</v>
      </c>
      <c r="J3215" s="8" t="s">
        <v>163</v>
      </c>
      <c r="K3215" s="8" t="s">
        <v>164</v>
      </c>
      <c r="L3215" s="8" t="s">
        <v>557</v>
      </c>
      <c r="M3215" s="1" t="s">
        <v>211</v>
      </c>
      <c r="N3215" s="8" t="s">
        <v>212</v>
      </c>
      <c r="O3215" s="6">
        <v>0</v>
      </c>
      <c r="P3215" s="6">
        <v>34</v>
      </c>
      <c r="Q3215" s="6">
        <v>11</v>
      </c>
      <c r="R3215" s="6">
        <v>0</v>
      </c>
      <c r="S3215" s="6">
        <v>0</v>
      </c>
    </row>
    <row r="3216" spans="1:19" ht="15" hidden="1" x14ac:dyDescent="0.25">
      <c r="A3216" s="7" t="s">
        <v>16</v>
      </c>
      <c r="B3216" s="7" t="s">
        <v>230</v>
      </c>
      <c r="C3216" s="7" t="s">
        <v>24</v>
      </c>
      <c r="D3216" s="4">
        <v>6047087004207</v>
      </c>
      <c r="E3216" s="8" t="s">
        <v>811</v>
      </c>
      <c r="F3216" s="8" t="s">
        <v>739</v>
      </c>
      <c r="G3216" s="8" t="s">
        <v>55</v>
      </c>
      <c r="H3216" s="8" t="s">
        <v>215</v>
      </c>
      <c r="I3216" s="3">
        <v>2</v>
      </c>
      <c r="J3216" s="8" t="s">
        <v>201</v>
      </c>
      <c r="K3216" s="8" t="s">
        <v>202</v>
      </c>
      <c r="L3216" s="8" t="s">
        <v>740</v>
      </c>
      <c r="M3216" s="1" t="s">
        <v>211</v>
      </c>
      <c r="N3216" s="8" t="s">
        <v>212</v>
      </c>
      <c r="O3216" s="6">
        <v>0</v>
      </c>
      <c r="P3216" s="6">
        <v>0</v>
      </c>
      <c r="Q3216" s="6">
        <v>0</v>
      </c>
      <c r="R3216" s="6">
        <v>0</v>
      </c>
      <c r="S3216" s="6">
        <v>0</v>
      </c>
    </row>
    <row r="3217" spans="1:19" ht="15" hidden="1" x14ac:dyDescent="0.25">
      <c r="A3217" s="7" t="s">
        <v>16</v>
      </c>
      <c r="B3217" s="7" t="s">
        <v>230</v>
      </c>
      <c r="C3217" s="7" t="s">
        <v>24</v>
      </c>
      <c r="D3217" s="4">
        <v>38000485000196</v>
      </c>
      <c r="E3217" s="8" t="s">
        <v>917</v>
      </c>
      <c r="F3217" s="8" t="s">
        <v>739</v>
      </c>
      <c r="G3217" s="8" t="s">
        <v>55</v>
      </c>
      <c r="H3217" s="8" t="s">
        <v>215</v>
      </c>
      <c r="I3217" s="3">
        <v>2</v>
      </c>
      <c r="J3217" s="8" t="s">
        <v>163</v>
      </c>
      <c r="K3217" s="8" t="s">
        <v>164</v>
      </c>
      <c r="L3217" s="8" t="s">
        <v>557</v>
      </c>
      <c r="M3217" s="1" t="s">
        <v>211</v>
      </c>
      <c r="N3217" s="8" t="s">
        <v>212</v>
      </c>
      <c r="O3217" s="6">
        <v>0</v>
      </c>
      <c r="P3217" s="6">
        <v>7</v>
      </c>
      <c r="Q3217" s="6">
        <v>0</v>
      </c>
      <c r="R3217" s="6">
        <v>0</v>
      </c>
      <c r="S3217" s="6">
        <v>0</v>
      </c>
    </row>
    <row r="3218" spans="1:19" ht="15" hidden="1" x14ac:dyDescent="0.25">
      <c r="A3218" s="7" t="s">
        <v>16</v>
      </c>
      <c r="B3218" s="7" t="s">
        <v>230</v>
      </c>
      <c r="C3218" s="7" t="s">
        <v>24</v>
      </c>
      <c r="D3218" s="4">
        <v>38000485000196</v>
      </c>
      <c r="E3218" s="8" t="s">
        <v>917</v>
      </c>
      <c r="F3218" s="8" t="s">
        <v>739</v>
      </c>
      <c r="G3218" s="8" t="s">
        <v>55</v>
      </c>
      <c r="H3218" s="8" t="s">
        <v>215</v>
      </c>
      <c r="I3218" s="3">
        <v>2</v>
      </c>
      <c r="J3218" s="8" t="s">
        <v>201</v>
      </c>
      <c r="K3218" s="8" t="s">
        <v>202</v>
      </c>
      <c r="L3218" s="8" t="s">
        <v>740</v>
      </c>
      <c r="M3218" s="1" t="s">
        <v>211</v>
      </c>
      <c r="N3218" s="8" t="s">
        <v>212</v>
      </c>
      <c r="O3218" s="6">
        <v>0</v>
      </c>
      <c r="P3218" s="6">
        <v>0</v>
      </c>
      <c r="Q3218" s="6">
        <v>0</v>
      </c>
      <c r="R3218" s="6">
        <v>0</v>
      </c>
      <c r="S3218" s="6">
        <v>0</v>
      </c>
    </row>
    <row r="3219" spans="1:19" ht="15" hidden="1" x14ac:dyDescent="0.25">
      <c r="A3219" s="7" t="s">
        <v>16</v>
      </c>
      <c r="B3219" s="7" t="s">
        <v>230</v>
      </c>
      <c r="C3219" s="7" t="s">
        <v>24</v>
      </c>
      <c r="D3219" s="4">
        <v>72576143000157</v>
      </c>
      <c r="E3219" s="8" t="s">
        <v>1235</v>
      </c>
      <c r="F3219" s="8" t="s">
        <v>739</v>
      </c>
      <c r="G3219" s="8" t="s">
        <v>55</v>
      </c>
      <c r="H3219" s="8" t="s">
        <v>215</v>
      </c>
      <c r="I3219" s="3">
        <v>2</v>
      </c>
      <c r="J3219" s="8" t="s">
        <v>163</v>
      </c>
      <c r="K3219" s="8" t="s">
        <v>164</v>
      </c>
      <c r="L3219" s="8" t="s">
        <v>557</v>
      </c>
      <c r="M3219" s="1" t="s">
        <v>211</v>
      </c>
      <c r="N3219" s="8" t="s">
        <v>212</v>
      </c>
      <c r="O3219" s="6">
        <v>0</v>
      </c>
      <c r="P3219" s="6">
        <v>5</v>
      </c>
      <c r="Q3219" s="6">
        <v>0</v>
      </c>
      <c r="R3219" s="6">
        <v>0</v>
      </c>
      <c r="S3219" s="6">
        <v>0</v>
      </c>
    </row>
    <row r="3220" spans="1:19" ht="15" hidden="1" x14ac:dyDescent="0.25">
      <c r="A3220" s="7" t="s">
        <v>16</v>
      </c>
      <c r="B3220" s="7" t="s">
        <v>230</v>
      </c>
      <c r="C3220" s="7" t="s">
        <v>24</v>
      </c>
      <c r="D3220" s="4">
        <v>72576143000157</v>
      </c>
      <c r="E3220" s="8" t="s">
        <v>1235</v>
      </c>
      <c r="F3220" s="8" t="s">
        <v>739</v>
      </c>
      <c r="G3220" s="8" t="s">
        <v>55</v>
      </c>
      <c r="H3220" s="8" t="s">
        <v>215</v>
      </c>
      <c r="I3220" s="3">
        <v>2</v>
      </c>
      <c r="J3220" s="8" t="s">
        <v>201</v>
      </c>
      <c r="K3220" s="8" t="s">
        <v>202</v>
      </c>
      <c r="L3220" s="8" t="s">
        <v>740</v>
      </c>
      <c r="M3220" s="1" t="s">
        <v>211</v>
      </c>
      <c r="N3220" s="8" t="s">
        <v>212</v>
      </c>
      <c r="O3220" s="6">
        <v>0</v>
      </c>
      <c r="P3220" s="6">
        <v>0</v>
      </c>
      <c r="Q3220" s="6">
        <v>0</v>
      </c>
      <c r="R3220" s="6">
        <v>0</v>
      </c>
      <c r="S3220" s="6">
        <v>0</v>
      </c>
    </row>
    <row r="3221" spans="1:19" ht="15" hidden="1" x14ac:dyDescent="0.25">
      <c r="A3221" s="7" t="s">
        <v>16</v>
      </c>
      <c r="B3221" s="7" t="s">
        <v>230</v>
      </c>
      <c r="C3221" s="7" t="s">
        <v>24</v>
      </c>
      <c r="D3221" s="4">
        <v>61590410000558</v>
      </c>
      <c r="E3221" s="8" t="s">
        <v>922</v>
      </c>
      <c r="F3221" s="8" t="s">
        <v>739</v>
      </c>
      <c r="G3221" s="8" t="s">
        <v>55</v>
      </c>
      <c r="H3221" s="8" t="s">
        <v>215</v>
      </c>
      <c r="I3221" s="3">
        <v>2</v>
      </c>
      <c r="J3221" s="8" t="s">
        <v>163</v>
      </c>
      <c r="K3221" s="8" t="s">
        <v>164</v>
      </c>
      <c r="L3221" s="8" t="s">
        <v>557</v>
      </c>
      <c r="M3221" s="1" t="s">
        <v>211</v>
      </c>
      <c r="N3221" s="8" t="s">
        <v>212</v>
      </c>
      <c r="O3221" s="6">
        <v>0</v>
      </c>
      <c r="P3221" s="6">
        <v>0</v>
      </c>
      <c r="Q3221" s="6">
        <v>0</v>
      </c>
      <c r="R3221" s="6">
        <v>0</v>
      </c>
      <c r="S3221" s="6">
        <v>0</v>
      </c>
    </row>
    <row r="3222" spans="1:19" ht="15" hidden="1" x14ac:dyDescent="0.25">
      <c r="A3222" s="7" t="s">
        <v>16</v>
      </c>
      <c r="B3222" s="7" t="s">
        <v>230</v>
      </c>
      <c r="C3222" s="7" t="s">
        <v>24</v>
      </c>
      <c r="D3222" s="4">
        <v>61590410000558</v>
      </c>
      <c r="E3222" s="8" t="s">
        <v>922</v>
      </c>
      <c r="F3222" s="8" t="s">
        <v>739</v>
      </c>
      <c r="G3222" s="8" t="s">
        <v>55</v>
      </c>
      <c r="H3222" s="8" t="s">
        <v>215</v>
      </c>
      <c r="I3222" s="3">
        <v>2</v>
      </c>
      <c r="J3222" s="8" t="s">
        <v>201</v>
      </c>
      <c r="K3222" s="8" t="s">
        <v>202</v>
      </c>
      <c r="L3222" s="8" t="s">
        <v>740</v>
      </c>
      <c r="M3222" s="1" t="s">
        <v>211</v>
      </c>
      <c r="N3222" s="8" t="s">
        <v>212</v>
      </c>
      <c r="O3222" s="6">
        <v>0</v>
      </c>
      <c r="P3222" s="6">
        <v>0</v>
      </c>
      <c r="Q3222" s="6">
        <v>0</v>
      </c>
      <c r="R3222" s="6">
        <v>16</v>
      </c>
      <c r="S3222" s="6">
        <v>0</v>
      </c>
    </row>
    <row r="3223" spans="1:19" ht="15" hidden="1" x14ac:dyDescent="0.25">
      <c r="A3223" s="7" t="s">
        <v>16</v>
      </c>
      <c r="B3223" s="7" t="s">
        <v>230</v>
      </c>
      <c r="C3223" s="7" t="s">
        <v>24</v>
      </c>
      <c r="D3223" s="4">
        <v>10942995000163</v>
      </c>
      <c r="E3223" s="8" t="s">
        <v>836</v>
      </c>
      <c r="F3223" s="8" t="s">
        <v>739</v>
      </c>
      <c r="G3223" s="8" t="s">
        <v>55</v>
      </c>
      <c r="H3223" s="8" t="s">
        <v>215</v>
      </c>
      <c r="I3223" s="3">
        <v>2</v>
      </c>
      <c r="J3223" s="8" t="s">
        <v>163</v>
      </c>
      <c r="K3223" s="8" t="s">
        <v>164</v>
      </c>
      <c r="L3223" s="8" t="s">
        <v>557</v>
      </c>
      <c r="M3223" s="1" t="s">
        <v>211</v>
      </c>
      <c r="N3223" s="8" t="s">
        <v>212</v>
      </c>
      <c r="O3223" s="6">
        <v>0</v>
      </c>
      <c r="P3223" s="6">
        <v>0</v>
      </c>
      <c r="Q3223" s="6">
        <v>0</v>
      </c>
      <c r="R3223" s="6">
        <v>0</v>
      </c>
      <c r="S3223" s="6">
        <v>500</v>
      </c>
    </row>
    <row r="3224" spans="1:19" ht="15" hidden="1" x14ac:dyDescent="0.25">
      <c r="A3224" s="7" t="s">
        <v>16</v>
      </c>
      <c r="B3224" s="7" t="s">
        <v>230</v>
      </c>
      <c r="C3224" s="7" t="s">
        <v>24</v>
      </c>
      <c r="D3224" s="4">
        <v>10942995000163</v>
      </c>
      <c r="E3224" s="8" t="s">
        <v>836</v>
      </c>
      <c r="F3224" s="8" t="s">
        <v>739</v>
      </c>
      <c r="G3224" s="8" t="s">
        <v>55</v>
      </c>
      <c r="H3224" s="8" t="s">
        <v>215</v>
      </c>
      <c r="I3224" s="3">
        <v>2</v>
      </c>
      <c r="J3224" s="8" t="s">
        <v>201</v>
      </c>
      <c r="K3224" s="8" t="s">
        <v>202</v>
      </c>
      <c r="L3224" s="8" t="s">
        <v>740</v>
      </c>
      <c r="M3224" s="1" t="s">
        <v>211</v>
      </c>
      <c r="N3224" s="8" t="s">
        <v>212</v>
      </c>
      <c r="O3224" s="6">
        <v>0</v>
      </c>
      <c r="P3224" s="6">
        <v>0</v>
      </c>
      <c r="Q3224" s="6">
        <v>0</v>
      </c>
      <c r="R3224" s="6">
        <v>80</v>
      </c>
      <c r="S3224" s="6">
        <v>500</v>
      </c>
    </row>
    <row r="3225" spans="1:19" ht="15" hidden="1" x14ac:dyDescent="0.25">
      <c r="A3225" s="7" t="s">
        <v>16</v>
      </c>
      <c r="B3225" s="7" t="s">
        <v>230</v>
      </c>
      <c r="C3225" s="7" t="s">
        <v>24</v>
      </c>
      <c r="D3225" s="4">
        <v>11859927000106</v>
      </c>
      <c r="E3225" s="8" t="s">
        <v>846</v>
      </c>
      <c r="F3225" s="8" t="s">
        <v>739</v>
      </c>
      <c r="G3225" s="8" t="s">
        <v>55</v>
      </c>
      <c r="H3225" s="8" t="s">
        <v>215</v>
      </c>
      <c r="I3225" s="3">
        <v>2</v>
      </c>
      <c r="J3225" s="8" t="s">
        <v>163</v>
      </c>
      <c r="K3225" s="8" t="s">
        <v>164</v>
      </c>
      <c r="L3225" s="8" t="s">
        <v>557</v>
      </c>
      <c r="M3225" s="1" t="s">
        <v>211</v>
      </c>
      <c r="N3225" s="8" t="s">
        <v>212</v>
      </c>
      <c r="O3225" s="6">
        <v>0</v>
      </c>
      <c r="P3225" s="6">
        <v>0</v>
      </c>
      <c r="Q3225" s="6">
        <v>0</v>
      </c>
      <c r="R3225" s="6">
        <v>0</v>
      </c>
      <c r="S3225" s="6">
        <v>0</v>
      </c>
    </row>
    <row r="3226" spans="1:19" ht="15" hidden="1" x14ac:dyDescent="0.25">
      <c r="A3226" s="7" t="s">
        <v>16</v>
      </c>
      <c r="B3226" s="7" t="s">
        <v>230</v>
      </c>
      <c r="C3226" s="7" t="s">
        <v>24</v>
      </c>
      <c r="D3226" s="4">
        <v>11859927000106</v>
      </c>
      <c r="E3226" s="8" t="s">
        <v>846</v>
      </c>
      <c r="F3226" s="8" t="s">
        <v>739</v>
      </c>
      <c r="G3226" s="8" t="s">
        <v>55</v>
      </c>
      <c r="H3226" s="8" t="s">
        <v>215</v>
      </c>
      <c r="I3226" s="3">
        <v>2</v>
      </c>
      <c r="J3226" s="8" t="s">
        <v>201</v>
      </c>
      <c r="K3226" s="8" t="s">
        <v>202</v>
      </c>
      <c r="L3226" s="8" t="s">
        <v>740</v>
      </c>
      <c r="M3226" s="1" t="s">
        <v>211</v>
      </c>
      <c r="N3226" s="8" t="s">
        <v>212</v>
      </c>
      <c r="O3226" s="6">
        <v>0</v>
      </c>
      <c r="P3226" s="6">
        <v>0</v>
      </c>
      <c r="Q3226" s="6">
        <v>0</v>
      </c>
      <c r="R3226" s="6">
        <v>43</v>
      </c>
      <c r="S3226" s="6">
        <v>0</v>
      </c>
    </row>
    <row r="3227" spans="1:19" ht="15" hidden="1" x14ac:dyDescent="0.25">
      <c r="A3227" s="7" t="s">
        <v>16</v>
      </c>
      <c r="B3227" s="7" t="s">
        <v>230</v>
      </c>
      <c r="C3227" s="7" t="s">
        <v>24</v>
      </c>
      <c r="D3227" s="4">
        <v>16739984000167</v>
      </c>
      <c r="E3227" s="8" t="s">
        <v>900</v>
      </c>
      <c r="F3227" s="8" t="s">
        <v>739</v>
      </c>
      <c r="G3227" s="8" t="s">
        <v>55</v>
      </c>
      <c r="H3227" s="8" t="s">
        <v>215</v>
      </c>
      <c r="I3227" s="3">
        <v>2</v>
      </c>
      <c r="J3227" s="8" t="s">
        <v>163</v>
      </c>
      <c r="K3227" s="8" t="s">
        <v>164</v>
      </c>
      <c r="L3227" s="8" t="s">
        <v>557</v>
      </c>
      <c r="M3227" s="1" t="s">
        <v>211</v>
      </c>
      <c r="N3227" s="8" t="s">
        <v>212</v>
      </c>
      <c r="O3227" s="6">
        <v>0</v>
      </c>
      <c r="P3227" s="6">
        <v>0</v>
      </c>
      <c r="Q3227" s="6">
        <v>0</v>
      </c>
      <c r="R3227" s="6">
        <v>0</v>
      </c>
      <c r="S3227" s="6">
        <v>0</v>
      </c>
    </row>
    <row r="3228" spans="1:19" ht="15" hidden="1" x14ac:dyDescent="0.25">
      <c r="A3228" s="7" t="s">
        <v>16</v>
      </c>
      <c r="B3228" s="7" t="s">
        <v>230</v>
      </c>
      <c r="C3228" s="7" t="s">
        <v>24</v>
      </c>
      <c r="D3228" s="4">
        <v>16739984000167</v>
      </c>
      <c r="E3228" s="8" t="s">
        <v>900</v>
      </c>
      <c r="F3228" s="8" t="s">
        <v>739</v>
      </c>
      <c r="G3228" s="8" t="s">
        <v>55</v>
      </c>
      <c r="H3228" s="8" t="s">
        <v>215</v>
      </c>
      <c r="I3228" s="3">
        <v>2</v>
      </c>
      <c r="J3228" s="8" t="s">
        <v>201</v>
      </c>
      <c r="K3228" s="8" t="s">
        <v>202</v>
      </c>
      <c r="L3228" s="8" t="s">
        <v>740</v>
      </c>
      <c r="M3228" s="1" t="s">
        <v>211</v>
      </c>
      <c r="N3228" s="8" t="s">
        <v>212</v>
      </c>
      <c r="O3228" s="6">
        <v>0</v>
      </c>
      <c r="P3228" s="6">
        <v>0</v>
      </c>
      <c r="Q3228" s="6">
        <v>0</v>
      </c>
      <c r="R3228" s="6">
        <v>48</v>
      </c>
      <c r="S3228" s="6">
        <v>0</v>
      </c>
    </row>
    <row r="3229" spans="1:19" ht="15" hidden="1" x14ac:dyDescent="0.25">
      <c r="A3229" s="7" t="s">
        <v>16</v>
      </c>
      <c r="B3229" s="7" t="s">
        <v>230</v>
      </c>
      <c r="C3229" s="7" t="s">
        <v>24</v>
      </c>
      <c r="D3229" s="4">
        <v>511816000180</v>
      </c>
      <c r="E3229" s="8" t="s">
        <v>754</v>
      </c>
      <c r="F3229" s="8" t="s">
        <v>739</v>
      </c>
      <c r="G3229" s="8" t="s">
        <v>55</v>
      </c>
      <c r="H3229" s="8" t="s">
        <v>215</v>
      </c>
      <c r="I3229" s="3">
        <v>2</v>
      </c>
      <c r="J3229" s="8" t="s">
        <v>163</v>
      </c>
      <c r="K3229" s="8" t="s">
        <v>164</v>
      </c>
      <c r="L3229" s="8" t="s">
        <v>557</v>
      </c>
      <c r="M3229" s="1" t="s">
        <v>211</v>
      </c>
      <c r="N3229" s="8" t="s">
        <v>212</v>
      </c>
      <c r="O3229" s="6">
        <v>0</v>
      </c>
      <c r="P3229" s="6">
        <v>3</v>
      </c>
      <c r="Q3229" s="6">
        <v>0</v>
      </c>
      <c r="R3229" s="6">
        <v>0</v>
      </c>
      <c r="S3229" s="6">
        <v>0</v>
      </c>
    </row>
    <row r="3230" spans="1:19" ht="15" hidden="1" x14ac:dyDescent="0.25">
      <c r="A3230" s="7" t="s">
        <v>16</v>
      </c>
      <c r="B3230" s="7" t="s">
        <v>230</v>
      </c>
      <c r="C3230" s="7" t="s">
        <v>24</v>
      </c>
      <c r="D3230" s="4">
        <v>511816000180</v>
      </c>
      <c r="E3230" s="8" t="s">
        <v>754</v>
      </c>
      <c r="F3230" s="8" t="s">
        <v>739</v>
      </c>
      <c r="G3230" s="8" t="s">
        <v>55</v>
      </c>
      <c r="H3230" s="8" t="s">
        <v>215</v>
      </c>
      <c r="I3230" s="3">
        <v>2</v>
      </c>
      <c r="J3230" s="8" t="s">
        <v>201</v>
      </c>
      <c r="K3230" s="8" t="s">
        <v>202</v>
      </c>
      <c r="L3230" s="8" t="s">
        <v>740</v>
      </c>
      <c r="M3230" s="1" t="s">
        <v>211</v>
      </c>
      <c r="N3230" s="8" t="s">
        <v>212</v>
      </c>
      <c r="O3230" s="6">
        <v>0</v>
      </c>
      <c r="P3230" s="6">
        <v>0</v>
      </c>
      <c r="Q3230" s="6">
        <v>0</v>
      </c>
      <c r="R3230" s="6">
        <v>0</v>
      </c>
      <c r="S3230" s="6">
        <v>0</v>
      </c>
    </row>
    <row r="3231" spans="1:19" ht="15" hidden="1" x14ac:dyDescent="0.25">
      <c r="A3231" s="7" t="s">
        <v>16</v>
      </c>
      <c r="B3231" s="7" t="s">
        <v>230</v>
      </c>
      <c r="C3231" s="7" t="s">
        <v>24</v>
      </c>
      <c r="D3231" s="4">
        <v>25841000153</v>
      </c>
      <c r="E3231" s="8" t="s">
        <v>738</v>
      </c>
      <c r="F3231" s="8" t="s">
        <v>739</v>
      </c>
      <c r="G3231" s="8" t="s">
        <v>55</v>
      </c>
      <c r="H3231" s="8" t="s">
        <v>215</v>
      </c>
      <c r="I3231" s="3">
        <v>2</v>
      </c>
      <c r="J3231" s="8" t="s">
        <v>163</v>
      </c>
      <c r="K3231" s="8" t="s">
        <v>164</v>
      </c>
      <c r="L3231" s="8" t="s">
        <v>557</v>
      </c>
      <c r="M3231" s="1" t="s">
        <v>211</v>
      </c>
      <c r="N3231" s="8" t="s">
        <v>212</v>
      </c>
      <c r="O3231" s="6">
        <v>0</v>
      </c>
      <c r="P3231" s="6">
        <v>24</v>
      </c>
      <c r="Q3231" s="6">
        <v>0</v>
      </c>
      <c r="R3231" s="6">
        <v>0</v>
      </c>
      <c r="S3231" s="6">
        <v>0</v>
      </c>
    </row>
    <row r="3232" spans="1:19" ht="15" hidden="1" x14ac:dyDescent="0.25">
      <c r="A3232" s="7" t="s">
        <v>16</v>
      </c>
      <c r="B3232" s="7" t="s">
        <v>230</v>
      </c>
      <c r="C3232" s="7" t="s">
        <v>24</v>
      </c>
      <c r="D3232" s="4">
        <v>25841000153</v>
      </c>
      <c r="E3232" s="8" t="s">
        <v>738</v>
      </c>
      <c r="F3232" s="8" t="s">
        <v>739</v>
      </c>
      <c r="G3232" s="8" t="s">
        <v>55</v>
      </c>
      <c r="H3232" s="8" t="s">
        <v>215</v>
      </c>
      <c r="I3232" s="3">
        <v>2</v>
      </c>
      <c r="J3232" s="8" t="s">
        <v>201</v>
      </c>
      <c r="K3232" s="8" t="s">
        <v>202</v>
      </c>
      <c r="L3232" s="8" t="s">
        <v>740</v>
      </c>
      <c r="M3232" s="1" t="s">
        <v>211</v>
      </c>
      <c r="N3232" s="8" t="s">
        <v>212</v>
      </c>
      <c r="O3232" s="6">
        <v>0</v>
      </c>
      <c r="P3232" s="6">
        <v>0</v>
      </c>
      <c r="Q3232" s="6">
        <v>0</v>
      </c>
      <c r="R3232" s="6">
        <v>0</v>
      </c>
      <c r="S3232" s="6">
        <v>0</v>
      </c>
    </row>
    <row r="3233" spans="1:19" ht="15" hidden="1" x14ac:dyDescent="0.25">
      <c r="A3233" s="7" t="s">
        <v>16</v>
      </c>
      <c r="B3233" s="7" t="s">
        <v>230</v>
      </c>
      <c r="C3233" s="7" t="s">
        <v>24</v>
      </c>
      <c r="D3233" s="4">
        <v>61590410001287</v>
      </c>
      <c r="E3233" s="8" t="s">
        <v>923</v>
      </c>
      <c r="F3233" s="8" t="s">
        <v>739</v>
      </c>
      <c r="G3233" s="8" t="s">
        <v>55</v>
      </c>
      <c r="H3233" s="8" t="s">
        <v>215</v>
      </c>
      <c r="I3233" s="3">
        <v>2</v>
      </c>
      <c r="J3233" s="8" t="s">
        <v>163</v>
      </c>
      <c r="K3233" s="8" t="s">
        <v>164</v>
      </c>
      <c r="L3233" s="8" t="s">
        <v>557</v>
      </c>
      <c r="M3233" s="1" t="s">
        <v>211</v>
      </c>
      <c r="N3233" s="8" t="s">
        <v>212</v>
      </c>
      <c r="O3233" s="6">
        <v>0</v>
      </c>
      <c r="P3233" s="6">
        <v>0</v>
      </c>
      <c r="Q3233" s="6">
        <v>3</v>
      </c>
      <c r="R3233" s="6">
        <v>0</v>
      </c>
      <c r="S3233" s="6">
        <v>1300</v>
      </c>
    </row>
    <row r="3234" spans="1:19" ht="15" hidden="1" x14ac:dyDescent="0.25">
      <c r="A3234" s="7" t="s">
        <v>16</v>
      </c>
      <c r="B3234" s="7" t="s">
        <v>230</v>
      </c>
      <c r="C3234" s="7" t="s">
        <v>24</v>
      </c>
      <c r="D3234" s="4">
        <v>61590410001287</v>
      </c>
      <c r="E3234" s="8" t="s">
        <v>923</v>
      </c>
      <c r="F3234" s="8" t="s">
        <v>739</v>
      </c>
      <c r="G3234" s="8" t="s">
        <v>55</v>
      </c>
      <c r="H3234" s="8" t="s">
        <v>215</v>
      </c>
      <c r="I3234" s="3">
        <v>2</v>
      </c>
      <c r="J3234" s="8" t="s">
        <v>201</v>
      </c>
      <c r="K3234" s="8" t="s">
        <v>202</v>
      </c>
      <c r="L3234" s="8" t="s">
        <v>740</v>
      </c>
      <c r="M3234" s="1" t="s">
        <v>211</v>
      </c>
      <c r="N3234" s="8" t="s">
        <v>212</v>
      </c>
      <c r="O3234" s="6">
        <v>0</v>
      </c>
      <c r="P3234" s="6">
        <v>0</v>
      </c>
      <c r="Q3234" s="6">
        <v>0</v>
      </c>
      <c r="R3234" s="6">
        <v>0</v>
      </c>
      <c r="S3234" s="6">
        <v>1300</v>
      </c>
    </row>
    <row r="3235" spans="1:19" ht="15" hidden="1" x14ac:dyDescent="0.25">
      <c r="A3235" s="7" t="s">
        <v>16</v>
      </c>
      <c r="B3235" s="7" t="s">
        <v>230</v>
      </c>
      <c r="C3235" s="7" t="s">
        <v>24</v>
      </c>
      <c r="D3235" s="4">
        <v>27193705000129</v>
      </c>
      <c r="E3235" s="8" t="s">
        <v>1428</v>
      </c>
      <c r="F3235" s="8" t="s">
        <v>1429</v>
      </c>
      <c r="G3235" s="8" t="s">
        <v>98</v>
      </c>
      <c r="H3235" s="8" t="s">
        <v>215</v>
      </c>
      <c r="I3235" s="3">
        <v>1</v>
      </c>
      <c r="J3235" s="8" t="s">
        <v>159</v>
      </c>
      <c r="K3235" s="8" t="s">
        <v>160</v>
      </c>
      <c r="L3235" s="8" t="s">
        <v>740</v>
      </c>
      <c r="M3235" s="1" t="s">
        <v>205</v>
      </c>
      <c r="N3235" s="8" t="s">
        <v>206</v>
      </c>
      <c r="O3235" s="6">
        <v>0</v>
      </c>
      <c r="P3235" s="6">
        <v>10</v>
      </c>
      <c r="Q3235" s="6">
        <v>0</v>
      </c>
      <c r="R3235" s="6">
        <v>0</v>
      </c>
      <c r="S3235" s="6">
        <v>0</v>
      </c>
    </row>
    <row r="3236" spans="1:19" ht="15" hidden="1" x14ac:dyDescent="0.25">
      <c r="A3236" s="7" t="s">
        <v>16</v>
      </c>
      <c r="B3236" s="7" t="s">
        <v>230</v>
      </c>
      <c r="C3236" s="7" t="s">
        <v>24</v>
      </c>
      <c r="D3236" s="4">
        <v>7039651000134</v>
      </c>
      <c r="E3236" s="8" t="s">
        <v>1153</v>
      </c>
      <c r="F3236" s="8" t="s">
        <v>116</v>
      </c>
      <c r="G3236" s="8" t="s">
        <v>98</v>
      </c>
      <c r="H3236" s="8" t="s">
        <v>215</v>
      </c>
      <c r="I3236" s="3">
        <v>1</v>
      </c>
      <c r="J3236" s="8" t="s">
        <v>159</v>
      </c>
      <c r="K3236" s="8" t="s">
        <v>160</v>
      </c>
      <c r="L3236" s="8" t="s">
        <v>740</v>
      </c>
      <c r="M3236" s="1" t="s">
        <v>205</v>
      </c>
      <c r="N3236" s="8" t="s">
        <v>206</v>
      </c>
      <c r="O3236" s="6">
        <v>0</v>
      </c>
      <c r="P3236" s="6">
        <v>0</v>
      </c>
      <c r="Q3236" s="6">
        <v>0</v>
      </c>
      <c r="R3236" s="6">
        <v>0</v>
      </c>
      <c r="S3236" s="6">
        <v>25</v>
      </c>
    </row>
    <row r="3237" spans="1:19" ht="15" hidden="1" x14ac:dyDescent="0.25">
      <c r="A3237" s="7" t="s">
        <v>16</v>
      </c>
      <c r="B3237" s="7" t="s">
        <v>230</v>
      </c>
      <c r="C3237" s="7" t="s">
        <v>24</v>
      </c>
      <c r="D3237" s="4">
        <v>27080605000781</v>
      </c>
      <c r="E3237" s="8" t="s">
        <v>1426</v>
      </c>
      <c r="F3237" s="8" t="s">
        <v>1427</v>
      </c>
      <c r="G3237" s="8" t="s">
        <v>98</v>
      </c>
      <c r="H3237" s="8" t="s">
        <v>215</v>
      </c>
      <c r="I3237" s="3">
        <v>1</v>
      </c>
      <c r="J3237" s="8" t="s">
        <v>159</v>
      </c>
      <c r="K3237" s="8" t="s">
        <v>160</v>
      </c>
      <c r="L3237" s="8" t="s">
        <v>740</v>
      </c>
      <c r="M3237" s="1" t="s">
        <v>205</v>
      </c>
      <c r="N3237" s="8" t="s">
        <v>206</v>
      </c>
      <c r="O3237" s="6">
        <v>0</v>
      </c>
      <c r="P3237" s="6">
        <v>0</v>
      </c>
      <c r="Q3237" s="6">
        <v>0</v>
      </c>
      <c r="R3237" s="6">
        <v>0</v>
      </c>
      <c r="S3237" s="6">
        <v>250</v>
      </c>
    </row>
    <row r="3238" spans="1:19" ht="15" hidden="1" x14ac:dyDescent="0.25">
      <c r="A3238" s="7" t="s">
        <v>16</v>
      </c>
      <c r="B3238" s="7" t="s">
        <v>230</v>
      </c>
      <c r="C3238" s="7" t="s">
        <v>24</v>
      </c>
      <c r="D3238" s="4">
        <v>29323454000185</v>
      </c>
      <c r="E3238" s="8" t="s">
        <v>1211</v>
      </c>
      <c r="F3238" s="8" t="s">
        <v>543</v>
      </c>
      <c r="G3238" s="8" t="s">
        <v>98</v>
      </c>
      <c r="H3238" s="8" t="s">
        <v>215</v>
      </c>
      <c r="I3238" s="3">
        <v>1</v>
      </c>
      <c r="J3238" s="8" t="s">
        <v>159</v>
      </c>
      <c r="K3238" s="8" t="s">
        <v>160</v>
      </c>
      <c r="L3238" s="8" t="s">
        <v>740</v>
      </c>
      <c r="M3238" s="1" t="s">
        <v>205</v>
      </c>
      <c r="N3238" s="8" t="s">
        <v>206</v>
      </c>
      <c r="O3238" s="6">
        <v>0</v>
      </c>
      <c r="P3238" s="6">
        <v>0</v>
      </c>
      <c r="Q3238" s="6">
        <v>0</v>
      </c>
      <c r="R3238" s="6">
        <v>0</v>
      </c>
      <c r="S3238" s="6">
        <v>350</v>
      </c>
    </row>
    <row r="3239" spans="1:19" ht="15" hidden="1" x14ac:dyDescent="0.25">
      <c r="A3239" s="7" t="s">
        <v>16</v>
      </c>
      <c r="B3239" s="7" t="s">
        <v>230</v>
      </c>
      <c r="C3239" s="7" t="s">
        <v>24</v>
      </c>
      <c r="D3239" s="4">
        <v>1396804000114</v>
      </c>
      <c r="E3239" s="8" t="s">
        <v>1140</v>
      </c>
      <c r="F3239" s="8" t="s">
        <v>97</v>
      </c>
      <c r="G3239" s="8" t="s">
        <v>98</v>
      </c>
      <c r="H3239" s="8" t="s">
        <v>215</v>
      </c>
      <c r="I3239" s="3">
        <v>1</v>
      </c>
      <c r="J3239" s="8" t="s">
        <v>159</v>
      </c>
      <c r="K3239" s="8" t="s">
        <v>160</v>
      </c>
      <c r="L3239" s="8" t="s">
        <v>740</v>
      </c>
      <c r="M3239" s="1" t="s">
        <v>205</v>
      </c>
      <c r="N3239" s="8" t="s">
        <v>206</v>
      </c>
      <c r="O3239" s="6">
        <v>0</v>
      </c>
      <c r="P3239" s="6">
        <v>0</v>
      </c>
      <c r="Q3239" s="6">
        <v>0</v>
      </c>
      <c r="R3239" s="6">
        <v>0</v>
      </c>
      <c r="S3239" s="6">
        <v>25</v>
      </c>
    </row>
    <row r="3240" spans="1:19" ht="15" hidden="1" x14ac:dyDescent="0.25">
      <c r="A3240" s="7" t="s">
        <v>16</v>
      </c>
      <c r="B3240" s="7" t="s">
        <v>230</v>
      </c>
      <c r="C3240" s="7" t="s">
        <v>24</v>
      </c>
      <c r="D3240" s="4">
        <v>4786490000154</v>
      </c>
      <c r="E3240" s="8" t="s">
        <v>1146</v>
      </c>
      <c r="F3240" s="8" t="s">
        <v>97</v>
      </c>
      <c r="G3240" s="8" t="s">
        <v>98</v>
      </c>
      <c r="H3240" s="8" t="s">
        <v>215</v>
      </c>
      <c r="I3240" s="3">
        <v>1</v>
      </c>
      <c r="J3240" s="8" t="s">
        <v>159</v>
      </c>
      <c r="K3240" s="8" t="s">
        <v>160</v>
      </c>
      <c r="L3240" s="8" t="s">
        <v>740</v>
      </c>
      <c r="M3240" s="1" t="s">
        <v>205</v>
      </c>
      <c r="N3240" s="8" t="s">
        <v>206</v>
      </c>
      <c r="O3240" s="6">
        <v>0</v>
      </c>
      <c r="P3240" s="6">
        <v>0</v>
      </c>
      <c r="Q3240" s="6">
        <v>0</v>
      </c>
      <c r="R3240" s="6">
        <v>0</v>
      </c>
      <c r="S3240" s="6">
        <v>245</v>
      </c>
    </row>
    <row r="3241" spans="1:19" ht="15" hidden="1" x14ac:dyDescent="0.25">
      <c r="A3241" s="7" t="s">
        <v>16</v>
      </c>
      <c r="B3241" s="7" t="s">
        <v>230</v>
      </c>
      <c r="C3241" s="7" t="s">
        <v>24</v>
      </c>
      <c r="D3241" s="4">
        <v>28137925000106</v>
      </c>
      <c r="E3241" s="8" t="s">
        <v>1210</v>
      </c>
      <c r="F3241" s="8" t="s">
        <v>1157</v>
      </c>
      <c r="G3241" s="8" t="s">
        <v>98</v>
      </c>
      <c r="H3241" s="8" t="s">
        <v>215</v>
      </c>
      <c r="I3241" s="3">
        <v>1</v>
      </c>
      <c r="J3241" s="8" t="s">
        <v>159</v>
      </c>
      <c r="K3241" s="8" t="s">
        <v>160</v>
      </c>
      <c r="L3241" s="8" t="s">
        <v>740</v>
      </c>
      <c r="M3241" s="1" t="s">
        <v>205</v>
      </c>
      <c r="N3241" s="8" t="s">
        <v>206</v>
      </c>
      <c r="O3241" s="6">
        <v>0</v>
      </c>
      <c r="P3241" s="6">
        <v>0</v>
      </c>
      <c r="Q3241" s="6">
        <v>0</v>
      </c>
      <c r="R3241" s="6">
        <v>0</v>
      </c>
      <c r="S3241" s="6">
        <v>190</v>
      </c>
    </row>
    <row r="3242" spans="1:19" ht="15" hidden="1" x14ac:dyDescent="0.25">
      <c r="A3242" s="7" t="s">
        <v>16</v>
      </c>
      <c r="B3242" s="7" t="s">
        <v>230</v>
      </c>
      <c r="C3242" s="7" t="s">
        <v>24</v>
      </c>
      <c r="D3242" s="4">
        <v>39387477000107</v>
      </c>
      <c r="E3242" s="8" t="s">
        <v>1218</v>
      </c>
      <c r="F3242" s="8" t="s">
        <v>1157</v>
      </c>
      <c r="G3242" s="8" t="s">
        <v>98</v>
      </c>
      <c r="H3242" s="8" t="s">
        <v>215</v>
      </c>
      <c r="I3242" s="3">
        <v>1</v>
      </c>
      <c r="J3242" s="8" t="s">
        <v>159</v>
      </c>
      <c r="K3242" s="8" t="s">
        <v>160</v>
      </c>
      <c r="L3242" s="8" t="s">
        <v>740</v>
      </c>
      <c r="M3242" s="1" t="s">
        <v>205</v>
      </c>
      <c r="N3242" s="8" t="s">
        <v>206</v>
      </c>
      <c r="O3242" s="6">
        <v>0</v>
      </c>
      <c r="P3242" s="6">
        <v>0</v>
      </c>
      <c r="Q3242" s="6">
        <v>0</v>
      </c>
      <c r="R3242" s="6">
        <v>0</v>
      </c>
      <c r="S3242" s="6">
        <v>175</v>
      </c>
    </row>
    <row r="3243" spans="1:19" ht="15" hidden="1" x14ac:dyDescent="0.25">
      <c r="A3243" s="7" t="s">
        <v>16</v>
      </c>
      <c r="B3243" s="7" t="s">
        <v>230</v>
      </c>
      <c r="C3243" s="7" t="s">
        <v>24</v>
      </c>
      <c r="D3243" s="4">
        <v>10586940000168</v>
      </c>
      <c r="E3243" s="8" t="s">
        <v>1156</v>
      </c>
      <c r="F3243" s="8" t="s">
        <v>1157</v>
      </c>
      <c r="G3243" s="8" t="s">
        <v>98</v>
      </c>
      <c r="H3243" s="8" t="s">
        <v>215</v>
      </c>
      <c r="I3243" s="3">
        <v>1</v>
      </c>
      <c r="J3243" s="8" t="s">
        <v>159</v>
      </c>
      <c r="K3243" s="8" t="s">
        <v>160</v>
      </c>
      <c r="L3243" s="8" t="s">
        <v>740</v>
      </c>
      <c r="M3243" s="1" t="s">
        <v>205</v>
      </c>
      <c r="N3243" s="8" t="s">
        <v>206</v>
      </c>
      <c r="O3243" s="6">
        <v>0</v>
      </c>
      <c r="P3243" s="6">
        <v>0</v>
      </c>
      <c r="Q3243" s="6">
        <v>5</v>
      </c>
      <c r="R3243" s="6">
        <v>24</v>
      </c>
      <c r="S3243" s="6">
        <v>0</v>
      </c>
    </row>
    <row r="3244" spans="1:19" ht="15" hidden="1" x14ac:dyDescent="0.25">
      <c r="A3244" s="7" t="s">
        <v>16</v>
      </c>
      <c r="B3244" s="7" t="s">
        <v>230</v>
      </c>
      <c r="C3244" s="7" t="s">
        <v>24</v>
      </c>
      <c r="D3244" s="4">
        <v>18034143000180</v>
      </c>
      <c r="E3244" s="8" t="s">
        <v>1396</v>
      </c>
      <c r="F3244" s="8" t="s">
        <v>753</v>
      </c>
      <c r="G3244" s="8" t="s">
        <v>59</v>
      </c>
      <c r="H3244" s="8" t="s">
        <v>215</v>
      </c>
      <c r="I3244" s="3">
        <v>2</v>
      </c>
      <c r="J3244" s="8" t="s">
        <v>187</v>
      </c>
      <c r="K3244" s="8" t="s">
        <v>188</v>
      </c>
      <c r="L3244" s="8" t="s">
        <v>556</v>
      </c>
      <c r="M3244" s="1" t="s">
        <v>211</v>
      </c>
      <c r="N3244" s="8" t="s">
        <v>212</v>
      </c>
      <c r="O3244" s="6">
        <v>0</v>
      </c>
      <c r="P3244" s="6">
        <v>0</v>
      </c>
      <c r="Q3244" s="6">
        <v>0</v>
      </c>
      <c r="R3244" s="6">
        <v>0</v>
      </c>
      <c r="S3244" s="6">
        <v>65</v>
      </c>
    </row>
    <row r="3245" spans="1:19" ht="15" hidden="1" x14ac:dyDescent="0.25">
      <c r="A3245" s="7" t="s">
        <v>16</v>
      </c>
      <c r="B3245" s="7" t="s">
        <v>230</v>
      </c>
      <c r="C3245" s="7" t="s">
        <v>24</v>
      </c>
      <c r="D3245" s="4">
        <v>18034143000180</v>
      </c>
      <c r="E3245" s="8" t="s">
        <v>1396</v>
      </c>
      <c r="F3245" s="8" t="s">
        <v>753</v>
      </c>
      <c r="G3245" s="8" t="s">
        <v>59</v>
      </c>
      <c r="H3245" s="8" t="s">
        <v>215</v>
      </c>
      <c r="I3245" s="3">
        <v>2</v>
      </c>
      <c r="J3245" s="8" t="s">
        <v>163</v>
      </c>
      <c r="K3245" s="8" t="s">
        <v>164</v>
      </c>
      <c r="L3245" s="8" t="s">
        <v>557</v>
      </c>
      <c r="M3245" s="1" t="s">
        <v>211</v>
      </c>
      <c r="N3245" s="8" t="s">
        <v>212</v>
      </c>
      <c r="O3245" s="6">
        <v>0</v>
      </c>
      <c r="P3245" s="6">
        <v>0</v>
      </c>
      <c r="Q3245" s="6">
        <v>0</v>
      </c>
      <c r="R3245" s="6">
        <v>0</v>
      </c>
      <c r="S3245" s="6">
        <v>65</v>
      </c>
    </row>
    <row r="3246" spans="1:19" ht="15" hidden="1" x14ac:dyDescent="0.25">
      <c r="A3246" s="7" t="s">
        <v>16</v>
      </c>
      <c r="B3246" s="7" t="s">
        <v>230</v>
      </c>
      <c r="C3246" s="7" t="s">
        <v>24</v>
      </c>
      <c r="D3246" s="4">
        <v>1326206000179</v>
      </c>
      <c r="E3246" s="8" t="s">
        <v>761</v>
      </c>
      <c r="F3246" s="8" t="s">
        <v>762</v>
      </c>
      <c r="G3246" s="8" t="s">
        <v>59</v>
      </c>
      <c r="H3246" s="8" t="s">
        <v>215</v>
      </c>
      <c r="I3246" s="3">
        <v>2</v>
      </c>
      <c r="J3246" s="8" t="s">
        <v>187</v>
      </c>
      <c r="K3246" s="8" t="s">
        <v>188</v>
      </c>
      <c r="L3246" s="8" t="s">
        <v>556</v>
      </c>
      <c r="M3246" s="1" t="s">
        <v>211</v>
      </c>
      <c r="N3246" s="8" t="s">
        <v>212</v>
      </c>
      <c r="O3246" s="6">
        <v>0</v>
      </c>
      <c r="P3246" s="6">
        <v>0</v>
      </c>
      <c r="Q3246" s="6">
        <v>0</v>
      </c>
      <c r="R3246" s="6">
        <v>44</v>
      </c>
      <c r="S3246" s="6">
        <v>0</v>
      </c>
    </row>
    <row r="3247" spans="1:19" ht="15" hidden="1" x14ac:dyDescent="0.25">
      <c r="A3247" s="7" t="s">
        <v>16</v>
      </c>
      <c r="B3247" s="7" t="s">
        <v>230</v>
      </c>
      <c r="C3247" s="7" t="s">
        <v>24</v>
      </c>
      <c r="D3247" s="4">
        <v>1326206000179</v>
      </c>
      <c r="E3247" s="8" t="s">
        <v>761</v>
      </c>
      <c r="F3247" s="8" t="s">
        <v>762</v>
      </c>
      <c r="G3247" s="8" t="s">
        <v>59</v>
      </c>
      <c r="H3247" s="8" t="s">
        <v>215</v>
      </c>
      <c r="I3247" s="3">
        <v>2</v>
      </c>
      <c r="J3247" s="8" t="s">
        <v>163</v>
      </c>
      <c r="K3247" s="8" t="s">
        <v>164</v>
      </c>
      <c r="L3247" s="8" t="s">
        <v>557</v>
      </c>
      <c r="M3247" s="1" t="s">
        <v>211</v>
      </c>
      <c r="N3247" s="8" t="s">
        <v>212</v>
      </c>
      <c r="O3247" s="6">
        <v>0</v>
      </c>
      <c r="P3247" s="6">
        <v>0</v>
      </c>
      <c r="Q3247" s="6">
        <v>0</v>
      </c>
      <c r="R3247" s="6">
        <v>0</v>
      </c>
      <c r="S3247" s="6">
        <v>0</v>
      </c>
    </row>
    <row r="3248" spans="1:19" ht="15" hidden="1" x14ac:dyDescent="0.25">
      <c r="A3248" s="7" t="s">
        <v>16</v>
      </c>
      <c r="B3248" s="7" t="s">
        <v>230</v>
      </c>
      <c r="C3248" s="7" t="s">
        <v>24</v>
      </c>
      <c r="D3248" s="4">
        <v>17239624000169</v>
      </c>
      <c r="E3248" s="8" t="s">
        <v>1394</v>
      </c>
      <c r="F3248" s="8" t="s">
        <v>1395</v>
      </c>
      <c r="G3248" s="8" t="s">
        <v>59</v>
      </c>
      <c r="H3248" s="8" t="s">
        <v>215</v>
      </c>
      <c r="I3248" s="3">
        <v>2</v>
      </c>
      <c r="J3248" s="8" t="s">
        <v>187</v>
      </c>
      <c r="K3248" s="8" t="s">
        <v>188</v>
      </c>
      <c r="L3248" s="8" t="s">
        <v>556</v>
      </c>
      <c r="M3248" s="1" t="s">
        <v>211</v>
      </c>
      <c r="N3248" s="8" t="s">
        <v>212</v>
      </c>
      <c r="O3248" s="6">
        <v>0</v>
      </c>
      <c r="P3248" s="6">
        <v>0</v>
      </c>
      <c r="Q3248" s="6">
        <v>0</v>
      </c>
      <c r="R3248" s="6">
        <v>0</v>
      </c>
      <c r="S3248" s="6">
        <v>0</v>
      </c>
    </row>
    <row r="3249" spans="1:19" ht="15" hidden="1" x14ac:dyDescent="0.25">
      <c r="A3249" s="7" t="s">
        <v>16</v>
      </c>
      <c r="B3249" s="7" t="s">
        <v>230</v>
      </c>
      <c r="C3249" s="7" t="s">
        <v>24</v>
      </c>
      <c r="D3249" s="4">
        <v>17239624000169</v>
      </c>
      <c r="E3249" s="8" t="s">
        <v>1394</v>
      </c>
      <c r="F3249" s="8" t="s">
        <v>1395</v>
      </c>
      <c r="G3249" s="8" t="s">
        <v>59</v>
      </c>
      <c r="H3249" s="8" t="s">
        <v>215</v>
      </c>
      <c r="I3249" s="3">
        <v>2</v>
      </c>
      <c r="J3249" s="8" t="s">
        <v>163</v>
      </c>
      <c r="K3249" s="8" t="s">
        <v>164</v>
      </c>
      <c r="L3249" s="8" t="s">
        <v>557</v>
      </c>
      <c r="M3249" s="1" t="s">
        <v>211</v>
      </c>
      <c r="N3249" s="8" t="s">
        <v>212</v>
      </c>
      <c r="O3249" s="6">
        <v>0</v>
      </c>
      <c r="P3249" s="6">
        <v>2</v>
      </c>
      <c r="Q3249" s="6">
        <v>0</v>
      </c>
      <c r="R3249" s="6">
        <v>0</v>
      </c>
      <c r="S3249" s="6">
        <v>0</v>
      </c>
    </row>
    <row r="3250" spans="1:19" ht="15" hidden="1" x14ac:dyDescent="0.25">
      <c r="A3250" s="7" t="s">
        <v>16</v>
      </c>
      <c r="B3250" s="7" t="s">
        <v>230</v>
      </c>
      <c r="C3250" s="7" t="s">
        <v>24</v>
      </c>
      <c r="D3250" s="4">
        <v>2476067000394</v>
      </c>
      <c r="E3250" s="8" t="s">
        <v>780</v>
      </c>
      <c r="F3250" s="8" t="s">
        <v>745</v>
      </c>
      <c r="G3250" s="8" t="s">
        <v>59</v>
      </c>
      <c r="H3250" s="8" t="s">
        <v>215</v>
      </c>
      <c r="I3250" s="3">
        <v>2</v>
      </c>
      <c r="J3250" s="8" t="s">
        <v>187</v>
      </c>
      <c r="K3250" s="8" t="s">
        <v>188</v>
      </c>
      <c r="L3250" s="8" t="s">
        <v>556</v>
      </c>
      <c r="M3250" s="1" t="s">
        <v>211</v>
      </c>
      <c r="N3250" s="8" t="s">
        <v>212</v>
      </c>
      <c r="O3250" s="6">
        <v>0</v>
      </c>
      <c r="P3250" s="6">
        <v>0</v>
      </c>
      <c r="Q3250" s="6">
        <v>0</v>
      </c>
      <c r="R3250" s="6">
        <v>0</v>
      </c>
      <c r="S3250" s="6">
        <v>135</v>
      </c>
    </row>
    <row r="3251" spans="1:19" ht="15" hidden="1" x14ac:dyDescent="0.25">
      <c r="A3251" s="7" t="s">
        <v>16</v>
      </c>
      <c r="B3251" s="7" t="s">
        <v>230</v>
      </c>
      <c r="C3251" s="7" t="s">
        <v>24</v>
      </c>
      <c r="D3251" s="4">
        <v>2476067000394</v>
      </c>
      <c r="E3251" s="8" t="s">
        <v>780</v>
      </c>
      <c r="F3251" s="8" t="s">
        <v>745</v>
      </c>
      <c r="G3251" s="8" t="s">
        <v>59</v>
      </c>
      <c r="H3251" s="8" t="s">
        <v>215</v>
      </c>
      <c r="I3251" s="3">
        <v>2</v>
      </c>
      <c r="J3251" s="8" t="s">
        <v>163</v>
      </c>
      <c r="K3251" s="8" t="s">
        <v>164</v>
      </c>
      <c r="L3251" s="8" t="s">
        <v>557</v>
      </c>
      <c r="M3251" s="1" t="s">
        <v>211</v>
      </c>
      <c r="N3251" s="8" t="s">
        <v>212</v>
      </c>
      <c r="O3251" s="6">
        <v>0</v>
      </c>
      <c r="P3251" s="6">
        <v>0</v>
      </c>
      <c r="Q3251" s="6">
        <v>0</v>
      </c>
      <c r="R3251" s="6">
        <v>0</v>
      </c>
      <c r="S3251" s="6">
        <v>135</v>
      </c>
    </row>
    <row r="3252" spans="1:19" ht="15" hidden="1" x14ac:dyDescent="0.25">
      <c r="A3252" s="7" t="s">
        <v>16</v>
      </c>
      <c r="B3252" s="7" t="s">
        <v>230</v>
      </c>
      <c r="C3252" s="7" t="s">
        <v>24</v>
      </c>
      <c r="D3252" s="4">
        <v>6337035000105</v>
      </c>
      <c r="E3252" s="8" t="s">
        <v>814</v>
      </c>
      <c r="F3252" s="8" t="s">
        <v>745</v>
      </c>
      <c r="G3252" s="8" t="s">
        <v>59</v>
      </c>
      <c r="H3252" s="8" t="s">
        <v>215</v>
      </c>
      <c r="I3252" s="3">
        <v>2</v>
      </c>
      <c r="J3252" s="8" t="s">
        <v>187</v>
      </c>
      <c r="K3252" s="8" t="s">
        <v>188</v>
      </c>
      <c r="L3252" s="8" t="s">
        <v>556</v>
      </c>
      <c r="M3252" s="1" t="s">
        <v>211</v>
      </c>
      <c r="N3252" s="8" t="s">
        <v>212</v>
      </c>
      <c r="O3252" s="6">
        <v>0</v>
      </c>
      <c r="P3252" s="6">
        <v>0</v>
      </c>
      <c r="Q3252" s="6">
        <v>0</v>
      </c>
      <c r="R3252" s="6">
        <v>0</v>
      </c>
      <c r="S3252" s="6">
        <v>30</v>
      </c>
    </row>
    <row r="3253" spans="1:19" ht="15" hidden="1" x14ac:dyDescent="0.25">
      <c r="A3253" s="7" t="s">
        <v>16</v>
      </c>
      <c r="B3253" s="7" t="s">
        <v>230</v>
      </c>
      <c r="C3253" s="7" t="s">
        <v>24</v>
      </c>
      <c r="D3253" s="4">
        <v>6337035000105</v>
      </c>
      <c r="E3253" s="8" t="s">
        <v>814</v>
      </c>
      <c r="F3253" s="8" t="s">
        <v>745</v>
      </c>
      <c r="G3253" s="8" t="s">
        <v>59</v>
      </c>
      <c r="H3253" s="8" t="s">
        <v>215</v>
      </c>
      <c r="I3253" s="3">
        <v>2</v>
      </c>
      <c r="J3253" s="8" t="s">
        <v>163</v>
      </c>
      <c r="K3253" s="8" t="s">
        <v>164</v>
      </c>
      <c r="L3253" s="8" t="s">
        <v>557</v>
      </c>
      <c r="M3253" s="1" t="s">
        <v>211</v>
      </c>
      <c r="N3253" s="8" t="s">
        <v>212</v>
      </c>
      <c r="O3253" s="6">
        <v>0</v>
      </c>
      <c r="P3253" s="6">
        <v>0</v>
      </c>
      <c r="Q3253" s="6">
        <v>0</v>
      </c>
      <c r="R3253" s="6">
        <v>0</v>
      </c>
      <c r="S3253" s="6">
        <v>30</v>
      </c>
    </row>
    <row r="3254" spans="1:19" ht="15" hidden="1" x14ac:dyDescent="0.25">
      <c r="A3254" s="7" t="s">
        <v>16</v>
      </c>
      <c r="B3254" s="7" t="s">
        <v>230</v>
      </c>
      <c r="C3254" s="7" t="s">
        <v>24</v>
      </c>
      <c r="D3254" s="4">
        <v>1011865000116</v>
      </c>
      <c r="E3254" s="8" t="s">
        <v>759</v>
      </c>
      <c r="F3254" s="8" t="s">
        <v>745</v>
      </c>
      <c r="G3254" s="8" t="s">
        <v>59</v>
      </c>
      <c r="H3254" s="8" t="s">
        <v>215</v>
      </c>
      <c r="I3254" s="3">
        <v>2</v>
      </c>
      <c r="J3254" s="8" t="s">
        <v>187</v>
      </c>
      <c r="K3254" s="8" t="s">
        <v>188</v>
      </c>
      <c r="L3254" s="8" t="s">
        <v>556</v>
      </c>
      <c r="M3254" s="1" t="s">
        <v>211</v>
      </c>
      <c r="N3254" s="8" t="s">
        <v>212</v>
      </c>
      <c r="O3254" s="6">
        <v>0</v>
      </c>
      <c r="P3254" s="6">
        <v>0</v>
      </c>
      <c r="Q3254" s="6">
        <v>0</v>
      </c>
      <c r="R3254" s="6">
        <v>0</v>
      </c>
      <c r="S3254" s="6">
        <v>1150</v>
      </c>
    </row>
    <row r="3255" spans="1:19" ht="15" hidden="1" x14ac:dyDescent="0.25">
      <c r="A3255" s="7" t="s">
        <v>16</v>
      </c>
      <c r="B3255" s="7" t="s">
        <v>230</v>
      </c>
      <c r="C3255" s="7" t="s">
        <v>24</v>
      </c>
      <c r="D3255" s="4">
        <v>1011865000116</v>
      </c>
      <c r="E3255" s="8" t="s">
        <v>759</v>
      </c>
      <c r="F3255" s="8" t="s">
        <v>745</v>
      </c>
      <c r="G3255" s="8" t="s">
        <v>59</v>
      </c>
      <c r="H3255" s="8" t="s">
        <v>215</v>
      </c>
      <c r="I3255" s="3">
        <v>2</v>
      </c>
      <c r="J3255" s="8" t="s">
        <v>163</v>
      </c>
      <c r="K3255" s="8" t="s">
        <v>164</v>
      </c>
      <c r="L3255" s="8" t="s">
        <v>557</v>
      </c>
      <c r="M3255" s="1" t="s">
        <v>211</v>
      </c>
      <c r="N3255" s="8" t="s">
        <v>212</v>
      </c>
      <c r="O3255" s="6">
        <v>0</v>
      </c>
      <c r="P3255" s="6">
        <v>0</v>
      </c>
      <c r="Q3255" s="6">
        <v>0</v>
      </c>
      <c r="R3255" s="6">
        <v>0</v>
      </c>
      <c r="S3255" s="6">
        <v>1150</v>
      </c>
    </row>
    <row r="3256" spans="1:19" ht="15" hidden="1" x14ac:dyDescent="0.25">
      <c r="A3256" s="7" t="s">
        <v>16</v>
      </c>
      <c r="B3256" s="7" t="s">
        <v>230</v>
      </c>
      <c r="C3256" s="7" t="s">
        <v>24</v>
      </c>
      <c r="D3256" s="4">
        <v>5562645000131</v>
      </c>
      <c r="E3256" s="8" t="s">
        <v>1388</v>
      </c>
      <c r="F3256" s="8" t="s">
        <v>745</v>
      </c>
      <c r="G3256" s="8" t="s">
        <v>59</v>
      </c>
      <c r="H3256" s="8" t="s">
        <v>215</v>
      </c>
      <c r="I3256" s="3">
        <v>2</v>
      </c>
      <c r="J3256" s="8" t="s">
        <v>187</v>
      </c>
      <c r="K3256" s="8" t="s">
        <v>188</v>
      </c>
      <c r="L3256" s="8" t="s">
        <v>556</v>
      </c>
      <c r="M3256" s="1" t="s">
        <v>211</v>
      </c>
      <c r="N3256" s="8" t="s">
        <v>212</v>
      </c>
      <c r="O3256" s="6">
        <v>0</v>
      </c>
      <c r="P3256" s="6">
        <v>0</v>
      </c>
      <c r="Q3256" s="6">
        <v>0</v>
      </c>
      <c r="R3256" s="6">
        <v>0</v>
      </c>
      <c r="S3256" s="6">
        <v>10</v>
      </c>
    </row>
    <row r="3257" spans="1:19" ht="15" hidden="1" x14ac:dyDescent="0.25">
      <c r="A3257" s="7" t="s">
        <v>16</v>
      </c>
      <c r="B3257" s="7" t="s">
        <v>230</v>
      </c>
      <c r="C3257" s="7" t="s">
        <v>24</v>
      </c>
      <c r="D3257" s="4">
        <v>5562645000131</v>
      </c>
      <c r="E3257" s="8" t="s">
        <v>1388</v>
      </c>
      <c r="F3257" s="8" t="s">
        <v>745</v>
      </c>
      <c r="G3257" s="8" t="s">
        <v>59</v>
      </c>
      <c r="H3257" s="8" t="s">
        <v>215</v>
      </c>
      <c r="I3257" s="3">
        <v>2</v>
      </c>
      <c r="J3257" s="8" t="s">
        <v>163</v>
      </c>
      <c r="K3257" s="8" t="s">
        <v>164</v>
      </c>
      <c r="L3257" s="8" t="s">
        <v>557</v>
      </c>
      <c r="M3257" s="1" t="s">
        <v>211</v>
      </c>
      <c r="N3257" s="8" t="s">
        <v>212</v>
      </c>
      <c r="O3257" s="6">
        <v>0</v>
      </c>
      <c r="P3257" s="6">
        <v>0</v>
      </c>
      <c r="Q3257" s="6">
        <v>0</v>
      </c>
      <c r="R3257" s="6">
        <v>0</v>
      </c>
      <c r="S3257" s="6">
        <v>10</v>
      </c>
    </row>
    <row r="3258" spans="1:19" ht="15" hidden="1" x14ac:dyDescent="0.25">
      <c r="A3258" s="7" t="s">
        <v>16</v>
      </c>
      <c r="B3258" s="7" t="s">
        <v>230</v>
      </c>
      <c r="C3258" s="7" t="s">
        <v>24</v>
      </c>
      <c r="D3258" s="4">
        <v>1545649000150</v>
      </c>
      <c r="E3258" s="8" t="s">
        <v>1386</v>
      </c>
      <c r="F3258" s="8" t="s">
        <v>745</v>
      </c>
      <c r="G3258" s="8" t="s">
        <v>59</v>
      </c>
      <c r="H3258" s="8" t="s">
        <v>215</v>
      </c>
      <c r="I3258" s="3">
        <v>2</v>
      </c>
      <c r="J3258" s="8" t="s">
        <v>187</v>
      </c>
      <c r="K3258" s="8" t="s">
        <v>188</v>
      </c>
      <c r="L3258" s="8" t="s">
        <v>556</v>
      </c>
      <c r="M3258" s="1" t="s">
        <v>211</v>
      </c>
      <c r="N3258" s="8" t="s">
        <v>212</v>
      </c>
      <c r="O3258" s="6">
        <v>0</v>
      </c>
      <c r="P3258" s="6">
        <v>0</v>
      </c>
      <c r="Q3258" s="6">
        <v>0</v>
      </c>
      <c r="R3258" s="6">
        <v>0</v>
      </c>
      <c r="S3258" s="6">
        <v>80</v>
      </c>
    </row>
    <row r="3259" spans="1:19" ht="15" hidden="1" x14ac:dyDescent="0.25">
      <c r="A3259" s="7" t="s">
        <v>16</v>
      </c>
      <c r="B3259" s="7" t="s">
        <v>230</v>
      </c>
      <c r="C3259" s="7" t="s">
        <v>24</v>
      </c>
      <c r="D3259" s="4">
        <v>1545649000150</v>
      </c>
      <c r="E3259" s="8" t="s">
        <v>1386</v>
      </c>
      <c r="F3259" s="8" t="s">
        <v>745</v>
      </c>
      <c r="G3259" s="8" t="s">
        <v>59</v>
      </c>
      <c r="H3259" s="8" t="s">
        <v>215</v>
      </c>
      <c r="I3259" s="3">
        <v>2</v>
      </c>
      <c r="J3259" s="8" t="s">
        <v>163</v>
      </c>
      <c r="K3259" s="8" t="s">
        <v>164</v>
      </c>
      <c r="L3259" s="8" t="s">
        <v>557</v>
      </c>
      <c r="M3259" s="1" t="s">
        <v>211</v>
      </c>
      <c r="N3259" s="8" t="s">
        <v>212</v>
      </c>
      <c r="O3259" s="6">
        <v>0</v>
      </c>
      <c r="P3259" s="6">
        <v>0</v>
      </c>
      <c r="Q3259" s="6">
        <v>0</v>
      </c>
      <c r="R3259" s="6">
        <v>0</v>
      </c>
      <c r="S3259" s="6">
        <v>80</v>
      </c>
    </row>
    <row r="3260" spans="1:19" ht="15" hidden="1" x14ac:dyDescent="0.25">
      <c r="A3260" s="7" t="s">
        <v>16</v>
      </c>
      <c r="B3260" s="7" t="s">
        <v>230</v>
      </c>
      <c r="C3260" s="7" t="s">
        <v>24</v>
      </c>
      <c r="D3260" s="4">
        <v>2476067000203</v>
      </c>
      <c r="E3260" s="8" t="s">
        <v>779</v>
      </c>
      <c r="F3260" s="8" t="s">
        <v>745</v>
      </c>
      <c r="G3260" s="8" t="s">
        <v>59</v>
      </c>
      <c r="H3260" s="8" t="s">
        <v>215</v>
      </c>
      <c r="I3260" s="3">
        <v>2</v>
      </c>
      <c r="J3260" s="8" t="s">
        <v>187</v>
      </c>
      <c r="K3260" s="8" t="s">
        <v>188</v>
      </c>
      <c r="L3260" s="8" t="s">
        <v>556</v>
      </c>
      <c r="M3260" s="1" t="s">
        <v>211</v>
      </c>
      <c r="N3260" s="8" t="s">
        <v>212</v>
      </c>
      <c r="O3260" s="6">
        <v>0</v>
      </c>
      <c r="P3260" s="6">
        <v>0</v>
      </c>
      <c r="Q3260" s="6">
        <v>0</v>
      </c>
      <c r="R3260" s="6">
        <v>110</v>
      </c>
      <c r="S3260" s="6">
        <v>0</v>
      </c>
    </row>
    <row r="3261" spans="1:19" ht="15" hidden="1" x14ac:dyDescent="0.25">
      <c r="A3261" s="7" t="s">
        <v>16</v>
      </c>
      <c r="B3261" s="7" t="s">
        <v>230</v>
      </c>
      <c r="C3261" s="7" t="s">
        <v>24</v>
      </c>
      <c r="D3261" s="4">
        <v>2476067000203</v>
      </c>
      <c r="E3261" s="8" t="s">
        <v>779</v>
      </c>
      <c r="F3261" s="8" t="s">
        <v>745</v>
      </c>
      <c r="G3261" s="8" t="s">
        <v>59</v>
      </c>
      <c r="H3261" s="8" t="s">
        <v>215</v>
      </c>
      <c r="I3261" s="3">
        <v>2</v>
      </c>
      <c r="J3261" s="8" t="s">
        <v>163</v>
      </c>
      <c r="K3261" s="8" t="s">
        <v>164</v>
      </c>
      <c r="L3261" s="8" t="s">
        <v>557</v>
      </c>
      <c r="M3261" s="1" t="s">
        <v>211</v>
      </c>
      <c r="N3261" s="8" t="s">
        <v>212</v>
      </c>
      <c r="O3261" s="6">
        <v>0</v>
      </c>
      <c r="P3261" s="6">
        <v>0</v>
      </c>
      <c r="Q3261" s="6">
        <v>0</v>
      </c>
      <c r="R3261" s="6">
        <v>0</v>
      </c>
      <c r="S3261" s="6">
        <v>0</v>
      </c>
    </row>
    <row r="3262" spans="1:19" ht="15" hidden="1" x14ac:dyDescent="0.25">
      <c r="A3262" s="7" t="s">
        <v>16</v>
      </c>
      <c r="B3262" s="7" t="s">
        <v>230</v>
      </c>
      <c r="C3262" s="7" t="s">
        <v>24</v>
      </c>
      <c r="D3262" s="4">
        <v>33000167002155</v>
      </c>
      <c r="E3262" s="8" t="s">
        <v>915</v>
      </c>
      <c r="F3262" s="8" t="s">
        <v>128</v>
      </c>
      <c r="G3262" s="8" t="s">
        <v>59</v>
      </c>
      <c r="H3262" s="8" t="s">
        <v>215</v>
      </c>
      <c r="I3262" s="3">
        <v>2</v>
      </c>
      <c r="J3262" s="8" t="s">
        <v>187</v>
      </c>
      <c r="K3262" s="8" t="s">
        <v>188</v>
      </c>
      <c r="L3262" s="8" t="s">
        <v>556</v>
      </c>
      <c r="M3262" s="1" t="s">
        <v>211</v>
      </c>
      <c r="N3262" s="8" t="s">
        <v>212</v>
      </c>
      <c r="O3262" s="6">
        <v>0</v>
      </c>
      <c r="P3262" s="6">
        <v>0</v>
      </c>
      <c r="Q3262" s="6">
        <v>0</v>
      </c>
      <c r="R3262" s="6">
        <v>0</v>
      </c>
      <c r="S3262" s="6">
        <v>145</v>
      </c>
    </row>
    <row r="3263" spans="1:19" ht="15" hidden="1" x14ac:dyDescent="0.25">
      <c r="A3263" s="7" t="s">
        <v>16</v>
      </c>
      <c r="B3263" s="7" t="s">
        <v>230</v>
      </c>
      <c r="C3263" s="7" t="s">
        <v>24</v>
      </c>
      <c r="D3263" s="4">
        <v>33000167002155</v>
      </c>
      <c r="E3263" s="8" t="s">
        <v>915</v>
      </c>
      <c r="F3263" s="8" t="s">
        <v>128</v>
      </c>
      <c r="G3263" s="8" t="s">
        <v>59</v>
      </c>
      <c r="H3263" s="8" t="s">
        <v>215</v>
      </c>
      <c r="I3263" s="3">
        <v>2</v>
      </c>
      <c r="J3263" s="8" t="s">
        <v>163</v>
      </c>
      <c r="K3263" s="8" t="s">
        <v>164</v>
      </c>
      <c r="L3263" s="8" t="s">
        <v>557</v>
      </c>
      <c r="M3263" s="1" t="s">
        <v>211</v>
      </c>
      <c r="N3263" s="8" t="s">
        <v>212</v>
      </c>
      <c r="O3263" s="6">
        <v>0</v>
      </c>
      <c r="P3263" s="6">
        <v>0</v>
      </c>
      <c r="Q3263" s="6">
        <v>0</v>
      </c>
      <c r="R3263" s="6">
        <v>0</v>
      </c>
      <c r="S3263" s="6">
        <v>145</v>
      </c>
    </row>
    <row r="3264" spans="1:19" ht="15" hidden="1" x14ac:dyDescent="0.25">
      <c r="A3264" s="7" t="s">
        <v>16</v>
      </c>
      <c r="B3264" s="7" t="s">
        <v>230</v>
      </c>
      <c r="C3264" s="7" t="s">
        <v>24</v>
      </c>
      <c r="D3264" s="4">
        <v>11006293000130</v>
      </c>
      <c r="E3264" s="8" t="s">
        <v>838</v>
      </c>
      <c r="F3264" s="8" t="s">
        <v>777</v>
      </c>
      <c r="G3264" s="8" t="s">
        <v>72</v>
      </c>
      <c r="H3264" s="8" t="s">
        <v>215</v>
      </c>
      <c r="I3264" s="3">
        <v>2</v>
      </c>
      <c r="J3264" s="8" t="s">
        <v>165</v>
      </c>
      <c r="K3264" s="8" t="s">
        <v>166</v>
      </c>
      <c r="L3264" s="8" t="s">
        <v>557</v>
      </c>
      <c r="M3264" s="1" t="s">
        <v>211</v>
      </c>
      <c r="N3264" s="8" t="s">
        <v>212</v>
      </c>
      <c r="O3264" s="6">
        <v>0</v>
      </c>
      <c r="P3264" s="6">
        <v>0</v>
      </c>
      <c r="Q3264" s="6">
        <v>0</v>
      </c>
      <c r="R3264" s="6">
        <v>0</v>
      </c>
      <c r="S3264" s="6">
        <v>990</v>
      </c>
    </row>
    <row r="3265" spans="1:19" ht="15" hidden="1" x14ac:dyDescent="0.25">
      <c r="A3265" s="7" t="s">
        <v>16</v>
      </c>
      <c r="B3265" s="7" t="s">
        <v>230</v>
      </c>
      <c r="C3265" s="7" t="s">
        <v>24</v>
      </c>
      <c r="D3265" s="4">
        <v>11006293000130</v>
      </c>
      <c r="E3265" s="8" t="s">
        <v>838</v>
      </c>
      <c r="F3265" s="8" t="s">
        <v>777</v>
      </c>
      <c r="G3265" s="8" t="s">
        <v>72</v>
      </c>
      <c r="H3265" s="8" t="s">
        <v>215</v>
      </c>
      <c r="I3265" s="3">
        <v>2</v>
      </c>
      <c r="J3265" s="8" t="s">
        <v>201</v>
      </c>
      <c r="K3265" s="8" t="s">
        <v>202</v>
      </c>
      <c r="L3265" s="8" t="s">
        <v>740</v>
      </c>
      <c r="M3265" s="1" t="s">
        <v>211</v>
      </c>
      <c r="N3265" s="8" t="s">
        <v>212</v>
      </c>
      <c r="O3265" s="6">
        <v>0</v>
      </c>
      <c r="P3265" s="6">
        <v>0</v>
      </c>
      <c r="Q3265" s="6">
        <v>0</v>
      </c>
      <c r="R3265" s="6">
        <v>0</v>
      </c>
      <c r="S3265" s="6">
        <v>990</v>
      </c>
    </row>
    <row r="3266" spans="1:19" ht="15" hidden="1" x14ac:dyDescent="0.25">
      <c r="A3266" s="7" t="s">
        <v>16</v>
      </c>
      <c r="B3266" s="7" t="s">
        <v>230</v>
      </c>
      <c r="C3266" s="7" t="s">
        <v>24</v>
      </c>
      <c r="D3266" s="4">
        <v>2284062001170</v>
      </c>
      <c r="E3266" s="8" t="s">
        <v>776</v>
      </c>
      <c r="F3266" s="8" t="s">
        <v>777</v>
      </c>
      <c r="G3266" s="8" t="s">
        <v>72</v>
      </c>
      <c r="H3266" s="8" t="s">
        <v>215</v>
      </c>
      <c r="I3266" s="3">
        <v>2</v>
      </c>
      <c r="J3266" s="8" t="s">
        <v>165</v>
      </c>
      <c r="K3266" s="8" t="s">
        <v>166</v>
      </c>
      <c r="L3266" s="8" t="s">
        <v>557</v>
      </c>
      <c r="M3266" s="1" t="s">
        <v>211</v>
      </c>
      <c r="N3266" s="8" t="s">
        <v>212</v>
      </c>
      <c r="O3266" s="6">
        <v>0</v>
      </c>
      <c r="P3266" s="6">
        <v>3</v>
      </c>
      <c r="Q3266" s="6">
        <v>0</v>
      </c>
      <c r="R3266" s="6">
        <v>0</v>
      </c>
      <c r="S3266" s="6">
        <v>75</v>
      </c>
    </row>
    <row r="3267" spans="1:19" ht="15" hidden="1" x14ac:dyDescent="0.25">
      <c r="A3267" s="7" t="s">
        <v>16</v>
      </c>
      <c r="B3267" s="7" t="s">
        <v>230</v>
      </c>
      <c r="C3267" s="7" t="s">
        <v>24</v>
      </c>
      <c r="D3267" s="4">
        <v>2284062001170</v>
      </c>
      <c r="E3267" s="8" t="s">
        <v>776</v>
      </c>
      <c r="F3267" s="8" t="s">
        <v>777</v>
      </c>
      <c r="G3267" s="8" t="s">
        <v>72</v>
      </c>
      <c r="H3267" s="8" t="s">
        <v>215</v>
      </c>
      <c r="I3267" s="3">
        <v>2</v>
      </c>
      <c r="J3267" s="8" t="s">
        <v>201</v>
      </c>
      <c r="K3267" s="8" t="s">
        <v>202</v>
      </c>
      <c r="L3267" s="8" t="s">
        <v>740</v>
      </c>
      <c r="M3267" s="1" t="s">
        <v>211</v>
      </c>
      <c r="N3267" s="8" t="s">
        <v>212</v>
      </c>
      <c r="O3267" s="6">
        <v>0</v>
      </c>
      <c r="P3267" s="6">
        <v>0</v>
      </c>
      <c r="Q3267" s="6">
        <v>0</v>
      </c>
      <c r="R3267" s="6">
        <v>0</v>
      </c>
      <c r="S3267" s="6">
        <v>75</v>
      </c>
    </row>
    <row r="3268" spans="1:19" ht="15" hidden="1" x14ac:dyDescent="0.25">
      <c r="A3268" s="7" t="s">
        <v>16</v>
      </c>
      <c r="B3268" s="7" t="s">
        <v>230</v>
      </c>
      <c r="C3268" s="7" t="s">
        <v>24</v>
      </c>
      <c r="D3268" s="4">
        <v>20909271000171</v>
      </c>
      <c r="E3268" s="8" t="s">
        <v>1189</v>
      </c>
      <c r="F3268" s="8" t="s">
        <v>101</v>
      </c>
      <c r="G3268" s="8" t="s">
        <v>54</v>
      </c>
      <c r="H3268" s="8" t="s">
        <v>215</v>
      </c>
      <c r="I3268" s="3">
        <v>1</v>
      </c>
      <c r="J3268" s="8" t="s">
        <v>159</v>
      </c>
      <c r="K3268" s="8" t="s">
        <v>160</v>
      </c>
      <c r="L3268" s="8" t="s">
        <v>740</v>
      </c>
      <c r="M3268" s="1" t="s">
        <v>205</v>
      </c>
      <c r="N3268" s="8" t="s">
        <v>206</v>
      </c>
      <c r="O3268" s="6">
        <v>0</v>
      </c>
      <c r="P3268" s="6">
        <v>0</v>
      </c>
      <c r="Q3268" s="6">
        <v>0</v>
      </c>
      <c r="R3268" s="6">
        <v>40</v>
      </c>
      <c r="S3268" s="6">
        <v>0</v>
      </c>
    </row>
    <row r="3269" spans="1:19" ht="15" hidden="1" x14ac:dyDescent="0.25">
      <c r="A3269" s="7" t="s">
        <v>16</v>
      </c>
      <c r="B3269" s="7" t="s">
        <v>230</v>
      </c>
      <c r="C3269" s="7" t="s">
        <v>24</v>
      </c>
      <c r="D3269" s="4">
        <v>17214149000176</v>
      </c>
      <c r="E3269" s="8" t="s">
        <v>1172</v>
      </c>
      <c r="F3269" s="8" t="s">
        <v>58</v>
      </c>
      <c r="G3269" s="8" t="s">
        <v>54</v>
      </c>
      <c r="H3269" s="8" t="s">
        <v>215</v>
      </c>
      <c r="I3269" s="3">
        <v>1</v>
      </c>
      <c r="J3269" s="8" t="s">
        <v>159</v>
      </c>
      <c r="K3269" s="8" t="s">
        <v>160</v>
      </c>
      <c r="L3269" s="8" t="s">
        <v>740</v>
      </c>
      <c r="M3269" s="1" t="s">
        <v>205</v>
      </c>
      <c r="N3269" s="8" t="s">
        <v>206</v>
      </c>
      <c r="O3269" s="6">
        <v>0</v>
      </c>
      <c r="P3269" s="6">
        <v>0</v>
      </c>
      <c r="Q3269" s="6">
        <v>27</v>
      </c>
      <c r="R3269" s="6">
        <v>0</v>
      </c>
      <c r="S3269" s="6">
        <v>0</v>
      </c>
    </row>
    <row r="3270" spans="1:19" ht="15" hidden="1" x14ac:dyDescent="0.25">
      <c r="A3270" s="7" t="s">
        <v>16</v>
      </c>
      <c r="B3270" s="7" t="s">
        <v>230</v>
      </c>
      <c r="C3270" s="7" t="s">
        <v>24</v>
      </c>
      <c r="D3270" s="4">
        <v>410960000120</v>
      </c>
      <c r="E3270" s="8" t="s">
        <v>1137</v>
      </c>
      <c r="F3270" s="8" t="s">
        <v>58</v>
      </c>
      <c r="G3270" s="8" t="s">
        <v>54</v>
      </c>
      <c r="H3270" s="8" t="s">
        <v>215</v>
      </c>
      <c r="I3270" s="3">
        <v>1</v>
      </c>
      <c r="J3270" s="8" t="s">
        <v>159</v>
      </c>
      <c r="K3270" s="8" t="s">
        <v>160</v>
      </c>
      <c r="L3270" s="8" t="s">
        <v>740</v>
      </c>
      <c r="M3270" s="1" t="s">
        <v>205</v>
      </c>
      <c r="N3270" s="8" t="s">
        <v>206</v>
      </c>
      <c r="O3270" s="6">
        <v>0</v>
      </c>
      <c r="P3270" s="6">
        <v>0</v>
      </c>
      <c r="Q3270" s="6">
        <v>0</v>
      </c>
      <c r="R3270" s="6">
        <v>32</v>
      </c>
      <c r="S3270" s="6">
        <v>1170</v>
      </c>
    </row>
    <row r="3271" spans="1:19" ht="15" hidden="1" x14ac:dyDescent="0.25">
      <c r="A3271" s="7" t="s">
        <v>16</v>
      </c>
      <c r="B3271" s="7" t="s">
        <v>230</v>
      </c>
      <c r="C3271" s="7" t="s">
        <v>24</v>
      </c>
      <c r="D3271" s="4">
        <v>19843929001506</v>
      </c>
      <c r="E3271" s="8" t="s">
        <v>1181</v>
      </c>
      <c r="F3271" s="8" t="s">
        <v>58</v>
      </c>
      <c r="G3271" s="8" t="s">
        <v>54</v>
      </c>
      <c r="H3271" s="8" t="s">
        <v>215</v>
      </c>
      <c r="I3271" s="3">
        <v>1</v>
      </c>
      <c r="J3271" s="8" t="s">
        <v>159</v>
      </c>
      <c r="K3271" s="8" t="s">
        <v>160</v>
      </c>
      <c r="L3271" s="8" t="s">
        <v>740</v>
      </c>
      <c r="M3271" s="1" t="s">
        <v>205</v>
      </c>
      <c r="N3271" s="8" t="s">
        <v>206</v>
      </c>
      <c r="O3271" s="6">
        <v>0</v>
      </c>
      <c r="P3271" s="6">
        <v>0</v>
      </c>
      <c r="Q3271" s="6">
        <v>0</v>
      </c>
      <c r="R3271" s="6">
        <v>0</v>
      </c>
      <c r="S3271" s="6">
        <v>600</v>
      </c>
    </row>
    <row r="3272" spans="1:19" ht="15" hidden="1" x14ac:dyDescent="0.25">
      <c r="A3272" s="7" t="s">
        <v>16</v>
      </c>
      <c r="B3272" s="7" t="s">
        <v>230</v>
      </c>
      <c r="C3272" s="7" t="s">
        <v>24</v>
      </c>
      <c r="D3272" s="4">
        <v>60194990000844</v>
      </c>
      <c r="E3272" s="8" t="s">
        <v>1231</v>
      </c>
      <c r="F3272" s="8" t="s">
        <v>58</v>
      </c>
      <c r="G3272" s="8" t="s">
        <v>54</v>
      </c>
      <c r="H3272" s="8" t="s">
        <v>215</v>
      </c>
      <c r="I3272" s="3">
        <v>1</v>
      </c>
      <c r="J3272" s="8" t="s">
        <v>159</v>
      </c>
      <c r="K3272" s="8" t="s">
        <v>160</v>
      </c>
      <c r="L3272" s="8" t="s">
        <v>740</v>
      </c>
      <c r="M3272" s="1" t="s">
        <v>205</v>
      </c>
      <c r="N3272" s="8" t="s">
        <v>206</v>
      </c>
      <c r="O3272" s="6">
        <v>0</v>
      </c>
      <c r="P3272" s="6">
        <v>0</v>
      </c>
      <c r="Q3272" s="6">
        <v>0</v>
      </c>
      <c r="R3272" s="6">
        <v>0</v>
      </c>
      <c r="S3272" s="6">
        <v>550</v>
      </c>
    </row>
    <row r="3273" spans="1:19" ht="15" hidden="1" x14ac:dyDescent="0.25">
      <c r="A3273" s="7" t="s">
        <v>16</v>
      </c>
      <c r="B3273" s="7" t="s">
        <v>230</v>
      </c>
      <c r="C3273" s="7" t="s">
        <v>24</v>
      </c>
      <c r="D3273" s="4">
        <v>19843929002901</v>
      </c>
      <c r="E3273" s="8" t="s">
        <v>1423</v>
      </c>
      <c r="F3273" s="8" t="s">
        <v>58</v>
      </c>
      <c r="G3273" s="8" t="s">
        <v>54</v>
      </c>
      <c r="H3273" s="8" t="s">
        <v>215</v>
      </c>
      <c r="I3273" s="3">
        <v>1</v>
      </c>
      <c r="J3273" s="8" t="s">
        <v>159</v>
      </c>
      <c r="K3273" s="8" t="s">
        <v>160</v>
      </c>
      <c r="L3273" s="8" t="s">
        <v>740</v>
      </c>
      <c r="M3273" s="1" t="s">
        <v>205</v>
      </c>
      <c r="N3273" s="8" t="s">
        <v>206</v>
      </c>
      <c r="O3273" s="6">
        <v>0</v>
      </c>
      <c r="P3273" s="6">
        <v>0</v>
      </c>
      <c r="Q3273" s="6">
        <v>0</v>
      </c>
      <c r="R3273" s="6">
        <v>0</v>
      </c>
      <c r="S3273" s="6">
        <v>140</v>
      </c>
    </row>
    <row r="3274" spans="1:19" ht="15" hidden="1" x14ac:dyDescent="0.25">
      <c r="A3274" s="7" t="s">
        <v>16</v>
      </c>
      <c r="B3274" s="7" t="s">
        <v>230</v>
      </c>
      <c r="C3274" s="7" t="s">
        <v>24</v>
      </c>
      <c r="D3274" s="4">
        <v>18715516000188</v>
      </c>
      <c r="E3274" s="8" t="s">
        <v>1421</v>
      </c>
      <c r="F3274" s="8" t="s">
        <v>58</v>
      </c>
      <c r="G3274" s="8" t="s">
        <v>54</v>
      </c>
      <c r="H3274" s="8" t="s">
        <v>215</v>
      </c>
      <c r="I3274" s="3">
        <v>1</v>
      </c>
      <c r="J3274" s="8" t="s">
        <v>159</v>
      </c>
      <c r="K3274" s="8" t="s">
        <v>160</v>
      </c>
      <c r="L3274" s="8" t="s">
        <v>740</v>
      </c>
      <c r="M3274" s="1" t="s">
        <v>205</v>
      </c>
      <c r="N3274" s="8" t="s">
        <v>206</v>
      </c>
      <c r="O3274" s="6">
        <v>0</v>
      </c>
      <c r="P3274" s="6">
        <v>0</v>
      </c>
      <c r="Q3274" s="6">
        <v>0</v>
      </c>
      <c r="R3274" s="6">
        <v>0</v>
      </c>
      <c r="S3274" s="6">
        <v>100</v>
      </c>
    </row>
    <row r="3275" spans="1:19" ht="15" hidden="1" x14ac:dyDescent="0.25">
      <c r="A3275" s="7" t="s">
        <v>16</v>
      </c>
      <c r="B3275" s="7" t="s">
        <v>230</v>
      </c>
      <c r="C3275" s="7" t="s">
        <v>24</v>
      </c>
      <c r="D3275" s="4">
        <v>2623693000102</v>
      </c>
      <c r="E3275" s="8" t="s">
        <v>1142</v>
      </c>
      <c r="F3275" s="8" t="s">
        <v>58</v>
      </c>
      <c r="G3275" s="8" t="s">
        <v>54</v>
      </c>
      <c r="H3275" s="8" t="s">
        <v>215</v>
      </c>
      <c r="I3275" s="3">
        <v>1</v>
      </c>
      <c r="J3275" s="8" t="s">
        <v>159</v>
      </c>
      <c r="K3275" s="8" t="s">
        <v>160</v>
      </c>
      <c r="L3275" s="8" t="s">
        <v>740</v>
      </c>
      <c r="M3275" s="1" t="s">
        <v>205</v>
      </c>
      <c r="N3275" s="8" t="s">
        <v>206</v>
      </c>
      <c r="O3275" s="6">
        <v>0</v>
      </c>
      <c r="P3275" s="6">
        <v>0</v>
      </c>
      <c r="Q3275" s="6">
        <v>0</v>
      </c>
      <c r="R3275" s="6">
        <v>0</v>
      </c>
      <c r="S3275" s="6">
        <v>25</v>
      </c>
    </row>
    <row r="3276" spans="1:19" ht="15" hidden="1" x14ac:dyDescent="0.25">
      <c r="A3276" s="7" t="s">
        <v>16</v>
      </c>
      <c r="B3276" s="7" t="s">
        <v>230</v>
      </c>
      <c r="C3276" s="7" t="s">
        <v>24</v>
      </c>
      <c r="D3276" s="4">
        <v>16695025000197</v>
      </c>
      <c r="E3276" s="8" t="s">
        <v>1417</v>
      </c>
      <c r="F3276" s="8" t="s">
        <v>58</v>
      </c>
      <c r="G3276" s="8" t="s">
        <v>54</v>
      </c>
      <c r="H3276" s="8" t="s">
        <v>215</v>
      </c>
      <c r="I3276" s="3">
        <v>1</v>
      </c>
      <c r="J3276" s="8" t="s">
        <v>159</v>
      </c>
      <c r="K3276" s="8" t="s">
        <v>160</v>
      </c>
      <c r="L3276" s="8" t="s">
        <v>740</v>
      </c>
      <c r="M3276" s="1" t="s">
        <v>205</v>
      </c>
      <c r="N3276" s="8" t="s">
        <v>206</v>
      </c>
      <c r="O3276" s="6">
        <v>0</v>
      </c>
      <c r="P3276" s="6">
        <v>0</v>
      </c>
      <c r="Q3276" s="6">
        <v>0</v>
      </c>
      <c r="R3276" s="6">
        <v>0</v>
      </c>
      <c r="S3276" s="6">
        <v>250</v>
      </c>
    </row>
    <row r="3277" spans="1:19" ht="15" hidden="1" x14ac:dyDescent="0.25">
      <c r="A3277" s="7" t="s">
        <v>16</v>
      </c>
      <c r="B3277" s="7" t="s">
        <v>230</v>
      </c>
      <c r="C3277" s="7" t="s">
        <v>24</v>
      </c>
      <c r="D3277" s="4">
        <v>10364254602</v>
      </c>
      <c r="E3277" s="8" t="s">
        <v>1414</v>
      </c>
      <c r="F3277" s="8" t="s">
        <v>1415</v>
      </c>
      <c r="G3277" s="8" t="s">
        <v>54</v>
      </c>
      <c r="H3277" s="8" t="s">
        <v>215</v>
      </c>
      <c r="I3277" s="3">
        <v>1</v>
      </c>
      <c r="J3277" s="8" t="s">
        <v>159</v>
      </c>
      <c r="K3277" s="8" t="s">
        <v>160</v>
      </c>
      <c r="L3277" s="8" t="s">
        <v>740</v>
      </c>
      <c r="M3277" s="1" t="s">
        <v>205</v>
      </c>
      <c r="N3277" s="8" t="s">
        <v>206</v>
      </c>
      <c r="O3277" s="6">
        <v>29</v>
      </c>
      <c r="P3277" s="6">
        <v>0</v>
      </c>
      <c r="Q3277" s="6">
        <v>0</v>
      </c>
      <c r="R3277" s="6">
        <v>0</v>
      </c>
      <c r="S3277" s="6">
        <v>0</v>
      </c>
    </row>
    <row r="3278" spans="1:19" ht="15" hidden="1" x14ac:dyDescent="0.25">
      <c r="A3278" s="7" t="s">
        <v>16</v>
      </c>
      <c r="B3278" s="7" t="s">
        <v>230</v>
      </c>
      <c r="C3278" s="7" t="s">
        <v>24</v>
      </c>
      <c r="D3278" s="4">
        <v>19128248000160</v>
      </c>
      <c r="E3278" s="8" t="s">
        <v>1422</v>
      </c>
      <c r="F3278" s="8" t="s">
        <v>1301</v>
      </c>
      <c r="G3278" s="8" t="s">
        <v>54</v>
      </c>
      <c r="H3278" s="8" t="s">
        <v>215</v>
      </c>
      <c r="I3278" s="3">
        <v>1</v>
      </c>
      <c r="J3278" s="8" t="s">
        <v>159</v>
      </c>
      <c r="K3278" s="8" t="s">
        <v>160</v>
      </c>
      <c r="L3278" s="8" t="s">
        <v>740</v>
      </c>
      <c r="M3278" s="1" t="s">
        <v>205</v>
      </c>
      <c r="N3278" s="8" t="s">
        <v>206</v>
      </c>
      <c r="O3278" s="6">
        <v>0</v>
      </c>
      <c r="P3278" s="6">
        <v>0</v>
      </c>
      <c r="Q3278" s="6">
        <v>0</v>
      </c>
      <c r="R3278" s="6">
        <v>0</v>
      </c>
      <c r="S3278" s="6">
        <v>5</v>
      </c>
    </row>
    <row r="3279" spans="1:19" ht="15" hidden="1" x14ac:dyDescent="0.25">
      <c r="A3279" s="7" t="s">
        <v>16</v>
      </c>
      <c r="B3279" s="7" t="s">
        <v>230</v>
      </c>
      <c r="C3279" s="7" t="s">
        <v>24</v>
      </c>
      <c r="D3279" s="4">
        <v>20599890000107</v>
      </c>
      <c r="E3279" s="8" t="s">
        <v>1424</v>
      </c>
      <c r="F3279" s="8" t="s">
        <v>1188</v>
      </c>
      <c r="G3279" s="8" t="s">
        <v>54</v>
      </c>
      <c r="H3279" s="8" t="s">
        <v>215</v>
      </c>
      <c r="I3279" s="3">
        <v>1</v>
      </c>
      <c r="J3279" s="8" t="s">
        <v>159</v>
      </c>
      <c r="K3279" s="8" t="s">
        <v>160</v>
      </c>
      <c r="L3279" s="8" t="s">
        <v>740</v>
      </c>
      <c r="M3279" s="1" t="s">
        <v>205</v>
      </c>
      <c r="N3279" s="8" t="s">
        <v>206</v>
      </c>
      <c r="O3279" s="6">
        <v>0</v>
      </c>
      <c r="P3279" s="6">
        <v>0</v>
      </c>
      <c r="Q3279" s="6">
        <v>0</v>
      </c>
      <c r="R3279" s="6">
        <v>0</v>
      </c>
      <c r="S3279" s="6">
        <v>80</v>
      </c>
    </row>
    <row r="3280" spans="1:19" ht="15" hidden="1" x14ac:dyDescent="0.25">
      <c r="A3280" s="7" t="s">
        <v>16</v>
      </c>
      <c r="B3280" s="7" t="s">
        <v>230</v>
      </c>
      <c r="C3280" s="7" t="s">
        <v>24</v>
      </c>
      <c r="D3280" s="4">
        <v>19843929001000</v>
      </c>
      <c r="E3280" s="8" t="s">
        <v>1179</v>
      </c>
      <c r="F3280" s="8" t="s">
        <v>88</v>
      </c>
      <c r="G3280" s="8" t="s">
        <v>54</v>
      </c>
      <c r="H3280" s="8" t="s">
        <v>215</v>
      </c>
      <c r="I3280" s="3">
        <v>1</v>
      </c>
      <c r="J3280" s="8" t="s">
        <v>159</v>
      </c>
      <c r="K3280" s="8" t="s">
        <v>160</v>
      </c>
      <c r="L3280" s="8" t="s">
        <v>740</v>
      </c>
      <c r="M3280" s="1" t="s">
        <v>205</v>
      </c>
      <c r="N3280" s="8" t="s">
        <v>206</v>
      </c>
      <c r="O3280" s="6">
        <v>0</v>
      </c>
      <c r="P3280" s="6">
        <v>0</v>
      </c>
      <c r="Q3280" s="6">
        <v>0</v>
      </c>
      <c r="R3280" s="6">
        <v>0</v>
      </c>
      <c r="S3280" s="6">
        <v>5</v>
      </c>
    </row>
    <row r="3281" spans="1:19" ht="15" hidden="1" x14ac:dyDescent="0.25">
      <c r="A3281" s="7" t="s">
        <v>16</v>
      </c>
      <c r="B3281" s="7" t="s">
        <v>230</v>
      </c>
      <c r="C3281" s="7" t="s">
        <v>24</v>
      </c>
      <c r="D3281" s="4">
        <v>17689407000928</v>
      </c>
      <c r="E3281" s="8" t="s">
        <v>1174</v>
      </c>
      <c r="F3281" s="8" t="s">
        <v>88</v>
      </c>
      <c r="G3281" s="8" t="s">
        <v>54</v>
      </c>
      <c r="H3281" s="8" t="s">
        <v>215</v>
      </c>
      <c r="I3281" s="3">
        <v>1</v>
      </c>
      <c r="J3281" s="8" t="s">
        <v>159</v>
      </c>
      <c r="K3281" s="8" t="s">
        <v>160</v>
      </c>
      <c r="L3281" s="8" t="s">
        <v>740</v>
      </c>
      <c r="M3281" s="1" t="s">
        <v>205</v>
      </c>
      <c r="N3281" s="8" t="s">
        <v>206</v>
      </c>
      <c r="O3281" s="6">
        <v>0</v>
      </c>
      <c r="P3281" s="6">
        <v>0</v>
      </c>
      <c r="Q3281" s="6">
        <v>0</v>
      </c>
      <c r="R3281" s="6">
        <v>10</v>
      </c>
      <c r="S3281" s="6">
        <v>0</v>
      </c>
    </row>
    <row r="3282" spans="1:19" ht="15" hidden="1" x14ac:dyDescent="0.25">
      <c r="A3282" s="7" t="s">
        <v>16</v>
      </c>
      <c r="B3282" s="7" t="s">
        <v>230</v>
      </c>
      <c r="C3282" s="7" t="s">
        <v>24</v>
      </c>
      <c r="D3282" s="4">
        <v>71064539000314</v>
      </c>
      <c r="E3282" s="8" t="s">
        <v>1430</v>
      </c>
      <c r="F3282" s="8" t="s">
        <v>119</v>
      </c>
      <c r="G3282" s="8" t="s">
        <v>54</v>
      </c>
      <c r="H3282" s="8" t="s">
        <v>215</v>
      </c>
      <c r="I3282" s="3">
        <v>1</v>
      </c>
      <c r="J3282" s="8" t="s">
        <v>159</v>
      </c>
      <c r="K3282" s="8" t="s">
        <v>160</v>
      </c>
      <c r="L3282" s="8" t="s">
        <v>740</v>
      </c>
      <c r="M3282" s="1" t="s">
        <v>205</v>
      </c>
      <c r="N3282" s="8" t="s">
        <v>206</v>
      </c>
      <c r="O3282" s="6">
        <v>0</v>
      </c>
      <c r="P3282" s="6">
        <v>0</v>
      </c>
      <c r="Q3282" s="6">
        <v>0</v>
      </c>
      <c r="R3282" s="6">
        <v>0</v>
      </c>
      <c r="S3282" s="6">
        <v>160</v>
      </c>
    </row>
    <row r="3283" spans="1:19" ht="15" hidden="1" x14ac:dyDescent="0.25">
      <c r="A3283" s="7" t="s">
        <v>16</v>
      </c>
      <c r="B3283" s="7" t="s">
        <v>230</v>
      </c>
      <c r="C3283" s="7" t="s">
        <v>24</v>
      </c>
      <c r="D3283" s="4">
        <v>23278898000160</v>
      </c>
      <c r="E3283" s="8" t="s">
        <v>1194</v>
      </c>
      <c r="F3283" s="8" t="s">
        <v>119</v>
      </c>
      <c r="G3283" s="8" t="s">
        <v>54</v>
      </c>
      <c r="H3283" s="8" t="s">
        <v>215</v>
      </c>
      <c r="I3283" s="3">
        <v>1</v>
      </c>
      <c r="J3283" s="8" t="s">
        <v>159</v>
      </c>
      <c r="K3283" s="8" t="s">
        <v>160</v>
      </c>
      <c r="L3283" s="8" t="s">
        <v>740</v>
      </c>
      <c r="M3283" s="1" t="s">
        <v>205</v>
      </c>
      <c r="N3283" s="8" t="s">
        <v>206</v>
      </c>
      <c r="O3283" s="6">
        <v>0</v>
      </c>
      <c r="P3283" s="6">
        <v>0</v>
      </c>
      <c r="Q3283" s="6">
        <v>0</v>
      </c>
      <c r="R3283" s="6">
        <v>0</v>
      </c>
      <c r="S3283" s="6">
        <v>105</v>
      </c>
    </row>
    <row r="3284" spans="1:19" ht="15" hidden="1" x14ac:dyDescent="0.25">
      <c r="A3284" s="7" t="s">
        <v>16</v>
      </c>
      <c r="B3284" s="7" t="s">
        <v>230</v>
      </c>
      <c r="C3284" s="7" t="s">
        <v>24</v>
      </c>
      <c r="D3284" s="4">
        <v>41781949000234</v>
      </c>
      <c r="E3284" s="8" t="s">
        <v>1219</v>
      </c>
      <c r="F3284" s="8" t="s">
        <v>1220</v>
      </c>
      <c r="G3284" s="8" t="s">
        <v>54</v>
      </c>
      <c r="H3284" s="8" t="s">
        <v>215</v>
      </c>
      <c r="I3284" s="3">
        <v>1</v>
      </c>
      <c r="J3284" s="8" t="s">
        <v>159</v>
      </c>
      <c r="K3284" s="8" t="s">
        <v>160</v>
      </c>
      <c r="L3284" s="8" t="s">
        <v>740</v>
      </c>
      <c r="M3284" s="1" t="s">
        <v>205</v>
      </c>
      <c r="N3284" s="8" t="s">
        <v>206</v>
      </c>
      <c r="O3284" s="6">
        <v>0</v>
      </c>
      <c r="P3284" s="6">
        <v>0</v>
      </c>
      <c r="Q3284" s="6">
        <v>0</v>
      </c>
      <c r="R3284" s="6">
        <v>0</v>
      </c>
      <c r="S3284" s="6">
        <v>160</v>
      </c>
    </row>
    <row r="3285" spans="1:19" ht="15" hidden="1" x14ac:dyDescent="0.25">
      <c r="A3285" s="7" t="s">
        <v>16</v>
      </c>
      <c r="B3285" s="7" t="s">
        <v>230</v>
      </c>
      <c r="C3285" s="7" t="s">
        <v>24</v>
      </c>
      <c r="D3285" s="4">
        <v>17774738000613</v>
      </c>
      <c r="E3285" s="8" t="s">
        <v>1175</v>
      </c>
      <c r="F3285" s="8" t="s">
        <v>126</v>
      </c>
      <c r="G3285" s="8" t="s">
        <v>54</v>
      </c>
      <c r="H3285" s="8" t="s">
        <v>215</v>
      </c>
      <c r="I3285" s="3">
        <v>1</v>
      </c>
      <c r="J3285" s="8" t="s">
        <v>159</v>
      </c>
      <c r="K3285" s="8" t="s">
        <v>160</v>
      </c>
      <c r="L3285" s="8" t="s">
        <v>740</v>
      </c>
      <c r="M3285" s="1" t="s">
        <v>205</v>
      </c>
      <c r="N3285" s="8" t="s">
        <v>206</v>
      </c>
      <c r="O3285" s="6">
        <v>0</v>
      </c>
      <c r="P3285" s="6">
        <v>0</v>
      </c>
      <c r="Q3285" s="6">
        <v>0</v>
      </c>
      <c r="R3285" s="6">
        <v>28</v>
      </c>
      <c r="S3285" s="6">
        <v>0</v>
      </c>
    </row>
    <row r="3286" spans="1:19" ht="15" hidden="1" x14ac:dyDescent="0.25">
      <c r="A3286" s="7" t="s">
        <v>16</v>
      </c>
      <c r="B3286" s="7" t="s">
        <v>230</v>
      </c>
      <c r="C3286" s="7" t="s">
        <v>24</v>
      </c>
      <c r="D3286" s="4">
        <v>25431834000182</v>
      </c>
      <c r="E3286" s="8" t="s">
        <v>1425</v>
      </c>
      <c r="F3286" s="8" t="s">
        <v>126</v>
      </c>
      <c r="G3286" s="8" t="s">
        <v>54</v>
      </c>
      <c r="H3286" s="8" t="s">
        <v>215</v>
      </c>
      <c r="I3286" s="3">
        <v>1</v>
      </c>
      <c r="J3286" s="8" t="s">
        <v>159</v>
      </c>
      <c r="K3286" s="8" t="s">
        <v>160</v>
      </c>
      <c r="L3286" s="8" t="s">
        <v>740</v>
      </c>
      <c r="M3286" s="1" t="s">
        <v>205</v>
      </c>
      <c r="N3286" s="8" t="s">
        <v>206</v>
      </c>
      <c r="O3286" s="6">
        <v>0</v>
      </c>
      <c r="P3286" s="6">
        <v>0</v>
      </c>
      <c r="Q3286" s="6">
        <v>0</v>
      </c>
      <c r="R3286" s="6">
        <v>0</v>
      </c>
      <c r="S3286" s="6">
        <v>150</v>
      </c>
    </row>
    <row r="3287" spans="1:19" ht="15" hidden="1" x14ac:dyDescent="0.25">
      <c r="A3287" s="7" t="s">
        <v>16</v>
      </c>
      <c r="B3287" s="7" t="s">
        <v>230</v>
      </c>
      <c r="C3287" s="7" t="s">
        <v>24</v>
      </c>
      <c r="D3287" s="4">
        <v>20150900000122</v>
      </c>
      <c r="E3287" s="8" t="s">
        <v>1185</v>
      </c>
      <c r="F3287" s="8" t="s">
        <v>1171</v>
      </c>
      <c r="G3287" s="8" t="s">
        <v>54</v>
      </c>
      <c r="H3287" s="8" t="s">
        <v>215</v>
      </c>
      <c r="I3287" s="3">
        <v>1</v>
      </c>
      <c r="J3287" s="8" t="s">
        <v>159</v>
      </c>
      <c r="K3287" s="8" t="s">
        <v>160</v>
      </c>
      <c r="L3287" s="8" t="s">
        <v>740</v>
      </c>
      <c r="M3287" s="1" t="s">
        <v>205</v>
      </c>
      <c r="N3287" s="8" t="s">
        <v>206</v>
      </c>
      <c r="O3287" s="6">
        <v>0</v>
      </c>
      <c r="P3287" s="6">
        <v>0</v>
      </c>
      <c r="Q3287" s="6">
        <v>0</v>
      </c>
      <c r="R3287" s="6">
        <v>12</v>
      </c>
      <c r="S3287" s="6">
        <v>0</v>
      </c>
    </row>
    <row r="3288" spans="1:19" ht="15" hidden="1" x14ac:dyDescent="0.25">
      <c r="A3288" s="7" t="s">
        <v>16</v>
      </c>
      <c r="B3288" s="7" t="s">
        <v>230</v>
      </c>
      <c r="C3288" s="7" t="s">
        <v>24</v>
      </c>
      <c r="D3288" s="4">
        <v>18484378000173</v>
      </c>
      <c r="E3288" s="8" t="s">
        <v>1176</v>
      </c>
      <c r="F3288" s="8" t="s">
        <v>1171</v>
      </c>
      <c r="G3288" s="8" t="s">
        <v>54</v>
      </c>
      <c r="H3288" s="8" t="s">
        <v>215</v>
      </c>
      <c r="I3288" s="3">
        <v>1</v>
      </c>
      <c r="J3288" s="8" t="s">
        <v>159</v>
      </c>
      <c r="K3288" s="8" t="s">
        <v>160</v>
      </c>
      <c r="L3288" s="8" t="s">
        <v>740</v>
      </c>
      <c r="M3288" s="1" t="s">
        <v>205</v>
      </c>
      <c r="N3288" s="8" t="s">
        <v>206</v>
      </c>
      <c r="O3288" s="6">
        <v>0</v>
      </c>
      <c r="P3288" s="6">
        <v>0</v>
      </c>
      <c r="Q3288" s="6">
        <v>3</v>
      </c>
      <c r="R3288" s="6">
        <v>0</v>
      </c>
      <c r="S3288" s="6">
        <v>0</v>
      </c>
    </row>
    <row r="3289" spans="1:19" ht="15" hidden="1" x14ac:dyDescent="0.25">
      <c r="A3289" s="7" t="s">
        <v>16</v>
      </c>
      <c r="B3289" s="7" t="s">
        <v>230</v>
      </c>
      <c r="C3289" s="7" t="s">
        <v>24</v>
      </c>
      <c r="D3289" s="4">
        <v>17087591000189</v>
      </c>
      <c r="E3289" s="8" t="s">
        <v>1170</v>
      </c>
      <c r="F3289" s="8" t="s">
        <v>1171</v>
      </c>
      <c r="G3289" s="8" t="s">
        <v>54</v>
      </c>
      <c r="H3289" s="8" t="s">
        <v>215</v>
      </c>
      <c r="I3289" s="3">
        <v>1</v>
      </c>
      <c r="J3289" s="8" t="s">
        <v>159</v>
      </c>
      <c r="K3289" s="8" t="s">
        <v>160</v>
      </c>
      <c r="L3289" s="8" t="s">
        <v>740</v>
      </c>
      <c r="M3289" s="1" t="s">
        <v>205</v>
      </c>
      <c r="N3289" s="8" t="s">
        <v>206</v>
      </c>
      <c r="O3289" s="6">
        <v>0</v>
      </c>
      <c r="P3289" s="6">
        <v>0</v>
      </c>
      <c r="Q3289" s="6">
        <v>3</v>
      </c>
      <c r="R3289" s="6">
        <v>0</v>
      </c>
      <c r="S3289" s="6">
        <v>0</v>
      </c>
    </row>
    <row r="3290" spans="1:19" ht="15" hidden="1" x14ac:dyDescent="0.25">
      <c r="A3290" s="7" t="s">
        <v>16</v>
      </c>
      <c r="B3290" s="7" t="s">
        <v>230</v>
      </c>
      <c r="C3290" s="7" t="s">
        <v>24</v>
      </c>
      <c r="D3290" s="4">
        <v>14408631000159</v>
      </c>
      <c r="E3290" s="8" t="s">
        <v>1163</v>
      </c>
      <c r="F3290" s="8" t="s">
        <v>1164</v>
      </c>
      <c r="G3290" s="8" t="s">
        <v>54</v>
      </c>
      <c r="H3290" s="8" t="s">
        <v>215</v>
      </c>
      <c r="I3290" s="3">
        <v>1</v>
      </c>
      <c r="J3290" s="8" t="s">
        <v>159</v>
      </c>
      <c r="K3290" s="8" t="s">
        <v>160</v>
      </c>
      <c r="L3290" s="8" t="s">
        <v>740</v>
      </c>
      <c r="M3290" s="1" t="s">
        <v>205</v>
      </c>
      <c r="N3290" s="8" t="s">
        <v>206</v>
      </c>
      <c r="O3290" s="6">
        <v>0</v>
      </c>
      <c r="P3290" s="6">
        <v>0</v>
      </c>
      <c r="Q3290" s="6">
        <v>0</v>
      </c>
      <c r="R3290" s="6">
        <v>8</v>
      </c>
      <c r="S3290" s="6">
        <v>0</v>
      </c>
    </row>
    <row r="3291" spans="1:19" ht="15" hidden="1" x14ac:dyDescent="0.25">
      <c r="A3291" s="7" t="s">
        <v>16</v>
      </c>
      <c r="B3291" s="7" t="s">
        <v>230</v>
      </c>
      <c r="C3291" s="7" t="s">
        <v>24</v>
      </c>
      <c r="D3291" s="4">
        <v>3533726001583</v>
      </c>
      <c r="E3291" s="8" t="s">
        <v>788</v>
      </c>
      <c r="F3291" s="8" t="s">
        <v>789</v>
      </c>
      <c r="G3291" s="8" t="s">
        <v>69</v>
      </c>
      <c r="H3291" s="8" t="s">
        <v>215</v>
      </c>
      <c r="I3291" s="3">
        <v>2</v>
      </c>
      <c r="J3291" s="8" t="s">
        <v>187</v>
      </c>
      <c r="K3291" s="8" t="s">
        <v>188</v>
      </c>
      <c r="L3291" s="8" t="s">
        <v>556</v>
      </c>
      <c r="M3291" s="1" t="s">
        <v>211</v>
      </c>
      <c r="N3291" s="8" t="s">
        <v>212</v>
      </c>
      <c r="O3291" s="6">
        <v>0</v>
      </c>
      <c r="P3291" s="6">
        <v>0</v>
      </c>
      <c r="Q3291" s="6">
        <v>0</v>
      </c>
      <c r="R3291" s="6">
        <v>0</v>
      </c>
      <c r="S3291" s="6">
        <v>155</v>
      </c>
    </row>
    <row r="3292" spans="1:19" ht="15" hidden="1" x14ac:dyDescent="0.25">
      <c r="A3292" s="7" t="s">
        <v>16</v>
      </c>
      <c r="B3292" s="7" t="s">
        <v>230</v>
      </c>
      <c r="C3292" s="7" t="s">
        <v>24</v>
      </c>
      <c r="D3292" s="4">
        <v>3533726001583</v>
      </c>
      <c r="E3292" s="8" t="s">
        <v>788</v>
      </c>
      <c r="F3292" s="8" t="s">
        <v>789</v>
      </c>
      <c r="G3292" s="8" t="s">
        <v>69</v>
      </c>
      <c r="H3292" s="8" t="s">
        <v>215</v>
      </c>
      <c r="I3292" s="3">
        <v>2</v>
      </c>
      <c r="J3292" s="8" t="s">
        <v>163</v>
      </c>
      <c r="K3292" s="8" t="s">
        <v>164</v>
      </c>
      <c r="L3292" s="8" t="s">
        <v>557</v>
      </c>
      <c r="M3292" s="1" t="s">
        <v>211</v>
      </c>
      <c r="N3292" s="8" t="s">
        <v>212</v>
      </c>
      <c r="O3292" s="6">
        <v>0</v>
      </c>
      <c r="P3292" s="6">
        <v>0</v>
      </c>
      <c r="Q3292" s="6">
        <v>0</v>
      </c>
      <c r="R3292" s="6">
        <v>0</v>
      </c>
      <c r="S3292" s="6">
        <v>155</v>
      </c>
    </row>
    <row r="3293" spans="1:19" ht="15" hidden="1" x14ac:dyDescent="0.25">
      <c r="A3293" s="7" t="s">
        <v>16</v>
      </c>
      <c r="B3293" s="7" t="s">
        <v>230</v>
      </c>
      <c r="C3293" s="7" t="s">
        <v>24</v>
      </c>
      <c r="D3293" s="4">
        <v>3925419000142</v>
      </c>
      <c r="E3293" s="8" t="s">
        <v>795</v>
      </c>
      <c r="F3293" s="8" t="s">
        <v>772</v>
      </c>
      <c r="G3293" s="8" t="s">
        <v>69</v>
      </c>
      <c r="H3293" s="8" t="s">
        <v>215</v>
      </c>
      <c r="I3293" s="3">
        <v>2</v>
      </c>
      <c r="J3293" s="8" t="s">
        <v>187</v>
      </c>
      <c r="K3293" s="8" t="s">
        <v>188</v>
      </c>
      <c r="L3293" s="8" t="s">
        <v>556</v>
      </c>
      <c r="M3293" s="1" t="s">
        <v>211</v>
      </c>
      <c r="N3293" s="8" t="s">
        <v>212</v>
      </c>
      <c r="O3293" s="6">
        <v>0</v>
      </c>
      <c r="P3293" s="6">
        <v>0</v>
      </c>
      <c r="Q3293" s="6">
        <v>0</v>
      </c>
      <c r="R3293" s="6">
        <v>0</v>
      </c>
      <c r="S3293" s="6">
        <v>0</v>
      </c>
    </row>
    <row r="3294" spans="1:19" ht="15" hidden="1" x14ac:dyDescent="0.25">
      <c r="A3294" s="7" t="s">
        <v>16</v>
      </c>
      <c r="B3294" s="7" t="s">
        <v>230</v>
      </c>
      <c r="C3294" s="7" t="s">
        <v>24</v>
      </c>
      <c r="D3294" s="4">
        <v>3925419000142</v>
      </c>
      <c r="E3294" s="8" t="s">
        <v>795</v>
      </c>
      <c r="F3294" s="8" t="s">
        <v>772</v>
      </c>
      <c r="G3294" s="8" t="s">
        <v>69</v>
      </c>
      <c r="H3294" s="8" t="s">
        <v>215</v>
      </c>
      <c r="I3294" s="3">
        <v>2</v>
      </c>
      <c r="J3294" s="8" t="s">
        <v>163</v>
      </c>
      <c r="K3294" s="8" t="s">
        <v>164</v>
      </c>
      <c r="L3294" s="8" t="s">
        <v>557</v>
      </c>
      <c r="M3294" s="1" t="s">
        <v>211</v>
      </c>
      <c r="N3294" s="8" t="s">
        <v>212</v>
      </c>
      <c r="O3294" s="6">
        <v>0</v>
      </c>
      <c r="P3294" s="6">
        <v>3</v>
      </c>
      <c r="Q3294" s="6">
        <v>0</v>
      </c>
      <c r="R3294" s="6">
        <v>0</v>
      </c>
      <c r="S3294" s="6">
        <v>0</v>
      </c>
    </row>
    <row r="3295" spans="1:19" ht="15" hidden="1" x14ac:dyDescent="0.25">
      <c r="A3295" s="7" t="s">
        <v>16</v>
      </c>
      <c r="B3295" s="7" t="s">
        <v>230</v>
      </c>
      <c r="C3295" s="7" t="s">
        <v>24</v>
      </c>
      <c r="D3295" s="4">
        <v>1325113204</v>
      </c>
      <c r="E3295" s="8" t="s">
        <v>1431</v>
      </c>
      <c r="F3295" s="8" t="s">
        <v>1432</v>
      </c>
      <c r="G3295" s="8" t="s">
        <v>52</v>
      </c>
      <c r="H3295" s="8" t="s">
        <v>215</v>
      </c>
      <c r="I3295" s="3">
        <v>1</v>
      </c>
      <c r="J3295" s="8" t="s">
        <v>201</v>
      </c>
      <c r="K3295" s="8" t="s">
        <v>202</v>
      </c>
      <c r="L3295" s="8" t="s">
        <v>740</v>
      </c>
      <c r="M3295" s="1" t="s">
        <v>211</v>
      </c>
      <c r="N3295" s="8" t="s">
        <v>212</v>
      </c>
      <c r="O3295" s="6">
        <v>0</v>
      </c>
      <c r="P3295" s="6">
        <v>0</v>
      </c>
      <c r="Q3295" s="6">
        <v>0</v>
      </c>
      <c r="R3295" s="6">
        <v>4</v>
      </c>
      <c r="S3295" s="6">
        <v>0</v>
      </c>
    </row>
    <row r="3296" spans="1:19" ht="15" hidden="1" x14ac:dyDescent="0.25">
      <c r="A3296" s="7" t="s">
        <v>16</v>
      </c>
      <c r="B3296" s="7" t="s">
        <v>230</v>
      </c>
      <c r="C3296" s="7" t="s">
        <v>24</v>
      </c>
      <c r="D3296" s="4">
        <v>4966545000370</v>
      </c>
      <c r="E3296" s="8" t="s">
        <v>1148</v>
      </c>
      <c r="F3296" s="8" t="s">
        <v>1129</v>
      </c>
      <c r="G3296" s="8" t="s">
        <v>52</v>
      </c>
      <c r="H3296" s="8" t="s">
        <v>215</v>
      </c>
      <c r="I3296" s="3">
        <v>1</v>
      </c>
      <c r="J3296" s="8" t="s">
        <v>201</v>
      </c>
      <c r="K3296" s="8" t="s">
        <v>202</v>
      </c>
      <c r="L3296" s="8" t="s">
        <v>740</v>
      </c>
      <c r="M3296" s="1" t="s">
        <v>211</v>
      </c>
      <c r="N3296" s="8" t="s">
        <v>212</v>
      </c>
      <c r="O3296" s="6">
        <v>0</v>
      </c>
      <c r="P3296" s="6">
        <v>0</v>
      </c>
      <c r="Q3296" s="6">
        <v>0</v>
      </c>
      <c r="R3296" s="6">
        <v>0</v>
      </c>
      <c r="S3296" s="6">
        <v>80</v>
      </c>
    </row>
    <row r="3297" spans="1:19" ht="15" hidden="1" x14ac:dyDescent="0.25">
      <c r="A3297" s="7" t="s">
        <v>16</v>
      </c>
      <c r="B3297" s="7" t="s">
        <v>230</v>
      </c>
      <c r="C3297" s="7" t="s">
        <v>24</v>
      </c>
      <c r="D3297" s="4">
        <v>12361267003370</v>
      </c>
      <c r="E3297" s="8" t="s">
        <v>1298</v>
      </c>
      <c r="F3297" s="8" t="s">
        <v>1129</v>
      </c>
      <c r="G3297" s="8" t="s">
        <v>52</v>
      </c>
      <c r="H3297" s="8" t="s">
        <v>215</v>
      </c>
      <c r="I3297" s="3">
        <v>1</v>
      </c>
      <c r="J3297" s="8" t="s">
        <v>201</v>
      </c>
      <c r="K3297" s="8" t="s">
        <v>202</v>
      </c>
      <c r="L3297" s="8" t="s">
        <v>740</v>
      </c>
      <c r="M3297" s="1" t="s">
        <v>211</v>
      </c>
      <c r="N3297" s="8" t="s">
        <v>212</v>
      </c>
      <c r="O3297" s="6">
        <v>0</v>
      </c>
      <c r="P3297" s="6">
        <v>0</v>
      </c>
      <c r="Q3297" s="6">
        <v>0</v>
      </c>
      <c r="R3297" s="6">
        <v>0</v>
      </c>
      <c r="S3297" s="6">
        <v>220</v>
      </c>
    </row>
    <row r="3298" spans="1:19" ht="15" hidden="1" x14ac:dyDescent="0.25">
      <c r="A3298" s="7" t="s">
        <v>16</v>
      </c>
      <c r="B3298" s="7" t="s">
        <v>230</v>
      </c>
      <c r="C3298" s="7" t="s">
        <v>24</v>
      </c>
      <c r="D3298" s="4">
        <v>12371009253</v>
      </c>
      <c r="E3298" s="8" t="s">
        <v>1128</v>
      </c>
      <c r="F3298" s="8" t="s">
        <v>1129</v>
      </c>
      <c r="G3298" s="8" t="s">
        <v>52</v>
      </c>
      <c r="H3298" s="8" t="s">
        <v>215</v>
      </c>
      <c r="I3298" s="3">
        <v>1</v>
      </c>
      <c r="J3298" s="8" t="s">
        <v>201</v>
      </c>
      <c r="K3298" s="8" t="s">
        <v>202</v>
      </c>
      <c r="L3298" s="8" t="s">
        <v>740</v>
      </c>
      <c r="M3298" s="1" t="s">
        <v>211</v>
      </c>
      <c r="N3298" s="8" t="s">
        <v>212</v>
      </c>
      <c r="O3298" s="6">
        <v>0</v>
      </c>
      <c r="P3298" s="6">
        <v>0</v>
      </c>
      <c r="Q3298" s="6">
        <v>0</v>
      </c>
      <c r="R3298" s="6">
        <v>12</v>
      </c>
      <c r="S3298" s="6">
        <v>0</v>
      </c>
    </row>
    <row r="3299" spans="1:19" ht="15" hidden="1" x14ac:dyDescent="0.25">
      <c r="A3299" s="7" t="s">
        <v>16</v>
      </c>
      <c r="B3299" s="7" t="s">
        <v>230</v>
      </c>
      <c r="C3299" s="7" t="s">
        <v>24</v>
      </c>
      <c r="D3299" s="4">
        <v>93326645287</v>
      </c>
      <c r="E3299" s="8" t="s">
        <v>1239</v>
      </c>
      <c r="F3299" s="8" t="s">
        <v>1129</v>
      </c>
      <c r="G3299" s="8" t="s">
        <v>52</v>
      </c>
      <c r="H3299" s="8" t="s">
        <v>215</v>
      </c>
      <c r="I3299" s="3">
        <v>1</v>
      </c>
      <c r="J3299" s="8" t="s">
        <v>201</v>
      </c>
      <c r="K3299" s="8" t="s">
        <v>202</v>
      </c>
      <c r="L3299" s="8" t="s">
        <v>740</v>
      </c>
      <c r="M3299" s="1" t="s">
        <v>211</v>
      </c>
      <c r="N3299" s="8" t="s">
        <v>212</v>
      </c>
      <c r="O3299" s="6">
        <v>0</v>
      </c>
      <c r="P3299" s="6">
        <v>0</v>
      </c>
      <c r="Q3299" s="6">
        <v>0</v>
      </c>
      <c r="R3299" s="6">
        <v>12</v>
      </c>
      <c r="S3299" s="6">
        <v>0</v>
      </c>
    </row>
    <row r="3300" spans="1:19" ht="15" hidden="1" x14ac:dyDescent="0.25">
      <c r="A3300" s="7" t="s">
        <v>16</v>
      </c>
      <c r="B3300" s="7" t="s">
        <v>230</v>
      </c>
      <c r="C3300" s="7" t="s">
        <v>24</v>
      </c>
      <c r="D3300" s="4">
        <v>4201372001028</v>
      </c>
      <c r="E3300" s="8" t="s">
        <v>1145</v>
      </c>
      <c r="F3300" s="8" t="s">
        <v>1129</v>
      </c>
      <c r="G3300" s="8" t="s">
        <v>52</v>
      </c>
      <c r="H3300" s="8" t="s">
        <v>215</v>
      </c>
      <c r="I3300" s="3">
        <v>1</v>
      </c>
      <c r="J3300" s="8" t="s">
        <v>201</v>
      </c>
      <c r="K3300" s="8" t="s">
        <v>202</v>
      </c>
      <c r="L3300" s="8" t="s">
        <v>740</v>
      </c>
      <c r="M3300" s="1" t="s">
        <v>211</v>
      </c>
      <c r="N3300" s="8" t="s">
        <v>212</v>
      </c>
      <c r="O3300" s="6">
        <v>0</v>
      </c>
      <c r="P3300" s="6">
        <v>0</v>
      </c>
      <c r="Q3300" s="6">
        <v>0</v>
      </c>
      <c r="R3300" s="6">
        <v>72</v>
      </c>
      <c r="S3300" s="6">
        <v>0</v>
      </c>
    </row>
    <row r="3301" spans="1:19" ht="15" hidden="1" x14ac:dyDescent="0.25">
      <c r="A3301" s="7" t="s">
        <v>16</v>
      </c>
      <c r="B3301" s="7" t="s">
        <v>230</v>
      </c>
      <c r="C3301" s="7" t="s">
        <v>24</v>
      </c>
      <c r="D3301" s="4">
        <v>46709932249</v>
      </c>
      <c r="E3301" s="8" t="s">
        <v>1511</v>
      </c>
      <c r="F3301" s="8" t="s">
        <v>1129</v>
      </c>
      <c r="G3301" s="8" t="s">
        <v>52</v>
      </c>
      <c r="H3301" s="8" t="s">
        <v>1334</v>
      </c>
      <c r="I3301" s="3">
        <v>0</v>
      </c>
      <c r="J3301" s="8"/>
      <c r="K3301" s="8"/>
      <c r="L3301" s="8"/>
      <c r="M3301" s="1"/>
      <c r="N3301" s="8"/>
      <c r="O3301" s="6">
        <v>0</v>
      </c>
      <c r="P3301" s="6">
        <v>0</v>
      </c>
      <c r="Q3301" s="6">
        <v>0</v>
      </c>
      <c r="R3301" s="6">
        <v>0</v>
      </c>
      <c r="S3301" s="6">
        <v>0</v>
      </c>
    </row>
    <row r="3302" spans="1:19" ht="15" hidden="1" x14ac:dyDescent="0.25">
      <c r="A3302" s="7" t="s">
        <v>16</v>
      </c>
      <c r="B3302" s="7" t="s">
        <v>230</v>
      </c>
      <c r="C3302" s="7" t="s">
        <v>24</v>
      </c>
      <c r="D3302" s="4">
        <v>24232886008303</v>
      </c>
      <c r="E3302" s="8" t="s">
        <v>1198</v>
      </c>
      <c r="F3302" s="8" t="s">
        <v>1199</v>
      </c>
      <c r="G3302" s="8" t="s">
        <v>52</v>
      </c>
      <c r="H3302" s="8" t="s">
        <v>215</v>
      </c>
      <c r="I3302" s="3">
        <v>1</v>
      </c>
      <c r="J3302" s="8" t="s">
        <v>201</v>
      </c>
      <c r="K3302" s="8" t="s">
        <v>202</v>
      </c>
      <c r="L3302" s="8" t="s">
        <v>740</v>
      </c>
      <c r="M3302" s="1" t="s">
        <v>211</v>
      </c>
      <c r="N3302" s="8" t="s">
        <v>212</v>
      </c>
      <c r="O3302" s="6">
        <v>0</v>
      </c>
      <c r="P3302" s="6">
        <v>8</v>
      </c>
      <c r="Q3302" s="6">
        <v>6</v>
      </c>
      <c r="R3302" s="6">
        <v>0</v>
      </c>
      <c r="S3302" s="6">
        <v>0</v>
      </c>
    </row>
    <row r="3303" spans="1:19" ht="15" hidden="1" x14ac:dyDescent="0.25">
      <c r="A3303" s="7" t="s">
        <v>16</v>
      </c>
      <c r="B3303" s="7" t="s">
        <v>230</v>
      </c>
      <c r="C3303" s="7" t="s">
        <v>24</v>
      </c>
      <c r="D3303" s="4">
        <v>8680639000681</v>
      </c>
      <c r="E3303" s="8" t="s">
        <v>827</v>
      </c>
      <c r="F3303" s="8" t="s">
        <v>747</v>
      </c>
      <c r="G3303" s="8" t="s">
        <v>56</v>
      </c>
      <c r="H3303" s="8" t="s">
        <v>215</v>
      </c>
      <c r="I3303" s="3">
        <v>2</v>
      </c>
      <c r="J3303" s="8" t="s">
        <v>199</v>
      </c>
      <c r="K3303" s="8" t="s">
        <v>200</v>
      </c>
      <c r="L3303" s="8" t="s">
        <v>556</v>
      </c>
      <c r="M3303" s="1" t="s">
        <v>211</v>
      </c>
      <c r="N3303" s="8" t="s">
        <v>212</v>
      </c>
      <c r="O3303" s="6">
        <v>0</v>
      </c>
      <c r="P3303" s="6">
        <v>0</v>
      </c>
      <c r="Q3303" s="6">
        <v>0</v>
      </c>
      <c r="R3303" s="6">
        <v>36</v>
      </c>
      <c r="S3303" s="6">
        <v>175</v>
      </c>
    </row>
    <row r="3304" spans="1:19" ht="15" hidden="1" x14ac:dyDescent="0.25">
      <c r="A3304" s="7" t="s">
        <v>16</v>
      </c>
      <c r="B3304" s="7" t="s">
        <v>230</v>
      </c>
      <c r="C3304" s="7" t="s">
        <v>24</v>
      </c>
      <c r="D3304" s="4">
        <v>8680639000681</v>
      </c>
      <c r="E3304" s="8" t="s">
        <v>827</v>
      </c>
      <c r="F3304" s="8" t="s">
        <v>747</v>
      </c>
      <c r="G3304" s="8" t="s">
        <v>56</v>
      </c>
      <c r="H3304" s="8" t="s">
        <v>215</v>
      </c>
      <c r="I3304" s="3">
        <v>2</v>
      </c>
      <c r="J3304" s="8" t="s">
        <v>169</v>
      </c>
      <c r="K3304" s="8" t="s">
        <v>170</v>
      </c>
      <c r="L3304" s="8" t="s">
        <v>557</v>
      </c>
      <c r="M3304" s="1" t="s">
        <v>211</v>
      </c>
      <c r="N3304" s="8" t="s">
        <v>212</v>
      </c>
      <c r="O3304" s="6">
        <v>0</v>
      </c>
      <c r="P3304" s="6">
        <v>0</v>
      </c>
      <c r="Q3304" s="6">
        <v>0</v>
      </c>
      <c r="R3304" s="6">
        <v>0</v>
      </c>
      <c r="S3304" s="6">
        <v>175</v>
      </c>
    </row>
    <row r="3305" spans="1:19" ht="15" hidden="1" x14ac:dyDescent="0.25">
      <c r="A3305" s="7" t="s">
        <v>16</v>
      </c>
      <c r="B3305" s="7" t="s">
        <v>230</v>
      </c>
      <c r="C3305" s="7" t="s">
        <v>24</v>
      </c>
      <c r="D3305" s="4">
        <v>12361267008844</v>
      </c>
      <c r="E3305" s="8" t="s">
        <v>856</v>
      </c>
      <c r="F3305" s="8" t="s">
        <v>857</v>
      </c>
      <c r="G3305" s="8" t="s">
        <v>56</v>
      </c>
      <c r="H3305" s="8" t="s">
        <v>215</v>
      </c>
      <c r="I3305" s="3">
        <v>2</v>
      </c>
      <c r="J3305" s="8" t="s">
        <v>199</v>
      </c>
      <c r="K3305" s="8" t="s">
        <v>200</v>
      </c>
      <c r="L3305" s="8" t="s">
        <v>556</v>
      </c>
      <c r="M3305" s="1" t="s">
        <v>211</v>
      </c>
      <c r="N3305" s="8" t="s">
        <v>212</v>
      </c>
      <c r="O3305" s="6">
        <v>0</v>
      </c>
      <c r="P3305" s="6">
        <v>0</v>
      </c>
      <c r="Q3305" s="6">
        <v>0</v>
      </c>
      <c r="R3305" s="6">
        <v>0</v>
      </c>
      <c r="S3305" s="6">
        <v>75</v>
      </c>
    </row>
    <row r="3306" spans="1:19" ht="15" hidden="1" x14ac:dyDescent="0.25">
      <c r="A3306" s="7" t="s">
        <v>16</v>
      </c>
      <c r="B3306" s="7" t="s">
        <v>230</v>
      </c>
      <c r="C3306" s="7" t="s">
        <v>24</v>
      </c>
      <c r="D3306" s="4">
        <v>12361267008844</v>
      </c>
      <c r="E3306" s="8" t="s">
        <v>856</v>
      </c>
      <c r="F3306" s="8" t="s">
        <v>857</v>
      </c>
      <c r="G3306" s="8" t="s">
        <v>56</v>
      </c>
      <c r="H3306" s="8" t="s">
        <v>215</v>
      </c>
      <c r="I3306" s="3">
        <v>2</v>
      </c>
      <c r="J3306" s="8" t="s">
        <v>169</v>
      </c>
      <c r="K3306" s="8" t="s">
        <v>170</v>
      </c>
      <c r="L3306" s="8" t="s">
        <v>557</v>
      </c>
      <c r="M3306" s="1" t="s">
        <v>211</v>
      </c>
      <c r="N3306" s="8" t="s">
        <v>212</v>
      </c>
      <c r="O3306" s="6">
        <v>0</v>
      </c>
      <c r="P3306" s="6">
        <v>0</v>
      </c>
      <c r="Q3306" s="6">
        <v>2</v>
      </c>
      <c r="R3306" s="6">
        <v>0</v>
      </c>
      <c r="S3306" s="6">
        <v>75</v>
      </c>
    </row>
    <row r="3307" spans="1:19" ht="15" hidden="1" x14ac:dyDescent="0.25">
      <c r="A3307" s="7" t="s">
        <v>16</v>
      </c>
      <c r="B3307" s="7" t="s">
        <v>230</v>
      </c>
      <c r="C3307" s="7" t="s">
        <v>24</v>
      </c>
      <c r="D3307" s="4">
        <v>12361267005748</v>
      </c>
      <c r="E3307" s="8" t="s">
        <v>1299</v>
      </c>
      <c r="F3307" s="8" t="s">
        <v>794</v>
      </c>
      <c r="G3307" s="8" t="s">
        <v>71</v>
      </c>
      <c r="H3307" s="8" t="s">
        <v>215</v>
      </c>
      <c r="I3307" s="3">
        <v>2</v>
      </c>
      <c r="J3307" s="8" t="s">
        <v>199</v>
      </c>
      <c r="K3307" s="8" t="s">
        <v>200</v>
      </c>
      <c r="L3307" s="8" t="s">
        <v>556</v>
      </c>
      <c r="M3307" s="1" t="s">
        <v>211</v>
      </c>
      <c r="N3307" s="8" t="s">
        <v>212</v>
      </c>
      <c r="O3307" s="6">
        <v>0</v>
      </c>
      <c r="P3307" s="6">
        <v>0</v>
      </c>
      <c r="Q3307" s="6">
        <v>0</v>
      </c>
      <c r="R3307" s="6">
        <v>0</v>
      </c>
      <c r="S3307" s="6">
        <v>125</v>
      </c>
    </row>
    <row r="3308" spans="1:19" ht="15" hidden="1" x14ac:dyDescent="0.25">
      <c r="A3308" s="7" t="s">
        <v>16</v>
      </c>
      <c r="B3308" s="7" t="s">
        <v>230</v>
      </c>
      <c r="C3308" s="7" t="s">
        <v>24</v>
      </c>
      <c r="D3308" s="4">
        <v>12361267005748</v>
      </c>
      <c r="E3308" s="8" t="s">
        <v>1299</v>
      </c>
      <c r="F3308" s="8" t="s">
        <v>794</v>
      </c>
      <c r="G3308" s="8" t="s">
        <v>71</v>
      </c>
      <c r="H3308" s="8" t="s">
        <v>215</v>
      </c>
      <c r="I3308" s="3">
        <v>2</v>
      </c>
      <c r="J3308" s="8" t="s">
        <v>169</v>
      </c>
      <c r="K3308" s="8" t="s">
        <v>170</v>
      </c>
      <c r="L3308" s="8" t="s">
        <v>557</v>
      </c>
      <c r="M3308" s="1" t="s">
        <v>211</v>
      </c>
      <c r="N3308" s="8" t="s">
        <v>212</v>
      </c>
      <c r="O3308" s="6">
        <v>0</v>
      </c>
      <c r="P3308" s="6">
        <v>0</v>
      </c>
      <c r="Q3308" s="6">
        <v>0</v>
      </c>
      <c r="R3308" s="6">
        <v>0</v>
      </c>
      <c r="S3308" s="6">
        <v>125</v>
      </c>
    </row>
    <row r="3309" spans="1:19" ht="15" hidden="1" x14ac:dyDescent="0.25">
      <c r="A3309" s="7" t="s">
        <v>16</v>
      </c>
      <c r="B3309" s="7" t="s">
        <v>230</v>
      </c>
      <c r="C3309" s="7" t="s">
        <v>24</v>
      </c>
      <c r="D3309" s="4">
        <v>10572048000209</v>
      </c>
      <c r="E3309" s="8" t="s">
        <v>833</v>
      </c>
      <c r="F3309" s="8" t="s">
        <v>70</v>
      </c>
      <c r="G3309" s="8" t="s">
        <v>71</v>
      </c>
      <c r="H3309" s="8" t="s">
        <v>215</v>
      </c>
      <c r="I3309" s="3">
        <v>2</v>
      </c>
      <c r="J3309" s="8" t="s">
        <v>199</v>
      </c>
      <c r="K3309" s="8" t="s">
        <v>200</v>
      </c>
      <c r="L3309" s="8" t="s">
        <v>556</v>
      </c>
      <c r="M3309" s="1" t="s">
        <v>211</v>
      </c>
      <c r="N3309" s="8" t="s">
        <v>212</v>
      </c>
      <c r="O3309" s="6">
        <v>0</v>
      </c>
      <c r="P3309" s="6">
        <v>0</v>
      </c>
      <c r="Q3309" s="6">
        <v>0</v>
      </c>
      <c r="R3309" s="6">
        <v>0</v>
      </c>
      <c r="S3309" s="6">
        <v>2000</v>
      </c>
    </row>
    <row r="3310" spans="1:19" ht="15" hidden="1" x14ac:dyDescent="0.25">
      <c r="A3310" s="7" t="s">
        <v>16</v>
      </c>
      <c r="B3310" s="7" t="s">
        <v>230</v>
      </c>
      <c r="C3310" s="7" t="s">
        <v>24</v>
      </c>
      <c r="D3310" s="4">
        <v>10572048000209</v>
      </c>
      <c r="E3310" s="8" t="s">
        <v>833</v>
      </c>
      <c r="F3310" s="8" t="s">
        <v>70</v>
      </c>
      <c r="G3310" s="8" t="s">
        <v>71</v>
      </c>
      <c r="H3310" s="8" t="s">
        <v>215</v>
      </c>
      <c r="I3310" s="3">
        <v>2</v>
      </c>
      <c r="J3310" s="8" t="s">
        <v>169</v>
      </c>
      <c r="K3310" s="8" t="s">
        <v>170</v>
      </c>
      <c r="L3310" s="8" t="s">
        <v>557</v>
      </c>
      <c r="M3310" s="1" t="s">
        <v>211</v>
      </c>
      <c r="N3310" s="8" t="s">
        <v>212</v>
      </c>
      <c r="O3310" s="6">
        <v>0</v>
      </c>
      <c r="P3310" s="6">
        <v>0</v>
      </c>
      <c r="Q3310" s="6">
        <v>0</v>
      </c>
      <c r="R3310" s="6">
        <v>0</v>
      </c>
      <c r="S3310" s="6">
        <v>2000</v>
      </c>
    </row>
    <row r="3311" spans="1:19" ht="15" hidden="1" x14ac:dyDescent="0.25">
      <c r="A3311" s="7" t="s">
        <v>16</v>
      </c>
      <c r="B3311" s="7" t="s">
        <v>230</v>
      </c>
      <c r="C3311" s="7" t="s">
        <v>24</v>
      </c>
      <c r="D3311" s="4">
        <v>2284062000106</v>
      </c>
      <c r="E3311" s="8" t="s">
        <v>774</v>
      </c>
      <c r="F3311" s="8" t="s">
        <v>70</v>
      </c>
      <c r="G3311" s="8" t="s">
        <v>71</v>
      </c>
      <c r="H3311" s="8" t="s">
        <v>215</v>
      </c>
      <c r="I3311" s="3">
        <v>2</v>
      </c>
      <c r="J3311" s="8" t="s">
        <v>199</v>
      </c>
      <c r="K3311" s="8" t="s">
        <v>200</v>
      </c>
      <c r="L3311" s="8" t="s">
        <v>556</v>
      </c>
      <c r="M3311" s="1" t="s">
        <v>211</v>
      </c>
      <c r="N3311" s="8" t="s">
        <v>212</v>
      </c>
      <c r="O3311" s="6">
        <v>0</v>
      </c>
      <c r="P3311" s="6">
        <v>0</v>
      </c>
      <c r="Q3311" s="6">
        <v>0</v>
      </c>
      <c r="R3311" s="6">
        <v>0</v>
      </c>
      <c r="S3311" s="6">
        <v>0</v>
      </c>
    </row>
    <row r="3312" spans="1:19" ht="15" hidden="1" x14ac:dyDescent="0.25">
      <c r="A3312" s="7" t="s">
        <v>16</v>
      </c>
      <c r="B3312" s="7" t="s">
        <v>230</v>
      </c>
      <c r="C3312" s="7" t="s">
        <v>24</v>
      </c>
      <c r="D3312" s="4">
        <v>2284062000106</v>
      </c>
      <c r="E3312" s="8" t="s">
        <v>774</v>
      </c>
      <c r="F3312" s="8" t="s">
        <v>70</v>
      </c>
      <c r="G3312" s="8" t="s">
        <v>71</v>
      </c>
      <c r="H3312" s="8" t="s">
        <v>215</v>
      </c>
      <c r="I3312" s="3">
        <v>2</v>
      </c>
      <c r="J3312" s="8" t="s">
        <v>169</v>
      </c>
      <c r="K3312" s="8" t="s">
        <v>170</v>
      </c>
      <c r="L3312" s="8" t="s">
        <v>557</v>
      </c>
      <c r="M3312" s="1" t="s">
        <v>211</v>
      </c>
      <c r="N3312" s="8" t="s">
        <v>212</v>
      </c>
      <c r="O3312" s="6">
        <v>0</v>
      </c>
      <c r="P3312" s="6">
        <v>2</v>
      </c>
      <c r="Q3312" s="6">
        <v>0</v>
      </c>
      <c r="R3312" s="6">
        <v>0</v>
      </c>
      <c r="S3312" s="6">
        <v>0</v>
      </c>
    </row>
    <row r="3313" spans="1:19" ht="15" hidden="1" x14ac:dyDescent="0.25">
      <c r="A3313" s="7" t="s">
        <v>16</v>
      </c>
      <c r="B3313" s="7" t="s">
        <v>230</v>
      </c>
      <c r="C3313" s="7" t="s">
        <v>24</v>
      </c>
      <c r="D3313" s="4">
        <v>11452240000143</v>
      </c>
      <c r="E3313" s="8" t="s">
        <v>844</v>
      </c>
      <c r="F3313" s="8" t="s">
        <v>70</v>
      </c>
      <c r="G3313" s="8" t="s">
        <v>71</v>
      </c>
      <c r="H3313" s="8" t="s">
        <v>215</v>
      </c>
      <c r="I3313" s="3">
        <v>2</v>
      </c>
      <c r="J3313" s="8" t="s">
        <v>199</v>
      </c>
      <c r="K3313" s="8" t="s">
        <v>200</v>
      </c>
      <c r="L3313" s="8" t="s">
        <v>556</v>
      </c>
      <c r="M3313" s="1" t="s">
        <v>211</v>
      </c>
      <c r="N3313" s="8" t="s">
        <v>212</v>
      </c>
      <c r="O3313" s="6">
        <v>0</v>
      </c>
      <c r="P3313" s="6">
        <v>0</v>
      </c>
      <c r="Q3313" s="6">
        <v>0</v>
      </c>
      <c r="R3313" s="6">
        <v>0</v>
      </c>
      <c r="S3313" s="6">
        <v>150</v>
      </c>
    </row>
    <row r="3314" spans="1:19" ht="15" hidden="1" x14ac:dyDescent="0.25">
      <c r="A3314" s="7" t="s">
        <v>16</v>
      </c>
      <c r="B3314" s="7" t="s">
        <v>230</v>
      </c>
      <c r="C3314" s="7" t="s">
        <v>24</v>
      </c>
      <c r="D3314" s="4">
        <v>11452240000143</v>
      </c>
      <c r="E3314" s="8" t="s">
        <v>844</v>
      </c>
      <c r="F3314" s="8" t="s">
        <v>70</v>
      </c>
      <c r="G3314" s="8" t="s">
        <v>71</v>
      </c>
      <c r="H3314" s="8" t="s">
        <v>215</v>
      </c>
      <c r="I3314" s="3">
        <v>2</v>
      </c>
      <c r="J3314" s="8" t="s">
        <v>169</v>
      </c>
      <c r="K3314" s="8" t="s">
        <v>170</v>
      </c>
      <c r="L3314" s="8" t="s">
        <v>557</v>
      </c>
      <c r="M3314" s="1" t="s">
        <v>211</v>
      </c>
      <c r="N3314" s="8" t="s">
        <v>212</v>
      </c>
      <c r="O3314" s="6">
        <v>0</v>
      </c>
      <c r="P3314" s="6">
        <v>0</v>
      </c>
      <c r="Q3314" s="6">
        <v>0</v>
      </c>
      <c r="R3314" s="6">
        <v>0</v>
      </c>
      <c r="S3314" s="6">
        <v>150</v>
      </c>
    </row>
    <row r="3315" spans="1:19" ht="15" hidden="1" x14ac:dyDescent="0.25">
      <c r="A3315" s="7" t="s">
        <v>16</v>
      </c>
      <c r="B3315" s="7" t="s">
        <v>230</v>
      </c>
      <c r="C3315" s="7" t="s">
        <v>24</v>
      </c>
      <c r="D3315" s="4">
        <v>6047087009276</v>
      </c>
      <c r="E3315" s="8" t="s">
        <v>812</v>
      </c>
      <c r="F3315" s="8" t="s">
        <v>70</v>
      </c>
      <c r="G3315" s="8" t="s">
        <v>71</v>
      </c>
      <c r="H3315" s="8" t="s">
        <v>215</v>
      </c>
      <c r="I3315" s="3">
        <v>2</v>
      </c>
      <c r="J3315" s="8" t="s">
        <v>199</v>
      </c>
      <c r="K3315" s="8" t="s">
        <v>200</v>
      </c>
      <c r="L3315" s="8" t="s">
        <v>556</v>
      </c>
      <c r="M3315" s="1" t="s">
        <v>211</v>
      </c>
      <c r="N3315" s="8" t="s">
        <v>212</v>
      </c>
      <c r="O3315" s="6">
        <v>0</v>
      </c>
      <c r="P3315" s="6">
        <v>0</v>
      </c>
      <c r="Q3315" s="6">
        <v>0</v>
      </c>
      <c r="R3315" s="6">
        <v>0</v>
      </c>
      <c r="S3315" s="6">
        <v>0</v>
      </c>
    </row>
    <row r="3316" spans="1:19" ht="15" hidden="1" x14ac:dyDescent="0.25">
      <c r="A3316" s="7" t="s">
        <v>16</v>
      </c>
      <c r="B3316" s="7" t="s">
        <v>230</v>
      </c>
      <c r="C3316" s="7" t="s">
        <v>24</v>
      </c>
      <c r="D3316" s="4">
        <v>6047087009276</v>
      </c>
      <c r="E3316" s="8" t="s">
        <v>812</v>
      </c>
      <c r="F3316" s="8" t="s">
        <v>70</v>
      </c>
      <c r="G3316" s="8" t="s">
        <v>71</v>
      </c>
      <c r="H3316" s="8" t="s">
        <v>215</v>
      </c>
      <c r="I3316" s="3">
        <v>2</v>
      </c>
      <c r="J3316" s="8" t="s">
        <v>169</v>
      </c>
      <c r="K3316" s="8" t="s">
        <v>170</v>
      </c>
      <c r="L3316" s="8" t="s">
        <v>557</v>
      </c>
      <c r="M3316" s="1" t="s">
        <v>211</v>
      </c>
      <c r="N3316" s="8" t="s">
        <v>212</v>
      </c>
      <c r="O3316" s="6">
        <v>0</v>
      </c>
      <c r="P3316" s="6">
        <v>5</v>
      </c>
      <c r="Q3316" s="6">
        <v>0</v>
      </c>
      <c r="R3316" s="6">
        <v>0</v>
      </c>
      <c r="S3316" s="6">
        <v>0</v>
      </c>
    </row>
    <row r="3317" spans="1:19" ht="15" hidden="1" x14ac:dyDescent="0.25">
      <c r="A3317" s="7" t="s">
        <v>16</v>
      </c>
      <c r="B3317" s="7" t="s">
        <v>230</v>
      </c>
      <c r="C3317" s="7" t="s">
        <v>24</v>
      </c>
      <c r="D3317" s="4">
        <v>9577422000280</v>
      </c>
      <c r="E3317" s="8" t="s">
        <v>1390</v>
      </c>
      <c r="F3317" s="8" t="s">
        <v>70</v>
      </c>
      <c r="G3317" s="8" t="s">
        <v>71</v>
      </c>
      <c r="H3317" s="8" t="s">
        <v>215</v>
      </c>
      <c r="I3317" s="3">
        <v>2</v>
      </c>
      <c r="J3317" s="8" t="s">
        <v>199</v>
      </c>
      <c r="K3317" s="8" t="s">
        <v>200</v>
      </c>
      <c r="L3317" s="8" t="s">
        <v>556</v>
      </c>
      <c r="M3317" s="1" t="s">
        <v>211</v>
      </c>
      <c r="N3317" s="8" t="s">
        <v>212</v>
      </c>
      <c r="O3317" s="6">
        <v>0</v>
      </c>
      <c r="P3317" s="6">
        <v>0</v>
      </c>
      <c r="Q3317" s="6">
        <v>0</v>
      </c>
      <c r="R3317" s="6">
        <v>0</v>
      </c>
      <c r="S3317" s="6">
        <v>135</v>
      </c>
    </row>
    <row r="3318" spans="1:19" ht="15" hidden="1" x14ac:dyDescent="0.25">
      <c r="A3318" s="7" t="s">
        <v>16</v>
      </c>
      <c r="B3318" s="7" t="s">
        <v>230</v>
      </c>
      <c r="C3318" s="7" t="s">
        <v>24</v>
      </c>
      <c r="D3318" s="4">
        <v>9577422000280</v>
      </c>
      <c r="E3318" s="8" t="s">
        <v>1390</v>
      </c>
      <c r="F3318" s="8" t="s">
        <v>70</v>
      </c>
      <c r="G3318" s="8" t="s">
        <v>71</v>
      </c>
      <c r="H3318" s="8" t="s">
        <v>215</v>
      </c>
      <c r="I3318" s="3">
        <v>2</v>
      </c>
      <c r="J3318" s="8" t="s">
        <v>169</v>
      </c>
      <c r="K3318" s="8" t="s">
        <v>170</v>
      </c>
      <c r="L3318" s="8" t="s">
        <v>557</v>
      </c>
      <c r="M3318" s="1" t="s">
        <v>211</v>
      </c>
      <c r="N3318" s="8" t="s">
        <v>212</v>
      </c>
      <c r="O3318" s="6">
        <v>0</v>
      </c>
      <c r="P3318" s="6">
        <v>0</v>
      </c>
      <c r="Q3318" s="6">
        <v>0</v>
      </c>
      <c r="R3318" s="6">
        <v>0</v>
      </c>
      <c r="S3318" s="6">
        <v>135</v>
      </c>
    </row>
    <row r="3319" spans="1:19" ht="15" hidden="1" x14ac:dyDescent="0.25">
      <c r="A3319" s="7" t="s">
        <v>16</v>
      </c>
      <c r="B3319" s="7" t="s">
        <v>230</v>
      </c>
      <c r="C3319" s="7" t="s">
        <v>24</v>
      </c>
      <c r="D3319" s="4">
        <v>10892164000124</v>
      </c>
      <c r="E3319" s="8" t="s">
        <v>835</v>
      </c>
      <c r="F3319" s="8" t="s">
        <v>70</v>
      </c>
      <c r="G3319" s="8" t="s">
        <v>71</v>
      </c>
      <c r="H3319" s="8" t="s">
        <v>215</v>
      </c>
      <c r="I3319" s="3">
        <v>2</v>
      </c>
      <c r="J3319" s="8" t="s">
        <v>199</v>
      </c>
      <c r="K3319" s="8" t="s">
        <v>200</v>
      </c>
      <c r="L3319" s="8" t="s">
        <v>556</v>
      </c>
      <c r="M3319" s="1" t="s">
        <v>211</v>
      </c>
      <c r="N3319" s="8" t="s">
        <v>212</v>
      </c>
      <c r="O3319" s="6">
        <v>0</v>
      </c>
      <c r="P3319" s="6">
        <v>0</v>
      </c>
      <c r="Q3319" s="6">
        <v>0</v>
      </c>
      <c r="R3319" s="6">
        <v>60</v>
      </c>
      <c r="S3319" s="6">
        <v>0</v>
      </c>
    </row>
    <row r="3320" spans="1:19" ht="15" hidden="1" x14ac:dyDescent="0.25">
      <c r="A3320" s="7" t="s">
        <v>16</v>
      </c>
      <c r="B3320" s="7" t="s">
        <v>230</v>
      </c>
      <c r="C3320" s="7" t="s">
        <v>24</v>
      </c>
      <c r="D3320" s="4">
        <v>10892164000124</v>
      </c>
      <c r="E3320" s="8" t="s">
        <v>835</v>
      </c>
      <c r="F3320" s="8" t="s">
        <v>70</v>
      </c>
      <c r="G3320" s="8" t="s">
        <v>71</v>
      </c>
      <c r="H3320" s="8" t="s">
        <v>215</v>
      </c>
      <c r="I3320" s="3">
        <v>2</v>
      </c>
      <c r="J3320" s="8" t="s">
        <v>169</v>
      </c>
      <c r="K3320" s="8" t="s">
        <v>170</v>
      </c>
      <c r="L3320" s="8" t="s">
        <v>557</v>
      </c>
      <c r="M3320" s="1" t="s">
        <v>211</v>
      </c>
      <c r="N3320" s="8" t="s">
        <v>212</v>
      </c>
      <c r="O3320" s="6">
        <v>0</v>
      </c>
      <c r="P3320" s="6">
        <v>0</v>
      </c>
      <c r="Q3320" s="6">
        <v>5</v>
      </c>
      <c r="R3320" s="6">
        <v>0</v>
      </c>
      <c r="S3320" s="6">
        <v>0</v>
      </c>
    </row>
    <row r="3321" spans="1:19" ht="15" hidden="1" x14ac:dyDescent="0.25">
      <c r="A3321" s="7" t="s">
        <v>16</v>
      </c>
      <c r="B3321" s="7" t="s">
        <v>230</v>
      </c>
      <c r="C3321" s="7" t="s">
        <v>24</v>
      </c>
      <c r="D3321" s="4">
        <v>11214624001957</v>
      </c>
      <c r="E3321" s="8" t="s">
        <v>842</v>
      </c>
      <c r="F3321" s="8" t="s">
        <v>70</v>
      </c>
      <c r="G3321" s="8" t="s">
        <v>71</v>
      </c>
      <c r="H3321" s="8" t="s">
        <v>215</v>
      </c>
      <c r="I3321" s="3">
        <v>2</v>
      </c>
      <c r="J3321" s="8" t="s">
        <v>199</v>
      </c>
      <c r="K3321" s="8" t="s">
        <v>200</v>
      </c>
      <c r="L3321" s="8" t="s">
        <v>556</v>
      </c>
      <c r="M3321" s="1" t="s">
        <v>211</v>
      </c>
      <c r="N3321" s="8" t="s">
        <v>212</v>
      </c>
      <c r="O3321" s="6">
        <v>0</v>
      </c>
      <c r="P3321" s="6">
        <v>0</v>
      </c>
      <c r="Q3321" s="6">
        <v>0</v>
      </c>
      <c r="R3321" s="6">
        <v>192</v>
      </c>
      <c r="S3321" s="6">
        <v>0</v>
      </c>
    </row>
    <row r="3322" spans="1:19" ht="15" hidden="1" x14ac:dyDescent="0.25">
      <c r="A3322" s="7" t="s">
        <v>16</v>
      </c>
      <c r="B3322" s="7" t="s">
        <v>230</v>
      </c>
      <c r="C3322" s="7" t="s">
        <v>24</v>
      </c>
      <c r="D3322" s="4">
        <v>11214624001957</v>
      </c>
      <c r="E3322" s="8" t="s">
        <v>842</v>
      </c>
      <c r="F3322" s="8" t="s">
        <v>70</v>
      </c>
      <c r="G3322" s="8" t="s">
        <v>71</v>
      </c>
      <c r="H3322" s="8" t="s">
        <v>215</v>
      </c>
      <c r="I3322" s="3">
        <v>2</v>
      </c>
      <c r="J3322" s="8" t="s">
        <v>169</v>
      </c>
      <c r="K3322" s="8" t="s">
        <v>170</v>
      </c>
      <c r="L3322" s="8" t="s">
        <v>557</v>
      </c>
      <c r="M3322" s="1" t="s">
        <v>211</v>
      </c>
      <c r="N3322" s="8" t="s">
        <v>212</v>
      </c>
      <c r="O3322" s="6">
        <v>0</v>
      </c>
      <c r="P3322" s="6">
        <v>0</v>
      </c>
      <c r="Q3322" s="6">
        <v>0</v>
      </c>
      <c r="R3322" s="6">
        <v>0</v>
      </c>
      <c r="S3322" s="6">
        <v>0</v>
      </c>
    </row>
    <row r="3323" spans="1:19" ht="15" hidden="1" x14ac:dyDescent="0.25">
      <c r="A3323" s="7" t="s">
        <v>16</v>
      </c>
      <c r="B3323" s="7" t="s">
        <v>230</v>
      </c>
      <c r="C3323" s="7" t="s">
        <v>24</v>
      </c>
      <c r="D3323" s="4">
        <v>11022597001325</v>
      </c>
      <c r="E3323" s="8" t="s">
        <v>839</v>
      </c>
      <c r="F3323" s="8" t="s">
        <v>70</v>
      </c>
      <c r="G3323" s="8" t="s">
        <v>71</v>
      </c>
      <c r="H3323" s="8" t="s">
        <v>215</v>
      </c>
      <c r="I3323" s="3">
        <v>2</v>
      </c>
      <c r="J3323" s="8" t="s">
        <v>199</v>
      </c>
      <c r="K3323" s="8" t="s">
        <v>200</v>
      </c>
      <c r="L3323" s="8" t="s">
        <v>556</v>
      </c>
      <c r="M3323" s="1" t="s">
        <v>211</v>
      </c>
      <c r="N3323" s="8" t="s">
        <v>212</v>
      </c>
      <c r="O3323" s="6">
        <v>0</v>
      </c>
      <c r="P3323" s="6">
        <v>0</v>
      </c>
      <c r="Q3323" s="6">
        <v>0</v>
      </c>
      <c r="R3323" s="6">
        <v>0</v>
      </c>
      <c r="S3323" s="6">
        <v>1000</v>
      </c>
    </row>
    <row r="3324" spans="1:19" ht="15" hidden="1" x14ac:dyDescent="0.25">
      <c r="A3324" s="7" t="s">
        <v>16</v>
      </c>
      <c r="B3324" s="7" t="s">
        <v>230</v>
      </c>
      <c r="C3324" s="7" t="s">
        <v>24</v>
      </c>
      <c r="D3324" s="4">
        <v>11022597001325</v>
      </c>
      <c r="E3324" s="8" t="s">
        <v>839</v>
      </c>
      <c r="F3324" s="8" t="s">
        <v>70</v>
      </c>
      <c r="G3324" s="8" t="s">
        <v>71</v>
      </c>
      <c r="H3324" s="8" t="s">
        <v>215</v>
      </c>
      <c r="I3324" s="3">
        <v>2</v>
      </c>
      <c r="J3324" s="8" t="s">
        <v>169</v>
      </c>
      <c r="K3324" s="8" t="s">
        <v>170</v>
      </c>
      <c r="L3324" s="8" t="s">
        <v>557</v>
      </c>
      <c r="M3324" s="1" t="s">
        <v>211</v>
      </c>
      <c r="N3324" s="8" t="s">
        <v>212</v>
      </c>
      <c r="O3324" s="6">
        <v>0</v>
      </c>
      <c r="P3324" s="6">
        <v>36</v>
      </c>
      <c r="Q3324" s="6">
        <v>4</v>
      </c>
      <c r="R3324" s="6">
        <v>0</v>
      </c>
      <c r="S3324" s="6">
        <v>1000</v>
      </c>
    </row>
    <row r="3325" spans="1:19" ht="15" hidden="1" x14ac:dyDescent="0.25">
      <c r="A3325" s="7" t="s">
        <v>16</v>
      </c>
      <c r="B3325" s="7" t="s">
        <v>230</v>
      </c>
      <c r="C3325" s="7" t="s">
        <v>24</v>
      </c>
      <c r="D3325" s="4">
        <v>11022597001597</v>
      </c>
      <c r="E3325" s="8" t="s">
        <v>840</v>
      </c>
      <c r="F3325" s="8" t="s">
        <v>70</v>
      </c>
      <c r="G3325" s="8" t="s">
        <v>71</v>
      </c>
      <c r="H3325" s="8" t="s">
        <v>215</v>
      </c>
      <c r="I3325" s="3">
        <v>2</v>
      </c>
      <c r="J3325" s="8" t="s">
        <v>199</v>
      </c>
      <c r="K3325" s="8" t="s">
        <v>200</v>
      </c>
      <c r="L3325" s="8" t="s">
        <v>556</v>
      </c>
      <c r="M3325" s="1" t="s">
        <v>211</v>
      </c>
      <c r="N3325" s="8" t="s">
        <v>212</v>
      </c>
      <c r="O3325" s="6">
        <v>0</v>
      </c>
      <c r="P3325" s="6">
        <v>0</v>
      </c>
      <c r="Q3325" s="6">
        <v>0</v>
      </c>
      <c r="R3325" s="6">
        <v>0</v>
      </c>
      <c r="S3325" s="6">
        <v>0</v>
      </c>
    </row>
    <row r="3326" spans="1:19" ht="15" hidden="1" x14ac:dyDescent="0.25">
      <c r="A3326" s="7" t="s">
        <v>16</v>
      </c>
      <c r="B3326" s="7" t="s">
        <v>230</v>
      </c>
      <c r="C3326" s="7" t="s">
        <v>24</v>
      </c>
      <c r="D3326" s="4">
        <v>11022597001597</v>
      </c>
      <c r="E3326" s="8" t="s">
        <v>840</v>
      </c>
      <c r="F3326" s="8" t="s">
        <v>70</v>
      </c>
      <c r="G3326" s="8" t="s">
        <v>71</v>
      </c>
      <c r="H3326" s="8" t="s">
        <v>215</v>
      </c>
      <c r="I3326" s="3">
        <v>2</v>
      </c>
      <c r="J3326" s="8" t="s">
        <v>169</v>
      </c>
      <c r="K3326" s="8" t="s">
        <v>170</v>
      </c>
      <c r="L3326" s="8" t="s">
        <v>557</v>
      </c>
      <c r="M3326" s="1" t="s">
        <v>211</v>
      </c>
      <c r="N3326" s="8" t="s">
        <v>212</v>
      </c>
      <c r="O3326" s="6">
        <v>0</v>
      </c>
      <c r="P3326" s="6">
        <v>70</v>
      </c>
      <c r="Q3326" s="6">
        <v>0</v>
      </c>
      <c r="R3326" s="6">
        <v>0</v>
      </c>
      <c r="S3326" s="6">
        <v>0</v>
      </c>
    </row>
    <row r="3327" spans="1:19" ht="15" hidden="1" x14ac:dyDescent="0.25">
      <c r="A3327" s="7" t="s">
        <v>16</v>
      </c>
      <c r="B3327" s="7" t="s">
        <v>230</v>
      </c>
      <c r="C3327" s="7" t="s">
        <v>24</v>
      </c>
      <c r="D3327" s="4">
        <v>10839561000132</v>
      </c>
      <c r="E3327" s="8" t="s">
        <v>834</v>
      </c>
      <c r="F3327" s="8" t="s">
        <v>70</v>
      </c>
      <c r="G3327" s="8" t="s">
        <v>71</v>
      </c>
      <c r="H3327" s="8" t="s">
        <v>215</v>
      </c>
      <c r="I3327" s="3">
        <v>2</v>
      </c>
      <c r="J3327" s="8" t="s">
        <v>199</v>
      </c>
      <c r="K3327" s="8" t="s">
        <v>200</v>
      </c>
      <c r="L3327" s="8" t="s">
        <v>556</v>
      </c>
      <c r="M3327" s="1" t="s">
        <v>211</v>
      </c>
      <c r="N3327" s="8" t="s">
        <v>212</v>
      </c>
      <c r="O3327" s="6">
        <v>0</v>
      </c>
      <c r="P3327" s="6">
        <v>0</v>
      </c>
      <c r="Q3327" s="6">
        <v>0</v>
      </c>
      <c r="R3327" s="6">
        <v>0</v>
      </c>
      <c r="S3327" s="6">
        <v>350</v>
      </c>
    </row>
    <row r="3328" spans="1:19" ht="15" hidden="1" x14ac:dyDescent="0.25">
      <c r="A3328" s="7" t="s">
        <v>16</v>
      </c>
      <c r="B3328" s="7" t="s">
        <v>230</v>
      </c>
      <c r="C3328" s="7" t="s">
        <v>24</v>
      </c>
      <c r="D3328" s="4">
        <v>10839561000132</v>
      </c>
      <c r="E3328" s="8" t="s">
        <v>834</v>
      </c>
      <c r="F3328" s="8" t="s">
        <v>70</v>
      </c>
      <c r="G3328" s="8" t="s">
        <v>71</v>
      </c>
      <c r="H3328" s="8" t="s">
        <v>215</v>
      </c>
      <c r="I3328" s="3">
        <v>2</v>
      </c>
      <c r="J3328" s="8" t="s">
        <v>169</v>
      </c>
      <c r="K3328" s="8" t="s">
        <v>170</v>
      </c>
      <c r="L3328" s="8" t="s">
        <v>557</v>
      </c>
      <c r="M3328" s="1" t="s">
        <v>211</v>
      </c>
      <c r="N3328" s="8" t="s">
        <v>212</v>
      </c>
      <c r="O3328" s="6">
        <v>0</v>
      </c>
      <c r="P3328" s="6">
        <v>0</v>
      </c>
      <c r="Q3328" s="6">
        <v>0</v>
      </c>
      <c r="R3328" s="6">
        <v>0</v>
      </c>
      <c r="S3328" s="6">
        <v>350</v>
      </c>
    </row>
    <row r="3329" spans="1:19" ht="15" hidden="1" x14ac:dyDescent="0.25">
      <c r="A3329" s="7" t="s">
        <v>16</v>
      </c>
      <c r="B3329" s="7" t="s">
        <v>230</v>
      </c>
      <c r="C3329" s="7" t="s">
        <v>24</v>
      </c>
      <c r="D3329" s="4">
        <v>12361267004008</v>
      </c>
      <c r="E3329" s="8" t="s">
        <v>852</v>
      </c>
      <c r="F3329" s="8" t="s">
        <v>81</v>
      </c>
      <c r="G3329" s="8" t="s">
        <v>82</v>
      </c>
      <c r="H3329" s="8" t="s">
        <v>215</v>
      </c>
      <c r="I3329" s="3">
        <v>2</v>
      </c>
      <c r="J3329" s="8" t="s">
        <v>199</v>
      </c>
      <c r="K3329" s="8" t="s">
        <v>200</v>
      </c>
      <c r="L3329" s="8" t="s">
        <v>556</v>
      </c>
      <c r="M3329" s="1" t="s">
        <v>211</v>
      </c>
      <c r="N3329" s="8" t="s">
        <v>212</v>
      </c>
      <c r="O3329" s="6">
        <v>0</v>
      </c>
      <c r="P3329" s="6">
        <v>0</v>
      </c>
      <c r="Q3329" s="6">
        <v>0</v>
      </c>
      <c r="R3329" s="6">
        <v>0</v>
      </c>
      <c r="S3329" s="6">
        <v>0</v>
      </c>
    </row>
    <row r="3330" spans="1:19" ht="15" hidden="1" x14ac:dyDescent="0.25">
      <c r="A3330" s="7" t="s">
        <v>16</v>
      </c>
      <c r="B3330" s="7" t="s">
        <v>230</v>
      </c>
      <c r="C3330" s="7" t="s">
        <v>24</v>
      </c>
      <c r="D3330" s="4">
        <v>12361267004008</v>
      </c>
      <c r="E3330" s="8" t="s">
        <v>852</v>
      </c>
      <c r="F3330" s="8" t="s">
        <v>81</v>
      </c>
      <c r="G3330" s="8" t="s">
        <v>82</v>
      </c>
      <c r="H3330" s="8" t="s">
        <v>215</v>
      </c>
      <c r="I3330" s="3">
        <v>2</v>
      </c>
      <c r="J3330" s="8" t="s">
        <v>165</v>
      </c>
      <c r="K3330" s="8" t="s">
        <v>166</v>
      </c>
      <c r="L3330" s="8" t="s">
        <v>557</v>
      </c>
      <c r="M3330" s="1" t="s">
        <v>211</v>
      </c>
      <c r="N3330" s="8" t="s">
        <v>212</v>
      </c>
      <c r="O3330" s="6">
        <v>0</v>
      </c>
      <c r="P3330" s="6">
        <v>0</v>
      </c>
      <c r="Q3330" s="6">
        <v>2</v>
      </c>
      <c r="R3330" s="6">
        <v>0</v>
      </c>
      <c r="S3330" s="6">
        <v>0</v>
      </c>
    </row>
    <row r="3331" spans="1:19" ht="15" hidden="1" x14ac:dyDescent="0.25">
      <c r="A3331" s="7" t="s">
        <v>16</v>
      </c>
      <c r="B3331" s="7" t="s">
        <v>230</v>
      </c>
      <c r="C3331" s="7" t="s">
        <v>24</v>
      </c>
      <c r="D3331" s="4">
        <v>81170003000256</v>
      </c>
      <c r="E3331" s="8" t="s">
        <v>1000</v>
      </c>
      <c r="F3331" s="8" t="s">
        <v>112</v>
      </c>
      <c r="G3331" s="8" t="s">
        <v>57</v>
      </c>
      <c r="H3331" s="8" t="s">
        <v>215</v>
      </c>
      <c r="I3331" s="3">
        <v>2</v>
      </c>
      <c r="J3331" s="8" t="s">
        <v>175</v>
      </c>
      <c r="K3331" s="8" t="s">
        <v>176</v>
      </c>
      <c r="L3331" s="8" t="s">
        <v>556</v>
      </c>
      <c r="M3331" s="1" t="s">
        <v>205</v>
      </c>
      <c r="N3331" s="8" t="s">
        <v>206</v>
      </c>
      <c r="O3331" s="6">
        <v>1</v>
      </c>
      <c r="P3331" s="6">
        <v>0</v>
      </c>
      <c r="Q3331" s="6">
        <v>0</v>
      </c>
      <c r="R3331" s="6">
        <v>0</v>
      </c>
      <c r="S3331" s="6">
        <v>0</v>
      </c>
    </row>
    <row r="3332" spans="1:19" ht="15" hidden="1" x14ac:dyDescent="0.25">
      <c r="A3332" s="7" t="s">
        <v>16</v>
      </c>
      <c r="B3332" s="7" t="s">
        <v>230</v>
      </c>
      <c r="C3332" s="7" t="s">
        <v>24</v>
      </c>
      <c r="D3332" s="4">
        <v>81170003000256</v>
      </c>
      <c r="E3332" s="8" t="s">
        <v>1000</v>
      </c>
      <c r="F3332" s="8" t="s">
        <v>112</v>
      </c>
      <c r="G3332" s="8" t="s">
        <v>57</v>
      </c>
      <c r="H3332" s="8" t="s">
        <v>215</v>
      </c>
      <c r="I3332" s="3">
        <v>2</v>
      </c>
      <c r="J3332" s="8" t="s">
        <v>157</v>
      </c>
      <c r="K3332" s="8" t="s">
        <v>158</v>
      </c>
      <c r="L3332" s="8" t="s">
        <v>557</v>
      </c>
      <c r="M3332" s="1" t="s">
        <v>205</v>
      </c>
      <c r="N3332" s="8" t="s">
        <v>206</v>
      </c>
      <c r="O3332" s="6">
        <v>0</v>
      </c>
      <c r="P3332" s="6">
        <v>0</v>
      </c>
      <c r="Q3332" s="6">
        <v>0</v>
      </c>
      <c r="R3332" s="6">
        <v>0</v>
      </c>
      <c r="S3332" s="6">
        <v>0</v>
      </c>
    </row>
    <row r="3333" spans="1:19" ht="15" hidden="1" x14ac:dyDescent="0.25">
      <c r="A3333" s="7" t="s">
        <v>16</v>
      </c>
      <c r="B3333" s="7" t="s">
        <v>230</v>
      </c>
      <c r="C3333" s="7" t="s">
        <v>24</v>
      </c>
      <c r="D3333" s="4">
        <v>17864888000103</v>
      </c>
      <c r="E3333" s="8" t="s">
        <v>970</v>
      </c>
      <c r="F3333" s="8" t="s">
        <v>112</v>
      </c>
      <c r="G3333" s="8" t="s">
        <v>57</v>
      </c>
      <c r="H3333" s="8" t="s">
        <v>215</v>
      </c>
      <c r="I3333" s="3">
        <v>2</v>
      </c>
      <c r="J3333" s="8" t="s">
        <v>175</v>
      </c>
      <c r="K3333" s="8" t="s">
        <v>176</v>
      </c>
      <c r="L3333" s="8" t="s">
        <v>556</v>
      </c>
      <c r="M3333" s="1" t="s">
        <v>205</v>
      </c>
      <c r="N3333" s="8" t="s">
        <v>206</v>
      </c>
      <c r="O3333" s="6">
        <v>0</v>
      </c>
      <c r="P3333" s="6">
        <v>0</v>
      </c>
      <c r="Q3333" s="6">
        <v>0</v>
      </c>
      <c r="R3333" s="6">
        <v>0</v>
      </c>
      <c r="S3333" s="6">
        <v>140</v>
      </c>
    </row>
    <row r="3334" spans="1:19" ht="15" hidden="1" x14ac:dyDescent="0.25">
      <c r="A3334" s="7" t="s">
        <v>16</v>
      </c>
      <c r="B3334" s="7" t="s">
        <v>230</v>
      </c>
      <c r="C3334" s="7" t="s">
        <v>24</v>
      </c>
      <c r="D3334" s="4">
        <v>17864888000103</v>
      </c>
      <c r="E3334" s="8" t="s">
        <v>970</v>
      </c>
      <c r="F3334" s="8" t="s">
        <v>112</v>
      </c>
      <c r="G3334" s="8" t="s">
        <v>57</v>
      </c>
      <c r="H3334" s="8" t="s">
        <v>215</v>
      </c>
      <c r="I3334" s="3">
        <v>2</v>
      </c>
      <c r="J3334" s="8" t="s">
        <v>157</v>
      </c>
      <c r="K3334" s="8" t="s">
        <v>158</v>
      </c>
      <c r="L3334" s="8" t="s">
        <v>557</v>
      </c>
      <c r="M3334" s="1" t="s">
        <v>205</v>
      </c>
      <c r="N3334" s="8" t="s">
        <v>206</v>
      </c>
      <c r="O3334" s="6">
        <v>0</v>
      </c>
      <c r="P3334" s="6">
        <v>0</v>
      </c>
      <c r="Q3334" s="6">
        <v>0</v>
      </c>
      <c r="R3334" s="6">
        <v>0</v>
      </c>
      <c r="S3334" s="6">
        <v>140</v>
      </c>
    </row>
    <row r="3335" spans="1:19" ht="15" hidden="1" x14ac:dyDescent="0.25">
      <c r="A3335" s="7" t="s">
        <v>16</v>
      </c>
      <c r="B3335" s="7" t="s">
        <v>230</v>
      </c>
      <c r="C3335" s="7" t="s">
        <v>24</v>
      </c>
      <c r="D3335" s="4">
        <v>76081892000164</v>
      </c>
      <c r="E3335" s="8" t="s">
        <v>1347</v>
      </c>
      <c r="F3335" s="8" t="s">
        <v>112</v>
      </c>
      <c r="G3335" s="8" t="s">
        <v>57</v>
      </c>
      <c r="H3335" s="8" t="s">
        <v>215</v>
      </c>
      <c r="I3335" s="3">
        <v>2</v>
      </c>
      <c r="J3335" s="8" t="s">
        <v>175</v>
      </c>
      <c r="K3335" s="8" t="s">
        <v>176</v>
      </c>
      <c r="L3335" s="8" t="s">
        <v>556</v>
      </c>
      <c r="M3335" s="1" t="s">
        <v>205</v>
      </c>
      <c r="N3335" s="8" t="s">
        <v>206</v>
      </c>
      <c r="O3335" s="6">
        <v>0</v>
      </c>
      <c r="P3335" s="6">
        <v>0</v>
      </c>
      <c r="Q3335" s="6">
        <v>0</v>
      </c>
      <c r="R3335" s="6">
        <v>0</v>
      </c>
      <c r="S3335" s="6">
        <v>0</v>
      </c>
    </row>
    <row r="3336" spans="1:19" ht="15" hidden="1" x14ac:dyDescent="0.25">
      <c r="A3336" s="7" t="s">
        <v>16</v>
      </c>
      <c r="B3336" s="7" t="s">
        <v>230</v>
      </c>
      <c r="C3336" s="7" t="s">
        <v>24</v>
      </c>
      <c r="D3336" s="4">
        <v>76081892000164</v>
      </c>
      <c r="E3336" s="8" t="s">
        <v>1347</v>
      </c>
      <c r="F3336" s="8" t="s">
        <v>112</v>
      </c>
      <c r="G3336" s="8" t="s">
        <v>57</v>
      </c>
      <c r="H3336" s="8" t="s">
        <v>215</v>
      </c>
      <c r="I3336" s="3">
        <v>2</v>
      </c>
      <c r="J3336" s="8" t="s">
        <v>157</v>
      </c>
      <c r="K3336" s="8" t="s">
        <v>158</v>
      </c>
      <c r="L3336" s="8" t="s">
        <v>557</v>
      </c>
      <c r="M3336" s="1" t="s">
        <v>205</v>
      </c>
      <c r="N3336" s="8" t="s">
        <v>206</v>
      </c>
      <c r="O3336" s="6">
        <v>0</v>
      </c>
      <c r="P3336" s="6">
        <v>0</v>
      </c>
      <c r="Q3336" s="6">
        <v>2</v>
      </c>
      <c r="R3336" s="6">
        <v>0</v>
      </c>
      <c r="S3336" s="6">
        <v>0</v>
      </c>
    </row>
    <row r="3337" spans="1:19" ht="15" hidden="1" x14ac:dyDescent="0.25">
      <c r="A3337" s="7" t="s">
        <v>16</v>
      </c>
      <c r="B3337" s="7" t="s">
        <v>230</v>
      </c>
      <c r="C3337" s="7" t="s">
        <v>24</v>
      </c>
      <c r="D3337" s="4">
        <v>81270548000153</v>
      </c>
      <c r="E3337" s="8" t="s">
        <v>1002</v>
      </c>
      <c r="F3337" s="8" t="s">
        <v>112</v>
      </c>
      <c r="G3337" s="8" t="s">
        <v>57</v>
      </c>
      <c r="H3337" s="8" t="s">
        <v>215</v>
      </c>
      <c r="I3337" s="3">
        <v>2</v>
      </c>
      <c r="J3337" s="8" t="s">
        <v>175</v>
      </c>
      <c r="K3337" s="8" t="s">
        <v>176</v>
      </c>
      <c r="L3337" s="8" t="s">
        <v>556</v>
      </c>
      <c r="M3337" s="1" t="s">
        <v>205</v>
      </c>
      <c r="N3337" s="8" t="s">
        <v>206</v>
      </c>
      <c r="O3337" s="6">
        <v>0</v>
      </c>
      <c r="P3337" s="6">
        <v>0</v>
      </c>
      <c r="Q3337" s="6">
        <v>0</v>
      </c>
      <c r="R3337" s="6">
        <v>0</v>
      </c>
      <c r="S3337" s="6">
        <v>0</v>
      </c>
    </row>
    <row r="3338" spans="1:19" ht="15" hidden="1" x14ac:dyDescent="0.25">
      <c r="A3338" s="7" t="s">
        <v>16</v>
      </c>
      <c r="B3338" s="7" t="s">
        <v>230</v>
      </c>
      <c r="C3338" s="7" t="s">
        <v>24</v>
      </c>
      <c r="D3338" s="4">
        <v>81270548000153</v>
      </c>
      <c r="E3338" s="8" t="s">
        <v>1002</v>
      </c>
      <c r="F3338" s="8" t="s">
        <v>112</v>
      </c>
      <c r="G3338" s="8" t="s">
        <v>57</v>
      </c>
      <c r="H3338" s="8" t="s">
        <v>215</v>
      </c>
      <c r="I3338" s="3">
        <v>2</v>
      </c>
      <c r="J3338" s="8" t="s">
        <v>157</v>
      </c>
      <c r="K3338" s="8" t="s">
        <v>158</v>
      </c>
      <c r="L3338" s="8" t="s">
        <v>557</v>
      </c>
      <c r="M3338" s="1" t="s">
        <v>205</v>
      </c>
      <c r="N3338" s="8" t="s">
        <v>206</v>
      </c>
      <c r="O3338" s="6">
        <v>0</v>
      </c>
      <c r="P3338" s="6">
        <v>0</v>
      </c>
      <c r="Q3338" s="6">
        <v>3</v>
      </c>
      <c r="R3338" s="6">
        <v>0</v>
      </c>
      <c r="S3338" s="6">
        <v>0</v>
      </c>
    </row>
    <row r="3339" spans="1:19" ht="15" hidden="1" x14ac:dyDescent="0.25">
      <c r="A3339" s="7" t="s">
        <v>16</v>
      </c>
      <c r="B3339" s="7" t="s">
        <v>230</v>
      </c>
      <c r="C3339" s="7" t="s">
        <v>24</v>
      </c>
      <c r="D3339" s="4">
        <v>81733115000197</v>
      </c>
      <c r="E3339" s="8" t="s">
        <v>1005</v>
      </c>
      <c r="F3339" s="8" t="s">
        <v>1006</v>
      </c>
      <c r="G3339" s="8" t="s">
        <v>57</v>
      </c>
      <c r="H3339" s="8" t="s">
        <v>215</v>
      </c>
      <c r="I3339" s="3">
        <v>2</v>
      </c>
      <c r="J3339" s="8" t="s">
        <v>175</v>
      </c>
      <c r="K3339" s="8" t="s">
        <v>176</v>
      </c>
      <c r="L3339" s="8" t="s">
        <v>556</v>
      </c>
      <c r="M3339" s="1" t="s">
        <v>205</v>
      </c>
      <c r="N3339" s="8" t="s">
        <v>206</v>
      </c>
      <c r="O3339" s="6">
        <v>0</v>
      </c>
      <c r="P3339" s="6">
        <v>0</v>
      </c>
      <c r="Q3339" s="6">
        <v>0</v>
      </c>
      <c r="R3339" s="6">
        <v>0</v>
      </c>
      <c r="S3339" s="6">
        <v>60</v>
      </c>
    </row>
    <row r="3340" spans="1:19" ht="15" hidden="1" x14ac:dyDescent="0.25">
      <c r="A3340" s="7" t="s">
        <v>16</v>
      </c>
      <c r="B3340" s="7" t="s">
        <v>230</v>
      </c>
      <c r="C3340" s="7" t="s">
        <v>24</v>
      </c>
      <c r="D3340" s="4">
        <v>81733115000197</v>
      </c>
      <c r="E3340" s="8" t="s">
        <v>1005</v>
      </c>
      <c r="F3340" s="8" t="s">
        <v>1006</v>
      </c>
      <c r="G3340" s="8" t="s">
        <v>57</v>
      </c>
      <c r="H3340" s="8" t="s">
        <v>215</v>
      </c>
      <c r="I3340" s="3">
        <v>2</v>
      </c>
      <c r="J3340" s="8" t="s">
        <v>157</v>
      </c>
      <c r="K3340" s="8" t="s">
        <v>158</v>
      </c>
      <c r="L3340" s="8" t="s">
        <v>557</v>
      </c>
      <c r="M3340" s="1" t="s">
        <v>205</v>
      </c>
      <c r="N3340" s="8" t="s">
        <v>206</v>
      </c>
      <c r="O3340" s="6">
        <v>0</v>
      </c>
      <c r="P3340" s="6">
        <v>0</v>
      </c>
      <c r="Q3340" s="6">
        <v>0</v>
      </c>
      <c r="R3340" s="6">
        <v>0</v>
      </c>
      <c r="S3340" s="6">
        <v>60</v>
      </c>
    </row>
    <row r="3341" spans="1:19" ht="15" hidden="1" x14ac:dyDescent="0.25">
      <c r="A3341" s="7" t="s">
        <v>16</v>
      </c>
      <c r="B3341" s="7" t="s">
        <v>230</v>
      </c>
      <c r="C3341" s="7" t="s">
        <v>24</v>
      </c>
      <c r="D3341" s="4">
        <v>7734165000136</v>
      </c>
      <c r="E3341" s="8" t="s">
        <v>954</v>
      </c>
      <c r="F3341" s="8" t="s">
        <v>94</v>
      </c>
      <c r="G3341" s="8" t="s">
        <v>57</v>
      </c>
      <c r="H3341" s="8" t="s">
        <v>215</v>
      </c>
      <c r="I3341" s="3">
        <v>2</v>
      </c>
      <c r="J3341" s="8" t="s">
        <v>175</v>
      </c>
      <c r="K3341" s="8" t="s">
        <v>176</v>
      </c>
      <c r="L3341" s="8" t="s">
        <v>556</v>
      </c>
      <c r="M3341" s="1" t="s">
        <v>205</v>
      </c>
      <c r="N3341" s="8" t="s">
        <v>206</v>
      </c>
      <c r="O3341" s="6">
        <v>0</v>
      </c>
      <c r="P3341" s="6">
        <v>0</v>
      </c>
      <c r="Q3341" s="6">
        <v>0</v>
      </c>
      <c r="R3341" s="6">
        <v>200</v>
      </c>
      <c r="S3341" s="6">
        <v>2000</v>
      </c>
    </row>
    <row r="3342" spans="1:19" ht="15" hidden="1" x14ac:dyDescent="0.25">
      <c r="A3342" s="7" t="s">
        <v>16</v>
      </c>
      <c r="B3342" s="7" t="s">
        <v>230</v>
      </c>
      <c r="C3342" s="7" t="s">
        <v>24</v>
      </c>
      <c r="D3342" s="4">
        <v>7734165000136</v>
      </c>
      <c r="E3342" s="8" t="s">
        <v>954</v>
      </c>
      <c r="F3342" s="8" t="s">
        <v>94</v>
      </c>
      <c r="G3342" s="8" t="s">
        <v>57</v>
      </c>
      <c r="H3342" s="8" t="s">
        <v>215</v>
      </c>
      <c r="I3342" s="3">
        <v>2</v>
      </c>
      <c r="J3342" s="8" t="s">
        <v>157</v>
      </c>
      <c r="K3342" s="8" t="s">
        <v>158</v>
      </c>
      <c r="L3342" s="8" t="s">
        <v>557</v>
      </c>
      <c r="M3342" s="1" t="s">
        <v>205</v>
      </c>
      <c r="N3342" s="8" t="s">
        <v>206</v>
      </c>
      <c r="O3342" s="6">
        <v>0</v>
      </c>
      <c r="P3342" s="6">
        <v>0</v>
      </c>
      <c r="Q3342" s="6">
        <v>0</v>
      </c>
      <c r="R3342" s="6">
        <v>0</v>
      </c>
      <c r="S3342" s="6">
        <v>2000</v>
      </c>
    </row>
    <row r="3343" spans="1:19" ht="15" hidden="1" x14ac:dyDescent="0.25">
      <c r="A3343" s="7" t="s">
        <v>16</v>
      </c>
      <c r="B3343" s="7" t="s">
        <v>230</v>
      </c>
      <c r="C3343" s="7" t="s">
        <v>24</v>
      </c>
      <c r="D3343" s="4">
        <v>31824062000141</v>
      </c>
      <c r="E3343" s="8" t="s">
        <v>1403</v>
      </c>
      <c r="F3343" s="8" t="s">
        <v>94</v>
      </c>
      <c r="G3343" s="8" t="s">
        <v>57</v>
      </c>
      <c r="H3343" s="8" t="s">
        <v>215</v>
      </c>
      <c r="I3343" s="3">
        <v>2</v>
      </c>
      <c r="J3343" s="8" t="s">
        <v>175</v>
      </c>
      <c r="K3343" s="8" t="s">
        <v>176</v>
      </c>
      <c r="L3343" s="8" t="s">
        <v>556</v>
      </c>
      <c r="M3343" s="1" t="s">
        <v>205</v>
      </c>
      <c r="N3343" s="8" t="s">
        <v>206</v>
      </c>
      <c r="O3343" s="6">
        <v>0</v>
      </c>
      <c r="P3343" s="6">
        <v>0</v>
      </c>
      <c r="Q3343" s="6">
        <v>0</v>
      </c>
      <c r="R3343" s="6">
        <v>0</v>
      </c>
      <c r="S3343" s="6">
        <v>5</v>
      </c>
    </row>
    <row r="3344" spans="1:19" ht="15" hidden="1" x14ac:dyDescent="0.25">
      <c r="A3344" s="7" t="s">
        <v>16</v>
      </c>
      <c r="B3344" s="7" t="s">
        <v>230</v>
      </c>
      <c r="C3344" s="7" t="s">
        <v>24</v>
      </c>
      <c r="D3344" s="4">
        <v>31824062000141</v>
      </c>
      <c r="E3344" s="8" t="s">
        <v>1403</v>
      </c>
      <c r="F3344" s="8" t="s">
        <v>94</v>
      </c>
      <c r="G3344" s="8" t="s">
        <v>57</v>
      </c>
      <c r="H3344" s="8" t="s">
        <v>215</v>
      </c>
      <c r="I3344" s="3">
        <v>2</v>
      </c>
      <c r="J3344" s="8" t="s">
        <v>157</v>
      </c>
      <c r="K3344" s="8" t="s">
        <v>158</v>
      </c>
      <c r="L3344" s="8" t="s">
        <v>557</v>
      </c>
      <c r="M3344" s="1" t="s">
        <v>205</v>
      </c>
      <c r="N3344" s="8" t="s">
        <v>206</v>
      </c>
      <c r="O3344" s="6">
        <v>0</v>
      </c>
      <c r="P3344" s="6">
        <v>0</v>
      </c>
      <c r="Q3344" s="6">
        <v>0</v>
      </c>
      <c r="R3344" s="6">
        <v>0</v>
      </c>
      <c r="S3344" s="6">
        <v>5</v>
      </c>
    </row>
    <row r="3345" spans="1:19" ht="15" hidden="1" x14ac:dyDescent="0.25">
      <c r="A3345" s="7" t="s">
        <v>16</v>
      </c>
      <c r="B3345" s="7" t="s">
        <v>230</v>
      </c>
      <c r="C3345" s="7" t="s">
        <v>24</v>
      </c>
      <c r="D3345" s="4">
        <v>1269903000135</v>
      </c>
      <c r="E3345" s="8" t="s">
        <v>1398</v>
      </c>
      <c r="F3345" s="8" t="s">
        <v>94</v>
      </c>
      <c r="G3345" s="8" t="s">
        <v>57</v>
      </c>
      <c r="H3345" s="8" t="s">
        <v>215</v>
      </c>
      <c r="I3345" s="3">
        <v>2</v>
      </c>
      <c r="J3345" s="8" t="s">
        <v>175</v>
      </c>
      <c r="K3345" s="8" t="s">
        <v>176</v>
      </c>
      <c r="L3345" s="8" t="s">
        <v>556</v>
      </c>
      <c r="M3345" s="1" t="s">
        <v>205</v>
      </c>
      <c r="N3345" s="8" t="s">
        <v>206</v>
      </c>
      <c r="O3345" s="6">
        <v>0</v>
      </c>
      <c r="P3345" s="6">
        <v>0</v>
      </c>
      <c r="Q3345" s="6">
        <v>0</v>
      </c>
      <c r="R3345" s="6">
        <v>0</v>
      </c>
      <c r="S3345" s="6">
        <v>10</v>
      </c>
    </row>
    <row r="3346" spans="1:19" ht="15" hidden="1" x14ac:dyDescent="0.25">
      <c r="A3346" s="7" t="s">
        <v>16</v>
      </c>
      <c r="B3346" s="7" t="s">
        <v>230</v>
      </c>
      <c r="C3346" s="7" t="s">
        <v>24</v>
      </c>
      <c r="D3346" s="4">
        <v>1269903000135</v>
      </c>
      <c r="E3346" s="8" t="s">
        <v>1398</v>
      </c>
      <c r="F3346" s="8" t="s">
        <v>94</v>
      </c>
      <c r="G3346" s="8" t="s">
        <v>57</v>
      </c>
      <c r="H3346" s="8" t="s">
        <v>215</v>
      </c>
      <c r="I3346" s="3">
        <v>2</v>
      </c>
      <c r="J3346" s="8" t="s">
        <v>157</v>
      </c>
      <c r="K3346" s="8" t="s">
        <v>158</v>
      </c>
      <c r="L3346" s="8" t="s">
        <v>557</v>
      </c>
      <c r="M3346" s="1" t="s">
        <v>205</v>
      </c>
      <c r="N3346" s="8" t="s">
        <v>206</v>
      </c>
      <c r="O3346" s="6">
        <v>0</v>
      </c>
      <c r="P3346" s="6">
        <v>0</v>
      </c>
      <c r="Q3346" s="6">
        <v>0</v>
      </c>
      <c r="R3346" s="6">
        <v>0</v>
      </c>
      <c r="S3346" s="6">
        <v>10</v>
      </c>
    </row>
    <row r="3347" spans="1:19" ht="15" hidden="1" x14ac:dyDescent="0.25">
      <c r="A3347" s="7" t="s">
        <v>16</v>
      </c>
      <c r="B3347" s="7" t="s">
        <v>230</v>
      </c>
      <c r="C3347" s="7" t="s">
        <v>24</v>
      </c>
      <c r="D3347" s="4">
        <v>7404052000172</v>
      </c>
      <c r="E3347" s="8" t="s">
        <v>953</v>
      </c>
      <c r="F3347" s="8" t="s">
        <v>94</v>
      </c>
      <c r="G3347" s="8" t="s">
        <v>57</v>
      </c>
      <c r="H3347" s="8" t="s">
        <v>215</v>
      </c>
      <c r="I3347" s="3">
        <v>2</v>
      </c>
      <c r="J3347" s="8" t="s">
        <v>175</v>
      </c>
      <c r="K3347" s="8" t="s">
        <v>176</v>
      </c>
      <c r="L3347" s="8" t="s">
        <v>556</v>
      </c>
      <c r="M3347" s="1" t="s">
        <v>205</v>
      </c>
      <c r="N3347" s="8" t="s">
        <v>206</v>
      </c>
      <c r="O3347" s="6">
        <v>0</v>
      </c>
      <c r="P3347" s="6">
        <v>0</v>
      </c>
      <c r="Q3347" s="6">
        <v>0</v>
      </c>
      <c r="R3347" s="6">
        <v>0</v>
      </c>
      <c r="S3347" s="6">
        <v>100</v>
      </c>
    </row>
    <row r="3348" spans="1:19" ht="15" hidden="1" x14ac:dyDescent="0.25">
      <c r="A3348" s="7" t="s">
        <v>16</v>
      </c>
      <c r="B3348" s="7" t="s">
        <v>230</v>
      </c>
      <c r="C3348" s="7" t="s">
        <v>24</v>
      </c>
      <c r="D3348" s="4">
        <v>7404052000172</v>
      </c>
      <c r="E3348" s="8" t="s">
        <v>953</v>
      </c>
      <c r="F3348" s="8" t="s">
        <v>94</v>
      </c>
      <c r="G3348" s="8" t="s">
        <v>57</v>
      </c>
      <c r="H3348" s="8" t="s">
        <v>215</v>
      </c>
      <c r="I3348" s="3">
        <v>2</v>
      </c>
      <c r="J3348" s="8" t="s">
        <v>157</v>
      </c>
      <c r="K3348" s="8" t="s">
        <v>158</v>
      </c>
      <c r="L3348" s="8" t="s">
        <v>557</v>
      </c>
      <c r="M3348" s="1" t="s">
        <v>205</v>
      </c>
      <c r="N3348" s="8" t="s">
        <v>206</v>
      </c>
      <c r="O3348" s="6">
        <v>0</v>
      </c>
      <c r="P3348" s="6">
        <v>0</v>
      </c>
      <c r="Q3348" s="6">
        <v>0</v>
      </c>
      <c r="R3348" s="6">
        <v>0</v>
      </c>
      <c r="S3348" s="6">
        <v>100</v>
      </c>
    </row>
    <row r="3349" spans="1:19" ht="15" hidden="1" x14ac:dyDescent="0.25">
      <c r="A3349" s="7" t="s">
        <v>16</v>
      </c>
      <c r="B3349" s="7" t="s">
        <v>230</v>
      </c>
      <c r="C3349" s="7" t="s">
        <v>24</v>
      </c>
      <c r="D3349" s="4">
        <v>942063000167</v>
      </c>
      <c r="E3349" s="8" t="s">
        <v>934</v>
      </c>
      <c r="F3349" s="8" t="s">
        <v>94</v>
      </c>
      <c r="G3349" s="8" t="s">
        <v>57</v>
      </c>
      <c r="H3349" s="8" t="s">
        <v>215</v>
      </c>
      <c r="I3349" s="3">
        <v>2</v>
      </c>
      <c r="J3349" s="8" t="s">
        <v>175</v>
      </c>
      <c r="K3349" s="8" t="s">
        <v>176</v>
      </c>
      <c r="L3349" s="8" t="s">
        <v>556</v>
      </c>
      <c r="M3349" s="1" t="s">
        <v>205</v>
      </c>
      <c r="N3349" s="8" t="s">
        <v>206</v>
      </c>
      <c r="O3349" s="6">
        <v>0</v>
      </c>
      <c r="P3349" s="6">
        <v>0</v>
      </c>
      <c r="Q3349" s="6">
        <v>0</v>
      </c>
      <c r="R3349" s="6">
        <v>0</v>
      </c>
      <c r="S3349" s="6">
        <v>400</v>
      </c>
    </row>
    <row r="3350" spans="1:19" ht="15" hidden="1" x14ac:dyDescent="0.25">
      <c r="A3350" s="7" t="s">
        <v>16</v>
      </c>
      <c r="B3350" s="7" t="s">
        <v>230</v>
      </c>
      <c r="C3350" s="7" t="s">
        <v>24</v>
      </c>
      <c r="D3350" s="4">
        <v>942063000167</v>
      </c>
      <c r="E3350" s="8" t="s">
        <v>934</v>
      </c>
      <c r="F3350" s="8" t="s">
        <v>94</v>
      </c>
      <c r="G3350" s="8" t="s">
        <v>57</v>
      </c>
      <c r="H3350" s="8" t="s">
        <v>215</v>
      </c>
      <c r="I3350" s="3">
        <v>2</v>
      </c>
      <c r="J3350" s="8" t="s">
        <v>157</v>
      </c>
      <c r="K3350" s="8" t="s">
        <v>158</v>
      </c>
      <c r="L3350" s="8" t="s">
        <v>557</v>
      </c>
      <c r="M3350" s="1" t="s">
        <v>205</v>
      </c>
      <c r="N3350" s="8" t="s">
        <v>206</v>
      </c>
      <c r="O3350" s="6">
        <v>0</v>
      </c>
      <c r="P3350" s="6">
        <v>0</v>
      </c>
      <c r="Q3350" s="6">
        <v>0</v>
      </c>
      <c r="R3350" s="6">
        <v>0</v>
      </c>
      <c r="S3350" s="6">
        <v>400</v>
      </c>
    </row>
    <row r="3351" spans="1:19" ht="15" hidden="1" x14ac:dyDescent="0.25">
      <c r="A3351" s="7" t="s">
        <v>16</v>
      </c>
      <c r="B3351" s="7" t="s">
        <v>230</v>
      </c>
      <c r="C3351" s="7" t="s">
        <v>24</v>
      </c>
      <c r="D3351" s="4">
        <v>9579964000291</v>
      </c>
      <c r="E3351" s="8" t="s">
        <v>961</v>
      </c>
      <c r="F3351" s="8" t="s">
        <v>94</v>
      </c>
      <c r="G3351" s="8" t="s">
        <v>57</v>
      </c>
      <c r="H3351" s="8" t="s">
        <v>215</v>
      </c>
      <c r="I3351" s="3">
        <v>2</v>
      </c>
      <c r="J3351" s="8" t="s">
        <v>175</v>
      </c>
      <c r="K3351" s="8" t="s">
        <v>176</v>
      </c>
      <c r="L3351" s="8" t="s">
        <v>556</v>
      </c>
      <c r="M3351" s="1" t="s">
        <v>205</v>
      </c>
      <c r="N3351" s="8" t="s">
        <v>206</v>
      </c>
      <c r="O3351" s="6">
        <v>0</v>
      </c>
      <c r="P3351" s="6">
        <v>0</v>
      </c>
      <c r="Q3351" s="6">
        <v>0</v>
      </c>
      <c r="R3351" s="6">
        <v>0</v>
      </c>
      <c r="S3351" s="6">
        <v>285</v>
      </c>
    </row>
    <row r="3352" spans="1:19" ht="15" hidden="1" x14ac:dyDescent="0.25">
      <c r="A3352" s="7" t="s">
        <v>16</v>
      </c>
      <c r="B3352" s="7" t="s">
        <v>230</v>
      </c>
      <c r="C3352" s="7" t="s">
        <v>24</v>
      </c>
      <c r="D3352" s="4">
        <v>9579964000291</v>
      </c>
      <c r="E3352" s="8" t="s">
        <v>961</v>
      </c>
      <c r="F3352" s="8" t="s">
        <v>94</v>
      </c>
      <c r="G3352" s="8" t="s">
        <v>57</v>
      </c>
      <c r="H3352" s="8" t="s">
        <v>215</v>
      </c>
      <c r="I3352" s="3">
        <v>2</v>
      </c>
      <c r="J3352" s="8" t="s">
        <v>157</v>
      </c>
      <c r="K3352" s="8" t="s">
        <v>158</v>
      </c>
      <c r="L3352" s="8" t="s">
        <v>557</v>
      </c>
      <c r="M3352" s="1" t="s">
        <v>205</v>
      </c>
      <c r="N3352" s="8" t="s">
        <v>206</v>
      </c>
      <c r="O3352" s="6">
        <v>0</v>
      </c>
      <c r="P3352" s="6">
        <v>0</v>
      </c>
      <c r="Q3352" s="6">
        <v>0</v>
      </c>
      <c r="R3352" s="6">
        <v>0</v>
      </c>
      <c r="S3352" s="6">
        <v>285</v>
      </c>
    </row>
    <row r="3353" spans="1:19" ht="15" hidden="1" x14ac:dyDescent="0.25">
      <c r="A3353" s="7" t="s">
        <v>16</v>
      </c>
      <c r="B3353" s="7" t="s">
        <v>230</v>
      </c>
      <c r="C3353" s="7" t="s">
        <v>24</v>
      </c>
      <c r="D3353" s="4">
        <v>76591569000130</v>
      </c>
      <c r="E3353" s="8" t="s">
        <v>985</v>
      </c>
      <c r="F3353" s="8" t="s">
        <v>94</v>
      </c>
      <c r="G3353" s="8" t="s">
        <v>57</v>
      </c>
      <c r="H3353" s="8" t="s">
        <v>215</v>
      </c>
      <c r="I3353" s="3">
        <v>2</v>
      </c>
      <c r="J3353" s="8" t="s">
        <v>175</v>
      </c>
      <c r="K3353" s="8" t="s">
        <v>176</v>
      </c>
      <c r="L3353" s="8" t="s">
        <v>556</v>
      </c>
      <c r="M3353" s="1" t="s">
        <v>205</v>
      </c>
      <c r="N3353" s="8" t="s">
        <v>206</v>
      </c>
      <c r="O3353" s="6">
        <v>0</v>
      </c>
      <c r="P3353" s="6">
        <v>0</v>
      </c>
      <c r="Q3353" s="6">
        <v>0</v>
      </c>
      <c r="R3353" s="6">
        <v>14</v>
      </c>
      <c r="S3353" s="6">
        <v>250</v>
      </c>
    </row>
    <row r="3354" spans="1:19" ht="15" hidden="1" x14ac:dyDescent="0.25">
      <c r="A3354" s="7" t="s">
        <v>16</v>
      </c>
      <c r="B3354" s="7" t="s">
        <v>230</v>
      </c>
      <c r="C3354" s="7" t="s">
        <v>24</v>
      </c>
      <c r="D3354" s="4">
        <v>76591569000130</v>
      </c>
      <c r="E3354" s="8" t="s">
        <v>985</v>
      </c>
      <c r="F3354" s="8" t="s">
        <v>94</v>
      </c>
      <c r="G3354" s="8" t="s">
        <v>57</v>
      </c>
      <c r="H3354" s="8" t="s">
        <v>215</v>
      </c>
      <c r="I3354" s="3">
        <v>2</v>
      </c>
      <c r="J3354" s="8" t="s">
        <v>157</v>
      </c>
      <c r="K3354" s="8" t="s">
        <v>158</v>
      </c>
      <c r="L3354" s="8" t="s">
        <v>557</v>
      </c>
      <c r="M3354" s="1" t="s">
        <v>205</v>
      </c>
      <c r="N3354" s="8" t="s">
        <v>206</v>
      </c>
      <c r="O3354" s="6">
        <v>0</v>
      </c>
      <c r="P3354" s="6">
        <v>0</v>
      </c>
      <c r="Q3354" s="6">
        <v>0</v>
      </c>
      <c r="R3354" s="6">
        <v>0</v>
      </c>
      <c r="S3354" s="6">
        <v>250</v>
      </c>
    </row>
    <row r="3355" spans="1:19" ht="15" hidden="1" x14ac:dyDescent="0.25">
      <c r="A3355" s="7" t="s">
        <v>16</v>
      </c>
      <c r="B3355" s="7" t="s">
        <v>230</v>
      </c>
      <c r="C3355" s="7" t="s">
        <v>24</v>
      </c>
      <c r="D3355" s="4">
        <v>76659820002367</v>
      </c>
      <c r="E3355" s="8" t="s">
        <v>986</v>
      </c>
      <c r="F3355" s="8" t="s">
        <v>94</v>
      </c>
      <c r="G3355" s="8" t="s">
        <v>57</v>
      </c>
      <c r="H3355" s="8" t="s">
        <v>215</v>
      </c>
      <c r="I3355" s="3">
        <v>2</v>
      </c>
      <c r="J3355" s="8" t="s">
        <v>175</v>
      </c>
      <c r="K3355" s="8" t="s">
        <v>176</v>
      </c>
      <c r="L3355" s="8" t="s">
        <v>556</v>
      </c>
      <c r="M3355" s="1" t="s">
        <v>205</v>
      </c>
      <c r="N3355" s="8" t="s">
        <v>206</v>
      </c>
      <c r="O3355" s="6">
        <v>0</v>
      </c>
      <c r="P3355" s="6">
        <v>0</v>
      </c>
      <c r="Q3355" s="6">
        <v>0</v>
      </c>
      <c r="R3355" s="6">
        <v>0</v>
      </c>
      <c r="S3355" s="6">
        <v>180</v>
      </c>
    </row>
    <row r="3356" spans="1:19" ht="15" hidden="1" x14ac:dyDescent="0.25">
      <c r="A3356" s="7" t="s">
        <v>16</v>
      </c>
      <c r="B3356" s="7" t="s">
        <v>230</v>
      </c>
      <c r="C3356" s="7" t="s">
        <v>24</v>
      </c>
      <c r="D3356" s="4">
        <v>76659820002367</v>
      </c>
      <c r="E3356" s="8" t="s">
        <v>986</v>
      </c>
      <c r="F3356" s="8" t="s">
        <v>94</v>
      </c>
      <c r="G3356" s="8" t="s">
        <v>57</v>
      </c>
      <c r="H3356" s="8" t="s">
        <v>215</v>
      </c>
      <c r="I3356" s="3">
        <v>2</v>
      </c>
      <c r="J3356" s="8" t="s">
        <v>157</v>
      </c>
      <c r="K3356" s="8" t="s">
        <v>158</v>
      </c>
      <c r="L3356" s="8" t="s">
        <v>557</v>
      </c>
      <c r="M3356" s="1" t="s">
        <v>205</v>
      </c>
      <c r="N3356" s="8" t="s">
        <v>206</v>
      </c>
      <c r="O3356" s="6">
        <v>0</v>
      </c>
      <c r="P3356" s="6">
        <v>0</v>
      </c>
      <c r="Q3356" s="6">
        <v>0</v>
      </c>
      <c r="R3356" s="6">
        <v>0</v>
      </c>
      <c r="S3356" s="6">
        <v>180</v>
      </c>
    </row>
    <row r="3357" spans="1:19" ht="15" hidden="1" x14ac:dyDescent="0.25">
      <c r="A3357" s="7" t="s">
        <v>16</v>
      </c>
      <c r="B3357" s="7" t="s">
        <v>230</v>
      </c>
      <c r="C3357" s="7" t="s">
        <v>24</v>
      </c>
      <c r="D3357" s="4">
        <v>76555069000143</v>
      </c>
      <c r="E3357" s="8" t="s">
        <v>983</v>
      </c>
      <c r="F3357" s="8" t="s">
        <v>94</v>
      </c>
      <c r="G3357" s="8" t="s">
        <v>57</v>
      </c>
      <c r="H3357" s="8" t="s">
        <v>215</v>
      </c>
      <c r="I3357" s="3">
        <v>2</v>
      </c>
      <c r="J3357" s="8" t="s">
        <v>175</v>
      </c>
      <c r="K3357" s="8" t="s">
        <v>176</v>
      </c>
      <c r="L3357" s="8" t="s">
        <v>556</v>
      </c>
      <c r="M3357" s="1" t="s">
        <v>205</v>
      </c>
      <c r="N3357" s="8" t="s">
        <v>206</v>
      </c>
      <c r="O3357" s="6">
        <v>0</v>
      </c>
      <c r="P3357" s="6">
        <v>0</v>
      </c>
      <c r="Q3357" s="6">
        <v>0</v>
      </c>
      <c r="R3357" s="6">
        <v>0</v>
      </c>
      <c r="S3357" s="6">
        <v>110</v>
      </c>
    </row>
    <row r="3358" spans="1:19" ht="15" hidden="1" x14ac:dyDescent="0.25">
      <c r="A3358" s="7" t="s">
        <v>16</v>
      </c>
      <c r="B3358" s="7" t="s">
        <v>230</v>
      </c>
      <c r="C3358" s="7" t="s">
        <v>24</v>
      </c>
      <c r="D3358" s="4">
        <v>76555069000143</v>
      </c>
      <c r="E3358" s="8" t="s">
        <v>983</v>
      </c>
      <c r="F3358" s="8" t="s">
        <v>94</v>
      </c>
      <c r="G3358" s="8" t="s">
        <v>57</v>
      </c>
      <c r="H3358" s="8" t="s">
        <v>215</v>
      </c>
      <c r="I3358" s="3">
        <v>2</v>
      </c>
      <c r="J3358" s="8" t="s">
        <v>157</v>
      </c>
      <c r="K3358" s="8" t="s">
        <v>158</v>
      </c>
      <c r="L3358" s="8" t="s">
        <v>557</v>
      </c>
      <c r="M3358" s="1" t="s">
        <v>205</v>
      </c>
      <c r="N3358" s="8" t="s">
        <v>206</v>
      </c>
      <c r="O3358" s="6">
        <v>0</v>
      </c>
      <c r="P3358" s="6">
        <v>0</v>
      </c>
      <c r="Q3358" s="6">
        <v>2</v>
      </c>
      <c r="R3358" s="6">
        <v>0</v>
      </c>
      <c r="S3358" s="6">
        <v>110</v>
      </c>
    </row>
    <row r="3359" spans="1:19" ht="15" hidden="1" x14ac:dyDescent="0.25">
      <c r="A3359" s="7" t="s">
        <v>16</v>
      </c>
      <c r="B3359" s="7" t="s">
        <v>230</v>
      </c>
      <c r="C3359" s="7" t="s">
        <v>24</v>
      </c>
      <c r="D3359" s="4">
        <v>3850913000195</v>
      </c>
      <c r="E3359" s="8" t="s">
        <v>945</v>
      </c>
      <c r="F3359" s="8" t="s">
        <v>94</v>
      </c>
      <c r="G3359" s="8" t="s">
        <v>57</v>
      </c>
      <c r="H3359" s="8" t="s">
        <v>215</v>
      </c>
      <c r="I3359" s="3">
        <v>2</v>
      </c>
      <c r="J3359" s="8" t="s">
        <v>175</v>
      </c>
      <c r="K3359" s="8" t="s">
        <v>176</v>
      </c>
      <c r="L3359" s="8" t="s">
        <v>556</v>
      </c>
      <c r="M3359" s="1" t="s">
        <v>205</v>
      </c>
      <c r="N3359" s="8" t="s">
        <v>206</v>
      </c>
      <c r="O3359" s="6">
        <v>0</v>
      </c>
      <c r="P3359" s="6">
        <v>0</v>
      </c>
      <c r="Q3359" s="6">
        <v>0</v>
      </c>
      <c r="R3359" s="6">
        <v>0</v>
      </c>
      <c r="S3359" s="6">
        <v>480</v>
      </c>
    </row>
    <row r="3360" spans="1:19" ht="15" hidden="1" x14ac:dyDescent="0.25">
      <c r="A3360" s="7" t="s">
        <v>16</v>
      </c>
      <c r="B3360" s="7" t="s">
        <v>230</v>
      </c>
      <c r="C3360" s="7" t="s">
        <v>24</v>
      </c>
      <c r="D3360" s="4">
        <v>3850913000195</v>
      </c>
      <c r="E3360" s="8" t="s">
        <v>945</v>
      </c>
      <c r="F3360" s="8" t="s">
        <v>94</v>
      </c>
      <c r="G3360" s="8" t="s">
        <v>57</v>
      </c>
      <c r="H3360" s="8" t="s">
        <v>215</v>
      </c>
      <c r="I3360" s="3">
        <v>2</v>
      </c>
      <c r="J3360" s="8" t="s">
        <v>157</v>
      </c>
      <c r="K3360" s="8" t="s">
        <v>158</v>
      </c>
      <c r="L3360" s="8" t="s">
        <v>557</v>
      </c>
      <c r="M3360" s="1" t="s">
        <v>205</v>
      </c>
      <c r="N3360" s="8" t="s">
        <v>206</v>
      </c>
      <c r="O3360" s="6">
        <v>0</v>
      </c>
      <c r="P3360" s="6">
        <v>0</v>
      </c>
      <c r="Q3360" s="6">
        <v>0</v>
      </c>
      <c r="R3360" s="6">
        <v>0</v>
      </c>
      <c r="S3360" s="6">
        <v>480</v>
      </c>
    </row>
    <row r="3361" spans="1:19" ht="15" hidden="1" x14ac:dyDescent="0.25">
      <c r="A3361" s="7" t="s">
        <v>16</v>
      </c>
      <c r="B3361" s="7" t="s">
        <v>230</v>
      </c>
      <c r="C3361" s="7" t="s">
        <v>24</v>
      </c>
      <c r="D3361" s="4">
        <v>5503803000182</v>
      </c>
      <c r="E3361" s="8" t="s">
        <v>1400</v>
      </c>
      <c r="F3361" s="8" t="s">
        <v>94</v>
      </c>
      <c r="G3361" s="8" t="s">
        <v>57</v>
      </c>
      <c r="H3361" s="8" t="s">
        <v>215</v>
      </c>
      <c r="I3361" s="3">
        <v>2</v>
      </c>
      <c r="J3361" s="8" t="s">
        <v>175</v>
      </c>
      <c r="K3361" s="8" t="s">
        <v>176</v>
      </c>
      <c r="L3361" s="8" t="s">
        <v>556</v>
      </c>
      <c r="M3361" s="1" t="s">
        <v>205</v>
      </c>
      <c r="N3361" s="8" t="s">
        <v>206</v>
      </c>
      <c r="O3361" s="6">
        <v>0</v>
      </c>
      <c r="P3361" s="6">
        <v>0</v>
      </c>
      <c r="Q3361" s="6">
        <v>0</v>
      </c>
      <c r="R3361" s="6">
        <v>8</v>
      </c>
      <c r="S3361" s="6">
        <v>0</v>
      </c>
    </row>
    <row r="3362" spans="1:19" ht="15" hidden="1" x14ac:dyDescent="0.25">
      <c r="A3362" s="7" t="s">
        <v>16</v>
      </c>
      <c r="B3362" s="7" t="s">
        <v>230</v>
      </c>
      <c r="C3362" s="7" t="s">
        <v>24</v>
      </c>
      <c r="D3362" s="4">
        <v>5503803000182</v>
      </c>
      <c r="E3362" s="8" t="s">
        <v>1400</v>
      </c>
      <c r="F3362" s="8" t="s">
        <v>94</v>
      </c>
      <c r="G3362" s="8" t="s">
        <v>57</v>
      </c>
      <c r="H3362" s="8" t="s">
        <v>215</v>
      </c>
      <c r="I3362" s="3">
        <v>2</v>
      </c>
      <c r="J3362" s="8" t="s">
        <v>157</v>
      </c>
      <c r="K3362" s="8" t="s">
        <v>158</v>
      </c>
      <c r="L3362" s="8" t="s">
        <v>557</v>
      </c>
      <c r="M3362" s="1" t="s">
        <v>205</v>
      </c>
      <c r="N3362" s="8" t="s">
        <v>206</v>
      </c>
      <c r="O3362" s="6">
        <v>0</v>
      </c>
      <c r="P3362" s="6">
        <v>0</v>
      </c>
      <c r="Q3362" s="6">
        <v>0</v>
      </c>
      <c r="R3362" s="6">
        <v>0</v>
      </c>
      <c r="S3362" s="6">
        <v>0</v>
      </c>
    </row>
    <row r="3363" spans="1:19" ht="15" hidden="1" x14ac:dyDescent="0.25">
      <c r="A3363" s="7" t="s">
        <v>16</v>
      </c>
      <c r="B3363" s="7" t="s">
        <v>230</v>
      </c>
      <c r="C3363" s="7" t="s">
        <v>24</v>
      </c>
      <c r="D3363" s="4">
        <v>30117769000155</v>
      </c>
      <c r="E3363" s="8" t="s">
        <v>976</v>
      </c>
      <c r="F3363" s="8" t="s">
        <v>94</v>
      </c>
      <c r="G3363" s="8" t="s">
        <v>57</v>
      </c>
      <c r="H3363" s="8" t="s">
        <v>215</v>
      </c>
      <c r="I3363" s="3">
        <v>2</v>
      </c>
      <c r="J3363" s="8" t="s">
        <v>175</v>
      </c>
      <c r="K3363" s="8" t="s">
        <v>176</v>
      </c>
      <c r="L3363" s="8" t="s">
        <v>556</v>
      </c>
      <c r="M3363" s="1" t="s">
        <v>205</v>
      </c>
      <c r="N3363" s="8" t="s">
        <v>206</v>
      </c>
      <c r="O3363" s="6">
        <v>0</v>
      </c>
      <c r="P3363" s="6">
        <v>0</v>
      </c>
      <c r="Q3363" s="6">
        <v>0</v>
      </c>
      <c r="R3363" s="6">
        <v>0</v>
      </c>
      <c r="S3363" s="6">
        <v>150</v>
      </c>
    </row>
    <row r="3364" spans="1:19" ht="15" hidden="1" x14ac:dyDescent="0.25">
      <c r="A3364" s="7" t="s">
        <v>16</v>
      </c>
      <c r="B3364" s="7" t="s">
        <v>230</v>
      </c>
      <c r="C3364" s="7" t="s">
        <v>24</v>
      </c>
      <c r="D3364" s="4">
        <v>30117769000155</v>
      </c>
      <c r="E3364" s="8" t="s">
        <v>976</v>
      </c>
      <c r="F3364" s="8" t="s">
        <v>94</v>
      </c>
      <c r="G3364" s="8" t="s">
        <v>57</v>
      </c>
      <c r="H3364" s="8" t="s">
        <v>215</v>
      </c>
      <c r="I3364" s="3">
        <v>2</v>
      </c>
      <c r="J3364" s="8" t="s">
        <v>157</v>
      </c>
      <c r="K3364" s="8" t="s">
        <v>158</v>
      </c>
      <c r="L3364" s="8" t="s">
        <v>557</v>
      </c>
      <c r="M3364" s="1" t="s">
        <v>205</v>
      </c>
      <c r="N3364" s="8" t="s">
        <v>206</v>
      </c>
      <c r="O3364" s="6">
        <v>0</v>
      </c>
      <c r="P3364" s="6">
        <v>0</v>
      </c>
      <c r="Q3364" s="6">
        <v>0</v>
      </c>
      <c r="R3364" s="6">
        <v>0</v>
      </c>
      <c r="S3364" s="6">
        <v>150</v>
      </c>
    </row>
    <row r="3365" spans="1:19" ht="15" hidden="1" x14ac:dyDescent="0.25">
      <c r="A3365" s="7" t="s">
        <v>16</v>
      </c>
      <c r="B3365" s="7" t="s">
        <v>230</v>
      </c>
      <c r="C3365" s="7" t="s">
        <v>24</v>
      </c>
      <c r="D3365" s="4">
        <v>75055772002254</v>
      </c>
      <c r="E3365" s="8" t="s">
        <v>979</v>
      </c>
      <c r="F3365" s="8" t="s">
        <v>94</v>
      </c>
      <c r="G3365" s="8" t="s">
        <v>57</v>
      </c>
      <c r="H3365" s="8" t="s">
        <v>215</v>
      </c>
      <c r="I3365" s="3">
        <v>2</v>
      </c>
      <c r="J3365" s="8" t="s">
        <v>175</v>
      </c>
      <c r="K3365" s="8" t="s">
        <v>176</v>
      </c>
      <c r="L3365" s="8" t="s">
        <v>556</v>
      </c>
      <c r="M3365" s="1" t="s">
        <v>205</v>
      </c>
      <c r="N3365" s="8" t="s">
        <v>206</v>
      </c>
      <c r="O3365" s="6">
        <v>0</v>
      </c>
      <c r="P3365" s="6">
        <v>0</v>
      </c>
      <c r="Q3365" s="6">
        <v>0</v>
      </c>
      <c r="R3365" s="6">
        <v>0</v>
      </c>
      <c r="S3365" s="6">
        <v>70</v>
      </c>
    </row>
    <row r="3366" spans="1:19" ht="15" hidden="1" x14ac:dyDescent="0.25">
      <c r="A3366" s="7" t="s">
        <v>16</v>
      </c>
      <c r="B3366" s="7" t="s">
        <v>230</v>
      </c>
      <c r="C3366" s="7" t="s">
        <v>24</v>
      </c>
      <c r="D3366" s="4">
        <v>75055772002254</v>
      </c>
      <c r="E3366" s="8" t="s">
        <v>979</v>
      </c>
      <c r="F3366" s="8" t="s">
        <v>94</v>
      </c>
      <c r="G3366" s="8" t="s">
        <v>57</v>
      </c>
      <c r="H3366" s="8" t="s">
        <v>215</v>
      </c>
      <c r="I3366" s="3">
        <v>2</v>
      </c>
      <c r="J3366" s="8" t="s">
        <v>157</v>
      </c>
      <c r="K3366" s="8" t="s">
        <v>158</v>
      </c>
      <c r="L3366" s="8" t="s">
        <v>557</v>
      </c>
      <c r="M3366" s="1" t="s">
        <v>205</v>
      </c>
      <c r="N3366" s="8" t="s">
        <v>206</v>
      </c>
      <c r="O3366" s="6">
        <v>0</v>
      </c>
      <c r="P3366" s="6">
        <v>0</v>
      </c>
      <c r="Q3366" s="6">
        <v>0</v>
      </c>
      <c r="R3366" s="6">
        <v>0</v>
      </c>
      <c r="S3366" s="6">
        <v>70</v>
      </c>
    </row>
    <row r="3367" spans="1:19" ht="15" hidden="1" x14ac:dyDescent="0.25">
      <c r="A3367" s="7" t="s">
        <v>16</v>
      </c>
      <c r="B3367" s="7" t="s">
        <v>230</v>
      </c>
      <c r="C3367" s="7" t="s">
        <v>24</v>
      </c>
      <c r="D3367" s="4">
        <v>304148000110</v>
      </c>
      <c r="E3367" s="8" t="s">
        <v>932</v>
      </c>
      <c r="F3367" s="8" t="s">
        <v>933</v>
      </c>
      <c r="G3367" s="8" t="s">
        <v>57</v>
      </c>
      <c r="H3367" s="8" t="s">
        <v>215</v>
      </c>
      <c r="I3367" s="3">
        <v>2</v>
      </c>
      <c r="J3367" s="8" t="s">
        <v>175</v>
      </c>
      <c r="K3367" s="8" t="s">
        <v>176</v>
      </c>
      <c r="L3367" s="8" t="s">
        <v>556</v>
      </c>
      <c r="M3367" s="1" t="s">
        <v>205</v>
      </c>
      <c r="N3367" s="8" t="s">
        <v>206</v>
      </c>
      <c r="O3367" s="6">
        <v>0</v>
      </c>
      <c r="P3367" s="6">
        <v>0</v>
      </c>
      <c r="Q3367" s="6">
        <v>0</v>
      </c>
      <c r="R3367" s="6">
        <v>6</v>
      </c>
      <c r="S3367" s="6">
        <v>150</v>
      </c>
    </row>
    <row r="3368" spans="1:19" ht="15" hidden="1" x14ac:dyDescent="0.25">
      <c r="A3368" s="7" t="s">
        <v>16</v>
      </c>
      <c r="B3368" s="7" t="s">
        <v>230</v>
      </c>
      <c r="C3368" s="7" t="s">
        <v>24</v>
      </c>
      <c r="D3368" s="4">
        <v>304148000110</v>
      </c>
      <c r="E3368" s="8" t="s">
        <v>932</v>
      </c>
      <c r="F3368" s="8" t="s">
        <v>933</v>
      </c>
      <c r="G3368" s="8" t="s">
        <v>57</v>
      </c>
      <c r="H3368" s="8" t="s">
        <v>215</v>
      </c>
      <c r="I3368" s="3">
        <v>2</v>
      </c>
      <c r="J3368" s="8" t="s">
        <v>157</v>
      </c>
      <c r="K3368" s="8" t="s">
        <v>158</v>
      </c>
      <c r="L3368" s="8" t="s">
        <v>557</v>
      </c>
      <c r="M3368" s="1" t="s">
        <v>205</v>
      </c>
      <c r="N3368" s="8" t="s">
        <v>206</v>
      </c>
      <c r="O3368" s="6">
        <v>0</v>
      </c>
      <c r="P3368" s="6">
        <v>0</v>
      </c>
      <c r="Q3368" s="6">
        <v>0</v>
      </c>
      <c r="R3368" s="6">
        <v>0</v>
      </c>
      <c r="S3368" s="6">
        <v>150</v>
      </c>
    </row>
    <row r="3369" spans="1:19" ht="15" hidden="1" x14ac:dyDescent="0.25">
      <c r="A3369" s="7" t="s">
        <v>16</v>
      </c>
      <c r="B3369" s="7" t="s">
        <v>230</v>
      </c>
      <c r="C3369" s="7" t="s">
        <v>24</v>
      </c>
      <c r="D3369" s="4">
        <v>78633088000176</v>
      </c>
      <c r="E3369" s="8" t="s">
        <v>995</v>
      </c>
      <c r="F3369" s="8" t="s">
        <v>121</v>
      </c>
      <c r="G3369" s="8" t="s">
        <v>57</v>
      </c>
      <c r="H3369" s="8" t="s">
        <v>215</v>
      </c>
      <c r="I3369" s="3">
        <v>2</v>
      </c>
      <c r="J3369" s="8" t="s">
        <v>175</v>
      </c>
      <c r="K3369" s="8" t="s">
        <v>176</v>
      </c>
      <c r="L3369" s="8" t="s">
        <v>556</v>
      </c>
      <c r="M3369" s="1" t="s">
        <v>205</v>
      </c>
      <c r="N3369" s="8" t="s">
        <v>206</v>
      </c>
      <c r="O3369" s="6">
        <v>0</v>
      </c>
      <c r="P3369" s="6">
        <v>0</v>
      </c>
      <c r="Q3369" s="6">
        <v>0</v>
      </c>
      <c r="R3369" s="6">
        <v>0</v>
      </c>
      <c r="S3369" s="6">
        <v>35</v>
      </c>
    </row>
    <row r="3370" spans="1:19" ht="15" hidden="1" x14ac:dyDescent="0.25">
      <c r="A3370" s="7" t="s">
        <v>16</v>
      </c>
      <c r="B3370" s="7" t="s">
        <v>230</v>
      </c>
      <c r="C3370" s="7" t="s">
        <v>24</v>
      </c>
      <c r="D3370" s="4">
        <v>78633088000176</v>
      </c>
      <c r="E3370" s="8" t="s">
        <v>995</v>
      </c>
      <c r="F3370" s="8" t="s">
        <v>121</v>
      </c>
      <c r="G3370" s="8" t="s">
        <v>57</v>
      </c>
      <c r="H3370" s="8" t="s">
        <v>215</v>
      </c>
      <c r="I3370" s="3">
        <v>2</v>
      </c>
      <c r="J3370" s="8" t="s">
        <v>157</v>
      </c>
      <c r="K3370" s="8" t="s">
        <v>158</v>
      </c>
      <c r="L3370" s="8" t="s">
        <v>557</v>
      </c>
      <c r="M3370" s="1" t="s">
        <v>205</v>
      </c>
      <c r="N3370" s="8" t="s">
        <v>206</v>
      </c>
      <c r="O3370" s="6">
        <v>0</v>
      </c>
      <c r="P3370" s="6">
        <v>0</v>
      </c>
      <c r="Q3370" s="6">
        <v>0</v>
      </c>
      <c r="R3370" s="6">
        <v>0</v>
      </c>
      <c r="S3370" s="6">
        <v>35</v>
      </c>
    </row>
    <row r="3371" spans="1:19" ht="15" hidden="1" x14ac:dyDescent="0.25">
      <c r="A3371" s="7" t="s">
        <v>16</v>
      </c>
      <c r="B3371" s="7" t="s">
        <v>230</v>
      </c>
      <c r="C3371" s="7" t="s">
        <v>24</v>
      </c>
      <c r="D3371" s="4">
        <v>73863342000109</v>
      </c>
      <c r="E3371" s="8" t="s">
        <v>978</v>
      </c>
      <c r="F3371" s="8" t="s">
        <v>121</v>
      </c>
      <c r="G3371" s="8" t="s">
        <v>57</v>
      </c>
      <c r="H3371" s="8" t="s">
        <v>215</v>
      </c>
      <c r="I3371" s="3">
        <v>2</v>
      </c>
      <c r="J3371" s="8" t="s">
        <v>175</v>
      </c>
      <c r="K3371" s="8" t="s">
        <v>176</v>
      </c>
      <c r="L3371" s="8" t="s">
        <v>556</v>
      </c>
      <c r="M3371" s="1" t="s">
        <v>205</v>
      </c>
      <c r="N3371" s="8" t="s">
        <v>206</v>
      </c>
      <c r="O3371" s="6">
        <v>0</v>
      </c>
      <c r="P3371" s="6">
        <v>0</v>
      </c>
      <c r="Q3371" s="6">
        <v>0</v>
      </c>
      <c r="R3371" s="6">
        <v>0</v>
      </c>
      <c r="S3371" s="6">
        <v>20</v>
      </c>
    </row>
    <row r="3372" spans="1:19" ht="15" hidden="1" x14ac:dyDescent="0.25">
      <c r="A3372" s="7" t="s">
        <v>16</v>
      </c>
      <c r="B3372" s="7" t="s">
        <v>230</v>
      </c>
      <c r="C3372" s="7" t="s">
        <v>24</v>
      </c>
      <c r="D3372" s="4">
        <v>73863342000109</v>
      </c>
      <c r="E3372" s="8" t="s">
        <v>978</v>
      </c>
      <c r="F3372" s="8" t="s">
        <v>121</v>
      </c>
      <c r="G3372" s="8" t="s">
        <v>57</v>
      </c>
      <c r="H3372" s="8" t="s">
        <v>215</v>
      </c>
      <c r="I3372" s="3">
        <v>2</v>
      </c>
      <c r="J3372" s="8" t="s">
        <v>157</v>
      </c>
      <c r="K3372" s="8" t="s">
        <v>158</v>
      </c>
      <c r="L3372" s="8" t="s">
        <v>557</v>
      </c>
      <c r="M3372" s="1" t="s">
        <v>205</v>
      </c>
      <c r="N3372" s="8" t="s">
        <v>206</v>
      </c>
      <c r="O3372" s="6">
        <v>0</v>
      </c>
      <c r="P3372" s="6">
        <v>0</v>
      </c>
      <c r="Q3372" s="6">
        <v>0</v>
      </c>
      <c r="R3372" s="6">
        <v>0</v>
      </c>
      <c r="S3372" s="6">
        <v>20</v>
      </c>
    </row>
    <row r="3373" spans="1:19" ht="15" hidden="1" x14ac:dyDescent="0.25">
      <c r="A3373" s="7" t="s">
        <v>16</v>
      </c>
      <c r="B3373" s="7" t="s">
        <v>230</v>
      </c>
      <c r="C3373" s="7" t="s">
        <v>24</v>
      </c>
      <c r="D3373" s="4">
        <v>75222224001895</v>
      </c>
      <c r="E3373" s="8" t="s">
        <v>981</v>
      </c>
      <c r="F3373" s="8" t="s">
        <v>121</v>
      </c>
      <c r="G3373" s="8" t="s">
        <v>57</v>
      </c>
      <c r="H3373" s="8" t="s">
        <v>215</v>
      </c>
      <c r="I3373" s="3">
        <v>2</v>
      </c>
      <c r="J3373" s="8" t="s">
        <v>175</v>
      </c>
      <c r="K3373" s="8" t="s">
        <v>176</v>
      </c>
      <c r="L3373" s="8" t="s">
        <v>556</v>
      </c>
      <c r="M3373" s="1" t="s">
        <v>205</v>
      </c>
      <c r="N3373" s="8" t="s">
        <v>206</v>
      </c>
      <c r="O3373" s="6">
        <v>0</v>
      </c>
      <c r="P3373" s="6">
        <v>0</v>
      </c>
      <c r="Q3373" s="6">
        <v>0</v>
      </c>
      <c r="R3373" s="6">
        <v>0</v>
      </c>
      <c r="S3373" s="6">
        <v>630</v>
      </c>
    </row>
    <row r="3374" spans="1:19" ht="15" hidden="1" x14ac:dyDescent="0.25">
      <c r="A3374" s="7" t="s">
        <v>16</v>
      </c>
      <c r="B3374" s="7" t="s">
        <v>230</v>
      </c>
      <c r="C3374" s="7" t="s">
        <v>24</v>
      </c>
      <c r="D3374" s="4">
        <v>75222224001895</v>
      </c>
      <c r="E3374" s="8" t="s">
        <v>981</v>
      </c>
      <c r="F3374" s="8" t="s">
        <v>121</v>
      </c>
      <c r="G3374" s="8" t="s">
        <v>57</v>
      </c>
      <c r="H3374" s="8" t="s">
        <v>215</v>
      </c>
      <c r="I3374" s="3">
        <v>2</v>
      </c>
      <c r="J3374" s="8" t="s">
        <v>157</v>
      </c>
      <c r="K3374" s="8" t="s">
        <v>158</v>
      </c>
      <c r="L3374" s="8" t="s">
        <v>557</v>
      </c>
      <c r="M3374" s="1" t="s">
        <v>205</v>
      </c>
      <c r="N3374" s="8" t="s">
        <v>206</v>
      </c>
      <c r="O3374" s="6">
        <v>0</v>
      </c>
      <c r="P3374" s="6">
        <v>0</v>
      </c>
      <c r="Q3374" s="6">
        <v>0</v>
      </c>
      <c r="R3374" s="6">
        <v>0</v>
      </c>
      <c r="S3374" s="6">
        <v>630</v>
      </c>
    </row>
    <row r="3375" spans="1:19" ht="15" hidden="1" x14ac:dyDescent="0.25">
      <c r="A3375" s="7" t="s">
        <v>16</v>
      </c>
      <c r="B3375" s="7" t="s">
        <v>230</v>
      </c>
      <c r="C3375" s="7" t="s">
        <v>24</v>
      </c>
      <c r="D3375" s="4">
        <v>79115762000193</v>
      </c>
      <c r="E3375" s="8" t="s">
        <v>996</v>
      </c>
      <c r="F3375" s="8" t="s">
        <v>988</v>
      </c>
      <c r="G3375" s="8" t="s">
        <v>57</v>
      </c>
      <c r="H3375" s="8" t="s">
        <v>215</v>
      </c>
      <c r="I3375" s="3">
        <v>2</v>
      </c>
      <c r="J3375" s="8" t="s">
        <v>175</v>
      </c>
      <c r="K3375" s="8" t="s">
        <v>176</v>
      </c>
      <c r="L3375" s="8" t="s">
        <v>556</v>
      </c>
      <c r="M3375" s="1" t="s">
        <v>205</v>
      </c>
      <c r="N3375" s="8" t="s">
        <v>206</v>
      </c>
      <c r="O3375" s="6">
        <v>0</v>
      </c>
      <c r="P3375" s="6">
        <v>0</v>
      </c>
      <c r="Q3375" s="6">
        <v>0</v>
      </c>
      <c r="R3375" s="6">
        <v>0</v>
      </c>
      <c r="S3375" s="6">
        <v>20</v>
      </c>
    </row>
    <row r="3376" spans="1:19" ht="15" hidden="1" x14ac:dyDescent="0.25">
      <c r="A3376" s="7" t="s">
        <v>16</v>
      </c>
      <c r="B3376" s="7" t="s">
        <v>230</v>
      </c>
      <c r="C3376" s="7" t="s">
        <v>24</v>
      </c>
      <c r="D3376" s="4">
        <v>79115762000193</v>
      </c>
      <c r="E3376" s="8" t="s">
        <v>996</v>
      </c>
      <c r="F3376" s="8" t="s">
        <v>988</v>
      </c>
      <c r="G3376" s="8" t="s">
        <v>57</v>
      </c>
      <c r="H3376" s="8" t="s">
        <v>215</v>
      </c>
      <c r="I3376" s="3">
        <v>2</v>
      </c>
      <c r="J3376" s="8" t="s">
        <v>157</v>
      </c>
      <c r="K3376" s="8" t="s">
        <v>158</v>
      </c>
      <c r="L3376" s="8" t="s">
        <v>557</v>
      </c>
      <c r="M3376" s="1" t="s">
        <v>205</v>
      </c>
      <c r="N3376" s="8" t="s">
        <v>206</v>
      </c>
      <c r="O3376" s="6">
        <v>0</v>
      </c>
      <c r="P3376" s="6">
        <v>0</v>
      </c>
      <c r="Q3376" s="6">
        <v>0</v>
      </c>
      <c r="R3376" s="6">
        <v>0</v>
      </c>
      <c r="S3376" s="6">
        <v>20</v>
      </c>
    </row>
    <row r="3377" spans="1:19" ht="15" hidden="1" x14ac:dyDescent="0.25">
      <c r="A3377" s="7" t="s">
        <v>16</v>
      </c>
      <c r="B3377" s="7" t="s">
        <v>230</v>
      </c>
      <c r="C3377" s="7" t="s">
        <v>24</v>
      </c>
      <c r="D3377" s="4">
        <v>77265361000194</v>
      </c>
      <c r="E3377" s="8" t="s">
        <v>987</v>
      </c>
      <c r="F3377" s="8" t="s">
        <v>988</v>
      </c>
      <c r="G3377" s="8" t="s">
        <v>57</v>
      </c>
      <c r="H3377" s="8" t="s">
        <v>215</v>
      </c>
      <c r="I3377" s="3">
        <v>2</v>
      </c>
      <c r="J3377" s="8" t="s">
        <v>175</v>
      </c>
      <c r="K3377" s="8" t="s">
        <v>176</v>
      </c>
      <c r="L3377" s="8" t="s">
        <v>556</v>
      </c>
      <c r="M3377" s="1" t="s">
        <v>205</v>
      </c>
      <c r="N3377" s="8" t="s">
        <v>206</v>
      </c>
      <c r="O3377" s="6">
        <v>0</v>
      </c>
      <c r="P3377" s="6">
        <v>0</v>
      </c>
      <c r="Q3377" s="6">
        <v>0</v>
      </c>
      <c r="R3377" s="6">
        <v>0</v>
      </c>
      <c r="S3377" s="6">
        <v>80</v>
      </c>
    </row>
    <row r="3378" spans="1:19" ht="15" hidden="1" x14ac:dyDescent="0.25">
      <c r="A3378" s="7" t="s">
        <v>16</v>
      </c>
      <c r="B3378" s="7" t="s">
        <v>230</v>
      </c>
      <c r="C3378" s="7" t="s">
        <v>24</v>
      </c>
      <c r="D3378" s="4">
        <v>77265361000194</v>
      </c>
      <c r="E3378" s="8" t="s">
        <v>987</v>
      </c>
      <c r="F3378" s="8" t="s">
        <v>988</v>
      </c>
      <c r="G3378" s="8" t="s">
        <v>57</v>
      </c>
      <c r="H3378" s="8" t="s">
        <v>215</v>
      </c>
      <c r="I3378" s="3">
        <v>2</v>
      </c>
      <c r="J3378" s="8" t="s">
        <v>157</v>
      </c>
      <c r="K3378" s="8" t="s">
        <v>158</v>
      </c>
      <c r="L3378" s="8" t="s">
        <v>557</v>
      </c>
      <c r="M3378" s="1" t="s">
        <v>205</v>
      </c>
      <c r="N3378" s="8" t="s">
        <v>206</v>
      </c>
      <c r="O3378" s="6">
        <v>0</v>
      </c>
      <c r="P3378" s="6">
        <v>0</v>
      </c>
      <c r="Q3378" s="6">
        <v>0</v>
      </c>
      <c r="R3378" s="6">
        <v>0</v>
      </c>
      <c r="S3378" s="6">
        <v>80</v>
      </c>
    </row>
    <row r="3379" spans="1:19" ht="15" hidden="1" x14ac:dyDescent="0.25">
      <c r="A3379" s="7" t="s">
        <v>16</v>
      </c>
      <c r="B3379" s="7" t="s">
        <v>230</v>
      </c>
      <c r="C3379" s="7" t="s">
        <v>24</v>
      </c>
      <c r="D3379" s="4">
        <v>77781706000243</v>
      </c>
      <c r="E3379" s="8" t="s">
        <v>989</v>
      </c>
      <c r="F3379" s="8" t="s">
        <v>990</v>
      </c>
      <c r="G3379" s="8" t="s">
        <v>57</v>
      </c>
      <c r="H3379" s="8" t="s">
        <v>215</v>
      </c>
      <c r="I3379" s="3">
        <v>2</v>
      </c>
      <c r="J3379" s="8" t="s">
        <v>175</v>
      </c>
      <c r="K3379" s="8" t="s">
        <v>176</v>
      </c>
      <c r="L3379" s="8" t="s">
        <v>556</v>
      </c>
      <c r="M3379" s="1" t="s">
        <v>205</v>
      </c>
      <c r="N3379" s="8" t="s">
        <v>206</v>
      </c>
      <c r="O3379" s="6">
        <v>0</v>
      </c>
      <c r="P3379" s="6">
        <v>0</v>
      </c>
      <c r="Q3379" s="6">
        <v>0</v>
      </c>
      <c r="R3379" s="6">
        <v>10</v>
      </c>
      <c r="S3379" s="6">
        <v>0</v>
      </c>
    </row>
    <row r="3380" spans="1:19" ht="15" hidden="1" x14ac:dyDescent="0.25">
      <c r="A3380" s="7" t="s">
        <v>16</v>
      </c>
      <c r="B3380" s="7" t="s">
        <v>230</v>
      </c>
      <c r="C3380" s="7" t="s">
        <v>24</v>
      </c>
      <c r="D3380" s="4">
        <v>77781706000243</v>
      </c>
      <c r="E3380" s="8" t="s">
        <v>989</v>
      </c>
      <c r="F3380" s="8" t="s">
        <v>990</v>
      </c>
      <c r="G3380" s="8" t="s">
        <v>57</v>
      </c>
      <c r="H3380" s="8" t="s">
        <v>215</v>
      </c>
      <c r="I3380" s="3">
        <v>2</v>
      </c>
      <c r="J3380" s="8" t="s">
        <v>157</v>
      </c>
      <c r="K3380" s="8" t="s">
        <v>158</v>
      </c>
      <c r="L3380" s="8" t="s">
        <v>557</v>
      </c>
      <c r="M3380" s="1" t="s">
        <v>205</v>
      </c>
      <c r="N3380" s="8" t="s">
        <v>206</v>
      </c>
      <c r="O3380" s="6">
        <v>0</v>
      </c>
      <c r="P3380" s="6">
        <v>0</v>
      </c>
      <c r="Q3380" s="6">
        <v>0</v>
      </c>
      <c r="R3380" s="6">
        <v>0</v>
      </c>
      <c r="S3380" s="6">
        <v>0</v>
      </c>
    </row>
    <row r="3381" spans="1:19" ht="15" hidden="1" x14ac:dyDescent="0.25">
      <c r="A3381" s="7" t="s">
        <v>16</v>
      </c>
      <c r="B3381" s="7" t="s">
        <v>230</v>
      </c>
      <c r="C3381" s="7" t="s">
        <v>24</v>
      </c>
      <c r="D3381" s="4">
        <v>7794623002257</v>
      </c>
      <c r="E3381" s="8" t="s">
        <v>955</v>
      </c>
      <c r="F3381" s="8" t="s">
        <v>956</v>
      </c>
      <c r="G3381" s="8" t="s">
        <v>57</v>
      </c>
      <c r="H3381" s="8" t="s">
        <v>215</v>
      </c>
      <c r="I3381" s="3">
        <v>2</v>
      </c>
      <c r="J3381" s="8" t="s">
        <v>175</v>
      </c>
      <c r="K3381" s="8" t="s">
        <v>176</v>
      </c>
      <c r="L3381" s="8" t="s">
        <v>556</v>
      </c>
      <c r="M3381" s="1" t="s">
        <v>205</v>
      </c>
      <c r="N3381" s="8" t="s">
        <v>206</v>
      </c>
      <c r="O3381" s="6">
        <v>0</v>
      </c>
      <c r="P3381" s="6">
        <v>0</v>
      </c>
      <c r="Q3381" s="6">
        <v>0</v>
      </c>
      <c r="R3381" s="6">
        <v>0</v>
      </c>
      <c r="S3381" s="6">
        <v>85</v>
      </c>
    </row>
    <row r="3382" spans="1:19" ht="15" hidden="1" x14ac:dyDescent="0.25">
      <c r="A3382" s="7" t="s">
        <v>16</v>
      </c>
      <c r="B3382" s="7" t="s">
        <v>230</v>
      </c>
      <c r="C3382" s="7" t="s">
        <v>24</v>
      </c>
      <c r="D3382" s="4">
        <v>7794623002257</v>
      </c>
      <c r="E3382" s="8" t="s">
        <v>955</v>
      </c>
      <c r="F3382" s="8" t="s">
        <v>956</v>
      </c>
      <c r="G3382" s="8" t="s">
        <v>57</v>
      </c>
      <c r="H3382" s="8" t="s">
        <v>215</v>
      </c>
      <c r="I3382" s="3">
        <v>2</v>
      </c>
      <c r="J3382" s="8" t="s">
        <v>157</v>
      </c>
      <c r="K3382" s="8" t="s">
        <v>158</v>
      </c>
      <c r="L3382" s="8" t="s">
        <v>557</v>
      </c>
      <c r="M3382" s="1" t="s">
        <v>205</v>
      </c>
      <c r="N3382" s="8" t="s">
        <v>206</v>
      </c>
      <c r="O3382" s="6">
        <v>0</v>
      </c>
      <c r="P3382" s="6">
        <v>0</v>
      </c>
      <c r="Q3382" s="6">
        <v>0</v>
      </c>
      <c r="R3382" s="6">
        <v>0</v>
      </c>
      <c r="S3382" s="6">
        <v>85</v>
      </c>
    </row>
    <row r="3383" spans="1:19" ht="15" hidden="1" x14ac:dyDescent="0.25">
      <c r="A3383" s="7" t="s">
        <v>16</v>
      </c>
      <c r="B3383" s="7" t="s">
        <v>230</v>
      </c>
      <c r="C3383" s="7" t="s">
        <v>24</v>
      </c>
      <c r="D3383" s="4">
        <v>36238913000198</v>
      </c>
      <c r="E3383" s="8" t="s">
        <v>1063</v>
      </c>
      <c r="F3383" s="8" t="s">
        <v>1064</v>
      </c>
      <c r="G3383" s="8" t="s">
        <v>61</v>
      </c>
      <c r="H3383" s="8" t="s">
        <v>215</v>
      </c>
      <c r="I3383" s="3">
        <v>2</v>
      </c>
      <c r="J3383" s="8" t="s">
        <v>155</v>
      </c>
      <c r="K3383" s="8" t="s">
        <v>156</v>
      </c>
      <c r="L3383" s="8" t="s">
        <v>556</v>
      </c>
      <c r="M3383" s="1" t="s">
        <v>205</v>
      </c>
      <c r="N3383" s="8" t="s">
        <v>206</v>
      </c>
      <c r="O3383" s="6">
        <v>0</v>
      </c>
      <c r="P3383" s="6">
        <v>0</v>
      </c>
      <c r="Q3383" s="6">
        <v>0</v>
      </c>
      <c r="R3383" s="6">
        <v>64</v>
      </c>
      <c r="S3383" s="6">
        <v>0</v>
      </c>
    </row>
    <row r="3384" spans="1:19" ht="15" hidden="1" x14ac:dyDescent="0.25">
      <c r="A3384" s="7" t="s">
        <v>16</v>
      </c>
      <c r="B3384" s="7" t="s">
        <v>230</v>
      </c>
      <c r="C3384" s="7" t="s">
        <v>24</v>
      </c>
      <c r="D3384" s="4">
        <v>36238913000198</v>
      </c>
      <c r="E3384" s="8" t="s">
        <v>1063</v>
      </c>
      <c r="F3384" s="8" t="s">
        <v>1064</v>
      </c>
      <c r="G3384" s="8" t="s">
        <v>61</v>
      </c>
      <c r="H3384" s="8" t="s">
        <v>215</v>
      </c>
      <c r="I3384" s="3">
        <v>2</v>
      </c>
      <c r="J3384" s="8" t="s">
        <v>173</v>
      </c>
      <c r="K3384" s="8" t="s">
        <v>174</v>
      </c>
      <c r="L3384" s="8" t="s">
        <v>557</v>
      </c>
      <c r="M3384" s="1" t="s">
        <v>205</v>
      </c>
      <c r="N3384" s="8" t="s">
        <v>206</v>
      </c>
      <c r="O3384" s="6">
        <v>0</v>
      </c>
      <c r="P3384" s="6">
        <v>0</v>
      </c>
      <c r="Q3384" s="6">
        <v>0</v>
      </c>
      <c r="R3384" s="6">
        <v>0</v>
      </c>
      <c r="S3384" s="6">
        <v>0</v>
      </c>
    </row>
    <row r="3385" spans="1:19" ht="15" hidden="1" x14ac:dyDescent="0.25">
      <c r="A3385" s="7" t="s">
        <v>16</v>
      </c>
      <c r="B3385" s="7" t="s">
        <v>230</v>
      </c>
      <c r="C3385" s="7" t="s">
        <v>24</v>
      </c>
      <c r="D3385" s="4">
        <v>4703117000192</v>
      </c>
      <c r="E3385" s="8" t="s">
        <v>1404</v>
      </c>
      <c r="F3385" s="8" t="s">
        <v>1405</v>
      </c>
      <c r="G3385" s="8" t="s">
        <v>61</v>
      </c>
      <c r="H3385" s="8" t="s">
        <v>215</v>
      </c>
      <c r="I3385" s="3">
        <v>2</v>
      </c>
      <c r="J3385" s="8" t="s">
        <v>155</v>
      </c>
      <c r="K3385" s="8" t="s">
        <v>156</v>
      </c>
      <c r="L3385" s="8" t="s">
        <v>556</v>
      </c>
      <c r="M3385" s="1" t="s">
        <v>205</v>
      </c>
      <c r="N3385" s="8" t="s">
        <v>206</v>
      </c>
      <c r="O3385" s="6">
        <v>0</v>
      </c>
      <c r="P3385" s="6">
        <v>0</v>
      </c>
      <c r="Q3385" s="6">
        <v>0</v>
      </c>
      <c r="R3385" s="6">
        <v>0</v>
      </c>
      <c r="S3385" s="6">
        <v>150</v>
      </c>
    </row>
    <row r="3386" spans="1:19" ht="15" hidden="1" x14ac:dyDescent="0.25">
      <c r="A3386" s="7" t="s">
        <v>16</v>
      </c>
      <c r="B3386" s="7" t="s">
        <v>230</v>
      </c>
      <c r="C3386" s="7" t="s">
        <v>24</v>
      </c>
      <c r="D3386" s="4">
        <v>4703117000192</v>
      </c>
      <c r="E3386" s="8" t="s">
        <v>1404</v>
      </c>
      <c r="F3386" s="8" t="s">
        <v>1405</v>
      </c>
      <c r="G3386" s="8" t="s">
        <v>61</v>
      </c>
      <c r="H3386" s="8" t="s">
        <v>215</v>
      </c>
      <c r="I3386" s="3">
        <v>2</v>
      </c>
      <c r="J3386" s="8" t="s">
        <v>173</v>
      </c>
      <c r="K3386" s="8" t="s">
        <v>174</v>
      </c>
      <c r="L3386" s="8" t="s">
        <v>557</v>
      </c>
      <c r="M3386" s="1" t="s">
        <v>205</v>
      </c>
      <c r="N3386" s="8" t="s">
        <v>206</v>
      </c>
      <c r="O3386" s="6">
        <v>0</v>
      </c>
      <c r="P3386" s="6">
        <v>0</v>
      </c>
      <c r="Q3386" s="6">
        <v>0</v>
      </c>
      <c r="R3386" s="6">
        <v>0</v>
      </c>
      <c r="S3386" s="6">
        <v>150</v>
      </c>
    </row>
    <row r="3387" spans="1:19" ht="15" hidden="1" x14ac:dyDescent="0.25">
      <c r="A3387" s="7" t="s">
        <v>16</v>
      </c>
      <c r="B3387" s="7" t="s">
        <v>230</v>
      </c>
      <c r="C3387" s="7" t="s">
        <v>24</v>
      </c>
      <c r="D3387" s="4">
        <v>33092116000157</v>
      </c>
      <c r="E3387" s="8" t="s">
        <v>1409</v>
      </c>
      <c r="F3387" s="8" t="s">
        <v>78</v>
      </c>
      <c r="G3387" s="8" t="s">
        <v>61</v>
      </c>
      <c r="H3387" s="8" t="s">
        <v>215</v>
      </c>
      <c r="I3387" s="3">
        <v>2</v>
      </c>
      <c r="J3387" s="8" t="s">
        <v>155</v>
      </c>
      <c r="K3387" s="8" t="s">
        <v>156</v>
      </c>
      <c r="L3387" s="8" t="s">
        <v>556</v>
      </c>
      <c r="M3387" s="1" t="s">
        <v>205</v>
      </c>
      <c r="N3387" s="8" t="s">
        <v>206</v>
      </c>
      <c r="O3387" s="6">
        <v>0</v>
      </c>
      <c r="P3387" s="6">
        <v>0</v>
      </c>
      <c r="Q3387" s="6">
        <v>0</v>
      </c>
      <c r="R3387" s="6">
        <v>0</v>
      </c>
      <c r="S3387" s="6">
        <v>0</v>
      </c>
    </row>
    <row r="3388" spans="1:19" ht="15" hidden="1" x14ac:dyDescent="0.25">
      <c r="A3388" s="7" t="s">
        <v>16</v>
      </c>
      <c r="B3388" s="7" t="s">
        <v>230</v>
      </c>
      <c r="C3388" s="7" t="s">
        <v>24</v>
      </c>
      <c r="D3388" s="4">
        <v>33092116000157</v>
      </c>
      <c r="E3388" s="8" t="s">
        <v>1409</v>
      </c>
      <c r="F3388" s="8" t="s">
        <v>78</v>
      </c>
      <c r="G3388" s="8" t="s">
        <v>61</v>
      </c>
      <c r="H3388" s="8" t="s">
        <v>215</v>
      </c>
      <c r="I3388" s="3">
        <v>2</v>
      </c>
      <c r="J3388" s="8" t="s">
        <v>173</v>
      </c>
      <c r="K3388" s="8" t="s">
        <v>174</v>
      </c>
      <c r="L3388" s="8" t="s">
        <v>557</v>
      </c>
      <c r="M3388" s="1" t="s">
        <v>205</v>
      </c>
      <c r="N3388" s="8" t="s">
        <v>206</v>
      </c>
      <c r="O3388" s="6">
        <v>0</v>
      </c>
      <c r="P3388" s="6">
        <v>0</v>
      </c>
      <c r="Q3388" s="6">
        <v>4</v>
      </c>
      <c r="R3388" s="6">
        <v>0</v>
      </c>
      <c r="S3388" s="6">
        <v>0</v>
      </c>
    </row>
    <row r="3389" spans="1:19" ht="15" hidden="1" x14ac:dyDescent="0.25">
      <c r="A3389" s="7" t="s">
        <v>16</v>
      </c>
      <c r="B3389" s="7" t="s">
        <v>230</v>
      </c>
      <c r="C3389" s="7" t="s">
        <v>24</v>
      </c>
      <c r="D3389" s="4">
        <v>30079461000162</v>
      </c>
      <c r="E3389" s="8" t="s">
        <v>1056</v>
      </c>
      <c r="F3389" s="8" t="s">
        <v>1039</v>
      </c>
      <c r="G3389" s="8" t="s">
        <v>61</v>
      </c>
      <c r="H3389" s="8" t="s">
        <v>215</v>
      </c>
      <c r="I3389" s="3">
        <v>2</v>
      </c>
      <c r="J3389" s="8" t="s">
        <v>155</v>
      </c>
      <c r="K3389" s="8" t="s">
        <v>156</v>
      </c>
      <c r="L3389" s="8" t="s">
        <v>556</v>
      </c>
      <c r="M3389" s="1" t="s">
        <v>205</v>
      </c>
      <c r="N3389" s="8" t="s">
        <v>206</v>
      </c>
      <c r="O3389" s="6">
        <v>0</v>
      </c>
      <c r="P3389" s="6">
        <v>0</v>
      </c>
      <c r="Q3389" s="6">
        <v>0</v>
      </c>
      <c r="R3389" s="6">
        <v>0</v>
      </c>
      <c r="S3389" s="6">
        <v>0</v>
      </c>
    </row>
    <row r="3390" spans="1:19" ht="15" hidden="1" x14ac:dyDescent="0.25">
      <c r="A3390" s="7" t="s">
        <v>16</v>
      </c>
      <c r="B3390" s="7" t="s">
        <v>230</v>
      </c>
      <c r="C3390" s="7" t="s">
        <v>24</v>
      </c>
      <c r="D3390" s="4">
        <v>30079461000162</v>
      </c>
      <c r="E3390" s="8" t="s">
        <v>1056</v>
      </c>
      <c r="F3390" s="8" t="s">
        <v>1039</v>
      </c>
      <c r="G3390" s="8" t="s">
        <v>61</v>
      </c>
      <c r="H3390" s="8" t="s">
        <v>215</v>
      </c>
      <c r="I3390" s="3">
        <v>2</v>
      </c>
      <c r="J3390" s="8" t="s">
        <v>181</v>
      </c>
      <c r="K3390" s="8" t="s">
        <v>182</v>
      </c>
      <c r="L3390" s="8" t="s">
        <v>557</v>
      </c>
      <c r="M3390" s="1" t="s">
        <v>205</v>
      </c>
      <c r="N3390" s="8" t="s">
        <v>206</v>
      </c>
      <c r="O3390" s="6">
        <v>0</v>
      </c>
      <c r="P3390" s="6">
        <v>0</v>
      </c>
      <c r="Q3390" s="6">
        <v>3</v>
      </c>
      <c r="R3390" s="6">
        <v>0</v>
      </c>
      <c r="S3390" s="6">
        <v>0</v>
      </c>
    </row>
    <row r="3391" spans="1:19" ht="15" hidden="1" x14ac:dyDescent="0.25">
      <c r="A3391" s="7" t="s">
        <v>16</v>
      </c>
      <c r="B3391" s="7" t="s">
        <v>230</v>
      </c>
      <c r="C3391" s="7" t="s">
        <v>24</v>
      </c>
      <c r="D3391" s="4">
        <v>437007000175</v>
      </c>
      <c r="E3391" s="8" t="s">
        <v>1038</v>
      </c>
      <c r="F3391" s="8" t="s">
        <v>1039</v>
      </c>
      <c r="G3391" s="8" t="s">
        <v>61</v>
      </c>
      <c r="H3391" s="8" t="s">
        <v>215</v>
      </c>
      <c r="I3391" s="3">
        <v>2</v>
      </c>
      <c r="J3391" s="8" t="s">
        <v>155</v>
      </c>
      <c r="K3391" s="8" t="s">
        <v>156</v>
      </c>
      <c r="L3391" s="8" t="s">
        <v>556</v>
      </c>
      <c r="M3391" s="1" t="s">
        <v>205</v>
      </c>
      <c r="N3391" s="8" t="s">
        <v>206</v>
      </c>
      <c r="O3391" s="6">
        <v>0</v>
      </c>
      <c r="P3391" s="6">
        <v>0</v>
      </c>
      <c r="Q3391" s="6">
        <v>0</v>
      </c>
      <c r="R3391" s="6">
        <v>478</v>
      </c>
      <c r="S3391" s="6">
        <v>505</v>
      </c>
    </row>
    <row r="3392" spans="1:19" ht="15" hidden="1" x14ac:dyDescent="0.25">
      <c r="A3392" s="7" t="s">
        <v>16</v>
      </c>
      <c r="B3392" s="7" t="s">
        <v>230</v>
      </c>
      <c r="C3392" s="7" t="s">
        <v>24</v>
      </c>
      <c r="D3392" s="4">
        <v>437007000175</v>
      </c>
      <c r="E3392" s="8" t="s">
        <v>1038</v>
      </c>
      <c r="F3392" s="8" t="s">
        <v>1039</v>
      </c>
      <c r="G3392" s="8" t="s">
        <v>61</v>
      </c>
      <c r="H3392" s="8" t="s">
        <v>215</v>
      </c>
      <c r="I3392" s="3">
        <v>2</v>
      </c>
      <c r="J3392" s="8" t="s">
        <v>181</v>
      </c>
      <c r="K3392" s="8" t="s">
        <v>182</v>
      </c>
      <c r="L3392" s="8" t="s">
        <v>557</v>
      </c>
      <c r="M3392" s="1" t="s">
        <v>205</v>
      </c>
      <c r="N3392" s="8" t="s">
        <v>206</v>
      </c>
      <c r="O3392" s="6">
        <v>0</v>
      </c>
      <c r="P3392" s="6">
        <v>0</v>
      </c>
      <c r="Q3392" s="6">
        <v>0</v>
      </c>
      <c r="R3392" s="6">
        <v>0</v>
      </c>
      <c r="S3392" s="6">
        <v>505</v>
      </c>
    </row>
    <row r="3393" spans="1:19" ht="15" hidden="1" x14ac:dyDescent="0.25">
      <c r="A3393" s="7" t="s">
        <v>16</v>
      </c>
      <c r="B3393" s="7" t="s">
        <v>230</v>
      </c>
      <c r="C3393" s="7" t="s">
        <v>24</v>
      </c>
      <c r="D3393" s="4">
        <v>60884855001207</v>
      </c>
      <c r="E3393" s="8" t="s">
        <v>1065</v>
      </c>
      <c r="F3393" s="8" t="s">
        <v>1039</v>
      </c>
      <c r="G3393" s="8" t="s">
        <v>61</v>
      </c>
      <c r="H3393" s="8" t="s">
        <v>215</v>
      </c>
      <c r="I3393" s="3">
        <v>2</v>
      </c>
      <c r="J3393" s="8" t="s">
        <v>155</v>
      </c>
      <c r="K3393" s="8" t="s">
        <v>156</v>
      </c>
      <c r="L3393" s="8" t="s">
        <v>556</v>
      </c>
      <c r="M3393" s="1" t="s">
        <v>205</v>
      </c>
      <c r="N3393" s="8" t="s">
        <v>206</v>
      </c>
      <c r="O3393" s="6">
        <v>0</v>
      </c>
      <c r="P3393" s="6">
        <v>0</v>
      </c>
      <c r="Q3393" s="6">
        <v>0</v>
      </c>
      <c r="R3393" s="6">
        <v>50</v>
      </c>
      <c r="S3393" s="6">
        <v>1225</v>
      </c>
    </row>
    <row r="3394" spans="1:19" ht="15" hidden="1" x14ac:dyDescent="0.25">
      <c r="A3394" s="7" t="s">
        <v>16</v>
      </c>
      <c r="B3394" s="7" t="s">
        <v>230</v>
      </c>
      <c r="C3394" s="7" t="s">
        <v>24</v>
      </c>
      <c r="D3394" s="4">
        <v>60884855001207</v>
      </c>
      <c r="E3394" s="8" t="s">
        <v>1065</v>
      </c>
      <c r="F3394" s="8" t="s">
        <v>1039</v>
      </c>
      <c r="G3394" s="8" t="s">
        <v>61</v>
      </c>
      <c r="H3394" s="8" t="s">
        <v>215</v>
      </c>
      <c r="I3394" s="3">
        <v>2</v>
      </c>
      <c r="J3394" s="8" t="s">
        <v>181</v>
      </c>
      <c r="K3394" s="8" t="s">
        <v>182</v>
      </c>
      <c r="L3394" s="8" t="s">
        <v>557</v>
      </c>
      <c r="M3394" s="1" t="s">
        <v>205</v>
      </c>
      <c r="N3394" s="8" t="s">
        <v>206</v>
      </c>
      <c r="O3394" s="6">
        <v>0</v>
      </c>
      <c r="P3394" s="6">
        <v>44</v>
      </c>
      <c r="Q3394" s="6">
        <v>15</v>
      </c>
      <c r="R3394" s="6">
        <v>0</v>
      </c>
      <c r="S3394" s="6">
        <v>1225</v>
      </c>
    </row>
    <row r="3395" spans="1:19" ht="15" hidden="1" x14ac:dyDescent="0.25">
      <c r="A3395" s="7" t="s">
        <v>16</v>
      </c>
      <c r="B3395" s="7" t="s">
        <v>230</v>
      </c>
      <c r="C3395" s="7" t="s">
        <v>24</v>
      </c>
      <c r="D3395" s="4">
        <v>521197000104</v>
      </c>
      <c r="E3395" s="8" t="s">
        <v>1040</v>
      </c>
      <c r="F3395" s="8" t="s">
        <v>1039</v>
      </c>
      <c r="G3395" s="8" t="s">
        <v>61</v>
      </c>
      <c r="H3395" s="8" t="s">
        <v>215</v>
      </c>
      <c r="I3395" s="3">
        <v>2</v>
      </c>
      <c r="J3395" s="8" t="s">
        <v>155</v>
      </c>
      <c r="K3395" s="8" t="s">
        <v>156</v>
      </c>
      <c r="L3395" s="8" t="s">
        <v>556</v>
      </c>
      <c r="M3395" s="1" t="s">
        <v>205</v>
      </c>
      <c r="N3395" s="8" t="s">
        <v>206</v>
      </c>
      <c r="O3395" s="6">
        <v>0</v>
      </c>
      <c r="P3395" s="6">
        <v>0</v>
      </c>
      <c r="Q3395" s="6">
        <v>0</v>
      </c>
      <c r="R3395" s="6">
        <v>0</v>
      </c>
      <c r="S3395" s="6">
        <v>452</v>
      </c>
    </row>
    <row r="3396" spans="1:19" ht="15" hidden="1" x14ac:dyDescent="0.25">
      <c r="A3396" s="7" t="s">
        <v>16</v>
      </c>
      <c r="B3396" s="7" t="s">
        <v>230</v>
      </c>
      <c r="C3396" s="7" t="s">
        <v>24</v>
      </c>
      <c r="D3396" s="4">
        <v>521197000104</v>
      </c>
      <c r="E3396" s="8" t="s">
        <v>1040</v>
      </c>
      <c r="F3396" s="8" t="s">
        <v>1039</v>
      </c>
      <c r="G3396" s="8" t="s">
        <v>61</v>
      </c>
      <c r="H3396" s="8" t="s">
        <v>215</v>
      </c>
      <c r="I3396" s="3">
        <v>2</v>
      </c>
      <c r="J3396" s="8" t="s">
        <v>173</v>
      </c>
      <c r="K3396" s="8" t="s">
        <v>174</v>
      </c>
      <c r="L3396" s="8" t="s">
        <v>557</v>
      </c>
      <c r="M3396" s="1" t="s">
        <v>205</v>
      </c>
      <c r="N3396" s="8" t="s">
        <v>206</v>
      </c>
      <c r="O3396" s="6">
        <v>0</v>
      </c>
      <c r="P3396" s="6">
        <v>0</v>
      </c>
      <c r="Q3396" s="6">
        <v>0</v>
      </c>
      <c r="R3396" s="6">
        <v>0</v>
      </c>
      <c r="S3396" s="6">
        <v>452</v>
      </c>
    </row>
    <row r="3397" spans="1:19" ht="15" hidden="1" x14ac:dyDescent="0.25">
      <c r="A3397" s="7" t="s">
        <v>16</v>
      </c>
      <c r="B3397" s="7" t="s">
        <v>230</v>
      </c>
      <c r="C3397" s="7" t="s">
        <v>24</v>
      </c>
      <c r="D3397" s="4">
        <v>29135795000208</v>
      </c>
      <c r="E3397" s="8" t="s">
        <v>1053</v>
      </c>
      <c r="F3397" s="8" t="s">
        <v>120</v>
      </c>
      <c r="G3397" s="8" t="s">
        <v>61</v>
      </c>
      <c r="H3397" s="8" t="s">
        <v>215</v>
      </c>
      <c r="I3397" s="3">
        <v>2</v>
      </c>
      <c r="J3397" s="8" t="s">
        <v>155</v>
      </c>
      <c r="K3397" s="8" t="s">
        <v>156</v>
      </c>
      <c r="L3397" s="8" t="s">
        <v>556</v>
      </c>
      <c r="M3397" s="1" t="s">
        <v>205</v>
      </c>
      <c r="N3397" s="8" t="s">
        <v>206</v>
      </c>
      <c r="O3397" s="6">
        <v>0</v>
      </c>
      <c r="P3397" s="6">
        <v>0</v>
      </c>
      <c r="Q3397" s="6">
        <v>0</v>
      </c>
      <c r="R3397" s="6">
        <v>0</v>
      </c>
      <c r="S3397" s="6">
        <v>225</v>
      </c>
    </row>
    <row r="3398" spans="1:19" ht="15" hidden="1" x14ac:dyDescent="0.25">
      <c r="A3398" s="7" t="s">
        <v>16</v>
      </c>
      <c r="B3398" s="7" t="s">
        <v>230</v>
      </c>
      <c r="C3398" s="7" t="s">
        <v>24</v>
      </c>
      <c r="D3398" s="4">
        <v>29135795000208</v>
      </c>
      <c r="E3398" s="8" t="s">
        <v>1053</v>
      </c>
      <c r="F3398" s="8" t="s">
        <v>120</v>
      </c>
      <c r="G3398" s="8" t="s">
        <v>61</v>
      </c>
      <c r="H3398" s="8" t="s">
        <v>215</v>
      </c>
      <c r="I3398" s="3">
        <v>2</v>
      </c>
      <c r="J3398" s="8" t="s">
        <v>173</v>
      </c>
      <c r="K3398" s="8" t="s">
        <v>174</v>
      </c>
      <c r="L3398" s="8" t="s">
        <v>557</v>
      </c>
      <c r="M3398" s="1" t="s">
        <v>205</v>
      </c>
      <c r="N3398" s="8" t="s">
        <v>206</v>
      </c>
      <c r="O3398" s="6">
        <v>0</v>
      </c>
      <c r="P3398" s="6">
        <v>0</v>
      </c>
      <c r="Q3398" s="6">
        <v>0</v>
      </c>
      <c r="R3398" s="6">
        <v>0</v>
      </c>
      <c r="S3398" s="6">
        <v>225</v>
      </c>
    </row>
    <row r="3399" spans="1:19" ht="15" hidden="1" x14ac:dyDescent="0.25">
      <c r="A3399" s="7" t="s">
        <v>16</v>
      </c>
      <c r="B3399" s="7" t="s">
        <v>230</v>
      </c>
      <c r="C3399" s="7" t="s">
        <v>24</v>
      </c>
      <c r="D3399" s="4">
        <v>7794623001528</v>
      </c>
      <c r="E3399" s="8" t="s">
        <v>1042</v>
      </c>
      <c r="F3399" s="8" t="s">
        <v>1043</v>
      </c>
      <c r="G3399" s="8" t="s">
        <v>61</v>
      </c>
      <c r="H3399" s="8" t="s">
        <v>215</v>
      </c>
      <c r="I3399" s="3">
        <v>2</v>
      </c>
      <c r="J3399" s="8" t="s">
        <v>155</v>
      </c>
      <c r="K3399" s="8" t="s">
        <v>156</v>
      </c>
      <c r="L3399" s="8" t="s">
        <v>556</v>
      </c>
      <c r="M3399" s="1" t="s">
        <v>205</v>
      </c>
      <c r="N3399" s="8" t="s">
        <v>206</v>
      </c>
      <c r="O3399" s="6">
        <v>0</v>
      </c>
      <c r="P3399" s="6">
        <v>0</v>
      </c>
      <c r="Q3399" s="6">
        <v>0</v>
      </c>
      <c r="R3399" s="6">
        <v>28</v>
      </c>
      <c r="S3399" s="6">
        <v>0</v>
      </c>
    </row>
    <row r="3400" spans="1:19" ht="15" hidden="1" x14ac:dyDescent="0.25">
      <c r="A3400" s="7" t="s">
        <v>16</v>
      </c>
      <c r="B3400" s="7" t="s">
        <v>230</v>
      </c>
      <c r="C3400" s="7" t="s">
        <v>24</v>
      </c>
      <c r="D3400" s="4">
        <v>7794623001528</v>
      </c>
      <c r="E3400" s="8" t="s">
        <v>1042</v>
      </c>
      <c r="F3400" s="8" t="s">
        <v>1043</v>
      </c>
      <c r="G3400" s="8" t="s">
        <v>61</v>
      </c>
      <c r="H3400" s="8" t="s">
        <v>215</v>
      </c>
      <c r="I3400" s="3">
        <v>2</v>
      </c>
      <c r="J3400" s="8" t="s">
        <v>181</v>
      </c>
      <c r="K3400" s="8" t="s">
        <v>182</v>
      </c>
      <c r="L3400" s="8" t="s">
        <v>557</v>
      </c>
      <c r="M3400" s="1" t="s">
        <v>205</v>
      </c>
      <c r="N3400" s="8" t="s">
        <v>206</v>
      </c>
      <c r="O3400" s="6">
        <v>0</v>
      </c>
      <c r="P3400" s="6">
        <v>0</v>
      </c>
      <c r="Q3400" s="6">
        <v>0</v>
      </c>
      <c r="R3400" s="6">
        <v>0</v>
      </c>
      <c r="S3400" s="6">
        <v>0</v>
      </c>
    </row>
    <row r="3401" spans="1:19" ht="15" hidden="1" x14ac:dyDescent="0.25">
      <c r="A3401" s="7" t="s">
        <v>16</v>
      </c>
      <c r="B3401" s="7" t="s">
        <v>230</v>
      </c>
      <c r="C3401" s="7" t="s">
        <v>24</v>
      </c>
      <c r="D3401" s="4">
        <v>28806545000532</v>
      </c>
      <c r="E3401" s="8" t="s">
        <v>1050</v>
      </c>
      <c r="F3401" s="8" t="s">
        <v>1051</v>
      </c>
      <c r="G3401" s="8" t="s">
        <v>61</v>
      </c>
      <c r="H3401" s="8" t="s">
        <v>215</v>
      </c>
      <c r="I3401" s="3">
        <v>2</v>
      </c>
      <c r="J3401" s="8" t="s">
        <v>155</v>
      </c>
      <c r="K3401" s="8" t="s">
        <v>156</v>
      </c>
      <c r="L3401" s="8" t="s">
        <v>556</v>
      </c>
      <c r="M3401" s="1" t="s">
        <v>205</v>
      </c>
      <c r="N3401" s="8" t="s">
        <v>206</v>
      </c>
      <c r="O3401" s="6">
        <v>0</v>
      </c>
      <c r="P3401" s="6">
        <v>0</v>
      </c>
      <c r="Q3401" s="6">
        <v>0</v>
      </c>
      <c r="R3401" s="6">
        <v>96</v>
      </c>
      <c r="S3401" s="6">
        <v>0</v>
      </c>
    </row>
    <row r="3402" spans="1:19" ht="15" hidden="1" x14ac:dyDescent="0.25">
      <c r="A3402" s="7" t="s">
        <v>16</v>
      </c>
      <c r="B3402" s="7" t="s">
        <v>230</v>
      </c>
      <c r="C3402" s="7" t="s">
        <v>24</v>
      </c>
      <c r="D3402" s="4">
        <v>28806545000532</v>
      </c>
      <c r="E3402" s="8" t="s">
        <v>1050</v>
      </c>
      <c r="F3402" s="8" t="s">
        <v>1051</v>
      </c>
      <c r="G3402" s="8" t="s">
        <v>61</v>
      </c>
      <c r="H3402" s="8" t="s">
        <v>215</v>
      </c>
      <c r="I3402" s="3">
        <v>2</v>
      </c>
      <c r="J3402" s="8" t="s">
        <v>173</v>
      </c>
      <c r="K3402" s="8" t="s">
        <v>174</v>
      </c>
      <c r="L3402" s="8" t="s">
        <v>557</v>
      </c>
      <c r="M3402" s="1" t="s">
        <v>205</v>
      </c>
      <c r="N3402" s="8" t="s">
        <v>206</v>
      </c>
      <c r="O3402" s="6">
        <v>0</v>
      </c>
      <c r="P3402" s="6">
        <v>0</v>
      </c>
      <c r="Q3402" s="6">
        <v>0</v>
      </c>
      <c r="R3402" s="6">
        <v>0</v>
      </c>
      <c r="S3402" s="6">
        <v>0</v>
      </c>
    </row>
    <row r="3403" spans="1:19" ht="15" hidden="1" x14ac:dyDescent="0.25">
      <c r="A3403" s="7" t="s">
        <v>16</v>
      </c>
      <c r="B3403" s="7" t="s">
        <v>230</v>
      </c>
      <c r="C3403" s="7" t="s">
        <v>24</v>
      </c>
      <c r="D3403" s="4">
        <v>68709211000212</v>
      </c>
      <c r="E3403" s="8" t="s">
        <v>1066</v>
      </c>
      <c r="F3403" s="8" t="s">
        <v>92</v>
      </c>
      <c r="G3403" s="8" t="s">
        <v>61</v>
      </c>
      <c r="H3403" s="8" t="s">
        <v>215</v>
      </c>
      <c r="I3403" s="3">
        <v>2</v>
      </c>
      <c r="J3403" s="8" t="s">
        <v>155</v>
      </c>
      <c r="K3403" s="8" t="s">
        <v>156</v>
      </c>
      <c r="L3403" s="8" t="s">
        <v>556</v>
      </c>
      <c r="M3403" s="1" t="s">
        <v>205</v>
      </c>
      <c r="N3403" s="8" t="s">
        <v>206</v>
      </c>
      <c r="O3403" s="6">
        <v>0</v>
      </c>
      <c r="P3403" s="6">
        <v>0</v>
      </c>
      <c r="Q3403" s="6">
        <v>0</v>
      </c>
      <c r="R3403" s="6">
        <v>0</v>
      </c>
      <c r="S3403" s="6">
        <v>155</v>
      </c>
    </row>
    <row r="3404" spans="1:19" ht="15" hidden="1" x14ac:dyDescent="0.25">
      <c r="A3404" s="7" t="s">
        <v>16</v>
      </c>
      <c r="B3404" s="7" t="s">
        <v>230</v>
      </c>
      <c r="C3404" s="7" t="s">
        <v>24</v>
      </c>
      <c r="D3404" s="4">
        <v>68709211000212</v>
      </c>
      <c r="E3404" s="8" t="s">
        <v>1066</v>
      </c>
      <c r="F3404" s="8" t="s">
        <v>92</v>
      </c>
      <c r="G3404" s="8" t="s">
        <v>61</v>
      </c>
      <c r="H3404" s="8" t="s">
        <v>215</v>
      </c>
      <c r="I3404" s="3">
        <v>2</v>
      </c>
      <c r="J3404" s="8" t="s">
        <v>173</v>
      </c>
      <c r="K3404" s="8" t="s">
        <v>174</v>
      </c>
      <c r="L3404" s="8" t="s">
        <v>557</v>
      </c>
      <c r="M3404" s="1" t="s">
        <v>205</v>
      </c>
      <c r="N3404" s="8" t="s">
        <v>206</v>
      </c>
      <c r="O3404" s="6">
        <v>0</v>
      </c>
      <c r="P3404" s="6">
        <v>0</v>
      </c>
      <c r="Q3404" s="6">
        <v>0</v>
      </c>
      <c r="R3404" s="6">
        <v>0</v>
      </c>
      <c r="S3404" s="6">
        <v>155</v>
      </c>
    </row>
    <row r="3405" spans="1:19" ht="15" hidden="1" x14ac:dyDescent="0.25">
      <c r="A3405" s="7" t="s">
        <v>16</v>
      </c>
      <c r="B3405" s="7" t="s">
        <v>230</v>
      </c>
      <c r="C3405" s="7" t="s">
        <v>24</v>
      </c>
      <c r="D3405" s="4">
        <v>29072642000188</v>
      </c>
      <c r="E3405" s="8" t="s">
        <v>1052</v>
      </c>
      <c r="F3405" s="8" t="s">
        <v>92</v>
      </c>
      <c r="G3405" s="8" t="s">
        <v>61</v>
      </c>
      <c r="H3405" s="8" t="s">
        <v>215</v>
      </c>
      <c r="I3405" s="3">
        <v>2</v>
      </c>
      <c r="J3405" s="8" t="s">
        <v>155</v>
      </c>
      <c r="K3405" s="8" t="s">
        <v>156</v>
      </c>
      <c r="L3405" s="8" t="s">
        <v>556</v>
      </c>
      <c r="M3405" s="1" t="s">
        <v>205</v>
      </c>
      <c r="N3405" s="8" t="s">
        <v>206</v>
      </c>
      <c r="O3405" s="6">
        <v>0</v>
      </c>
      <c r="P3405" s="6">
        <v>0</v>
      </c>
      <c r="Q3405" s="6">
        <v>0</v>
      </c>
      <c r="R3405" s="6">
        <v>0</v>
      </c>
      <c r="S3405" s="6">
        <v>0</v>
      </c>
    </row>
    <row r="3406" spans="1:19" ht="15" hidden="1" x14ac:dyDescent="0.25">
      <c r="A3406" s="7" t="s">
        <v>16</v>
      </c>
      <c r="B3406" s="7" t="s">
        <v>230</v>
      </c>
      <c r="C3406" s="7" t="s">
        <v>24</v>
      </c>
      <c r="D3406" s="4">
        <v>29072642000188</v>
      </c>
      <c r="E3406" s="8" t="s">
        <v>1052</v>
      </c>
      <c r="F3406" s="8" t="s">
        <v>92</v>
      </c>
      <c r="G3406" s="8" t="s">
        <v>61</v>
      </c>
      <c r="H3406" s="8" t="s">
        <v>215</v>
      </c>
      <c r="I3406" s="3">
        <v>2</v>
      </c>
      <c r="J3406" s="8" t="s">
        <v>173</v>
      </c>
      <c r="K3406" s="8" t="s">
        <v>174</v>
      </c>
      <c r="L3406" s="8" t="s">
        <v>557</v>
      </c>
      <c r="M3406" s="1" t="s">
        <v>205</v>
      </c>
      <c r="N3406" s="8" t="s">
        <v>206</v>
      </c>
      <c r="O3406" s="6">
        <v>0</v>
      </c>
      <c r="P3406" s="6">
        <v>3</v>
      </c>
      <c r="Q3406" s="6">
        <v>0</v>
      </c>
      <c r="R3406" s="6">
        <v>0</v>
      </c>
      <c r="S3406" s="6">
        <v>0</v>
      </c>
    </row>
    <row r="3407" spans="1:19" ht="15" hidden="1" x14ac:dyDescent="0.25">
      <c r="A3407" s="7" t="s">
        <v>16</v>
      </c>
      <c r="B3407" s="7" t="s">
        <v>230</v>
      </c>
      <c r="C3407" s="7" t="s">
        <v>24</v>
      </c>
      <c r="D3407" s="4">
        <v>31925548000176</v>
      </c>
      <c r="E3407" s="8" t="s">
        <v>1108</v>
      </c>
      <c r="F3407" s="8" t="s">
        <v>131</v>
      </c>
      <c r="G3407" s="8" t="s">
        <v>61</v>
      </c>
      <c r="H3407" s="8" t="s">
        <v>215</v>
      </c>
      <c r="I3407" s="3">
        <v>2</v>
      </c>
      <c r="J3407" s="8" t="s">
        <v>155</v>
      </c>
      <c r="K3407" s="8" t="s">
        <v>156</v>
      </c>
      <c r="L3407" s="8" t="s">
        <v>556</v>
      </c>
      <c r="M3407" s="1" t="s">
        <v>205</v>
      </c>
      <c r="N3407" s="8" t="s">
        <v>206</v>
      </c>
      <c r="O3407" s="6">
        <v>0</v>
      </c>
      <c r="P3407" s="6">
        <v>0</v>
      </c>
      <c r="Q3407" s="6">
        <v>0</v>
      </c>
      <c r="R3407" s="6">
        <v>0</v>
      </c>
      <c r="S3407" s="6">
        <v>30</v>
      </c>
    </row>
    <row r="3408" spans="1:19" ht="15" hidden="1" x14ac:dyDescent="0.25">
      <c r="A3408" s="7" t="s">
        <v>16</v>
      </c>
      <c r="B3408" s="7" t="s">
        <v>230</v>
      </c>
      <c r="C3408" s="7" t="s">
        <v>24</v>
      </c>
      <c r="D3408" s="4">
        <v>31925548000176</v>
      </c>
      <c r="E3408" s="8" t="s">
        <v>1108</v>
      </c>
      <c r="F3408" s="8" t="s">
        <v>131</v>
      </c>
      <c r="G3408" s="8" t="s">
        <v>61</v>
      </c>
      <c r="H3408" s="8" t="s">
        <v>215</v>
      </c>
      <c r="I3408" s="3">
        <v>2</v>
      </c>
      <c r="J3408" s="8" t="s">
        <v>173</v>
      </c>
      <c r="K3408" s="8" t="s">
        <v>174</v>
      </c>
      <c r="L3408" s="8" t="s">
        <v>557</v>
      </c>
      <c r="M3408" s="1" t="s">
        <v>205</v>
      </c>
      <c r="N3408" s="8" t="s">
        <v>206</v>
      </c>
      <c r="O3408" s="6">
        <v>0</v>
      </c>
      <c r="P3408" s="6">
        <v>0</v>
      </c>
      <c r="Q3408" s="6">
        <v>0</v>
      </c>
      <c r="R3408" s="6">
        <v>0</v>
      </c>
      <c r="S3408" s="6">
        <v>30</v>
      </c>
    </row>
    <row r="3409" spans="1:19" ht="15" hidden="1" x14ac:dyDescent="0.25">
      <c r="A3409" s="7" t="s">
        <v>16</v>
      </c>
      <c r="B3409" s="7" t="s">
        <v>230</v>
      </c>
      <c r="C3409" s="7" t="s">
        <v>24</v>
      </c>
      <c r="D3409" s="4">
        <v>21109731000140</v>
      </c>
      <c r="E3409" s="8" t="s">
        <v>1093</v>
      </c>
      <c r="F3409" s="8" t="s">
        <v>131</v>
      </c>
      <c r="G3409" s="8" t="s">
        <v>61</v>
      </c>
      <c r="H3409" s="8" t="s">
        <v>215</v>
      </c>
      <c r="I3409" s="3">
        <v>2</v>
      </c>
      <c r="J3409" s="8" t="s">
        <v>155</v>
      </c>
      <c r="K3409" s="8" t="s">
        <v>156</v>
      </c>
      <c r="L3409" s="8" t="s">
        <v>556</v>
      </c>
      <c r="M3409" s="1" t="s">
        <v>205</v>
      </c>
      <c r="N3409" s="8" t="s">
        <v>206</v>
      </c>
      <c r="O3409" s="6">
        <v>0</v>
      </c>
      <c r="P3409" s="6">
        <v>0</v>
      </c>
      <c r="Q3409" s="6">
        <v>0</v>
      </c>
      <c r="R3409" s="6">
        <v>184</v>
      </c>
      <c r="S3409" s="6">
        <v>0</v>
      </c>
    </row>
    <row r="3410" spans="1:19" ht="15" hidden="1" x14ac:dyDescent="0.25">
      <c r="A3410" s="7" t="s">
        <v>16</v>
      </c>
      <c r="B3410" s="7" t="s">
        <v>230</v>
      </c>
      <c r="C3410" s="7" t="s">
        <v>24</v>
      </c>
      <c r="D3410" s="4">
        <v>21109731000140</v>
      </c>
      <c r="E3410" s="8" t="s">
        <v>1093</v>
      </c>
      <c r="F3410" s="8" t="s">
        <v>131</v>
      </c>
      <c r="G3410" s="8" t="s">
        <v>61</v>
      </c>
      <c r="H3410" s="8" t="s">
        <v>215</v>
      </c>
      <c r="I3410" s="3">
        <v>2</v>
      </c>
      <c r="J3410" s="8" t="s">
        <v>181</v>
      </c>
      <c r="K3410" s="8" t="s">
        <v>182</v>
      </c>
      <c r="L3410" s="8" t="s">
        <v>557</v>
      </c>
      <c r="M3410" s="1" t="s">
        <v>205</v>
      </c>
      <c r="N3410" s="8" t="s">
        <v>206</v>
      </c>
      <c r="O3410" s="6">
        <v>0</v>
      </c>
      <c r="P3410" s="6">
        <v>0</v>
      </c>
      <c r="Q3410" s="6">
        <v>0</v>
      </c>
      <c r="R3410" s="6">
        <v>0</v>
      </c>
      <c r="S3410" s="6">
        <v>0</v>
      </c>
    </row>
    <row r="3411" spans="1:19" ht="15" hidden="1" x14ac:dyDescent="0.25">
      <c r="A3411" s="7" t="s">
        <v>16</v>
      </c>
      <c r="B3411" s="7" t="s">
        <v>230</v>
      </c>
      <c r="C3411" s="7" t="s">
        <v>24</v>
      </c>
      <c r="D3411" s="4">
        <v>60922168000348</v>
      </c>
      <c r="E3411" s="8" t="s">
        <v>1125</v>
      </c>
      <c r="F3411" s="8" t="s">
        <v>131</v>
      </c>
      <c r="G3411" s="8" t="s">
        <v>61</v>
      </c>
      <c r="H3411" s="8" t="s">
        <v>215</v>
      </c>
      <c r="I3411" s="3">
        <v>2</v>
      </c>
      <c r="J3411" s="8" t="s">
        <v>155</v>
      </c>
      <c r="K3411" s="8" t="s">
        <v>156</v>
      </c>
      <c r="L3411" s="8" t="s">
        <v>556</v>
      </c>
      <c r="M3411" s="1" t="s">
        <v>205</v>
      </c>
      <c r="N3411" s="8" t="s">
        <v>206</v>
      </c>
      <c r="O3411" s="6">
        <v>0</v>
      </c>
      <c r="P3411" s="6">
        <v>0</v>
      </c>
      <c r="Q3411" s="6">
        <v>0</v>
      </c>
      <c r="R3411" s="6">
        <v>0</v>
      </c>
      <c r="S3411" s="6">
        <v>410</v>
      </c>
    </row>
    <row r="3412" spans="1:19" ht="15" hidden="1" x14ac:dyDescent="0.25">
      <c r="A3412" s="7" t="s">
        <v>16</v>
      </c>
      <c r="B3412" s="7" t="s">
        <v>230</v>
      </c>
      <c r="C3412" s="7" t="s">
        <v>24</v>
      </c>
      <c r="D3412" s="4">
        <v>60922168000348</v>
      </c>
      <c r="E3412" s="8" t="s">
        <v>1125</v>
      </c>
      <c r="F3412" s="8" t="s">
        <v>131</v>
      </c>
      <c r="G3412" s="8" t="s">
        <v>61</v>
      </c>
      <c r="H3412" s="8" t="s">
        <v>215</v>
      </c>
      <c r="I3412" s="3">
        <v>2</v>
      </c>
      <c r="J3412" s="8" t="s">
        <v>181</v>
      </c>
      <c r="K3412" s="8" t="s">
        <v>182</v>
      </c>
      <c r="L3412" s="8" t="s">
        <v>557</v>
      </c>
      <c r="M3412" s="1" t="s">
        <v>205</v>
      </c>
      <c r="N3412" s="8" t="s">
        <v>206</v>
      </c>
      <c r="O3412" s="6">
        <v>0</v>
      </c>
      <c r="P3412" s="6">
        <v>8</v>
      </c>
      <c r="Q3412" s="6">
        <v>14</v>
      </c>
      <c r="R3412" s="6">
        <v>0</v>
      </c>
      <c r="S3412" s="6">
        <v>410</v>
      </c>
    </row>
    <row r="3413" spans="1:19" ht="15" hidden="1" x14ac:dyDescent="0.25">
      <c r="A3413" s="7" t="s">
        <v>16</v>
      </c>
      <c r="B3413" s="7" t="s">
        <v>230</v>
      </c>
      <c r="C3413" s="7" t="s">
        <v>24</v>
      </c>
      <c r="D3413" s="4">
        <v>7794623004896</v>
      </c>
      <c r="E3413" s="8" t="s">
        <v>1084</v>
      </c>
      <c r="F3413" s="8" t="s">
        <v>131</v>
      </c>
      <c r="G3413" s="8" t="s">
        <v>61</v>
      </c>
      <c r="H3413" s="8" t="s">
        <v>215</v>
      </c>
      <c r="I3413" s="3">
        <v>2</v>
      </c>
      <c r="J3413" s="8" t="s">
        <v>155</v>
      </c>
      <c r="K3413" s="8" t="s">
        <v>156</v>
      </c>
      <c r="L3413" s="8" t="s">
        <v>556</v>
      </c>
      <c r="M3413" s="1" t="s">
        <v>205</v>
      </c>
      <c r="N3413" s="8" t="s">
        <v>206</v>
      </c>
      <c r="O3413" s="6">
        <v>0</v>
      </c>
      <c r="P3413" s="6">
        <v>0</v>
      </c>
      <c r="Q3413" s="6">
        <v>0</v>
      </c>
      <c r="R3413" s="6">
        <v>0</v>
      </c>
      <c r="S3413" s="6">
        <v>1275</v>
      </c>
    </row>
    <row r="3414" spans="1:19" ht="15" hidden="1" x14ac:dyDescent="0.25">
      <c r="A3414" s="7" t="s">
        <v>16</v>
      </c>
      <c r="B3414" s="7" t="s">
        <v>230</v>
      </c>
      <c r="C3414" s="7" t="s">
        <v>24</v>
      </c>
      <c r="D3414" s="4">
        <v>7794623004896</v>
      </c>
      <c r="E3414" s="8" t="s">
        <v>1084</v>
      </c>
      <c r="F3414" s="8" t="s">
        <v>131</v>
      </c>
      <c r="G3414" s="8" t="s">
        <v>61</v>
      </c>
      <c r="H3414" s="8" t="s">
        <v>215</v>
      </c>
      <c r="I3414" s="3">
        <v>2</v>
      </c>
      <c r="J3414" s="8" t="s">
        <v>181</v>
      </c>
      <c r="K3414" s="8" t="s">
        <v>182</v>
      </c>
      <c r="L3414" s="8" t="s">
        <v>557</v>
      </c>
      <c r="M3414" s="1" t="s">
        <v>205</v>
      </c>
      <c r="N3414" s="8" t="s">
        <v>206</v>
      </c>
      <c r="O3414" s="6">
        <v>0</v>
      </c>
      <c r="P3414" s="6">
        <v>0</v>
      </c>
      <c r="Q3414" s="6">
        <v>0</v>
      </c>
      <c r="R3414" s="6">
        <v>0</v>
      </c>
      <c r="S3414" s="6">
        <v>1275</v>
      </c>
    </row>
    <row r="3415" spans="1:19" ht="15" hidden="1" x14ac:dyDescent="0.25">
      <c r="A3415" s="7" t="s">
        <v>16</v>
      </c>
      <c r="B3415" s="7" t="s">
        <v>230</v>
      </c>
      <c r="C3415" s="7" t="s">
        <v>24</v>
      </c>
      <c r="D3415" s="4">
        <v>394429017429</v>
      </c>
      <c r="E3415" s="8" t="s">
        <v>1410</v>
      </c>
      <c r="F3415" s="8" t="s">
        <v>131</v>
      </c>
      <c r="G3415" s="8" t="s">
        <v>61</v>
      </c>
      <c r="H3415" s="8" t="s">
        <v>215</v>
      </c>
      <c r="I3415" s="3">
        <v>2</v>
      </c>
      <c r="J3415" s="8" t="s">
        <v>155</v>
      </c>
      <c r="K3415" s="8" t="s">
        <v>156</v>
      </c>
      <c r="L3415" s="8" t="s">
        <v>556</v>
      </c>
      <c r="M3415" s="1" t="s">
        <v>205</v>
      </c>
      <c r="N3415" s="8" t="s">
        <v>206</v>
      </c>
      <c r="O3415" s="6">
        <v>0</v>
      </c>
      <c r="P3415" s="6">
        <v>0</v>
      </c>
      <c r="Q3415" s="6">
        <v>0</v>
      </c>
      <c r="R3415" s="6">
        <v>0</v>
      </c>
      <c r="S3415" s="6">
        <v>0</v>
      </c>
    </row>
    <row r="3416" spans="1:19" ht="15" hidden="1" x14ac:dyDescent="0.25">
      <c r="A3416" s="7" t="s">
        <v>16</v>
      </c>
      <c r="B3416" s="7" t="s">
        <v>230</v>
      </c>
      <c r="C3416" s="7" t="s">
        <v>24</v>
      </c>
      <c r="D3416" s="4">
        <v>394429017429</v>
      </c>
      <c r="E3416" s="8" t="s">
        <v>1410</v>
      </c>
      <c r="F3416" s="8" t="s">
        <v>131</v>
      </c>
      <c r="G3416" s="8" t="s">
        <v>61</v>
      </c>
      <c r="H3416" s="8" t="s">
        <v>215</v>
      </c>
      <c r="I3416" s="3">
        <v>2</v>
      </c>
      <c r="J3416" s="8" t="s">
        <v>173</v>
      </c>
      <c r="K3416" s="8" t="s">
        <v>174</v>
      </c>
      <c r="L3416" s="8" t="s">
        <v>557</v>
      </c>
      <c r="M3416" s="1" t="s">
        <v>205</v>
      </c>
      <c r="N3416" s="8" t="s">
        <v>206</v>
      </c>
      <c r="O3416" s="6">
        <v>0</v>
      </c>
      <c r="P3416" s="6">
        <v>22</v>
      </c>
      <c r="Q3416" s="6">
        <v>0</v>
      </c>
      <c r="R3416" s="6">
        <v>0</v>
      </c>
      <c r="S3416" s="6">
        <v>0</v>
      </c>
    </row>
    <row r="3417" spans="1:19" ht="15" hidden="1" x14ac:dyDescent="0.25">
      <c r="A3417" s="7" t="s">
        <v>16</v>
      </c>
      <c r="B3417" s="7" t="s">
        <v>230</v>
      </c>
      <c r="C3417" s="7" t="s">
        <v>24</v>
      </c>
      <c r="D3417" s="4">
        <v>2864097000106</v>
      </c>
      <c r="E3417" s="8" t="s">
        <v>1078</v>
      </c>
      <c r="F3417" s="8" t="s">
        <v>131</v>
      </c>
      <c r="G3417" s="8" t="s">
        <v>61</v>
      </c>
      <c r="H3417" s="8" t="s">
        <v>215</v>
      </c>
      <c r="I3417" s="3">
        <v>2</v>
      </c>
      <c r="J3417" s="8" t="s">
        <v>155</v>
      </c>
      <c r="K3417" s="8" t="s">
        <v>156</v>
      </c>
      <c r="L3417" s="8" t="s">
        <v>556</v>
      </c>
      <c r="M3417" s="1" t="s">
        <v>205</v>
      </c>
      <c r="N3417" s="8" t="s">
        <v>206</v>
      </c>
      <c r="O3417" s="6">
        <v>0</v>
      </c>
      <c r="P3417" s="6">
        <v>0</v>
      </c>
      <c r="Q3417" s="6">
        <v>0</v>
      </c>
      <c r="R3417" s="6">
        <v>0</v>
      </c>
      <c r="S3417" s="6">
        <v>285</v>
      </c>
    </row>
    <row r="3418" spans="1:19" ht="15" hidden="1" x14ac:dyDescent="0.25">
      <c r="A3418" s="7" t="s">
        <v>16</v>
      </c>
      <c r="B3418" s="7" t="s">
        <v>230</v>
      </c>
      <c r="C3418" s="7" t="s">
        <v>24</v>
      </c>
      <c r="D3418" s="4">
        <v>2864097000106</v>
      </c>
      <c r="E3418" s="8" t="s">
        <v>1078</v>
      </c>
      <c r="F3418" s="8" t="s">
        <v>131</v>
      </c>
      <c r="G3418" s="8" t="s">
        <v>61</v>
      </c>
      <c r="H3418" s="8" t="s">
        <v>215</v>
      </c>
      <c r="I3418" s="3">
        <v>2</v>
      </c>
      <c r="J3418" s="8" t="s">
        <v>181</v>
      </c>
      <c r="K3418" s="8" t="s">
        <v>182</v>
      </c>
      <c r="L3418" s="8" t="s">
        <v>557</v>
      </c>
      <c r="M3418" s="1" t="s">
        <v>205</v>
      </c>
      <c r="N3418" s="8" t="s">
        <v>206</v>
      </c>
      <c r="O3418" s="6">
        <v>0</v>
      </c>
      <c r="P3418" s="6">
        <v>0</v>
      </c>
      <c r="Q3418" s="6">
        <v>0</v>
      </c>
      <c r="R3418" s="6">
        <v>0</v>
      </c>
      <c r="S3418" s="6">
        <v>285</v>
      </c>
    </row>
    <row r="3419" spans="1:19" ht="15" hidden="1" x14ac:dyDescent="0.25">
      <c r="A3419" s="7" t="s">
        <v>16</v>
      </c>
      <c r="B3419" s="7" t="s">
        <v>230</v>
      </c>
      <c r="C3419" s="7" t="s">
        <v>24</v>
      </c>
      <c r="D3419" s="4">
        <v>10922058000146</v>
      </c>
      <c r="E3419" s="8" t="s">
        <v>1158</v>
      </c>
      <c r="F3419" s="8" t="s">
        <v>131</v>
      </c>
      <c r="G3419" s="8" t="s">
        <v>61</v>
      </c>
      <c r="H3419" s="8" t="s">
        <v>215</v>
      </c>
      <c r="I3419" s="3">
        <v>2</v>
      </c>
      <c r="J3419" s="8" t="s">
        <v>155</v>
      </c>
      <c r="K3419" s="8" t="s">
        <v>156</v>
      </c>
      <c r="L3419" s="8" t="s">
        <v>556</v>
      </c>
      <c r="M3419" s="1" t="s">
        <v>205</v>
      </c>
      <c r="N3419" s="8" t="s">
        <v>206</v>
      </c>
      <c r="O3419" s="6">
        <v>0</v>
      </c>
      <c r="P3419" s="6">
        <v>0</v>
      </c>
      <c r="Q3419" s="6">
        <v>0</v>
      </c>
      <c r="R3419" s="6">
        <v>0</v>
      </c>
      <c r="S3419" s="6">
        <v>75</v>
      </c>
    </row>
    <row r="3420" spans="1:19" ht="15" hidden="1" x14ac:dyDescent="0.25">
      <c r="A3420" s="7" t="s">
        <v>16</v>
      </c>
      <c r="B3420" s="7" t="s">
        <v>230</v>
      </c>
      <c r="C3420" s="7" t="s">
        <v>24</v>
      </c>
      <c r="D3420" s="4">
        <v>10922058000146</v>
      </c>
      <c r="E3420" s="8" t="s">
        <v>1158</v>
      </c>
      <c r="F3420" s="8" t="s">
        <v>131</v>
      </c>
      <c r="G3420" s="8" t="s">
        <v>61</v>
      </c>
      <c r="H3420" s="8" t="s">
        <v>215</v>
      </c>
      <c r="I3420" s="3">
        <v>2</v>
      </c>
      <c r="J3420" s="8" t="s">
        <v>181</v>
      </c>
      <c r="K3420" s="8" t="s">
        <v>182</v>
      </c>
      <c r="L3420" s="8" t="s">
        <v>557</v>
      </c>
      <c r="M3420" s="1" t="s">
        <v>205</v>
      </c>
      <c r="N3420" s="8" t="s">
        <v>206</v>
      </c>
      <c r="O3420" s="6">
        <v>0</v>
      </c>
      <c r="P3420" s="6">
        <v>0</v>
      </c>
      <c r="Q3420" s="6">
        <v>0</v>
      </c>
      <c r="R3420" s="6">
        <v>0</v>
      </c>
      <c r="S3420" s="6">
        <v>75</v>
      </c>
    </row>
    <row r="3421" spans="1:19" ht="15" hidden="1" x14ac:dyDescent="0.25">
      <c r="A3421" s="7" t="s">
        <v>16</v>
      </c>
      <c r="B3421" s="7" t="s">
        <v>230</v>
      </c>
      <c r="C3421" s="7" t="s">
        <v>24</v>
      </c>
      <c r="D3421" s="4">
        <v>33804212000180</v>
      </c>
      <c r="E3421" s="8" t="s">
        <v>1413</v>
      </c>
      <c r="F3421" s="8" t="s">
        <v>131</v>
      </c>
      <c r="G3421" s="8" t="s">
        <v>61</v>
      </c>
      <c r="H3421" s="8" t="s">
        <v>215</v>
      </c>
      <c r="I3421" s="3">
        <v>2</v>
      </c>
      <c r="J3421" s="8" t="s">
        <v>155</v>
      </c>
      <c r="K3421" s="8" t="s">
        <v>156</v>
      </c>
      <c r="L3421" s="8" t="s">
        <v>556</v>
      </c>
      <c r="M3421" s="1" t="s">
        <v>205</v>
      </c>
      <c r="N3421" s="8" t="s">
        <v>206</v>
      </c>
      <c r="O3421" s="6">
        <v>0</v>
      </c>
      <c r="P3421" s="6">
        <v>0</v>
      </c>
      <c r="Q3421" s="6">
        <v>0</v>
      </c>
      <c r="R3421" s="6">
        <v>0</v>
      </c>
      <c r="S3421" s="6">
        <v>60</v>
      </c>
    </row>
    <row r="3422" spans="1:19" ht="15" hidden="1" x14ac:dyDescent="0.25">
      <c r="A3422" s="7" t="s">
        <v>16</v>
      </c>
      <c r="B3422" s="7" t="s">
        <v>230</v>
      </c>
      <c r="C3422" s="7" t="s">
        <v>24</v>
      </c>
      <c r="D3422" s="4">
        <v>33804212000180</v>
      </c>
      <c r="E3422" s="8" t="s">
        <v>1413</v>
      </c>
      <c r="F3422" s="8" t="s">
        <v>131</v>
      </c>
      <c r="G3422" s="8" t="s">
        <v>61</v>
      </c>
      <c r="H3422" s="8" t="s">
        <v>215</v>
      </c>
      <c r="I3422" s="3">
        <v>2</v>
      </c>
      <c r="J3422" s="8" t="s">
        <v>181</v>
      </c>
      <c r="K3422" s="8" t="s">
        <v>182</v>
      </c>
      <c r="L3422" s="8" t="s">
        <v>557</v>
      </c>
      <c r="M3422" s="1" t="s">
        <v>205</v>
      </c>
      <c r="N3422" s="8" t="s">
        <v>206</v>
      </c>
      <c r="O3422" s="6">
        <v>0</v>
      </c>
      <c r="P3422" s="6">
        <v>0</v>
      </c>
      <c r="Q3422" s="6">
        <v>0</v>
      </c>
      <c r="R3422" s="6">
        <v>0</v>
      </c>
      <c r="S3422" s="6">
        <v>60</v>
      </c>
    </row>
    <row r="3423" spans="1:19" ht="15" hidden="1" x14ac:dyDescent="0.25">
      <c r="A3423" s="7" t="s">
        <v>16</v>
      </c>
      <c r="B3423" s="7" t="s">
        <v>230</v>
      </c>
      <c r="C3423" s="7" t="s">
        <v>24</v>
      </c>
      <c r="D3423" s="4">
        <v>31635857000101</v>
      </c>
      <c r="E3423" s="8" t="s">
        <v>1106</v>
      </c>
      <c r="F3423" s="8" t="s">
        <v>131</v>
      </c>
      <c r="G3423" s="8" t="s">
        <v>61</v>
      </c>
      <c r="H3423" s="8" t="s">
        <v>215</v>
      </c>
      <c r="I3423" s="3">
        <v>2</v>
      </c>
      <c r="J3423" s="8" t="s">
        <v>155</v>
      </c>
      <c r="K3423" s="8" t="s">
        <v>156</v>
      </c>
      <c r="L3423" s="8" t="s">
        <v>556</v>
      </c>
      <c r="M3423" s="1" t="s">
        <v>205</v>
      </c>
      <c r="N3423" s="8" t="s">
        <v>206</v>
      </c>
      <c r="O3423" s="6">
        <v>0</v>
      </c>
      <c r="P3423" s="6">
        <v>0</v>
      </c>
      <c r="Q3423" s="6">
        <v>0</v>
      </c>
      <c r="R3423" s="6">
        <v>0</v>
      </c>
      <c r="S3423" s="6">
        <v>0</v>
      </c>
    </row>
    <row r="3424" spans="1:19" ht="15" hidden="1" x14ac:dyDescent="0.25">
      <c r="A3424" s="7" t="s">
        <v>16</v>
      </c>
      <c r="B3424" s="7" t="s">
        <v>230</v>
      </c>
      <c r="C3424" s="7" t="s">
        <v>24</v>
      </c>
      <c r="D3424" s="4">
        <v>31635857000101</v>
      </c>
      <c r="E3424" s="8" t="s">
        <v>1106</v>
      </c>
      <c r="F3424" s="8" t="s">
        <v>131</v>
      </c>
      <c r="G3424" s="8" t="s">
        <v>61</v>
      </c>
      <c r="H3424" s="8" t="s">
        <v>215</v>
      </c>
      <c r="I3424" s="3">
        <v>2</v>
      </c>
      <c r="J3424" s="8" t="s">
        <v>173</v>
      </c>
      <c r="K3424" s="8" t="s">
        <v>174</v>
      </c>
      <c r="L3424" s="8" t="s">
        <v>557</v>
      </c>
      <c r="M3424" s="1" t="s">
        <v>205</v>
      </c>
      <c r="N3424" s="8" t="s">
        <v>206</v>
      </c>
      <c r="O3424" s="6">
        <v>0</v>
      </c>
      <c r="P3424" s="6">
        <v>3</v>
      </c>
      <c r="Q3424" s="6">
        <v>0</v>
      </c>
      <c r="R3424" s="6">
        <v>0</v>
      </c>
      <c r="S3424" s="6">
        <v>0</v>
      </c>
    </row>
    <row r="3425" spans="1:19" ht="15" hidden="1" x14ac:dyDescent="0.25">
      <c r="A3425" s="7" t="s">
        <v>16</v>
      </c>
      <c r="B3425" s="7" t="s">
        <v>230</v>
      </c>
      <c r="C3425" s="7" t="s">
        <v>24</v>
      </c>
      <c r="D3425" s="4">
        <v>39086160000130</v>
      </c>
      <c r="E3425" s="8" t="s">
        <v>1119</v>
      </c>
      <c r="F3425" s="8" t="s">
        <v>131</v>
      </c>
      <c r="G3425" s="8" t="s">
        <v>61</v>
      </c>
      <c r="H3425" s="8" t="s">
        <v>215</v>
      </c>
      <c r="I3425" s="3">
        <v>2</v>
      </c>
      <c r="J3425" s="8" t="s">
        <v>155</v>
      </c>
      <c r="K3425" s="8" t="s">
        <v>156</v>
      </c>
      <c r="L3425" s="8" t="s">
        <v>556</v>
      </c>
      <c r="M3425" s="1" t="s">
        <v>205</v>
      </c>
      <c r="N3425" s="8" t="s">
        <v>206</v>
      </c>
      <c r="O3425" s="6">
        <v>0</v>
      </c>
      <c r="P3425" s="6">
        <v>0</v>
      </c>
      <c r="Q3425" s="6">
        <v>0</v>
      </c>
      <c r="R3425" s="6">
        <v>24</v>
      </c>
      <c r="S3425" s="6">
        <v>250</v>
      </c>
    </row>
    <row r="3426" spans="1:19" ht="15" hidden="1" x14ac:dyDescent="0.25">
      <c r="A3426" s="7" t="s">
        <v>16</v>
      </c>
      <c r="B3426" s="7" t="s">
        <v>230</v>
      </c>
      <c r="C3426" s="7" t="s">
        <v>24</v>
      </c>
      <c r="D3426" s="4">
        <v>39086160000130</v>
      </c>
      <c r="E3426" s="8" t="s">
        <v>1119</v>
      </c>
      <c r="F3426" s="8" t="s">
        <v>131</v>
      </c>
      <c r="G3426" s="8" t="s">
        <v>61</v>
      </c>
      <c r="H3426" s="8" t="s">
        <v>215</v>
      </c>
      <c r="I3426" s="3">
        <v>2</v>
      </c>
      <c r="J3426" s="8" t="s">
        <v>181</v>
      </c>
      <c r="K3426" s="8" t="s">
        <v>182</v>
      </c>
      <c r="L3426" s="8" t="s">
        <v>557</v>
      </c>
      <c r="M3426" s="1" t="s">
        <v>205</v>
      </c>
      <c r="N3426" s="8" t="s">
        <v>206</v>
      </c>
      <c r="O3426" s="6">
        <v>0</v>
      </c>
      <c r="P3426" s="6">
        <v>0</v>
      </c>
      <c r="Q3426" s="6">
        <v>0</v>
      </c>
      <c r="R3426" s="6">
        <v>0</v>
      </c>
      <c r="S3426" s="6">
        <v>250</v>
      </c>
    </row>
    <row r="3427" spans="1:19" ht="15" hidden="1" x14ac:dyDescent="0.25">
      <c r="A3427" s="7" t="s">
        <v>16</v>
      </c>
      <c r="B3427" s="7" t="s">
        <v>230</v>
      </c>
      <c r="C3427" s="7" t="s">
        <v>24</v>
      </c>
      <c r="D3427" s="4">
        <v>33476482000100</v>
      </c>
      <c r="E3427" s="8" t="s">
        <v>1412</v>
      </c>
      <c r="F3427" s="8" t="s">
        <v>131</v>
      </c>
      <c r="G3427" s="8" t="s">
        <v>61</v>
      </c>
      <c r="H3427" s="8" t="s">
        <v>215</v>
      </c>
      <c r="I3427" s="3">
        <v>2</v>
      </c>
      <c r="J3427" s="8" t="s">
        <v>155</v>
      </c>
      <c r="K3427" s="8" t="s">
        <v>156</v>
      </c>
      <c r="L3427" s="8" t="s">
        <v>556</v>
      </c>
      <c r="M3427" s="1" t="s">
        <v>205</v>
      </c>
      <c r="N3427" s="8" t="s">
        <v>206</v>
      </c>
      <c r="O3427" s="6">
        <v>15</v>
      </c>
      <c r="P3427" s="6">
        <v>0</v>
      </c>
      <c r="Q3427" s="6">
        <v>0</v>
      </c>
      <c r="R3427" s="6">
        <v>0</v>
      </c>
      <c r="S3427" s="6">
        <v>0</v>
      </c>
    </row>
    <row r="3428" spans="1:19" ht="15" hidden="1" x14ac:dyDescent="0.25">
      <c r="A3428" s="7" t="s">
        <v>16</v>
      </c>
      <c r="B3428" s="7" t="s">
        <v>230</v>
      </c>
      <c r="C3428" s="7" t="s">
        <v>24</v>
      </c>
      <c r="D3428" s="4">
        <v>33476482000100</v>
      </c>
      <c r="E3428" s="8" t="s">
        <v>1412</v>
      </c>
      <c r="F3428" s="8" t="s">
        <v>131</v>
      </c>
      <c r="G3428" s="8" t="s">
        <v>61</v>
      </c>
      <c r="H3428" s="8" t="s">
        <v>215</v>
      </c>
      <c r="I3428" s="3">
        <v>2</v>
      </c>
      <c r="J3428" s="8" t="s">
        <v>181</v>
      </c>
      <c r="K3428" s="8" t="s">
        <v>182</v>
      </c>
      <c r="L3428" s="8" t="s">
        <v>557</v>
      </c>
      <c r="M3428" s="1" t="s">
        <v>205</v>
      </c>
      <c r="N3428" s="8" t="s">
        <v>206</v>
      </c>
      <c r="O3428" s="6">
        <v>0</v>
      </c>
      <c r="P3428" s="6">
        <v>0</v>
      </c>
      <c r="Q3428" s="6">
        <v>0</v>
      </c>
      <c r="R3428" s="6">
        <v>0</v>
      </c>
      <c r="S3428" s="6">
        <v>0</v>
      </c>
    </row>
    <row r="3429" spans="1:19" ht="15" hidden="1" x14ac:dyDescent="0.25">
      <c r="A3429" s="7" t="s">
        <v>16</v>
      </c>
      <c r="B3429" s="7" t="s">
        <v>230</v>
      </c>
      <c r="C3429" s="7" t="s">
        <v>24</v>
      </c>
      <c r="D3429" s="4">
        <v>21265360000195</v>
      </c>
      <c r="E3429" s="8" t="s">
        <v>1094</v>
      </c>
      <c r="F3429" s="8" t="s">
        <v>131</v>
      </c>
      <c r="G3429" s="8" t="s">
        <v>61</v>
      </c>
      <c r="H3429" s="8" t="s">
        <v>215</v>
      </c>
      <c r="I3429" s="3">
        <v>2</v>
      </c>
      <c r="J3429" s="8" t="s">
        <v>155</v>
      </c>
      <c r="K3429" s="8" t="s">
        <v>156</v>
      </c>
      <c r="L3429" s="8" t="s">
        <v>556</v>
      </c>
      <c r="M3429" s="1" t="s">
        <v>205</v>
      </c>
      <c r="N3429" s="8" t="s">
        <v>206</v>
      </c>
      <c r="O3429" s="6">
        <v>0</v>
      </c>
      <c r="P3429" s="6">
        <v>0</v>
      </c>
      <c r="Q3429" s="6">
        <v>0</v>
      </c>
      <c r="R3429" s="6">
        <v>20</v>
      </c>
      <c r="S3429" s="6">
        <v>0</v>
      </c>
    </row>
    <row r="3430" spans="1:19" ht="15" hidden="1" x14ac:dyDescent="0.25">
      <c r="A3430" s="7" t="s">
        <v>16</v>
      </c>
      <c r="B3430" s="7" t="s">
        <v>230</v>
      </c>
      <c r="C3430" s="7" t="s">
        <v>24</v>
      </c>
      <c r="D3430" s="4">
        <v>21265360000195</v>
      </c>
      <c r="E3430" s="8" t="s">
        <v>1094</v>
      </c>
      <c r="F3430" s="8" t="s">
        <v>131</v>
      </c>
      <c r="G3430" s="8" t="s">
        <v>61</v>
      </c>
      <c r="H3430" s="8" t="s">
        <v>215</v>
      </c>
      <c r="I3430" s="3">
        <v>2</v>
      </c>
      <c r="J3430" s="8" t="s">
        <v>173</v>
      </c>
      <c r="K3430" s="8" t="s">
        <v>174</v>
      </c>
      <c r="L3430" s="8" t="s">
        <v>557</v>
      </c>
      <c r="M3430" s="1" t="s">
        <v>205</v>
      </c>
      <c r="N3430" s="8" t="s">
        <v>206</v>
      </c>
      <c r="O3430" s="6">
        <v>0</v>
      </c>
      <c r="P3430" s="6">
        <v>0</v>
      </c>
      <c r="Q3430" s="6">
        <v>0</v>
      </c>
      <c r="R3430" s="6">
        <v>0</v>
      </c>
      <c r="S3430" s="6">
        <v>0</v>
      </c>
    </row>
    <row r="3431" spans="1:19" ht="15" hidden="1" x14ac:dyDescent="0.25">
      <c r="A3431" s="7" t="s">
        <v>16</v>
      </c>
      <c r="B3431" s="7" t="s">
        <v>230</v>
      </c>
      <c r="C3431" s="7" t="s">
        <v>24</v>
      </c>
      <c r="D3431" s="4">
        <v>31635857000292</v>
      </c>
      <c r="E3431" s="8" t="s">
        <v>1107</v>
      </c>
      <c r="F3431" s="8" t="s">
        <v>131</v>
      </c>
      <c r="G3431" s="8" t="s">
        <v>61</v>
      </c>
      <c r="H3431" s="8" t="s">
        <v>215</v>
      </c>
      <c r="I3431" s="3">
        <v>2</v>
      </c>
      <c r="J3431" s="8" t="s">
        <v>155</v>
      </c>
      <c r="K3431" s="8" t="s">
        <v>156</v>
      </c>
      <c r="L3431" s="8" t="s">
        <v>556</v>
      </c>
      <c r="M3431" s="1" t="s">
        <v>205</v>
      </c>
      <c r="N3431" s="8" t="s">
        <v>206</v>
      </c>
      <c r="O3431" s="6">
        <v>0</v>
      </c>
      <c r="P3431" s="6">
        <v>0</v>
      </c>
      <c r="Q3431" s="6">
        <v>0</v>
      </c>
      <c r="R3431" s="6">
        <v>32</v>
      </c>
      <c r="S3431" s="6">
        <v>0</v>
      </c>
    </row>
    <row r="3432" spans="1:19" ht="15" hidden="1" x14ac:dyDescent="0.25">
      <c r="A3432" s="7" t="s">
        <v>16</v>
      </c>
      <c r="B3432" s="7" t="s">
        <v>230</v>
      </c>
      <c r="C3432" s="7" t="s">
        <v>24</v>
      </c>
      <c r="D3432" s="4">
        <v>31635857000292</v>
      </c>
      <c r="E3432" s="8" t="s">
        <v>1107</v>
      </c>
      <c r="F3432" s="8" t="s">
        <v>131</v>
      </c>
      <c r="G3432" s="8" t="s">
        <v>61</v>
      </c>
      <c r="H3432" s="8" t="s">
        <v>215</v>
      </c>
      <c r="I3432" s="3">
        <v>2</v>
      </c>
      <c r="J3432" s="8" t="s">
        <v>181</v>
      </c>
      <c r="K3432" s="8" t="s">
        <v>182</v>
      </c>
      <c r="L3432" s="8" t="s">
        <v>557</v>
      </c>
      <c r="M3432" s="1" t="s">
        <v>205</v>
      </c>
      <c r="N3432" s="8" t="s">
        <v>206</v>
      </c>
      <c r="O3432" s="6">
        <v>0</v>
      </c>
      <c r="P3432" s="6">
        <v>2</v>
      </c>
      <c r="Q3432" s="6">
        <v>8</v>
      </c>
      <c r="R3432" s="6">
        <v>0</v>
      </c>
      <c r="S3432" s="6">
        <v>0</v>
      </c>
    </row>
    <row r="3433" spans="1:19" ht="15" hidden="1" x14ac:dyDescent="0.25">
      <c r="A3433" s="7" t="s">
        <v>16</v>
      </c>
      <c r="B3433" s="7" t="s">
        <v>230</v>
      </c>
      <c r="C3433" s="7" t="s">
        <v>24</v>
      </c>
      <c r="D3433" s="4">
        <v>73696718000219</v>
      </c>
      <c r="E3433" s="8" t="s">
        <v>1127</v>
      </c>
      <c r="F3433" s="8" t="s">
        <v>131</v>
      </c>
      <c r="G3433" s="8" t="s">
        <v>61</v>
      </c>
      <c r="H3433" s="8" t="s">
        <v>215</v>
      </c>
      <c r="I3433" s="3">
        <v>2</v>
      </c>
      <c r="J3433" s="8" t="s">
        <v>155</v>
      </c>
      <c r="K3433" s="8" t="s">
        <v>156</v>
      </c>
      <c r="L3433" s="8" t="s">
        <v>556</v>
      </c>
      <c r="M3433" s="1" t="s">
        <v>205</v>
      </c>
      <c r="N3433" s="8" t="s">
        <v>206</v>
      </c>
      <c r="O3433" s="6">
        <v>0</v>
      </c>
      <c r="P3433" s="6">
        <v>0</v>
      </c>
      <c r="Q3433" s="6">
        <v>0</v>
      </c>
      <c r="R3433" s="6">
        <v>0</v>
      </c>
      <c r="S3433" s="6">
        <v>0</v>
      </c>
    </row>
    <row r="3434" spans="1:19" ht="15" hidden="1" x14ac:dyDescent="0.25">
      <c r="A3434" s="7" t="s">
        <v>16</v>
      </c>
      <c r="B3434" s="7" t="s">
        <v>230</v>
      </c>
      <c r="C3434" s="7" t="s">
        <v>24</v>
      </c>
      <c r="D3434" s="4">
        <v>73696718000219</v>
      </c>
      <c r="E3434" s="8" t="s">
        <v>1127</v>
      </c>
      <c r="F3434" s="8" t="s">
        <v>131</v>
      </c>
      <c r="G3434" s="8" t="s">
        <v>61</v>
      </c>
      <c r="H3434" s="8" t="s">
        <v>215</v>
      </c>
      <c r="I3434" s="3">
        <v>2</v>
      </c>
      <c r="J3434" s="8" t="s">
        <v>173</v>
      </c>
      <c r="K3434" s="8" t="s">
        <v>174</v>
      </c>
      <c r="L3434" s="8" t="s">
        <v>557</v>
      </c>
      <c r="M3434" s="1" t="s">
        <v>205</v>
      </c>
      <c r="N3434" s="8" t="s">
        <v>206</v>
      </c>
      <c r="O3434" s="6">
        <v>0</v>
      </c>
      <c r="P3434" s="6">
        <v>9</v>
      </c>
      <c r="Q3434" s="6">
        <v>18</v>
      </c>
      <c r="R3434" s="6">
        <v>0</v>
      </c>
      <c r="S3434" s="6">
        <v>0</v>
      </c>
    </row>
    <row r="3435" spans="1:19" ht="15" hidden="1" x14ac:dyDescent="0.25">
      <c r="A3435" s="7" t="s">
        <v>16</v>
      </c>
      <c r="B3435" s="7" t="s">
        <v>230</v>
      </c>
      <c r="C3435" s="7" t="s">
        <v>24</v>
      </c>
      <c r="D3435" s="4">
        <v>42297507000107</v>
      </c>
      <c r="E3435" s="8" t="s">
        <v>1122</v>
      </c>
      <c r="F3435" s="8" t="s">
        <v>131</v>
      </c>
      <c r="G3435" s="8" t="s">
        <v>61</v>
      </c>
      <c r="H3435" s="8" t="s">
        <v>215</v>
      </c>
      <c r="I3435" s="3">
        <v>2</v>
      </c>
      <c r="J3435" s="8" t="s">
        <v>155</v>
      </c>
      <c r="K3435" s="8" t="s">
        <v>156</v>
      </c>
      <c r="L3435" s="8" t="s">
        <v>556</v>
      </c>
      <c r="M3435" s="1" t="s">
        <v>205</v>
      </c>
      <c r="N3435" s="8" t="s">
        <v>206</v>
      </c>
      <c r="O3435" s="6">
        <v>0</v>
      </c>
      <c r="P3435" s="6">
        <v>0</v>
      </c>
      <c r="Q3435" s="6">
        <v>0</v>
      </c>
      <c r="R3435" s="6">
        <v>0</v>
      </c>
      <c r="S3435" s="6">
        <v>0</v>
      </c>
    </row>
    <row r="3436" spans="1:19" ht="15" hidden="1" x14ac:dyDescent="0.25">
      <c r="A3436" s="7" t="s">
        <v>16</v>
      </c>
      <c r="B3436" s="7" t="s">
        <v>230</v>
      </c>
      <c r="C3436" s="7" t="s">
        <v>24</v>
      </c>
      <c r="D3436" s="4">
        <v>42297507000107</v>
      </c>
      <c r="E3436" s="8" t="s">
        <v>1122</v>
      </c>
      <c r="F3436" s="8" t="s">
        <v>131</v>
      </c>
      <c r="G3436" s="8" t="s">
        <v>61</v>
      </c>
      <c r="H3436" s="8" t="s">
        <v>215</v>
      </c>
      <c r="I3436" s="3">
        <v>2</v>
      </c>
      <c r="J3436" s="8" t="s">
        <v>181</v>
      </c>
      <c r="K3436" s="8" t="s">
        <v>182</v>
      </c>
      <c r="L3436" s="8" t="s">
        <v>557</v>
      </c>
      <c r="M3436" s="1" t="s">
        <v>205</v>
      </c>
      <c r="N3436" s="8" t="s">
        <v>206</v>
      </c>
      <c r="O3436" s="6">
        <v>0</v>
      </c>
      <c r="P3436" s="6">
        <v>6</v>
      </c>
      <c r="Q3436" s="6">
        <v>6</v>
      </c>
      <c r="R3436" s="6">
        <v>0</v>
      </c>
      <c r="S3436" s="6">
        <v>0</v>
      </c>
    </row>
    <row r="3437" spans="1:19" ht="15" hidden="1" x14ac:dyDescent="0.25">
      <c r="A3437" s="7" t="s">
        <v>16</v>
      </c>
      <c r="B3437" s="7" t="s">
        <v>230</v>
      </c>
      <c r="C3437" s="7" t="s">
        <v>24</v>
      </c>
      <c r="D3437" s="4">
        <v>24217779000160</v>
      </c>
      <c r="E3437" s="8" t="s">
        <v>1097</v>
      </c>
      <c r="F3437" s="8" t="s">
        <v>131</v>
      </c>
      <c r="G3437" s="8" t="s">
        <v>61</v>
      </c>
      <c r="H3437" s="8" t="s">
        <v>215</v>
      </c>
      <c r="I3437" s="3">
        <v>2</v>
      </c>
      <c r="J3437" s="8" t="s">
        <v>155</v>
      </c>
      <c r="K3437" s="8" t="s">
        <v>156</v>
      </c>
      <c r="L3437" s="8" t="s">
        <v>556</v>
      </c>
      <c r="M3437" s="1" t="s">
        <v>205</v>
      </c>
      <c r="N3437" s="8" t="s">
        <v>206</v>
      </c>
      <c r="O3437" s="6">
        <v>0</v>
      </c>
      <c r="P3437" s="6">
        <v>0</v>
      </c>
      <c r="Q3437" s="6">
        <v>0</v>
      </c>
      <c r="R3437" s="6">
        <v>0</v>
      </c>
      <c r="S3437" s="6">
        <v>0</v>
      </c>
    </row>
    <row r="3438" spans="1:19" ht="15" hidden="1" x14ac:dyDescent="0.25">
      <c r="A3438" s="7" t="s">
        <v>16</v>
      </c>
      <c r="B3438" s="7" t="s">
        <v>230</v>
      </c>
      <c r="C3438" s="7" t="s">
        <v>24</v>
      </c>
      <c r="D3438" s="4">
        <v>24217779000160</v>
      </c>
      <c r="E3438" s="8" t="s">
        <v>1097</v>
      </c>
      <c r="F3438" s="8" t="s">
        <v>131</v>
      </c>
      <c r="G3438" s="8" t="s">
        <v>61</v>
      </c>
      <c r="H3438" s="8" t="s">
        <v>215</v>
      </c>
      <c r="I3438" s="3">
        <v>2</v>
      </c>
      <c r="J3438" s="8" t="s">
        <v>173</v>
      </c>
      <c r="K3438" s="8" t="s">
        <v>174</v>
      </c>
      <c r="L3438" s="8" t="s">
        <v>557</v>
      </c>
      <c r="M3438" s="1" t="s">
        <v>205</v>
      </c>
      <c r="N3438" s="8" t="s">
        <v>206</v>
      </c>
      <c r="O3438" s="6">
        <v>0</v>
      </c>
      <c r="P3438" s="6">
        <v>0</v>
      </c>
      <c r="Q3438" s="6">
        <v>24</v>
      </c>
      <c r="R3438" s="6">
        <v>0</v>
      </c>
      <c r="S3438" s="6">
        <v>0</v>
      </c>
    </row>
    <row r="3439" spans="1:19" ht="15" hidden="1" x14ac:dyDescent="0.25">
      <c r="A3439" s="7" t="s">
        <v>16</v>
      </c>
      <c r="B3439" s="7" t="s">
        <v>230</v>
      </c>
      <c r="C3439" s="7" t="s">
        <v>24</v>
      </c>
      <c r="D3439" s="4">
        <v>9609235000230</v>
      </c>
      <c r="E3439" s="8" t="s">
        <v>1090</v>
      </c>
      <c r="F3439" s="8" t="s">
        <v>131</v>
      </c>
      <c r="G3439" s="8" t="s">
        <v>61</v>
      </c>
      <c r="H3439" s="8" t="s">
        <v>215</v>
      </c>
      <c r="I3439" s="3">
        <v>2</v>
      </c>
      <c r="J3439" s="8" t="s">
        <v>155</v>
      </c>
      <c r="K3439" s="8" t="s">
        <v>156</v>
      </c>
      <c r="L3439" s="8" t="s">
        <v>556</v>
      </c>
      <c r="M3439" s="1" t="s">
        <v>205</v>
      </c>
      <c r="N3439" s="8" t="s">
        <v>206</v>
      </c>
      <c r="O3439" s="6">
        <v>0</v>
      </c>
      <c r="P3439" s="6">
        <v>0</v>
      </c>
      <c r="Q3439" s="6">
        <v>0</v>
      </c>
      <c r="R3439" s="6">
        <v>0</v>
      </c>
      <c r="S3439" s="6">
        <v>750</v>
      </c>
    </row>
    <row r="3440" spans="1:19" ht="15" hidden="1" x14ac:dyDescent="0.25">
      <c r="A3440" s="7" t="s">
        <v>16</v>
      </c>
      <c r="B3440" s="7" t="s">
        <v>230</v>
      </c>
      <c r="C3440" s="7" t="s">
        <v>24</v>
      </c>
      <c r="D3440" s="4">
        <v>9609235000230</v>
      </c>
      <c r="E3440" s="8" t="s">
        <v>1090</v>
      </c>
      <c r="F3440" s="8" t="s">
        <v>131</v>
      </c>
      <c r="G3440" s="8" t="s">
        <v>61</v>
      </c>
      <c r="H3440" s="8" t="s">
        <v>215</v>
      </c>
      <c r="I3440" s="3">
        <v>2</v>
      </c>
      <c r="J3440" s="8" t="s">
        <v>173</v>
      </c>
      <c r="K3440" s="8" t="s">
        <v>174</v>
      </c>
      <c r="L3440" s="8" t="s">
        <v>557</v>
      </c>
      <c r="M3440" s="1" t="s">
        <v>205</v>
      </c>
      <c r="N3440" s="8" t="s">
        <v>206</v>
      </c>
      <c r="O3440" s="6">
        <v>0</v>
      </c>
      <c r="P3440" s="6">
        <v>0</v>
      </c>
      <c r="Q3440" s="6">
        <v>0</v>
      </c>
      <c r="R3440" s="6">
        <v>0</v>
      </c>
      <c r="S3440" s="6">
        <v>750</v>
      </c>
    </row>
    <row r="3441" spans="1:19" ht="15" hidden="1" x14ac:dyDescent="0.25">
      <c r="A3441" s="7" t="s">
        <v>16</v>
      </c>
      <c r="B3441" s="7" t="s">
        <v>230</v>
      </c>
      <c r="C3441" s="7" t="s">
        <v>24</v>
      </c>
      <c r="D3441" s="4">
        <v>6047087000996</v>
      </c>
      <c r="E3441" s="8" t="s">
        <v>1080</v>
      </c>
      <c r="F3441" s="8" t="s">
        <v>131</v>
      </c>
      <c r="G3441" s="8" t="s">
        <v>61</v>
      </c>
      <c r="H3441" s="8" t="s">
        <v>215</v>
      </c>
      <c r="I3441" s="3">
        <v>2</v>
      </c>
      <c r="J3441" s="8" t="s">
        <v>155</v>
      </c>
      <c r="K3441" s="8" t="s">
        <v>156</v>
      </c>
      <c r="L3441" s="8" t="s">
        <v>556</v>
      </c>
      <c r="M3441" s="1" t="s">
        <v>205</v>
      </c>
      <c r="N3441" s="8" t="s">
        <v>206</v>
      </c>
      <c r="O3441" s="6">
        <v>0</v>
      </c>
      <c r="P3441" s="6">
        <v>0</v>
      </c>
      <c r="Q3441" s="6">
        <v>0</v>
      </c>
      <c r="R3441" s="6">
        <v>48</v>
      </c>
      <c r="S3441" s="6">
        <v>0</v>
      </c>
    </row>
    <row r="3442" spans="1:19" ht="15" hidden="1" x14ac:dyDescent="0.25">
      <c r="A3442" s="7" t="s">
        <v>16</v>
      </c>
      <c r="B3442" s="7" t="s">
        <v>230</v>
      </c>
      <c r="C3442" s="7" t="s">
        <v>24</v>
      </c>
      <c r="D3442" s="4">
        <v>6047087000996</v>
      </c>
      <c r="E3442" s="8" t="s">
        <v>1080</v>
      </c>
      <c r="F3442" s="8" t="s">
        <v>131</v>
      </c>
      <c r="G3442" s="8" t="s">
        <v>61</v>
      </c>
      <c r="H3442" s="8" t="s">
        <v>215</v>
      </c>
      <c r="I3442" s="3">
        <v>2</v>
      </c>
      <c r="J3442" s="8" t="s">
        <v>181</v>
      </c>
      <c r="K3442" s="8" t="s">
        <v>182</v>
      </c>
      <c r="L3442" s="8" t="s">
        <v>557</v>
      </c>
      <c r="M3442" s="1" t="s">
        <v>205</v>
      </c>
      <c r="N3442" s="8" t="s">
        <v>206</v>
      </c>
      <c r="O3442" s="6">
        <v>0</v>
      </c>
      <c r="P3442" s="6">
        <v>0</v>
      </c>
      <c r="Q3442" s="6">
        <v>15</v>
      </c>
      <c r="R3442" s="6">
        <v>0</v>
      </c>
      <c r="S3442" s="6">
        <v>0</v>
      </c>
    </row>
    <row r="3443" spans="1:19" ht="15" hidden="1" x14ac:dyDescent="0.25">
      <c r="A3443" s="7" t="s">
        <v>16</v>
      </c>
      <c r="B3443" s="7" t="s">
        <v>230</v>
      </c>
      <c r="C3443" s="7" t="s">
        <v>24</v>
      </c>
      <c r="D3443" s="4">
        <v>394544020453</v>
      </c>
      <c r="E3443" s="8" t="s">
        <v>1074</v>
      </c>
      <c r="F3443" s="8" t="s">
        <v>131</v>
      </c>
      <c r="G3443" s="8" t="s">
        <v>61</v>
      </c>
      <c r="H3443" s="8" t="s">
        <v>215</v>
      </c>
      <c r="I3443" s="3">
        <v>2</v>
      </c>
      <c r="J3443" s="8" t="s">
        <v>155</v>
      </c>
      <c r="K3443" s="8" t="s">
        <v>156</v>
      </c>
      <c r="L3443" s="8" t="s">
        <v>556</v>
      </c>
      <c r="M3443" s="1" t="s">
        <v>205</v>
      </c>
      <c r="N3443" s="8" t="s">
        <v>206</v>
      </c>
      <c r="O3443" s="6">
        <v>0</v>
      </c>
      <c r="P3443" s="6">
        <v>0</v>
      </c>
      <c r="Q3443" s="6">
        <v>0</v>
      </c>
      <c r="R3443" s="6">
        <v>0</v>
      </c>
      <c r="S3443" s="6">
        <v>900</v>
      </c>
    </row>
    <row r="3444" spans="1:19" ht="15" hidden="1" x14ac:dyDescent="0.25">
      <c r="A3444" s="7" t="s">
        <v>16</v>
      </c>
      <c r="B3444" s="7" t="s">
        <v>230</v>
      </c>
      <c r="C3444" s="7" t="s">
        <v>24</v>
      </c>
      <c r="D3444" s="4">
        <v>394544020453</v>
      </c>
      <c r="E3444" s="8" t="s">
        <v>1074</v>
      </c>
      <c r="F3444" s="8" t="s">
        <v>131</v>
      </c>
      <c r="G3444" s="8" t="s">
        <v>61</v>
      </c>
      <c r="H3444" s="8" t="s">
        <v>215</v>
      </c>
      <c r="I3444" s="3">
        <v>2</v>
      </c>
      <c r="J3444" s="8" t="s">
        <v>181</v>
      </c>
      <c r="K3444" s="8" t="s">
        <v>182</v>
      </c>
      <c r="L3444" s="8" t="s">
        <v>557</v>
      </c>
      <c r="M3444" s="1" t="s">
        <v>205</v>
      </c>
      <c r="N3444" s="8" t="s">
        <v>206</v>
      </c>
      <c r="O3444" s="6">
        <v>0</v>
      </c>
      <c r="P3444" s="6">
        <v>0</v>
      </c>
      <c r="Q3444" s="6">
        <v>0</v>
      </c>
      <c r="R3444" s="6">
        <v>0</v>
      </c>
      <c r="S3444" s="6">
        <v>900</v>
      </c>
    </row>
    <row r="3445" spans="1:19" ht="15" hidden="1" x14ac:dyDescent="0.25">
      <c r="A3445" s="7" t="s">
        <v>16</v>
      </c>
      <c r="B3445" s="7" t="s">
        <v>230</v>
      </c>
      <c r="C3445" s="7" t="s">
        <v>24</v>
      </c>
      <c r="D3445" s="4">
        <v>34058123000103</v>
      </c>
      <c r="E3445" s="8" t="s">
        <v>1118</v>
      </c>
      <c r="F3445" s="8" t="s">
        <v>131</v>
      </c>
      <c r="G3445" s="8" t="s">
        <v>61</v>
      </c>
      <c r="H3445" s="8" t="s">
        <v>215</v>
      </c>
      <c r="I3445" s="3">
        <v>2</v>
      </c>
      <c r="J3445" s="8" t="s">
        <v>155</v>
      </c>
      <c r="K3445" s="8" t="s">
        <v>156</v>
      </c>
      <c r="L3445" s="8" t="s">
        <v>556</v>
      </c>
      <c r="M3445" s="1" t="s">
        <v>205</v>
      </c>
      <c r="N3445" s="8" t="s">
        <v>206</v>
      </c>
      <c r="O3445" s="6">
        <v>0</v>
      </c>
      <c r="P3445" s="6">
        <v>0</v>
      </c>
      <c r="Q3445" s="6">
        <v>0</v>
      </c>
      <c r="R3445" s="6">
        <v>0</v>
      </c>
      <c r="S3445" s="6">
        <v>155</v>
      </c>
    </row>
    <row r="3446" spans="1:19" ht="15" hidden="1" x14ac:dyDescent="0.25">
      <c r="A3446" s="7" t="s">
        <v>16</v>
      </c>
      <c r="B3446" s="7" t="s">
        <v>230</v>
      </c>
      <c r="C3446" s="7" t="s">
        <v>24</v>
      </c>
      <c r="D3446" s="4">
        <v>34058123000103</v>
      </c>
      <c r="E3446" s="8" t="s">
        <v>1118</v>
      </c>
      <c r="F3446" s="8" t="s">
        <v>131</v>
      </c>
      <c r="G3446" s="8" t="s">
        <v>61</v>
      </c>
      <c r="H3446" s="8" t="s">
        <v>215</v>
      </c>
      <c r="I3446" s="3">
        <v>2</v>
      </c>
      <c r="J3446" s="8" t="s">
        <v>181</v>
      </c>
      <c r="K3446" s="8" t="s">
        <v>182</v>
      </c>
      <c r="L3446" s="8" t="s">
        <v>557</v>
      </c>
      <c r="M3446" s="1" t="s">
        <v>205</v>
      </c>
      <c r="N3446" s="8" t="s">
        <v>206</v>
      </c>
      <c r="O3446" s="6">
        <v>0</v>
      </c>
      <c r="P3446" s="6">
        <v>0</v>
      </c>
      <c r="Q3446" s="6">
        <v>0</v>
      </c>
      <c r="R3446" s="6">
        <v>0</v>
      </c>
      <c r="S3446" s="6">
        <v>155</v>
      </c>
    </row>
    <row r="3447" spans="1:19" ht="15" hidden="1" x14ac:dyDescent="0.25">
      <c r="A3447" s="7" t="s">
        <v>16</v>
      </c>
      <c r="B3447" s="7" t="s">
        <v>230</v>
      </c>
      <c r="C3447" s="7" t="s">
        <v>24</v>
      </c>
      <c r="D3447" s="4">
        <v>27901222000131</v>
      </c>
      <c r="E3447" s="8" t="s">
        <v>1098</v>
      </c>
      <c r="F3447" s="8" t="s">
        <v>131</v>
      </c>
      <c r="G3447" s="8" t="s">
        <v>61</v>
      </c>
      <c r="H3447" s="8" t="s">
        <v>215</v>
      </c>
      <c r="I3447" s="3">
        <v>2</v>
      </c>
      <c r="J3447" s="8" t="s">
        <v>155</v>
      </c>
      <c r="K3447" s="8" t="s">
        <v>156</v>
      </c>
      <c r="L3447" s="8" t="s">
        <v>556</v>
      </c>
      <c r="M3447" s="1" t="s">
        <v>205</v>
      </c>
      <c r="N3447" s="8" t="s">
        <v>206</v>
      </c>
      <c r="O3447" s="6">
        <v>0</v>
      </c>
      <c r="P3447" s="6">
        <v>0</v>
      </c>
      <c r="Q3447" s="6">
        <v>0</v>
      </c>
      <c r="R3447" s="6">
        <v>0</v>
      </c>
      <c r="S3447" s="6">
        <v>0</v>
      </c>
    </row>
    <row r="3448" spans="1:19" ht="15" hidden="1" x14ac:dyDescent="0.25">
      <c r="A3448" s="7" t="s">
        <v>16</v>
      </c>
      <c r="B3448" s="7" t="s">
        <v>230</v>
      </c>
      <c r="C3448" s="7" t="s">
        <v>24</v>
      </c>
      <c r="D3448" s="4">
        <v>27901222000131</v>
      </c>
      <c r="E3448" s="8" t="s">
        <v>1098</v>
      </c>
      <c r="F3448" s="8" t="s">
        <v>131</v>
      </c>
      <c r="G3448" s="8" t="s">
        <v>61</v>
      </c>
      <c r="H3448" s="8" t="s">
        <v>215</v>
      </c>
      <c r="I3448" s="3">
        <v>2</v>
      </c>
      <c r="J3448" s="8" t="s">
        <v>181</v>
      </c>
      <c r="K3448" s="8" t="s">
        <v>182</v>
      </c>
      <c r="L3448" s="8" t="s">
        <v>557</v>
      </c>
      <c r="M3448" s="1" t="s">
        <v>205</v>
      </c>
      <c r="N3448" s="8" t="s">
        <v>206</v>
      </c>
      <c r="O3448" s="6">
        <v>0</v>
      </c>
      <c r="P3448" s="6">
        <v>3</v>
      </c>
      <c r="Q3448" s="6">
        <v>0</v>
      </c>
      <c r="R3448" s="6">
        <v>0</v>
      </c>
      <c r="S3448" s="6">
        <v>0</v>
      </c>
    </row>
    <row r="3449" spans="1:19" ht="15" hidden="1" x14ac:dyDescent="0.25">
      <c r="A3449" s="7" t="s">
        <v>16</v>
      </c>
      <c r="B3449" s="7" t="s">
        <v>230</v>
      </c>
      <c r="C3449" s="7" t="s">
        <v>24</v>
      </c>
      <c r="D3449" s="4">
        <v>394544020291</v>
      </c>
      <c r="E3449" s="8" t="s">
        <v>1072</v>
      </c>
      <c r="F3449" s="8" t="s">
        <v>131</v>
      </c>
      <c r="G3449" s="8" t="s">
        <v>61</v>
      </c>
      <c r="H3449" s="8" t="s">
        <v>215</v>
      </c>
      <c r="I3449" s="3">
        <v>2</v>
      </c>
      <c r="J3449" s="8" t="s">
        <v>155</v>
      </c>
      <c r="K3449" s="8" t="s">
        <v>156</v>
      </c>
      <c r="L3449" s="8" t="s">
        <v>556</v>
      </c>
      <c r="M3449" s="1" t="s">
        <v>205</v>
      </c>
      <c r="N3449" s="8" t="s">
        <v>206</v>
      </c>
      <c r="O3449" s="6">
        <v>0</v>
      </c>
      <c r="P3449" s="6">
        <v>0</v>
      </c>
      <c r="Q3449" s="6">
        <v>0</v>
      </c>
      <c r="R3449" s="6">
        <v>0</v>
      </c>
      <c r="S3449" s="6">
        <v>585</v>
      </c>
    </row>
    <row r="3450" spans="1:19" ht="15" hidden="1" x14ac:dyDescent="0.25">
      <c r="A3450" s="7" t="s">
        <v>16</v>
      </c>
      <c r="B3450" s="7" t="s">
        <v>230</v>
      </c>
      <c r="C3450" s="7" t="s">
        <v>24</v>
      </c>
      <c r="D3450" s="4">
        <v>394544020291</v>
      </c>
      <c r="E3450" s="8" t="s">
        <v>1072</v>
      </c>
      <c r="F3450" s="8" t="s">
        <v>131</v>
      </c>
      <c r="G3450" s="8" t="s">
        <v>61</v>
      </c>
      <c r="H3450" s="8" t="s">
        <v>215</v>
      </c>
      <c r="I3450" s="3">
        <v>2</v>
      </c>
      <c r="J3450" s="8" t="s">
        <v>173</v>
      </c>
      <c r="K3450" s="8" t="s">
        <v>174</v>
      </c>
      <c r="L3450" s="8" t="s">
        <v>557</v>
      </c>
      <c r="M3450" s="1" t="s">
        <v>205</v>
      </c>
      <c r="N3450" s="8" t="s">
        <v>206</v>
      </c>
      <c r="O3450" s="6">
        <v>0</v>
      </c>
      <c r="P3450" s="6">
        <v>0</v>
      </c>
      <c r="Q3450" s="6">
        <v>0</v>
      </c>
      <c r="R3450" s="6">
        <v>0</v>
      </c>
      <c r="S3450" s="6">
        <v>585</v>
      </c>
    </row>
    <row r="3451" spans="1:19" ht="15" hidden="1" x14ac:dyDescent="0.25">
      <c r="A3451" s="7" t="s">
        <v>16</v>
      </c>
      <c r="B3451" s="7" t="s">
        <v>230</v>
      </c>
      <c r="C3451" s="7" t="s">
        <v>24</v>
      </c>
      <c r="D3451" s="4">
        <v>9578217000158</v>
      </c>
      <c r="E3451" s="8" t="s">
        <v>1089</v>
      </c>
      <c r="F3451" s="8" t="s">
        <v>131</v>
      </c>
      <c r="G3451" s="8" t="s">
        <v>61</v>
      </c>
      <c r="H3451" s="8" t="s">
        <v>215</v>
      </c>
      <c r="I3451" s="3">
        <v>2</v>
      </c>
      <c r="J3451" s="8" t="s">
        <v>155</v>
      </c>
      <c r="K3451" s="8" t="s">
        <v>156</v>
      </c>
      <c r="L3451" s="8" t="s">
        <v>556</v>
      </c>
      <c r="M3451" s="1" t="s">
        <v>205</v>
      </c>
      <c r="N3451" s="8" t="s">
        <v>206</v>
      </c>
      <c r="O3451" s="6">
        <v>0</v>
      </c>
      <c r="P3451" s="6">
        <v>0</v>
      </c>
      <c r="Q3451" s="6">
        <v>0</v>
      </c>
      <c r="R3451" s="6">
        <v>0</v>
      </c>
      <c r="S3451" s="6">
        <v>0</v>
      </c>
    </row>
    <row r="3452" spans="1:19" ht="15" hidden="1" x14ac:dyDescent="0.25">
      <c r="A3452" s="7" t="s">
        <v>16</v>
      </c>
      <c r="B3452" s="7" t="s">
        <v>230</v>
      </c>
      <c r="C3452" s="7" t="s">
        <v>24</v>
      </c>
      <c r="D3452" s="4">
        <v>9578217000158</v>
      </c>
      <c r="E3452" s="8" t="s">
        <v>1089</v>
      </c>
      <c r="F3452" s="8" t="s">
        <v>131</v>
      </c>
      <c r="G3452" s="8" t="s">
        <v>61</v>
      </c>
      <c r="H3452" s="8" t="s">
        <v>215</v>
      </c>
      <c r="I3452" s="3">
        <v>2</v>
      </c>
      <c r="J3452" s="8" t="s">
        <v>181</v>
      </c>
      <c r="K3452" s="8" t="s">
        <v>182</v>
      </c>
      <c r="L3452" s="8" t="s">
        <v>557</v>
      </c>
      <c r="M3452" s="1" t="s">
        <v>205</v>
      </c>
      <c r="N3452" s="8" t="s">
        <v>206</v>
      </c>
      <c r="O3452" s="6">
        <v>0</v>
      </c>
      <c r="P3452" s="6">
        <v>19</v>
      </c>
      <c r="Q3452" s="6">
        <v>0</v>
      </c>
      <c r="R3452" s="6">
        <v>0</v>
      </c>
      <c r="S3452" s="6">
        <v>0</v>
      </c>
    </row>
    <row r="3453" spans="1:19" ht="15" hidden="1" x14ac:dyDescent="0.25">
      <c r="A3453" s="7" t="s">
        <v>16</v>
      </c>
      <c r="B3453" s="7" t="s">
        <v>230</v>
      </c>
      <c r="C3453" s="7" t="s">
        <v>24</v>
      </c>
      <c r="D3453" s="4">
        <v>29435005005783</v>
      </c>
      <c r="E3453" s="8" t="s">
        <v>1104</v>
      </c>
      <c r="F3453" s="8" t="s">
        <v>131</v>
      </c>
      <c r="G3453" s="8" t="s">
        <v>61</v>
      </c>
      <c r="H3453" s="8" t="s">
        <v>215</v>
      </c>
      <c r="I3453" s="3">
        <v>2</v>
      </c>
      <c r="J3453" s="8" t="s">
        <v>155</v>
      </c>
      <c r="K3453" s="8" t="s">
        <v>156</v>
      </c>
      <c r="L3453" s="8" t="s">
        <v>556</v>
      </c>
      <c r="M3453" s="1" t="s">
        <v>205</v>
      </c>
      <c r="N3453" s="8" t="s">
        <v>206</v>
      </c>
      <c r="O3453" s="6">
        <v>0</v>
      </c>
      <c r="P3453" s="6">
        <v>0</v>
      </c>
      <c r="Q3453" s="6">
        <v>0</v>
      </c>
      <c r="R3453" s="6">
        <v>0</v>
      </c>
      <c r="S3453" s="6">
        <v>875</v>
      </c>
    </row>
    <row r="3454" spans="1:19" ht="15" hidden="1" x14ac:dyDescent="0.25">
      <c r="A3454" s="7" t="s">
        <v>16</v>
      </c>
      <c r="B3454" s="7" t="s">
        <v>230</v>
      </c>
      <c r="C3454" s="7" t="s">
        <v>24</v>
      </c>
      <c r="D3454" s="4">
        <v>29435005005783</v>
      </c>
      <c r="E3454" s="8" t="s">
        <v>1104</v>
      </c>
      <c r="F3454" s="8" t="s">
        <v>131</v>
      </c>
      <c r="G3454" s="8" t="s">
        <v>61</v>
      </c>
      <c r="H3454" s="8" t="s">
        <v>215</v>
      </c>
      <c r="I3454" s="3">
        <v>2</v>
      </c>
      <c r="J3454" s="8" t="s">
        <v>173</v>
      </c>
      <c r="K3454" s="8" t="s">
        <v>174</v>
      </c>
      <c r="L3454" s="8" t="s">
        <v>557</v>
      </c>
      <c r="M3454" s="1" t="s">
        <v>205</v>
      </c>
      <c r="N3454" s="8" t="s">
        <v>206</v>
      </c>
      <c r="O3454" s="6">
        <v>0</v>
      </c>
      <c r="P3454" s="6">
        <v>0</v>
      </c>
      <c r="Q3454" s="6">
        <v>0</v>
      </c>
      <c r="R3454" s="6">
        <v>0</v>
      </c>
      <c r="S3454" s="6">
        <v>875</v>
      </c>
    </row>
    <row r="3455" spans="1:19" ht="15" hidden="1" x14ac:dyDescent="0.25">
      <c r="A3455" s="7" t="s">
        <v>16</v>
      </c>
      <c r="B3455" s="7" t="s">
        <v>230</v>
      </c>
      <c r="C3455" s="7" t="s">
        <v>24</v>
      </c>
      <c r="D3455" s="4">
        <v>6047087001020</v>
      </c>
      <c r="E3455" s="8" t="s">
        <v>1081</v>
      </c>
      <c r="F3455" s="8" t="s">
        <v>131</v>
      </c>
      <c r="G3455" s="8" t="s">
        <v>61</v>
      </c>
      <c r="H3455" s="8" t="s">
        <v>215</v>
      </c>
      <c r="I3455" s="3">
        <v>2</v>
      </c>
      <c r="J3455" s="8" t="s">
        <v>155</v>
      </c>
      <c r="K3455" s="8" t="s">
        <v>156</v>
      </c>
      <c r="L3455" s="8" t="s">
        <v>556</v>
      </c>
      <c r="M3455" s="1" t="s">
        <v>205</v>
      </c>
      <c r="N3455" s="8" t="s">
        <v>206</v>
      </c>
      <c r="O3455" s="6">
        <v>0</v>
      </c>
      <c r="P3455" s="6">
        <v>0</v>
      </c>
      <c r="Q3455" s="6">
        <v>0</v>
      </c>
      <c r="R3455" s="6">
        <v>0</v>
      </c>
      <c r="S3455" s="6">
        <v>0</v>
      </c>
    </row>
    <row r="3456" spans="1:19" ht="15" hidden="1" x14ac:dyDescent="0.25">
      <c r="A3456" s="7" t="s">
        <v>16</v>
      </c>
      <c r="B3456" s="7" t="s">
        <v>230</v>
      </c>
      <c r="C3456" s="7" t="s">
        <v>24</v>
      </c>
      <c r="D3456" s="4">
        <v>6047087001020</v>
      </c>
      <c r="E3456" s="8" t="s">
        <v>1081</v>
      </c>
      <c r="F3456" s="8" t="s">
        <v>131</v>
      </c>
      <c r="G3456" s="8" t="s">
        <v>61</v>
      </c>
      <c r="H3456" s="8" t="s">
        <v>215</v>
      </c>
      <c r="I3456" s="3">
        <v>2</v>
      </c>
      <c r="J3456" s="8" t="s">
        <v>181</v>
      </c>
      <c r="K3456" s="8" t="s">
        <v>182</v>
      </c>
      <c r="L3456" s="8" t="s">
        <v>557</v>
      </c>
      <c r="M3456" s="1" t="s">
        <v>205</v>
      </c>
      <c r="N3456" s="8" t="s">
        <v>206</v>
      </c>
      <c r="O3456" s="6">
        <v>0</v>
      </c>
      <c r="P3456" s="6">
        <v>74</v>
      </c>
      <c r="Q3456" s="6">
        <v>72</v>
      </c>
      <c r="R3456" s="6">
        <v>0</v>
      </c>
      <c r="S3456" s="6">
        <v>0</v>
      </c>
    </row>
    <row r="3457" spans="1:19" ht="15" hidden="1" x14ac:dyDescent="0.25">
      <c r="A3457" s="7" t="s">
        <v>16</v>
      </c>
      <c r="B3457" s="7" t="s">
        <v>230</v>
      </c>
      <c r="C3457" s="7" t="s">
        <v>24</v>
      </c>
      <c r="D3457" s="4">
        <v>29259736000403</v>
      </c>
      <c r="E3457" s="8" t="s">
        <v>1101</v>
      </c>
      <c r="F3457" s="8" t="s">
        <v>131</v>
      </c>
      <c r="G3457" s="8" t="s">
        <v>61</v>
      </c>
      <c r="H3457" s="8" t="s">
        <v>215</v>
      </c>
      <c r="I3457" s="3">
        <v>2</v>
      </c>
      <c r="J3457" s="8" t="s">
        <v>155</v>
      </c>
      <c r="K3457" s="8" t="s">
        <v>156</v>
      </c>
      <c r="L3457" s="8" t="s">
        <v>556</v>
      </c>
      <c r="M3457" s="1" t="s">
        <v>205</v>
      </c>
      <c r="N3457" s="8" t="s">
        <v>206</v>
      </c>
      <c r="O3457" s="6">
        <v>0</v>
      </c>
      <c r="P3457" s="6">
        <v>0</v>
      </c>
      <c r="Q3457" s="6">
        <v>0</v>
      </c>
      <c r="R3457" s="6">
        <v>24</v>
      </c>
      <c r="S3457" s="6">
        <v>0</v>
      </c>
    </row>
    <row r="3458" spans="1:19" ht="15" hidden="1" x14ac:dyDescent="0.25">
      <c r="A3458" s="7" t="s">
        <v>16</v>
      </c>
      <c r="B3458" s="7" t="s">
        <v>230</v>
      </c>
      <c r="C3458" s="7" t="s">
        <v>24</v>
      </c>
      <c r="D3458" s="4">
        <v>29259736000403</v>
      </c>
      <c r="E3458" s="8" t="s">
        <v>1101</v>
      </c>
      <c r="F3458" s="8" t="s">
        <v>131</v>
      </c>
      <c r="G3458" s="8" t="s">
        <v>61</v>
      </c>
      <c r="H3458" s="8" t="s">
        <v>215</v>
      </c>
      <c r="I3458" s="3">
        <v>2</v>
      </c>
      <c r="J3458" s="8" t="s">
        <v>181</v>
      </c>
      <c r="K3458" s="8" t="s">
        <v>182</v>
      </c>
      <c r="L3458" s="8" t="s">
        <v>557</v>
      </c>
      <c r="M3458" s="1" t="s">
        <v>205</v>
      </c>
      <c r="N3458" s="8" t="s">
        <v>206</v>
      </c>
      <c r="O3458" s="6">
        <v>0</v>
      </c>
      <c r="P3458" s="6">
        <v>0</v>
      </c>
      <c r="Q3458" s="6">
        <v>0</v>
      </c>
      <c r="R3458" s="6">
        <v>0</v>
      </c>
      <c r="S3458" s="6">
        <v>0</v>
      </c>
    </row>
    <row r="3459" spans="1:19" ht="15" hidden="1" x14ac:dyDescent="0.25">
      <c r="A3459" s="7" t="s">
        <v>16</v>
      </c>
      <c r="B3459" s="7" t="s">
        <v>230</v>
      </c>
      <c r="C3459" s="7" t="s">
        <v>24</v>
      </c>
      <c r="D3459" s="4">
        <v>29435005006160</v>
      </c>
      <c r="E3459" s="8" t="s">
        <v>1105</v>
      </c>
      <c r="F3459" s="8" t="s">
        <v>131</v>
      </c>
      <c r="G3459" s="8" t="s">
        <v>61</v>
      </c>
      <c r="H3459" s="8" t="s">
        <v>215</v>
      </c>
      <c r="I3459" s="3">
        <v>2</v>
      </c>
      <c r="J3459" s="8" t="s">
        <v>155</v>
      </c>
      <c r="K3459" s="8" t="s">
        <v>156</v>
      </c>
      <c r="L3459" s="8" t="s">
        <v>556</v>
      </c>
      <c r="M3459" s="1" t="s">
        <v>205</v>
      </c>
      <c r="N3459" s="8" t="s">
        <v>206</v>
      </c>
      <c r="O3459" s="6">
        <v>0</v>
      </c>
      <c r="P3459" s="6">
        <v>0</v>
      </c>
      <c r="Q3459" s="6">
        <v>0</v>
      </c>
      <c r="R3459" s="6">
        <v>0</v>
      </c>
      <c r="S3459" s="6">
        <v>0</v>
      </c>
    </row>
    <row r="3460" spans="1:19" ht="15" hidden="1" x14ac:dyDescent="0.25">
      <c r="A3460" s="7" t="s">
        <v>16</v>
      </c>
      <c r="B3460" s="7" t="s">
        <v>230</v>
      </c>
      <c r="C3460" s="7" t="s">
        <v>24</v>
      </c>
      <c r="D3460" s="4">
        <v>29435005006160</v>
      </c>
      <c r="E3460" s="8" t="s">
        <v>1105</v>
      </c>
      <c r="F3460" s="8" t="s">
        <v>131</v>
      </c>
      <c r="G3460" s="8" t="s">
        <v>61</v>
      </c>
      <c r="H3460" s="8" t="s">
        <v>215</v>
      </c>
      <c r="I3460" s="3">
        <v>2</v>
      </c>
      <c r="J3460" s="8" t="s">
        <v>181</v>
      </c>
      <c r="K3460" s="8" t="s">
        <v>182</v>
      </c>
      <c r="L3460" s="8" t="s">
        <v>557</v>
      </c>
      <c r="M3460" s="1" t="s">
        <v>205</v>
      </c>
      <c r="N3460" s="8" t="s">
        <v>206</v>
      </c>
      <c r="O3460" s="6">
        <v>0</v>
      </c>
      <c r="P3460" s="6">
        <v>4</v>
      </c>
      <c r="Q3460" s="6">
        <v>8</v>
      </c>
      <c r="R3460" s="6">
        <v>0</v>
      </c>
      <c r="S3460" s="6">
        <v>0</v>
      </c>
    </row>
    <row r="3461" spans="1:19" ht="15" hidden="1" x14ac:dyDescent="0.25">
      <c r="A3461" s="7" t="s">
        <v>16</v>
      </c>
      <c r="B3461" s="7" t="s">
        <v>230</v>
      </c>
      <c r="C3461" s="7" t="s">
        <v>24</v>
      </c>
      <c r="D3461" s="4">
        <v>60884855001630</v>
      </c>
      <c r="E3461" s="8" t="s">
        <v>1124</v>
      </c>
      <c r="F3461" s="8" t="s">
        <v>131</v>
      </c>
      <c r="G3461" s="8" t="s">
        <v>61</v>
      </c>
      <c r="H3461" s="8" t="s">
        <v>215</v>
      </c>
      <c r="I3461" s="3">
        <v>2</v>
      </c>
      <c r="J3461" s="8" t="s">
        <v>155</v>
      </c>
      <c r="K3461" s="8" t="s">
        <v>156</v>
      </c>
      <c r="L3461" s="8" t="s">
        <v>556</v>
      </c>
      <c r="M3461" s="1" t="s">
        <v>205</v>
      </c>
      <c r="N3461" s="8" t="s">
        <v>206</v>
      </c>
      <c r="O3461" s="6">
        <v>0</v>
      </c>
      <c r="P3461" s="6">
        <v>0</v>
      </c>
      <c r="Q3461" s="6">
        <v>0</v>
      </c>
      <c r="R3461" s="6">
        <v>0</v>
      </c>
      <c r="S3461" s="6">
        <v>55</v>
      </c>
    </row>
    <row r="3462" spans="1:19" ht="15" hidden="1" x14ac:dyDescent="0.25">
      <c r="A3462" s="7" t="s">
        <v>16</v>
      </c>
      <c r="B3462" s="7" t="s">
        <v>230</v>
      </c>
      <c r="C3462" s="7" t="s">
        <v>24</v>
      </c>
      <c r="D3462" s="4">
        <v>60884855001630</v>
      </c>
      <c r="E3462" s="8" t="s">
        <v>1124</v>
      </c>
      <c r="F3462" s="8" t="s">
        <v>131</v>
      </c>
      <c r="G3462" s="8" t="s">
        <v>61</v>
      </c>
      <c r="H3462" s="8" t="s">
        <v>215</v>
      </c>
      <c r="I3462" s="3">
        <v>2</v>
      </c>
      <c r="J3462" s="8" t="s">
        <v>173</v>
      </c>
      <c r="K3462" s="8" t="s">
        <v>174</v>
      </c>
      <c r="L3462" s="8" t="s">
        <v>557</v>
      </c>
      <c r="M3462" s="1" t="s">
        <v>205</v>
      </c>
      <c r="N3462" s="8" t="s">
        <v>206</v>
      </c>
      <c r="O3462" s="6">
        <v>0</v>
      </c>
      <c r="P3462" s="6">
        <v>54</v>
      </c>
      <c r="Q3462" s="6">
        <v>21</v>
      </c>
      <c r="R3462" s="6">
        <v>0</v>
      </c>
      <c r="S3462" s="6">
        <v>55</v>
      </c>
    </row>
    <row r="3463" spans="1:19" ht="15" hidden="1" x14ac:dyDescent="0.25">
      <c r="A3463" s="7" t="s">
        <v>16</v>
      </c>
      <c r="B3463" s="7" t="s">
        <v>230</v>
      </c>
      <c r="C3463" s="7" t="s">
        <v>24</v>
      </c>
      <c r="D3463" s="4">
        <v>18010750000100</v>
      </c>
      <c r="E3463" s="8" t="s">
        <v>1092</v>
      </c>
      <c r="F3463" s="8" t="s">
        <v>131</v>
      </c>
      <c r="G3463" s="8" t="s">
        <v>61</v>
      </c>
      <c r="H3463" s="8" t="s">
        <v>215</v>
      </c>
      <c r="I3463" s="3">
        <v>2</v>
      </c>
      <c r="J3463" s="8" t="s">
        <v>155</v>
      </c>
      <c r="K3463" s="8" t="s">
        <v>156</v>
      </c>
      <c r="L3463" s="8" t="s">
        <v>556</v>
      </c>
      <c r="M3463" s="1" t="s">
        <v>205</v>
      </c>
      <c r="N3463" s="8" t="s">
        <v>206</v>
      </c>
      <c r="O3463" s="6">
        <v>0</v>
      </c>
      <c r="P3463" s="6">
        <v>0</v>
      </c>
      <c r="Q3463" s="6">
        <v>0</v>
      </c>
      <c r="R3463" s="6">
        <v>0</v>
      </c>
      <c r="S3463" s="6">
        <v>375</v>
      </c>
    </row>
    <row r="3464" spans="1:19" ht="15" hidden="1" x14ac:dyDescent="0.25">
      <c r="A3464" s="7" t="s">
        <v>16</v>
      </c>
      <c r="B3464" s="7" t="s">
        <v>230</v>
      </c>
      <c r="C3464" s="7" t="s">
        <v>24</v>
      </c>
      <c r="D3464" s="4">
        <v>18010750000100</v>
      </c>
      <c r="E3464" s="8" t="s">
        <v>1092</v>
      </c>
      <c r="F3464" s="8" t="s">
        <v>131</v>
      </c>
      <c r="G3464" s="8" t="s">
        <v>61</v>
      </c>
      <c r="H3464" s="8" t="s">
        <v>215</v>
      </c>
      <c r="I3464" s="3">
        <v>2</v>
      </c>
      <c r="J3464" s="8" t="s">
        <v>173</v>
      </c>
      <c r="K3464" s="8" t="s">
        <v>174</v>
      </c>
      <c r="L3464" s="8" t="s">
        <v>557</v>
      </c>
      <c r="M3464" s="1" t="s">
        <v>205</v>
      </c>
      <c r="N3464" s="8" t="s">
        <v>206</v>
      </c>
      <c r="O3464" s="6">
        <v>0</v>
      </c>
      <c r="P3464" s="6">
        <v>0</v>
      </c>
      <c r="Q3464" s="6">
        <v>0</v>
      </c>
      <c r="R3464" s="6">
        <v>0</v>
      </c>
      <c r="S3464" s="6">
        <v>375</v>
      </c>
    </row>
    <row r="3465" spans="1:19" ht="15" hidden="1" x14ac:dyDescent="0.25">
      <c r="A3465" s="7" t="s">
        <v>16</v>
      </c>
      <c r="B3465" s="7" t="s">
        <v>230</v>
      </c>
      <c r="C3465" s="7" t="s">
        <v>24</v>
      </c>
      <c r="D3465" s="4">
        <v>33663683002674</v>
      </c>
      <c r="E3465" s="8" t="s">
        <v>1113</v>
      </c>
      <c r="F3465" s="8" t="s">
        <v>131</v>
      </c>
      <c r="G3465" s="8" t="s">
        <v>61</v>
      </c>
      <c r="H3465" s="8" t="s">
        <v>215</v>
      </c>
      <c r="I3465" s="3">
        <v>2</v>
      </c>
      <c r="J3465" s="8" t="s">
        <v>155</v>
      </c>
      <c r="K3465" s="8" t="s">
        <v>156</v>
      </c>
      <c r="L3465" s="8" t="s">
        <v>556</v>
      </c>
      <c r="M3465" s="1" t="s">
        <v>205</v>
      </c>
      <c r="N3465" s="8" t="s">
        <v>206</v>
      </c>
      <c r="O3465" s="6">
        <v>0</v>
      </c>
      <c r="P3465" s="6">
        <v>0</v>
      </c>
      <c r="Q3465" s="6">
        <v>0</v>
      </c>
      <c r="R3465" s="6">
        <v>0</v>
      </c>
      <c r="S3465" s="6">
        <v>600</v>
      </c>
    </row>
    <row r="3466" spans="1:19" ht="15" hidden="1" x14ac:dyDescent="0.25">
      <c r="A3466" s="7" t="s">
        <v>16</v>
      </c>
      <c r="B3466" s="7" t="s">
        <v>230</v>
      </c>
      <c r="C3466" s="7" t="s">
        <v>24</v>
      </c>
      <c r="D3466" s="4">
        <v>33663683002674</v>
      </c>
      <c r="E3466" s="8" t="s">
        <v>1113</v>
      </c>
      <c r="F3466" s="8" t="s">
        <v>131</v>
      </c>
      <c r="G3466" s="8" t="s">
        <v>61</v>
      </c>
      <c r="H3466" s="8" t="s">
        <v>215</v>
      </c>
      <c r="I3466" s="3">
        <v>2</v>
      </c>
      <c r="J3466" s="8" t="s">
        <v>181</v>
      </c>
      <c r="K3466" s="8" t="s">
        <v>182</v>
      </c>
      <c r="L3466" s="8" t="s">
        <v>557</v>
      </c>
      <c r="M3466" s="1" t="s">
        <v>205</v>
      </c>
      <c r="N3466" s="8" t="s">
        <v>206</v>
      </c>
      <c r="O3466" s="6">
        <v>0</v>
      </c>
      <c r="P3466" s="6">
        <v>0</v>
      </c>
      <c r="Q3466" s="6">
        <v>0</v>
      </c>
      <c r="R3466" s="6">
        <v>0</v>
      </c>
      <c r="S3466" s="6">
        <v>600</v>
      </c>
    </row>
    <row r="3467" spans="1:19" ht="15" hidden="1" x14ac:dyDescent="0.25">
      <c r="A3467" s="7" t="s">
        <v>16</v>
      </c>
      <c r="B3467" s="7" t="s">
        <v>230</v>
      </c>
      <c r="C3467" s="7" t="s">
        <v>24</v>
      </c>
      <c r="D3467" s="4">
        <v>394544021344</v>
      </c>
      <c r="E3467" s="8" t="s">
        <v>1076</v>
      </c>
      <c r="F3467" s="8" t="s">
        <v>131</v>
      </c>
      <c r="G3467" s="8" t="s">
        <v>61</v>
      </c>
      <c r="H3467" s="8" t="s">
        <v>215</v>
      </c>
      <c r="I3467" s="3">
        <v>2</v>
      </c>
      <c r="J3467" s="8" t="s">
        <v>155</v>
      </c>
      <c r="K3467" s="8" t="s">
        <v>156</v>
      </c>
      <c r="L3467" s="8" t="s">
        <v>556</v>
      </c>
      <c r="M3467" s="1" t="s">
        <v>205</v>
      </c>
      <c r="N3467" s="8" t="s">
        <v>206</v>
      </c>
      <c r="O3467" s="6">
        <v>0</v>
      </c>
      <c r="P3467" s="6">
        <v>0</v>
      </c>
      <c r="Q3467" s="6">
        <v>0</v>
      </c>
      <c r="R3467" s="6">
        <v>0</v>
      </c>
      <c r="S3467" s="6">
        <v>0</v>
      </c>
    </row>
    <row r="3468" spans="1:19" ht="15" hidden="1" x14ac:dyDescent="0.25">
      <c r="A3468" s="7" t="s">
        <v>16</v>
      </c>
      <c r="B3468" s="7" t="s">
        <v>230</v>
      </c>
      <c r="C3468" s="7" t="s">
        <v>24</v>
      </c>
      <c r="D3468" s="4">
        <v>394544021344</v>
      </c>
      <c r="E3468" s="8" t="s">
        <v>1076</v>
      </c>
      <c r="F3468" s="8" t="s">
        <v>131</v>
      </c>
      <c r="G3468" s="8" t="s">
        <v>61</v>
      </c>
      <c r="H3468" s="8" t="s">
        <v>215</v>
      </c>
      <c r="I3468" s="3">
        <v>2</v>
      </c>
      <c r="J3468" s="8" t="s">
        <v>181</v>
      </c>
      <c r="K3468" s="8" t="s">
        <v>182</v>
      </c>
      <c r="L3468" s="8" t="s">
        <v>557</v>
      </c>
      <c r="M3468" s="1" t="s">
        <v>205</v>
      </c>
      <c r="N3468" s="8" t="s">
        <v>206</v>
      </c>
      <c r="O3468" s="6">
        <v>0</v>
      </c>
      <c r="P3468" s="6">
        <v>160</v>
      </c>
      <c r="Q3468" s="6">
        <v>0</v>
      </c>
      <c r="R3468" s="6">
        <v>0</v>
      </c>
      <c r="S3468" s="6">
        <v>0</v>
      </c>
    </row>
    <row r="3469" spans="1:19" ht="15" hidden="1" x14ac:dyDescent="0.25">
      <c r="A3469" s="7" t="s">
        <v>16</v>
      </c>
      <c r="B3469" s="7" t="s">
        <v>230</v>
      </c>
      <c r="C3469" s="7" t="s">
        <v>24</v>
      </c>
      <c r="D3469" s="4">
        <v>2880648000125</v>
      </c>
      <c r="E3469" s="8" t="s">
        <v>1411</v>
      </c>
      <c r="F3469" s="8" t="s">
        <v>131</v>
      </c>
      <c r="G3469" s="8" t="s">
        <v>61</v>
      </c>
      <c r="H3469" s="8" t="s">
        <v>215</v>
      </c>
      <c r="I3469" s="3">
        <v>2</v>
      </c>
      <c r="J3469" s="8" t="s">
        <v>155</v>
      </c>
      <c r="K3469" s="8" t="s">
        <v>156</v>
      </c>
      <c r="L3469" s="8" t="s">
        <v>556</v>
      </c>
      <c r="M3469" s="1" t="s">
        <v>205</v>
      </c>
      <c r="N3469" s="8" t="s">
        <v>206</v>
      </c>
      <c r="O3469" s="6">
        <v>0</v>
      </c>
      <c r="P3469" s="6">
        <v>0</v>
      </c>
      <c r="Q3469" s="6">
        <v>0</v>
      </c>
      <c r="R3469" s="6">
        <v>24</v>
      </c>
      <c r="S3469" s="6">
        <v>0</v>
      </c>
    </row>
    <row r="3470" spans="1:19" ht="15" hidden="1" x14ac:dyDescent="0.25">
      <c r="A3470" s="7" t="s">
        <v>16</v>
      </c>
      <c r="B3470" s="7" t="s">
        <v>230</v>
      </c>
      <c r="C3470" s="7" t="s">
        <v>24</v>
      </c>
      <c r="D3470" s="4">
        <v>2880648000125</v>
      </c>
      <c r="E3470" s="8" t="s">
        <v>1411</v>
      </c>
      <c r="F3470" s="8" t="s">
        <v>131</v>
      </c>
      <c r="G3470" s="8" t="s">
        <v>61</v>
      </c>
      <c r="H3470" s="8" t="s">
        <v>215</v>
      </c>
      <c r="I3470" s="3">
        <v>2</v>
      </c>
      <c r="J3470" s="8" t="s">
        <v>181</v>
      </c>
      <c r="K3470" s="8" t="s">
        <v>182</v>
      </c>
      <c r="L3470" s="8" t="s">
        <v>557</v>
      </c>
      <c r="M3470" s="1" t="s">
        <v>205</v>
      </c>
      <c r="N3470" s="8" t="s">
        <v>206</v>
      </c>
      <c r="O3470" s="6">
        <v>0</v>
      </c>
      <c r="P3470" s="6">
        <v>0</v>
      </c>
      <c r="Q3470" s="6">
        <v>0</v>
      </c>
      <c r="R3470" s="6">
        <v>0</v>
      </c>
      <c r="S3470" s="6">
        <v>0</v>
      </c>
    </row>
    <row r="3471" spans="1:19" ht="15" hidden="1" x14ac:dyDescent="0.25">
      <c r="A3471" s="7" t="s">
        <v>16</v>
      </c>
      <c r="B3471" s="7" t="s">
        <v>230</v>
      </c>
      <c r="C3471" s="7" t="s">
        <v>24</v>
      </c>
      <c r="D3471" s="4">
        <v>33419482000259</v>
      </c>
      <c r="E3471" s="8" t="s">
        <v>1111</v>
      </c>
      <c r="F3471" s="8" t="s">
        <v>131</v>
      </c>
      <c r="G3471" s="8" t="s">
        <v>61</v>
      </c>
      <c r="H3471" s="8" t="s">
        <v>215</v>
      </c>
      <c r="I3471" s="3">
        <v>2</v>
      </c>
      <c r="J3471" s="8" t="s">
        <v>155</v>
      </c>
      <c r="K3471" s="8" t="s">
        <v>156</v>
      </c>
      <c r="L3471" s="8" t="s">
        <v>556</v>
      </c>
      <c r="M3471" s="1" t="s">
        <v>205</v>
      </c>
      <c r="N3471" s="8" t="s">
        <v>206</v>
      </c>
      <c r="O3471" s="6">
        <v>0</v>
      </c>
      <c r="P3471" s="6">
        <v>0</v>
      </c>
      <c r="Q3471" s="6">
        <v>0</v>
      </c>
      <c r="R3471" s="6">
        <v>0</v>
      </c>
      <c r="S3471" s="6">
        <v>0</v>
      </c>
    </row>
    <row r="3472" spans="1:19" ht="15" hidden="1" x14ac:dyDescent="0.25">
      <c r="A3472" s="7" t="s">
        <v>16</v>
      </c>
      <c r="B3472" s="7" t="s">
        <v>230</v>
      </c>
      <c r="C3472" s="7" t="s">
        <v>24</v>
      </c>
      <c r="D3472" s="4">
        <v>33419482000259</v>
      </c>
      <c r="E3472" s="8" t="s">
        <v>1111</v>
      </c>
      <c r="F3472" s="8" t="s">
        <v>131</v>
      </c>
      <c r="G3472" s="8" t="s">
        <v>61</v>
      </c>
      <c r="H3472" s="8" t="s">
        <v>215</v>
      </c>
      <c r="I3472" s="3">
        <v>2</v>
      </c>
      <c r="J3472" s="8" t="s">
        <v>181</v>
      </c>
      <c r="K3472" s="8" t="s">
        <v>182</v>
      </c>
      <c r="L3472" s="8" t="s">
        <v>557</v>
      </c>
      <c r="M3472" s="1" t="s">
        <v>205</v>
      </c>
      <c r="N3472" s="8" t="s">
        <v>206</v>
      </c>
      <c r="O3472" s="6">
        <v>0</v>
      </c>
      <c r="P3472" s="6">
        <v>4</v>
      </c>
      <c r="Q3472" s="6">
        <v>8</v>
      </c>
      <c r="R3472" s="6">
        <v>0</v>
      </c>
      <c r="S3472" s="6">
        <v>0</v>
      </c>
    </row>
    <row r="3473" spans="1:19" ht="15" hidden="1" x14ac:dyDescent="0.25">
      <c r="A3473" s="7" t="s">
        <v>16</v>
      </c>
      <c r="B3473" s="7" t="s">
        <v>230</v>
      </c>
      <c r="C3473" s="7" t="s">
        <v>24</v>
      </c>
      <c r="D3473" s="4">
        <v>72101124000506</v>
      </c>
      <c r="E3473" s="8" t="s">
        <v>1126</v>
      </c>
      <c r="F3473" s="8" t="s">
        <v>131</v>
      </c>
      <c r="G3473" s="8" t="s">
        <v>61</v>
      </c>
      <c r="H3473" s="8" t="s">
        <v>215</v>
      </c>
      <c r="I3473" s="3">
        <v>2</v>
      </c>
      <c r="J3473" s="8" t="s">
        <v>155</v>
      </c>
      <c r="K3473" s="8" t="s">
        <v>156</v>
      </c>
      <c r="L3473" s="8" t="s">
        <v>556</v>
      </c>
      <c r="M3473" s="1" t="s">
        <v>205</v>
      </c>
      <c r="N3473" s="8" t="s">
        <v>206</v>
      </c>
      <c r="O3473" s="6">
        <v>0</v>
      </c>
      <c r="P3473" s="6">
        <v>0</v>
      </c>
      <c r="Q3473" s="6">
        <v>0</v>
      </c>
      <c r="R3473" s="6">
        <v>139</v>
      </c>
      <c r="S3473" s="6">
        <v>505</v>
      </c>
    </row>
    <row r="3474" spans="1:19" ht="15" hidden="1" x14ac:dyDescent="0.25">
      <c r="A3474" s="7" t="s">
        <v>16</v>
      </c>
      <c r="B3474" s="7" t="s">
        <v>230</v>
      </c>
      <c r="C3474" s="7" t="s">
        <v>24</v>
      </c>
      <c r="D3474" s="4">
        <v>72101124000506</v>
      </c>
      <c r="E3474" s="8" t="s">
        <v>1126</v>
      </c>
      <c r="F3474" s="8" t="s">
        <v>131</v>
      </c>
      <c r="G3474" s="8" t="s">
        <v>61</v>
      </c>
      <c r="H3474" s="8" t="s">
        <v>215</v>
      </c>
      <c r="I3474" s="3">
        <v>2</v>
      </c>
      <c r="J3474" s="8" t="s">
        <v>181</v>
      </c>
      <c r="K3474" s="8" t="s">
        <v>182</v>
      </c>
      <c r="L3474" s="8" t="s">
        <v>557</v>
      </c>
      <c r="M3474" s="1" t="s">
        <v>205</v>
      </c>
      <c r="N3474" s="8" t="s">
        <v>206</v>
      </c>
      <c r="O3474" s="6">
        <v>0</v>
      </c>
      <c r="P3474" s="6">
        <v>0</v>
      </c>
      <c r="Q3474" s="6">
        <v>0</v>
      </c>
      <c r="R3474" s="6">
        <v>0</v>
      </c>
      <c r="S3474" s="6">
        <v>505</v>
      </c>
    </row>
    <row r="3475" spans="1:19" ht="15" hidden="1" x14ac:dyDescent="0.25">
      <c r="A3475" s="7" t="s">
        <v>16</v>
      </c>
      <c r="B3475" s="7" t="s">
        <v>230</v>
      </c>
      <c r="C3475" s="7" t="s">
        <v>24</v>
      </c>
      <c r="D3475" s="4">
        <v>28000107000159</v>
      </c>
      <c r="E3475" s="8" t="s">
        <v>1099</v>
      </c>
      <c r="F3475" s="8" t="s">
        <v>131</v>
      </c>
      <c r="G3475" s="8" t="s">
        <v>61</v>
      </c>
      <c r="H3475" s="8" t="s">
        <v>215</v>
      </c>
      <c r="I3475" s="3">
        <v>2</v>
      </c>
      <c r="J3475" s="8" t="s">
        <v>155</v>
      </c>
      <c r="K3475" s="8" t="s">
        <v>156</v>
      </c>
      <c r="L3475" s="8" t="s">
        <v>556</v>
      </c>
      <c r="M3475" s="1" t="s">
        <v>205</v>
      </c>
      <c r="N3475" s="8" t="s">
        <v>206</v>
      </c>
      <c r="O3475" s="6">
        <v>0</v>
      </c>
      <c r="P3475" s="6">
        <v>0</v>
      </c>
      <c r="Q3475" s="6">
        <v>0</v>
      </c>
      <c r="R3475" s="6">
        <v>94</v>
      </c>
      <c r="S3475" s="6">
        <v>120</v>
      </c>
    </row>
    <row r="3476" spans="1:19" ht="15" hidden="1" x14ac:dyDescent="0.25">
      <c r="A3476" s="7" t="s">
        <v>16</v>
      </c>
      <c r="B3476" s="7" t="s">
        <v>230</v>
      </c>
      <c r="C3476" s="7" t="s">
        <v>24</v>
      </c>
      <c r="D3476" s="4">
        <v>28000107000159</v>
      </c>
      <c r="E3476" s="8" t="s">
        <v>1099</v>
      </c>
      <c r="F3476" s="8" t="s">
        <v>131</v>
      </c>
      <c r="G3476" s="8" t="s">
        <v>61</v>
      </c>
      <c r="H3476" s="8" t="s">
        <v>215</v>
      </c>
      <c r="I3476" s="3">
        <v>2</v>
      </c>
      <c r="J3476" s="8" t="s">
        <v>181</v>
      </c>
      <c r="K3476" s="8" t="s">
        <v>182</v>
      </c>
      <c r="L3476" s="8" t="s">
        <v>557</v>
      </c>
      <c r="M3476" s="1" t="s">
        <v>205</v>
      </c>
      <c r="N3476" s="8" t="s">
        <v>206</v>
      </c>
      <c r="O3476" s="6">
        <v>0</v>
      </c>
      <c r="P3476" s="6">
        <v>0</v>
      </c>
      <c r="Q3476" s="6">
        <v>0</v>
      </c>
      <c r="R3476" s="6">
        <v>0</v>
      </c>
      <c r="S3476" s="6">
        <v>120</v>
      </c>
    </row>
    <row r="3477" spans="1:19" ht="15" hidden="1" x14ac:dyDescent="0.25">
      <c r="A3477" s="7" t="s">
        <v>16</v>
      </c>
      <c r="B3477" s="7" t="s">
        <v>230</v>
      </c>
      <c r="C3477" s="7" t="s">
        <v>24</v>
      </c>
      <c r="D3477" s="4">
        <v>92929000198</v>
      </c>
      <c r="E3477" s="8" t="s">
        <v>1327</v>
      </c>
      <c r="F3477" s="8" t="s">
        <v>131</v>
      </c>
      <c r="G3477" s="8" t="s">
        <v>61</v>
      </c>
      <c r="H3477" s="8" t="s">
        <v>215</v>
      </c>
      <c r="I3477" s="3">
        <v>2</v>
      </c>
      <c r="J3477" s="8" t="s">
        <v>155</v>
      </c>
      <c r="K3477" s="8" t="s">
        <v>156</v>
      </c>
      <c r="L3477" s="8" t="s">
        <v>556</v>
      </c>
      <c r="M3477" s="1" t="s">
        <v>205</v>
      </c>
      <c r="N3477" s="8" t="s">
        <v>206</v>
      </c>
      <c r="O3477" s="6">
        <v>0</v>
      </c>
      <c r="P3477" s="6">
        <v>0</v>
      </c>
      <c r="Q3477" s="6">
        <v>0</v>
      </c>
      <c r="R3477" s="6">
        <v>132</v>
      </c>
      <c r="S3477" s="6">
        <v>0</v>
      </c>
    </row>
    <row r="3478" spans="1:19" ht="15" hidden="1" x14ac:dyDescent="0.25">
      <c r="A3478" s="7" t="s">
        <v>16</v>
      </c>
      <c r="B3478" s="7" t="s">
        <v>230</v>
      </c>
      <c r="C3478" s="7" t="s">
        <v>24</v>
      </c>
      <c r="D3478" s="4">
        <v>92929000198</v>
      </c>
      <c r="E3478" s="8" t="s">
        <v>1327</v>
      </c>
      <c r="F3478" s="8" t="s">
        <v>131</v>
      </c>
      <c r="G3478" s="8" t="s">
        <v>61</v>
      </c>
      <c r="H3478" s="8" t="s">
        <v>215</v>
      </c>
      <c r="I3478" s="3">
        <v>2</v>
      </c>
      <c r="J3478" s="8" t="s">
        <v>181</v>
      </c>
      <c r="K3478" s="8" t="s">
        <v>182</v>
      </c>
      <c r="L3478" s="8" t="s">
        <v>557</v>
      </c>
      <c r="M3478" s="1" t="s">
        <v>205</v>
      </c>
      <c r="N3478" s="8" t="s">
        <v>206</v>
      </c>
      <c r="O3478" s="6">
        <v>0</v>
      </c>
      <c r="P3478" s="6">
        <v>0</v>
      </c>
      <c r="Q3478" s="6">
        <v>0</v>
      </c>
      <c r="R3478" s="6">
        <v>0</v>
      </c>
      <c r="S3478" s="6">
        <v>0</v>
      </c>
    </row>
    <row r="3479" spans="1:19" ht="15" hidden="1" x14ac:dyDescent="0.25">
      <c r="A3479" s="7" t="s">
        <v>16</v>
      </c>
      <c r="B3479" s="7" t="s">
        <v>230</v>
      </c>
      <c r="C3479" s="7" t="s">
        <v>24</v>
      </c>
      <c r="D3479" s="4">
        <v>42498733000148</v>
      </c>
      <c r="E3479" s="8" t="s">
        <v>1221</v>
      </c>
      <c r="F3479" s="8" t="s">
        <v>131</v>
      </c>
      <c r="G3479" s="8" t="s">
        <v>61</v>
      </c>
      <c r="H3479" s="8" t="s">
        <v>215</v>
      </c>
      <c r="I3479" s="3">
        <v>2</v>
      </c>
      <c r="J3479" s="8" t="s">
        <v>155</v>
      </c>
      <c r="K3479" s="8" t="s">
        <v>156</v>
      </c>
      <c r="L3479" s="8" t="s">
        <v>556</v>
      </c>
      <c r="M3479" s="1" t="s">
        <v>205</v>
      </c>
      <c r="N3479" s="8" t="s">
        <v>206</v>
      </c>
      <c r="O3479" s="6">
        <v>0</v>
      </c>
      <c r="P3479" s="6">
        <v>0</v>
      </c>
      <c r="Q3479" s="6">
        <v>0</v>
      </c>
      <c r="R3479" s="6">
        <v>0</v>
      </c>
      <c r="S3479" s="6">
        <v>730</v>
      </c>
    </row>
    <row r="3480" spans="1:19" ht="15" hidden="1" x14ac:dyDescent="0.25">
      <c r="A3480" s="7" t="s">
        <v>16</v>
      </c>
      <c r="B3480" s="7" t="s">
        <v>230</v>
      </c>
      <c r="C3480" s="7" t="s">
        <v>24</v>
      </c>
      <c r="D3480" s="4">
        <v>42498733000148</v>
      </c>
      <c r="E3480" s="8" t="s">
        <v>1221</v>
      </c>
      <c r="F3480" s="8" t="s">
        <v>131</v>
      </c>
      <c r="G3480" s="8" t="s">
        <v>61</v>
      </c>
      <c r="H3480" s="8" t="s">
        <v>215</v>
      </c>
      <c r="I3480" s="3">
        <v>2</v>
      </c>
      <c r="J3480" s="8" t="s">
        <v>181</v>
      </c>
      <c r="K3480" s="8" t="s">
        <v>182</v>
      </c>
      <c r="L3480" s="8" t="s">
        <v>557</v>
      </c>
      <c r="M3480" s="1" t="s">
        <v>205</v>
      </c>
      <c r="N3480" s="8" t="s">
        <v>206</v>
      </c>
      <c r="O3480" s="6">
        <v>0</v>
      </c>
      <c r="P3480" s="6">
        <v>0</v>
      </c>
      <c r="Q3480" s="6">
        <v>0</v>
      </c>
      <c r="R3480" s="6">
        <v>0</v>
      </c>
      <c r="S3480" s="6">
        <v>730</v>
      </c>
    </row>
    <row r="3481" spans="1:19" ht="15" hidden="1" x14ac:dyDescent="0.25">
      <c r="A3481" s="7" t="s">
        <v>16</v>
      </c>
      <c r="B3481" s="7" t="s">
        <v>230</v>
      </c>
      <c r="C3481" s="7" t="s">
        <v>24</v>
      </c>
      <c r="D3481" s="4">
        <v>33540014000157</v>
      </c>
      <c r="E3481" s="8" t="s">
        <v>1112</v>
      </c>
      <c r="F3481" s="8" t="s">
        <v>131</v>
      </c>
      <c r="G3481" s="8" t="s">
        <v>61</v>
      </c>
      <c r="H3481" s="8" t="s">
        <v>215</v>
      </c>
      <c r="I3481" s="3">
        <v>2</v>
      </c>
      <c r="J3481" s="8" t="s">
        <v>155</v>
      </c>
      <c r="K3481" s="8" t="s">
        <v>156</v>
      </c>
      <c r="L3481" s="8" t="s">
        <v>556</v>
      </c>
      <c r="M3481" s="1" t="s">
        <v>205</v>
      </c>
      <c r="N3481" s="8" t="s">
        <v>206</v>
      </c>
      <c r="O3481" s="6">
        <v>0</v>
      </c>
      <c r="P3481" s="6">
        <v>0</v>
      </c>
      <c r="Q3481" s="6">
        <v>0</v>
      </c>
      <c r="R3481" s="6">
        <v>0</v>
      </c>
      <c r="S3481" s="6">
        <v>120</v>
      </c>
    </row>
    <row r="3482" spans="1:19" ht="15" hidden="1" x14ac:dyDescent="0.25">
      <c r="A3482" s="7" t="s">
        <v>16</v>
      </c>
      <c r="B3482" s="7" t="s">
        <v>230</v>
      </c>
      <c r="C3482" s="7" t="s">
        <v>24</v>
      </c>
      <c r="D3482" s="4">
        <v>33540014000157</v>
      </c>
      <c r="E3482" s="8" t="s">
        <v>1112</v>
      </c>
      <c r="F3482" s="8" t="s">
        <v>131</v>
      </c>
      <c r="G3482" s="8" t="s">
        <v>61</v>
      </c>
      <c r="H3482" s="8" t="s">
        <v>215</v>
      </c>
      <c r="I3482" s="3">
        <v>2</v>
      </c>
      <c r="J3482" s="8" t="s">
        <v>181</v>
      </c>
      <c r="K3482" s="8" t="s">
        <v>182</v>
      </c>
      <c r="L3482" s="8" t="s">
        <v>557</v>
      </c>
      <c r="M3482" s="1" t="s">
        <v>205</v>
      </c>
      <c r="N3482" s="8" t="s">
        <v>206</v>
      </c>
      <c r="O3482" s="6">
        <v>0</v>
      </c>
      <c r="P3482" s="6">
        <v>0</v>
      </c>
      <c r="Q3482" s="6">
        <v>0</v>
      </c>
      <c r="R3482" s="6">
        <v>0</v>
      </c>
      <c r="S3482" s="6">
        <v>120</v>
      </c>
    </row>
    <row r="3483" spans="1:19" ht="15" hidden="1" x14ac:dyDescent="0.25">
      <c r="A3483" s="7" t="s">
        <v>16</v>
      </c>
      <c r="B3483" s="7" t="s">
        <v>230</v>
      </c>
      <c r="C3483" s="7" t="s">
        <v>24</v>
      </c>
      <c r="D3483" s="4">
        <v>9219138000401</v>
      </c>
      <c r="E3483" s="8" t="s">
        <v>1087</v>
      </c>
      <c r="F3483" s="8" t="s">
        <v>131</v>
      </c>
      <c r="G3483" s="8" t="s">
        <v>61</v>
      </c>
      <c r="H3483" s="8" t="s">
        <v>215</v>
      </c>
      <c r="I3483" s="3">
        <v>2</v>
      </c>
      <c r="J3483" s="8" t="s">
        <v>155</v>
      </c>
      <c r="K3483" s="8" t="s">
        <v>156</v>
      </c>
      <c r="L3483" s="8" t="s">
        <v>556</v>
      </c>
      <c r="M3483" s="1" t="s">
        <v>205</v>
      </c>
      <c r="N3483" s="8" t="s">
        <v>206</v>
      </c>
      <c r="O3483" s="6">
        <v>0</v>
      </c>
      <c r="P3483" s="6">
        <v>0</v>
      </c>
      <c r="Q3483" s="6">
        <v>0</v>
      </c>
      <c r="R3483" s="6">
        <v>120</v>
      </c>
      <c r="S3483" s="6">
        <v>425</v>
      </c>
    </row>
    <row r="3484" spans="1:19" ht="15" hidden="1" x14ac:dyDescent="0.25">
      <c r="A3484" s="7" t="s">
        <v>16</v>
      </c>
      <c r="B3484" s="7" t="s">
        <v>230</v>
      </c>
      <c r="C3484" s="7" t="s">
        <v>24</v>
      </c>
      <c r="D3484" s="4">
        <v>9219138000401</v>
      </c>
      <c r="E3484" s="8" t="s">
        <v>1087</v>
      </c>
      <c r="F3484" s="8" t="s">
        <v>131</v>
      </c>
      <c r="G3484" s="8" t="s">
        <v>61</v>
      </c>
      <c r="H3484" s="8" t="s">
        <v>215</v>
      </c>
      <c r="I3484" s="3">
        <v>2</v>
      </c>
      <c r="J3484" s="8" t="s">
        <v>181</v>
      </c>
      <c r="K3484" s="8" t="s">
        <v>182</v>
      </c>
      <c r="L3484" s="8" t="s">
        <v>557</v>
      </c>
      <c r="M3484" s="1" t="s">
        <v>205</v>
      </c>
      <c r="N3484" s="8" t="s">
        <v>206</v>
      </c>
      <c r="O3484" s="6">
        <v>0</v>
      </c>
      <c r="P3484" s="6">
        <v>0</v>
      </c>
      <c r="Q3484" s="6">
        <v>0</v>
      </c>
      <c r="R3484" s="6">
        <v>0</v>
      </c>
      <c r="S3484" s="6">
        <v>425</v>
      </c>
    </row>
    <row r="3485" spans="1:19" ht="15" hidden="1" x14ac:dyDescent="0.25">
      <c r="A3485" s="7" t="s">
        <v>16</v>
      </c>
      <c r="B3485" s="7" t="s">
        <v>230</v>
      </c>
      <c r="C3485" s="7" t="s">
        <v>24</v>
      </c>
      <c r="D3485" s="4">
        <v>9219138000584</v>
      </c>
      <c r="E3485" s="8" t="s">
        <v>1088</v>
      </c>
      <c r="F3485" s="8" t="s">
        <v>131</v>
      </c>
      <c r="G3485" s="8" t="s">
        <v>61</v>
      </c>
      <c r="H3485" s="8" t="s">
        <v>215</v>
      </c>
      <c r="I3485" s="3">
        <v>2</v>
      </c>
      <c r="J3485" s="8" t="s">
        <v>155</v>
      </c>
      <c r="K3485" s="8" t="s">
        <v>156</v>
      </c>
      <c r="L3485" s="8" t="s">
        <v>556</v>
      </c>
      <c r="M3485" s="1" t="s">
        <v>205</v>
      </c>
      <c r="N3485" s="8" t="s">
        <v>206</v>
      </c>
      <c r="O3485" s="6">
        <v>0</v>
      </c>
      <c r="P3485" s="6">
        <v>0</v>
      </c>
      <c r="Q3485" s="6">
        <v>0</v>
      </c>
      <c r="R3485" s="6">
        <v>124</v>
      </c>
      <c r="S3485" s="6">
        <v>530</v>
      </c>
    </row>
    <row r="3486" spans="1:19" ht="15" hidden="1" x14ac:dyDescent="0.25">
      <c r="A3486" s="7" t="s">
        <v>16</v>
      </c>
      <c r="B3486" s="7" t="s">
        <v>230</v>
      </c>
      <c r="C3486" s="7" t="s">
        <v>24</v>
      </c>
      <c r="D3486" s="4">
        <v>9219138000584</v>
      </c>
      <c r="E3486" s="8" t="s">
        <v>1088</v>
      </c>
      <c r="F3486" s="8" t="s">
        <v>131</v>
      </c>
      <c r="G3486" s="8" t="s">
        <v>61</v>
      </c>
      <c r="H3486" s="8" t="s">
        <v>215</v>
      </c>
      <c r="I3486" s="3">
        <v>2</v>
      </c>
      <c r="J3486" s="8" t="s">
        <v>173</v>
      </c>
      <c r="K3486" s="8" t="s">
        <v>174</v>
      </c>
      <c r="L3486" s="8" t="s">
        <v>557</v>
      </c>
      <c r="M3486" s="1" t="s">
        <v>205</v>
      </c>
      <c r="N3486" s="8" t="s">
        <v>206</v>
      </c>
      <c r="O3486" s="6">
        <v>0</v>
      </c>
      <c r="P3486" s="6">
        <v>10</v>
      </c>
      <c r="Q3486" s="6">
        <v>0</v>
      </c>
      <c r="R3486" s="6">
        <v>0</v>
      </c>
      <c r="S3486" s="6">
        <v>530</v>
      </c>
    </row>
    <row r="3487" spans="1:19" ht="15" hidden="1" x14ac:dyDescent="0.25">
      <c r="A3487" s="7" t="s">
        <v>16</v>
      </c>
      <c r="B3487" s="7" t="s">
        <v>230</v>
      </c>
      <c r="C3487" s="7" t="s">
        <v>24</v>
      </c>
      <c r="D3487" s="4">
        <v>28602407000108</v>
      </c>
      <c r="E3487" s="8" t="s">
        <v>1100</v>
      </c>
      <c r="F3487" s="8" t="s">
        <v>131</v>
      </c>
      <c r="G3487" s="8" t="s">
        <v>61</v>
      </c>
      <c r="H3487" s="8" t="s">
        <v>215</v>
      </c>
      <c r="I3487" s="3">
        <v>2</v>
      </c>
      <c r="J3487" s="8" t="s">
        <v>155</v>
      </c>
      <c r="K3487" s="8" t="s">
        <v>156</v>
      </c>
      <c r="L3487" s="8" t="s">
        <v>556</v>
      </c>
      <c r="M3487" s="1" t="s">
        <v>205</v>
      </c>
      <c r="N3487" s="8" t="s">
        <v>206</v>
      </c>
      <c r="O3487" s="6">
        <v>0</v>
      </c>
      <c r="P3487" s="6">
        <v>0</v>
      </c>
      <c r="Q3487" s="6">
        <v>0</v>
      </c>
      <c r="R3487" s="6">
        <v>2</v>
      </c>
      <c r="S3487" s="6">
        <v>0</v>
      </c>
    </row>
    <row r="3488" spans="1:19" ht="15" hidden="1" x14ac:dyDescent="0.25">
      <c r="A3488" s="7" t="s">
        <v>16</v>
      </c>
      <c r="B3488" s="7" t="s">
        <v>230</v>
      </c>
      <c r="C3488" s="7" t="s">
        <v>24</v>
      </c>
      <c r="D3488" s="4">
        <v>28602407000108</v>
      </c>
      <c r="E3488" s="8" t="s">
        <v>1100</v>
      </c>
      <c r="F3488" s="8" t="s">
        <v>131</v>
      </c>
      <c r="G3488" s="8" t="s">
        <v>61</v>
      </c>
      <c r="H3488" s="8" t="s">
        <v>215</v>
      </c>
      <c r="I3488" s="3">
        <v>2</v>
      </c>
      <c r="J3488" s="8" t="s">
        <v>181</v>
      </c>
      <c r="K3488" s="8" t="s">
        <v>182</v>
      </c>
      <c r="L3488" s="8" t="s">
        <v>557</v>
      </c>
      <c r="M3488" s="1" t="s">
        <v>205</v>
      </c>
      <c r="N3488" s="8" t="s">
        <v>206</v>
      </c>
      <c r="O3488" s="6">
        <v>0</v>
      </c>
      <c r="P3488" s="6">
        <v>0</v>
      </c>
      <c r="Q3488" s="6">
        <v>0</v>
      </c>
      <c r="R3488" s="6">
        <v>0</v>
      </c>
      <c r="S3488" s="6">
        <v>0</v>
      </c>
    </row>
    <row r="3489" spans="1:19" ht="15" hidden="1" x14ac:dyDescent="0.25">
      <c r="A3489" s="7" t="s">
        <v>16</v>
      </c>
      <c r="B3489" s="7" t="s">
        <v>230</v>
      </c>
      <c r="C3489" s="7" t="s">
        <v>24</v>
      </c>
      <c r="D3489" s="4">
        <v>30358881000188</v>
      </c>
      <c r="E3489" s="8" t="s">
        <v>1407</v>
      </c>
      <c r="F3489" s="8" t="s">
        <v>1215</v>
      </c>
      <c r="G3489" s="8" t="s">
        <v>61</v>
      </c>
      <c r="H3489" s="8" t="s">
        <v>215</v>
      </c>
      <c r="I3489" s="3">
        <v>2</v>
      </c>
      <c r="J3489" s="8" t="s">
        <v>155</v>
      </c>
      <c r="K3489" s="8" t="s">
        <v>156</v>
      </c>
      <c r="L3489" s="8" t="s">
        <v>556</v>
      </c>
      <c r="M3489" s="1" t="s">
        <v>205</v>
      </c>
      <c r="N3489" s="8" t="s">
        <v>206</v>
      </c>
      <c r="O3489" s="6">
        <v>0</v>
      </c>
      <c r="P3489" s="6">
        <v>0</v>
      </c>
      <c r="Q3489" s="6">
        <v>0</v>
      </c>
      <c r="R3489" s="6">
        <v>0</v>
      </c>
      <c r="S3489" s="6">
        <v>200</v>
      </c>
    </row>
    <row r="3490" spans="1:19" ht="15" hidden="1" x14ac:dyDescent="0.25">
      <c r="A3490" s="7" t="s">
        <v>16</v>
      </c>
      <c r="B3490" s="7" t="s">
        <v>230</v>
      </c>
      <c r="C3490" s="7" t="s">
        <v>24</v>
      </c>
      <c r="D3490" s="4">
        <v>30358881000188</v>
      </c>
      <c r="E3490" s="8" t="s">
        <v>1407</v>
      </c>
      <c r="F3490" s="8" t="s">
        <v>1215</v>
      </c>
      <c r="G3490" s="8" t="s">
        <v>61</v>
      </c>
      <c r="H3490" s="8" t="s">
        <v>215</v>
      </c>
      <c r="I3490" s="3">
        <v>2</v>
      </c>
      <c r="J3490" s="8" t="s">
        <v>173</v>
      </c>
      <c r="K3490" s="8" t="s">
        <v>174</v>
      </c>
      <c r="L3490" s="8" t="s">
        <v>557</v>
      </c>
      <c r="M3490" s="1" t="s">
        <v>205</v>
      </c>
      <c r="N3490" s="8" t="s">
        <v>206</v>
      </c>
      <c r="O3490" s="6">
        <v>0</v>
      </c>
      <c r="P3490" s="6">
        <v>0</v>
      </c>
      <c r="Q3490" s="6">
        <v>0</v>
      </c>
      <c r="R3490" s="6">
        <v>0</v>
      </c>
      <c r="S3490" s="6">
        <v>200</v>
      </c>
    </row>
    <row r="3491" spans="1:19" ht="15" hidden="1" x14ac:dyDescent="0.25">
      <c r="A3491" s="7" t="s">
        <v>16</v>
      </c>
      <c r="B3491" s="7" t="s">
        <v>230</v>
      </c>
      <c r="C3491" s="7" t="s">
        <v>24</v>
      </c>
      <c r="D3491" s="4">
        <v>31684384000132</v>
      </c>
      <c r="E3491" s="8" t="s">
        <v>1408</v>
      </c>
      <c r="F3491" s="8" t="s">
        <v>1215</v>
      </c>
      <c r="G3491" s="8" t="s">
        <v>61</v>
      </c>
      <c r="H3491" s="8" t="s">
        <v>215</v>
      </c>
      <c r="I3491" s="3">
        <v>2</v>
      </c>
      <c r="J3491" s="8" t="s">
        <v>155</v>
      </c>
      <c r="K3491" s="8" t="s">
        <v>156</v>
      </c>
      <c r="L3491" s="8" t="s">
        <v>556</v>
      </c>
      <c r="M3491" s="1" t="s">
        <v>205</v>
      </c>
      <c r="N3491" s="8" t="s">
        <v>206</v>
      </c>
      <c r="O3491" s="6">
        <v>0</v>
      </c>
      <c r="P3491" s="6">
        <v>0</v>
      </c>
      <c r="Q3491" s="6">
        <v>0</v>
      </c>
      <c r="R3491" s="6">
        <v>0</v>
      </c>
      <c r="S3491" s="6">
        <v>50</v>
      </c>
    </row>
    <row r="3492" spans="1:19" ht="15" hidden="1" x14ac:dyDescent="0.25">
      <c r="A3492" s="7" t="s">
        <v>16</v>
      </c>
      <c r="B3492" s="7" t="s">
        <v>230</v>
      </c>
      <c r="C3492" s="7" t="s">
        <v>24</v>
      </c>
      <c r="D3492" s="4">
        <v>31684384000132</v>
      </c>
      <c r="E3492" s="8" t="s">
        <v>1408</v>
      </c>
      <c r="F3492" s="8" t="s">
        <v>1215</v>
      </c>
      <c r="G3492" s="8" t="s">
        <v>61</v>
      </c>
      <c r="H3492" s="8" t="s">
        <v>215</v>
      </c>
      <c r="I3492" s="3">
        <v>2</v>
      </c>
      <c r="J3492" s="8" t="s">
        <v>173</v>
      </c>
      <c r="K3492" s="8" t="s">
        <v>174</v>
      </c>
      <c r="L3492" s="8" t="s">
        <v>557</v>
      </c>
      <c r="M3492" s="1" t="s">
        <v>205</v>
      </c>
      <c r="N3492" s="8" t="s">
        <v>206</v>
      </c>
      <c r="O3492" s="6">
        <v>0</v>
      </c>
      <c r="P3492" s="6">
        <v>0</v>
      </c>
      <c r="Q3492" s="6">
        <v>0</v>
      </c>
      <c r="R3492" s="6">
        <v>0</v>
      </c>
      <c r="S3492" s="6">
        <v>50</v>
      </c>
    </row>
    <row r="3493" spans="1:19" ht="15" hidden="1" x14ac:dyDescent="0.25">
      <c r="A3493" s="7" t="s">
        <v>16</v>
      </c>
      <c r="B3493" s="7" t="s">
        <v>230</v>
      </c>
      <c r="C3493" s="7" t="s">
        <v>24</v>
      </c>
      <c r="D3493" s="4">
        <v>35917970000726</v>
      </c>
      <c r="E3493" s="8" t="s">
        <v>1062</v>
      </c>
      <c r="F3493" s="8" t="s">
        <v>105</v>
      </c>
      <c r="G3493" s="8" t="s">
        <v>61</v>
      </c>
      <c r="H3493" s="8" t="s">
        <v>215</v>
      </c>
      <c r="I3493" s="3">
        <v>2</v>
      </c>
      <c r="J3493" s="8" t="s">
        <v>155</v>
      </c>
      <c r="K3493" s="8" t="s">
        <v>156</v>
      </c>
      <c r="L3493" s="8" t="s">
        <v>556</v>
      </c>
      <c r="M3493" s="1" t="s">
        <v>205</v>
      </c>
      <c r="N3493" s="8" t="s">
        <v>206</v>
      </c>
      <c r="O3493" s="6">
        <v>0</v>
      </c>
      <c r="P3493" s="6">
        <v>0</v>
      </c>
      <c r="Q3493" s="6">
        <v>0</v>
      </c>
      <c r="R3493" s="6">
        <v>3</v>
      </c>
      <c r="S3493" s="6">
        <v>0</v>
      </c>
    </row>
    <row r="3494" spans="1:19" ht="15" hidden="1" x14ac:dyDescent="0.25">
      <c r="A3494" s="7" t="s">
        <v>16</v>
      </c>
      <c r="B3494" s="7" t="s">
        <v>230</v>
      </c>
      <c r="C3494" s="7" t="s">
        <v>24</v>
      </c>
      <c r="D3494" s="4">
        <v>35917970000726</v>
      </c>
      <c r="E3494" s="8" t="s">
        <v>1062</v>
      </c>
      <c r="F3494" s="8" t="s">
        <v>105</v>
      </c>
      <c r="G3494" s="8" t="s">
        <v>61</v>
      </c>
      <c r="H3494" s="8" t="s">
        <v>215</v>
      </c>
      <c r="I3494" s="3">
        <v>2</v>
      </c>
      <c r="J3494" s="8" t="s">
        <v>173</v>
      </c>
      <c r="K3494" s="8" t="s">
        <v>174</v>
      </c>
      <c r="L3494" s="8" t="s">
        <v>557</v>
      </c>
      <c r="M3494" s="1" t="s">
        <v>205</v>
      </c>
      <c r="N3494" s="8" t="s">
        <v>206</v>
      </c>
      <c r="O3494" s="6">
        <v>0</v>
      </c>
      <c r="P3494" s="6">
        <v>0</v>
      </c>
      <c r="Q3494" s="6">
        <v>0</v>
      </c>
      <c r="R3494" s="6">
        <v>0</v>
      </c>
      <c r="S3494" s="6">
        <v>0</v>
      </c>
    </row>
    <row r="3495" spans="1:19" ht="15" hidden="1" x14ac:dyDescent="0.25">
      <c r="A3495" s="7" t="s">
        <v>16</v>
      </c>
      <c r="B3495" s="7" t="s">
        <v>230</v>
      </c>
      <c r="C3495" s="7" t="s">
        <v>24</v>
      </c>
      <c r="D3495" s="4">
        <v>1507901000137</v>
      </c>
      <c r="E3495" s="8" t="s">
        <v>765</v>
      </c>
      <c r="F3495" s="8" t="s">
        <v>62</v>
      </c>
      <c r="G3495" s="8" t="s">
        <v>63</v>
      </c>
      <c r="H3495" s="8" t="s">
        <v>215</v>
      </c>
      <c r="I3495" s="3">
        <v>2</v>
      </c>
      <c r="J3495" s="8" t="s">
        <v>199</v>
      </c>
      <c r="K3495" s="8" t="s">
        <v>200</v>
      </c>
      <c r="L3495" s="8" t="s">
        <v>556</v>
      </c>
      <c r="M3495" s="1" t="s">
        <v>211</v>
      </c>
      <c r="N3495" s="8" t="s">
        <v>212</v>
      </c>
      <c r="O3495" s="6">
        <v>0</v>
      </c>
      <c r="P3495" s="6">
        <v>0</v>
      </c>
      <c r="Q3495" s="6">
        <v>0</v>
      </c>
      <c r="R3495" s="6">
        <v>0</v>
      </c>
      <c r="S3495" s="6">
        <v>75</v>
      </c>
    </row>
    <row r="3496" spans="1:19" ht="15" hidden="1" x14ac:dyDescent="0.25">
      <c r="A3496" s="7" t="s">
        <v>16</v>
      </c>
      <c r="B3496" s="7" t="s">
        <v>230</v>
      </c>
      <c r="C3496" s="7" t="s">
        <v>24</v>
      </c>
      <c r="D3496" s="4">
        <v>1507901000137</v>
      </c>
      <c r="E3496" s="8" t="s">
        <v>765</v>
      </c>
      <c r="F3496" s="8" t="s">
        <v>62</v>
      </c>
      <c r="G3496" s="8" t="s">
        <v>63</v>
      </c>
      <c r="H3496" s="8" t="s">
        <v>215</v>
      </c>
      <c r="I3496" s="3">
        <v>2</v>
      </c>
      <c r="J3496" s="8" t="s">
        <v>169</v>
      </c>
      <c r="K3496" s="8" t="s">
        <v>170</v>
      </c>
      <c r="L3496" s="8" t="s">
        <v>557</v>
      </c>
      <c r="M3496" s="1" t="s">
        <v>211</v>
      </c>
      <c r="N3496" s="8" t="s">
        <v>212</v>
      </c>
      <c r="O3496" s="6">
        <v>0</v>
      </c>
      <c r="P3496" s="6">
        <v>0</v>
      </c>
      <c r="Q3496" s="6">
        <v>0</v>
      </c>
      <c r="R3496" s="6">
        <v>0</v>
      </c>
      <c r="S3496" s="6">
        <v>75</v>
      </c>
    </row>
    <row r="3497" spans="1:19" ht="15" hidden="1" x14ac:dyDescent="0.25">
      <c r="A3497" s="7" t="s">
        <v>16</v>
      </c>
      <c r="B3497" s="7" t="s">
        <v>230</v>
      </c>
      <c r="C3497" s="7" t="s">
        <v>24</v>
      </c>
      <c r="D3497" s="4">
        <v>88645403001372</v>
      </c>
      <c r="E3497" s="8" t="s">
        <v>1025</v>
      </c>
      <c r="F3497" s="8" t="s">
        <v>66</v>
      </c>
      <c r="G3497" s="8" t="s">
        <v>67</v>
      </c>
      <c r="H3497" s="8" t="s">
        <v>215</v>
      </c>
      <c r="I3497" s="3">
        <v>2</v>
      </c>
      <c r="J3497" s="8" t="s">
        <v>175</v>
      </c>
      <c r="K3497" s="8" t="s">
        <v>176</v>
      </c>
      <c r="L3497" s="8" t="s">
        <v>556</v>
      </c>
      <c r="M3497" s="1" t="s">
        <v>205</v>
      </c>
      <c r="N3497" s="8" t="s">
        <v>206</v>
      </c>
      <c r="O3497" s="6">
        <v>0</v>
      </c>
      <c r="P3497" s="6">
        <v>0</v>
      </c>
      <c r="Q3497" s="6">
        <v>0</v>
      </c>
      <c r="R3497" s="6">
        <v>64</v>
      </c>
      <c r="S3497" s="6">
        <v>0</v>
      </c>
    </row>
    <row r="3498" spans="1:19" ht="15" hidden="1" x14ac:dyDescent="0.25">
      <c r="A3498" s="7" t="s">
        <v>16</v>
      </c>
      <c r="B3498" s="7" t="s">
        <v>230</v>
      </c>
      <c r="C3498" s="7" t="s">
        <v>24</v>
      </c>
      <c r="D3498" s="4">
        <v>88645403001372</v>
      </c>
      <c r="E3498" s="8" t="s">
        <v>1025</v>
      </c>
      <c r="F3498" s="8" t="s">
        <v>66</v>
      </c>
      <c r="G3498" s="8" t="s">
        <v>67</v>
      </c>
      <c r="H3498" s="8" t="s">
        <v>215</v>
      </c>
      <c r="I3498" s="3">
        <v>2</v>
      </c>
      <c r="J3498" s="8" t="s">
        <v>144</v>
      </c>
      <c r="K3498" s="8" t="s">
        <v>145</v>
      </c>
      <c r="L3498" s="8" t="s">
        <v>557</v>
      </c>
      <c r="M3498" s="1" t="s">
        <v>205</v>
      </c>
      <c r="N3498" s="8" t="s">
        <v>206</v>
      </c>
      <c r="O3498" s="6">
        <v>0</v>
      </c>
      <c r="P3498" s="6">
        <v>0</v>
      </c>
      <c r="Q3498" s="6">
        <v>0</v>
      </c>
      <c r="R3498" s="6">
        <v>0</v>
      </c>
      <c r="S3498" s="6">
        <v>0</v>
      </c>
    </row>
    <row r="3499" spans="1:19" ht="15" hidden="1" x14ac:dyDescent="0.25">
      <c r="A3499" s="7" t="s">
        <v>16</v>
      </c>
      <c r="B3499" s="7" t="s">
        <v>230</v>
      </c>
      <c r="C3499" s="7" t="s">
        <v>24</v>
      </c>
      <c r="D3499" s="4">
        <v>87827689002405</v>
      </c>
      <c r="E3499" s="8" t="s">
        <v>1021</v>
      </c>
      <c r="F3499" s="8" t="s">
        <v>66</v>
      </c>
      <c r="G3499" s="8" t="s">
        <v>67</v>
      </c>
      <c r="H3499" s="8" t="s">
        <v>215</v>
      </c>
      <c r="I3499" s="3">
        <v>2</v>
      </c>
      <c r="J3499" s="8" t="s">
        <v>175</v>
      </c>
      <c r="K3499" s="8" t="s">
        <v>176</v>
      </c>
      <c r="L3499" s="8" t="s">
        <v>556</v>
      </c>
      <c r="M3499" s="1" t="s">
        <v>205</v>
      </c>
      <c r="N3499" s="8" t="s">
        <v>206</v>
      </c>
      <c r="O3499" s="6">
        <v>0</v>
      </c>
      <c r="P3499" s="6">
        <v>0</v>
      </c>
      <c r="Q3499" s="6">
        <v>0</v>
      </c>
      <c r="R3499" s="6">
        <v>274</v>
      </c>
      <c r="S3499" s="6">
        <v>90</v>
      </c>
    </row>
    <row r="3500" spans="1:19" ht="15" hidden="1" x14ac:dyDescent="0.25">
      <c r="A3500" s="7" t="s">
        <v>16</v>
      </c>
      <c r="B3500" s="7" t="s">
        <v>230</v>
      </c>
      <c r="C3500" s="7" t="s">
        <v>24</v>
      </c>
      <c r="D3500" s="4">
        <v>87827689002405</v>
      </c>
      <c r="E3500" s="8" t="s">
        <v>1021</v>
      </c>
      <c r="F3500" s="8" t="s">
        <v>66</v>
      </c>
      <c r="G3500" s="8" t="s">
        <v>67</v>
      </c>
      <c r="H3500" s="8" t="s">
        <v>215</v>
      </c>
      <c r="I3500" s="3">
        <v>2</v>
      </c>
      <c r="J3500" s="8" t="s">
        <v>144</v>
      </c>
      <c r="K3500" s="8" t="s">
        <v>145</v>
      </c>
      <c r="L3500" s="8" t="s">
        <v>557</v>
      </c>
      <c r="M3500" s="1" t="s">
        <v>205</v>
      </c>
      <c r="N3500" s="8" t="s">
        <v>206</v>
      </c>
      <c r="O3500" s="6">
        <v>0</v>
      </c>
      <c r="P3500" s="6">
        <v>0</v>
      </c>
      <c r="Q3500" s="6">
        <v>0</v>
      </c>
      <c r="R3500" s="6">
        <v>0</v>
      </c>
      <c r="S3500" s="6">
        <v>90</v>
      </c>
    </row>
    <row r="3501" spans="1:19" ht="15" hidden="1" x14ac:dyDescent="0.25">
      <c r="A3501" s="7" t="s">
        <v>16</v>
      </c>
      <c r="B3501" s="7" t="s">
        <v>230</v>
      </c>
      <c r="C3501" s="7" t="s">
        <v>24</v>
      </c>
      <c r="D3501" s="4">
        <v>87638334000505</v>
      </c>
      <c r="E3501" s="8" t="s">
        <v>1020</v>
      </c>
      <c r="F3501" s="8" t="s">
        <v>129</v>
      </c>
      <c r="G3501" s="8" t="s">
        <v>67</v>
      </c>
      <c r="H3501" s="8" t="s">
        <v>215</v>
      </c>
      <c r="I3501" s="3">
        <v>2</v>
      </c>
      <c r="J3501" s="8" t="s">
        <v>175</v>
      </c>
      <c r="K3501" s="8" t="s">
        <v>176</v>
      </c>
      <c r="L3501" s="8" t="s">
        <v>556</v>
      </c>
      <c r="M3501" s="1" t="s">
        <v>205</v>
      </c>
      <c r="N3501" s="8" t="s">
        <v>206</v>
      </c>
      <c r="O3501" s="6">
        <v>0</v>
      </c>
      <c r="P3501" s="6">
        <v>0</v>
      </c>
      <c r="Q3501" s="6">
        <v>0</v>
      </c>
      <c r="R3501" s="6">
        <v>0</v>
      </c>
      <c r="S3501" s="6">
        <v>5</v>
      </c>
    </row>
    <row r="3502" spans="1:19" ht="15" hidden="1" x14ac:dyDescent="0.25">
      <c r="A3502" s="7" t="s">
        <v>16</v>
      </c>
      <c r="B3502" s="7" t="s">
        <v>230</v>
      </c>
      <c r="C3502" s="7" t="s">
        <v>24</v>
      </c>
      <c r="D3502" s="4">
        <v>87638334000505</v>
      </c>
      <c r="E3502" s="8" t="s">
        <v>1020</v>
      </c>
      <c r="F3502" s="8" t="s">
        <v>129</v>
      </c>
      <c r="G3502" s="8" t="s">
        <v>67</v>
      </c>
      <c r="H3502" s="8" t="s">
        <v>215</v>
      </c>
      <c r="I3502" s="3">
        <v>2</v>
      </c>
      <c r="J3502" s="8" t="s">
        <v>144</v>
      </c>
      <c r="K3502" s="8" t="s">
        <v>145</v>
      </c>
      <c r="L3502" s="8" t="s">
        <v>557</v>
      </c>
      <c r="M3502" s="1" t="s">
        <v>205</v>
      </c>
      <c r="N3502" s="8" t="s">
        <v>206</v>
      </c>
      <c r="O3502" s="6">
        <v>0</v>
      </c>
      <c r="P3502" s="6">
        <v>0</v>
      </c>
      <c r="Q3502" s="6">
        <v>0</v>
      </c>
      <c r="R3502" s="6">
        <v>0</v>
      </c>
      <c r="S3502" s="6">
        <v>5</v>
      </c>
    </row>
    <row r="3503" spans="1:19" ht="15" hidden="1" x14ac:dyDescent="0.25">
      <c r="A3503" s="7" t="s">
        <v>16</v>
      </c>
      <c r="B3503" s="7" t="s">
        <v>230</v>
      </c>
      <c r="C3503" s="7" t="s">
        <v>24</v>
      </c>
      <c r="D3503" s="4">
        <v>92404789000164</v>
      </c>
      <c r="E3503" s="8" t="s">
        <v>1028</v>
      </c>
      <c r="F3503" s="8" t="s">
        <v>106</v>
      </c>
      <c r="G3503" s="8" t="s">
        <v>67</v>
      </c>
      <c r="H3503" s="8" t="s">
        <v>215</v>
      </c>
      <c r="I3503" s="3">
        <v>2</v>
      </c>
      <c r="J3503" s="8" t="s">
        <v>175</v>
      </c>
      <c r="K3503" s="8" t="s">
        <v>176</v>
      </c>
      <c r="L3503" s="8" t="s">
        <v>556</v>
      </c>
      <c r="M3503" s="1" t="s">
        <v>205</v>
      </c>
      <c r="N3503" s="8" t="s">
        <v>206</v>
      </c>
      <c r="O3503" s="6">
        <v>0</v>
      </c>
      <c r="P3503" s="6">
        <v>0</v>
      </c>
      <c r="Q3503" s="6">
        <v>0</v>
      </c>
      <c r="R3503" s="6">
        <v>24</v>
      </c>
      <c r="S3503" s="6">
        <v>0</v>
      </c>
    </row>
    <row r="3504" spans="1:19" ht="15" hidden="1" x14ac:dyDescent="0.25">
      <c r="A3504" s="7" t="s">
        <v>16</v>
      </c>
      <c r="B3504" s="7" t="s">
        <v>230</v>
      </c>
      <c r="C3504" s="7" t="s">
        <v>24</v>
      </c>
      <c r="D3504" s="4">
        <v>92404789000164</v>
      </c>
      <c r="E3504" s="8" t="s">
        <v>1028</v>
      </c>
      <c r="F3504" s="8" t="s">
        <v>106</v>
      </c>
      <c r="G3504" s="8" t="s">
        <v>67</v>
      </c>
      <c r="H3504" s="8" t="s">
        <v>215</v>
      </c>
      <c r="I3504" s="3">
        <v>2</v>
      </c>
      <c r="J3504" s="8" t="s">
        <v>144</v>
      </c>
      <c r="K3504" s="8" t="s">
        <v>145</v>
      </c>
      <c r="L3504" s="8" t="s">
        <v>557</v>
      </c>
      <c r="M3504" s="1" t="s">
        <v>205</v>
      </c>
      <c r="N3504" s="8" t="s">
        <v>206</v>
      </c>
      <c r="O3504" s="6">
        <v>0</v>
      </c>
      <c r="P3504" s="6">
        <v>0</v>
      </c>
      <c r="Q3504" s="6">
        <v>0</v>
      </c>
      <c r="R3504" s="6">
        <v>0</v>
      </c>
      <c r="S3504" s="6">
        <v>0</v>
      </c>
    </row>
    <row r="3505" spans="1:19" ht="15" hidden="1" x14ac:dyDescent="0.25">
      <c r="A3505" s="7" t="s">
        <v>16</v>
      </c>
      <c r="B3505" s="7" t="s">
        <v>230</v>
      </c>
      <c r="C3505" s="7" t="s">
        <v>24</v>
      </c>
      <c r="D3505" s="4">
        <v>87607149000626</v>
      </c>
      <c r="E3505" s="8" t="s">
        <v>1019</v>
      </c>
      <c r="F3505" s="8" t="s">
        <v>96</v>
      </c>
      <c r="G3505" s="8" t="s">
        <v>67</v>
      </c>
      <c r="H3505" s="8" t="s">
        <v>215</v>
      </c>
      <c r="I3505" s="3">
        <v>2</v>
      </c>
      <c r="J3505" s="8" t="s">
        <v>175</v>
      </c>
      <c r="K3505" s="8" t="s">
        <v>176</v>
      </c>
      <c r="L3505" s="8" t="s">
        <v>556</v>
      </c>
      <c r="M3505" s="1" t="s">
        <v>205</v>
      </c>
      <c r="N3505" s="8" t="s">
        <v>206</v>
      </c>
      <c r="O3505" s="6">
        <v>0</v>
      </c>
      <c r="P3505" s="6">
        <v>0</v>
      </c>
      <c r="Q3505" s="6">
        <v>0</v>
      </c>
      <c r="R3505" s="6">
        <v>0</v>
      </c>
      <c r="S3505" s="6">
        <v>20</v>
      </c>
    </row>
    <row r="3506" spans="1:19" ht="15" hidden="1" x14ac:dyDescent="0.25">
      <c r="A3506" s="7" t="s">
        <v>16</v>
      </c>
      <c r="B3506" s="7" t="s">
        <v>230</v>
      </c>
      <c r="C3506" s="7" t="s">
        <v>24</v>
      </c>
      <c r="D3506" s="4">
        <v>87607149000626</v>
      </c>
      <c r="E3506" s="8" t="s">
        <v>1019</v>
      </c>
      <c r="F3506" s="8" t="s">
        <v>96</v>
      </c>
      <c r="G3506" s="8" t="s">
        <v>67</v>
      </c>
      <c r="H3506" s="8" t="s">
        <v>215</v>
      </c>
      <c r="I3506" s="3">
        <v>2</v>
      </c>
      <c r="J3506" s="8" t="s">
        <v>144</v>
      </c>
      <c r="K3506" s="8" t="s">
        <v>145</v>
      </c>
      <c r="L3506" s="8" t="s">
        <v>557</v>
      </c>
      <c r="M3506" s="1" t="s">
        <v>205</v>
      </c>
      <c r="N3506" s="8" t="s">
        <v>206</v>
      </c>
      <c r="O3506" s="6">
        <v>0</v>
      </c>
      <c r="P3506" s="6">
        <v>0</v>
      </c>
      <c r="Q3506" s="6">
        <v>0</v>
      </c>
      <c r="R3506" s="6">
        <v>0</v>
      </c>
      <c r="S3506" s="6">
        <v>20</v>
      </c>
    </row>
    <row r="3507" spans="1:19" ht="15" hidden="1" x14ac:dyDescent="0.25">
      <c r="A3507" s="7" t="s">
        <v>16</v>
      </c>
      <c r="B3507" s="7" t="s">
        <v>230</v>
      </c>
      <c r="C3507" s="7" t="s">
        <v>24</v>
      </c>
      <c r="D3507" s="4">
        <v>92685833000151</v>
      </c>
      <c r="E3507" s="8" t="s">
        <v>1029</v>
      </c>
      <c r="F3507" s="8" t="s">
        <v>83</v>
      </c>
      <c r="G3507" s="8" t="s">
        <v>67</v>
      </c>
      <c r="H3507" s="8" t="s">
        <v>215</v>
      </c>
      <c r="I3507" s="3">
        <v>2</v>
      </c>
      <c r="J3507" s="8" t="s">
        <v>175</v>
      </c>
      <c r="K3507" s="8" t="s">
        <v>176</v>
      </c>
      <c r="L3507" s="8" t="s">
        <v>556</v>
      </c>
      <c r="M3507" s="1" t="s">
        <v>205</v>
      </c>
      <c r="N3507" s="8" t="s">
        <v>206</v>
      </c>
      <c r="O3507" s="6">
        <v>0</v>
      </c>
      <c r="P3507" s="6">
        <v>0</v>
      </c>
      <c r="Q3507" s="6">
        <v>0</v>
      </c>
      <c r="R3507" s="6">
        <v>32</v>
      </c>
      <c r="S3507" s="6">
        <v>0</v>
      </c>
    </row>
    <row r="3508" spans="1:19" ht="15" hidden="1" x14ac:dyDescent="0.25">
      <c r="A3508" s="7" t="s">
        <v>16</v>
      </c>
      <c r="B3508" s="7" t="s">
        <v>230</v>
      </c>
      <c r="C3508" s="7" t="s">
        <v>24</v>
      </c>
      <c r="D3508" s="4">
        <v>92685833000151</v>
      </c>
      <c r="E3508" s="8" t="s">
        <v>1029</v>
      </c>
      <c r="F3508" s="8" t="s">
        <v>83</v>
      </c>
      <c r="G3508" s="8" t="s">
        <v>67</v>
      </c>
      <c r="H3508" s="8" t="s">
        <v>215</v>
      </c>
      <c r="I3508" s="3">
        <v>2</v>
      </c>
      <c r="J3508" s="8" t="s">
        <v>144</v>
      </c>
      <c r="K3508" s="8" t="s">
        <v>145</v>
      </c>
      <c r="L3508" s="8" t="s">
        <v>557</v>
      </c>
      <c r="M3508" s="1" t="s">
        <v>205</v>
      </c>
      <c r="N3508" s="8" t="s">
        <v>206</v>
      </c>
      <c r="O3508" s="6">
        <v>0</v>
      </c>
      <c r="P3508" s="6">
        <v>0</v>
      </c>
      <c r="Q3508" s="6">
        <v>96</v>
      </c>
      <c r="R3508" s="6">
        <v>0</v>
      </c>
      <c r="S3508" s="6">
        <v>0</v>
      </c>
    </row>
    <row r="3509" spans="1:19" ht="15" hidden="1" x14ac:dyDescent="0.25">
      <c r="A3509" s="7" t="s">
        <v>16</v>
      </c>
      <c r="B3509" s="7" t="s">
        <v>230</v>
      </c>
      <c r="C3509" s="7" t="s">
        <v>24</v>
      </c>
      <c r="D3509" s="4">
        <v>773639000100</v>
      </c>
      <c r="E3509" s="8" t="s">
        <v>1397</v>
      </c>
      <c r="F3509" s="8" t="s">
        <v>83</v>
      </c>
      <c r="G3509" s="8" t="s">
        <v>67</v>
      </c>
      <c r="H3509" s="8" t="s">
        <v>215</v>
      </c>
      <c r="I3509" s="3">
        <v>2</v>
      </c>
      <c r="J3509" s="8" t="s">
        <v>175</v>
      </c>
      <c r="K3509" s="8" t="s">
        <v>176</v>
      </c>
      <c r="L3509" s="8" t="s">
        <v>556</v>
      </c>
      <c r="M3509" s="1" t="s">
        <v>205</v>
      </c>
      <c r="N3509" s="8" t="s">
        <v>206</v>
      </c>
      <c r="O3509" s="6">
        <v>0</v>
      </c>
      <c r="P3509" s="6">
        <v>0</v>
      </c>
      <c r="Q3509" s="6">
        <v>0</v>
      </c>
      <c r="R3509" s="6">
        <v>8</v>
      </c>
      <c r="S3509" s="6">
        <v>0</v>
      </c>
    </row>
    <row r="3510" spans="1:19" ht="15" hidden="1" x14ac:dyDescent="0.25">
      <c r="A3510" s="7" t="s">
        <v>16</v>
      </c>
      <c r="B3510" s="7" t="s">
        <v>230</v>
      </c>
      <c r="C3510" s="7" t="s">
        <v>24</v>
      </c>
      <c r="D3510" s="4">
        <v>773639000100</v>
      </c>
      <c r="E3510" s="8" t="s">
        <v>1397</v>
      </c>
      <c r="F3510" s="8" t="s">
        <v>83</v>
      </c>
      <c r="G3510" s="8" t="s">
        <v>67</v>
      </c>
      <c r="H3510" s="8" t="s">
        <v>215</v>
      </c>
      <c r="I3510" s="3">
        <v>2</v>
      </c>
      <c r="J3510" s="8" t="s">
        <v>144</v>
      </c>
      <c r="K3510" s="8" t="s">
        <v>145</v>
      </c>
      <c r="L3510" s="8" t="s">
        <v>557</v>
      </c>
      <c r="M3510" s="1" t="s">
        <v>205</v>
      </c>
      <c r="N3510" s="8" t="s">
        <v>206</v>
      </c>
      <c r="O3510" s="6">
        <v>0</v>
      </c>
      <c r="P3510" s="6">
        <v>0</v>
      </c>
      <c r="Q3510" s="6">
        <v>0</v>
      </c>
      <c r="R3510" s="6">
        <v>0</v>
      </c>
      <c r="S3510" s="6">
        <v>0</v>
      </c>
    </row>
    <row r="3511" spans="1:19" ht="15" hidden="1" x14ac:dyDescent="0.25">
      <c r="A3511" s="7" t="s">
        <v>16</v>
      </c>
      <c r="B3511" s="7" t="s">
        <v>230</v>
      </c>
      <c r="C3511" s="7" t="s">
        <v>24</v>
      </c>
      <c r="D3511" s="4">
        <v>87096616003101</v>
      </c>
      <c r="E3511" s="8" t="s">
        <v>1014</v>
      </c>
      <c r="F3511" s="8" t="s">
        <v>83</v>
      </c>
      <c r="G3511" s="8" t="s">
        <v>67</v>
      </c>
      <c r="H3511" s="8" t="s">
        <v>215</v>
      </c>
      <c r="I3511" s="3">
        <v>2</v>
      </c>
      <c r="J3511" s="8" t="s">
        <v>175</v>
      </c>
      <c r="K3511" s="8" t="s">
        <v>176</v>
      </c>
      <c r="L3511" s="8" t="s">
        <v>556</v>
      </c>
      <c r="M3511" s="1" t="s">
        <v>205</v>
      </c>
      <c r="N3511" s="8" t="s">
        <v>206</v>
      </c>
      <c r="O3511" s="6">
        <v>0</v>
      </c>
      <c r="P3511" s="6">
        <v>0</v>
      </c>
      <c r="Q3511" s="6">
        <v>0</v>
      </c>
      <c r="R3511" s="6">
        <v>80</v>
      </c>
      <c r="S3511" s="6">
        <v>110</v>
      </c>
    </row>
    <row r="3512" spans="1:19" ht="15" hidden="1" x14ac:dyDescent="0.25">
      <c r="A3512" s="7" t="s">
        <v>16</v>
      </c>
      <c r="B3512" s="7" t="s">
        <v>230</v>
      </c>
      <c r="C3512" s="7" t="s">
        <v>24</v>
      </c>
      <c r="D3512" s="4">
        <v>87096616003101</v>
      </c>
      <c r="E3512" s="8" t="s">
        <v>1014</v>
      </c>
      <c r="F3512" s="8" t="s">
        <v>83</v>
      </c>
      <c r="G3512" s="8" t="s">
        <v>67</v>
      </c>
      <c r="H3512" s="8" t="s">
        <v>215</v>
      </c>
      <c r="I3512" s="3">
        <v>2</v>
      </c>
      <c r="J3512" s="8" t="s">
        <v>144</v>
      </c>
      <c r="K3512" s="8" t="s">
        <v>145</v>
      </c>
      <c r="L3512" s="8" t="s">
        <v>557</v>
      </c>
      <c r="M3512" s="1" t="s">
        <v>205</v>
      </c>
      <c r="N3512" s="8" t="s">
        <v>206</v>
      </c>
      <c r="O3512" s="6">
        <v>0</v>
      </c>
      <c r="P3512" s="6">
        <v>0</v>
      </c>
      <c r="Q3512" s="6">
        <v>0</v>
      </c>
      <c r="R3512" s="6">
        <v>0</v>
      </c>
      <c r="S3512" s="6">
        <v>110</v>
      </c>
    </row>
    <row r="3513" spans="1:19" ht="15" hidden="1" x14ac:dyDescent="0.25">
      <c r="A3513" s="7" t="s">
        <v>16</v>
      </c>
      <c r="B3513" s="7" t="s">
        <v>230</v>
      </c>
      <c r="C3513" s="7" t="s">
        <v>24</v>
      </c>
      <c r="D3513" s="4">
        <v>92898550000198</v>
      </c>
      <c r="E3513" s="8" t="s">
        <v>1034</v>
      </c>
      <c r="F3513" s="8" t="s">
        <v>83</v>
      </c>
      <c r="G3513" s="8" t="s">
        <v>67</v>
      </c>
      <c r="H3513" s="8" t="s">
        <v>215</v>
      </c>
      <c r="I3513" s="3">
        <v>2</v>
      </c>
      <c r="J3513" s="8" t="s">
        <v>175</v>
      </c>
      <c r="K3513" s="8" t="s">
        <v>176</v>
      </c>
      <c r="L3513" s="8" t="s">
        <v>556</v>
      </c>
      <c r="M3513" s="1" t="s">
        <v>205</v>
      </c>
      <c r="N3513" s="8" t="s">
        <v>206</v>
      </c>
      <c r="O3513" s="6">
        <v>0</v>
      </c>
      <c r="P3513" s="6">
        <v>0</v>
      </c>
      <c r="Q3513" s="6">
        <v>0</v>
      </c>
      <c r="R3513" s="6">
        <v>0</v>
      </c>
      <c r="S3513" s="6">
        <v>0</v>
      </c>
    </row>
    <row r="3514" spans="1:19" ht="15" hidden="1" x14ac:dyDescent="0.25">
      <c r="A3514" s="7" t="s">
        <v>16</v>
      </c>
      <c r="B3514" s="7" t="s">
        <v>230</v>
      </c>
      <c r="C3514" s="7" t="s">
        <v>24</v>
      </c>
      <c r="D3514" s="4">
        <v>92898550000198</v>
      </c>
      <c r="E3514" s="8" t="s">
        <v>1034</v>
      </c>
      <c r="F3514" s="8" t="s">
        <v>83</v>
      </c>
      <c r="G3514" s="8" t="s">
        <v>67</v>
      </c>
      <c r="H3514" s="8" t="s">
        <v>215</v>
      </c>
      <c r="I3514" s="3">
        <v>2</v>
      </c>
      <c r="J3514" s="8" t="s">
        <v>144</v>
      </c>
      <c r="K3514" s="8" t="s">
        <v>145</v>
      </c>
      <c r="L3514" s="8" t="s">
        <v>557</v>
      </c>
      <c r="M3514" s="1" t="s">
        <v>205</v>
      </c>
      <c r="N3514" s="8" t="s">
        <v>206</v>
      </c>
      <c r="O3514" s="6">
        <v>0</v>
      </c>
      <c r="P3514" s="6">
        <v>3</v>
      </c>
      <c r="Q3514" s="6">
        <v>4</v>
      </c>
      <c r="R3514" s="6">
        <v>0</v>
      </c>
      <c r="S3514" s="6">
        <v>0</v>
      </c>
    </row>
    <row r="3515" spans="1:19" ht="15" hidden="1" x14ac:dyDescent="0.25">
      <c r="A3515" s="7" t="s">
        <v>16</v>
      </c>
      <c r="B3515" s="7" t="s">
        <v>230</v>
      </c>
      <c r="C3515" s="7" t="s">
        <v>24</v>
      </c>
      <c r="D3515" s="4">
        <v>87020517000120</v>
      </c>
      <c r="E3515" s="8" t="s">
        <v>1013</v>
      </c>
      <c r="F3515" s="8" t="s">
        <v>83</v>
      </c>
      <c r="G3515" s="8" t="s">
        <v>67</v>
      </c>
      <c r="H3515" s="8" t="s">
        <v>215</v>
      </c>
      <c r="I3515" s="3">
        <v>2</v>
      </c>
      <c r="J3515" s="8" t="s">
        <v>175</v>
      </c>
      <c r="K3515" s="8" t="s">
        <v>176</v>
      </c>
      <c r="L3515" s="8" t="s">
        <v>556</v>
      </c>
      <c r="M3515" s="1" t="s">
        <v>205</v>
      </c>
      <c r="N3515" s="8" t="s">
        <v>206</v>
      </c>
      <c r="O3515" s="6">
        <v>0</v>
      </c>
      <c r="P3515" s="6">
        <v>0</v>
      </c>
      <c r="Q3515" s="6">
        <v>0</v>
      </c>
      <c r="R3515" s="6">
        <v>0</v>
      </c>
      <c r="S3515" s="6">
        <v>0</v>
      </c>
    </row>
    <row r="3516" spans="1:19" ht="15" hidden="1" x14ac:dyDescent="0.25">
      <c r="A3516" s="7" t="s">
        <v>16</v>
      </c>
      <c r="B3516" s="7" t="s">
        <v>230</v>
      </c>
      <c r="C3516" s="7" t="s">
        <v>24</v>
      </c>
      <c r="D3516" s="4">
        <v>87020517000120</v>
      </c>
      <c r="E3516" s="8" t="s">
        <v>1013</v>
      </c>
      <c r="F3516" s="8" t="s">
        <v>83</v>
      </c>
      <c r="G3516" s="8" t="s">
        <v>67</v>
      </c>
      <c r="H3516" s="8" t="s">
        <v>215</v>
      </c>
      <c r="I3516" s="3">
        <v>2</v>
      </c>
      <c r="J3516" s="8" t="s">
        <v>144</v>
      </c>
      <c r="K3516" s="8" t="s">
        <v>145</v>
      </c>
      <c r="L3516" s="8" t="s">
        <v>557</v>
      </c>
      <c r="M3516" s="1" t="s">
        <v>205</v>
      </c>
      <c r="N3516" s="8" t="s">
        <v>206</v>
      </c>
      <c r="O3516" s="6">
        <v>0</v>
      </c>
      <c r="P3516" s="6">
        <v>0</v>
      </c>
      <c r="Q3516" s="6">
        <v>30</v>
      </c>
      <c r="R3516" s="6">
        <v>0</v>
      </c>
      <c r="S3516" s="6">
        <v>0</v>
      </c>
    </row>
    <row r="3517" spans="1:19" ht="15" hidden="1" x14ac:dyDescent="0.25">
      <c r="A3517" s="7" t="s">
        <v>16</v>
      </c>
      <c r="B3517" s="7" t="s">
        <v>230</v>
      </c>
      <c r="C3517" s="7" t="s">
        <v>24</v>
      </c>
      <c r="D3517" s="4">
        <v>87317764001084</v>
      </c>
      <c r="E3517" s="8" t="s">
        <v>1015</v>
      </c>
      <c r="F3517" s="8" t="s">
        <v>83</v>
      </c>
      <c r="G3517" s="8" t="s">
        <v>67</v>
      </c>
      <c r="H3517" s="8" t="s">
        <v>215</v>
      </c>
      <c r="I3517" s="3">
        <v>2</v>
      </c>
      <c r="J3517" s="8" t="s">
        <v>175</v>
      </c>
      <c r="K3517" s="8" t="s">
        <v>176</v>
      </c>
      <c r="L3517" s="8" t="s">
        <v>556</v>
      </c>
      <c r="M3517" s="1" t="s">
        <v>205</v>
      </c>
      <c r="N3517" s="8" t="s">
        <v>206</v>
      </c>
      <c r="O3517" s="6">
        <v>0</v>
      </c>
      <c r="P3517" s="6">
        <v>0</v>
      </c>
      <c r="Q3517" s="6">
        <v>0</v>
      </c>
      <c r="R3517" s="6">
        <v>0</v>
      </c>
      <c r="S3517" s="6">
        <v>330</v>
      </c>
    </row>
    <row r="3518" spans="1:19" ht="15" hidden="1" x14ac:dyDescent="0.25">
      <c r="A3518" s="7" t="s">
        <v>16</v>
      </c>
      <c r="B3518" s="7" t="s">
        <v>230</v>
      </c>
      <c r="C3518" s="7" t="s">
        <v>24</v>
      </c>
      <c r="D3518" s="4">
        <v>87317764001084</v>
      </c>
      <c r="E3518" s="8" t="s">
        <v>1015</v>
      </c>
      <c r="F3518" s="8" t="s">
        <v>83</v>
      </c>
      <c r="G3518" s="8" t="s">
        <v>67</v>
      </c>
      <c r="H3518" s="8" t="s">
        <v>215</v>
      </c>
      <c r="I3518" s="3">
        <v>2</v>
      </c>
      <c r="J3518" s="8" t="s">
        <v>144</v>
      </c>
      <c r="K3518" s="8" t="s">
        <v>145</v>
      </c>
      <c r="L3518" s="8" t="s">
        <v>557</v>
      </c>
      <c r="M3518" s="1" t="s">
        <v>205</v>
      </c>
      <c r="N3518" s="8" t="s">
        <v>206</v>
      </c>
      <c r="O3518" s="6">
        <v>0</v>
      </c>
      <c r="P3518" s="6">
        <v>0</v>
      </c>
      <c r="Q3518" s="6">
        <v>0</v>
      </c>
      <c r="R3518" s="6">
        <v>0</v>
      </c>
      <c r="S3518" s="6">
        <v>330</v>
      </c>
    </row>
    <row r="3519" spans="1:19" ht="15" hidden="1" x14ac:dyDescent="0.25">
      <c r="A3519" s="7" t="s">
        <v>16</v>
      </c>
      <c r="B3519" s="7" t="s">
        <v>230</v>
      </c>
      <c r="C3519" s="7" t="s">
        <v>24</v>
      </c>
      <c r="D3519" s="4">
        <v>92741016000254</v>
      </c>
      <c r="E3519" s="8" t="s">
        <v>1030</v>
      </c>
      <c r="F3519" s="8" t="s">
        <v>83</v>
      </c>
      <c r="G3519" s="8" t="s">
        <v>67</v>
      </c>
      <c r="H3519" s="8" t="s">
        <v>215</v>
      </c>
      <c r="I3519" s="3">
        <v>2</v>
      </c>
      <c r="J3519" s="8" t="s">
        <v>175</v>
      </c>
      <c r="K3519" s="8" t="s">
        <v>176</v>
      </c>
      <c r="L3519" s="8" t="s">
        <v>556</v>
      </c>
      <c r="M3519" s="1" t="s">
        <v>205</v>
      </c>
      <c r="N3519" s="8" t="s">
        <v>206</v>
      </c>
      <c r="O3519" s="6">
        <v>0</v>
      </c>
      <c r="P3519" s="6">
        <v>0</v>
      </c>
      <c r="Q3519" s="6">
        <v>0</v>
      </c>
      <c r="R3519" s="6">
        <v>0</v>
      </c>
      <c r="S3519" s="6">
        <v>0</v>
      </c>
    </row>
    <row r="3520" spans="1:19" ht="15" hidden="1" x14ac:dyDescent="0.25">
      <c r="A3520" s="7" t="s">
        <v>16</v>
      </c>
      <c r="B3520" s="7" t="s">
        <v>230</v>
      </c>
      <c r="C3520" s="7" t="s">
        <v>24</v>
      </c>
      <c r="D3520" s="4">
        <v>92741016000254</v>
      </c>
      <c r="E3520" s="8" t="s">
        <v>1030</v>
      </c>
      <c r="F3520" s="8" t="s">
        <v>83</v>
      </c>
      <c r="G3520" s="8" t="s">
        <v>67</v>
      </c>
      <c r="H3520" s="8" t="s">
        <v>215</v>
      </c>
      <c r="I3520" s="3">
        <v>2</v>
      </c>
      <c r="J3520" s="8" t="s">
        <v>144</v>
      </c>
      <c r="K3520" s="8" t="s">
        <v>145</v>
      </c>
      <c r="L3520" s="8" t="s">
        <v>557</v>
      </c>
      <c r="M3520" s="1" t="s">
        <v>205</v>
      </c>
      <c r="N3520" s="8" t="s">
        <v>206</v>
      </c>
      <c r="O3520" s="6">
        <v>0</v>
      </c>
      <c r="P3520" s="6">
        <v>29</v>
      </c>
      <c r="Q3520" s="6">
        <v>10</v>
      </c>
      <c r="R3520" s="6">
        <v>0</v>
      </c>
      <c r="S3520" s="6">
        <v>0</v>
      </c>
    </row>
    <row r="3521" spans="1:19" ht="15" hidden="1" x14ac:dyDescent="0.25">
      <c r="A3521" s="7" t="s">
        <v>16</v>
      </c>
      <c r="B3521" s="7" t="s">
        <v>230</v>
      </c>
      <c r="C3521" s="7" t="s">
        <v>24</v>
      </c>
      <c r="D3521" s="4">
        <v>88625686002443</v>
      </c>
      <c r="E3521" s="8" t="s">
        <v>1023</v>
      </c>
      <c r="F3521" s="8" t="s">
        <v>83</v>
      </c>
      <c r="G3521" s="8" t="s">
        <v>67</v>
      </c>
      <c r="H3521" s="8" t="s">
        <v>215</v>
      </c>
      <c r="I3521" s="3">
        <v>2</v>
      </c>
      <c r="J3521" s="8" t="s">
        <v>175</v>
      </c>
      <c r="K3521" s="8" t="s">
        <v>176</v>
      </c>
      <c r="L3521" s="8" t="s">
        <v>556</v>
      </c>
      <c r="M3521" s="1" t="s">
        <v>205</v>
      </c>
      <c r="N3521" s="8" t="s">
        <v>206</v>
      </c>
      <c r="O3521" s="6">
        <v>0</v>
      </c>
      <c r="P3521" s="6">
        <v>0</v>
      </c>
      <c r="Q3521" s="6">
        <v>0</v>
      </c>
      <c r="R3521" s="6">
        <v>0</v>
      </c>
      <c r="S3521" s="6">
        <v>0</v>
      </c>
    </row>
    <row r="3522" spans="1:19" ht="15" hidden="1" x14ac:dyDescent="0.25">
      <c r="A3522" s="7" t="s">
        <v>16</v>
      </c>
      <c r="B3522" s="7" t="s">
        <v>230</v>
      </c>
      <c r="C3522" s="7" t="s">
        <v>24</v>
      </c>
      <c r="D3522" s="4">
        <v>88625686002443</v>
      </c>
      <c r="E3522" s="8" t="s">
        <v>1023</v>
      </c>
      <c r="F3522" s="8" t="s">
        <v>83</v>
      </c>
      <c r="G3522" s="8" t="s">
        <v>67</v>
      </c>
      <c r="H3522" s="8" t="s">
        <v>215</v>
      </c>
      <c r="I3522" s="3">
        <v>2</v>
      </c>
      <c r="J3522" s="8" t="s">
        <v>144</v>
      </c>
      <c r="K3522" s="8" t="s">
        <v>145</v>
      </c>
      <c r="L3522" s="8" t="s">
        <v>557</v>
      </c>
      <c r="M3522" s="1" t="s">
        <v>205</v>
      </c>
      <c r="N3522" s="8" t="s">
        <v>206</v>
      </c>
      <c r="O3522" s="6">
        <v>0</v>
      </c>
      <c r="P3522" s="6">
        <v>5</v>
      </c>
      <c r="Q3522" s="6">
        <v>9</v>
      </c>
      <c r="R3522" s="6">
        <v>0</v>
      </c>
      <c r="S3522" s="6">
        <v>0</v>
      </c>
    </row>
    <row r="3523" spans="1:19" ht="15" hidden="1" x14ac:dyDescent="0.25">
      <c r="A3523" s="7" t="s">
        <v>16</v>
      </c>
      <c r="B3523" s="7" t="s">
        <v>230</v>
      </c>
      <c r="C3523" s="7" t="s">
        <v>24</v>
      </c>
      <c r="D3523" s="4">
        <v>88630413000796</v>
      </c>
      <c r="E3523" s="8" t="s">
        <v>1024</v>
      </c>
      <c r="F3523" s="8" t="s">
        <v>83</v>
      </c>
      <c r="G3523" s="8" t="s">
        <v>67</v>
      </c>
      <c r="H3523" s="8" t="s">
        <v>215</v>
      </c>
      <c r="I3523" s="3">
        <v>2</v>
      </c>
      <c r="J3523" s="8" t="s">
        <v>175</v>
      </c>
      <c r="K3523" s="8" t="s">
        <v>176</v>
      </c>
      <c r="L3523" s="8" t="s">
        <v>556</v>
      </c>
      <c r="M3523" s="1" t="s">
        <v>205</v>
      </c>
      <c r="N3523" s="8" t="s">
        <v>206</v>
      </c>
      <c r="O3523" s="6">
        <v>0</v>
      </c>
      <c r="P3523" s="6">
        <v>0</v>
      </c>
      <c r="Q3523" s="6">
        <v>0</v>
      </c>
      <c r="R3523" s="6">
        <v>0</v>
      </c>
      <c r="S3523" s="6">
        <v>0</v>
      </c>
    </row>
    <row r="3524" spans="1:19" ht="15" hidden="1" x14ac:dyDescent="0.25">
      <c r="A3524" s="7" t="s">
        <v>16</v>
      </c>
      <c r="B3524" s="7" t="s">
        <v>230</v>
      </c>
      <c r="C3524" s="7" t="s">
        <v>24</v>
      </c>
      <c r="D3524" s="4">
        <v>88630413000796</v>
      </c>
      <c r="E3524" s="8" t="s">
        <v>1024</v>
      </c>
      <c r="F3524" s="8" t="s">
        <v>83</v>
      </c>
      <c r="G3524" s="8" t="s">
        <v>67</v>
      </c>
      <c r="H3524" s="8" t="s">
        <v>215</v>
      </c>
      <c r="I3524" s="3">
        <v>2</v>
      </c>
      <c r="J3524" s="8" t="s">
        <v>144</v>
      </c>
      <c r="K3524" s="8" t="s">
        <v>145</v>
      </c>
      <c r="L3524" s="8" t="s">
        <v>557</v>
      </c>
      <c r="M3524" s="1" t="s">
        <v>205</v>
      </c>
      <c r="N3524" s="8" t="s">
        <v>206</v>
      </c>
      <c r="O3524" s="6">
        <v>0</v>
      </c>
      <c r="P3524" s="6">
        <v>8</v>
      </c>
      <c r="Q3524" s="6">
        <v>15</v>
      </c>
      <c r="R3524" s="6">
        <v>0</v>
      </c>
      <c r="S3524" s="6">
        <v>0</v>
      </c>
    </row>
    <row r="3525" spans="1:19" ht="15" hidden="1" x14ac:dyDescent="0.25">
      <c r="A3525" s="7" t="s">
        <v>16</v>
      </c>
      <c r="B3525" s="7" t="s">
        <v>230</v>
      </c>
      <c r="C3525" s="7" t="s">
        <v>24</v>
      </c>
      <c r="D3525" s="4">
        <v>94831294000147</v>
      </c>
      <c r="E3525" s="8" t="s">
        <v>1036</v>
      </c>
      <c r="F3525" s="8" t="s">
        <v>83</v>
      </c>
      <c r="G3525" s="8" t="s">
        <v>67</v>
      </c>
      <c r="H3525" s="8" t="s">
        <v>215</v>
      </c>
      <c r="I3525" s="3">
        <v>2</v>
      </c>
      <c r="J3525" s="8" t="s">
        <v>175</v>
      </c>
      <c r="K3525" s="8" t="s">
        <v>176</v>
      </c>
      <c r="L3525" s="8" t="s">
        <v>556</v>
      </c>
      <c r="M3525" s="1" t="s">
        <v>205</v>
      </c>
      <c r="N3525" s="8" t="s">
        <v>206</v>
      </c>
      <c r="O3525" s="6">
        <v>0</v>
      </c>
      <c r="P3525" s="6">
        <v>0</v>
      </c>
      <c r="Q3525" s="6">
        <v>0</v>
      </c>
      <c r="R3525" s="6">
        <v>0</v>
      </c>
      <c r="S3525" s="6">
        <v>30</v>
      </c>
    </row>
    <row r="3526" spans="1:19" ht="15" hidden="1" x14ac:dyDescent="0.25">
      <c r="A3526" s="7" t="s">
        <v>16</v>
      </c>
      <c r="B3526" s="7" t="s">
        <v>230</v>
      </c>
      <c r="C3526" s="7" t="s">
        <v>24</v>
      </c>
      <c r="D3526" s="4">
        <v>94831294000147</v>
      </c>
      <c r="E3526" s="8" t="s">
        <v>1036</v>
      </c>
      <c r="F3526" s="8" t="s">
        <v>83</v>
      </c>
      <c r="G3526" s="8" t="s">
        <v>67</v>
      </c>
      <c r="H3526" s="8" t="s">
        <v>215</v>
      </c>
      <c r="I3526" s="3">
        <v>2</v>
      </c>
      <c r="J3526" s="8" t="s">
        <v>144</v>
      </c>
      <c r="K3526" s="8" t="s">
        <v>145</v>
      </c>
      <c r="L3526" s="8" t="s">
        <v>557</v>
      </c>
      <c r="M3526" s="1" t="s">
        <v>205</v>
      </c>
      <c r="N3526" s="8" t="s">
        <v>206</v>
      </c>
      <c r="O3526" s="6">
        <v>0</v>
      </c>
      <c r="P3526" s="6">
        <v>0</v>
      </c>
      <c r="Q3526" s="6">
        <v>0</v>
      </c>
      <c r="R3526" s="6">
        <v>0</v>
      </c>
      <c r="S3526" s="6">
        <v>30</v>
      </c>
    </row>
    <row r="3527" spans="1:19" ht="15" hidden="1" x14ac:dyDescent="0.25">
      <c r="A3527" s="7" t="s">
        <v>16</v>
      </c>
      <c r="B3527" s="7" t="s">
        <v>230</v>
      </c>
      <c r="C3527" s="7" t="s">
        <v>24</v>
      </c>
      <c r="D3527" s="4">
        <v>92815000000168</v>
      </c>
      <c r="E3527" s="8" t="s">
        <v>1033</v>
      </c>
      <c r="F3527" s="8" t="s">
        <v>83</v>
      </c>
      <c r="G3527" s="8" t="s">
        <v>67</v>
      </c>
      <c r="H3527" s="8" t="s">
        <v>215</v>
      </c>
      <c r="I3527" s="3">
        <v>2</v>
      </c>
      <c r="J3527" s="8" t="s">
        <v>175</v>
      </c>
      <c r="K3527" s="8" t="s">
        <v>176</v>
      </c>
      <c r="L3527" s="8" t="s">
        <v>556</v>
      </c>
      <c r="M3527" s="1" t="s">
        <v>205</v>
      </c>
      <c r="N3527" s="8" t="s">
        <v>206</v>
      </c>
      <c r="O3527" s="6">
        <v>0</v>
      </c>
      <c r="P3527" s="6">
        <v>0</v>
      </c>
      <c r="Q3527" s="6">
        <v>0</v>
      </c>
      <c r="R3527" s="6">
        <v>35</v>
      </c>
      <c r="S3527" s="6">
        <v>160</v>
      </c>
    </row>
    <row r="3528" spans="1:19" ht="15" hidden="1" x14ac:dyDescent="0.25">
      <c r="A3528" s="7" t="s">
        <v>16</v>
      </c>
      <c r="B3528" s="7" t="s">
        <v>230</v>
      </c>
      <c r="C3528" s="7" t="s">
        <v>24</v>
      </c>
      <c r="D3528" s="4">
        <v>92815000000168</v>
      </c>
      <c r="E3528" s="8" t="s">
        <v>1033</v>
      </c>
      <c r="F3528" s="8" t="s">
        <v>83</v>
      </c>
      <c r="G3528" s="8" t="s">
        <v>67</v>
      </c>
      <c r="H3528" s="8" t="s">
        <v>215</v>
      </c>
      <c r="I3528" s="3">
        <v>2</v>
      </c>
      <c r="J3528" s="8" t="s">
        <v>144</v>
      </c>
      <c r="K3528" s="8" t="s">
        <v>145</v>
      </c>
      <c r="L3528" s="8" t="s">
        <v>557</v>
      </c>
      <c r="M3528" s="1" t="s">
        <v>205</v>
      </c>
      <c r="N3528" s="8" t="s">
        <v>206</v>
      </c>
      <c r="O3528" s="6">
        <v>0</v>
      </c>
      <c r="P3528" s="6">
        <v>21</v>
      </c>
      <c r="Q3528" s="6">
        <v>91</v>
      </c>
      <c r="R3528" s="6">
        <v>0</v>
      </c>
      <c r="S3528" s="6">
        <v>160</v>
      </c>
    </row>
    <row r="3529" spans="1:19" ht="15" hidden="1" x14ac:dyDescent="0.25">
      <c r="A3529" s="7" t="s">
        <v>16</v>
      </c>
      <c r="B3529" s="7" t="s">
        <v>230</v>
      </c>
      <c r="C3529" s="7" t="s">
        <v>24</v>
      </c>
      <c r="D3529" s="4">
        <v>92963560000160</v>
      </c>
      <c r="E3529" s="8" t="s">
        <v>1035</v>
      </c>
      <c r="F3529" s="8" t="s">
        <v>83</v>
      </c>
      <c r="G3529" s="8" t="s">
        <v>67</v>
      </c>
      <c r="H3529" s="8" t="s">
        <v>215</v>
      </c>
      <c r="I3529" s="3">
        <v>2</v>
      </c>
      <c r="J3529" s="8" t="s">
        <v>175</v>
      </c>
      <c r="K3529" s="8" t="s">
        <v>176</v>
      </c>
      <c r="L3529" s="8" t="s">
        <v>556</v>
      </c>
      <c r="M3529" s="1" t="s">
        <v>205</v>
      </c>
      <c r="N3529" s="8" t="s">
        <v>206</v>
      </c>
      <c r="O3529" s="6">
        <v>0</v>
      </c>
      <c r="P3529" s="6">
        <v>0</v>
      </c>
      <c r="Q3529" s="6">
        <v>0</v>
      </c>
      <c r="R3529" s="6">
        <v>0</v>
      </c>
      <c r="S3529" s="6">
        <v>0</v>
      </c>
    </row>
    <row r="3530" spans="1:19" ht="15" hidden="1" x14ac:dyDescent="0.25">
      <c r="A3530" s="7" t="s">
        <v>16</v>
      </c>
      <c r="B3530" s="7" t="s">
        <v>230</v>
      </c>
      <c r="C3530" s="7" t="s">
        <v>24</v>
      </c>
      <c r="D3530" s="4">
        <v>92963560000160</v>
      </c>
      <c r="E3530" s="8" t="s">
        <v>1035</v>
      </c>
      <c r="F3530" s="8" t="s">
        <v>83</v>
      </c>
      <c r="G3530" s="8" t="s">
        <v>67</v>
      </c>
      <c r="H3530" s="8" t="s">
        <v>215</v>
      </c>
      <c r="I3530" s="3">
        <v>2</v>
      </c>
      <c r="J3530" s="8" t="s">
        <v>144</v>
      </c>
      <c r="K3530" s="8" t="s">
        <v>145</v>
      </c>
      <c r="L3530" s="8" t="s">
        <v>557</v>
      </c>
      <c r="M3530" s="1" t="s">
        <v>205</v>
      </c>
      <c r="N3530" s="8" t="s">
        <v>206</v>
      </c>
      <c r="O3530" s="6">
        <v>0</v>
      </c>
      <c r="P3530" s="6">
        <v>40</v>
      </c>
      <c r="Q3530" s="6">
        <v>60</v>
      </c>
      <c r="R3530" s="6">
        <v>0</v>
      </c>
      <c r="S3530" s="6">
        <v>0</v>
      </c>
    </row>
    <row r="3531" spans="1:19" ht="15" hidden="1" x14ac:dyDescent="0.25">
      <c r="A3531" s="7" t="s">
        <v>16</v>
      </c>
      <c r="B3531" s="7" t="s">
        <v>230</v>
      </c>
      <c r="C3531" s="7" t="s">
        <v>24</v>
      </c>
      <c r="D3531" s="4">
        <v>12508728000108</v>
      </c>
      <c r="E3531" s="8" t="s">
        <v>965</v>
      </c>
      <c r="F3531" s="8" t="s">
        <v>87</v>
      </c>
      <c r="G3531" s="8" t="s">
        <v>67</v>
      </c>
      <c r="H3531" s="8" t="s">
        <v>215</v>
      </c>
      <c r="I3531" s="3">
        <v>2</v>
      </c>
      <c r="J3531" s="8" t="s">
        <v>175</v>
      </c>
      <c r="K3531" s="8" t="s">
        <v>176</v>
      </c>
      <c r="L3531" s="8" t="s">
        <v>556</v>
      </c>
      <c r="M3531" s="1" t="s">
        <v>205</v>
      </c>
      <c r="N3531" s="8" t="s">
        <v>206</v>
      </c>
      <c r="O3531" s="6">
        <v>0</v>
      </c>
      <c r="P3531" s="6">
        <v>0</v>
      </c>
      <c r="Q3531" s="6">
        <v>0</v>
      </c>
      <c r="R3531" s="6">
        <v>0</v>
      </c>
      <c r="S3531" s="6">
        <v>20</v>
      </c>
    </row>
    <row r="3532" spans="1:19" ht="15" hidden="1" x14ac:dyDescent="0.25">
      <c r="A3532" s="7" t="s">
        <v>16</v>
      </c>
      <c r="B3532" s="7" t="s">
        <v>230</v>
      </c>
      <c r="C3532" s="7" t="s">
        <v>24</v>
      </c>
      <c r="D3532" s="4">
        <v>12508728000108</v>
      </c>
      <c r="E3532" s="8" t="s">
        <v>965</v>
      </c>
      <c r="F3532" s="8" t="s">
        <v>87</v>
      </c>
      <c r="G3532" s="8" t="s">
        <v>67</v>
      </c>
      <c r="H3532" s="8" t="s">
        <v>215</v>
      </c>
      <c r="I3532" s="3">
        <v>2</v>
      </c>
      <c r="J3532" s="8" t="s">
        <v>144</v>
      </c>
      <c r="K3532" s="8" t="s">
        <v>145</v>
      </c>
      <c r="L3532" s="8" t="s">
        <v>557</v>
      </c>
      <c r="M3532" s="1" t="s">
        <v>205</v>
      </c>
      <c r="N3532" s="8" t="s">
        <v>206</v>
      </c>
      <c r="O3532" s="6">
        <v>0</v>
      </c>
      <c r="P3532" s="6">
        <v>0</v>
      </c>
      <c r="Q3532" s="6">
        <v>0</v>
      </c>
      <c r="R3532" s="6">
        <v>0</v>
      </c>
      <c r="S3532" s="6">
        <v>20</v>
      </c>
    </row>
    <row r="3533" spans="1:19" ht="15" hidden="1" x14ac:dyDescent="0.25">
      <c r="A3533" s="7" t="s">
        <v>16</v>
      </c>
      <c r="B3533" s="7" t="s">
        <v>230</v>
      </c>
      <c r="C3533" s="7" t="s">
        <v>24</v>
      </c>
      <c r="D3533" s="4">
        <v>15126437001972</v>
      </c>
      <c r="E3533" s="8" t="s">
        <v>966</v>
      </c>
      <c r="F3533" s="8" t="s">
        <v>87</v>
      </c>
      <c r="G3533" s="8" t="s">
        <v>67</v>
      </c>
      <c r="H3533" s="8" t="s">
        <v>215</v>
      </c>
      <c r="I3533" s="3">
        <v>2</v>
      </c>
      <c r="J3533" s="8" t="s">
        <v>175</v>
      </c>
      <c r="K3533" s="8" t="s">
        <v>176</v>
      </c>
      <c r="L3533" s="8" t="s">
        <v>556</v>
      </c>
      <c r="M3533" s="1" t="s">
        <v>205</v>
      </c>
      <c r="N3533" s="8" t="s">
        <v>206</v>
      </c>
      <c r="O3533" s="6">
        <v>0</v>
      </c>
      <c r="P3533" s="6">
        <v>0</v>
      </c>
      <c r="Q3533" s="6">
        <v>0</v>
      </c>
      <c r="R3533" s="6">
        <v>0</v>
      </c>
      <c r="S3533" s="6">
        <v>0</v>
      </c>
    </row>
    <row r="3534" spans="1:19" ht="15" hidden="1" x14ac:dyDescent="0.25">
      <c r="A3534" s="7" t="s">
        <v>16</v>
      </c>
      <c r="B3534" s="7" t="s">
        <v>230</v>
      </c>
      <c r="C3534" s="7" t="s">
        <v>24</v>
      </c>
      <c r="D3534" s="4">
        <v>15126437001972</v>
      </c>
      <c r="E3534" s="8" t="s">
        <v>966</v>
      </c>
      <c r="F3534" s="8" t="s">
        <v>87</v>
      </c>
      <c r="G3534" s="8" t="s">
        <v>67</v>
      </c>
      <c r="H3534" s="8" t="s">
        <v>215</v>
      </c>
      <c r="I3534" s="3">
        <v>2</v>
      </c>
      <c r="J3534" s="8" t="s">
        <v>144</v>
      </c>
      <c r="K3534" s="8" t="s">
        <v>145</v>
      </c>
      <c r="L3534" s="8" t="s">
        <v>557</v>
      </c>
      <c r="M3534" s="1" t="s">
        <v>205</v>
      </c>
      <c r="N3534" s="8" t="s">
        <v>206</v>
      </c>
      <c r="O3534" s="6">
        <v>0</v>
      </c>
      <c r="P3534" s="6">
        <v>25</v>
      </c>
      <c r="Q3534" s="6">
        <v>33</v>
      </c>
      <c r="R3534" s="6">
        <v>0</v>
      </c>
      <c r="S3534" s="6">
        <v>0</v>
      </c>
    </row>
    <row r="3535" spans="1:19" ht="15" hidden="1" x14ac:dyDescent="0.25">
      <c r="A3535" s="7" t="s">
        <v>16</v>
      </c>
      <c r="B3535" s="7" t="s">
        <v>230</v>
      </c>
      <c r="C3535" s="7" t="s">
        <v>24</v>
      </c>
      <c r="D3535" s="4">
        <v>95610887000146</v>
      </c>
      <c r="E3535" s="8" t="s">
        <v>1037</v>
      </c>
      <c r="F3535" s="8" t="s">
        <v>87</v>
      </c>
      <c r="G3535" s="8" t="s">
        <v>67</v>
      </c>
      <c r="H3535" s="8" t="s">
        <v>215</v>
      </c>
      <c r="I3535" s="3">
        <v>2</v>
      </c>
      <c r="J3535" s="8" t="s">
        <v>175</v>
      </c>
      <c r="K3535" s="8" t="s">
        <v>176</v>
      </c>
      <c r="L3535" s="8" t="s">
        <v>556</v>
      </c>
      <c r="M3535" s="1" t="s">
        <v>205</v>
      </c>
      <c r="N3535" s="8" t="s">
        <v>206</v>
      </c>
      <c r="O3535" s="6">
        <v>0</v>
      </c>
      <c r="P3535" s="6">
        <v>0</v>
      </c>
      <c r="Q3535" s="6">
        <v>0</v>
      </c>
      <c r="R3535" s="6">
        <v>20</v>
      </c>
      <c r="S3535" s="6">
        <v>600</v>
      </c>
    </row>
    <row r="3536" spans="1:19" ht="15" hidden="1" x14ac:dyDescent="0.25">
      <c r="A3536" s="7" t="s">
        <v>16</v>
      </c>
      <c r="B3536" s="7" t="s">
        <v>230</v>
      </c>
      <c r="C3536" s="7" t="s">
        <v>24</v>
      </c>
      <c r="D3536" s="4">
        <v>95610887000146</v>
      </c>
      <c r="E3536" s="8" t="s">
        <v>1037</v>
      </c>
      <c r="F3536" s="8" t="s">
        <v>87</v>
      </c>
      <c r="G3536" s="8" t="s">
        <v>67</v>
      </c>
      <c r="H3536" s="8" t="s">
        <v>215</v>
      </c>
      <c r="I3536" s="3">
        <v>2</v>
      </c>
      <c r="J3536" s="8" t="s">
        <v>144</v>
      </c>
      <c r="K3536" s="8" t="s">
        <v>145</v>
      </c>
      <c r="L3536" s="8" t="s">
        <v>557</v>
      </c>
      <c r="M3536" s="1" t="s">
        <v>205</v>
      </c>
      <c r="N3536" s="8" t="s">
        <v>206</v>
      </c>
      <c r="O3536" s="6">
        <v>0</v>
      </c>
      <c r="P3536" s="6">
        <v>0</v>
      </c>
      <c r="Q3536" s="6">
        <v>10</v>
      </c>
      <c r="R3536" s="6">
        <v>0</v>
      </c>
      <c r="S3536" s="6">
        <v>600</v>
      </c>
    </row>
    <row r="3537" spans="1:19" ht="15" hidden="1" x14ac:dyDescent="0.25">
      <c r="A3537" s="7" t="s">
        <v>16</v>
      </c>
      <c r="B3537" s="7" t="s">
        <v>230</v>
      </c>
      <c r="C3537" s="7" t="s">
        <v>24</v>
      </c>
      <c r="D3537" s="4">
        <v>8579164000127</v>
      </c>
      <c r="E3537" s="8" t="s">
        <v>1401</v>
      </c>
      <c r="F3537" s="8" t="s">
        <v>1402</v>
      </c>
      <c r="G3537" s="8" t="s">
        <v>67</v>
      </c>
      <c r="H3537" s="8" t="s">
        <v>215</v>
      </c>
      <c r="I3537" s="3">
        <v>2</v>
      </c>
      <c r="J3537" s="8" t="s">
        <v>175</v>
      </c>
      <c r="K3537" s="8" t="s">
        <v>176</v>
      </c>
      <c r="L3537" s="8" t="s">
        <v>556</v>
      </c>
      <c r="M3537" s="1" t="s">
        <v>205</v>
      </c>
      <c r="N3537" s="8" t="s">
        <v>206</v>
      </c>
      <c r="O3537" s="6">
        <v>0</v>
      </c>
      <c r="P3537" s="6">
        <v>0</v>
      </c>
      <c r="Q3537" s="6">
        <v>0</v>
      </c>
      <c r="R3537" s="6">
        <v>0</v>
      </c>
      <c r="S3537" s="6">
        <v>0</v>
      </c>
    </row>
    <row r="3538" spans="1:19" ht="15" hidden="1" x14ac:dyDescent="0.25">
      <c r="A3538" s="7" t="s">
        <v>16</v>
      </c>
      <c r="B3538" s="7" t="s">
        <v>230</v>
      </c>
      <c r="C3538" s="7" t="s">
        <v>24</v>
      </c>
      <c r="D3538" s="4">
        <v>8579164000127</v>
      </c>
      <c r="E3538" s="8" t="s">
        <v>1401</v>
      </c>
      <c r="F3538" s="8" t="s">
        <v>1402</v>
      </c>
      <c r="G3538" s="8" t="s">
        <v>67</v>
      </c>
      <c r="H3538" s="8" t="s">
        <v>215</v>
      </c>
      <c r="I3538" s="3">
        <v>2</v>
      </c>
      <c r="J3538" s="8" t="s">
        <v>144</v>
      </c>
      <c r="K3538" s="8" t="s">
        <v>145</v>
      </c>
      <c r="L3538" s="8" t="s">
        <v>557</v>
      </c>
      <c r="M3538" s="1" t="s">
        <v>205</v>
      </c>
      <c r="N3538" s="8" t="s">
        <v>206</v>
      </c>
      <c r="O3538" s="6">
        <v>0</v>
      </c>
      <c r="P3538" s="6">
        <v>2</v>
      </c>
      <c r="Q3538" s="6">
        <v>0</v>
      </c>
      <c r="R3538" s="6">
        <v>0</v>
      </c>
      <c r="S3538" s="6">
        <v>0</v>
      </c>
    </row>
    <row r="3539" spans="1:19" ht="15" hidden="1" x14ac:dyDescent="0.25">
      <c r="A3539" s="7" t="s">
        <v>16</v>
      </c>
      <c r="B3539" s="7" t="s">
        <v>230</v>
      </c>
      <c r="C3539" s="7" t="s">
        <v>24</v>
      </c>
      <c r="D3539" s="4">
        <v>85377174000392</v>
      </c>
      <c r="E3539" s="8" t="s">
        <v>1012</v>
      </c>
      <c r="F3539" s="8" t="s">
        <v>938</v>
      </c>
      <c r="G3539" s="8" t="s">
        <v>68</v>
      </c>
      <c r="H3539" s="8" t="s">
        <v>215</v>
      </c>
      <c r="I3539" s="3">
        <v>2</v>
      </c>
      <c r="J3539" s="8" t="s">
        <v>175</v>
      </c>
      <c r="K3539" s="8" t="s">
        <v>176</v>
      </c>
      <c r="L3539" s="8" t="s">
        <v>556</v>
      </c>
      <c r="M3539" s="1" t="s">
        <v>205</v>
      </c>
      <c r="N3539" s="8" t="s">
        <v>206</v>
      </c>
      <c r="O3539" s="6">
        <v>0</v>
      </c>
      <c r="P3539" s="6">
        <v>0</v>
      </c>
      <c r="Q3539" s="6">
        <v>0</v>
      </c>
      <c r="R3539" s="6">
        <v>34</v>
      </c>
      <c r="S3539" s="6">
        <v>0</v>
      </c>
    </row>
    <row r="3540" spans="1:19" ht="15" hidden="1" x14ac:dyDescent="0.25">
      <c r="A3540" s="7" t="s">
        <v>16</v>
      </c>
      <c r="B3540" s="7" t="s">
        <v>230</v>
      </c>
      <c r="C3540" s="7" t="s">
        <v>24</v>
      </c>
      <c r="D3540" s="4">
        <v>85377174000392</v>
      </c>
      <c r="E3540" s="8" t="s">
        <v>1012</v>
      </c>
      <c r="F3540" s="8" t="s">
        <v>938</v>
      </c>
      <c r="G3540" s="8" t="s">
        <v>68</v>
      </c>
      <c r="H3540" s="8" t="s">
        <v>215</v>
      </c>
      <c r="I3540" s="3">
        <v>2</v>
      </c>
      <c r="J3540" s="8" t="s">
        <v>157</v>
      </c>
      <c r="K3540" s="8" t="s">
        <v>158</v>
      </c>
      <c r="L3540" s="8" t="s">
        <v>557</v>
      </c>
      <c r="M3540" s="1" t="s">
        <v>205</v>
      </c>
      <c r="N3540" s="8" t="s">
        <v>206</v>
      </c>
      <c r="O3540" s="6">
        <v>0</v>
      </c>
      <c r="P3540" s="6">
        <v>0</v>
      </c>
      <c r="Q3540" s="6">
        <v>0</v>
      </c>
      <c r="R3540" s="6">
        <v>0</v>
      </c>
      <c r="S3540" s="6">
        <v>0</v>
      </c>
    </row>
    <row r="3541" spans="1:19" ht="15" hidden="1" x14ac:dyDescent="0.25">
      <c r="A3541" s="7" t="s">
        <v>16</v>
      </c>
      <c r="B3541" s="7" t="s">
        <v>230</v>
      </c>
      <c r="C3541" s="7" t="s">
        <v>24</v>
      </c>
      <c r="D3541" s="4">
        <v>3354642000187</v>
      </c>
      <c r="E3541" s="8" t="s">
        <v>1143</v>
      </c>
      <c r="F3541" s="8" t="s">
        <v>93</v>
      </c>
      <c r="G3541" s="8" t="s">
        <v>68</v>
      </c>
      <c r="H3541" s="8" t="s">
        <v>215</v>
      </c>
      <c r="I3541" s="3">
        <v>2</v>
      </c>
      <c r="J3541" s="8" t="s">
        <v>175</v>
      </c>
      <c r="K3541" s="8" t="s">
        <v>176</v>
      </c>
      <c r="L3541" s="8" t="s">
        <v>556</v>
      </c>
      <c r="M3541" s="1" t="s">
        <v>205</v>
      </c>
      <c r="N3541" s="8" t="s">
        <v>206</v>
      </c>
      <c r="O3541" s="6">
        <v>0</v>
      </c>
      <c r="P3541" s="6">
        <v>0</v>
      </c>
      <c r="Q3541" s="6">
        <v>0</v>
      </c>
      <c r="R3541" s="6">
        <v>0</v>
      </c>
      <c r="S3541" s="6">
        <v>30</v>
      </c>
    </row>
    <row r="3542" spans="1:19" ht="15" hidden="1" x14ac:dyDescent="0.25">
      <c r="A3542" s="7" t="s">
        <v>16</v>
      </c>
      <c r="B3542" s="7" t="s">
        <v>230</v>
      </c>
      <c r="C3542" s="7" t="s">
        <v>24</v>
      </c>
      <c r="D3542" s="4">
        <v>3354642000187</v>
      </c>
      <c r="E3542" s="8" t="s">
        <v>1143</v>
      </c>
      <c r="F3542" s="8" t="s">
        <v>93</v>
      </c>
      <c r="G3542" s="8" t="s">
        <v>68</v>
      </c>
      <c r="H3542" s="8" t="s">
        <v>215</v>
      </c>
      <c r="I3542" s="3">
        <v>2</v>
      </c>
      <c r="J3542" s="8" t="s">
        <v>157</v>
      </c>
      <c r="K3542" s="8" t="s">
        <v>158</v>
      </c>
      <c r="L3542" s="8" t="s">
        <v>557</v>
      </c>
      <c r="M3542" s="1" t="s">
        <v>205</v>
      </c>
      <c r="N3542" s="8" t="s">
        <v>206</v>
      </c>
      <c r="O3542" s="6">
        <v>0</v>
      </c>
      <c r="P3542" s="6">
        <v>0</v>
      </c>
      <c r="Q3542" s="6">
        <v>0</v>
      </c>
      <c r="R3542" s="6">
        <v>0</v>
      </c>
      <c r="S3542" s="6">
        <v>30</v>
      </c>
    </row>
    <row r="3543" spans="1:19" ht="15" hidden="1" x14ac:dyDescent="0.25">
      <c r="A3543" s="7" t="s">
        <v>16</v>
      </c>
      <c r="B3543" s="7" t="s">
        <v>230</v>
      </c>
      <c r="C3543" s="7" t="s">
        <v>24</v>
      </c>
      <c r="D3543" s="4">
        <v>1880344000103</v>
      </c>
      <c r="E3543" s="8" t="s">
        <v>941</v>
      </c>
      <c r="F3543" s="8" t="s">
        <v>93</v>
      </c>
      <c r="G3543" s="8" t="s">
        <v>68</v>
      </c>
      <c r="H3543" s="8" t="s">
        <v>215</v>
      </c>
      <c r="I3543" s="3">
        <v>2</v>
      </c>
      <c r="J3543" s="8" t="s">
        <v>175</v>
      </c>
      <c r="K3543" s="8" t="s">
        <v>176</v>
      </c>
      <c r="L3543" s="8" t="s">
        <v>556</v>
      </c>
      <c r="M3543" s="1" t="s">
        <v>205</v>
      </c>
      <c r="N3543" s="8" t="s">
        <v>206</v>
      </c>
      <c r="O3543" s="6">
        <v>0</v>
      </c>
      <c r="P3543" s="6">
        <v>0</v>
      </c>
      <c r="Q3543" s="6">
        <v>0</v>
      </c>
      <c r="R3543" s="6">
        <v>0</v>
      </c>
      <c r="S3543" s="6">
        <v>5</v>
      </c>
    </row>
    <row r="3544" spans="1:19" ht="15" hidden="1" x14ac:dyDescent="0.25">
      <c r="A3544" s="7" t="s">
        <v>16</v>
      </c>
      <c r="B3544" s="7" t="s">
        <v>230</v>
      </c>
      <c r="C3544" s="7" t="s">
        <v>24</v>
      </c>
      <c r="D3544" s="4">
        <v>1880344000103</v>
      </c>
      <c r="E3544" s="8" t="s">
        <v>941</v>
      </c>
      <c r="F3544" s="8" t="s">
        <v>93</v>
      </c>
      <c r="G3544" s="8" t="s">
        <v>68</v>
      </c>
      <c r="H3544" s="8" t="s">
        <v>215</v>
      </c>
      <c r="I3544" s="3">
        <v>2</v>
      </c>
      <c r="J3544" s="8" t="s">
        <v>157</v>
      </c>
      <c r="K3544" s="8" t="s">
        <v>158</v>
      </c>
      <c r="L3544" s="8" t="s">
        <v>557</v>
      </c>
      <c r="M3544" s="1" t="s">
        <v>205</v>
      </c>
      <c r="N3544" s="8" t="s">
        <v>206</v>
      </c>
      <c r="O3544" s="6">
        <v>0</v>
      </c>
      <c r="P3544" s="6">
        <v>3</v>
      </c>
      <c r="Q3544" s="6">
        <v>0</v>
      </c>
      <c r="R3544" s="6">
        <v>0</v>
      </c>
      <c r="S3544" s="6">
        <v>5</v>
      </c>
    </row>
    <row r="3545" spans="1:19" ht="15" hidden="1" x14ac:dyDescent="0.25">
      <c r="A3545" s="7" t="s">
        <v>16</v>
      </c>
      <c r="B3545" s="7" t="s">
        <v>230</v>
      </c>
      <c r="C3545" s="7" t="s">
        <v>24</v>
      </c>
      <c r="D3545" s="4">
        <v>82654088000120</v>
      </c>
      <c r="E3545" s="8" t="s">
        <v>1008</v>
      </c>
      <c r="F3545" s="8" t="s">
        <v>93</v>
      </c>
      <c r="G3545" s="8" t="s">
        <v>68</v>
      </c>
      <c r="H3545" s="8" t="s">
        <v>215</v>
      </c>
      <c r="I3545" s="3">
        <v>2</v>
      </c>
      <c r="J3545" s="8" t="s">
        <v>175</v>
      </c>
      <c r="K3545" s="8" t="s">
        <v>176</v>
      </c>
      <c r="L3545" s="8" t="s">
        <v>556</v>
      </c>
      <c r="M3545" s="1" t="s">
        <v>205</v>
      </c>
      <c r="N3545" s="8" t="s">
        <v>206</v>
      </c>
      <c r="O3545" s="6">
        <v>0</v>
      </c>
      <c r="P3545" s="6">
        <v>0</v>
      </c>
      <c r="Q3545" s="6">
        <v>0</v>
      </c>
      <c r="R3545" s="6">
        <v>0</v>
      </c>
      <c r="S3545" s="6">
        <v>5</v>
      </c>
    </row>
    <row r="3546" spans="1:19" ht="15" hidden="1" x14ac:dyDescent="0.25">
      <c r="A3546" s="7" t="s">
        <v>16</v>
      </c>
      <c r="B3546" s="7" t="s">
        <v>230</v>
      </c>
      <c r="C3546" s="7" t="s">
        <v>24</v>
      </c>
      <c r="D3546" s="4">
        <v>82654088000120</v>
      </c>
      <c r="E3546" s="8" t="s">
        <v>1008</v>
      </c>
      <c r="F3546" s="8" t="s">
        <v>93</v>
      </c>
      <c r="G3546" s="8" t="s">
        <v>68</v>
      </c>
      <c r="H3546" s="8" t="s">
        <v>215</v>
      </c>
      <c r="I3546" s="3">
        <v>2</v>
      </c>
      <c r="J3546" s="8" t="s">
        <v>157</v>
      </c>
      <c r="K3546" s="8" t="s">
        <v>158</v>
      </c>
      <c r="L3546" s="8" t="s">
        <v>557</v>
      </c>
      <c r="M3546" s="1" t="s">
        <v>205</v>
      </c>
      <c r="N3546" s="8" t="s">
        <v>206</v>
      </c>
      <c r="O3546" s="6">
        <v>0</v>
      </c>
      <c r="P3546" s="6">
        <v>0</v>
      </c>
      <c r="Q3546" s="6">
        <v>0</v>
      </c>
      <c r="R3546" s="6">
        <v>0</v>
      </c>
      <c r="S3546" s="6">
        <v>5</v>
      </c>
    </row>
    <row r="3547" spans="1:19" ht="15" hidden="1" x14ac:dyDescent="0.25">
      <c r="A3547" s="7" t="s">
        <v>16</v>
      </c>
      <c r="B3547" s="7" t="s">
        <v>230</v>
      </c>
      <c r="C3547" s="7" t="s">
        <v>24</v>
      </c>
      <c r="D3547" s="4">
        <v>1554266000300</v>
      </c>
      <c r="E3547" s="8" t="s">
        <v>940</v>
      </c>
      <c r="F3547" s="8" t="s">
        <v>113</v>
      </c>
      <c r="G3547" s="8" t="s">
        <v>68</v>
      </c>
      <c r="H3547" s="8" t="s">
        <v>215</v>
      </c>
      <c r="I3547" s="3">
        <v>2</v>
      </c>
      <c r="J3547" s="8" t="s">
        <v>175</v>
      </c>
      <c r="K3547" s="8" t="s">
        <v>176</v>
      </c>
      <c r="L3547" s="8" t="s">
        <v>556</v>
      </c>
      <c r="M3547" s="1" t="s">
        <v>205</v>
      </c>
      <c r="N3547" s="8" t="s">
        <v>206</v>
      </c>
      <c r="O3547" s="6">
        <v>0</v>
      </c>
      <c r="P3547" s="6">
        <v>0</v>
      </c>
      <c r="Q3547" s="6">
        <v>0</v>
      </c>
      <c r="R3547" s="6">
        <v>0</v>
      </c>
      <c r="S3547" s="6">
        <v>105</v>
      </c>
    </row>
    <row r="3548" spans="1:19" ht="15" hidden="1" x14ac:dyDescent="0.25">
      <c r="A3548" s="7" t="s">
        <v>16</v>
      </c>
      <c r="B3548" s="7" t="s">
        <v>230</v>
      </c>
      <c r="C3548" s="7" t="s">
        <v>24</v>
      </c>
      <c r="D3548" s="4">
        <v>1554266000300</v>
      </c>
      <c r="E3548" s="8" t="s">
        <v>940</v>
      </c>
      <c r="F3548" s="8" t="s">
        <v>113</v>
      </c>
      <c r="G3548" s="8" t="s">
        <v>68</v>
      </c>
      <c r="H3548" s="8" t="s">
        <v>215</v>
      </c>
      <c r="I3548" s="3">
        <v>2</v>
      </c>
      <c r="J3548" s="8" t="s">
        <v>157</v>
      </c>
      <c r="K3548" s="8" t="s">
        <v>158</v>
      </c>
      <c r="L3548" s="8" t="s">
        <v>557</v>
      </c>
      <c r="M3548" s="1" t="s">
        <v>205</v>
      </c>
      <c r="N3548" s="8" t="s">
        <v>206</v>
      </c>
      <c r="O3548" s="6">
        <v>0</v>
      </c>
      <c r="P3548" s="6">
        <v>0</v>
      </c>
      <c r="Q3548" s="6">
        <v>0</v>
      </c>
      <c r="R3548" s="6">
        <v>0</v>
      </c>
      <c r="S3548" s="6">
        <v>105</v>
      </c>
    </row>
    <row r="3549" spans="1:19" ht="15" hidden="1" x14ac:dyDescent="0.25">
      <c r="A3549" s="7" t="s">
        <v>16</v>
      </c>
      <c r="B3549" s="7" t="s">
        <v>230</v>
      </c>
      <c r="C3549" s="7" t="s">
        <v>24</v>
      </c>
      <c r="D3549" s="4">
        <v>1554266000149</v>
      </c>
      <c r="E3549" s="8" t="s">
        <v>939</v>
      </c>
      <c r="F3549" s="8" t="s">
        <v>113</v>
      </c>
      <c r="G3549" s="8" t="s">
        <v>68</v>
      </c>
      <c r="H3549" s="8" t="s">
        <v>215</v>
      </c>
      <c r="I3549" s="3">
        <v>2</v>
      </c>
      <c r="J3549" s="8" t="s">
        <v>175</v>
      </c>
      <c r="K3549" s="8" t="s">
        <v>176</v>
      </c>
      <c r="L3549" s="8" t="s">
        <v>556</v>
      </c>
      <c r="M3549" s="1" t="s">
        <v>205</v>
      </c>
      <c r="N3549" s="8" t="s">
        <v>206</v>
      </c>
      <c r="O3549" s="6">
        <v>0</v>
      </c>
      <c r="P3549" s="6">
        <v>0</v>
      </c>
      <c r="Q3549" s="6">
        <v>0</v>
      </c>
      <c r="R3549" s="6">
        <v>0</v>
      </c>
      <c r="S3549" s="6">
        <v>35</v>
      </c>
    </row>
    <row r="3550" spans="1:19" ht="15" hidden="1" x14ac:dyDescent="0.25">
      <c r="A3550" s="7" t="s">
        <v>16</v>
      </c>
      <c r="B3550" s="7" t="s">
        <v>230</v>
      </c>
      <c r="C3550" s="7" t="s">
        <v>24</v>
      </c>
      <c r="D3550" s="4">
        <v>1554266000149</v>
      </c>
      <c r="E3550" s="8" t="s">
        <v>939</v>
      </c>
      <c r="F3550" s="8" t="s">
        <v>113</v>
      </c>
      <c r="G3550" s="8" t="s">
        <v>68</v>
      </c>
      <c r="H3550" s="8" t="s">
        <v>215</v>
      </c>
      <c r="I3550" s="3">
        <v>2</v>
      </c>
      <c r="J3550" s="8" t="s">
        <v>157</v>
      </c>
      <c r="K3550" s="8" t="s">
        <v>158</v>
      </c>
      <c r="L3550" s="8" t="s">
        <v>557</v>
      </c>
      <c r="M3550" s="1" t="s">
        <v>205</v>
      </c>
      <c r="N3550" s="8" t="s">
        <v>206</v>
      </c>
      <c r="O3550" s="6">
        <v>0</v>
      </c>
      <c r="P3550" s="6">
        <v>0</v>
      </c>
      <c r="Q3550" s="6">
        <v>0</v>
      </c>
      <c r="R3550" s="6">
        <v>0</v>
      </c>
      <c r="S3550" s="6">
        <v>35</v>
      </c>
    </row>
    <row r="3551" spans="1:19" ht="15" hidden="1" x14ac:dyDescent="0.25">
      <c r="A3551" s="7" t="s">
        <v>16</v>
      </c>
      <c r="B3551" s="7" t="s">
        <v>230</v>
      </c>
      <c r="C3551" s="7" t="s">
        <v>24</v>
      </c>
      <c r="D3551" s="4">
        <v>15126437003401</v>
      </c>
      <c r="E3551" s="8" t="s">
        <v>967</v>
      </c>
      <c r="F3551" s="8" t="s">
        <v>95</v>
      </c>
      <c r="G3551" s="8" t="s">
        <v>68</v>
      </c>
      <c r="H3551" s="8" t="s">
        <v>215</v>
      </c>
      <c r="I3551" s="3">
        <v>2</v>
      </c>
      <c r="J3551" s="8" t="s">
        <v>175</v>
      </c>
      <c r="K3551" s="8" t="s">
        <v>176</v>
      </c>
      <c r="L3551" s="8" t="s">
        <v>556</v>
      </c>
      <c r="M3551" s="1" t="s">
        <v>205</v>
      </c>
      <c r="N3551" s="8" t="s">
        <v>206</v>
      </c>
      <c r="O3551" s="6">
        <v>0</v>
      </c>
      <c r="P3551" s="6">
        <v>0</v>
      </c>
      <c r="Q3551" s="6">
        <v>0</v>
      </c>
      <c r="R3551" s="6">
        <v>0</v>
      </c>
      <c r="S3551" s="6">
        <v>0</v>
      </c>
    </row>
    <row r="3552" spans="1:19" ht="15" hidden="1" x14ac:dyDescent="0.25">
      <c r="A3552" s="7" t="s">
        <v>16</v>
      </c>
      <c r="B3552" s="7" t="s">
        <v>230</v>
      </c>
      <c r="C3552" s="7" t="s">
        <v>24</v>
      </c>
      <c r="D3552" s="4">
        <v>15126437003401</v>
      </c>
      <c r="E3552" s="8" t="s">
        <v>967</v>
      </c>
      <c r="F3552" s="8" t="s">
        <v>95</v>
      </c>
      <c r="G3552" s="8" t="s">
        <v>68</v>
      </c>
      <c r="H3552" s="8" t="s">
        <v>215</v>
      </c>
      <c r="I3552" s="3">
        <v>2</v>
      </c>
      <c r="J3552" s="8" t="s">
        <v>157</v>
      </c>
      <c r="K3552" s="8" t="s">
        <v>158</v>
      </c>
      <c r="L3552" s="8" t="s">
        <v>557</v>
      </c>
      <c r="M3552" s="1" t="s">
        <v>205</v>
      </c>
      <c r="N3552" s="8" t="s">
        <v>206</v>
      </c>
      <c r="O3552" s="6">
        <v>0</v>
      </c>
      <c r="P3552" s="6">
        <v>0</v>
      </c>
      <c r="Q3552" s="6">
        <v>10</v>
      </c>
      <c r="R3552" s="6">
        <v>0</v>
      </c>
      <c r="S3552" s="6">
        <v>0</v>
      </c>
    </row>
    <row r="3553" spans="1:19" ht="15" hidden="1" x14ac:dyDescent="0.25">
      <c r="A3553" s="7" t="s">
        <v>16</v>
      </c>
      <c r="B3553" s="7" t="s">
        <v>230</v>
      </c>
      <c r="C3553" s="7" t="s">
        <v>24</v>
      </c>
      <c r="D3553" s="4">
        <v>23982118000168</v>
      </c>
      <c r="E3553" s="8" t="s">
        <v>972</v>
      </c>
      <c r="F3553" s="8" t="s">
        <v>930</v>
      </c>
      <c r="G3553" s="8" t="s">
        <v>68</v>
      </c>
      <c r="H3553" s="8" t="s">
        <v>215</v>
      </c>
      <c r="I3553" s="3">
        <v>2</v>
      </c>
      <c r="J3553" s="8" t="s">
        <v>175</v>
      </c>
      <c r="K3553" s="8" t="s">
        <v>176</v>
      </c>
      <c r="L3553" s="8" t="s">
        <v>556</v>
      </c>
      <c r="M3553" s="1" t="s">
        <v>205</v>
      </c>
      <c r="N3553" s="8" t="s">
        <v>206</v>
      </c>
      <c r="O3553" s="6">
        <v>0</v>
      </c>
      <c r="P3553" s="6">
        <v>0</v>
      </c>
      <c r="Q3553" s="6">
        <v>0</v>
      </c>
      <c r="R3553" s="6">
        <v>32</v>
      </c>
      <c r="S3553" s="6">
        <v>0</v>
      </c>
    </row>
    <row r="3554" spans="1:19" ht="15" hidden="1" x14ac:dyDescent="0.25">
      <c r="A3554" s="7" t="s">
        <v>16</v>
      </c>
      <c r="B3554" s="7" t="s">
        <v>230</v>
      </c>
      <c r="C3554" s="7" t="s">
        <v>24</v>
      </c>
      <c r="D3554" s="4">
        <v>23982118000168</v>
      </c>
      <c r="E3554" s="8" t="s">
        <v>972</v>
      </c>
      <c r="F3554" s="8" t="s">
        <v>930</v>
      </c>
      <c r="G3554" s="8" t="s">
        <v>68</v>
      </c>
      <c r="H3554" s="8" t="s">
        <v>215</v>
      </c>
      <c r="I3554" s="3">
        <v>2</v>
      </c>
      <c r="J3554" s="8" t="s">
        <v>157</v>
      </c>
      <c r="K3554" s="8" t="s">
        <v>158</v>
      </c>
      <c r="L3554" s="8" t="s">
        <v>557</v>
      </c>
      <c r="M3554" s="1" t="s">
        <v>205</v>
      </c>
      <c r="N3554" s="8" t="s">
        <v>206</v>
      </c>
      <c r="O3554" s="6">
        <v>0</v>
      </c>
      <c r="P3554" s="6">
        <v>0</v>
      </c>
      <c r="Q3554" s="6">
        <v>0</v>
      </c>
      <c r="R3554" s="6">
        <v>0</v>
      </c>
      <c r="S3554" s="6">
        <v>0</v>
      </c>
    </row>
    <row r="3555" spans="1:19" ht="15" hidden="1" x14ac:dyDescent="0.25">
      <c r="A3555" s="7" t="s">
        <v>16</v>
      </c>
      <c r="B3555" s="7" t="s">
        <v>230</v>
      </c>
      <c r="C3555" s="7" t="s">
        <v>24</v>
      </c>
      <c r="D3555" s="4">
        <v>1125832000105</v>
      </c>
      <c r="E3555" s="8" t="s">
        <v>935</v>
      </c>
      <c r="F3555" s="8" t="s">
        <v>930</v>
      </c>
      <c r="G3555" s="8" t="s">
        <v>68</v>
      </c>
      <c r="H3555" s="8" t="s">
        <v>215</v>
      </c>
      <c r="I3555" s="3">
        <v>2</v>
      </c>
      <c r="J3555" s="8" t="s">
        <v>175</v>
      </c>
      <c r="K3555" s="8" t="s">
        <v>176</v>
      </c>
      <c r="L3555" s="8" t="s">
        <v>556</v>
      </c>
      <c r="M3555" s="1" t="s">
        <v>205</v>
      </c>
      <c r="N3555" s="8" t="s">
        <v>206</v>
      </c>
      <c r="O3555" s="6">
        <v>0</v>
      </c>
      <c r="P3555" s="6">
        <v>0</v>
      </c>
      <c r="Q3555" s="6">
        <v>0</v>
      </c>
      <c r="R3555" s="6">
        <v>0</v>
      </c>
      <c r="S3555" s="6">
        <v>100</v>
      </c>
    </row>
    <row r="3556" spans="1:19" ht="15" hidden="1" x14ac:dyDescent="0.25">
      <c r="A3556" s="7" t="s">
        <v>16</v>
      </c>
      <c r="B3556" s="7" t="s">
        <v>230</v>
      </c>
      <c r="C3556" s="7" t="s">
        <v>24</v>
      </c>
      <c r="D3556" s="4">
        <v>1125832000105</v>
      </c>
      <c r="E3556" s="8" t="s">
        <v>935</v>
      </c>
      <c r="F3556" s="8" t="s">
        <v>930</v>
      </c>
      <c r="G3556" s="8" t="s">
        <v>68</v>
      </c>
      <c r="H3556" s="8" t="s">
        <v>215</v>
      </c>
      <c r="I3556" s="3">
        <v>2</v>
      </c>
      <c r="J3556" s="8" t="s">
        <v>157</v>
      </c>
      <c r="K3556" s="8" t="s">
        <v>158</v>
      </c>
      <c r="L3556" s="8" t="s">
        <v>557</v>
      </c>
      <c r="M3556" s="1" t="s">
        <v>205</v>
      </c>
      <c r="N3556" s="8" t="s">
        <v>206</v>
      </c>
      <c r="O3556" s="6">
        <v>0</v>
      </c>
      <c r="P3556" s="6">
        <v>0</v>
      </c>
      <c r="Q3556" s="6">
        <v>0</v>
      </c>
      <c r="R3556" s="6">
        <v>0</v>
      </c>
      <c r="S3556" s="6">
        <v>100</v>
      </c>
    </row>
    <row r="3557" spans="1:19" ht="15" hidden="1" x14ac:dyDescent="0.25">
      <c r="A3557" s="7" t="s">
        <v>16</v>
      </c>
      <c r="B3557" s="7" t="s">
        <v>230</v>
      </c>
      <c r="C3557" s="7" t="s">
        <v>24</v>
      </c>
      <c r="D3557" s="4">
        <v>80673411000187</v>
      </c>
      <c r="E3557" s="8" t="s">
        <v>999</v>
      </c>
      <c r="F3557" s="8" t="s">
        <v>930</v>
      </c>
      <c r="G3557" s="8" t="s">
        <v>68</v>
      </c>
      <c r="H3557" s="8" t="s">
        <v>215</v>
      </c>
      <c r="I3557" s="3">
        <v>2</v>
      </c>
      <c r="J3557" s="8" t="s">
        <v>175</v>
      </c>
      <c r="K3557" s="8" t="s">
        <v>176</v>
      </c>
      <c r="L3557" s="8" t="s">
        <v>556</v>
      </c>
      <c r="M3557" s="1" t="s">
        <v>205</v>
      </c>
      <c r="N3557" s="8" t="s">
        <v>206</v>
      </c>
      <c r="O3557" s="6">
        <v>106</v>
      </c>
      <c r="P3557" s="6">
        <v>0</v>
      </c>
      <c r="Q3557" s="6">
        <v>0</v>
      </c>
      <c r="R3557" s="6">
        <v>0</v>
      </c>
      <c r="S3557" s="6">
        <v>4295</v>
      </c>
    </row>
    <row r="3558" spans="1:19" ht="15" hidden="1" x14ac:dyDescent="0.25">
      <c r="A3558" s="7" t="s">
        <v>16</v>
      </c>
      <c r="B3558" s="7" t="s">
        <v>230</v>
      </c>
      <c r="C3558" s="7" t="s">
        <v>24</v>
      </c>
      <c r="D3558" s="4">
        <v>80673411000187</v>
      </c>
      <c r="E3558" s="8" t="s">
        <v>999</v>
      </c>
      <c r="F3558" s="8" t="s">
        <v>930</v>
      </c>
      <c r="G3558" s="8" t="s">
        <v>68</v>
      </c>
      <c r="H3558" s="8" t="s">
        <v>215</v>
      </c>
      <c r="I3558" s="3">
        <v>2</v>
      </c>
      <c r="J3558" s="8" t="s">
        <v>157</v>
      </c>
      <c r="K3558" s="8" t="s">
        <v>158</v>
      </c>
      <c r="L3558" s="8" t="s">
        <v>557</v>
      </c>
      <c r="M3558" s="1" t="s">
        <v>205</v>
      </c>
      <c r="N3558" s="8" t="s">
        <v>206</v>
      </c>
      <c r="O3558" s="6">
        <v>0</v>
      </c>
      <c r="P3558" s="6">
        <v>0</v>
      </c>
      <c r="Q3558" s="6">
        <v>0</v>
      </c>
      <c r="R3558" s="6">
        <v>0</v>
      </c>
      <c r="S3558" s="6">
        <v>4295</v>
      </c>
    </row>
    <row r="3559" spans="1:19" ht="15" hidden="1" x14ac:dyDescent="0.25">
      <c r="A3559" s="7" t="s">
        <v>16</v>
      </c>
      <c r="B3559" s="7" t="s">
        <v>230</v>
      </c>
      <c r="C3559" s="7" t="s">
        <v>24</v>
      </c>
      <c r="D3559" s="4">
        <v>83884999000106</v>
      </c>
      <c r="E3559" s="8" t="s">
        <v>1009</v>
      </c>
      <c r="F3559" s="8" t="s">
        <v>930</v>
      </c>
      <c r="G3559" s="8" t="s">
        <v>68</v>
      </c>
      <c r="H3559" s="8" t="s">
        <v>215</v>
      </c>
      <c r="I3559" s="3">
        <v>2</v>
      </c>
      <c r="J3559" s="8" t="s">
        <v>175</v>
      </c>
      <c r="K3559" s="8" t="s">
        <v>176</v>
      </c>
      <c r="L3559" s="8" t="s">
        <v>556</v>
      </c>
      <c r="M3559" s="1" t="s">
        <v>205</v>
      </c>
      <c r="N3559" s="8" t="s">
        <v>206</v>
      </c>
      <c r="O3559" s="6">
        <v>0</v>
      </c>
      <c r="P3559" s="6">
        <v>0</v>
      </c>
      <c r="Q3559" s="6">
        <v>0</v>
      </c>
      <c r="R3559" s="6">
        <v>0</v>
      </c>
      <c r="S3559" s="6">
        <v>0</v>
      </c>
    </row>
    <row r="3560" spans="1:19" ht="15" hidden="1" x14ac:dyDescent="0.25">
      <c r="A3560" s="7" t="s">
        <v>16</v>
      </c>
      <c r="B3560" s="7" t="s">
        <v>230</v>
      </c>
      <c r="C3560" s="7" t="s">
        <v>24</v>
      </c>
      <c r="D3560" s="4">
        <v>83884999000106</v>
      </c>
      <c r="E3560" s="8" t="s">
        <v>1009</v>
      </c>
      <c r="F3560" s="8" t="s">
        <v>930</v>
      </c>
      <c r="G3560" s="8" t="s">
        <v>68</v>
      </c>
      <c r="H3560" s="8" t="s">
        <v>215</v>
      </c>
      <c r="I3560" s="3">
        <v>2</v>
      </c>
      <c r="J3560" s="8" t="s">
        <v>157</v>
      </c>
      <c r="K3560" s="8" t="s">
        <v>158</v>
      </c>
      <c r="L3560" s="8" t="s">
        <v>557</v>
      </c>
      <c r="M3560" s="1" t="s">
        <v>205</v>
      </c>
      <c r="N3560" s="8" t="s">
        <v>206</v>
      </c>
      <c r="O3560" s="6">
        <v>0</v>
      </c>
      <c r="P3560" s="6">
        <v>4</v>
      </c>
      <c r="Q3560" s="6">
        <v>0</v>
      </c>
      <c r="R3560" s="6">
        <v>0</v>
      </c>
      <c r="S3560" s="6">
        <v>0</v>
      </c>
    </row>
    <row r="3561" spans="1:19" ht="15" hidden="1" x14ac:dyDescent="0.25">
      <c r="A3561" s="7" t="s">
        <v>16</v>
      </c>
      <c r="B3561" s="7" t="s">
        <v>230</v>
      </c>
      <c r="C3561" s="7" t="s">
        <v>24</v>
      </c>
      <c r="D3561" s="4">
        <v>4670913000176</v>
      </c>
      <c r="E3561" s="8" t="s">
        <v>949</v>
      </c>
      <c r="F3561" s="8" t="s">
        <v>930</v>
      </c>
      <c r="G3561" s="8" t="s">
        <v>68</v>
      </c>
      <c r="H3561" s="8" t="s">
        <v>215</v>
      </c>
      <c r="I3561" s="3">
        <v>2</v>
      </c>
      <c r="J3561" s="8" t="s">
        <v>175</v>
      </c>
      <c r="K3561" s="8" t="s">
        <v>176</v>
      </c>
      <c r="L3561" s="8" t="s">
        <v>556</v>
      </c>
      <c r="M3561" s="1" t="s">
        <v>205</v>
      </c>
      <c r="N3561" s="8" t="s">
        <v>206</v>
      </c>
      <c r="O3561" s="6">
        <v>0</v>
      </c>
      <c r="P3561" s="6">
        <v>0</v>
      </c>
      <c r="Q3561" s="6">
        <v>0</v>
      </c>
      <c r="R3561" s="6">
        <v>0</v>
      </c>
      <c r="S3561" s="6">
        <v>225</v>
      </c>
    </row>
    <row r="3562" spans="1:19" ht="15" hidden="1" x14ac:dyDescent="0.25">
      <c r="A3562" s="7" t="s">
        <v>16</v>
      </c>
      <c r="B3562" s="7" t="s">
        <v>230</v>
      </c>
      <c r="C3562" s="7" t="s">
        <v>24</v>
      </c>
      <c r="D3562" s="4">
        <v>4670913000176</v>
      </c>
      <c r="E3562" s="8" t="s">
        <v>949</v>
      </c>
      <c r="F3562" s="8" t="s">
        <v>930</v>
      </c>
      <c r="G3562" s="8" t="s">
        <v>68</v>
      </c>
      <c r="H3562" s="8" t="s">
        <v>215</v>
      </c>
      <c r="I3562" s="3">
        <v>2</v>
      </c>
      <c r="J3562" s="8" t="s">
        <v>157</v>
      </c>
      <c r="K3562" s="8" t="s">
        <v>158</v>
      </c>
      <c r="L3562" s="8" t="s">
        <v>557</v>
      </c>
      <c r="M3562" s="1" t="s">
        <v>205</v>
      </c>
      <c r="N3562" s="8" t="s">
        <v>206</v>
      </c>
      <c r="O3562" s="6">
        <v>0</v>
      </c>
      <c r="P3562" s="6">
        <v>0</v>
      </c>
      <c r="Q3562" s="6">
        <v>0</v>
      </c>
      <c r="R3562" s="6">
        <v>0</v>
      </c>
      <c r="S3562" s="6">
        <v>225</v>
      </c>
    </row>
    <row r="3563" spans="1:19" ht="15" hidden="1" x14ac:dyDescent="0.25">
      <c r="A3563" s="7" t="s">
        <v>16</v>
      </c>
      <c r="B3563" s="7" t="s">
        <v>230</v>
      </c>
      <c r="C3563" s="7" t="s">
        <v>24</v>
      </c>
      <c r="D3563" s="4">
        <v>3855214000219</v>
      </c>
      <c r="E3563" s="8" t="s">
        <v>946</v>
      </c>
      <c r="F3563" s="8" t="s">
        <v>947</v>
      </c>
      <c r="G3563" s="8" t="s">
        <v>68</v>
      </c>
      <c r="H3563" s="8" t="s">
        <v>215</v>
      </c>
      <c r="I3563" s="3">
        <v>2</v>
      </c>
      <c r="J3563" s="8" t="s">
        <v>175</v>
      </c>
      <c r="K3563" s="8" t="s">
        <v>176</v>
      </c>
      <c r="L3563" s="8" t="s">
        <v>556</v>
      </c>
      <c r="M3563" s="1" t="s">
        <v>205</v>
      </c>
      <c r="N3563" s="8" t="s">
        <v>206</v>
      </c>
      <c r="O3563" s="6">
        <v>0</v>
      </c>
      <c r="P3563" s="6">
        <v>0</v>
      </c>
      <c r="Q3563" s="6">
        <v>0</v>
      </c>
      <c r="R3563" s="6">
        <v>0</v>
      </c>
      <c r="S3563" s="6">
        <v>20</v>
      </c>
    </row>
    <row r="3564" spans="1:19" ht="15" hidden="1" x14ac:dyDescent="0.25">
      <c r="A3564" s="7" t="s">
        <v>16</v>
      </c>
      <c r="B3564" s="7" t="s">
        <v>230</v>
      </c>
      <c r="C3564" s="7" t="s">
        <v>24</v>
      </c>
      <c r="D3564" s="4">
        <v>3855214000219</v>
      </c>
      <c r="E3564" s="8" t="s">
        <v>946</v>
      </c>
      <c r="F3564" s="8" t="s">
        <v>947</v>
      </c>
      <c r="G3564" s="8" t="s">
        <v>68</v>
      </c>
      <c r="H3564" s="8" t="s">
        <v>215</v>
      </c>
      <c r="I3564" s="3">
        <v>2</v>
      </c>
      <c r="J3564" s="8" t="s">
        <v>157</v>
      </c>
      <c r="K3564" s="8" t="s">
        <v>158</v>
      </c>
      <c r="L3564" s="8" t="s">
        <v>557</v>
      </c>
      <c r="M3564" s="1" t="s">
        <v>205</v>
      </c>
      <c r="N3564" s="8" t="s">
        <v>206</v>
      </c>
      <c r="O3564" s="6">
        <v>0</v>
      </c>
      <c r="P3564" s="6">
        <v>0</v>
      </c>
      <c r="Q3564" s="6">
        <v>0</v>
      </c>
      <c r="R3564" s="6">
        <v>0</v>
      </c>
      <c r="S3564" s="6">
        <v>20</v>
      </c>
    </row>
    <row r="3565" spans="1:19" ht="15" hidden="1" x14ac:dyDescent="0.25">
      <c r="A3565" s="7" t="s">
        <v>16</v>
      </c>
      <c r="B3565" s="7" t="s">
        <v>230</v>
      </c>
      <c r="C3565" s="7" t="s">
        <v>24</v>
      </c>
      <c r="D3565" s="4">
        <v>77858611001414</v>
      </c>
      <c r="E3565" s="8" t="s">
        <v>991</v>
      </c>
      <c r="F3565" s="8" t="s">
        <v>969</v>
      </c>
      <c r="G3565" s="8" t="s">
        <v>68</v>
      </c>
      <c r="H3565" s="8" t="s">
        <v>215</v>
      </c>
      <c r="I3565" s="3">
        <v>2</v>
      </c>
      <c r="J3565" s="8" t="s">
        <v>175</v>
      </c>
      <c r="K3565" s="8" t="s">
        <v>176</v>
      </c>
      <c r="L3565" s="8" t="s">
        <v>556</v>
      </c>
      <c r="M3565" s="1" t="s">
        <v>205</v>
      </c>
      <c r="N3565" s="8" t="s">
        <v>206</v>
      </c>
      <c r="O3565" s="6">
        <v>0</v>
      </c>
      <c r="P3565" s="6">
        <v>0</v>
      </c>
      <c r="Q3565" s="6">
        <v>0</v>
      </c>
      <c r="R3565" s="6">
        <v>0</v>
      </c>
      <c r="S3565" s="6">
        <v>290</v>
      </c>
    </row>
    <row r="3566" spans="1:19" ht="15" hidden="1" x14ac:dyDescent="0.25">
      <c r="A3566" s="7" t="s">
        <v>16</v>
      </c>
      <c r="B3566" s="7" t="s">
        <v>230</v>
      </c>
      <c r="C3566" s="7" t="s">
        <v>24</v>
      </c>
      <c r="D3566" s="4">
        <v>77858611001414</v>
      </c>
      <c r="E3566" s="8" t="s">
        <v>991</v>
      </c>
      <c r="F3566" s="8" t="s">
        <v>969</v>
      </c>
      <c r="G3566" s="8" t="s">
        <v>68</v>
      </c>
      <c r="H3566" s="8" t="s">
        <v>215</v>
      </c>
      <c r="I3566" s="3">
        <v>2</v>
      </c>
      <c r="J3566" s="8" t="s">
        <v>157</v>
      </c>
      <c r="K3566" s="8" t="s">
        <v>158</v>
      </c>
      <c r="L3566" s="8" t="s">
        <v>557</v>
      </c>
      <c r="M3566" s="1" t="s">
        <v>205</v>
      </c>
      <c r="N3566" s="8" t="s">
        <v>206</v>
      </c>
      <c r="O3566" s="6">
        <v>0</v>
      </c>
      <c r="P3566" s="6">
        <v>0</v>
      </c>
      <c r="Q3566" s="6">
        <v>0</v>
      </c>
      <c r="R3566" s="6">
        <v>0</v>
      </c>
      <c r="S3566" s="6">
        <v>290</v>
      </c>
    </row>
    <row r="3567" spans="1:19" ht="15" hidden="1" x14ac:dyDescent="0.25">
      <c r="A3567" s="7" t="s">
        <v>16</v>
      </c>
      <c r="B3567" s="7" t="s">
        <v>230</v>
      </c>
      <c r="C3567" s="7" t="s">
        <v>24</v>
      </c>
      <c r="D3567" s="4">
        <v>85241339000809</v>
      </c>
      <c r="E3567" s="8" t="s">
        <v>1011</v>
      </c>
      <c r="F3567" s="8" t="s">
        <v>998</v>
      </c>
      <c r="G3567" s="8" t="s">
        <v>68</v>
      </c>
      <c r="H3567" s="8" t="s">
        <v>215</v>
      </c>
      <c r="I3567" s="3">
        <v>2</v>
      </c>
      <c r="J3567" s="8" t="s">
        <v>175</v>
      </c>
      <c r="K3567" s="8" t="s">
        <v>176</v>
      </c>
      <c r="L3567" s="8" t="s">
        <v>556</v>
      </c>
      <c r="M3567" s="1" t="s">
        <v>205</v>
      </c>
      <c r="N3567" s="8" t="s">
        <v>206</v>
      </c>
      <c r="O3567" s="6">
        <v>0</v>
      </c>
      <c r="P3567" s="6">
        <v>0</v>
      </c>
      <c r="Q3567" s="6">
        <v>0</v>
      </c>
      <c r="R3567" s="6">
        <v>0</v>
      </c>
      <c r="S3567" s="6">
        <v>130</v>
      </c>
    </row>
    <row r="3568" spans="1:19" ht="15" hidden="1" x14ac:dyDescent="0.25">
      <c r="A3568" s="7" t="s">
        <v>16</v>
      </c>
      <c r="B3568" s="7" t="s">
        <v>230</v>
      </c>
      <c r="C3568" s="7" t="s">
        <v>24</v>
      </c>
      <c r="D3568" s="4">
        <v>85241339000809</v>
      </c>
      <c r="E3568" s="8" t="s">
        <v>1011</v>
      </c>
      <c r="F3568" s="8" t="s">
        <v>998</v>
      </c>
      <c r="G3568" s="8" t="s">
        <v>68</v>
      </c>
      <c r="H3568" s="8" t="s">
        <v>215</v>
      </c>
      <c r="I3568" s="3">
        <v>2</v>
      </c>
      <c r="J3568" s="8" t="s">
        <v>157</v>
      </c>
      <c r="K3568" s="8" t="s">
        <v>158</v>
      </c>
      <c r="L3568" s="8" t="s">
        <v>557</v>
      </c>
      <c r="M3568" s="1" t="s">
        <v>205</v>
      </c>
      <c r="N3568" s="8" t="s">
        <v>206</v>
      </c>
      <c r="O3568" s="6">
        <v>0</v>
      </c>
      <c r="P3568" s="6">
        <v>0</v>
      </c>
      <c r="Q3568" s="6">
        <v>0</v>
      </c>
      <c r="R3568" s="6">
        <v>0</v>
      </c>
      <c r="S3568" s="6">
        <v>130</v>
      </c>
    </row>
    <row r="3569" spans="1:19" ht="15" hidden="1" x14ac:dyDescent="0.25">
      <c r="A3569" s="7" t="s">
        <v>16</v>
      </c>
      <c r="B3569" s="7" t="s">
        <v>230</v>
      </c>
      <c r="C3569" s="7" t="s">
        <v>24</v>
      </c>
      <c r="D3569" s="4">
        <v>1595799000179</v>
      </c>
      <c r="E3569" s="8" t="s">
        <v>1399</v>
      </c>
      <c r="F3569" s="8" t="s">
        <v>998</v>
      </c>
      <c r="G3569" s="8" t="s">
        <v>68</v>
      </c>
      <c r="H3569" s="8" t="s">
        <v>215</v>
      </c>
      <c r="I3569" s="3">
        <v>2</v>
      </c>
      <c r="J3569" s="8" t="s">
        <v>175</v>
      </c>
      <c r="K3569" s="8" t="s">
        <v>176</v>
      </c>
      <c r="L3569" s="8" t="s">
        <v>556</v>
      </c>
      <c r="M3569" s="1" t="s">
        <v>205</v>
      </c>
      <c r="N3569" s="8" t="s">
        <v>206</v>
      </c>
      <c r="O3569" s="6">
        <v>0</v>
      </c>
      <c r="P3569" s="6">
        <v>0</v>
      </c>
      <c r="Q3569" s="6">
        <v>0</v>
      </c>
      <c r="R3569" s="6">
        <v>0</v>
      </c>
      <c r="S3569" s="6">
        <v>125</v>
      </c>
    </row>
    <row r="3570" spans="1:19" ht="15" hidden="1" x14ac:dyDescent="0.25">
      <c r="A3570" s="7" t="s">
        <v>16</v>
      </c>
      <c r="B3570" s="7" t="s">
        <v>230</v>
      </c>
      <c r="C3570" s="7" t="s">
        <v>24</v>
      </c>
      <c r="D3570" s="4">
        <v>1595799000179</v>
      </c>
      <c r="E3570" s="8" t="s">
        <v>1399</v>
      </c>
      <c r="F3570" s="8" t="s">
        <v>998</v>
      </c>
      <c r="G3570" s="8" t="s">
        <v>68</v>
      </c>
      <c r="H3570" s="8" t="s">
        <v>215</v>
      </c>
      <c r="I3570" s="3">
        <v>2</v>
      </c>
      <c r="J3570" s="8" t="s">
        <v>157</v>
      </c>
      <c r="K3570" s="8" t="s">
        <v>158</v>
      </c>
      <c r="L3570" s="8" t="s">
        <v>557</v>
      </c>
      <c r="M3570" s="1" t="s">
        <v>205</v>
      </c>
      <c r="N3570" s="8" t="s">
        <v>206</v>
      </c>
      <c r="O3570" s="6">
        <v>0</v>
      </c>
      <c r="P3570" s="6">
        <v>0</v>
      </c>
      <c r="Q3570" s="6">
        <v>0</v>
      </c>
      <c r="R3570" s="6">
        <v>0</v>
      </c>
      <c r="S3570" s="6">
        <v>125</v>
      </c>
    </row>
    <row r="3571" spans="1:19" ht="15" hidden="1" x14ac:dyDescent="0.25">
      <c r="A3571" s="7" t="s">
        <v>16</v>
      </c>
      <c r="B3571" s="7" t="s">
        <v>230</v>
      </c>
      <c r="C3571" s="7" t="s">
        <v>24</v>
      </c>
      <c r="D3571" s="4">
        <v>12361267000517</v>
      </c>
      <c r="E3571" s="8" t="s">
        <v>849</v>
      </c>
      <c r="F3571" s="8" t="s">
        <v>84</v>
      </c>
      <c r="G3571" s="8" t="s">
        <v>85</v>
      </c>
      <c r="H3571" s="8" t="s">
        <v>215</v>
      </c>
      <c r="I3571" s="3">
        <v>2</v>
      </c>
      <c r="J3571" s="8" t="s">
        <v>199</v>
      </c>
      <c r="K3571" s="8" t="s">
        <v>200</v>
      </c>
      <c r="L3571" s="8" t="s">
        <v>556</v>
      </c>
      <c r="M3571" s="1" t="s">
        <v>211</v>
      </c>
      <c r="N3571" s="8" t="s">
        <v>212</v>
      </c>
      <c r="O3571" s="6">
        <v>0</v>
      </c>
      <c r="P3571" s="6">
        <v>0</v>
      </c>
      <c r="Q3571" s="6">
        <v>0</v>
      </c>
      <c r="R3571" s="6">
        <v>0</v>
      </c>
      <c r="S3571" s="6">
        <v>60</v>
      </c>
    </row>
    <row r="3572" spans="1:19" ht="15" hidden="1" x14ac:dyDescent="0.25">
      <c r="A3572" s="7" t="s">
        <v>16</v>
      </c>
      <c r="B3572" s="7" t="s">
        <v>230</v>
      </c>
      <c r="C3572" s="7" t="s">
        <v>24</v>
      </c>
      <c r="D3572" s="4">
        <v>12361267000517</v>
      </c>
      <c r="E3572" s="8" t="s">
        <v>849</v>
      </c>
      <c r="F3572" s="8" t="s">
        <v>84</v>
      </c>
      <c r="G3572" s="8" t="s">
        <v>85</v>
      </c>
      <c r="H3572" s="8" t="s">
        <v>215</v>
      </c>
      <c r="I3572" s="3">
        <v>2</v>
      </c>
      <c r="J3572" s="8" t="s">
        <v>167</v>
      </c>
      <c r="K3572" s="8" t="s">
        <v>168</v>
      </c>
      <c r="L3572" s="8" t="s">
        <v>557</v>
      </c>
      <c r="M3572" s="1" t="s">
        <v>211</v>
      </c>
      <c r="N3572" s="8" t="s">
        <v>212</v>
      </c>
      <c r="O3572" s="6">
        <v>0</v>
      </c>
      <c r="P3572" s="6">
        <v>0</v>
      </c>
      <c r="Q3572" s="6">
        <v>0</v>
      </c>
      <c r="R3572" s="6">
        <v>0</v>
      </c>
      <c r="S3572" s="6">
        <v>60</v>
      </c>
    </row>
    <row r="3573" spans="1:19" ht="15" hidden="1" x14ac:dyDescent="0.25">
      <c r="A3573" s="7" t="s">
        <v>16</v>
      </c>
      <c r="B3573" s="7" t="s">
        <v>230</v>
      </c>
      <c r="C3573" s="7" t="s">
        <v>24</v>
      </c>
      <c r="D3573" s="4">
        <v>13016332000106</v>
      </c>
      <c r="E3573" s="8" t="s">
        <v>868</v>
      </c>
      <c r="F3573" s="8" t="s">
        <v>84</v>
      </c>
      <c r="G3573" s="8" t="s">
        <v>85</v>
      </c>
      <c r="H3573" s="8" t="s">
        <v>215</v>
      </c>
      <c r="I3573" s="3">
        <v>2</v>
      </c>
      <c r="J3573" s="8" t="s">
        <v>199</v>
      </c>
      <c r="K3573" s="8" t="s">
        <v>200</v>
      </c>
      <c r="L3573" s="8" t="s">
        <v>556</v>
      </c>
      <c r="M3573" s="1" t="s">
        <v>211</v>
      </c>
      <c r="N3573" s="8" t="s">
        <v>212</v>
      </c>
      <c r="O3573" s="6">
        <v>0</v>
      </c>
      <c r="P3573" s="6">
        <v>0</v>
      </c>
      <c r="Q3573" s="6">
        <v>0</v>
      </c>
      <c r="R3573" s="6">
        <v>0</v>
      </c>
      <c r="S3573" s="6">
        <v>0</v>
      </c>
    </row>
    <row r="3574" spans="1:19" ht="15" hidden="1" x14ac:dyDescent="0.25">
      <c r="A3574" s="7" t="s">
        <v>16</v>
      </c>
      <c r="B3574" s="7" t="s">
        <v>230</v>
      </c>
      <c r="C3574" s="7" t="s">
        <v>24</v>
      </c>
      <c r="D3574" s="4">
        <v>13016332000106</v>
      </c>
      <c r="E3574" s="8" t="s">
        <v>868</v>
      </c>
      <c r="F3574" s="8" t="s">
        <v>84</v>
      </c>
      <c r="G3574" s="8" t="s">
        <v>85</v>
      </c>
      <c r="H3574" s="8" t="s">
        <v>215</v>
      </c>
      <c r="I3574" s="3">
        <v>2</v>
      </c>
      <c r="J3574" s="8" t="s">
        <v>167</v>
      </c>
      <c r="K3574" s="8" t="s">
        <v>168</v>
      </c>
      <c r="L3574" s="8" t="s">
        <v>557</v>
      </c>
      <c r="M3574" s="1" t="s">
        <v>211</v>
      </c>
      <c r="N3574" s="8" t="s">
        <v>212</v>
      </c>
      <c r="O3574" s="6">
        <v>0</v>
      </c>
      <c r="P3574" s="6">
        <v>0</v>
      </c>
      <c r="Q3574" s="6">
        <v>5</v>
      </c>
      <c r="R3574" s="6">
        <v>0</v>
      </c>
      <c r="S3574" s="6">
        <v>0</v>
      </c>
    </row>
    <row r="3575" spans="1:19" ht="15" hidden="1" x14ac:dyDescent="0.25">
      <c r="A3575" s="7" t="s">
        <v>16</v>
      </c>
      <c r="B3575" s="7" t="s">
        <v>230</v>
      </c>
      <c r="C3575" s="7" t="s">
        <v>24</v>
      </c>
      <c r="D3575" s="4">
        <v>13131370000100</v>
      </c>
      <c r="E3575" s="8" t="s">
        <v>870</v>
      </c>
      <c r="F3575" s="8" t="s">
        <v>84</v>
      </c>
      <c r="G3575" s="8" t="s">
        <v>85</v>
      </c>
      <c r="H3575" s="8" t="s">
        <v>215</v>
      </c>
      <c r="I3575" s="3">
        <v>2</v>
      </c>
      <c r="J3575" s="8" t="s">
        <v>199</v>
      </c>
      <c r="K3575" s="8" t="s">
        <v>200</v>
      </c>
      <c r="L3575" s="8" t="s">
        <v>556</v>
      </c>
      <c r="M3575" s="1" t="s">
        <v>211</v>
      </c>
      <c r="N3575" s="8" t="s">
        <v>212</v>
      </c>
      <c r="O3575" s="6">
        <v>0</v>
      </c>
      <c r="P3575" s="6">
        <v>0</v>
      </c>
      <c r="Q3575" s="6">
        <v>0</v>
      </c>
      <c r="R3575" s="6">
        <v>31</v>
      </c>
      <c r="S3575" s="6">
        <v>750</v>
      </c>
    </row>
    <row r="3576" spans="1:19" ht="15" hidden="1" x14ac:dyDescent="0.25">
      <c r="A3576" s="7" t="s">
        <v>16</v>
      </c>
      <c r="B3576" s="7" t="s">
        <v>230</v>
      </c>
      <c r="C3576" s="7" t="s">
        <v>24</v>
      </c>
      <c r="D3576" s="4">
        <v>13131370000100</v>
      </c>
      <c r="E3576" s="8" t="s">
        <v>870</v>
      </c>
      <c r="F3576" s="8" t="s">
        <v>84</v>
      </c>
      <c r="G3576" s="8" t="s">
        <v>85</v>
      </c>
      <c r="H3576" s="8" t="s">
        <v>215</v>
      </c>
      <c r="I3576" s="3">
        <v>2</v>
      </c>
      <c r="J3576" s="8" t="s">
        <v>167</v>
      </c>
      <c r="K3576" s="8" t="s">
        <v>168</v>
      </c>
      <c r="L3576" s="8" t="s">
        <v>557</v>
      </c>
      <c r="M3576" s="1" t="s">
        <v>211</v>
      </c>
      <c r="N3576" s="8" t="s">
        <v>212</v>
      </c>
      <c r="O3576" s="6">
        <v>0</v>
      </c>
      <c r="P3576" s="6">
        <v>0</v>
      </c>
      <c r="Q3576" s="6">
        <v>0</v>
      </c>
      <c r="R3576" s="6">
        <v>0</v>
      </c>
      <c r="S3576" s="6">
        <v>750</v>
      </c>
    </row>
    <row r="3577" spans="1:19" ht="15" hidden="1" x14ac:dyDescent="0.25">
      <c r="A3577" s="7" t="s">
        <v>16</v>
      </c>
      <c r="B3577" s="7" t="s">
        <v>230</v>
      </c>
      <c r="C3577" s="7" t="s">
        <v>24</v>
      </c>
      <c r="D3577" s="4">
        <v>15592785000106</v>
      </c>
      <c r="E3577" s="8" t="s">
        <v>897</v>
      </c>
      <c r="F3577" s="8" t="s">
        <v>84</v>
      </c>
      <c r="G3577" s="8" t="s">
        <v>85</v>
      </c>
      <c r="H3577" s="8" t="s">
        <v>215</v>
      </c>
      <c r="I3577" s="3">
        <v>2</v>
      </c>
      <c r="J3577" s="8" t="s">
        <v>199</v>
      </c>
      <c r="K3577" s="8" t="s">
        <v>200</v>
      </c>
      <c r="L3577" s="8" t="s">
        <v>556</v>
      </c>
      <c r="M3577" s="1" t="s">
        <v>211</v>
      </c>
      <c r="N3577" s="8" t="s">
        <v>212</v>
      </c>
      <c r="O3577" s="6">
        <v>0</v>
      </c>
      <c r="P3577" s="6">
        <v>0</v>
      </c>
      <c r="Q3577" s="6">
        <v>0</v>
      </c>
      <c r="R3577" s="6">
        <v>0</v>
      </c>
      <c r="S3577" s="6">
        <v>165</v>
      </c>
    </row>
    <row r="3578" spans="1:19" ht="15" hidden="1" x14ac:dyDescent="0.25">
      <c r="A3578" s="7" t="s">
        <v>16</v>
      </c>
      <c r="B3578" s="7" t="s">
        <v>230</v>
      </c>
      <c r="C3578" s="7" t="s">
        <v>24</v>
      </c>
      <c r="D3578" s="4">
        <v>15592785000106</v>
      </c>
      <c r="E3578" s="8" t="s">
        <v>897</v>
      </c>
      <c r="F3578" s="8" t="s">
        <v>84</v>
      </c>
      <c r="G3578" s="8" t="s">
        <v>85</v>
      </c>
      <c r="H3578" s="8" t="s">
        <v>215</v>
      </c>
      <c r="I3578" s="3">
        <v>2</v>
      </c>
      <c r="J3578" s="8" t="s">
        <v>167</v>
      </c>
      <c r="K3578" s="8" t="s">
        <v>168</v>
      </c>
      <c r="L3578" s="8" t="s">
        <v>557</v>
      </c>
      <c r="M3578" s="1" t="s">
        <v>211</v>
      </c>
      <c r="N3578" s="8" t="s">
        <v>212</v>
      </c>
      <c r="O3578" s="6">
        <v>0</v>
      </c>
      <c r="P3578" s="6">
        <v>0</v>
      </c>
      <c r="Q3578" s="6">
        <v>0</v>
      </c>
      <c r="R3578" s="6">
        <v>0</v>
      </c>
      <c r="S3578" s="6">
        <v>165</v>
      </c>
    </row>
    <row r="3579" spans="1:19" ht="15" hidden="1" x14ac:dyDescent="0.25">
      <c r="A3579" s="7" t="s">
        <v>16</v>
      </c>
      <c r="B3579" s="7" t="s">
        <v>230</v>
      </c>
      <c r="C3579" s="7" t="s">
        <v>24</v>
      </c>
      <c r="D3579" s="4">
        <v>12282163000193</v>
      </c>
      <c r="E3579" s="8" t="s">
        <v>1391</v>
      </c>
      <c r="F3579" s="8" t="s">
        <v>84</v>
      </c>
      <c r="G3579" s="8" t="s">
        <v>85</v>
      </c>
      <c r="H3579" s="8" t="s">
        <v>215</v>
      </c>
      <c r="I3579" s="3">
        <v>2</v>
      </c>
      <c r="J3579" s="8" t="s">
        <v>199</v>
      </c>
      <c r="K3579" s="8" t="s">
        <v>200</v>
      </c>
      <c r="L3579" s="8" t="s">
        <v>556</v>
      </c>
      <c r="M3579" s="1" t="s">
        <v>211</v>
      </c>
      <c r="N3579" s="8" t="s">
        <v>212</v>
      </c>
      <c r="O3579" s="6">
        <v>0</v>
      </c>
      <c r="P3579" s="6">
        <v>0</v>
      </c>
      <c r="Q3579" s="6">
        <v>0</v>
      </c>
      <c r="R3579" s="6">
        <v>0</v>
      </c>
      <c r="S3579" s="6">
        <v>25</v>
      </c>
    </row>
    <row r="3580" spans="1:19" ht="15" hidden="1" x14ac:dyDescent="0.25">
      <c r="A3580" s="7" t="s">
        <v>16</v>
      </c>
      <c r="B3580" s="7" t="s">
        <v>230</v>
      </c>
      <c r="C3580" s="7" t="s">
        <v>24</v>
      </c>
      <c r="D3580" s="4">
        <v>12282163000193</v>
      </c>
      <c r="E3580" s="8" t="s">
        <v>1391</v>
      </c>
      <c r="F3580" s="8" t="s">
        <v>84</v>
      </c>
      <c r="G3580" s="8" t="s">
        <v>85</v>
      </c>
      <c r="H3580" s="8" t="s">
        <v>215</v>
      </c>
      <c r="I3580" s="3">
        <v>2</v>
      </c>
      <c r="J3580" s="8" t="s">
        <v>167</v>
      </c>
      <c r="K3580" s="8" t="s">
        <v>168</v>
      </c>
      <c r="L3580" s="8" t="s">
        <v>557</v>
      </c>
      <c r="M3580" s="1" t="s">
        <v>211</v>
      </c>
      <c r="N3580" s="8" t="s">
        <v>212</v>
      </c>
      <c r="O3580" s="6">
        <v>0</v>
      </c>
      <c r="P3580" s="6">
        <v>0</v>
      </c>
      <c r="Q3580" s="6">
        <v>0</v>
      </c>
      <c r="R3580" s="6">
        <v>0</v>
      </c>
      <c r="S3580" s="6">
        <v>25</v>
      </c>
    </row>
    <row r="3581" spans="1:19" ht="15" hidden="1" x14ac:dyDescent="0.25">
      <c r="A3581" s="7" t="s">
        <v>16</v>
      </c>
      <c r="B3581" s="7" t="s">
        <v>230</v>
      </c>
      <c r="C3581" s="7" t="s">
        <v>24</v>
      </c>
      <c r="D3581" s="4">
        <v>16064313000577</v>
      </c>
      <c r="E3581" s="8" t="s">
        <v>898</v>
      </c>
      <c r="F3581" s="8" t="s">
        <v>84</v>
      </c>
      <c r="G3581" s="8" t="s">
        <v>85</v>
      </c>
      <c r="H3581" s="8" t="s">
        <v>215</v>
      </c>
      <c r="I3581" s="3">
        <v>2</v>
      </c>
      <c r="J3581" s="8" t="s">
        <v>199</v>
      </c>
      <c r="K3581" s="8" t="s">
        <v>200</v>
      </c>
      <c r="L3581" s="8" t="s">
        <v>556</v>
      </c>
      <c r="M3581" s="1" t="s">
        <v>211</v>
      </c>
      <c r="N3581" s="8" t="s">
        <v>212</v>
      </c>
      <c r="O3581" s="6">
        <v>0</v>
      </c>
      <c r="P3581" s="6">
        <v>0</v>
      </c>
      <c r="Q3581" s="6">
        <v>0</v>
      </c>
      <c r="R3581" s="6">
        <v>22</v>
      </c>
      <c r="S3581" s="6">
        <v>0</v>
      </c>
    </row>
    <row r="3582" spans="1:19" ht="15" hidden="1" x14ac:dyDescent="0.25">
      <c r="A3582" s="7" t="s">
        <v>16</v>
      </c>
      <c r="B3582" s="7" t="s">
        <v>230</v>
      </c>
      <c r="C3582" s="7" t="s">
        <v>24</v>
      </c>
      <c r="D3582" s="4">
        <v>16064313000577</v>
      </c>
      <c r="E3582" s="8" t="s">
        <v>898</v>
      </c>
      <c r="F3582" s="8" t="s">
        <v>84</v>
      </c>
      <c r="G3582" s="8" t="s">
        <v>85</v>
      </c>
      <c r="H3582" s="8" t="s">
        <v>215</v>
      </c>
      <c r="I3582" s="3">
        <v>2</v>
      </c>
      <c r="J3582" s="8" t="s">
        <v>167</v>
      </c>
      <c r="K3582" s="8" t="s">
        <v>168</v>
      </c>
      <c r="L3582" s="8" t="s">
        <v>557</v>
      </c>
      <c r="M3582" s="1" t="s">
        <v>211</v>
      </c>
      <c r="N3582" s="8" t="s">
        <v>212</v>
      </c>
      <c r="O3582" s="6">
        <v>0</v>
      </c>
      <c r="P3582" s="6">
        <v>0</v>
      </c>
      <c r="Q3582" s="6">
        <v>0</v>
      </c>
      <c r="R3582" s="6">
        <v>0</v>
      </c>
      <c r="S3582" s="6">
        <v>0</v>
      </c>
    </row>
    <row r="3583" spans="1:19" ht="15" hidden="1" x14ac:dyDescent="0.25">
      <c r="A3583" s="7" t="s">
        <v>16</v>
      </c>
      <c r="B3583" s="7" t="s">
        <v>230</v>
      </c>
      <c r="C3583" s="7" t="s">
        <v>24</v>
      </c>
      <c r="D3583" s="4">
        <v>48628366000721</v>
      </c>
      <c r="E3583" s="8" t="s">
        <v>1376</v>
      </c>
      <c r="F3583" s="8" t="s">
        <v>1377</v>
      </c>
      <c r="G3583" s="8" t="s">
        <v>19</v>
      </c>
      <c r="H3583" s="8" t="s">
        <v>215</v>
      </c>
      <c r="I3583" s="3">
        <v>2</v>
      </c>
      <c r="J3583" s="8" t="s">
        <v>151</v>
      </c>
      <c r="K3583" s="8" t="s">
        <v>152</v>
      </c>
      <c r="L3583" s="8" t="s">
        <v>556</v>
      </c>
      <c r="M3583" s="1" t="s">
        <v>207</v>
      </c>
      <c r="N3583" s="8" t="s">
        <v>208</v>
      </c>
      <c r="O3583" s="6">
        <v>0</v>
      </c>
      <c r="P3583" s="6">
        <v>0</v>
      </c>
      <c r="Q3583" s="6">
        <v>0</v>
      </c>
      <c r="R3583" s="6">
        <v>0</v>
      </c>
      <c r="S3583" s="6">
        <v>40</v>
      </c>
    </row>
    <row r="3584" spans="1:19" ht="15" hidden="1" x14ac:dyDescent="0.25">
      <c r="A3584" s="7" t="s">
        <v>16</v>
      </c>
      <c r="B3584" s="7" t="s">
        <v>230</v>
      </c>
      <c r="C3584" s="7" t="s">
        <v>24</v>
      </c>
      <c r="D3584" s="4">
        <v>48628366000721</v>
      </c>
      <c r="E3584" s="8" t="s">
        <v>1376</v>
      </c>
      <c r="F3584" s="8" t="s">
        <v>1377</v>
      </c>
      <c r="G3584" s="8" t="s">
        <v>19</v>
      </c>
      <c r="H3584" s="8" t="s">
        <v>215</v>
      </c>
      <c r="I3584" s="3">
        <v>2</v>
      </c>
      <c r="J3584" s="8" t="s">
        <v>149</v>
      </c>
      <c r="K3584" s="8" t="s">
        <v>150</v>
      </c>
      <c r="L3584" s="8" t="s">
        <v>557</v>
      </c>
      <c r="M3584" s="1" t="s">
        <v>207</v>
      </c>
      <c r="N3584" s="8" t="s">
        <v>208</v>
      </c>
      <c r="O3584" s="6">
        <v>0</v>
      </c>
      <c r="P3584" s="6">
        <v>0</v>
      </c>
      <c r="Q3584" s="6">
        <v>0</v>
      </c>
      <c r="R3584" s="6">
        <v>0</v>
      </c>
      <c r="S3584" s="6">
        <v>40</v>
      </c>
    </row>
    <row r="3585" spans="1:19" ht="15" hidden="1" x14ac:dyDescent="0.25">
      <c r="A3585" s="7" t="s">
        <v>16</v>
      </c>
      <c r="B3585" s="7" t="s">
        <v>230</v>
      </c>
      <c r="C3585" s="7" t="s">
        <v>24</v>
      </c>
      <c r="D3585" s="4">
        <v>46374500009221</v>
      </c>
      <c r="E3585" s="8" t="s">
        <v>700</v>
      </c>
      <c r="F3585" s="8" t="s">
        <v>49</v>
      </c>
      <c r="G3585" s="8" t="s">
        <v>19</v>
      </c>
      <c r="H3585" s="8" t="s">
        <v>215</v>
      </c>
      <c r="I3585" s="3">
        <v>2</v>
      </c>
      <c r="J3585" s="8" t="s">
        <v>151</v>
      </c>
      <c r="K3585" s="8" t="s">
        <v>152</v>
      </c>
      <c r="L3585" s="8" t="s">
        <v>556</v>
      </c>
      <c r="M3585" s="1" t="s">
        <v>207</v>
      </c>
      <c r="N3585" s="8" t="s">
        <v>208</v>
      </c>
      <c r="O3585" s="6">
        <v>0</v>
      </c>
      <c r="P3585" s="6">
        <v>0</v>
      </c>
      <c r="Q3585" s="6">
        <v>0</v>
      </c>
      <c r="R3585" s="6">
        <v>0</v>
      </c>
      <c r="S3585" s="6">
        <v>840</v>
      </c>
    </row>
    <row r="3586" spans="1:19" ht="15" hidden="1" x14ac:dyDescent="0.25">
      <c r="A3586" s="7" t="s">
        <v>16</v>
      </c>
      <c r="B3586" s="7" t="s">
        <v>230</v>
      </c>
      <c r="C3586" s="7" t="s">
        <v>24</v>
      </c>
      <c r="D3586" s="4">
        <v>46374500009221</v>
      </c>
      <c r="E3586" s="8" t="s">
        <v>700</v>
      </c>
      <c r="F3586" s="8" t="s">
        <v>49</v>
      </c>
      <c r="G3586" s="8" t="s">
        <v>19</v>
      </c>
      <c r="H3586" s="8" t="s">
        <v>215</v>
      </c>
      <c r="I3586" s="3">
        <v>2</v>
      </c>
      <c r="J3586" s="8" t="s">
        <v>149</v>
      </c>
      <c r="K3586" s="8" t="s">
        <v>150</v>
      </c>
      <c r="L3586" s="8" t="s">
        <v>557</v>
      </c>
      <c r="M3586" s="1" t="s">
        <v>207</v>
      </c>
      <c r="N3586" s="8" t="s">
        <v>208</v>
      </c>
      <c r="O3586" s="6">
        <v>0</v>
      </c>
      <c r="P3586" s="6">
        <v>0</v>
      </c>
      <c r="Q3586" s="6">
        <v>0</v>
      </c>
      <c r="R3586" s="6">
        <v>0</v>
      </c>
      <c r="S3586" s="6">
        <v>840</v>
      </c>
    </row>
    <row r="3587" spans="1:19" ht="15" hidden="1" x14ac:dyDescent="0.25">
      <c r="A3587" s="7" t="s">
        <v>16</v>
      </c>
      <c r="B3587" s="7" t="s">
        <v>230</v>
      </c>
      <c r="C3587" s="7" t="s">
        <v>24</v>
      </c>
      <c r="D3587" s="4">
        <v>54012406000385</v>
      </c>
      <c r="E3587" s="8" t="s">
        <v>718</v>
      </c>
      <c r="F3587" s="8" t="s">
        <v>45</v>
      </c>
      <c r="G3587" s="8" t="s">
        <v>19</v>
      </c>
      <c r="H3587" s="8" t="s">
        <v>215</v>
      </c>
      <c r="I3587" s="3">
        <v>2</v>
      </c>
      <c r="J3587" s="8" t="s">
        <v>151</v>
      </c>
      <c r="K3587" s="8" t="s">
        <v>152</v>
      </c>
      <c r="L3587" s="8" t="s">
        <v>556</v>
      </c>
      <c r="M3587" s="1" t="s">
        <v>207</v>
      </c>
      <c r="N3587" s="8" t="s">
        <v>208</v>
      </c>
      <c r="O3587" s="6">
        <v>0</v>
      </c>
      <c r="P3587" s="6">
        <v>0</v>
      </c>
      <c r="Q3587" s="6">
        <v>0</v>
      </c>
      <c r="R3587" s="6">
        <v>0</v>
      </c>
      <c r="S3587" s="6">
        <v>65</v>
      </c>
    </row>
    <row r="3588" spans="1:19" ht="15" hidden="1" x14ac:dyDescent="0.25">
      <c r="A3588" s="7" t="s">
        <v>16</v>
      </c>
      <c r="B3588" s="7" t="s">
        <v>230</v>
      </c>
      <c r="C3588" s="7" t="s">
        <v>24</v>
      </c>
      <c r="D3588" s="4">
        <v>54012406000385</v>
      </c>
      <c r="E3588" s="8" t="s">
        <v>718</v>
      </c>
      <c r="F3588" s="8" t="s">
        <v>45</v>
      </c>
      <c r="G3588" s="8" t="s">
        <v>19</v>
      </c>
      <c r="H3588" s="8" t="s">
        <v>215</v>
      </c>
      <c r="I3588" s="3">
        <v>2</v>
      </c>
      <c r="J3588" s="8" t="s">
        <v>149</v>
      </c>
      <c r="K3588" s="8" t="s">
        <v>150</v>
      </c>
      <c r="L3588" s="8" t="s">
        <v>557</v>
      </c>
      <c r="M3588" s="1" t="s">
        <v>207</v>
      </c>
      <c r="N3588" s="8" t="s">
        <v>208</v>
      </c>
      <c r="O3588" s="6">
        <v>0</v>
      </c>
      <c r="P3588" s="6">
        <v>0</v>
      </c>
      <c r="Q3588" s="6">
        <v>0</v>
      </c>
      <c r="R3588" s="6">
        <v>0</v>
      </c>
      <c r="S3588" s="6">
        <v>65</v>
      </c>
    </row>
    <row r="3589" spans="1:19" ht="15" hidden="1" x14ac:dyDescent="0.25">
      <c r="A3589" s="7" t="s">
        <v>16</v>
      </c>
      <c r="B3589" s="7" t="s">
        <v>230</v>
      </c>
      <c r="C3589" s="7" t="s">
        <v>24</v>
      </c>
      <c r="D3589" s="4">
        <v>4275687000129</v>
      </c>
      <c r="E3589" s="8" t="s">
        <v>645</v>
      </c>
      <c r="F3589" s="8" t="s">
        <v>31</v>
      </c>
      <c r="G3589" s="8" t="s">
        <v>19</v>
      </c>
      <c r="H3589" s="8" t="s">
        <v>215</v>
      </c>
      <c r="I3589" s="3">
        <v>2</v>
      </c>
      <c r="J3589" s="8" t="s">
        <v>151</v>
      </c>
      <c r="K3589" s="8" t="s">
        <v>152</v>
      </c>
      <c r="L3589" s="8" t="s">
        <v>556</v>
      </c>
      <c r="M3589" s="1" t="s">
        <v>207</v>
      </c>
      <c r="N3589" s="8" t="s">
        <v>208</v>
      </c>
      <c r="O3589" s="6">
        <v>0</v>
      </c>
      <c r="P3589" s="6">
        <v>0</v>
      </c>
      <c r="Q3589" s="6">
        <v>0</v>
      </c>
      <c r="R3589" s="6">
        <v>25</v>
      </c>
      <c r="S3589" s="6">
        <v>0</v>
      </c>
    </row>
    <row r="3590" spans="1:19" ht="15" hidden="1" x14ac:dyDescent="0.25">
      <c r="A3590" s="7" t="s">
        <v>16</v>
      </c>
      <c r="B3590" s="7" t="s">
        <v>230</v>
      </c>
      <c r="C3590" s="7" t="s">
        <v>24</v>
      </c>
      <c r="D3590" s="4">
        <v>4275687000129</v>
      </c>
      <c r="E3590" s="8" t="s">
        <v>645</v>
      </c>
      <c r="F3590" s="8" t="s">
        <v>31</v>
      </c>
      <c r="G3590" s="8" t="s">
        <v>19</v>
      </c>
      <c r="H3590" s="8" t="s">
        <v>215</v>
      </c>
      <c r="I3590" s="3">
        <v>2</v>
      </c>
      <c r="J3590" s="8" t="s">
        <v>149</v>
      </c>
      <c r="K3590" s="8" t="s">
        <v>150</v>
      </c>
      <c r="L3590" s="8" t="s">
        <v>557</v>
      </c>
      <c r="M3590" s="1" t="s">
        <v>207</v>
      </c>
      <c r="N3590" s="8" t="s">
        <v>208</v>
      </c>
      <c r="O3590" s="6">
        <v>0</v>
      </c>
      <c r="P3590" s="6">
        <v>0</v>
      </c>
      <c r="Q3590" s="6">
        <v>0</v>
      </c>
      <c r="R3590" s="6">
        <v>0</v>
      </c>
      <c r="S3590" s="6">
        <v>0</v>
      </c>
    </row>
    <row r="3591" spans="1:19" ht="15" hidden="1" x14ac:dyDescent="0.25">
      <c r="A3591" s="7" t="s">
        <v>16</v>
      </c>
      <c r="B3591" s="7" t="s">
        <v>230</v>
      </c>
      <c r="C3591" s="7" t="s">
        <v>24</v>
      </c>
      <c r="D3591" s="4">
        <v>44456036000311</v>
      </c>
      <c r="E3591" s="8" t="s">
        <v>675</v>
      </c>
      <c r="F3591" s="8" t="s">
        <v>37</v>
      </c>
      <c r="G3591" s="8" t="s">
        <v>19</v>
      </c>
      <c r="H3591" s="8" t="s">
        <v>215</v>
      </c>
      <c r="I3591" s="3">
        <v>2</v>
      </c>
      <c r="J3591" s="8" t="s">
        <v>151</v>
      </c>
      <c r="K3591" s="8" t="s">
        <v>152</v>
      </c>
      <c r="L3591" s="8" t="s">
        <v>556</v>
      </c>
      <c r="M3591" s="1" t="s">
        <v>207</v>
      </c>
      <c r="N3591" s="8" t="s">
        <v>208</v>
      </c>
      <c r="O3591" s="6">
        <v>0</v>
      </c>
      <c r="P3591" s="6">
        <v>0</v>
      </c>
      <c r="Q3591" s="6">
        <v>0</v>
      </c>
      <c r="R3591" s="6">
        <v>0</v>
      </c>
      <c r="S3591" s="6">
        <v>0</v>
      </c>
    </row>
    <row r="3592" spans="1:19" ht="15" hidden="1" x14ac:dyDescent="0.25">
      <c r="A3592" s="7" t="s">
        <v>16</v>
      </c>
      <c r="B3592" s="7" t="s">
        <v>230</v>
      </c>
      <c r="C3592" s="7" t="s">
        <v>24</v>
      </c>
      <c r="D3592" s="4">
        <v>44456036000311</v>
      </c>
      <c r="E3592" s="8" t="s">
        <v>675</v>
      </c>
      <c r="F3592" s="8" t="s">
        <v>37</v>
      </c>
      <c r="G3592" s="8" t="s">
        <v>19</v>
      </c>
      <c r="H3592" s="8" t="s">
        <v>215</v>
      </c>
      <c r="I3592" s="3">
        <v>2</v>
      </c>
      <c r="J3592" s="8" t="s">
        <v>149</v>
      </c>
      <c r="K3592" s="8" t="s">
        <v>150</v>
      </c>
      <c r="L3592" s="8" t="s">
        <v>557</v>
      </c>
      <c r="M3592" s="1" t="s">
        <v>207</v>
      </c>
      <c r="N3592" s="8" t="s">
        <v>208</v>
      </c>
      <c r="O3592" s="6">
        <v>0</v>
      </c>
      <c r="P3592" s="6">
        <v>1</v>
      </c>
      <c r="Q3592" s="6">
        <v>2</v>
      </c>
      <c r="R3592" s="6">
        <v>0</v>
      </c>
      <c r="S3592" s="6">
        <v>0</v>
      </c>
    </row>
    <row r="3593" spans="1:19" ht="15" hidden="1" x14ac:dyDescent="0.25">
      <c r="A3593" s="7" t="s">
        <v>16</v>
      </c>
      <c r="B3593" s="7" t="s">
        <v>230</v>
      </c>
      <c r="C3593" s="7" t="s">
        <v>24</v>
      </c>
      <c r="D3593" s="4">
        <v>10447300000177</v>
      </c>
      <c r="E3593" s="8" t="s">
        <v>658</v>
      </c>
      <c r="F3593" s="8" t="s">
        <v>33</v>
      </c>
      <c r="G3593" s="8" t="s">
        <v>19</v>
      </c>
      <c r="H3593" s="8" t="s">
        <v>215</v>
      </c>
      <c r="I3593" s="3">
        <v>2</v>
      </c>
      <c r="J3593" s="8" t="s">
        <v>151</v>
      </c>
      <c r="K3593" s="8" t="s">
        <v>152</v>
      </c>
      <c r="L3593" s="8" t="s">
        <v>556</v>
      </c>
      <c r="M3593" s="1" t="s">
        <v>207</v>
      </c>
      <c r="N3593" s="8" t="s">
        <v>208</v>
      </c>
      <c r="O3593" s="6">
        <v>0</v>
      </c>
      <c r="P3593" s="6">
        <v>0</v>
      </c>
      <c r="Q3593" s="6">
        <v>0</v>
      </c>
      <c r="R3593" s="6">
        <v>28</v>
      </c>
      <c r="S3593" s="6">
        <v>30</v>
      </c>
    </row>
    <row r="3594" spans="1:19" ht="15" hidden="1" x14ac:dyDescent="0.25">
      <c r="A3594" s="7" t="s">
        <v>16</v>
      </c>
      <c r="B3594" s="7" t="s">
        <v>230</v>
      </c>
      <c r="C3594" s="7" t="s">
        <v>24</v>
      </c>
      <c r="D3594" s="4">
        <v>10447300000177</v>
      </c>
      <c r="E3594" s="8" t="s">
        <v>658</v>
      </c>
      <c r="F3594" s="8" t="s">
        <v>33</v>
      </c>
      <c r="G3594" s="8" t="s">
        <v>19</v>
      </c>
      <c r="H3594" s="8" t="s">
        <v>215</v>
      </c>
      <c r="I3594" s="3">
        <v>2</v>
      </c>
      <c r="J3594" s="8" t="s">
        <v>149</v>
      </c>
      <c r="K3594" s="8" t="s">
        <v>150</v>
      </c>
      <c r="L3594" s="8" t="s">
        <v>557</v>
      </c>
      <c r="M3594" s="1" t="s">
        <v>207</v>
      </c>
      <c r="N3594" s="8" t="s">
        <v>208</v>
      </c>
      <c r="O3594" s="6">
        <v>0</v>
      </c>
      <c r="P3594" s="6">
        <v>0</v>
      </c>
      <c r="Q3594" s="6">
        <v>0</v>
      </c>
      <c r="R3594" s="6">
        <v>0</v>
      </c>
      <c r="S3594" s="6">
        <v>30</v>
      </c>
    </row>
    <row r="3595" spans="1:19" ht="15" hidden="1" x14ac:dyDescent="0.25">
      <c r="A3595" s="7" t="s">
        <v>16</v>
      </c>
      <c r="B3595" s="7" t="s">
        <v>230</v>
      </c>
      <c r="C3595" s="7" t="s">
        <v>24</v>
      </c>
      <c r="D3595" s="4">
        <v>44595700000141</v>
      </c>
      <c r="E3595" s="8" t="s">
        <v>1375</v>
      </c>
      <c r="F3595" s="8" t="s">
        <v>33</v>
      </c>
      <c r="G3595" s="8" t="s">
        <v>19</v>
      </c>
      <c r="H3595" s="8" t="s">
        <v>215</v>
      </c>
      <c r="I3595" s="3">
        <v>2</v>
      </c>
      <c r="J3595" s="8" t="s">
        <v>151</v>
      </c>
      <c r="K3595" s="8" t="s">
        <v>152</v>
      </c>
      <c r="L3595" s="8" t="s">
        <v>556</v>
      </c>
      <c r="M3595" s="1" t="s">
        <v>207</v>
      </c>
      <c r="N3595" s="8" t="s">
        <v>208</v>
      </c>
      <c r="O3595" s="6">
        <v>0</v>
      </c>
      <c r="P3595" s="6">
        <v>0</v>
      </c>
      <c r="Q3595" s="6">
        <v>0</v>
      </c>
      <c r="R3595" s="6">
        <v>0</v>
      </c>
      <c r="S3595" s="6">
        <v>45</v>
      </c>
    </row>
    <row r="3596" spans="1:19" ht="15" hidden="1" x14ac:dyDescent="0.25">
      <c r="A3596" s="7" t="s">
        <v>16</v>
      </c>
      <c r="B3596" s="7" t="s">
        <v>230</v>
      </c>
      <c r="C3596" s="7" t="s">
        <v>24</v>
      </c>
      <c r="D3596" s="4">
        <v>44595700000141</v>
      </c>
      <c r="E3596" s="8" t="s">
        <v>1375</v>
      </c>
      <c r="F3596" s="8" t="s">
        <v>33</v>
      </c>
      <c r="G3596" s="8" t="s">
        <v>19</v>
      </c>
      <c r="H3596" s="8" t="s">
        <v>215</v>
      </c>
      <c r="I3596" s="3">
        <v>2</v>
      </c>
      <c r="J3596" s="8" t="s">
        <v>149</v>
      </c>
      <c r="K3596" s="8" t="s">
        <v>150</v>
      </c>
      <c r="L3596" s="8" t="s">
        <v>557</v>
      </c>
      <c r="M3596" s="1" t="s">
        <v>207</v>
      </c>
      <c r="N3596" s="8" t="s">
        <v>208</v>
      </c>
      <c r="O3596" s="6">
        <v>0</v>
      </c>
      <c r="P3596" s="6">
        <v>0</v>
      </c>
      <c r="Q3596" s="6">
        <v>0</v>
      </c>
      <c r="R3596" s="6">
        <v>0</v>
      </c>
      <c r="S3596" s="6">
        <v>45</v>
      </c>
    </row>
    <row r="3597" spans="1:19" ht="15" hidden="1" x14ac:dyDescent="0.25">
      <c r="A3597" s="7" t="s">
        <v>16</v>
      </c>
      <c r="B3597" s="7" t="s">
        <v>230</v>
      </c>
      <c r="C3597" s="7" t="s">
        <v>24</v>
      </c>
      <c r="D3597" s="4">
        <v>46020301000269</v>
      </c>
      <c r="E3597" s="8" t="s">
        <v>691</v>
      </c>
      <c r="F3597" s="8" t="s">
        <v>33</v>
      </c>
      <c r="G3597" s="8" t="s">
        <v>19</v>
      </c>
      <c r="H3597" s="8" t="s">
        <v>215</v>
      </c>
      <c r="I3597" s="3">
        <v>2</v>
      </c>
      <c r="J3597" s="8" t="s">
        <v>151</v>
      </c>
      <c r="K3597" s="8" t="s">
        <v>152</v>
      </c>
      <c r="L3597" s="8" t="s">
        <v>556</v>
      </c>
      <c r="M3597" s="1" t="s">
        <v>207</v>
      </c>
      <c r="N3597" s="8" t="s">
        <v>208</v>
      </c>
      <c r="O3597" s="6">
        <v>0</v>
      </c>
      <c r="P3597" s="6">
        <v>0</v>
      </c>
      <c r="Q3597" s="6">
        <v>0</v>
      </c>
      <c r="R3597" s="6">
        <v>35</v>
      </c>
      <c r="S3597" s="6">
        <v>0</v>
      </c>
    </row>
    <row r="3598" spans="1:19" ht="15" hidden="1" x14ac:dyDescent="0.25">
      <c r="A3598" s="7" t="s">
        <v>16</v>
      </c>
      <c r="B3598" s="7" t="s">
        <v>230</v>
      </c>
      <c r="C3598" s="7" t="s">
        <v>24</v>
      </c>
      <c r="D3598" s="4">
        <v>46020301000269</v>
      </c>
      <c r="E3598" s="8" t="s">
        <v>691</v>
      </c>
      <c r="F3598" s="8" t="s">
        <v>33</v>
      </c>
      <c r="G3598" s="8" t="s">
        <v>19</v>
      </c>
      <c r="H3598" s="8" t="s">
        <v>215</v>
      </c>
      <c r="I3598" s="3">
        <v>2</v>
      </c>
      <c r="J3598" s="8" t="s">
        <v>149</v>
      </c>
      <c r="K3598" s="8" t="s">
        <v>150</v>
      </c>
      <c r="L3598" s="8" t="s">
        <v>557</v>
      </c>
      <c r="M3598" s="1" t="s">
        <v>207</v>
      </c>
      <c r="N3598" s="8" t="s">
        <v>208</v>
      </c>
      <c r="O3598" s="6">
        <v>0</v>
      </c>
      <c r="P3598" s="6">
        <v>0</v>
      </c>
      <c r="Q3598" s="6">
        <v>0</v>
      </c>
      <c r="R3598" s="6">
        <v>0</v>
      </c>
      <c r="S3598" s="6">
        <v>0</v>
      </c>
    </row>
    <row r="3599" spans="1:19" ht="15" hidden="1" x14ac:dyDescent="0.25">
      <c r="A3599" s="7" t="s">
        <v>16</v>
      </c>
      <c r="B3599" s="7" t="s">
        <v>230</v>
      </c>
      <c r="C3599" s="7" t="s">
        <v>24</v>
      </c>
      <c r="D3599" s="4">
        <v>46009718000140</v>
      </c>
      <c r="E3599" s="8" t="s">
        <v>690</v>
      </c>
      <c r="F3599" s="8" t="s">
        <v>33</v>
      </c>
      <c r="G3599" s="8" t="s">
        <v>19</v>
      </c>
      <c r="H3599" s="8" t="s">
        <v>215</v>
      </c>
      <c r="I3599" s="3">
        <v>2</v>
      </c>
      <c r="J3599" s="8" t="s">
        <v>151</v>
      </c>
      <c r="K3599" s="8" t="s">
        <v>152</v>
      </c>
      <c r="L3599" s="8" t="s">
        <v>556</v>
      </c>
      <c r="M3599" s="1" t="s">
        <v>207</v>
      </c>
      <c r="N3599" s="8" t="s">
        <v>208</v>
      </c>
      <c r="O3599" s="6">
        <v>0</v>
      </c>
      <c r="P3599" s="6">
        <v>0</v>
      </c>
      <c r="Q3599" s="6">
        <v>0</v>
      </c>
      <c r="R3599" s="6">
        <v>54</v>
      </c>
      <c r="S3599" s="6">
        <v>450</v>
      </c>
    </row>
    <row r="3600" spans="1:19" ht="15" hidden="1" x14ac:dyDescent="0.25">
      <c r="A3600" s="7" t="s">
        <v>16</v>
      </c>
      <c r="B3600" s="7" t="s">
        <v>230</v>
      </c>
      <c r="C3600" s="7" t="s">
        <v>24</v>
      </c>
      <c r="D3600" s="4">
        <v>46009718000140</v>
      </c>
      <c r="E3600" s="8" t="s">
        <v>690</v>
      </c>
      <c r="F3600" s="8" t="s">
        <v>33</v>
      </c>
      <c r="G3600" s="8" t="s">
        <v>19</v>
      </c>
      <c r="H3600" s="8" t="s">
        <v>215</v>
      </c>
      <c r="I3600" s="3">
        <v>2</v>
      </c>
      <c r="J3600" s="8" t="s">
        <v>149</v>
      </c>
      <c r="K3600" s="8" t="s">
        <v>150</v>
      </c>
      <c r="L3600" s="8" t="s">
        <v>557</v>
      </c>
      <c r="M3600" s="1" t="s">
        <v>207</v>
      </c>
      <c r="N3600" s="8" t="s">
        <v>208</v>
      </c>
      <c r="O3600" s="6">
        <v>0</v>
      </c>
      <c r="P3600" s="6">
        <v>0</v>
      </c>
      <c r="Q3600" s="6">
        <v>0</v>
      </c>
      <c r="R3600" s="6">
        <v>0</v>
      </c>
      <c r="S3600" s="6">
        <v>450</v>
      </c>
    </row>
    <row r="3601" spans="1:19" ht="15" hidden="1" x14ac:dyDescent="0.25">
      <c r="A3601" s="7" t="s">
        <v>16</v>
      </c>
      <c r="B3601" s="7" t="s">
        <v>230</v>
      </c>
      <c r="C3601" s="7" t="s">
        <v>24</v>
      </c>
      <c r="D3601" s="4">
        <v>44649812019238</v>
      </c>
      <c r="E3601" s="8" t="s">
        <v>679</v>
      </c>
      <c r="F3601" s="8" t="s">
        <v>33</v>
      </c>
      <c r="G3601" s="8" t="s">
        <v>19</v>
      </c>
      <c r="H3601" s="8" t="s">
        <v>215</v>
      </c>
      <c r="I3601" s="3">
        <v>2</v>
      </c>
      <c r="J3601" s="8" t="s">
        <v>151</v>
      </c>
      <c r="K3601" s="8" t="s">
        <v>152</v>
      </c>
      <c r="L3601" s="8" t="s">
        <v>556</v>
      </c>
      <c r="M3601" s="1" t="s">
        <v>207</v>
      </c>
      <c r="N3601" s="8" t="s">
        <v>208</v>
      </c>
      <c r="O3601" s="6">
        <v>0</v>
      </c>
      <c r="P3601" s="6">
        <v>0</v>
      </c>
      <c r="Q3601" s="6">
        <v>0</v>
      </c>
      <c r="R3601" s="6">
        <v>8</v>
      </c>
      <c r="S3601" s="6">
        <v>0</v>
      </c>
    </row>
    <row r="3602" spans="1:19" ht="15" hidden="1" x14ac:dyDescent="0.25">
      <c r="A3602" s="7" t="s">
        <v>16</v>
      </c>
      <c r="B3602" s="7" t="s">
        <v>230</v>
      </c>
      <c r="C3602" s="7" t="s">
        <v>24</v>
      </c>
      <c r="D3602" s="4">
        <v>44649812019238</v>
      </c>
      <c r="E3602" s="8" t="s">
        <v>679</v>
      </c>
      <c r="F3602" s="8" t="s">
        <v>33</v>
      </c>
      <c r="G3602" s="8" t="s">
        <v>19</v>
      </c>
      <c r="H3602" s="8" t="s">
        <v>215</v>
      </c>
      <c r="I3602" s="3">
        <v>2</v>
      </c>
      <c r="J3602" s="8" t="s">
        <v>149</v>
      </c>
      <c r="K3602" s="8" t="s">
        <v>150</v>
      </c>
      <c r="L3602" s="8" t="s">
        <v>557</v>
      </c>
      <c r="M3602" s="1" t="s">
        <v>207</v>
      </c>
      <c r="N3602" s="8" t="s">
        <v>208</v>
      </c>
      <c r="O3602" s="6">
        <v>0</v>
      </c>
      <c r="P3602" s="6">
        <v>0</v>
      </c>
      <c r="Q3602" s="6">
        <v>0</v>
      </c>
      <c r="R3602" s="6">
        <v>0</v>
      </c>
      <c r="S3602" s="6">
        <v>0</v>
      </c>
    </row>
    <row r="3603" spans="1:19" ht="15" hidden="1" x14ac:dyDescent="0.25">
      <c r="A3603" s="7" t="s">
        <v>16</v>
      </c>
      <c r="B3603" s="7" t="s">
        <v>230</v>
      </c>
      <c r="C3603" s="7" t="s">
        <v>24</v>
      </c>
      <c r="D3603" s="4">
        <v>29435005008456</v>
      </c>
      <c r="E3603" s="8" t="s">
        <v>672</v>
      </c>
      <c r="F3603" s="8" t="s">
        <v>33</v>
      </c>
      <c r="G3603" s="8" t="s">
        <v>19</v>
      </c>
      <c r="H3603" s="8" t="s">
        <v>215</v>
      </c>
      <c r="I3603" s="3">
        <v>2</v>
      </c>
      <c r="J3603" s="8" t="s">
        <v>151</v>
      </c>
      <c r="K3603" s="8" t="s">
        <v>152</v>
      </c>
      <c r="L3603" s="8" t="s">
        <v>556</v>
      </c>
      <c r="M3603" s="1" t="s">
        <v>207</v>
      </c>
      <c r="N3603" s="8" t="s">
        <v>208</v>
      </c>
      <c r="O3603" s="6">
        <v>0</v>
      </c>
      <c r="P3603" s="6">
        <v>0</v>
      </c>
      <c r="Q3603" s="6">
        <v>0</v>
      </c>
      <c r="R3603" s="6">
        <v>0</v>
      </c>
      <c r="S3603" s="6">
        <v>50</v>
      </c>
    </row>
    <row r="3604" spans="1:19" ht="15" hidden="1" x14ac:dyDescent="0.25">
      <c r="A3604" s="7" t="s">
        <v>16</v>
      </c>
      <c r="B3604" s="7" t="s">
        <v>230</v>
      </c>
      <c r="C3604" s="7" t="s">
        <v>24</v>
      </c>
      <c r="D3604" s="4">
        <v>29435005008456</v>
      </c>
      <c r="E3604" s="8" t="s">
        <v>672</v>
      </c>
      <c r="F3604" s="8" t="s">
        <v>33</v>
      </c>
      <c r="G3604" s="8" t="s">
        <v>19</v>
      </c>
      <c r="H3604" s="8" t="s">
        <v>215</v>
      </c>
      <c r="I3604" s="3">
        <v>2</v>
      </c>
      <c r="J3604" s="8" t="s">
        <v>149</v>
      </c>
      <c r="K3604" s="8" t="s">
        <v>150</v>
      </c>
      <c r="L3604" s="8" t="s">
        <v>557</v>
      </c>
      <c r="M3604" s="1" t="s">
        <v>207</v>
      </c>
      <c r="N3604" s="8" t="s">
        <v>208</v>
      </c>
      <c r="O3604" s="6">
        <v>0</v>
      </c>
      <c r="P3604" s="6">
        <v>0</v>
      </c>
      <c r="Q3604" s="6">
        <v>0</v>
      </c>
      <c r="R3604" s="6">
        <v>0</v>
      </c>
      <c r="S3604" s="6">
        <v>50</v>
      </c>
    </row>
    <row r="3605" spans="1:19" ht="15" hidden="1" x14ac:dyDescent="0.25">
      <c r="A3605" s="7" t="s">
        <v>16</v>
      </c>
      <c r="B3605" s="7" t="s">
        <v>230</v>
      </c>
      <c r="C3605" s="7" t="s">
        <v>24</v>
      </c>
      <c r="D3605" s="4">
        <v>46124624000111</v>
      </c>
      <c r="E3605" s="8" t="s">
        <v>693</v>
      </c>
      <c r="F3605" s="8" t="s">
        <v>33</v>
      </c>
      <c r="G3605" s="8" t="s">
        <v>19</v>
      </c>
      <c r="H3605" s="8" t="s">
        <v>215</v>
      </c>
      <c r="I3605" s="3">
        <v>2</v>
      </c>
      <c r="J3605" s="8" t="s">
        <v>151</v>
      </c>
      <c r="K3605" s="8" t="s">
        <v>152</v>
      </c>
      <c r="L3605" s="8" t="s">
        <v>556</v>
      </c>
      <c r="M3605" s="1" t="s">
        <v>207</v>
      </c>
      <c r="N3605" s="8" t="s">
        <v>208</v>
      </c>
      <c r="O3605" s="6">
        <v>0</v>
      </c>
      <c r="P3605" s="6">
        <v>0</v>
      </c>
      <c r="Q3605" s="6">
        <v>0</v>
      </c>
      <c r="R3605" s="6">
        <v>96</v>
      </c>
      <c r="S3605" s="6">
        <v>155</v>
      </c>
    </row>
    <row r="3606" spans="1:19" ht="15" hidden="1" x14ac:dyDescent="0.25">
      <c r="A3606" s="7" t="s">
        <v>16</v>
      </c>
      <c r="B3606" s="7" t="s">
        <v>230</v>
      </c>
      <c r="C3606" s="7" t="s">
        <v>24</v>
      </c>
      <c r="D3606" s="4">
        <v>46124624000111</v>
      </c>
      <c r="E3606" s="8" t="s">
        <v>693</v>
      </c>
      <c r="F3606" s="8" t="s">
        <v>33</v>
      </c>
      <c r="G3606" s="8" t="s">
        <v>19</v>
      </c>
      <c r="H3606" s="8" t="s">
        <v>215</v>
      </c>
      <c r="I3606" s="3">
        <v>2</v>
      </c>
      <c r="J3606" s="8" t="s">
        <v>149</v>
      </c>
      <c r="K3606" s="8" t="s">
        <v>150</v>
      </c>
      <c r="L3606" s="8" t="s">
        <v>557</v>
      </c>
      <c r="M3606" s="1" t="s">
        <v>207</v>
      </c>
      <c r="N3606" s="8" t="s">
        <v>208</v>
      </c>
      <c r="O3606" s="6">
        <v>0</v>
      </c>
      <c r="P3606" s="6">
        <v>0</v>
      </c>
      <c r="Q3606" s="6">
        <v>0</v>
      </c>
      <c r="R3606" s="6">
        <v>0</v>
      </c>
      <c r="S3606" s="6">
        <v>155</v>
      </c>
    </row>
    <row r="3607" spans="1:19" ht="15" hidden="1" x14ac:dyDescent="0.25">
      <c r="A3607" s="7" t="s">
        <v>16</v>
      </c>
      <c r="B3607" s="7" t="s">
        <v>230</v>
      </c>
      <c r="C3607" s="7" t="s">
        <v>24</v>
      </c>
      <c r="D3607" s="4">
        <v>45118429001279</v>
      </c>
      <c r="E3607" s="8" t="s">
        <v>683</v>
      </c>
      <c r="F3607" s="8" t="s">
        <v>41</v>
      </c>
      <c r="G3607" s="8" t="s">
        <v>19</v>
      </c>
      <c r="H3607" s="8" t="s">
        <v>215</v>
      </c>
      <c r="I3607" s="3">
        <v>2</v>
      </c>
      <c r="J3607" s="8" t="s">
        <v>151</v>
      </c>
      <c r="K3607" s="8" t="s">
        <v>152</v>
      </c>
      <c r="L3607" s="8" t="s">
        <v>556</v>
      </c>
      <c r="M3607" s="1" t="s">
        <v>207</v>
      </c>
      <c r="N3607" s="8" t="s">
        <v>208</v>
      </c>
      <c r="O3607" s="6">
        <v>0</v>
      </c>
      <c r="P3607" s="6">
        <v>0</v>
      </c>
      <c r="Q3607" s="6">
        <v>0</v>
      </c>
      <c r="R3607" s="6">
        <v>6</v>
      </c>
      <c r="S3607" s="6">
        <v>100</v>
      </c>
    </row>
    <row r="3608" spans="1:19" ht="15" hidden="1" x14ac:dyDescent="0.25">
      <c r="A3608" s="7" t="s">
        <v>16</v>
      </c>
      <c r="B3608" s="7" t="s">
        <v>230</v>
      </c>
      <c r="C3608" s="7" t="s">
        <v>24</v>
      </c>
      <c r="D3608" s="4">
        <v>45118429001279</v>
      </c>
      <c r="E3608" s="8" t="s">
        <v>683</v>
      </c>
      <c r="F3608" s="8" t="s">
        <v>41</v>
      </c>
      <c r="G3608" s="8" t="s">
        <v>19</v>
      </c>
      <c r="H3608" s="8" t="s">
        <v>215</v>
      </c>
      <c r="I3608" s="3">
        <v>2</v>
      </c>
      <c r="J3608" s="8" t="s">
        <v>149</v>
      </c>
      <c r="K3608" s="8" t="s">
        <v>150</v>
      </c>
      <c r="L3608" s="8" t="s">
        <v>557</v>
      </c>
      <c r="M3608" s="1" t="s">
        <v>207</v>
      </c>
      <c r="N3608" s="8" t="s">
        <v>208</v>
      </c>
      <c r="O3608" s="6">
        <v>0</v>
      </c>
      <c r="P3608" s="6">
        <v>0</v>
      </c>
      <c r="Q3608" s="6">
        <v>0</v>
      </c>
      <c r="R3608" s="6">
        <v>0</v>
      </c>
      <c r="S3608" s="6">
        <v>100</v>
      </c>
    </row>
    <row r="3609" spans="1:19" ht="15" hidden="1" x14ac:dyDescent="0.25">
      <c r="A3609" s="7" t="s">
        <v>16</v>
      </c>
      <c r="B3609" s="7" t="s">
        <v>230</v>
      </c>
      <c r="C3609" s="7" t="s">
        <v>24</v>
      </c>
      <c r="D3609" s="4">
        <v>48547806000120</v>
      </c>
      <c r="E3609" s="8" t="s">
        <v>1367</v>
      </c>
      <c r="F3609" s="8" t="s">
        <v>1368</v>
      </c>
      <c r="G3609" s="8" t="s">
        <v>19</v>
      </c>
      <c r="H3609" s="8" t="s">
        <v>215</v>
      </c>
      <c r="I3609" s="3">
        <v>2</v>
      </c>
      <c r="J3609" s="8" t="s">
        <v>161</v>
      </c>
      <c r="K3609" s="8" t="s">
        <v>162</v>
      </c>
      <c r="L3609" s="8" t="s">
        <v>556</v>
      </c>
      <c r="M3609" s="1" t="s">
        <v>207</v>
      </c>
      <c r="N3609" s="8" t="s">
        <v>208</v>
      </c>
      <c r="O3609" s="6">
        <v>0</v>
      </c>
      <c r="P3609" s="6">
        <v>0</v>
      </c>
      <c r="Q3609" s="6">
        <v>0</v>
      </c>
      <c r="R3609" s="6">
        <v>0</v>
      </c>
      <c r="S3609" s="6">
        <v>20</v>
      </c>
    </row>
    <row r="3610" spans="1:19" ht="15" hidden="1" x14ac:dyDescent="0.25">
      <c r="A3610" s="7" t="s">
        <v>16</v>
      </c>
      <c r="B3610" s="7" t="s">
        <v>230</v>
      </c>
      <c r="C3610" s="7" t="s">
        <v>24</v>
      </c>
      <c r="D3610" s="4">
        <v>48547806000120</v>
      </c>
      <c r="E3610" s="8" t="s">
        <v>1367</v>
      </c>
      <c r="F3610" s="8" t="s">
        <v>1368</v>
      </c>
      <c r="G3610" s="8" t="s">
        <v>19</v>
      </c>
      <c r="H3610" s="8" t="s">
        <v>215</v>
      </c>
      <c r="I3610" s="3">
        <v>2</v>
      </c>
      <c r="J3610" s="8" t="s">
        <v>183</v>
      </c>
      <c r="K3610" s="8" t="s">
        <v>184</v>
      </c>
      <c r="L3610" s="8" t="s">
        <v>557</v>
      </c>
      <c r="M3610" s="1" t="s">
        <v>207</v>
      </c>
      <c r="N3610" s="8" t="s">
        <v>208</v>
      </c>
      <c r="O3610" s="6">
        <v>0</v>
      </c>
      <c r="P3610" s="6">
        <v>0</v>
      </c>
      <c r="Q3610" s="6">
        <v>0</v>
      </c>
      <c r="R3610" s="6">
        <v>0</v>
      </c>
      <c r="S3610" s="6">
        <v>20</v>
      </c>
    </row>
    <row r="3611" spans="1:19" ht="15" hidden="1" x14ac:dyDescent="0.25">
      <c r="A3611" s="7" t="s">
        <v>16</v>
      </c>
      <c r="B3611" s="7" t="s">
        <v>230</v>
      </c>
      <c r="C3611" s="7" t="s">
        <v>24</v>
      </c>
      <c r="D3611" s="4">
        <v>50944198000130</v>
      </c>
      <c r="E3611" s="8" t="s">
        <v>707</v>
      </c>
      <c r="F3611" s="8" t="s">
        <v>678</v>
      </c>
      <c r="G3611" s="8" t="s">
        <v>19</v>
      </c>
      <c r="H3611" s="8" t="s">
        <v>215</v>
      </c>
      <c r="I3611" s="3">
        <v>2</v>
      </c>
      <c r="J3611" s="8" t="s">
        <v>151</v>
      </c>
      <c r="K3611" s="8" t="s">
        <v>152</v>
      </c>
      <c r="L3611" s="8" t="s">
        <v>556</v>
      </c>
      <c r="M3611" s="1" t="s">
        <v>207</v>
      </c>
      <c r="N3611" s="8" t="s">
        <v>208</v>
      </c>
      <c r="O3611" s="6">
        <v>0</v>
      </c>
      <c r="P3611" s="6">
        <v>0</v>
      </c>
      <c r="Q3611" s="6">
        <v>0</v>
      </c>
      <c r="R3611" s="6">
        <v>0</v>
      </c>
      <c r="S3611" s="6">
        <v>0</v>
      </c>
    </row>
    <row r="3612" spans="1:19" ht="15" hidden="1" x14ac:dyDescent="0.25">
      <c r="A3612" s="7" t="s">
        <v>16</v>
      </c>
      <c r="B3612" s="7" t="s">
        <v>230</v>
      </c>
      <c r="C3612" s="7" t="s">
        <v>24</v>
      </c>
      <c r="D3612" s="4">
        <v>50944198000130</v>
      </c>
      <c r="E3612" s="8" t="s">
        <v>707</v>
      </c>
      <c r="F3612" s="8" t="s">
        <v>678</v>
      </c>
      <c r="G3612" s="8" t="s">
        <v>19</v>
      </c>
      <c r="H3612" s="8" t="s">
        <v>215</v>
      </c>
      <c r="I3612" s="3">
        <v>2</v>
      </c>
      <c r="J3612" s="8" t="s">
        <v>149</v>
      </c>
      <c r="K3612" s="8" t="s">
        <v>150</v>
      </c>
      <c r="L3612" s="8" t="s">
        <v>557</v>
      </c>
      <c r="M3612" s="1" t="s">
        <v>207</v>
      </c>
      <c r="N3612" s="8" t="s">
        <v>208</v>
      </c>
      <c r="O3612" s="6">
        <v>0</v>
      </c>
      <c r="P3612" s="6">
        <v>4</v>
      </c>
      <c r="Q3612" s="6">
        <v>0</v>
      </c>
      <c r="R3612" s="6">
        <v>0</v>
      </c>
      <c r="S3612" s="6">
        <v>0</v>
      </c>
    </row>
    <row r="3613" spans="1:19" ht="15" hidden="1" x14ac:dyDescent="0.25">
      <c r="A3613" s="7" t="s">
        <v>16</v>
      </c>
      <c r="B3613" s="7" t="s">
        <v>230</v>
      </c>
      <c r="C3613" s="7" t="s">
        <v>24</v>
      </c>
      <c r="D3613" s="4">
        <v>44531788000138</v>
      </c>
      <c r="E3613" s="8" t="s">
        <v>676</v>
      </c>
      <c r="F3613" s="8" t="s">
        <v>38</v>
      </c>
      <c r="G3613" s="8" t="s">
        <v>19</v>
      </c>
      <c r="H3613" s="8" t="s">
        <v>215</v>
      </c>
      <c r="I3613" s="3">
        <v>2</v>
      </c>
      <c r="J3613" s="8" t="s">
        <v>151</v>
      </c>
      <c r="K3613" s="8" t="s">
        <v>152</v>
      </c>
      <c r="L3613" s="8" t="s">
        <v>556</v>
      </c>
      <c r="M3613" s="1" t="s">
        <v>207</v>
      </c>
      <c r="N3613" s="8" t="s">
        <v>208</v>
      </c>
      <c r="O3613" s="6">
        <v>0</v>
      </c>
      <c r="P3613" s="6">
        <v>0</v>
      </c>
      <c r="Q3613" s="6">
        <v>0</v>
      </c>
      <c r="R3613" s="6">
        <v>40</v>
      </c>
      <c r="S3613" s="6">
        <v>0</v>
      </c>
    </row>
    <row r="3614" spans="1:19" ht="15" hidden="1" x14ac:dyDescent="0.25">
      <c r="A3614" s="7" t="s">
        <v>16</v>
      </c>
      <c r="B3614" s="7" t="s">
        <v>230</v>
      </c>
      <c r="C3614" s="7" t="s">
        <v>24</v>
      </c>
      <c r="D3614" s="4">
        <v>44531788000138</v>
      </c>
      <c r="E3614" s="8" t="s">
        <v>676</v>
      </c>
      <c r="F3614" s="8" t="s">
        <v>38</v>
      </c>
      <c r="G3614" s="8" t="s">
        <v>19</v>
      </c>
      <c r="H3614" s="8" t="s">
        <v>215</v>
      </c>
      <c r="I3614" s="3">
        <v>2</v>
      </c>
      <c r="J3614" s="8" t="s">
        <v>149</v>
      </c>
      <c r="K3614" s="8" t="s">
        <v>150</v>
      </c>
      <c r="L3614" s="8" t="s">
        <v>557</v>
      </c>
      <c r="M3614" s="1" t="s">
        <v>207</v>
      </c>
      <c r="N3614" s="8" t="s">
        <v>208</v>
      </c>
      <c r="O3614" s="6">
        <v>0</v>
      </c>
      <c r="P3614" s="6">
        <v>0</v>
      </c>
      <c r="Q3614" s="6">
        <v>0</v>
      </c>
      <c r="R3614" s="6">
        <v>0</v>
      </c>
      <c r="S3614" s="6">
        <v>0</v>
      </c>
    </row>
    <row r="3615" spans="1:19" ht="15" hidden="1" x14ac:dyDescent="0.25">
      <c r="A3615" s="7" t="s">
        <v>16</v>
      </c>
      <c r="B3615" s="7" t="s">
        <v>230</v>
      </c>
      <c r="C3615" s="7" t="s">
        <v>24</v>
      </c>
      <c r="D3615" s="4">
        <v>1773319000201</v>
      </c>
      <c r="E3615" s="8" t="s">
        <v>1373</v>
      </c>
      <c r="F3615" s="8" t="s">
        <v>1374</v>
      </c>
      <c r="G3615" s="8" t="s">
        <v>19</v>
      </c>
      <c r="H3615" s="8" t="s">
        <v>215</v>
      </c>
      <c r="I3615" s="3">
        <v>2</v>
      </c>
      <c r="J3615" s="8" t="s">
        <v>151</v>
      </c>
      <c r="K3615" s="8" t="s">
        <v>152</v>
      </c>
      <c r="L3615" s="8" t="s">
        <v>556</v>
      </c>
      <c r="M3615" s="1" t="s">
        <v>207</v>
      </c>
      <c r="N3615" s="8" t="s">
        <v>208</v>
      </c>
      <c r="O3615" s="6">
        <v>0</v>
      </c>
      <c r="P3615" s="6">
        <v>0</v>
      </c>
      <c r="Q3615" s="6">
        <v>0</v>
      </c>
      <c r="R3615" s="6">
        <v>0</v>
      </c>
      <c r="S3615" s="6">
        <v>35</v>
      </c>
    </row>
    <row r="3616" spans="1:19" ht="15" hidden="1" x14ac:dyDescent="0.25">
      <c r="A3616" s="7" t="s">
        <v>16</v>
      </c>
      <c r="B3616" s="7" t="s">
        <v>230</v>
      </c>
      <c r="C3616" s="7" t="s">
        <v>24</v>
      </c>
      <c r="D3616" s="4">
        <v>1773319000201</v>
      </c>
      <c r="E3616" s="8" t="s">
        <v>1373</v>
      </c>
      <c r="F3616" s="8" t="s">
        <v>1374</v>
      </c>
      <c r="G3616" s="8" t="s">
        <v>19</v>
      </c>
      <c r="H3616" s="8" t="s">
        <v>215</v>
      </c>
      <c r="I3616" s="3">
        <v>2</v>
      </c>
      <c r="J3616" s="8" t="s">
        <v>149</v>
      </c>
      <c r="K3616" s="8" t="s">
        <v>150</v>
      </c>
      <c r="L3616" s="8" t="s">
        <v>557</v>
      </c>
      <c r="M3616" s="1" t="s">
        <v>207</v>
      </c>
      <c r="N3616" s="8" t="s">
        <v>208</v>
      </c>
      <c r="O3616" s="6">
        <v>0</v>
      </c>
      <c r="P3616" s="6">
        <v>0</v>
      </c>
      <c r="Q3616" s="6">
        <v>0</v>
      </c>
      <c r="R3616" s="6">
        <v>0</v>
      </c>
      <c r="S3616" s="6">
        <v>35</v>
      </c>
    </row>
    <row r="3617" spans="1:19" ht="15" hidden="1" x14ac:dyDescent="0.25">
      <c r="A3617" s="7" t="s">
        <v>16</v>
      </c>
      <c r="B3617" s="7" t="s">
        <v>230</v>
      </c>
      <c r="C3617" s="7" t="s">
        <v>24</v>
      </c>
      <c r="D3617" s="4">
        <v>61699567000869</v>
      </c>
      <c r="E3617" s="8" t="s">
        <v>1233</v>
      </c>
      <c r="F3617" s="8" t="s">
        <v>710</v>
      </c>
      <c r="G3617" s="8" t="s">
        <v>19</v>
      </c>
      <c r="H3617" s="8" t="s">
        <v>215</v>
      </c>
      <c r="I3617" s="3">
        <v>2</v>
      </c>
      <c r="J3617" s="8" t="s">
        <v>161</v>
      </c>
      <c r="K3617" s="8" t="s">
        <v>162</v>
      </c>
      <c r="L3617" s="8" t="s">
        <v>556</v>
      </c>
      <c r="M3617" s="1" t="s">
        <v>207</v>
      </c>
      <c r="N3617" s="8" t="s">
        <v>208</v>
      </c>
      <c r="O3617" s="6">
        <v>0</v>
      </c>
      <c r="P3617" s="6">
        <v>0</v>
      </c>
      <c r="Q3617" s="6">
        <v>0</v>
      </c>
      <c r="R3617" s="6">
        <v>0</v>
      </c>
      <c r="S3617" s="6">
        <v>200</v>
      </c>
    </row>
    <row r="3618" spans="1:19" ht="15" hidden="1" x14ac:dyDescent="0.25">
      <c r="A3618" s="7" t="s">
        <v>16</v>
      </c>
      <c r="B3618" s="7" t="s">
        <v>230</v>
      </c>
      <c r="C3618" s="7" t="s">
        <v>24</v>
      </c>
      <c r="D3618" s="4">
        <v>61699567000869</v>
      </c>
      <c r="E3618" s="8" t="s">
        <v>1233</v>
      </c>
      <c r="F3618" s="8" t="s">
        <v>710</v>
      </c>
      <c r="G3618" s="8" t="s">
        <v>19</v>
      </c>
      <c r="H3618" s="8" t="s">
        <v>215</v>
      </c>
      <c r="I3618" s="3">
        <v>2</v>
      </c>
      <c r="J3618" s="8" t="s">
        <v>147</v>
      </c>
      <c r="K3618" s="8" t="s">
        <v>148</v>
      </c>
      <c r="L3618" s="8" t="s">
        <v>557</v>
      </c>
      <c r="M3618" s="1" t="s">
        <v>207</v>
      </c>
      <c r="N3618" s="8" t="s">
        <v>208</v>
      </c>
      <c r="O3618" s="6">
        <v>0</v>
      </c>
      <c r="P3618" s="6">
        <v>0</v>
      </c>
      <c r="Q3618" s="6">
        <v>0</v>
      </c>
      <c r="R3618" s="6">
        <v>0</v>
      </c>
      <c r="S3618" s="6">
        <v>200</v>
      </c>
    </row>
    <row r="3619" spans="1:19" ht="15" hidden="1" x14ac:dyDescent="0.25">
      <c r="A3619" s="7" t="s">
        <v>16</v>
      </c>
      <c r="B3619" s="7" t="s">
        <v>230</v>
      </c>
      <c r="C3619" s="7" t="s">
        <v>24</v>
      </c>
      <c r="D3619" s="4">
        <v>53311999000156</v>
      </c>
      <c r="E3619" s="8" t="s">
        <v>714</v>
      </c>
      <c r="F3619" s="8" t="s">
        <v>715</v>
      </c>
      <c r="G3619" s="8" t="s">
        <v>19</v>
      </c>
      <c r="H3619" s="8" t="s">
        <v>215</v>
      </c>
      <c r="I3619" s="3">
        <v>2</v>
      </c>
      <c r="J3619" s="8" t="s">
        <v>151</v>
      </c>
      <c r="K3619" s="8" t="s">
        <v>152</v>
      </c>
      <c r="L3619" s="8" t="s">
        <v>556</v>
      </c>
      <c r="M3619" s="1" t="s">
        <v>207</v>
      </c>
      <c r="N3619" s="8" t="s">
        <v>208</v>
      </c>
      <c r="O3619" s="6">
        <v>0</v>
      </c>
      <c r="P3619" s="6">
        <v>0</v>
      </c>
      <c r="Q3619" s="6">
        <v>0</v>
      </c>
      <c r="R3619" s="6">
        <v>0</v>
      </c>
      <c r="S3619" s="6">
        <v>0</v>
      </c>
    </row>
    <row r="3620" spans="1:19" ht="15" hidden="1" x14ac:dyDescent="0.25">
      <c r="A3620" s="7" t="s">
        <v>16</v>
      </c>
      <c r="B3620" s="7" t="s">
        <v>230</v>
      </c>
      <c r="C3620" s="7" t="s">
        <v>24</v>
      </c>
      <c r="D3620" s="4">
        <v>53311999000156</v>
      </c>
      <c r="E3620" s="8" t="s">
        <v>714</v>
      </c>
      <c r="F3620" s="8" t="s">
        <v>715</v>
      </c>
      <c r="G3620" s="8" t="s">
        <v>19</v>
      </c>
      <c r="H3620" s="8" t="s">
        <v>215</v>
      </c>
      <c r="I3620" s="3">
        <v>2</v>
      </c>
      <c r="J3620" s="8" t="s">
        <v>149</v>
      </c>
      <c r="K3620" s="8" t="s">
        <v>150</v>
      </c>
      <c r="L3620" s="8" t="s">
        <v>557</v>
      </c>
      <c r="M3620" s="1" t="s">
        <v>207</v>
      </c>
      <c r="N3620" s="8" t="s">
        <v>208</v>
      </c>
      <c r="O3620" s="6">
        <v>0</v>
      </c>
      <c r="P3620" s="6">
        <v>2</v>
      </c>
      <c r="Q3620" s="6">
        <v>0</v>
      </c>
      <c r="R3620" s="6">
        <v>0</v>
      </c>
      <c r="S3620" s="6">
        <v>0</v>
      </c>
    </row>
    <row r="3621" spans="1:19" ht="15" hidden="1" x14ac:dyDescent="0.25">
      <c r="A3621" s="7" t="s">
        <v>16</v>
      </c>
      <c r="B3621" s="7" t="s">
        <v>230</v>
      </c>
      <c r="C3621" s="7" t="s">
        <v>24</v>
      </c>
      <c r="D3621" s="4">
        <v>54370630000187</v>
      </c>
      <c r="E3621" s="8" t="s">
        <v>719</v>
      </c>
      <c r="F3621" s="8" t="s">
        <v>40</v>
      </c>
      <c r="G3621" s="8" t="s">
        <v>19</v>
      </c>
      <c r="H3621" s="8" t="s">
        <v>215</v>
      </c>
      <c r="I3621" s="3">
        <v>2</v>
      </c>
      <c r="J3621" s="8" t="s">
        <v>151</v>
      </c>
      <c r="K3621" s="8" t="s">
        <v>152</v>
      </c>
      <c r="L3621" s="8" t="s">
        <v>556</v>
      </c>
      <c r="M3621" s="1" t="s">
        <v>207</v>
      </c>
      <c r="N3621" s="8" t="s">
        <v>208</v>
      </c>
      <c r="O3621" s="6">
        <v>0</v>
      </c>
      <c r="P3621" s="6">
        <v>0</v>
      </c>
      <c r="Q3621" s="6">
        <v>0</v>
      </c>
      <c r="R3621" s="6">
        <v>0</v>
      </c>
      <c r="S3621" s="6">
        <v>50</v>
      </c>
    </row>
    <row r="3622" spans="1:19" ht="15" hidden="1" x14ac:dyDescent="0.25">
      <c r="A3622" s="7" t="s">
        <v>16</v>
      </c>
      <c r="B3622" s="7" t="s">
        <v>230</v>
      </c>
      <c r="C3622" s="7" t="s">
        <v>24</v>
      </c>
      <c r="D3622" s="4">
        <v>54370630000187</v>
      </c>
      <c r="E3622" s="8" t="s">
        <v>719</v>
      </c>
      <c r="F3622" s="8" t="s">
        <v>40</v>
      </c>
      <c r="G3622" s="8" t="s">
        <v>19</v>
      </c>
      <c r="H3622" s="8" t="s">
        <v>215</v>
      </c>
      <c r="I3622" s="3">
        <v>2</v>
      </c>
      <c r="J3622" s="8" t="s">
        <v>149</v>
      </c>
      <c r="K3622" s="8" t="s">
        <v>150</v>
      </c>
      <c r="L3622" s="8" t="s">
        <v>557</v>
      </c>
      <c r="M3622" s="1" t="s">
        <v>207</v>
      </c>
      <c r="N3622" s="8" t="s">
        <v>208</v>
      </c>
      <c r="O3622" s="6">
        <v>0</v>
      </c>
      <c r="P3622" s="6">
        <v>0</v>
      </c>
      <c r="Q3622" s="6">
        <v>0</v>
      </c>
      <c r="R3622" s="6">
        <v>0</v>
      </c>
      <c r="S3622" s="6">
        <v>50</v>
      </c>
    </row>
    <row r="3623" spans="1:19" ht="15" hidden="1" x14ac:dyDescent="0.25">
      <c r="A3623" s="7" t="s">
        <v>16</v>
      </c>
      <c r="B3623" s="7" t="s">
        <v>230</v>
      </c>
      <c r="C3623" s="7" t="s">
        <v>24</v>
      </c>
      <c r="D3623" s="4">
        <v>44803922000293</v>
      </c>
      <c r="E3623" s="8" t="s">
        <v>681</v>
      </c>
      <c r="F3623" s="8" t="s">
        <v>40</v>
      </c>
      <c r="G3623" s="8" t="s">
        <v>19</v>
      </c>
      <c r="H3623" s="8" t="s">
        <v>215</v>
      </c>
      <c r="I3623" s="3">
        <v>2</v>
      </c>
      <c r="J3623" s="8" t="s">
        <v>151</v>
      </c>
      <c r="K3623" s="8" t="s">
        <v>152</v>
      </c>
      <c r="L3623" s="8" t="s">
        <v>556</v>
      </c>
      <c r="M3623" s="1" t="s">
        <v>207</v>
      </c>
      <c r="N3623" s="8" t="s">
        <v>208</v>
      </c>
      <c r="O3623" s="6">
        <v>0</v>
      </c>
      <c r="P3623" s="6">
        <v>0</v>
      </c>
      <c r="Q3623" s="6">
        <v>0</v>
      </c>
      <c r="R3623" s="6">
        <v>8</v>
      </c>
      <c r="S3623" s="6">
        <v>0</v>
      </c>
    </row>
    <row r="3624" spans="1:19" ht="15" hidden="1" x14ac:dyDescent="0.25">
      <c r="A3624" s="7" t="s">
        <v>16</v>
      </c>
      <c r="B3624" s="7" t="s">
        <v>230</v>
      </c>
      <c r="C3624" s="7" t="s">
        <v>24</v>
      </c>
      <c r="D3624" s="4">
        <v>44803922000293</v>
      </c>
      <c r="E3624" s="8" t="s">
        <v>681</v>
      </c>
      <c r="F3624" s="8" t="s">
        <v>40</v>
      </c>
      <c r="G3624" s="8" t="s">
        <v>19</v>
      </c>
      <c r="H3624" s="8" t="s">
        <v>215</v>
      </c>
      <c r="I3624" s="3">
        <v>2</v>
      </c>
      <c r="J3624" s="8" t="s">
        <v>149</v>
      </c>
      <c r="K3624" s="8" t="s">
        <v>150</v>
      </c>
      <c r="L3624" s="8" t="s">
        <v>557</v>
      </c>
      <c r="M3624" s="1" t="s">
        <v>207</v>
      </c>
      <c r="N3624" s="8" t="s">
        <v>208</v>
      </c>
      <c r="O3624" s="6">
        <v>0</v>
      </c>
      <c r="P3624" s="6">
        <v>0</v>
      </c>
      <c r="Q3624" s="6">
        <v>0</v>
      </c>
      <c r="R3624" s="6">
        <v>0</v>
      </c>
      <c r="S3624" s="6">
        <v>0</v>
      </c>
    </row>
    <row r="3625" spans="1:19" ht="15" hidden="1" x14ac:dyDescent="0.25">
      <c r="A3625" s="7" t="s">
        <v>16</v>
      </c>
      <c r="B3625" s="7" t="s">
        <v>230</v>
      </c>
      <c r="C3625" s="7" t="s">
        <v>24</v>
      </c>
      <c r="D3625" s="4">
        <v>840048000450</v>
      </c>
      <c r="E3625" s="8" t="s">
        <v>637</v>
      </c>
      <c r="F3625" s="8" t="s">
        <v>30</v>
      </c>
      <c r="G3625" s="8" t="s">
        <v>19</v>
      </c>
      <c r="H3625" s="8" t="s">
        <v>215</v>
      </c>
      <c r="I3625" s="3">
        <v>2</v>
      </c>
      <c r="J3625" s="8" t="s">
        <v>151</v>
      </c>
      <c r="K3625" s="8" t="s">
        <v>152</v>
      </c>
      <c r="L3625" s="8" t="s">
        <v>556</v>
      </c>
      <c r="M3625" s="1" t="s">
        <v>207</v>
      </c>
      <c r="N3625" s="8" t="s">
        <v>208</v>
      </c>
      <c r="O3625" s="6">
        <v>0</v>
      </c>
      <c r="P3625" s="6">
        <v>0</v>
      </c>
      <c r="Q3625" s="6">
        <v>0</v>
      </c>
      <c r="R3625" s="6">
        <v>0</v>
      </c>
      <c r="S3625" s="6">
        <v>20</v>
      </c>
    </row>
    <row r="3626" spans="1:19" ht="15" hidden="1" x14ac:dyDescent="0.25">
      <c r="A3626" s="7" t="s">
        <v>16</v>
      </c>
      <c r="B3626" s="7" t="s">
        <v>230</v>
      </c>
      <c r="C3626" s="7" t="s">
        <v>24</v>
      </c>
      <c r="D3626" s="4">
        <v>840048000450</v>
      </c>
      <c r="E3626" s="8" t="s">
        <v>637</v>
      </c>
      <c r="F3626" s="8" t="s">
        <v>30</v>
      </c>
      <c r="G3626" s="8" t="s">
        <v>19</v>
      </c>
      <c r="H3626" s="8" t="s">
        <v>215</v>
      </c>
      <c r="I3626" s="3">
        <v>2</v>
      </c>
      <c r="J3626" s="8" t="s">
        <v>149</v>
      </c>
      <c r="K3626" s="8" t="s">
        <v>150</v>
      </c>
      <c r="L3626" s="8" t="s">
        <v>557</v>
      </c>
      <c r="M3626" s="1" t="s">
        <v>207</v>
      </c>
      <c r="N3626" s="8" t="s">
        <v>208</v>
      </c>
      <c r="O3626" s="6">
        <v>0</v>
      </c>
      <c r="P3626" s="6">
        <v>0</v>
      </c>
      <c r="Q3626" s="6">
        <v>0</v>
      </c>
      <c r="R3626" s="6">
        <v>0</v>
      </c>
      <c r="S3626" s="6">
        <v>20</v>
      </c>
    </row>
    <row r="3627" spans="1:19" ht="15" hidden="1" x14ac:dyDescent="0.25">
      <c r="A3627" s="7" t="s">
        <v>16</v>
      </c>
      <c r="B3627" s="7" t="s">
        <v>230</v>
      </c>
      <c r="C3627" s="7" t="s">
        <v>24</v>
      </c>
      <c r="D3627" s="4">
        <v>53221255003247</v>
      </c>
      <c r="E3627" s="8" t="s">
        <v>1378</v>
      </c>
      <c r="F3627" s="8" t="s">
        <v>544</v>
      </c>
      <c r="G3627" s="8" t="s">
        <v>19</v>
      </c>
      <c r="H3627" s="8" t="s">
        <v>215</v>
      </c>
      <c r="I3627" s="3">
        <v>2</v>
      </c>
      <c r="J3627" s="8" t="s">
        <v>151</v>
      </c>
      <c r="K3627" s="8" t="s">
        <v>152</v>
      </c>
      <c r="L3627" s="8" t="s">
        <v>556</v>
      </c>
      <c r="M3627" s="1" t="s">
        <v>207</v>
      </c>
      <c r="N3627" s="8" t="s">
        <v>208</v>
      </c>
      <c r="O3627" s="6">
        <v>0</v>
      </c>
      <c r="P3627" s="6">
        <v>0</v>
      </c>
      <c r="Q3627" s="6">
        <v>0</v>
      </c>
      <c r="R3627" s="6">
        <v>0</v>
      </c>
      <c r="S3627" s="6">
        <v>150</v>
      </c>
    </row>
    <row r="3628" spans="1:19" ht="15" hidden="1" x14ac:dyDescent="0.25">
      <c r="A3628" s="7" t="s">
        <v>16</v>
      </c>
      <c r="B3628" s="7" t="s">
        <v>230</v>
      </c>
      <c r="C3628" s="7" t="s">
        <v>24</v>
      </c>
      <c r="D3628" s="4">
        <v>53221255003247</v>
      </c>
      <c r="E3628" s="8" t="s">
        <v>1378</v>
      </c>
      <c r="F3628" s="8" t="s">
        <v>544</v>
      </c>
      <c r="G3628" s="8" t="s">
        <v>19</v>
      </c>
      <c r="H3628" s="8" t="s">
        <v>215</v>
      </c>
      <c r="I3628" s="3">
        <v>2</v>
      </c>
      <c r="J3628" s="8" t="s">
        <v>149</v>
      </c>
      <c r="K3628" s="8" t="s">
        <v>150</v>
      </c>
      <c r="L3628" s="8" t="s">
        <v>557</v>
      </c>
      <c r="M3628" s="1" t="s">
        <v>207</v>
      </c>
      <c r="N3628" s="8" t="s">
        <v>208</v>
      </c>
      <c r="O3628" s="6">
        <v>0</v>
      </c>
      <c r="P3628" s="6">
        <v>0</v>
      </c>
      <c r="Q3628" s="6">
        <v>0</v>
      </c>
      <c r="R3628" s="6">
        <v>0</v>
      </c>
      <c r="S3628" s="6">
        <v>150</v>
      </c>
    </row>
    <row r="3629" spans="1:19" ht="15" hidden="1" x14ac:dyDescent="0.25">
      <c r="A3629" s="7" t="s">
        <v>16</v>
      </c>
      <c r="B3629" s="7" t="s">
        <v>230</v>
      </c>
      <c r="C3629" s="7" t="s">
        <v>24</v>
      </c>
      <c r="D3629" s="4">
        <v>44863959000126</v>
      </c>
      <c r="E3629" s="8" t="s">
        <v>682</v>
      </c>
      <c r="F3629" s="8" t="s">
        <v>544</v>
      </c>
      <c r="G3629" s="8" t="s">
        <v>19</v>
      </c>
      <c r="H3629" s="8" t="s">
        <v>215</v>
      </c>
      <c r="I3629" s="3">
        <v>2</v>
      </c>
      <c r="J3629" s="8" t="s">
        <v>151</v>
      </c>
      <c r="K3629" s="8" t="s">
        <v>152</v>
      </c>
      <c r="L3629" s="8" t="s">
        <v>556</v>
      </c>
      <c r="M3629" s="1" t="s">
        <v>207</v>
      </c>
      <c r="N3629" s="8" t="s">
        <v>208</v>
      </c>
      <c r="O3629" s="6">
        <v>0</v>
      </c>
      <c r="P3629" s="6">
        <v>0</v>
      </c>
      <c r="Q3629" s="6">
        <v>0</v>
      </c>
      <c r="R3629" s="6">
        <v>0</v>
      </c>
      <c r="S3629" s="6">
        <v>30</v>
      </c>
    </row>
    <row r="3630" spans="1:19" ht="15" hidden="1" x14ac:dyDescent="0.25">
      <c r="A3630" s="7" t="s">
        <v>16</v>
      </c>
      <c r="B3630" s="7" t="s">
        <v>230</v>
      </c>
      <c r="C3630" s="7" t="s">
        <v>24</v>
      </c>
      <c r="D3630" s="4">
        <v>44863959000126</v>
      </c>
      <c r="E3630" s="8" t="s">
        <v>682</v>
      </c>
      <c r="F3630" s="8" t="s">
        <v>544</v>
      </c>
      <c r="G3630" s="8" t="s">
        <v>19</v>
      </c>
      <c r="H3630" s="8" t="s">
        <v>215</v>
      </c>
      <c r="I3630" s="3">
        <v>2</v>
      </c>
      <c r="J3630" s="8" t="s">
        <v>149</v>
      </c>
      <c r="K3630" s="8" t="s">
        <v>150</v>
      </c>
      <c r="L3630" s="8" t="s">
        <v>557</v>
      </c>
      <c r="M3630" s="1" t="s">
        <v>207</v>
      </c>
      <c r="N3630" s="8" t="s">
        <v>208</v>
      </c>
      <c r="O3630" s="6">
        <v>0</v>
      </c>
      <c r="P3630" s="6">
        <v>0</v>
      </c>
      <c r="Q3630" s="6">
        <v>0</v>
      </c>
      <c r="R3630" s="6">
        <v>0</v>
      </c>
      <c r="S3630" s="6">
        <v>30</v>
      </c>
    </row>
    <row r="3631" spans="1:19" ht="15" hidden="1" x14ac:dyDescent="0.25">
      <c r="A3631" s="7" t="s">
        <v>16</v>
      </c>
      <c r="B3631" s="7" t="s">
        <v>230</v>
      </c>
      <c r="C3631" s="7" t="s">
        <v>24</v>
      </c>
      <c r="D3631" s="4">
        <v>57722118000302</v>
      </c>
      <c r="E3631" s="8" t="s">
        <v>723</v>
      </c>
      <c r="F3631" s="8" t="s">
        <v>639</v>
      </c>
      <c r="G3631" s="8" t="s">
        <v>19</v>
      </c>
      <c r="H3631" s="8" t="s">
        <v>215</v>
      </c>
      <c r="I3631" s="3">
        <v>2</v>
      </c>
      <c r="J3631" s="8" t="s">
        <v>151</v>
      </c>
      <c r="K3631" s="8" t="s">
        <v>152</v>
      </c>
      <c r="L3631" s="8" t="s">
        <v>556</v>
      </c>
      <c r="M3631" s="1" t="s">
        <v>207</v>
      </c>
      <c r="N3631" s="8" t="s">
        <v>208</v>
      </c>
      <c r="O3631" s="6">
        <v>0</v>
      </c>
      <c r="P3631" s="6">
        <v>0</v>
      </c>
      <c r="Q3631" s="6">
        <v>0</v>
      </c>
      <c r="R3631" s="6">
        <v>32</v>
      </c>
      <c r="S3631" s="6">
        <v>0</v>
      </c>
    </row>
    <row r="3632" spans="1:19" ht="15" hidden="1" x14ac:dyDescent="0.25">
      <c r="A3632" s="7" t="s">
        <v>16</v>
      </c>
      <c r="B3632" s="7" t="s">
        <v>230</v>
      </c>
      <c r="C3632" s="7" t="s">
        <v>24</v>
      </c>
      <c r="D3632" s="4">
        <v>57722118000302</v>
      </c>
      <c r="E3632" s="8" t="s">
        <v>723</v>
      </c>
      <c r="F3632" s="8" t="s">
        <v>639</v>
      </c>
      <c r="G3632" s="8" t="s">
        <v>19</v>
      </c>
      <c r="H3632" s="8" t="s">
        <v>215</v>
      </c>
      <c r="I3632" s="3">
        <v>2</v>
      </c>
      <c r="J3632" s="8" t="s">
        <v>149</v>
      </c>
      <c r="K3632" s="8" t="s">
        <v>150</v>
      </c>
      <c r="L3632" s="8" t="s">
        <v>557</v>
      </c>
      <c r="M3632" s="1" t="s">
        <v>207</v>
      </c>
      <c r="N3632" s="8" t="s">
        <v>208</v>
      </c>
      <c r="O3632" s="6">
        <v>0</v>
      </c>
      <c r="P3632" s="6">
        <v>0</v>
      </c>
      <c r="Q3632" s="6">
        <v>0</v>
      </c>
      <c r="R3632" s="6">
        <v>0</v>
      </c>
      <c r="S3632" s="6">
        <v>0</v>
      </c>
    </row>
    <row r="3633" spans="1:19" ht="15" hidden="1" x14ac:dyDescent="0.25">
      <c r="A3633" s="7" t="s">
        <v>16</v>
      </c>
      <c r="B3633" s="7" t="s">
        <v>230</v>
      </c>
      <c r="C3633" s="7" t="s">
        <v>24</v>
      </c>
      <c r="D3633" s="4">
        <v>57722118000140</v>
      </c>
      <c r="E3633" s="8" t="s">
        <v>722</v>
      </c>
      <c r="F3633" s="8" t="s">
        <v>639</v>
      </c>
      <c r="G3633" s="8" t="s">
        <v>19</v>
      </c>
      <c r="H3633" s="8" t="s">
        <v>215</v>
      </c>
      <c r="I3633" s="3">
        <v>2</v>
      </c>
      <c r="J3633" s="8" t="s">
        <v>151</v>
      </c>
      <c r="K3633" s="8" t="s">
        <v>152</v>
      </c>
      <c r="L3633" s="8" t="s">
        <v>556</v>
      </c>
      <c r="M3633" s="1" t="s">
        <v>207</v>
      </c>
      <c r="N3633" s="8" t="s">
        <v>208</v>
      </c>
      <c r="O3633" s="6">
        <v>0</v>
      </c>
      <c r="P3633" s="6">
        <v>0</v>
      </c>
      <c r="Q3633" s="6">
        <v>0</v>
      </c>
      <c r="R3633" s="6">
        <v>0</v>
      </c>
      <c r="S3633" s="6">
        <v>150</v>
      </c>
    </row>
    <row r="3634" spans="1:19" ht="15" hidden="1" x14ac:dyDescent="0.25">
      <c r="A3634" s="7" t="s">
        <v>16</v>
      </c>
      <c r="B3634" s="7" t="s">
        <v>230</v>
      </c>
      <c r="C3634" s="7" t="s">
        <v>24</v>
      </c>
      <c r="D3634" s="4">
        <v>57722118000140</v>
      </c>
      <c r="E3634" s="8" t="s">
        <v>722</v>
      </c>
      <c r="F3634" s="8" t="s">
        <v>639</v>
      </c>
      <c r="G3634" s="8" t="s">
        <v>19</v>
      </c>
      <c r="H3634" s="8" t="s">
        <v>215</v>
      </c>
      <c r="I3634" s="3">
        <v>2</v>
      </c>
      <c r="J3634" s="8" t="s">
        <v>149</v>
      </c>
      <c r="K3634" s="8" t="s">
        <v>150</v>
      </c>
      <c r="L3634" s="8" t="s">
        <v>557</v>
      </c>
      <c r="M3634" s="1" t="s">
        <v>207</v>
      </c>
      <c r="N3634" s="8" t="s">
        <v>208</v>
      </c>
      <c r="O3634" s="6">
        <v>0</v>
      </c>
      <c r="P3634" s="6">
        <v>0</v>
      </c>
      <c r="Q3634" s="6">
        <v>0</v>
      </c>
      <c r="R3634" s="6">
        <v>0</v>
      </c>
      <c r="S3634" s="6">
        <v>150</v>
      </c>
    </row>
    <row r="3635" spans="1:19" ht="15" hidden="1" x14ac:dyDescent="0.25">
      <c r="A3635" s="7" t="s">
        <v>16</v>
      </c>
      <c r="B3635" s="7" t="s">
        <v>230</v>
      </c>
      <c r="C3635" s="7" t="s">
        <v>24</v>
      </c>
      <c r="D3635" s="4">
        <v>56023443000152</v>
      </c>
      <c r="E3635" s="8" t="s">
        <v>1379</v>
      </c>
      <c r="F3635" s="8" t="s">
        <v>639</v>
      </c>
      <c r="G3635" s="8" t="s">
        <v>19</v>
      </c>
      <c r="H3635" s="8" t="s">
        <v>215</v>
      </c>
      <c r="I3635" s="3">
        <v>2</v>
      </c>
      <c r="J3635" s="8" t="s">
        <v>151</v>
      </c>
      <c r="K3635" s="8" t="s">
        <v>152</v>
      </c>
      <c r="L3635" s="8" t="s">
        <v>556</v>
      </c>
      <c r="M3635" s="1" t="s">
        <v>207</v>
      </c>
      <c r="N3635" s="8" t="s">
        <v>208</v>
      </c>
      <c r="O3635" s="6">
        <v>0</v>
      </c>
      <c r="P3635" s="6">
        <v>0</v>
      </c>
      <c r="Q3635" s="6">
        <v>0</v>
      </c>
      <c r="R3635" s="6">
        <v>24</v>
      </c>
      <c r="S3635" s="6">
        <v>0</v>
      </c>
    </row>
    <row r="3636" spans="1:19" ht="15" hidden="1" x14ac:dyDescent="0.25">
      <c r="A3636" s="7" t="s">
        <v>16</v>
      </c>
      <c r="B3636" s="7" t="s">
        <v>230</v>
      </c>
      <c r="C3636" s="7" t="s">
        <v>24</v>
      </c>
      <c r="D3636" s="4">
        <v>56023443000152</v>
      </c>
      <c r="E3636" s="8" t="s">
        <v>1379</v>
      </c>
      <c r="F3636" s="8" t="s">
        <v>639</v>
      </c>
      <c r="G3636" s="8" t="s">
        <v>19</v>
      </c>
      <c r="H3636" s="8" t="s">
        <v>215</v>
      </c>
      <c r="I3636" s="3">
        <v>2</v>
      </c>
      <c r="J3636" s="8" t="s">
        <v>149</v>
      </c>
      <c r="K3636" s="8" t="s">
        <v>150</v>
      </c>
      <c r="L3636" s="8" t="s">
        <v>557</v>
      </c>
      <c r="M3636" s="1" t="s">
        <v>207</v>
      </c>
      <c r="N3636" s="8" t="s">
        <v>208</v>
      </c>
      <c r="O3636" s="6">
        <v>0</v>
      </c>
      <c r="P3636" s="6">
        <v>0</v>
      </c>
      <c r="Q3636" s="6">
        <v>0</v>
      </c>
      <c r="R3636" s="6">
        <v>0</v>
      </c>
      <c r="S3636" s="6">
        <v>0</v>
      </c>
    </row>
    <row r="3637" spans="1:19" ht="15" hidden="1" x14ac:dyDescent="0.25">
      <c r="A3637" s="7" t="s">
        <v>16</v>
      </c>
      <c r="B3637" s="7" t="s">
        <v>230</v>
      </c>
      <c r="C3637" s="7" t="s">
        <v>24</v>
      </c>
      <c r="D3637" s="4">
        <v>1613433006892</v>
      </c>
      <c r="E3637" s="8" t="s">
        <v>638</v>
      </c>
      <c r="F3637" s="8" t="s">
        <v>639</v>
      </c>
      <c r="G3637" s="8" t="s">
        <v>19</v>
      </c>
      <c r="H3637" s="8" t="s">
        <v>215</v>
      </c>
      <c r="I3637" s="3">
        <v>2</v>
      </c>
      <c r="J3637" s="8" t="s">
        <v>151</v>
      </c>
      <c r="K3637" s="8" t="s">
        <v>152</v>
      </c>
      <c r="L3637" s="8" t="s">
        <v>556</v>
      </c>
      <c r="M3637" s="1" t="s">
        <v>207</v>
      </c>
      <c r="N3637" s="8" t="s">
        <v>208</v>
      </c>
      <c r="O3637" s="6">
        <v>0</v>
      </c>
      <c r="P3637" s="6">
        <v>0</v>
      </c>
      <c r="Q3637" s="6">
        <v>0</v>
      </c>
      <c r="R3637" s="6">
        <v>0</v>
      </c>
      <c r="S3637" s="6">
        <v>565</v>
      </c>
    </row>
    <row r="3638" spans="1:19" ht="15" hidden="1" x14ac:dyDescent="0.25">
      <c r="A3638" s="7" t="s">
        <v>16</v>
      </c>
      <c r="B3638" s="7" t="s">
        <v>230</v>
      </c>
      <c r="C3638" s="7" t="s">
        <v>24</v>
      </c>
      <c r="D3638" s="4">
        <v>1613433006892</v>
      </c>
      <c r="E3638" s="8" t="s">
        <v>638</v>
      </c>
      <c r="F3638" s="8" t="s">
        <v>639</v>
      </c>
      <c r="G3638" s="8" t="s">
        <v>19</v>
      </c>
      <c r="H3638" s="8" t="s">
        <v>215</v>
      </c>
      <c r="I3638" s="3">
        <v>2</v>
      </c>
      <c r="J3638" s="8" t="s">
        <v>149</v>
      </c>
      <c r="K3638" s="8" t="s">
        <v>150</v>
      </c>
      <c r="L3638" s="8" t="s">
        <v>557</v>
      </c>
      <c r="M3638" s="1" t="s">
        <v>207</v>
      </c>
      <c r="N3638" s="8" t="s">
        <v>208</v>
      </c>
      <c r="O3638" s="6">
        <v>0</v>
      </c>
      <c r="P3638" s="6">
        <v>0</v>
      </c>
      <c r="Q3638" s="6">
        <v>0</v>
      </c>
      <c r="R3638" s="6">
        <v>0</v>
      </c>
      <c r="S3638" s="6">
        <v>565</v>
      </c>
    </row>
    <row r="3639" spans="1:19" ht="15" hidden="1" x14ac:dyDescent="0.25">
      <c r="A3639" s="7" t="s">
        <v>16</v>
      </c>
      <c r="B3639" s="7" t="s">
        <v>230</v>
      </c>
      <c r="C3639" s="7" t="s">
        <v>24</v>
      </c>
      <c r="D3639" s="4">
        <v>57723280000183</v>
      </c>
      <c r="E3639" s="8" t="s">
        <v>724</v>
      </c>
      <c r="F3639" s="8" t="s">
        <v>639</v>
      </c>
      <c r="G3639" s="8" t="s">
        <v>19</v>
      </c>
      <c r="H3639" s="8" t="s">
        <v>215</v>
      </c>
      <c r="I3639" s="3">
        <v>2</v>
      </c>
      <c r="J3639" s="8" t="s">
        <v>151</v>
      </c>
      <c r="K3639" s="8" t="s">
        <v>152</v>
      </c>
      <c r="L3639" s="8" t="s">
        <v>556</v>
      </c>
      <c r="M3639" s="1" t="s">
        <v>207</v>
      </c>
      <c r="N3639" s="8" t="s">
        <v>208</v>
      </c>
      <c r="O3639" s="6">
        <v>0</v>
      </c>
      <c r="P3639" s="6">
        <v>0</v>
      </c>
      <c r="Q3639" s="6">
        <v>0</v>
      </c>
      <c r="R3639" s="6">
        <v>0</v>
      </c>
      <c r="S3639" s="6">
        <v>35</v>
      </c>
    </row>
    <row r="3640" spans="1:19" ht="15" hidden="1" x14ac:dyDescent="0.25">
      <c r="A3640" s="7" t="s">
        <v>16</v>
      </c>
      <c r="B3640" s="7" t="s">
        <v>230</v>
      </c>
      <c r="C3640" s="7" t="s">
        <v>24</v>
      </c>
      <c r="D3640" s="4">
        <v>57723280000183</v>
      </c>
      <c r="E3640" s="8" t="s">
        <v>724</v>
      </c>
      <c r="F3640" s="8" t="s">
        <v>639</v>
      </c>
      <c r="G3640" s="8" t="s">
        <v>19</v>
      </c>
      <c r="H3640" s="8" t="s">
        <v>215</v>
      </c>
      <c r="I3640" s="3">
        <v>2</v>
      </c>
      <c r="J3640" s="8" t="s">
        <v>149</v>
      </c>
      <c r="K3640" s="8" t="s">
        <v>150</v>
      </c>
      <c r="L3640" s="8" t="s">
        <v>557</v>
      </c>
      <c r="M3640" s="1" t="s">
        <v>207</v>
      </c>
      <c r="N3640" s="8" t="s">
        <v>208</v>
      </c>
      <c r="O3640" s="6">
        <v>0</v>
      </c>
      <c r="P3640" s="6">
        <v>0</v>
      </c>
      <c r="Q3640" s="6">
        <v>0</v>
      </c>
      <c r="R3640" s="6">
        <v>0</v>
      </c>
      <c r="S3640" s="6">
        <v>35</v>
      </c>
    </row>
    <row r="3641" spans="1:19" ht="15" hidden="1" x14ac:dyDescent="0.25">
      <c r="A3641" s="7" t="s">
        <v>16</v>
      </c>
      <c r="B3641" s="7" t="s">
        <v>230</v>
      </c>
      <c r="C3641" s="7" t="s">
        <v>24</v>
      </c>
      <c r="D3641" s="4">
        <v>45232246000550</v>
      </c>
      <c r="E3641" s="8" t="s">
        <v>685</v>
      </c>
      <c r="F3641" s="8" t="s">
        <v>639</v>
      </c>
      <c r="G3641" s="8" t="s">
        <v>19</v>
      </c>
      <c r="H3641" s="8" t="s">
        <v>215</v>
      </c>
      <c r="I3641" s="3">
        <v>2</v>
      </c>
      <c r="J3641" s="8" t="s">
        <v>151</v>
      </c>
      <c r="K3641" s="8" t="s">
        <v>152</v>
      </c>
      <c r="L3641" s="8" t="s">
        <v>556</v>
      </c>
      <c r="M3641" s="1" t="s">
        <v>207</v>
      </c>
      <c r="N3641" s="8" t="s">
        <v>208</v>
      </c>
      <c r="O3641" s="6">
        <v>0</v>
      </c>
      <c r="P3641" s="6">
        <v>0</v>
      </c>
      <c r="Q3641" s="6">
        <v>0</v>
      </c>
      <c r="R3641" s="6">
        <v>18</v>
      </c>
      <c r="S3641" s="6">
        <v>175</v>
      </c>
    </row>
    <row r="3642" spans="1:19" ht="15" hidden="1" x14ac:dyDescent="0.25">
      <c r="A3642" s="7" t="s">
        <v>16</v>
      </c>
      <c r="B3642" s="7" t="s">
        <v>230</v>
      </c>
      <c r="C3642" s="7" t="s">
        <v>24</v>
      </c>
      <c r="D3642" s="4">
        <v>45232246000550</v>
      </c>
      <c r="E3642" s="8" t="s">
        <v>685</v>
      </c>
      <c r="F3642" s="8" t="s">
        <v>639</v>
      </c>
      <c r="G3642" s="8" t="s">
        <v>19</v>
      </c>
      <c r="H3642" s="8" t="s">
        <v>215</v>
      </c>
      <c r="I3642" s="3">
        <v>2</v>
      </c>
      <c r="J3642" s="8" t="s">
        <v>149</v>
      </c>
      <c r="K3642" s="8" t="s">
        <v>150</v>
      </c>
      <c r="L3642" s="8" t="s">
        <v>557</v>
      </c>
      <c r="M3642" s="1" t="s">
        <v>207</v>
      </c>
      <c r="N3642" s="8" t="s">
        <v>208</v>
      </c>
      <c r="O3642" s="6">
        <v>0</v>
      </c>
      <c r="P3642" s="6">
        <v>0</v>
      </c>
      <c r="Q3642" s="6">
        <v>0</v>
      </c>
      <c r="R3642" s="6">
        <v>0</v>
      </c>
      <c r="S3642" s="6">
        <v>175</v>
      </c>
    </row>
    <row r="3643" spans="1:19" ht="15" hidden="1" x14ac:dyDescent="0.25">
      <c r="A3643" s="7" t="s">
        <v>16</v>
      </c>
      <c r="B3643" s="7" t="s">
        <v>230</v>
      </c>
      <c r="C3643" s="7" t="s">
        <v>24</v>
      </c>
      <c r="D3643" s="4">
        <v>44663631000590</v>
      </c>
      <c r="E3643" s="8" t="s">
        <v>680</v>
      </c>
      <c r="F3643" s="8" t="s">
        <v>39</v>
      </c>
      <c r="G3643" s="8" t="s">
        <v>19</v>
      </c>
      <c r="H3643" s="8" t="s">
        <v>215</v>
      </c>
      <c r="I3643" s="3">
        <v>2</v>
      </c>
      <c r="J3643" s="8" t="s">
        <v>151</v>
      </c>
      <c r="K3643" s="8" t="s">
        <v>152</v>
      </c>
      <c r="L3643" s="8" t="s">
        <v>556</v>
      </c>
      <c r="M3643" s="1" t="s">
        <v>207</v>
      </c>
      <c r="N3643" s="8" t="s">
        <v>208</v>
      </c>
      <c r="O3643" s="6">
        <v>0</v>
      </c>
      <c r="P3643" s="6">
        <v>0</v>
      </c>
      <c r="Q3643" s="6">
        <v>0</v>
      </c>
      <c r="R3643" s="6">
        <v>32</v>
      </c>
      <c r="S3643" s="6">
        <v>30</v>
      </c>
    </row>
    <row r="3644" spans="1:19" ht="15" hidden="1" x14ac:dyDescent="0.25">
      <c r="A3644" s="7" t="s">
        <v>16</v>
      </c>
      <c r="B3644" s="7" t="s">
        <v>230</v>
      </c>
      <c r="C3644" s="7" t="s">
        <v>24</v>
      </c>
      <c r="D3644" s="4">
        <v>44663631000590</v>
      </c>
      <c r="E3644" s="8" t="s">
        <v>680</v>
      </c>
      <c r="F3644" s="8" t="s">
        <v>39</v>
      </c>
      <c r="G3644" s="8" t="s">
        <v>19</v>
      </c>
      <c r="H3644" s="8" t="s">
        <v>215</v>
      </c>
      <c r="I3644" s="3">
        <v>2</v>
      </c>
      <c r="J3644" s="8" t="s">
        <v>149</v>
      </c>
      <c r="K3644" s="8" t="s">
        <v>150</v>
      </c>
      <c r="L3644" s="8" t="s">
        <v>557</v>
      </c>
      <c r="M3644" s="1" t="s">
        <v>207</v>
      </c>
      <c r="N3644" s="8" t="s">
        <v>208</v>
      </c>
      <c r="O3644" s="6">
        <v>0</v>
      </c>
      <c r="P3644" s="6">
        <v>0</v>
      </c>
      <c r="Q3644" s="6">
        <v>0</v>
      </c>
      <c r="R3644" s="6">
        <v>0</v>
      </c>
      <c r="S3644" s="6">
        <v>30</v>
      </c>
    </row>
    <row r="3645" spans="1:19" ht="15" hidden="1" x14ac:dyDescent="0.25">
      <c r="A3645" s="7" t="s">
        <v>16</v>
      </c>
      <c r="B3645" s="7" t="s">
        <v>230</v>
      </c>
      <c r="C3645" s="7" t="s">
        <v>24</v>
      </c>
      <c r="D3645" s="4">
        <v>58837188000298</v>
      </c>
      <c r="E3645" s="8" t="s">
        <v>1369</v>
      </c>
      <c r="F3645" s="8" t="s">
        <v>1370</v>
      </c>
      <c r="G3645" s="8" t="s">
        <v>19</v>
      </c>
      <c r="H3645" s="8" t="s">
        <v>215</v>
      </c>
      <c r="I3645" s="3">
        <v>2</v>
      </c>
      <c r="J3645" s="8" t="s">
        <v>151</v>
      </c>
      <c r="K3645" s="8" t="s">
        <v>152</v>
      </c>
      <c r="L3645" s="8" t="s">
        <v>556</v>
      </c>
      <c r="M3645" s="1" t="s">
        <v>207</v>
      </c>
      <c r="N3645" s="8" t="s">
        <v>208</v>
      </c>
      <c r="O3645" s="6">
        <v>0</v>
      </c>
      <c r="P3645" s="6">
        <v>0</v>
      </c>
      <c r="Q3645" s="6">
        <v>0</v>
      </c>
      <c r="R3645" s="6">
        <v>0</v>
      </c>
      <c r="S3645" s="6">
        <v>20</v>
      </c>
    </row>
    <row r="3646" spans="1:19" ht="15" hidden="1" x14ac:dyDescent="0.25">
      <c r="A3646" s="7" t="s">
        <v>16</v>
      </c>
      <c r="B3646" s="7" t="s">
        <v>230</v>
      </c>
      <c r="C3646" s="7" t="s">
        <v>24</v>
      </c>
      <c r="D3646" s="4">
        <v>58837188000298</v>
      </c>
      <c r="E3646" s="8" t="s">
        <v>1369</v>
      </c>
      <c r="F3646" s="8" t="s">
        <v>1370</v>
      </c>
      <c r="G3646" s="8" t="s">
        <v>19</v>
      </c>
      <c r="H3646" s="8" t="s">
        <v>215</v>
      </c>
      <c r="I3646" s="3">
        <v>2</v>
      </c>
      <c r="J3646" s="8" t="s">
        <v>183</v>
      </c>
      <c r="K3646" s="8" t="s">
        <v>184</v>
      </c>
      <c r="L3646" s="8" t="s">
        <v>557</v>
      </c>
      <c r="M3646" s="1" t="s">
        <v>207</v>
      </c>
      <c r="N3646" s="8" t="s">
        <v>208</v>
      </c>
      <c r="O3646" s="6">
        <v>0</v>
      </c>
      <c r="P3646" s="6">
        <v>0</v>
      </c>
      <c r="Q3646" s="6">
        <v>0</v>
      </c>
      <c r="R3646" s="6">
        <v>0</v>
      </c>
      <c r="S3646" s="6">
        <v>20</v>
      </c>
    </row>
    <row r="3647" spans="1:19" ht="15" hidden="1" x14ac:dyDescent="0.25">
      <c r="A3647" s="7" t="s">
        <v>16</v>
      </c>
      <c r="B3647" s="7" t="s">
        <v>230</v>
      </c>
      <c r="C3647" s="7" t="s">
        <v>24</v>
      </c>
      <c r="D3647" s="4">
        <v>57507402000102</v>
      </c>
      <c r="E3647" s="8" t="s">
        <v>721</v>
      </c>
      <c r="F3647" s="8" t="s">
        <v>647</v>
      </c>
      <c r="G3647" s="8" t="s">
        <v>19</v>
      </c>
      <c r="H3647" s="8" t="s">
        <v>215</v>
      </c>
      <c r="I3647" s="3">
        <v>2</v>
      </c>
      <c r="J3647" s="8" t="s">
        <v>1355</v>
      </c>
      <c r="K3647" s="8" t="s">
        <v>1356</v>
      </c>
      <c r="L3647" s="8" t="s">
        <v>556</v>
      </c>
      <c r="M3647" s="1" t="s">
        <v>207</v>
      </c>
      <c r="N3647" s="8" t="s">
        <v>208</v>
      </c>
      <c r="O3647" s="6">
        <v>0</v>
      </c>
      <c r="P3647" s="6">
        <v>0</v>
      </c>
      <c r="Q3647" s="6">
        <v>0</v>
      </c>
      <c r="R3647" s="6">
        <v>150</v>
      </c>
      <c r="S3647" s="6">
        <v>150</v>
      </c>
    </row>
    <row r="3648" spans="1:19" ht="15" hidden="1" x14ac:dyDescent="0.25">
      <c r="A3648" s="7" t="s">
        <v>16</v>
      </c>
      <c r="B3648" s="7" t="s">
        <v>230</v>
      </c>
      <c r="C3648" s="7" t="s">
        <v>24</v>
      </c>
      <c r="D3648" s="4">
        <v>57507402000102</v>
      </c>
      <c r="E3648" s="8" t="s">
        <v>721</v>
      </c>
      <c r="F3648" s="8" t="s">
        <v>647</v>
      </c>
      <c r="G3648" s="8" t="s">
        <v>19</v>
      </c>
      <c r="H3648" s="8" t="s">
        <v>215</v>
      </c>
      <c r="I3648" s="3">
        <v>2</v>
      </c>
      <c r="J3648" s="8" t="s">
        <v>147</v>
      </c>
      <c r="K3648" s="8" t="s">
        <v>148</v>
      </c>
      <c r="L3648" s="8" t="s">
        <v>557</v>
      </c>
      <c r="M3648" s="1" t="s">
        <v>207</v>
      </c>
      <c r="N3648" s="8" t="s">
        <v>208</v>
      </c>
      <c r="O3648" s="6">
        <v>0</v>
      </c>
      <c r="P3648" s="6">
        <v>0</v>
      </c>
      <c r="Q3648" s="6">
        <v>0</v>
      </c>
      <c r="R3648" s="6">
        <v>0</v>
      </c>
      <c r="S3648" s="6">
        <v>150</v>
      </c>
    </row>
    <row r="3649" spans="1:19" ht="15" hidden="1" x14ac:dyDescent="0.25">
      <c r="A3649" s="7" t="s">
        <v>16</v>
      </c>
      <c r="B3649" s="7" t="s">
        <v>230</v>
      </c>
      <c r="C3649" s="7" t="s">
        <v>24</v>
      </c>
      <c r="D3649" s="4">
        <v>13718999001041</v>
      </c>
      <c r="E3649" s="8" t="s">
        <v>662</v>
      </c>
      <c r="F3649" s="8" t="s">
        <v>647</v>
      </c>
      <c r="G3649" s="8" t="s">
        <v>19</v>
      </c>
      <c r="H3649" s="8" t="s">
        <v>215</v>
      </c>
      <c r="I3649" s="3">
        <v>2</v>
      </c>
      <c r="J3649" s="8" t="s">
        <v>1355</v>
      </c>
      <c r="K3649" s="8" t="s">
        <v>1356</v>
      </c>
      <c r="L3649" s="8" t="s">
        <v>556</v>
      </c>
      <c r="M3649" s="1" t="s">
        <v>207</v>
      </c>
      <c r="N3649" s="8" t="s">
        <v>208</v>
      </c>
      <c r="O3649" s="6">
        <v>0</v>
      </c>
      <c r="P3649" s="6">
        <v>0</v>
      </c>
      <c r="Q3649" s="6">
        <v>0</v>
      </c>
      <c r="R3649" s="6">
        <v>4</v>
      </c>
      <c r="S3649" s="6">
        <v>80</v>
      </c>
    </row>
    <row r="3650" spans="1:19" ht="15" hidden="1" x14ac:dyDescent="0.25">
      <c r="A3650" s="7" t="s">
        <v>16</v>
      </c>
      <c r="B3650" s="7" t="s">
        <v>230</v>
      </c>
      <c r="C3650" s="7" t="s">
        <v>24</v>
      </c>
      <c r="D3650" s="4">
        <v>13718999001041</v>
      </c>
      <c r="E3650" s="8" t="s">
        <v>662</v>
      </c>
      <c r="F3650" s="8" t="s">
        <v>647</v>
      </c>
      <c r="G3650" s="8" t="s">
        <v>19</v>
      </c>
      <c r="H3650" s="8" t="s">
        <v>215</v>
      </c>
      <c r="I3650" s="3">
        <v>2</v>
      </c>
      <c r="J3650" s="8" t="s">
        <v>147</v>
      </c>
      <c r="K3650" s="8" t="s">
        <v>148</v>
      </c>
      <c r="L3650" s="8" t="s">
        <v>557</v>
      </c>
      <c r="M3650" s="1" t="s">
        <v>207</v>
      </c>
      <c r="N3650" s="8" t="s">
        <v>208</v>
      </c>
      <c r="O3650" s="6">
        <v>0</v>
      </c>
      <c r="P3650" s="6">
        <v>0</v>
      </c>
      <c r="Q3650" s="6">
        <v>0</v>
      </c>
      <c r="R3650" s="6">
        <v>0</v>
      </c>
      <c r="S3650" s="6">
        <v>80</v>
      </c>
    </row>
    <row r="3651" spans="1:19" ht="15" hidden="1" x14ac:dyDescent="0.25">
      <c r="A3651" s="7" t="s">
        <v>16</v>
      </c>
      <c r="B3651" s="7" t="s">
        <v>230</v>
      </c>
      <c r="C3651" s="7" t="s">
        <v>24</v>
      </c>
      <c r="D3651" s="4">
        <v>46374500001670</v>
      </c>
      <c r="E3651" s="8" t="s">
        <v>1366</v>
      </c>
      <c r="F3651" s="8" t="s">
        <v>35</v>
      </c>
      <c r="G3651" s="8" t="s">
        <v>19</v>
      </c>
      <c r="H3651" s="8" t="s">
        <v>215</v>
      </c>
      <c r="I3651" s="3">
        <v>2</v>
      </c>
      <c r="J3651" s="8" t="s">
        <v>1355</v>
      </c>
      <c r="K3651" s="8" t="s">
        <v>1356</v>
      </c>
      <c r="L3651" s="8" t="s">
        <v>556</v>
      </c>
      <c r="M3651" s="1" t="s">
        <v>207</v>
      </c>
      <c r="N3651" s="8" t="s">
        <v>208</v>
      </c>
      <c r="O3651" s="6">
        <v>0</v>
      </c>
      <c r="P3651" s="6">
        <v>0</v>
      </c>
      <c r="Q3651" s="6">
        <v>0</v>
      </c>
      <c r="R3651" s="6">
        <v>0</v>
      </c>
      <c r="S3651" s="6">
        <v>75</v>
      </c>
    </row>
    <row r="3652" spans="1:19" ht="15" hidden="1" x14ac:dyDescent="0.25">
      <c r="A3652" s="7" t="s">
        <v>16</v>
      </c>
      <c r="B3652" s="7" t="s">
        <v>230</v>
      </c>
      <c r="C3652" s="7" t="s">
        <v>24</v>
      </c>
      <c r="D3652" s="4">
        <v>46374500001670</v>
      </c>
      <c r="E3652" s="8" t="s">
        <v>1366</v>
      </c>
      <c r="F3652" s="8" t="s">
        <v>35</v>
      </c>
      <c r="G3652" s="8" t="s">
        <v>19</v>
      </c>
      <c r="H3652" s="8" t="s">
        <v>215</v>
      </c>
      <c r="I3652" s="3">
        <v>2</v>
      </c>
      <c r="J3652" s="8" t="s">
        <v>147</v>
      </c>
      <c r="K3652" s="8" t="s">
        <v>148</v>
      </c>
      <c r="L3652" s="8" t="s">
        <v>557</v>
      </c>
      <c r="M3652" s="1" t="s">
        <v>207</v>
      </c>
      <c r="N3652" s="8" t="s">
        <v>208</v>
      </c>
      <c r="O3652" s="6">
        <v>0</v>
      </c>
      <c r="P3652" s="6">
        <v>0</v>
      </c>
      <c r="Q3652" s="6">
        <v>0</v>
      </c>
      <c r="R3652" s="6">
        <v>0</v>
      </c>
      <c r="S3652" s="6">
        <v>75</v>
      </c>
    </row>
    <row r="3653" spans="1:19" ht="15" hidden="1" x14ac:dyDescent="0.25">
      <c r="A3653" s="7" t="s">
        <v>16</v>
      </c>
      <c r="B3653" s="7" t="s">
        <v>230</v>
      </c>
      <c r="C3653" s="7" t="s">
        <v>24</v>
      </c>
      <c r="D3653" s="4">
        <v>58229691001070</v>
      </c>
      <c r="E3653" s="8" t="s">
        <v>725</v>
      </c>
      <c r="F3653" s="8" t="s">
        <v>35</v>
      </c>
      <c r="G3653" s="8" t="s">
        <v>19</v>
      </c>
      <c r="H3653" s="8" t="s">
        <v>215</v>
      </c>
      <c r="I3653" s="3">
        <v>2</v>
      </c>
      <c r="J3653" s="8" t="s">
        <v>1355</v>
      </c>
      <c r="K3653" s="8" t="s">
        <v>1356</v>
      </c>
      <c r="L3653" s="8" t="s">
        <v>556</v>
      </c>
      <c r="M3653" s="1" t="s">
        <v>207</v>
      </c>
      <c r="N3653" s="8" t="s">
        <v>208</v>
      </c>
      <c r="O3653" s="6">
        <v>0</v>
      </c>
      <c r="P3653" s="6">
        <v>0</v>
      </c>
      <c r="Q3653" s="6">
        <v>0</v>
      </c>
      <c r="R3653" s="6">
        <v>32</v>
      </c>
      <c r="S3653" s="6">
        <v>0</v>
      </c>
    </row>
    <row r="3654" spans="1:19" ht="15" hidden="1" x14ac:dyDescent="0.25">
      <c r="A3654" s="7" t="s">
        <v>16</v>
      </c>
      <c r="B3654" s="7" t="s">
        <v>230</v>
      </c>
      <c r="C3654" s="7" t="s">
        <v>24</v>
      </c>
      <c r="D3654" s="4">
        <v>58229691001070</v>
      </c>
      <c r="E3654" s="8" t="s">
        <v>725</v>
      </c>
      <c r="F3654" s="8" t="s">
        <v>35</v>
      </c>
      <c r="G3654" s="8" t="s">
        <v>19</v>
      </c>
      <c r="H3654" s="8" t="s">
        <v>215</v>
      </c>
      <c r="I3654" s="3">
        <v>2</v>
      </c>
      <c r="J3654" s="8" t="s">
        <v>147</v>
      </c>
      <c r="K3654" s="8" t="s">
        <v>148</v>
      </c>
      <c r="L3654" s="8" t="s">
        <v>557</v>
      </c>
      <c r="M3654" s="1" t="s">
        <v>207</v>
      </c>
      <c r="N3654" s="8" t="s">
        <v>208</v>
      </c>
      <c r="O3654" s="6">
        <v>0</v>
      </c>
      <c r="P3654" s="6">
        <v>0</v>
      </c>
      <c r="Q3654" s="6">
        <v>0</v>
      </c>
      <c r="R3654" s="6">
        <v>0</v>
      </c>
      <c r="S3654" s="6">
        <v>0</v>
      </c>
    </row>
    <row r="3655" spans="1:19" ht="15" hidden="1" x14ac:dyDescent="0.25">
      <c r="A3655" s="7" t="s">
        <v>16</v>
      </c>
      <c r="B3655" s="7" t="s">
        <v>230</v>
      </c>
      <c r="C3655" s="7" t="s">
        <v>24</v>
      </c>
      <c r="D3655" s="4">
        <v>68029156000481</v>
      </c>
      <c r="E3655" s="8" t="s">
        <v>1371</v>
      </c>
      <c r="F3655" s="8" t="s">
        <v>1372</v>
      </c>
      <c r="G3655" s="8" t="s">
        <v>19</v>
      </c>
      <c r="H3655" s="8" t="s">
        <v>215</v>
      </c>
      <c r="I3655" s="3">
        <v>2</v>
      </c>
      <c r="J3655" s="8" t="s">
        <v>1355</v>
      </c>
      <c r="K3655" s="8" t="s">
        <v>1356</v>
      </c>
      <c r="L3655" s="8" t="s">
        <v>556</v>
      </c>
      <c r="M3655" s="1" t="s">
        <v>207</v>
      </c>
      <c r="N3655" s="8" t="s">
        <v>208</v>
      </c>
      <c r="O3655" s="6">
        <v>0</v>
      </c>
      <c r="P3655" s="6">
        <v>0</v>
      </c>
      <c r="Q3655" s="6">
        <v>0</v>
      </c>
      <c r="R3655" s="6">
        <v>0</v>
      </c>
      <c r="S3655" s="6">
        <v>10</v>
      </c>
    </row>
    <row r="3656" spans="1:19" ht="15" hidden="1" x14ac:dyDescent="0.25">
      <c r="A3656" s="7" t="s">
        <v>16</v>
      </c>
      <c r="B3656" s="7" t="s">
        <v>230</v>
      </c>
      <c r="C3656" s="7" t="s">
        <v>24</v>
      </c>
      <c r="D3656" s="4">
        <v>68029156000481</v>
      </c>
      <c r="E3656" s="8" t="s">
        <v>1371</v>
      </c>
      <c r="F3656" s="8" t="s">
        <v>1372</v>
      </c>
      <c r="G3656" s="8" t="s">
        <v>19</v>
      </c>
      <c r="H3656" s="8" t="s">
        <v>215</v>
      </c>
      <c r="I3656" s="3">
        <v>2</v>
      </c>
      <c r="J3656" s="8" t="s">
        <v>183</v>
      </c>
      <c r="K3656" s="8" t="s">
        <v>184</v>
      </c>
      <c r="L3656" s="8" t="s">
        <v>557</v>
      </c>
      <c r="M3656" s="1" t="s">
        <v>207</v>
      </c>
      <c r="N3656" s="8" t="s">
        <v>208</v>
      </c>
      <c r="O3656" s="6">
        <v>0</v>
      </c>
      <c r="P3656" s="6">
        <v>0</v>
      </c>
      <c r="Q3656" s="6">
        <v>0</v>
      </c>
      <c r="R3656" s="6">
        <v>0</v>
      </c>
      <c r="S3656" s="6">
        <v>10</v>
      </c>
    </row>
    <row r="3657" spans="1:19" ht="15" hidden="1" x14ac:dyDescent="0.25">
      <c r="A3657" s="7" t="s">
        <v>16</v>
      </c>
      <c r="B3657" s="7" t="s">
        <v>230</v>
      </c>
      <c r="C3657" s="7" t="s">
        <v>24</v>
      </c>
      <c r="D3657" s="4">
        <v>45399961000230</v>
      </c>
      <c r="E3657" s="8" t="s">
        <v>688</v>
      </c>
      <c r="F3657" s="8" t="s">
        <v>42</v>
      </c>
      <c r="G3657" s="8" t="s">
        <v>19</v>
      </c>
      <c r="H3657" s="8" t="s">
        <v>215</v>
      </c>
      <c r="I3657" s="3">
        <v>2</v>
      </c>
      <c r="J3657" s="8" t="s">
        <v>151</v>
      </c>
      <c r="K3657" s="8" t="s">
        <v>152</v>
      </c>
      <c r="L3657" s="8" t="s">
        <v>556</v>
      </c>
      <c r="M3657" s="1" t="s">
        <v>207</v>
      </c>
      <c r="N3657" s="8" t="s">
        <v>208</v>
      </c>
      <c r="O3657" s="6">
        <v>0</v>
      </c>
      <c r="P3657" s="6">
        <v>0</v>
      </c>
      <c r="Q3657" s="6">
        <v>0</v>
      </c>
      <c r="R3657" s="6">
        <v>0</v>
      </c>
      <c r="S3657" s="6">
        <v>200</v>
      </c>
    </row>
    <row r="3658" spans="1:19" ht="15" hidden="1" x14ac:dyDescent="0.25">
      <c r="A3658" s="7" t="s">
        <v>16</v>
      </c>
      <c r="B3658" s="7" t="s">
        <v>230</v>
      </c>
      <c r="C3658" s="7" t="s">
        <v>24</v>
      </c>
      <c r="D3658" s="4">
        <v>45399961000230</v>
      </c>
      <c r="E3658" s="8" t="s">
        <v>688</v>
      </c>
      <c r="F3658" s="8" t="s">
        <v>42</v>
      </c>
      <c r="G3658" s="8" t="s">
        <v>19</v>
      </c>
      <c r="H3658" s="8" t="s">
        <v>215</v>
      </c>
      <c r="I3658" s="3">
        <v>2</v>
      </c>
      <c r="J3658" s="8" t="s">
        <v>183</v>
      </c>
      <c r="K3658" s="8" t="s">
        <v>184</v>
      </c>
      <c r="L3658" s="8" t="s">
        <v>557</v>
      </c>
      <c r="M3658" s="1" t="s">
        <v>207</v>
      </c>
      <c r="N3658" s="8" t="s">
        <v>208</v>
      </c>
      <c r="O3658" s="6">
        <v>0</v>
      </c>
      <c r="P3658" s="6">
        <v>0</v>
      </c>
      <c r="Q3658" s="6">
        <v>0</v>
      </c>
      <c r="R3658" s="6">
        <v>0</v>
      </c>
      <c r="S3658" s="6">
        <v>200</v>
      </c>
    </row>
    <row r="3659" spans="1:19" ht="15" hidden="1" x14ac:dyDescent="0.25">
      <c r="A3659" s="7" t="s">
        <v>16</v>
      </c>
      <c r="B3659" s="7" t="s">
        <v>230</v>
      </c>
      <c r="C3659" s="7" t="s">
        <v>24</v>
      </c>
      <c r="D3659" s="4">
        <v>8100676000401</v>
      </c>
      <c r="E3659" s="8" t="s">
        <v>1365</v>
      </c>
      <c r="F3659" s="8" t="s">
        <v>674</v>
      </c>
      <c r="G3659" s="8" t="s">
        <v>19</v>
      </c>
      <c r="H3659" s="8" t="s">
        <v>215</v>
      </c>
      <c r="I3659" s="3">
        <v>2</v>
      </c>
      <c r="J3659" s="8" t="s">
        <v>1355</v>
      </c>
      <c r="K3659" s="8" t="s">
        <v>1356</v>
      </c>
      <c r="L3659" s="8" t="s">
        <v>556</v>
      </c>
      <c r="M3659" s="1" t="s">
        <v>207</v>
      </c>
      <c r="N3659" s="8" t="s">
        <v>208</v>
      </c>
      <c r="O3659" s="6">
        <v>0</v>
      </c>
      <c r="P3659" s="6">
        <v>0</v>
      </c>
      <c r="Q3659" s="6">
        <v>0</v>
      </c>
      <c r="R3659" s="6">
        <v>0</v>
      </c>
      <c r="S3659" s="6">
        <v>50</v>
      </c>
    </row>
    <row r="3660" spans="1:19" ht="15" hidden="1" x14ac:dyDescent="0.25">
      <c r="A3660" s="7" t="s">
        <v>16</v>
      </c>
      <c r="B3660" s="7" t="s">
        <v>230</v>
      </c>
      <c r="C3660" s="7" t="s">
        <v>24</v>
      </c>
      <c r="D3660" s="4">
        <v>8100676000401</v>
      </c>
      <c r="E3660" s="8" t="s">
        <v>1365</v>
      </c>
      <c r="F3660" s="8" t="s">
        <v>674</v>
      </c>
      <c r="G3660" s="8" t="s">
        <v>19</v>
      </c>
      <c r="H3660" s="8" t="s">
        <v>215</v>
      </c>
      <c r="I3660" s="3">
        <v>2</v>
      </c>
      <c r="J3660" s="8" t="s">
        <v>147</v>
      </c>
      <c r="K3660" s="8" t="s">
        <v>148</v>
      </c>
      <c r="L3660" s="8" t="s">
        <v>557</v>
      </c>
      <c r="M3660" s="1" t="s">
        <v>207</v>
      </c>
      <c r="N3660" s="8" t="s">
        <v>208</v>
      </c>
      <c r="O3660" s="6">
        <v>0</v>
      </c>
      <c r="P3660" s="6">
        <v>0</v>
      </c>
      <c r="Q3660" s="6">
        <v>0</v>
      </c>
      <c r="R3660" s="6">
        <v>0</v>
      </c>
      <c r="S3660" s="6">
        <v>50</v>
      </c>
    </row>
    <row r="3661" spans="1:19" ht="15" hidden="1" x14ac:dyDescent="0.25">
      <c r="A3661" s="7" t="s">
        <v>16</v>
      </c>
      <c r="B3661" s="7" t="s">
        <v>230</v>
      </c>
      <c r="C3661" s="7" t="s">
        <v>24</v>
      </c>
      <c r="D3661" s="4">
        <v>45359213000576</v>
      </c>
      <c r="E3661" s="8" t="s">
        <v>686</v>
      </c>
      <c r="F3661" s="8" t="s">
        <v>687</v>
      </c>
      <c r="G3661" s="8" t="s">
        <v>19</v>
      </c>
      <c r="H3661" s="8" t="s">
        <v>215</v>
      </c>
      <c r="I3661" s="3">
        <v>2</v>
      </c>
      <c r="J3661" s="8" t="s">
        <v>151</v>
      </c>
      <c r="K3661" s="8" t="s">
        <v>152</v>
      </c>
      <c r="L3661" s="8" t="s">
        <v>556</v>
      </c>
      <c r="M3661" s="1" t="s">
        <v>207</v>
      </c>
      <c r="N3661" s="8" t="s">
        <v>208</v>
      </c>
      <c r="O3661" s="6">
        <v>0</v>
      </c>
      <c r="P3661" s="6">
        <v>0</v>
      </c>
      <c r="Q3661" s="6">
        <v>0</v>
      </c>
      <c r="R3661" s="6">
        <v>16</v>
      </c>
      <c r="S3661" s="6">
        <v>0</v>
      </c>
    </row>
    <row r="3662" spans="1:19" ht="15" hidden="1" x14ac:dyDescent="0.25">
      <c r="A3662" s="7" t="s">
        <v>16</v>
      </c>
      <c r="B3662" s="7" t="s">
        <v>230</v>
      </c>
      <c r="C3662" s="7" t="s">
        <v>24</v>
      </c>
      <c r="D3662" s="4">
        <v>45359213000576</v>
      </c>
      <c r="E3662" s="8" t="s">
        <v>686</v>
      </c>
      <c r="F3662" s="8" t="s">
        <v>687</v>
      </c>
      <c r="G3662" s="8" t="s">
        <v>19</v>
      </c>
      <c r="H3662" s="8" t="s">
        <v>215</v>
      </c>
      <c r="I3662" s="3">
        <v>2</v>
      </c>
      <c r="J3662" s="8" t="s">
        <v>149</v>
      </c>
      <c r="K3662" s="8" t="s">
        <v>150</v>
      </c>
      <c r="L3662" s="8" t="s">
        <v>557</v>
      </c>
      <c r="M3662" s="1" t="s">
        <v>207</v>
      </c>
      <c r="N3662" s="8" t="s">
        <v>208</v>
      </c>
      <c r="O3662" s="6">
        <v>0</v>
      </c>
      <c r="P3662" s="6">
        <v>0</v>
      </c>
      <c r="Q3662" s="6">
        <v>0</v>
      </c>
      <c r="R3662" s="6">
        <v>0</v>
      </c>
      <c r="S3662" s="6">
        <v>0</v>
      </c>
    </row>
    <row r="3663" spans="1:19" ht="15" hidden="1" x14ac:dyDescent="0.25">
      <c r="A3663" s="7" t="s">
        <v>16</v>
      </c>
      <c r="B3663" s="7" t="s">
        <v>230</v>
      </c>
      <c r="C3663" s="7" t="s">
        <v>24</v>
      </c>
      <c r="D3663" s="4">
        <v>10576443000189</v>
      </c>
      <c r="E3663" s="8" t="s">
        <v>659</v>
      </c>
      <c r="F3663" s="8" t="s">
        <v>643</v>
      </c>
      <c r="G3663" s="8" t="s">
        <v>19</v>
      </c>
      <c r="H3663" s="8" t="s">
        <v>215</v>
      </c>
      <c r="I3663" s="3">
        <v>2</v>
      </c>
      <c r="J3663" s="8" t="s">
        <v>151</v>
      </c>
      <c r="K3663" s="8" t="s">
        <v>152</v>
      </c>
      <c r="L3663" s="8" t="s">
        <v>556</v>
      </c>
      <c r="M3663" s="1" t="s">
        <v>207</v>
      </c>
      <c r="N3663" s="8" t="s">
        <v>208</v>
      </c>
      <c r="O3663" s="6">
        <v>0</v>
      </c>
      <c r="P3663" s="6">
        <v>0</v>
      </c>
      <c r="Q3663" s="6">
        <v>0</v>
      </c>
      <c r="R3663" s="6">
        <v>0</v>
      </c>
      <c r="S3663" s="6">
        <v>185</v>
      </c>
    </row>
    <row r="3664" spans="1:19" ht="15" hidden="1" x14ac:dyDescent="0.25">
      <c r="A3664" s="7" t="s">
        <v>16</v>
      </c>
      <c r="B3664" s="7" t="s">
        <v>230</v>
      </c>
      <c r="C3664" s="7" t="s">
        <v>24</v>
      </c>
      <c r="D3664" s="4">
        <v>10576443000189</v>
      </c>
      <c r="E3664" s="8" t="s">
        <v>659</v>
      </c>
      <c r="F3664" s="8" t="s">
        <v>643</v>
      </c>
      <c r="G3664" s="8" t="s">
        <v>19</v>
      </c>
      <c r="H3664" s="8" t="s">
        <v>215</v>
      </c>
      <c r="I3664" s="3">
        <v>2</v>
      </c>
      <c r="J3664" s="8" t="s">
        <v>149</v>
      </c>
      <c r="K3664" s="8" t="s">
        <v>150</v>
      </c>
      <c r="L3664" s="8" t="s">
        <v>557</v>
      </c>
      <c r="M3664" s="1" t="s">
        <v>207</v>
      </c>
      <c r="N3664" s="8" t="s">
        <v>208</v>
      </c>
      <c r="O3664" s="6">
        <v>0</v>
      </c>
      <c r="P3664" s="6">
        <v>0</v>
      </c>
      <c r="Q3664" s="6">
        <v>0</v>
      </c>
      <c r="R3664" s="6">
        <v>0</v>
      </c>
      <c r="S3664" s="6">
        <v>185</v>
      </c>
    </row>
    <row r="3665" spans="1:19" ht="15" hidden="1" x14ac:dyDescent="0.25">
      <c r="A3665" s="7" t="s">
        <v>16</v>
      </c>
      <c r="B3665" s="7" t="s">
        <v>230</v>
      </c>
      <c r="C3665" s="7" t="s">
        <v>24</v>
      </c>
      <c r="D3665" s="4">
        <v>2643405000173</v>
      </c>
      <c r="E3665" s="8" t="s">
        <v>642</v>
      </c>
      <c r="F3665" s="8" t="s">
        <v>643</v>
      </c>
      <c r="G3665" s="8" t="s">
        <v>19</v>
      </c>
      <c r="H3665" s="8" t="s">
        <v>215</v>
      </c>
      <c r="I3665" s="3">
        <v>2</v>
      </c>
      <c r="J3665" s="8" t="s">
        <v>151</v>
      </c>
      <c r="K3665" s="8" t="s">
        <v>152</v>
      </c>
      <c r="L3665" s="8" t="s">
        <v>556</v>
      </c>
      <c r="M3665" s="1" t="s">
        <v>207</v>
      </c>
      <c r="N3665" s="8" t="s">
        <v>208</v>
      </c>
      <c r="O3665" s="6">
        <v>0</v>
      </c>
      <c r="P3665" s="6">
        <v>0</v>
      </c>
      <c r="Q3665" s="6">
        <v>0</v>
      </c>
      <c r="R3665" s="6">
        <v>22</v>
      </c>
      <c r="S3665" s="6">
        <v>0</v>
      </c>
    </row>
    <row r="3666" spans="1:19" ht="15" hidden="1" x14ac:dyDescent="0.25">
      <c r="A3666" s="7" t="s">
        <v>16</v>
      </c>
      <c r="B3666" s="7" t="s">
        <v>230</v>
      </c>
      <c r="C3666" s="7" t="s">
        <v>24</v>
      </c>
      <c r="D3666" s="4">
        <v>2643405000173</v>
      </c>
      <c r="E3666" s="8" t="s">
        <v>642</v>
      </c>
      <c r="F3666" s="8" t="s">
        <v>643</v>
      </c>
      <c r="G3666" s="8" t="s">
        <v>19</v>
      </c>
      <c r="H3666" s="8" t="s">
        <v>215</v>
      </c>
      <c r="I3666" s="3">
        <v>2</v>
      </c>
      <c r="J3666" s="8" t="s">
        <v>149</v>
      </c>
      <c r="K3666" s="8" t="s">
        <v>150</v>
      </c>
      <c r="L3666" s="8" t="s">
        <v>557</v>
      </c>
      <c r="M3666" s="1" t="s">
        <v>207</v>
      </c>
      <c r="N3666" s="8" t="s">
        <v>208</v>
      </c>
      <c r="O3666" s="6">
        <v>0</v>
      </c>
      <c r="P3666" s="6">
        <v>0</v>
      </c>
      <c r="Q3666" s="6">
        <v>0</v>
      </c>
      <c r="R3666" s="6">
        <v>0</v>
      </c>
      <c r="S3666" s="6">
        <v>0</v>
      </c>
    </row>
    <row r="3667" spans="1:19" ht="15" hidden="1" x14ac:dyDescent="0.25">
      <c r="A3667" s="7" t="s">
        <v>16</v>
      </c>
      <c r="B3667" s="7" t="s">
        <v>230</v>
      </c>
      <c r="C3667" s="7" t="s">
        <v>24</v>
      </c>
      <c r="D3667" s="4">
        <v>60003761000129</v>
      </c>
      <c r="E3667" s="8" t="s">
        <v>728</v>
      </c>
      <c r="F3667" s="8" t="s">
        <v>643</v>
      </c>
      <c r="G3667" s="8" t="s">
        <v>19</v>
      </c>
      <c r="H3667" s="8" t="s">
        <v>215</v>
      </c>
      <c r="I3667" s="3">
        <v>2</v>
      </c>
      <c r="J3667" s="8" t="s">
        <v>151</v>
      </c>
      <c r="K3667" s="8" t="s">
        <v>152</v>
      </c>
      <c r="L3667" s="8" t="s">
        <v>556</v>
      </c>
      <c r="M3667" s="1" t="s">
        <v>207</v>
      </c>
      <c r="N3667" s="8" t="s">
        <v>208</v>
      </c>
      <c r="O3667" s="6">
        <v>0</v>
      </c>
      <c r="P3667" s="6">
        <v>0</v>
      </c>
      <c r="Q3667" s="6">
        <v>0</v>
      </c>
      <c r="R3667" s="6">
        <v>0</v>
      </c>
      <c r="S3667" s="6">
        <v>0</v>
      </c>
    </row>
    <row r="3668" spans="1:19" ht="15" hidden="1" x14ac:dyDescent="0.25">
      <c r="A3668" s="7" t="s">
        <v>16</v>
      </c>
      <c r="B3668" s="7" t="s">
        <v>230</v>
      </c>
      <c r="C3668" s="7" t="s">
        <v>24</v>
      </c>
      <c r="D3668" s="4">
        <v>60003761000129</v>
      </c>
      <c r="E3668" s="8" t="s">
        <v>728</v>
      </c>
      <c r="F3668" s="8" t="s">
        <v>643</v>
      </c>
      <c r="G3668" s="8" t="s">
        <v>19</v>
      </c>
      <c r="H3668" s="8" t="s">
        <v>215</v>
      </c>
      <c r="I3668" s="3">
        <v>2</v>
      </c>
      <c r="J3668" s="8" t="s">
        <v>149</v>
      </c>
      <c r="K3668" s="8" t="s">
        <v>150</v>
      </c>
      <c r="L3668" s="8" t="s">
        <v>557</v>
      </c>
      <c r="M3668" s="1" t="s">
        <v>207</v>
      </c>
      <c r="N3668" s="8" t="s">
        <v>208</v>
      </c>
      <c r="O3668" s="6">
        <v>0</v>
      </c>
      <c r="P3668" s="6">
        <v>35</v>
      </c>
      <c r="Q3668" s="6">
        <v>8</v>
      </c>
      <c r="R3668" s="6">
        <v>0</v>
      </c>
      <c r="S3668" s="6">
        <v>0</v>
      </c>
    </row>
    <row r="3669" spans="1:19" ht="15" hidden="1" x14ac:dyDescent="0.25">
      <c r="A3669" s="7" t="s">
        <v>16</v>
      </c>
      <c r="B3669" s="7" t="s">
        <v>230</v>
      </c>
      <c r="C3669" s="7" t="s">
        <v>24</v>
      </c>
      <c r="D3669" s="4">
        <v>45184066000117</v>
      </c>
      <c r="E3669" s="8" t="s">
        <v>684</v>
      </c>
      <c r="F3669" s="8" t="s">
        <v>650</v>
      </c>
      <c r="G3669" s="8" t="s">
        <v>19</v>
      </c>
      <c r="H3669" s="8" t="s">
        <v>215</v>
      </c>
      <c r="I3669" s="3">
        <v>2</v>
      </c>
      <c r="J3669" s="8" t="s">
        <v>161</v>
      </c>
      <c r="K3669" s="8" t="s">
        <v>162</v>
      </c>
      <c r="L3669" s="8" t="s">
        <v>556</v>
      </c>
      <c r="M3669" s="1" t="s">
        <v>207</v>
      </c>
      <c r="N3669" s="8" t="s">
        <v>208</v>
      </c>
      <c r="O3669" s="6">
        <v>0</v>
      </c>
      <c r="P3669" s="6">
        <v>0</v>
      </c>
      <c r="Q3669" s="6">
        <v>0</v>
      </c>
      <c r="R3669" s="6">
        <v>15</v>
      </c>
      <c r="S3669" s="6">
        <v>0</v>
      </c>
    </row>
    <row r="3670" spans="1:19" ht="15" hidden="1" x14ac:dyDescent="0.25">
      <c r="A3670" s="7" t="s">
        <v>16</v>
      </c>
      <c r="B3670" s="7" t="s">
        <v>230</v>
      </c>
      <c r="C3670" s="7" t="s">
        <v>24</v>
      </c>
      <c r="D3670" s="4">
        <v>45184066000117</v>
      </c>
      <c r="E3670" s="8" t="s">
        <v>684</v>
      </c>
      <c r="F3670" s="8" t="s">
        <v>650</v>
      </c>
      <c r="G3670" s="8" t="s">
        <v>19</v>
      </c>
      <c r="H3670" s="8" t="s">
        <v>215</v>
      </c>
      <c r="I3670" s="3">
        <v>2</v>
      </c>
      <c r="J3670" s="8" t="s">
        <v>183</v>
      </c>
      <c r="K3670" s="8" t="s">
        <v>184</v>
      </c>
      <c r="L3670" s="8" t="s">
        <v>557</v>
      </c>
      <c r="M3670" s="1" t="s">
        <v>207</v>
      </c>
      <c r="N3670" s="8" t="s">
        <v>208</v>
      </c>
      <c r="O3670" s="6">
        <v>0</v>
      </c>
      <c r="P3670" s="6">
        <v>0</v>
      </c>
      <c r="Q3670" s="6">
        <v>0</v>
      </c>
      <c r="R3670" s="6">
        <v>0</v>
      </c>
      <c r="S3670" s="6">
        <v>0</v>
      </c>
    </row>
    <row r="3671" spans="1:19" ht="15" hidden="1" x14ac:dyDescent="0.25">
      <c r="A3671" s="7" t="s">
        <v>16</v>
      </c>
      <c r="B3671" s="7" t="s">
        <v>230</v>
      </c>
      <c r="C3671" s="7" t="s">
        <v>24</v>
      </c>
      <c r="D3671" s="4">
        <v>60214517001691</v>
      </c>
      <c r="E3671" s="8" t="s">
        <v>732</v>
      </c>
      <c r="F3671" s="8" t="s">
        <v>650</v>
      </c>
      <c r="G3671" s="8" t="s">
        <v>19</v>
      </c>
      <c r="H3671" s="8" t="s">
        <v>215</v>
      </c>
      <c r="I3671" s="3">
        <v>2</v>
      </c>
      <c r="J3671" s="8" t="s">
        <v>161</v>
      </c>
      <c r="K3671" s="8" t="s">
        <v>162</v>
      </c>
      <c r="L3671" s="8" t="s">
        <v>556</v>
      </c>
      <c r="M3671" s="1" t="s">
        <v>207</v>
      </c>
      <c r="N3671" s="8" t="s">
        <v>208</v>
      </c>
      <c r="O3671" s="6">
        <v>0</v>
      </c>
      <c r="P3671" s="6">
        <v>0</v>
      </c>
      <c r="Q3671" s="6">
        <v>0</v>
      </c>
      <c r="R3671" s="6">
        <v>0</v>
      </c>
      <c r="S3671" s="6">
        <v>230</v>
      </c>
    </row>
    <row r="3672" spans="1:19" ht="15" hidden="1" x14ac:dyDescent="0.25">
      <c r="A3672" s="7" t="s">
        <v>16</v>
      </c>
      <c r="B3672" s="7" t="s">
        <v>230</v>
      </c>
      <c r="C3672" s="7" t="s">
        <v>24</v>
      </c>
      <c r="D3672" s="4">
        <v>60214517001691</v>
      </c>
      <c r="E3672" s="8" t="s">
        <v>732</v>
      </c>
      <c r="F3672" s="8" t="s">
        <v>650</v>
      </c>
      <c r="G3672" s="8" t="s">
        <v>19</v>
      </c>
      <c r="H3672" s="8" t="s">
        <v>215</v>
      </c>
      <c r="I3672" s="3">
        <v>2</v>
      </c>
      <c r="J3672" s="8" t="s">
        <v>183</v>
      </c>
      <c r="K3672" s="8" t="s">
        <v>184</v>
      </c>
      <c r="L3672" s="8" t="s">
        <v>557</v>
      </c>
      <c r="M3672" s="1" t="s">
        <v>207</v>
      </c>
      <c r="N3672" s="8" t="s">
        <v>208</v>
      </c>
      <c r="O3672" s="6">
        <v>0</v>
      </c>
      <c r="P3672" s="6">
        <v>0</v>
      </c>
      <c r="Q3672" s="6">
        <v>0</v>
      </c>
      <c r="R3672" s="6">
        <v>0</v>
      </c>
      <c r="S3672" s="6">
        <v>230</v>
      </c>
    </row>
    <row r="3673" spans="1:19" ht="15" hidden="1" x14ac:dyDescent="0.25">
      <c r="A3673" s="7" t="s">
        <v>16</v>
      </c>
      <c r="B3673" s="7" t="s">
        <v>230</v>
      </c>
      <c r="C3673" s="7" t="s">
        <v>24</v>
      </c>
      <c r="D3673" s="4">
        <v>6047087003073</v>
      </c>
      <c r="E3673" s="8" t="s">
        <v>649</v>
      </c>
      <c r="F3673" s="8" t="s">
        <v>650</v>
      </c>
      <c r="G3673" s="8" t="s">
        <v>19</v>
      </c>
      <c r="H3673" s="8" t="s">
        <v>215</v>
      </c>
      <c r="I3673" s="3">
        <v>2</v>
      </c>
      <c r="J3673" s="8" t="s">
        <v>161</v>
      </c>
      <c r="K3673" s="8" t="s">
        <v>162</v>
      </c>
      <c r="L3673" s="8" t="s">
        <v>556</v>
      </c>
      <c r="M3673" s="1" t="s">
        <v>207</v>
      </c>
      <c r="N3673" s="8" t="s">
        <v>208</v>
      </c>
      <c r="O3673" s="6">
        <v>0</v>
      </c>
      <c r="P3673" s="6">
        <v>0</v>
      </c>
      <c r="Q3673" s="6">
        <v>0</v>
      </c>
      <c r="R3673" s="6">
        <v>120</v>
      </c>
      <c r="S3673" s="6">
        <v>0</v>
      </c>
    </row>
    <row r="3674" spans="1:19" ht="15" hidden="1" x14ac:dyDescent="0.25">
      <c r="A3674" s="7" t="s">
        <v>16</v>
      </c>
      <c r="B3674" s="7" t="s">
        <v>230</v>
      </c>
      <c r="C3674" s="7" t="s">
        <v>24</v>
      </c>
      <c r="D3674" s="4">
        <v>6047087003073</v>
      </c>
      <c r="E3674" s="8" t="s">
        <v>649</v>
      </c>
      <c r="F3674" s="8" t="s">
        <v>650</v>
      </c>
      <c r="G3674" s="8" t="s">
        <v>19</v>
      </c>
      <c r="H3674" s="8" t="s">
        <v>215</v>
      </c>
      <c r="I3674" s="3">
        <v>2</v>
      </c>
      <c r="J3674" s="8" t="s">
        <v>183</v>
      </c>
      <c r="K3674" s="8" t="s">
        <v>184</v>
      </c>
      <c r="L3674" s="8" t="s">
        <v>557</v>
      </c>
      <c r="M3674" s="1" t="s">
        <v>207</v>
      </c>
      <c r="N3674" s="8" t="s">
        <v>208</v>
      </c>
      <c r="O3674" s="6">
        <v>0</v>
      </c>
      <c r="P3674" s="6">
        <v>0</v>
      </c>
      <c r="Q3674" s="6">
        <v>0</v>
      </c>
      <c r="R3674" s="6">
        <v>0</v>
      </c>
      <c r="S3674" s="6">
        <v>0</v>
      </c>
    </row>
    <row r="3675" spans="1:19" ht="15" hidden="1" x14ac:dyDescent="0.25">
      <c r="A3675" s="7" t="s">
        <v>16</v>
      </c>
      <c r="B3675" s="7" t="s">
        <v>230</v>
      </c>
      <c r="C3675" s="7" t="s">
        <v>24</v>
      </c>
      <c r="D3675" s="4">
        <v>18321477000134</v>
      </c>
      <c r="E3675" s="8" t="s">
        <v>664</v>
      </c>
      <c r="F3675" s="8" t="s">
        <v>650</v>
      </c>
      <c r="G3675" s="8" t="s">
        <v>19</v>
      </c>
      <c r="H3675" s="8" t="s">
        <v>215</v>
      </c>
      <c r="I3675" s="3">
        <v>2</v>
      </c>
      <c r="J3675" s="8" t="s">
        <v>161</v>
      </c>
      <c r="K3675" s="8" t="s">
        <v>162</v>
      </c>
      <c r="L3675" s="8" t="s">
        <v>556</v>
      </c>
      <c r="M3675" s="1" t="s">
        <v>207</v>
      </c>
      <c r="N3675" s="8" t="s">
        <v>208</v>
      </c>
      <c r="O3675" s="6">
        <v>0</v>
      </c>
      <c r="P3675" s="6">
        <v>0</v>
      </c>
      <c r="Q3675" s="6">
        <v>0</v>
      </c>
      <c r="R3675" s="6">
        <v>54</v>
      </c>
      <c r="S3675" s="6">
        <v>0</v>
      </c>
    </row>
    <row r="3676" spans="1:19" ht="15" hidden="1" x14ac:dyDescent="0.25">
      <c r="A3676" s="7" t="s">
        <v>16</v>
      </c>
      <c r="B3676" s="7" t="s">
        <v>230</v>
      </c>
      <c r="C3676" s="7" t="s">
        <v>24</v>
      </c>
      <c r="D3676" s="4">
        <v>18321477000134</v>
      </c>
      <c r="E3676" s="8" t="s">
        <v>664</v>
      </c>
      <c r="F3676" s="8" t="s">
        <v>650</v>
      </c>
      <c r="G3676" s="8" t="s">
        <v>19</v>
      </c>
      <c r="H3676" s="8" t="s">
        <v>215</v>
      </c>
      <c r="I3676" s="3">
        <v>2</v>
      </c>
      <c r="J3676" s="8" t="s">
        <v>183</v>
      </c>
      <c r="K3676" s="8" t="s">
        <v>184</v>
      </c>
      <c r="L3676" s="8" t="s">
        <v>557</v>
      </c>
      <c r="M3676" s="1" t="s">
        <v>207</v>
      </c>
      <c r="N3676" s="8" t="s">
        <v>208</v>
      </c>
      <c r="O3676" s="6">
        <v>0</v>
      </c>
      <c r="P3676" s="6">
        <v>0</v>
      </c>
      <c r="Q3676" s="6">
        <v>0</v>
      </c>
      <c r="R3676" s="6">
        <v>0</v>
      </c>
      <c r="S3676" s="6">
        <v>0</v>
      </c>
    </row>
    <row r="3677" spans="1:19" ht="15" hidden="1" x14ac:dyDescent="0.25">
      <c r="A3677" s="7" t="s">
        <v>16</v>
      </c>
      <c r="B3677" s="7" t="s">
        <v>230</v>
      </c>
      <c r="C3677" s="7" t="s">
        <v>24</v>
      </c>
      <c r="D3677" s="4">
        <v>60214517000962</v>
      </c>
      <c r="E3677" s="8" t="s">
        <v>729</v>
      </c>
      <c r="F3677" s="8" t="s">
        <v>650</v>
      </c>
      <c r="G3677" s="8" t="s">
        <v>19</v>
      </c>
      <c r="H3677" s="8" t="s">
        <v>215</v>
      </c>
      <c r="I3677" s="3">
        <v>2</v>
      </c>
      <c r="J3677" s="8" t="s">
        <v>161</v>
      </c>
      <c r="K3677" s="8" t="s">
        <v>162</v>
      </c>
      <c r="L3677" s="8" t="s">
        <v>556</v>
      </c>
      <c r="M3677" s="1" t="s">
        <v>207</v>
      </c>
      <c r="N3677" s="8" t="s">
        <v>208</v>
      </c>
      <c r="O3677" s="6">
        <v>0</v>
      </c>
      <c r="P3677" s="6">
        <v>0</v>
      </c>
      <c r="Q3677" s="6">
        <v>0</v>
      </c>
      <c r="R3677" s="6">
        <v>0</v>
      </c>
      <c r="S3677" s="6">
        <v>200</v>
      </c>
    </row>
    <row r="3678" spans="1:19" ht="15" hidden="1" x14ac:dyDescent="0.25">
      <c r="A3678" s="7" t="s">
        <v>16</v>
      </c>
      <c r="B3678" s="7" t="s">
        <v>230</v>
      </c>
      <c r="C3678" s="7" t="s">
        <v>24</v>
      </c>
      <c r="D3678" s="4">
        <v>60214517000962</v>
      </c>
      <c r="E3678" s="8" t="s">
        <v>729</v>
      </c>
      <c r="F3678" s="8" t="s">
        <v>650</v>
      </c>
      <c r="G3678" s="8" t="s">
        <v>19</v>
      </c>
      <c r="H3678" s="8" t="s">
        <v>215</v>
      </c>
      <c r="I3678" s="3">
        <v>2</v>
      </c>
      <c r="J3678" s="8" t="s">
        <v>183</v>
      </c>
      <c r="K3678" s="8" t="s">
        <v>184</v>
      </c>
      <c r="L3678" s="8" t="s">
        <v>557</v>
      </c>
      <c r="M3678" s="1" t="s">
        <v>207</v>
      </c>
      <c r="N3678" s="8" t="s">
        <v>208</v>
      </c>
      <c r="O3678" s="6">
        <v>0</v>
      </c>
      <c r="P3678" s="6">
        <v>0</v>
      </c>
      <c r="Q3678" s="6">
        <v>0</v>
      </c>
      <c r="R3678" s="6">
        <v>0</v>
      </c>
      <c r="S3678" s="6">
        <v>200</v>
      </c>
    </row>
    <row r="3679" spans="1:19" ht="15" hidden="1" x14ac:dyDescent="0.25">
      <c r="A3679" s="7" t="s">
        <v>16</v>
      </c>
      <c r="B3679" s="7" t="s">
        <v>230</v>
      </c>
      <c r="C3679" s="7" t="s">
        <v>24</v>
      </c>
      <c r="D3679" s="4">
        <v>53678264000246</v>
      </c>
      <c r="E3679" s="8" t="s">
        <v>716</v>
      </c>
      <c r="F3679" s="8" t="s">
        <v>717</v>
      </c>
      <c r="G3679" s="8" t="s">
        <v>19</v>
      </c>
      <c r="H3679" s="8" t="s">
        <v>215</v>
      </c>
      <c r="I3679" s="3">
        <v>2</v>
      </c>
      <c r="J3679" s="8" t="s">
        <v>151</v>
      </c>
      <c r="K3679" s="8" t="s">
        <v>152</v>
      </c>
      <c r="L3679" s="8" t="s">
        <v>556</v>
      </c>
      <c r="M3679" s="1" t="s">
        <v>207</v>
      </c>
      <c r="N3679" s="8" t="s">
        <v>208</v>
      </c>
      <c r="O3679" s="6">
        <v>0</v>
      </c>
      <c r="P3679" s="6">
        <v>0</v>
      </c>
      <c r="Q3679" s="6">
        <v>0</v>
      </c>
      <c r="R3679" s="6">
        <v>0</v>
      </c>
      <c r="S3679" s="6">
        <v>40</v>
      </c>
    </row>
    <row r="3680" spans="1:19" ht="15" hidden="1" x14ac:dyDescent="0.25">
      <c r="A3680" s="7" t="s">
        <v>16</v>
      </c>
      <c r="B3680" s="7" t="s">
        <v>230</v>
      </c>
      <c r="C3680" s="7" t="s">
        <v>24</v>
      </c>
      <c r="D3680" s="4">
        <v>53678264000246</v>
      </c>
      <c r="E3680" s="8" t="s">
        <v>716</v>
      </c>
      <c r="F3680" s="8" t="s">
        <v>717</v>
      </c>
      <c r="G3680" s="8" t="s">
        <v>19</v>
      </c>
      <c r="H3680" s="8" t="s">
        <v>215</v>
      </c>
      <c r="I3680" s="3">
        <v>2</v>
      </c>
      <c r="J3680" s="8" t="s">
        <v>149</v>
      </c>
      <c r="K3680" s="8" t="s">
        <v>150</v>
      </c>
      <c r="L3680" s="8" t="s">
        <v>557</v>
      </c>
      <c r="M3680" s="1" t="s">
        <v>207</v>
      </c>
      <c r="N3680" s="8" t="s">
        <v>208</v>
      </c>
      <c r="O3680" s="6">
        <v>0</v>
      </c>
      <c r="P3680" s="6">
        <v>0</v>
      </c>
      <c r="Q3680" s="6">
        <v>0</v>
      </c>
      <c r="R3680" s="6">
        <v>0</v>
      </c>
      <c r="S3680" s="6">
        <v>40</v>
      </c>
    </row>
    <row r="3681" spans="1:19" ht="15" hidden="1" x14ac:dyDescent="0.25">
      <c r="A3681" s="7" t="s">
        <v>16</v>
      </c>
      <c r="B3681" s="7" t="s">
        <v>230</v>
      </c>
      <c r="C3681" s="7" t="s">
        <v>24</v>
      </c>
      <c r="D3681" s="4">
        <v>51722957000506</v>
      </c>
      <c r="E3681" s="8" t="s">
        <v>602</v>
      </c>
      <c r="F3681" s="8" t="s">
        <v>29</v>
      </c>
      <c r="G3681" s="8" t="s">
        <v>19</v>
      </c>
      <c r="H3681" s="8" t="s">
        <v>215</v>
      </c>
      <c r="I3681" s="3">
        <v>2</v>
      </c>
      <c r="J3681" s="8" t="s">
        <v>161</v>
      </c>
      <c r="K3681" s="8" t="s">
        <v>162</v>
      </c>
      <c r="L3681" s="8" t="s">
        <v>556</v>
      </c>
      <c r="M3681" s="1" t="s">
        <v>207</v>
      </c>
      <c r="N3681" s="8" t="s">
        <v>208</v>
      </c>
      <c r="O3681" s="6">
        <v>0</v>
      </c>
      <c r="P3681" s="6">
        <v>0</v>
      </c>
      <c r="Q3681" s="6">
        <v>0</v>
      </c>
      <c r="R3681" s="6">
        <v>0</v>
      </c>
      <c r="S3681" s="6">
        <v>150</v>
      </c>
    </row>
    <row r="3682" spans="1:19" ht="15" hidden="1" x14ac:dyDescent="0.25">
      <c r="A3682" s="7" t="s">
        <v>16</v>
      </c>
      <c r="B3682" s="7" t="s">
        <v>230</v>
      </c>
      <c r="C3682" s="7" t="s">
        <v>24</v>
      </c>
      <c r="D3682" s="4">
        <v>51722957000506</v>
      </c>
      <c r="E3682" s="8" t="s">
        <v>602</v>
      </c>
      <c r="F3682" s="8" t="s">
        <v>29</v>
      </c>
      <c r="G3682" s="8" t="s">
        <v>19</v>
      </c>
      <c r="H3682" s="8" t="s">
        <v>215</v>
      </c>
      <c r="I3682" s="3">
        <v>2</v>
      </c>
      <c r="J3682" s="8" t="s">
        <v>183</v>
      </c>
      <c r="K3682" s="8" t="s">
        <v>184</v>
      </c>
      <c r="L3682" s="8" t="s">
        <v>557</v>
      </c>
      <c r="M3682" s="1" t="s">
        <v>207</v>
      </c>
      <c r="N3682" s="8" t="s">
        <v>208</v>
      </c>
      <c r="O3682" s="6">
        <v>0</v>
      </c>
      <c r="P3682" s="6">
        <v>3</v>
      </c>
      <c r="Q3682" s="6">
        <v>0</v>
      </c>
      <c r="R3682" s="6">
        <v>0</v>
      </c>
      <c r="S3682" s="6">
        <v>150</v>
      </c>
    </row>
    <row r="3683" spans="1:19" ht="15" hidden="1" x14ac:dyDescent="0.25">
      <c r="A3683" s="7" t="s">
        <v>16</v>
      </c>
      <c r="B3683" s="7" t="s">
        <v>230</v>
      </c>
      <c r="C3683" s="7" t="s">
        <v>24</v>
      </c>
      <c r="D3683" s="4">
        <v>51722957010226</v>
      </c>
      <c r="E3683" s="8" t="s">
        <v>603</v>
      </c>
      <c r="F3683" s="8" t="s">
        <v>29</v>
      </c>
      <c r="G3683" s="8" t="s">
        <v>19</v>
      </c>
      <c r="H3683" s="8" t="s">
        <v>215</v>
      </c>
      <c r="I3683" s="3">
        <v>2</v>
      </c>
      <c r="J3683" s="8" t="s">
        <v>161</v>
      </c>
      <c r="K3683" s="8" t="s">
        <v>162</v>
      </c>
      <c r="L3683" s="8" t="s">
        <v>556</v>
      </c>
      <c r="M3683" s="1" t="s">
        <v>207</v>
      </c>
      <c r="N3683" s="8" t="s">
        <v>208</v>
      </c>
      <c r="O3683" s="6">
        <v>0</v>
      </c>
      <c r="P3683" s="6">
        <v>0</v>
      </c>
      <c r="Q3683" s="6">
        <v>0</v>
      </c>
      <c r="R3683" s="6">
        <v>15</v>
      </c>
      <c r="S3683" s="6">
        <v>1090</v>
      </c>
    </row>
    <row r="3684" spans="1:19" ht="15" hidden="1" x14ac:dyDescent="0.25">
      <c r="A3684" s="7" t="s">
        <v>16</v>
      </c>
      <c r="B3684" s="7" t="s">
        <v>230</v>
      </c>
      <c r="C3684" s="7" t="s">
        <v>24</v>
      </c>
      <c r="D3684" s="4">
        <v>51722957010226</v>
      </c>
      <c r="E3684" s="8" t="s">
        <v>603</v>
      </c>
      <c r="F3684" s="8" t="s">
        <v>29</v>
      </c>
      <c r="G3684" s="8" t="s">
        <v>19</v>
      </c>
      <c r="H3684" s="8" t="s">
        <v>215</v>
      </c>
      <c r="I3684" s="3">
        <v>2</v>
      </c>
      <c r="J3684" s="8" t="s">
        <v>183</v>
      </c>
      <c r="K3684" s="8" t="s">
        <v>184</v>
      </c>
      <c r="L3684" s="8" t="s">
        <v>557</v>
      </c>
      <c r="M3684" s="1" t="s">
        <v>207</v>
      </c>
      <c r="N3684" s="8" t="s">
        <v>208</v>
      </c>
      <c r="O3684" s="6">
        <v>0</v>
      </c>
      <c r="P3684" s="6">
        <v>0</v>
      </c>
      <c r="Q3684" s="6">
        <v>0</v>
      </c>
      <c r="R3684" s="6">
        <v>0</v>
      </c>
      <c r="S3684" s="6">
        <v>1090</v>
      </c>
    </row>
    <row r="3685" spans="1:19" ht="15" hidden="1" x14ac:dyDescent="0.25">
      <c r="A3685" s="7" t="s">
        <v>16</v>
      </c>
      <c r="B3685" s="7" t="s">
        <v>230</v>
      </c>
      <c r="C3685" s="7" t="s">
        <v>24</v>
      </c>
      <c r="D3685" s="4">
        <v>60992427000650</v>
      </c>
      <c r="E3685" s="8" t="s">
        <v>627</v>
      </c>
      <c r="F3685" s="8" t="s">
        <v>29</v>
      </c>
      <c r="G3685" s="8" t="s">
        <v>19</v>
      </c>
      <c r="H3685" s="8" t="s">
        <v>215</v>
      </c>
      <c r="I3685" s="3">
        <v>2</v>
      </c>
      <c r="J3685" s="8" t="s">
        <v>1355</v>
      </c>
      <c r="K3685" s="8" t="s">
        <v>1356</v>
      </c>
      <c r="L3685" s="8" t="s">
        <v>556</v>
      </c>
      <c r="M3685" s="1" t="s">
        <v>207</v>
      </c>
      <c r="N3685" s="8" t="s">
        <v>208</v>
      </c>
      <c r="O3685" s="6">
        <v>0</v>
      </c>
      <c r="P3685" s="6">
        <v>0</v>
      </c>
      <c r="Q3685" s="6">
        <v>0</v>
      </c>
      <c r="R3685" s="6">
        <v>0</v>
      </c>
      <c r="S3685" s="6">
        <v>0</v>
      </c>
    </row>
    <row r="3686" spans="1:19" ht="15" hidden="1" x14ac:dyDescent="0.25">
      <c r="A3686" s="7" t="s">
        <v>16</v>
      </c>
      <c r="B3686" s="7" t="s">
        <v>230</v>
      </c>
      <c r="C3686" s="7" t="s">
        <v>24</v>
      </c>
      <c r="D3686" s="4">
        <v>60992427000650</v>
      </c>
      <c r="E3686" s="8" t="s">
        <v>627</v>
      </c>
      <c r="F3686" s="8" t="s">
        <v>29</v>
      </c>
      <c r="G3686" s="8" t="s">
        <v>19</v>
      </c>
      <c r="H3686" s="8" t="s">
        <v>215</v>
      </c>
      <c r="I3686" s="3">
        <v>2</v>
      </c>
      <c r="J3686" s="8" t="s">
        <v>147</v>
      </c>
      <c r="K3686" s="8" t="s">
        <v>148</v>
      </c>
      <c r="L3686" s="8" t="s">
        <v>557</v>
      </c>
      <c r="M3686" s="1" t="s">
        <v>207</v>
      </c>
      <c r="N3686" s="8" t="s">
        <v>208</v>
      </c>
      <c r="O3686" s="6">
        <v>0</v>
      </c>
      <c r="P3686" s="6">
        <v>13</v>
      </c>
      <c r="Q3686" s="6">
        <v>2</v>
      </c>
      <c r="R3686" s="6">
        <v>0</v>
      </c>
      <c r="S3686" s="6">
        <v>0</v>
      </c>
    </row>
    <row r="3687" spans="1:19" ht="15" hidden="1" x14ac:dyDescent="0.25">
      <c r="A3687" s="7" t="s">
        <v>16</v>
      </c>
      <c r="B3687" s="7" t="s">
        <v>230</v>
      </c>
      <c r="C3687" s="7" t="s">
        <v>24</v>
      </c>
      <c r="D3687" s="4">
        <v>2383508000494</v>
      </c>
      <c r="E3687" s="8" t="s">
        <v>562</v>
      </c>
      <c r="F3687" s="8" t="s">
        <v>29</v>
      </c>
      <c r="G3687" s="8" t="s">
        <v>19</v>
      </c>
      <c r="H3687" s="8" t="s">
        <v>215</v>
      </c>
      <c r="I3687" s="3">
        <v>2</v>
      </c>
      <c r="J3687" s="8" t="s">
        <v>161</v>
      </c>
      <c r="K3687" s="8" t="s">
        <v>162</v>
      </c>
      <c r="L3687" s="8" t="s">
        <v>556</v>
      </c>
      <c r="M3687" s="1" t="s">
        <v>207</v>
      </c>
      <c r="N3687" s="8" t="s">
        <v>208</v>
      </c>
      <c r="O3687" s="6">
        <v>0</v>
      </c>
      <c r="P3687" s="6">
        <v>0</v>
      </c>
      <c r="Q3687" s="6">
        <v>0</v>
      </c>
      <c r="R3687" s="6">
        <v>51</v>
      </c>
      <c r="S3687" s="6">
        <v>0</v>
      </c>
    </row>
    <row r="3688" spans="1:19" ht="15" hidden="1" x14ac:dyDescent="0.25">
      <c r="A3688" s="7" t="s">
        <v>16</v>
      </c>
      <c r="B3688" s="7" t="s">
        <v>230</v>
      </c>
      <c r="C3688" s="7" t="s">
        <v>24</v>
      </c>
      <c r="D3688" s="4">
        <v>2383508000494</v>
      </c>
      <c r="E3688" s="8" t="s">
        <v>562</v>
      </c>
      <c r="F3688" s="8" t="s">
        <v>29</v>
      </c>
      <c r="G3688" s="8" t="s">
        <v>19</v>
      </c>
      <c r="H3688" s="8" t="s">
        <v>215</v>
      </c>
      <c r="I3688" s="3">
        <v>2</v>
      </c>
      <c r="J3688" s="8" t="s">
        <v>147</v>
      </c>
      <c r="K3688" s="8" t="s">
        <v>148</v>
      </c>
      <c r="L3688" s="8" t="s">
        <v>557</v>
      </c>
      <c r="M3688" s="1" t="s">
        <v>207</v>
      </c>
      <c r="N3688" s="8" t="s">
        <v>208</v>
      </c>
      <c r="O3688" s="6">
        <v>0</v>
      </c>
      <c r="P3688" s="6">
        <v>0</v>
      </c>
      <c r="Q3688" s="6">
        <v>0</v>
      </c>
      <c r="R3688" s="6">
        <v>0</v>
      </c>
      <c r="S3688" s="6">
        <v>0</v>
      </c>
    </row>
    <row r="3689" spans="1:19" ht="15" hidden="1" x14ac:dyDescent="0.25">
      <c r="A3689" s="7" t="s">
        <v>16</v>
      </c>
      <c r="B3689" s="7" t="s">
        <v>230</v>
      </c>
      <c r="C3689" s="7" t="s">
        <v>24</v>
      </c>
      <c r="D3689" s="4">
        <v>8871521000126</v>
      </c>
      <c r="E3689" s="8" t="s">
        <v>577</v>
      </c>
      <c r="F3689" s="8" t="s">
        <v>29</v>
      </c>
      <c r="G3689" s="8" t="s">
        <v>19</v>
      </c>
      <c r="H3689" s="8" t="s">
        <v>215</v>
      </c>
      <c r="I3689" s="3">
        <v>2</v>
      </c>
      <c r="J3689" s="8" t="s">
        <v>1355</v>
      </c>
      <c r="K3689" s="8" t="s">
        <v>1356</v>
      </c>
      <c r="L3689" s="8" t="s">
        <v>556</v>
      </c>
      <c r="M3689" s="1" t="s">
        <v>207</v>
      </c>
      <c r="N3689" s="8" t="s">
        <v>208</v>
      </c>
      <c r="O3689" s="6">
        <v>0</v>
      </c>
      <c r="P3689" s="6">
        <v>0</v>
      </c>
      <c r="Q3689" s="6">
        <v>0</v>
      </c>
      <c r="R3689" s="6">
        <v>0</v>
      </c>
      <c r="S3689" s="6">
        <v>565</v>
      </c>
    </row>
    <row r="3690" spans="1:19" ht="15" hidden="1" x14ac:dyDescent="0.25">
      <c r="A3690" s="7" t="s">
        <v>16</v>
      </c>
      <c r="B3690" s="7" t="s">
        <v>230</v>
      </c>
      <c r="C3690" s="7" t="s">
        <v>24</v>
      </c>
      <c r="D3690" s="4">
        <v>8871521000126</v>
      </c>
      <c r="E3690" s="8" t="s">
        <v>577</v>
      </c>
      <c r="F3690" s="8" t="s">
        <v>29</v>
      </c>
      <c r="G3690" s="8" t="s">
        <v>19</v>
      </c>
      <c r="H3690" s="8" t="s">
        <v>215</v>
      </c>
      <c r="I3690" s="3">
        <v>2</v>
      </c>
      <c r="J3690" s="8" t="s">
        <v>177</v>
      </c>
      <c r="K3690" s="8" t="s">
        <v>178</v>
      </c>
      <c r="L3690" s="8" t="s">
        <v>557</v>
      </c>
      <c r="M3690" s="1" t="s">
        <v>207</v>
      </c>
      <c r="N3690" s="8" t="s">
        <v>208</v>
      </c>
      <c r="O3690" s="6">
        <v>0</v>
      </c>
      <c r="P3690" s="6">
        <v>0</v>
      </c>
      <c r="Q3690" s="6">
        <v>0</v>
      </c>
      <c r="R3690" s="6">
        <v>0</v>
      </c>
      <c r="S3690" s="6">
        <v>565</v>
      </c>
    </row>
    <row r="3691" spans="1:19" ht="15" hidden="1" x14ac:dyDescent="0.25">
      <c r="A3691" s="7" t="s">
        <v>16</v>
      </c>
      <c r="B3691" s="7" t="s">
        <v>230</v>
      </c>
      <c r="C3691" s="7" t="s">
        <v>24</v>
      </c>
      <c r="D3691" s="4">
        <v>59481028000130</v>
      </c>
      <c r="E3691" s="8" t="s">
        <v>608</v>
      </c>
      <c r="F3691" s="8" t="s">
        <v>29</v>
      </c>
      <c r="G3691" s="8" t="s">
        <v>19</v>
      </c>
      <c r="H3691" s="8" t="s">
        <v>215</v>
      </c>
      <c r="I3691" s="3">
        <v>2</v>
      </c>
      <c r="J3691" s="8" t="s">
        <v>161</v>
      </c>
      <c r="K3691" s="8" t="s">
        <v>162</v>
      </c>
      <c r="L3691" s="8" t="s">
        <v>556</v>
      </c>
      <c r="M3691" s="1" t="s">
        <v>207</v>
      </c>
      <c r="N3691" s="8" t="s">
        <v>208</v>
      </c>
      <c r="O3691" s="6">
        <v>0</v>
      </c>
      <c r="P3691" s="6">
        <v>0</v>
      </c>
      <c r="Q3691" s="6">
        <v>0</v>
      </c>
      <c r="R3691" s="6">
        <v>0</v>
      </c>
      <c r="S3691" s="6">
        <v>30</v>
      </c>
    </row>
    <row r="3692" spans="1:19" ht="15" hidden="1" x14ac:dyDescent="0.25">
      <c r="A3692" s="7" t="s">
        <v>16</v>
      </c>
      <c r="B3692" s="7" t="s">
        <v>230</v>
      </c>
      <c r="C3692" s="7" t="s">
        <v>24</v>
      </c>
      <c r="D3692" s="4">
        <v>59481028000130</v>
      </c>
      <c r="E3692" s="8" t="s">
        <v>608</v>
      </c>
      <c r="F3692" s="8" t="s">
        <v>29</v>
      </c>
      <c r="G3692" s="8" t="s">
        <v>19</v>
      </c>
      <c r="H3692" s="8" t="s">
        <v>215</v>
      </c>
      <c r="I3692" s="3">
        <v>2</v>
      </c>
      <c r="J3692" s="8" t="s">
        <v>147</v>
      </c>
      <c r="K3692" s="8" t="s">
        <v>148</v>
      </c>
      <c r="L3692" s="8" t="s">
        <v>557</v>
      </c>
      <c r="M3692" s="1" t="s">
        <v>207</v>
      </c>
      <c r="N3692" s="8" t="s">
        <v>208</v>
      </c>
      <c r="O3692" s="6">
        <v>0</v>
      </c>
      <c r="P3692" s="6">
        <v>0</v>
      </c>
      <c r="Q3692" s="6">
        <v>0</v>
      </c>
      <c r="R3692" s="6">
        <v>0</v>
      </c>
      <c r="S3692" s="6">
        <v>30</v>
      </c>
    </row>
    <row r="3693" spans="1:19" ht="15" hidden="1" x14ac:dyDescent="0.25">
      <c r="A3693" s="7" t="s">
        <v>16</v>
      </c>
      <c r="B3693" s="7" t="s">
        <v>230</v>
      </c>
      <c r="C3693" s="7" t="s">
        <v>24</v>
      </c>
      <c r="D3693" s="4">
        <v>43775956000178</v>
      </c>
      <c r="E3693" s="8" t="s">
        <v>597</v>
      </c>
      <c r="F3693" s="8" t="s">
        <v>29</v>
      </c>
      <c r="G3693" s="8" t="s">
        <v>19</v>
      </c>
      <c r="H3693" s="8" t="s">
        <v>215</v>
      </c>
      <c r="I3693" s="3">
        <v>2</v>
      </c>
      <c r="J3693" s="8" t="s">
        <v>1355</v>
      </c>
      <c r="K3693" s="8" t="s">
        <v>1356</v>
      </c>
      <c r="L3693" s="8" t="s">
        <v>556</v>
      </c>
      <c r="M3693" s="1" t="s">
        <v>207</v>
      </c>
      <c r="N3693" s="8" t="s">
        <v>208</v>
      </c>
      <c r="O3693" s="6">
        <v>0</v>
      </c>
      <c r="P3693" s="6">
        <v>0</v>
      </c>
      <c r="Q3693" s="6">
        <v>0</v>
      </c>
      <c r="R3693" s="6">
        <v>0</v>
      </c>
      <c r="S3693" s="6">
        <v>90</v>
      </c>
    </row>
    <row r="3694" spans="1:19" ht="15" hidden="1" x14ac:dyDescent="0.25">
      <c r="A3694" s="7" t="s">
        <v>16</v>
      </c>
      <c r="B3694" s="7" t="s">
        <v>230</v>
      </c>
      <c r="C3694" s="7" t="s">
        <v>24</v>
      </c>
      <c r="D3694" s="4">
        <v>43775956000178</v>
      </c>
      <c r="E3694" s="8" t="s">
        <v>597</v>
      </c>
      <c r="F3694" s="8" t="s">
        <v>29</v>
      </c>
      <c r="G3694" s="8" t="s">
        <v>19</v>
      </c>
      <c r="H3694" s="8" t="s">
        <v>215</v>
      </c>
      <c r="I3694" s="3">
        <v>2</v>
      </c>
      <c r="J3694" s="8" t="s">
        <v>177</v>
      </c>
      <c r="K3694" s="8" t="s">
        <v>178</v>
      </c>
      <c r="L3694" s="8" t="s">
        <v>557</v>
      </c>
      <c r="M3694" s="1" t="s">
        <v>207</v>
      </c>
      <c r="N3694" s="8" t="s">
        <v>208</v>
      </c>
      <c r="O3694" s="6">
        <v>0</v>
      </c>
      <c r="P3694" s="6">
        <v>0</v>
      </c>
      <c r="Q3694" s="6">
        <v>0</v>
      </c>
      <c r="R3694" s="6">
        <v>0</v>
      </c>
      <c r="S3694" s="6">
        <v>90</v>
      </c>
    </row>
    <row r="3695" spans="1:19" ht="15" hidden="1" x14ac:dyDescent="0.25">
      <c r="A3695" s="7" t="s">
        <v>16</v>
      </c>
      <c r="B3695" s="7" t="s">
        <v>230</v>
      </c>
      <c r="C3695" s="7" t="s">
        <v>24</v>
      </c>
      <c r="D3695" s="4">
        <v>10468341000220</v>
      </c>
      <c r="E3695" s="8" t="s">
        <v>582</v>
      </c>
      <c r="F3695" s="8" t="s">
        <v>29</v>
      </c>
      <c r="G3695" s="8" t="s">
        <v>19</v>
      </c>
      <c r="H3695" s="8" t="s">
        <v>215</v>
      </c>
      <c r="I3695" s="3">
        <v>2</v>
      </c>
      <c r="J3695" s="8" t="s">
        <v>161</v>
      </c>
      <c r="K3695" s="8" t="s">
        <v>162</v>
      </c>
      <c r="L3695" s="8" t="s">
        <v>556</v>
      </c>
      <c r="M3695" s="1" t="s">
        <v>207</v>
      </c>
      <c r="N3695" s="8" t="s">
        <v>208</v>
      </c>
      <c r="O3695" s="6">
        <v>0</v>
      </c>
      <c r="P3695" s="6">
        <v>0</v>
      </c>
      <c r="Q3695" s="6">
        <v>0</v>
      </c>
      <c r="R3695" s="6">
        <v>0</v>
      </c>
      <c r="S3695" s="6">
        <v>750</v>
      </c>
    </row>
    <row r="3696" spans="1:19" ht="15" hidden="1" x14ac:dyDescent="0.25">
      <c r="A3696" s="7" t="s">
        <v>16</v>
      </c>
      <c r="B3696" s="7" t="s">
        <v>230</v>
      </c>
      <c r="C3696" s="7" t="s">
        <v>24</v>
      </c>
      <c r="D3696" s="4">
        <v>10468341000220</v>
      </c>
      <c r="E3696" s="8" t="s">
        <v>582</v>
      </c>
      <c r="F3696" s="8" t="s">
        <v>29</v>
      </c>
      <c r="G3696" s="8" t="s">
        <v>19</v>
      </c>
      <c r="H3696" s="8" t="s">
        <v>215</v>
      </c>
      <c r="I3696" s="3">
        <v>2</v>
      </c>
      <c r="J3696" s="8" t="s">
        <v>183</v>
      </c>
      <c r="K3696" s="8" t="s">
        <v>184</v>
      </c>
      <c r="L3696" s="8" t="s">
        <v>557</v>
      </c>
      <c r="M3696" s="1" t="s">
        <v>207</v>
      </c>
      <c r="N3696" s="8" t="s">
        <v>208</v>
      </c>
      <c r="O3696" s="6">
        <v>0</v>
      </c>
      <c r="P3696" s="6">
        <v>0</v>
      </c>
      <c r="Q3696" s="6">
        <v>0</v>
      </c>
      <c r="R3696" s="6">
        <v>0</v>
      </c>
      <c r="S3696" s="6">
        <v>750</v>
      </c>
    </row>
    <row r="3697" spans="1:19" ht="15" hidden="1" x14ac:dyDescent="0.25">
      <c r="A3697" s="7" t="s">
        <v>16</v>
      </c>
      <c r="B3697" s="7" t="s">
        <v>230</v>
      </c>
      <c r="C3697" s="7" t="s">
        <v>24</v>
      </c>
      <c r="D3697" s="4">
        <v>10468341000140</v>
      </c>
      <c r="E3697" s="8" t="s">
        <v>581</v>
      </c>
      <c r="F3697" s="8" t="s">
        <v>29</v>
      </c>
      <c r="G3697" s="8" t="s">
        <v>19</v>
      </c>
      <c r="H3697" s="8" t="s">
        <v>215</v>
      </c>
      <c r="I3697" s="3">
        <v>2</v>
      </c>
      <c r="J3697" s="8" t="s">
        <v>161</v>
      </c>
      <c r="K3697" s="8" t="s">
        <v>162</v>
      </c>
      <c r="L3697" s="8" t="s">
        <v>556</v>
      </c>
      <c r="M3697" s="1" t="s">
        <v>207</v>
      </c>
      <c r="N3697" s="8" t="s">
        <v>208</v>
      </c>
      <c r="O3697" s="6">
        <v>0</v>
      </c>
      <c r="P3697" s="6">
        <v>0</v>
      </c>
      <c r="Q3697" s="6">
        <v>0</v>
      </c>
      <c r="R3697" s="6">
        <v>36</v>
      </c>
      <c r="S3697" s="6">
        <v>445</v>
      </c>
    </row>
    <row r="3698" spans="1:19" ht="15" hidden="1" x14ac:dyDescent="0.25">
      <c r="A3698" s="7" t="s">
        <v>16</v>
      </c>
      <c r="B3698" s="7" t="s">
        <v>230</v>
      </c>
      <c r="C3698" s="7" t="s">
        <v>24</v>
      </c>
      <c r="D3698" s="4">
        <v>10468341000140</v>
      </c>
      <c r="E3698" s="8" t="s">
        <v>581</v>
      </c>
      <c r="F3698" s="8" t="s">
        <v>29</v>
      </c>
      <c r="G3698" s="8" t="s">
        <v>19</v>
      </c>
      <c r="H3698" s="8" t="s">
        <v>215</v>
      </c>
      <c r="I3698" s="3">
        <v>2</v>
      </c>
      <c r="J3698" s="8" t="s">
        <v>183</v>
      </c>
      <c r="K3698" s="8" t="s">
        <v>184</v>
      </c>
      <c r="L3698" s="8" t="s">
        <v>557</v>
      </c>
      <c r="M3698" s="1" t="s">
        <v>207</v>
      </c>
      <c r="N3698" s="8" t="s">
        <v>208</v>
      </c>
      <c r="O3698" s="6">
        <v>0</v>
      </c>
      <c r="P3698" s="6">
        <v>0</v>
      </c>
      <c r="Q3698" s="6">
        <v>0</v>
      </c>
      <c r="R3698" s="6">
        <v>0</v>
      </c>
      <c r="S3698" s="6">
        <v>445</v>
      </c>
    </row>
    <row r="3699" spans="1:19" ht="15" hidden="1" x14ac:dyDescent="0.25">
      <c r="A3699" s="7" t="s">
        <v>16</v>
      </c>
      <c r="B3699" s="7" t="s">
        <v>230</v>
      </c>
      <c r="C3699" s="7" t="s">
        <v>24</v>
      </c>
      <c r="D3699" s="4">
        <v>29435005009932</v>
      </c>
      <c r="E3699" s="8" t="s">
        <v>595</v>
      </c>
      <c r="F3699" s="8" t="s">
        <v>29</v>
      </c>
      <c r="G3699" s="8" t="s">
        <v>19</v>
      </c>
      <c r="H3699" s="8" t="s">
        <v>215</v>
      </c>
      <c r="I3699" s="3">
        <v>2</v>
      </c>
      <c r="J3699" s="8" t="s">
        <v>1355</v>
      </c>
      <c r="K3699" s="8" t="s">
        <v>1356</v>
      </c>
      <c r="L3699" s="8" t="s">
        <v>556</v>
      </c>
      <c r="M3699" s="1" t="s">
        <v>207</v>
      </c>
      <c r="N3699" s="8" t="s">
        <v>208</v>
      </c>
      <c r="O3699" s="6">
        <v>0</v>
      </c>
      <c r="P3699" s="6">
        <v>0</v>
      </c>
      <c r="Q3699" s="6">
        <v>0</v>
      </c>
      <c r="R3699" s="6">
        <v>0</v>
      </c>
      <c r="S3699" s="6">
        <v>900</v>
      </c>
    </row>
    <row r="3700" spans="1:19" ht="15" hidden="1" x14ac:dyDescent="0.25">
      <c r="A3700" s="7" t="s">
        <v>16</v>
      </c>
      <c r="B3700" s="7" t="s">
        <v>230</v>
      </c>
      <c r="C3700" s="7" t="s">
        <v>24</v>
      </c>
      <c r="D3700" s="4">
        <v>29435005009932</v>
      </c>
      <c r="E3700" s="8" t="s">
        <v>595</v>
      </c>
      <c r="F3700" s="8" t="s">
        <v>29</v>
      </c>
      <c r="G3700" s="8" t="s">
        <v>19</v>
      </c>
      <c r="H3700" s="8" t="s">
        <v>215</v>
      </c>
      <c r="I3700" s="3">
        <v>2</v>
      </c>
      <c r="J3700" s="8" t="s">
        <v>147</v>
      </c>
      <c r="K3700" s="8" t="s">
        <v>148</v>
      </c>
      <c r="L3700" s="8" t="s">
        <v>557</v>
      </c>
      <c r="M3700" s="1" t="s">
        <v>207</v>
      </c>
      <c r="N3700" s="8" t="s">
        <v>208</v>
      </c>
      <c r="O3700" s="6">
        <v>0</v>
      </c>
      <c r="P3700" s="6">
        <v>30</v>
      </c>
      <c r="Q3700" s="6">
        <v>9</v>
      </c>
      <c r="R3700" s="6">
        <v>0</v>
      </c>
      <c r="S3700" s="6">
        <v>900</v>
      </c>
    </row>
    <row r="3701" spans="1:19" ht="15" hidden="1" x14ac:dyDescent="0.25">
      <c r="A3701" s="7" t="s">
        <v>16</v>
      </c>
      <c r="B3701" s="7" t="s">
        <v>230</v>
      </c>
      <c r="C3701" s="7" t="s">
        <v>24</v>
      </c>
      <c r="D3701" s="4">
        <v>56577059000100</v>
      </c>
      <c r="E3701" s="8" t="s">
        <v>605</v>
      </c>
      <c r="F3701" s="8" t="s">
        <v>29</v>
      </c>
      <c r="G3701" s="8" t="s">
        <v>19</v>
      </c>
      <c r="H3701" s="8" t="s">
        <v>215</v>
      </c>
      <c r="I3701" s="3">
        <v>2</v>
      </c>
      <c r="J3701" s="8" t="s">
        <v>1355</v>
      </c>
      <c r="K3701" s="8" t="s">
        <v>1356</v>
      </c>
      <c r="L3701" s="8" t="s">
        <v>556</v>
      </c>
      <c r="M3701" s="1" t="s">
        <v>207</v>
      </c>
      <c r="N3701" s="8" t="s">
        <v>208</v>
      </c>
      <c r="O3701" s="6">
        <v>0</v>
      </c>
      <c r="P3701" s="6">
        <v>0</v>
      </c>
      <c r="Q3701" s="6">
        <v>0</v>
      </c>
      <c r="R3701" s="6">
        <v>0</v>
      </c>
      <c r="S3701" s="6">
        <v>1530</v>
      </c>
    </row>
    <row r="3702" spans="1:19" ht="15" hidden="1" x14ac:dyDescent="0.25">
      <c r="A3702" s="7" t="s">
        <v>16</v>
      </c>
      <c r="B3702" s="7" t="s">
        <v>230</v>
      </c>
      <c r="C3702" s="7" t="s">
        <v>24</v>
      </c>
      <c r="D3702" s="4">
        <v>56577059000100</v>
      </c>
      <c r="E3702" s="8" t="s">
        <v>605</v>
      </c>
      <c r="F3702" s="8" t="s">
        <v>29</v>
      </c>
      <c r="G3702" s="8" t="s">
        <v>19</v>
      </c>
      <c r="H3702" s="8" t="s">
        <v>215</v>
      </c>
      <c r="I3702" s="3">
        <v>2</v>
      </c>
      <c r="J3702" s="8" t="s">
        <v>177</v>
      </c>
      <c r="K3702" s="8" t="s">
        <v>178</v>
      </c>
      <c r="L3702" s="8" t="s">
        <v>557</v>
      </c>
      <c r="M3702" s="1" t="s">
        <v>207</v>
      </c>
      <c r="N3702" s="8" t="s">
        <v>208</v>
      </c>
      <c r="O3702" s="6">
        <v>0</v>
      </c>
      <c r="P3702" s="6">
        <v>0</v>
      </c>
      <c r="Q3702" s="6">
        <v>0</v>
      </c>
      <c r="R3702" s="6">
        <v>0</v>
      </c>
      <c r="S3702" s="6">
        <v>1530</v>
      </c>
    </row>
    <row r="3703" spans="1:19" ht="15" hidden="1" x14ac:dyDescent="0.25">
      <c r="A3703" s="7" t="s">
        <v>16</v>
      </c>
      <c r="B3703" s="7" t="s">
        <v>230</v>
      </c>
      <c r="C3703" s="7" t="s">
        <v>24</v>
      </c>
      <c r="D3703" s="4">
        <v>3872790000193</v>
      </c>
      <c r="E3703" s="8" t="s">
        <v>564</v>
      </c>
      <c r="F3703" s="8" t="s">
        <v>29</v>
      </c>
      <c r="G3703" s="8" t="s">
        <v>19</v>
      </c>
      <c r="H3703" s="8" t="s">
        <v>215</v>
      </c>
      <c r="I3703" s="3">
        <v>2</v>
      </c>
      <c r="J3703" s="8" t="s">
        <v>161</v>
      </c>
      <c r="K3703" s="8" t="s">
        <v>162</v>
      </c>
      <c r="L3703" s="8" t="s">
        <v>556</v>
      </c>
      <c r="M3703" s="1" t="s">
        <v>207</v>
      </c>
      <c r="N3703" s="8" t="s">
        <v>208</v>
      </c>
      <c r="O3703" s="6">
        <v>0</v>
      </c>
      <c r="P3703" s="6">
        <v>0</v>
      </c>
      <c r="Q3703" s="6">
        <v>0</v>
      </c>
      <c r="R3703" s="6">
        <v>8</v>
      </c>
      <c r="S3703" s="6">
        <v>0</v>
      </c>
    </row>
    <row r="3704" spans="1:19" ht="15" hidden="1" x14ac:dyDescent="0.25">
      <c r="A3704" s="7" t="s">
        <v>16</v>
      </c>
      <c r="B3704" s="7" t="s">
        <v>230</v>
      </c>
      <c r="C3704" s="7" t="s">
        <v>24</v>
      </c>
      <c r="D3704" s="4">
        <v>3872790000193</v>
      </c>
      <c r="E3704" s="8" t="s">
        <v>564</v>
      </c>
      <c r="F3704" s="8" t="s">
        <v>29</v>
      </c>
      <c r="G3704" s="8" t="s">
        <v>19</v>
      </c>
      <c r="H3704" s="8" t="s">
        <v>215</v>
      </c>
      <c r="I3704" s="3">
        <v>2</v>
      </c>
      <c r="J3704" s="8" t="s">
        <v>147</v>
      </c>
      <c r="K3704" s="8" t="s">
        <v>148</v>
      </c>
      <c r="L3704" s="8" t="s">
        <v>557</v>
      </c>
      <c r="M3704" s="1" t="s">
        <v>207</v>
      </c>
      <c r="N3704" s="8" t="s">
        <v>208</v>
      </c>
      <c r="O3704" s="6">
        <v>0</v>
      </c>
      <c r="P3704" s="6">
        <v>0</v>
      </c>
      <c r="Q3704" s="6">
        <v>0</v>
      </c>
      <c r="R3704" s="6">
        <v>0</v>
      </c>
      <c r="S3704" s="6">
        <v>0</v>
      </c>
    </row>
    <row r="3705" spans="1:19" ht="15" hidden="1" x14ac:dyDescent="0.25">
      <c r="A3705" s="7" t="s">
        <v>16</v>
      </c>
      <c r="B3705" s="7" t="s">
        <v>230</v>
      </c>
      <c r="C3705" s="7" t="s">
        <v>24</v>
      </c>
      <c r="D3705" s="4">
        <v>10475230000160</v>
      </c>
      <c r="E3705" s="8" t="s">
        <v>583</v>
      </c>
      <c r="F3705" s="8" t="s">
        <v>29</v>
      </c>
      <c r="G3705" s="8" t="s">
        <v>19</v>
      </c>
      <c r="H3705" s="8" t="s">
        <v>215</v>
      </c>
      <c r="I3705" s="3">
        <v>2</v>
      </c>
      <c r="J3705" s="8" t="s">
        <v>161</v>
      </c>
      <c r="K3705" s="8" t="s">
        <v>162</v>
      </c>
      <c r="L3705" s="8" t="s">
        <v>556</v>
      </c>
      <c r="M3705" s="1" t="s">
        <v>207</v>
      </c>
      <c r="N3705" s="8" t="s">
        <v>208</v>
      </c>
      <c r="O3705" s="6">
        <v>0</v>
      </c>
      <c r="P3705" s="6">
        <v>0</v>
      </c>
      <c r="Q3705" s="6">
        <v>0</v>
      </c>
      <c r="R3705" s="6">
        <v>0</v>
      </c>
      <c r="S3705" s="6">
        <v>45</v>
      </c>
    </row>
    <row r="3706" spans="1:19" ht="15" hidden="1" x14ac:dyDescent="0.25">
      <c r="A3706" s="7" t="s">
        <v>16</v>
      </c>
      <c r="B3706" s="7" t="s">
        <v>230</v>
      </c>
      <c r="C3706" s="7" t="s">
        <v>24</v>
      </c>
      <c r="D3706" s="4">
        <v>10475230000160</v>
      </c>
      <c r="E3706" s="8" t="s">
        <v>583</v>
      </c>
      <c r="F3706" s="8" t="s">
        <v>29</v>
      </c>
      <c r="G3706" s="8" t="s">
        <v>19</v>
      </c>
      <c r="H3706" s="8" t="s">
        <v>215</v>
      </c>
      <c r="I3706" s="3">
        <v>2</v>
      </c>
      <c r="J3706" s="8" t="s">
        <v>177</v>
      </c>
      <c r="K3706" s="8" t="s">
        <v>178</v>
      </c>
      <c r="L3706" s="8" t="s">
        <v>557</v>
      </c>
      <c r="M3706" s="1" t="s">
        <v>207</v>
      </c>
      <c r="N3706" s="8" t="s">
        <v>208</v>
      </c>
      <c r="O3706" s="6">
        <v>0</v>
      </c>
      <c r="P3706" s="6">
        <v>0</v>
      </c>
      <c r="Q3706" s="6">
        <v>0</v>
      </c>
      <c r="R3706" s="6">
        <v>0</v>
      </c>
      <c r="S3706" s="6">
        <v>45</v>
      </c>
    </row>
    <row r="3707" spans="1:19" ht="15" hidden="1" x14ac:dyDescent="0.25">
      <c r="A3707" s="7" t="s">
        <v>16</v>
      </c>
      <c r="B3707" s="7" t="s">
        <v>230</v>
      </c>
      <c r="C3707" s="7" t="s">
        <v>24</v>
      </c>
      <c r="D3707" s="4">
        <v>603226000187</v>
      </c>
      <c r="E3707" s="8" t="s">
        <v>561</v>
      </c>
      <c r="F3707" s="8" t="s">
        <v>29</v>
      </c>
      <c r="G3707" s="8" t="s">
        <v>19</v>
      </c>
      <c r="H3707" s="8" t="s">
        <v>215</v>
      </c>
      <c r="I3707" s="3">
        <v>2</v>
      </c>
      <c r="J3707" s="8" t="s">
        <v>161</v>
      </c>
      <c r="K3707" s="8" t="s">
        <v>162</v>
      </c>
      <c r="L3707" s="8" t="s">
        <v>556</v>
      </c>
      <c r="M3707" s="1" t="s">
        <v>207</v>
      </c>
      <c r="N3707" s="8" t="s">
        <v>208</v>
      </c>
      <c r="O3707" s="6">
        <v>0</v>
      </c>
      <c r="P3707" s="6">
        <v>0</v>
      </c>
      <c r="Q3707" s="6">
        <v>0</v>
      </c>
      <c r="R3707" s="6">
        <v>12</v>
      </c>
      <c r="S3707" s="6">
        <v>0</v>
      </c>
    </row>
    <row r="3708" spans="1:19" ht="15" hidden="1" x14ac:dyDescent="0.25">
      <c r="A3708" s="7" t="s">
        <v>16</v>
      </c>
      <c r="B3708" s="7" t="s">
        <v>230</v>
      </c>
      <c r="C3708" s="7" t="s">
        <v>24</v>
      </c>
      <c r="D3708" s="4">
        <v>603226000187</v>
      </c>
      <c r="E3708" s="8" t="s">
        <v>561</v>
      </c>
      <c r="F3708" s="8" t="s">
        <v>29</v>
      </c>
      <c r="G3708" s="8" t="s">
        <v>19</v>
      </c>
      <c r="H3708" s="8" t="s">
        <v>215</v>
      </c>
      <c r="I3708" s="3">
        <v>2</v>
      </c>
      <c r="J3708" s="8" t="s">
        <v>177</v>
      </c>
      <c r="K3708" s="8" t="s">
        <v>178</v>
      </c>
      <c r="L3708" s="8" t="s">
        <v>557</v>
      </c>
      <c r="M3708" s="1" t="s">
        <v>207</v>
      </c>
      <c r="N3708" s="8" t="s">
        <v>208</v>
      </c>
      <c r="O3708" s="6">
        <v>0</v>
      </c>
      <c r="P3708" s="6">
        <v>0</v>
      </c>
      <c r="Q3708" s="6">
        <v>0</v>
      </c>
      <c r="R3708" s="6">
        <v>0</v>
      </c>
      <c r="S3708" s="6">
        <v>0</v>
      </c>
    </row>
    <row r="3709" spans="1:19" ht="15" hidden="1" x14ac:dyDescent="0.25">
      <c r="A3709" s="7" t="s">
        <v>16</v>
      </c>
      <c r="B3709" s="7" t="s">
        <v>230</v>
      </c>
      <c r="C3709" s="7" t="s">
        <v>24</v>
      </c>
      <c r="D3709" s="4">
        <v>60884855000316</v>
      </c>
      <c r="E3709" s="8" t="s">
        <v>617</v>
      </c>
      <c r="F3709" s="8" t="s">
        <v>29</v>
      </c>
      <c r="G3709" s="8" t="s">
        <v>19</v>
      </c>
      <c r="H3709" s="8" t="s">
        <v>215</v>
      </c>
      <c r="I3709" s="3">
        <v>2</v>
      </c>
      <c r="J3709" s="8" t="s">
        <v>1355</v>
      </c>
      <c r="K3709" s="8" t="s">
        <v>1356</v>
      </c>
      <c r="L3709" s="8" t="s">
        <v>556</v>
      </c>
      <c r="M3709" s="1" t="s">
        <v>207</v>
      </c>
      <c r="N3709" s="8" t="s">
        <v>208</v>
      </c>
      <c r="O3709" s="6">
        <v>0</v>
      </c>
      <c r="P3709" s="6">
        <v>0</v>
      </c>
      <c r="Q3709" s="6">
        <v>0</v>
      </c>
      <c r="R3709" s="6">
        <v>32</v>
      </c>
      <c r="S3709" s="6">
        <v>3280</v>
      </c>
    </row>
    <row r="3710" spans="1:19" ht="15" hidden="1" x14ac:dyDescent="0.25">
      <c r="A3710" s="7" t="s">
        <v>16</v>
      </c>
      <c r="B3710" s="7" t="s">
        <v>230</v>
      </c>
      <c r="C3710" s="7" t="s">
        <v>24</v>
      </c>
      <c r="D3710" s="4">
        <v>60884855000316</v>
      </c>
      <c r="E3710" s="8" t="s">
        <v>617</v>
      </c>
      <c r="F3710" s="8" t="s">
        <v>29</v>
      </c>
      <c r="G3710" s="8" t="s">
        <v>19</v>
      </c>
      <c r="H3710" s="8" t="s">
        <v>215</v>
      </c>
      <c r="I3710" s="3">
        <v>2</v>
      </c>
      <c r="J3710" s="8" t="s">
        <v>183</v>
      </c>
      <c r="K3710" s="8" t="s">
        <v>184</v>
      </c>
      <c r="L3710" s="8" t="s">
        <v>557</v>
      </c>
      <c r="M3710" s="1" t="s">
        <v>207</v>
      </c>
      <c r="N3710" s="8" t="s">
        <v>208</v>
      </c>
      <c r="O3710" s="6">
        <v>0</v>
      </c>
      <c r="P3710" s="6">
        <v>48</v>
      </c>
      <c r="Q3710" s="6">
        <v>58</v>
      </c>
      <c r="R3710" s="6">
        <v>0</v>
      </c>
      <c r="S3710" s="6">
        <v>3280</v>
      </c>
    </row>
    <row r="3711" spans="1:19" ht="15" hidden="1" x14ac:dyDescent="0.25">
      <c r="A3711" s="7" t="s">
        <v>16</v>
      </c>
      <c r="B3711" s="7" t="s">
        <v>230</v>
      </c>
      <c r="C3711" s="7" t="s">
        <v>24</v>
      </c>
      <c r="D3711" s="4">
        <v>60726502000126</v>
      </c>
      <c r="E3711" s="8" t="s">
        <v>613</v>
      </c>
      <c r="F3711" s="8" t="s">
        <v>29</v>
      </c>
      <c r="G3711" s="8" t="s">
        <v>19</v>
      </c>
      <c r="H3711" s="8" t="s">
        <v>215</v>
      </c>
      <c r="I3711" s="3">
        <v>2</v>
      </c>
      <c r="J3711" s="8" t="s">
        <v>1355</v>
      </c>
      <c r="K3711" s="8" t="s">
        <v>1356</v>
      </c>
      <c r="L3711" s="8" t="s">
        <v>556</v>
      </c>
      <c r="M3711" s="1" t="s">
        <v>207</v>
      </c>
      <c r="N3711" s="8" t="s">
        <v>208</v>
      </c>
      <c r="O3711" s="6">
        <v>0</v>
      </c>
      <c r="P3711" s="6">
        <v>0</v>
      </c>
      <c r="Q3711" s="6">
        <v>0</v>
      </c>
      <c r="R3711" s="6">
        <v>0</v>
      </c>
      <c r="S3711" s="6">
        <v>500</v>
      </c>
    </row>
    <row r="3712" spans="1:19" ht="15" hidden="1" x14ac:dyDescent="0.25">
      <c r="A3712" s="7" t="s">
        <v>16</v>
      </c>
      <c r="B3712" s="7" t="s">
        <v>230</v>
      </c>
      <c r="C3712" s="7" t="s">
        <v>24</v>
      </c>
      <c r="D3712" s="4">
        <v>60726502000126</v>
      </c>
      <c r="E3712" s="8" t="s">
        <v>613</v>
      </c>
      <c r="F3712" s="8" t="s">
        <v>29</v>
      </c>
      <c r="G3712" s="8" t="s">
        <v>19</v>
      </c>
      <c r="H3712" s="8" t="s">
        <v>215</v>
      </c>
      <c r="I3712" s="3">
        <v>2</v>
      </c>
      <c r="J3712" s="8" t="s">
        <v>183</v>
      </c>
      <c r="K3712" s="8" t="s">
        <v>184</v>
      </c>
      <c r="L3712" s="8" t="s">
        <v>557</v>
      </c>
      <c r="M3712" s="1" t="s">
        <v>207</v>
      </c>
      <c r="N3712" s="8" t="s">
        <v>208</v>
      </c>
      <c r="O3712" s="6">
        <v>0</v>
      </c>
      <c r="P3712" s="6">
        <v>10</v>
      </c>
      <c r="Q3712" s="6">
        <v>9</v>
      </c>
      <c r="R3712" s="6">
        <v>0</v>
      </c>
      <c r="S3712" s="6">
        <v>500</v>
      </c>
    </row>
    <row r="3713" spans="1:19" ht="15" hidden="1" x14ac:dyDescent="0.25">
      <c r="A3713" s="7" t="s">
        <v>16</v>
      </c>
      <c r="B3713" s="7" t="s">
        <v>230</v>
      </c>
      <c r="C3713" s="7" t="s">
        <v>24</v>
      </c>
      <c r="D3713" s="4">
        <v>8100676000592</v>
      </c>
      <c r="E3713" s="8" t="s">
        <v>572</v>
      </c>
      <c r="F3713" s="8" t="s">
        <v>29</v>
      </c>
      <c r="G3713" s="8" t="s">
        <v>19</v>
      </c>
      <c r="H3713" s="8" t="s">
        <v>215</v>
      </c>
      <c r="I3713" s="3">
        <v>2</v>
      </c>
      <c r="J3713" s="8" t="s">
        <v>161</v>
      </c>
      <c r="K3713" s="8" t="s">
        <v>162</v>
      </c>
      <c r="L3713" s="8" t="s">
        <v>556</v>
      </c>
      <c r="M3713" s="1" t="s">
        <v>207</v>
      </c>
      <c r="N3713" s="8" t="s">
        <v>208</v>
      </c>
      <c r="O3713" s="6">
        <v>0</v>
      </c>
      <c r="P3713" s="6">
        <v>0</v>
      </c>
      <c r="Q3713" s="6">
        <v>0</v>
      </c>
      <c r="R3713" s="6">
        <v>0</v>
      </c>
      <c r="S3713" s="6">
        <v>335</v>
      </c>
    </row>
    <row r="3714" spans="1:19" ht="15" hidden="1" x14ac:dyDescent="0.25">
      <c r="A3714" s="7" t="s">
        <v>16</v>
      </c>
      <c r="B3714" s="7" t="s">
        <v>230</v>
      </c>
      <c r="C3714" s="7" t="s">
        <v>24</v>
      </c>
      <c r="D3714" s="4">
        <v>8100676000592</v>
      </c>
      <c r="E3714" s="8" t="s">
        <v>572</v>
      </c>
      <c r="F3714" s="8" t="s">
        <v>29</v>
      </c>
      <c r="G3714" s="8" t="s">
        <v>19</v>
      </c>
      <c r="H3714" s="8" t="s">
        <v>215</v>
      </c>
      <c r="I3714" s="3">
        <v>2</v>
      </c>
      <c r="J3714" s="8" t="s">
        <v>183</v>
      </c>
      <c r="K3714" s="8" t="s">
        <v>184</v>
      </c>
      <c r="L3714" s="8" t="s">
        <v>557</v>
      </c>
      <c r="M3714" s="1" t="s">
        <v>207</v>
      </c>
      <c r="N3714" s="8" t="s">
        <v>208</v>
      </c>
      <c r="O3714" s="6">
        <v>0</v>
      </c>
      <c r="P3714" s="6">
        <v>0</v>
      </c>
      <c r="Q3714" s="6">
        <v>0</v>
      </c>
      <c r="R3714" s="6">
        <v>0</v>
      </c>
      <c r="S3714" s="6">
        <v>335</v>
      </c>
    </row>
    <row r="3715" spans="1:19" ht="15" hidden="1" x14ac:dyDescent="0.25">
      <c r="A3715" s="7" t="s">
        <v>16</v>
      </c>
      <c r="B3715" s="7" t="s">
        <v>230</v>
      </c>
      <c r="C3715" s="7" t="s">
        <v>24</v>
      </c>
      <c r="D3715" s="4">
        <v>60448040000122</v>
      </c>
      <c r="E3715" s="8" t="s">
        <v>609</v>
      </c>
      <c r="F3715" s="8" t="s">
        <v>29</v>
      </c>
      <c r="G3715" s="8" t="s">
        <v>19</v>
      </c>
      <c r="H3715" s="8" t="s">
        <v>215</v>
      </c>
      <c r="I3715" s="3">
        <v>2</v>
      </c>
      <c r="J3715" s="8" t="s">
        <v>1355</v>
      </c>
      <c r="K3715" s="8" t="s">
        <v>1356</v>
      </c>
      <c r="L3715" s="8" t="s">
        <v>556</v>
      </c>
      <c r="M3715" s="1" t="s">
        <v>207</v>
      </c>
      <c r="N3715" s="8" t="s">
        <v>208</v>
      </c>
      <c r="O3715" s="6">
        <v>0</v>
      </c>
      <c r="P3715" s="6">
        <v>0</v>
      </c>
      <c r="Q3715" s="6">
        <v>0</v>
      </c>
      <c r="R3715" s="6">
        <v>0</v>
      </c>
      <c r="S3715" s="6">
        <v>0</v>
      </c>
    </row>
    <row r="3716" spans="1:19" ht="15" hidden="1" x14ac:dyDescent="0.25">
      <c r="A3716" s="7" t="s">
        <v>16</v>
      </c>
      <c r="B3716" s="7" t="s">
        <v>230</v>
      </c>
      <c r="C3716" s="7" t="s">
        <v>24</v>
      </c>
      <c r="D3716" s="4">
        <v>60448040000122</v>
      </c>
      <c r="E3716" s="8" t="s">
        <v>609</v>
      </c>
      <c r="F3716" s="8" t="s">
        <v>29</v>
      </c>
      <c r="G3716" s="8" t="s">
        <v>19</v>
      </c>
      <c r="H3716" s="8" t="s">
        <v>215</v>
      </c>
      <c r="I3716" s="3">
        <v>2</v>
      </c>
      <c r="J3716" s="8" t="s">
        <v>177</v>
      </c>
      <c r="K3716" s="8" t="s">
        <v>178</v>
      </c>
      <c r="L3716" s="8" t="s">
        <v>557</v>
      </c>
      <c r="M3716" s="1" t="s">
        <v>207</v>
      </c>
      <c r="N3716" s="8" t="s">
        <v>208</v>
      </c>
      <c r="O3716" s="6">
        <v>0</v>
      </c>
      <c r="P3716" s="6">
        <v>65</v>
      </c>
      <c r="Q3716" s="6">
        <v>45</v>
      </c>
      <c r="R3716" s="6">
        <v>0</v>
      </c>
      <c r="S3716" s="6">
        <v>0</v>
      </c>
    </row>
    <row r="3717" spans="1:19" ht="15" hidden="1" x14ac:dyDescent="0.25">
      <c r="A3717" s="7" t="s">
        <v>16</v>
      </c>
      <c r="B3717" s="7" t="s">
        <v>230</v>
      </c>
      <c r="C3717" s="7" t="s">
        <v>24</v>
      </c>
      <c r="D3717" s="4">
        <v>60453024000390</v>
      </c>
      <c r="E3717" s="8" t="s">
        <v>610</v>
      </c>
      <c r="F3717" s="8" t="s">
        <v>29</v>
      </c>
      <c r="G3717" s="8" t="s">
        <v>19</v>
      </c>
      <c r="H3717" s="8" t="s">
        <v>215</v>
      </c>
      <c r="I3717" s="3">
        <v>2</v>
      </c>
      <c r="J3717" s="8" t="s">
        <v>161</v>
      </c>
      <c r="K3717" s="8" t="s">
        <v>162</v>
      </c>
      <c r="L3717" s="8" t="s">
        <v>556</v>
      </c>
      <c r="M3717" s="1" t="s">
        <v>207</v>
      </c>
      <c r="N3717" s="8" t="s">
        <v>208</v>
      </c>
      <c r="O3717" s="6">
        <v>0</v>
      </c>
      <c r="P3717" s="6">
        <v>0</v>
      </c>
      <c r="Q3717" s="6">
        <v>0</v>
      </c>
      <c r="R3717" s="6">
        <v>0</v>
      </c>
      <c r="S3717" s="6">
        <v>0</v>
      </c>
    </row>
    <row r="3718" spans="1:19" ht="15" hidden="1" x14ac:dyDescent="0.25">
      <c r="A3718" s="7" t="s">
        <v>16</v>
      </c>
      <c r="B3718" s="7" t="s">
        <v>230</v>
      </c>
      <c r="C3718" s="7" t="s">
        <v>24</v>
      </c>
      <c r="D3718" s="4">
        <v>60453024000390</v>
      </c>
      <c r="E3718" s="8" t="s">
        <v>610</v>
      </c>
      <c r="F3718" s="8" t="s">
        <v>29</v>
      </c>
      <c r="G3718" s="8" t="s">
        <v>19</v>
      </c>
      <c r="H3718" s="8" t="s">
        <v>215</v>
      </c>
      <c r="I3718" s="3">
        <v>2</v>
      </c>
      <c r="J3718" s="8" t="s">
        <v>177</v>
      </c>
      <c r="K3718" s="8" t="s">
        <v>178</v>
      </c>
      <c r="L3718" s="8" t="s">
        <v>557</v>
      </c>
      <c r="M3718" s="1" t="s">
        <v>207</v>
      </c>
      <c r="N3718" s="8" t="s">
        <v>208</v>
      </c>
      <c r="O3718" s="6">
        <v>0</v>
      </c>
      <c r="P3718" s="6">
        <v>35</v>
      </c>
      <c r="Q3718" s="6">
        <v>68</v>
      </c>
      <c r="R3718" s="6">
        <v>0</v>
      </c>
      <c r="S3718" s="6">
        <v>0</v>
      </c>
    </row>
    <row r="3719" spans="1:19" ht="15" hidden="1" x14ac:dyDescent="0.25">
      <c r="A3719" s="7" t="s">
        <v>16</v>
      </c>
      <c r="B3719" s="7" t="s">
        <v>230</v>
      </c>
      <c r="C3719" s="7" t="s">
        <v>24</v>
      </c>
      <c r="D3719" s="4">
        <v>51722957012512</v>
      </c>
      <c r="E3719" s="8" t="s">
        <v>604</v>
      </c>
      <c r="F3719" s="8" t="s">
        <v>29</v>
      </c>
      <c r="G3719" s="8" t="s">
        <v>19</v>
      </c>
      <c r="H3719" s="8" t="s">
        <v>215</v>
      </c>
      <c r="I3719" s="3">
        <v>2</v>
      </c>
      <c r="J3719" s="8" t="s">
        <v>161</v>
      </c>
      <c r="K3719" s="8" t="s">
        <v>162</v>
      </c>
      <c r="L3719" s="8" t="s">
        <v>556</v>
      </c>
      <c r="M3719" s="1" t="s">
        <v>207</v>
      </c>
      <c r="N3719" s="8" t="s">
        <v>208</v>
      </c>
      <c r="O3719" s="6">
        <v>0</v>
      </c>
      <c r="P3719" s="6">
        <v>0</v>
      </c>
      <c r="Q3719" s="6">
        <v>0</v>
      </c>
      <c r="R3719" s="6">
        <v>0</v>
      </c>
      <c r="S3719" s="6">
        <v>600</v>
      </c>
    </row>
    <row r="3720" spans="1:19" ht="15" hidden="1" x14ac:dyDescent="0.25">
      <c r="A3720" s="7" t="s">
        <v>16</v>
      </c>
      <c r="B3720" s="7" t="s">
        <v>230</v>
      </c>
      <c r="C3720" s="7" t="s">
        <v>24</v>
      </c>
      <c r="D3720" s="4">
        <v>51722957012512</v>
      </c>
      <c r="E3720" s="8" t="s">
        <v>604</v>
      </c>
      <c r="F3720" s="8" t="s">
        <v>29</v>
      </c>
      <c r="G3720" s="8" t="s">
        <v>19</v>
      </c>
      <c r="H3720" s="8" t="s">
        <v>215</v>
      </c>
      <c r="I3720" s="3">
        <v>2</v>
      </c>
      <c r="J3720" s="8" t="s">
        <v>183</v>
      </c>
      <c r="K3720" s="8" t="s">
        <v>184</v>
      </c>
      <c r="L3720" s="8" t="s">
        <v>557</v>
      </c>
      <c r="M3720" s="1" t="s">
        <v>207</v>
      </c>
      <c r="N3720" s="8" t="s">
        <v>208</v>
      </c>
      <c r="O3720" s="6">
        <v>0</v>
      </c>
      <c r="P3720" s="6">
        <v>0</v>
      </c>
      <c r="Q3720" s="6">
        <v>0</v>
      </c>
      <c r="R3720" s="6">
        <v>0</v>
      </c>
      <c r="S3720" s="6">
        <v>600</v>
      </c>
    </row>
    <row r="3721" spans="1:19" ht="15" hidden="1" x14ac:dyDescent="0.25">
      <c r="A3721" s="7" t="s">
        <v>16</v>
      </c>
      <c r="B3721" s="7" t="s">
        <v>230</v>
      </c>
      <c r="C3721" s="7" t="s">
        <v>24</v>
      </c>
      <c r="D3721" s="4">
        <v>60678604000113</v>
      </c>
      <c r="E3721" s="8" t="s">
        <v>612</v>
      </c>
      <c r="F3721" s="8" t="s">
        <v>29</v>
      </c>
      <c r="G3721" s="8" t="s">
        <v>19</v>
      </c>
      <c r="H3721" s="8" t="s">
        <v>215</v>
      </c>
      <c r="I3721" s="3">
        <v>2</v>
      </c>
      <c r="J3721" s="8" t="s">
        <v>161</v>
      </c>
      <c r="K3721" s="8" t="s">
        <v>162</v>
      </c>
      <c r="L3721" s="8" t="s">
        <v>556</v>
      </c>
      <c r="M3721" s="1" t="s">
        <v>207</v>
      </c>
      <c r="N3721" s="8" t="s">
        <v>208</v>
      </c>
      <c r="O3721" s="6">
        <v>0</v>
      </c>
      <c r="P3721" s="6">
        <v>0</v>
      </c>
      <c r="Q3721" s="6">
        <v>0</v>
      </c>
      <c r="R3721" s="6">
        <v>0</v>
      </c>
      <c r="S3721" s="6">
        <v>75</v>
      </c>
    </row>
    <row r="3722" spans="1:19" ht="15" hidden="1" x14ac:dyDescent="0.25">
      <c r="A3722" s="7" t="s">
        <v>16</v>
      </c>
      <c r="B3722" s="7" t="s">
        <v>230</v>
      </c>
      <c r="C3722" s="7" t="s">
        <v>24</v>
      </c>
      <c r="D3722" s="4">
        <v>60678604000113</v>
      </c>
      <c r="E3722" s="8" t="s">
        <v>612</v>
      </c>
      <c r="F3722" s="8" t="s">
        <v>29</v>
      </c>
      <c r="G3722" s="8" t="s">
        <v>19</v>
      </c>
      <c r="H3722" s="8" t="s">
        <v>215</v>
      </c>
      <c r="I3722" s="3">
        <v>2</v>
      </c>
      <c r="J3722" s="8" t="s">
        <v>147</v>
      </c>
      <c r="K3722" s="8" t="s">
        <v>148</v>
      </c>
      <c r="L3722" s="8" t="s">
        <v>557</v>
      </c>
      <c r="M3722" s="1" t="s">
        <v>207</v>
      </c>
      <c r="N3722" s="8" t="s">
        <v>208</v>
      </c>
      <c r="O3722" s="6">
        <v>0</v>
      </c>
      <c r="P3722" s="6">
        <v>4</v>
      </c>
      <c r="Q3722" s="6">
        <v>55</v>
      </c>
      <c r="R3722" s="6">
        <v>0</v>
      </c>
      <c r="S3722" s="6">
        <v>75</v>
      </c>
    </row>
    <row r="3723" spans="1:19" ht="15" hidden="1" x14ac:dyDescent="0.25">
      <c r="A3723" s="7" t="s">
        <v>16</v>
      </c>
      <c r="B3723" s="7" t="s">
        <v>230</v>
      </c>
      <c r="C3723" s="7" t="s">
        <v>24</v>
      </c>
      <c r="D3723" s="4">
        <v>29435005004540</v>
      </c>
      <c r="E3723" s="8" t="s">
        <v>594</v>
      </c>
      <c r="F3723" s="8" t="s">
        <v>29</v>
      </c>
      <c r="G3723" s="8" t="s">
        <v>19</v>
      </c>
      <c r="H3723" s="8" t="s">
        <v>215</v>
      </c>
      <c r="I3723" s="3">
        <v>2</v>
      </c>
      <c r="J3723" s="8" t="s">
        <v>161</v>
      </c>
      <c r="K3723" s="8" t="s">
        <v>162</v>
      </c>
      <c r="L3723" s="8" t="s">
        <v>556</v>
      </c>
      <c r="M3723" s="1" t="s">
        <v>207</v>
      </c>
      <c r="N3723" s="8" t="s">
        <v>208</v>
      </c>
      <c r="O3723" s="6">
        <v>0</v>
      </c>
      <c r="P3723" s="6">
        <v>0</v>
      </c>
      <c r="Q3723" s="6">
        <v>0</v>
      </c>
      <c r="R3723" s="6">
        <v>0</v>
      </c>
      <c r="S3723" s="6">
        <v>100</v>
      </c>
    </row>
    <row r="3724" spans="1:19" ht="15" hidden="1" x14ac:dyDescent="0.25">
      <c r="A3724" s="7" t="s">
        <v>16</v>
      </c>
      <c r="B3724" s="7" t="s">
        <v>230</v>
      </c>
      <c r="C3724" s="7" t="s">
        <v>24</v>
      </c>
      <c r="D3724" s="4">
        <v>29435005004540</v>
      </c>
      <c r="E3724" s="8" t="s">
        <v>594</v>
      </c>
      <c r="F3724" s="8" t="s">
        <v>29</v>
      </c>
      <c r="G3724" s="8" t="s">
        <v>19</v>
      </c>
      <c r="H3724" s="8" t="s">
        <v>215</v>
      </c>
      <c r="I3724" s="3">
        <v>2</v>
      </c>
      <c r="J3724" s="8" t="s">
        <v>183</v>
      </c>
      <c r="K3724" s="8" t="s">
        <v>184</v>
      </c>
      <c r="L3724" s="8" t="s">
        <v>557</v>
      </c>
      <c r="M3724" s="1" t="s">
        <v>207</v>
      </c>
      <c r="N3724" s="8" t="s">
        <v>208</v>
      </c>
      <c r="O3724" s="6">
        <v>0</v>
      </c>
      <c r="P3724" s="6">
        <v>0</v>
      </c>
      <c r="Q3724" s="6">
        <v>0</v>
      </c>
      <c r="R3724" s="6">
        <v>0</v>
      </c>
      <c r="S3724" s="6">
        <v>100</v>
      </c>
    </row>
    <row r="3725" spans="1:19" ht="15" hidden="1" x14ac:dyDescent="0.25">
      <c r="A3725" s="7" t="s">
        <v>16</v>
      </c>
      <c r="B3725" s="7" t="s">
        <v>230</v>
      </c>
      <c r="C3725" s="7" t="s">
        <v>24</v>
      </c>
      <c r="D3725" s="4">
        <v>61699567006204</v>
      </c>
      <c r="E3725" s="8" t="s">
        <v>1364</v>
      </c>
      <c r="F3725" s="8" t="s">
        <v>29</v>
      </c>
      <c r="G3725" s="8" t="s">
        <v>19</v>
      </c>
      <c r="H3725" s="8" t="s">
        <v>215</v>
      </c>
      <c r="I3725" s="3">
        <v>2</v>
      </c>
      <c r="J3725" s="8" t="s">
        <v>161</v>
      </c>
      <c r="K3725" s="8" t="s">
        <v>162</v>
      </c>
      <c r="L3725" s="8" t="s">
        <v>556</v>
      </c>
      <c r="M3725" s="1" t="s">
        <v>207</v>
      </c>
      <c r="N3725" s="8" t="s">
        <v>208</v>
      </c>
      <c r="O3725" s="6">
        <v>0</v>
      </c>
      <c r="P3725" s="6">
        <v>0</v>
      </c>
      <c r="Q3725" s="6">
        <v>0</v>
      </c>
      <c r="R3725" s="6">
        <v>0</v>
      </c>
      <c r="S3725" s="6">
        <v>60</v>
      </c>
    </row>
    <row r="3726" spans="1:19" ht="15" hidden="1" x14ac:dyDescent="0.25">
      <c r="A3726" s="7" t="s">
        <v>16</v>
      </c>
      <c r="B3726" s="7" t="s">
        <v>230</v>
      </c>
      <c r="C3726" s="7" t="s">
        <v>24</v>
      </c>
      <c r="D3726" s="4">
        <v>61699567006204</v>
      </c>
      <c r="E3726" s="8" t="s">
        <v>1364</v>
      </c>
      <c r="F3726" s="8" t="s">
        <v>29</v>
      </c>
      <c r="G3726" s="8" t="s">
        <v>19</v>
      </c>
      <c r="H3726" s="8" t="s">
        <v>215</v>
      </c>
      <c r="I3726" s="3">
        <v>2</v>
      </c>
      <c r="J3726" s="8" t="s">
        <v>147</v>
      </c>
      <c r="K3726" s="8" t="s">
        <v>148</v>
      </c>
      <c r="L3726" s="8" t="s">
        <v>557</v>
      </c>
      <c r="M3726" s="1" t="s">
        <v>207</v>
      </c>
      <c r="N3726" s="8" t="s">
        <v>208</v>
      </c>
      <c r="O3726" s="6">
        <v>0</v>
      </c>
      <c r="P3726" s="6">
        <v>0</v>
      </c>
      <c r="Q3726" s="6">
        <v>0</v>
      </c>
      <c r="R3726" s="6">
        <v>0</v>
      </c>
      <c r="S3726" s="6">
        <v>60</v>
      </c>
    </row>
    <row r="3727" spans="1:19" ht="15" hidden="1" x14ac:dyDescent="0.25">
      <c r="A3727" s="7" t="s">
        <v>16</v>
      </c>
      <c r="B3727" s="7" t="s">
        <v>230</v>
      </c>
      <c r="C3727" s="7" t="s">
        <v>24</v>
      </c>
      <c r="D3727" s="4">
        <v>61213674000240</v>
      </c>
      <c r="E3727" s="8" t="s">
        <v>629</v>
      </c>
      <c r="F3727" s="8" t="s">
        <v>29</v>
      </c>
      <c r="G3727" s="8" t="s">
        <v>19</v>
      </c>
      <c r="H3727" s="8" t="s">
        <v>215</v>
      </c>
      <c r="I3727" s="3">
        <v>2</v>
      </c>
      <c r="J3727" s="8" t="s">
        <v>1355</v>
      </c>
      <c r="K3727" s="8" t="s">
        <v>1356</v>
      </c>
      <c r="L3727" s="8" t="s">
        <v>556</v>
      </c>
      <c r="M3727" s="1" t="s">
        <v>207</v>
      </c>
      <c r="N3727" s="8" t="s">
        <v>208</v>
      </c>
      <c r="O3727" s="6">
        <v>0</v>
      </c>
      <c r="P3727" s="6">
        <v>0</v>
      </c>
      <c r="Q3727" s="6">
        <v>0</v>
      </c>
      <c r="R3727" s="6">
        <v>135</v>
      </c>
      <c r="S3727" s="6">
        <v>0</v>
      </c>
    </row>
    <row r="3728" spans="1:19" ht="15" hidden="1" x14ac:dyDescent="0.25">
      <c r="A3728" s="7" t="s">
        <v>16</v>
      </c>
      <c r="B3728" s="7" t="s">
        <v>230</v>
      </c>
      <c r="C3728" s="7" t="s">
        <v>24</v>
      </c>
      <c r="D3728" s="4">
        <v>61213674000240</v>
      </c>
      <c r="E3728" s="8" t="s">
        <v>629</v>
      </c>
      <c r="F3728" s="8" t="s">
        <v>29</v>
      </c>
      <c r="G3728" s="8" t="s">
        <v>19</v>
      </c>
      <c r="H3728" s="8" t="s">
        <v>215</v>
      </c>
      <c r="I3728" s="3">
        <v>2</v>
      </c>
      <c r="J3728" s="8" t="s">
        <v>147</v>
      </c>
      <c r="K3728" s="8" t="s">
        <v>148</v>
      </c>
      <c r="L3728" s="8" t="s">
        <v>557</v>
      </c>
      <c r="M3728" s="1" t="s">
        <v>207</v>
      </c>
      <c r="N3728" s="8" t="s">
        <v>208</v>
      </c>
      <c r="O3728" s="6">
        <v>0</v>
      </c>
      <c r="P3728" s="6">
        <v>3</v>
      </c>
      <c r="Q3728" s="6">
        <v>5</v>
      </c>
      <c r="R3728" s="6">
        <v>0</v>
      </c>
      <c r="S3728" s="6">
        <v>0</v>
      </c>
    </row>
    <row r="3729" spans="1:19" ht="15" hidden="1" x14ac:dyDescent="0.25">
      <c r="A3729" s="7" t="s">
        <v>16</v>
      </c>
      <c r="B3729" s="7" t="s">
        <v>230</v>
      </c>
      <c r="C3729" s="7" t="s">
        <v>24</v>
      </c>
      <c r="D3729" s="4">
        <v>8604105000161</v>
      </c>
      <c r="E3729" s="8" t="s">
        <v>1358</v>
      </c>
      <c r="F3729" s="8" t="s">
        <v>29</v>
      </c>
      <c r="G3729" s="8" t="s">
        <v>19</v>
      </c>
      <c r="H3729" s="8" t="s">
        <v>215</v>
      </c>
      <c r="I3729" s="3">
        <v>2</v>
      </c>
      <c r="J3729" s="8" t="s">
        <v>161</v>
      </c>
      <c r="K3729" s="8" t="s">
        <v>162</v>
      </c>
      <c r="L3729" s="8" t="s">
        <v>556</v>
      </c>
      <c r="M3729" s="1" t="s">
        <v>207</v>
      </c>
      <c r="N3729" s="8" t="s">
        <v>208</v>
      </c>
      <c r="O3729" s="6">
        <v>0</v>
      </c>
      <c r="P3729" s="6">
        <v>0</v>
      </c>
      <c r="Q3729" s="6">
        <v>0</v>
      </c>
      <c r="R3729" s="6">
        <v>0</v>
      </c>
      <c r="S3729" s="6">
        <v>35</v>
      </c>
    </row>
    <row r="3730" spans="1:19" ht="15" hidden="1" x14ac:dyDescent="0.25">
      <c r="A3730" s="7" t="s">
        <v>16</v>
      </c>
      <c r="B3730" s="7" t="s">
        <v>230</v>
      </c>
      <c r="C3730" s="7" t="s">
        <v>24</v>
      </c>
      <c r="D3730" s="4">
        <v>8604105000161</v>
      </c>
      <c r="E3730" s="8" t="s">
        <v>1358</v>
      </c>
      <c r="F3730" s="8" t="s">
        <v>29</v>
      </c>
      <c r="G3730" s="8" t="s">
        <v>19</v>
      </c>
      <c r="H3730" s="8" t="s">
        <v>215</v>
      </c>
      <c r="I3730" s="3">
        <v>2</v>
      </c>
      <c r="J3730" s="8" t="s">
        <v>177</v>
      </c>
      <c r="K3730" s="8" t="s">
        <v>178</v>
      </c>
      <c r="L3730" s="8" t="s">
        <v>557</v>
      </c>
      <c r="M3730" s="1" t="s">
        <v>207</v>
      </c>
      <c r="N3730" s="8" t="s">
        <v>208</v>
      </c>
      <c r="O3730" s="6">
        <v>0</v>
      </c>
      <c r="P3730" s="6">
        <v>0</v>
      </c>
      <c r="Q3730" s="6">
        <v>0</v>
      </c>
      <c r="R3730" s="6">
        <v>0</v>
      </c>
      <c r="S3730" s="6">
        <v>35</v>
      </c>
    </row>
    <row r="3731" spans="1:19" ht="15" hidden="1" x14ac:dyDescent="0.25">
      <c r="A3731" s="7" t="s">
        <v>16</v>
      </c>
      <c r="B3731" s="7" t="s">
        <v>230</v>
      </c>
      <c r="C3731" s="7" t="s">
        <v>24</v>
      </c>
      <c r="D3731" s="4">
        <v>60765823000130</v>
      </c>
      <c r="E3731" s="8" t="s">
        <v>615</v>
      </c>
      <c r="F3731" s="8" t="s">
        <v>29</v>
      </c>
      <c r="G3731" s="8" t="s">
        <v>19</v>
      </c>
      <c r="H3731" s="8" t="s">
        <v>215</v>
      </c>
      <c r="I3731" s="3">
        <v>2</v>
      </c>
      <c r="J3731" s="8" t="s">
        <v>1355</v>
      </c>
      <c r="K3731" s="8" t="s">
        <v>1356</v>
      </c>
      <c r="L3731" s="8" t="s">
        <v>556</v>
      </c>
      <c r="M3731" s="1" t="s">
        <v>207</v>
      </c>
      <c r="N3731" s="8" t="s">
        <v>208</v>
      </c>
      <c r="O3731" s="6">
        <v>0</v>
      </c>
      <c r="P3731" s="6">
        <v>0</v>
      </c>
      <c r="Q3731" s="6">
        <v>0</v>
      </c>
      <c r="R3731" s="6">
        <v>60</v>
      </c>
      <c r="S3731" s="6">
        <v>1300</v>
      </c>
    </row>
    <row r="3732" spans="1:19" ht="15" hidden="1" x14ac:dyDescent="0.25">
      <c r="A3732" s="7" t="s">
        <v>16</v>
      </c>
      <c r="B3732" s="7" t="s">
        <v>230</v>
      </c>
      <c r="C3732" s="7" t="s">
        <v>24</v>
      </c>
      <c r="D3732" s="4">
        <v>60765823000130</v>
      </c>
      <c r="E3732" s="8" t="s">
        <v>615</v>
      </c>
      <c r="F3732" s="8" t="s">
        <v>29</v>
      </c>
      <c r="G3732" s="8" t="s">
        <v>19</v>
      </c>
      <c r="H3732" s="8" t="s">
        <v>215</v>
      </c>
      <c r="I3732" s="3">
        <v>2</v>
      </c>
      <c r="J3732" s="8" t="s">
        <v>147</v>
      </c>
      <c r="K3732" s="8" t="s">
        <v>148</v>
      </c>
      <c r="L3732" s="8" t="s">
        <v>557</v>
      </c>
      <c r="M3732" s="1" t="s">
        <v>207</v>
      </c>
      <c r="N3732" s="8" t="s">
        <v>208</v>
      </c>
      <c r="O3732" s="6">
        <v>0</v>
      </c>
      <c r="P3732" s="6">
        <v>40</v>
      </c>
      <c r="Q3732" s="6">
        <v>190</v>
      </c>
      <c r="R3732" s="6">
        <v>0</v>
      </c>
      <c r="S3732" s="6">
        <v>1300</v>
      </c>
    </row>
    <row r="3733" spans="1:19" ht="15" hidden="1" x14ac:dyDescent="0.25">
      <c r="A3733" s="7" t="s">
        <v>16</v>
      </c>
      <c r="B3733" s="7" t="s">
        <v>230</v>
      </c>
      <c r="C3733" s="7" t="s">
        <v>24</v>
      </c>
      <c r="D3733" s="4">
        <v>19056055000141</v>
      </c>
      <c r="E3733" s="8" t="s">
        <v>586</v>
      </c>
      <c r="F3733" s="8" t="s">
        <v>29</v>
      </c>
      <c r="G3733" s="8" t="s">
        <v>19</v>
      </c>
      <c r="H3733" s="8" t="s">
        <v>215</v>
      </c>
      <c r="I3733" s="3">
        <v>2</v>
      </c>
      <c r="J3733" s="8" t="s">
        <v>161</v>
      </c>
      <c r="K3733" s="8" t="s">
        <v>162</v>
      </c>
      <c r="L3733" s="8" t="s">
        <v>556</v>
      </c>
      <c r="M3733" s="1" t="s">
        <v>207</v>
      </c>
      <c r="N3733" s="8" t="s">
        <v>208</v>
      </c>
      <c r="O3733" s="6">
        <v>0</v>
      </c>
      <c r="P3733" s="6">
        <v>0</v>
      </c>
      <c r="Q3733" s="6">
        <v>0</v>
      </c>
      <c r="R3733" s="6">
        <v>0</v>
      </c>
      <c r="S3733" s="6">
        <v>0</v>
      </c>
    </row>
    <row r="3734" spans="1:19" ht="15" hidden="1" x14ac:dyDescent="0.25">
      <c r="A3734" s="7" t="s">
        <v>16</v>
      </c>
      <c r="B3734" s="7" t="s">
        <v>230</v>
      </c>
      <c r="C3734" s="7" t="s">
        <v>24</v>
      </c>
      <c r="D3734" s="4">
        <v>19056055000141</v>
      </c>
      <c r="E3734" s="8" t="s">
        <v>586</v>
      </c>
      <c r="F3734" s="8" t="s">
        <v>29</v>
      </c>
      <c r="G3734" s="8" t="s">
        <v>19</v>
      </c>
      <c r="H3734" s="8" t="s">
        <v>215</v>
      </c>
      <c r="I3734" s="3">
        <v>2</v>
      </c>
      <c r="J3734" s="8" t="s">
        <v>177</v>
      </c>
      <c r="K3734" s="8" t="s">
        <v>178</v>
      </c>
      <c r="L3734" s="8" t="s">
        <v>557</v>
      </c>
      <c r="M3734" s="1" t="s">
        <v>207</v>
      </c>
      <c r="N3734" s="8" t="s">
        <v>208</v>
      </c>
      <c r="O3734" s="6">
        <v>0</v>
      </c>
      <c r="P3734" s="6">
        <v>0</v>
      </c>
      <c r="Q3734" s="6">
        <v>8</v>
      </c>
      <c r="R3734" s="6">
        <v>0</v>
      </c>
      <c r="S3734" s="6">
        <v>0</v>
      </c>
    </row>
    <row r="3735" spans="1:19" ht="15" hidden="1" x14ac:dyDescent="0.25">
      <c r="A3735" s="7" t="s">
        <v>16</v>
      </c>
      <c r="B3735" s="7" t="s">
        <v>230</v>
      </c>
      <c r="C3735" s="7" t="s">
        <v>24</v>
      </c>
      <c r="D3735" s="4">
        <v>29435005002687</v>
      </c>
      <c r="E3735" s="8" t="s">
        <v>593</v>
      </c>
      <c r="F3735" s="8" t="s">
        <v>29</v>
      </c>
      <c r="G3735" s="8" t="s">
        <v>19</v>
      </c>
      <c r="H3735" s="8" t="s">
        <v>215</v>
      </c>
      <c r="I3735" s="3">
        <v>2</v>
      </c>
      <c r="J3735" s="8" t="s">
        <v>161</v>
      </c>
      <c r="K3735" s="8" t="s">
        <v>162</v>
      </c>
      <c r="L3735" s="8" t="s">
        <v>556</v>
      </c>
      <c r="M3735" s="1" t="s">
        <v>207</v>
      </c>
      <c r="N3735" s="8" t="s">
        <v>208</v>
      </c>
      <c r="O3735" s="6">
        <v>0</v>
      </c>
      <c r="P3735" s="6">
        <v>0</v>
      </c>
      <c r="Q3735" s="6">
        <v>0</v>
      </c>
      <c r="R3735" s="6">
        <v>0</v>
      </c>
      <c r="S3735" s="6">
        <v>2000</v>
      </c>
    </row>
    <row r="3736" spans="1:19" ht="15" hidden="1" x14ac:dyDescent="0.25">
      <c r="A3736" s="7" t="s">
        <v>16</v>
      </c>
      <c r="B3736" s="7" t="s">
        <v>230</v>
      </c>
      <c r="C3736" s="7" t="s">
        <v>24</v>
      </c>
      <c r="D3736" s="4">
        <v>29435005002687</v>
      </c>
      <c r="E3736" s="8" t="s">
        <v>593</v>
      </c>
      <c r="F3736" s="8" t="s">
        <v>29</v>
      </c>
      <c r="G3736" s="8" t="s">
        <v>19</v>
      </c>
      <c r="H3736" s="8" t="s">
        <v>215</v>
      </c>
      <c r="I3736" s="3">
        <v>2</v>
      </c>
      <c r="J3736" s="8" t="s">
        <v>183</v>
      </c>
      <c r="K3736" s="8" t="s">
        <v>184</v>
      </c>
      <c r="L3736" s="8" t="s">
        <v>557</v>
      </c>
      <c r="M3736" s="1" t="s">
        <v>207</v>
      </c>
      <c r="N3736" s="8" t="s">
        <v>208</v>
      </c>
      <c r="O3736" s="6">
        <v>0</v>
      </c>
      <c r="P3736" s="6">
        <v>15</v>
      </c>
      <c r="Q3736" s="6">
        <v>0</v>
      </c>
      <c r="R3736" s="6">
        <v>0</v>
      </c>
      <c r="S3736" s="6">
        <v>2000</v>
      </c>
    </row>
    <row r="3737" spans="1:19" ht="15" hidden="1" x14ac:dyDescent="0.25">
      <c r="A3737" s="7" t="s">
        <v>16</v>
      </c>
      <c r="B3737" s="7" t="s">
        <v>230</v>
      </c>
      <c r="C3737" s="7" t="s">
        <v>24</v>
      </c>
      <c r="D3737" s="4">
        <v>461479007176</v>
      </c>
      <c r="E3737" s="8" t="s">
        <v>1357</v>
      </c>
      <c r="F3737" s="8" t="s">
        <v>29</v>
      </c>
      <c r="G3737" s="8" t="s">
        <v>19</v>
      </c>
      <c r="H3737" s="8" t="s">
        <v>215</v>
      </c>
      <c r="I3737" s="3">
        <v>2</v>
      </c>
      <c r="J3737" s="8" t="s">
        <v>1355</v>
      </c>
      <c r="K3737" s="8" t="s">
        <v>1356</v>
      </c>
      <c r="L3737" s="8" t="s">
        <v>556</v>
      </c>
      <c r="M3737" s="1" t="s">
        <v>207</v>
      </c>
      <c r="N3737" s="8" t="s">
        <v>208</v>
      </c>
      <c r="O3737" s="6">
        <v>0</v>
      </c>
      <c r="P3737" s="6">
        <v>0</v>
      </c>
      <c r="Q3737" s="6">
        <v>0</v>
      </c>
      <c r="R3737" s="6">
        <v>0</v>
      </c>
      <c r="S3737" s="6">
        <v>0</v>
      </c>
    </row>
    <row r="3738" spans="1:19" ht="15" hidden="1" x14ac:dyDescent="0.25">
      <c r="A3738" s="7" t="s">
        <v>16</v>
      </c>
      <c r="B3738" s="7" t="s">
        <v>230</v>
      </c>
      <c r="C3738" s="7" t="s">
        <v>24</v>
      </c>
      <c r="D3738" s="4">
        <v>461479007176</v>
      </c>
      <c r="E3738" s="8" t="s">
        <v>1357</v>
      </c>
      <c r="F3738" s="8" t="s">
        <v>29</v>
      </c>
      <c r="G3738" s="8" t="s">
        <v>19</v>
      </c>
      <c r="H3738" s="8" t="s">
        <v>215</v>
      </c>
      <c r="I3738" s="3">
        <v>2</v>
      </c>
      <c r="J3738" s="8" t="s">
        <v>183</v>
      </c>
      <c r="K3738" s="8" t="s">
        <v>184</v>
      </c>
      <c r="L3738" s="8" t="s">
        <v>557</v>
      </c>
      <c r="M3738" s="1" t="s">
        <v>207</v>
      </c>
      <c r="N3738" s="8" t="s">
        <v>208</v>
      </c>
      <c r="O3738" s="6">
        <v>0</v>
      </c>
      <c r="P3738" s="6">
        <v>10</v>
      </c>
      <c r="Q3738" s="6">
        <v>0</v>
      </c>
      <c r="R3738" s="6">
        <v>0</v>
      </c>
      <c r="S3738" s="6">
        <v>0</v>
      </c>
    </row>
    <row r="3739" spans="1:19" ht="15" hidden="1" x14ac:dyDescent="0.25">
      <c r="A3739" s="7" t="s">
        <v>16</v>
      </c>
      <c r="B3739" s="7" t="s">
        <v>230</v>
      </c>
      <c r="C3739" s="7" t="s">
        <v>24</v>
      </c>
      <c r="D3739" s="4">
        <v>461479001054</v>
      </c>
      <c r="E3739" s="8" t="s">
        <v>558</v>
      </c>
      <c r="F3739" s="8" t="s">
        <v>29</v>
      </c>
      <c r="G3739" s="8" t="s">
        <v>19</v>
      </c>
      <c r="H3739" s="8" t="s">
        <v>215</v>
      </c>
      <c r="I3739" s="3">
        <v>2</v>
      </c>
      <c r="J3739" s="8" t="s">
        <v>1355</v>
      </c>
      <c r="K3739" s="8" t="s">
        <v>1356</v>
      </c>
      <c r="L3739" s="8" t="s">
        <v>556</v>
      </c>
      <c r="M3739" s="1" t="s">
        <v>207</v>
      </c>
      <c r="N3739" s="8" t="s">
        <v>208</v>
      </c>
      <c r="O3739" s="6">
        <v>0</v>
      </c>
      <c r="P3739" s="6">
        <v>0</v>
      </c>
      <c r="Q3739" s="6">
        <v>0</v>
      </c>
      <c r="R3739" s="6">
        <v>0</v>
      </c>
      <c r="S3739" s="6">
        <v>100</v>
      </c>
    </row>
    <row r="3740" spans="1:19" ht="15" hidden="1" x14ac:dyDescent="0.25">
      <c r="A3740" s="7" t="s">
        <v>16</v>
      </c>
      <c r="B3740" s="7" t="s">
        <v>230</v>
      </c>
      <c r="C3740" s="7" t="s">
        <v>24</v>
      </c>
      <c r="D3740" s="4">
        <v>461479001054</v>
      </c>
      <c r="E3740" s="8" t="s">
        <v>558</v>
      </c>
      <c r="F3740" s="8" t="s">
        <v>29</v>
      </c>
      <c r="G3740" s="8" t="s">
        <v>19</v>
      </c>
      <c r="H3740" s="8" t="s">
        <v>215</v>
      </c>
      <c r="I3740" s="3">
        <v>2</v>
      </c>
      <c r="J3740" s="8" t="s">
        <v>183</v>
      </c>
      <c r="K3740" s="8" t="s">
        <v>184</v>
      </c>
      <c r="L3740" s="8" t="s">
        <v>557</v>
      </c>
      <c r="M3740" s="1" t="s">
        <v>207</v>
      </c>
      <c r="N3740" s="8" t="s">
        <v>208</v>
      </c>
      <c r="O3740" s="6">
        <v>0</v>
      </c>
      <c r="P3740" s="6">
        <v>0</v>
      </c>
      <c r="Q3740" s="6">
        <v>0</v>
      </c>
      <c r="R3740" s="6">
        <v>0</v>
      </c>
      <c r="S3740" s="6">
        <v>100</v>
      </c>
    </row>
    <row r="3741" spans="1:19" ht="15" hidden="1" x14ac:dyDescent="0.25">
      <c r="A3741" s="7" t="s">
        <v>16</v>
      </c>
      <c r="B3741" s="7" t="s">
        <v>230</v>
      </c>
      <c r="C3741" s="7" t="s">
        <v>24</v>
      </c>
      <c r="D3741" s="4">
        <v>60922168000771</v>
      </c>
      <c r="E3741" s="8" t="s">
        <v>618</v>
      </c>
      <c r="F3741" s="8" t="s">
        <v>29</v>
      </c>
      <c r="G3741" s="8" t="s">
        <v>19</v>
      </c>
      <c r="H3741" s="8" t="s">
        <v>215</v>
      </c>
      <c r="I3741" s="3">
        <v>2</v>
      </c>
      <c r="J3741" s="8" t="s">
        <v>1355</v>
      </c>
      <c r="K3741" s="8" t="s">
        <v>1356</v>
      </c>
      <c r="L3741" s="8" t="s">
        <v>556</v>
      </c>
      <c r="M3741" s="1" t="s">
        <v>207</v>
      </c>
      <c r="N3741" s="8" t="s">
        <v>208</v>
      </c>
      <c r="O3741" s="6">
        <v>0</v>
      </c>
      <c r="P3741" s="6">
        <v>0</v>
      </c>
      <c r="Q3741" s="6">
        <v>0</v>
      </c>
      <c r="R3741" s="6">
        <v>32</v>
      </c>
      <c r="S3741" s="6">
        <v>915</v>
      </c>
    </row>
    <row r="3742" spans="1:19" ht="15" hidden="1" x14ac:dyDescent="0.25">
      <c r="A3742" s="7" t="s">
        <v>16</v>
      </c>
      <c r="B3742" s="7" t="s">
        <v>230</v>
      </c>
      <c r="C3742" s="7" t="s">
        <v>24</v>
      </c>
      <c r="D3742" s="4">
        <v>60922168000771</v>
      </c>
      <c r="E3742" s="8" t="s">
        <v>618</v>
      </c>
      <c r="F3742" s="8" t="s">
        <v>29</v>
      </c>
      <c r="G3742" s="8" t="s">
        <v>19</v>
      </c>
      <c r="H3742" s="8" t="s">
        <v>215</v>
      </c>
      <c r="I3742" s="3">
        <v>2</v>
      </c>
      <c r="J3742" s="8" t="s">
        <v>147</v>
      </c>
      <c r="K3742" s="8" t="s">
        <v>148</v>
      </c>
      <c r="L3742" s="8" t="s">
        <v>557</v>
      </c>
      <c r="M3742" s="1" t="s">
        <v>207</v>
      </c>
      <c r="N3742" s="8" t="s">
        <v>208</v>
      </c>
      <c r="O3742" s="6">
        <v>0</v>
      </c>
      <c r="P3742" s="6">
        <v>0</v>
      </c>
      <c r="Q3742" s="6">
        <v>0</v>
      </c>
      <c r="R3742" s="6">
        <v>0</v>
      </c>
      <c r="S3742" s="6">
        <v>915</v>
      </c>
    </row>
    <row r="3743" spans="1:19" ht="15" hidden="1" x14ac:dyDescent="0.25">
      <c r="A3743" s="7" t="s">
        <v>16</v>
      </c>
      <c r="B3743" s="7" t="s">
        <v>230</v>
      </c>
      <c r="C3743" s="7" t="s">
        <v>24</v>
      </c>
      <c r="D3743" s="4">
        <v>20973216000140</v>
      </c>
      <c r="E3743" s="8" t="s">
        <v>1359</v>
      </c>
      <c r="F3743" s="8" t="s">
        <v>29</v>
      </c>
      <c r="G3743" s="8" t="s">
        <v>19</v>
      </c>
      <c r="H3743" s="8" t="s">
        <v>215</v>
      </c>
      <c r="I3743" s="3">
        <v>2</v>
      </c>
      <c r="J3743" s="8" t="s">
        <v>161</v>
      </c>
      <c r="K3743" s="8" t="s">
        <v>162</v>
      </c>
      <c r="L3743" s="8" t="s">
        <v>556</v>
      </c>
      <c r="M3743" s="1" t="s">
        <v>207</v>
      </c>
      <c r="N3743" s="8" t="s">
        <v>208</v>
      </c>
      <c r="O3743" s="6">
        <v>0</v>
      </c>
      <c r="P3743" s="6">
        <v>0</v>
      </c>
      <c r="Q3743" s="6">
        <v>0</v>
      </c>
      <c r="R3743" s="6">
        <v>20</v>
      </c>
      <c r="S3743" s="6">
        <v>0</v>
      </c>
    </row>
    <row r="3744" spans="1:19" ht="15" hidden="1" x14ac:dyDescent="0.25">
      <c r="A3744" s="7" t="s">
        <v>16</v>
      </c>
      <c r="B3744" s="7" t="s">
        <v>230</v>
      </c>
      <c r="C3744" s="7" t="s">
        <v>24</v>
      </c>
      <c r="D3744" s="4">
        <v>20973216000140</v>
      </c>
      <c r="E3744" s="8" t="s">
        <v>1359</v>
      </c>
      <c r="F3744" s="8" t="s">
        <v>29</v>
      </c>
      <c r="G3744" s="8" t="s">
        <v>19</v>
      </c>
      <c r="H3744" s="8" t="s">
        <v>215</v>
      </c>
      <c r="I3744" s="3">
        <v>2</v>
      </c>
      <c r="J3744" s="8" t="s">
        <v>177</v>
      </c>
      <c r="K3744" s="8" t="s">
        <v>178</v>
      </c>
      <c r="L3744" s="8" t="s">
        <v>557</v>
      </c>
      <c r="M3744" s="1" t="s">
        <v>207</v>
      </c>
      <c r="N3744" s="8" t="s">
        <v>208</v>
      </c>
      <c r="O3744" s="6">
        <v>0</v>
      </c>
      <c r="P3744" s="6">
        <v>0</v>
      </c>
      <c r="Q3744" s="6">
        <v>0</v>
      </c>
      <c r="R3744" s="6">
        <v>0</v>
      </c>
      <c r="S3744" s="6">
        <v>0</v>
      </c>
    </row>
    <row r="3745" spans="1:19" ht="15" hidden="1" x14ac:dyDescent="0.25">
      <c r="A3745" s="7" t="s">
        <v>16</v>
      </c>
      <c r="B3745" s="7" t="s">
        <v>230</v>
      </c>
      <c r="C3745" s="7" t="s">
        <v>24</v>
      </c>
      <c r="D3745" s="4">
        <v>60552098000111</v>
      </c>
      <c r="E3745" s="8" t="s">
        <v>611</v>
      </c>
      <c r="F3745" s="8" t="s">
        <v>29</v>
      </c>
      <c r="G3745" s="8" t="s">
        <v>19</v>
      </c>
      <c r="H3745" s="8" t="s">
        <v>215</v>
      </c>
      <c r="I3745" s="3">
        <v>2</v>
      </c>
      <c r="J3745" s="8" t="s">
        <v>161</v>
      </c>
      <c r="K3745" s="8" t="s">
        <v>162</v>
      </c>
      <c r="L3745" s="8" t="s">
        <v>556</v>
      </c>
      <c r="M3745" s="1" t="s">
        <v>207</v>
      </c>
      <c r="N3745" s="8" t="s">
        <v>208</v>
      </c>
      <c r="O3745" s="6">
        <v>0</v>
      </c>
      <c r="P3745" s="6">
        <v>0</v>
      </c>
      <c r="Q3745" s="6">
        <v>0</v>
      </c>
      <c r="R3745" s="6">
        <v>0</v>
      </c>
      <c r="S3745" s="6">
        <v>0</v>
      </c>
    </row>
    <row r="3746" spans="1:19" ht="15" hidden="1" x14ac:dyDescent="0.25">
      <c r="A3746" s="7" t="s">
        <v>16</v>
      </c>
      <c r="B3746" s="7" t="s">
        <v>230</v>
      </c>
      <c r="C3746" s="7" t="s">
        <v>24</v>
      </c>
      <c r="D3746" s="4">
        <v>60552098000111</v>
      </c>
      <c r="E3746" s="8" t="s">
        <v>611</v>
      </c>
      <c r="F3746" s="8" t="s">
        <v>29</v>
      </c>
      <c r="G3746" s="8" t="s">
        <v>19</v>
      </c>
      <c r="H3746" s="8" t="s">
        <v>215</v>
      </c>
      <c r="I3746" s="3">
        <v>2</v>
      </c>
      <c r="J3746" s="8" t="s">
        <v>147</v>
      </c>
      <c r="K3746" s="8" t="s">
        <v>148</v>
      </c>
      <c r="L3746" s="8" t="s">
        <v>557</v>
      </c>
      <c r="M3746" s="1" t="s">
        <v>207</v>
      </c>
      <c r="N3746" s="8" t="s">
        <v>208</v>
      </c>
      <c r="O3746" s="6">
        <v>0</v>
      </c>
      <c r="P3746" s="6">
        <v>0</v>
      </c>
      <c r="Q3746" s="6">
        <v>4</v>
      </c>
      <c r="R3746" s="6">
        <v>0</v>
      </c>
      <c r="S3746" s="6">
        <v>0</v>
      </c>
    </row>
    <row r="3747" spans="1:19" ht="15" hidden="1" x14ac:dyDescent="0.25">
      <c r="A3747" s="7" t="s">
        <v>16</v>
      </c>
      <c r="B3747" s="7" t="s">
        <v>230</v>
      </c>
      <c r="C3747" s="7" t="s">
        <v>24</v>
      </c>
      <c r="D3747" s="4">
        <v>60742616000160</v>
      </c>
      <c r="E3747" s="8" t="s">
        <v>1362</v>
      </c>
      <c r="F3747" s="8" t="s">
        <v>29</v>
      </c>
      <c r="G3747" s="8" t="s">
        <v>19</v>
      </c>
      <c r="H3747" s="8" t="s">
        <v>215</v>
      </c>
      <c r="I3747" s="3">
        <v>2</v>
      </c>
      <c r="J3747" s="8" t="s">
        <v>161</v>
      </c>
      <c r="K3747" s="8" t="s">
        <v>162</v>
      </c>
      <c r="L3747" s="8" t="s">
        <v>556</v>
      </c>
      <c r="M3747" s="1" t="s">
        <v>207</v>
      </c>
      <c r="N3747" s="8" t="s">
        <v>208</v>
      </c>
      <c r="O3747" s="6">
        <v>0</v>
      </c>
      <c r="P3747" s="6">
        <v>0</v>
      </c>
      <c r="Q3747" s="6">
        <v>0</v>
      </c>
      <c r="R3747" s="6">
        <v>0</v>
      </c>
      <c r="S3747" s="6">
        <v>50</v>
      </c>
    </row>
    <row r="3748" spans="1:19" ht="15" hidden="1" x14ac:dyDescent="0.25">
      <c r="A3748" s="7" t="s">
        <v>16</v>
      </c>
      <c r="B3748" s="7" t="s">
        <v>230</v>
      </c>
      <c r="C3748" s="7" t="s">
        <v>24</v>
      </c>
      <c r="D3748" s="4">
        <v>60742616000160</v>
      </c>
      <c r="E3748" s="8" t="s">
        <v>1362</v>
      </c>
      <c r="F3748" s="8" t="s">
        <v>29</v>
      </c>
      <c r="G3748" s="8" t="s">
        <v>19</v>
      </c>
      <c r="H3748" s="8" t="s">
        <v>215</v>
      </c>
      <c r="I3748" s="3">
        <v>2</v>
      </c>
      <c r="J3748" s="8" t="s">
        <v>147</v>
      </c>
      <c r="K3748" s="8" t="s">
        <v>148</v>
      </c>
      <c r="L3748" s="8" t="s">
        <v>557</v>
      </c>
      <c r="M3748" s="1" t="s">
        <v>207</v>
      </c>
      <c r="N3748" s="8" t="s">
        <v>208</v>
      </c>
      <c r="O3748" s="6">
        <v>0</v>
      </c>
      <c r="P3748" s="6">
        <v>0</v>
      </c>
      <c r="Q3748" s="6">
        <v>0</v>
      </c>
      <c r="R3748" s="6">
        <v>0</v>
      </c>
      <c r="S3748" s="6">
        <v>50</v>
      </c>
    </row>
    <row r="3749" spans="1:19" ht="15" hidden="1" x14ac:dyDescent="0.25">
      <c r="A3749" s="7" t="s">
        <v>16</v>
      </c>
      <c r="B3749" s="7" t="s">
        <v>230</v>
      </c>
      <c r="C3749" s="7" t="s">
        <v>24</v>
      </c>
      <c r="D3749" s="4">
        <v>60777901000116</v>
      </c>
      <c r="E3749" s="8" t="s">
        <v>616</v>
      </c>
      <c r="F3749" s="8" t="s">
        <v>29</v>
      </c>
      <c r="G3749" s="8" t="s">
        <v>19</v>
      </c>
      <c r="H3749" s="8" t="s">
        <v>215</v>
      </c>
      <c r="I3749" s="3">
        <v>2</v>
      </c>
      <c r="J3749" s="8" t="s">
        <v>161</v>
      </c>
      <c r="K3749" s="8" t="s">
        <v>162</v>
      </c>
      <c r="L3749" s="8" t="s">
        <v>556</v>
      </c>
      <c r="M3749" s="1" t="s">
        <v>207</v>
      </c>
      <c r="N3749" s="8" t="s">
        <v>208</v>
      </c>
      <c r="O3749" s="6">
        <v>0</v>
      </c>
      <c r="P3749" s="6">
        <v>0</v>
      </c>
      <c r="Q3749" s="6">
        <v>0</v>
      </c>
      <c r="R3749" s="6">
        <v>30</v>
      </c>
      <c r="S3749" s="6">
        <v>1750</v>
      </c>
    </row>
    <row r="3750" spans="1:19" ht="15" hidden="1" x14ac:dyDescent="0.25">
      <c r="A3750" s="7" t="s">
        <v>16</v>
      </c>
      <c r="B3750" s="7" t="s">
        <v>230</v>
      </c>
      <c r="C3750" s="7" t="s">
        <v>24</v>
      </c>
      <c r="D3750" s="4">
        <v>60777901000116</v>
      </c>
      <c r="E3750" s="8" t="s">
        <v>616</v>
      </c>
      <c r="F3750" s="8" t="s">
        <v>29</v>
      </c>
      <c r="G3750" s="8" t="s">
        <v>19</v>
      </c>
      <c r="H3750" s="8" t="s">
        <v>215</v>
      </c>
      <c r="I3750" s="3">
        <v>2</v>
      </c>
      <c r="J3750" s="8" t="s">
        <v>183</v>
      </c>
      <c r="K3750" s="8" t="s">
        <v>184</v>
      </c>
      <c r="L3750" s="8" t="s">
        <v>557</v>
      </c>
      <c r="M3750" s="1" t="s">
        <v>207</v>
      </c>
      <c r="N3750" s="8" t="s">
        <v>208</v>
      </c>
      <c r="O3750" s="6">
        <v>0</v>
      </c>
      <c r="P3750" s="6">
        <v>8</v>
      </c>
      <c r="Q3750" s="6">
        <v>0</v>
      </c>
      <c r="R3750" s="6">
        <v>0</v>
      </c>
      <c r="S3750" s="6">
        <v>1750</v>
      </c>
    </row>
    <row r="3751" spans="1:19" ht="15" hidden="1" x14ac:dyDescent="0.25">
      <c r="A3751" s="7" t="s">
        <v>16</v>
      </c>
      <c r="B3751" s="7" t="s">
        <v>230</v>
      </c>
      <c r="C3751" s="7" t="s">
        <v>24</v>
      </c>
      <c r="D3751" s="4">
        <v>60975737000232</v>
      </c>
      <c r="E3751" s="8" t="s">
        <v>624</v>
      </c>
      <c r="F3751" s="8" t="s">
        <v>29</v>
      </c>
      <c r="G3751" s="8" t="s">
        <v>19</v>
      </c>
      <c r="H3751" s="8" t="s">
        <v>215</v>
      </c>
      <c r="I3751" s="3">
        <v>2</v>
      </c>
      <c r="J3751" s="8" t="s">
        <v>161</v>
      </c>
      <c r="K3751" s="8" t="s">
        <v>162</v>
      </c>
      <c r="L3751" s="8" t="s">
        <v>556</v>
      </c>
      <c r="M3751" s="1" t="s">
        <v>207</v>
      </c>
      <c r="N3751" s="8" t="s">
        <v>208</v>
      </c>
      <c r="O3751" s="6">
        <v>0</v>
      </c>
      <c r="P3751" s="6">
        <v>0</v>
      </c>
      <c r="Q3751" s="6">
        <v>0</v>
      </c>
      <c r="R3751" s="6">
        <v>0</v>
      </c>
      <c r="S3751" s="6">
        <v>0</v>
      </c>
    </row>
    <row r="3752" spans="1:19" ht="15" hidden="1" x14ac:dyDescent="0.25">
      <c r="A3752" s="7" t="s">
        <v>16</v>
      </c>
      <c r="B3752" s="7" t="s">
        <v>230</v>
      </c>
      <c r="C3752" s="7" t="s">
        <v>24</v>
      </c>
      <c r="D3752" s="4">
        <v>60975737000232</v>
      </c>
      <c r="E3752" s="8" t="s">
        <v>624</v>
      </c>
      <c r="F3752" s="8" t="s">
        <v>29</v>
      </c>
      <c r="G3752" s="8" t="s">
        <v>19</v>
      </c>
      <c r="H3752" s="8" t="s">
        <v>215</v>
      </c>
      <c r="I3752" s="3">
        <v>2</v>
      </c>
      <c r="J3752" s="8" t="s">
        <v>177</v>
      </c>
      <c r="K3752" s="8" t="s">
        <v>178</v>
      </c>
      <c r="L3752" s="8" t="s">
        <v>557</v>
      </c>
      <c r="M3752" s="1" t="s">
        <v>207</v>
      </c>
      <c r="N3752" s="8" t="s">
        <v>208</v>
      </c>
      <c r="O3752" s="6">
        <v>0</v>
      </c>
      <c r="P3752" s="6">
        <v>0</v>
      </c>
      <c r="Q3752" s="6">
        <v>6</v>
      </c>
      <c r="R3752" s="6">
        <v>0</v>
      </c>
      <c r="S3752" s="6">
        <v>0</v>
      </c>
    </row>
    <row r="3753" spans="1:19" ht="15" hidden="1" x14ac:dyDescent="0.25">
      <c r="A3753" s="7" t="s">
        <v>16</v>
      </c>
      <c r="B3753" s="7" t="s">
        <v>230</v>
      </c>
      <c r="C3753" s="7" t="s">
        <v>24</v>
      </c>
      <c r="D3753" s="4">
        <v>28290788000137</v>
      </c>
      <c r="E3753" s="8" t="s">
        <v>591</v>
      </c>
      <c r="F3753" s="8" t="s">
        <v>29</v>
      </c>
      <c r="G3753" s="8" t="s">
        <v>19</v>
      </c>
      <c r="H3753" s="8" t="s">
        <v>215</v>
      </c>
      <c r="I3753" s="3">
        <v>2</v>
      </c>
      <c r="J3753" s="8" t="s">
        <v>161</v>
      </c>
      <c r="K3753" s="8" t="s">
        <v>162</v>
      </c>
      <c r="L3753" s="8" t="s">
        <v>556</v>
      </c>
      <c r="M3753" s="1" t="s">
        <v>207</v>
      </c>
      <c r="N3753" s="8" t="s">
        <v>208</v>
      </c>
      <c r="O3753" s="6">
        <v>0</v>
      </c>
      <c r="P3753" s="6">
        <v>0</v>
      </c>
      <c r="Q3753" s="6">
        <v>0</v>
      </c>
      <c r="R3753" s="6">
        <v>0</v>
      </c>
      <c r="S3753" s="6">
        <v>0</v>
      </c>
    </row>
    <row r="3754" spans="1:19" ht="15" hidden="1" x14ac:dyDescent="0.25">
      <c r="A3754" s="7" t="s">
        <v>16</v>
      </c>
      <c r="B3754" s="7" t="s">
        <v>230</v>
      </c>
      <c r="C3754" s="7" t="s">
        <v>24</v>
      </c>
      <c r="D3754" s="4">
        <v>28290788000137</v>
      </c>
      <c r="E3754" s="8" t="s">
        <v>591</v>
      </c>
      <c r="F3754" s="8" t="s">
        <v>29</v>
      </c>
      <c r="G3754" s="8" t="s">
        <v>19</v>
      </c>
      <c r="H3754" s="8" t="s">
        <v>215</v>
      </c>
      <c r="I3754" s="3">
        <v>2</v>
      </c>
      <c r="J3754" s="8" t="s">
        <v>147</v>
      </c>
      <c r="K3754" s="8" t="s">
        <v>148</v>
      </c>
      <c r="L3754" s="8" t="s">
        <v>557</v>
      </c>
      <c r="M3754" s="1" t="s">
        <v>207</v>
      </c>
      <c r="N3754" s="8" t="s">
        <v>208</v>
      </c>
      <c r="O3754" s="6">
        <v>0</v>
      </c>
      <c r="P3754" s="6">
        <v>21</v>
      </c>
      <c r="Q3754" s="6">
        <v>11</v>
      </c>
      <c r="R3754" s="6">
        <v>0</v>
      </c>
      <c r="S3754" s="6">
        <v>0</v>
      </c>
    </row>
    <row r="3755" spans="1:19" ht="15" hidden="1" x14ac:dyDescent="0.25">
      <c r="A3755" s="7" t="s">
        <v>16</v>
      </c>
      <c r="B3755" s="7" t="s">
        <v>230</v>
      </c>
      <c r="C3755" s="7" t="s">
        <v>24</v>
      </c>
      <c r="D3755" s="4">
        <v>5831510000124</v>
      </c>
      <c r="E3755" s="8" t="s">
        <v>567</v>
      </c>
      <c r="F3755" s="8" t="s">
        <v>29</v>
      </c>
      <c r="G3755" s="8" t="s">
        <v>19</v>
      </c>
      <c r="H3755" s="8" t="s">
        <v>215</v>
      </c>
      <c r="I3755" s="3">
        <v>2</v>
      </c>
      <c r="J3755" s="8" t="s">
        <v>161</v>
      </c>
      <c r="K3755" s="8" t="s">
        <v>162</v>
      </c>
      <c r="L3755" s="8" t="s">
        <v>556</v>
      </c>
      <c r="M3755" s="1" t="s">
        <v>207</v>
      </c>
      <c r="N3755" s="8" t="s">
        <v>208</v>
      </c>
      <c r="O3755" s="6">
        <v>0</v>
      </c>
      <c r="P3755" s="6">
        <v>0</v>
      </c>
      <c r="Q3755" s="6">
        <v>0</v>
      </c>
      <c r="R3755" s="6">
        <v>0</v>
      </c>
      <c r="S3755" s="6">
        <v>140</v>
      </c>
    </row>
    <row r="3756" spans="1:19" ht="15" hidden="1" x14ac:dyDescent="0.25">
      <c r="A3756" s="7" t="s">
        <v>16</v>
      </c>
      <c r="B3756" s="7" t="s">
        <v>230</v>
      </c>
      <c r="C3756" s="7" t="s">
        <v>24</v>
      </c>
      <c r="D3756" s="4">
        <v>5831510000124</v>
      </c>
      <c r="E3756" s="8" t="s">
        <v>567</v>
      </c>
      <c r="F3756" s="8" t="s">
        <v>29</v>
      </c>
      <c r="G3756" s="8" t="s">
        <v>19</v>
      </c>
      <c r="H3756" s="8" t="s">
        <v>215</v>
      </c>
      <c r="I3756" s="3">
        <v>2</v>
      </c>
      <c r="J3756" s="8" t="s">
        <v>147</v>
      </c>
      <c r="K3756" s="8" t="s">
        <v>148</v>
      </c>
      <c r="L3756" s="8" t="s">
        <v>557</v>
      </c>
      <c r="M3756" s="1" t="s">
        <v>207</v>
      </c>
      <c r="N3756" s="8" t="s">
        <v>208</v>
      </c>
      <c r="O3756" s="6">
        <v>0</v>
      </c>
      <c r="P3756" s="6">
        <v>0</v>
      </c>
      <c r="Q3756" s="6">
        <v>0</v>
      </c>
      <c r="R3756" s="6">
        <v>0</v>
      </c>
      <c r="S3756" s="6">
        <v>140</v>
      </c>
    </row>
    <row r="3757" spans="1:19" ht="15" hidden="1" x14ac:dyDescent="0.25">
      <c r="A3757" s="7" t="s">
        <v>16</v>
      </c>
      <c r="B3757" s="7" t="s">
        <v>230</v>
      </c>
      <c r="C3757" s="7" t="s">
        <v>24</v>
      </c>
      <c r="D3757" s="4">
        <v>461479004584</v>
      </c>
      <c r="E3757" s="8" t="s">
        <v>560</v>
      </c>
      <c r="F3757" s="8" t="s">
        <v>29</v>
      </c>
      <c r="G3757" s="8" t="s">
        <v>19</v>
      </c>
      <c r="H3757" s="8" t="s">
        <v>215</v>
      </c>
      <c r="I3757" s="3">
        <v>2</v>
      </c>
      <c r="J3757" s="8" t="s">
        <v>1355</v>
      </c>
      <c r="K3757" s="8" t="s">
        <v>1356</v>
      </c>
      <c r="L3757" s="8" t="s">
        <v>556</v>
      </c>
      <c r="M3757" s="1" t="s">
        <v>207</v>
      </c>
      <c r="N3757" s="8" t="s">
        <v>208</v>
      </c>
      <c r="O3757" s="6">
        <v>0</v>
      </c>
      <c r="P3757" s="6">
        <v>0</v>
      </c>
      <c r="Q3757" s="6">
        <v>0</v>
      </c>
      <c r="R3757" s="6">
        <v>0</v>
      </c>
      <c r="S3757" s="6">
        <v>1220</v>
      </c>
    </row>
    <row r="3758" spans="1:19" ht="15" hidden="1" x14ac:dyDescent="0.25">
      <c r="A3758" s="7" t="s">
        <v>16</v>
      </c>
      <c r="B3758" s="7" t="s">
        <v>230</v>
      </c>
      <c r="C3758" s="7" t="s">
        <v>24</v>
      </c>
      <c r="D3758" s="4">
        <v>461479004584</v>
      </c>
      <c r="E3758" s="8" t="s">
        <v>560</v>
      </c>
      <c r="F3758" s="8" t="s">
        <v>29</v>
      </c>
      <c r="G3758" s="8" t="s">
        <v>19</v>
      </c>
      <c r="H3758" s="8" t="s">
        <v>215</v>
      </c>
      <c r="I3758" s="3">
        <v>2</v>
      </c>
      <c r="J3758" s="8" t="s">
        <v>183</v>
      </c>
      <c r="K3758" s="8" t="s">
        <v>184</v>
      </c>
      <c r="L3758" s="8" t="s">
        <v>557</v>
      </c>
      <c r="M3758" s="1" t="s">
        <v>207</v>
      </c>
      <c r="N3758" s="8" t="s">
        <v>208</v>
      </c>
      <c r="O3758" s="6">
        <v>0</v>
      </c>
      <c r="P3758" s="6">
        <v>0</v>
      </c>
      <c r="Q3758" s="6">
        <v>0</v>
      </c>
      <c r="R3758" s="6">
        <v>0</v>
      </c>
      <c r="S3758" s="6">
        <v>1220</v>
      </c>
    </row>
    <row r="3759" spans="1:19" ht="15" hidden="1" x14ac:dyDescent="0.25">
      <c r="A3759" s="7" t="s">
        <v>16</v>
      </c>
      <c r="B3759" s="7" t="s">
        <v>230</v>
      </c>
      <c r="C3759" s="7" t="s">
        <v>24</v>
      </c>
      <c r="D3759" s="4">
        <v>56577059000606</v>
      </c>
      <c r="E3759" s="8" t="s">
        <v>606</v>
      </c>
      <c r="F3759" s="8" t="s">
        <v>29</v>
      </c>
      <c r="G3759" s="8" t="s">
        <v>19</v>
      </c>
      <c r="H3759" s="8" t="s">
        <v>215</v>
      </c>
      <c r="I3759" s="3">
        <v>2</v>
      </c>
      <c r="J3759" s="8" t="s">
        <v>1355</v>
      </c>
      <c r="K3759" s="8" t="s">
        <v>1356</v>
      </c>
      <c r="L3759" s="8" t="s">
        <v>556</v>
      </c>
      <c r="M3759" s="1" t="s">
        <v>207</v>
      </c>
      <c r="N3759" s="8" t="s">
        <v>208</v>
      </c>
      <c r="O3759" s="6">
        <v>0</v>
      </c>
      <c r="P3759" s="6">
        <v>0</v>
      </c>
      <c r="Q3759" s="6">
        <v>0</v>
      </c>
      <c r="R3759" s="6">
        <v>0</v>
      </c>
      <c r="S3759" s="6">
        <v>0</v>
      </c>
    </row>
    <row r="3760" spans="1:19" ht="15" hidden="1" x14ac:dyDescent="0.25">
      <c r="A3760" s="7" t="s">
        <v>16</v>
      </c>
      <c r="B3760" s="7" t="s">
        <v>230</v>
      </c>
      <c r="C3760" s="7" t="s">
        <v>24</v>
      </c>
      <c r="D3760" s="4">
        <v>56577059000606</v>
      </c>
      <c r="E3760" s="8" t="s">
        <v>606</v>
      </c>
      <c r="F3760" s="8" t="s">
        <v>29</v>
      </c>
      <c r="G3760" s="8" t="s">
        <v>19</v>
      </c>
      <c r="H3760" s="8" t="s">
        <v>215</v>
      </c>
      <c r="I3760" s="3">
        <v>2</v>
      </c>
      <c r="J3760" s="8" t="s">
        <v>177</v>
      </c>
      <c r="K3760" s="8" t="s">
        <v>178</v>
      </c>
      <c r="L3760" s="8" t="s">
        <v>557</v>
      </c>
      <c r="M3760" s="1" t="s">
        <v>207</v>
      </c>
      <c r="N3760" s="8" t="s">
        <v>208</v>
      </c>
      <c r="O3760" s="6">
        <v>0</v>
      </c>
      <c r="P3760" s="6">
        <v>8</v>
      </c>
      <c r="Q3760" s="6">
        <v>0</v>
      </c>
      <c r="R3760" s="6">
        <v>0</v>
      </c>
      <c r="S3760" s="6">
        <v>0</v>
      </c>
    </row>
    <row r="3761" spans="1:19" ht="15" hidden="1" x14ac:dyDescent="0.25">
      <c r="A3761" s="7" t="s">
        <v>16</v>
      </c>
      <c r="B3761" s="7" t="s">
        <v>230</v>
      </c>
      <c r="C3761" s="7" t="s">
        <v>24</v>
      </c>
      <c r="D3761" s="4">
        <v>44649812005520</v>
      </c>
      <c r="E3761" s="8" t="s">
        <v>598</v>
      </c>
      <c r="F3761" s="8" t="s">
        <v>29</v>
      </c>
      <c r="G3761" s="8" t="s">
        <v>19</v>
      </c>
      <c r="H3761" s="8" t="s">
        <v>215</v>
      </c>
      <c r="I3761" s="3">
        <v>2</v>
      </c>
      <c r="J3761" s="8" t="s">
        <v>1355</v>
      </c>
      <c r="K3761" s="8" t="s">
        <v>1356</v>
      </c>
      <c r="L3761" s="8" t="s">
        <v>556</v>
      </c>
      <c r="M3761" s="1" t="s">
        <v>207</v>
      </c>
      <c r="N3761" s="8" t="s">
        <v>208</v>
      </c>
      <c r="O3761" s="6">
        <v>0</v>
      </c>
      <c r="P3761" s="6">
        <v>0</v>
      </c>
      <c r="Q3761" s="6">
        <v>0</v>
      </c>
      <c r="R3761" s="6">
        <v>0</v>
      </c>
      <c r="S3761" s="6">
        <v>70</v>
      </c>
    </row>
    <row r="3762" spans="1:19" ht="15" hidden="1" x14ac:dyDescent="0.25">
      <c r="A3762" s="7" t="s">
        <v>16</v>
      </c>
      <c r="B3762" s="7" t="s">
        <v>230</v>
      </c>
      <c r="C3762" s="7" t="s">
        <v>24</v>
      </c>
      <c r="D3762" s="4">
        <v>44649812005520</v>
      </c>
      <c r="E3762" s="8" t="s">
        <v>598</v>
      </c>
      <c r="F3762" s="8" t="s">
        <v>29</v>
      </c>
      <c r="G3762" s="8" t="s">
        <v>19</v>
      </c>
      <c r="H3762" s="8" t="s">
        <v>215</v>
      </c>
      <c r="I3762" s="3">
        <v>2</v>
      </c>
      <c r="J3762" s="8" t="s">
        <v>147</v>
      </c>
      <c r="K3762" s="8" t="s">
        <v>148</v>
      </c>
      <c r="L3762" s="8" t="s">
        <v>557</v>
      </c>
      <c r="M3762" s="1" t="s">
        <v>207</v>
      </c>
      <c r="N3762" s="8" t="s">
        <v>208</v>
      </c>
      <c r="O3762" s="6">
        <v>0</v>
      </c>
      <c r="P3762" s="6">
        <v>0</v>
      </c>
      <c r="Q3762" s="6">
        <v>0</v>
      </c>
      <c r="R3762" s="6">
        <v>0</v>
      </c>
      <c r="S3762" s="6">
        <v>70</v>
      </c>
    </row>
    <row r="3763" spans="1:19" ht="15" hidden="1" x14ac:dyDescent="0.25">
      <c r="A3763" s="7" t="s">
        <v>16</v>
      </c>
      <c r="B3763" s="7" t="s">
        <v>230</v>
      </c>
      <c r="C3763" s="7" t="s">
        <v>24</v>
      </c>
      <c r="D3763" s="4">
        <v>62779145000190</v>
      </c>
      <c r="E3763" s="8" t="s">
        <v>634</v>
      </c>
      <c r="F3763" s="8" t="s">
        <v>29</v>
      </c>
      <c r="G3763" s="8" t="s">
        <v>19</v>
      </c>
      <c r="H3763" s="8" t="s">
        <v>215</v>
      </c>
      <c r="I3763" s="3">
        <v>2</v>
      </c>
      <c r="J3763" s="8" t="s">
        <v>161</v>
      </c>
      <c r="K3763" s="8" t="s">
        <v>162</v>
      </c>
      <c r="L3763" s="8" t="s">
        <v>556</v>
      </c>
      <c r="M3763" s="1" t="s">
        <v>207</v>
      </c>
      <c r="N3763" s="8" t="s">
        <v>208</v>
      </c>
      <c r="O3763" s="6">
        <v>0</v>
      </c>
      <c r="P3763" s="6">
        <v>0</v>
      </c>
      <c r="Q3763" s="6">
        <v>0</v>
      </c>
      <c r="R3763" s="6">
        <v>0</v>
      </c>
      <c r="S3763" s="6">
        <v>300</v>
      </c>
    </row>
    <row r="3764" spans="1:19" ht="15" hidden="1" x14ac:dyDescent="0.25">
      <c r="A3764" s="7" t="s">
        <v>16</v>
      </c>
      <c r="B3764" s="7" t="s">
        <v>230</v>
      </c>
      <c r="C3764" s="7" t="s">
        <v>24</v>
      </c>
      <c r="D3764" s="4">
        <v>62779145000190</v>
      </c>
      <c r="E3764" s="8" t="s">
        <v>634</v>
      </c>
      <c r="F3764" s="8" t="s">
        <v>29</v>
      </c>
      <c r="G3764" s="8" t="s">
        <v>19</v>
      </c>
      <c r="H3764" s="8" t="s">
        <v>215</v>
      </c>
      <c r="I3764" s="3">
        <v>2</v>
      </c>
      <c r="J3764" s="8" t="s">
        <v>177</v>
      </c>
      <c r="K3764" s="8" t="s">
        <v>178</v>
      </c>
      <c r="L3764" s="8" t="s">
        <v>557</v>
      </c>
      <c r="M3764" s="1" t="s">
        <v>207</v>
      </c>
      <c r="N3764" s="8" t="s">
        <v>208</v>
      </c>
      <c r="O3764" s="6">
        <v>0</v>
      </c>
      <c r="P3764" s="6">
        <v>6</v>
      </c>
      <c r="Q3764" s="6">
        <v>0</v>
      </c>
      <c r="R3764" s="6">
        <v>0</v>
      </c>
      <c r="S3764" s="6">
        <v>300</v>
      </c>
    </row>
    <row r="3765" spans="1:19" ht="15" hidden="1" x14ac:dyDescent="0.25">
      <c r="A3765" s="7" t="s">
        <v>16</v>
      </c>
      <c r="B3765" s="7" t="s">
        <v>230</v>
      </c>
      <c r="C3765" s="7" t="s">
        <v>24</v>
      </c>
      <c r="D3765" s="4">
        <v>23941593838</v>
      </c>
      <c r="E3765" s="8" t="s">
        <v>555</v>
      </c>
      <c r="F3765" s="8" t="s">
        <v>29</v>
      </c>
      <c r="G3765" s="8" t="s">
        <v>19</v>
      </c>
      <c r="H3765" s="8" t="s">
        <v>215</v>
      </c>
      <c r="I3765" s="3">
        <v>2</v>
      </c>
      <c r="J3765" s="8" t="s">
        <v>1355</v>
      </c>
      <c r="K3765" s="8" t="s">
        <v>1356</v>
      </c>
      <c r="L3765" s="8" t="s">
        <v>556</v>
      </c>
      <c r="M3765" s="1" t="s">
        <v>207</v>
      </c>
      <c r="N3765" s="8" t="s">
        <v>208</v>
      </c>
      <c r="O3765" s="6">
        <v>0</v>
      </c>
      <c r="P3765" s="6">
        <v>0</v>
      </c>
      <c r="Q3765" s="6">
        <v>0</v>
      </c>
      <c r="R3765" s="6">
        <v>60</v>
      </c>
      <c r="S3765" s="6">
        <v>0</v>
      </c>
    </row>
    <row r="3766" spans="1:19" ht="15" hidden="1" x14ac:dyDescent="0.25">
      <c r="A3766" s="7" t="s">
        <v>16</v>
      </c>
      <c r="B3766" s="7" t="s">
        <v>230</v>
      </c>
      <c r="C3766" s="7" t="s">
        <v>24</v>
      </c>
      <c r="D3766" s="4">
        <v>23941593838</v>
      </c>
      <c r="E3766" s="8" t="s">
        <v>555</v>
      </c>
      <c r="F3766" s="8" t="s">
        <v>29</v>
      </c>
      <c r="G3766" s="8" t="s">
        <v>19</v>
      </c>
      <c r="H3766" s="8" t="s">
        <v>215</v>
      </c>
      <c r="I3766" s="3">
        <v>2</v>
      </c>
      <c r="J3766" s="8" t="s">
        <v>183</v>
      </c>
      <c r="K3766" s="8" t="s">
        <v>184</v>
      </c>
      <c r="L3766" s="8" t="s">
        <v>557</v>
      </c>
      <c r="M3766" s="1" t="s">
        <v>207</v>
      </c>
      <c r="N3766" s="8" t="s">
        <v>208</v>
      </c>
      <c r="O3766" s="6">
        <v>0</v>
      </c>
      <c r="P3766" s="6">
        <v>0</v>
      </c>
      <c r="Q3766" s="6">
        <v>0</v>
      </c>
      <c r="R3766" s="6">
        <v>0</v>
      </c>
      <c r="S3766" s="6">
        <v>0</v>
      </c>
    </row>
    <row r="3767" spans="1:19" ht="15" hidden="1" x14ac:dyDescent="0.25">
      <c r="A3767" s="7" t="s">
        <v>16</v>
      </c>
      <c r="B3767" s="7" t="s">
        <v>230</v>
      </c>
      <c r="C3767" s="7" t="s">
        <v>24</v>
      </c>
      <c r="D3767" s="4">
        <v>44649812021216</v>
      </c>
      <c r="E3767" s="8" t="s">
        <v>1360</v>
      </c>
      <c r="F3767" s="8" t="s">
        <v>29</v>
      </c>
      <c r="G3767" s="8" t="s">
        <v>19</v>
      </c>
      <c r="H3767" s="8" t="s">
        <v>215</v>
      </c>
      <c r="I3767" s="3">
        <v>2</v>
      </c>
      <c r="J3767" s="8" t="s">
        <v>1355</v>
      </c>
      <c r="K3767" s="8" t="s">
        <v>1356</v>
      </c>
      <c r="L3767" s="8" t="s">
        <v>556</v>
      </c>
      <c r="M3767" s="1" t="s">
        <v>207</v>
      </c>
      <c r="N3767" s="8" t="s">
        <v>208</v>
      </c>
      <c r="O3767" s="6">
        <v>0</v>
      </c>
      <c r="P3767" s="6">
        <v>0</v>
      </c>
      <c r="Q3767" s="6">
        <v>0</v>
      </c>
      <c r="R3767" s="6">
        <v>8</v>
      </c>
      <c r="S3767" s="6">
        <v>0</v>
      </c>
    </row>
    <row r="3768" spans="1:19" ht="15" hidden="1" x14ac:dyDescent="0.25">
      <c r="A3768" s="7" t="s">
        <v>16</v>
      </c>
      <c r="B3768" s="7" t="s">
        <v>230</v>
      </c>
      <c r="C3768" s="7" t="s">
        <v>24</v>
      </c>
      <c r="D3768" s="4">
        <v>44649812021216</v>
      </c>
      <c r="E3768" s="8" t="s">
        <v>1360</v>
      </c>
      <c r="F3768" s="8" t="s">
        <v>29</v>
      </c>
      <c r="G3768" s="8" t="s">
        <v>19</v>
      </c>
      <c r="H3768" s="8" t="s">
        <v>215</v>
      </c>
      <c r="I3768" s="3">
        <v>2</v>
      </c>
      <c r="J3768" s="8" t="s">
        <v>147</v>
      </c>
      <c r="K3768" s="8" t="s">
        <v>148</v>
      </c>
      <c r="L3768" s="8" t="s">
        <v>557</v>
      </c>
      <c r="M3768" s="1" t="s">
        <v>207</v>
      </c>
      <c r="N3768" s="8" t="s">
        <v>208</v>
      </c>
      <c r="O3768" s="6">
        <v>0</v>
      </c>
      <c r="P3768" s="6">
        <v>0</v>
      </c>
      <c r="Q3768" s="6">
        <v>0</v>
      </c>
      <c r="R3768" s="6">
        <v>0</v>
      </c>
      <c r="S3768" s="6">
        <v>0</v>
      </c>
    </row>
    <row r="3769" spans="1:19" ht="15" hidden="1" x14ac:dyDescent="0.25">
      <c r="A3769" s="7" t="s">
        <v>16</v>
      </c>
      <c r="B3769" s="7" t="s">
        <v>230</v>
      </c>
      <c r="C3769" s="7" t="s">
        <v>24</v>
      </c>
      <c r="D3769" s="4">
        <v>4036348000190</v>
      </c>
      <c r="E3769" s="8" t="s">
        <v>565</v>
      </c>
      <c r="F3769" s="8" t="s">
        <v>29</v>
      </c>
      <c r="G3769" s="8" t="s">
        <v>19</v>
      </c>
      <c r="H3769" s="8" t="s">
        <v>215</v>
      </c>
      <c r="I3769" s="3">
        <v>2</v>
      </c>
      <c r="J3769" s="8" t="s">
        <v>1355</v>
      </c>
      <c r="K3769" s="8" t="s">
        <v>1356</v>
      </c>
      <c r="L3769" s="8" t="s">
        <v>556</v>
      </c>
      <c r="M3769" s="1" t="s">
        <v>207</v>
      </c>
      <c r="N3769" s="8" t="s">
        <v>208</v>
      </c>
      <c r="O3769" s="6">
        <v>0</v>
      </c>
      <c r="P3769" s="6">
        <v>0</v>
      </c>
      <c r="Q3769" s="6">
        <v>0</v>
      </c>
      <c r="R3769" s="6">
        <v>0</v>
      </c>
      <c r="S3769" s="6">
        <v>395</v>
      </c>
    </row>
    <row r="3770" spans="1:19" ht="15" hidden="1" x14ac:dyDescent="0.25">
      <c r="A3770" s="7" t="s">
        <v>16</v>
      </c>
      <c r="B3770" s="7" t="s">
        <v>230</v>
      </c>
      <c r="C3770" s="7" t="s">
        <v>24</v>
      </c>
      <c r="D3770" s="4">
        <v>4036348000190</v>
      </c>
      <c r="E3770" s="8" t="s">
        <v>565</v>
      </c>
      <c r="F3770" s="8" t="s">
        <v>29</v>
      </c>
      <c r="G3770" s="8" t="s">
        <v>19</v>
      </c>
      <c r="H3770" s="8" t="s">
        <v>215</v>
      </c>
      <c r="I3770" s="3">
        <v>2</v>
      </c>
      <c r="J3770" s="8" t="s">
        <v>147</v>
      </c>
      <c r="K3770" s="8" t="s">
        <v>148</v>
      </c>
      <c r="L3770" s="8" t="s">
        <v>557</v>
      </c>
      <c r="M3770" s="1" t="s">
        <v>207</v>
      </c>
      <c r="N3770" s="8" t="s">
        <v>208</v>
      </c>
      <c r="O3770" s="6">
        <v>0</v>
      </c>
      <c r="P3770" s="6">
        <v>0</v>
      </c>
      <c r="Q3770" s="6">
        <v>0</v>
      </c>
      <c r="R3770" s="6">
        <v>0</v>
      </c>
      <c r="S3770" s="6">
        <v>395</v>
      </c>
    </row>
    <row r="3771" spans="1:19" ht="15" hidden="1" x14ac:dyDescent="0.25">
      <c r="A3771" s="7" t="s">
        <v>16</v>
      </c>
      <c r="B3771" s="7" t="s">
        <v>230</v>
      </c>
      <c r="C3771" s="7" t="s">
        <v>24</v>
      </c>
      <c r="D3771" s="4">
        <v>22227973000109</v>
      </c>
      <c r="E3771" s="8" t="s">
        <v>590</v>
      </c>
      <c r="F3771" s="8" t="s">
        <v>29</v>
      </c>
      <c r="G3771" s="8" t="s">
        <v>19</v>
      </c>
      <c r="H3771" s="8" t="s">
        <v>215</v>
      </c>
      <c r="I3771" s="3">
        <v>2</v>
      </c>
      <c r="J3771" s="8" t="s">
        <v>161</v>
      </c>
      <c r="K3771" s="8" t="s">
        <v>162</v>
      </c>
      <c r="L3771" s="8" t="s">
        <v>556</v>
      </c>
      <c r="M3771" s="1" t="s">
        <v>207</v>
      </c>
      <c r="N3771" s="8" t="s">
        <v>208</v>
      </c>
      <c r="O3771" s="6">
        <v>31</v>
      </c>
      <c r="P3771" s="6">
        <v>0</v>
      </c>
      <c r="Q3771" s="6">
        <v>0</v>
      </c>
      <c r="R3771" s="6">
        <v>0</v>
      </c>
      <c r="S3771" s="6">
        <v>0</v>
      </c>
    </row>
    <row r="3772" spans="1:19" ht="15" hidden="1" x14ac:dyDescent="0.25">
      <c r="A3772" s="7" t="s">
        <v>16</v>
      </c>
      <c r="B3772" s="7" t="s">
        <v>230</v>
      </c>
      <c r="C3772" s="7" t="s">
        <v>24</v>
      </c>
      <c r="D3772" s="4">
        <v>22227973000109</v>
      </c>
      <c r="E3772" s="8" t="s">
        <v>590</v>
      </c>
      <c r="F3772" s="8" t="s">
        <v>29</v>
      </c>
      <c r="G3772" s="8" t="s">
        <v>19</v>
      </c>
      <c r="H3772" s="8" t="s">
        <v>215</v>
      </c>
      <c r="I3772" s="3">
        <v>2</v>
      </c>
      <c r="J3772" s="8" t="s">
        <v>183</v>
      </c>
      <c r="K3772" s="8" t="s">
        <v>184</v>
      </c>
      <c r="L3772" s="8" t="s">
        <v>557</v>
      </c>
      <c r="M3772" s="1" t="s">
        <v>207</v>
      </c>
      <c r="N3772" s="8" t="s">
        <v>208</v>
      </c>
      <c r="O3772" s="6">
        <v>0</v>
      </c>
      <c r="P3772" s="6">
        <v>0</v>
      </c>
      <c r="Q3772" s="6">
        <v>0</v>
      </c>
      <c r="R3772" s="6">
        <v>0</v>
      </c>
      <c r="S3772" s="6">
        <v>0</v>
      </c>
    </row>
    <row r="3773" spans="1:19" ht="15" hidden="1" x14ac:dyDescent="0.25">
      <c r="A3773" s="7" t="s">
        <v>16</v>
      </c>
      <c r="B3773" s="7" t="s">
        <v>230</v>
      </c>
      <c r="C3773" s="7" t="s">
        <v>24</v>
      </c>
      <c r="D3773" s="4">
        <v>2837922000183</v>
      </c>
      <c r="E3773" s="8" t="s">
        <v>563</v>
      </c>
      <c r="F3773" s="8" t="s">
        <v>29</v>
      </c>
      <c r="G3773" s="8" t="s">
        <v>19</v>
      </c>
      <c r="H3773" s="8" t="s">
        <v>215</v>
      </c>
      <c r="I3773" s="3">
        <v>2</v>
      </c>
      <c r="J3773" s="8" t="s">
        <v>161</v>
      </c>
      <c r="K3773" s="8" t="s">
        <v>162</v>
      </c>
      <c r="L3773" s="8" t="s">
        <v>556</v>
      </c>
      <c r="M3773" s="1" t="s">
        <v>207</v>
      </c>
      <c r="N3773" s="8" t="s">
        <v>208</v>
      </c>
      <c r="O3773" s="6">
        <v>0</v>
      </c>
      <c r="P3773" s="6">
        <v>0</v>
      </c>
      <c r="Q3773" s="6">
        <v>0</v>
      </c>
      <c r="R3773" s="6">
        <v>40</v>
      </c>
      <c r="S3773" s="6">
        <v>0</v>
      </c>
    </row>
    <row r="3774" spans="1:19" ht="15" hidden="1" x14ac:dyDescent="0.25">
      <c r="A3774" s="7" t="s">
        <v>16</v>
      </c>
      <c r="B3774" s="7" t="s">
        <v>230</v>
      </c>
      <c r="C3774" s="7" t="s">
        <v>24</v>
      </c>
      <c r="D3774" s="4">
        <v>2837922000183</v>
      </c>
      <c r="E3774" s="8" t="s">
        <v>563</v>
      </c>
      <c r="F3774" s="8" t="s">
        <v>29</v>
      </c>
      <c r="G3774" s="8" t="s">
        <v>19</v>
      </c>
      <c r="H3774" s="8" t="s">
        <v>215</v>
      </c>
      <c r="I3774" s="3">
        <v>2</v>
      </c>
      <c r="J3774" s="8" t="s">
        <v>147</v>
      </c>
      <c r="K3774" s="8" t="s">
        <v>148</v>
      </c>
      <c r="L3774" s="8" t="s">
        <v>557</v>
      </c>
      <c r="M3774" s="1" t="s">
        <v>207</v>
      </c>
      <c r="N3774" s="8" t="s">
        <v>208</v>
      </c>
      <c r="O3774" s="6">
        <v>0</v>
      </c>
      <c r="P3774" s="6">
        <v>0</v>
      </c>
      <c r="Q3774" s="6">
        <v>0</v>
      </c>
      <c r="R3774" s="6">
        <v>0</v>
      </c>
      <c r="S3774" s="6">
        <v>0</v>
      </c>
    </row>
    <row r="3775" spans="1:19" ht="15" hidden="1" x14ac:dyDescent="0.25">
      <c r="A3775" s="7" t="s">
        <v>16</v>
      </c>
      <c r="B3775" s="7" t="s">
        <v>230</v>
      </c>
      <c r="C3775" s="7" t="s">
        <v>24</v>
      </c>
      <c r="D3775" s="4">
        <v>61599908000158</v>
      </c>
      <c r="E3775" s="8" t="s">
        <v>631</v>
      </c>
      <c r="F3775" s="8" t="s">
        <v>29</v>
      </c>
      <c r="G3775" s="8" t="s">
        <v>19</v>
      </c>
      <c r="H3775" s="8" t="s">
        <v>215</v>
      </c>
      <c r="I3775" s="3">
        <v>2</v>
      </c>
      <c r="J3775" s="8" t="s">
        <v>1355</v>
      </c>
      <c r="K3775" s="8" t="s">
        <v>1356</v>
      </c>
      <c r="L3775" s="8" t="s">
        <v>556</v>
      </c>
      <c r="M3775" s="1" t="s">
        <v>207</v>
      </c>
      <c r="N3775" s="8" t="s">
        <v>208</v>
      </c>
      <c r="O3775" s="6">
        <v>0</v>
      </c>
      <c r="P3775" s="6">
        <v>0</v>
      </c>
      <c r="Q3775" s="6">
        <v>0</v>
      </c>
      <c r="R3775" s="6">
        <v>0</v>
      </c>
      <c r="S3775" s="6">
        <v>0</v>
      </c>
    </row>
    <row r="3776" spans="1:19" ht="15" hidden="1" x14ac:dyDescent="0.25">
      <c r="A3776" s="7" t="s">
        <v>16</v>
      </c>
      <c r="B3776" s="7" t="s">
        <v>230</v>
      </c>
      <c r="C3776" s="7" t="s">
        <v>24</v>
      </c>
      <c r="D3776" s="4">
        <v>61599908000158</v>
      </c>
      <c r="E3776" s="8" t="s">
        <v>631</v>
      </c>
      <c r="F3776" s="8" t="s">
        <v>29</v>
      </c>
      <c r="G3776" s="8" t="s">
        <v>19</v>
      </c>
      <c r="H3776" s="8" t="s">
        <v>215</v>
      </c>
      <c r="I3776" s="3">
        <v>2</v>
      </c>
      <c r="J3776" s="8" t="s">
        <v>183</v>
      </c>
      <c r="K3776" s="8" t="s">
        <v>184</v>
      </c>
      <c r="L3776" s="8" t="s">
        <v>557</v>
      </c>
      <c r="M3776" s="1" t="s">
        <v>207</v>
      </c>
      <c r="N3776" s="8" t="s">
        <v>208</v>
      </c>
      <c r="O3776" s="6">
        <v>0</v>
      </c>
      <c r="P3776" s="6">
        <v>120</v>
      </c>
      <c r="Q3776" s="6">
        <v>75</v>
      </c>
      <c r="R3776" s="6">
        <v>0</v>
      </c>
      <c r="S3776" s="6">
        <v>0</v>
      </c>
    </row>
    <row r="3777" spans="1:19" ht="15" hidden="1" x14ac:dyDescent="0.25">
      <c r="A3777" s="7" t="s">
        <v>16</v>
      </c>
      <c r="B3777" s="7" t="s">
        <v>230</v>
      </c>
      <c r="C3777" s="7" t="s">
        <v>24</v>
      </c>
      <c r="D3777" s="4">
        <v>7045325000130</v>
      </c>
      <c r="E3777" s="8" t="s">
        <v>571</v>
      </c>
      <c r="F3777" s="8" t="s">
        <v>29</v>
      </c>
      <c r="G3777" s="8" t="s">
        <v>19</v>
      </c>
      <c r="H3777" s="8" t="s">
        <v>215</v>
      </c>
      <c r="I3777" s="3">
        <v>2</v>
      </c>
      <c r="J3777" s="8" t="s">
        <v>161</v>
      </c>
      <c r="K3777" s="8" t="s">
        <v>162</v>
      </c>
      <c r="L3777" s="8" t="s">
        <v>556</v>
      </c>
      <c r="M3777" s="1" t="s">
        <v>207</v>
      </c>
      <c r="N3777" s="8" t="s">
        <v>208</v>
      </c>
      <c r="O3777" s="6">
        <v>0</v>
      </c>
      <c r="P3777" s="6">
        <v>0</v>
      </c>
      <c r="Q3777" s="6">
        <v>0</v>
      </c>
      <c r="R3777" s="6">
        <v>60</v>
      </c>
      <c r="S3777" s="6">
        <v>850</v>
      </c>
    </row>
    <row r="3778" spans="1:19" ht="15" hidden="1" x14ac:dyDescent="0.25">
      <c r="A3778" s="7" t="s">
        <v>16</v>
      </c>
      <c r="B3778" s="7" t="s">
        <v>230</v>
      </c>
      <c r="C3778" s="7" t="s">
        <v>24</v>
      </c>
      <c r="D3778" s="4">
        <v>7045325000130</v>
      </c>
      <c r="E3778" s="8" t="s">
        <v>571</v>
      </c>
      <c r="F3778" s="8" t="s">
        <v>29</v>
      </c>
      <c r="G3778" s="8" t="s">
        <v>19</v>
      </c>
      <c r="H3778" s="8" t="s">
        <v>215</v>
      </c>
      <c r="I3778" s="3">
        <v>2</v>
      </c>
      <c r="J3778" s="8" t="s">
        <v>147</v>
      </c>
      <c r="K3778" s="8" t="s">
        <v>148</v>
      </c>
      <c r="L3778" s="8" t="s">
        <v>557</v>
      </c>
      <c r="M3778" s="1" t="s">
        <v>207</v>
      </c>
      <c r="N3778" s="8" t="s">
        <v>208</v>
      </c>
      <c r="O3778" s="6">
        <v>0</v>
      </c>
      <c r="P3778" s="6">
        <v>0</v>
      </c>
      <c r="Q3778" s="6">
        <v>0</v>
      </c>
      <c r="R3778" s="6">
        <v>0</v>
      </c>
      <c r="S3778" s="6">
        <v>850</v>
      </c>
    </row>
    <row r="3779" spans="1:19" ht="15" hidden="1" x14ac:dyDescent="0.25">
      <c r="A3779" s="7" t="s">
        <v>16</v>
      </c>
      <c r="B3779" s="7" t="s">
        <v>230</v>
      </c>
      <c r="C3779" s="7" t="s">
        <v>24</v>
      </c>
      <c r="D3779" s="4">
        <v>6047087000210</v>
      </c>
      <c r="E3779" s="8" t="s">
        <v>569</v>
      </c>
      <c r="F3779" s="8" t="s">
        <v>29</v>
      </c>
      <c r="G3779" s="8" t="s">
        <v>19</v>
      </c>
      <c r="H3779" s="8" t="s">
        <v>215</v>
      </c>
      <c r="I3779" s="3">
        <v>2</v>
      </c>
      <c r="J3779" s="8" t="s">
        <v>161</v>
      </c>
      <c r="K3779" s="8" t="s">
        <v>162</v>
      </c>
      <c r="L3779" s="8" t="s">
        <v>556</v>
      </c>
      <c r="M3779" s="1" t="s">
        <v>207</v>
      </c>
      <c r="N3779" s="8" t="s">
        <v>208</v>
      </c>
      <c r="O3779" s="6">
        <v>0</v>
      </c>
      <c r="P3779" s="6">
        <v>0</v>
      </c>
      <c r="Q3779" s="6">
        <v>0</v>
      </c>
      <c r="R3779" s="6">
        <v>0</v>
      </c>
      <c r="S3779" s="6">
        <v>0</v>
      </c>
    </row>
    <row r="3780" spans="1:19" ht="15" hidden="1" x14ac:dyDescent="0.25">
      <c r="A3780" s="7" t="s">
        <v>16</v>
      </c>
      <c r="B3780" s="7" t="s">
        <v>230</v>
      </c>
      <c r="C3780" s="7" t="s">
        <v>24</v>
      </c>
      <c r="D3780" s="4">
        <v>6047087000210</v>
      </c>
      <c r="E3780" s="8" t="s">
        <v>569</v>
      </c>
      <c r="F3780" s="8" t="s">
        <v>29</v>
      </c>
      <c r="G3780" s="8" t="s">
        <v>19</v>
      </c>
      <c r="H3780" s="8" t="s">
        <v>215</v>
      </c>
      <c r="I3780" s="3">
        <v>2</v>
      </c>
      <c r="J3780" s="8" t="s">
        <v>147</v>
      </c>
      <c r="K3780" s="8" t="s">
        <v>148</v>
      </c>
      <c r="L3780" s="8" t="s">
        <v>557</v>
      </c>
      <c r="M3780" s="1" t="s">
        <v>207</v>
      </c>
      <c r="N3780" s="8" t="s">
        <v>208</v>
      </c>
      <c r="O3780" s="6">
        <v>0</v>
      </c>
      <c r="P3780" s="6">
        <v>35</v>
      </c>
      <c r="Q3780" s="6">
        <v>35</v>
      </c>
      <c r="R3780" s="6">
        <v>0</v>
      </c>
      <c r="S3780" s="6">
        <v>0</v>
      </c>
    </row>
    <row r="3781" spans="1:19" ht="15" hidden="1" x14ac:dyDescent="0.25">
      <c r="A3781" s="7" t="s">
        <v>16</v>
      </c>
      <c r="B3781" s="7" t="s">
        <v>230</v>
      </c>
      <c r="C3781" s="7" t="s">
        <v>24</v>
      </c>
      <c r="D3781" s="4">
        <v>8677327000104</v>
      </c>
      <c r="E3781" s="8" t="s">
        <v>576</v>
      </c>
      <c r="F3781" s="8" t="s">
        <v>29</v>
      </c>
      <c r="G3781" s="8" t="s">
        <v>19</v>
      </c>
      <c r="H3781" s="8" t="s">
        <v>215</v>
      </c>
      <c r="I3781" s="3">
        <v>2</v>
      </c>
      <c r="J3781" s="8" t="s">
        <v>161</v>
      </c>
      <c r="K3781" s="8" t="s">
        <v>162</v>
      </c>
      <c r="L3781" s="8" t="s">
        <v>556</v>
      </c>
      <c r="M3781" s="1" t="s">
        <v>207</v>
      </c>
      <c r="N3781" s="8" t="s">
        <v>208</v>
      </c>
      <c r="O3781" s="6">
        <v>0</v>
      </c>
      <c r="P3781" s="6">
        <v>0</v>
      </c>
      <c r="Q3781" s="6">
        <v>0</v>
      </c>
      <c r="R3781" s="6">
        <v>0</v>
      </c>
      <c r="S3781" s="6">
        <v>60</v>
      </c>
    </row>
    <row r="3782" spans="1:19" ht="15" hidden="1" x14ac:dyDescent="0.25">
      <c r="A3782" s="7" t="s">
        <v>16</v>
      </c>
      <c r="B3782" s="7" t="s">
        <v>230</v>
      </c>
      <c r="C3782" s="7" t="s">
        <v>24</v>
      </c>
      <c r="D3782" s="4">
        <v>8677327000104</v>
      </c>
      <c r="E3782" s="8" t="s">
        <v>576</v>
      </c>
      <c r="F3782" s="8" t="s">
        <v>29</v>
      </c>
      <c r="G3782" s="8" t="s">
        <v>19</v>
      </c>
      <c r="H3782" s="8" t="s">
        <v>215</v>
      </c>
      <c r="I3782" s="3">
        <v>2</v>
      </c>
      <c r="J3782" s="8" t="s">
        <v>177</v>
      </c>
      <c r="K3782" s="8" t="s">
        <v>178</v>
      </c>
      <c r="L3782" s="8" t="s">
        <v>557</v>
      </c>
      <c r="M3782" s="1" t="s">
        <v>207</v>
      </c>
      <c r="N3782" s="8" t="s">
        <v>208</v>
      </c>
      <c r="O3782" s="6">
        <v>0</v>
      </c>
      <c r="P3782" s="6">
        <v>0</v>
      </c>
      <c r="Q3782" s="6">
        <v>0</v>
      </c>
      <c r="R3782" s="6">
        <v>0</v>
      </c>
      <c r="S3782" s="6">
        <v>60</v>
      </c>
    </row>
    <row r="3783" spans="1:19" ht="15" hidden="1" x14ac:dyDescent="0.25">
      <c r="A3783" s="7" t="s">
        <v>16</v>
      </c>
      <c r="B3783" s="7" t="s">
        <v>230</v>
      </c>
      <c r="C3783" s="7" t="s">
        <v>24</v>
      </c>
      <c r="D3783" s="4">
        <v>60961422000155</v>
      </c>
      <c r="E3783" s="8" t="s">
        <v>620</v>
      </c>
      <c r="F3783" s="8" t="s">
        <v>29</v>
      </c>
      <c r="G3783" s="8" t="s">
        <v>19</v>
      </c>
      <c r="H3783" s="8" t="s">
        <v>215</v>
      </c>
      <c r="I3783" s="3">
        <v>2</v>
      </c>
      <c r="J3783" s="8" t="s">
        <v>161</v>
      </c>
      <c r="K3783" s="8" t="s">
        <v>162</v>
      </c>
      <c r="L3783" s="8" t="s">
        <v>556</v>
      </c>
      <c r="M3783" s="1" t="s">
        <v>207</v>
      </c>
      <c r="N3783" s="8" t="s">
        <v>208</v>
      </c>
      <c r="O3783" s="6">
        <v>0</v>
      </c>
      <c r="P3783" s="6">
        <v>0</v>
      </c>
      <c r="Q3783" s="6">
        <v>0</v>
      </c>
      <c r="R3783" s="6">
        <v>0</v>
      </c>
      <c r="S3783" s="6">
        <v>20</v>
      </c>
    </row>
    <row r="3784" spans="1:19" ht="15" hidden="1" x14ac:dyDescent="0.25">
      <c r="A3784" s="7" t="s">
        <v>16</v>
      </c>
      <c r="B3784" s="7" t="s">
        <v>230</v>
      </c>
      <c r="C3784" s="7" t="s">
        <v>24</v>
      </c>
      <c r="D3784" s="4">
        <v>60961422000155</v>
      </c>
      <c r="E3784" s="8" t="s">
        <v>620</v>
      </c>
      <c r="F3784" s="8" t="s">
        <v>29</v>
      </c>
      <c r="G3784" s="8" t="s">
        <v>19</v>
      </c>
      <c r="H3784" s="8" t="s">
        <v>215</v>
      </c>
      <c r="I3784" s="3">
        <v>2</v>
      </c>
      <c r="J3784" s="8" t="s">
        <v>147</v>
      </c>
      <c r="K3784" s="8" t="s">
        <v>148</v>
      </c>
      <c r="L3784" s="8" t="s">
        <v>557</v>
      </c>
      <c r="M3784" s="1" t="s">
        <v>207</v>
      </c>
      <c r="N3784" s="8" t="s">
        <v>208</v>
      </c>
      <c r="O3784" s="6">
        <v>0</v>
      </c>
      <c r="P3784" s="6">
        <v>6</v>
      </c>
      <c r="Q3784" s="6">
        <v>5</v>
      </c>
      <c r="R3784" s="6">
        <v>0</v>
      </c>
      <c r="S3784" s="6">
        <v>20</v>
      </c>
    </row>
    <row r="3785" spans="1:19" ht="15" hidden="1" x14ac:dyDescent="0.25">
      <c r="A3785" s="7" t="s">
        <v>16</v>
      </c>
      <c r="B3785" s="7" t="s">
        <v>230</v>
      </c>
      <c r="C3785" s="7" t="s">
        <v>24</v>
      </c>
      <c r="D3785" s="4">
        <v>61590410000124</v>
      </c>
      <c r="E3785" s="8" t="s">
        <v>630</v>
      </c>
      <c r="F3785" s="8" t="s">
        <v>29</v>
      </c>
      <c r="G3785" s="8" t="s">
        <v>19</v>
      </c>
      <c r="H3785" s="8" t="s">
        <v>215</v>
      </c>
      <c r="I3785" s="3">
        <v>2</v>
      </c>
      <c r="J3785" s="8" t="s">
        <v>1355</v>
      </c>
      <c r="K3785" s="8" t="s">
        <v>1356</v>
      </c>
      <c r="L3785" s="8" t="s">
        <v>556</v>
      </c>
      <c r="M3785" s="1" t="s">
        <v>207</v>
      </c>
      <c r="N3785" s="8" t="s">
        <v>208</v>
      </c>
      <c r="O3785" s="6">
        <v>0</v>
      </c>
      <c r="P3785" s="6">
        <v>0</v>
      </c>
      <c r="Q3785" s="6">
        <v>0</v>
      </c>
      <c r="R3785" s="6">
        <v>0</v>
      </c>
      <c r="S3785" s="6">
        <v>1050</v>
      </c>
    </row>
    <row r="3786" spans="1:19" ht="15" hidden="1" x14ac:dyDescent="0.25">
      <c r="A3786" s="7" t="s">
        <v>16</v>
      </c>
      <c r="B3786" s="7" t="s">
        <v>230</v>
      </c>
      <c r="C3786" s="7" t="s">
        <v>24</v>
      </c>
      <c r="D3786" s="4">
        <v>61590410000124</v>
      </c>
      <c r="E3786" s="8" t="s">
        <v>630</v>
      </c>
      <c r="F3786" s="8" t="s">
        <v>29</v>
      </c>
      <c r="G3786" s="8" t="s">
        <v>19</v>
      </c>
      <c r="H3786" s="8" t="s">
        <v>215</v>
      </c>
      <c r="I3786" s="3">
        <v>2</v>
      </c>
      <c r="J3786" s="8" t="s">
        <v>177</v>
      </c>
      <c r="K3786" s="8" t="s">
        <v>178</v>
      </c>
      <c r="L3786" s="8" t="s">
        <v>557</v>
      </c>
      <c r="M3786" s="1" t="s">
        <v>207</v>
      </c>
      <c r="N3786" s="8" t="s">
        <v>208</v>
      </c>
      <c r="O3786" s="6">
        <v>0</v>
      </c>
      <c r="P3786" s="6">
        <v>0</v>
      </c>
      <c r="Q3786" s="6">
        <v>56</v>
      </c>
      <c r="R3786" s="6">
        <v>0</v>
      </c>
      <c r="S3786" s="6">
        <v>1050</v>
      </c>
    </row>
    <row r="3787" spans="1:19" ht="15" hidden="1" x14ac:dyDescent="0.25">
      <c r="A3787" s="7" t="s">
        <v>16</v>
      </c>
      <c r="B3787" s="7" t="s">
        <v>230</v>
      </c>
      <c r="C3787" s="7" t="s">
        <v>24</v>
      </c>
      <c r="D3787" s="4">
        <v>19803199000114</v>
      </c>
      <c r="E3787" s="8" t="s">
        <v>587</v>
      </c>
      <c r="F3787" s="8" t="s">
        <v>29</v>
      </c>
      <c r="G3787" s="8" t="s">
        <v>19</v>
      </c>
      <c r="H3787" s="8" t="s">
        <v>215</v>
      </c>
      <c r="I3787" s="3">
        <v>2</v>
      </c>
      <c r="J3787" s="8" t="s">
        <v>161</v>
      </c>
      <c r="K3787" s="8" t="s">
        <v>162</v>
      </c>
      <c r="L3787" s="8" t="s">
        <v>556</v>
      </c>
      <c r="M3787" s="1" t="s">
        <v>207</v>
      </c>
      <c r="N3787" s="8" t="s">
        <v>208</v>
      </c>
      <c r="O3787" s="6">
        <v>0</v>
      </c>
      <c r="P3787" s="6">
        <v>0</v>
      </c>
      <c r="Q3787" s="6">
        <v>0</v>
      </c>
      <c r="R3787" s="6">
        <v>0</v>
      </c>
      <c r="S3787" s="6">
        <v>0</v>
      </c>
    </row>
    <row r="3788" spans="1:19" ht="15" hidden="1" x14ac:dyDescent="0.25">
      <c r="A3788" s="7" t="s">
        <v>16</v>
      </c>
      <c r="B3788" s="7" t="s">
        <v>230</v>
      </c>
      <c r="C3788" s="7" t="s">
        <v>24</v>
      </c>
      <c r="D3788" s="4">
        <v>19803199000114</v>
      </c>
      <c r="E3788" s="8" t="s">
        <v>587</v>
      </c>
      <c r="F3788" s="8" t="s">
        <v>29</v>
      </c>
      <c r="G3788" s="8" t="s">
        <v>19</v>
      </c>
      <c r="H3788" s="8" t="s">
        <v>215</v>
      </c>
      <c r="I3788" s="3">
        <v>2</v>
      </c>
      <c r="J3788" s="8" t="s">
        <v>183</v>
      </c>
      <c r="K3788" s="8" t="s">
        <v>184</v>
      </c>
      <c r="L3788" s="8" t="s">
        <v>557</v>
      </c>
      <c r="M3788" s="1" t="s">
        <v>207</v>
      </c>
      <c r="N3788" s="8" t="s">
        <v>208</v>
      </c>
      <c r="O3788" s="6">
        <v>0</v>
      </c>
      <c r="P3788" s="6">
        <v>0</v>
      </c>
      <c r="Q3788" s="6">
        <v>16</v>
      </c>
      <c r="R3788" s="6">
        <v>0</v>
      </c>
      <c r="S3788" s="6">
        <v>0</v>
      </c>
    </row>
    <row r="3789" spans="1:19" ht="15" hidden="1" x14ac:dyDescent="0.25">
      <c r="A3789" s="7" t="s">
        <v>16</v>
      </c>
      <c r="B3789" s="7" t="s">
        <v>230</v>
      </c>
      <c r="C3789" s="7" t="s">
        <v>24</v>
      </c>
      <c r="D3789" s="4">
        <v>20812223000241</v>
      </c>
      <c r="E3789" s="8" t="s">
        <v>588</v>
      </c>
      <c r="F3789" s="8" t="s">
        <v>29</v>
      </c>
      <c r="G3789" s="8" t="s">
        <v>19</v>
      </c>
      <c r="H3789" s="8" t="s">
        <v>215</v>
      </c>
      <c r="I3789" s="3">
        <v>2</v>
      </c>
      <c r="J3789" s="8" t="s">
        <v>161</v>
      </c>
      <c r="K3789" s="8" t="s">
        <v>162</v>
      </c>
      <c r="L3789" s="8" t="s">
        <v>556</v>
      </c>
      <c r="M3789" s="1" t="s">
        <v>207</v>
      </c>
      <c r="N3789" s="8" t="s">
        <v>208</v>
      </c>
      <c r="O3789" s="6">
        <v>0</v>
      </c>
      <c r="P3789" s="6">
        <v>0</v>
      </c>
      <c r="Q3789" s="6">
        <v>0</v>
      </c>
      <c r="R3789" s="6">
        <v>13</v>
      </c>
      <c r="S3789" s="6">
        <v>0</v>
      </c>
    </row>
    <row r="3790" spans="1:19" ht="15" hidden="1" x14ac:dyDescent="0.25">
      <c r="A3790" s="7" t="s">
        <v>16</v>
      </c>
      <c r="B3790" s="7" t="s">
        <v>230</v>
      </c>
      <c r="C3790" s="7" t="s">
        <v>24</v>
      </c>
      <c r="D3790" s="4">
        <v>20812223000241</v>
      </c>
      <c r="E3790" s="8" t="s">
        <v>588</v>
      </c>
      <c r="F3790" s="8" t="s">
        <v>29</v>
      </c>
      <c r="G3790" s="8" t="s">
        <v>19</v>
      </c>
      <c r="H3790" s="8" t="s">
        <v>215</v>
      </c>
      <c r="I3790" s="3">
        <v>2</v>
      </c>
      <c r="J3790" s="8" t="s">
        <v>147</v>
      </c>
      <c r="K3790" s="8" t="s">
        <v>148</v>
      </c>
      <c r="L3790" s="8" t="s">
        <v>557</v>
      </c>
      <c r="M3790" s="1" t="s">
        <v>207</v>
      </c>
      <c r="N3790" s="8" t="s">
        <v>208</v>
      </c>
      <c r="O3790" s="6">
        <v>0</v>
      </c>
      <c r="P3790" s="6">
        <v>0</v>
      </c>
      <c r="Q3790" s="6">
        <v>0</v>
      </c>
      <c r="R3790" s="6">
        <v>0</v>
      </c>
      <c r="S3790" s="6">
        <v>0</v>
      </c>
    </row>
    <row r="3791" spans="1:19" ht="15" hidden="1" x14ac:dyDescent="0.25">
      <c r="A3791" s="7" t="s">
        <v>16</v>
      </c>
      <c r="B3791" s="7" t="s">
        <v>230</v>
      </c>
      <c r="C3791" s="7" t="s">
        <v>24</v>
      </c>
      <c r="D3791" s="4">
        <v>46124624002670</v>
      </c>
      <c r="E3791" s="8" t="s">
        <v>1226</v>
      </c>
      <c r="F3791" s="8" t="s">
        <v>29</v>
      </c>
      <c r="G3791" s="8" t="s">
        <v>19</v>
      </c>
      <c r="H3791" s="8" t="s">
        <v>215</v>
      </c>
      <c r="I3791" s="3">
        <v>2</v>
      </c>
      <c r="J3791" s="8" t="s">
        <v>151</v>
      </c>
      <c r="K3791" s="8" t="s">
        <v>152</v>
      </c>
      <c r="L3791" s="8" t="s">
        <v>556</v>
      </c>
      <c r="M3791" s="1" t="s">
        <v>207</v>
      </c>
      <c r="N3791" s="8" t="s">
        <v>208</v>
      </c>
      <c r="O3791" s="6">
        <v>0</v>
      </c>
      <c r="P3791" s="6">
        <v>0</v>
      </c>
      <c r="Q3791" s="6">
        <v>0</v>
      </c>
      <c r="R3791" s="6">
        <v>204</v>
      </c>
      <c r="S3791" s="6">
        <v>1300</v>
      </c>
    </row>
    <row r="3792" spans="1:19" ht="15" hidden="1" x14ac:dyDescent="0.25">
      <c r="A3792" s="7" t="s">
        <v>16</v>
      </c>
      <c r="B3792" s="7" t="s">
        <v>230</v>
      </c>
      <c r="C3792" s="7" t="s">
        <v>24</v>
      </c>
      <c r="D3792" s="4">
        <v>46124624002670</v>
      </c>
      <c r="E3792" s="8" t="s">
        <v>1226</v>
      </c>
      <c r="F3792" s="8" t="s">
        <v>29</v>
      </c>
      <c r="G3792" s="8" t="s">
        <v>19</v>
      </c>
      <c r="H3792" s="8" t="s">
        <v>215</v>
      </c>
      <c r="I3792" s="3">
        <v>2</v>
      </c>
      <c r="J3792" s="8" t="s">
        <v>149</v>
      </c>
      <c r="K3792" s="8" t="s">
        <v>150</v>
      </c>
      <c r="L3792" s="8" t="s">
        <v>557</v>
      </c>
      <c r="M3792" s="1" t="s">
        <v>207</v>
      </c>
      <c r="N3792" s="8" t="s">
        <v>208</v>
      </c>
      <c r="O3792" s="6">
        <v>0</v>
      </c>
      <c r="P3792" s="6">
        <v>0</v>
      </c>
      <c r="Q3792" s="6">
        <v>0</v>
      </c>
      <c r="R3792" s="6">
        <v>0</v>
      </c>
      <c r="S3792" s="6">
        <v>1300</v>
      </c>
    </row>
    <row r="3793" spans="1:19" ht="15" hidden="1" x14ac:dyDescent="0.25">
      <c r="A3793" s="7" t="s">
        <v>16</v>
      </c>
      <c r="B3793" s="7" t="s">
        <v>230</v>
      </c>
      <c r="C3793" s="7" t="s">
        <v>24</v>
      </c>
      <c r="D3793" s="4">
        <v>9087150000159</v>
      </c>
      <c r="E3793" s="8" t="s">
        <v>578</v>
      </c>
      <c r="F3793" s="8" t="s">
        <v>29</v>
      </c>
      <c r="G3793" s="8" t="s">
        <v>19</v>
      </c>
      <c r="H3793" s="8" t="s">
        <v>215</v>
      </c>
      <c r="I3793" s="3">
        <v>2</v>
      </c>
      <c r="J3793" s="8" t="s">
        <v>1355</v>
      </c>
      <c r="K3793" s="8" t="s">
        <v>1356</v>
      </c>
      <c r="L3793" s="8" t="s">
        <v>556</v>
      </c>
      <c r="M3793" s="1" t="s">
        <v>207</v>
      </c>
      <c r="N3793" s="8" t="s">
        <v>208</v>
      </c>
      <c r="O3793" s="6">
        <v>0</v>
      </c>
      <c r="P3793" s="6">
        <v>0</v>
      </c>
      <c r="Q3793" s="6">
        <v>0</v>
      </c>
      <c r="R3793" s="6">
        <v>10</v>
      </c>
      <c r="S3793" s="6">
        <v>0</v>
      </c>
    </row>
    <row r="3794" spans="1:19" ht="15" hidden="1" x14ac:dyDescent="0.25">
      <c r="A3794" s="7" t="s">
        <v>16</v>
      </c>
      <c r="B3794" s="7" t="s">
        <v>230</v>
      </c>
      <c r="C3794" s="7" t="s">
        <v>24</v>
      </c>
      <c r="D3794" s="4">
        <v>9087150000159</v>
      </c>
      <c r="E3794" s="8" t="s">
        <v>578</v>
      </c>
      <c r="F3794" s="8" t="s">
        <v>29</v>
      </c>
      <c r="G3794" s="8" t="s">
        <v>19</v>
      </c>
      <c r="H3794" s="8" t="s">
        <v>215</v>
      </c>
      <c r="I3794" s="3">
        <v>2</v>
      </c>
      <c r="J3794" s="8" t="s">
        <v>177</v>
      </c>
      <c r="K3794" s="8" t="s">
        <v>178</v>
      </c>
      <c r="L3794" s="8" t="s">
        <v>557</v>
      </c>
      <c r="M3794" s="1" t="s">
        <v>207</v>
      </c>
      <c r="N3794" s="8" t="s">
        <v>208</v>
      </c>
      <c r="O3794" s="6">
        <v>0</v>
      </c>
      <c r="P3794" s="6">
        <v>0</v>
      </c>
      <c r="Q3794" s="6">
        <v>0</v>
      </c>
      <c r="R3794" s="6">
        <v>0</v>
      </c>
      <c r="S3794" s="6">
        <v>0</v>
      </c>
    </row>
    <row r="3795" spans="1:19" ht="15" hidden="1" x14ac:dyDescent="0.25">
      <c r="A3795" s="7" t="s">
        <v>16</v>
      </c>
      <c r="B3795" s="7" t="s">
        <v>230</v>
      </c>
      <c r="C3795" s="7" t="s">
        <v>24</v>
      </c>
      <c r="D3795" s="4">
        <v>29929600000110</v>
      </c>
      <c r="E3795" s="8" t="s">
        <v>1212</v>
      </c>
      <c r="F3795" s="8" t="s">
        <v>1213</v>
      </c>
      <c r="G3795" s="8" t="s">
        <v>19</v>
      </c>
      <c r="H3795" s="8" t="s">
        <v>215</v>
      </c>
      <c r="I3795" s="3">
        <v>2</v>
      </c>
      <c r="J3795" s="8" t="s">
        <v>151</v>
      </c>
      <c r="K3795" s="8" t="s">
        <v>152</v>
      </c>
      <c r="L3795" s="8" t="s">
        <v>556</v>
      </c>
      <c r="M3795" s="1" t="s">
        <v>207</v>
      </c>
      <c r="N3795" s="8" t="s">
        <v>208</v>
      </c>
      <c r="O3795" s="6">
        <v>0</v>
      </c>
      <c r="P3795" s="6">
        <v>0</v>
      </c>
      <c r="Q3795" s="6">
        <v>0</v>
      </c>
      <c r="R3795" s="6">
        <v>4</v>
      </c>
      <c r="S3795" s="6">
        <v>0</v>
      </c>
    </row>
    <row r="3796" spans="1:19" ht="15" hidden="1" x14ac:dyDescent="0.25">
      <c r="A3796" s="7" t="s">
        <v>16</v>
      </c>
      <c r="B3796" s="7" t="s">
        <v>230</v>
      </c>
      <c r="C3796" s="7" t="s">
        <v>24</v>
      </c>
      <c r="D3796" s="4">
        <v>29929600000110</v>
      </c>
      <c r="E3796" s="8" t="s">
        <v>1212</v>
      </c>
      <c r="F3796" s="8" t="s">
        <v>1213</v>
      </c>
      <c r="G3796" s="8" t="s">
        <v>19</v>
      </c>
      <c r="H3796" s="8" t="s">
        <v>215</v>
      </c>
      <c r="I3796" s="3">
        <v>2</v>
      </c>
      <c r="J3796" s="8" t="s">
        <v>149</v>
      </c>
      <c r="K3796" s="8" t="s">
        <v>150</v>
      </c>
      <c r="L3796" s="8" t="s">
        <v>557</v>
      </c>
      <c r="M3796" s="1" t="s">
        <v>207</v>
      </c>
      <c r="N3796" s="8" t="s">
        <v>208</v>
      </c>
      <c r="O3796" s="6">
        <v>0</v>
      </c>
      <c r="P3796" s="6">
        <v>0</v>
      </c>
      <c r="Q3796" s="6">
        <v>0</v>
      </c>
      <c r="R3796" s="6">
        <v>0</v>
      </c>
      <c r="S3796" s="6">
        <v>0</v>
      </c>
    </row>
    <row r="3797" spans="1:19" ht="15" hidden="1" x14ac:dyDescent="0.25">
      <c r="A3797" s="7" t="s">
        <v>16</v>
      </c>
      <c r="B3797" s="7" t="s">
        <v>372</v>
      </c>
      <c r="C3797" s="7" t="s">
        <v>373</v>
      </c>
      <c r="D3797" s="4">
        <v>12442737000496</v>
      </c>
      <c r="E3797" s="8" t="s">
        <v>865</v>
      </c>
      <c r="F3797" s="8" t="s">
        <v>742</v>
      </c>
      <c r="G3797" s="8" t="s">
        <v>91</v>
      </c>
      <c r="H3797" s="8" t="s">
        <v>215</v>
      </c>
      <c r="I3797" s="3">
        <v>2</v>
      </c>
      <c r="J3797" s="8" t="s">
        <v>199</v>
      </c>
      <c r="K3797" s="8" t="s">
        <v>200</v>
      </c>
      <c r="L3797" s="8" t="s">
        <v>556</v>
      </c>
      <c r="M3797" s="1" t="s">
        <v>211</v>
      </c>
      <c r="N3797" s="8" t="s">
        <v>212</v>
      </c>
      <c r="O3797" s="6">
        <v>0</v>
      </c>
      <c r="P3797" s="6">
        <v>0</v>
      </c>
      <c r="Q3797" s="6">
        <v>0</v>
      </c>
      <c r="R3797" s="6">
        <v>0</v>
      </c>
      <c r="S3797" s="6">
        <v>350</v>
      </c>
    </row>
    <row r="3798" spans="1:19" ht="15" hidden="1" x14ac:dyDescent="0.25">
      <c r="A3798" s="7" t="s">
        <v>16</v>
      </c>
      <c r="B3798" s="7" t="s">
        <v>372</v>
      </c>
      <c r="C3798" s="7" t="s">
        <v>373</v>
      </c>
      <c r="D3798" s="4">
        <v>12442737000496</v>
      </c>
      <c r="E3798" s="8" t="s">
        <v>865</v>
      </c>
      <c r="F3798" s="8" t="s">
        <v>742</v>
      </c>
      <c r="G3798" s="8" t="s">
        <v>91</v>
      </c>
      <c r="H3798" s="8" t="s">
        <v>215</v>
      </c>
      <c r="I3798" s="3">
        <v>2</v>
      </c>
      <c r="J3798" s="8" t="s">
        <v>167</v>
      </c>
      <c r="K3798" s="8" t="s">
        <v>168</v>
      </c>
      <c r="L3798" s="8" t="s">
        <v>557</v>
      </c>
      <c r="M3798" s="1" t="s">
        <v>211</v>
      </c>
      <c r="N3798" s="8" t="s">
        <v>212</v>
      </c>
      <c r="O3798" s="6">
        <v>0</v>
      </c>
      <c r="P3798" s="6">
        <v>0</v>
      </c>
      <c r="Q3798" s="6">
        <v>0</v>
      </c>
      <c r="R3798" s="6">
        <v>0</v>
      </c>
      <c r="S3798" s="6">
        <v>350</v>
      </c>
    </row>
    <row r="3799" spans="1:19" ht="15" hidden="1" x14ac:dyDescent="0.25">
      <c r="A3799" s="7" t="s">
        <v>16</v>
      </c>
      <c r="B3799" s="7" t="s">
        <v>372</v>
      </c>
      <c r="C3799" s="7" t="s">
        <v>373</v>
      </c>
      <c r="D3799" s="4">
        <v>3866223000124</v>
      </c>
      <c r="E3799" s="8" t="s">
        <v>792</v>
      </c>
      <c r="F3799" s="8" t="s">
        <v>742</v>
      </c>
      <c r="G3799" s="8" t="s">
        <v>91</v>
      </c>
      <c r="H3799" s="8" t="s">
        <v>215</v>
      </c>
      <c r="I3799" s="3">
        <v>2</v>
      </c>
      <c r="J3799" s="8" t="s">
        <v>199</v>
      </c>
      <c r="K3799" s="8" t="s">
        <v>200</v>
      </c>
      <c r="L3799" s="8" t="s">
        <v>556</v>
      </c>
      <c r="M3799" s="1" t="s">
        <v>211</v>
      </c>
      <c r="N3799" s="8" t="s">
        <v>212</v>
      </c>
      <c r="O3799" s="6">
        <v>0</v>
      </c>
      <c r="P3799" s="6">
        <v>0</v>
      </c>
      <c r="Q3799" s="6">
        <v>0</v>
      </c>
      <c r="R3799" s="6">
        <v>0</v>
      </c>
      <c r="S3799" s="6">
        <v>900</v>
      </c>
    </row>
    <row r="3800" spans="1:19" ht="15" hidden="1" x14ac:dyDescent="0.25">
      <c r="A3800" s="7" t="s">
        <v>16</v>
      </c>
      <c r="B3800" s="7" t="s">
        <v>372</v>
      </c>
      <c r="C3800" s="7" t="s">
        <v>373</v>
      </c>
      <c r="D3800" s="4">
        <v>3866223000124</v>
      </c>
      <c r="E3800" s="8" t="s">
        <v>792</v>
      </c>
      <c r="F3800" s="8" t="s">
        <v>742</v>
      </c>
      <c r="G3800" s="8" t="s">
        <v>91</v>
      </c>
      <c r="H3800" s="8" t="s">
        <v>215</v>
      </c>
      <c r="I3800" s="3">
        <v>2</v>
      </c>
      <c r="J3800" s="8" t="s">
        <v>167</v>
      </c>
      <c r="K3800" s="8" t="s">
        <v>168</v>
      </c>
      <c r="L3800" s="8" t="s">
        <v>557</v>
      </c>
      <c r="M3800" s="1" t="s">
        <v>211</v>
      </c>
      <c r="N3800" s="8" t="s">
        <v>212</v>
      </c>
      <c r="O3800" s="6">
        <v>0</v>
      </c>
      <c r="P3800" s="6">
        <v>0</v>
      </c>
      <c r="Q3800" s="6">
        <v>0</v>
      </c>
      <c r="R3800" s="6">
        <v>0</v>
      </c>
      <c r="S3800" s="6">
        <v>900</v>
      </c>
    </row>
    <row r="3801" spans="1:19" ht="15" hidden="1" x14ac:dyDescent="0.25">
      <c r="A3801" s="7" t="s">
        <v>16</v>
      </c>
      <c r="B3801" s="7" t="s">
        <v>372</v>
      </c>
      <c r="C3801" s="7" t="s">
        <v>373</v>
      </c>
      <c r="D3801" s="4">
        <v>12307187000583</v>
      </c>
      <c r="E3801" s="8" t="s">
        <v>1460</v>
      </c>
      <c r="F3801" s="8" t="s">
        <v>742</v>
      </c>
      <c r="G3801" s="8" t="s">
        <v>91</v>
      </c>
      <c r="H3801" s="8" t="s">
        <v>1334</v>
      </c>
      <c r="I3801" s="3">
        <v>0</v>
      </c>
      <c r="J3801" s="8"/>
      <c r="K3801" s="8"/>
      <c r="L3801" s="8"/>
      <c r="M3801" s="1"/>
      <c r="N3801" s="8"/>
      <c r="O3801" s="6">
        <v>0</v>
      </c>
      <c r="P3801" s="6">
        <v>0</v>
      </c>
      <c r="Q3801" s="6">
        <v>0</v>
      </c>
      <c r="R3801" s="6">
        <v>0</v>
      </c>
      <c r="S3801" s="6">
        <v>0</v>
      </c>
    </row>
    <row r="3802" spans="1:19" ht="15" hidden="1" x14ac:dyDescent="0.25">
      <c r="A3802" s="7" t="s">
        <v>16</v>
      </c>
      <c r="B3802" s="7" t="s">
        <v>372</v>
      </c>
      <c r="C3802" s="7" t="s">
        <v>373</v>
      </c>
      <c r="D3802" s="4">
        <v>12361267011985</v>
      </c>
      <c r="E3802" s="8" t="s">
        <v>1461</v>
      </c>
      <c r="F3802" s="8" t="s">
        <v>109</v>
      </c>
      <c r="G3802" s="8" t="s">
        <v>110</v>
      </c>
      <c r="H3802" s="8" t="s">
        <v>1334</v>
      </c>
      <c r="I3802" s="3">
        <v>0</v>
      </c>
      <c r="J3802" s="8"/>
      <c r="K3802" s="8"/>
      <c r="L3802" s="8"/>
      <c r="M3802" s="1"/>
      <c r="N3802" s="8"/>
      <c r="O3802" s="6">
        <v>0</v>
      </c>
      <c r="P3802" s="6">
        <v>0</v>
      </c>
      <c r="Q3802" s="6">
        <v>0</v>
      </c>
      <c r="R3802" s="6">
        <v>0</v>
      </c>
      <c r="S3802" s="6">
        <v>0</v>
      </c>
    </row>
    <row r="3803" spans="1:19" ht="15" hidden="1" x14ac:dyDescent="0.25">
      <c r="A3803" s="7" t="s">
        <v>16</v>
      </c>
      <c r="B3803" s="7" t="s">
        <v>372</v>
      </c>
      <c r="C3803" s="7" t="s">
        <v>373</v>
      </c>
      <c r="D3803" s="4">
        <v>4159778000107</v>
      </c>
      <c r="E3803" s="8" t="s">
        <v>1144</v>
      </c>
      <c r="F3803" s="8" t="s">
        <v>109</v>
      </c>
      <c r="G3803" s="8" t="s">
        <v>110</v>
      </c>
      <c r="H3803" s="8" t="s">
        <v>215</v>
      </c>
      <c r="I3803" s="3">
        <v>1</v>
      </c>
      <c r="J3803" s="8" t="s">
        <v>201</v>
      </c>
      <c r="K3803" s="8" t="s">
        <v>202</v>
      </c>
      <c r="L3803" s="8" t="s">
        <v>740</v>
      </c>
      <c r="M3803" s="1" t="s">
        <v>211</v>
      </c>
      <c r="N3803" s="8" t="s">
        <v>212</v>
      </c>
      <c r="O3803" s="6">
        <v>0</v>
      </c>
      <c r="P3803" s="6">
        <v>3</v>
      </c>
      <c r="Q3803" s="6">
        <v>3</v>
      </c>
      <c r="R3803" s="6">
        <v>0</v>
      </c>
      <c r="S3803" s="6">
        <v>25</v>
      </c>
    </row>
    <row r="3804" spans="1:19" ht="15" hidden="1" x14ac:dyDescent="0.25">
      <c r="A3804" s="7" t="s">
        <v>16</v>
      </c>
      <c r="B3804" s="7" t="s">
        <v>372</v>
      </c>
      <c r="C3804" s="7" t="s">
        <v>373</v>
      </c>
      <c r="D3804" s="4">
        <v>15178551000117</v>
      </c>
      <c r="E3804" s="8" t="s">
        <v>1466</v>
      </c>
      <c r="F3804" s="8" t="s">
        <v>75</v>
      </c>
      <c r="G3804" s="8" t="s">
        <v>74</v>
      </c>
      <c r="H3804" s="8" t="s">
        <v>1334</v>
      </c>
      <c r="I3804" s="3">
        <v>0</v>
      </c>
      <c r="J3804" s="8"/>
      <c r="K3804" s="8"/>
      <c r="L3804" s="8"/>
      <c r="M3804" s="1"/>
      <c r="N3804" s="8"/>
      <c r="O3804" s="6">
        <v>0</v>
      </c>
      <c r="P3804" s="6">
        <v>0</v>
      </c>
      <c r="Q3804" s="6">
        <v>0</v>
      </c>
      <c r="R3804" s="6">
        <v>0</v>
      </c>
      <c r="S3804" s="6">
        <v>0</v>
      </c>
    </row>
    <row r="3805" spans="1:19" ht="15" hidden="1" x14ac:dyDescent="0.25">
      <c r="A3805" s="7" t="s">
        <v>16</v>
      </c>
      <c r="B3805" s="7" t="s">
        <v>372</v>
      </c>
      <c r="C3805" s="7" t="s">
        <v>373</v>
      </c>
      <c r="D3805" s="4">
        <v>13952064000134</v>
      </c>
      <c r="E3805" s="8" t="s">
        <v>875</v>
      </c>
      <c r="F3805" s="8" t="s">
        <v>75</v>
      </c>
      <c r="G3805" s="8" t="s">
        <v>74</v>
      </c>
      <c r="H3805" s="8" t="s">
        <v>215</v>
      </c>
      <c r="I3805" s="3">
        <v>2</v>
      </c>
      <c r="J3805" s="8" t="s">
        <v>199</v>
      </c>
      <c r="K3805" s="8" t="s">
        <v>200</v>
      </c>
      <c r="L3805" s="8" t="s">
        <v>556</v>
      </c>
      <c r="M3805" s="1" t="s">
        <v>211</v>
      </c>
      <c r="N3805" s="8" t="s">
        <v>212</v>
      </c>
      <c r="O3805" s="6">
        <v>0</v>
      </c>
      <c r="P3805" s="6">
        <v>0</v>
      </c>
      <c r="Q3805" s="6">
        <v>0</v>
      </c>
      <c r="R3805" s="6">
        <v>0</v>
      </c>
      <c r="S3805" s="6">
        <v>0</v>
      </c>
    </row>
    <row r="3806" spans="1:19" ht="15" hidden="1" x14ac:dyDescent="0.25">
      <c r="A3806" s="7" t="s">
        <v>16</v>
      </c>
      <c r="B3806" s="7" t="s">
        <v>372</v>
      </c>
      <c r="C3806" s="7" t="s">
        <v>373</v>
      </c>
      <c r="D3806" s="4">
        <v>13952064000134</v>
      </c>
      <c r="E3806" s="8" t="s">
        <v>875</v>
      </c>
      <c r="F3806" s="8" t="s">
        <v>75</v>
      </c>
      <c r="G3806" s="8" t="s">
        <v>74</v>
      </c>
      <c r="H3806" s="8" t="s">
        <v>215</v>
      </c>
      <c r="I3806" s="3">
        <v>2</v>
      </c>
      <c r="J3806" s="8" t="s">
        <v>167</v>
      </c>
      <c r="K3806" s="8" t="s">
        <v>168</v>
      </c>
      <c r="L3806" s="8" t="s">
        <v>557</v>
      </c>
      <c r="M3806" s="1" t="s">
        <v>211</v>
      </c>
      <c r="N3806" s="8" t="s">
        <v>212</v>
      </c>
      <c r="O3806" s="6">
        <v>0</v>
      </c>
      <c r="P3806" s="6">
        <v>22</v>
      </c>
      <c r="Q3806" s="6">
        <v>10</v>
      </c>
      <c r="R3806" s="6">
        <v>0</v>
      </c>
      <c r="S3806" s="6">
        <v>0</v>
      </c>
    </row>
    <row r="3807" spans="1:19" ht="15" hidden="1" x14ac:dyDescent="0.25">
      <c r="A3807" s="7" t="s">
        <v>16</v>
      </c>
      <c r="B3807" s="7" t="s">
        <v>372</v>
      </c>
      <c r="C3807" s="7" t="s">
        <v>373</v>
      </c>
      <c r="D3807" s="4">
        <v>16475154000250</v>
      </c>
      <c r="E3807" s="8" t="s">
        <v>899</v>
      </c>
      <c r="F3807" s="8" t="s">
        <v>75</v>
      </c>
      <c r="G3807" s="8" t="s">
        <v>74</v>
      </c>
      <c r="H3807" s="8" t="s">
        <v>215</v>
      </c>
      <c r="I3807" s="3">
        <v>2</v>
      </c>
      <c r="J3807" s="8" t="s">
        <v>199</v>
      </c>
      <c r="K3807" s="8" t="s">
        <v>200</v>
      </c>
      <c r="L3807" s="8" t="s">
        <v>556</v>
      </c>
      <c r="M3807" s="1" t="s">
        <v>211</v>
      </c>
      <c r="N3807" s="8" t="s">
        <v>212</v>
      </c>
      <c r="O3807" s="6">
        <v>0</v>
      </c>
      <c r="P3807" s="6">
        <v>0</v>
      </c>
      <c r="Q3807" s="6">
        <v>0</v>
      </c>
      <c r="R3807" s="6">
        <v>0</v>
      </c>
      <c r="S3807" s="6">
        <v>0</v>
      </c>
    </row>
    <row r="3808" spans="1:19" ht="15" hidden="1" x14ac:dyDescent="0.25">
      <c r="A3808" s="7" t="s">
        <v>16</v>
      </c>
      <c r="B3808" s="7" t="s">
        <v>372</v>
      </c>
      <c r="C3808" s="7" t="s">
        <v>373</v>
      </c>
      <c r="D3808" s="4">
        <v>16475154000250</v>
      </c>
      <c r="E3808" s="8" t="s">
        <v>899</v>
      </c>
      <c r="F3808" s="8" t="s">
        <v>75</v>
      </c>
      <c r="G3808" s="8" t="s">
        <v>74</v>
      </c>
      <c r="H3808" s="8" t="s">
        <v>215</v>
      </c>
      <c r="I3808" s="3">
        <v>2</v>
      </c>
      <c r="J3808" s="8" t="s">
        <v>167</v>
      </c>
      <c r="K3808" s="8" t="s">
        <v>168</v>
      </c>
      <c r="L3808" s="8" t="s">
        <v>557</v>
      </c>
      <c r="M3808" s="1" t="s">
        <v>211</v>
      </c>
      <c r="N3808" s="8" t="s">
        <v>212</v>
      </c>
      <c r="O3808" s="6">
        <v>0</v>
      </c>
      <c r="P3808" s="6">
        <v>5</v>
      </c>
      <c r="Q3808" s="6">
        <v>0</v>
      </c>
      <c r="R3808" s="6">
        <v>0</v>
      </c>
      <c r="S3808" s="6">
        <v>0</v>
      </c>
    </row>
    <row r="3809" spans="1:19" ht="15" hidden="1" x14ac:dyDescent="0.25">
      <c r="A3809" s="7" t="s">
        <v>16</v>
      </c>
      <c r="B3809" s="7" t="s">
        <v>372</v>
      </c>
      <c r="C3809" s="7" t="s">
        <v>373</v>
      </c>
      <c r="D3809" s="4">
        <v>15194004000125</v>
      </c>
      <c r="E3809" s="8" t="s">
        <v>895</v>
      </c>
      <c r="F3809" s="8" t="s">
        <v>75</v>
      </c>
      <c r="G3809" s="8" t="s">
        <v>74</v>
      </c>
      <c r="H3809" s="8" t="s">
        <v>215</v>
      </c>
      <c r="I3809" s="3">
        <v>2</v>
      </c>
      <c r="J3809" s="8" t="s">
        <v>199</v>
      </c>
      <c r="K3809" s="8" t="s">
        <v>200</v>
      </c>
      <c r="L3809" s="8" t="s">
        <v>556</v>
      </c>
      <c r="M3809" s="1" t="s">
        <v>211</v>
      </c>
      <c r="N3809" s="8" t="s">
        <v>212</v>
      </c>
      <c r="O3809" s="6">
        <v>0</v>
      </c>
      <c r="P3809" s="6">
        <v>0</v>
      </c>
      <c r="Q3809" s="6">
        <v>0</v>
      </c>
      <c r="R3809" s="6">
        <v>0</v>
      </c>
      <c r="S3809" s="6">
        <v>0</v>
      </c>
    </row>
    <row r="3810" spans="1:19" ht="15" hidden="1" x14ac:dyDescent="0.25">
      <c r="A3810" s="7" t="s">
        <v>16</v>
      </c>
      <c r="B3810" s="7" t="s">
        <v>372</v>
      </c>
      <c r="C3810" s="7" t="s">
        <v>373</v>
      </c>
      <c r="D3810" s="4">
        <v>15194004000125</v>
      </c>
      <c r="E3810" s="8" t="s">
        <v>895</v>
      </c>
      <c r="F3810" s="8" t="s">
        <v>75</v>
      </c>
      <c r="G3810" s="8" t="s">
        <v>74</v>
      </c>
      <c r="H3810" s="8" t="s">
        <v>215</v>
      </c>
      <c r="I3810" s="3">
        <v>2</v>
      </c>
      <c r="J3810" s="8" t="s">
        <v>167</v>
      </c>
      <c r="K3810" s="8" t="s">
        <v>168</v>
      </c>
      <c r="L3810" s="8" t="s">
        <v>557</v>
      </c>
      <c r="M3810" s="1" t="s">
        <v>211</v>
      </c>
      <c r="N3810" s="8" t="s">
        <v>212</v>
      </c>
      <c r="O3810" s="6">
        <v>0</v>
      </c>
      <c r="P3810" s="6">
        <v>3</v>
      </c>
      <c r="Q3810" s="6">
        <v>0</v>
      </c>
      <c r="R3810" s="6">
        <v>0</v>
      </c>
      <c r="S3810" s="6">
        <v>0</v>
      </c>
    </row>
    <row r="3811" spans="1:19" ht="15" hidden="1" x14ac:dyDescent="0.25">
      <c r="A3811" s="7" t="s">
        <v>16</v>
      </c>
      <c r="B3811" s="7" t="s">
        <v>372</v>
      </c>
      <c r="C3811" s="7" t="s">
        <v>373</v>
      </c>
      <c r="D3811" s="4">
        <v>5469172000122</v>
      </c>
      <c r="E3811" s="8" t="s">
        <v>799</v>
      </c>
      <c r="F3811" s="8" t="s">
        <v>75</v>
      </c>
      <c r="G3811" s="8" t="s">
        <v>74</v>
      </c>
      <c r="H3811" s="8" t="s">
        <v>215</v>
      </c>
      <c r="I3811" s="3">
        <v>2</v>
      </c>
      <c r="J3811" s="8" t="s">
        <v>199</v>
      </c>
      <c r="K3811" s="8" t="s">
        <v>200</v>
      </c>
      <c r="L3811" s="8" t="s">
        <v>556</v>
      </c>
      <c r="M3811" s="1" t="s">
        <v>211</v>
      </c>
      <c r="N3811" s="8" t="s">
        <v>212</v>
      </c>
      <c r="O3811" s="6">
        <v>0</v>
      </c>
      <c r="P3811" s="6">
        <v>0</v>
      </c>
      <c r="Q3811" s="6">
        <v>0</v>
      </c>
      <c r="R3811" s="6">
        <v>0</v>
      </c>
      <c r="S3811" s="6">
        <v>0</v>
      </c>
    </row>
    <row r="3812" spans="1:19" ht="15" hidden="1" x14ac:dyDescent="0.25">
      <c r="A3812" s="7" t="s">
        <v>16</v>
      </c>
      <c r="B3812" s="7" t="s">
        <v>372</v>
      </c>
      <c r="C3812" s="7" t="s">
        <v>373</v>
      </c>
      <c r="D3812" s="4">
        <v>5469172000122</v>
      </c>
      <c r="E3812" s="8" t="s">
        <v>799</v>
      </c>
      <c r="F3812" s="8" t="s">
        <v>75</v>
      </c>
      <c r="G3812" s="8" t="s">
        <v>74</v>
      </c>
      <c r="H3812" s="8" t="s">
        <v>215</v>
      </c>
      <c r="I3812" s="3">
        <v>2</v>
      </c>
      <c r="J3812" s="8" t="s">
        <v>167</v>
      </c>
      <c r="K3812" s="8" t="s">
        <v>168</v>
      </c>
      <c r="L3812" s="8" t="s">
        <v>557</v>
      </c>
      <c r="M3812" s="1" t="s">
        <v>211</v>
      </c>
      <c r="N3812" s="8" t="s">
        <v>212</v>
      </c>
      <c r="O3812" s="6">
        <v>0</v>
      </c>
      <c r="P3812" s="6">
        <v>4</v>
      </c>
      <c r="Q3812" s="6">
        <v>6</v>
      </c>
      <c r="R3812" s="6">
        <v>0</v>
      </c>
      <c r="S3812" s="6">
        <v>0</v>
      </c>
    </row>
    <row r="3813" spans="1:19" ht="15" hidden="1" x14ac:dyDescent="0.25">
      <c r="A3813" s="7" t="s">
        <v>16</v>
      </c>
      <c r="B3813" s="7" t="s">
        <v>372</v>
      </c>
      <c r="C3813" s="7" t="s">
        <v>373</v>
      </c>
      <c r="D3813" s="4">
        <v>13016092000140</v>
      </c>
      <c r="E3813" s="8" t="s">
        <v>867</v>
      </c>
      <c r="F3813" s="8" t="s">
        <v>75</v>
      </c>
      <c r="G3813" s="8" t="s">
        <v>74</v>
      </c>
      <c r="H3813" s="8" t="s">
        <v>215</v>
      </c>
      <c r="I3813" s="3">
        <v>2</v>
      </c>
      <c r="J3813" s="8" t="s">
        <v>199</v>
      </c>
      <c r="K3813" s="8" t="s">
        <v>200</v>
      </c>
      <c r="L3813" s="8" t="s">
        <v>556</v>
      </c>
      <c r="M3813" s="1" t="s">
        <v>211</v>
      </c>
      <c r="N3813" s="8" t="s">
        <v>212</v>
      </c>
      <c r="O3813" s="6">
        <v>0</v>
      </c>
      <c r="P3813" s="6">
        <v>0</v>
      </c>
      <c r="Q3813" s="6">
        <v>0</v>
      </c>
      <c r="R3813" s="6">
        <v>0</v>
      </c>
      <c r="S3813" s="6">
        <v>0</v>
      </c>
    </row>
    <row r="3814" spans="1:19" ht="15" hidden="1" x14ac:dyDescent="0.25">
      <c r="A3814" s="7" t="s">
        <v>16</v>
      </c>
      <c r="B3814" s="7" t="s">
        <v>372</v>
      </c>
      <c r="C3814" s="7" t="s">
        <v>373</v>
      </c>
      <c r="D3814" s="4">
        <v>13016092000140</v>
      </c>
      <c r="E3814" s="8" t="s">
        <v>867</v>
      </c>
      <c r="F3814" s="8" t="s">
        <v>75</v>
      </c>
      <c r="G3814" s="8" t="s">
        <v>74</v>
      </c>
      <c r="H3814" s="8" t="s">
        <v>215</v>
      </c>
      <c r="I3814" s="3">
        <v>2</v>
      </c>
      <c r="J3814" s="8" t="s">
        <v>167</v>
      </c>
      <c r="K3814" s="8" t="s">
        <v>168</v>
      </c>
      <c r="L3814" s="8" t="s">
        <v>557</v>
      </c>
      <c r="M3814" s="1" t="s">
        <v>211</v>
      </c>
      <c r="N3814" s="8" t="s">
        <v>212</v>
      </c>
      <c r="O3814" s="6">
        <v>0</v>
      </c>
      <c r="P3814" s="6">
        <v>21</v>
      </c>
      <c r="Q3814" s="6">
        <v>7</v>
      </c>
      <c r="R3814" s="6">
        <v>0</v>
      </c>
      <c r="S3814" s="6">
        <v>0</v>
      </c>
    </row>
    <row r="3815" spans="1:19" ht="15" hidden="1" x14ac:dyDescent="0.25">
      <c r="A3815" s="7" t="s">
        <v>16</v>
      </c>
      <c r="B3815" s="7" t="s">
        <v>372</v>
      </c>
      <c r="C3815" s="7" t="s">
        <v>373</v>
      </c>
      <c r="D3815" s="4">
        <v>15166416000151</v>
      </c>
      <c r="E3815" s="8" t="s">
        <v>889</v>
      </c>
      <c r="F3815" s="8" t="s">
        <v>75</v>
      </c>
      <c r="G3815" s="8" t="s">
        <v>74</v>
      </c>
      <c r="H3815" s="8" t="s">
        <v>215</v>
      </c>
      <c r="I3815" s="3">
        <v>2</v>
      </c>
      <c r="J3815" s="8" t="s">
        <v>199</v>
      </c>
      <c r="K3815" s="8" t="s">
        <v>200</v>
      </c>
      <c r="L3815" s="8" t="s">
        <v>556</v>
      </c>
      <c r="M3815" s="1" t="s">
        <v>211</v>
      </c>
      <c r="N3815" s="8" t="s">
        <v>212</v>
      </c>
      <c r="O3815" s="6">
        <v>0</v>
      </c>
      <c r="P3815" s="6">
        <v>0</v>
      </c>
      <c r="Q3815" s="6">
        <v>0</v>
      </c>
      <c r="R3815" s="6">
        <v>0</v>
      </c>
      <c r="S3815" s="6">
        <v>0</v>
      </c>
    </row>
    <row r="3816" spans="1:19" ht="15" hidden="1" x14ac:dyDescent="0.25">
      <c r="A3816" s="7" t="s">
        <v>16</v>
      </c>
      <c r="B3816" s="7" t="s">
        <v>372</v>
      </c>
      <c r="C3816" s="7" t="s">
        <v>373</v>
      </c>
      <c r="D3816" s="4">
        <v>15166416000151</v>
      </c>
      <c r="E3816" s="8" t="s">
        <v>889</v>
      </c>
      <c r="F3816" s="8" t="s">
        <v>75</v>
      </c>
      <c r="G3816" s="8" t="s">
        <v>74</v>
      </c>
      <c r="H3816" s="8" t="s">
        <v>215</v>
      </c>
      <c r="I3816" s="3">
        <v>2</v>
      </c>
      <c r="J3816" s="8" t="s">
        <v>167</v>
      </c>
      <c r="K3816" s="8" t="s">
        <v>168</v>
      </c>
      <c r="L3816" s="8" t="s">
        <v>557</v>
      </c>
      <c r="M3816" s="1" t="s">
        <v>211</v>
      </c>
      <c r="N3816" s="8" t="s">
        <v>212</v>
      </c>
      <c r="O3816" s="6">
        <v>0</v>
      </c>
      <c r="P3816" s="6">
        <v>20</v>
      </c>
      <c r="Q3816" s="6">
        <v>34</v>
      </c>
      <c r="R3816" s="6">
        <v>0</v>
      </c>
      <c r="S3816" s="6">
        <v>0</v>
      </c>
    </row>
    <row r="3817" spans="1:19" ht="15" hidden="1" x14ac:dyDescent="0.25">
      <c r="A3817" s="7" t="s">
        <v>16</v>
      </c>
      <c r="B3817" s="7" t="s">
        <v>372</v>
      </c>
      <c r="C3817" s="7" t="s">
        <v>373</v>
      </c>
      <c r="D3817" s="4">
        <v>15180714000287</v>
      </c>
      <c r="E3817" s="8" t="s">
        <v>892</v>
      </c>
      <c r="F3817" s="8" t="s">
        <v>75</v>
      </c>
      <c r="G3817" s="8" t="s">
        <v>74</v>
      </c>
      <c r="H3817" s="8" t="s">
        <v>215</v>
      </c>
      <c r="I3817" s="3">
        <v>2</v>
      </c>
      <c r="J3817" s="8" t="s">
        <v>199</v>
      </c>
      <c r="K3817" s="8" t="s">
        <v>200</v>
      </c>
      <c r="L3817" s="8" t="s">
        <v>556</v>
      </c>
      <c r="M3817" s="1" t="s">
        <v>211</v>
      </c>
      <c r="N3817" s="8" t="s">
        <v>212</v>
      </c>
      <c r="O3817" s="6">
        <v>0</v>
      </c>
      <c r="P3817" s="6">
        <v>0</v>
      </c>
      <c r="Q3817" s="6">
        <v>0</v>
      </c>
      <c r="R3817" s="6">
        <v>0</v>
      </c>
      <c r="S3817" s="6">
        <v>850</v>
      </c>
    </row>
    <row r="3818" spans="1:19" ht="15" hidden="1" x14ac:dyDescent="0.25">
      <c r="A3818" s="7" t="s">
        <v>16</v>
      </c>
      <c r="B3818" s="7" t="s">
        <v>372</v>
      </c>
      <c r="C3818" s="7" t="s">
        <v>373</v>
      </c>
      <c r="D3818" s="4">
        <v>15180714000287</v>
      </c>
      <c r="E3818" s="8" t="s">
        <v>892</v>
      </c>
      <c r="F3818" s="8" t="s">
        <v>75</v>
      </c>
      <c r="G3818" s="8" t="s">
        <v>74</v>
      </c>
      <c r="H3818" s="8" t="s">
        <v>215</v>
      </c>
      <c r="I3818" s="3">
        <v>2</v>
      </c>
      <c r="J3818" s="8" t="s">
        <v>167</v>
      </c>
      <c r="K3818" s="8" t="s">
        <v>168</v>
      </c>
      <c r="L3818" s="8" t="s">
        <v>557</v>
      </c>
      <c r="M3818" s="1" t="s">
        <v>211</v>
      </c>
      <c r="N3818" s="8" t="s">
        <v>212</v>
      </c>
      <c r="O3818" s="6">
        <v>0</v>
      </c>
      <c r="P3818" s="6">
        <v>75</v>
      </c>
      <c r="Q3818" s="6">
        <v>25</v>
      </c>
      <c r="R3818" s="6">
        <v>0</v>
      </c>
      <c r="S3818" s="6">
        <v>850</v>
      </c>
    </row>
    <row r="3819" spans="1:19" ht="15" hidden="1" x14ac:dyDescent="0.25">
      <c r="A3819" s="7" t="s">
        <v>16</v>
      </c>
      <c r="B3819" s="7" t="s">
        <v>372</v>
      </c>
      <c r="C3819" s="7" t="s">
        <v>373</v>
      </c>
      <c r="D3819" s="4">
        <v>15153745000249</v>
      </c>
      <c r="E3819" s="8" t="s">
        <v>887</v>
      </c>
      <c r="F3819" s="8" t="s">
        <v>75</v>
      </c>
      <c r="G3819" s="8" t="s">
        <v>74</v>
      </c>
      <c r="H3819" s="8" t="s">
        <v>215</v>
      </c>
      <c r="I3819" s="3">
        <v>2</v>
      </c>
      <c r="J3819" s="8" t="s">
        <v>199</v>
      </c>
      <c r="K3819" s="8" t="s">
        <v>200</v>
      </c>
      <c r="L3819" s="8" t="s">
        <v>556</v>
      </c>
      <c r="M3819" s="1" t="s">
        <v>211</v>
      </c>
      <c r="N3819" s="8" t="s">
        <v>212</v>
      </c>
      <c r="O3819" s="6">
        <v>0</v>
      </c>
      <c r="P3819" s="6">
        <v>0</v>
      </c>
      <c r="Q3819" s="6">
        <v>0</v>
      </c>
      <c r="R3819" s="6">
        <v>0</v>
      </c>
      <c r="S3819" s="6">
        <v>0</v>
      </c>
    </row>
    <row r="3820" spans="1:19" ht="15" hidden="1" x14ac:dyDescent="0.25">
      <c r="A3820" s="7" t="s">
        <v>16</v>
      </c>
      <c r="B3820" s="7" t="s">
        <v>372</v>
      </c>
      <c r="C3820" s="7" t="s">
        <v>373</v>
      </c>
      <c r="D3820" s="4">
        <v>15153745000249</v>
      </c>
      <c r="E3820" s="8" t="s">
        <v>887</v>
      </c>
      <c r="F3820" s="8" t="s">
        <v>75</v>
      </c>
      <c r="G3820" s="8" t="s">
        <v>74</v>
      </c>
      <c r="H3820" s="8" t="s">
        <v>215</v>
      </c>
      <c r="I3820" s="3">
        <v>2</v>
      </c>
      <c r="J3820" s="8" t="s">
        <v>167</v>
      </c>
      <c r="K3820" s="8" t="s">
        <v>168</v>
      </c>
      <c r="L3820" s="8" t="s">
        <v>557</v>
      </c>
      <c r="M3820" s="1" t="s">
        <v>211</v>
      </c>
      <c r="N3820" s="8" t="s">
        <v>212</v>
      </c>
      <c r="O3820" s="6">
        <v>0</v>
      </c>
      <c r="P3820" s="6">
        <v>0</v>
      </c>
      <c r="Q3820" s="6">
        <v>3</v>
      </c>
      <c r="R3820" s="6">
        <v>0</v>
      </c>
      <c r="S3820" s="6">
        <v>0</v>
      </c>
    </row>
    <row r="3821" spans="1:19" ht="15" hidden="1" x14ac:dyDescent="0.25">
      <c r="A3821" s="7" t="s">
        <v>16</v>
      </c>
      <c r="B3821" s="7" t="s">
        <v>372</v>
      </c>
      <c r="C3821" s="7" t="s">
        <v>373</v>
      </c>
      <c r="D3821" s="4">
        <v>27372066000169</v>
      </c>
      <c r="E3821" s="8" t="s">
        <v>908</v>
      </c>
      <c r="F3821" s="8" t="s">
        <v>75</v>
      </c>
      <c r="G3821" s="8" t="s">
        <v>74</v>
      </c>
      <c r="H3821" s="8" t="s">
        <v>215</v>
      </c>
      <c r="I3821" s="3">
        <v>2</v>
      </c>
      <c r="J3821" s="8" t="s">
        <v>199</v>
      </c>
      <c r="K3821" s="8" t="s">
        <v>200</v>
      </c>
      <c r="L3821" s="8" t="s">
        <v>556</v>
      </c>
      <c r="M3821" s="1" t="s">
        <v>211</v>
      </c>
      <c r="N3821" s="8" t="s">
        <v>212</v>
      </c>
      <c r="O3821" s="6">
        <v>0</v>
      </c>
      <c r="P3821" s="6">
        <v>0</v>
      </c>
      <c r="Q3821" s="6">
        <v>0</v>
      </c>
      <c r="R3821" s="6">
        <v>0</v>
      </c>
      <c r="S3821" s="6">
        <v>0</v>
      </c>
    </row>
    <row r="3822" spans="1:19" ht="15" hidden="1" x14ac:dyDescent="0.25">
      <c r="A3822" s="7" t="s">
        <v>16</v>
      </c>
      <c r="B3822" s="7" t="s">
        <v>372</v>
      </c>
      <c r="C3822" s="7" t="s">
        <v>373</v>
      </c>
      <c r="D3822" s="4">
        <v>27372066000169</v>
      </c>
      <c r="E3822" s="8" t="s">
        <v>908</v>
      </c>
      <c r="F3822" s="8" t="s">
        <v>75</v>
      </c>
      <c r="G3822" s="8" t="s">
        <v>74</v>
      </c>
      <c r="H3822" s="8" t="s">
        <v>215</v>
      </c>
      <c r="I3822" s="3">
        <v>2</v>
      </c>
      <c r="J3822" s="8" t="s">
        <v>167</v>
      </c>
      <c r="K3822" s="8" t="s">
        <v>168</v>
      </c>
      <c r="L3822" s="8" t="s">
        <v>557</v>
      </c>
      <c r="M3822" s="1" t="s">
        <v>211</v>
      </c>
      <c r="N3822" s="8" t="s">
        <v>212</v>
      </c>
      <c r="O3822" s="6">
        <v>0</v>
      </c>
      <c r="P3822" s="6">
        <v>39</v>
      </c>
      <c r="Q3822" s="6">
        <v>18</v>
      </c>
      <c r="R3822" s="6">
        <v>0</v>
      </c>
      <c r="S3822" s="6">
        <v>0</v>
      </c>
    </row>
    <row r="3823" spans="1:19" ht="15" hidden="1" x14ac:dyDescent="0.25">
      <c r="A3823" s="7" t="s">
        <v>16</v>
      </c>
      <c r="B3823" s="7" t="s">
        <v>372</v>
      </c>
      <c r="C3823" s="7" t="s">
        <v>373</v>
      </c>
      <c r="D3823" s="4">
        <v>15170723000106</v>
      </c>
      <c r="E3823" s="8" t="s">
        <v>890</v>
      </c>
      <c r="F3823" s="8" t="s">
        <v>75</v>
      </c>
      <c r="G3823" s="8" t="s">
        <v>74</v>
      </c>
      <c r="H3823" s="8" t="s">
        <v>215</v>
      </c>
      <c r="I3823" s="3">
        <v>2</v>
      </c>
      <c r="J3823" s="8" t="s">
        <v>199</v>
      </c>
      <c r="K3823" s="8" t="s">
        <v>200</v>
      </c>
      <c r="L3823" s="8" t="s">
        <v>556</v>
      </c>
      <c r="M3823" s="1" t="s">
        <v>211</v>
      </c>
      <c r="N3823" s="8" t="s">
        <v>212</v>
      </c>
      <c r="O3823" s="6">
        <v>0</v>
      </c>
      <c r="P3823" s="6">
        <v>0</v>
      </c>
      <c r="Q3823" s="6">
        <v>0</v>
      </c>
      <c r="R3823" s="6">
        <v>0</v>
      </c>
      <c r="S3823" s="6">
        <v>0</v>
      </c>
    </row>
    <row r="3824" spans="1:19" ht="15" hidden="1" x14ac:dyDescent="0.25">
      <c r="A3824" s="7" t="s">
        <v>16</v>
      </c>
      <c r="B3824" s="7" t="s">
        <v>372</v>
      </c>
      <c r="C3824" s="7" t="s">
        <v>373</v>
      </c>
      <c r="D3824" s="4">
        <v>15170723000106</v>
      </c>
      <c r="E3824" s="8" t="s">
        <v>890</v>
      </c>
      <c r="F3824" s="8" t="s">
        <v>75</v>
      </c>
      <c r="G3824" s="8" t="s">
        <v>74</v>
      </c>
      <c r="H3824" s="8" t="s">
        <v>215</v>
      </c>
      <c r="I3824" s="3">
        <v>2</v>
      </c>
      <c r="J3824" s="8" t="s">
        <v>167</v>
      </c>
      <c r="K3824" s="8" t="s">
        <v>168</v>
      </c>
      <c r="L3824" s="8" t="s">
        <v>557</v>
      </c>
      <c r="M3824" s="1" t="s">
        <v>211</v>
      </c>
      <c r="N3824" s="8" t="s">
        <v>212</v>
      </c>
      <c r="O3824" s="6">
        <v>0</v>
      </c>
      <c r="P3824" s="6">
        <v>4</v>
      </c>
      <c r="Q3824" s="6">
        <v>0</v>
      </c>
      <c r="R3824" s="6">
        <v>0</v>
      </c>
      <c r="S3824" s="6">
        <v>0</v>
      </c>
    </row>
    <row r="3825" spans="1:19" ht="15" hidden="1" x14ac:dyDescent="0.25">
      <c r="A3825" s="7" t="s">
        <v>16</v>
      </c>
      <c r="B3825" s="7" t="s">
        <v>372</v>
      </c>
      <c r="C3825" s="7" t="s">
        <v>373</v>
      </c>
      <c r="D3825" s="4">
        <v>13808803000119</v>
      </c>
      <c r="E3825" s="8" t="s">
        <v>1392</v>
      </c>
      <c r="F3825" s="8" t="s">
        <v>75</v>
      </c>
      <c r="G3825" s="8" t="s">
        <v>74</v>
      </c>
      <c r="H3825" s="8" t="s">
        <v>215</v>
      </c>
      <c r="I3825" s="3">
        <v>2</v>
      </c>
      <c r="J3825" s="8" t="s">
        <v>199</v>
      </c>
      <c r="K3825" s="8" t="s">
        <v>200</v>
      </c>
      <c r="L3825" s="8" t="s">
        <v>556</v>
      </c>
      <c r="M3825" s="1" t="s">
        <v>211</v>
      </c>
      <c r="N3825" s="8" t="s">
        <v>212</v>
      </c>
      <c r="O3825" s="6">
        <v>0</v>
      </c>
      <c r="P3825" s="6">
        <v>0</v>
      </c>
      <c r="Q3825" s="6">
        <v>0</v>
      </c>
      <c r="R3825" s="6">
        <v>0</v>
      </c>
      <c r="S3825" s="6">
        <v>0</v>
      </c>
    </row>
    <row r="3826" spans="1:19" ht="15" hidden="1" x14ac:dyDescent="0.25">
      <c r="A3826" s="7" t="s">
        <v>16</v>
      </c>
      <c r="B3826" s="7" t="s">
        <v>372</v>
      </c>
      <c r="C3826" s="7" t="s">
        <v>373</v>
      </c>
      <c r="D3826" s="4">
        <v>13808803000119</v>
      </c>
      <c r="E3826" s="8" t="s">
        <v>1392</v>
      </c>
      <c r="F3826" s="8" t="s">
        <v>75</v>
      </c>
      <c r="G3826" s="8" t="s">
        <v>74</v>
      </c>
      <c r="H3826" s="8" t="s">
        <v>215</v>
      </c>
      <c r="I3826" s="3">
        <v>2</v>
      </c>
      <c r="J3826" s="8" t="s">
        <v>167</v>
      </c>
      <c r="K3826" s="8" t="s">
        <v>168</v>
      </c>
      <c r="L3826" s="8" t="s">
        <v>557</v>
      </c>
      <c r="M3826" s="1" t="s">
        <v>211</v>
      </c>
      <c r="N3826" s="8" t="s">
        <v>212</v>
      </c>
      <c r="O3826" s="6">
        <v>0</v>
      </c>
      <c r="P3826" s="6">
        <v>0</v>
      </c>
      <c r="Q3826" s="6">
        <v>1</v>
      </c>
      <c r="R3826" s="6">
        <v>0</v>
      </c>
      <c r="S3826" s="6">
        <v>0</v>
      </c>
    </row>
    <row r="3827" spans="1:19" ht="15" hidden="1" x14ac:dyDescent="0.25">
      <c r="A3827" s="7" t="s">
        <v>16</v>
      </c>
      <c r="B3827" s="7" t="s">
        <v>372</v>
      </c>
      <c r="C3827" s="7" t="s">
        <v>373</v>
      </c>
      <c r="D3827" s="4">
        <v>42043067000153</v>
      </c>
      <c r="E3827" s="8" t="s">
        <v>1482</v>
      </c>
      <c r="F3827" s="8" t="s">
        <v>1483</v>
      </c>
      <c r="G3827" s="8" t="s">
        <v>74</v>
      </c>
      <c r="H3827" s="8" t="s">
        <v>1334</v>
      </c>
      <c r="I3827" s="3">
        <v>0</v>
      </c>
      <c r="J3827" s="8"/>
      <c r="K3827" s="8"/>
      <c r="L3827" s="8"/>
      <c r="M3827" s="1"/>
      <c r="N3827" s="8"/>
      <c r="O3827" s="6">
        <v>0</v>
      </c>
      <c r="P3827" s="6">
        <v>0</v>
      </c>
      <c r="Q3827" s="6">
        <v>0</v>
      </c>
      <c r="R3827" s="6">
        <v>0</v>
      </c>
      <c r="S3827" s="6">
        <v>0</v>
      </c>
    </row>
    <row r="3828" spans="1:19" ht="15" hidden="1" x14ac:dyDescent="0.25">
      <c r="A3828" s="7" t="s">
        <v>16</v>
      </c>
      <c r="B3828" s="7" t="s">
        <v>372</v>
      </c>
      <c r="C3828" s="7" t="s">
        <v>373</v>
      </c>
      <c r="D3828" s="4">
        <v>13284872000170</v>
      </c>
      <c r="E3828" s="8" t="s">
        <v>872</v>
      </c>
      <c r="F3828" s="8" t="s">
        <v>873</v>
      </c>
      <c r="G3828" s="8" t="s">
        <v>74</v>
      </c>
      <c r="H3828" s="8" t="s">
        <v>215</v>
      </c>
      <c r="I3828" s="3">
        <v>2</v>
      </c>
      <c r="J3828" s="8" t="s">
        <v>199</v>
      </c>
      <c r="K3828" s="8" t="s">
        <v>200</v>
      </c>
      <c r="L3828" s="8" t="s">
        <v>556</v>
      </c>
      <c r="M3828" s="1" t="s">
        <v>211</v>
      </c>
      <c r="N3828" s="8" t="s">
        <v>212</v>
      </c>
      <c r="O3828" s="6">
        <v>0</v>
      </c>
      <c r="P3828" s="6">
        <v>0</v>
      </c>
      <c r="Q3828" s="6">
        <v>0</v>
      </c>
      <c r="R3828" s="6">
        <v>0</v>
      </c>
      <c r="S3828" s="6">
        <v>50</v>
      </c>
    </row>
    <row r="3829" spans="1:19" ht="15" hidden="1" x14ac:dyDescent="0.25">
      <c r="A3829" s="7" t="s">
        <v>16</v>
      </c>
      <c r="B3829" s="7" t="s">
        <v>372</v>
      </c>
      <c r="C3829" s="7" t="s">
        <v>373</v>
      </c>
      <c r="D3829" s="4">
        <v>13284872000170</v>
      </c>
      <c r="E3829" s="8" t="s">
        <v>872</v>
      </c>
      <c r="F3829" s="8" t="s">
        <v>873</v>
      </c>
      <c r="G3829" s="8" t="s">
        <v>74</v>
      </c>
      <c r="H3829" s="8" t="s">
        <v>215</v>
      </c>
      <c r="I3829" s="3">
        <v>2</v>
      </c>
      <c r="J3829" s="8" t="s">
        <v>167</v>
      </c>
      <c r="K3829" s="8" t="s">
        <v>168</v>
      </c>
      <c r="L3829" s="8" t="s">
        <v>557</v>
      </c>
      <c r="M3829" s="1" t="s">
        <v>211</v>
      </c>
      <c r="N3829" s="8" t="s">
        <v>212</v>
      </c>
      <c r="O3829" s="6">
        <v>0</v>
      </c>
      <c r="P3829" s="6">
        <v>0</v>
      </c>
      <c r="Q3829" s="6">
        <v>0</v>
      </c>
      <c r="R3829" s="6">
        <v>0</v>
      </c>
      <c r="S3829" s="6">
        <v>50</v>
      </c>
    </row>
    <row r="3830" spans="1:19" ht="15" hidden="1" x14ac:dyDescent="0.25">
      <c r="A3830" s="7" t="s">
        <v>16</v>
      </c>
      <c r="B3830" s="7" t="s">
        <v>372</v>
      </c>
      <c r="C3830" s="7" t="s">
        <v>373</v>
      </c>
      <c r="D3830" s="4">
        <v>74031865000151</v>
      </c>
      <c r="E3830" s="8" t="s">
        <v>926</v>
      </c>
      <c r="F3830" s="8" t="s">
        <v>76</v>
      </c>
      <c r="G3830" s="8" t="s">
        <v>77</v>
      </c>
      <c r="H3830" s="8" t="s">
        <v>215</v>
      </c>
      <c r="I3830" s="3">
        <v>2</v>
      </c>
      <c r="J3830" s="8" t="s">
        <v>199</v>
      </c>
      <c r="K3830" s="8" t="s">
        <v>200</v>
      </c>
      <c r="L3830" s="8" t="s">
        <v>556</v>
      </c>
      <c r="M3830" s="1" t="s">
        <v>211</v>
      </c>
      <c r="N3830" s="8" t="s">
        <v>212</v>
      </c>
      <c r="O3830" s="6">
        <v>0</v>
      </c>
      <c r="P3830" s="6">
        <v>0</v>
      </c>
      <c r="Q3830" s="6">
        <v>0</v>
      </c>
      <c r="R3830" s="6">
        <v>0</v>
      </c>
      <c r="S3830" s="6">
        <v>0</v>
      </c>
    </row>
    <row r="3831" spans="1:19" ht="15" hidden="1" x14ac:dyDescent="0.25">
      <c r="A3831" s="7" t="s">
        <v>16</v>
      </c>
      <c r="B3831" s="7" t="s">
        <v>372</v>
      </c>
      <c r="C3831" s="7" t="s">
        <v>373</v>
      </c>
      <c r="D3831" s="4">
        <v>74031865000151</v>
      </c>
      <c r="E3831" s="8" t="s">
        <v>926</v>
      </c>
      <c r="F3831" s="8" t="s">
        <v>76</v>
      </c>
      <c r="G3831" s="8" t="s">
        <v>77</v>
      </c>
      <c r="H3831" s="8" t="s">
        <v>215</v>
      </c>
      <c r="I3831" s="3">
        <v>2</v>
      </c>
      <c r="J3831" s="8" t="s">
        <v>165</v>
      </c>
      <c r="K3831" s="8" t="s">
        <v>166</v>
      </c>
      <c r="L3831" s="8" t="s">
        <v>557</v>
      </c>
      <c r="M3831" s="1" t="s">
        <v>211</v>
      </c>
      <c r="N3831" s="8" t="s">
        <v>212</v>
      </c>
      <c r="O3831" s="6">
        <v>0</v>
      </c>
      <c r="P3831" s="6">
        <v>0</v>
      </c>
      <c r="Q3831" s="6">
        <v>80</v>
      </c>
      <c r="R3831" s="6">
        <v>0</v>
      </c>
      <c r="S3831" s="6">
        <v>0</v>
      </c>
    </row>
    <row r="3832" spans="1:19" ht="15" hidden="1" x14ac:dyDescent="0.25">
      <c r="A3832" s="7" t="s">
        <v>16</v>
      </c>
      <c r="B3832" s="7" t="s">
        <v>372</v>
      </c>
      <c r="C3832" s="7" t="s">
        <v>373</v>
      </c>
      <c r="D3832" s="4">
        <v>60975737003509</v>
      </c>
      <c r="E3832" s="8" t="s">
        <v>921</v>
      </c>
      <c r="F3832" s="8" t="s">
        <v>76</v>
      </c>
      <c r="G3832" s="8" t="s">
        <v>77</v>
      </c>
      <c r="H3832" s="8" t="s">
        <v>215</v>
      </c>
      <c r="I3832" s="3">
        <v>2</v>
      </c>
      <c r="J3832" s="8" t="s">
        <v>199</v>
      </c>
      <c r="K3832" s="8" t="s">
        <v>200</v>
      </c>
      <c r="L3832" s="8" t="s">
        <v>556</v>
      </c>
      <c r="M3832" s="1" t="s">
        <v>211</v>
      </c>
      <c r="N3832" s="8" t="s">
        <v>212</v>
      </c>
      <c r="O3832" s="6">
        <v>0</v>
      </c>
      <c r="P3832" s="6">
        <v>0</v>
      </c>
      <c r="Q3832" s="6">
        <v>0</v>
      </c>
      <c r="R3832" s="6">
        <v>6</v>
      </c>
      <c r="S3832" s="6">
        <v>0</v>
      </c>
    </row>
    <row r="3833" spans="1:19" ht="15" hidden="1" x14ac:dyDescent="0.25">
      <c r="A3833" s="7" t="s">
        <v>16</v>
      </c>
      <c r="B3833" s="7" t="s">
        <v>372</v>
      </c>
      <c r="C3833" s="7" t="s">
        <v>373</v>
      </c>
      <c r="D3833" s="4">
        <v>60975737003509</v>
      </c>
      <c r="E3833" s="8" t="s">
        <v>921</v>
      </c>
      <c r="F3833" s="8" t="s">
        <v>76</v>
      </c>
      <c r="G3833" s="8" t="s">
        <v>77</v>
      </c>
      <c r="H3833" s="8" t="s">
        <v>215</v>
      </c>
      <c r="I3833" s="3">
        <v>2</v>
      </c>
      <c r="J3833" s="8" t="s">
        <v>165</v>
      </c>
      <c r="K3833" s="8" t="s">
        <v>166</v>
      </c>
      <c r="L3833" s="8" t="s">
        <v>557</v>
      </c>
      <c r="M3833" s="1" t="s">
        <v>211</v>
      </c>
      <c r="N3833" s="8" t="s">
        <v>212</v>
      </c>
      <c r="O3833" s="6">
        <v>0</v>
      </c>
      <c r="P3833" s="6">
        <v>57</v>
      </c>
      <c r="Q3833" s="6">
        <v>3</v>
      </c>
      <c r="R3833" s="6">
        <v>0</v>
      </c>
      <c r="S3833" s="6">
        <v>0</v>
      </c>
    </row>
    <row r="3834" spans="1:19" ht="15" hidden="1" x14ac:dyDescent="0.25">
      <c r="A3834" s="7" t="s">
        <v>16</v>
      </c>
      <c r="B3834" s="7" t="s">
        <v>372</v>
      </c>
      <c r="C3834" s="7" t="s">
        <v>373</v>
      </c>
      <c r="D3834" s="4">
        <v>29435005007484</v>
      </c>
      <c r="E3834" s="8" t="s">
        <v>912</v>
      </c>
      <c r="F3834" s="8" t="s">
        <v>76</v>
      </c>
      <c r="G3834" s="8" t="s">
        <v>77</v>
      </c>
      <c r="H3834" s="8" t="s">
        <v>215</v>
      </c>
      <c r="I3834" s="3">
        <v>2</v>
      </c>
      <c r="J3834" s="8" t="s">
        <v>199</v>
      </c>
      <c r="K3834" s="8" t="s">
        <v>200</v>
      </c>
      <c r="L3834" s="8" t="s">
        <v>556</v>
      </c>
      <c r="M3834" s="1" t="s">
        <v>211</v>
      </c>
      <c r="N3834" s="8" t="s">
        <v>212</v>
      </c>
      <c r="O3834" s="6">
        <v>0</v>
      </c>
      <c r="P3834" s="6">
        <v>0</v>
      </c>
      <c r="Q3834" s="6">
        <v>0</v>
      </c>
      <c r="R3834" s="6">
        <v>0</v>
      </c>
      <c r="S3834" s="6">
        <v>0</v>
      </c>
    </row>
    <row r="3835" spans="1:19" ht="15" hidden="1" x14ac:dyDescent="0.25">
      <c r="A3835" s="7" t="s">
        <v>16</v>
      </c>
      <c r="B3835" s="7" t="s">
        <v>372</v>
      </c>
      <c r="C3835" s="7" t="s">
        <v>373</v>
      </c>
      <c r="D3835" s="4">
        <v>29435005007484</v>
      </c>
      <c r="E3835" s="8" t="s">
        <v>912</v>
      </c>
      <c r="F3835" s="8" t="s">
        <v>76</v>
      </c>
      <c r="G3835" s="8" t="s">
        <v>77</v>
      </c>
      <c r="H3835" s="8" t="s">
        <v>215</v>
      </c>
      <c r="I3835" s="3">
        <v>2</v>
      </c>
      <c r="J3835" s="8" t="s">
        <v>165</v>
      </c>
      <c r="K3835" s="8" t="s">
        <v>166</v>
      </c>
      <c r="L3835" s="8" t="s">
        <v>557</v>
      </c>
      <c r="M3835" s="1" t="s">
        <v>211</v>
      </c>
      <c r="N3835" s="8" t="s">
        <v>212</v>
      </c>
      <c r="O3835" s="6">
        <v>0</v>
      </c>
      <c r="P3835" s="6">
        <v>4</v>
      </c>
      <c r="Q3835" s="6">
        <v>7</v>
      </c>
      <c r="R3835" s="6">
        <v>0</v>
      </c>
      <c r="S3835" s="6">
        <v>0</v>
      </c>
    </row>
    <row r="3836" spans="1:19" ht="15" hidden="1" x14ac:dyDescent="0.25">
      <c r="A3836" s="7" t="s">
        <v>16</v>
      </c>
      <c r="B3836" s="7" t="s">
        <v>372</v>
      </c>
      <c r="C3836" s="7" t="s">
        <v>373</v>
      </c>
      <c r="D3836" s="4">
        <v>5868278000280</v>
      </c>
      <c r="E3836" s="8" t="s">
        <v>805</v>
      </c>
      <c r="F3836" s="8" t="s">
        <v>76</v>
      </c>
      <c r="G3836" s="8" t="s">
        <v>77</v>
      </c>
      <c r="H3836" s="8" t="s">
        <v>215</v>
      </c>
      <c r="I3836" s="3">
        <v>2</v>
      </c>
      <c r="J3836" s="8" t="s">
        <v>199</v>
      </c>
      <c r="K3836" s="8" t="s">
        <v>200</v>
      </c>
      <c r="L3836" s="8" t="s">
        <v>556</v>
      </c>
      <c r="M3836" s="1" t="s">
        <v>211</v>
      </c>
      <c r="N3836" s="8" t="s">
        <v>212</v>
      </c>
      <c r="O3836" s="6">
        <v>0</v>
      </c>
      <c r="P3836" s="6">
        <v>0</v>
      </c>
      <c r="Q3836" s="6">
        <v>0</v>
      </c>
      <c r="R3836" s="6">
        <v>84</v>
      </c>
      <c r="S3836" s="6">
        <v>0</v>
      </c>
    </row>
    <row r="3837" spans="1:19" ht="15" hidden="1" x14ac:dyDescent="0.25">
      <c r="A3837" s="7" t="s">
        <v>16</v>
      </c>
      <c r="B3837" s="7" t="s">
        <v>372</v>
      </c>
      <c r="C3837" s="7" t="s">
        <v>373</v>
      </c>
      <c r="D3837" s="4">
        <v>5868278000280</v>
      </c>
      <c r="E3837" s="8" t="s">
        <v>805</v>
      </c>
      <c r="F3837" s="8" t="s">
        <v>76</v>
      </c>
      <c r="G3837" s="8" t="s">
        <v>77</v>
      </c>
      <c r="H3837" s="8" t="s">
        <v>215</v>
      </c>
      <c r="I3837" s="3">
        <v>2</v>
      </c>
      <c r="J3837" s="8" t="s">
        <v>165</v>
      </c>
      <c r="K3837" s="8" t="s">
        <v>166</v>
      </c>
      <c r="L3837" s="8" t="s">
        <v>557</v>
      </c>
      <c r="M3837" s="1" t="s">
        <v>211</v>
      </c>
      <c r="N3837" s="8" t="s">
        <v>212</v>
      </c>
      <c r="O3837" s="6">
        <v>0</v>
      </c>
      <c r="P3837" s="6">
        <v>0</v>
      </c>
      <c r="Q3837" s="6">
        <v>0</v>
      </c>
      <c r="R3837" s="6">
        <v>0</v>
      </c>
      <c r="S3837" s="6">
        <v>0</v>
      </c>
    </row>
    <row r="3838" spans="1:19" ht="15" hidden="1" x14ac:dyDescent="0.25">
      <c r="A3838" s="7" t="s">
        <v>16</v>
      </c>
      <c r="B3838" s="7" t="s">
        <v>372</v>
      </c>
      <c r="C3838" s="7" t="s">
        <v>373</v>
      </c>
      <c r="D3838" s="4">
        <v>11794674000121</v>
      </c>
      <c r="E3838" s="8" t="s">
        <v>845</v>
      </c>
      <c r="F3838" s="8" t="s">
        <v>76</v>
      </c>
      <c r="G3838" s="8" t="s">
        <v>77</v>
      </c>
      <c r="H3838" s="8" t="s">
        <v>215</v>
      </c>
      <c r="I3838" s="3">
        <v>2</v>
      </c>
      <c r="J3838" s="8" t="s">
        <v>199</v>
      </c>
      <c r="K3838" s="8" t="s">
        <v>200</v>
      </c>
      <c r="L3838" s="8" t="s">
        <v>556</v>
      </c>
      <c r="M3838" s="1" t="s">
        <v>211</v>
      </c>
      <c r="N3838" s="8" t="s">
        <v>212</v>
      </c>
      <c r="O3838" s="6">
        <v>0</v>
      </c>
      <c r="P3838" s="6">
        <v>0</v>
      </c>
      <c r="Q3838" s="6">
        <v>0</v>
      </c>
      <c r="R3838" s="6">
        <v>0</v>
      </c>
      <c r="S3838" s="6">
        <v>50</v>
      </c>
    </row>
    <row r="3839" spans="1:19" ht="15" hidden="1" x14ac:dyDescent="0.25">
      <c r="A3839" s="7" t="s">
        <v>16</v>
      </c>
      <c r="B3839" s="7" t="s">
        <v>372</v>
      </c>
      <c r="C3839" s="7" t="s">
        <v>373</v>
      </c>
      <c r="D3839" s="4">
        <v>11794674000121</v>
      </c>
      <c r="E3839" s="8" t="s">
        <v>845</v>
      </c>
      <c r="F3839" s="8" t="s">
        <v>76</v>
      </c>
      <c r="G3839" s="8" t="s">
        <v>77</v>
      </c>
      <c r="H3839" s="8" t="s">
        <v>215</v>
      </c>
      <c r="I3839" s="3">
        <v>2</v>
      </c>
      <c r="J3839" s="8" t="s">
        <v>165</v>
      </c>
      <c r="K3839" s="8" t="s">
        <v>166</v>
      </c>
      <c r="L3839" s="8" t="s">
        <v>557</v>
      </c>
      <c r="M3839" s="1" t="s">
        <v>211</v>
      </c>
      <c r="N3839" s="8" t="s">
        <v>212</v>
      </c>
      <c r="O3839" s="6">
        <v>0</v>
      </c>
      <c r="P3839" s="6">
        <v>4</v>
      </c>
      <c r="Q3839" s="6">
        <v>6</v>
      </c>
      <c r="R3839" s="6">
        <v>0</v>
      </c>
      <c r="S3839" s="6">
        <v>50</v>
      </c>
    </row>
    <row r="3840" spans="1:19" ht="15" hidden="1" x14ac:dyDescent="0.25">
      <c r="A3840" s="7" t="s">
        <v>16</v>
      </c>
      <c r="B3840" s="7" t="s">
        <v>372</v>
      </c>
      <c r="C3840" s="7" t="s">
        <v>373</v>
      </c>
      <c r="D3840" s="4">
        <v>7272636000212</v>
      </c>
      <c r="E3840" s="8" t="s">
        <v>818</v>
      </c>
      <c r="F3840" s="8" t="s">
        <v>76</v>
      </c>
      <c r="G3840" s="8" t="s">
        <v>77</v>
      </c>
      <c r="H3840" s="8" t="s">
        <v>215</v>
      </c>
      <c r="I3840" s="3">
        <v>2</v>
      </c>
      <c r="J3840" s="8" t="s">
        <v>199</v>
      </c>
      <c r="K3840" s="8" t="s">
        <v>200</v>
      </c>
      <c r="L3840" s="8" t="s">
        <v>556</v>
      </c>
      <c r="M3840" s="1" t="s">
        <v>211</v>
      </c>
      <c r="N3840" s="8" t="s">
        <v>212</v>
      </c>
      <c r="O3840" s="6">
        <v>0</v>
      </c>
      <c r="P3840" s="6">
        <v>0</v>
      </c>
      <c r="Q3840" s="6">
        <v>0</v>
      </c>
      <c r="R3840" s="6">
        <v>0</v>
      </c>
      <c r="S3840" s="6">
        <v>0</v>
      </c>
    </row>
    <row r="3841" spans="1:19" ht="15" hidden="1" x14ac:dyDescent="0.25">
      <c r="A3841" s="7" t="s">
        <v>16</v>
      </c>
      <c r="B3841" s="7" t="s">
        <v>372</v>
      </c>
      <c r="C3841" s="7" t="s">
        <v>373</v>
      </c>
      <c r="D3841" s="4">
        <v>7272636000212</v>
      </c>
      <c r="E3841" s="8" t="s">
        <v>818</v>
      </c>
      <c r="F3841" s="8" t="s">
        <v>76</v>
      </c>
      <c r="G3841" s="8" t="s">
        <v>77</v>
      </c>
      <c r="H3841" s="8" t="s">
        <v>215</v>
      </c>
      <c r="I3841" s="3">
        <v>2</v>
      </c>
      <c r="J3841" s="8" t="s">
        <v>165</v>
      </c>
      <c r="K3841" s="8" t="s">
        <v>166</v>
      </c>
      <c r="L3841" s="8" t="s">
        <v>557</v>
      </c>
      <c r="M3841" s="1" t="s">
        <v>211</v>
      </c>
      <c r="N3841" s="8" t="s">
        <v>212</v>
      </c>
      <c r="O3841" s="6">
        <v>0</v>
      </c>
      <c r="P3841" s="6">
        <v>0</v>
      </c>
      <c r="Q3841" s="6">
        <v>40</v>
      </c>
      <c r="R3841" s="6">
        <v>0</v>
      </c>
      <c r="S3841" s="6">
        <v>0</v>
      </c>
    </row>
    <row r="3842" spans="1:19" ht="15" hidden="1" x14ac:dyDescent="0.25">
      <c r="A3842" s="7" t="s">
        <v>16</v>
      </c>
      <c r="B3842" s="7" t="s">
        <v>372</v>
      </c>
      <c r="C3842" s="7" t="s">
        <v>373</v>
      </c>
      <c r="D3842" s="4">
        <v>7835044000180</v>
      </c>
      <c r="E3842" s="8" t="s">
        <v>822</v>
      </c>
      <c r="F3842" s="8" t="s">
        <v>76</v>
      </c>
      <c r="G3842" s="8" t="s">
        <v>77</v>
      </c>
      <c r="H3842" s="8" t="s">
        <v>215</v>
      </c>
      <c r="I3842" s="3">
        <v>2</v>
      </c>
      <c r="J3842" s="8" t="s">
        <v>199</v>
      </c>
      <c r="K3842" s="8" t="s">
        <v>200</v>
      </c>
      <c r="L3842" s="8" t="s">
        <v>556</v>
      </c>
      <c r="M3842" s="1" t="s">
        <v>211</v>
      </c>
      <c r="N3842" s="8" t="s">
        <v>212</v>
      </c>
      <c r="O3842" s="6">
        <v>0</v>
      </c>
      <c r="P3842" s="6">
        <v>0</v>
      </c>
      <c r="Q3842" s="6">
        <v>0</v>
      </c>
      <c r="R3842" s="6">
        <v>0</v>
      </c>
      <c r="S3842" s="6">
        <v>0</v>
      </c>
    </row>
    <row r="3843" spans="1:19" ht="15" hidden="1" x14ac:dyDescent="0.25">
      <c r="A3843" s="7" t="s">
        <v>16</v>
      </c>
      <c r="B3843" s="7" t="s">
        <v>372</v>
      </c>
      <c r="C3843" s="7" t="s">
        <v>373</v>
      </c>
      <c r="D3843" s="4">
        <v>7835044000180</v>
      </c>
      <c r="E3843" s="8" t="s">
        <v>822</v>
      </c>
      <c r="F3843" s="8" t="s">
        <v>76</v>
      </c>
      <c r="G3843" s="8" t="s">
        <v>77</v>
      </c>
      <c r="H3843" s="8" t="s">
        <v>215</v>
      </c>
      <c r="I3843" s="3">
        <v>2</v>
      </c>
      <c r="J3843" s="8" t="s">
        <v>165</v>
      </c>
      <c r="K3843" s="8" t="s">
        <v>166</v>
      </c>
      <c r="L3843" s="8" t="s">
        <v>557</v>
      </c>
      <c r="M3843" s="1" t="s">
        <v>211</v>
      </c>
      <c r="N3843" s="8" t="s">
        <v>212</v>
      </c>
      <c r="O3843" s="6">
        <v>0</v>
      </c>
      <c r="P3843" s="6">
        <v>0</v>
      </c>
      <c r="Q3843" s="6">
        <v>15</v>
      </c>
      <c r="R3843" s="6">
        <v>0</v>
      </c>
      <c r="S3843" s="6">
        <v>0</v>
      </c>
    </row>
    <row r="3844" spans="1:19" ht="15" hidden="1" x14ac:dyDescent="0.25">
      <c r="A3844" s="7" t="s">
        <v>16</v>
      </c>
      <c r="B3844" s="7" t="s">
        <v>372</v>
      </c>
      <c r="C3844" s="7" t="s">
        <v>373</v>
      </c>
      <c r="D3844" s="4">
        <v>5867015000175</v>
      </c>
      <c r="E3844" s="8" t="s">
        <v>804</v>
      </c>
      <c r="F3844" s="8" t="s">
        <v>76</v>
      </c>
      <c r="G3844" s="8" t="s">
        <v>77</v>
      </c>
      <c r="H3844" s="8" t="s">
        <v>215</v>
      </c>
      <c r="I3844" s="3">
        <v>2</v>
      </c>
      <c r="J3844" s="8" t="s">
        <v>199</v>
      </c>
      <c r="K3844" s="8" t="s">
        <v>200</v>
      </c>
      <c r="L3844" s="8" t="s">
        <v>556</v>
      </c>
      <c r="M3844" s="1" t="s">
        <v>211</v>
      </c>
      <c r="N3844" s="8" t="s">
        <v>212</v>
      </c>
      <c r="O3844" s="6">
        <v>0</v>
      </c>
      <c r="P3844" s="6">
        <v>0</v>
      </c>
      <c r="Q3844" s="6">
        <v>0</v>
      </c>
      <c r="R3844" s="6">
        <v>8</v>
      </c>
      <c r="S3844" s="6">
        <v>0</v>
      </c>
    </row>
    <row r="3845" spans="1:19" ht="15" hidden="1" x14ac:dyDescent="0.25">
      <c r="A3845" s="7" t="s">
        <v>16</v>
      </c>
      <c r="B3845" s="7" t="s">
        <v>372</v>
      </c>
      <c r="C3845" s="7" t="s">
        <v>373</v>
      </c>
      <c r="D3845" s="4">
        <v>5867015000175</v>
      </c>
      <c r="E3845" s="8" t="s">
        <v>804</v>
      </c>
      <c r="F3845" s="8" t="s">
        <v>76</v>
      </c>
      <c r="G3845" s="8" t="s">
        <v>77</v>
      </c>
      <c r="H3845" s="8" t="s">
        <v>215</v>
      </c>
      <c r="I3845" s="3">
        <v>2</v>
      </c>
      <c r="J3845" s="8" t="s">
        <v>165</v>
      </c>
      <c r="K3845" s="8" t="s">
        <v>166</v>
      </c>
      <c r="L3845" s="8" t="s">
        <v>557</v>
      </c>
      <c r="M3845" s="1" t="s">
        <v>211</v>
      </c>
      <c r="N3845" s="8" t="s">
        <v>212</v>
      </c>
      <c r="O3845" s="6">
        <v>0</v>
      </c>
      <c r="P3845" s="6">
        <v>0</v>
      </c>
      <c r="Q3845" s="6">
        <v>0</v>
      </c>
      <c r="R3845" s="6">
        <v>0</v>
      </c>
      <c r="S3845" s="6">
        <v>0</v>
      </c>
    </row>
    <row r="3846" spans="1:19" ht="15" hidden="1" x14ac:dyDescent="0.25">
      <c r="A3846" s="7" t="s">
        <v>16</v>
      </c>
      <c r="B3846" s="7" t="s">
        <v>372</v>
      </c>
      <c r="C3846" s="7" t="s">
        <v>373</v>
      </c>
      <c r="D3846" s="4">
        <v>3989821000433</v>
      </c>
      <c r="E3846" s="8" t="s">
        <v>1448</v>
      </c>
      <c r="F3846" s="8" t="s">
        <v>1449</v>
      </c>
      <c r="G3846" s="8" t="s">
        <v>55</v>
      </c>
      <c r="H3846" s="8" t="s">
        <v>1334</v>
      </c>
      <c r="I3846" s="3">
        <v>0</v>
      </c>
      <c r="J3846" s="8"/>
      <c r="K3846" s="8"/>
      <c r="L3846" s="8"/>
      <c r="M3846" s="1"/>
      <c r="N3846" s="8"/>
      <c r="O3846" s="6">
        <v>0</v>
      </c>
      <c r="P3846" s="6">
        <v>0</v>
      </c>
      <c r="Q3846" s="6">
        <v>0</v>
      </c>
      <c r="R3846" s="6">
        <v>0</v>
      </c>
      <c r="S3846" s="6">
        <v>0</v>
      </c>
    </row>
    <row r="3847" spans="1:19" ht="15" hidden="1" x14ac:dyDescent="0.25">
      <c r="A3847" s="7" t="s">
        <v>16</v>
      </c>
      <c r="B3847" s="7" t="s">
        <v>372</v>
      </c>
      <c r="C3847" s="7" t="s">
        <v>373</v>
      </c>
      <c r="D3847" s="4">
        <v>6054754000100</v>
      </c>
      <c r="E3847" s="8" t="s">
        <v>1451</v>
      </c>
      <c r="F3847" s="8" t="s">
        <v>1449</v>
      </c>
      <c r="G3847" s="8" t="s">
        <v>55</v>
      </c>
      <c r="H3847" s="8" t="s">
        <v>1334</v>
      </c>
      <c r="I3847" s="3">
        <v>0</v>
      </c>
      <c r="J3847" s="8"/>
      <c r="K3847" s="8"/>
      <c r="L3847" s="8"/>
      <c r="M3847" s="1"/>
      <c r="N3847" s="8"/>
      <c r="O3847" s="6">
        <v>0</v>
      </c>
      <c r="P3847" s="6">
        <v>0</v>
      </c>
      <c r="Q3847" s="6">
        <v>0</v>
      </c>
      <c r="R3847" s="6">
        <v>0</v>
      </c>
      <c r="S3847" s="6">
        <v>0</v>
      </c>
    </row>
    <row r="3848" spans="1:19" ht="15" hidden="1" x14ac:dyDescent="0.25">
      <c r="A3848" s="7" t="s">
        <v>16</v>
      </c>
      <c r="B3848" s="7" t="s">
        <v>372</v>
      </c>
      <c r="C3848" s="7" t="s">
        <v>373</v>
      </c>
      <c r="D3848" s="4">
        <v>9104513000974</v>
      </c>
      <c r="E3848" s="8" t="s">
        <v>830</v>
      </c>
      <c r="F3848" s="8" t="s">
        <v>739</v>
      </c>
      <c r="G3848" s="8" t="s">
        <v>55</v>
      </c>
      <c r="H3848" s="8" t="s">
        <v>215</v>
      </c>
      <c r="I3848" s="3">
        <v>2</v>
      </c>
      <c r="J3848" s="8" t="s">
        <v>163</v>
      </c>
      <c r="K3848" s="8" t="s">
        <v>164</v>
      </c>
      <c r="L3848" s="8" t="s">
        <v>557</v>
      </c>
      <c r="M3848" s="1" t="s">
        <v>211</v>
      </c>
      <c r="N3848" s="8" t="s">
        <v>212</v>
      </c>
      <c r="O3848" s="6">
        <v>0</v>
      </c>
      <c r="P3848" s="6">
        <v>0</v>
      </c>
      <c r="Q3848" s="6">
        <v>0</v>
      </c>
      <c r="R3848" s="6">
        <v>0</v>
      </c>
      <c r="S3848" s="6">
        <v>765</v>
      </c>
    </row>
    <row r="3849" spans="1:19" ht="15" hidden="1" x14ac:dyDescent="0.25">
      <c r="A3849" s="7" t="s">
        <v>16</v>
      </c>
      <c r="B3849" s="7" t="s">
        <v>372</v>
      </c>
      <c r="C3849" s="7" t="s">
        <v>373</v>
      </c>
      <c r="D3849" s="4">
        <v>9104513000974</v>
      </c>
      <c r="E3849" s="8" t="s">
        <v>830</v>
      </c>
      <c r="F3849" s="8" t="s">
        <v>739</v>
      </c>
      <c r="G3849" s="8" t="s">
        <v>55</v>
      </c>
      <c r="H3849" s="8" t="s">
        <v>215</v>
      </c>
      <c r="I3849" s="3">
        <v>2</v>
      </c>
      <c r="J3849" s="8" t="s">
        <v>201</v>
      </c>
      <c r="K3849" s="8" t="s">
        <v>202</v>
      </c>
      <c r="L3849" s="8" t="s">
        <v>740</v>
      </c>
      <c r="M3849" s="1" t="s">
        <v>211</v>
      </c>
      <c r="N3849" s="8" t="s">
        <v>212</v>
      </c>
      <c r="O3849" s="6">
        <v>0</v>
      </c>
      <c r="P3849" s="6">
        <v>0</v>
      </c>
      <c r="Q3849" s="6">
        <v>0</v>
      </c>
      <c r="R3849" s="6">
        <v>0</v>
      </c>
      <c r="S3849" s="6">
        <v>765</v>
      </c>
    </row>
    <row r="3850" spans="1:19" ht="15" hidden="1" x14ac:dyDescent="0.25">
      <c r="A3850" s="7" t="s">
        <v>16</v>
      </c>
      <c r="B3850" s="7" t="s">
        <v>372</v>
      </c>
      <c r="C3850" s="7" t="s">
        <v>373</v>
      </c>
      <c r="D3850" s="4">
        <v>520237000101</v>
      </c>
      <c r="E3850" s="8" t="s">
        <v>755</v>
      </c>
      <c r="F3850" s="8" t="s">
        <v>739</v>
      </c>
      <c r="G3850" s="8" t="s">
        <v>55</v>
      </c>
      <c r="H3850" s="8" t="s">
        <v>215</v>
      </c>
      <c r="I3850" s="3">
        <v>2</v>
      </c>
      <c r="J3850" s="8" t="s">
        <v>163</v>
      </c>
      <c r="K3850" s="8" t="s">
        <v>164</v>
      </c>
      <c r="L3850" s="8" t="s">
        <v>557</v>
      </c>
      <c r="M3850" s="1" t="s">
        <v>211</v>
      </c>
      <c r="N3850" s="8" t="s">
        <v>212</v>
      </c>
      <c r="O3850" s="6">
        <v>0</v>
      </c>
      <c r="P3850" s="6">
        <v>0</v>
      </c>
      <c r="Q3850" s="6">
        <v>0</v>
      </c>
      <c r="R3850" s="6">
        <v>0</v>
      </c>
      <c r="S3850" s="6">
        <v>800</v>
      </c>
    </row>
    <row r="3851" spans="1:19" ht="15" hidden="1" x14ac:dyDescent="0.25">
      <c r="A3851" s="7" t="s">
        <v>16</v>
      </c>
      <c r="B3851" s="7" t="s">
        <v>372</v>
      </c>
      <c r="C3851" s="7" t="s">
        <v>373</v>
      </c>
      <c r="D3851" s="4">
        <v>520237000101</v>
      </c>
      <c r="E3851" s="8" t="s">
        <v>755</v>
      </c>
      <c r="F3851" s="8" t="s">
        <v>739</v>
      </c>
      <c r="G3851" s="8" t="s">
        <v>55</v>
      </c>
      <c r="H3851" s="8" t="s">
        <v>215</v>
      </c>
      <c r="I3851" s="3">
        <v>2</v>
      </c>
      <c r="J3851" s="8" t="s">
        <v>201</v>
      </c>
      <c r="K3851" s="8" t="s">
        <v>202</v>
      </c>
      <c r="L3851" s="8" t="s">
        <v>740</v>
      </c>
      <c r="M3851" s="1" t="s">
        <v>211</v>
      </c>
      <c r="N3851" s="8" t="s">
        <v>212</v>
      </c>
      <c r="O3851" s="6">
        <v>0</v>
      </c>
      <c r="P3851" s="6">
        <v>0</v>
      </c>
      <c r="Q3851" s="6">
        <v>0</v>
      </c>
      <c r="R3851" s="6">
        <v>163</v>
      </c>
      <c r="S3851" s="6">
        <v>800</v>
      </c>
    </row>
    <row r="3852" spans="1:19" ht="15" hidden="1" x14ac:dyDescent="0.25">
      <c r="A3852" s="7" t="s">
        <v>16</v>
      </c>
      <c r="B3852" s="7" t="s">
        <v>372</v>
      </c>
      <c r="C3852" s="7" t="s">
        <v>373</v>
      </c>
      <c r="D3852" s="4">
        <v>30135335000188</v>
      </c>
      <c r="E3852" s="8" t="s">
        <v>914</v>
      </c>
      <c r="F3852" s="8" t="s">
        <v>739</v>
      </c>
      <c r="G3852" s="8" t="s">
        <v>55</v>
      </c>
      <c r="H3852" s="8" t="s">
        <v>215</v>
      </c>
      <c r="I3852" s="3">
        <v>2</v>
      </c>
      <c r="J3852" s="8" t="s">
        <v>163</v>
      </c>
      <c r="K3852" s="8" t="s">
        <v>164</v>
      </c>
      <c r="L3852" s="8" t="s">
        <v>557</v>
      </c>
      <c r="M3852" s="1" t="s">
        <v>211</v>
      </c>
      <c r="N3852" s="8" t="s">
        <v>212</v>
      </c>
      <c r="O3852" s="6">
        <v>0</v>
      </c>
      <c r="P3852" s="6">
        <v>0</v>
      </c>
      <c r="Q3852" s="6">
        <v>0</v>
      </c>
      <c r="R3852" s="6">
        <v>0</v>
      </c>
      <c r="S3852" s="6">
        <v>425</v>
      </c>
    </row>
    <row r="3853" spans="1:19" ht="15" hidden="1" x14ac:dyDescent="0.25">
      <c r="A3853" s="7" t="s">
        <v>16</v>
      </c>
      <c r="B3853" s="7" t="s">
        <v>372</v>
      </c>
      <c r="C3853" s="7" t="s">
        <v>373</v>
      </c>
      <c r="D3853" s="4">
        <v>30135335000188</v>
      </c>
      <c r="E3853" s="8" t="s">
        <v>914</v>
      </c>
      <c r="F3853" s="8" t="s">
        <v>739</v>
      </c>
      <c r="G3853" s="8" t="s">
        <v>55</v>
      </c>
      <c r="H3853" s="8" t="s">
        <v>215</v>
      </c>
      <c r="I3853" s="3">
        <v>2</v>
      </c>
      <c r="J3853" s="8" t="s">
        <v>201</v>
      </c>
      <c r="K3853" s="8" t="s">
        <v>202</v>
      </c>
      <c r="L3853" s="8" t="s">
        <v>740</v>
      </c>
      <c r="M3853" s="1" t="s">
        <v>211</v>
      </c>
      <c r="N3853" s="8" t="s">
        <v>212</v>
      </c>
      <c r="O3853" s="6">
        <v>0</v>
      </c>
      <c r="P3853" s="6">
        <v>0</v>
      </c>
      <c r="Q3853" s="6">
        <v>0</v>
      </c>
      <c r="R3853" s="6">
        <v>0</v>
      </c>
      <c r="S3853" s="6">
        <v>425</v>
      </c>
    </row>
    <row r="3854" spans="1:19" ht="15" hidden="1" x14ac:dyDescent="0.25">
      <c r="A3854" s="7" t="s">
        <v>16</v>
      </c>
      <c r="B3854" s="7" t="s">
        <v>372</v>
      </c>
      <c r="C3854" s="7" t="s">
        <v>373</v>
      </c>
      <c r="D3854" s="4">
        <v>3989821000190</v>
      </c>
      <c r="E3854" s="8" t="s">
        <v>796</v>
      </c>
      <c r="F3854" s="8" t="s">
        <v>739</v>
      </c>
      <c r="G3854" s="8" t="s">
        <v>55</v>
      </c>
      <c r="H3854" s="8" t="s">
        <v>215</v>
      </c>
      <c r="I3854" s="3">
        <v>2</v>
      </c>
      <c r="J3854" s="8" t="s">
        <v>163</v>
      </c>
      <c r="K3854" s="8" t="s">
        <v>164</v>
      </c>
      <c r="L3854" s="8" t="s">
        <v>557</v>
      </c>
      <c r="M3854" s="1" t="s">
        <v>211</v>
      </c>
      <c r="N3854" s="8" t="s">
        <v>212</v>
      </c>
      <c r="O3854" s="6">
        <v>0</v>
      </c>
      <c r="P3854" s="6">
        <v>0</v>
      </c>
      <c r="Q3854" s="6">
        <v>0</v>
      </c>
      <c r="R3854" s="6">
        <v>0</v>
      </c>
      <c r="S3854" s="6">
        <v>75</v>
      </c>
    </row>
    <row r="3855" spans="1:19" ht="15" hidden="1" x14ac:dyDescent="0.25">
      <c r="A3855" s="7" t="s">
        <v>16</v>
      </c>
      <c r="B3855" s="7" t="s">
        <v>372</v>
      </c>
      <c r="C3855" s="7" t="s">
        <v>373</v>
      </c>
      <c r="D3855" s="4">
        <v>3989821000190</v>
      </c>
      <c r="E3855" s="8" t="s">
        <v>796</v>
      </c>
      <c r="F3855" s="8" t="s">
        <v>739</v>
      </c>
      <c r="G3855" s="8" t="s">
        <v>55</v>
      </c>
      <c r="H3855" s="8" t="s">
        <v>215</v>
      </c>
      <c r="I3855" s="3">
        <v>2</v>
      </c>
      <c r="J3855" s="8" t="s">
        <v>201</v>
      </c>
      <c r="K3855" s="8" t="s">
        <v>202</v>
      </c>
      <c r="L3855" s="8" t="s">
        <v>740</v>
      </c>
      <c r="M3855" s="1" t="s">
        <v>211</v>
      </c>
      <c r="N3855" s="8" t="s">
        <v>212</v>
      </c>
      <c r="O3855" s="6">
        <v>0</v>
      </c>
      <c r="P3855" s="6">
        <v>0</v>
      </c>
      <c r="Q3855" s="6">
        <v>0</v>
      </c>
      <c r="R3855" s="6">
        <v>0</v>
      </c>
      <c r="S3855" s="6">
        <v>75</v>
      </c>
    </row>
    <row r="3856" spans="1:19" ht="15" hidden="1" x14ac:dyDescent="0.25">
      <c r="A3856" s="7" t="s">
        <v>16</v>
      </c>
      <c r="B3856" s="7" t="s">
        <v>372</v>
      </c>
      <c r="C3856" s="7" t="s">
        <v>373</v>
      </c>
      <c r="D3856" s="4">
        <v>37108388000159</v>
      </c>
      <c r="E3856" s="8" t="s">
        <v>916</v>
      </c>
      <c r="F3856" s="8" t="s">
        <v>739</v>
      </c>
      <c r="G3856" s="8" t="s">
        <v>55</v>
      </c>
      <c r="H3856" s="8" t="s">
        <v>215</v>
      </c>
      <c r="I3856" s="3">
        <v>2</v>
      </c>
      <c r="J3856" s="8" t="s">
        <v>163</v>
      </c>
      <c r="K3856" s="8" t="s">
        <v>164</v>
      </c>
      <c r="L3856" s="8" t="s">
        <v>557</v>
      </c>
      <c r="M3856" s="1" t="s">
        <v>211</v>
      </c>
      <c r="N3856" s="8" t="s">
        <v>212</v>
      </c>
      <c r="O3856" s="6">
        <v>0</v>
      </c>
      <c r="P3856" s="6">
        <v>0</v>
      </c>
      <c r="Q3856" s="6">
        <v>6</v>
      </c>
      <c r="R3856" s="6">
        <v>0</v>
      </c>
      <c r="S3856" s="6">
        <v>30</v>
      </c>
    </row>
    <row r="3857" spans="1:19" ht="15" hidden="1" x14ac:dyDescent="0.25">
      <c r="A3857" s="7" t="s">
        <v>16</v>
      </c>
      <c r="B3857" s="7" t="s">
        <v>372</v>
      </c>
      <c r="C3857" s="7" t="s">
        <v>373</v>
      </c>
      <c r="D3857" s="4">
        <v>37108388000159</v>
      </c>
      <c r="E3857" s="8" t="s">
        <v>916</v>
      </c>
      <c r="F3857" s="8" t="s">
        <v>739</v>
      </c>
      <c r="G3857" s="8" t="s">
        <v>55</v>
      </c>
      <c r="H3857" s="8" t="s">
        <v>215</v>
      </c>
      <c r="I3857" s="3">
        <v>2</v>
      </c>
      <c r="J3857" s="8" t="s">
        <v>201</v>
      </c>
      <c r="K3857" s="8" t="s">
        <v>202</v>
      </c>
      <c r="L3857" s="8" t="s">
        <v>740</v>
      </c>
      <c r="M3857" s="1" t="s">
        <v>211</v>
      </c>
      <c r="N3857" s="8" t="s">
        <v>212</v>
      </c>
      <c r="O3857" s="6">
        <v>0</v>
      </c>
      <c r="P3857" s="6">
        <v>0</v>
      </c>
      <c r="Q3857" s="6">
        <v>0</v>
      </c>
      <c r="R3857" s="6">
        <v>0</v>
      </c>
      <c r="S3857" s="6">
        <v>30</v>
      </c>
    </row>
    <row r="3858" spans="1:19" ht="15" hidden="1" x14ac:dyDescent="0.25">
      <c r="A3858" s="7" t="s">
        <v>16</v>
      </c>
      <c r="B3858" s="7" t="s">
        <v>372</v>
      </c>
      <c r="C3858" s="7" t="s">
        <v>373</v>
      </c>
      <c r="D3858" s="4">
        <v>29435005004620</v>
      </c>
      <c r="E3858" s="8" t="s">
        <v>911</v>
      </c>
      <c r="F3858" s="8" t="s">
        <v>739</v>
      </c>
      <c r="G3858" s="8" t="s">
        <v>55</v>
      </c>
      <c r="H3858" s="8" t="s">
        <v>215</v>
      </c>
      <c r="I3858" s="3">
        <v>2</v>
      </c>
      <c r="J3858" s="8" t="s">
        <v>163</v>
      </c>
      <c r="K3858" s="8" t="s">
        <v>164</v>
      </c>
      <c r="L3858" s="8" t="s">
        <v>557</v>
      </c>
      <c r="M3858" s="1" t="s">
        <v>211</v>
      </c>
      <c r="N3858" s="8" t="s">
        <v>212</v>
      </c>
      <c r="O3858" s="6">
        <v>0</v>
      </c>
      <c r="P3858" s="6">
        <v>20</v>
      </c>
      <c r="Q3858" s="6">
        <v>0</v>
      </c>
      <c r="R3858" s="6">
        <v>0</v>
      </c>
      <c r="S3858" s="6">
        <v>0</v>
      </c>
    </row>
    <row r="3859" spans="1:19" ht="15" hidden="1" x14ac:dyDescent="0.25">
      <c r="A3859" s="7" t="s">
        <v>16</v>
      </c>
      <c r="B3859" s="7" t="s">
        <v>372</v>
      </c>
      <c r="C3859" s="7" t="s">
        <v>373</v>
      </c>
      <c r="D3859" s="4">
        <v>29435005004620</v>
      </c>
      <c r="E3859" s="8" t="s">
        <v>911</v>
      </c>
      <c r="F3859" s="8" t="s">
        <v>739</v>
      </c>
      <c r="G3859" s="8" t="s">
        <v>55</v>
      </c>
      <c r="H3859" s="8" t="s">
        <v>215</v>
      </c>
      <c r="I3859" s="3">
        <v>2</v>
      </c>
      <c r="J3859" s="8" t="s">
        <v>201</v>
      </c>
      <c r="K3859" s="8" t="s">
        <v>202</v>
      </c>
      <c r="L3859" s="8" t="s">
        <v>740</v>
      </c>
      <c r="M3859" s="1" t="s">
        <v>211</v>
      </c>
      <c r="N3859" s="8" t="s">
        <v>212</v>
      </c>
      <c r="O3859" s="6">
        <v>0</v>
      </c>
      <c r="P3859" s="6">
        <v>0</v>
      </c>
      <c r="Q3859" s="6">
        <v>0</v>
      </c>
      <c r="R3859" s="6">
        <v>0</v>
      </c>
      <c r="S3859" s="6">
        <v>0</v>
      </c>
    </row>
    <row r="3860" spans="1:19" ht="15" hidden="1" x14ac:dyDescent="0.25">
      <c r="A3860" s="7" t="s">
        <v>16</v>
      </c>
      <c r="B3860" s="7" t="s">
        <v>372</v>
      </c>
      <c r="C3860" s="7" t="s">
        <v>373</v>
      </c>
      <c r="D3860" s="4">
        <v>2560878000107</v>
      </c>
      <c r="E3860" s="8" t="s">
        <v>781</v>
      </c>
      <c r="F3860" s="8" t="s">
        <v>739</v>
      </c>
      <c r="G3860" s="8" t="s">
        <v>55</v>
      </c>
      <c r="H3860" s="8" t="s">
        <v>215</v>
      </c>
      <c r="I3860" s="3">
        <v>2</v>
      </c>
      <c r="J3860" s="8" t="s">
        <v>163</v>
      </c>
      <c r="K3860" s="8" t="s">
        <v>164</v>
      </c>
      <c r="L3860" s="8" t="s">
        <v>557</v>
      </c>
      <c r="M3860" s="1" t="s">
        <v>211</v>
      </c>
      <c r="N3860" s="8" t="s">
        <v>212</v>
      </c>
      <c r="O3860" s="6">
        <v>0</v>
      </c>
      <c r="P3860" s="6">
        <v>5</v>
      </c>
      <c r="Q3860" s="6">
        <v>0</v>
      </c>
      <c r="R3860" s="6">
        <v>0</v>
      </c>
      <c r="S3860" s="6">
        <v>790</v>
      </c>
    </row>
    <row r="3861" spans="1:19" ht="15" hidden="1" x14ac:dyDescent="0.25">
      <c r="A3861" s="7" t="s">
        <v>16</v>
      </c>
      <c r="B3861" s="7" t="s">
        <v>372</v>
      </c>
      <c r="C3861" s="7" t="s">
        <v>373</v>
      </c>
      <c r="D3861" s="4">
        <v>2560878000107</v>
      </c>
      <c r="E3861" s="8" t="s">
        <v>781</v>
      </c>
      <c r="F3861" s="8" t="s">
        <v>739</v>
      </c>
      <c r="G3861" s="8" t="s">
        <v>55</v>
      </c>
      <c r="H3861" s="8" t="s">
        <v>215</v>
      </c>
      <c r="I3861" s="3">
        <v>2</v>
      </c>
      <c r="J3861" s="8" t="s">
        <v>201</v>
      </c>
      <c r="K3861" s="8" t="s">
        <v>202</v>
      </c>
      <c r="L3861" s="8" t="s">
        <v>740</v>
      </c>
      <c r="M3861" s="1" t="s">
        <v>211</v>
      </c>
      <c r="N3861" s="8" t="s">
        <v>212</v>
      </c>
      <c r="O3861" s="6">
        <v>0</v>
      </c>
      <c r="P3861" s="6">
        <v>0</v>
      </c>
      <c r="Q3861" s="6">
        <v>0</v>
      </c>
      <c r="R3861" s="6">
        <v>0</v>
      </c>
      <c r="S3861" s="6">
        <v>790</v>
      </c>
    </row>
    <row r="3862" spans="1:19" ht="15" hidden="1" x14ac:dyDescent="0.25">
      <c r="A3862" s="7" t="s">
        <v>16</v>
      </c>
      <c r="B3862" s="7" t="s">
        <v>372</v>
      </c>
      <c r="C3862" s="7" t="s">
        <v>373</v>
      </c>
      <c r="D3862" s="4">
        <v>60884855002289</v>
      </c>
      <c r="E3862" s="8" t="s">
        <v>920</v>
      </c>
      <c r="F3862" s="8" t="s">
        <v>739</v>
      </c>
      <c r="G3862" s="8" t="s">
        <v>55</v>
      </c>
      <c r="H3862" s="8" t="s">
        <v>215</v>
      </c>
      <c r="I3862" s="3">
        <v>2</v>
      </c>
      <c r="J3862" s="8" t="s">
        <v>163</v>
      </c>
      <c r="K3862" s="8" t="s">
        <v>164</v>
      </c>
      <c r="L3862" s="8" t="s">
        <v>557</v>
      </c>
      <c r="M3862" s="1" t="s">
        <v>211</v>
      </c>
      <c r="N3862" s="8" t="s">
        <v>212</v>
      </c>
      <c r="O3862" s="6">
        <v>0</v>
      </c>
      <c r="P3862" s="6">
        <v>65</v>
      </c>
      <c r="Q3862" s="6">
        <v>8</v>
      </c>
      <c r="R3862" s="6">
        <v>0</v>
      </c>
      <c r="S3862" s="6">
        <v>500</v>
      </c>
    </row>
    <row r="3863" spans="1:19" ht="15" hidden="1" x14ac:dyDescent="0.25">
      <c r="A3863" s="7" t="s">
        <v>16</v>
      </c>
      <c r="B3863" s="7" t="s">
        <v>372</v>
      </c>
      <c r="C3863" s="7" t="s">
        <v>373</v>
      </c>
      <c r="D3863" s="4">
        <v>60884855002289</v>
      </c>
      <c r="E3863" s="8" t="s">
        <v>920</v>
      </c>
      <c r="F3863" s="8" t="s">
        <v>739</v>
      </c>
      <c r="G3863" s="8" t="s">
        <v>55</v>
      </c>
      <c r="H3863" s="8" t="s">
        <v>215</v>
      </c>
      <c r="I3863" s="3">
        <v>2</v>
      </c>
      <c r="J3863" s="8" t="s">
        <v>201</v>
      </c>
      <c r="K3863" s="8" t="s">
        <v>202</v>
      </c>
      <c r="L3863" s="8" t="s">
        <v>740</v>
      </c>
      <c r="M3863" s="1" t="s">
        <v>211</v>
      </c>
      <c r="N3863" s="8" t="s">
        <v>212</v>
      </c>
      <c r="O3863" s="6">
        <v>0</v>
      </c>
      <c r="P3863" s="6">
        <v>0</v>
      </c>
      <c r="Q3863" s="6">
        <v>0</v>
      </c>
      <c r="R3863" s="6">
        <v>0</v>
      </c>
      <c r="S3863" s="6">
        <v>500</v>
      </c>
    </row>
    <row r="3864" spans="1:19" ht="15" hidden="1" x14ac:dyDescent="0.25">
      <c r="A3864" s="7" t="s">
        <v>16</v>
      </c>
      <c r="B3864" s="7" t="s">
        <v>372</v>
      </c>
      <c r="C3864" s="7" t="s">
        <v>373</v>
      </c>
      <c r="D3864" s="4">
        <v>6047087004207</v>
      </c>
      <c r="E3864" s="8" t="s">
        <v>811</v>
      </c>
      <c r="F3864" s="8" t="s">
        <v>739</v>
      </c>
      <c r="G3864" s="8" t="s">
        <v>55</v>
      </c>
      <c r="H3864" s="8" t="s">
        <v>215</v>
      </c>
      <c r="I3864" s="3">
        <v>2</v>
      </c>
      <c r="J3864" s="8" t="s">
        <v>163</v>
      </c>
      <c r="K3864" s="8" t="s">
        <v>164</v>
      </c>
      <c r="L3864" s="8" t="s">
        <v>557</v>
      </c>
      <c r="M3864" s="1" t="s">
        <v>211</v>
      </c>
      <c r="N3864" s="8" t="s">
        <v>212</v>
      </c>
      <c r="O3864" s="6">
        <v>0</v>
      </c>
      <c r="P3864" s="6">
        <v>18</v>
      </c>
      <c r="Q3864" s="6">
        <v>4</v>
      </c>
      <c r="R3864" s="6">
        <v>0</v>
      </c>
      <c r="S3864" s="6">
        <v>0</v>
      </c>
    </row>
    <row r="3865" spans="1:19" ht="15" hidden="1" x14ac:dyDescent="0.25">
      <c r="A3865" s="7" t="s">
        <v>16</v>
      </c>
      <c r="B3865" s="7" t="s">
        <v>372</v>
      </c>
      <c r="C3865" s="7" t="s">
        <v>373</v>
      </c>
      <c r="D3865" s="4">
        <v>6047087004207</v>
      </c>
      <c r="E3865" s="8" t="s">
        <v>811</v>
      </c>
      <c r="F3865" s="8" t="s">
        <v>739</v>
      </c>
      <c r="G3865" s="8" t="s">
        <v>55</v>
      </c>
      <c r="H3865" s="8" t="s">
        <v>215</v>
      </c>
      <c r="I3865" s="3">
        <v>2</v>
      </c>
      <c r="J3865" s="8" t="s">
        <v>201</v>
      </c>
      <c r="K3865" s="8" t="s">
        <v>202</v>
      </c>
      <c r="L3865" s="8" t="s">
        <v>740</v>
      </c>
      <c r="M3865" s="1" t="s">
        <v>211</v>
      </c>
      <c r="N3865" s="8" t="s">
        <v>212</v>
      </c>
      <c r="O3865" s="6">
        <v>0</v>
      </c>
      <c r="P3865" s="6">
        <v>0</v>
      </c>
      <c r="Q3865" s="6">
        <v>0</v>
      </c>
      <c r="R3865" s="6">
        <v>0</v>
      </c>
      <c r="S3865" s="6">
        <v>0</v>
      </c>
    </row>
    <row r="3866" spans="1:19" ht="15" hidden="1" x14ac:dyDescent="0.25">
      <c r="A3866" s="7" t="s">
        <v>16</v>
      </c>
      <c r="B3866" s="7" t="s">
        <v>372</v>
      </c>
      <c r="C3866" s="7" t="s">
        <v>373</v>
      </c>
      <c r="D3866" s="4">
        <v>49791000144</v>
      </c>
      <c r="E3866" s="8" t="s">
        <v>743</v>
      </c>
      <c r="F3866" s="8" t="s">
        <v>739</v>
      </c>
      <c r="G3866" s="8" t="s">
        <v>55</v>
      </c>
      <c r="H3866" s="8" t="s">
        <v>215</v>
      </c>
      <c r="I3866" s="3">
        <v>2</v>
      </c>
      <c r="J3866" s="8" t="s">
        <v>163</v>
      </c>
      <c r="K3866" s="8" t="s">
        <v>164</v>
      </c>
      <c r="L3866" s="8" t="s">
        <v>557</v>
      </c>
      <c r="M3866" s="1" t="s">
        <v>211</v>
      </c>
      <c r="N3866" s="8" t="s">
        <v>212</v>
      </c>
      <c r="O3866" s="6">
        <v>0</v>
      </c>
      <c r="P3866" s="6">
        <v>3</v>
      </c>
      <c r="Q3866" s="6">
        <v>3</v>
      </c>
      <c r="R3866" s="6">
        <v>0</v>
      </c>
      <c r="S3866" s="6">
        <v>0</v>
      </c>
    </row>
    <row r="3867" spans="1:19" ht="15" hidden="1" x14ac:dyDescent="0.25">
      <c r="A3867" s="7" t="s">
        <v>16</v>
      </c>
      <c r="B3867" s="7" t="s">
        <v>372</v>
      </c>
      <c r="C3867" s="7" t="s">
        <v>373</v>
      </c>
      <c r="D3867" s="4">
        <v>49791000144</v>
      </c>
      <c r="E3867" s="8" t="s">
        <v>743</v>
      </c>
      <c r="F3867" s="8" t="s">
        <v>739</v>
      </c>
      <c r="G3867" s="8" t="s">
        <v>55</v>
      </c>
      <c r="H3867" s="8" t="s">
        <v>215</v>
      </c>
      <c r="I3867" s="3">
        <v>2</v>
      </c>
      <c r="J3867" s="8" t="s">
        <v>201</v>
      </c>
      <c r="K3867" s="8" t="s">
        <v>202</v>
      </c>
      <c r="L3867" s="8" t="s">
        <v>740</v>
      </c>
      <c r="M3867" s="1" t="s">
        <v>211</v>
      </c>
      <c r="N3867" s="8" t="s">
        <v>212</v>
      </c>
      <c r="O3867" s="6">
        <v>0</v>
      </c>
      <c r="P3867" s="6">
        <v>0</v>
      </c>
      <c r="Q3867" s="6">
        <v>0</v>
      </c>
      <c r="R3867" s="6">
        <v>0</v>
      </c>
      <c r="S3867" s="6">
        <v>0</v>
      </c>
    </row>
    <row r="3868" spans="1:19" ht="15" hidden="1" x14ac:dyDescent="0.25">
      <c r="A3868" s="7" t="s">
        <v>16</v>
      </c>
      <c r="B3868" s="7" t="s">
        <v>372</v>
      </c>
      <c r="C3868" s="7" t="s">
        <v>373</v>
      </c>
      <c r="D3868" s="4">
        <v>610980000144</v>
      </c>
      <c r="E3868" s="8" t="s">
        <v>756</v>
      </c>
      <c r="F3868" s="8" t="s">
        <v>739</v>
      </c>
      <c r="G3868" s="8" t="s">
        <v>55</v>
      </c>
      <c r="H3868" s="8" t="s">
        <v>215</v>
      </c>
      <c r="I3868" s="3">
        <v>2</v>
      </c>
      <c r="J3868" s="8" t="s">
        <v>163</v>
      </c>
      <c r="K3868" s="8" t="s">
        <v>164</v>
      </c>
      <c r="L3868" s="8" t="s">
        <v>557</v>
      </c>
      <c r="M3868" s="1" t="s">
        <v>211</v>
      </c>
      <c r="N3868" s="8" t="s">
        <v>212</v>
      </c>
      <c r="O3868" s="6">
        <v>0</v>
      </c>
      <c r="P3868" s="6">
        <v>0</v>
      </c>
      <c r="Q3868" s="6">
        <v>0</v>
      </c>
      <c r="R3868" s="6">
        <v>0</v>
      </c>
      <c r="S3868" s="6">
        <v>300</v>
      </c>
    </row>
    <row r="3869" spans="1:19" ht="15" hidden="1" x14ac:dyDescent="0.25">
      <c r="A3869" s="7" t="s">
        <v>16</v>
      </c>
      <c r="B3869" s="7" t="s">
        <v>372</v>
      </c>
      <c r="C3869" s="7" t="s">
        <v>373</v>
      </c>
      <c r="D3869" s="4">
        <v>610980000144</v>
      </c>
      <c r="E3869" s="8" t="s">
        <v>756</v>
      </c>
      <c r="F3869" s="8" t="s">
        <v>739</v>
      </c>
      <c r="G3869" s="8" t="s">
        <v>55</v>
      </c>
      <c r="H3869" s="8" t="s">
        <v>215</v>
      </c>
      <c r="I3869" s="3">
        <v>2</v>
      </c>
      <c r="J3869" s="8" t="s">
        <v>201</v>
      </c>
      <c r="K3869" s="8" t="s">
        <v>202</v>
      </c>
      <c r="L3869" s="8" t="s">
        <v>740</v>
      </c>
      <c r="M3869" s="1" t="s">
        <v>211</v>
      </c>
      <c r="N3869" s="8" t="s">
        <v>212</v>
      </c>
      <c r="O3869" s="6">
        <v>0</v>
      </c>
      <c r="P3869" s="6">
        <v>0</v>
      </c>
      <c r="Q3869" s="6">
        <v>0</v>
      </c>
      <c r="R3869" s="6">
        <v>0</v>
      </c>
      <c r="S3869" s="6">
        <v>300</v>
      </c>
    </row>
    <row r="3870" spans="1:19" ht="15" hidden="1" x14ac:dyDescent="0.25">
      <c r="A3870" s="7" t="s">
        <v>16</v>
      </c>
      <c r="B3870" s="7" t="s">
        <v>372</v>
      </c>
      <c r="C3870" s="7" t="s">
        <v>373</v>
      </c>
      <c r="D3870" s="4">
        <v>10942995000163</v>
      </c>
      <c r="E3870" s="8" t="s">
        <v>836</v>
      </c>
      <c r="F3870" s="8" t="s">
        <v>739</v>
      </c>
      <c r="G3870" s="8" t="s">
        <v>55</v>
      </c>
      <c r="H3870" s="8" t="s">
        <v>215</v>
      </c>
      <c r="I3870" s="3">
        <v>2</v>
      </c>
      <c r="J3870" s="8" t="s">
        <v>163</v>
      </c>
      <c r="K3870" s="8" t="s">
        <v>164</v>
      </c>
      <c r="L3870" s="8" t="s">
        <v>557</v>
      </c>
      <c r="M3870" s="1" t="s">
        <v>211</v>
      </c>
      <c r="N3870" s="8" t="s">
        <v>212</v>
      </c>
      <c r="O3870" s="6">
        <v>0</v>
      </c>
      <c r="P3870" s="6">
        <v>0</v>
      </c>
      <c r="Q3870" s="6">
        <v>0</v>
      </c>
      <c r="R3870" s="6">
        <v>0</v>
      </c>
      <c r="S3870" s="6">
        <v>1215</v>
      </c>
    </row>
    <row r="3871" spans="1:19" ht="15" hidden="1" x14ac:dyDescent="0.25">
      <c r="A3871" s="7" t="s">
        <v>16</v>
      </c>
      <c r="B3871" s="7" t="s">
        <v>372</v>
      </c>
      <c r="C3871" s="7" t="s">
        <v>373</v>
      </c>
      <c r="D3871" s="4">
        <v>10942995000163</v>
      </c>
      <c r="E3871" s="8" t="s">
        <v>836</v>
      </c>
      <c r="F3871" s="8" t="s">
        <v>739</v>
      </c>
      <c r="G3871" s="8" t="s">
        <v>55</v>
      </c>
      <c r="H3871" s="8" t="s">
        <v>215</v>
      </c>
      <c r="I3871" s="3">
        <v>2</v>
      </c>
      <c r="J3871" s="8" t="s">
        <v>201</v>
      </c>
      <c r="K3871" s="8" t="s">
        <v>202</v>
      </c>
      <c r="L3871" s="8" t="s">
        <v>740</v>
      </c>
      <c r="M3871" s="1" t="s">
        <v>211</v>
      </c>
      <c r="N3871" s="8" t="s">
        <v>212</v>
      </c>
      <c r="O3871" s="6">
        <v>0</v>
      </c>
      <c r="P3871" s="6">
        <v>0</v>
      </c>
      <c r="Q3871" s="6">
        <v>0</v>
      </c>
      <c r="R3871" s="6">
        <v>0</v>
      </c>
      <c r="S3871" s="6">
        <v>1215</v>
      </c>
    </row>
    <row r="3872" spans="1:19" ht="15" hidden="1" x14ac:dyDescent="0.25">
      <c r="A3872" s="7" t="s">
        <v>16</v>
      </c>
      <c r="B3872" s="7" t="s">
        <v>372</v>
      </c>
      <c r="C3872" s="7" t="s">
        <v>373</v>
      </c>
      <c r="D3872" s="4">
        <v>11859927000106</v>
      </c>
      <c r="E3872" s="8" t="s">
        <v>846</v>
      </c>
      <c r="F3872" s="8" t="s">
        <v>739</v>
      </c>
      <c r="G3872" s="8" t="s">
        <v>55</v>
      </c>
      <c r="H3872" s="8" t="s">
        <v>215</v>
      </c>
      <c r="I3872" s="3">
        <v>2</v>
      </c>
      <c r="J3872" s="8" t="s">
        <v>163</v>
      </c>
      <c r="K3872" s="8" t="s">
        <v>164</v>
      </c>
      <c r="L3872" s="8" t="s">
        <v>557</v>
      </c>
      <c r="M3872" s="1" t="s">
        <v>211</v>
      </c>
      <c r="N3872" s="8" t="s">
        <v>212</v>
      </c>
      <c r="O3872" s="6">
        <v>0</v>
      </c>
      <c r="P3872" s="6">
        <v>0</v>
      </c>
      <c r="Q3872" s="6">
        <v>0</v>
      </c>
      <c r="R3872" s="6">
        <v>0</v>
      </c>
      <c r="S3872" s="6">
        <v>0</v>
      </c>
    </row>
    <row r="3873" spans="1:19" ht="15" hidden="1" x14ac:dyDescent="0.25">
      <c r="A3873" s="7" t="s">
        <v>16</v>
      </c>
      <c r="B3873" s="7" t="s">
        <v>372</v>
      </c>
      <c r="C3873" s="7" t="s">
        <v>373</v>
      </c>
      <c r="D3873" s="4">
        <v>11859927000106</v>
      </c>
      <c r="E3873" s="8" t="s">
        <v>846</v>
      </c>
      <c r="F3873" s="8" t="s">
        <v>739</v>
      </c>
      <c r="G3873" s="8" t="s">
        <v>55</v>
      </c>
      <c r="H3873" s="8" t="s">
        <v>215</v>
      </c>
      <c r="I3873" s="3">
        <v>2</v>
      </c>
      <c r="J3873" s="8" t="s">
        <v>201</v>
      </c>
      <c r="K3873" s="8" t="s">
        <v>202</v>
      </c>
      <c r="L3873" s="8" t="s">
        <v>740</v>
      </c>
      <c r="M3873" s="1" t="s">
        <v>211</v>
      </c>
      <c r="N3873" s="8" t="s">
        <v>212</v>
      </c>
      <c r="O3873" s="6">
        <v>0</v>
      </c>
      <c r="P3873" s="6">
        <v>0</v>
      </c>
      <c r="Q3873" s="6">
        <v>0</v>
      </c>
      <c r="R3873" s="6">
        <v>49</v>
      </c>
      <c r="S3873" s="6">
        <v>0</v>
      </c>
    </row>
    <row r="3874" spans="1:19" ht="15" hidden="1" x14ac:dyDescent="0.25">
      <c r="A3874" s="7" t="s">
        <v>16</v>
      </c>
      <c r="B3874" s="7" t="s">
        <v>372</v>
      </c>
      <c r="C3874" s="7" t="s">
        <v>373</v>
      </c>
      <c r="D3874" s="4">
        <v>60884855001983</v>
      </c>
      <c r="E3874" s="8" t="s">
        <v>919</v>
      </c>
      <c r="F3874" s="8" t="s">
        <v>739</v>
      </c>
      <c r="G3874" s="8" t="s">
        <v>55</v>
      </c>
      <c r="H3874" s="8" t="s">
        <v>215</v>
      </c>
      <c r="I3874" s="3">
        <v>2</v>
      </c>
      <c r="J3874" s="8" t="s">
        <v>163</v>
      </c>
      <c r="K3874" s="8" t="s">
        <v>164</v>
      </c>
      <c r="L3874" s="8" t="s">
        <v>557</v>
      </c>
      <c r="M3874" s="1" t="s">
        <v>211</v>
      </c>
      <c r="N3874" s="8" t="s">
        <v>212</v>
      </c>
      <c r="O3874" s="6">
        <v>0</v>
      </c>
      <c r="P3874" s="6">
        <v>2</v>
      </c>
      <c r="Q3874" s="6">
        <v>3</v>
      </c>
      <c r="R3874" s="6">
        <v>0</v>
      </c>
      <c r="S3874" s="6">
        <v>0</v>
      </c>
    </row>
    <row r="3875" spans="1:19" ht="15" hidden="1" x14ac:dyDescent="0.25">
      <c r="A3875" s="7" t="s">
        <v>16</v>
      </c>
      <c r="B3875" s="7" t="s">
        <v>372</v>
      </c>
      <c r="C3875" s="7" t="s">
        <v>373</v>
      </c>
      <c r="D3875" s="4">
        <v>60884855001983</v>
      </c>
      <c r="E3875" s="8" t="s">
        <v>919</v>
      </c>
      <c r="F3875" s="8" t="s">
        <v>739</v>
      </c>
      <c r="G3875" s="8" t="s">
        <v>55</v>
      </c>
      <c r="H3875" s="8" t="s">
        <v>215</v>
      </c>
      <c r="I3875" s="3">
        <v>2</v>
      </c>
      <c r="J3875" s="8" t="s">
        <v>201</v>
      </c>
      <c r="K3875" s="8" t="s">
        <v>202</v>
      </c>
      <c r="L3875" s="8" t="s">
        <v>740</v>
      </c>
      <c r="M3875" s="1" t="s">
        <v>211</v>
      </c>
      <c r="N3875" s="8" t="s">
        <v>212</v>
      </c>
      <c r="O3875" s="6">
        <v>0</v>
      </c>
      <c r="P3875" s="6">
        <v>0</v>
      </c>
      <c r="Q3875" s="6">
        <v>0</v>
      </c>
      <c r="R3875" s="6">
        <v>0</v>
      </c>
      <c r="S3875" s="6">
        <v>0</v>
      </c>
    </row>
    <row r="3876" spans="1:19" ht="15" hidden="1" x14ac:dyDescent="0.25">
      <c r="A3876" s="7" t="s">
        <v>16</v>
      </c>
      <c r="B3876" s="7" t="s">
        <v>372</v>
      </c>
      <c r="C3876" s="7" t="s">
        <v>373</v>
      </c>
      <c r="D3876" s="4">
        <v>16739984000167</v>
      </c>
      <c r="E3876" s="8" t="s">
        <v>900</v>
      </c>
      <c r="F3876" s="8" t="s">
        <v>739</v>
      </c>
      <c r="G3876" s="8" t="s">
        <v>55</v>
      </c>
      <c r="H3876" s="8" t="s">
        <v>215</v>
      </c>
      <c r="I3876" s="3">
        <v>2</v>
      </c>
      <c r="J3876" s="8" t="s">
        <v>163</v>
      </c>
      <c r="K3876" s="8" t="s">
        <v>164</v>
      </c>
      <c r="L3876" s="8" t="s">
        <v>557</v>
      </c>
      <c r="M3876" s="1" t="s">
        <v>211</v>
      </c>
      <c r="N3876" s="8" t="s">
        <v>212</v>
      </c>
      <c r="O3876" s="6">
        <v>0</v>
      </c>
      <c r="P3876" s="6">
        <v>0</v>
      </c>
      <c r="Q3876" s="6">
        <v>0</v>
      </c>
      <c r="R3876" s="6">
        <v>0</v>
      </c>
      <c r="S3876" s="6">
        <v>0</v>
      </c>
    </row>
    <row r="3877" spans="1:19" ht="15" hidden="1" x14ac:dyDescent="0.25">
      <c r="A3877" s="7" t="s">
        <v>16</v>
      </c>
      <c r="B3877" s="7" t="s">
        <v>372</v>
      </c>
      <c r="C3877" s="7" t="s">
        <v>373</v>
      </c>
      <c r="D3877" s="4">
        <v>16739984000167</v>
      </c>
      <c r="E3877" s="8" t="s">
        <v>900</v>
      </c>
      <c r="F3877" s="8" t="s">
        <v>739</v>
      </c>
      <c r="G3877" s="8" t="s">
        <v>55</v>
      </c>
      <c r="H3877" s="8" t="s">
        <v>215</v>
      </c>
      <c r="I3877" s="3">
        <v>2</v>
      </c>
      <c r="J3877" s="8" t="s">
        <v>201</v>
      </c>
      <c r="K3877" s="8" t="s">
        <v>202</v>
      </c>
      <c r="L3877" s="8" t="s">
        <v>740</v>
      </c>
      <c r="M3877" s="1" t="s">
        <v>211</v>
      </c>
      <c r="N3877" s="8" t="s">
        <v>212</v>
      </c>
      <c r="O3877" s="6">
        <v>0</v>
      </c>
      <c r="P3877" s="6">
        <v>0</v>
      </c>
      <c r="Q3877" s="6">
        <v>0</v>
      </c>
      <c r="R3877" s="6">
        <v>36</v>
      </c>
      <c r="S3877" s="6">
        <v>0</v>
      </c>
    </row>
    <row r="3878" spans="1:19" ht="15" hidden="1" x14ac:dyDescent="0.25">
      <c r="A3878" s="7" t="s">
        <v>16</v>
      </c>
      <c r="B3878" s="7" t="s">
        <v>372</v>
      </c>
      <c r="C3878" s="7" t="s">
        <v>373</v>
      </c>
      <c r="D3878" s="4">
        <v>25841000153</v>
      </c>
      <c r="E3878" s="8" t="s">
        <v>738</v>
      </c>
      <c r="F3878" s="8" t="s">
        <v>739</v>
      </c>
      <c r="G3878" s="8" t="s">
        <v>55</v>
      </c>
      <c r="H3878" s="8" t="s">
        <v>215</v>
      </c>
      <c r="I3878" s="3">
        <v>2</v>
      </c>
      <c r="J3878" s="8" t="s">
        <v>163</v>
      </c>
      <c r="K3878" s="8" t="s">
        <v>164</v>
      </c>
      <c r="L3878" s="8" t="s">
        <v>557</v>
      </c>
      <c r="M3878" s="1" t="s">
        <v>211</v>
      </c>
      <c r="N3878" s="8" t="s">
        <v>212</v>
      </c>
      <c r="O3878" s="6">
        <v>0</v>
      </c>
      <c r="P3878" s="6">
        <v>0</v>
      </c>
      <c r="Q3878" s="6">
        <v>0</v>
      </c>
      <c r="R3878" s="6">
        <v>0</v>
      </c>
      <c r="S3878" s="6">
        <v>120</v>
      </c>
    </row>
    <row r="3879" spans="1:19" ht="15" hidden="1" x14ac:dyDescent="0.25">
      <c r="A3879" s="7" t="s">
        <v>16</v>
      </c>
      <c r="B3879" s="7" t="s">
        <v>372</v>
      </c>
      <c r="C3879" s="7" t="s">
        <v>373</v>
      </c>
      <c r="D3879" s="4">
        <v>25841000153</v>
      </c>
      <c r="E3879" s="8" t="s">
        <v>738</v>
      </c>
      <c r="F3879" s="8" t="s">
        <v>739</v>
      </c>
      <c r="G3879" s="8" t="s">
        <v>55</v>
      </c>
      <c r="H3879" s="8" t="s">
        <v>215</v>
      </c>
      <c r="I3879" s="3">
        <v>2</v>
      </c>
      <c r="J3879" s="8" t="s">
        <v>201</v>
      </c>
      <c r="K3879" s="8" t="s">
        <v>202</v>
      </c>
      <c r="L3879" s="8" t="s">
        <v>740</v>
      </c>
      <c r="M3879" s="1" t="s">
        <v>211</v>
      </c>
      <c r="N3879" s="8" t="s">
        <v>212</v>
      </c>
      <c r="O3879" s="6">
        <v>0</v>
      </c>
      <c r="P3879" s="6">
        <v>0</v>
      </c>
      <c r="Q3879" s="6">
        <v>0</v>
      </c>
      <c r="R3879" s="6">
        <v>0</v>
      </c>
      <c r="S3879" s="6">
        <v>120</v>
      </c>
    </row>
    <row r="3880" spans="1:19" ht="15" hidden="1" x14ac:dyDescent="0.25">
      <c r="A3880" s="7" t="s">
        <v>16</v>
      </c>
      <c r="B3880" s="7" t="s">
        <v>372</v>
      </c>
      <c r="C3880" s="7" t="s">
        <v>373</v>
      </c>
      <c r="D3880" s="4">
        <v>61590410001287</v>
      </c>
      <c r="E3880" s="8" t="s">
        <v>923</v>
      </c>
      <c r="F3880" s="8" t="s">
        <v>739</v>
      </c>
      <c r="G3880" s="8" t="s">
        <v>55</v>
      </c>
      <c r="H3880" s="8" t="s">
        <v>215</v>
      </c>
      <c r="I3880" s="3">
        <v>2</v>
      </c>
      <c r="J3880" s="8" t="s">
        <v>163</v>
      </c>
      <c r="K3880" s="8" t="s">
        <v>164</v>
      </c>
      <c r="L3880" s="8" t="s">
        <v>557</v>
      </c>
      <c r="M3880" s="1" t="s">
        <v>211</v>
      </c>
      <c r="N3880" s="8" t="s">
        <v>212</v>
      </c>
      <c r="O3880" s="6">
        <v>0</v>
      </c>
      <c r="P3880" s="6">
        <v>0</v>
      </c>
      <c r="Q3880" s="6">
        <v>8</v>
      </c>
      <c r="R3880" s="6">
        <v>0</v>
      </c>
      <c r="S3880" s="6">
        <v>0</v>
      </c>
    </row>
    <row r="3881" spans="1:19" ht="15" hidden="1" x14ac:dyDescent="0.25">
      <c r="A3881" s="7" t="s">
        <v>16</v>
      </c>
      <c r="B3881" s="7" t="s">
        <v>372</v>
      </c>
      <c r="C3881" s="7" t="s">
        <v>373</v>
      </c>
      <c r="D3881" s="4">
        <v>61590410001287</v>
      </c>
      <c r="E3881" s="8" t="s">
        <v>923</v>
      </c>
      <c r="F3881" s="8" t="s">
        <v>739</v>
      </c>
      <c r="G3881" s="8" t="s">
        <v>55</v>
      </c>
      <c r="H3881" s="8" t="s">
        <v>215</v>
      </c>
      <c r="I3881" s="3">
        <v>2</v>
      </c>
      <c r="J3881" s="8" t="s">
        <v>201</v>
      </c>
      <c r="K3881" s="8" t="s">
        <v>202</v>
      </c>
      <c r="L3881" s="8" t="s">
        <v>740</v>
      </c>
      <c r="M3881" s="1" t="s">
        <v>211</v>
      </c>
      <c r="N3881" s="8" t="s">
        <v>212</v>
      </c>
      <c r="O3881" s="6">
        <v>0</v>
      </c>
      <c r="P3881" s="6">
        <v>0</v>
      </c>
      <c r="Q3881" s="6">
        <v>0</v>
      </c>
      <c r="R3881" s="6">
        <v>0</v>
      </c>
      <c r="S3881" s="6">
        <v>0</v>
      </c>
    </row>
    <row r="3882" spans="1:19" ht="15" hidden="1" x14ac:dyDescent="0.25">
      <c r="A3882" s="7" t="s">
        <v>16</v>
      </c>
      <c r="B3882" s="7" t="s">
        <v>372</v>
      </c>
      <c r="C3882" s="7" t="s">
        <v>373</v>
      </c>
      <c r="D3882" s="4">
        <v>29323454000185</v>
      </c>
      <c r="E3882" s="8" t="s">
        <v>1211</v>
      </c>
      <c r="F3882" s="8" t="s">
        <v>543</v>
      </c>
      <c r="G3882" s="8" t="s">
        <v>98</v>
      </c>
      <c r="H3882" s="8" t="s">
        <v>215</v>
      </c>
      <c r="I3882" s="3">
        <v>1</v>
      </c>
      <c r="J3882" s="8" t="s">
        <v>159</v>
      </c>
      <c r="K3882" s="8" t="s">
        <v>160</v>
      </c>
      <c r="L3882" s="8" t="s">
        <v>740</v>
      </c>
      <c r="M3882" s="1" t="s">
        <v>205</v>
      </c>
      <c r="N3882" s="8" t="s">
        <v>206</v>
      </c>
      <c r="O3882" s="6">
        <v>0</v>
      </c>
      <c r="P3882" s="6">
        <v>0</v>
      </c>
      <c r="Q3882" s="6">
        <v>0</v>
      </c>
      <c r="R3882" s="6">
        <v>0</v>
      </c>
      <c r="S3882" s="6">
        <v>200</v>
      </c>
    </row>
    <row r="3883" spans="1:19" ht="15" hidden="1" x14ac:dyDescent="0.25">
      <c r="A3883" s="7" t="s">
        <v>16</v>
      </c>
      <c r="B3883" s="7" t="s">
        <v>372</v>
      </c>
      <c r="C3883" s="7" t="s">
        <v>373</v>
      </c>
      <c r="D3883" s="4">
        <v>4786490000154</v>
      </c>
      <c r="E3883" s="8" t="s">
        <v>1146</v>
      </c>
      <c r="F3883" s="8" t="s">
        <v>97</v>
      </c>
      <c r="G3883" s="8" t="s">
        <v>98</v>
      </c>
      <c r="H3883" s="8" t="s">
        <v>215</v>
      </c>
      <c r="I3883" s="3">
        <v>1</v>
      </c>
      <c r="J3883" s="8" t="s">
        <v>159</v>
      </c>
      <c r="K3883" s="8" t="s">
        <v>160</v>
      </c>
      <c r="L3883" s="8" t="s">
        <v>740</v>
      </c>
      <c r="M3883" s="1" t="s">
        <v>205</v>
      </c>
      <c r="N3883" s="8" t="s">
        <v>206</v>
      </c>
      <c r="O3883" s="6">
        <v>0</v>
      </c>
      <c r="P3883" s="6">
        <v>0</v>
      </c>
      <c r="Q3883" s="6">
        <v>0</v>
      </c>
      <c r="R3883" s="6">
        <v>0</v>
      </c>
      <c r="S3883" s="6">
        <v>80</v>
      </c>
    </row>
    <row r="3884" spans="1:19" ht="15" hidden="1" x14ac:dyDescent="0.25">
      <c r="A3884" s="7" t="s">
        <v>16</v>
      </c>
      <c r="B3884" s="7" t="s">
        <v>372</v>
      </c>
      <c r="C3884" s="7" t="s">
        <v>373</v>
      </c>
      <c r="D3884" s="4">
        <v>27080605000609</v>
      </c>
      <c r="E3884" s="8" t="s">
        <v>1472</v>
      </c>
      <c r="F3884" s="8" t="s">
        <v>1473</v>
      </c>
      <c r="G3884" s="8" t="s">
        <v>98</v>
      </c>
      <c r="H3884" s="8" t="s">
        <v>1334</v>
      </c>
      <c r="I3884" s="3">
        <v>0</v>
      </c>
      <c r="J3884" s="8"/>
      <c r="K3884" s="8"/>
      <c r="L3884" s="8"/>
      <c r="M3884" s="1"/>
      <c r="N3884" s="8"/>
      <c r="O3884" s="6">
        <v>0</v>
      </c>
      <c r="P3884" s="6">
        <v>0</v>
      </c>
      <c r="Q3884" s="6">
        <v>0</v>
      </c>
      <c r="R3884" s="6">
        <v>0</v>
      </c>
      <c r="S3884" s="6">
        <v>0</v>
      </c>
    </row>
    <row r="3885" spans="1:19" ht="15" hidden="1" x14ac:dyDescent="0.25">
      <c r="A3885" s="7" t="s">
        <v>16</v>
      </c>
      <c r="B3885" s="7" t="s">
        <v>372</v>
      </c>
      <c r="C3885" s="7" t="s">
        <v>373</v>
      </c>
      <c r="D3885" s="4">
        <v>11697594000310</v>
      </c>
      <c r="E3885" s="8" t="s">
        <v>1458</v>
      </c>
      <c r="F3885" s="8" t="s">
        <v>1459</v>
      </c>
      <c r="G3885" s="8" t="s">
        <v>98</v>
      </c>
      <c r="H3885" s="8" t="s">
        <v>1334</v>
      </c>
      <c r="I3885" s="3">
        <v>0</v>
      </c>
      <c r="J3885" s="8"/>
      <c r="K3885" s="8"/>
      <c r="L3885" s="8"/>
      <c r="M3885" s="1"/>
      <c r="N3885" s="8"/>
      <c r="O3885" s="6">
        <v>0</v>
      </c>
      <c r="P3885" s="6">
        <v>0</v>
      </c>
      <c r="Q3885" s="6">
        <v>0</v>
      </c>
      <c r="R3885" s="6">
        <v>0</v>
      </c>
      <c r="S3885" s="6">
        <v>0</v>
      </c>
    </row>
    <row r="3886" spans="1:19" ht="15" hidden="1" x14ac:dyDescent="0.25">
      <c r="A3886" s="7" t="s">
        <v>16</v>
      </c>
      <c r="B3886" s="7" t="s">
        <v>372</v>
      </c>
      <c r="C3886" s="7" t="s">
        <v>373</v>
      </c>
      <c r="D3886" s="4">
        <v>27578434001525</v>
      </c>
      <c r="E3886" s="8" t="s">
        <v>1208</v>
      </c>
      <c r="F3886" s="8" t="s">
        <v>1157</v>
      </c>
      <c r="G3886" s="8" t="s">
        <v>98</v>
      </c>
      <c r="H3886" s="8" t="s">
        <v>215</v>
      </c>
      <c r="I3886" s="3">
        <v>1</v>
      </c>
      <c r="J3886" s="8" t="s">
        <v>159</v>
      </c>
      <c r="K3886" s="8" t="s">
        <v>160</v>
      </c>
      <c r="L3886" s="8" t="s">
        <v>740</v>
      </c>
      <c r="M3886" s="1" t="s">
        <v>205</v>
      </c>
      <c r="N3886" s="8" t="s">
        <v>206</v>
      </c>
      <c r="O3886" s="6">
        <v>0</v>
      </c>
      <c r="P3886" s="6">
        <v>0</v>
      </c>
      <c r="Q3886" s="6">
        <v>0</v>
      </c>
      <c r="R3886" s="6">
        <v>0</v>
      </c>
      <c r="S3886" s="6">
        <v>1500</v>
      </c>
    </row>
    <row r="3887" spans="1:19" ht="15" hidden="1" x14ac:dyDescent="0.25">
      <c r="A3887" s="7" t="s">
        <v>16</v>
      </c>
      <c r="B3887" s="7" t="s">
        <v>372</v>
      </c>
      <c r="C3887" s="7" t="s">
        <v>373</v>
      </c>
      <c r="D3887" s="4">
        <v>27080605002059</v>
      </c>
      <c r="E3887" s="8" t="s">
        <v>1474</v>
      </c>
      <c r="F3887" s="8" t="s">
        <v>1157</v>
      </c>
      <c r="G3887" s="8" t="s">
        <v>98</v>
      </c>
      <c r="H3887" s="8" t="s">
        <v>1334</v>
      </c>
      <c r="I3887" s="3">
        <v>0</v>
      </c>
      <c r="J3887" s="8"/>
      <c r="K3887" s="8"/>
      <c r="L3887" s="8"/>
      <c r="M3887" s="1"/>
      <c r="N3887" s="8"/>
      <c r="O3887" s="6">
        <v>0</v>
      </c>
      <c r="P3887" s="6">
        <v>0</v>
      </c>
      <c r="Q3887" s="6">
        <v>0</v>
      </c>
      <c r="R3887" s="6">
        <v>0</v>
      </c>
      <c r="S3887" s="6">
        <v>0</v>
      </c>
    </row>
    <row r="3888" spans="1:19" ht="15" hidden="1" x14ac:dyDescent="0.25">
      <c r="A3888" s="7" t="s">
        <v>16</v>
      </c>
      <c r="B3888" s="7" t="s">
        <v>372</v>
      </c>
      <c r="C3888" s="7" t="s">
        <v>373</v>
      </c>
      <c r="D3888" s="4">
        <v>28137925000106</v>
      </c>
      <c r="E3888" s="8" t="s">
        <v>1210</v>
      </c>
      <c r="F3888" s="8" t="s">
        <v>1157</v>
      </c>
      <c r="G3888" s="8" t="s">
        <v>98</v>
      </c>
      <c r="H3888" s="8" t="s">
        <v>215</v>
      </c>
      <c r="I3888" s="3">
        <v>1</v>
      </c>
      <c r="J3888" s="8" t="s">
        <v>159</v>
      </c>
      <c r="K3888" s="8" t="s">
        <v>160</v>
      </c>
      <c r="L3888" s="8" t="s">
        <v>740</v>
      </c>
      <c r="M3888" s="1" t="s">
        <v>205</v>
      </c>
      <c r="N3888" s="8" t="s">
        <v>206</v>
      </c>
      <c r="O3888" s="6">
        <v>0</v>
      </c>
      <c r="P3888" s="6">
        <v>0</v>
      </c>
      <c r="Q3888" s="6">
        <v>0</v>
      </c>
      <c r="R3888" s="6">
        <v>0</v>
      </c>
      <c r="S3888" s="6">
        <v>35</v>
      </c>
    </row>
    <row r="3889" spans="1:19" ht="15" hidden="1" x14ac:dyDescent="0.25">
      <c r="A3889" s="7" t="s">
        <v>16</v>
      </c>
      <c r="B3889" s="7" t="s">
        <v>372</v>
      </c>
      <c r="C3889" s="7" t="s">
        <v>373</v>
      </c>
      <c r="D3889" s="4">
        <v>39387477000107</v>
      </c>
      <c r="E3889" s="8" t="s">
        <v>1218</v>
      </c>
      <c r="F3889" s="8" t="s">
        <v>1157</v>
      </c>
      <c r="G3889" s="8" t="s">
        <v>98</v>
      </c>
      <c r="H3889" s="8" t="s">
        <v>215</v>
      </c>
      <c r="I3889" s="3">
        <v>1</v>
      </c>
      <c r="J3889" s="8" t="s">
        <v>159</v>
      </c>
      <c r="K3889" s="8" t="s">
        <v>160</v>
      </c>
      <c r="L3889" s="8" t="s">
        <v>740</v>
      </c>
      <c r="M3889" s="1" t="s">
        <v>205</v>
      </c>
      <c r="N3889" s="8" t="s">
        <v>206</v>
      </c>
      <c r="O3889" s="6">
        <v>0</v>
      </c>
      <c r="P3889" s="6">
        <v>0</v>
      </c>
      <c r="Q3889" s="6">
        <v>0</v>
      </c>
      <c r="R3889" s="6">
        <v>0</v>
      </c>
      <c r="S3889" s="6">
        <v>500</v>
      </c>
    </row>
    <row r="3890" spans="1:19" ht="15" hidden="1" x14ac:dyDescent="0.25">
      <c r="A3890" s="7" t="s">
        <v>16</v>
      </c>
      <c r="B3890" s="7" t="s">
        <v>372</v>
      </c>
      <c r="C3890" s="7" t="s">
        <v>373</v>
      </c>
      <c r="D3890" s="4">
        <v>10586940000168</v>
      </c>
      <c r="E3890" s="8" t="s">
        <v>1156</v>
      </c>
      <c r="F3890" s="8" t="s">
        <v>1157</v>
      </c>
      <c r="G3890" s="8" t="s">
        <v>98</v>
      </c>
      <c r="H3890" s="8" t="s">
        <v>215</v>
      </c>
      <c r="I3890" s="3">
        <v>1</v>
      </c>
      <c r="J3890" s="8" t="s">
        <v>159</v>
      </c>
      <c r="K3890" s="8" t="s">
        <v>160</v>
      </c>
      <c r="L3890" s="8" t="s">
        <v>740</v>
      </c>
      <c r="M3890" s="1" t="s">
        <v>205</v>
      </c>
      <c r="N3890" s="8" t="s">
        <v>206</v>
      </c>
      <c r="O3890" s="6">
        <v>0</v>
      </c>
      <c r="P3890" s="6">
        <v>0</v>
      </c>
      <c r="Q3890" s="6">
        <v>0</v>
      </c>
      <c r="R3890" s="6">
        <v>0</v>
      </c>
      <c r="S3890" s="6">
        <v>500</v>
      </c>
    </row>
    <row r="3891" spans="1:19" ht="15" hidden="1" x14ac:dyDescent="0.25">
      <c r="A3891" s="7" t="s">
        <v>16</v>
      </c>
      <c r="B3891" s="7" t="s">
        <v>372</v>
      </c>
      <c r="C3891" s="7" t="s">
        <v>373</v>
      </c>
      <c r="D3891" s="4">
        <v>18034143000180</v>
      </c>
      <c r="E3891" s="8" t="s">
        <v>1396</v>
      </c>
      <c r="F3891" s="8" t="s">
        <v>753</v>
      </c>
      <c r="G3891" s="8" t="s">
        <v>59</v>
      </c>
      <c r="H3891" s="8" t="s">
        <v>215</v>
      </c>
      <c r="I3891" s="3">
        <v>2</v>
      </c>
      <c r="J3891" s="8" t="s">
        <v>187</v>
      </c>
      <c r="K3891" s="8" t="s">
        <v>188</v>
      </c>
      <c r="L3891" s="8" t="s">
        <v>556</v>
      </c>
      <c r="M3891" s="1" t="s">
        <v>211</v>
      </c>
      <c r="N3891" s="8" t="s">
        <v>212</v>
      </c>
      <c r="O3891" s="6">
        <v>0</v>
      </c>
      <c r="P3891" s="6">
        <v>0</v>
      </c>
      <c r="Q3891" s="6">
        <v>0</v>
      </c>
      <c r="R3891" s="6">
        <v>0</v>
      </c>
      <c r="S3891" s="6">
        <v>255</v>
      </c>
    </row>
    <row r="3892" spans="1:19" ht="15" hidden="1" x14ac:dyDescent="0.25">
      <c r="A3892" s="7" t="s">
        <v>16</v>
      </c>
      <c r="B3892" s="7" t="s">
        <v>372</v>
      </c>
      <c r="C3892" s="7" t="s">
        <v>373</v>
      </c>
      <c r="D3892" s="4">
        <v>18034143000180</v>
      </c>
      <c r="E3892" s="8" t="s">
        <v>1396</v>
      </c>
      <c r="F3892" s="8" t="s">
        <v>753</v>
      </c>
      <c r="G3892" s="8" t="s">
        <v>59</v>
      </c>
      <c r="H3892" s="8" t="s">
        <v>215</v>
      </c>
      <c r="I3892" s="3">
        <v>2</v>
      </c>
      <c r="J3892" s="8" t="s">
        <v>163</v>
      </c>
      <c r="K3892" s="8" t="s">
        <v>164</v>
      </c>
      <c r="L3892" s="8" t="s">
        <v>557</v>
      </c>
      <c r="M3892" s="1" t="s">
        <v>211</v>
      </c>
      <c r="N3892" s="8" t="s">
        <v>212</v>
      </c>
      <c r="O3892" s="6">
        <v>0</v>
      </c>
      <c r="P3892" s="6">
        <v>0</v>
      </c>
      <c r="Q3892" s="6">
        <v>0</v>
      </c>
      <c r="R3892" s="6">
        <v>0</v>
      </c>
      <c r="S3892" s="6">
        <v>255</v>
      </c>
    </row>
    <row r="3893" spans="1:19" ht="15" hidden="1" x14ac:dyDescent="0.25">
      <c r="A3893" s="7" t="s">
        <v>16</v>
      </c>
      <c r="B3893" s="7" t="s">
        <v>372</v>
      </c>
      <c r="C3893" s="7" t="s">
        <v>373</v>
      </c>
      <c r="D3893" s="4">
        <v>1116300000101</v>
      </c>
      <c r="E3893" s="8" t="s">
        <v>1441</v>
      </c>
      <c r="F3893" s="8" t="s">
        <v>1442</v>
      </c>
      <c r="G3893" s="8" t="s">
        <v>59</v>
      </c>
      <c r="H3893" s="8" t="s">
        <v>1334</v>
      </c>
      <c r="I3893" s="3">
        <v>0</v>
      </c>
      <c r="J3893" s="8"/>
      <c r="K3893" s="8"/>
      <c r="L3893" s="8"/>
      <c r="M3893" s="1"/>
      <c r="N3893" s="8"/>
      <c r="O3893" s="6">
        <v>0</v>
      </c>
      <c r="P3893" s="6">
        <v>0</v>
      </c>
      <c r="Q3893" s="6">
        <v>0</v>
      </c>
      <c r="R3893" s="6">
        <v>0</v>
      </c>
      <c r="S3893" s="6">
        <v>0</v>
      </c>
    </row>
    <row r="3894" spans="1:19" ht="15" hidden="1" x14ac:dyDescent="0.25">
      <c r="A3894" s="7" t="s">
        <v>16</v>
      </c>
      <c r="B3894" s="7" t="s">
        <v>372</v>
      </c>
      <c r="C3894" s="7" t="s">
        <v>373</v>
      </c>
      <c r="D3894" s="4">
        <v>1326206000179</v>
      </c>
      <c r="E3894" s="8" t="s">
        <v>761</v>
      </c>
      <c r="F3894" s="8" t="s">
        <v>762</v>
      </c>
      <c r="G3894" s="8" t="s">
        <v>59</v>
      </c>
      <c r="H3894" s="8" t="s">
        <v>215</v>
      </c>
      <c r="I3894" s="3">
        <v>2</v>
      </c>
      <c r="J3894" s="8" t="s">
        <v>187</v>
      </c>
      <c r="K3894" s="8" t="s">
        <v>188</v>
      </c>
      <c r="L3894" s="8" t="s">
        <v>556</v>
      </c>
      <c r="M3894" s="1" t="s">
        <v>211</v>
      </c>
      <c r="N3894" s="8" t="s">
        <v>212</v>
      </c>
      <c r="O3894" s="6">
        <v>0</v>
      </c>
      <c r="P3894" s="6">
        <v>0</v>
      </c>
      <c r="Q3894" s="6">
        <v>0</v>
      </c>
      <c r="R3894" s="6">
        <v>44</v>
      </c>
      <c r="S3894" s="6">
        <v>0</v>
      </c>
    </row>
    <row r="3895" spans="1:19" ht="15" hidden="1" x14ac:dyDescent="0.25">
      <c r="A3895" s="7" t="s">
        <v>16</v>
      </c>
      <c r="B3895" s="7" t="s">
        <v>372</v>
      </c>
      <c r="C3895" s="7" t="s">
        <v>373</v>
      </c>
      <c r="D3895" s="4">
        <v>1326206000179</v>
      </c>
      <c r="E3895" s="8" t="s">
        <v>761</v>
      </c>
      <c r="F3895" s="8" t="s">
        <v>762</v>
      </c>
      <c r="G3895" s="8" t="s">
        <v>59</v>
      </c>
      <c r="H3895" s="8" t="s">
        <v>215</v>
      </c>
      <c r="I3895" s="3">
        <v>2</v>
      </c>
      <c r="J3895" s="8" t="s">
        <v>163</v>
      </c>
      <c r="K3895" s="8" t="s">
        <v>164</v>
      </c>
      <c r="L3895" s="8" t="s">
        <v>557</v>
      </c>
      <c r="M3895" s="1" t="s">
        <v>211</v>
      </c>
      <c r="N3895" s="8" t="s">
        <v>212</v>
      </c>
      <c r="O3895" s="6">
        <v>0</v>
      </c>
      <c r="P3895" s="6">
        <v>0</v>
      </c>
      <c r="Q3895" s="6">
        <v>0</v>
      </c>
      <c r="R3895" s="6">
        <v>0</v>
      </c>
      <c r="S3895" s="6">
        <v>0</v>
      </c>
    </row>
    <row r="3896" spans="1:19" ht="15" hidden="1" x14ac:dyDescent="0.25">
      <c r="A3896" s="7" t="s">
        <v>16</v>
      </c>
      <c r="B3896" s="7" t="s">
        <v>372</v>
      </c>
      <c r="C3896" s="7" t="s">
        <v>373</v>
      </c>
      <c r="D3896" s="4">
        <v>17239624000169</v>
      </c>
      <c r="E3896" s="8" t="s">
        <v>1394</v>
      </c>
      <c r="F3896" s="8" t="s">
        <v>1395</v>
      </c>
      <c r="G3896" s="8" t="s">
        <v>59</v>
      </c>
      <c r="H3896" s="8" t="s">
        <v>215</v>
      </c>
      <c r="I3896" s="3">
        <v>2</v>
      </c>
      <c r="J3896" s="8" t="s">
        <v>187</v>
      </c>
      <c r="K3896" s="8" t="s">
        <v>188</v>
      </c>
      <c r="L3896" s="8" t="s">
        <v>556</v>
      </c>
      <c r="M3896" s="1" t="s">
        <v>211</v>
      </c>
      <c r="N3896" s="8" t="s">
        <v>212</v>
      </c>
      <c r="O3896" s="6">
        <v>0</v>
      </c>
      <c r="P3896" s="6">
        <v>0</v>
      </c>
      <c r="Q3896" s="6">
        <v>0</v>
      </c>
      <c r="R3896" s="6">
        <v>0</v>
      </c>
      <c r="S3896" s="6">
        <v>0</v>
      </c>
    </row>
    <row r="3897" spans="1:19" ht="15" hidden="1" x14ac:dyDescent="0.25">
      <c r="A3897" s="7" t="s">
        <v>16</v>
      </c>
      <c r="B3897" s="7" t="s">
        <v>372</v>
      </c>
      <c r="C3897" s="7" t="s">
        <v>373</v>
      </c>
      <c r="D3897" s="4">
        <v>17239624000169</v>
      </c>
      <c r="E3897" s="8" t="s">
        <v>1394</v>
      </c>
      <c r="F3897" s="8" t="s">
        <v>1395</v>
      </c>
      <c r="G3897" s="8" t="s">
        <v>59</v>
      </c>
      <c r="H3897" s="8" t="s">
        <v>215</v>
      </c>
      <c r="I3897" s="3">
        <v>2</v>
      </c>
      <c r="J3897" s="8" t="s">
        <v>163</v>
      </c>
      <c r="K3897" s="8" t="s">
        <v>164</v>
      </c>
      <c r="L3897" s="8" t="s">
        <v>557</v>
      </c>
      <c r="M3897" s="1" t="s">
        <v>211</v>
      </c>
      <c r="N3897" s="8" t="s">
        <v>212</v>
      </c>
      <c r="O3897" s="6">
        <v>0</v>
      </c>
      <c r="P3897" s="6">
        <v>29</v>
      </c>
      <c r="Q3897" s="6">
        <v>0</v>
      </c>
      <c r="R3897" s="6">
        <v>0</v>
      </c>
      <c r="S3897" s="6">
        <v>0</v>
      </c>
    </row>
    <row r="3898" spans="1:19" ht="15" hidden="1" x14ac:dyDescent="0.25">
      <c r="A3898" s="7" t="s">
        <v>16</v>
      </c>
      <c r="B3898" s="7" t="s">
        <v>372</v>
      </c>
      <c r="C3898" s="7" t="s">
        <v>373</v>
      </c>
      <c r="D3898" s="4">
        <v>754174000140</v>
      </c>
      <c r="E3898" s="8" t="s">
        <v>1438</v>
      </c>
      <c r="F3898" s="8" t="s">
        <v>745</v>
      </c>
      <c r="G3898" s="8" t="s">
        <v>59</v>
      </c>
      <c r="H3898" s="8" t="s">
        <v>1334</v>
      </c>
      <c r="I3898" s="3">
        <v>0</v>
      </c>
      <c r="J3898" s="8"/>
      <c r="K3898" s="8"/>
      <c r="L3898" s="8"/>
      <c r="M3898" s="1"/>
      <c r="N3898" s="8"/>
      <c r="O3898" s="6">
        <v>0</v>
      </c>
      <c r="P3898" s="6">
        <v>0</v>
      </c>
      <c r="Q3898" s="6">
        <v>0</v>
      </c>
      <c r="R3898" s="6">
        <v>0</v>
      </c>
      <c r="S3898" s="6">
        <v>0</v>
      </c>
    </row>
    <row r="3899" spans="1:19" ht="15" hidden="1" x14ac:dyDescent="0.25">
      <c r="A3899" s="7" t="s">
        <v>16</v>
      </c>
      <c r="B3899" s="7" t="s">
        <v>372</v>
      </c>
      <c r="C3899" s="7" t="s">
        <v>373</v>
      </c>
      <c r="D3899" s="4">
        <v>2476067000394</v>
      </c>
      <c r="E3899" s="8" t="s">
        <v>780</v>
      </c>
      <c r="F3899" s="8" t="s">
        <v>745</v>
      </c>
      <c r="G3899" s="8" t="s">
        <v>59</v>
      </c>
      <c r="H3899" s="8" t="s">
        <v>215</v>
      </c>
      <c r="I3899" s="3">
        <v>2</v>
      </c>
      <c r="J3899" s="8" t="s">
        <v>187</v>
      </c>
      <c r="K3899" s="8" t="s">
        <v>188</v>
      </c>
      <c r="L3899" s="8" t="s">
        <v>556</v>
      </c>
      <c r="M3899" s="1" t="s">
        <v>211</v>
      </c>
      <c r="N3899" s="8" t="s">
        <v>212</v>
      </c>
      <c r="O3899" s="6">
        <v>0</v>
      </c>
      <c r="P3899" s="6">
        <v>0</v>
      </c>
      <c r="Q3899" s="6">
        <v>0</v>
      </c>
      <c r="R3899" s="6">
        <v>0</v>
      </c>
      <c r="S3899" s="6">
        <v>660</v>
      </c>
    </row>
    <row r="3900" spans="1:19" ht="15" hidden="1" x14ac:dyDescent="0.25">
      <c r="A3900" s="7" t="s">
        <v>16</v>
      </c>
      <c r="B3900" s="7" t="s">
        <v>372</v>
      </c>
      <c r="C3900" s="7" t="s">
        <v>373</v>
      </c>
      <c r="D3900" s="4">
        <v>2476067000394</v>
      </c>
      <c r="E3900" s="8" t="s">
        <v>780</v>
      </c>
      <c r="F3900" s="8" t="s">
        <v>745</v>
      </c>
      <c r="G3900" s="8" t="s">
        <v>59</v>
      </c>
      <c r="H3900" s="8" t="s">
        <v>215</v>
      </c>
      <c r="I3900" s="3">
        <v>2</v>
      </c>
      <c r="J3900" s="8" t="s">
        <v>163</v>
      </c>
      <c r="K3900" s="8" t="s">
        <v>164</v>
      </c>
      <c r="L3900" s="8" t="s">
        <v>557</v>
      </c>
      <c r="M3900" s="1" t="s">
        <v>211</v>
      </c>
      <c r="N3900" s="8" t="s">
        <v>212</v>
      </c>
      <c r="O3900" s="6">
        <v>0</v>
      </c>
      <c r="P3900" s="6">
        <v>0</v>
      </c>
      <c r="Q3900" s="6">
        <v>0</v>
      </c>
      <c r="R3900" s="6">
        <v>0</v>
      </c>
      <c r="S3900" s="6">
        <v>660</v>
      </c>
    </row>
    <row r="3901" spans="1:19" ht="15" hidden="1" x14ac:dyDescent="0.25">
      <c r="A3901" s="7" t="s">
        <v>16</v>
      </c>
      <c r="B3901" s="7" t="s">
        <v>372</v>
      </c>
      <c r="C3901" s="7" t="s">
        <v>373</v>
      </c>
      <c r="D3901" s="4">
        <v>418954000119</v>
      </c>
      <c r="E3901" s="8" t="s">
        <v>751</v>
      </c>
      <c r="F3901" s="8" t="s">
        <v>745</v>
      </c>
      <c r="G3901" s="8" t="s">
        <v>59</v>
      </c>
      <c r="H3901" s="8" t="s">
        <v>215</v>
      </c>
      <c r="I3901" s="3">
        <v>2</v>
      </c>
      <c r="J3901" s="8" t="s">
        <v>187</v>
      </c>
      <c r="K3901" s="8" t="s">
        <v>188</v>
      </c>
      <c r="L3901" s="8" t="s">
        <v>556</v>
      </c>
      <c r="M3901" s="1" t="s">
        <v>211</v>
      </c>
      <c r="N3901" s="8" t="s">
        <v>212</v>
      </c>
      <c r="O3901" s="6">
        <v>0</v>
      </c>
      <c r="P3901" s="6">
        <v>0</v>
      </c>
      <c r="Q3901" s="6">
        <v>0</v>
      </c>
      <c r="R3901" s="6">
        <v>0</v>
      </c>
      <c r="S3901" s="6">
        <v>150</v>
      </c>
    </row>
    <row r="3902" spans="1:19" ht="15" hidden="1" x14ac:dyDescent="0.25">
      <c r="A3902" s="7" t="s">
        <v>16</v>
      </c>
      <c r="B3902" s="7" t="s">
        <v>372</v>
      </c>
      <c r="C3902" s="7" t="s">
        <v>373</v>
      </c>
      <c r="D3902" s="4">
        <v>418954000119</v>
      </c>
      <c r="E3902" s="8" t="s">
        <v>751</v>
      </c>
      <c r="F3902" s="8" t="s">
        <v>745</v>
      </c>
      <c r="G3902" s="8" t="s">
        <v>59</v>
      </c>
      <c r="H3902" s="8" t="s">
        <v>215</v>
      </c>
      <c r="I3902" s="3">
        <v>2</v>
      </c>
      <c r="J3902" s="8" t="s">
        <v>163</v>
      </c>
      <c r="K3902" s="8" t="s">
        <v>164</v>
      </c>
      <c r="L3902" s="8" t="s">
        <v>557</v>
      </c>
      <c r="M3902" s="1" t="s">
        <v>211</v>
      </c>
      <c r="N3902" s="8" t="s">
        <v>212</v>
      </c>
      <c r="O3902" s="6">
        <v>0</v>
      </c>
      <c r="P3902" s="6">
        <v>0</v>
      </c>
      <c r="Q3902" s="6">
        <v>0</v>
      </c>
      <c r="R3902" s="6">
        <v>0</v>
      </c>
      <c r="S3902" s="6">
        <v>150</v>
      </c>
    </row>
    <row r="3903" spans="1:19" ht="15" hidden="1" x14ac:dyDescent="0.25">
      <c r="A3903" s="7" t="s">
        <v>16</v>
      </c>
      <c r="B3903" s="7" t="s">
        <v>372</v>
      </c>
      <c r="C3903" s="7" t="s">
        <v>373</v>
      </c>
      <c r="D3903" s="4">
        <v>6337035000105</v>
      </c>
      <c r="E3903" s="8" t="s">
        <v>814</v>
      </c>
      <c r="F3903" s="8" t="s">
        <v>745</v>
      </c>
      <c r="G3903" s="8" t="s">
        <v>59</v>
      </c>
      <c r="H3903" s="8" t="s">
        <v>215</v>
      </c>
      <c r="I3903" s="3">
        <v>2</v>
      </c>
      <c r="J3903" s="8" t="s">
        <v>187</v>
      </c>
      <c r="K3903" s="8" t="s">
        <v>188</v>
      </c>
      <c r="L3903" s="8" t="s">
        <v>556</v>
      </c>
      <c r="M3903" s="1" t="s">
        <v>211</v>
      </c>
      <c r="N3903" s="8" t="s">
        <v>212</v>
      </c>
      <c r="O3903" s="6">
        <v>0</v>
      </c>
      <c r="P3903" s="6">
        <v>0</v>
      </c>
      <c r="Q3903" s="6">
        <v>0</v>
      </c>
      <c r="R3903" s="6">
        <v>0</v>
      </c>
      <c r="S3903" s="6">
        <v>50</v>
      </c>
    </row>
    <row r="3904" spans="1:19" ht="15" hidden="1" x14ac:dyDescent="0.25">
      <c r="A3904" s="7" t="s">
        <v>16</v>
      </c>
      <c r="B3904" s="7" t="s">
        <v>372</v>
      </c>
      <c r="C3904" s="7" t="s">
        <v>373</v>
      </c>
      <c r="D3904" s="4">
        <v>6337035000105</v>
      </c>
      <c r="E3904" s="8" t="s">
        <v>814</v>
      </c>
      <c r="F3904" s="8" t="s">
        <v>745</v>
      </c>
      <c r="G3904" s="8" t="s">
        <v>59</v>
      </c>
      <c r="H3904" s="8" t="s">
        <v>215</v>
      </c>
      <c r="I3904" s="3">
        <v>2</v>
      </c>
      <c r="J3904" s="8" t="s">
        <v>163</v>
      </c>
      <c r="K3904" s="8" t="s">
        <v>164</v>
      </c>
      <c r="L3904" s="8" t="s">
        <v>557</v>
      </c>
      <c r="M3904" s="1" t="s">
        <v>211</v>
      </c>
      <c r="N3904" s="8" t="s">
        <v>212</v>
      </c>
      <c r="O3904" s="6">
        <v>0</v>
      </c>
      <c r="P3904" s="6">
        <v>0</v>
      </c>
      <c r="Q3904" s="6">
        <v>0</v>
      </c>
      <c r="R3904" s="6">
        <v>0</v>
      </c>
      <c r="S3904" s="6">
        <v>50</v>
      </c>
    </row>
    <row r="3905" spans="1:19" ht="15" hidden="1" x14ac:dyDescent="0.25">
      <c r="A3905" s="7" t="s">
        <v>16</v>
      </c>
      <c r="B3905" s="7" t="s">
        <v>372</v>
      </c>
      <c r="C3905" s="7" t="s">
        <v>373</v>
      </c>
      <c r="D3905" s="4">
        <v>1277573000120</v>
      </c>
      <c r="E3905" s="8" t="s">
        <v>760</v>
      </c>
      <c r="F3905" s="8" t="s">
        <v>745</v>
      </c>
      <c r="G3905" s="8" t="s">
        <v>59</v>
      </c>
      <c r="H3905" s="8" t="s">
        <v>215</v>
      </c>
      <c r="I3905" s="3">
        <v>2</v>
      </c>
      <c r="J3905" s="8" t="s">
        <v>187</v>
      </c>
      <c r="K3905" s="8" t="s">
        <v>188</v>
      </c>
      <c r="L3905" s="8" t="s">
        <v>556</v>
      </c>
      <c r="M3905" s="1" t="s">
        <v>211</v>
      </c>
      <c r="N3905" s="8" t="s">
        <v>212</v>
      </c>
      <c r="O3905" s="6">
        <v>0</v>
      </c>
      <c r="P3905" s="6">
        <v>0</v>
      </c>
      <c r="Q3905" s="6">
        <v>0</v>
      </c>
      <c r="R3905" s="6">
        <v>0</v>
      </c>
      <c r="S3905" s="6">
        <v>40</v>
      </c>
    </row>
    <row r="3906" spans="1:19" ht="15" hidden="1" x14ac:dyDescent="0.25">
      <c r="A3906" s="7" t="s">
        <v>16</v>
      </c>
      <c r="B3906" s="7" t="s">
        <v>372</v>
      </c>
      <c r="C3906" s="7" t="s">
        <v>373</v>
      </c>
      <c r="D3906" s="4">
        <v>1277573000120</v>
      </c>
      <c r="E3906" s="8" t="s">
        <v>760</v>
      </c>
      <c r="F3906" s="8" t="s">
        <v>745</v>
      </c>
      <c r="G3906" s="8" t="s">
        <v>59</v>
      </c>
      <c r="H3906" s="8" t="s">
        <v>215</v>
      </c>
      <c r="I3906" s="3">
        <v>2</v>
      </c>
      <c r="J3906" s="8" t="s">
        <v>163</v>
      </c>
      <c r="K3906" s="8" t="s">
        <v>164</v>
      </c>
      <c r="L3906" s="8" t="s">
        <v>557</v>
      </c>
      <c r="M3906" s="1" t="s">
        <v>211</v>
      </c>
      <c r="N3906" s="8" t="s">
        <v>212</v>
      </c>
      <c r="O3906" s="6">
        <v>0</v>
      </c>
      <c r="P3906" s="6">
        <v>0</v>
      </c>
      <c r="Q3906" s="6">
        <v>0</v>
      </c>
      <c r="R3906" s="6">
        <v>0</v>
      </c>
      <c r="S3906" s="6">
        <v>40</v>
      </c>
    </row>
    <row r="3907" spans="1:19" ht="15" hidden="1" x14ac:dyDescent="0.25">
      <c r="A3907" s="7" t="s">
        <v>16</v>
      </c>
      <c r="B3907" s="7" t="s">
        <v>372</v>
      </c>
      <c r="C3907" s="7" t="s">
        <v>373</v>
      </c>
      <c r="D3907" s="4">
        <v>1011865000116</v>
      </c>
      <c r="E3907" s="8" t="s">
        <v>759</v>
      </c>
      <c r="F3907" s="8" t="s">
        <v>745</v>
      </c>
      <c r="G3907" s="8" t="s">
        <v>59</v>
      </c>
      <c r="H3907" s="8" t="s">
        <v>215</v>
      </c>
      <c r="I3907" s="3">
        <v>2</v>
      </c>
      <c r="J3907" s="8" t="s">
        <v>187</v>
      </c>
      <c r="K3907" s="8" t="s">
        <v>188</v>
      </c>
      <c r="L3907" s="8" t="s">
        <v>556</v>
      </c>
      <c r="M3907" s="1" t="s">
        <v>211</v>
      </c>
      <c r="N3907" s="8" t="s">
        <v>212</v>
      </c>
      <c r="O3907" s="6">
        <v>0</v>
      </c>
      <c r="P3907" s="6">
        <v>0</v>
      </c>
      <c r="Q3907" s="6">
        <v>0</v>
      </c>
      <c r="R3907" s="6">
        <v>0</v>
      </c>
      <c r="S3907" s="6">
        <v>650</v>
      </c>
    </row>
    <row r="3908" spans="1:19" ht="15" hidden="1" x14ac:dyDescent="0.25">
      <c r="A3908" s="7" t="s">
        <v>16</v>
      </c>
      <c r="B3908" s="7" t="s">
        <v>372</v>
      </c>
      <c r="C3908" s="7" t="s">
        <v>373</v>
      </c>
      <c r="D3908" s="4">
        <v>1011865000116</v>
      </c>
      <c r="E3908" s="8" t="s">
        <v>759</v>
      </c>
      <c r="F3908" s="8" t="s">
        <v>745</v>
      </c>
      <c r="G3908" s="8" t="s">
        <v>59</v>
      </c>
      <c r="H3908" s="8" t="s">
        <v>215</v>
      </c>
      <c r="I3908" s="3">
        <v>2</v>
      </c>
      <c r="J3908" s="8" t="s">
        <v>163</v>
      </c>
      <c r="K3908" s="8" t="s">
        <v>164</v>
      </c>
      <c r="L3908" s="8" t="s">
        <v>557</v>
      </c>
      <c r="M3908" s="1" t="s">
        <v>211</v>
      </c>
      <c r="N3908" s="8" t="s">
        <v>212</v>
      </c>
      <c r="O3908" s="6">
        <v>0</v>
      </c>
      <c r="P3908" s="6">
        <v>0</v>
      </c>
      <c r="Q3908" s="6">
        <v>0</v>
      </c>
      <c r="R3908" s="6">
        <v>0</v>
      </c>
      <c r="S3908" s="6">
        <v>650</v>
      </c>
    </row>
    <row r="3909" spans="1:19" ht="15" hidden="1" x14ac:dyDescent="0.25">
      <c r="A3909" s="7" t="s">
        <v>16</v>
      </c>
      <c r="B3909" s="7" t="s">
        <v>372</v>
      </c>
      <c r="C3909" s="7" t="s">
        <v>373</v>
      </c>
      <c r="D3909" s="4">
        <v>1570589000126</v>
      </c>
      <c r="E3909" s="8" t="s">
        <v>766</v>
      </c>
      <c r="F3909" s="8" t="s">
        <v>745</v>
      </c>
      <c r="G3909" s="8" t="s">
        <v>59</v>
      </c>
      <c r="H3909" s="8" t="s">
        <v>215</v>
      </c>
      <c r="I3909" s="3">
        <v>2</v>
      </c>
      <c r="J3909" s="8" t="s">
        <v>187</v>
      </c>
      <c r="K3909" s="8" t="s">
        <v>188</v>
      </c>
      <c r="L3909" s="8" t="s">
        <v>556</v>
      </c>
      <c r="M3909" s="1" t="s">
        <v>211</v>
      </c>
      <c r="N3909" s="8" t="s">
        <v>212</v>
      </c>
      <c r="O3909" s="6">
        <v>0</v>
      </c>
      <c r="P3909" s="6">
        <v>0</v>
      </c>
      <c r="Q3909" s="6">
        <v>0</v>
      </c>
      <c r="R3909" s="6">
        <v>0</v>
      </c>
      <c r="S3909" s="6">
        <v>300</v>
      </c>
    </row>
    <row r="3910" spans="1:19" ht="15" hidden="1" x14ac:dyDescent="0.25">
      <c r="A3910" s="7" t="s">
        <v>16</v>
      </c>
      <c r="B3910" s="7" t="s">
        <v>372</v>
      </c>
      <c r="C3910" s="7" t="s">
        <v>373</v>
      </c>
      <c r="D3910" s="4">
        <v>1570589000126</v>
      </c>
      <c r="E3910" s="8" t="s">
        <v>766</v>
      </c>
      <c r="F3910" s="8" t="s">
        <v>745</v>
      </c>
      <c r="G3910" s="8" t="s">
        <v>59</v>
      </c>
      <c r="H3910" s="8" t="s">
        <v>215</v>
      </c>
      <c r="I3910" s="3">
        <v>2</v>
      </c>
      <c r="J3910" s="8" t="s">
        <v>163</v>
      </c>
      <c r="K3910" s="8" t="s">
        <v>164</v>
      </c>
      <c r="L3910" s="8" t="s">
        <v>557</v>
      </c>
      <c r="M3910" s="1" t="s">
        <v>211</v>
      </c>
      <c r="N3910" s="8" t="s">
        <v>212</v>
      </c>
      <c r="O3910" s="6">
        <v>0</v>
      </c>
      <c r="P3910" s="6">
        <v>0</v>
      </c>
      <c r="Q3910" s="6">
        <v>0</v>
      </c>
      <c r="R3910" s="6">
        <v>0</v>
      </c>
      <c r="S3910" s="6">
        <v>300</v>
      </c>
    </row>
    <row r="3911" spans="1:19" ht="15" hidden="1" x14ac:dyDescent="0.25">
      <c r="A3911" s="7" t="s">
        <v>16</v>
      </c>
      <c r="B3911" s="7" t="s">
        <v>372</v>
      </c>
      <c r="C3911" s="7" t="s">
        <v>373</v>
      </c>
      <c r="D3911" s="4">
        <v>2476067000203</v>
      </c>
      <c r="E3911" s="8" t="s">
        <v>779</v>
      </c>
      <c r="F3911" s="8" t="s">
        <v>745</v>
      </c>
      <c r="G3911" s="8" t="s">
        <v>59</v>
      </c>
      <c r="H3911" s="8" t="s">
        <v>215</v>
      </c>
      <c r="I3911" s="3">
        <v>2</v>
      </c>
      <c r="J3911" s="8" t="s">
        <v>187</v>
      </c>
      <c r="K3911" s="8" t="s">
        <v>188</v>
      </c>
      <c r="L3911" s="8" t="s">
        <v>556</v>
      </c>
      <c r="M3911" s="1" t="s">
        <v>211</v>
      </c>
      <c r="N3911" s="8" t="s">
        <v>212</v>
      </c>
      <c r="O3911" s="6">
        <v>0</v>
      </c>
      <c r="P3911" s="6">
        <v>0</v>
      </c>
      <c r="Q3911" s="6">
        <v>0</v>
      </c>
      <c r="R3911" s="6">
        <v>17</v>
      </c>
      <c r="S3911" s="6">
        <v>0</v>
      </c>
    </row>
    <row r="3912" spans="1:19" ht="15" hidden="1" x14ac:dyDescent="0.25">
      <c r="A3912" s="7" t="s">
        <v>16</v>
      </c>
      <c r="B3912" s="7" t="s">
        <v>372</v>
      </c>
      <c r="C3912" s="7" t="s">
        <v>373</v>
      </c>
      <c r="D3912" s="4">
        <v>2476067000203</v>
      </c>
      <c r="E3912" s="8" t="s">
        <v>779</v>
      </c>
      <c r="F3912" s="8" t="s">
        <v>745</v>
      </c>
      <c r="G3912" s="8" t="s">
        <v>59</v>
      </c>
      <c r="H3912" s="8" t="s">
        <v>215</v>
      </c>
      <c r="I3912" s="3">
        <v>2</v>
      </c>
      <c r="J3912" s="8" t="s">
        <v>163</v>
      </c>
      <c r="K3912" s="8" t="s">
        <v>164</v>
      </c>
      <c r="L3912" s="8" t="s">
        <v>557</v>
      </c>
      <c r="M3912" s="1" t="s">
        <v>211</v>
      </c>
      <c r="N3912" s="8" t="s">
        <v>212</v>
      </c>
      <c r="O3912" s="6">
        <v>0</v>
      </c>
      <c r="P3912" s="6">
        <v>0</v>
      </c>
      <c r="Q3912" s="6">
        <v>0</v>
      </c>
      <c r="R3912" s="6">
        <v>0</v>
      </c>
      <c r="S3912" s="6">
        <v>0</v>
      </c>
    </row>
    <row r="3913" spans="1:19" ht="15" hidden="1" x14ac:dyDescent="0.25">
      <c r="A3913" s="7" t="s">
        <v>16</v>
      </c>
      <c r="B3913" s="7" t="s">
        <v>372</v>
      </c>
      <c r="C3913" s="7" t="s">
        <v>373</v>
      </c>
      <c r="D3913" s="4">
        <v>11006293000130</v>
      </c>
      <c r="E3913" s="8" t="s">
        <v>838</v>
      </c>
      <c r="F3913" s="8" t="s">
        <v>777</v>
      </c>
      <c r="G3913" s="8" t="s">
        <v>72</v>
      </c>
      <c r="H3913" s="8" t="s">
        <v>215</v>
      </c>
      <c r="I3913" s="3">
        <v>2</v>
      </c>
      <c r="J3913" s="8" t="s">
        <v>165</v>
      </c>
      <c r="K3913" s="8" t="s">
        <v>166</v>
      </c>
      <c r="L3913" s="8" t="s">
        <v>557</v>
      </c>
      <c r="M3913" s="1" t="s">
        <v>211</v>
      </c>
      <c r="N3913" s="8" t="s">
        <v>212</v>
      </c>
      <c r="O3913" s="6">
        <v>0</v>
      </c>
      <c r="P3913" s="6">
        <v>0</v>
      </c>
      <c r="Q3913" s="6">
        <v>0</v>
      </c>
      <c r="R3913" s="6">
        <v>0</v>
      </c>
      <c r="S3913" s="6">
        <v>610</v>
      </c>
    </row>
    <row r="3914" spans="1:19" ht="15" hidden="1" x14ac:dyDescent="0.25">
      <c r="A3914" s="7" t="s">
        <v>16</v>
      </c>
      <c r="B3914" s="7" t="s">
        <v>372</v>
      </c>
      <c r="C3914" s="7" t="s">
        <v>373</v>
      </c>
      <c r="D3914" s="4">
        <v>11006293000130</v>
      </c>
      <c r="E3914" s="8" t="s">
        <v>838</v>
      </c>
      <c r="F3914" s="8" t="s">
        <v>777</v>
      </c>
      <c r="G3914" s="8" t="s">
        <v>72</v>
      </c>
      <c r="H3914" s="8" t="s">
        <v>215</v>
      </c>
      <c r="I3914" s="3">
        <v>2</v>
      </c>
      <c r="J3914" s="8" t="s">
        <v>201</v>
      </c>
      <c r="K3914" s="8" t="s">
        <v>202</v>
      </c>
      <c r="L3914" s="8" t="s">
        <v>740</v>
      </c>
      <c r="M3914" s="1" t="s">
        <v>211</v>
      </c>
      <c r="N3914" s="8" t="s">
        <v>212</v>
      </c>
      <c r="O3914" s="6">
        <v>0</v>
      </c>
      <c r="P3914" s="6">
        <v>0</v>
      </c>
      <c r="Q3914" s="6">
        <v>0</v>
      </c>
      <c r="R3914" s="6">
        <v>0</v>
      </c>
      <c r="S3914" s="6">
        <v>610</v>
      </c>
    </row>
    <row r="3915" spans="1:19" ht="15" hidden="1" x14ac:dyDescent="0.25">
      <c r="A3915" s="7" t="s">
        <v>16</v>
      </c>
      <c r="B3915" s="7" t="s">
        <v>372</v>
      </c>
      <c r="C3915" s="7" t="s">
        <v>373</v>
      </c>
      <c r="D3915" s="4">
        <v>2284062001170</v>
      </c>
      <c r="E3915" s="8" t="s">
        <v>776</v>
      </c>
      <c r="F3915" s="8" t="s">
        <v>777</v>
      </c>
      <c r="G3915" s="8" t="s">
        <v>72</v>
      </c>
      <c r="H3915" s="8" t="s">
        <v>215</v>
      </c>
      <c r="I3915" s="3">
        <v>2</v>
      </c>
      <c r="J3915" s="8" t="s">
        <v>165</v>
      </c>
      <c r="K3915" s="8" t="s">
        <v>166</v>
      </c>
      <c r="L3915" s="8" t="s">
        <v>557</v>
      </c>
      <c r="M3915" s="1" t="s">
        <v>211</v>
      </c>
      <c r="N3915" s="8" t="s">
        <v>212</v>
      </c>
      <c r="O3915" s="6">
        <v>0</v>
      </c>
      <c r="P3915" s="6">
        <v>10</v>
      </c>
      <c r="Q3915" s="6">
        <v>0</v>
      </c>
      <c r="R3915" s="6">
        <v>0</v>
      </c>
      <c r="S3915" s="6">
        <v>200</v>
      </c>
    </row>
    <row r="3916" spans="1:19" ht="15" hidden="1" x14ac:dyDescent="0.25">
      <c r="A3916" s="7" t="s">
        <v>16</v>
      </c>
      <c r="B3916" s="7" t="s">
        <v>372</v>
      </c>
      <c r="C3916" s="7" t="s">
        <v>373</v>
      </c>
      <c r="D3916" s="4">
        <v>2284062001170</v>
      </c>
      <c r="E3916" s="8" t="s">
        <v>776</v>
      </c>
      <c r="F3916" s="8" t="s">
        <v>777</v>
      </c>
      <c r="G3916" s="8" t="s">
        <v>72</v>
      </c>
      <c r="H3916" s="8" t="s">
        <v>215</v>
      </c>
      <c r="I3916" s="3">
        <v>2</v>
      </c>
      <c r="J3916" s="8" t="s">
        <v>201</v>
      </c>
      <c r="K3916" s="8" t="s">
        <v>202</v>
      </c>
      <c r="L3916" s="8" t="s">
        <v>740</v>
      </c>
      <c r="M3916" s="1" t="s">
        <v>211</v>
      </c>
      <c r="N3916" s="8" t="s">
        <v>212</v>
      </c>
      <c r="O3916" s="6">
        <v>0</v>
      </c>
      <c r="P3916" s="6">
        <v>0</v>
      </c>
      <c r="Q3916" s="6">
        <v>0</v>
      </c>
      <c r="R3916" s="6">
        <v>0</v>
      </c>
      <c r="S3916" s="6">
        <v>200</v>
      </c>
    </row>
    <row r="3917" spans="1:19" ht="15" hidden="1" x14ac:dyDescent="0.25">
      <c r="A3917" s="7" t="s">
        <v>16</v>
      </c>
      <c r="B3917" s="7" t="s">
        <v>372</v>
      </c>
      <c r="C3917" s="7" t="s">
        <v>373</v>
      </c>
      <c r="D3917" s="4">
        <v>42946061000196</v>
      </c>
      <c r="E3917" s="8" t="s">
        <v>1484</v>
      </c>
      <c r="F3917" s="8" t="s">
        <v>1485</v>
      </c>
      <c r="G3917" s="8" t="s">
        <v>54</v>
      </c>
      <c r="H3917" s="8" t="s">
        <v>1334</v>
      </c>
      <c r="I3917" s="3">
        <v>0</v>
      </c>
      <c r="J3917" s="8"/>
      <c r="K3917" s="8"/>
      <c r="L3917" s="8"/>
      <c r="M3917" s="1"/>
      <c r="N3917" s="8"/>
      <c r="O3917" s="6">
        <v>0</v>
      </c>
      <c r="P3917" s="6">
        <v>0</v>
      </c>
      <c r="Q3917" s="6">
        <v>0</v>
      </c>
      <c r="R3917" s="6">
        <v>0</v>
      </c>
      <c r="S3917" s="6">
        <v>0</v>
      </c>
    </row>
    <row r="3918" spans="1:19" ht="15" hidden="1" x14ac:dyDescent="0.25">
      <c r="A3918" s="7" t="s">
        <v>16</v>
      </c>
      <c r="B3918" s="7" t="s">
        <v>372</v>
      </c>
      <c r="C3918" s="7" t="s">
        <v>373</v>
      </c>
      <c r="D3918" s="4">
        <v>410960000120</v>
      </c>
      <c r="E3918" s="8" t="s">
        <v>1137</v>
      </c>
      <c r="F3918" s="8" t="s">
        <v>58</v>
      </c>
      <c r="G3918" s="8" t="s">
        <v>54</v>
      </c>
      <c r="H3918" s="8" t="s">
        <v>215</v>
      </c>
      <c r="I3918" s="3">
        <v>1</v>
      </c>
      <c r="J3918" s="8" t="s">
        <v>159</v>
      </c>
      <c r="K3918" s="8" t="s">
        <v>160</v>
      </c>
      <c r="L3918" s="8" t="s">
        <v>740</v>
      </c>
      <c r="M3918" s="1" t="s">
        <v>205</v>
      </c>
      <c r="N3918" s="8" t="s">
        <v>206</v>
      </c>
      <c r="O3918" s="6">
        <v>0</v>
      </c>
      <c r="P3918" s="6">
        <v>0</v>
      </c>
      <c r="Q3918" s="6">
        <v>0</v>
      </c>
      <c r="R3918" s="6">
        <v>32</v>
      </c>
      <c r="S3918" s="6">
        <v>1122</v>
      </c>
    </row>
    <row r="3919" spans="1:19" ht="15" hidden="1" x14ac:dyDescent="0.25">
      <c r="A3919" s="7" t="s">
        <v>16</v>
      </c>
      <c r="B3919" s="7" t="s">
        <v>372</v>
      </c>
      <c r="C3919" s="7" t="s">
        <v>373</v>
      </c>
      <c r="D3919" s="4">
        <v>15126437001549</v>
      </c>
      <c r="E3919" s="8" t="s">
        <v>1464</v>
      </c>
      <c r="F3919" s="8" t="s">
        <v>58</v>
      </c>
      <c r="G3919" s="8" t="s">
        <v>54</v>
      </c>
      <c r="H3919" s="8" t="s">
        <v>1334</v>
      </c>
      <c r="I3919" s="3">
        <v>0</v>
      </c>
      <c r="J3919" s="8"/>
      <c r="K3919" s="8"/>
      <c r="L3919" s="8"/>
      <c r="M3919" s="1"/>
      <c r="N3919" s="8"/>
      <c r="O3919" s="6">
        <v>0</v>
      </c>
      <c r="P3919" s="6">
        <v>0</v>
      </c>
      <c r="Q3919" s="6">
        <v>0</v>
      </c>
      <c r="R3919" s="6">
        <v>0</v>
      </c>
      <c r="S3919" s="6">
        <v>0</v>
      </c>
    </row>
    <row r="3920" spans="1:19" ht="15" hidden="1" x14ac:dyDescent="0.25">
      <c r="A3920" s="7" t="s">
        <v>16</v>
      </c>
      <c r="B3920" s="7" t="s">
        <v>372</v>
      </c>
      <c r="C3920" s="7" t="s">
        <v>373</v>
      </c>
      <c r="D3920" s="4">
        <v>60194990000844</v>
      </c>
      <c r="E3920" s="8" t="s">
        <v>1231</v>
      </c>
      <c r="F3920" s="8" t="s">
        <v>58</v>
      </c>
      <c r="G3920" s="8" t="s">
        <v>54</v>
      </c>
      <c r="H3920" s="8" t="s">
        <v>215</v>
      </c>
      <c r="I3920" s="3">
        <v>1</v>
      </c>
      <c r="J3920" s="8" t="s">
        <v>159</v>
      </c>
      <c r="K3920" s="8" t="s">
        <v>160</v>
      </c>
      <c r="L3920" s="8" t="s">
        <v>740</v>
      </c>
      <c r="M3920" s="1" t="s">
        <v>205</v>
      </c>
      <c r="N3920" s="8" t="s">
        <v>206</v>
      </c>
      <c r="O3920" s="6">
        <v>0</v>
      </c>
      <c r="P3920" s="6">
        <v>0</v>
      </c>
      <c r="Q3920" s="6">
        <v>3</v>
      </c>
      <c r="R3920" s="6">
        <v>0</v>
      </c>
      <c r="S3920" s="6">
        <v>0</v>
      </c>
    </row>
    <row r="3921" spans="1:19" ht="15" hidden="1" x14ac:dyDescent="0.25">
      <c r="A3921" s="7" t="s">
        <v>16</v>
      </c>
      <c r="B3921" s="7" t="s">
        <v>372</v>
      </c>
      <c r="C3921" s="7" t="s">
        <v>373</v>
      </c>
      <c r="D3921" s="4">
        <v>17312612000112</v>
      </c>
      <c r="E3921" s="8" t="s">
        <v>1418</v>
      </c>
      <c r="F3921" s="8" t="s">
        <v>58</v>
      </c>
      <c r="G3921" s="8" t="s">
        <v>54</v>
      </c>
      <c r="H3921" s="8" t="s">
        <v>215</v>
      </c>
      <c r="I3921" s="3">
        <v>1</v>
      </c>
      <c r="J3921" s="8" t="s">
        <v>159</v>
      </c>
      <c r="K3921" s="8" t="s">
        <v>160</v>
      </c>
      <c r="L3921" s="8" t="s">
        <v>740</v>
      </c>
      <c r="M3921" s="1" t="s">
        <v>205</v>
      </c>
      <c r="N3921" s="8" t="s">
        <v>206</v>
      </c>
      <c r="O3921" s="6">
        <v>0</v>
      </c>
      <c r="P3921" s="6">
        <v>0</v>
      </c>
      <c r="Q3921" s="6">
        <v>0</v>
      </c>
      <c r="R3921" s="6">
        <v>0</v>
      </c>
      <c r="S3921" s="6">
        <v>180</v>
      </c>
    </row>
    <row r="3922" spans="1:19" ht="15" hidden="1" x14ac:dyDescent="0.25">
      <c r="A3922" s="7" t="s">
        <v>16</v>
      </c>
      <c r="B3922" s="7" t="s">
        <v>372</v>
      </c>
      <c r="C3922" s="7" t="s">
        <v>373</v>
      </c>
      <c r="D3922" s="4">
        <v>2623693000102</v>
      </c>
      <c r="E3922" s="8" t="s">
        <v>1142</v>
      </c>
      <c r="F3922" s="8" t="s">
        <v>58</v>
      </c>
      <c r="G3922" s="8" t="s">
        <v>54</v>
      </c>
      <c r="H3922" s="8" t="s">
        <v>215</v>
      </c>
      <c r="I3922" s="3">
        <v>1</v>
      </c>
      <c r="J3922" s="8" t="s">
        <v>159</v>
      </c>
      <c r="K3922" s="8" t="s">
        <v>160</v>
      </c>
      <c r="L3922" s="8" t="s">
        <v>740</v>
      </c>
      <c r="M3922" s="1" t="s">
        <v>205</v>
      </c>
      <c r="N3922" s="8" t="s">
        <v>206</v>
      </c>
      <c r="O3922" s="6">
        <v>0</v>
      </c>
      <c r="P3922" s="6">
        <v>0</v>
      </c>
      <c r="Q3922" s="6">
        <v>0</v>
      </c>
      <c r="R3922" s="6">
        <v>0</v>
      </c>
      <c r="S3922" s="6">
        <v>25</v>
      </c>
    </row>
    <row r="3923" spans="1:19" ht="15" hidden="1" x14ac:dyDescent="0.25">
      <c r="A3923" s="7" t="s">
        <v>16</v>
      </c>
      <c r="B3923" s="7" t="s">
        <v>372</v>
      </c>
      <c r="C3923" s="7" t="s">
        <v>373</v>
      </c>
      <c r="D3923" s="4">
        <v>132229000180</v>
      </c>
      <c r="E3923" s="8" t="s">
        <v>1135</v>
      </c>
      <c r="F3923" s="8" t="s">
        <v>58</v>
      </c>
      <c r="G3923" s="8" t="s">
        <v>54</v>
      </c>
      <c r="H3923" s="8" t="s">
        <v>215</v>
      </c>
      <c r="I3923" s="3">
        <v>1</v>
      </c>
      <c r="J3923" s="8" t="s">
        <v>159</v>
      </c>
      <c r="K3923" s="8" t="s">
        <v>160</v>
      </c>
      <c r="L3923" s="8" t="s">
        <v>740</v>
      </c>
      <c r="M3923" s="1" t="s">
        <v>205</v>
      </c>
      <c r="N3923" s="8" t="s">
        <v>206</v>
      </c>
      <c r="O3923" s="6">
        <v>0</v>
      </c>
      <c r="P3923" s="6">
        <v>0</v>
      </c>
      <c r="Q3923" s="6">
        <v>0</v>
      </c>
      <c r="R3923" s="6">
        <v>0</v>
      </c>
      <c r="S3923" s="6">
        <v>35</v>
      </c>
    </row>
    <row r="3924" spans="1:19" ht="15" hidden="1" x14ac:dyDescent="0.25">
      <c r="A3924" s="7" t="s">
        <v>16</v>
      </c>
      <c r="B3924" s="7" t="s">
        <v>372</v>
      </c>
      <c r="C3924" s="7" t="s">
        <v>373</v>
      </c>
      <c r="D3924" s="4">
        <v>16695025000197</v>
      </c>
      <c r="E3924" s="8" t="s">
        <v>1417</v>
      </c>
      <c r="F3924" s="8" t="s">
        <v>58</v>
      </c>
      <c r="G3924" s="8" t="s">
        <v>54</v>
      </c>
      <c r="H3924" s="8" t="s">
        <v>215</v>
      </c>
      <c r="I3924" s="3">
        <v>1</v>
      </c>
      <c r="J3924" s="8" t="s">
        <v>159</v>
      </c>
      <c r="K3924" s="8" t="s">
        <v>160</v>
      </c>
      <c r="L3924" s="8" t="s">
        <v>740</v>
      </c>
      <c r="M3924" s="1" t="s">
        <v>205</v>
      </c>
      <c r="N3924" s="8" t="s">
        <v>206</v>
      </c>
      <c r="O3924" s="6">
        <v>0</v>
      </c>
      <c r="P3924" s="6">
        <v>0</v>
      </c>
      <c r="Q3924" s="6">
        <v>0</v>
      </c>
      <c r="R3924" s="6">
        <v>0</v>
      </c>
      <c r="S3924" s="6">
        <v>250</v>
      </c>
    </row>
    <row r="3925" spans="1:19" ht="15" hidden="1" x14ac:dyDescent="0.25">
      <c r="A3925" s="7" t="s">
        <v>16</v>
      </c>
      <c r="B3925" s="7" t="s">
        <v>372</v>
      </c>
      <c r="C3925" s="7" t="s">
        <v>373</v>
      </c>
      <c r="D3925" s="4">
        <v>13631170000116</v>
      </c>
      <c r="E3925" s="8" t="s">
        <v>1416</v>
      </c>
      <c r="F3925" s="8" t="s">
        <v>58</v>
      </c>
      <c r="G3925" s="8" t="s">
        <v>54</v>
      </c>
      <c r="H3925" s="8" t="s">
        <v>215</v>
      </c>
      <c r="I3925" s="3">
        <v>1</v>
      </c>
      <c r="J3925" s="8" t="s">
        <v>159</v>
      </c>
      <c r="K3925" s="8" t="s">
        <v>160</v>
      </c>
      <c r="L3925" s="8" t="s">
        <v>740</v>
      </c>
      <c r="M3925" s="1" t="s">
        <v>205</v>
      </c>
      <c r="N3925" s="8" t="s">
        <v>206</v>
      </c>
      <c r="O3925" s="6">
        <v>0</v>
      </c>
      <c r="P3925" s="6">
        <v>0</v>
      </c>
      <c r="Q3925" s="6">
        <v>0</v>
      </c>
      <c r="R3925" s="6">
        <v>0</v>
      </c>
      <c r="S3925" s="6">
        <v>120</v>
      </c>
    </row>
    <row r="3926" spans="1:19" ht="15" hidden="1" x14ac:dyDescent="0.25">
      <c r="A3926" s="7" t="s">
        <v>16</v>
      </c>
      <c r="B3926" s="7" t="s">
        <v>372</v>
      </c>
      <c r="C3926" s="7" t="s">
        <v>373</v>
      </c>
      <c r="D3926" s="4">
        <v>20622890000180</v>
      </c>
      <c r="E3926" s="8" t="s">
        <v>1187</v>
      </c>
      <c r="F3926" s="8" t="s">
        <v>1188</v>
      </c>
      <c r="G3926" s="8" t="s">
        <v>54</v>
      </c>
      <c r="H3926" s="8" t="s">
        <v>215</v>
      </c>
      <c r="I3926" s="3">
        <v>1</v>
      </c>
      <c r="J3926" s="8" t="s">
        <v>159</v>
      </c>
      <c r="K3926" s="8" t="s">
        <v>160</v>
      </c>
      <c r="L3926" s="8" t="s">
        <v>740</v>
      </c>
      <c r="M3926" s="1" t="s">
        <v>205</v>
      </c>
      <c r="N3926" s="8" t="s">
        <v>206</v>
      </c>
      <c r="O3926" s="6">
        <v>0</v>
      </c>
      <c r="P3926" s="6">
        <v>0</v>
      </c>
      <c r="Q3926" s="6">
        <v>0</v>
      </c>
      <c r="R3926" s="6">
        <v>0</v>
      </c>
      <c r="S3926" s="6">
        <v>175</v>
      </c>
    </row>
    <row r="3927" spans="1:19" ht="15" hidden="1" x14ac:dyDescent="0.25">
      <c r="A3927" s="7" t="s">
        <v>16</v>
      </c>
      <c r="B3927" s="7" t="s">
        <v>372</v>
      </c>
      <c r="C3927" s="7" t="s">
        <v>373</v>
      </c>
      <c r="D3927" s="4">
        <v>41871989000277</v>
      </c>
      <c r="E3927" s="8" t="s">
        <v>1480</v>
      </c>
      <c r="F3927" s="8" t="s">
        <v>1481</v>
      </c>
      <c r="G3927" s="8" t="s">
        <v>54</v>
      </c>
      <c r="H3927" s="8" t="s">
        <v>1334</v>
      </c>
      <c r="I3927" s="3">
        <v>0</v>
      </c>
      <c r="J3927" s="8"/>
      <c r="K3927" s="8"/>
      <c r="L3927" s="8"/>
      <c r="M3927" s="1"/>
      <c r="N3927" s="8"/>
      <c r="O3927" s="6">
        <v>0</v>
      </c>
      <c r="P3927" s="6">
        <v>0</v>
      </c>
      <c r="Q3927" s="6">
        <v>0</v>
      </c>
      <c r="R3927" s="6">
        <v>0</v>
      </c>
      <c r="S3927" s="6">
        <v>0</v>
      </c>
    </row>
    <row r="3928" spans="1:19" ht="15" hidden="1" x14ac:dyDescent="0.25">
      <c r="A3928" s="7" t="s">
        <v>16</v>
      </c>
      <c r="B3928" s="7" t="s">
        <v>372</v>
      </c>
      <c r="C3928" s="7" t="s">
        <v>373</v>
      </c>
      <c r="D3928" s="4">
        <v>15126437002510</v>
      </c>
      <c r="E3928" s="8" t="s">
        <v>1465</v>
      </c>
      <c r="F3928" s="8" t="s">
        <v>88</v>
      </c>
      <c r="G3928" s="8" t="s">
        <v>54</v>
      </c>
      <c r="H3928" s="8" t="s">
        <v>1334</v>
      </c>
      <c r="I3928" s="3">
        <v>0</v>
      </c>
      <c r="J3928" s="8"/>
      <c r="K3928" s="8"/>
      <c r="L3928" s="8"/>
      <c r="M3928" s="1"/>
      <c r="N3928" s="8"/>
      <c r="O3928" s="6">
        <v>0</v>
      </c>
      <c r="P3928" s="6">
        <v>0</v>
      </c>
      <c r="Q3928" s="6">
        <v>0</v>
      </c>
      <c r="R3928" s="6">
        <v>0</v>
      </c>
      <c r="S3928" s="6">
        <v>0</v>
      </c>
    </row>
    <row r="3929" spans="1:19" ht="15" hidden="1" x14ac:dyDescent="0.25">
      <c r="A3929" s="7" t="s">
        <v>16</v>
      </c>
      <c r="B3929" s="7" t="s">
        <v>372</v>
      </c>
      <c r="C3929" s="7" t="s">
        <v>373</v>
      </c>
      <c r="D3929" s="4">
        <v>25415993000193</v>
      </c>
      <c r="E3929" s="8" t="s">
        <v>1200</v>
      </c>
      <c r="F3929" s="8" t="s">
        <v>88</v>
      </c>
      <c r="G3929" s="8" t="s">
        <v>54</v>
      </c>
      <c r="H3929" s="8" t="s">
        <v>215</v>
      </c>
      <c r="I3929" s="3">
        <v>1</v>
      </c>
      <c r="J3929" s="8" t="s">
        <v>159</v>
      </c>
      <c r="K3929" s="8" t="s">
        <v>160</v>
      </c>
      <c r="L3929" s="8" t="s">
        <v>740</v>
      </c>
      <c r="M3929" s="1" t="s">
        <v>205</v>
      </c>
      <c r="N3929" s="8" t="s">
        <v>206</v>
      </c>
      <c r="O3929" s="6">
        <v>0</v>
      </c>
      <c r="P3929" s="6">
        <v>0</v>
      </c>
      <c r="Q3929" s="6">
        <v>4</v>
      </c>
      <c r="R3929" s="6">
        <v>0</v>
      </c>
      <c r="S3929" s="6">
        <v>0</v>
      </c>
    </row>
    <row r="3930" spans="1:19" ht="15" hidden="1" x14ac:dyDescent="0.25">
      <c r="A3930" s="7" t="s">
        <v>16</v>
      </c>
      <c r="B3930" s="7" t="s">
        <v>372</v>
      </c>
      <c r="C3930" s="7" t="s">
        <v>373</v>
      </c>
      <c r="D3930" s="4">
        <v>17689407000928</v>
      </c>
      <c r="E3930" s="8" t="s">
        <v>1174</v>
      </c>
      <c r="F3930" s="8" t="s">
        <v>88</v>
      </c>
      <c r="G3930" s="8" t="s">
        <v>54</v>
      </c>
      <c r="H3930" s="8" t="s">
        <v>215</v>
      </c>
      <c r="I3930" s="3">
        <v>1</v>
      </c>
      <c r="J3930" s="8" t="s">
        <v>159</v>
      </c>
      <c r="K3930" s="8" t="s">
        <v>160</v>
      </c>
      <c r="L3930" s="8" t="s">
        <v>740</v>
      </c>
      <c r="M3930" s="1" t="s">
        <v>205</v>
      </c>
      <c r="N3930" s="8" t="s">
        <v>206</v>
      </c>
      <c r="O3930" s="6">
        <v>0</v>
      </c>
      <c r="P3930" s="6">
        <v>0</v>
      </c>
      <c r="Q3930" s="6">
        <v>0</v>
      </c>
      <c r="R3930" s="6">
        <v>10</v>
      </c>
      <c r="S3930" s="6">
        <v>0</v>
      </c>
    </row>
    <row r="3931" spans="1:19" ht="15" hidden="1" x14ac:dyDescent="0.25">
      <c r="A3931" s="7" t="s">
        <v>16</v>
      </c>
      <c r="B3931" s="7" t="s">
        <v>372</v>
      </c>
      <c r="C3931" s="7" t="s">
        <v>373</v>
      </c>
      <c r="D3931" s="4">
        <v>26645426000196</v>
      </c>
      <c r="E3931" s="8" t="s">
        <v>1470</v>
      </c>
      <c r="F3931" s="8" t="s">
        <v>1471</v>
      </c>
      <c r="G3931" s="8" t="s">
        <v>54</v>
      </c>
      <c r="H3931" s="8" t="s">
        <v>1334</v>
      </c>
      <c r="I3931" s="3">
        <v>0</v>
      </c>
      <c r="J3931" s="8"/>
      <c r="K3931" s="8"/>
      <c r="L3931" s="8"/>
      <c r="M3931" s="1"/>
      <c r="N3931" s="8"/>
      <c r="O3931" s="6">
        <v>0</v>
      </c>
      <c r="P3931" s="6">
        <v>0</v>
      </c>
      <c r="Q3931" s="6">
        <v>0</v>
      </c>
      <c r="R3931" s="6">
        <v>0</v>
      </c>
      <c r="S3931" s="6">
        <v>0</v>
      </c>
    </row>
    <row r="3932" spans="1:19" ht="15" hidden="1" x14ac:dyDescent="0.25">
      <c r="A3932" s="7" t="s">
        <v>16</v>
      </c>
      <c r="B3932" s="7" t="s">
        <v>372</v>
      </c>
      <c r="C3932" s="7" t="s">
        <v>373</v>
      </c>
      <c r="D3932" s="4">
        <v>41781949000234</v>
      </c>
      <c r="E3932" s="8" t="s">
        <v>1219</v>
      </c>
      <c r="F3932" s="8" t="s">
        <v>1220</v>
      </c>
      <c r="G3932" s="8" t="s">
        <v>54</v>
      </c>
      <c r="H3932" s="8" t="s">
        <v>215</v>
      </c>
      <c r="I3932" s="3">
        <v>1</v>
      </c>
      <c r="J3932" s="8" t="s">
        <v>159</v>
      </c>
      <c r="K3932" s="8" t="s">
        <v>160</v>
      </c>
      <c r="L3932" s="8" t="s">
        <v>740</v>
      </c>
      <c r="M3932" s="1" t="s">
        <v>205</v>
      </c>
      <c r="N3932" s="8" t="s">
        <v>206</v>
      </c>
      <c r="O3932" s="6">
        <v>0</v>
      </c>
      <c r="P3932" s="6">
        <v>0</v>
      </c>
      <c r="Q3932" s="6">
        <v>0</v>
      </c>
      <c r="R3932" s="6">
        <v>0</v>
      </c>
      <c r="S3932" s="6">
        <v>160</v>
      </c>
    </row>
    <row r="3933" spans="1:19" ht="15" hidden="1" x14ac:dyDescent="0.25">
      <c r="A3933" s="7" t="s">
        <v>16</v>
      </c>
      <c r="B3933" s="7" t="s">
        <v>372</v>
      </c>
      <c r="C3933" s="7" t="s">
        <v>373</v>
      </c>
      <c r="D3933" s="4">
        <v>25648387000207</v>
      </c>
      <c r="E3933" s="8" t="s">
        <v>1201</v>
      </c>
      <c r="F3933" s="8" t="s">
        <v>1171</v>
      </c>
      <c r="G3933" s="8" t="s">
        <v>54</v>
      </c>
      <c r="H3933" s="8" t="s">
        <v>215</v>
      </c>
      <c r="I3933" s="3">
        <v>1</v>
      </c>
      <c r="J3933" s="8" t="s">
        <v>159</v>
      </c>
      <c r="K3933" s="8" t="s">
        <v>160</v>
      </c>
      <c r="L3933" s="8" t="s">
        <v>740</v>
      </c>
      <c r="M3933" s="1" t="s">
        <v>205</v>
      </c>
      <c r="N3933" s="8" t="s">
        <v>206</v>
      </c>
      <c r="O3933" s="6">
        <v>0</v>
      </c>
      <c r="P3933" s="6">
        <v>0</v>
      </c>
      <c r="Q3933" s="6">
        <v>0</v>
      </c>
      <c r="R3933" s="6">
        <v>0</v>
      </c>
      <c r="S3933" s="6">
        <v>200</v>
      </c>
    </row>
    <row r="3934" spans="1:19" ht="15" hidden="1" x14ac:dyDescent="0.25">
      <c r="A3934" s="7" t="s">
        <v>16</v>
      </c>
      <c r="B3934" s="7" t="s">
        <v>372</v>
      </c>
      <c r="C3934" s="7" t="s">
        <v>373</v>
      </c>
      <c r="D3934" s="4">
        <v>20150900000122</v>
      </c>
      <c r="E3934" s="8" t="s">
        <v>1185</v>
      </c>
      <c r="F3934" s="8" t="s">
        <v>1171</v>
      </c>
      <c r="G3934" s="8" t="s">
        <v>54</v>
      </c>
      <c r="H3934" s="8" t="s">
        <v>215</v>
      </c>
      <c r="I3934" s="3">
        <v>1</v>
      </c>
      <c r="J3934" s="8" t="s">
        <v>159</v>
      </c>
      <c r="K3934" s="8" t="s">
        <v>160</v>
      </c>
      <c r="L3934" s="8" t="s">
        <v>740</v>
      </c>
      <c r="M3934" s="1" t="s">
        <v>205</v>
      </c>
      <c r="N3934" s="8" t="s">
        <v>206</v>
      </c>
      <c r="O3934" s="6">
        <v>0</v>
      </c>
      <c r="P3934" s="6">
        <v>0</v>
      </c>
      <c r="Q3934" s="6">
        <v>0</v>
      </c>
      <c r="R3934" s="6">
        <v>14</v>
      </c>
      <c r="S3934" s="6">
        <v>225</v>
      </c>
    </row>
    <row r="3935" spans="1:19" ht="15" hidden="1" x14ac:dyDescent="0.25">
      <c r="A3935" s="7" t="s">
        <v>16</v>
      </c>
      <c r="B3935" s="7" t="s">
        <v>372</v>
      </c>
      <c r="C3935" s="7" t="s">
        <v>373</v>
      </c>
      <c r="D3935" s="4">
        <v>25761040000187</v>
      </c>
      <c r="E3935" s="8" t="s">
        <v>1202</v>
      </c>
      <c r="F3935" s="8" t="s">
        <v>1171</v>
      </c>
      <c r="G3935" s="8" t="s">
        <v>54</v>
      </c>
      <c r="H3935" s="8" t="s">
        <v>215</v>
      </c>
      <c r="I3935" s="3">
        <v>1</v>
      </c>
      <c r="J3935" s="8" t="s">
        <v>159</v>
      </c>
      <c r="K3935" s="8" t="s">
        <v>160</v>
      </c>
      <c r="L3935" s="8" t="s">
        <v>740</v>
      </c>
      <c r="M3935" s="1" t="s">
        <v>205</v>
      </c>
      <c r="N3935" s="8" t="s">
        <v>206</v>
      </c>
      <c r="O3935" s="6">
        <v>0</v>
      </c>
      <c r="P3935" s="6">
        <v>0</v>
      </c>
      <c r="Q3935" s="6">
        <v>3</v>
      </c>
      <c r="R3935" s="6">
        <v>0</v>
      </c>
      <c r="S3935" s="6">
        <v>0</v>
      </c>
    </row>
    <row r="3936" spans="1:19" ht="15" hidden="1" x14ac:dyDescent="0.25">
      <c r="A3936" s="7" t="s">
        <v>16</v>
      </c>
      <c r="B3936" s="7" t="s">
        <v>372</v>
      </c>
      <c r="C3936" s="7" t="s">
        <v>373</v>
      </c>
      <c r="D3936" s="4">
        <v>18484378000173</v>
      </c>
      <c r="E3936" s="8" t="s">
        <v>1176</v>
      </c>
      <c r="F3936" s="8" t="s">
        <v>1171</v>
      </c>
      <c r="G3936" s="8" t="s">
        <v>54</v>
      </c>
      <c r="H3936" s="8" t="s">
        <v>215</v>
      </c>
      <c r="I3936" s="3">
        <v>1</v>
      </c>
      <c r="J3936" s="8" t="s">
        <v>159</v>
      </c>
      <c r="K3936" s="8" t="s">
        <v>160</v>
      </c>
      <c r="L3936" s="8" t="s">
        <v>740</v>
      </c>
      <c r="M3936" s="1" t="s">
        <v>205</v>
      </c>
      <c r="N3936" s="8" t="s">
        <v>206</v>
      </c>
      <c r="O3936" s="6">
        <v>0</v>
      </c>
      <c r="P3936" s="6">
        <v>0</v>
      </c>
      <c r="Q3936" s="6">
        <v>4</v>
      </c>
      <c r="R3936" s="6">
        <v>0</v>
      </c>
      <c r="S3936" s="6">
        <v>0</v>
      </c>
    </row>
    <row r="3937" spans="1:19" ht="15" hidden="1" x14ac:dyDescent="0.25">
      <c r="A3937" s="7" t="s">
        <v>16</v>
      </c>
      <c r="B3937" s="7" t="s">
        <v>372</v>
      </c>
      <c r="C3937" s="7" t="s">
        <v>373</v>
      </c>
      <c r="D3937" s="4">
        <v>17087591000189</v>
      </c>
      <c r="E3937" s="8" t="s">
        <v>1170</v>
      </c>
      <c r="F3937" s="8" t="s">
        <v>1171</v>
      </c>
      <c r="G3937" s="8" t="s">
        <v>54</v>
      </c>
      <c r="H3937" s="8" t="s">
        <v>215</v>
      </c>
      <c r="I3937" s="3">
        <v>1</v>
      </c>
      <c r="J3937" s="8" t="s">
        <v>159</v>
      </c>
      <c r="K3937" s="8" t="s">
        <v>160</v>
      </c>
      <c r="L3937" s="8" t="s">
        <v>740</v>
      </c>
      <c r="M3937" s="1" t="s">
        <v>205</v>
      </c>
      <c r="N3937" s="8" t="s">
        <v>206</v>
      </c>
      <c r="O3937" s="6">
        <v>0</v>
      </c>
      <c r="P3937" s="6">
        <v>0</v>
      </c>
      <c r="Q3937" s="6">
        <v>7</v>
      </c>
      <c r="R3937" s="6">
        <v>0</v>
      </c>
      <c r="S3937" s="6">
        <v>0</v>
      </c>
    </row>
    <row r="3938" spans="1:19" ht="15" hidden="1" x14ac:dyDescent="0.25">
      <c r="A3938" s="7" t="s">
        <v>16</v>
      </c>
      <c r="B3938" s="7" t="s">
        <v>372</v>
      </c>
      <c r="C3938" s="7" t="s">
        <v>373</v>
      </c>
      <c r="D3938" s="4">
        <v>9635024000272</v>
      </c>
      <c r="E3938" s="8" t="s">
        <v>1456</v>
      </c>
      <c r="F3938" s="8" t="s">
        <v>1420</v>
      </c>
      <c r="G3938" s="8" t="s">
        <v>54</v>
      </c>
      <c r="H3938" s="8" t="s">
        <v>1334</v>
      </c>
      <c r="I3938" s="3">
        <v>0</v>
      </c>
      <c r="J3938" s="8"/>
      <c r="K3938" s="8"/>
      <c r="L3938" s="8"/>
      <c r="M3938" s="1"/>
      <c r="N3938" s="8"/>
      <c r="O3938" s="6">
        <v>0</v>
      </c>
      <c r="P3938" s="6">
        <v>0</v>
      </c>
      <c r="Q3938" s="6">
        <v>0</v>
      </c>
      <c r="R3938" s="6">
        <v>0</v>
      </c>
      <c r="S3938" s="6">
        <v>0</v>
      </c>
    </row>
    <row r="3939" spans="1:19" ht="15" hidden="1" x14ac:dyDescent="0.25">
      <c r="A3939" s="7" t="s">
        <v>16</v>
      </c>
      <c r="B3939" s="7" t="s">
        <v>372</v>
      </c>
      <c r="C3939" s="7" t="s">
        <v>373</v>
      </c>
      <c r="D3939" s="4">
        <v>17845504000296</v>
      </c>
      <c r="E3939" s="8" t="s">
        <v>1419</v>
      </c>
      <c r="F3939" s="8" t="s">
        <v>1420</v>
      </c>
      <c r="G3939" s="8" t="s">
        <v>54</v>
      </c>
      <c r="H3939" s="8" t="s">
        <v>215</v>
      </c>
      <c r="I3939" s="3">
        <v>1</v>
      </c>
      <c r="J3939" s="8" t="s">
        <v>159</v>
      </c>
      <c r="K3939" s="8" t="s">
        <v>160</v>
      </c>
      <c r="L3939" s="8" t="s">
        <v>740</v>
      </c>
      <c r="M3939" s="1" t="s">
        <v>205</v>
      </c>
      <c r="N3939" s="8" t="s">
        <v>206</v>
      </c>
      <c r="O3939" s="6">
        <v>0</v>
      </c>
      <c r="P3939" s="6">
        <v>0</v>
      </c>
      <c r="Q3939" s="6">
        <v>0</v>
      </c>
      <c r="R3939" s="6">
        <v>0</v>
      </c>
      <c r="S3939" s="6">
        <v>110</v>
      </c>
    </row>
    <row r="3940" spans="1:19" ht="15" hidden="1" x14ac:dyDescent="0.25">
      <c r="A3940" s="7" t="s">
        <v>16</v>
      </c>
      <c r="B3940" s="7" t="s">
        <v>372</v>
      </c>
      <c r="C3940" s="7" t="s">
        <v>373</v>
      </c>
      <c r="D3940" s="4">
        <v>14408631000159</v>
      </c>
      <c r="E3940" s="8" t="s">
        <v>1163</v>
      </c>
      <c r="F3940" s="8" t="s">
        <v>1164</v>
      </c>
      <c r="G3940" s="8" t="s">
        <v>54</v>
      </c>
      <c r="H3940" s="8" t="s">
        <v>215</v>
      </c>
      <c r="I3940" s="3">
        <v>1</v>
      </c>
      <c r="J3940" s="8" t="s">
        <v>159</v>
      </c>
      <c r="K3940" s="8" t="s">
        <v>160</v>
      </c>
      <c r="L3940" s="8" t="s">
        <v>740</v>
      </c>
      <c r="M3940" s="1" t="s">
        <v>205</v>
      </c>
      <c r="N3940" s="8" t="s">
        <v>206</v>
      </c>
      <c r="O3940" s="6">
        <v>0</v>
      </c>
      <c r="P3940" s="6">
        <v>0</v>
      </c>
      <c r="Q3940" s="6">
        <v>0</v>
      </c>
      <c r="R3940" s="6">
        <v>4</v>
      </c>
      <c r="S3940" s="6">
        <v>0</v>
      </c>
    </row>
    <row r="3941" spans="1:19" ht="15" hidden="1" x14ac:dyDescent="0.25">
      <c r="A3941" s="7" t="s">
        <v>16</v>
      </c>
      <c r="B3941" s="7" t="s">
        <v>372</v>
      </c>
      <c r="C3941" s="7" t="s">
        <v>373</v>
      </c>
      <c r="D3941" s="4">
        <v>3315918000541</v>
      </c>
      <c r="E3941" s="8" t="s">
        <v>785</v>
      </c>
      <c r="F3941" s="8" t="s">
        <v>64</v>
      </c>
      <c r="G3941" s="8" t="s">
        <v>65</v>
      </c>
      <c r="H3941" s="8" t="s">
        <v>215</v>
      </c>
      <c r="I3941" s="3">
        <v>2</v>
      </c>
      <c r="J3941" s="8" t="s">
        <v>187</v>
      </c>
      <c r="K3941" s="8" t="s">
        <v>188</v>
      </c>
      <c r="L3941" s="8" t="s">
        <v>556</v>
      </c>
      <c r="M3941" s="1" t="s">
        <v>211</v>
      </c>
      <c r="N3941" s="8" t="s">
        <v>212</v>
      </c>
      <c r="O3941" s="6">
        <v>0</v>
      </c>
      <c r="P3941" s="6">
        <v>0</v>
      </c>
      <c r="Q3941" s="6">
        <v>0</v>
      </c>
      <c r="R3941" s="6">
        <v>0</v>
      </c>
      <c r="S3941" s="6">
        <v>50</v>
      </c>
    </row>
    <row r="3942" spans="1:19" ht="15" hidden="1" x14ac:dyDescent="0.25">
      <c r="A3942" s="7" t="s">
        <v>16</v>
      </c>
      <c r="B3942" s="7" t="s">
        <v>372</v>
      </c>
      <c r="C3942" s="7" t="s">
        <v>373</v>
      </c>
      <c r="D3942" s="4">
        <v>3315918000541</v>
      </c>
      <c r="E3942" s="8" t="s">
        <v>785</v>
      </c>
      <c r="F3942" s="8" t="s">
        <v>64</v>
      </c>
      <c r="G3942" s="8" t="s">
        <v>65</v>
      </c>
      <c r="H3942" s="8" t="s">
        <v>215</v>
      </c>
      <c r="I3942" s="3">
        <v>2</v>
      </c>
      <c r="J3942" s="8" t="s">
        <v>163</v>
      </c>
      <c r="K3942" s="8" t="s">
        <v>164</v>
      </c>
      <c r="L3942" s="8" t="s">
        <v>557</v>
      </c>
      <c r="M3942" s="1" t="s">
        <v>211</v>
      </c>
      <c r="N3942" s="8" t="s">
        <v>212</v>
      </c>
      <c r="O3942" s="6">
        <v>0</v>
      </c>
      <c r="P3942" s="6">
        <v>0</v>
      </c>
      <c r="Q3942" s="6">
        <v>0</v>
      </c>
      <c r="R3942" s="6">
        <v>0</v>
      </c>
      <c r="S3942" s="6">
        <v>50</v>
      </c>
    </row>
    <row r="3943" spans="1:19" ht="15" hidden="1" x14ac:dyDescent="0.25">
      <c r="A3943" s="7" t="s">
        <v>16</v>
      </c>
      <c r="B3943" s="7" t="s">
        <v>372</v>
      </c>
      <c r="C3943" s="7" t="s">
        <v>373</v>
      </c>
      <c r="D3943" s="4">
        <v>3533726001583</v>
      </c>
      <c r="E3943" s="8" t="s">
        <v>788</v>
      </c>
      <c r="F3943" s="8" t="s">
        <v>789</v>
      </c>
      <c r="G3943" s="8" t="s">
        <v>69</v>
      </c>
      <c r="H3943" s="8" t="s">
        <v>215</v>
      </c>
      <c r="I3943" s="3">
        <v>2</v>
      </c>
      <c r="J3943" s="8" t="s">
        <v>187</v>
      </c>
      <c r="K3943" s="8" t="s">
        <v>188</v>
      </c>
      <c r="L3943" s="8" t="s">
        <v>556</v>
      </c>
      <c r="M3943" s="1" t="s">
        <v>211</v>
      </c>
      <c r="N3943" s="8" t="s">
        <v>212</v>
      </c>
      <c r="O3943" s="6">
        <v>0</v>
      </c>
      <c r="P3943" s="6">
        <v>0</v>
      </c>
      <c r="Q3943" s="6">
        <v>0</v>
      </c>
      <c r="R3943" s="6">
        <v>0</v>
      </c>
      <c r="S3943" s="6">
        <v>55</v>
      </c>
    </row>
    <row r="3944" spans="1:19" ht="15" hidden="1" x14ac:dyDescent="0.25">
      <c r="A3944" s="7" t="s">
        <v>16</v>
      </c>
      <c r="B3944" s="7" t="s">
        <v>372</v>
      </c>
      <c r="C3944" s="7" t="s">
        <v>373</v>
      </c>
      <c r="D3944" s="4">
        <v>3533726001583</v>
      </c>
      <c r="E3944" s="8" t="s">
        <v>788</v>
      </c>
      <c r="F3944" s="8" t="s">
        <v>789</v>
      </c>
      <c r="G3944" s="8" t="s">
        <v>69</v>
      </c>
      <c r="H3944" s="8" t="s">
        <v>215</v>
      </c>
      <c r="I3944" s="3">
        <v>2</v>
      </c>
      <c r="J3944" s="8" t="s">
        <v>163</v>
      </c>
      <c r="K3944" s="8" t="s">
        <v>164</v>
      </c>
      <c r="L3944" s="8" t="s">
        <v>557</v>
      </c>
      <c r="M3944" s="1" t="s">
        <v>211</v>
      </c>
      <c r="N3944" s="8" t="s">
        <v>212</v>
      </c>
      <c r="O3944" s="6">
        <v>0</v>
      </c>
      <c r="P3944" s="6">
        <v>0</v>
      </c>
      <c r="Q3944" s="6">
        <v>0</v>
      </c>
      <c r="R3944" s="6">
        <v>0</v>
      </c>
      <c r="S3944" s="6">
        <v>55</v>
      </c>
    </row>
    <row r="3945" spans="1:19" ht="15" hidden="1" x14ac:dyDescent="0.25">
      <c r="A3945" s="7" t="s">
        <v>16</v>
      </c>
      <c r="B3945" s="7" t="s">
        <v>372</v>
      </c>
      <c r="C3945" s="7" t="s">
        <v>373</v>
      </c>
      <c r="D3945" s="4">
        <v>37436920000167</v>
      </c>
      <c r="E3945" s="8" t="s">
        <v>1478</v>
      </c>
      <c r="F3945" s="8" t="s">
        <v>1479</v>
      </c>
      <c r="G3945" s="8" t="s">
        <v>69</v>
      </c>
      <c r="H3945" s="8" t="s">
        <v>1334</v>
      </c>
      <c r="I3945" s="3">
        <v>0</v>
      </c>
      <c r="J3945" s="8"/>
      <c r="K3945" s="8"/>
      <c r="L3945" s="8"/>
      <c r="M3945" s="1"/>
      <c r="N3945" s="8"/>
      <c r="O3945" s="6">
        <v>0</v>
      </c>
      <c r="P3945" s="6">
        <v>0</v>
      </c>
      <c r="Q3945" s="6">
        <v>0</v>
      </c>
      <c r="R3945" s="6">
        <v>0</v>
      </c>
      <c r="S3945" s="6">
        <v>0</v>
      </c>
    </row>
    <row r="3946" spans="1:19" ht="15" hidden="1" x14ac:dyDescent="0.25">
      <c r="A3946" s="7" t="s">
        <v>16</v>
      </c>
      <c r="B3946" s="7" t="s">
        <v>372</v>
      </c>
      <c r="C3946" s="7" t="s">
        <v>373</v>
      </c>
      <c r="D3946" s="4">
        <v>12981527000204</v>
      </c>
      <c r="E3946" s="8" t="s">
        <v>1462</v>
      </c>
      <c r="F3946" s="8" t="s">
        <v>1463</v>
      </c>
      <c r="G3946" s="8" t="s">
        <v>69</v>
      </c>
      <c r="H3946" s="8" t="s">
        <v>1334</v>
      </c>
      <c r="I3946" s="3">
        <v>0</v>
      </c>
      <c r="J3946" s="8"/>
      <c r="K3946" s="8"/>
      <c r="L3946" s="8"/>
      <c r="M3946" s="1"/>
      <c r="N3946" s="8"/>
      <c r="O3946" s="6">
        <v>0</v>
      </c>
      <c r="P3946" s="6">
        <v>0</v>
      </c>
      <c r="Q3946" s="6">
        <v>0</v>
      </c>
      <c r="R3946" s="6">
        <v>0</v>
      </c>
      <c r="S3946" s="6">
        <v>0</v>
      </c>
    </row>
    <row r="3947" spans="1:19" ht="15" hidden="1" x14ac:dyDescent="0.25">
      <c r="A3947" s="7" t="s">
        <v>16</v>
      </c>
      <c r="B3947" s="7" t="s">
        <v>372</v>
      </c>
      <c r="C3947" s="7" t="s">
        <v>373</v>
      </c>
      <c r="D3947" s="4">
        <v>7862532000187</v>
      </c>
      <c r="E3947" s="8" t="s">
        <v>1453</v>
      </c>
      <c r="F3947" s="8" t="s">
        <v>772</v>
      </c>
      <c r="G3947" s="8" t="s">
        <v>69</v>
      </c>
      <c r="H3947" s="8" t="s">
        <v>1334</v>
      </c>
      <c r="I3947" s="3">
        <v>0</v>
      </c>
      <c r="J3947" s="8"/>
      <c r="K3947" s="8"/>
      <c r="L3947" s="8"/>
      <c r="M3947" s="1"/>
      <c r="N3947" s="8"/>
      <c r="O3947" s="6">
        <v>0</v>
      </c>
      <c r="P3947" s="6">
        <v>0</v>
      </c>
      <c r="Q3947" s="6">
        <v>0</v>
      </c>
      <c r="R3947" s="6">
        <v>0</v>
      </c>
      <c r="S3947" s="6">
        <v>0</v>
      </c>
    </row>
    <row r="3948" spans="1:19" ht="15" hidden="1" x14ac:dyDescent="0.25">
      <c r="A3948" s="7" t="s">
        <v>16</v>
      </c>
      <c r="B3948" s="7" t="s">
        <v>372</v>
      </c>
      <c r="C3948" s="7" t="s">
        <v>373</v>
      </c>
      <c r="D3948" s="4">
        <v>15016827000160</v>
      </c>
      <c r="E3948" s="8" t="s">
        <v>877</v>
      </c>
      <c r="F3948" s="8" t="s">
        <v>772</v>
      </c>
      <c r="G3948" s="8" t="s">
        <v>69</v>
      </c>
      <c r="H3948" s="8" t="s">
        <v>215</v>
      </c>
      <c r="I3948" s="3">
        <v>2</v>
      </c>
      <c r="J3948" s="8" t="s">
        <v>187</v>
      </c>
      <c r="K3948" s="8" t="s">
        <v>188</v>
      </c>
      <c r="L3948" s="8" t="s">
        <v>556</v>
      </c>
      <c r="M3948" s="1" t="s">
        <v>211</v>
      </c>
      <c r="N3948" s="8" t="s">
        <v>212</v>
      </c>
      <c r="O3948" s="6">
        <v>0</v>
      </c>
      <c r="P3948" s="6">
        <v>0</v>
      </c>
      <c r="Q3948" s="6">
        <v>0</v>
      </c>
      <c r="R3948" s="6">
        <v>0</v>
      </c>
      <c r="S3948" s="6">
        <v>0</v>
      </c>
    </row>
    <row r="3949" spans="1:19" ht="15" hidden="1" x14ac:dyDescent="0.25">
      <c r="A3949" s="7" t="s">
        <v>16</v>
      </c>
      <c r="B3949" s="7" t="s">
        <v>372</v>
      </c>
      <c r="C3949" s="7" t="s">
        <v>373</v>
      </c>
      <c r="D3949" s="4">
        <v>15016827000160</v>
      </c>
      <c r="E3949" s="8" t="s">
        <v>877</v>
      </c>
      <c r="F3949" s="8" t="s">
        <v>772</v>
      </c>
      <c r="G3949" s="8" t="s">
        <v>69</v>
      </c>
      <c r="H3949" s="8" t="s">
        <v>215</v>
      </c>
      <c r="I3949" s="3">
        <v>2</v>
      </c>
      <c r="J3949" s="8" t="s">
        <v>163</v>
      </c>
      <c r="K3949" s="8" t="s">
        <v>164</v>
      </c>
      <c r="L3949" s="8" t="s">
        <v>557</v>
      </c>
      <c r="M3949" s="1" t="s">
        <v>211</v>
      </c>
      <c r="N3949" s="8" t="s">
        <v>212</v>
      </c>
      <c r="O3949" s="6">
        <v>0</v>
      </c>
      <c r="P3949" s="6">
        <v>13</v>
      </c>
      <c r="Q3949" s="6">
        <v>0</v>
      </c>
      <c r="R3949" s="6">
        <v>0</v>
      </c>
      <c r="S3949" s="6">
        <v>0</v>
      </c>
    </row>
    <row r="3950" spans="1:19" ht="15" hidden="1" x14ac:dyDescent="0.25">
      <c r="A3950" s="7" t="s">
        <v>16</v>
      </c>
      <c r="B3950" s="7" t="s">
        <v>372</v>
      </c>
      <c r="C3950" s="7" t="s">
        <v>373</v>
      </c>
      <c r="D3950" s="4">
        <v>3925419000142</v>
      </c>
      <c r="E3950" s="8" t="s">
        <v>795</v>
      </c>
      <c r="F3950" s="8" t="s">
        <v>772</v>
      </c>
      <c r="G3950" s="8" t="s">
        <v>69</v>
      </c>
      <c r="H3950" s="8" t="s">
        <v>215</v>
      </c>
      <c r="I3950" s="3">
        <v>2</v>
      </c>
      <c r="J3950" s="8" t="s">
        <v>187</v>
      </c>
      <c r="K3950" s="8" t="s">
        <v>188</v>
      </c>
      <c r="L3950" s="8" t="s">
        <v>556</v>
      </c>
      <c r="M3950" s="1" t="s">
        <v>211</v>
      </c>
      <c r="N3950" s="8" t="s">
        <v>212</v>
      </c>
      <c r="O3950" s="6">
        <v>0</v>
      </c>
      <c r="P3950" s="6">
        <v>0</v>
      </c>
      <c r="Q3950" s="6">
        <v>0</v>
      </c>
      <c r="R3950" s="6">
        <v>0</v>
      </c>
      <c r="S3950" s="6">
        <v>0</v>
      </c>
    </row>
    <row r="3951" spans="1:19" ht="15" hidden="1" x14ac:dyDescent="0.25">
      <c r="A3951" s="7" t="s">
        <v>16</v>
      </c>
      <c r="B3951" s="7" t="s">
        <v>372</v>
      </c>
      <c r="C3951" s="7" t="s">
        <v>373</v>
      </c>
      <c r="D3951" s="4">
        <v>3925419000142</v>
      </c>
      <c r="E3951" s="8" t="s">
        <v>795</v>
      </c>
      <c r="F3951" s="8" t="s">
        <v>772</v>
      </c>
      <c r="G3951" s="8" t="s">
        <v>69</v>
      </c>
      <c r="H3951" s="8" t="s">
        <v>215</v>
      </c>
      <c r="I3951" s="3">
        <v>2</v>
      </c>
      <c r="J3951" s="8" t="s">
        <v>163</v>
      </c>
      <c r="K3951" s="8" t="s">
        <v>164</v>
      </c>
      <c r="L3951" s="8" t="s">
        <v>557</v>
      </c>
      <c r="M3951" s="1" t="s">
        <v>211</v>
      </c>
      <c r="N3951" s="8" t="s">
        <v>212</v>
      </c>
      <c r="O3951" s="6">
        <v>0</v>
      </c>
      <c r="P3951" s="6">
        <v>3</v>
      </c>
      <c r="Q3951" s="6">
        <v>0</v>
      </c>
      <c r="R3951" s="6">
        <v>0</v>
      </c>
      <c r="S3951" s="6">
        <v>0</v>
      </c>
    </row>
    <row r="3952" spans="1:19" ht="15" hidden="1" x14ac:dyDescent="0.25">
      <c r="A3952" s="7" t="s">
        <v>16</v>
      </c>
      <c r="B3952" s="7" t="s">
        <v>372</v>
      </c>
      <c r="C3952" s="7" t="s">
        <v>373</v>
      </c>
      <c r="D3952" s="4">
        <v>32972408000111</v>
      </c>
      <c r="E3952" s="8" t="s">
        <v>1475</v>
      </c>
      <c r="F3952" s="8" t="s">
        <v>907</v>
      </c>
      <c r="G3952" s="8" t="s">
        <v>69</v>
      </c>
      <c r="H3952" s="8" t="s">
        <v>1334</v>
      </c>
      <c r="I3952" s="3">
        <v>0</v>
      </c>
      <c r="J3952" s="8"/>
      <c r="K3952" s="8"/>
      <c r="L3952" s="8"/>
      <c r="M3952" s="1"/>
      <c r="N3952" s="8"/>
      <c r="O3952" s="6">
        <v>0</v>
      </c>
      <c r="P3952" s="6">
        <v>0</v>
      </c>
      <c r="Q3952" s="6">
        <v>0</v>
      </c>
      <c r="R3952" s="6">
        <v>0</v>
      </c>
      <c r="S3952" s="6">
        <v>0</v>
      </c>
    </row>
    <row r="3953" spans="1:19" ht="15" hidden="1" x14ac:dyDescent="0.25">
      <c r="A3953" s="7" t="s">
        <v>16</v>
      </c>
      <c r="B3953" s="7" t="s">
        <v>372</v>
      </c>
      <c r="C3953" s="7" t="s">
        <v>373</v>
      </c>
      <c r="D3953" s="4">
        <v>11836436000131</v>
      </c>
      <c r="E3953" s="8" t="s">
        <v>1297</v>
      </c>
      <c r="F3953" s="8" t="s">
        <v>907</v>
      </c>
      <c r="G3953" s="8" t="s">
        <v>69</v>
      </c>
      <c r="H3953" s="8" t="s">
        <v>215</v>
      </c>
      <c r="I3953" s="3">
        <v>2</v>
      </c>
      <c r="J3953" s="8" t="s">
        <v>187</v>
      </c>
      <c r="K3953" s="8" t="s">
        <v>188</v>
      </c>
      <c r="L3953" s="8" t="s">
        <v>556</v>
      </c>
      <c r="M3953" s="1" t="s">
        <v>211</v>
      </c>
      <c r="N3953" s="8" t="s">
        <v>212</v>
      </c>
      <c r="O3953" s="6">
        <v>0</v>
      </c>
      <c r="P3953" s="6">
        <v>0</v>
      </c>
      <c r="Q3953" s="6">
        <v>0</v>
      </c>
      <c r="R3953" s="6">
        <v>0</v>
      </c>
      <c r="S3953" s="6">
        <v>25</v>
      </c>
    </row>
    <row r="3954" spans="1:19" ht="15" hidden="1" x14ac:dyDescent="0.25">
      <c r="A3954" s="7" t="s">
        <v>16</v>
      </c>
      <c r="B3954" s="7" t="s">
        <v>372</v>
      </c>
      <c r="C3954" s="7" t="s">
        <v>373</v>
      </c>
      <c r="D3954" s="4">
        <v>11836436000131</v>
      </c>
      <c r="E3954" s="8" t="s">
        <v>1297</v>
      </c>
      <c r="F3954" s="8" t="s">
        <v>907</v>
      </c>
      <c r="G3954" s="8" t="s">
        <v>69</v>
      </c>
      <c r="H3954" s="8" t="s">
        <v>215</v>
      </c>
      <c r="I3954" s="3">
        <v>2</v>
      </c>
      <c r="J3954" s="8" t="s">
        <v>163</v>
      </c>
      <c r="K3954" s="8" t="s">
        <v>164</v>
      </c>
      <c r="L3954" s="8" t="s">
        <v>557</v>
      </c>
      <c r="M3954" s="1" t="s">
        <v>211</v>
      </c>
      <c r="N3954" s="8" t="s">
        <v>212</v>
      </c>
      <c r="O3954" s="6">
        <v>0</v>
      </c>
      <c r="P3954" s="6">
        <v>0</v>
      </c>
      <c r="Q3954" s="6">
        <v>0</v>
      </c>
      <c r="R3954" s="6">
        <v>0</v>
      </c>
      <c r="S3954" s="6">
        <v>25</v>
      </c>
    </row>
    <row r="3955" spans="1:19" ht="15" hidden="1" x14ac:dyDescent="0.25">
      <c r="A3955" s="7" t="s">
        <v>16</v>
      </c>
      <c r="B3955" s="7" t="s">
        <v>372</v>
      </c>
      <c r="C3955" s="7" t="s">
        <v>373</v>
      </c>
      <c r="D3955" s="4">
        <v>15126437003240</v>
      </c>
      <c r="E3955" s="8" t="s">
        <v>885</v>
      </c>
      <c r="F3955" s="8" t="s">
        <v>130</v>
      </c>
      <c r="G3955" s="8" t="s">
        <v>56</v>
      </c>
      <c r="H3955" s="8" t="s">
        <v>215</v>
      </c>
      <c r="I3955" s="3">
        <v>2</v>
      </c>
      <c r="J3955" s="8" t="s">
        <v>199</v>
      </c>
      <c r="K3955" s="8" t="s">
        <v>200</v>
      </c>
      <c r="L3955" s="8" t="s">
        <v>556</v>
      </c>
      <c r="M3955" s="1" t="s">
        <v>211</v>
      </c>
      <c r="N3955" s="8" t="s">
        <v>212</v>
      </c>
      <c r="O3955" s="6">
        <v>0</v>
      </c>
      <c r="P3955" s="6">
        <v>0</v>
      </c>
      <c r="Q3955" s="6">
        <v>0</v>
      </c>
      <c r="R3955" s="6">
        <v>0</v>
      </c>
      <c r="S3955" s="6">
        <v>125</v>
      </c>
    </row>
    <row r="3956" spans="1:19" ht="15" hidden="1" x14ac:dyDescent="0.25">
      <c r="A3956" s="7" t="s">
        <v>16</v>
      </c>
      <c r="B3956" s="7" t="s">
        <v>372</v>
      </c>
      <c r="C3956" s="7" t="s">
        <v>373</v>
      </c>
      <c r="D3956" s="4">
        <v>15126437003240</v>
      </c>
      <c r="E3956" s="8" t="s">
        <v>885</v>
      </c>
      <c r="F3956" s="8" t="s">
        <v>130</v>
      </c>
      <c r="G3956" s="8" t="s">
        <v>56</v>
      </c>
      <c r="H3956" s="8" t="s">
        <v>215</v>
      </c>
      <c r="I3956" s="3">
        <v>2</v>
      </c>
      <c r="J3956" s="8" t="s">
        <v>169</v>
      </c>
      <c r="K3956" s="8" t="s">
        <v>170</v>
      </c>
      <c r="L3956" s="8" t="s">
        <v>557</v>
      </c>
      <c r="M3956" s="1" t="s">
        <v>211</v>
      </c>
      <c r="N3956" s="8" t="s">
        <v>212</v>
      </c>
      <c r="O3956" s="6">
        <v>0</v>
      </c>
      <c r="P3956" s="6">
        <v>0</v>
      </c>
      <c r="Q3956" s="6">
        <v>0</v>
      </c>
      <c r="R3956" s="6">
        <v>0</v>
      </c>
      <c r="S3956" s="6">
        <v>125</v>
      </c>
    </row>
    <row r="3957" spans="1:19" ht="15" hidden="1" x14ac:dyDescent="0.25">
      <c r="A3957" s="7" t="s">
        <v>16</v>
      </c>
      <c r="B3957" s="7" t="s">
        <v>372</v>
      </c>
      <c r="C3957" s="7" t="s">
        <v>373</v>
      </c>
      <c r="D3957" s="4">
        <v>83925694404</v>
      </c>
      <c r="E3957" s="8" t="s">
        <v>746</v>
      </c>
      <c r="F3957" s="8" t="s">
        <v>747</v>
      </c>
      <c r="G3957" s="8" t="s">
        <v>56</v>
      </c>
      <c r="H3957" s="8" t="s">
        <v>215</v>
      </c>
      <c r="I3957" s="3">
        <v>2</v>
      </c>
      <c r="J3957" s="8" t="s">
        <v>199</v>
      </c>
      <c r="K3957" s="8" t="s">
        <v>200</v>
      </c>
      <c r="L3957" s="8" t="s">
        <v>556</v>
      </c>
      <c r="M3957" s="1" t="s">
        <v>211</v>
      </c>
      <c r="N3957" s="8" t="s">
        <v>212</v>
      </c>
      <c r="O3957" s="6">
        <v>16</v>
      </c>
      <c r="P3957" s="6">
        <v>0</v>
      </c>
      <c r="Q3957" s="6">
        <v>0</v>
      </c>
      <c r="R3957" s="6">
        <v>0</v>
      </c>
      <c r="S3957" s="6">
        <v>0</v>
      </c>
    </row>
    <row r="3958" spans="1:19" ht="15" hidden="1" x14ac:dyDescent="0.25">
      <c r="A3958" s="7" t="s">
        <v>16</v>
      </c>
      <c r="B3958" s="7" t="s">
        <v>372</v>
      </c>
      <c r="C3958" s="7" t="s">
        <v>373</v>
      </c>
      <c r="D3958" s="4">
        <v>83925694404</v>
      </c>
      <c r="E3958" s="8" t="s">
        <v>746</v>
      </c>
      <c r="F3958" s="8" t="s">
        <v>747</v>
      </c>
      <c r="G3958" s="8" t="s">
        <v>56</v>
      </c>
      <c r="H3958" s="8" t="s">
        <v>215</v>
      </c>
      <c r="I3958" s="3">
        <v>2</v>
      </c>
      <c r="J3958" s="8" t="s">
        <v>169</v>
      </c>
      <c r="K3958" s="8" t="s">
        <v>170</v>
      </c>
      <c r="L3958" s="8" t="s">
        <v>557</v>
      </c>
      <c r="M3958" s="1" t="s">
        <v>211</v>
      </c>
      <c r="N3958" s="8" t="s">
        <v>212</v>
      </c>
      <c r="O3958" s="6">
        <v>0</v>
      </c>
      <c r="P3958" s="6">
        <v>0</v>
      </c>
      <c r="Q3958" s="6">
        <v>0</v>
      </c>
      <c r="R3958" s="6">
        <v>0</v>
      </c>
      <c r="S3958" s="6">
        <v>0</v>
      </c>
    </row>
    <row r="3959" spans="1:19" ht="15" hidden="1" x14ac:dyDescent="0.25">
      <c r="A3959" s="7" t="s">
        <v>16</v>
      </c>
      <c r="B3959" s="7" t="s">
        <v>372</v>
      </c>
      <c r="C3959" s="7" t="s">
        <v>373</v>
      </c>
      <c r="D3959" s="4">
        <v>8680639000681</v>
      </c>
      <c r="E3959" s="8" t="s">
        <v>827</v>
      </c>
      <c r="F3959" s="8" t="s">
        <v>747</v>
      </c>
      <c r="G3959" s="8" t="s">
        <v>56</v>
      </c>
      <c r="H3959" s="8" t="s">
        <v>215</v>
      </c>
      <c r="I3959" s="3">
        <v>2</v>
      </c>
      <c r="J3959" s="8" t="s">
        <v>199</v>
      </c>
      <c r="K3959" s="8" t="s">
        <v>200</v>
      </c>
      <c r="L3959" s="8" t="s">
        <v>556</v>
      </c>
      <c r="M3959" s="1" t="s">
        <v>211</v>
      </c>
      <c r="N3959" s="8" t="s">
        <v>212</v>
      </c>
      <c r="O3959" s="6">
        <v>0</v>
      </c>
      <c r="P3959" s="6">
        <v>0</v>
      </c>
      <c r="Q3959" s="6">
        <v>0</v>
      </c>
      <c r="R3959" s="6">
        <v>60</v>
      </c>
      <c r="S3959" s="6">
        <v>50</v>
      </c>
    </row>
    <row r="3960" spans="1:19" ht="15" hidden="1" x14ac:dyDescent="0.25">
      <c r="A3960" s="7" t="s">
        <v>16</v>
      </c>
      <c r="B3960" s="7" t="s">
        <v>372</v>
      </c>
      <c r="C3960" s="7" t="s">
        <v>373</v>
      </c>
      <c r="D3960" s="4">
        <v>8680639000681</v>
      </c>
      <c r="E3960" s="8" t="s">
        <v>827</v>
      </c>
      <c r="F3960" s="8" t="s">
        <v>747</v>
      </c>
      <c r="G3960" s="8" t="s">
        <v>56</v>
      </c>
      <c r="H3960" s="8" t="s">
        <v>215</v>
      </c>
      <c r="I3960" s="3">
        <v>2</v>
      </c>
      <c r="J3960" s="8" t="s">
        <v>169</v>
      </c>
      <c r="K3960" s="8" t="s">
        <v>170</v>
      </c>
      <c r="L3960" s="8" t="s">
        <v>557</v>
      </c>
      <c r="M3960" s="1" t="s">
        <v>211</v>
      </c>
      <c r="N3960" s="8" t="s">
        <v>212</v>
      </c>
      <c r="O3960" s="6">
        <v>0</v>
      </c>
      <c r="P3960" s="6">
        <v>0</v>
      </c>
      <c r="Q3960" s="6">
        <v>0</v>
      </c>
      <c r="R3960" s="6">
        <v>0</v>
      </c>
      <c r="S3960" s="6">
        <v>50</v>
      </c>
    </row>
    <row r="3961" spans="1:19" ht="15" hidden="1" x14ac:dyDescent="0.25">
      <c r="A3961" s="7" t="s">
        <v>16</v>
      </c>
      <c r="B3961" s="7" t="s">
        <v>372</v>
      </c>
      <c r="C3961" s="7" t="s">
        <v>373</v>
      </c>
      <c r="D3961" s="4">
        <v>24449225000279</v>
      </c>
      <c r="E3961" s="8" t="s">
        <v>1468</v>
      </c>
      <c r="F3961" s="8" t="s">
        <v>1469</v>
      </c>
      <c r="G3961" s="8" t="s">
        <v>71</v>
      </c>
      <c r="H3961" s="8" t="s">
        <v>1334</v>
      </c>
      <c r="I3961" s="3">
        <v>0</v>
      </c>
      <c r="J3961" s="8"/>
      <c r="K3961" s="8"/>
      <c r="L3961" s="8"/>
      <c r="M3961" s="1"/>
      <c r="N3961" s="8"/>
      <c r="O3961" s="6">
        <v>0</v>
      </c>
      <c r="P3961" s="6">
        <v>0</v>
      </c>
      <c r="Q3961" s="6">
        <v>0</v>
      </c>
      <c r="R3961" s="6">
        <v>0</v>
      </c>
      <c r="S3961" s="6">
        <v>0</v>
      </c>
    </row>
    <row r="3962" spans="1:19" ht="15" hidden="1" x14ac:dyDescent="0.25">
      <c r="A3962" s="7" t="s">
        <v>16</v>
      </c>
      <c r="B3962" s="7" t="s">
        <v>372</v>
      </c>
      <c r="C3962" s="7" t="s">
        <v>373</v>
      </c>
      <c r="D3962" s="4">
        <v>9767633000102</v>
      </c>
      <c r="E3962" s="8" t="s">
        <v>1457</v>
      </c>
      <c r="F3962" s="8" t="s">
        <v>70</v>
      </c>
      <c r="G3962" s="8" t="s">
        <v>71</v>
      </c>
      <c r="H3962" s="8" t="s">
        <v>1334</v>
      </c>
      <c r="I3962" s="3">
        <v>0</v>
      </c>
      <c r="J3962" s="8"/>
      <c r="K3962" s="8"/>
      <c r="L3962" s="8"/>
      <c r="M3962" s="1"/>
      <c r="N3962" s="8"/>
      <c r="O3962" s="6">
        <v>0</v>
      </c>
      <c r="P3962" s="6">
        <v>0</v>
      </c>
      <c r="Q3962" s="6">
        <v>0</v>
      </c>
      <c r="R3962" s="6">
        <v>0</v>
      </c>
      <c r="S3962" s="6">
        <v>0</v>
      </c>
    </row>
    <row r="3963" spans="1:19" ht="15" hidden="1" x14ac:dyDescent="0.25">
      <c r="A3963" s="7" t="s">
        <v>16</v>
      </c>
      <c r="B3963" s="7" t="s">
        <v>372</v>
      </c>
      <c r="C3963" s="7" t="s">
        <v>373</v>
      </c>
      <c r="D3963" s="4">
        <v>2284062000106</v>
      </c>
      <c r="E3963" s="8" t="s">
        <v>774</v>
      </c>
      <c r="F3963" s="8" t="s">
        <v>70</v>
      </c>
      <c r="G3963" s="8" t="s">
        <v>71</v>
      </c>
      <c r="H3963" s="8" t="s">
        <v>215</v>
      </c>
      <c r="I3963" s="3">
        <v>2</v>
      </c>
      <c r="J3963" s="8" t="s">
        <v>199</v>
      </c>
      <c r="K3963" s="8" t="s">
        <v>200</v>
      </c>
      <c r="L3963" s="8" t="s">
        <v>556</v>
      </c>
      <c r="M3963" s="1" t="s">
        <v>211</v>
      </c>
      <c r="N3963" s="8" t="s">
        <v>212</v>
      </c>
      <c r="O3963" s="6">
        <v>0</v>
      </c>
      <c r="P3963" s="6">
        <v>0</v>
      </c>
      <c r="Q3963" s="6">
        <v>0</v>
      </c>
      <c r="R3963" s="6">
        <v>0</v>
      </c>
      <c r="S3963" s="6">
        <v>0</v>
      </c>
    </row>
    <row r="3964" spans="1:19" ht="15" hidden="1" x14ac:dyDescent="0.25">
      <c r="A3964" s="7" t="s">
        <v>16</v>
      </c>
      <c r="B3964" s="7" t="s">
        <v>372</v>
      </c>
      <c r="C3964" s="7" t="s">
        <v>373</v>
      </c>
      <c r="D3964" s="4">
        <v>2284062000106</v>
      </c>
      <c r="E3964" s="8" t="s">
        <v>774</v>
      </c>
      <c r="F3964" s="8" t="s">
        <v>70</v>
      </c>
      <c r="G3964" s="8" t="s">
        <v>71</v>
      </c>
      <c r="H3964" s="8" t="s">
        <v>215</v>
      </c>
      <c r="I3964" s="3">
        <v>2</v>
      </c>
      <c r="J3964" s="8" t="s">
        <v>169</v>
      </c>
      <c r="K3964" s="8" t="s">
        <v>170</v>
      </c>
      <c r="L3964" s="8" t="s">
        <v>557</v>
      </c>
      <c r="M3964" s="1" t="s">
        <v>211</v>
      </c>
      <c r="N3964" s="8" t="s">
        <v>212</v>
      </c>
      <c r="O3964" s="6">
        <v>0</v>
      </c>
      <c r="P3964" s="6">
        <v>1</v>
      </c>
      <c r="Q3964" s="6">
        <v>0</v>
      </c>
      <c r="R3964" s="6">
        <v>0</v>
      </c>
      <c r="S3964" s="6">
        <v>0</v>
      </c>
    </row>
    <row r="3965" spans="1:19" ht="15" hidden="1" x14ac:dyDescent="0.25">
      <c r="A3965" s="7" t="s">
        <v>16</v>
      </c>
      <c r="B3965" s="7" t="s">
        <v>372</v>
      </c>
      <c r="C3965" s="7" t="s">
        <v>373</v>
      </c>
      <c r="D3965" s="4">
        <v>11452240000143</v>
      </c>
      <c r="E3965" s="8" t="s">
        <v>844</v>
      </c>
      <c r="F3965" s="8" t="s">
        <v>70</v>
      </c>
      <c r="G3965" s="8" t="s">
        <v>71</v>
      </c>
      <c r="H3965" s="8" t="s">
        <v>215</v>
      </c>
      <c r="I3965" s="3">
        <v>2</v>
      </c>
      <c r="J3965" s="8" t="s">
        <v>199</v>
      </c>
      <c r="K3965" s="8" t="s">
        <v>200</v>
      </c>
      <c r="L3965" s="8" t="s">
        <v>556</v>
      </c>
      <c r="M3965" s="1" t="s">
        <v>211</v>
      </c>
      <c r="N3965" s="8" t="s">
        <v>212</v>
      </c>
      <c r="O3965" s="6">
        <v>0</v>
      </c>
      <c r="P3965" s="6">
        <v>0</v>
      </c>
      <c r="Q3965" s="6">
        <v>0</v>
      </c>
      <c r="R3965" s="6">
        <v>0</v>
      </c>
      <c r="S3965" s="6">
        <v>100</v>
      </c>
    </row>
    <row r="3966" spans="1:19" ht="15" hidden="1" x14ac:dyDescent="0.25">
      <c r="A3966" s="7" t="s">
        <v>16</v>
      </c>
      <c r="B3966" s="7" t="s">
        <v>372</v>
      </c>
      <c r="C3966" s="7" t="s">
        <v>373</v>
      </c>
      <c r="D3966" s="4">
        <v>11452240000143</v>
      </c>
      <c r="E3966" s="8" t="s">
        <v>844</v>
      </c>
      <c r="F3966" s="8" t="s">
        <v>70</v>
      </c>
      <c r="G3966" s="8" t="s">
        <v>71</v>
      </c>
      <c r="H3966" s="8" t="s">
        <v>215</v>
      </c>
      <c r="I3966" s="3">
        <v>2</v>
      </c>
      <c r="J3966" s="8" t="s">
        <v>169</v>
      </c>
      <c r="K3966" s="8" t="s">
        <v>170</v>
      </c>
      <c r="L3966" s="8" t="s">
        <v>557</v>
      </c>
      <c r="M3966" s="1" t="s">
        <v>211</v>
      </c>
      <c r="N3966" s="8" t="s">
        <v>212</v>
      </c>
      <c r="O3966" s="6">
        <v>0</v>
      </c>
      <c r="P3966" s="6">
        <v>0</v>
      </c>
      <c r="Q3966" s="6">
        <v>0</v>
      </c>
      <c r="R3966" s="6">
        <v>0</v>
      </c>
      <c r="S3966" s="6">
        <v>100</v>
      </c>
    </row>
    <row r="3967" spans="1:19" ht="15" hidden="1" x14ac:dyDescent="0.25">
      <c r="A3967" s="7" t="s">
        <v>16</v>
      </c>
      <c r="B3967" s="7" t="s">
        <v>372</v>
      </c>
      <c r="C3967" s="7" t="s">
        <v>373</v>
      </c>
      <c r="D3967" s="4">
        <v>6047087009276</v>
      </c>
      <c r="E3967" s="8" t="s">
        <v>812</v>
      </c>
      <c r="F3967" s="8" t="s">
        <v>70</v>
      </c>
      <c r="G3967" s="8" t="s">
        <v>71</v>
      </c>
      <c r="H3967" s="8" t="s">
        <v>215</v>
      </c>
      <c r="I3967" s="3">
        <v>2</v>
      </c>
      <c r="J3967" s="8" t="s">
        <v>199</v>
      </c>
      <c r="K3967" s="8" t="s">
        <v>200</v>
      </c>
      <c r="L3967" s="8" t="s">
        <v>556</v>
      </c>
      <c r="M3967" s="1" t="s">
        <v>211</v>
      </c>
      <c r="N3967" s="8" t="s">
        <v>212</v>
      </c>
      <c r="O3967" s="6">
        <v>0</v>
      </c>
      <c r="P3967" s="6">
        <v>0</v>
      </c>
      <c r="Q3967" s="6">
        <v>0</v>
      </c>
      <c r="R3967" s="6">
        <v>0</v>
      </c>
      <c r="S3967" s="6">
        <v>0</v>
      </c>
    </row>
    <row r="3968" spans="1:19" ht="15" hidden="1" x14ac:dyDescent="0.25">
      <c r="A3968" s="7" t="s">
        <v>16</v>
      </c>
      <c r="B3968" s="7" t="s">
        <v>372</v>
      </c>
      <c r="C3968" s="7" t="s">
        <v>373</v>
      </c>
      <c r="D3968" s="4">
        <v>6047087009276</v>
      </c>
      <c r="E3968" s="8" t="s">
        <v>812</v>
      </c>
      <c r="F3968" s="8" t="s">
        <v>70</v>
      </c>
      <c r="G3968" s="8" t="s">
        <v>71</v>
      </c>
      <c r="H3968" s="8" t="s">
        <v>215</v>
      </c>
      <c r="I3968" s="3">
        <v>2</v>
      </c>
      <c r="J3968" s="8" t="s">
        <v>169</v>
      </c>
      <c r="K3968" s="8" t="s">
        <v>170</v>
      </c>
      <c r="L3968" s="8" t="s">
        <v>557</v>
      </c>
      <c r="M3968" s="1" t="s">
        <v>211</v>
      </c>
      <c r="N3968" s="8" t="s">
        <v>212</v>
      </c>
      <c r="O3968" s="6">
        <v>0</v>
      </c>
      <c r="P3968" s="6">
        <v>30</v>
      </c>
      <c r="Q3968" s="6">
        <v>0</v>
      </c>
      <c r="R3968" s="6">
        <v>0</v>
      </c>
      <c r="S3968" s="6">
        <v>0</v>
      </c>
    </row>
    <row r="3969" spans="1:19" ht="15" hidden="1" x14ac:dyDescent="0.25">
      <c r="A3969" s="7" t="s">
        <v>16</v>
      </c>
      <c r="B3969" s="7" t="s">
        <v>372</v>
      </c>
      <c r="C3969" s="7" t="s">
        <v>373</v>
      </c>
      <c r="D3969" s="4">
        <v>9577422000280</v>
      </c>
      <c r="E3969" s="8" t="s">
        <v>1390</v>
      </c>
      <c r="F3969" s="8" t="s">
        <v>70</v>
      </c>
      <c r="G3969" s="8" t="s">
        <v>71</v>
      </c>
      <c r="H3969" s="8" t="s">
        <v>215</v>
      </c>
      <c r="I3969" s="3">
        <v>2</v>
      </c>
      <c r="J3969" s="8" t="s">
        <v>199</v>
      </c>
      <c r="K3969" s="8" t="s">
        <v>200</v>
      </c>
      <c r="L3969" s="8" t="s">
        <v>556</v>
      </c>
      <c r="M3969" s="1" t="s">
        <v>211</v>
      </c>
      <c r="N3969" s="8" t="s">
        <v>212</v>
      </c>
      <c r="O3969" s="6">
        <v>0</v>
      </c>
      <c r="P3969" s="6">
        <v>0</v>
      </c>
      <c r="Q3969" s="6">
        <v>0</v>
      </c>
      <c r="R3969" s="6">
        <v>0</v>
      </c>
      <c r="S3969" s="6">
        <v>150</v>
      </c>
    </row>
    <row r="3970" spans="1:19" ht="15" hidden="1" x14ac:dyDescent="0.25">
      <c r="A3970" s="7" t="s">
        <v>16</v>
      </c>
      <c r="B3970" s="7" t="s">
        <v>372</v>
      </c>
      <c r="C3970" s="7" t="s">
        <v>373</v>
      </c>
      <c r="D3970" s="4">
        <v>9577422000280</v>
      </c>
      <c r="E3970" s="8" t="s">
        <v>1390</v>
      </c>
      <c r="F3970" s="8" t="s">
        <v>70</v>
      </c>
      <c r="G3970" s="8" t="s">
        <v>71</v>
      </c>
      <c r="H3970" s="8" t="s">
        <v>215</v>
      </c>
      <c r="I3970" s="3">
        <v>2</v>
      </c>
      <c r="J3970" s="8" t="s">
        <v>169</v>
      </c>
      <c r="K3970" s="8" t="s">
        <v>170</v>
      </c>
      <c r="L3970" s="8" t="s">
        <v>557</v>
      </c>
      <c r="M3970" s="1" t="s">
        <v>211</v>
      </c>
      <c r="N3970" s="8" t="s">
        <v>212</v>
      </c>
      <c r="O3970" s="6">
        <v>0</v>
      </c>
      <c r="P3970" s="6">
        <v>0</v>
      </c>
      <c r="Q3970" s="6">
        <v>0</v>
      </c>
      <c r="R3970" s="6">
        <v>0</v>
      </c>
      <c r="S3970" s="6">
        <v>150</v>
      </c>
    </row>
    <row r="3971" spans="1:19" ht="15" hidden="1" x14ac:dyDescent="0.25">
      <c r="A3971" s="7" t="s">
        <v>16</v>
      </c>
      <c r="B3971" s="7" t="s">
        <v>372</v>
      </c>
      <c r="C3971" s="7" t="s">
        <v>373</v>
      </c>
      <c r="D3971" s="4">
        <v>10892164000124</v>
      </c>
      <c r="E3971" s="8" t="s">
        <v>835</v>
      </c>
      <c r="F3971" s="8" t="s">
        <v>70</v>
      </c>
      <c r="G3971" s="8" t="s">
        <v>71</v>
      </c>
      <c r="H3971" s="8" t="s">
        <v>215</v>
      </c>
      <c r="I3971" s="3">
        <v>2</v>
      </c>
      <c r="J3971" s="8" t="s">
        <v>199</v>
      </c>
      <c r="K3971" s="8" t="s">
        <v>200</v>
      </c>
      <c r="L3971" s="8" t="s">
        <v>556</v>
      </c>
      <c r="M3971" s="1" t="s">
        <v>211</v>
      </c>
      <c r="N3971" s="8" t="s">
        <v>212</v>
      </c>
      <c r="O3971" s="6">
        <v>0</v>
      </c>
      <c r="P3971" s="6">
        <v>0</v>
      </c>
      <c r="Q3971" s="6">
        <v>0</v>
      </c>
      <c r="R3971" s="6">
        <v>0</v>
      </c>
      <c r="S3971" s="6">
        <v>0</v>
      </c>
    </row>
    <row r="3972" spans="1:19" ht="15" hidden="1" x14ac:dyDescent="0.25">
      <c r="A3972" s="7" t="s">
        <v>16</v>
      </c>
      <c r="B3972" s="7" t="s">
        <v>372</v>
      </c>
      <c r="C3972" s="7" t="s">
        <v>373</v>
      </c>
      <c r="D3972" s="4">
        <v>10892164000124</v>
      </c>
      <c r="E3972" s="8" t="s">
        <v>835</v>
      </c>
      <c r="F3972" s="8" t="s">
        <v>70</v>
      </c>
      <c r="G3972" s="8" t="s">
        <v>71</v>
      </c>
      <c r="H3972" s="8" t="s">
        <v>215</v>
      </c>
      <c r="I3972" s="3">
        <v>2</v>
      </c>
      <c r="J3972" s="8" t="s">
        <v>169</v>
      </c>
      <c r="K3972" s="8" t="s">
        <v>170</v>
      </c>
      <c r="L3972" s="8" t="s">
        <v>557</v>
      </c>
      <c r="M3972" s="1" t="s">
        <v>211</v>
      </c>
      <c r="N3972" s="8" t="s">
        <v>212</v>
      </c>
      <c r="O3972" s="6">
        <v>0</v>
      </c>
      <c r="P3972" s="6">
        <v>10</v>
      </c>
      <c r="Q3972" s="6">
        <v>0</v>
      </c>
      <c r="R3972" s="6">
        <v>0</v>
      </c>
      <c r="S3972" s="6">
        <v>0</v>
      </c>
    </row>
    <row r="3973" spans="1:19" ht="15" hidden="1" x14ac:dyDescent="0.25">
      <c r="A3973" s="7" t="s">
        <v>16</v>
      </c>
      <c r="B3973" s="7" t="s">
        <v>372</v>
      </c>
      <c r="C3973" s="7" t="s">
        <v>373</v>
      </c>
      <c r="D3973" s="4">
        <v>2284062000440</v>
      </c>
      <c r="E3973" s="8" t="s">
        <v>775</v>
      </c>
      <c r="F3973" s="8" t="s">
        <v>70</v>
      </c>
      <c r="G3973" s="8" t="s">
        <v>71</v>
      </c>
      <c r="H3973" s="8" t="s">
        <v>215</v>
      </c>
      <c r="I3973" s="3">
        <v>2</v>
      </c>
      <c r="J3973" s="8" t="s">
        <v>199</v>
      </c>
      <c r="K3973" s="8" t="s">
        <v>200</v>
      </c>
      <c r="L3973" s="8" t="s">
        <v>556</v>
      </c>
      <c r="M3973" s="1" t="s">
        <v>211</v>
      </c>
      <c r="N3973" s="8" t="s">
        <v>212</v>
      </c>
      <c r="O3973" s="6">
        <v>0</v>
      </c>
      <c r="P3973" s="6">
        <v>0</v>
      </c>
      <c r="Q3973" s="6">
        <v>0</v>
      </c>
      <c r="R3973" s="6">
        <v>0</v>
      </c>
      <c r="S3973" s="6">
        <v>0</v>
      </c>
    </row>
    <row r="3974" spans="1:19" ht="15" hidden="1" x14ac:dyDescent="0.25">
      <c r="A3974" s="7" t="s">
        <v>16</v>
      </c>
      <c r="B3974" s="7" t="s">
        <v>372</v>
      </c>
      <c r="C3974" s="7" t="s">
        <v>373</v>
      </c>
      <c r="D3974" s="4">
        <v>2284062000440</v>
      </c>
      <c r="E3974" s="8" t="s">
        <v>775</v>
      </c>
      <c r="F3974" s="8" t="s">
        <v>70</v>
      </c>
      <c r="G3974" s="8" t="s">
        <v>71</v>
      </c>
      <c r="H3974" s="8" t="s">
        <v>215</v>
      </c>
      <c r="I3974" s="3">
        <v>2</v>
      </c>
      <c r="J3974" s="8" t="s">
        <v>169</v>
      </c>
      <c r="K3974" s="8" t="s">
        <v>170</v>
      </c>
      <c r="L3974" s="8" t="s">
        <v>557</v>
      </c>
      <c r="M3974" s="1" t="s">
        <v>211</v>
      </c>
      <c r="N3974" s="8" t="s">
        <v>212</v>
      </c>
      <c r="O3974" s="6">
        <v>0</v>
      </c>
      <c r="P3974" s="6">
        <v>42</v>
      </c>
      <c r="Q3974" s="6">
        <v>0</v>
      </c>
      <c r="R3974" s="6">
        <v>0</v>
      </c>
      <c r="S3974" s="6">
        <v>0</v>
      </c>
    </row>
    <row r="3975" spans="1:19" ht="15" hidden="1" x14ac:dyDescent="0.25">
      <c r="A3975" s="7" t="s">
        <v>16</v>
      </c>
      <c r="B3975" s="7" t="s">
        <v>372</v>
      </c>
      <c r="C3975" s="7" t="s">
        <v>373</v>
      </c>
      <c r="D3975" s="4">
        <v>11214624000470</v>
      </c>
      <c r="E3975" s="8" t="s">
        <v>841</v>
      </c>
      <c r="F3975" s="8" t="s">
        <v>70</v>
      </c>
      <c r="G3975" s="8" t="s">
        <v>71</v>
      </c>
      <c r="H3975" s="8" t="s">
        <v>215</v>
      </c>
      <c r="I3975" s="3">
        <v>2</v>
      </c>
      <c r="J3975" s="8" t="s">
        <v>199</v>
      </c>
      <c r="K3975" s="8" t="s">
        <v>200</v>
      </c>
      <c r="L3975" s="8" t="s">
        <v>556</v>
      </c>
      <c r="M3975" s="1" t="s">
        <v>211</v>
      </c>
      <c r="N3975" s="8" t="s">
        <v>212</v>
      </c>
      <c r="O3975" s="6">
        <v>0</v>
      </c>
      <c r="P3975" s="6">
        <v>0</v>
      </c>
      <c r="Q3975" s="6">
        <v>0</v>
      </c>
      <c r="R3975" s="6">
        <v>192</v>
      </c>
      <c r="S3975" s="6">
        <v>100</v>
      </c>
    </row>
    <row r="3976" spans="1:19" ht="15" hidden="1" x14ac:dyDescent="0.25">
      <c r="A3976" s="7" t="s">
        <v>16</v>
      </c>
      <c r="B3976" s="7" t="s">
        <v>372</v>
      </c>
      <c r="C3976" s="7" t="s">
        <v>373</v>
      </c>
      <c r="D3976" s="4">
        <v>11214624000470</v>
      </c>
      <c r="E3976" s="8" t="s">
        <v>841</v>
      </c>
      <c r="F3976" s="8" t="s">
        <v>70</v>
      </c>
      <c r="G3976" s="8" t="s">
        <v>71</v>
      </c>
      <c r="H3976" s="8" t="s">
        <v>215</v>
      </c>
      <c r="I3976" s="3">
        <v>2</v>
      </c>
      <c r="J3976" s="8" t="s">
        <v>169</v>
      </c>
      <c r="K3976" s="8" t="s">
        <v>170</v>
      </c>
      <c r="L3976" s="8" t="s">
        <v>557</v>
      </c>
      <c r="M3976" s="1" t="s">
        <v>211</v>
      </c>
      <c r="N3976" s="8" t="s">
        <v>212</v>
      </c>
      <c r="O3976" s="6">
        <v>0</v>
      </c>
      <c r="P3976" s="6">
        <v>0</v>
      </c>
      <c r="Q3976" s="6">
        <v>0</v>
      </c>
      <c r="R3976" s="6">
        <v>0</v>
      </c>
      <c r="S3976" s="6">
        <v>100</v>
      </c>
    </row>
    <row r="3977" spans="1:19" ht="15" hidden="1" x14ac:dyDescent="0.25">
      <c r="A3977" s="7" t="s">
        <v>16</v>
      </c>
      <c r="B3977" s="7" t="s">
        <v>372</v>
      </c>
      <c r="C3977" s="7" t="s">
        <v>373</v>
      </c>
      <c r="D3977" s="4">
        <v>10839561000132</v>
      </c>
      <c r="E3977" s="8" t="s">
        <v>834</v>
      </c>
      <c r="F3977" s="8" t="s">
        <v>70</v>
      </c>
      <c r="G3977" s="8" t="s">
        <v>71</v>
      </c>
      <c r="H3977" s="8" t="s">
        <v>215</v>
      </c>
      <c r="I3977" s="3">
        <v>2</v>
      </c>
      <c r="J3977" s="8" t="s">
        <v>199</v>
      </c>
      <c r="K3977" s="8" t="s">
        <v>200</v>
      </c>
      <c r="L3977" s="8" t="s">
        <v>556</v>
      </c>
      <c r="M3977" s="1" t="s">
        <v>211</v>
      </c>
      <c r="N3977" s="8" t="s">
        <v>212</v>
      </c>
      <c r="O3977" s="6">
        <v>0</v>
      </c>
      <c r="P3977" s="6">
        <v>0</v>
      </c>
      <c r="Q3977" s="6">
        <v>0</v>
      </c>
      <c r="R3977" s="6">
        <v>36</v>
      </c>
      <c r="S3977" s="6">
        <v>460</v>
      </c>
    </row>
    <row r="3978" spans="1:19" ht="15" hidden="1" x14ac:dyDescent="0.25">
      <c r="A3978" s="7" t="s">
        <v>16</v>
      </c>
      <c r="B3978" s="7" t="s">
        <v>372</v>
      </c>
      <c r="C3978" s="7" t="s">
        <v>373</v>
      </c>
      <c r="D3978" s="4">
        <v>10839561000132</v>
      </c>
      <c r="E3978" s="8" t="s">
        <v>834</v>
      </c>
      <c r="F3978" s="8" t="s">
        <v>70</v>
      </c>
      <c r="G3978" s="8" t="s">
        <v>71</v>
      </c>
      <c r="H3978" s="8" t="s">
        <v>215</v>
      </c>
      <c r="I3978" s="3">
        <v>2</v>
      </c>
      <c r="J3978" s="8" t="s">
        <v>169</v>
      </c>
      <c r="K3978" s="8" t="s">
        <v>170</v>
      </c>
      <c r="L3978" s="8" t="s">
        <v>557</v>
      </c>
      <c r="M3978" s="1" t="s">
        <v>211</v>
      </c>
      <c r="N3978" s="8" t="s">
        <v>212</v>
      </c>
      <c r="O3978" s="6">
        <v>0</v>
      </c>
      <c r="P3978" s="6">
        <v>0</v>
      </c>
      <c r="Q3978" s="6">
        <v>0</v>
      </c>
      <c r="R3978" s="6">
        <v>0</v>
      </c>
      <c r="S3978" s="6">
        <v>460</v>
      </c>
    </row>
    <row r="3979" spans="1:19" ht="15" hidden="1" x14ac:dyDescent="0.25">
      <c r="A3979" s="7" t="s">
        <v>16</v>
      </c>
      <c r="B3979" s="7" t="s">
        <v>372</v>
      </c>
      <c r="C3979" s="7" t="s">
        <v>373</v>
      </c>
      <c r="D3979" s="4">
        <v>6833917000153</v>
      </c>
      <c r="E3979" s="8" t="s">
        <v>1389</v>
      </c>
      <c r="F3979" s="8" t="s">
        <v>81</v>
      </c>
      <c r="G3979" s="8" t="s">
        <v>82</v>
      </c>
      <c r="H3979" s="8" t="s">
        <v>215</v>
      </c>
      <c r="I3979" s="3">
        <v>2</v>
      </c>
      <c r="J3979" s="8" t="s">
        <v>199</v>
      </c>
      <c r="K3979" s="8" t="s">
        <v>200</v>
      </c>
      <c r="L3979" s="8" t="s">
        <v>556</v>
      </c>
      <c r="M3979" s="1" t="s">
        <v>211</v>
      </c>
      <c r="N3979" s="8" t="s">
        <v>212</v>
      </c>
      <c r="O3979" s="6">
        <v>0</v>
      </c>
      <c r="P3979" s="6">
        <v>0</v>
      </c>
      <c r="Q3979" s="6">
        <v>0</v>
      </c>
      <c r="R3979" s="6">
        <v>0</v>
      </c>
      <c r="S3979" s="6">
        <v>150</v>
      </c>
    </row>
    <row r="3980" spans="1:19" ht="15" hidden="1" x14ac:dyDescent="0.25">
      <c r="A3980" s="7" t="s">
        <v>16</v>
      </c>
      <c r="B3980" s="7" t="s">
        <v>372</v>
      </c>
      <c r="C3980" s="7" t="s">
        <v>373</v>
      </c>
      <c r="D3980" s="4">
        <v>6833917000153</v>
      </c>
      <c r="E3980" s="8" t="s">
        <v>1389</v>
      </c>
      <c r="F3980" s="8" t="s">
        <v>81</v>
      </c>
      <c r="G3980" s="8" t="s">
        <v>82</v>
      </c>
      <c r="H3980" s="8" t="s">
        <v>215</v>
      </c>
      <c r="I3980" s="3">
        <v>2</v>
      </c>
      <c r="J3980" s="8" t="s">
        <v>165</v>
      </c>
      <c r="K3980" s="8" t="s">
        <v>166</v>
      </c>
      <c r="L3980" s="8" t="s">
        <v>557</v>
      </c>
      <c r="M3980" s="1" t="s">
        <v>211</v>
      </c>
      <c r="N3980" s="8" t="s">
        <v>212</v>
      </c>
      <c r="O3980" s="6">
        <v>0</v>
      </c>
      <c r="P3980" s="6">
        <v>0</v>
      </c>
      <c r="Q3980" s="6">
        <v>0</v>
      </c>
      <c r="R3980" s="6">
        <v>0</v>
      </c>
      <c r="S3980" s="6">
        <v>150</v>
      </c>
    </row>
    <row r="3981" spans="1:19" ht="15" hidden="1" x14ac:dyDescent="0.25">
      <c r="A3981" s="7" t="s">
        <v>16</v>
      </c>
      <c r="B3981" s="7" t="s">
        <v>372</v>
      </c>
      <c r="C3981" s="7" t="s">
        <v>373</v>
      </c>
      <c r="D3981" s="4">
        <v>6555031000276</v>
      </c>
      <c r="E3981" s="8" t="s">
        <v>815</v>
      </c>
      <c r="F3981" s="8" t="s">
        <v>81</v>
      </c>
      <c r="G3981" s="8" t="s">
        <v>82</v>
      </c>
      <c r="H3981" s="8" t="s">
        <v>215</v>
      </c>
      <c r="I3981" s="3">
        <v>2</v>
      </c>
      <c r="J3981" s="8" t="s">
        <v>199</v>
      </c>
      <c r="K3981" s="8" t="s">
        <v>200</v>
      </c>
      <c r="L3981" s="8" t="s">
        <v>556</v>
      </c>
      <c r="M3981" s="1" t="s">
        <v>211</v>
      </c>
      <c r="N3981" s="8" t="s">
        <v>212</v>
      </c>
      <c r="O3981" s="6">
        <v>0</v>
      </c>
      <c r="P3981" s="6">
        <v>0</v>
      </c>
      <c r="Q3981" s="6">
        <v>0</v>
      </c>
      <c r="R3981" s="6">
        <v>64</v>
      </c>
      <c r="S3981" s="6">
        <v>0</v>
      </c>
    </row>
    <row r="3982" spans="1:19" ht="15" hidden="1" x14ac:dyDescent="0.25">
      <c r="A3982" s="7" t="s">
        <v>16</v>
      </c>
      <c r="B3982" s="7" t="s">
        <v>372</v>
      </c>
      <c r="C3982" s="7" t="s">
        <v>373</v>
      </c>
      <c r="D3982" s="4">
        <v>6555031000276</v>
      </c>
      <c r="E3982" s="8" t="s">
        <v>815</v>
      </c>
      <c r="F3982" s="8" t="s">
        <v>81</v>
      </c>
      <c r="G3982" s="8" t="s">
        <v>82</v>
      </c>
      <c r="H3982" s="8" t="s">
        <v>215</v>
      </c>
      <c r="I3982" s="3">
        <v>2</v>
      </c>
      <c r="J3982" s="8" t="s">
        <v>165</v>
      </c>
      <c r="K3982" s="8" t="s">
        <v>166</v>
      </c>
      <c r="L3982" s="8" t="s">
        <v>557</v>
      </c>
      <c r="M3982" s="1" t="s">
        <v>211</v>
      </c>
      <c r="N3982" s="8" t="s">
        <v>212</v>
      </c>
      <c r="O3982" s="6">
        <v>0</v>
      </c>
      <c r="P3982" s="6">
        <v>0</v>
      </c>
      <c r="Q3982" s="6">
        <v>0</v>
      </c>
      <c r="R3982" s="6">
        <v>0</v>
      </c>
      <c r="S3982" s="6">
        <v>0</v>
      </c>
    </row>
    <row r="3983" spans="1:19" ht="15" hidden="1" x14ac:dyDescent="0.25">
      <c r="A3983" s="7" t="s">
        <v>16</v>
      </c>
      <c r="B3983" s="7" t="s">
        <v>372</v>
      </c>
      <c r="C3983" s="7" t="s">
        <v>373</v>
      </c>
      <c r="D3983" s="4">
        <v>6553564000138</v>
      </c>
      <c r="E3983" s="8" t="s">
        <v>1152</v>
      </c>
      <c r="F3983" s="8" t="s">
        <v>81</v>
      </c>
      <c r="G3983" s="8" t="s">
        <v>82</v>
      </c>
      <c r="H3983" s="8" t="s">
        <v>215</v>
      </c>
      <c r="I3983" s="3">
        <v>2</v>
      </c>
      <c r="J3983" s="8" t="s">
        <v>199</v>
      </c>
      <c r="K3983" s="8" t="s">
        <v>200</v>
      </c>
      <c r="L3983" s="8" t="s">
        <v>556</v>
      </c>
      <c r="M3983" s="1" t="s">
        <v>211</v>
      </c>
      <c r="N3983" s="8" t="s">
        <v>212</v>
      </c>
      <c r="O3983" s="6">
        <v>0</v>
      </c>
      <c r="P3983" s="6">
        <v>0</v>
      </c>
      <c r="Q3983" s="6">
        <v>0</v>
      </c>
      <c r="R3983" s="6">
        <v>0</v>
      </c>
      <c r="S3983" s="6">
        <v>105</v>
      </c>
    </row>
    <row r="3984" spans="1:19" ht="15" hidden="1" x14ac:dyDescent="0.25">
      <c r="A3984" s="7" t="s">
        <v>16</v>
      </c>
      <c r="B3984" s="7" t="s">
        <v>372</v>
      </c>
      <c r="C3984" s="7" t="s">
        <v>373</v>
      </c>
      <c r="D3984" s="4">
        <v>6553564000138</v>
      </c>
      <c r="E3984" s="8" t="s">
        <v>1152</v>
      </c>
      <c r="F3984" s="8" t="s">
        <v>81</v>
      </c>
      <c r="G3984" s="8" t="s">
        <v>82</v>
      </c>
      <c r="H3984" s="8" t="s">
        <v>215</v>
      </c>
      <c r="I3984" s="3">
        <v>2</v>
      </c>
      <c r="J3984" s="8" t="s">
        <v>165</v>
      </c>
      <c r="K3984" s="8" t="s">
        <v>166</v>
      </c>
      <c r="L3984" s="8" t="s">
        <v>557</v>
      </c>
      <c r="M3984" s="1" t="s">
        <v>211</v>
      </c>
      <c r="N3984" s="8" t="s">
        <v>212</v>
      </c>
      <c r="O3984" s="6">
        <v>0</v>
      </c>
      <c r="P3984" s="6">
        <v>0</v>
      </c>
      <c r="Q3984" s="6">
        <v>0</v>
      </c>
      <c r="R3984" s="6">
        <v>0</v>
      </c>
      <c r="S3984" s="6">
        <v>105</v>
      </c>
    </row>
    <row r="3985" spans="1:19" ht="15" hidden="1" x14ac:dyDescent="0.25">
      <c r="A3985" s="7" t="s">
        <v>16</v>
      </c>
      <c r="B3985" s="7" t="s">
        <v>372</v>
      </c>
      <c r="C3985" s="7" t="s">
        <v>373</v>
      </c>
      <c r="D3985" s="4">
        <v>81715716000410</v>
      </c>
      <c r="E3985" s="8" t="s">
        <v>1003</v>
      </c>
      <c r="F3985" s="8" t="s">
        <v>1004</v>
      </c>
      <c r="G3985" s="8" t="s">
        <v>57</v>
      </c>
      <c r="H3985" s="8" t="s">
        <v>215</v>
      </c>
      <c r="I3985" s="3">
        <v>2</v>
      </c>
      <c r="J3985" s="8" t="s">
        <v>175</v>
      </c>
      <c r="K3985" s="8" t="s">
        <v>176</v>
      </c>
      <c r="L3985" s="8" t="s">
        <v>556</v>
      </c>
      <c r="M3985" s="1" t="s">
        <v>205</v>
      </c>
      <c r="N3985" s="8" t="s">
        <v>206</v>
      </c>
      <c r="O3985" s="6">
        <v>0</v>
      </c>
      <c r="P3985" s="6">
        <v>0</v>
      </c>
      <c r="Q3985" s="6">
        <v>0</v>
      </c>
      <c r="R3985" s="6">
        <v>0</v>
      </c>
      <c r="S3985" s="6">
        <v>240</v>
      </c>
    </row>
    <row r="3986" spans="1:19" ht="15" hidden="1" x14ac:dyDescent="0.25">
      <c r="A3986" s="7" t="s">
        <v>16</v>
      </c>
      <c r="B3986" s="7" t="s">
        <v>372</v>
      </c>
      <c r="C3986" s="7" t="s">
        <v>373</v>
      </c>
      <c r="D3986" s="4">
        <v>81715716000410</v>
      </c>
      <c r="E3986" s="8" t="s">
        <v>1003</v>
      </c>
      <c r="F3986" s="8" t="s">
        <v>1004</v>
      </c>
      <c r="G3986" s="8" t="s">
        <v>57</v>
      </c>
      <c r="H3986" s="8" t="s">
        <v>215</v>
      </c>
      <c r="I3986" s="3">
        <v>2</v>
      </c>
      <c r="J3986" s="8" t="s">
        <v>157</v>
      </c>
      <c r="K3986" s="8" t="s">
        <v>158</v>
      </c>
      <c r="L3986" s="8" t="s">
        <v>557</v>
      </c>
      <c r="M3986" s="1" t="s">
        <v>205</v>
      </c>
      <c r="N3986" s="8" t="s">
        <v>206</v>
      </c>
      <c r="O3986" s="6">
        <v>0</v>
      </c>
      <c r="P3986" s="6">
        <v>0</v>
      </c>
      <c r="Q3986" s="6">
        <v>0</v>
      </c>
      <c r="R3986" s="6">
        <v>0</v>
      </c>
      <c r="S3986" s="6">
        <v>240</v>
      </c>
    </row>
    <row r="3987" spans="1:19" ht="15" hidden="1" x14ac:dyDescent="0.25">
      <c r="A3987" s="7" t="s">
        <v>16</v>
      </c>
      <c r="B3987" s="7" t="s">
        <v>372</v>
      </c>
      <c r="C3987" s="7" t="s">
        <v>373</v>
      </c>
      <c r="D3987" s="4">
        <v>21998635000108</v>
      </c>
      <c r="E3987" s="8" t="s">
        <v>971</v>
      </c>
      <c r="F3987" s="8" t="s">
        <v>112</v>
      </c>
      <c r="G3987" s="8" t="s">
        <v>57</v>
      </c>
      <c r="H3987" s="8" t="s">
        <v>215</v>
      </c>
      <c r="I3987" s="3">
        <v>2</v>
      </c>
      <c r="J3987" s="8" t="s">
        <v>175</v>
      </c>
      <c r="K3987" s="8" t="s">
        <v>176</v>
      </c>
      <c r="L3987" s="8" t="s">
        <v>556</v>
      </c>
      <c r="M3987" s="1" t="s">
        <v>205</v>
      </c>
      <c r="N3987" s="8" t="s">
        <v>206</v>
      </c>
      <c r="O3987" s="6">
        <v>0</v>
      </c>
      <c r="P3987" s="6">
        <v>0</v>
      </c>
      <c r="Q3987" s="6">
        <v>0</v>
      </c>
      <c r="R3987" s="6">
        <v>0</v>
      </c>
      <c r="S3987" s="6">
        <v>20</v>
      </c>
    </row>
    <row r="3988" spans="1:19" ht="15" hidden="1" x14ac:dyDescent="0.25">
      <c r="A3988" s="7" t="s">
        <v>16</v>
      </c>
      <c r="B3988" s="7" t="s">
        <v>372</v>
      </c>
      <c r="C3988" s="7" t="s">
        <v>373</v>
      </c>
      <c r="D3988" s="4">
        <v>21998635000108</v>
      </c>
      <c r="E3988" s="8" t="s">
        <v>971</v>
      </c>
      <c r="F3988" s="8" t="s">
        <v>112</v>
      </c>
      <c r="G3988" s="8" t="s">
        <v>57</v>
      </c>
      <c r="H3988" s="8" t="s">
        <v>215</v>
      </c>
      <c r="I3988" s="3">
        <v>2</v>
      </c>
      <c r="J3988" s="8" t="s">
        <v>157</v>
      </c>
      <c r="K3988" s="8" t="s">
        <v>158</v>
      </c>
      <c r="L3988" s="8" t="s">
        <v>557</v>
      </c>
      <c r="M3988" s="1" t="s">
        <v>205</v>
      </c>
      <c r="N3988" s="8" t="s">
        <v>206</v>
      </c>
      <c r="O3988" s="6">
        <v>0</v>
      </c>
      <c r="P3988" s="6">
        <v>0</v>
      </c>
      <c r="Q3988" s="6">
        <v>0</v>
      </c>
      <c r="R3988" s="6">
        <v>0</v>
      </c>
      <c r="S3988" s="6">
        <v>20</v>
      </c>
    </row>
    <row r="3989" spans="1:19" ht="15" hidden="1" x14ac:dyDescent="0.25">
      <c r="A3989" s="7" t="s">
        <v>16</v>
      </c>
      <c r="B3989" s="7" t="s">
        <v>372</v>
      </c>
      <c r="C3989" s="7" t="s">
        <v>373</v>
      </c>
      <c r="D3989" s="4">
        <v>76081892000164</v>
      </c>
      <c r="E3989" s="8" t="s">
        <v>1347</v>
      </c>
      <c r="F3989" s="8" t="s">
        <v>112</v>
      </c>
      <c r="G3989" s="8" t="s">
        <v>57</v>
      </c>
      <c r="H3989" s="8" t="s">
        <v>215</v>
      </c>
      <c r="I3989" s="3">
        <v>2</v>
      </c>
      <c r="J3989" s="8" t="s">
        <v>175</v>
      </c>
      <c r="K3989" s="8" t="s">
        <v>176</v>
      </c>
      <c r="L3989" s="8" t="s">
        <v>556</v>
      </c>
      <c r="M3989" s="1" t="s">
        <v>205</v>
      </c>
      <c r="N3989" s="8" t="s">
        <v>206</v>
      </c>
      <c r="O3989" s="6">
        <v>0</v>
      </c>
      <c r="P3989" s="6">
        <v>0</v>
      </c>
      <c r="Q3989" s="6">
        <v>0</v>
      </c>
      <c r="R3989" s="6">
        <v>0</v>
      </c>
      <c r="S3989" s="6">
        <v>130</v>
      </c>
    </row>
    <row r="3990" spans="1:19" ht="15" hidden="1" x14ac:dyDescent="0.25">
      <c r="A3990" s="7" t="s">
        <v>16</v>
      </c>
      <c r="B3990" s="7" t="s">
        <v>372</v>
      </c>
      <c r="C3990" s="7" t="s">
        <v>373</v>
      </c>
      <c r="D3990" s="4">
        <v>76081892000164</v>
      </c>
      <c r="E3990" s="8" t="s">
        <v>1347</v>
      </c>
      <c r="F3990" s="8" t="s">
        <v>112</v>
      </c>
      <c r="G3990" s="8" t="s">
        <v>57</v>
      </c>
      <c r="H3990" s="8" t="s">
        <v>215</v>
      </c>
      <c r="I3990" s="3">
        <v>2</v>
      </c>
      <c r="J3990" s="8" t="s">
        <v>157</v>
      </c>
      <c r="K3990" s="8" t="s">
        <v>158</v>
      </c>
      <c r="L3990" s="8" t="s">
        <v>557</v>
      </c>
      <c r="M3990" s="1" t="s">
        <v>205</v>
      </c>
      <c r="N3990" s="8" t="s">
        <v>206</v>
      </c>
      <c r="O3990" s="6">
        <v>0</v>
      </c>
      <c r="P3990" s="6">
        <v>0</v>
      </c>
      <c r="Q3990" s="6">
        <v>0</v>
      </c>
      <c r="R3990" s="6">
        <v>0</v>
      </c>
      <c r="S3990" s="6">
        <v>130</v>
      </c>
    </row>
    <row r="3991" spans="1:19" ht="15" hidden="1" x14ac:dyDescent="0.25">
      <c r="A3991" s="7" t="s">
        <v>16</v>
      </c>
      <c r="B3991" s="7" t="s">
        <v>372</v>
      </c>
      <c r="C3991" s="7" t="s">
        <v>373</v>
      </c>
      <c r="D3991" s="4">
        <v>81270548000153</v>
      </c>
      <c r="E3991" s="8" t="s">
        <v>1002</v>
      </c>
      <c r="F3991" s="8" t="s">
        <v>112</v>
      </c>
      <c r="G3991" s="8" t="s">
        <v>57</v>
      </c>
      <c r="H3991" s="8" t="s">
        <v>215</v>
      </c>
      <c r="I3991" s="3">
        <v>2</v>
      </c>
      <c r="J3991" s="8" t="s">
        <v>175</v>
      </c>
      <c r="K3991" s="8" t="s">
        <v>176</v>
      </c>
      <c r="L3991" s="8" t="s">
        <v>556</v>
      </c>
      <c r="M3991" s="1" t="s">
        <v>205</v>
      </c>
      <c r="N3991" s="8" t="s">
        <v>206</v>
      </c>
      <c r="O3991" s="6">
        <v>0</v>
      </c>
      <c r="P3991" s="6">
        <v>0</v>
      </c>
      <c r="Q3991" s="6">
        <v>0</v>
      </c>
      <c r="R3991" s="6">
        <v>0</v>
      </c>
      <c r="S3991" s="6">
        <v>0</v>
      </c>
    </row>
    <row r="3992" spans="1:19" ht="15" hidden="1" x14ac:dyDescent="0.25">
      <c r="A3992" s="7" t="s">
        <v>16</v>
      </c>
      <c r="B3992" s="7" t="s">
        <v>372</v>
      </c>
      <c r="C3992" s="7" t="s">
        <v>373</v>
      </c>
      <c r="D3992" s="4">
        <v>81270548000153</v>
      </c>
      <c r="E3992" s="8" t="s">
        <v>1002</v>
      </c>
      <c r="F3992" s="8" t="s">
        <v>112</v>
      </c>
      <c r="G3992" s="8" t="s">
        <v>57</v>
      </c>
      <c r="H3992" s="8" t="s">
        <v>215</v>
      </c>
      <c r="I3992" s="3">
        <v>2</v>
      </c>
      <c r="J3992" s="8" t="s">
        <v>157</v>
      </c>
      <c r="K3992" s="8" t="s">
        <v>158</v>
      </c>
      <c r="L3992" s="8" t="s">
        <v>557</v>
      </c>
      <c r="M3992" s="1" t="s">
        <v>205</v>
      </c>
      <c r="N3992" s="8" t="s">
        <v>206</v>
      </c>
      <c r="O3992" s="6">
        <v>0</v>
      </c>
      <c r="P3992" s="6">
        <v>0</v>
      </c>
      <c r="Q3992" s="6">
        <v>5</v>
      </c>
      <c r="R3992" s="6">
        <v>0</v>
      </c>
      <c r="S3992" s="6">
        <v>0</v>
      </c>
    </row>
    <row r="3993" spans="1:19" ht="15" hidden="1" x14ac:dyDescent="0.25">
      <c r="A3993" s="7" t="s">
        <v>16</v>
      </c>
      <c r="B3993" s="7" t="s">
        <v>372</v>
      </c>
      <c r="C3993" s="7" t="s">
        <v>373</v>
      </c>
      <c r="D3993" s="4">
        <v>81733115000197</v>
      </c>
      <c r="E3993" s="8" t="s">
        <v>1005</v>
      </c>
      <c r="F3993" s="8" t="s">
        <v>1006</v>
      </c>
      <c r="G3993" s="8" t="s">
        <v>57</v>
      </c>
      <c r="H3993" s="8" t="s">
        <v>215</v>
      </c>
      <c r="I3993" s="3">
        <v>2</v>
      </c>
      <c r="J3993" s="8" t="s">
        <v>175</v>
      </c>
      <c r="K3993" s="8" t="s">
        <v>176</v>
      </c>
      <c r="L3993" s="8" t="s">
        <v>556</v>
      </c>
      <c r="M3993" s="1" t="s">
        <v>205</v>
      </c>
      <c r="N3993" s="8" t="s">
        <v>206</v>
      </c>
      <c r="O3993" s="6">
        <v>0</v>
      </c>
      <c r="P3993" s="6">
        <v>0</v>
      </c>
      <c r="Q3993" s="6">
        <v>0</v>
      </c>
      <c r="R3993" s="6">
        <v>0</v>
      </c>
      <c r="S3993" s="6">
        <v>60</v>
      </c>
    </row>
    <row r="3994" spans="1:19" ht="15" hidden="1" x14ac:dyDescent="0.25">
      <c r="A3994" s="7" t="s">
        <v>16</v>
      </c>
      <c r="B3994" s="7" t="s">
        <v>372</v>
      </c>
      <c r="C3994" s="7" t="s">
        <v>373</v>
      </c>
      <c r="D3994" s="4">
        <v>81733115000197</v>
      </c>
      <c r="E3994" s="8" t="s">
        <v>1005</v>
      </c>
      <c r="F3994" s="8" t="s">
        <v>1006</v>
      </c>
      <c r="G3994" s="8" t="s">
        <v>57</v>
      </c>
      <c r="H3994" s="8" t="s">
        <v>215</v>
      </c>
      <c r="I3994" s="3">
        <v>2</v>
      </c>
      <c r="J3994" s="8" t="s">
        <v>157</v>
      </c>
      <c r="K3994" s="8" t="s">
        <v>158</v>
      </c>
      <c r="L3994" s="8" t="s">
        <v>557</v>
      </c>
      <c r="M3994" s="1" t="s">
        <v>205</v>
      </c>
      <c r="N3994" s="8" t="s">
        <v>206</v>
      </c>
      <c r="O3994" s="6">
        <v>0</v>
      </c>
      <c r="P3994" s="6">
        <v>0</v>
      </c>
      <c r="Q3994" s="6">
        <v>0</v>
      </c>
      <c r="R3994" s="6">
        <v>0</v>
      </c>
      <c r="S3994" s="6">
        <v>60</v>
      </c>
    </row>
    <row r="3995" spans="1:19" ht="15" hidden="1" x14ac:dyDescent="0.25">
      <c r="A3995" s="7" t="s">
        <v>16</v>
      </c>
      <c r="B3995" s="7" t="s">
        <v>372</v>
      </c>
      <c r="C3995" s="7" t="s">
        <v>373</v>
      </c>
      <c r="D3995" s="4">
        <v>7734165000136</v>
      </c>
      <c r="E3995" s="8" t="s">
        <v>954</v>
      </c>
      <c r="F3995" s="8" t="s">
        <v>94</v>
      </c>
      <c r="G3995" s="8" t="s">
        <v>57</v>
      </c>
      <c r="H3995" s="8" t="s">
        <v>215</v>
      </c>
      <c r="I3995" s="3">
        <v>2</v>
      </c>
      <c r="J3995" s="8" t="s">
        <v>175</v>
      </c>
      <c r="K3995" s="8" t="s">
        <v>176</v>
      </c>
      <c r="L3995" s="8" t="s">
        <v>556</v>
      </c>
      <c r="M3995" s="1" t="s">
        <v>205</v>
      </c>
      <c r="N3995" s="8" t="s">
        <v>206</v>
      </c>
      <c r="O3995" s="6">
        <v>0</v>
      </c>
      <c r="P3995" s="6">
        <v>0</v>
      </c>
      <c r="Q3995" s="6">
        <v>0</v>
      </c>
      <c r="R3995" s="6">
        <v>88</v>
      </c>
      <c r="S3995" s="6">
        <v>2965</v>
      </c>
    </row>
    <row r="3996" spans="1:19" ht="15" hidden="1" x14ac:dyDescent="0.25">
      <c r="A3996" s="7" t="s">
        <v>16</v>
      </c>
      <c r="B3996" s="7" t="s">
        <v>372</v>
      </c>
      <c r="C3996" s="7" t="s">
        <v>373</v>
      </c>
      <c r="D3996" s="4">
        <v>7734165000136</v>
      </c>
      <c r="E3996" s="8" t="s">
        <v>954</v>
      </c>
      <c r="F3996" s="8" t="s">
        <v>94</v>
      </c>
      <c r="G3996" s="8" t="s">
        <v>57</v>
      </c>
      <c r="H3996" s="8" t="s">
        <v>215</v>
      </c>
      <c r="I3996" s="3">
        <v>2</v>
      </c>
      <c r="J3996" s="8" t="s">
        <v>157</v>
      </c>
      <c r="K3996" s="8" t="s">
        <v>158</v>
      </c>
      <c r="L3996" s="8" t="s">
        <v>557</v>
      </c>
      <c r="M3996" s="1" t="s">
        <v>205</v>
      </c>
      <c r="N3996" s="8" t="s">
        <v>206</v>
      </c>
      <c r="O3996" s="6">
        <v>0</v>
      </c>
      <c r="P3996" s="6">
        <v>0</v>
      </c>
      <c r="Q3996" s="6">
        <v>0</v>
      </c>
      <c r="R3996" s="6">
        <v>0</v>
      </c>
      <c r="S3996" s="6">
        <v>2965</v>
      </c>
    </row>
    <row r="3997" spans="1:19" ht="15" hidden="1" x14ac:dyDescent="0.25">
      <c r="A3997" s="7" t="s">
        <v>16</v>
      </c>
      <c r="B3997" s="7" t="s">
        <v>372</v>
      </c>
      <c r="C3997" s="7" t="s">
        <v>373</v>
      </c>
      <c r="D3997" s="4">
        <v>7404052000172</v>
      </c>
      <c r="E3997" s="8" t="s">
        <v>953</v>
      </c>
      <c r="F3997" s="8" t="s">
        <v>94</v>
      </c>
      <c r="G3997" s="8" t="s">
        <v>57</v>
      </c>
      <c r="H3997" s="8" t="s">
        <v>215</v>
      </c>
      <c r="I3997" s="3">
        <v>2</v>
      </c>
      <c r="J3997" s="8" t="s">
        <v>175</v>
      </c>
      <c r="K3997" s="8" t="s">
        <v>176</v>
      </c>
      <c r="L3997" s="8" t="s">
        <v>556</v>
      </c>
      <c r="M3997" s="1" t="s">
        <v>205</v>
      </c>
      <c r="N3997" s="8" t="s">
        <v>206</v>
      </c>
      <c r="O3997" s="6">
        <v>0</v>
      </c>
      <c r="P3997" s="6">
        <v>0</v>
      </c>
      <c r="Q3997" s="6">
        <v>0</v>
      </c>
      <c r="R3997" s="6">
        <v>0</v>
      </c>
      <c r="S3997" s="6">
        <v>245</v>
      </c>
    </row>
    <row r="3998" spans="1:19" ht="15" hidden="1" x14ac:dyDescent="0.25">
      <c r="A3998" s="7" t="s">
        <v>16</v>
      </c>
      <c r="B3998" s="7" t="s">
        <v>372</v>
      </c>
      <c r="C3998" s="7" t="s">
        <v>373</v>
      </c>
      <c r="D3998" s="4">
        <v>7404052000172</v>
      </c>
      <c r="E3998" s="8" t="s">
        <v>953</v>
      </c>
      <c r="F3998" s="8" t="s">
        <v>94</v>
      </c>
      <c r="G3998" s="8" t="s">
        <v>57</v>
      </c>
      <c r="H3998" s="8" t="s">
        <v>215</v>
      </c>
      <c r="I3998" s="3">
        <v>2</v>
      </c>
      <c r="J3998" s="8" t="s">
        <v>157</v>
      </c>
      <c r="K3998" s="8" t="s">
        <v>158</v>
      </c>
      <c r="L3998" s="8" t="s">
        <v>557</v>
      </c>
      <c r="M3998" s="1" t="s">
        <v>205</v>
      </c>
      <c r="N3998" s="8" t="s">
        <v>206</v>
      </c>
      <c r="O3998" s="6">
        <v>0</v>
      </c>
      <c r="P3998" s="6">
        <v>0</v>
      </c>
      <c r="Q3998" s="6">
        <v>0</v>
      </c>
      <c r="R3998" s="6">
        <v>0</v>
      </c>
      <c r="S3998" s="6">
        <v>245</v>
      </c>
    </row>
    <row r="3999" spans="1:19" ht="15" hidden="1" x14ac:dyDescent="0.25">
      <c r="A3999" s="7" t="s">
        <v>16</v>
      </c>
      <c r="B3999" s="7" t="s">
        <v>372</v>
      </c>
      <c r="C3999" s="7" t="s">
        <v>373</v>
      </c>
      <c r="D3999" s="4">
        <v>8580014000133</v>
      </c>
      <c r="E3999" s="8" t="s">
        <v>1454</v>
      </c>
      <c r="F3999" s="8" t="s">
        <v>94</v>
      </c>
      <c r="G3999" s="8" t="s">
        <v>57</v>
      </c>
      <c r="H3999" s="8" t="s">
        <v>1334</v>
      </c>
      <c r="I3999" s="3">
        <v>0</v>
      </c>
      <c r="J3999" s="8"/>
      <c r="K3999" s="8"/>
      <c r="L3999" s="8"/>
      <c r="M3999" s="1"/>
      <c r="N3999" s="8"/>
      <c r="O3999" s="6">
        <v>0</v>
      </c>
      <c r="P3999" s="6">
        <v>0</v>
      </c>
      <c r="Q3999" s="6">
        <v>0</v>
      </c>
      <c r="R3999" s="6">
        <v>0</v>
      </c>
      <c r="S3999" s="6">
        <v>0</v>
      </c>
    </row>
    <row r="4000" spans="1:19" ht="15" hidden="1" x14ac:dyDescent="0.25">
      <c r="A4000" s="7" t="s">
        <v>16</v>
      </c>
      <c r="B4000" s="7" t="s">
        <v>372</v>
      </c>
      <c r="C4000" s="7" t="s">
        <v>373</v>
      </c>
      <c r="D4000" s="4">
        <v>942063000167</v>
      </c>
      <c r="E4000" s="8" t="s">
        <v>934</v>
      </c>
      <c r="F4000" s="8" t="s">
        <v>94</v>
      </c>
      <c r="G4000" s="8" t="s">
        <v>57</v>
      </c>
      <c r="H4000" s="8" t="s">
        <v>215</v>
      </c>
      <c r="I4000" s="3">
        <v>2</v>
      </c>
      <c r="J4000" s="8" t="s">
        <v>175</v>
      </c>
      <c r="K4000" s="8" t="s">
        <v>176</v>
      </c>
      <c r="L4000" s="8" t="s">
        <v>556</v>
      </c>
      <c r="M4000" s="1" t="s">
        <v>205</v>
      </c>
      <c r="N4000" s="8" t="s">
        <v>206</v>
      </c>
      <c r="O4000" s="6">
        <v>0</v>
      </c>
      <c r="P4000" s="6">
        <v>0</v>
      </c>
      <c r="Q4000" s="6">
        <v>0</v>
      </c>
      <c r="R4000" s="6">
        <v>0</v>
      </c>
      <c r="S4000" s="6">
        <v>800</v>
      </c>
    </row>
    <row r="4001" spans="1:19" ht="15" hidden="1" x14ac:dyDescent="0.25">
      <c r="A4001" s="7" t="s">
        <v>16</v>
      </c>
      <c r="B4001" s="7" t="s">
        <v>372</v>
      </c>
      <c r="C4001" s="7" t="s">
        <v>373</v>
      </c>
      <c r="D4001" s="4">
        <v>942063000167</v>
      </c>
      <c r="E4001" s="8" t="s">
        <v>934</v>
      </c>
      <c r="F4001" s="8" t="s">
        <v>94</v>
      </c>
      <c r="G4001" s="8" t="s">
        <v>57</v>
      </c>
      <c r="H4001" s="8" t="s">
        <v>215</v>
      </c>
      <c r="I4001" s="3">
        <v>2</v>
      </c>
      <c r="J4001" s="8" t="s">
        <v>157</v>
      </c>
      <c r="K4001" s="8" t="s">
        <v>158</v>
      </c>
      <c r="L4001" s="8" t="s">
        <v>557</v>
      </c>
      <c r="M4001" s="1" t="s">
        <v>205</v>
      </c>
      <c r="N4001" s="8" t="s">
        <v>206</v>
      </c>
      <c r="O4001" s="6">
        <v>0</v>
      </c>
      <c r="P4001" s="6">
        <v>0</v>
      </c>
      <c r="Q4001" s="6">
        <v>0</v>
      </c>
      <c r="R4001" s="6">
        <v>0</v>
      </c>
      <c r="S4001" s="6">
        <v>800</v>
      </c>
    </row>
    <row r="4002" spans="1:19" ht="15" hidden="1" x14ac:dyDescent="0.25">
      <c r="A4002" s="7" t="s">
        <v>16</v>
      </c>
      <c r="B4002" s="7" t="s">
        <v>372</v>
      </c>
      <c r="C4002" s="7" t="s">
        <v>373</v>
      </c>
      <c r="D4002" s="4">
        <v>9579964000291</v>
      </c>
      <c r="E4002" s="8" t="s">
        <v>961</v>
      </c>
      <c r="F4002" s="8" t="s">
        <v>94</v>
      </c>
      <c r="G4002" s="8" t="s">
        <v>57</v>
      </c>
      <c r="H4002" s="8" t="s">
        <v>215</v>
      </c>
      <c r="I4002" s="3">
        <v>2</v>
      </c>
      <c r="J4002" s="8" t="s">
        <v>175</v>
      </c>
      <c r="K4002" s="8" t="s">
        <v>176</v>
      </c>
      <c r="L4002" s="8" t="s">
        <v>556</v>
      </c>
      <c r="M4002" s="1" t="s">
        <v>205</v>
      </c>
      <c r="N4002" s="8" t="s">
        <v>206</v>
      </c>
      <c r="O4002" s="6">
        <v>0</v>
      </c>
      <c r="P4002" s="6">
        <v>0</v>
      </c>
      <c r="Q4002" s="6">
        <v>0</v>
      </c>
      <c r="R4002" s="6">
        <v>0</v>
      </c>
      <c r="S4002" s="6">
        <v>855</v>
      </c>
    </row>
    <row r="4003" spans="1:19" ht="15" hidden="1" x14ac:dyDescent="0.25">
      <c r="A4003" s="7" t="s">
        <v>16</v>
      </c>
      <c r="B4003" s="7" t="s">
        <v>372</v>
      </c>
      <c r="C4003" s="7" t="s">
        <v>373</v>
      </c>
      <c r="D4003" s="4">
        <v>9579964000291</v>
      </c>
      <c r="E4003" s="8" t="s">
        <v>961</v>
      </c>
      <c r="F4003" s="8" t="s">
        <v>94</v>
      </c>
      <c r="G4003" s="8" t="s">
        <v>57</v>
      </c>
      <c r="H4003" s="8" t="s">
        <v>215</v>
      </c>
      <c r="I4003" s="3">
        <v>2</v>
      </c>
      <c r="J4003" s="8" t="s">
        <v>157</v>
      </c>
      <c r="K4003" s="8" t="s">
        <v>158</v>
      </c>
      <c r="L4003" s="8" t="s">
        <v>557</v>
      </c>
      <c r="M4003" s="1" t="s">
        <v>205</v>
      </c>
      <c r="N4003" s="8" t="s">
        <v>206</v>
      </c>
      <c r="O4003" s="6">
        <v>0</v>
      </c>
      <c r="P4003" s="6">
        <v>0</v>
      </c>
      <c r="Q4003" s="6">
        <v>0</v>
      </c>
      <c r="R4003" s="6">
        <v>0</v>
      </c>
      <c r="S4003" s="6">
        <v>855</v>
      </c>
    </row>
    <row r="4004" spans="1:19" ht="15" hidden="1" x14ac:dyDescent="0.25">
      <c r="A4004" s="7" t="s">
        <v>16</v>
      </c>
      <c r="B4004" s="7" t="s">
        <v>372</v>
      </c>
      <c r="C4004" s="7" t="s">
        <v>373</v>
      </c>
      <c r="D4004" s="4">
        <v>76591569000130</v>
      </c>
      <c r="E4004" s="8" t="s">
        <v>985</v>
      </c>
      <c r="F4004" s="8" t="s">
        <v>94</v>
      </c>
      <c r="G4004" s="8" t="s">
        <v>57</v>
      </c>
      <c r="H4004" s="8" t="s">
        <v>215</v>
      </c>
      <c r="I4004" s="3">
        <v>2</v>
      </c>
      <c r="J4004" s="8" t="s">
        <v>175</v>
      </c>
      <c r="K4004" s="8" t="s">
        <v>176</v>
      </c>
      <c r="L4004" s="8" t="s">
        <v>556</v>
      </c>
      <c r="M4004" s="1" t="s">
        <v>205</v>
      </c>
      <c r="N4004" s="8" t="s">
        <v>206</v>
      </c>
      <c r="O4004" s="6">
        <v>0</v>
      </c>
      <c r="P4004" s="6">
        <v>0</v>
      </c>
      <c r="Q4004" s="6">
        <v>0</v>
      </c>
      <c r="R4004" s="6">
        <v>0</v>
      </c>
      <c r="S4004" s="6">
        <v>750</v>
      </c>
    </row>
    <row r="4005" spans="1:19" ht="15" hidden="1" x14ac:dyDescent="0.25">
      <c r="A4005" s="7" t="s">
        <v>16</v>
      </c>
      <c r="B4005" s="7" t="s">
        <v>372</v>
      </c>
      <c r="C4005" s="7" t="s">
        <v>373</v>
      </c>
      <c r="D4005" s="4">
        <v>76591569000130</v>
      </c>
      <c r="E4005" s="8" t="s">
        <v>985</v>
      </c>
      <c r="F4005" s="8" t="s">
        <v>94</v>
      </c>
      <c r="G4005" s="8" t="s">
        <v>57</v>
      </c>
      <c r="H4005" s="8" t="s">
        <v>215</v>
      </c>
      <c r="I4005" s="3">
        <v>2</v>
      </c>
      <c r="J4005" s="8" t="s">
        <v>157</v>
      </c>
      <c r="K4005" s="8" t="s">
        <v>158</v>
      </c>
      <c r="L4005" s="8" t="s">
        <v>557</v>
      </c>
      <c r="M4005" s="1" t="s">
        <v>205</v>
      </c>
      <c r="N4005" s="8" t="s">
        <v>206</v>
      </c>
      <c r="O4005" s="6">
        <v>0</v>
      </c>
      <c r="P4005" s="6">
        <v>0</v>
      </c>
      <c r="Q4005" s="6">
        <v>0</v>
      </c>
      <c r="R4005" s="6">
        <v>0</v>
      </c>
      <c r="S4005" s="6">
        <v>750</v>
      </c>
    </row>
    <row r="4006" spans="1:19" ht="15" hidden="1" x14ac:dyDescent="0.25">
      <c r="A4006" s="7" t="s">
        <v>16</v>
      </c>
      <c r="B4006" s="7" t="s">
        <v>372</v>
      </c>
      <c r="C4006" s="7" t="s">
        <v>373</v>
      </c>
      <c r="D4006" s="4">
        <v>76659820002367</v>
      </c>
      <c r="E4006" s="8" t="s">
        <v>986</v>
      </c>
      <c r="F4006" s="8" t="s">
        <v>94</v>
      </c>
      <c r="G4006" s="8" t="s">
        <v>57</v>
      </c>
      <c r="H4006" s="8" t="s">
        <v>215</v>
      </c>
      <c r="I4006" s="3">
        <v>2</v>
      </c>
      <c r="J4006" s="8" t="s">
        <v>175</v>
      </c>
      <c r="K4006" s="8" t="s">
        <v>176</v>
      </c>
      <c r="L4006" s="8" t="s">
        <v>556</v>
      </c>
      <c r="M4006" s="1" t="s">
        <v>205</v>
      </c>
      <c r="N4006" s="8" t="s">
        <v>206</v>
      </c>
      <c r="O4006" s="6">
        <v>0</v>
      </c>
      <c r="P4006" s="6">
        <v>0</v>
      </c>
      <c r="Q4006" s="6">
        <v>0</v>
      </c>
      <c r="R4006" s="6">
        <v>0</v>
      </c>
      <c r="S4006" s="6">
        <v>90</v>
      </c>
    </row>
    <row r="4007" spans="1:19" ht="15" hidden="1" x14ac:dyDescent="0.25">
      <c r="A4007" s="7" t="s">
        <v>16</v>
      </c>
      <c r="B4007" s="7" t="s">
        <v>372</v>
      </c>
      <c r="C4007" s="7" t="s">
        <v>373</v>
      </c>
      <c r="D4007" s="4">
        <v>76659820002367</v>
      </c>
      <c r="E4007" s="8" t="s">
        <v>986</v>
      </c>
      <c r="F4007" s="8" t="s">
        <v>94</v>
      </c>
      <c r="G4007" s="8" t="s">
        <v>57</v>
      </c>
      <c r="H4007" s="8" t="s">
        <v>215</v>
      </c>
      <c r="I4007" s="3">
        <v>2</v>
      </c>
      <c r="J4007" s="8" t="s">
        <v>157</v>
      </c>
      <c r="K4007" s="8" t="s">
        <v>158</v>
      </c>
      <c r="L4007" s="8" t="s">
        <v>557</v>
      </c>
      <c r="M4007" s="1" t="s">
        <v>205</v>
      </c>
      <c r="N4007" s="8" t="s">
        <v>206</v>
      </c>
      <c r="O4007" s="6">
        <v>0</v>
      </c>
      <c r="P4007" s="6">
        <v>0</v>
      </c>
      <c r="Q4007" s="6">
        <v>0</v>
      </c>
      <c r="R4007" s="6">
        <v>0</v>
      </c>
      <c r="S4007" s="6">
        <v>90</v>
      </c>
    </row>
    <row r="4008" spans="1:19" ht="15" hidden="1" x14ac:dyDescent="0.25">
      <c r="A4008" s="7" t="s">
        <v>16</v>
      </c>
      <c r="B4008" s="7" t="s">
        <v>372</v>
      </c>
      <c r="C4008" s="7" t="s">
        <v>373</v>
      </c>
      <c r="D4008" s="4">
        <v>76555069000143</v>
      </c>
      <c r="E4008" s="8" t="s">
        <v>983</v>
      </c>
      <c r="F4008" s="8" t="s">
        <v>94</v>
      </c>
      <c r="G4008" s="8" t="s">
        <v>57</v>
      </c>
      <c r="H4008" s="8" t="s">
        <v>215</v>
      </c>
      <c r="I4008" s="3">
        <v>2</v>
      </c>
      <c r="J4008" s="8" t="s">
        <v>175</v>
      </c>
      <c r="K4008" s="8" t="s">
        <v>176</v>
      </c>
      <c r="L4008" s="8" t="s">
        <v>556</v>
      </c>
      <c r="M4008" s="1" t="s">
        <v>205</v>
      </c>
      <c r="N4008" s="8" t="s">
        <v>206</v>
      </c>
      <c r="O4008" s="6">
        <v>0</v>
      </c>
      <c r="P4008" s="6">
        <v>0</v>
      </c>
      <c r="Q4008" s="6">
        <v>0</v>
      </c>
      <c r="R4008" s="6">
        <v>0</v>
      </c>
      <c r="S4008" s="6">
        <v>95</v>
      </c>
    </row>
    <row r="4009" spans="1:19" ht="15" hidden="1" x14ac:dyDescent="0.25">
      <c r="A4009" s="7" t="s">
        <v>16</v>
      </c>
      <c r="B4009" s="7" t="s">
        <v>372</v>
      </c>
      <c r="C4009" s="7" t="s">
        <v>373</v>
      </c>
      <c r="D4009" s="4">
        <v>76555069000143</v>
      </c>
      <c r="E4009" s="8" t="s">
        <v>983</v>
      </c>
      <c r="F4009" s="8" t="s">
        <v>94</v>
      </c>
      <c r="G4009" s="8" t="s">
        <v>57</v>
      </c>
      <c r="H4009" s="8" t="s">
        <v>215</v>
      </c>
      <c r="I4009" s="3">
        <v>2</v>
      </c>
      <c r="J4009" s="8" t="s">
        <v>157</v>
      </c>
      <c r="K4009" s="8" t="s">
        <v>158</v>
      </c>
      <c r="L4009" s="8" t="s">
        <v>557</v>
      </c>
      <c r="M4009" s="1" t="s">
        <v>205</v>
      </c>
      <c r="N4009" s="8" t="s">
        <v>206</v>
      </c>
      <c r="O4009" s="6">
        <v>0</v>
      </c>
      <c r="P4009" s="6">
        <v>0</v>
      </c>
      <c r="Q4009" s="6">
        <v>0</v>
      </c>
      <c r="R4009" s="6">
        <v>0</v>
      </c>
      <c r="S4009" s="6">
        <v>95</v>
      </c>
    </row>
    <row r="4010" spans="1:19" ht="15" hidden="1" x14ac:dyDescent="0.25">
      <c r="A4010" s="7" t="s">
        <v>16</v>
      </c>
      <c r="B4010" s="7" t="s">
        <v>372</v>
      </c>
      <c r="C4010" s="7" t="s">
        <v>373</v>
      </c>
      <c r="D4010" s="4">
        <v>29435005005600</v>
      </c>
      <c r="E4010" s="8" t="s">
        <v>974</v>
      </c>
      <c r="F4010" s="8" t="s">
        <v>94</v>
      </c>
      <c r="G4010" s="8" t="s">
        <v>57</v>
      </c>
      <c r="H4010" s="8" t="s">
        <v>215</v>
      </c>
      <c r="I4010" s="3">
        <v>2</v>
      </c>
      <c r="J4010" s="8" t="s">
        <v>175</v>
      </c>
      <c r="K4010" s="8" t="s">
        <v>176</v>
      </c>
      <c r="L4010" s="8" t="s">
        <v>556</v>
      </c>
      <c r="M4010" s="1" t="s">
        <v>205</v>
      </c>
      <c r="N4010" s="8" t="s">
        <v>206</v>
      </c>
      <c r="O4010" s="6">
        <v>0</v>
      </c>
      <c r="P4010" s="6">
        <v>0</v>
      </c>
      <c r="Q4010" s="6">
        <v>0</v>
      </c>
      <c r="R4010" s="6">
        <v>0</v>
      </c>
      <c r="S4010" s="6">
        <v>160</v>
      </c>
    </row>
    <row r="4011" spans="1:19" ht="15" hidden="1" x14ac:dyDescent="0.25">
      <c r="A4011" s="7" t="s">
        <v>16</v>
      </c>
      <c r="B4011" s="7" t="s">
        <v>372</v>
      </c>
      <c r="C4011" s="7" t="s">
        <v>373</v>
      </c>
      <c r="D4011" s="4">
        <v>29435005005600</v>
      </c>
      <c r="E4011" s="8" t="s">
        <v>974</v>
      </c>
      <c r="F4011" s="8" t="s">
        <v>94</v>
      </c>
      <c r="G4011" s="8" t="s">
        <v>57</v>
      </c>
      <c r="H4011" s="8" t="s">
        <v>215</v>
      </c>
      <c r="I4011" s="3">
        <v>2</v>
      </c>
      <c r="J4011" s="8" t="s">
        <v>157</v>
      </c>
      <c r="K4011" s="8" t="s">
        <v>158</v>
      </c>
      <c r="L4011" s="8" t="s">
        <v>557</v>
      </c>
      <c r="M4011" s="1" t="s">
        <v>205</v>
      </c>
      <c r="N4011" s="8" t="s">
        <v>206</v>
      </c>
      <c r="O4011" s="6">
        <v>0</v>
      </c>
      <c r="P4011" s="6">
        <v>0</v>
      </c>
      <c r="Q4011" s="6">
        <v>0</v>
      </c>
      <c r="R4011" s="6">
        <v>0</v>
      </c>
      <c r="S4011" s="6">
        <v>160</v>
      </c>
    </row>
    <row r="4012" spans="1:19" ht="15" hidden="1" x14ac:dyDescent="0.25">
      <c r="A4012" s="7" t="s">
        <v>16</v>
      </c>
      <c r="B4012" s="7" t="s">
        <v>372</v>
      </c>
      <c r="C4012" s="7" t="s">
        <v>373</v>
      </c>
      <c r="D4012" s="4">
        <v>3850913000195</v>
      </c>
      <c r="E4012" s="8" t="s">
        <v>945</v>
      </c>
      <c r="F4012" s="8" t="s">
        <v>94</v>
      </c>
      <c r="G4012" s="8" t="s">
        <v>57</v>
      </c>
      <c r="H4012" s="8" t="s">
        <v>215</v>
      </c>
      <c r="I4012" s="3">
        <v>2</v>
      </c>
      <c r="J4012" s="8" t="s">
        <v>175</v>
      </c>
      <c r="K4012" s="8" t="s">
        <v>176</v>
      </c>
      <c r="L4012" s="8" t="s">
        <v>556</v>
      </c>
      <c r="M4012" s="1" t="s">
        <v>205</v>
      </c>
      <c r="N4012" s="8" t="s">
        <v>206</v>
      </c>
      <c r="O4012" s="6">
        <v>0</v>
      </c>
      <c r="P4012" s="6">
        <v>0</v>
      </c>
      <c r="Q4012" s="6">
        <v>0</v>
      </c>
      <c r="R4012" s="6">
        <v>0</v>
      </c>
      <c r="S4012" s="6">
        <v>630</v>
      </c>
    </row>
    <row r="4013" spans="1:19" ht="15" hidden="1" x14ac:dyDescent="0.25">
      <c r="A4013" s="7" t="s">
        <v>16</v>
      </c>
      <c r="B4013" s="7" t="s">
        <v>372</v>
      </c>
      <c r="C4013" s="7" t="s">
        <v>373</v>
      </c>
      <c r="D4013" s="4">
        <v>3850913000195</v>
      </c>
      <c r="E4013" s="8" t="s">
        <v>945</v>
      </c>
      <c r="F4013" s="8" t="s">
        <v>94</v>
      </c>
      <c r="G4013" s="8" t="s">
        <v>57</v>
      </c>
      <c r="H4013" s="8" t="s">
        <v>215</v>
      </c>
      <c r="I4013" s="3">
        <v>2</v>
      </c>
      <c r="J4013" s="8" t="s">
        <v>157</v>
      </c>
      <c r="K4013" s="8" t="s">
        <v>158</v>
      </c>
      <c r="L4013" s="8" t="s">
        <v>557</v>
      </c>
      <c r="M4013" s="1" t="s">
        <v>205</v>
      </c>
      <c r="N4013" s="8" t="s">
        <v>206</v>
      </c>
      <c r="O4013" s="6">
        <v>0</v>
      </c>
      <c r="P4013" s="6">
        <v>0</v>
      </c>
      <c r="Q4013" s="6">
        <v>0</v>
      </c>
      <c r="R4013" s="6">
        <v>0</v>
      </c>
      <c r="S4013" s="6">
        <v>630</v>
      </c>
    </row>
    <row r="4014" spans="1:19" ht="15" hidden="1" x14ac:dyDescent="0.25">
      <c r="A4014" s="7" t="s">
        <v>16</v>
      </c>
      <c r="B4014" s="7" t="s">
        <v>372</v>
      </c>
      <c r="C4014" s="7" t="s">
        <v>373</v>
      </c>
      <c r="D4014" s="4">
        <v>5503803000182</v>
      </c>
      <c r="E4014" s="8" t="s">
        <v>1400</v>
      </c>
      <c r="F4014" s="8" t="s">
        <v>94</v>
      </c>
      <c r="G4014" s="8" t="s">
        <v>57</v>
      </c>
      <c r="H4014" s="8" t="s">
        <v>215</v>
      </c>
      <c r="I4014" s="3">
        <v>2</v>
      </c>
      <c r="J4014" s="8" t="s">
        <v>175</v>
      </c>
      <c r="K4014" s="8" t="s">
        <v>176</v>
      </c>
      <c r="L4014" s="8" t="s">
        <v>556</v>
      </c>
      <c r="M4014" s="1" t="s">
        <v>205</v>
      </c>
      <c r="N4014" s="8" t="s">
        <v>206</v>
      </c>
      <c r="O4014" s="6">
        <v>0</v>
      </c>
      <c r="P4014" s="6">
        <v>0</v>
      </c>
      <c r="Q4014" s="6">
        <v>0</v>
      </c>
      <c r="R4014" s="6">
        <v>20</v>
      </c>
      <c r="S4014" s="6">
        <v>0</v>
      </c>
    </row>
    <row r="4015" spans="1:19" ht="15" hidden="1" x14ac:dyDescent="0.25">
      <c r="A4015" s="7" t="s">
        <v>16</v>
      </c>
      <c r="B4015" s="7" t="s">
        <v>372</v>
      </c>
      <c r="C4015" s="7" t="s">
        <v>373</v>
      </c>
      <c r="D4015" s="4">
        <v>5503803000182</v>
      </c>
      <c r="E4015" s="8" t="s">
        <v>1400</v>
      </c>
      <c r="F4015" s="8" t="s">
        <v>94</v>
      </c>
      <c r="G4015" s="8" t="s">
        <v>57</v>
      </c>
      <c r="H4015" s="8" t="s">
        <v>215</v>
      </c>
      <c r="I4015" s="3">
        <v>2</v>
      </c>
      <c r="J4015" s="8" t="s">
        <v>157</v>
      </c>
      <c r="K4015" s="8" t="s">
        <v>158</v>
      </c>
      <c r="L4015" s="8" t="s">
        <v>557</v>
      </c>
      <c r="M4015" s="1" t="s">
        <v>205</v>
      </c>
      <c r="N4015" s="8" t="s">
        <v>206</v>
      </c>
      <c r="O4015" s="6">
        <v>0</v>
      </c>
      <c r="P4015" s="6">
        <v>0</v>
      </c>
      <c r="Q4015" s="6">
        <v>0</v>
      </c>
      <c r="R4015" s="6">
        <v>0</v>
      </c>
      <c r="S4015" s="6">
        <v>0</v>
      </c>
    </row>
    <row r="4016" spans="1:19" ht="15" hidden="1" x14ac:dyDescent="0.25">
      <c r="A4016" s="7" t="s">
        <v>16</v>
      </c>
      <c r="B4016" s="7" t="s">
        <v>372</v>
      </c>
      <c r="C4016" s="7" t="s">
        <v>373</v>
      </c>
      <c r="D4016" s="4">
        <v>75055772002254</v>
      </c>
      <c r="E4016" s="8" t="s">
        <v>979</v>
      </c>
      <c r="F4016" s="8" t="s">
        <v>94</v>
      </c>
      <c r="G4016" s="8" t="s">
        <v>57</v>
      </c>
      <c r="H4016" s="8" t="s">
        <v>215</v>
      </c>
      <c r="I4016" s="3">
        <v>2</v>
      </c>
      <c r="J4016" s="8" t="s">
        <v>175</v>
      </c>
      <c r="K4016" s="8" t="s">
        <v>176</v>
      </c>
      <c r="L4016" s="8" t="s">
        <v>556</v>
      </c>
      <c r="M4016" s="1" t="s">
        <v>205</v>
      </c>
      <c r="N4016" s="8" t="s">
        <v>206</v>
      </c>
      <c r="O4016" s="6">
        <v>0</v>
      </c>
      <c r="P4016" s="6">
        <v>0</v>
      </c>
      <c r="Q4016" s="6">
        <v>0</v>
      </c>
      <c r="R4016" s="6">
        <v>0</v>
      </c>
      <c r="S4016" s="6">
        <v>120</v>
      </c>
    </row>
    <row r="4017" spans="1:19" ht="15" hidden="1" x14ac:dyDescent="0.25">
      <c r="A4017" s="7" t="s">
        <v>16</v>
      </c>
      <c r="B4017" s="7" t="s">
        <v>372</v>
      </c>
      <c r="C4017" s="7" t="s">
        <v>373</v>
      </c>
      <c r="D4017" s="4">
        <v>75055772002254</v>
      </c>
      <c r="E4017" s="8" t="s">
        <v>979</v>
      </c>
      <c r="F4017" s="8" t="s">
        <v>94</v>
      </c>
      <c r="G4017" s="8" t="s">
        <v>57</v>
      </c>
      <c r="H4017" s="8" t="s">
        <v>215</v>
      </c>
      <c r="I4017" s="3">
        <v>2</v>
      </c>
      <c r="J4017" s="8" t="s">
        <v>157</v>
      </c>
      <c r="K4017" s="8" t="s">
        <v>158</v>
      </c>
      <c r="L4017" s="8" t="s">
        <v>557</v>
      </c>
      <c r="M4017" s="1" t="s">
        <v>205</v>
      </c>
      <c r="N4017" s="8" t="s">
        <v>206</v>
      </c>
      <c r="O4017" s="6">
        <v>0</v>
      </c>
      <c r="P4017" s="6">
        <v>0</v>
      </c>
      <c r="Q4017" s="6">
        <v>0</v>
      </c>
      <c r="R4017" s="6">
        <v>0</v>
      </c>
      <c r="S4017" s="6">
        <v>120</v>
      </c>
    </row>
    <row r="4018" spans="1:19" ht="15" hidden="1" x14ac:dyDescent="0.25">
      <c r="A4018" s="7" t="s">
        <v>16</v>
      </c>
      <c r="B4018" s="7" t="s">
        <v>372</v>
      </c>
      <c r="C4018" s="7" t="s">
        <v>373</v>
      </c>
      <c r="D4018" s="4">
        <v>304148000110</v>
      </c>
      <c r="E4018" s="8" t="s">
        <v>932</v>
      </c>
      <c r="F4018" s="8" t="s">
        <v>933</v>
      </c>
      <c r="G4018" s="8" t="s">
        <v>57</v>
      </c>
      <c r="H4018" s="8" t="s">
        <v>215</v>
      </c>
      <c r="I4018" s="3">
        <v>2</v>
      </c>
      <c r="J4018" s="8" t="s">
        <v>175</v>
      </c>
      <c r="K4018" s="8" t="s">
        <v>176</v>
      </c>
      <c r="L4018" s="8" t="s">
        <v>556</v>
      </c>
      <c r="M4018" s="1" t="s">
        <v>205</v>
      </c>
      <c r="N4018" s="8" t="s">
        <v>206</v>
      </c>
      <c r="O4018" s="6">
        <v>0</v>
      </c>
      <c r="P4018" s="6">
        <v>0</v>
      </c>
      <c r="Q4018" s="6">
        <v>0</v>
      </c>
      <c r="R4018" s="6">
        <v>28</v>
      </c>
      <c r="S4018" s="6">
        <v>0</v>
      </c>
    </row>
    <row r="4019" spans="1:19" ht="15" hidden="1" x14ac:dyDescent="0.25">
      <c r="A4019" s="7" t="s">
        <v>16</v>
      </c>
      <c r="B4019" s="7" t="s">
        <v>372</v>
      </c>
      <c r="C4019" s="7" t="s">
        <v>373</v>
      </c>
      <c r="D4019" s="4">
        <v>304148000110</v>
      </c>
      <c r="E4019" s="8" t="s">
        <v>932</v>
      </c>
      <c r="F4019" s="8" t="s">
        <v>933</v>
      </c>
      <c r="G4019" s="8" t="s">
        <v>57</v>
      </c>
      <c r="H4019" s="8" t="s">
        <v>215</v>
      </c>
      <c r="I4019" s="3">
        <v>2</v>
      </c>
      <c r="J4019" s="8" t="s">
        <v>157</v>
      </c>
      <c r="K4019" s="8" t="s">
        <v>158</v>
      </c>
      <c r="L4019" s="8" t="s">
        <v>557</v>
      </c>
      <c r="M4019" s="1" t="s">
        <v>205</v>
      </c>
      <c r="N4019" s="8" t="s">
        <v>206</v>
      </c>
      <c r="O4019" s="6">
        <v>0</v>
      </c>
      <c r="P4019" s="6">
        <v>0</v>
      </c>
      <c r="Q4019" s="6">
        <v>0</v>
      </c>
      <c r="R4019" s="6">
        <v>0</v>
      </c>
      <c r="S4019" s="6">
        <v>0</v>
      </c>
    </row>
    <row r="4020" spans="1:19" ht="15" hidden="1" x14ac:dyDescent="0.25">
      <c r="A4020" s="7" t="s">
        <v>16</v>
      </c>
      <c r="B4020" s="7" t="s">
        <v>372</v>
      </c>
      <c r="C4020" s="7" t="s">
        <v>373</v>
      </c>
      <c r="D4020" s="4">
        <v>78633088000176</v>
      </c>
      <c r="E4020" s="8" t="s">
        <v>995</v>
      </c>
      <c r="F4020" s="8" t="s">
        <v>121</v>
      </c>
      <c r="G4020" s="8" t="s">
        <v>57</v>
      </c>
      <c r="H4020" s="8" t="s">
        <v>215</v>
      </c>
      <c r="I4020" s="3">
        <v>2</v>
      </c>
      <c r="J4020" s="8" t="s">
        <v>175</v>
      </c>
      <c r="K4020" s="8" t="s">
        <v>176</v>
      </c>
      <c r="L4020" s="8" t="s">
        <v>556</v>
      </c>
      <c r="M4020" s="1" t="s">
        <v>205</v>
      </c>
      <c r="N4020" s="8" t="s">
        <v>206</v>
      </c>
      <c r="O4020" s="6">
        <v>0</v>
      </c>
      <c r="P4020" s="6">
        <v>0</v>
      </c>
      <c r="Q4020" s="6">
        <v>0</v>
      </c>
      <c r="R4020" s="6">
        <v>0</v>
      </c>
      <c r="S4020" s="6">
        <v>45</v>
      </c>
    </row>
    <row r="4021" spans="1:19" ht="15" hidden="1" x14ac:dyDescent="0.25">
      <c r="A4021" s="7" t="s">
        <v>16</v>
      </c>
      <c r="B4021" s="7" t="s">
        <v>372</v>
      </c>
      <c r="C4021" s="7" t="s">
        <v>373</v>
      </c>
      <c r="D4021" s="4">
        <v>78633088000176</v>
      </c>
      <c r="E4021" s="8" t="s">
        <v>995</v>
      </c>
      <c r="F4021" s="8" t="s">
        <v>121</v>
      </c>
      <c r="G4021" s="8" t="s">
        <v>57</v>
      </c>
      <c r="H4021" s="8" t="s">
        <v>215</v>
      </c>
      <c r="I4021" s="3">
        <v>2</v>
      </c>
      <c r="J4021" s="8" t="s">
        <v>157</v>
      </c>
      <c r="K4021" s="8" t="s">
        <v>158</v>
      </c>
      <c r="L4021" s="8" t="s">
        <v>557</v>
      </c>
      <c r="M4021" s="1" t="s">
        <v>205</v>
      </c>
      <c r="N4021" s="8" t="s">
        <v>206</v>
      </c>
      <c r="O4021" s="6">
        <v>0</v>
      </c>
      <c r="P4021" s="6">
        <v>0</v>
      </c>
      <c r="Q4021" s="6">
        <v>0</v>
      </c>
      <c r="R4021" s="6">
        <v>0</v>
      </c>
      <c r="S4021" s="6">
        <v>45</v>
      </c>
    </row>
    <row r="4022" spans="1:19" ht="15" hidden="1" x14ac:dyDescent="0.25">
      <c r="A4022" s="7" t="s">
        <v>16</v>
      </c>
      <c r="B4022" s="7" t="s">
        <v>372</v>
      </c>
      <c r="C4022" s="7" t="s">
        <v>373</v>
      </c>
      <c r="D4022" s="4">
        <v>78614971000119</v>
      </c>
      <c r="E4022" s="8" t="s">
        <v>994</v>
      </c>
      <c r="F4022" s="8" t="s">
        <v>121</v>
      </c>
      <c r="G4022" s="8" t="s">
        <v>57</v>
      </c>
      <c r="H4022" s="8" t="s">
        <v>215</v>
      </c>
      <c r="I4022" s="3">
        <v>2</v>
      </c>
      <c r="J4022" s="8" t="s">
        <v>175</v>
      </c>
      <c r="K4022" s="8" t="s">
        <v>176</v>
      </c>
      <c r="L4022" s="8" t="s">
        <v>556</v>
      </c>
      <c r="M4022" s="1" t="s">
        <v>205</v>
      </c>
      <c r="N4022" s="8" t="s">
        <v>206</v>
      </c>
      <c r="O4022" s="6">
        <v>0</v>
      </c>
      <c r="P4022" s="6">
        <v>0</v>
      </c>
      <c r="Q4022" s="6">
        <v>0</v>
      </c>
      <c r="R4022" s="6">
        <v>0</v>
      </c>
      <c r="S4022" s="6">
        <v>10</v>
      </c>
    </row>
    <row r="4023" spans="1:19" ht="15" hidden="1" x14ac:dyDescent="0.25">
      <c r="A4023" s="7" t="s">
        <v>16</v>
      </c>
      <c r="B4023" s="7" t="s">
        <v>372</v>
      </c>
      <c r="C4023" s="7" t="s">
        <v>373</v>
      </c>
      <c r="D4023" s="4">
        <v>78614971000119</v>
      </c>
      <c r="E4023" s="8" t="s">
        <v>994</v>
      </c>
      <c r="F4023" s="8" t="s">
        <v>121</v>
      </c>
      <c r="G4023" s="8" t="s">
        <v>57</v>
      </c>
      <c r="H4023" s="8" t="s">
        <v>215</v>
      </c>
      <c r="I4023" s="3">
        <v>2</v>
      </c>
      <c r="J4023" s="8" t="s">
        <v>157</v>
      </c>
      <c r="K4023" s="8" t="s">
        <v>158</v>
      </c>
      <c r="L4023" s="8" t="s">
        <v>557</v>
      </c>
      <c r="M4023" s="1" t="s">
        <v>205</v>
      </c>
      <c r="N4023" s="8" t="s">
        <v>206</v>
      </c>
      <c r="O4023" s="6">
        <v>0</v>
      </c>
      <c r="P4023" s="6">
        <v>0</v>
      </c>
      <c r="Q4023" s="6">
        <v>0</v>
      </c>
      <c r="R4023" s="6">
        <v>0</v>
      </c>
      <c r="S4023" s="6">
        <v>10</v>
      </c>
    </row>
    <row r="4024" spans="1:19" ht="15" hidden="1" x14ac:dyDescent="0.25">
      <c r="A4024" s="7" t="s">
        <v>16</v>
      </c>
      <c r="B4024" s="7" t="s">
        <v>372</v>
      </c>
      <c r="C4024" s="7" t="s">
        <v>373</v>
      </c>
      <c r="D4024" s="4">
        <v>75222224001895</v>
      </c>
      <c r="E4024" s="8" t="s">
        <v>981</v>
      </c>
      <c r="F4024" s="8" t="s">
        <v>121</v>
      </c>
      <c r="G4024" s="8" t="s">
        <v>57</v>
      </c>
      <c r="H4024" s="8" t="s">
        <v>215</v>
      </c>
      <c r="I4024" s="3">
        <v>2</v>
      </c>
      <c r="J4024" s="8" t="s">
        <v>175</v>
      </c>
      <c r="K4024" s="8" t="s">
        <v>176</v>
      </c>
      <c r="L4024" s="8" t="s">
        <v>556</v>
      </c>
      <c r="M4024" s="1" t="s">
        <v>205</v>
      </c>
      <c r="N4024" s="8" t="s">
        <v>206</v>
      </c>
      <c r="O4024" s="6">
        <v>0</v>
      </c>
      <c r="P4024" s="6">
        <v>0</v>
      </c>
      <c r="Q4024" s="6">
        <v>0</v>
      </c>
      <c r="R4024" s="6">
        <v>0</v>
      </c>
      <c r="S4024" s="6">
        <v>950</v>
      </c>
    </row>
    <row r="4025" spans="1:19" ht="15" hidden="1" x14ac:dyDescent="0.25">
      <c r="A4025" s="7" t="s">
        <v>16</v>
      </c>
      <c r="B4025" s="7" t="s">
        <v>372</v>
      </c>
      <c r="C4025" s="7" t="s">
        <v>373</v>
      </c>
      <c r="D4025" s="4">
        <v>75222224001895</v>
      </c>
      <c r="E4025" s="8" t="s">
        <v>981</v>
      </c>
      <c r="F4025" s="8" t="s">
        <v>121</v>
      </c>
      <c r="G4025" s="8" t="s">
        <v>57</v>
      </c>
      <c r="H4025" s="8" t="s">
        <v>215</v>
      </c>
      <c r="I4025" s="3">
        <v>2</v>
      </c>
      <c r="J4025" s="8" t="s">
        <v>157</v>
      </c>
      <c r="K4025" s="8" t="s">
        <v>158</v>
      </c>
      <c r="L4025" s="8" t="s">
        <v>557</v>
      </c>
      <c r="M4025" s="1" t="s">
        <v>205</v>
      </c>
      <c r="N4025" s="8" t="s">
        <v>206</v>
      </c>
      <c r="O4025" s="6">
        <v>0</v>
      </c>
      <c r="P4025" s="6">
        <v>0</v>
      </c>
      <c r="Q4025" s="6">
        <v>0</v>
      </c>
      <c r="R4025" s="6">
        <v>0</v>
      </c>
      <c r="S4025" s="6">
        <v>950</v>
      </c>
    </row>
    <row r="4026" spans="1:19" ht="15" hidden="1" x14ac:dyDescent="0.25">
      <c r="A4026" s="7" t="s">
        <v>16</v>
      </c>
      <c r="B4026" s="7" t="s">
        <v>372</v>
      </c>
      <c r="C4026" s="7" t="s">
        <v>373</v>
      </c>
      <c r="D4026" s="4">
        <v>79115762000193</v>
      </c>
      <c r="E4026" s="8" t="s">
        <v>996</v>
      </c>
      <c r="F4026" s="8" t="s">
        <v>988</v>
      </c>
      <c r="G4026" s="8" t="s">
        <v>57</v>
      </c>
      <c r="H4026" s="8" t="s">
        <v>215</v>
      </c>
      <c r="I4026" s="3">
        <v>2</v>
      </c>
      <c r="J4026" s="8" t="s">
        <v>175</v>
      </c>
      <c r="K4026" s="8" t="s">
        <v>176</v>
      </c>
      <c r="L4026" s="8" t="s">
        <v>556</v>
      </c>
      <c r="M4026" s="1" t="s">
        <v>205</v>
      </c>
      <c r="N4026" s="8" t="s">
        <v>206</v>
      </c>
      <c r="O4026" s="6">
        <v>0</v>
      </c>
      <c r="P4026" s="6">
        <v>0</v>
      </c>
      <c r="Q4026" s="6">
        <v>0</v>
      </c>
      <c r="R4026" s="6">
        <v>0</v>
      </c>
      <c r="S4026" s="6">
        <v>175</v>
      </c>
    </row>
    <row r="4027" spans="1:19" ht="15" hidden="1" x14ac:dyDescent="0.25">
      <c r="A4027" s="7" t="s">
        <v>16</v>
      </c>
      <c r="B4027" s="7" t="s">
        <v>372</v>
      </c>
      <c r="C4027" s="7" t="s">
        <v>373</v>
      </c>
      <c r="D4027" s="4">
        <v>79115762000193</v>
      </c>
      <c r="E4027" s="8" t="s">
        <v>996</v>
      </c>
      <c r="F4027" s="8" t="s">
        <v>988</v>
      </c>
      <c r="G4027" s="8" t="s">
        <v>57</v>
      </c>
      <c r="H4027" s="8" t="s">
        <v>215</v>
      </c>
      <c r="I4027" s="3">
        <v>2</v>
      </c>
      <c r="J4027" s="8" t="s">
        <v>157</v>
      </c>
      <c r="K4027" s="8" t="s">
        <v>158</v>
      </c>
      <c r="L4027" s="8" t="s">
        <v>557</v>
      </c>
      <c r="M4027" s="1" t="s">
        <v>205</v>
      </c>
      <c r="N4027" s="8" t="s">
        <v>206</v>
      </c>
      <c r="O4027" s="6">
        <v>0</v>
      </c>
      <c r="P4027" s="6">
        <v>0</v>
      </c>
      <c r="Q4027" s="6">
        <v>0</v>
      </c>
      <c r="R4027" s="6">
        <v>0</v>
      </c>
      <c r="S4027" s="6">
        <v>175</v>
      </c>
    </row>
    <row r="4028" spans="1:19" ht="15" hidden="1" x14ac:dyDescent="0.25">
      <c r="A4028" s="7" t="s">
        <v>16</v>
      </c>
      <c r="B4028" s="7" t="s">
        <v>372</v>
      </c>
      <c r="C4028" s="7" t="s">
        <v>373</v>
      </c>
      <c r="D4028" s="4">
        <v>855774000102</v>
      </c>
      <c r="E4028" s="8" t="s">
        <v>1440</v>
      </c>
      <c r="F4028" s="8" t="s">
        <v>988</v>
      </c>
      <c r="G4028" s="8" t="s">
        <v>57</v>
      </c>
      <c r="H4028" s="8" t="s">
        <v>1334</v>
      </c>
      <c r="I4028" s="3">
        <v>0</v>
      </c>
      <c r="J4028" s="8"/>
      <c r="K4028" s="8"/>
      <c r="L4028" s="8"/>
      <c r="M4028" s="1"/>
      <c r="N4028" s="8"/>
      <c r="O4028" s="6">
        <v>0</v>
      </c>
      <c r="P4028" s="6">
        <v>0</v>
      </c>
      <c r="Q4028" s="6">
        <v>0</v>
      </c>
      <c r="R4028" s="6">
        <v>0</v>
      </c>
      <c r="S4028" s="6">
        <v>0</v>
      </c>
    </row>
    <row r="4029" spans="1:19" ht="15" hidden="1" x14ac:dyDescent="0.25">
      <c r="A4029" s="7" t="s">
        <v>16</v>
      </c>
      <c r="B4029" s="7" t="s">
        <v>372</v>
      </c>
      <c r="C4029" s="7" t="s">
        <v>373</v>
      </c>
      <c r="D4029" s="4">
        <v>77781706000243</v>
      </c>
      <c r="E4029" s="8" t="s">
        <v>989</v>
      </c>
      <c r="F4029" s="8" t="s">
        <v>990</v>
      </c>
      <c r="G4029" s="8" t="s">
        <v>57</v>
      </c>
      <c r="H4029" s="8" t="s">
        <v>215</v>
      </c>
      <c r="I4029" s="3">
        <v>2</v>
      </c>
      <c r="J4029" s="8" t="s">
        <v>175</v>
      </c>
      <c r="K4029" s="8" t="s">
        <v>176</v>
      </c>
      <c r="L4029" s="8" t="s">
        <v>556</v>
      </c>
      <c r="M4029" s="1" t="s">
        <v>205</v>
      </c>
      <c r="N4029" s="8" t="s">
        <v>206</v>
      </c>
      <c r="O4029" s="6">
        <v>0</v>
      </c>
      <c r="P4029" s="6">
        <v>0</v>
      </c>
      <c r="Q4029" s="6">
        <v>0</v>
      </c>
      <c r="R4029" s="6">
        <v>2</v>
      </c>
      <c r="S4029" s="6">
        <v>0</v>
      </c>
    </row>
    <row r="4030" spans="1:19" ht="15" hidden="1" x14ac:dyDescent="0.25">
      <c r="A4030" s="7" t="s">
        <v>16</v>
      </c>
      <c r="B4030" s="7" t="s">
        <v>372</v>
      </c>
      <c r="C4030" s="7" t="s">
        <v>373</v>
      </c>
      <c r="D4030" s="4">
        <v>77781706000243</v>
      </c>
      <c r="E4030" s="8" t="s">
        <v>989</v>
      </c>
      <c r="F4030" s="8" t="s">
        <v>990</v>
      </c>
      <c r="G4030" s="8" t="s">
        <v>57</v>
      </c>
      <c r="H4030" s="8" t="s">
        <v>215</v>
      </c>
      <c r="I4030" s="3">
        <v>2</v>
      </c>
      <c r="J4030" s="8" t="s">
        <v>157</v>
      </c>
      <c r="K4030" s="8" t="s">
        <v>158</v>
      </c>
      <c r="L4030" s="8" t="s">
        <v>557</v>
      </c>
      <c r="M4030" s="1" t="s">
        <v>205</v>
      </c>
      <c r="N4030" s="8" t="s">
        <v>206</v>
      </c>
      <c r="O4030" s="6">
        <v>0</v>
      </c>
      <c r="P4030" s="6">
        <v>0</v>
      </c>
      <c r="Q4030" s="6">
        <v>0</v>
      </c>
      <c r="R4030" s="6">
        <v>0</v>
      </c>
      <c r="S4030" s="6">
        <v>0</v>
      </c>
    </row>
    <row r="4031" spans="1:19" ht="15" hidden="1" x14ac:dyDescent="0.25">
      <c r="A4031" s="7" t="s">
        <v>16</v>
      </c>
      <c r="B4031" s="7" t="s">
        <v>372</v>
      </c>
      <c r="C4031" s="7" t="s">
        <v>373</v>
      </c>
      <c r="D4031" s="4">
        <v>7794623002257</v>
      </c>
      <c r="E4031" s="8" t="s">
        <v>955</v>
      </c>
      <c r="F4031" s="8" t="s">
        <v>956</v>
      </c>
      <c r="G4031" s="8" t="s">
        <v>57</v>
      </c>
      <c r="H4031" s="8" t="s">
        <v>215</v>
      </c>
      <c r="I4031" s="3">
        <v>2</v>
      </c>
      <c r="J4031" s="8" t="s">
        <v>175</v>
      </c>
      <c r="K4031" s="8" t="s">
        <v>176</v>
      </c>
      <c r="L4031" s="8" t="s">
        <v>556</v>
      </c>
      <c r="M4031" s="1" t="s">
        <v>205</v>
      </c>
      <c r="N4031" s="8" t="s">
        <v>206</v>
      </c>
      <c r="O4031" s="6">
        <v>0</v>
      </c>
      <c r="P4031" s="6">
        <v>0</v>
      </c>
      <c r="Q4031" s="6">
        <v>0</v>
      </c>
      <c r="R4031" s="6">
        <v>0</v>
      </c>
      <c r="S4031" s="6">
        <v>210</v>
      </c>
    </row>
    <row r="4032" spans="1:19" ht="15" hidden="1" x14ac:dyDescent="0.25">
      <c r="A4032" s="7" t="s">
        <v>16</v>
      </c>
      <c r="B4032" s="7" t="s">
        <v>372</v>
      </c>
      <c r="C4032" s="7" t="s">
        <v>373</v>
      </c>
      <c r="D4032" s="4">
        <v>7794623002257</v>
      </c>
      <c r="E4032" s="8" t="s">
        <v>955</v>
      </c>
      <c r="F4032" s="8" t="s">
        <v>956</v>
      </c>
      <c r="G4032" s="8" t="s">
        <v>57</v>
      </c>
      <c r="H4032" s="8" t="s">
        <v>215</v>
      </c>
      <c r="I4032" s="3">
        <v>2</v>
      </c>
      <c r="J4032" s="8" t="s">
        <v>157</v>
      </c>
      <c r="K4032" s="8" t="s">
        <v>158</v>
      </c>
      <c r="L4032" s="8" t="s">
        <v>557</v>
      </c>
      <c r="M4032" s="1" t="s">
        <v>205</v>
      </c>
      <c r="N4032" s="8" t="s">
        <v>206</v>
      </c>
      <c r="O4032" s="6">
        <v>0</v>
      </c>
      <c r="P4032" s="6">
        <v>0</v>
      </c>
      <c r="Q4032" s="6">
        <v>0</v>
      </c>
      <c r="R4032" s="6">
        <v>0</v>
      </c>
      <c r="S4032" s="6">
        <v>210</v>
      </c>
    </row>
    <row r="4033" spans="1:19" ht="15" hidden="1" x14ac:dyDescent="0.25">
      <c r="A4033" s="7" t="s">
        <v>16</v>
      </c>
      <c r="B4033" s="7" t="s">
        <v>372</v>
      </c>
      <c r="C4033" s="7" t="s">
        <v>373</v>
      </c>
      <c r="D4033" s="4">
        <v>30325856000106</v>
      </c>
      <c r="E4033" s="8" t="s">
        <v>1406</v>
      </c>
      <c r="F4033" s="8" t="s">
        <v>1064</v>
      </c>
      <c r="G4033" s="8" t="s">
        <v>61</v>
      </c>
      <c r="H4033" s="8" t="s">
        <v>215</v>
      </c>
      <c r="I4033" s="3">
        <v>2</v>
      </c>
      <c r="J4033" s="8" t="s">
        <v>155</v>
      </c>
      <c r="K4033" s="8" t="s">
        <v>156</v>
      </c>
      <c r="L4033" s="8" t="s">
        <v>556</v>
      </c>
      <c r="M4033" s="1" t="s">
        <v>205</v>
      </c>
      <c r="N4033" s="8" t="s">
        <v>206</v>
      </c>
      <c r="O4033" s="6">
        <v>0</v>
      </c>
      <c r="P4033" s="6">
        <v>0</v>
      </c>
      <c r="Q4033" s="6">
        <v>0</v>
      </c>
      <c r="R4033" s="6">
        <v>0</v>
      </c>
      <c r="S4033" s="6">
        <v>0</v>
      </c>
    </row>
    <row r="4034" spans="1:19" ht="15" hidden="1" x14ac:dyDescent="0.25">
      <c r="A4034" s="7" t="s">
        <v>16</v>
      </c>
      <c r="B4034" s="7" t="s">
        <v>372</v>
      </c>
      <c r="C4034" s="7" t="s">
        <v>373</v>
      </c>
      <c r="D4034" s="4">
        <v>30325856000106</v>
      </c>
      <c r="E4034" s="8" t="s">
        <v>1406</v>
      </c>
      <c r="F4034" s="8" t="s">
        <v>1064</v>
      </c>
      <c r="G4034" s="8" t="s">
        <v>61</v>
      </c>
      <c r="H4034" s="8" t="s">
        <v>215</v>
      </c>
      <c r="I4034" s="3">
        <v>2</v>
      </c>
      <c r="J4034" s="8" t="s">
        <v>181</v>
      </c>
      <c r="K4034" s="8" t="s">
        <v>182</v>
      </c>
      <c r="L4034" s="8" t="s">
        <v>557</v>
      </c>
      <c r="M4034" s="1" t="s">
        <v>205</v>
      </c>
      <c r="N4034" s="8" t="s">
        <v>206</v>
      </c>
      <c r="O4034" s="6">
        <v>0</v>
      </c>
      <c r="P4034" s="6">
        <v>2</v>
      </c>
      <c r="Q4034" s="6">
        <v>0</v>
      </c>
      <c r="R4034" s="6">
        <v>0</v>
      </c>
      <c r="S4034" s="6">
        <v>0</v>
      </c>
    </row>
    <row r="4035" spans="1:19" ht="15" hidden="1" x14ac:dyDescent="0.25">
      <c r="A4035" s="7" t="s">
        <v>16</v>
      </c>
      <c r="B4035" s="7" t="s">
        <v>372</v>
      </c>
      <c r="C4035" s="7" t="s">
        <v>373</v>
      </c>
      <c r="D4035" s="4">
        <v>6047087001372</v>
      </c>
      <c r="E4035" s="8" t="s">
        <v>1041</v>
      </c>
      <c r="F4035" s="8" t="s">
        <v>78</v>
      </c>
      <c r="G4035" s="8" t="s">
        <v>61</v>
      </c>
      <c r="H4035" s="8" t="s">
        <v>215</v>
      </c>
      <c r="I4035" s="3">
        <v>2</v>
      </c>
      <c r="J4035" s="8" t="s">
        <v>155</v>
      </c>
      <c r="K4035" s="8" t="s">
        <v>156</v>
      </c>
      <c r="L4035" s="8" t="s">
        <v>556</v>
      </c>
      <c r="M4035" s="1" t="s">
        <v>205</v>
      </c>
      <c r="N4035" s="8" t="s">
        <v>206</v>
      </c>
      <c r="O4035" s="6">
        <v>0</v>
      </c>
      <c r="P4035" s="6">
        <v>0</v>
      </c>
      <c r="Q4035" s="6">
        <v>0</v>
      </c>
      <c r="R4035" s="6">
        <v>0</v>
      </c>
      <c r="S4035" s="6">
        <v>0</v>
      </c>
    </row>
    <row r="4036" spans="1:19" ht="15" hidden="1" x14ac:dyDescent="0.25">
      <c r="A4036" s="7" t="s">
        <v>16</v>
      </c>
      <c r="B4036" s="7" t="s">
        <v>372</v>
      </c>
      <c r="C4036" s="7" t="s">
        <v>373</v>
      </c>
      <c r="D4036" s="4">
        <v>6047087001372</v>
      </c>
      <c r="E4036" s="8" t="s">
        <v>1041</v>
      </c>
      <c r="F4036" s="8" t="s">
        <v>78</v>
      </c>
      <c r="G4036" s="8" t="s">
        <v>61</v>
      </c>
      <c r="H4036" s="8" t="s">
        <v>215</v>
      </c>
      <c r="I4036" s="3">
        <v>2</v>
      </c>
      <c r="J4036" s="8" t="s">
        <v>181</v>
      </c>
      <c r="K4036" s="8" t="s">
        <v>182</v>
      </c>
      <c r="L4036" s="8" t="s">
        <v>557</v>
      </c>
      <c r="M4036" s="1" t="s">
        <v>205</v>
      </c>
      <c r="N4036" s="8" t="s">
        <v>206</v>
      </c>
      <c r="O4036" s="6">
        <v>0</v>
      </c>
      <c r="P4036" s="6">
        <v>8</v>
      </c>
      <c r="Q4036" s="6">
        <v>2</v>
      </c>
      <c r="R4036" s="6">
        <v>0</v>
      </c>
      <c r="S4036" s="6">
        <v>0</v>
      </c>
    </row>
    <row r="4037" spans="1:19" ht="15" hidden="1" x14ac:dyDescent="0.25">
      <c r="A4037" s="7" t="s">
        <v>16</v>
      </c>
      <c r="B4037" s="7" t="s">
        <v>372</v>
      </c>
      <c r="C4037" s="7" t="s">
        <v>373</v>
      </c>
      <c r="D4037" s="4">
        <v>29435005003497</v>
      </c>
      <c r="E4037" s="8" t="s">
        <v>1054</v>
      </c>
      <c r="F4037" s="8" t="s">
        <v>78</v>
      </c>
      <c r="G4037" s="8" t="s">
        <v>61</v>
      </c>
      <c r="H4037" s="8" t="s">
        <v>215</v>
      </c>
      <c r="I4037" s="3">
        <v>2</v>
      </c>
      <c r="J4037" s="8" t="s">
        <v>155</v>
      </c>
      <c r="K4037" s="8" t="s">
        <v>156</v>
      </c>
      <c r="L4037" s="8" t="s">
        <v>556</v>
      </c>
      <c r="M4037" s="1" t="s">
        <v>205</v>
      </c>
      <c r="N4037" s="8" t="s">
        <v>206</v>
      </c>
      <c r="O4037" s="6">
        <v>0</v>
      </c>
      <c r="P4037" s="6">
        <v>0</v>
      </c>
      <c r="Q4037" s="6">
        <v>0</v>
      </c>
      <c r="R4037" s="6">
        <v>0</v>
      </c>
      <c r="S4037" s="6">
        <v>200</v>
      </c>
    </row>
    <row r="4038" spans="1:19" ht="15" hidden="1" x14ac:dyDescent="0.25">
      <c r="A4038" s="7" t="s">
        <v>16</v>
      </c>
      <c r="B4038" s="7" t="s">
        <v>372</v>
      </c>
      <c r="C4038" s="7" t="s">
        <v>373</v>
      </c>
      <c r="D4038" s="4">
        <v>29435005003497</v>
      </c>
      <c r="E4038" s="8" t="s">
        <v>1054</v>
      </c>
      <c r="F4038" s="8" t="s">
        <v>78</v>
      </c>
      <c r="G4038" s="8" t="s">
        <v>61</v>
      </c>
      <c r="H4038" s="8" t="s">
        <v>215</v>
      </c>
      <c r="I4038" s="3">
        <v>2</v>
      </c>
      <c r="J4038" s="8" t="s">
        <v>173</v>
      </c>
      <c r="K4038" s="8" t="s">
        <v>174</v>
      </c>
      <c r="L4038" s="8" t="s">
        <v>557</v>
      </c>
      <c r="M4038" s="1" t="s">
        <v>205</v>
      </c>
      <c r="N4038" s="8" t="s">
        <v>206</v>
      </c>
      <c r="O4038" s="6">
        <v>0</v>
      </c>
      <c r="P4038" s="6">
        <v>0</v>
      </c>
      <c r="Q4038" s="6">
        <v>0</v>
      </c>
      <c r="R4038" s="6">
        <v>0</v>
      </c>
      <c r="S4038" s="6">
        <v>200</v>
      </c>
    </row>
    <row r="4039" spans="1:19" ht="15" hidden="1" x14ac:dyDescent="0.25">
      <c r="A4039" s="7" t="s">
        <v>16</v>
      </c>
      <c r="B4039" s="7" t="s">
        <v>372</v>
      </c>
      <c r="C4039" s="7" t="s">
        <v>373</v>
      </c>
      <c r="D4039" s="4">
        <v>29640612000120</v>
      </c>
      <c r="E4039" s="8" t="s">
        <v>1055</v>
      </c>
      <c r="F4039" s="8" t="s">
        <v>103</v>
      </c>
      <c r="G4039" s="8" t="s">
        <v>61</v>
      </c>
      <c r="H4039" s="8" t="s">
        <v>215</v>
      </c>
      <c r="I4039" s="3">
        <v>2</v>
      </c>
      <c r="J4039" s="8" t="s">
        <v>155</v>
      </c>
      <c r="K4039" s="8" t="s">
        <v>156</v>
      </c>
      <c r="L4039" s="8" t="s">
        <v>556</v>
      </c>
      <c r="M4039" s="1" t="s">
        <v>205</v>
      </c>
      <c r="N4039" s="8" t="s">
        <v>206</v>
      </c>
      <c r="O4039" s="6">
        <v>0</v>
      </c>
      <c r="P4039" s="6">
        <v>0</v>
      </c>
      <c r="Q4039" s="6">
        <v>0</v>
      </c>
      <c r="R4039" s="6">
        <v>0</v>
      </c>
      <c r="S4039" s="6">
        <v>0</v>
      </c>
    </row>
    <row r="4040" spans="1:19" ht="15" hidden="1" x14ac:dyDescent="0.25">
      <c r="A4040" s="7" t="s">
        <v>16</v>
      </c>
      <c r="B4040" s="7" t="s">
        <v>372</v>
      </c>
      <c r="C4040" s="7" t="s">
        <v>373</v>
      </c>
      <c r="D4040" s="4">
        <v>29640612000120</v>
      </c>
      <c r="E4040" s="8" t="s">
        <v>1055</v>
      </c>
      <c r="F4040" s="8" t="s">
        <v>103</v>
      </c>
      <c r="G4040" s="8" t="s">
        <v>61</v>
      </c>
      <c r="H4040" s="8" t="s">
        <v>215</v>
      </c>
      <c r="I4040" s="3">
        <v>2</v>
      </c>
      <c r="J4040" s="8" t="s">
        <v>173</v>
      </c>
      <c r="K4040" s="8" t="s">
        <v>174</v>
      </c>
      <c r="L4040" s="8" t="s">
        <v>557</v>
      </c>
      <c r="M4040" s="1" t="s">
        <v>205</v>
      </c>
      <c r="N4040" s="8" t="s">
        <v>206</v>
      </c>
      <c r="O4040" s="6">
        <v>0</v>
      </c>
      <c r="P4040" s="6">
        <v>4</v>
      </c>
      <c r="Q4040" s="6">
        <v>0</v>
      </c>
      <c r="R4040" s="6">
        <v>0</v>
      </c>
      <c r="S4040" s="6">
        <v>0</v>
      </c>
    </row>
    <row r="4041" spans="1:19" ht="15" hidden="1" x14ac:dyDescent="0.25">
      <c r="A4041" s="7" t="s">
        <v>16</v>
      </c>
      <c r="B4041" s="7" t="s">
        <v>372</v>
      </c>
      <c r="C4041" s="7" t="s">
        <v>373</v>
      </c>
      <c r="D4041" s="4">
        <v>35830868000446</v>
      </c>
      <c r="E4041" s="8" t="s">
        <v>1060</v>
      </c>
      <c r="F4041" s="8" t="s">
        <v>1061</v>
      </c>
      <c r="G4041" s="8" t="s">
        <v>61</v>
      </c>
      <c r="H4041" s="8" t="s">
        <v>215</v>
      </c>
      <c r="I4041" s="3">
        <v>2</v>
      </c>
      <c r="J4041" s="8" t="s">
        <v>155</v>
      </c>
      <c r="K4041" s="8" t="s">
        <v>156</v>
      </c>
      <c r="L4041" s="8" t="s">
        <v>556</v>
      </c>
      <c r="M4041" s="1" t="s">
        <v>205</v>
      </c>
      <c r="N4041" s="8" t="s">
        <v>206</v>
      </c>
      <c r="O4041" s="6">
        <v>0</v>
      </c>
      <c r="P4041" s="6">
        <v>0</v>
      </c>
      <c r="Q4041" s="6">
        <v>0</v>
      </c>
      <c r="R4041" s="6">
        <v>0</v>
      </c>
      <c r="S4041" s="6">
        <v>500</v>
      </c>
    </row>
    <row r="4042" spans="1:19" ht="15" hidden="1" x14ac:dyDescent="0.25">
      <c r="A4042" s="7" t="s">
        <v>16</v>
      </c>
      <c r="B4042" s="7" t="s">
        <v>372</v>
      </c>
      <c r="C4042" s="7" t="s">
        <v>373</v>
      </c>
      <c r="D4042" s="4">
        <v>35830868000446</v>
      </c>
      <c r="E4042" s="8" t="s">
        <v>1060</v>
      </c>
      <c r="F4042" s="8" t="s">
        <v>1061</v>
      </c>
      <c r="G4042" s="8" t="s">
        <v>61</v>
      </c>
      <c r="H4042" s="8" t="s">
        <v>215</v>
      </c>
      <c r="I4042" s="3">
        <v>2</v>
      </c>
      <c r="J4042" s="8" t="s">
        <v>173</v>
      </c>
      <c r="K4042" s="8" t="s">
        <v>174</v>
      </c>
      <c r="L4042" s="8" t="s">
        <v>557</v>
      </c>
      <c r="M4042" s="1" t="s">
        <v>205</v>
      </c>
      <c r="N4042" s="8" t="s">
        <v>206</v>
      </c>
      <c r="O4042" s="6">
        <v>0</v>
      </c>
      <c r="P4042" s="6">
        <v>0</v>
      </c>
      <c r="Q4042" s="6">
        <v>0</v>
      </c>
      <c r="R4042" s="6">
        <v>0</v>
      </c>
      <c r="S4042" s="6">
        <v>500</v>
      </c>
    </row>
    <row r="4043" spans="1:19" ht="15" hidden="1" x14ac:dyDescent="0.25">
      <c r="A4043" s="7" t="s">
        <v>16</v>
      </c>
      <c r="B4043" s="7" t="s">
        <v>372</v>
      </c>
      <c r="C4043" s="7" t="s">
        <v>373</v>
      </c>
      <c r="D4043" s="4">
        <v>437007000175</v>
      </c>
      <c r="E4043" s="8" t="s">
        <v>1038</v>
      </c>
      <c r="F4043" s="8" t="s">
        <v>1039</v>
      </c>
      <c r="G4043" s="8" t="s">
        <v>61</v>
      </c>
      <c r="H4043" s="8" t="s">
        <v>215</v>
      </c>
      <c r="I4043" s="3">
        <v>2</v>
      </c>
      <c r="J4043" s="8" t="s">
        <v>155</v>
      </c>
      <c r="K4043" s="8" t="s">
        <v>156</v>
      </c>
      <c r="L4043" s="8" t="s">
        <v>556</v>
      </c>
      <c r="M4043" s="1" t="s">
        <v>205</v>
      </c>
      <c r="N4043" s="8" t="s">
        <v>206</v>
      </c>
      <c r="O4043" s="6">
        <v>0</v>
      </c>
      <c r="P4043" s="6">
        <v>0</v>
      </c>
      <c r="Q4043" s="6">
        <v>0</v>
      </c>
      <c r="R4043" s="6">
        <v>176</v>
      </c>
      <c r="S4043" s="6">
        <v>425</v>
      </c>
    </row>
    <row r="4044" spans="1:19" ht="15" hidden="1" x14ac:dyDescent="0.25">
      <c r="A4044" s="7" t="s">
        <v>16</v>
      </c>
      <c r="B4044" s="7" t="s">
        <v>372</v>
      </c>
      <c r="C4044" s="7" t="s">
        <v>373</v>
      </c>
      <c r="D4044" s="4">
        <v>437007000175</v>
      </c>
      <c r="E4044" s="8" t="s">
        <v>1038</v>
      </c>
      <c r="F4044" s="8" t="s">
        <v>1039</v>
      </c>
      <c r="G4044" s="8" t="s">
        <v>61</v>
      </c>
      <c r="H4044" s="8" t="s">
        <v>215</v>
      </c>
      <c r="I4044" s="3">
        <v>2</v>
      </c>
      <c r="J4044" s="8" t="s">
        <v>181</v>
      </c>
      <c r="K4044" s="8" t="s">
        <v>182</v>
      </c>
      <c r="L4044" s="8" t="s">
        <v>557</v>
      </c>
      <c r="M4044" s="1" t="s">
        <v>205</v>
      </c>
      <c r="N4044" s="8" t="s">
        <v>206</v>
      </c>
      <c r="O4044" s="6">
        <v>0</v>
      </c>
      <c r="P4044" s="6">
        <v>0</v>
      </c>
      <c r="Q4044" s="6">
        <v>0</v>
      </c>
      <c r="R4044" s="6">
        <v>0</v>
      </c>
      <c r="S4044" s="6">
        <v>425</v>
      </c>
    </row>
    <row r="4045" spans="1:19" ht="15" hidden="1" x14ac:dyDescent="0.25">
      <c r="A4045" s="7" t="s">
        <v>16</v>
      </c>
      <c r="B4045" s="7" t="s">
        <v>372</v>
      </c>
      <c r="C4045" s="7" t="s">
        <v>373</v>
      </c>
      <c r="D4045" s="4">
        <v>60884855001207</v>
      </c>
      <c r="E4045" s="8" t="s">
        <v>1065</v>
      </c>
      <c r="F4045" s="8" t="s">
        <v>1039</v>
      </c>
      <c r="G4045" s="8" t="s">
        <v>61</v>
      </c>
      <c r="H4045" s="8" t="s">
        <v>215</v>
      </c>
      <c r="I4045" s="3">
        <v>2</v>
      </c>
      <c r="J4045" s="8" t="s">
        <v>155</v>
      </c>
      <c r="K4045" s="8" t="s">
        <v>156</v>
      </c>
      <c r="L4045" s="8" t="s">
        <v>556</v>
      </c>
      <c r="M4045" s="1" t="s">
        <v>205</v>
      </c>
      <c r="N4045" s="8" t="s">
        <v>206</v>
      </c>
      <c r="O4045" s="6">
        <v>0</v>
      </c>
      <c r="P4045" s="6">
        <v>0</v>
      </c>
      <c r="Q4045" s="6">
        <v>0</v>
      </c>
      <c r="R4045" s="6">
        <v>42</v>
      </c>
      <c r="S4045" s="6">
        <v>105</v>
      </c>
    </row>
    <row r="4046" spans="1:19" ht="15" hidden="1" x14ac:dyDescent="0.25">
      <c r="A4046" s="7" t="s">
        <v>16</v>
      </c>
      <c r="B4046" s="7" t="s">
        <v>372</v>
      </c>
      <c r="C4046" s="7" t="s">
        <v>373</v>
      </c>
      <c r="D4046" s="4">
        <v>60884855001207</v>
      </c>
      <c r="E4046" s="8" t="s">
        <v>1065</v>
      </c>
      <c r="F4046" s="8" t="s">
        <v>1039</v>
      </c>
      <c r="G4046" s="8" t="s">
        <v>61</v>
      </c>
      <c r="H4046" s="8" t="s">
        <v>215</v>
      </c>
      <c r="I4046" s="3">
        <v>2</v>
      </c>
      <c r="J4046" s="8" t="s">
        <v>181</v>
      </c>
      <c r="K4046" s="8" t="s">
        <v>182</v>
      </c>
      <c r="L4046" s="8" t="s">
        <v>557</v>
      </c>
      <c r="M4046" s="1" t="s">
        <v>205</v>
      </c>
      <c r="N4046" s="8" t="s">
        <v>206</v>
      </c>
      <c r="O4046" s="6">
        <v>0</v>
      </c>
      <c r="P4046" s="6">
        <v>70</v>
      </c>
      <c r="Q4046" s="6">
        <v>5</v>
      </c>
      <c r="R4046" s="6">
        <v>0</v>
      </c>
      <c r="S4046" s="6">
        <v>105</v>
      </c>
    </row>
    <row r="4047" spans="1:19" ht="15" hidden="1" x14ac:dyDescent="0.25">
      <c r="A4047" s="7" t="s">
        <v>16</v>
      </c>
      <c r="B4047" s="7" t="s">
        <v>372</v>
      </c>
      <c r="C4047" s="7" t="s">
        <v>373</v>
      </c>
      <c r="D4047" s="4">
        <v>30145502000171</v>
      </c>
      <c r="E4047" s="8" t="s">
        <v>1057</v>
      </c>
      <c r="F4047" s="8" t="s">
        <v>1039</v>
      </c>
      <c r="G4047" s="8" t="s">
        <v>61</v>
      </c>
      <c r="H4047" s="8" t="s">
        <v>215</v>
      </c>
      <c r="I4047" s="3">
        <v>2</v>
      </c>
      <c r="J4047" s="8" t="s">
        <v>155</v>
      </c>
      <c r="K4047" s="8" t="s">
        <v>156</v>
      </c>
      <c r="L4047" s="8" t="s">
        <v>556</v>
      </c>
      <c r="M4047" s="1" t="s">
        <v>205</v>
      </c>
      <c r="N4047" s="8" t="s">
        <v>206</v>
      </c>
      <c r="O4047" s="6">
        <v>0</v>
      </c>
      <c r="P4047" s="6">
        <v>0</v>
      </c>
      <c r="Q4047" s="6">
        <v>0</v>
      </c>
      <c r="R4047" s="6">
        <v>0</v>
      </c>
      <c r="S4047" s="6">
        <v>0</v>
      </c>
    </row>
    <row r="4048" spans="1:19" ht="15" hidden="1" x14ac:dyDescent="0.25">
      <c r="A4048" s="7" t="s">
        <v>16</v>
      </c>
      <c r="B4048" s="7" t="s">
        <v>372</v>
      </c>
      <c r="C4048" s="7" t="s">
        <v>373</v>
      </c>
      <c r="D4048" s="4">
        <v>30145502000171</v>
      </c>
      <c r="E4048" s="8" t="s">
        <v>1057</v>
      </c>
      <c r="F4048" s="8" t="s">
        <v>1039</v>
      </c>
      <c r="G4048" s="8" t="s">
        <v>61</v>
      </c>
      <c r="H4048" s="8" t="s">
        <v>215</v>
      </c>
      <c r="I4048" s="3">
        <v>2</v>
      </c>
      <c r="J4048" s="8" t="s">
        <v>181</v>
      </c>
      <c r="K4048" s="8" t="s">
        <v>182</v>
      </c>
      <c r="L4048" s="8" t="s">
        <v>557</v>
      </c>
      <c r="M4048" s="1" t="s">
        <v>205</v>
      </c>
      <c r="N4048" s="8" t="s">
        <v>206</v>
      </c>
      <c r="O4048" s="6">
        <v>0</v>
      </c>
      <c r="P4048" s="6">
        <v>6</v>
      </c>
      <c r="Q4048" s="6">
        <v>0</v>
      </c>
      <c r="R4048" s="6">
        <v>0</v>
      </c>
      <c r="S4048" s="6">
        <v>0</v>
      </c>
    </row>
    <row r="4049" spans="1:19" ht="15" hidden="1" x14ac:dyDescent="0.25">
      <c r="A4049" s="7" t="s">
        <v>16</v>
      </c>
      <c r="B4049" s="7" t="s">
        <v>372</v>
      </c>
      <c r="C4049" s="7" t="s">
        <v>373</v>
      </c>
      <c r="D4049" s="4">
        <v>521197000104</v>
      </c>
      <c r="E4049" s="8" t="s">
        <v>1040</v>
      </c>
      <c r="F4049" s="8" t="s">
        <v>1039</v>
      </c>
      <c r="G4049" s="8" t="s">
        <v>61</v>
      </c>
      <c r="H4049" s="8" t="s">
        <v>215</v>
      </c>
      <c r="I4049" s="3">
        <v>2</v>
      </c>
      <c r="J4049" s="8" t="s">
        <v>155</v>
      </c>
      <c r="K4049" s="8" t="s">
        <v>156</v>
      </c>
      <c r="L4049" s="8" t="s">
        <v>556</v>
      </c>
      <c r="M4049" s="1" t="s">
        <v>205</v>
      </c>
      <c r="N4049" s="8" t="s">
        <v>206</v>
      </c>
      <c r="O4049" s="6">
        <v>0</v>
      </c>
      <c r="P4049" s="6">
        <v>0</v>
      </c>
      <c r="Q4049" s="6">
        <v>0</v>
      </c>
      <c r="R4049" s="6">
        <v>0</v>
      </c>
      <c r="S4049" s="6">
        <v>355</v>
      </c>
    </row>
    <row r="4050" spans="1:19" ht="15" hidden="1" x14ac:dyDescent="0.25">
      <c r="A4050" s="7" t="s">
        <v>16</v>
      </c>
      <c r="B4050" s="7" t="s">
        <v>372</v>
      </c>
      <c r="C4050" s="7" t="s">
        <v>373</v>
      </c>
      <c r="D4050" s="4">
        <v>521197000104</v>
      </c>
      <c r="E4050" s="8" t="s">
        <v>1040</v>
      </c>
      <c r="F4050" s="8" t="s">
        <v>1039</v>
      </c>
      <c r="G4050" s="8" t="s">
        <v>61</v>
      </c>
      <c r="H4050" s="8" t="s">
        <v>215</v>
      </c>
      <c r="I4050" s="3">
        <v>2</v>
      </c>
      <c r="J4050" s="8" t="s">
        <v>173</v>
      </c>
      <c r="K4050" s="8" t="s">
        <v>174</v>
      </c>
      <c r="L4050" s="8" t="s">
        <v>557</v>
      </c>
      <c r="M4050" s="1" t="s">
        <v>205</v>
      </c>
      <c r="N4050" s="8" t="s">
        <v>206</v>
      </c>
      <c r="O4050" s="6">
        <v>0</v>
      </c>
      <c r="P4050" s="6">
        <v>0</v>
      </c>
      <c r="Q4050" s="6">
        <v>0</v>
      </c>
      <c r="R4050" s="6">
        <v>0</v>
      </c>
      <c r="S4050" s="6">
        <v>355</v>
      </c>
    </row>
    <row r="4051" spans="1:19" ht="15" hidden="1" x14ac:dyDescent="0.25">
      <c r="A4051" s="7" t="s">
        <v>16</v>
      </c>
      <c r="B4051" s="7" t="s">
        <v>372</v>
      </c>
      <c r="C4051" s="7" t="s">
        <v>373</v>
      </c>
      <c r="D4051" s="4">
        <v>29135795000208</v>
      </c>
      <c r="E4051" s="8" t="s">
        <v>1053</v>
      </c>
      <c r="F4051" s="8" t="s">
        <v>120</v>
      </c>
      <c r="G4051" s="8" t="s">
        <v>61</v>
      </c>
      <c r="H4051" s="8" t="s">
        <v>215</v>
      </c>
      <c r="I4051" s="3">
        <v>2</v>
      </c>
      <c r="J4051" s="8" t="s">
        <v>155</v>
      </c>
      <c r="K4051" s="8" t="s">
        <v>156</v>
      </c>
      <c r="L4051" s="8" t="s">
        <v>556</v>
      </c>
      <c r="M4051" s="1" t="s">
        <v>205</v>
      </c>
      <c r="N4051" s="8" t="s">
        <v>206</v>
      </c>
      <c r="O4051" s="6">
        <v>0</v>
      </c>
      <c r="P4051" s="6">
        <v>0</v>
      </c>
      <c r="Q4051" s="6">
        <v>0</v>
      </c>
      <c r="R4051" s="6">
        <v>0</v>
      </c>
      <c r="S4051" s="6">
        <v>150</v>
      </c>
    </row>
    <row r="4052" spans="1:19" ht="15" hidden="1" x14ac:dyDescent="0.25">
      <c r="A4052" s="7" t="s">
        <v>16</v>
      </c>
      <c r="B4052" s="7" t="s">
        <v>372</v>
      </c>
      <c r="C4052" s="7" t="s">
        <v>373</v>
      </c>
      <c r="D4052" s="4">
        <v>29135795000208</v>
      </c>
      <c r="E4052" s="8" t="s">
        <v>1053</v>
      </c>
      <c r="F4052" s="8" t="s">
        <v>120</v>
      </c>
      <c r="G4052" s="8" t="s">
        <v>61</v>
      </c>
      <c r="H4052" s="8" t="s">
        <v>215</v>
      </c>
      <c r="I4052" s="3">
        <v>2</v>
      </c>
      <c r="J4052" s="8" t="s">
        <v>173</v>
      </c>
      <c r="K4052" s="8" t="s">
        <v>174</v>
      </c>
      <c r="L4052" s="8" t="s">
        <v>557</v>
      </c>
      <c r="M4052" s="1" t="s">
        <v>205</v>
      </c>
      <c r="N4052" s="8" t="s">
        <v>206</v>
      </c>
      <c r="O4052" s="6">
        <v>0</v>
      </c>
      <c r="P4052" s="6">
        <v>0</v>
      </c>
      <c r="Q4052" s="6">
        <v>0</v>
      </c>
      <c r="R4052" s="6">
        <v>0</v>
      </c>
      <c r="S4052" s="6">
        <v>150</v>
      </c>
    </row>
    <row r="4053" spans="1:19" ht="15" hidden="1" x14ac:dyDescent="0.25">
      <c r="A4053" s="7" t="s">
        <v>16</v>
      </c>
      <c r="B4053" s="7" t="s">
        <v>372</v>
      </c>
      <c r="C4053" s="7" t="s">
        <v>373</v>
      </c>
      <c r="D4053" s="4">
        <v>7794623001528</v>
      </c>
      <c r="E4053" s="8" t="s">
        <v>1042</v>
      </c>
      <c r="F4053" s="8" t="s">
        <v>1043</v>
      </c>
      <c r="G4053" s="8" t="s">
        <v>61</v>
      </c>
      <c r="H4053" s="8" t="s">
        <v>215</v>
      </c>
      <c r="I4053" s="3">
        <v>2</v>
      </c>
      <c r="J4053" s="8" t="s">
        <v>155</v>
      </c>
      <c r="K4053" s="8" t="s">
        <v>156</v>
      </c>
      <c r="L4053" s="8" t="s">
        <v>556</v>
      </c>
      <c r="M4053" s="1" t="s">
        <v>205</v>
      </c>
      <c r="N4053" s="8" t="s">
        <v>206</v>
      </c>
      <c r="O4053" s="6">
        <v>0</v>
      </c>
      <c r="P4053" s="6">
        <v>0</v>
      </c>
      <c r="Q4053" s="6">
        <v>0</v>
      </c>
      <c r="R4053" s="6">
        <v>14</v>
      </c>
      <c r="S4053" s="6">
        <v>0</v>
      </c>
    </row>
    <row r="4054" spans="1:19" ht="15" hidden="1" x14ac:dyDescent="0.25">
      <c r="A4054" s="7" t="s">
        <v>16</v>
      </c>
      <c r="B4054" s="7" t="s">
        <v>372</v>
      </c>
      <c r="C4054" s="7" t="s">
        <v>373</v>
      </c>
      <c r="D4054" s="4">
        <v>7794623001528</v>
      </c>
      <c r="E4054" s="8" t="s">
        <v>1042</v>
      </c>
      <c r="F4054" s="8" t="s">
        <v>1043</v>
      </c>
      <c r="G4054" s="8" t="s">
        <v>61</v>
      </c>
      <c r="H4054" s="8" t="s">
        <v>215</v>
      </c>
      <c r="I4054" s="3">
        <v>2</v>
      </c>
      <c r="J4054" s="8" t="s">
        <v>181</v>
      </c>
      <c r="K4054" s="8" t="s">
        <v>182</v>
      </c>
      <c r="L4054" s="8" t="s">
        <v>557</v>
      </c>
      <c r="M4054" s="1" t="s">
        <v>205</v>
      </c>
      <c r="N4054" s="8" t="s">
        <v>206</v>
      </c>
      <c r="O4054" s="6">
        <v>0</v>
      </c>
      <c r="P4054" s="6">
        <v>0</v>
      </c>
      <c r="Q4054" s="6">
        <v>0</v>
      </c>
      <c r="R4054" s="6">
        <v>0</v>
      </c>
      <c r="S4054" s="6">
        <v>0</v>
      </c>
    </row>
    <row r="4055" spans="1:19" ht="15" hidden="1" x14ac:dyDescent="0.25">
      <c r="A4055" s="7" t="s">
        <v>16</v>
      </c>
      <c r="B4055" s="7" t="s">
        <v>372</v>
      </c>
      <c r="C4055" s="7" t="s">
        <v>373</v>
      </c>
      <c r="D4055" s="4">
        <v>28806545000532</v>
      </c>
      <c r="E4055" s="8" t="s">
        <v>1050</v>
      </c>
      <c r="F4055" s="8" t="s">
        <v>1051</v>
      </c>
      <c r="G4055" s="8" t="s">
        <v>61</v>
      </c>
      <c r="H4055" s="8" t="s">
        <v>215</v>
      </c>
      <c r="I4055" s="3">
        <v>2</v>
      </c>
      <c r="J4055" s="8" t="s">
        <v>155</v>
      </c>
      <c r="K4055" s="8" t="s">
        <v>156</v>
      </c>
      <c r="L4055" s="8" t="s">
        <v>556</v>
      </c>
      <c r="M4055" s="1" t="s">
        <v>205</v>
      </c>
      <c r="N4055" s="8" t="s">
        <v>206</v>
      </c>
      <c r="O4055" s="6">
        <v>0</v>
      </c>
      <c r="P4055" s="6">
        <v>0</v>
      </c>
      <c r="Q4055" s="6">
        <v>0</v>
      </c>
      <c r="R4055" s="6">
        <v>36</v>
      </c>
      <c r="S4055" s="6">
        <v>0</v>
      </c>
    </row>
    <row r="4056" spans="1:19" ht="15" hidden="1" x14ac:dyDescent="0.25">
      <c r="A4056" s="7" t="s">
        <v>16</v>
      </c>
      <c r="B4056" s="7" t="s">
        <v>372</v>
      </c>
      <c r="C4056" s="7" t="s">
        <v>373</v>
      </c>
      <c r="D4056" s="4">
        <v>28806545000532</v>
      </c>
      <c r="E4056" s="8" t="s">
        <v>1050</v>
      </c>
      <c r="F4056" s="8" t="s">
        <v>1051</v>
      </c>
      <c r="G4056" s="8" t="s">
        <v>61</v>
      </c>
      <c r="H4056" s="8" t="s">
        <v>215</v>
      </c>
      <c r="I4056" s="3">
        <v>2</v>
      </c>
      <c r="J4056" s="8" t="s">
        <v>173</v>
      </c>
      <c r="K4056" s="8" t="s">
        <v>174</v>
      </c>
      <c r="L4056" s="8" t="s">
        <v>557</v>
      </c>
      <c r="M4056" s="1" t="s">
        <v>205</v>
      </c>
      <c r="N4056" s="8" t="s">
        <v>206</v>
      </c>
      <c r="O4056" s="6">
        <v>0</v>
      </c>
      <c r="P4056" s="6">
        <v>0</v>
      </c>
      <c r="Q4056" s="6">
        <v>0</v>
      </c>
      <c r="R4056" s="6">
        <v>0</v>
      </c>
      <c r="S4056" s="6">
        <v>0</v>
      </c>
    </row>
    <row r="4057" spans="1:19" ht="15" hidden="1" x14ac:dyDescent="0.25">
      <c r="A4057" s="7" t="s">
        <v>16</v>
      </c>
      <c r="B4057" s="7" t="s">
        <v>372</v>
      </c>
      <c r="C4057" s="7" t="s">
        <v>373</v>
      </c>
      <c r="D4057" s="4">
        <v>68709211000212</v>
      </c>
      <c r="E4057" s="8" t="s">
        <v>1066</v>
      </c>
      <c r="F4057" s="8" t="s">
        <v>92</v>
      </c>
      <c r="G4057" s="8" t="s">
        <v>61</v>
      </c>
      <c r="H4057" s="8" t="s">
        <v>215</v>
      </c>
      <c r="I4057" s="3">
        <v>2</v>
      </c>
      <c r="J4057" s="8" t="s">
        <v>155</v>
      </c>
      <c r="K4057" s="8" t="s">
        <v>156</v>
      </c>
      <c r="L4057" s="8" t="s">
        <v>556</v>
      </c>
      <c r="M4057" s="1" t="s">
        <v>205</v>
      </c>
      <c r="N4057" s="8" t="s">
        <v>206</v>
      </c>
      <c r="O4057" s="6">
        <v>0</v>
      </c>
      <c r="P4057" s="6">
        <v>0</v>
      </c>
      <c r="Q4057" s="6">
        <v>0</v>
      </c>
      <c r="R4057" s="6">
        <v>0</v>
      </c>
      <c r="S4057" s="6">
        <v>350</v>
      </c>
    </row>
    <row r="4058" spans="1:19" ht="15" hidden="1" x14ac:dyDescent="0.25">
      <c r="A4058" s="7" t="s">
        <v>16</v>
      </c>
      <c r="B4058" s="7" t="s">
        <v>372</v>
      </c>
      <c r="C4058" s="7" t="s">
        <v>373</v>
      </c>
      <c r="D4058" s="4">
        <v>68709211000212</v>
      </c>
      <c r="E4058" s="8" t="s">
        <v>1066</v>
      </c>
      <c r="F4058" s="8" t="s">
        <v>92</v>
      </c>
      <c r="G4058" s="8" t="s">
        <v>61</v>
      </c>
      <c r="H4058" s="8" t="s">
        <v>215</v>
      </c>
      <c r="I4058" s="3">
        <v>2</v>
      </c>
      <c r="J4058" s="8" t="s">
        <v>173</v>
      </c>
      <c r="K4058" s="8" t="s">
        <v>174</v>
      </c>
      <c r="L4058" s="8" t="s">
        <v>557</v>
      </c>
      <c r="M4058" s="1" t="s">
        <v>205</v>
      </c>
      <c r="N4058" s="8" t="s">
        <v>206</v>
      </c>
      <c r="O4058" s="6">
        <v>0</v>
      </c>
      <c r="P4058" s="6">
        <v>0</v>
      </c>
      <c r="Q4058" s="6">
        <v>0</v>
      </c>
      <c r="R4058" s="6">
        <v>0</v>
      </c>
      <c r="S4058" s="6">
        <v>350</v>
      </c>
    </row>
    <row r="4059" spans="1:19" ht="15" hidden="1" x14ac:dyDescent="0.25">
      <c r="A4059" s="7" t="s">
        <v>16</v>
      </c>
      <c r="B4059" s="7" t="s">
        <v>372</v>
      </c>
      <c r="C4059" s="7" t="s">
        <v>373</v>
      </c>
      <c r="D4059" s="4">
        <v>31925548000176</v>
      </c>
      <c r="E4059" s="8" t="s">
        <v>1108</v>
      </c>
      <c r="F4059" s="8" t="s">
        <v>131</v>
      </c>
      <c r="G4059" s="8" t="s">
        <v>61</v>
      </c>
      <c r="H4059" s="8" t="s">
        <v>215</v>
      </c>
      <c r="I4059" s="3">
        <v>2</v>
      </c>
      <c r="J4059" s="8" t="s">
        <v>155</v>
      </c>
      <c r="K4059" s="8" t="s">
        <v>156</v>
      </c>
      <c r="L4059" s="8" t="s">
        <v>556</v>
      </c>
      <c r="M4059" s="1" t="s">
        <v>205</v>
      </c>
      <c r="N4059" s="8" t="s">
        <v>206</v>
      </c>
      <c r="O4059" s="6">
        <v>0</v>
      </c>
      <c r="P4059" s="6">
        <v>0</v>
      </c>
      <c r="Q4059" s="6">
        <v>0</v>
      </c>
      <c r="R4059" s="6">
        <v>0</v>
      </c>
      <c r="S4059" s="6">
        <v>30</v>
      </c>
    </row>
    <row r="4060" spans="1:19" ht="15" hidden="1" x14ac:dyDescent="0.25">
      <c r="A4060" s="7" t="s">
        <v>16</v>
      </c>
      <c r="B4060" s="7" t="s">
        <v>372</v>
      </c>
      <c r="C4060" s="7" t="s">
        <v>373</v>
      </c>
      <c r="D4060" s="4">
        <v>31925548000176</v>
      </c>
      <c r="E4060" s="8" t="s">
        <v>1108</v>
      </c>
      <c r="F4060" s="8" t="s">
        <v>131</v>
      </c>
      <c r="G4060" s="8" t="s">
        <v>61</v>
      </c>
      <c r="H4060" s="8" t="s">
        <v>215</v>
      </c>
      <c r="I4060" s="3">
        <v>2</v>
      </c>
      <c r="J4060" s="8" t="s">
        <v>173</v>
      </c>
      <c r="K4060" s="8" t="s">
        <v>174</v>
      </c>
      <c r="L4060" s="8" t="s">
        <v>557</v>
      </c>
      <c r="M4060" s="1" t="s">
        <v>205</v>
      </c>
      <c r="N4060" s="8" t="s">
        <v>206</v>
      </c>
      <c r="O4060" s="6">
        <v>0</v>
      </c>
      <c r="P4060" s="6">
        <v>0</v>
      </c>
      <c r="Q4060" s="6">
        <v>0</v>
      </c>
      <c r="R4060" s="6">
        <v>0</v>
      </c>
      <c r="S4060" s="6">
        <v>30</v>
      </c>
    </row>
    <row r="4061" spans="1:19" ht="15" hidden="1" x14ac:dyDescent="0.25">
      <c r="A4061" s="7" t="s">
        <v>16</v>
      </c>
      <c r="B4061" s="7" t="s">
        <v>372</v>
      </c>
      <c r="C4061" s="7" t="s">
        <v>373</v>
      </c>
      <c r="D4061" s="4">
        <v>29435005005279</v>
      </c>
      <c r="E4061" s="8" t="s">
        <v>1103</v>
      </c>
      <c r="F4061" s="8" t="s">
        <v>131</v>
      </c>
      <c r="G4061" s="8" t="s">
        <v>61</v>
      </c>
      <c r="H4061" s="8" t="s">
        <v>215</v>
      </c>
      <c r="I4061" s="3">
        <v>2</v>
      </c>
      <c r="J4061" s="8" t="s">
        <v>155</v>
      </c>
      <c r="K4061" s="8" t="s">
        <v>156</v>
      </c>
      <c r="L4061" s="8" t="s">
        <v>556</v>
      </c>
      <c r="M4061" s="1" t="s">
        <v>205</v>
      </c>
      <c r="N4061" s="8" t="s">
        <v>206</v>
      </c>
      <c r="O4061" s="6">
        <v>0</v>
      </c>
      <c r="P4061" s="6">
        <v>0</v>
      </c>
      <c r="Q4061" s="6">
        <v>0</v>
      </c>
      <c r="R4061" s="6">
        <v>0</v>
      </c>
      <c r="S4061" s="6">
        <v>5</v>
      </c>
    </row>
    <row r="4062" spans="1:19" ht="15" hidden="1" x14ac:dyDescent="0.25">
      <c r="A4062" s="7" t="s">
        <v>16</v>
      </c>
      <c r="B4062" s="7" t="s">
        <v>372</v>
      </c>
      <c r="C4062" s="7" t="s">
        <v>373</v>
      </c>
      <c r="D4062" s="4">
        <v>29435005005279</v>
      </c>
      <c r="E4062" s="8" t="s">
        <v>1103</v>
      </c>
      <c r="F4062" s="8" t="s">
        <v>131</v>
      </c>
      <c r="G4062" s="8" t="s">
        <v>61</v>
      </c>
      <c r="H4062" s="8" t="s">
        <v>215</v>
      </c>
      <c r="I4062" s="3">
        <v>2</v>
      </c>
      <c r="J4062" s="8" t="s">
        <v>181</v>
      </c>
      <c r="K4062" s="8" t="s">
        <v>182</v>
      </c>
      <c r="L4062" s="8" t="s">
        <v>557</v>
      </c>
      <c r="M4062" s="1" t="s">
        <v>205</v>
      </c>
      <c r="N4062" s="8" t="s">
        <v>206</v>
      </c>
      <c r="O4062" s="6">
        <v>0</v>
      </c>
      <c r="P4062" s="6">
        <v>0</v>
      </c>
      <c r="Q4062" s="6">
        <v>0</v>
      </c>
      <c r="R4062" s="6">
        <v>0</v>
      </c>
      <c r="S4062" s="6">
        <v>5</v>
      </c>
    </row>
    <row r="4063" spans="1:19" ht="15" hidden="1" x14ac:dyDescent="0.25">
      <c r="A4063" s="7" t="s">
        <v>16</v>
      </c>
      <c r="B4063" s="7" t="s">
        <v>372</v>
      </c>
      <c r="C4063" s="7" t="s">
        <v>373</v>
      </c>
      <c r="D4063" s="4">
        <v>60922168000348</v>
      </c>
      <c r="E4063" s="8" t="s">
        <v>1125</v>
      </c>
      <c r="F4063" s="8" t="s">
        <v>131</v>
      </c>
      <c r="G4063" s="8" t="s">
        <v>61</v>
      </c>
      <c r="H4063" s="8" t="s">
        <v>215</v>
      </c>
      <c r="I4063" s="3">
        <v>2</v>
      </c>
      <c r="J4063" s="8" t="s">
        <v>155</v>
      </c>
      <c r="K4063" s="8" t="s">
        <v>156</v>
      </c>
      <c r="L4063" s="8" t="s">
        <v>556</v>
      </c>
      <c r="M4063" s="1" t="s">
        <v>205</v>
      </c>
      <c r="N4063" s="8" t="s">
        <v>206</v>
      </c>
      <c r="O4063" s="6">
        <v>0</v>
      </c>
      <c r="P4063" s="6">
        <v>0</v>
      </c>
      <c r="Q4063" s="6">
        <v>0</v>
      </c>
      <c r="R4063" s="6">
        <v>0</v>
      </c>
      <c r="S4063" s="6">
        <v>935</v>
      </c>
    </row>
    <row r="4064" spans="1:19" ht="15" hidden="1" x14ac:dyDescent="0.25">
      <c r="A4064" s="7" t="s">
        <v>16</v>
      </c>
      <c r="B4064" s="7" t="s">
        <v>372</v>
      </c>
      <c r="C4064" s="7" t="s">
        <v>373</v>
      </c>
      <c r="D4064" s="4">
        <v>60922168000348</v>
      </c>
      <c r="E4064" s="8" t="s">
        <v>1125</v>
      </c>
      <c r="F4064" s="8" t="s">
        <v>131</v>
      </c>
      <c r="G4064" s="8" t="s">
        <v>61</v>
      </c>
      <c r="H4064" s="8" t="s">
        <v>215</v>
      </c>
      <c r="I4064" s="3">
        <v>2</v>
      </c>
      <c r="J4064" s="8" t="s">
        <v>181</v>
      </c>
      <c r="K4064" s="8" t="s">
        <v>182</v>
      </c>
      <c r="L4064" s="8" t="s">
        <v>557</v>
      </c>
      <c r="M4064" s="1" t="s">
        <v>205</v>
      </c>
      <c r="N4064" s="8" t="s">
        <v>206</v>
      </c>
      <c r="O4064" s="6">
        <v>0</v>
      </c>
      <c r="P4064" s="6">
        <v>4</v>
      </c>
      <c r="Q4064" s="6">
        <v>10</v>
      </c>
      <c r="R4064" s="6">
        <v>0</v>
      </c>
      <c r="S4064" s="6">
        <v>935</v>
      </c>
    </row>
    <row r="4065" spans="1:19" ht="15" hidden="1" x14ac:dyDescent="0.25">
      <c r="A4065" s="7" t="s">
        <v>16</v>
      </c>
      <c r="B4065" s="7" t="s">
        <v>372</v>
      </c>
      <c r="C4065" s="7" t="s">
        <v>373</v>
      </c>
      <c r="D4065" s="4">
        <v>7794623004896</v>
      </c>
      <c r="E4065" s="8" t="s">
        <v>1084</v>
      </c>
      <c r="F4065" s="8" t="s">
        <v>131</v>
      </c>
      <c r="G4065" s="8" t="s">
        <v>61</v>
      </c>
      <c r="H4065" s="8" t="s">
        <v>215</v>
      </c>
      <c r="I4065" s="3">
        <v>2</v>
      </c>
      <c r="J4065" s="8" t="s">
        <v>155</v>
      </c>
      <c r="K4065" s="8" t="s">
        <v>156</v>
      </c>
      <c r="L4065" s="8" t="s">
        <v>556</v>
      </c>
      <c r="M4065" s="1" t="s">
        <v>205</v>
      </c>
      <c r="N4065" s="8" t="s">
        <v>206</v>
      </c>
      <c r="O4065" s="6">
        <v>0</v>
      </c>
      <c r="P4065" s="6">
        <v>0</v>
      </c>
      <c r="Q4065" s="6">
        <v>0</v>
      </c>
      <c r="R4065" s="6">
        <v>0</v>
      </c>
      <c r="S4065" s="6">
        <v>400</v>
      </c>
    </row>
    <row r="4066" spans="1:19" ht="15" hidden="1" x14ac:dyDescent="0.25">
      <c r="A4066" s="7" t="s">
        <v>16</v>
      </c>
      <c r="B4066" s="7" t="s">
        <v>372</v>
      </c>
      <c r="C4066" s="7" t="s">
        <v>373</v>
      </c>
      <c r="D4066" s="4">
        <v>7794623004896</v>
      </c>
      <c r="E4066" s="8" t="s">
        <v>1084</v>
      </c>
      <c r="F4066" s="8" t="s">
        <v>131</v>
      </c>
      <c r="G4066" s="8" t="s">
        <v>61</v>
      </c>
      <c r="H4066" s="8" t="s">
        <v>215</v>
      </c>
      <c r="I4066" s="3">
        <v>2</v>
      </c>
      <c r="J4066" s="8" t="s">
        <v>181</v>
      </c>
      <c r="K4066" s="8" t="s">
        <v>182</v>
      </c>
      <c r="L4066" s="8" t="s">
        <v>557</v>
      </c>
      <c r="M4066" s="1" t="s">
        <v>205</v>
      </c>
      <c r="N4066" s="8" t="s">
        <v>206</v>
      </c>
      <c r="O4066" s="6">
        <v>0</v>
      </c>
      <c r="P4066" s="6">
        <v>0</v>
      </c>
      <c r="Q4066" s="6">
        <v>0</v>
      </c>
      <c r="R4066" s="6">
        <v>0</v>
      </c>
      <c r="S4066" s="6">
        <v>400</v>
      </c>
    </row>
    <row r="4067" spans="1:19" ht="15" hidden="1" x14ac:dyDescent="0.25">
      <c r="A4067" s="7" t="s">
        <v>16</v>
      </c>
      <c r="B4067" s="7" t="s">
        <v>372</v>
      </c>
      <c r="C4067" s="7" t="s">
        <v>373</v>
      </c>
      <c r="D4067" s="4">
        <v>2864097000106</v>
      </c>
      <c r="E4067" s="8" t="s">
        <v>1078</v>
      </c>
      <c r="F4067" s="8" t="s">
        <v>131</v>
      </c>
      <c r="G4067" s="8" t="s">
        <v>61</v>
      </c>
      <c r="H4067" s="8" t="s">
        <v>215</v>
      </c>
      <c r="I4067" s="3">
        <v>2</v>
      </c>
      <c r="J4067" s="8" t="s">
        <v>155</v>
      </c>
      <c r="K4067" s="8" t="s">
        <v>156</v>
      </c>
      <c r="L4067" s="8" t="s">
        <v>556</v>
      </c>
      <c r="M4067" s="1" t="s">
        <v>205</v>
      </c>
      <c r="N4067" s="8" t="s">
        <v>206</v>
      </c>
      <c r="O4067" s="6">
        <v>0</v>
      </c>
      <c r="P4067" s="6">
        <v>0</v>
      </c>
      <c r="Q4067" s="6">
        <v>0</v>
      </c>
      <c r="R4067" s="6">
        <v>0</v>
      </c>
      <c r="S4067" s="6">
        <v>165</v>
      </c>
    </row>
    <row r="4068" spans="1:19" ht="15" hidden="1" x14ac:dyDescent="0.25">
      <c r="A4068" s="7" t="s">
        <v>16</v>
      </c>
      <c r="B4068" s="7" t="s">
        <v>372</v>
      </c>
      <c r="C4068" s="7" t="s">
        <v>373</v>
      </c>
      <c r="D4068" s="4">
        <v>2864097000106</v>
      </c>
      <c r="E4068" s="8" t="s">
        <v>1078</v>
      </c>
      <c r="F4068" s="8" t="s">
        <v>131</v>
      </c>
      <c r="G4068" s="8" t="s">
        <v>61</v>
      </c>
      <c r="H4068" s="8" t="s">
        <v>215</v>
      </c>
      <c r="I4068" s="3">
        <v>2</v>
      </c>
      <c r="J4068" s="8" t="s">
        <v>181</v>
      </c>
      <c r="K4068" s="8" t="s">
        <v>182</v>
      </c>
      <c r="L4068" s="8" t="s">
        <v>557</v>
      </c>
      <c r="M4068" s="1" t="s">
        <v>205</v>
      </c>
      <c r="N4068" s="8" t="s">
        <v>206</v>
      </c>
      <c r="O4068" s="6">
        <v>0</v>
      </c>
      <c r="P4068" s="6">
        <v>0</v>
      </c>
      <c r="Q4068" s="6">
        <v>0</v>
      </c>
      <c r="R4068" s="6">
        <v>0</v>
      </c>
      <c r="S4068" s="6">
        <v>165</v>
      </c>
    </row>
    <row r="4069" spans="1:19" ht="15" hidden="1" x14ac:dyDescent="0.25">
      <c r="A4069" s="7" t="s">
        <v>16</v>
      </c>
      <c r="B4069" s="7" t="s">
        <v>372</v>
      </c>
      <c r="C4069" s="7" t="s">
        <v>373</v>
      </c>
      <c r="D4069" s="4">
        <v>39086160000130</v>
      </c>
      <c r="E4069" s="8" t="s">
        <v>1119</v>
      </c>
      <c r="F4069" s="8" t="s">
        <v>131</v>
      </c>
      <c r="G4069" s="8" t="s">
        <v>61</v>
      </c>
      <c r="H4069" s="8" t="s">
        <v>215</v>
      </c>
      <c r="I4069" s="3">
        <v>2</v>
      </c>
      <c r="J4069" s="8" t="s">
        <v>155</v>
      </c>
      <c r="K4069" s="8" t="s">
        <v>156</v>
      </c>
      <c r="L4069" s="8" t="s">
        <v>556</v>
      </c>
      <c r="M4069" s="1" t="s">
        <v>205</v>
      </c>
      <c r="N4069" s="8" t="s">
        <v>206</v>
      </c>
      <c r="O4069" s="6">
        <v>0</v>
      </c>
      <c r="P4069" s="6">
        <v>0</v>
      </c>
      <c r="Q4069" s="6">
        <v>0</v>
      </c>
      <c r="R4069" s="6">
        <v>120</v>
      </c>
      <c r="S4069" s="6">
        <v>450</v>
      </c>
    </row>
    <row r="4070" spans="1:19" ht="15" hidden="1" x14ac:dyDescent="0.25">
      <c r="A4070" s="7" t="s">
        <v>16</v>
      </c>
      <c r="B4070" s="7" t="s">
        <v>372</v>
      </c>
      <c r="C4070" s="7" t="s">
        <v>373</v>
      </c>
      <c r="D4070" s="4">
        <v>39086160000130</v>
      </c>
      <c r="E4070" s="8" t="s">
        <v>1119</v>
      </c>
      <c r="F4070" s="8" t="s">
        <v>131</v>
      </c>
      <c r="G4070" s="8" t="s">
        <v>61</v>
      </c>
      <c r="H4070" s="8" t="s">
        <v>215</v>
      </c>
      <c r="I4070" s="3">
        <v>2</v>
      </c>
      <c r="J4070" s="8" t="s">
        <v>181</v>
      </c>
      <c r="K4070" s="8" t="s">
        <v>182</v>
      </c>
      <c r="L4070" s="8" t="s">
        <v>557</v>
      </c>
      <c r="M4070" s="1" t="s">
        <v>205</v>
      </c>
      <c r="N4070" s="8" t="s">
        <v>206</v>
      </c>
      <c r="O4070" s="6">
        <v>0</v>
      </c>
      <c r="P4070" s="6">
        <v>0</v>
      </c>
      <c r="Q4070" s="6">
        <v>0</v>
      </c>
      <c r="R4070" s="6">
        <v>0</v>
      </c>
      <c r="S4070" s="6">
        <v>450</v>
      </c>
    </row>
    <row r="4071" spans="1:19" ht="15" hidden="1" x14ac:dyDescent="0.25">
      <c r="A4071" s="7" t="s">
        <v>16</v>
      </c>
      <c r="B4071" s="7" t="s">
        <v>372</v>
      </c>
      <c r="C4071" s="7" t="s">
        <v>373</v>
      </c>
      <c r="D4071" s="4">
        <v>21265360000195</v>
      </c>
      <c r="E4071" s="8" t="s">
        <v>1094</v>
      </c>
      <c r="F4071" s="8" t="s">
        <v>131</v>
      </c>
      <c r="G4071" s="8" t="s">
        <v>61</v>
      </c>
      <c r="H4071" s="8" t="s">
        <v>215</v>
      </c>
      <c r="I4071" s="3">
        <v>2</v>
      </c>
      <c r="J4071" s="8" t="s">
        <v>155</v>
      </c>
      <c r="K4071" s="8" t="s">
        <v>156</v>
      </c>
      <c r="L4071" s="8" t="s">
        <v>556</v>
      </c>
      <c r="M4071" s="1" t="s">
        <v>205</v>
      </c>
      <c r="N4071" s="8" t="s">
        <v>206</v>
      </c>
      <c r="O4071" s="6">
        <v>0</v>
      </c>
      <c r="P4071" s="6">
        <v>0</v>
      </c>
      <c r="Q4071" s="6">
        <v>0</v>
      </c>
      <c r="R4071" s="6">
        <v>12</v>
      </c>
      <c r="S4071" s="6">
        <v>0</v>
      </c>
    </row>
    <row r="4072" spans="1:19" ht="15" hidden="1" x14ac:dyDescent="0.25">
      <c r="A4072" s="7" t="s">
        <v>16</v>
      </c>
      <c r="B4072" s="7" t="s">
        <v>372</v>
      </c>
      <c r="C4072" s="7" t="s">
        <v>373</v>
      </c>
      <c r="D4072" s="4">
        <v>21265360000195</v>
      </c>
      <c r="E4072" s="8" t="s">
        <v>1094</v>
      </c>
      <c r="F4072" s="8" t="s">
        <v>131</v>
      </c>
      <c r="G4072" s="8" t="s">
        <v>61</v>
      </c>
      <c r="H4072" s="8" t="s">
        <v>215</v>
      </c>
      <c r="I4072" s="3">
        <v>2</v>
      </c>
      <c r="J4072" s="8" t="s">
        <v>173</v>
      </c>
      <c r="K4072" s="8" t="s">
        <v>174</v>
      </c>
      <c r="L4072" s="8" t="s">
        <v>557</v>
      </c>
      <c r="M4072" s="1" t="s">
        <v>205</v>
      </c>
      <c r="N4072" s="8" t="s">
        <v>206</v>
      </c>
      <c r="O4072" s="6">
        <v>0</v>
      </c>
      <c r="P4072" s="6">
        <v>0</v>
      </c>
      <c r="Q4072" s="6">
        <v>0</v>
      </c>
      <c r="R4072" s="6">
        <v>0</v>
      </c>
      <c r="S4072" s="6">
        <v>0</v>
      </c>
    </row>
    <row r="4073" spans="1:19" ht="15" hidden="1" x14ac:dyDescent="0.25">
      <c r="A4073" s="7" t="s">
        <v>16</v>
      </c>
      <c r="B4073" s="7" t="s">
        <v>372</v>
      </c>
      <c r="C4073" s="7" t="s">
        <v>373</v>
      </c>
      <c r="D4073" s="4">
        <v>31635857000292</v>
      </c>
      <c r="E4073" s="8" t="s">
        <v>1107</v>
      </c>
      <c r="F4073" s="8" t="s">
        <v>131</v>
      </c>
      <c r="G4073" s="8" t="s">
        <v>61</v>
      </c>
      <c r="H4073" s="8" t="s">
        <v>215</v>
      </c>
      <c r="I4073" s="3">
        <v>2</v>
      </c>
      <c r="J4073" s="8" t="s">
        <v>155</v>
      </c>
      <c r="K4073" s="8" t="s">
        <v>156</v>
      </c>
      <c r="L4073" s="8" t="s">
        <v>556</v>
      </c>
      <c r="M4073" s="1" t="s">
        <v>205</v>
      </c>
      <c r="N4073" s="8" t="s">
        <v>206</v>
      </c>
      <c r="O4073" s="6">
        <v>0</v>
      </c>
      <c r="P4073" s="6">
        <v>0</v>
      </c>
      <c r="Q4073" s="6">
        <v>0</v>
      </c>
      <c r="R4073" s="6">
        <v>32</v>
      </c>
      <c r="S4073" s="6">
        <v>0</v>
      </c>
    </row>
    <row r="4074" spans="1:19" ht="15" hidden="1" x14ac:dyDescent="0.25">
      <c r="A4074" s="7" t="s">
        <v>16</v>
      </c>
      <c r="B4074" s="7" t="s">
        <v>372</v>
      </c>
      <c r="C4074" s="7" t="s">
        <v>373</v>
      </c>
      <c r="D4074" s="4">
        <v>31635857000292</v>
      </c>
      <c r="E4074" s="8" t="s">
        <v>1107</v>
      </c>
      <c r="F4074" s="8" t="s">
        <v>131</v>
      </c>
      <c r="G4074" s="8" t="s">
        <v>61</v>
      </c>
      <c r="H4074" s="8" t="s">
        <v>215</v>
      </c>
      <c r="I4074" s="3">
        <v>2</v>
      </c>
      <c r="J4074" s="8" t="s">
        <v>181</v>
      </c>
      <c r="K4074" s="8" t="s">
        <v>182</v>
      </c>
      <c r="L4074" s="8" t="s">
        <v>557</v>
      </c>
      <c r="M4074" s="1" t="s">
        <v>205</v>
      </c>
      <c r="N4074" s="8" t="s">
        <v>206</v>
      </c>
      <c r="O4074" s="6">
        <v>0</v>
      </c>
      <c r="P4074" s="6">
        <v>0</v>
      </c>
      <c r="Q4074" s="6">
        <v>1</v>
      </c>
      <c r="R4074" s="6">
        <v>0</v>
      </c>
      <c r="S4074" s="6">
        <v>0</v>
      </c>
    </row>
    <row r="4075" spans="1:19" ht="15" hidden="1" x14ac:dyDescent="0.25">
      <c r="A4075" s="7" t="s">
        <v>16</v>
      </c>
      <c r="B4075" s="7" t="s">
        <v>372</v>
      </c>
      <c r="C4075" s="7" t="s">
        <v>373</v>
      </c>
      <c r="D4075" s="4">
        <v>2284062000521</v>
      </c>
      <c r="E4075" s="8" t="s">
        <v>1077</v>
      </c>
      <c r="F4075" s="8" t="s">
        <v>131</v>
      </c>
      <c r="G4075" s="8" t="s">
        <v>61</v>
      </c>
      <c r="H4075" s="8" t="s">
        <v>215</v>
      </c>
      <c r="I4075" s="3">
        <v>2</v>
      </c>
      <c r="J4075" s="8" t="s">
        <v>155</v>
      </c>
      <c r="K4075" s="8" t="s">
        <v>156</v>
      </c>
      <c r="L4075" s="8" t="s">
        <v>556</v>
      </c>
      <c r="M4075" s="1" t="s">
        <v>205</v>
      </c>
      <c r="N4075" s="8" t="s">
        <v>206</v>
      </c>
      <c r="O4075" s="6">
        <v>0</v>
      </c>
      <c r="P4075" s="6">
        <v>0</v>
      </c>
      <c r="Q4075" s="6">
        <v>0</v>
      </c>
      <c r="R4075" s="6">
        <v>0</v>
      </c>
      <c r="S4075" s="6">
        <v>0</v>
      </c>
    </row>
    <row r="4076" spans="1:19" ht="15" hidden="1" x14ac:dyDescent="0.25">
      <c r="A4076" s="7" t="s">
        <v>16</v>
      </c>
      <c r="B4076" s="7" t="s">
        <v>372</v>
      </c>
      <c r="C4076" s="7" t="s">
        <v>373</v>
      </c>
      <c r="D4076" s="4">
        <v>2284062000521</v>
      </c>
      <c r="E4076" s="8" t="s">
        <v>1077</v>
      </c>
      <c r="F4076" s="8" t="s">
        <v>131</v>
      </c>
      <c r="G4076" s="8" t="s">
        <v>61</v>
      </c>
      <c r="H4076" s="8" t="s">
        <v>215</v>
      </c>
      <c r="I4076" s="3">
        <v>2</v>
      </c>
      <c r="J4076" s="8" t="s">
        <v>173</v>
      </c>
      <c r="K4076" s="8" t="s">
        <v>174</v>
      </c>
      <c r="L4076" s="8" t="s">
        <v>557</v>
      </c>
      <c r="M4076" s="1" t="s">
        <v>205</v>
      </c>
      <c r="N4076" s="8" t="s">
        <v>206</v>
      </c>
      <c r="O4076" s="6">
        <v>0</v>
      </c>
      <c r="P4076" s="6">
        <v>10</v>
      </c>
      <c r="Q4076" s="6">
        <v>23</v>
      </c>
      <c r="R4076" s="6">
        <v>0</v>
      </c>
      <c r="S4076" s="6">
        <v>0</v>
      </c>
    </row>
    <row r="4077" spans="1:19" ht="15" hidden="1" x14ac:dyDescent="0.25">
      <c r="A4077" s="7" t="s">
        <v>16</v>
      </c>
      <c r="B4077" s="7" t="s">
        <v>372</v>
      </c>
      <c r="C4077" s="7" t="s">
        <v>373</v>
      </c>
      <c r="D4077" s="4">
        <v>24217779000160</v>
      </c>
      <c r="E4077" s="8" t="s">
        <v>1097</v>
      </c>
      <c r="F4077" s="8" t="s">
        <v>131</v>
      </c>
      <c r="G4077" s="8" t="s">
        <v>61</v>
      </c>
      <c r="H4077" s="8" t="s">
        <v>215</v>
      </c>
      <c r="I4077" s="3">
        <v>2</v>
      </c>
      <c r="J4077" s="8" t="s">
        <v>155</v>
      </c>
      <c r="K4077" s="8" t="s">
        <v>156</v>
      </c>
      <c r="L4077" s="8" t="s">
        <v>556</v>
      </c>
      <c r="M4077" s="1" t="s">
        <v>205</v>
      </c>
      <c r="N4077" s="8" t="s">
        <v>206</v>
      </c>
      <c r="O4077" s="6">
        <v>0</v>
      </c>
      <c r="P4077" s="6">
        <v>0</v>
      </c>
      <c r="Q4077" s="6">
        <v>0</v>
      </c>
      <c r="R4077" s="6">
        <v>0</v>
      </c>
      <c r="S4077" s="6">
        <v>0</v>
      </c>
    </row>
    <row r="4078" spans="1:19" ht="15" hidden="1" x14ac:dyDescent="0.25">
      <c r="A4078" s="7" t="s">
        <v>16</v>
      </c>
      <c r="B4078" s="7" t="s">
        <v>372</v>
      </c>
      <c r="C4078" s="7" t="s">
        <v>373</v>
      </c>
      <c r="D4078" s="4">
        <v>24217779000160</v>
      </c>
      <c r="E4078" s="8" t="s">
        <v>1097</v>
      </c>
      <c r="F4078" s="8" t="s">
        <v>131</v>
      </c>
      <c r="G4078" s="8" t="s">
        <v>61</v>
      </c>
      <c r="H4078" s="8" t="s">
        <v>215</v>
      </c>
      <c r="I4078" s="3">
        <v>2</v>
      </c>
      <c r="J4078" s="8" t="s">
        <v>173</v>
      </c>
      <c r="K4078" s="8" t="s">
        <v>174</v>
      </c>
      <c r="L4078" s="8" t="s">
        <v>557</v>
      </c>
      <c r="M4078" s="1" t="s">
        <v>205</v>
      </c>
      <c r="N4078" s="8" t="s">
        <v>206</v>
      </c>
      <c r="O4078" s="6">
        <v>0</v>
      </c>
      <c r="P4078" s="6">
        <v>0</v>
      </c>
      <c r="Q4078" s="6">
        <v>11</v>
      </c>
      <c r="R4078" s="6">
        <v>0</v>
      </c>
      <c r="S4078" s="6">
        <v>0</v>
      </c>
    </row>
    <row r="4079" spans="1:19" ht="15" hidden="1" x14ac:dyDescent="0.25">
      <c r="A4079" s="7" t="s">
        <v>16</v>
      </c>
      <c r="B4079" s="7" t="s">
        <v>372</v>
      </c>
      <c r="C4079" s="7" t="s">
        <v>373</v>
      </c>
      <c r="D4079" s="4">
        <v>6047087002697</v>
      </c>
      <c r="E4079" s="8" t="s">
        <v>1082</v>
      </c>
      <c r="F4079" s="8" t="s">
        <v>131</v>
      </c>
      <c r="G4079" s="8" t="s">
        <v>61</v>
      </c>
      <c r="H4079" s="8" t="s">
        <v>215</v>
      </c>
      <c r="I4079" s="3">
        <v>2</v>
      </c>
      <c r="J4079" s="8" t="s">
        <v>155</v>
      </c>
      <c r="K4079" s="8" t="s">
        <v>156</v>
      </c>
      <c r="L4079" s="8" t="s">
        <v>556</v>
      </c>
      <c r="M4079" s="1" t="s">
        <v>205</v>
      </c>
      <c r="N4079" s="8" t="s">
        <v>206</v>
      </c>
      <c r="O4079" s="6">
        <v>0</v>
      </c>
      <c r="P4079" s="6">
        <v>0</v>
      </c>
      <c r="Q4079" s="6">
        <v>0</v>
      </c>
      <c r="R4079" s="6">
        <v>0</v>
      </c>
      <c r="S4079" s="6">
        <v>50</v>
      </c>
    </row>
    <row r="4080" spans="1:19" ht="15" hidden="1" x14ac:dyDescent="0.25">
      <c r="A4080" s="7" t="s">
        <v>16</v>
      </c>
      <c r="B4080" s="7" t="s">
        <v>372</v>
      </c>
      <c r="C4080" s="7" t="s">
        <v>373</v>
      </c>
      <c r="D4080" s="4">
        <v>6047087002697</v>
      </c>
      <c r="E4080" s="8" t="s">
        <v>1082</v>
      </c>
      <c r="F4080" s="8" t="s">
        <v>131</v>
      </c>
      <c r="G4080" s="8" t="s">
        <v>61</v>
      </c>
      <c r="H4080" s="8" t="s">
        <v>215</v>
      </c>
      <c r="I4080" s="3">
        <v>2</v>
      </c>
      <c r="J4080" s="8" t="s">
        <v>181</v>
      </c>
      <c r="K4080" s="8" t="s">
        <v>182</v>
      </c>
      <c r="L4080" s="8" t="s">
        <v>557</v>
      </c>
      <c r="M4080" s="1" t="s">
        <v>205</v>
      </c>
      <c r="N4080" s="8" t="s">
        <v>206</v>
      </c>
      <c r="O4080" s="6">
        <v>0</v>
      </c>
      <c r="P4080" s="6">
        <v>0</v>
      </c>
      <c r="Q4080" s="6">
        <v>5</v>
      </c>
      <c r="R4080" s="6">
        <v>0</v>
      </c>
      <c r="S4080" s="6">
        <v>50</v>
      </c>
    </row>
    <row r="4081" spans="1:19" ht="15" hidden="1" x14ac:dyDescent="0.25">
      <c r="A4081" s="7" t="s">
        <v>16</v>
      </c>
      <c r="B4081" s="7" t="s">
        <v>372</v>
      </c>
      <c r="C4081" s="7" t="s">
        <v>373</v>
      </c>
      <c r="D4081" s="4">
        <v>394544020453</v>
      </c>
      <c r="E4081" s="8" t="s">
        <v>1074</v>
      </c>
      <c r="F4081" s="8" t="s">
        <v>131</v>
      </c>
      <c r="G4081" s="8" t="s">
        <v>61</v>
      </c>
      <c r="H4081" s="8" t="s">
        <v>215</v>
      </c>
      <c r="I4081" s="3">
        <v>2</v>
      </c>
      <c r="J4081" s="8" t="s">
        <v>155</v>
      </c>
      <c r="K4081" s="8" t="s">
        <v>156</v>
      </c>
      <c r="L4081" s="8" t="s">
        <v>556</v>
      </c>
      <c r="M4081" s="1" t="s">
        <v>205</v>
      </c>
      <c r="N4081" s="8" t="s">
        <v>206</v>
      </c>
      <c r="O4081" s="6">
        <v>0</v>
      </c>
      <c r="P4081" s="6">
        <v>0</v>
      </c>
      <c r="Q4081" s="6">
        <v>0</v>
      </c>
      <c r="R4081" s="6">
        <v>0</v>
      </c>
      <c r="S4081" s="6">
        <v>215</v>
      </c>
    </row>
    <row r="4082" spans="1:19" ht="15" hidden="1" x14ac:dyDescent="0.25">
      <c r="A4082" s="7" t="s">
        <v>16</v>
      </c>
      <c r="B4082" s="7" t="s">
        <v>372</v>
      </c>
      <c r="C4082" s="7" t="s">
        <v>373</v>
      </c>
      <c r="D4082" s="4">
        <v>394544020453</v>
      </c>
      <c r="E4082" s="8" t="s">
        <v>1074</v>
      </c>
      <c r="F4082" s="8" t="s">
        <v>131</v>
      </c>
      <c r="G4082" s="8" t="s">
        <v>61</v>
      </c>
      <c r="H4082" s="8" t="s">
        <v>215</v>
      </c>
      <c r="I4082" s="3">
        <v>2</v>
      </c>
      <c r="J4082" s="8" t="s">
        <v>181</v>
      </c>
      <c r="K4082" s="8" t="s">
        <v>182</v>
      </c>
      <c r="L4082" s="8" t="s">
        <v>557</v>
      </c>
      <c r="M4082" s="1" t="s">
        <v>205</v>
      </c>
      <c r="N4082" s="8" t="s">
        <v>206</v>
      </c>
      <c r="O4082" s="6">
        <v>0</v>
      </c>
      <c r="P4082" s="6">
        <v>0</v>
      </c>
      <c r="Q4082" s="6">
        <v>0</v>
      </c>
      <c r="R4082" s="6">
        <v>0</v>
      </c>
      <c r="S4082" s="6">
        <v>215</v>
      </c>
    </row>
    <row r="4083" spans="1:19" ht="15" hidden="1" x14ac:dyDescent="0.25">
      <c r="A4083" s="7" t="s">
        <v>16</v>
      </c>
      <c r="B4083" s="7" t="s">
        <v>372</v>
      </c>
      <c r="C4083" s="7" t="s">
        <v>373</v>
      </c>
      <c r="D4083" s="4">
        <v>27901222000131</v>
      </c>
      <c r="E4083" s="8" t="s">
        <v>1098</v>
      </c>
      <c r="F4083" s="8" t="s">
        <v>131</v>
      </c>
      <c r="G4083" s="8" t="s">
        <v>61</v>
      </c>
      <c r="H4083" s="8" t="s">
        <v>215</v>
      </c>
      <c r="I4083" s="3">
        <v>2</v>
      </c>
      <c r="J4083" s="8" t="s">
        <v>155</v>
      </c>
      <c r="K4083" s="8" t="s">
        <v>156</v>
      </c>
      <c r="L4083" s="8" t="s">
        <v>556</v>
      </c>
      <c r="M4083" s="1" t="s">
        <v>205</v>
      </c>
      <c r="N4083" s="8" t="s">
        <v>206</v>
      </c>
      <c r="O4083" s="6">
        <v>0</v>
      </c>
      <c r="P4083" s="6">
        <v>0</v>
      </c>
      <c r="Q4083" s="6">
        <v>0</v>
      </c>
      <c r="R4083" s="6">
        <v>0</v>
      </c>
      <c r="S4083" s="6">
        <v>0</v>
      </c>
    </row>
    <row r="4084" spans="1:19" ht="15" hidden="1" x14ac:dyDescent="0.25">
      <c r="A4084" s="7" t="s">
        <v>16</v>
      </c>
      <c r="B4084" s="7" t="s">
        <v>372</v>
      </c>
      <c r="C4084" s="7" t="s">
        <v>373</v>
      </c>
      <c r="D4084" s="4">
        <v>27901222000131</v>
      </c>
      <c r="E4084" s="8" t="s">
        <v>1098</v>
      </c>
      <c r="F4084" s="8" t="s">
        <v>131</v>
      </c>
      <c r="G4084" s="8" t="s">
        <v>61</v>
      </c>
      <c r="H4084" s="8" t="s">
        <v>215</v>
      </c>
      <c r="I4084" s="3">
        <v>2</v>
      </c>
      <c r="J4084" s="8" t="s">
        <v>181</v>
      </c>
      <c r="K4084" s="8" t="s">
        <v>182</v>
      </c>
      <c r="L4084" s="8" t="s">
        <v>557</v>
      </c>
      <c r="M4084" s="1" t="s">
        <v>205</v>
      </c>
      <c r="N4084" s="8" t="s">
        <v>206</v>
      </c>
      <c r="O4084" s="6">
        <v>0</v>
      </c>
      <c r="P4084" s="6">
        <v>10</v>
      </c>
      <c r="Q4084" s="6">
        <v>0</v>
      </c>
      <c r="R4084" s="6">
        <v>0</v>
      </c>
      <c r="S4084" s="6">
        <v>0</v>
      </c>
    </row>
    <row r="4085" spans="1:19" ht="15" hidden="1" x14ac:dyDescent="0.25">
      <c r="A4085" s="7" t="s">
        <v>16</v>
      </c>
      <c r="B4085" s="7" t="s">
        <v>372</v>
      </c>
      <c r="C4085" s="7" t="s">
        <v>373</v>
      </c>
      <c r="D4085" s="4">
        <v>394544020291</v>
      </c>
      <c r="E4085" s="8" t="s">
        <v>1072</v>
      </c>
      <c r="F4085" s="8" t="s">
        <v>131</v>
      </c>
      <c r="G4085" s="8" t="s">
        <v>61</v>
      </c>
      <c r="H4085" s="8" t="s">
        <v>215</v>
      </c>
      <c r="I4085" s="3">
        <v>2</v>
      </c>
      <c r="J4085" s="8" t="s">
        <v>155</v>
      </c>
      <c r="K4085" s="8" t="s">
        <v>156</v>
      </c>
      <c r="L4085" s="8" t="s">
        <v>556</v>
      </c>
      <c r="M4085" s="1" t="s">
        <v>205</v>
      </c>
      <c r="N4085" s="8" t="s">
        <v>206</v>
      </c>
      <c r="O4085" s="6">
        <v>0</v>
      </c>
      <c r="P4085" s="6">
        <v>0</v>
      </c>
      <c r="Q4085" s="6">
        <v>0</v>
      </c>
      <c r="R4085" s="6">
        <v>0</v>
      </c>
      <c r="S4085" s="6">
        <v>0</v>
      </c>
    </row>
    <row r="4086" spans="1:19" ht="15" hidden="1" x14ac:dyDescent="0.25">
      <c r="A4086" s="7" t="s">
        <v>16</v>
      </c>
      <c r="B4086" s="7" t="s">
        <v>372</v>
      </c>
      <c r="C4086" s="7" t="s">
        <v>373</v>
      </c>
      <c r="D4086" s="4">
        <v>394544020291</v>
      </c>
      <c r="E4086" s="8" t="s">
        <v>1072</v>
      </c>
      <c r="F4086" s="8" t="s">
        <v>131</v>
      </c>
      <c r="G4086" s="8" t="s">
        <v>61</v>
      </c>
      <c r="H4086" s="8" t="s">
        <v>215</v>
      </c>
      <c r="I4086" s="3">
        <v>2</v>
      </c>
      <c r="J4086" s="8" t="s">
        <v>173</v>
      </c>
      <c r="K4086" s="8" t="s">
        <v>174</v>
      </c>
      <c r="L4086" s="8" t="s">
        <v>557</v>
      </c>
      <c r="M4086" s="1" t="s">
        <v>205</v>
      </c>
      <c r="N4086" s="8" t="s">
        <v>206</v>
      </c>
      <c r="O4086" s="6">
        <v>0</v>
      </c>
      <c r="P4086" s="6">
        <v>60</v>
      </c>
      <c r="Q4086" s="6">
        <v>0</v>
      </c>
      <c r="R4086" s="6">
        <v>0</v>
      </c>
      <c r="S4086" s="6">
        <v>0</v>
      </c>
    </row>
    <row r="4087" spans="1:19" ht="15" hidden="1" x14ac:dyDescent="0.25">
      <c r="A4087" s="7" t="s">
        <v>16</v>
      </c>
      <c r="B4087" s="7" t="s">
        <v>372</v>
      </c>
      <c r="C4087" s="7" t="s">
        <v>373</v>
      </c>
      <c r="D4087" s="4">
        <v>9578217000158</v>
      </c>
      <c r="E4087" s="8" t="s">
        <v>1089</v>
      </c>
      <c r="F4087" s="8" t="s">
        <v>131</v>
      </c>
      <c r="G4087" s="8" t="s">
        <v>61</v>
      </c>
      <c r="H4087" s="8" t="s">
        <v>215</v>
      </c>
      <c r="I4087" s="3">
        <v>2</v>
      </c>
      <c r="J4087" s="8" t="s">
        <v>155</v>
      </c>
      <c r="K4087" s="8" t="s">
        <v>156</v>
      </c>
      <c r="L4087" s="8" t="s">
        <v>556</v>
      </c>
      <c r="M4087" s="1" t="s">
        <v>205</v>
      </c>
      <c r="N4087" s="8" t="s">
        <v>206</v>
      </c>
      <c r="O4087" s="6">
        <v>0</v>
      </c>
      <c r="P4087" s="6">
        <v>0</v>
      </c>
      <c r="Q4087" s="6">
        <v>0</v>
      </c>
      <c r="R4087" s="6">
        <v>0</v>
      </c>
      <c r="S4087" s="6">
        <v>0</v>
      </c>
    </row>
    <row r="4088" spans="1:19" ht="15" hidden="1" x14ac:dyDescent="0.25">
      <c r="A4088" s="7" t="s">
        <v>16</v>
      </c>
      <c r="B4088" s="7" t="s">
        <v>372</v>
      </c>
      <c r="C4088" s="7" t="s">
        <v>373</v>
      </c>
      <c r="D4088" s="4">
        <v>9578217000158</v>
      </c>
      <c r="E4088" s="8" t="s">
        <v>1089</v>
      </c>
      <c r="F4088" s="8" t="s">
        <v>131</v>
      </c>
      <c r="G4088" s="8" t="s">
        <v>61</v>
      </c>
      <c r="H4088" s="8" t="s">
        <v>215</v>
      </c>
      <c r="I4088" s="3">
        <v>2</v>
      </c>
      <c r="J4088" s="8" t="s">
        <v>181</v>
      </c>
      <c r="K4088" s="8" t="s">
        <v>182</v>
      </c>
      <c r="L4088" s="8" t="s">
        <v>557</v>
      </c>
      <c r="M4088" s="1" t="s">
        <v>205</v>
      </c>
      <c r="N4088" s="8" t="s">
        <v>206</v>
      </c>
      <c r="O4088" s="6">
        <v>0</v>
      </c>
      <c r="P4088" s="6">
        <v>0</v>
      </c>
      <c r="Q4088" s="6">
        <v>1</v>
      </c>
      <c r="R4088" s="6">
        <v>0</v>
      </c>
      <c r="S4088" s="6">
        <v>0</v>
      </c>
    </row>
    <row r="4089" spans="1:19" ht="15" hidden="1" x14ac:dyDescent="0.25">
      <c r="A4089" s="7" t="s">
        <v>16</v>
      </c>
      <c r="B4089" s="7" t="s">
        <v>372</v>
      </c>
      <c r="C4089" s="7" t="s">
        <v>373</v>
      </c>
      <c r="D4089" s="4">
        <v>29435005005783</v>
      </c>
      <c r="E4089" s="8" t="s">
        <v>1104</v>
      </c>
      <c r="F4089" s="8" t="s">
        <v>131</v>
      </c>
      <c r="G4089" s="8" t="s">
        <v>61</v>
      </c>
      <c r="H4089" s="8" t="s">
        <v>215</v>
      </c>
      <c r="I4089" s="3">
        <v>2</v>
      </c>
      <c r="J4089" s="8" t="s">
        <v>155</v>
      </c>
      <c r="K4089" s="8" t="s">
        <v>156</v>
      </c>
      <c r="L4089" s="8" t="s">
        <v>556</v>
      </c>
      <c r="M4089" s="1" t="s">
        <v>205</v>
      </c>
      <c r="N4089" s="8" t="s">
        <v>206</v>
      </c>
      <c r="O4089" s="6">
        <v>0</v>
      </c>
      <c r="P4089" s="6">
        <v>0</v>
      </c>
      <c r="Q4089" s="6">
        <v>0</v>
      </c>
      <c r="R4089" s="6">
        <v>0</v>
      </c>
      <c r="S4089" s="6">
        <v>25</v>
      </c>
    </row>
    <row r="4090" spans="1:19" ht="15" hidden="1" x14ac:dyDescent="0.25">
      <c r="A4090" s="7" t="s">
        <v>16</v>
      </c>
      <c r="B4090" s="7" t="s">
        <v>372</v>
      </c>
      <c r="C4090" s="7" t="s">
        <v>373</v>
      </c>
      <c r="D4090" s="4">
        <v>29435005005783</v>
      </c>
      <c r="E4090" s="8" t="s">
        <v>1104</v>
      </c>
      <c r="F4090" s="8" t="s">
        <v>131</v>
      </c>
      <c r="G4090" s="8" t="s">
        <v>61</v>
      </c>
      <c r="H4090" s="8" t="s">
        <v>215</v>
      </c>
      <c r="I4090" s="3">
        <v>2</v>
      </c>
      <c r="J4090" s="8" t="s">
        <v>173</v>
      </c>
      <c r="K4090" s="8" t="s">
        <v>174</v>
      </c>
      <c r="L4090" s="8" t="s">
        <v>557</v>
      </c>
      <c r="M4090" s="1" t="s">
        <v>205</v>
      </c>
      <c r="N4090" s="8" t="s">
        <v>206</v>
      </c>
      <c r="O4090" s="6">
        <v>0</v>
      </c>
      <c r="P4090" s="6">
        <v>0</v>
      </c>
      <c r="Q4090" s="6">
        <v>0</v>
      </c>
      <c r="R4090" s="6">
        <v>0</v>
      </c>
      <c r="S4090" s="6">
        <v>25</v>
      </c>
    </row>
    <row r="4091" spans="1:19" ht="15" hidden="1" x14ac:dyDescent="0.25">
      <c r="A4091" s="7" t="s">
        <v>16</v>
      </c>
      <c r="B4091" s="7" t="s">
        <v>372</v>
      </c>
      <c r="C4091" s="7" t="s">
        <v>373</v>
      </c>
      <c r="D4091" s="4">
        <v>29435005005198</v>
      </c>
      <c r="E4091" s="8" t="s">
        <v>1102</v>
      </c>
      <c r="F4091" s="8" t="s">
        <v>131</v>
      </c>
      <c r="G4091" s="8" t="s">
        <v>61</v>
      </c>
      <c r="H4091" s="8" t="s">
        <v>215</v>
      </c>
      <c r="I4091" s="3">
        <v>2</v>
      </c>
      <c r="J4091" s="8" t="s">
        <v>155</v>
      </c>
      <c r="K4091" s="8" t="s">
        <v>156</v>
      </c>
      <c r="L4091" s="8" t="s">
        <v>556</v>
      </c>
      <c r="M4091" s="1" t="s">
        <v>205</v>
      </c>
      <c r="N4091" s="8" t="s">
        <v>206</v>
      </c>
      <c r="O4091" s="6">
        <v>0</v>
      </c>
      <c r="P4091" s="6">
        <v>0</v>
      </c>
      <c r="Q4091" s="6">
        <v>0</v>
      </c>
      <c r="R4091" s="6">
        <v>0</v>
      </c>
      <c r="S4091" s="6">
        <v>0</v>
      </c>
    </row>
    <row r="4092" spans="1:19" ht="15" hidden="1" x14ac:dyDescent="0.25">
      <c r="A4092" s="7" t="s">
        <v>16</v>
      </c>
      <c r="B4092" s="7" t="s">
        <v>372</v>
      </c>
      <c r="C4092" s="7" t="s">
        <v>373</v>
      </c>
      <c r="D4092" s="4">
        <v>29435005005198</v>
      </c>
      <c r="E4092" s="8" t="s">
        <v>1102</v>
      </c>
      <c r="F4092" s="8" t="s">
        <v>131</v>
      </c>
      <c r="G4092" s="8" t="s">
        <v>61</v>
      </c>
      <c r="H4092" s="8" t="s">
        <v>215</v>
      </c>
      <c r="I4092" s="3">
        <v>2</v>
      </c>
      <c r="J4092" s="8" t="s">
        <v>181</v>
      </c>
      <c r="K4092" s="8" t="s">
        <v>182</v>
      </c>
      <c r="L4092" s="8" t="s">
        <v>557</v>
      </c>
      <c r="M4092" s="1" t="s">
        <v>205</v>
      </c>
      <c r="N4092" s="8" t="s">
        <v>206</v>
      </c>
      <c r="O4092" s="6">
        <v>0</v>
      </c>
      <c r="P4092" s="6">
        <v>4</v>
      </c>
      <c r="Q4092" s="6">
        <v>12</v>
      </c>
      <c r="R4092" s="6">
        <v>0</v>
      </c>
      <c r="S4092" s="6">
        <v>0</v>
      </c>
    </row>
    <row r="4093" spans="1:19" ht="15" hidden="1" x14ac:dyDescent="0.25">
      <c r="A4093" s="7" t="s">
        <v>16</v>
      </c>
      <c r="B4093" s="7" t="s">
        <v>372</v>
      </c>
      <c r="C4093" s="7" t="s">
        <v>373</v>
      </c>
      <c r="D4093" s="4">
        <v>6047087001020</v>
      </c>
      <c r="E4093" s="8" t="s">
        <v>1081</v>
      </c>
      <c r="F4093" s="8" t="s">
        <v>131</v>
      </c>
      <c r="G4093" s="8" t="s">
        <v>61</v>
      </c>
      <c r="H4093" s="8" t="s">
        <v>215</v>
      </c>
      <c r="I4093" s="3">
        <v>2</v>
      </c>
      <c r="J4093" s="8" t="s">
        <v>155</v>
      </c>
      <c r="K4093" s="8" t="s">
        <v>156</v>
      </c>
      <c r="L4093" s="8" t="s">
        <v>556</v>
      </c>
      <c r="M4093" s="1" t="s">
        <v>205</v>
      </c>
      <c r="N4093" s="8" t="s">
        <v>206</v>
      </c>
      <c r="O4093" s="6">
        <v>0</v>
      </c>
      <c r="P4093" s="6">
        <v>0</v>
      </c>
      <c r="Q4093" s="6">
        <v>0</v>
      </c>
      <c r="R4093" s="6">
        <v>0</v>
      </c>
      <c r="S4093" s="6">
        <v>0</v>
      </c>
    </row>
    <row r="4094" spans="1:19" ht="15" hidden="1" x14ac:dyDescent="0.25">
      <c r="A4094" s="7" t="s">
        <v>16</v>
      </c>
      <c r="B4094" s="7" t="s">
        <v>372</v>
      </c>
      <c r="C4094" s="7" t="s">
        <v>373</v>
      </c>
      <c r="D4094" s="4">
        <v>6047087001020</v>
      </c>
      <c r="E4094" s="8" t="s">
        <v>1081</v>
      </c>
      <c r="F4094" s="8" t="s">
        <v>131</v>
      </c>
      <c r="G4094" s="8" t="s">
        <v>61</v>
      </c>
      <c r="H4094" s="8" t="s">
        <v>215</v>
      </c>
      <c r="I4094" s="3">
        <v>2</v>
      </c>
      <c r="J4094" s="8" t="s">
        <v>181</v>
      </c>
      <c r="K4094" s="8" t="s">
        <v>182</v>
      </c>
      <c r="L4094" s="8" t="s">
        <v>557</v>
      </c>
      <c r="M4094" s="1" t="s">
        <v>205</v>
      </c>
      <c r="N4094" s="8" t="s">
        <v>206</v>
      </c>
      <c r="O4094" s="6">
        <v>0</v>
      </c>
      <c r="P4094" s="6">
        <v>115</v>
      </c>
      <c r="Q4094" s="6">
        <v>70</v>
      </c>
      <c r="R4094" s="6">
        <v>0</v>
      </c>
      <c r="S4094" s="6">
        <v>0</v>
      </c>
    </row>
    <row r="4095" spans="1:19" ht="15" hidden="1" x14ac:dyDescent="0.25">
      <c r="A4095" s="7" t="s">
        <v>16</v>
      </c>
      <c r="B4095" s="7" t="s">
        <v>372</v>
      </c>
      <c r="C4095" s="7" t="s">
        <v>373</v>
      </c>
      <c r="D4095" s="4">
        <v>29259736000403</v>
      </c>
      <c r="E4095" s="8" t="s">
        <v>1101</v>
      </c>
      <c r="F4095" s="8" t="s">
        <v>131</v>
      </c>
      <c r="G4095" s="8" t="s">
        <v>61</v>
      </c>
      <c r="H4095" s="8" t="s">
        <v>215</v>
      </c>
      <c r="I4095" s="3">
        <v>2</v>
      </c>
      <c r="J4095" s="8" t="s">
        <v>155</v>
      </c>
      <c r="K4095" s="8" t="s">
        <v>156</v>
      </c>
      <c r="L4095" s="8" t="s">
        <v>556</v>
      </c>
      <c r="M4095" s="1" t="s">
        <v>205</v>
      </c>
      <c r="N4095" s="8" t="s">
        <v>206</v>
      </c>
      <c r="O4095" s="6">
        <v>0</v>
      </c>
      <c r="P4095" s="6">
        <v>0</v>
      </c>
      <c r="Q4095" s="6">
        <v>0</v>
      </c>
      <c r="R4095" s="6">
        <v>52</v>
      </c>
      <c r="S4095" s="6">
        <v>0</v>
      </c>
    </row>
    <row r="4096" spans="1:19" ht="15" hidden="1" x14ac:dyDescent="0.25">
      <c r="A4096" s="7" t="s">
        <v>16</v>
      </c>
      <c r="B4096" s="7" t="s">
        <v>372</v>
      </c>
      <c r="C4096" s="7" t="s">
        <v>373</v>
      </c>
      <c r="D4096" s="4">
        <v>29259736000403</v>
      </c>
      <c r="E4096" s="8" t="s">
        <v>1101</v>
      </c>
      <c r="F4096" s="8" t="s">
        <v>131</v>
      </c>
      <c r="G4096" s="8" t="s">
        <v>61</v>
      </c>
      <c r="H4096" s="8" t="s">
        <v>215</v>
      </c>
      <c r="I4096" s="3">
        <v>2</v>
      </c>
      <c r="J4096" s="8" t="s">
        <v>181</v>
      </c>
      <c r="K4096" s="8" t="s">
        <v>182</v>
      </c>
      <c r="L4096" s="8" t="s">
        <v>557</v>
      </c>
      <c r="M4096" s="1" t="s">
        <v>205</v>
      </c>
      <c r="N4096" s="8" t="s">
        <v>206</v>
      </c>
      <c r="O4096" s="6">
        <v>0</v>
      </c>
      <c r="P4096" s="6">
        <v>0</v>
      </c>
      <c r="Q4096" s="6">
        <v>0</v>
      </c>
      <c r="R4096" s="6">
        <v>0</v>
      </c>
      <c r="S4096" s="6">
        <v>0</v>
      </c>
    </row>
    <row r="4097" spans="1:19" ht="15" hidden="1" x14ac:dyDescent="0.25">
      <c r="A4097" s="7" t="s">
        <v>16</v>
      </c>
      <c r="B4097" s="7" t="s">
        <v>372</v>
      </c>
      <c r="C4097" s="7" t="s">
        <v>373</v>
      </c>
      <c r="D4097" s="4">
        <v>8100676002102</v>
      </c>
      <c r="E4097" s="8" t="s">
        <v>1085</v>
      </c>
      <c r="F4097" s="8" t="s">
        <v>131</v>
      </c>
      <c r="G4097" s="8" t="s">
        <v>61</v>
      </c>
      <c r="H4097" s="8" t="s">
        <v>215</v>
      </c>
      <c r="I4097" s="3">
        <v>2</v>
      </c>
      <c r="J4097" s="8" t="s">
        <v>155</v>
      </c>
      <c r="K4097" s="8" t="s">
        <v>156</v>
      </c>
      <c r="L4097" s="8" t="s">
        <v>556</v>
      </c>
      <c r="M4097" s="1" t="s">
        <v>205</v>
      </c>
      <c r="N4097" s="8" t="s">
        <v>206</v>
      </c>
      <c r="O4097" s="6">
        <v>0</v>
      </c>
      <c r="P4097" s="6">
        <v>0</v>
      </c>
      <c r="Q4097" s="6">
        <v>0</v>
      </c>
      <c r="R4097" s="6">
        <v>0</v>
      </c>
      <c r="S4097" s="6">
        <v>0</v>
      </c>
    </row>
    <row r="4098" spans="1:19" ht="15" hidden="1" x14ac:dyDescent="0.25">
      <c r="A4098" s="7" t="s">
        <v>16</v>
      </c>
      <c r="B4098" s="7" t="s">
        <v>372</v>
      </c>
      <c r="C4098" s="7" t="s">
        <v>373</v>
      </c>
      <c r="D4098" s="4">
        <v>8100676002102</v>
      </c>
      <c r="E4098" s="8" t="s">
        <v>1085</v>
      </c>
      <c r="F4098" s="8" t="s">
        <v>131</v>
      </c>
      <c r="G4098" s="8" t="s">
        <v>61</v>
      </c>
      <c r="H4098" s="8" t="s">
        <v>215</v>
      </c>
      <c r="I4098" s="3">
        <v>2</v>
      </c>
      <c r="J4098" s="8" t="s">
        <v>181</v>
      </c>
      <c r="K4098" s="8" t="s">
        <v>182</v>
      </c>
      <c r="L4098" s="8" t="s">
        <v>557</v>
      </c>
      <c r="M4098" s="1" t="s">
        <v>205</v>
      </c>
      <c r="N4098" s="8" t="s">
        <v>206</v>
      </c>
      <c r="O4098" s="6">
        <v>0</v>
      </c>
      <c r="P4098" s="6">
        <v>16</v>
      </c>
      <c r="Q4098" s="6">
        <v>0</v>
      </c>
      <c r="R4098" s="6">
        <v>0</v>
      </c>
      <c r="S4098" s="6">
        <v>0</v>
      </c>
    </row>
    <row r="4099" spans="1:19" ht="15" hidden="1" x14ac:dyDescent="0.25">
      <c r="A4099" s="7" t="s">
        <v>16</v>
      </c>
      <c r="B4099" s="7" t="s">
        <v>372</v>
      </c>
      <c r="C4099" s="7" t="s">
        <v>373</v>
      </c>
      <c r="D4099" s="4">
        <v>29435005006160</v>
      </c>
      <c r="E4099" s="8" t="s">
        <v>1105</v>
      </c>
      <c r="F4099" s="8" t="s">
        <v>131</v>
      </c>
      <c r="G4099" s="8" t="s">
        <v>61</v>
      </c>
      <c r="H4099" s="8" t="s">
        <v>215</v>
      </c>
      <c r="I4099" s="3">
        <v>2</v>
      </c>
      <c r="J4099" s="8" t="s">
        <v>155</v>
      </c>
      <c r="K4099" s="8" t="s">
        <v>156</v>
      </c>
      <c r="L4099" s="8" t="s">
        <v>556</v>
      </c>
      <c r="M4099" s="1" t="s">
        <v>205</v>
      </c>
      <c r="N4099" s="8" t="s">
        <v>206</v>
      </c>
      <c r="O4099" s="6">
        <v>0</v>
      </c>
      <c r="P4099" s="6">
        <v>0</v>
      </c>
      <c r="Q4099" s="6">
        <v>0</v>
      </c>
      <c r="R4099" s="6">
        <v>0</v>
      </c>
      <c r="S4099" s="6">
        <v>0</v>
      </c>
    </row>
    <row r="4100" spans="1:19" ht="15" hidden="1" x14ac:dyDescent="0.25">
      <c r="A4100" s="7" t="s">
        <v>16</v>
      </c>
      <c r="B4100" s="7" t="s">
        <v>372</v>
      </c>
      <c r="C4100" s="7" t="s">
        <v>373</v>
      </c>
      <c r="D4100" s="4">
        <v>29435005006160</v>
      </c>
      <c r="E4100" s="8" t="s">
        <v>1105</v>
      </c>
      <c r="F4100" s="8" t="s">
        <v>131</v>
      </c>
      <c r="G4100" s="8" t="s">
        <v>61</v>
      </c>
      <c r="H4100" s="8" t="s">
        <v>215</v>
      </c>
      <c r="I4100" s="3">
        <v>2</v>
      </c>
      <c r="J4100" s="8" t="s">
        <v>181</v>
      </c>
      <c r="K4100" s="8" t="s">
        <v>182</v>
      </c>
      <c r="L4100" s="8" t="s">
        <v>557</v>
      </c>
      <c r="M4100" s="1" t="s">
        <v>205</v>
      </c>
      <c r="N4100" s="8" t="s">
        <v>206</v>
      </c>
      <c r="O4100" s="6">
        <v>0</v>
      </c>
      <c r="P4100" s="6">
        <v>28</v>
      </c>
      <c r="Q4100" s="6">
        <v>11</v>
      </c>
      <c r="R4100" s="6">
        <v>0</v>
      </c>
      <c r="S4100" s="6">
        <v>0</v>
      </c>
    </row>
    <row r="4101" spans="1:19" ht="15" hidden="1" x14ac:dyDescent="0.25">
      <c r="A4101" s="7" t="s">
        <v>16</v>
      </c>
      <c r="B4101" s="7" t="s">
        <v>372</v>
      </c>
      <c r="C4101" s="7" t="s">
        <v>373</v>
      </c>
      <c r="D4101" s="4">
        <v>60884855001630</v>
      </c>
      <c r="E4101" s="8" t="s">
        <v>1124</v>
      </c>
      <c r="F4101" s="8" t="s">
        <v>131</v>
      </c>
      <c r="G4101" s="8" t="s">
        <v>61</v>
      </c>
      <c r="H4101" s="8" t="s">
        <v>215</v>
      </c>
      <c r="I4101" s="3">
        <v>2</v>
      </c>
      <c r="J4101" s="8" t="s">
        <v>155</v>
      </c>
      <c r="K4101" s="8" t="s">
        <v>156</v>
      </c>
      <c r="L4101" s="8" t="s">
        <v>556</v>
      </c>
      <c r="M4101" s="1" t="s">
        <v>205</v>
      </c>
      <c r="N4101" s="8" t="s">
        <v>206</v>
      </c>
      <c r="O4101" s="6">
        <v>0</v>
      </c>
      <c r="P4101" s="6">
        <v>0</v>
      </c>
      <c r="Q4101" s="6">
        <v>0</v>
      </c>
      <c r="R4101" s="6">
        <v>0</v>
      </c>
      <c r="S4101" s="6">
        <v>135</v>
      </c>
    </row>
    <row r="4102" spans="1:19" ht="15" hidden="1" x14ac:dyDescent="0.25">
      <c r="A4102" s="7" t="s">
        <v>16</v>
      </c>
      <c r="B4102" s="7" t="s">
        <v>372</v>
      </c>
      <c r="C4102" s="7" t="s">
        <v>373</v>
      </c>
      <c r="D4102" s="4">
        <v>60884855001630</v>
      </c>
      <c r="E4102" s="8" t="s">
        <v>1124</v>
      </c>
      <c r="F4102" s="8" t="s">
        <v>131</v>
      </c>
      <c r="G4102" s="8" t="s">
        <v>61</v>
      </c>
      <c r="H4102" s="8" t="s">
        <v>215</v>
      </c>
      <c r="I4102" s="3">
        <v>2</v>
      </c>
      <c r="J4102" s="8" t="s">
        <v>173</v>
      </c>
      <c r="K4102" s="8" t="s">
        <v>174</v>
      </c>
      <c r="L4102" s="8" t="s">
        <v>557</v>
      </c>
      <c r="M4102" s="1" t="s">
        <v>205</v>
      </c>
      <c r="N4102" s="8" t="s">
        <v>206</v>
      </c>
      <c r="O4102" s="6">
        <v>0</v>
      </c>
      <c r="P4102" s="6">
        <v>0</v>
      </c>
      <c r="Q4102" s="6">
        <v>15</v>
      </c>
      <c r="R4102" s="6">
        <v>0</v>
      </c>
      <c r="S4102" s="6">
        <v>135</v>
      </c>
    </row>
    <row r="4103" spans="1:19" ht="15" hidden="1" x14ac:dyDescent="0.25">
      <c r="A4103" s="7" t="s">
        <v>16</v>
      </c>
      <c r="B4103" s="7" t="s">
        <v>372</v>
      </c>
      <c r="C4103" s="7" t="s">
        <v>373</v>
      </c>
      <c r="D4103" s="4">
        <v>18010750000100</v>
      </c>
      <c r="E4103" s="8" t="s">
        <v>1092</v>
      </c>
      <c r="F4103" s="8" t="s">
        <v>131</v>
      </c>
      <c r="G4103" s="8" t="s">
        <v>61</v>
      </c>
      <c r="H4103" s="8" t="s">
        <v>215</v>
      </c>
      <c r="I4103" s="3">
        <v>2</v>
      </c>
      <c r="J4103" s="8" t="s">
        <v>155</v>
      </c>
      <c r="K4103" s="8" t="s">
        <v>156</v>
      </c>
      <c r="L4103" s="8" t="s">
        <v>556</v>
      </c>
      <c r="M4103" s="1" t="s">
        <v>205</v>
      </c>
      <c r="N4103" s="8" t="s">
        <v>206</v>
      </c>
      <c r="O4103" s="6">
        <v>0</v>
      </c>
      <c r="P4103" s="6">
        <v>0</v>
      </c>
      <c r="Q4103" s="6">
        <v>0</v>
      </c>
      <c r="R4103" s="6">
        <v>0</v>
      </c>
      <c r="S4103" s="6">
        <v>60</v>
      </c>
    </row>
    <row r="4104" spans="1:19" ht="15" hidden="1" x14ac:dyDescent="0.25">
      <c r="A4104" s="7" t="s">
        <v>16</v>
      </c>
      <c r="B4104" s="7" t="s">
        <v>372</v>
      </c>
      <c r="C4104" s="7" t="s">
        <v>373</v>
      </c>
      <c r="D4104" s="4">
        <v>18010750000100</v>
      </c>
      <c r="E4104" s="8" t="s">
        <v>1092</v>
      </c>
      <c r="F4104" s="8" t="s">
        <v>131</v>
      </c>
      <c r="G4104" s="8" t="s">
        <v>61</v>
      </c>
      <c r="H4104" s="8" t="s">
        <v>215</v>
      </c>
      <c r="I4104" s="3">
        <v>2</v>
      </c>
      <c r="J4104" s="8" t="s">
        <v>173</v>
      </c>
      <c r="K4104" s="8" t="s">
        <v>174</v>
      </c>
      <c r="L4104" s="8" t="s">
        <v>557</v>
      </c>
      <c r="M4104" s="1" t="s">
        <v>205</v>
      </c>
      <c r="N4104" s="8" t="s">
        <v>206</v>
      </c>
      <c r="O4104" s="6">
        <v>0</v>
      </c>
      <c r="P4104" s="6">
        <v>0</v>
      </c>
      <c r="Q4104" s="6">
        <v>0</v>
      </c>
      <c r="R4104" s="6">
        <v>0</v>
      </c>
      <c r="S4104" s="6">
        <v>60</v>
      </c>
    </row>
    <row r="4105" spans="1:19" ht="15" hidden="1" x14ac:dyDescent="0.25">
      <c r="A4105" s="7" t="s">
        <v>16</v>
      </c>
      <c r="B4105" s="7" t="s">
        <v>372</v>
      </c>
      <c r="C4105" s="7" t="s">
        <v>373</v>
      </c>
      <c r="D4105" s="4">
        <v>33663683005347</v>
      </c>
      <c r="E4105" s="8" t="s">
        <v>1114</v>
      </c>
      <c r="F4105" s="8" t="s">
        <v>131</v>
      </c>
      <c r="G4105" s="8" t="s">
        <v>61</v>
      </c>
      <c r="H4105" s="8" t="s">
        <v>215</v>
      </c>
      <c r="I4105" s="3">
        <v>2</v>
      </c>
      <c r="J4105" s="8" t="s">
        <v>155</v>
      </c>
      <c r="K4105" s="8" t="s">
        <v>156</v>
      </c>
      <c r="L4105" s="8" t="s">
        <v>556</v>
      </c>
      <c r="M4105" s="1" t="s">
        <v>205</v>
      </c>
      <c r="N4105" s="8" t="s">
        <v>206</v>
      </c>
      <c r="O4105" s="6">
        <v>0</v>
      </c>
      <c r="P4105" s="6">
        <v>0</v>
      </c>
      <c r="Q4105" s="6">
        <v>0</v>
      </c>
      <c r="R4105" s="6">
        <v>0</v>
      </c>
      <c r="S4105" s="6">
        <v>0</v>
      </c>
    </row>
    <row r="4106" spans="1:19" ht="15" hidden="1" x14ac:dyDescent="0.25">
      <c r="A4106" s="7" t="s">
        <v>16</v>
      </c>
      <c r="B4106" s="7" t="s">
        <v>372</v>
      </c>
      <c r="C4106" s="7" t="s">
        <v>373</v>
      </c>
      <c r="D4106" s="4">
        <v>33663683005347</v>
      </c>
      <c r="E4106" s="8" t="s">
        <v>1114</v>
      </c>
      <c r="F4106" s="8" t="s">
        <v>131</v>
      </c>
      <c r="G4106" s="8" t="s">
        <v>61</v>
      </c>
      <c r="H4106" s="8" t="s">
        <v>215</v>
      </c>
      <c r="I4106" s="3">
        <v>2</v>
      </c>
      <c r="J4106" s="8" t="s">
        <v>173</v>
      </c>
      <c r="K4106" s="8" t="s">
        <v>174</v>
      </c>
      <c r="L4106" s="8" t="s">
        <v>557</v>
      </c>
      <c r="M4106" s="1" t="s">
        <v>205</v>
      </c>
      <c r="N4106" s="8" t="s">
        <v>206</v>
      </c>
      <c r="O4106" s="6">
        <v>0</v>
      </c>
      <c r="P4106" s="6">
        <v>108</v>
      </c>
      <c r="Q4106" s="6">
        <v>126</v>
      </c>
      <c r="R4106" s="6">
        <v>0</v>
      </c>
      <c r="S4106" s="6">
        <v>0</v>
      </c>
    </row>
    <row r="4107" spans="1:19" ht="15" hidden="1" x14ac:dyDescent="0.25">
      <c r="A4107" s="7" t="s">
        <v>16</v>
      </c>
      <c r="B4107" s="7" t="s">
        <v>372</v>
      </c>
      <c r="C4107" s="7" t="s">
        <v>373</v>
      </c>
      <c r="D4107" s="4">
        <v>8850962000222</v>
      </c>
      <c r="E4107" s="8" t="s">
        <v>1086</v>
      </c>
      <c r="F4107" s="8" t="s">
        <v>131</v>
      </c>
      <c r="G4107" s="8" t="s">
        <v>61</v>
      </c>
      <c r="H4107" s="8" t="s">
        <v>215</v>
      </c>
      <c r="I4107" s="3">
        <v>2</v>
      </c>
      <c r="J4107" s="8" t="s">
        <v>155</v>
      </c>
      <c r="K4107" s="8" t="s">
        <v>156</v>
      </c>
      <c r="L4107" s="8" t="s">
        <v>556</v>
      </c>
      <c r="M4107" s="1" t="s">
        <v>205</v>
      </c>
      <c r="N4107" s="8" t="s">
        <v>206</v>
      </c>
      <c r="O4107" s="6">
        <v>0</v>
      </c>
      <c r="P4107" s="6">
        <v>0</v>
      </c>
      <c r="Q4107" s="6">
        <v>0</v>
      </c>
      <c r="R4107" s="6">
        <v>0</v>
      </c>
      <c r="S4107" s="6">
        <v>0</v>
      </c>
    </row>
    <row r="4108" spans="1:19" ht="15" hidden="1" x14ac:dyDescent="0.25">
      <c r="A4108" s="7" t="s">
        <v>16</v>
      </c>
      <c r="B4108" s="7" t="s">
        <v>372</v>
      </c>
      <c r="C4108" s="7" t="s">
        <v>373</v>
      </c>
      <c r="D4108" s="4">
        <v>8850962000222</v>
      </c>
      <c r="E4108" s="8" t="s">
        <v>1086</v>
      </c>
      <c r="F4108" s="8" t="s">
        <v>131</v>
      </c>
      <c r="G4108" s="8" t="s">
        <v>61</v>
      </c>
      <c r="H4108" s="8" t="s">
        <v>215</v>
      </c>
      <c r="I4108" s="3">
        <v>2</v>
      </c>
      <c r="J4108" s="8" t="s">
        <v>181</v>
      </c>
      <c r="K4108" s="8" t="s">
        <v>182</v>
      </c>
      <c r="L4108" s="8" t="s">
        <v>557</v>
      </c>
      <c r="M4108" s="1" t="s">
        <v>205</v>
      </c>
      <c r="N4108" s="8" t="s">
        <v>206</v>
      </c>
      <c r="O4108" s="6">
        <v>0</v>
      </c>
      <c r="P4108" s="6">
        <v>10</v>
      </c>
      <c r="Q4108" s="6">
        <v>6</v>
      </c>
      <c r="R4108" s="6">
        <v>0</v>
      </c>
      <c r="S4108" s="6">
        <v>0</v>
      </c>
    </row>
    <row r="4109" spans="1:19" ht="15" hidden="1" x14ac:dyDescent="0.25">
      <c r="A4109" s="7" t="s">
        <v>16</v>
      </c>
      <c r="B4109" s="7" t="s">
        <v>372</v>
      </c>
      <c r="C4109" s="7" t="s">
        <v>373</v>
      </c>
      <c r="D4109" s="4">
        <v>394544021344</v>
      </c>
      <c r="E4109" s="8" t="s">
        <v>1076</v>
      </c>
      <c r="F4109" s="8" t="s">
        <v>131</v>
      </c>
      <c r="G4109" s="8" t="s">
        <v>61</v>
      </c>
      <c r="H4109" s="8" t="s">
        <v>215</v>
      </c>
      <c r="I4109" s="3">
        <v>2</v>
      </c>
      <c r="J4109" s="8" t="s">
        <v>155</v>
      </c>
      <c r="K4109" s="8" t="s">
        <v>156</v>
      </c>
      <c r="L4109" s="8" t="s">
        <v>556</v>
      </c>
      <c r="M4109" s="1" t="s">
        <v>205</v>
      </c>
      <c r="N4109" s="8" t="s">
        <v>206</v>
      </c>
      <c r="O4109" s="6">
        <v>0</v>
      </c>
      <c r="P4109" s="6">
        <v>0</v>
      </c>
      <c r="Q4109" s="6">
        <v>0</v>
      </c>
      <c r="R4109" s="6">
        <v>0</v>
      </c>
      <c r="S4109" s="6">
        <v>0</v>
      </c>
    </row>
    <row r="4110" spans="1:19" ht="15" hidden="1" x14ac:dyDescent="0.25">
      <c r="A4110" s="7" t="s">
        <v>16</v>
      </c>
      <c r="B4110" s="7" t="s">
        <v>372</v>
      </c>
      <c r="C4110" s="7" t="s">
        <v>373</v>
      </c>
      <c r="D4110" s="4">
        <v>394544021344</v>
      </c>
      <c r="E4110" s="8" t="s">
        <v>1076</v>
      </c>
      <c r="F4110" s="8" t="s">
        <v>131</v>
      </c>
      <c r="G4110" s="8" t="s">
        <v>61</v>
      </c>
      <c r="H4110" s="8" t="s">
        <v>215</v>
      </c>
      <c r="I4110" s="3">
        <v>2</v>
      </c>
      <c r="J4110" s="8" t="s">
        <v>181</v>
      </c>
      <c r="K4110" s="8" t="s">
        <v>182</v>
      </c>
      <c r="L4110" s="8" t="s">
        <v>557</v>
      </c>
      <c r="M4110" s="1" t="s">
        <v>205</v>
      </c>
      <c r="N4110" s="8" t="s">
        <v>206</v>
      </c>
      <c r="O4110" s="6">
        <v>0</v>
      </c>
      <c r="P4110" s="6">
        <v>10</v>
      </c>
      <c r="Q4110" s="6">
        <v>0</v>
      </c>
      <c r="R4110" s="6">
        <v>0</v>
      </c>
      <c r="S4110" s="6">
        <v>0</v>
      </c>
    </row>
    <row r="4111" spans="1:19" ht="15" hidden="1" x14ac:dyDescent="0.25">
      <c r="A4111" s="7" t="s">
        <v>16</v>
      </c>
      <c r="B4111" s="7" t="s">
        <v>372</v>
      </c>
      <c r="C4111" s="7" t="s">
        <v>373</v>
      </c>
      <c r="D4111" s="4">
        <v>2880648000125</v>
      </c>
      <c r="E4111" s="8" t="s">
        <v>1411</v>
      </c>
      <c r="F4111" s="8" t="s">
        <v>131</v>
      </c>
      <c r="G4111" s="8" t="s">
        <v>61</v>
      </c>
      <c r="H4111" s="8" t="s">
        <v>215</v>
      </c>
      <c r="I4111" s="3">
        <v>2</v>
      </c>
      <c r="J4111" s="8" t="s">
        <v>155</v>
      </c>
      <c r="K4111" s="8" t="s">
        <v>156</v>
      </c>
      <c r="L4111" s="8" t="s">
        <v>556</v>
      </c>
      <c r="M4111" s="1" t="s">
        <v>205</v>
      </c>
      <c r="N4111" s="8" t="s">
        <v>206</v>
      </c>
      <c r="O4111" s="6">
        <v>0</v>
      </c>
      <c r="P4111" s="6">
        <v>0</v>
      </c>
      <c r="Q4111" s="6">
        <v>0</v>
      </c>
      <c r="R4111" s="6">
        <v>12</v>
      </c>
      <c r="S4111" s="6">
        <v>0</v>
      </c>
    </row>
    <row r="4112" spans="1:19" ht="15" hidden="1" x14ac:dyDescent="0.25">
      <c r="A4112" s="7" t="s">
        <v>16</v>
      </c>
      <c r="B4112" s="7" t="s">
        <v>372</v>
      </c>
      <c r="C4112" s="7" t="s">
        <v>373</v>
      </c>
      <c r="D4112" s="4">
        <v>2880648000125</v>
      </c>
      <c r="E4112" s="8" t="s">
        <v>1411</v>
      </c>
      <c r="F4112" s="8" t="s">
        <v>131</v>
      </c>
      <c r="G4112" s="8" t="s">
        <v>61</v>
      </c>
      <c r="H4112" s="8" t="s">
        <v>215</v>
      </c>
      <c r="I4112" s="3">
        <v>2</v>
      </c>
      <c r="J4112" s="8" t="s">
        <v>181</v>
      </c>
      <c r="K4112" s="8" t="s">
        <v>182</v>
      </c>
      <c r="L4112" s="8" t="s">
        <v>557</v>
      </c>
      <c r="M4112" s="1" t="s">
        <v>205</v>
      </c>
      <c r="N4112" s="8" t="s">
        <v>206</v>
      </c>
      <c r="O4112" s="6">
        <v>0</v>
      </c>
      <c r="P4112" s="6">
        <v>0</v>
      </c>
      <c r="Q4112" s="6">
        <v>0</v>
      </c>
      <c r="R4112" s="6">
        <v>0</v>
      </c>
      <c r="S4112" s="6">
        <v>0</v>
      </c>
    </row>
    <row r="4113" spans="1:19" ht="15" hidden="1" x14ac:dyDescent="0.25">
      <c r="A4113" s="7" t="s">
        <v>16</v>
      </c>
      <c r="B4113" s="7" t="s">
        <v>372</v>
      </c>
      <c r="C4113" s="7" t="s">
        <v>373</v>
      </c>
      <c r="D4113" s="4">
        <v>33419482000259</v>
      </c>
      <c r="E4113" s="8" t="s">
        <v>1111</v>
      </c>
      <c r="F4113" s="8" t="s">
        <v>131</v>
      </c>
      <c r="G4113" s="8" t="s">
        <v>61</v>
      </c>
      <c r="H4113" s="8" t="s">
        <v>215</v>
      </c>
      <c r="I4113" s="3">
        <v>2</v>
      </c>
      <c r="J4113" s="8" t="s">
        <v>155</v>
      </c>
      <c r="K4113" s="8" t="s">
        <v>156</v>
      </c>
      <c r="L4113" s="8" t="s">
        <v>556</v>
      </c>
      <c r="M4113" s="1" t="s">
        <v>205</v>
      </c>
      <c r="N4113" s="8" t="s">
        <v>206</v>
      </c>
      <c r="O4113" s="6">
        <v>0</v>
      </c>
      <c r="P4113" s="6">
        <v>0</v>
      </c>
      <c r="Q4113" s="6">
        <v>0</v>
      </c>
      <c r="R4113" s="6">
        <v>0</v>
      </c>
      <c r="S4113" s="6">
        <v>0</v>
      </c>
    </row>
    <row r="4114" spans="1:19" ht="15" hidden="1" x14ac:dyDescent="0.25">
      <c r="A4114" s="7" t="s">
        <v>16</v>
      </c>
      <c r="B4114" s="7" t="s">
        <v>372</v>
      </c>
      <c r="C4114" s="7" t="s">
        <v>373</v>
      </c>
      <c r="D4114" s="4">
        <v>33419482000259</v>
      </c>
      <c r="E4114" s="8" t="s">
        <v>1111</v>
      </c>
      <c r="F4114" s="8" t="s">
        <v>131</v>
      </c>
      <c r="G4114" s="8" t="s">
        <v>61</v>
      </c>
      <c r="H4114" s="8" t="s">
        <v>215</v>
      </c>
      <c r="I4114" s="3">
        <v>2</v>
      </c>
      <c r="J4114" s="8" t="s">
        <v>181</v>
      </c>
      <c r="K4114" s="8" t="s">
        <v>182</v>
      </c>
      <c r="L4114" s="8" t="s">
        <v>557</v>
      </c>
      <c r="M4114" s="1" t="s">
        <v>205</v>
      </c>
      <c r="N4114" s="8" t="s">
        <v>206</v>
      </c>
      <c r="O4114" s="6">
        <v>0</v>
      </c>
      <c r="P4114" s="6">
        <v>4</v>
      </c>
      <c r="Q4114" s="6">
        <v>6</v>
      </c>
      <c r="R4114" s="6">
        <v>0</v>
      </c>
      <c r="S4114" s="6">
        <v>0</v>
      </c>
    </row>
    <row r="4115" spans="1:19" ht="15" hidden="1" x14ac:dyDescent="0.25">
      <c r="A4115" s="7" t="s">
        <v>16</v>
      </c>
      <c r="B4115" s="7" t="s">
        <v>372</v>
      </c>
      <c r="C4115" s="7" t="s">
        <v>373</v>
      </c>
      <c r="D4115" s="4">
        <v>72101124000506</v>
      </c>
      <c r="E4115" s="8" t="s">
        <v>1126</v>
      </c>
      <c r="F4115" s="8" t="s">
        <v>131</v>
      </c>
      <c r="G4115" s="8" t="s">
        <v>61</v>
      </c>
      <c r="H4115" s="8" t="s">
        <v>215</v>
      </c>
      <c r="I4115" s="3">
        <v>2</v>
      </c>
      <c r="J4115" s="8" t="s">
        <v>155</v>
      </c>
      <c r="K4115" s="8" t="s">
        <v>156</v>
      </c>
      <c r="L4115" s="8" t="s">
        <v>556</v>
      </c>
      <c r="M4115" s="1" t="s">
        <v>205</v>
      </c>
      <c r="N4115" s="8" t="s">
        <v>206</v>
      </c>
      <c r="O4115" s="6">
        <v>0</v>
      </c>
      <c r="P4115" s="6">
        <v>0</v>
      </c>
      <c r="Q4115" s="6">
        <v>0</v>
      </c>
      <c r="R4115" s="6">
        <v>75</v>
      </c>
      <c r="S4115" s="6">
        <v>390</v>
      </c>
    </row>
    <row r="4116" spans="1:19" ht="15" hidden="1" x14ac:dyDescent="0.25">
      <c r="A4116" s="7" t="s">
        <v>16</v>
      </c>
      <c r="B4116" s="7" t="s">
        <v>372</v>
      </c>
      <c r="C4116" s="7" t="s">
        <v>373</v>
      </c>
      <c r="D4116" s="4">
        <v>72101124000506</v>
      </c>
      <c r="E4116" s="8" t="s">
        <v>1126</v>
      </c>
      <c r="F4116" s="8" t="s">
        <v>131</v>
      </c>
      <c r="G4116" s="8" t="s">
        <v>61</v>
      </c>
      <c r="H4116" s="8" t="s">
        <v>215</v>
      </c>
      <c r="I4116" s="3">
        <v>2</v>
      </c>
      <c r="J4116" s="8" t="s">
        <v>181</v>
      </c>
      <c r="K4116" s="8" t="s">
        <v>182</v>
      </c>
      <c r="L4116" s="8" t="s">
        <v>557</v>
      </c>
      <c r="M4116" s="1" t="s">
        <v>205</v>
      </c>
      <c r="N4116" s="8" t="s">
        <v>206</v>
      </c>
      <c r="O4116" s="6">
        <v>0</v>
      </c>
      <c r="P4116" s="6">
        <v>0</v>
      </c>
      <c r="Q4116" s="6">
        <v>0</v>
      </c>
      <c r="R4116" s="6">
        <v>0</v>
      </c>
      <c r="S4116" s="6">
        <v>390</v>
      </c>
    </row>
    <row r="4117" spans="1:19" ht="15" hidden="1" x14ac:dyDescent="0.25">
      <c r="A4117" s="7" t="s">
        <v>16</v>
      </c>
      <c r="B4117" s="7" t="s">
        <v>372</v>
      </c>
      <c r="C4117" s="7" t="s">
        <v>373</v>
      </c>
      <c r="D4117" s="4">
        <v>28000107000159</v>
      </c>
      <c r="E4117" s="8" t="s">
        <v>1099</v>
      </c>
      <c r="F4117" s="8" t="s">
        <v>131</v>
      </c>
      <c r="G4117" s="8" t="s">
        <v>61</v>
      </c>
      <c r="H4117" s="8" t="s">
        <v>215</v>
      </c>
      <c r="I4117" s="3">
        <v>2</v>
      </c>
      <c r="J4117" s="8" t="s">
        <v>155</v>
      </c>
      <c r="K4117" s="8" t="s">
        <v>156</v>
      </c>
      <c r="L4117" s="8" t="s">
        <v>556</v>
      </c>
      <c r="M4117" s="1" t="s">
        <v>205</v>
      </c>
      <c r="N4117" s="8" t="s">
        <v>206</v>
      </c>
      <c r="O4117" s="6">
        <v>0</v>
      </c>
      <c r="P4117" s="6">
        <v>0</v>
      </c>
      <c r="Q4117" s="6">
        <v>0</v>
      </c>
      <c r="R4117" s="6">
        <v>64</v>
      </c>
      <c r="S4117" s="6">
        <v>90</v>
      </c>
    </row>
    <row r="4118" spans="1:19" ht="15" hidden="1" x14ac:dyDescent="0.25">
      <c r="A4118" s="7" t="s">
        <v>16</v>
      </c>
      <c r="B4118" s="7" t="s">
        <v>372</v>
      </c>
      <c r="C4118" s="7" t="s">
        <v>373</v>
      </c>
      <c r="D4118" s="4">
        <v>28000107000159</v>
      </c>
      <c r="E4118" s="8" t="s">
        <v>1099</v>
      </c>
      <c r="F4118" s="8" t="s">
        <v>131</v>
      </c>
      <c r="G4118" s="8" t="s">
        <v>61</v>
      </c>
      <c r="H4118" s="8" t="s">
        <v>215</v>
      </c>
      <c r="I4118" s="3">
        <v>2</v>
      </c>
      <c r="J4118" s="8" t="s">
        <v>181</v>
      </c>
      <c r="K4118" s="8" t="s">
        <v>182</v>
      </c>
      <c r="L4118" s="8" t="s">
        <v>557</v>
      </c>
      <c r="M4118" s="1" t="s">
        <v>205</v>
      </c>
      <c r="N4118" s="8" t="s">
        <v>206</v>
      </c>
      <c r="O4118" s="6">
        <v>0</v>
      </c>
      <c r="P4118" s="6">
        <v>0</v>
      </c>
      <c r="Q4118" s="6">
        <v>0</v>
      </c>
      <c r="R4118" s="6">
        <v>0</v>
      </c>
      <c r="S4118" s="6">
        <v>90</v>
      </c>
    </row>
    <row r="4119" spans="1:19" ht="15" hidden="1" x14ac:dyDescent="0.25">
      <c r="A4119" s="7" t="s">
        <v>16</v>
      </c>
      <c r="B4119" s="7" t="s">
        <v>372</v>
      </c>
      <c r="C4119" s="7" t="s">
        <v>373</v>
      </c>
      <c r="D4119" s="4">
        <v>33000167000101</v>
      </c>
      <c r="E4119" s="8" t="s">
        <v>1110</v>
      </c>
      <c r="F4119" s="8" t="s">
        <v>131</v>
      </c>
      <c r="G4119" s="8" t="s">
        <v>61</v>
      </c>
      <c r="H4119" s="8" t="s">
        <v>215</v>
      </c>
      <c r="I4119" s="3">
        <v>2</v>
      </c>
      <c r="J4119" s="8" t="s">
        <v>155</v>
      </c>
      <c r="K4119" s="8" t="s">
        <v>156</v>
      </c>
      <c r="L4119" s="8" t="s">
        <v>556</v>
      </c>
      <c r="M4119" s="1" t="s">
        <v>205</v>
      </c>
      <c r="N4119" s="8" t="s">
        <v>206</v>
      </c>
      <c r="O4119" s="6">
        <v>0</v>
      </c>
      <c r="P4119" s="6">
        <v>0</v>
      </c>
      <c r="Q4119" s="6">
        <v>0</v>
      </c>
      <c r="R4119" s="6">
        <v>0</v>
      </c>
      <c r="S4119" s="6">
        <v>145</v>
      </c>
    </row>
    <row r="4120" spans="1:19" ht="15" hidden="1" x14ac:dyDescent="0.25">
      <c r="A4120" s="7" t="s">
        <v>16</v>
      </c>
      <c r="B4120" s="7" t="s">
        <v>372</v>
      </c>
      <c r="C4120" s="7" t="s">
        <v>373</v>
      </c>
      <c r="D4120" s="4">
        <v>33000167000101</v>
      </c>
      <c r="E4120" s="8" t="s">
        <v>1110</v>
      </c>
      <c r="F4120" s="8" t="s">
        <v>131</v>
      </c>
      <c r="G4120" s="8" t="s">
        <v>61</v>
      </c>
      <c r="H4120" s="8" t="s">
        <v>215</v>
      </c>
      <c r="I4120" s="3">
        <v>2</v>
      </c>
      <c r="J4120" s="8" t="s">
        <v>181</v>
      </c>
      <c r="K4120" s="8" t="s">
        <v>182</v>
      </c>
      <c r="L4120" s="8" t="s">
        <v>557</v>
      </c>
      <c r="M4120" s="1" t="s">
        <v>205</v>
      </c>
      <c r="N4120" s="8" t="s">
        <v>206</v>
      </c>
      <c r="O4120" s="6">
        <v>0</v>
      </c>
      <c r="P4120" s="6">
        <v>0</v>
      </c>
      <c r="Q4120" s="6">
        <v>0</v>
      </c>
      <c r="R4120" s="6">
        <v>0</v>
      </c>
      <c r="S4120" s="6">
        <v>145</v>
      </c>
    </row>
    <row r="4121" spans="1:19" ht="15" hidden="1" x14ac:dyDescent="0.25">
      <c r="A4121" s="7" t="s">
        <v>16</v>
      </c>
      <c r="B4121" s="7" t="s">
        <v>372</v>
      </c>
      <c r="C4121" s="7" t="s">
        <v>373</v>
      </c>
      <c r="D4121" s="4">
        <v>92929000198</v>
      </c>
      <c r="E4121" s="8" t="s">
        <v>1327</v>
      </c>
      <c r="F4121" s="8" t="s">
        <v>131</v>
      </c>
      <c r="G4121" s="8" t="s">
        <v>61</v>
      </c>
      <c r="H4121" s="8" t="s">
        <v>215</v>
      </c>
      <c r="I4121" s="3">
        <v>2</v>
      </c>
      <c r="J4121" s="8" t="s">
        <v>155</v>
      </c>
      <c r="K4121" s="8" t="s">
        <v>156</v>
      </c>
      <c r="L4121" s="8" t="s">
        <v>556</v>
      </c>
      <c r="M4121" s="1" t="s">
        <v>205</v>
      </c>
      <c r="N4121" s="8" t="s">
        <v>206</v>
      </c>
      <c r="O4121" s="6">
        <v>0</v>
      </c>
      <c r="P4121" s="6">
        <v>0</v>
      </c>
      <c r="Q4121" s="6">
        <v>0</v>
      </c>
      <c r="R4121" s="6">
        <v>60</v>
      </c>
      <c r="S4121" s="6">
        <v>0</v>
      </c>
    </row>
    <row r="4122" spans="1:19" ht="15" hidden="1" x14ac:dyDescent="0.25">
      <c r="A4122" s="7" t="s">
        <v>16</v>
      </c>
      <c r="B4122" s="7" t="s">
        <v>372</v>
      </c>
      <c r="C4122" s="7" t="s">
        <v>373</v>
      </c>
      <c r="D4122" s="4">
        <v>92929000198</v>
      </c>
      <c r="E4122" s="8" t="s">
        <v>1327</v>
      </c>
      <c r="F4122" s="8" t="s">
        <v>131</v>
      </c>
      <c r="G4122" s="8" t="s">
        <v>61</v>
      </c>
      <c r="H4122" s="8" t="s">
        <v>215</v>
      </c>
      <c r="I4122" s="3">
        <v>2</v>
      </c>
      <c r="J4122" s="8" t="s">
        <v>181</v>
      </c>
      <c r="K4122" s="8" t="s">
        <v>182</v>
      </c>
      <c r="L4122" s="8" t="s">
        <v>557</v>
      </c>
      <c r="M4122" s="1" t="s">
        <v>205</v>
      </c>
      <c r="N4122" s="8" t="s">
        <v>206</v>
      </c>
      <c r="O4122" s="6">
        <v>0</v>
      </c>
      <c r="P4122" s="6">
        <v>0</v>
      </c>
      <c r="Q4122" s="6">
        <v>0</v>
      </c>
      <c r="R4122" s="6">
        <v>0</v>
      </c>
      <c r="S4122" s="6">
        <v>0</v>
      </c>
    </row>
    <row r="4123" spans="1:19" ht="15" hidden="1" x14ac:dyDescent="0.25">
      <c r="A4123" s="7" t="s">
        <v>16</v>
      </c>
      <c r="B4123" s="7" t="s">
        <v>372</v>
      </c>
      <c r="C4123" s="7" t="s">
        <v>373</v>
      </c>
      <c r="D4123" s="4">
        <v>9219138000401</v>
      </c>
      <c r="E4123" s="8" t="s">
        <v>1087</v>
      </c>
      <c r="F4123" s="8" t="s">
        <v>131</v>
      </c>
      <c r="G4123" s="8" t="s">
        <v>61</v>
      </c>
      <c r="H4123" s="8" t="s">
        <v>215</v>
      </c>
      <c r="I4123" s="3">
        <v>2</v>
      </c>
      <c r="J4123" s="8" t="s">
        <v>155</v>
      </c>
      <c r="K4123" s="8" t="s">
        <v>156</v>
      </c>
      <c r="L4123" s="8" t="s">
        <v>556</v>
      </c>
      <c r="M4123" s="1" t="s">
        <v>205</v>
      </c>
      <c r="N4123" s="8" t="s">
        <v>206</v>
      </c>
      <c r="O4123" s="6">
        <v>0</v>
      </c>
      <c r="P4123" s="6">
        <v>0</v>
      </c>
      <c r="Q4123" s="6">
        <v>0</v>
      </c>
      <c r="R4123" s="6">
        <v>80</v>
      </c>
      <c r="S4123" s="6">
        <v>750</v>
      </c>
    </row>
    <row r="4124" spans="1:19" ht="15" hidden="1" x14ac:dyDescent="0.25">
      <c r="A4124" s="7" t="s">
        <v>16</v>
      </c>
      <c r="B4124" s="7" t="s">
        <v>372</v>
      </c>
      <c r="C4124" s="7" t="s">
        <v>373</v>
      </c>
      <c r="D4124" s="4">
        <v>9219138000401</v>
      </c>
      <c r="E4124" s="8" t="s">
        <v>1087</v>
      </c>
      <c r="F4124" s="8" t="s">
        <v>131</v>
      </c>
      <c r="G4124" s="8" t="s">
        <v>61</v>
      </c>
      <c r="H4124" s="8" t="s">
        <v>215</v>
      </c>
      <c r="I4124" s="3">
        <v>2</v>
      </c>
      <c r="J4124" s="8" t="s">
        <v>181</v>
      </c>
      <c r="K4124" s="8" t="s">
        <v>182</v>
      </c>
      <c r="L4124" s="8" t="s">
        <v>557</v>
      </c>
      <c r="M4124" s="1" t="s">
        <v>205</v>
      </c>
      <c r="N4124" s="8" t="s">
        <v>206</v>
      </c>
      <c r="O4124" s="6">
        <v>0</v>
      </c>
      <c r="P4124" s="6">
        <v>0</v>
      </c>
      <c r="Q4124" s="6">
        <v>0</v>
      </c>
      <c r="R4124" s="6">
        <v>0</v>
      </c>
      <c r="S4124" s="6">
        <v>750</v>
      </c>
    </row>
    <row r="4125" spans="1:19" ht="15" hidden="1" x14ac:dyDescent="0.25">
      <c r="A4125" s="7" t="s">
        <v>16</v>
      </c>
      <c r="B4125" s="7" t="s">
        <v>372</v>
      </c>
      <c r="C4125" s="7" t="s">
        <v>373</v>
      </c>
      <c r="D4125" s="4">
        <v>9219138000584</v>
      </c>
      <c r="E4125" s="8" t="s">
        <v>1088</v>
      </c>
      <c r="F4125" s="8" t="s">
        <v>131</v>
      </c>
      <c r="G4125" s="8" t="s">
        <v>61</v>
      </c>
      <c r="H4125" s="8" t="s">
        <v>215</v>
      </c>
      <c r="I4125" s="3">
        <v>2</v>
      </c>
      <c r="J4125" s="8" t="s">
        <v>155</v>
      </c>
      <c r="K4125" s="8" t="s">
        <v>156</v>
      </c>
      <c r="L4125" s="8" t="s">
        <v>556</v>
      </c>
      <c r="M4125" s="1" t="s">
        <v>205</v>
      </c>
      <c r="N4125" s="8" t="s">
        <v>206</v>
      </c>
      <c r="O4125" s="6">
        <v>0</v>
      </c>
      <c r="P4125" s="6">
        <v>0</v>
      </c>
      <c r="Q4125" s="6">
        <v>0</v>
      </c>
      <c r="R4125" s="6">
        <v>124</v>
      </c>
      <c r="S4125" s="6">
        <v>710</v>
      </c>
    </row>
    <row r="4126" spans="1:19" ht="15" hidden="1" x14ac:dyDescent="0.25">
      <c r="A4126" s="7" t="s">
        <v>16</v>
      </c>
      <c r="B4126" s="7" t="s">
        <v>372</v>
      </c>
      <c r="C4126" s="7" t="s">
        <v>373</v>
      </c>
      <c r="D4126" s="4">
        <v>9219138000584</v>
      </c>
      <c r="E4126" s="8" t="s">
        <v>1088</v>
      </c>
      <c r="F4126" s="8" t="s">
        <v>131</v>
      </c>
      <c r="G4126" s="8" t="s">
        <v>61</v>
      </c>
      <c r="H4126" s="8" t="s">
        <v>215</v>
      </c>
      <c r="I4126" s="3">
        <v>2</v>
      </c>
      <c r="J4126" s="8" t="s">
        <v>173</v>
      </c>
      <c r="K4126" s="8" t="s">
        <v>174</v>
      </c>
      <c r="L4126" s="8" t="s">
        <v>557</v>
      </c>
      <c r="M4126" s="1" t="s">
        <v>205</v>
      </c>
      <c r="N4126" s="8" t="s">
        <v>206</v>
      </c>
      <c r="O4126" s="6">
        <v>0</v>
      </c>
      <c r="P4126" s="6">
        <v>0</v>
      </c>
      <c r="Q4126" s="6">
        <v>6</v>
      </c>
      <c r="R4126" s="6">
        <v>0</v>
      </c>
      <c r="S4126" s="6">
        <v>710</v>
      </c>
    </row>
    <row r="4127" spans="1:19" ht="15" hidden="1" x14ac:dyDescent="0.25">
      <c r="A4127" s="7" t="s">
        <v>16</v>
      </c>
      <c r="B4127" s="7" t="s">
        <v>372</v>
      </c>
      <c r="C4127" s="7" t="s">
        <v>373</v>
      </c>
      <c r="D4127" s="4">
        <v>28602407000108</v>
      </c>
      <c r="E4127" s="8" t="s">
        <v>1100</v>
      </c>
      <c r="F4127" s="8" t="s">
        <v>131</v>
      </c>
      <c r="G4127" s="8" t="s">
        <v>61</v>
      </c>
      <c r="H4127" s="8" t="s">
        <v>215</v>
      </c>
      <c r="I4127" s="3">
        <v>2</v>
      </c>
      <c r="J4127" s="8" t="s">
        <v>155</v>
      </c>
      <c r="K4127" s="8" t="s">
        <v>156</v>
      </c>
      <c r="L4127" s="8" t="s">
        <v>556</v>
      </c>
      <c r="M4127" s="1" t="s">
        <v>205</v>
      </c>
      <c r="N4127" s="8" t="s">
        <v>206</v>
      </c>
      <c r="O4127" s="6">
        <v>0</v>
      </c>
      <c r="P4127" s="6">
        <v>0</v>
      </c>
      <c r="Q4127" s="6">
        <v>0</v>
      </c>
      <c r="R4127" s="6">
        <v>2</v>
      </c>
      <c r="S4127" s="6">
        <v>0</v>
      </c>
    </row>
    <row r="4128" spans="1:19" ht="15" hidden="1" x14ac:dyDescent="0.25">
      <c r="A4128" s="7" t="s">
        <v>16</v>
      </c>
      <c r="B4128" s="7" t="s">
        <v>372</v>
      </c>
      <c r="C4128" s="7" t="s">
        <v>373</v>
      </c>
      <c r="D4128" s="4">
        <v>28602407000108</v>
      </c>
      <c r="E4128" s="8" t="s">
        <v>1100</v>
      </c>
      <c r="F4128" s="8" t="s">
        <v>131</v>
      </c>
      <c r="G4128" s="8" t="s">
        <v>61</v>
      </c>
      <c r="H4128" s="8" t="s">
        <v>215</v>
      </c>
      <c r="I4128" s="3">
        <v>2</v>
      </c>
      <c r="J4128" s="8" t="s">
        <v>181</v>
      </c>
      <c r="K4128" s="8" t="s">
        <v>182</v>
      </c>
      <c r="L4128" s="8" t="s">
        <v>557</v>
      </c>
      <c r="M4128" s="1" t="s">
        <v>205</v>
      </c>
      <c r="N4128" s="8" t="s">
        <v>206</v>
      </c>
      <c r="O4128" s="6">
        <v>0</v>
      </c>
      <c r="P4128" s="6">
        <v>0</v>
      </c>
      <c r="Q4128" s="6">
        <v>0</v>
      </c>
      <c r="R4128" s="6">
        <v>0</v>
      </c>
      <c r="S4128" s="6">
        <v>0</v>
      </c>
    </row>
    <row r="4129" spans="1:19" ht="15" hidden="1" x14ac:dyDescent="0.25">
      <c r="A4129" s="7" t="s">
        <v>16</v>
      </c>
      <c r="B4129" s="7" t="s">
        <v>372</v>
      </c>
      <c r="C4129" s="7" t="s">
        <v>373</v>
      </c>
      <c r="D4129" s="4">
        <v>8319329000121</v>
      </c>
      <c r="E4129" s="8" t="s">
        <v>823</v>
      </c>
      <c r="F4129" s="8" t="s">
        <v>62</v>
      </c>
      <c r="G4129" s="8" t="s">
        <v>63</v>
      </c>
      <c r="H4129" s="8" t="s">
        <v>215</v>
      </c>
      <c r="I4129" s="3">
        <v>2</v>
      </c>
      <c r="J4129" s="8" t="s">
        <v>199</v>
      </c>
      <c r="K4129" s="8" t="s">
        <v>200</v>
      </c>
      <c r="L4129" s="8" t="s">
        <v>556</v>
      </c>
      <c r="M4129" s="1" t="s">
        <v>211</v>
      </c>
      <c r="N4129" s="8" t="s">
        <v>212</v>
      </c>
      <c r="O4129" s="6">
        <v>0</v>
      </c>
      <c r="P4129" s="6">
        <v>0</v>
      </c>
      <c r="Q4129" s="6">
        <v>0</v>
      </c>
      <c r="R4129" s="6">
        <v>0</v>
      </c>
      <c r="S4129" s="6">
        <v>0</v>
      </c>
    </row>
    <row r="4130" spans="1:19" ht="15" hidden="1" x14ac:dyDescent="0.25">
      <c r="A4130" s="7" t="s">
        <v>16</v>
      </c>
      <c r="B4130" s="7" t="s">
        <v>372</v>
      </c>
      <c r="C4130" s="7" t="s">
        <v>373</v>
      </c>
      <c r="D4130" s="4">
        <v>8319329000121</v>
      </c>
      <c r="E4130" s="8" t="s">
        <v>823</v>
      </c>
      <c r="F4130" s="8" t="s">
        <v>62</v>
      </c>
      <c r="G4130" s="8" t="s">
        <v>63</v>
      </c>
      <c r="H4130" s="8" t="s">
        <v>215</v>
      </c>
      <c r="I4130" s="3">
        <v>2</v>
      </c>
      <c r="J4130" s="8" t="s">
        <v>169</v>
      </c>
      <c r="K4130" s="8" t="s">
        <v>170</v>
      </c>
      <c r="L4130" s="8" t="s">
        <v>557</v>
      </c>
      <c r="M4130" s="1" t="s">
        <v>211</v>
      </c>
      <c r="N4130" s="8" t="s">
        <v>212</v>
      </c>
      <c r="O4130" s="6">
        <v>0</v>
      </c>
      <c r="P4130" s="6">
        <v>36</v>
      </c>
      <c r="Q4130" s="6">
        <v>0</v>
      </c>
      <c r="R4130" s="6">
        <v>0</v>
      </c>
      <c r="S4130" s="6">
        <v>0</v>
      </c>
    </row>
    <row r="4131" spans="1:19" ht="15" hidden="1" x14ac:dyDescent="0.25">
      <c r="A4131" s="7" t="s">
        <v>16</v>
      </c>
      <c r="B4131" s="7" t="s">
        <v>372</v>
      </c>
      <c r="C4131" s="7" t="s">
        <v>373</v>
      </c>
      <c r="D4131" s="4">
        <v>29435005009851</v>
      </c>
      <c r="E4131" s="8" t="s">
        <v>913</v>
      </c>
      <c r="F4131" s="8" t="s">
        <v>62</v>
      </c>
      <c r="G4131" s="8" t="s">
        <v>63</v>
      </c>
      <c r="H4131" s="8" t="s">
        <v>215</v>
      </c>
      <c r="I4131" s="3">
        <v>2</v>
      </c>
      <c r="J4131" s="8" t="s">
        <v>199</v>
      </c>
      <c r="K4131" s="8" t="s">
        <v>200</v>
      </c>
      <c r="L4131" s="8" t="s">
        <v>556</v>
      </c>
      <c r="M4131" s="1" t="s">
        <v>211</v>
      </c>
      <c r="N4131" s="8" t="s">
        <v>212</v>
      </c>
      <c r="O4131" s="6">
        <v>0</v>
      </c>
      <c r="P4131" s="6">
        <v>0</v>
      </c>
      <c r="Q4131" s="6">
        <v>0</v>
      </c>
      <c r="R4131" s="6">
        <v>0</v>
      </c>
      <c r="S4131" s="6">
        <v>0</v>
      </c>
    </row>
    <row r="4132" spans="1:19" ht="15" hidden="1" x14ac:dyDescent="0.25">
      <c r="A4132" s="7" t="s">
        <v>16</v>
      </c>
      <c r="B4132" s="7" t="s">
        <v>372</v>
      </c>
      <c r="C4132" s="7" t="s">
        <v>373</v>
      </c>
      <c r="D4132" s="4">
        <v>29435005009851</v>
      </c>
      <c r="E4132" s="8" t="s">
        <v>913</v>
      </c>
      <c r="F4132" s="8" t="s">
        <v>62</v>
      </c>
      <c r="G4132" s="8" t="s">
        <v>63</v>
      </c>
      <c r="H4132" s="8" t="s">
        <v>215</v>
      </c>
      <c r="I4132" s="3">
        <v>2</v>
      </c>
      <c r="J4132" s="8" t="s">
        <v>169</v>
      </c>
      <c r="K4132" s="8" t="s">
        <v>170</v>
      </c>
      <c r="L4132" s="8" t="s">
        <v>557</v>
      </c>
      <c r="M4132" s="1" t="s">
        <v>211</v>
      </c>
      <c r="N4132" s="8" t="s">
        <v>212</v>
      </c>
      <c r="O4132" s="6">
        <v>0</v>
      </c>
      <c r="P4132" s="6">
        <v>0</v>
      </c>
      <c r="Q4132" s="6">
        <v>8</v>
      </c>
      <c r="R4132" s="6">
        <v>0</v>
      </c>
      <c r="S4132" s="6">
        <v>0</v>
      </c>
    </row>
    <row r="4133" spans="1:19" ht="15" hidden="1" x14ac:dyDescent="0.25">
      <c r="A4133" s="7" t="s">
        <v>16</v>
      </c>
      <c r="B4133" s="7" t="s">
        <v>372</v>
      </c>
      <c r="C4133" s="7" t="s">
        <v>373</v>
      </c>
      <c r="D4133" s="4">
        <v>820737000150</v>
      </c>
      <c r="E4133" s="8" t="s">
        <v>757</v>
      </c>
      <c r="F4133" s="8" t="s">
        <v>62</v>
      </c>
      <c r="G4133" s="8" t="s">
        <v>63</v>
      </c>
      <c r="H4133" s="8" t="s">
        <v>215</v>
      </c>
      <c r="I4133" s="3">
        <v>2</v>
      </c>
      <c r="J4133" s="8" t="s">
        <v>199</v>
      </c>
      <c r="K4133" s="8" t="s">
        <v>200</v>
      </c>
      <c r="L4133" s="8" t="s">
        <v>556</v>
      </c>
      <c r="M4133" s="1" t="s">
        <v>211</v>
      </c>
      <c r="N4133" s="8" t="s">
        <v>212</v>
      </c>
      <c r="O4133" s="6">
        <v>0</v>
      </c>
      <c r="P4133" s="6">
        <v>0</v>
      </c>
      <c r="Q4133" s="6">
        <v>0</v>
      </c>
      <c r="R4133" s="6">
        <v>0</v>
      </c>
      <c r="S4133" s="6">
        <v>0</v>
      </c>
    </row>
    <row r="4134" spans="1:19" ht="15" hidden="1" x14ac:dyDescent="0.25">
      <c r="A4134" s="7" t="s">
        <v>16</v>
      </c>
      <c r="B4134" s="7" t="s">
        <v>372</v>
      </c>
      <c r="C4134" s="7" t="s">
        <v>373</v>
      </c>
      <c r="D4134" s="4">
        <v>820737000150</v>
      </c>
      <c r="E4134" s="8" t="s">
        <v>757</v>
      </c>
      <c r="F4134" s="8" t="s">
        <v>62</v>
      </c>
      <c r="G4134" s="8" t="s">
        <v>63</v>
      </c>
      <c r="H4134" s="8" t="s">
        <v>215</v>
      </c>
      <c r="I4134" s="3">
        <v>2</v>
      </c>
      <c r="J4134" s="8" t="s">
        <v>169</v>
      </c>
      <c r="K4134" s="8" t="s">
        <v>170</v>
      </c>
      <c r="L4134" s="8" t="s">
        <v>557</v>
      </c>
      <c r="M4134" s="1" t="s">
        <v>211</v>
      </c>
      <c r="N4134" s="8" t="s">
        <v>212</v>
      </c>
      <c r="O4134" s="6">
        <v>0</v>
      </c>
      <c r="P4134" s="6">
        <v>20</v>
      </c>
      <c r="Q4134" s="6">
        <v>0</v>
      </c>
      <c r="R4134" s="6">
        <v>0</v>
      </c>
      <c r="S4134" s="6">
        <v>0</v>
      </c>
    </row>
    <row r="4135" spans="1:19" ht="15" hidden="1" x14ac:dyDescent="0.25">
      <c r="A4135" s="7" t="s">
        <v>16</v>
      </c>
      <c r="B4135" s="7" t="s">
        <v>372</v>
      </c>
      <c r="C4135" s="7" t="s">
        <v>373</v>
      </c>
      <c r="D4135" s="4">
        <v>87547444000120</v>
      </c>
      <c r="E4135" s="8" t="s">
        <v>1017</v>
      </c>
      <c r="F4135" s="8" t="s">
        <v>1018</v>
      </c>
      <c r="G4135" s="8" t="s">
        <v>67</v>
      </c>
      <c r="H4135" s="8" t="s">
        <v>215</v>
      </c>
      <c r="I4135" s="3">
        <v>2</v>
      </c>
      <c r="J4135" s="8" t="s">
        <v>175</v>
      </c>
      <c r="K4135" s="8" t="s">
        <v>176</v>
      </c>
      <c r="L4135" s="8" t="s">
        <v>556</v>
      </c>
      <c r="M4135" s="1" t="s">
        <v>205</v>
      </c>
      <c r="N4135" s="8" t="s">
        <v>206</v>
      </c>
      <c r="O4135" s="6">
        <v>0</v>
      </c>
      <c r="P4135" s="6">
        <v>0</v>
      </c>
      <c r="Q4135" s="6">
        <v>0</v>
      </c>
      <c r="R4135" s="6">
        <v>0</v>
      </c>
      <c r="S4135" s="6">
        <v>240</v>
      </c>
    </row>
    <row r="4136" spans="1:19" ht="15" hidden="1" x14ac:dyDescent="0.25">
      <c r="A4136" s="7" t="s">
        <v>16</v>
      </c>
      <c r="B4136" s="7" t="s">
        <v>372</v>
      </c>
      <c r="C4136" s="7" t="s">
        <v>373</v>
      </c>
      <c r="D4136" s="4">
        <v>87547444000120</v>
      </c>
      <c r="E4136" s="8" t="s">
        <v>1017</v>
      </c>
      <c r="F4136" s="8" t="s">
        <v>1018</v>
      </c>
      <c r="G4136" s="8" t="s">
        <v>67</v>
      </c>
      <c r="H4136" s="8" t="s">
        <v>215</v>
      </c>
      <c r="I4136" s="3">
        <v>2</v>
      </c>
      <c r="J4136" s="8" t="s">
        <v>144</v>
      </c>
      <c r="K4136" s="8" t="s">
        <v>145</v>
      </c>
      <c r="L4136" s="8" t="s">
        <v>557</v>
      </c>
      <c r="M4136" s="1" t="s">
        <v>205</v>
      </c>
      <c r="N4136" s="8" t="s">
        <v>206</v>
      </c>
      <c r="O4136" s="6">
        <v>0</v>
      </c>
      <c r="P4136" s="6">
        <v>0</v>
      </c>
      <c r="Q4136" s="6">
        <v>0</v>
      </c>
      <c r="R4136" s="6">
        <v>0</v>
      </c>
      <c r="S4136" s="6">
        <v>240</v>
      </c>
    </row>
    <row r="4137" spans="1:19" ht="15" hidden="1" x14ac:dyDescent="0.25">
      <c r="A4137" s="7" t="s">
        <v>16</v>
      </c>
      <c r="B4137" s="7" t="s">
        <v>372</v>
      </c>
      <c r="C4137" s="7" t="s">
        <v>373</v>
      </c>
      <c r="D4137" s="4">
        <v>773639001505</v>
      </c>
      <c r="E4137" s="8" t="s">
        <v>1439</v>
      </c>
      <c r="F4137" s="8" t="s">
        <v>100</v>
      </c>
      <c r="G4137" s="8" t="s">
        <v>67</v>
      </c>
      <c r="H4137" s="8" t="s">
        <v>1334</v>
      </c>
      <c r="I4137" s="3">
        <v>0</v>
      </c>
      <c r="J4137" s="8"/>
      <c r="K4137" s="8"/>
      <c r="L4137" s="8"/>
      <c r="M4137" s="1"/>
      <c r="N4137" s="8"/>
      <c r="O4137" s="6">
        <v>0</v>
      </c>
      <c r="P4137" s="6">
        <v>0</v>
      </c>
      <c r="Q4137" s="6">
        <v>0</v>
      </c>
      <c r="R4137" s="6">
        <v>0</v>
      </c>
      <c r="S4137" s="6">
        <v>0</v>
      </c>
    </row>
    <row r="4138" spans="1:19" ht="15" hidden="1" x14ac:dyDescent="0.25">
      <c r="A4138" s="7" t="s">
        <v>16</v>
      </c>
      <c r="B4138" s="7" t="s">
        <v>372</v>
      </c>
      <c r="C4138" s="7" t="s">
        <v>373</v>
      </c>
      <c r="D4138" s="4">
        <v>88645403001372</v>
      </c>
      <c r="E4138" s="8" t="s">
        <v>1025</v>
      </c>
      <c r="F4138" s="8" t="s">
        <v>66</v>
      </c>
      <c r="G4138" s="8" t="s">
        <v>67</v>
      </c>
      <c r="H4138" s="8" t="s">
        <v>215</v>
      </c>
      <c r="I4138" s="3">
        <v>2</v>
      </c>
      <c r="J4138" s="8" t="s">
        <v>175</v>
      </c>
      <c r="K4138" s="8" t="s">
        <v>176</v>
      </c>
      <c r="L4138" s="8" t="s">
        <v>556</v>
      </c>
      <c r="M4138" s="1" t="s">
        <v>205</v>
      </c>
      <c r="N4138" s="8" t="s">
        <v>206</v>
      </c>
      <c r="O4138" s="6">
        <v>0</v>
      </c>
      <c r="P4138" s="6">
        <v>0</v>
      </c>
      <c r="Q4138" s="6">
        <v>0</v>
      </c>
      <c r="R4138" s="6">
        <v>20</v>
      </c>
      <c r="S4138" s="6">
        <v>0</v>
      </c>
    </row>
    <row r="4139" spans="1:19" ht="15" hidden="1" x14ac:dyDescent="0.25">
      <c r="A4139" s="7" t="s">
        <v>16</v>
      </c>
      <c r="B4139" s="7" t="s">
        <v>372</v>
      </c>
      <c r="C4139" s="7" t="s">
        <v>373</v>
      </c>
      <c r="D4139" s="4">
        <v>88645403001372</v>
      </c>
      <c r="E4139" s="8" t="s">
        <v>1025</v>
      </c>
      <c r="F4139" s="8" t="s">
        <v>66</v>
      </c>
      <c r="G4139" s="8" t="s">
        <v>67</v>
      </c>
      <c r="H4139" s="8" t="s">
        <v>215</v>
      </c>
      <c r="I4139" s="3">
        <v>2</v>
      </c>
      <c r="J4139" s="8" t="s">
        <v>144</v>
      </c>
      <c r="K4139" s="8" t="s">
        <v>145</v>
      </c>
      <c r="L4139" s="8" t="s">
        <v>557</v>
      </c>
      <c r="M4139" s="1" t="s">
        <v>205</v>
      </c>
      <c r="N4139" s="8" t="s">
        <v>206</v>
      </c>
      <c r="O4139" s="6">
        <v>0</v>
      </c>
      <c r="P4139" s="6">
        <v>0</v>
      </c>
      <c r="Q4139" s="6">
        <v>0</v>
      </c>
      <c r="R4139" s="6">
        <v>0</v>
      </c>
      <c r="S4139" s="6">
        <v>0</v>
      </c>
    </row>
    <row r="4140" spans="1:19" ht="15" hidden="1" x14ac:dyDescent="0.25">
      <c r="A4140" s="7" t="s">
        <v>16</v>
      </c>
      <c r="B4140" s="7" t="s">
        <v>372</v>
      </c>
      <c r="C4140" s="7" t="s">
        <v>373</v>
      </c>
      <c r="D4140" s="4">
        <v>87827689002405</v>
      </c>
      <c r="E4140" s="8" t="s">
        <v>1021</v>
      </c>
      <c r="F4140" s="8" t="s">
        <v>66</v>
      </c>
      <c r="G4140" s="8" t="s">
        <v>67</v>
      </c>
      <c r="H4140" s="8" t="s">
        <v>215</v>
      </c>
      <c r="I4140" s="3">
        <v>2</v>
      </c>
      <c r="J4140" s="8" t="s">
        <v>175</v>
      </c>
      <c r="K4140" s="8" t="s">
        <v>176</v>
      </c>
      <c r="L4140" s="8" t="s">
        <v>556</v>
      </c>
      <c r="M4140" s="1" t="s">
        <v>205</v>
      </c>
      <c r="N4140" s="8" t="s">
        <v>206</v>
      </c>
      <c r="O4140" s="6">
        <v>0</v>
      </c>
      <c r="P4140" s="6">
        <v>0</v>
      </c>
      <c r="Q4140" s="6">
        <v>0</v>
      </c>
      <c r="R4140" s="6">
        <v>26</v>
      </c>
      <c r="S4140" s="6">
        <v>90</v>
      </c>
    </row>
    <row r="4141" spans="1:19" ht="15" hidden="1" x14ac:dyDescent="0.25">
      <c r="A4141" s="7" t="s">
        <v>16</v>
      </c>
      <c r="B4141" s="7" t="s">
        <v>372</v>
      </c>
      <c r="C4141" s="7" t="s">
        <v>373</v>
      </c>
      <c r="D4141" s="4">
        <v>87827689002405</v>
      </c>
      <c r="E4141" s="8" t="s">
        <v>1021</v>
      </c>
      <c r="F4141" s="8" t="s">
        <v>66</v>
      </c>
      <c r="G4141" s="8" t="s">
        <v>67</v>
      </c>
      <c r="H4141" s="8" t="s">
        <v>215</v>
      </c>
      <c r="I4141" s="3">
        <v>2</v>
      </c>
      <c r="J4141" s="8" t="s">
        <v>144</v>
      </c>
      <c r="K4141" s="8" t="s">
        <v>145</v>
      </c>
      <c r="L4141" s="8" t="s">
        <v>557</v>
      </c>
      <c r="M4141" s="1" t="s">
        <v>205</v>
      </c>
      <c r="N4141" s="8" t="s">
        <v>206</v>
      </c>
      <c r="O4141" s="6">
        <v>0</v>
      </c>
      <c r="P4141" s="6">
        <v>0</v>
      </c>
      <c r="Q4141" s="6">
        <v>0</v>
      </c>
      <c r="R4141" s="6">
        <v>0</v>
      </c>
      <c r="S4141" s="6">
        <v>90</v>
      </c>
    </row>
    <row r="4142" spans="1:19" ht="15" hidden="1" x14ac:dyDescent="0.25">
      <c r="A4142" s="7" t="s">
        <v>16</v>
      </c>
      <c r="B4142" s="7" t="s">
        <v>372</v>
      </c>
      <c r="C4142" s="7" t="s">
        <v>373</v>
      </c>
      <c r="D4142" s="4">
        <v>87638334000505</v>
      </c>
      <c r="E4142" s="8" t="s">
        <v>1020</v>
      </c>
      <c r="F4142" s="8" t="s">
        <v>129</v>
      </c>
      <c r="G4142" s="8" t="s">
        <v>67</v>
      </c>
      <c r="H4142" s="8" t="s">
        <v>215</v>
      </c>
      <c r="I4142" s="3">
        <v>2</v>
      </c>
      <c r="J4142" s="8" t="s">
        <v>175</v>
      </c>
      <c r="K4142" s="8" t="s">
        <v>176</v>
      </c>
      <c r="L4142" s="8" t="s">
        <v>556</v>
      </c>
      <c r="M4142" s="1" t="s">
        <v>205</v>
      </c>
      <c r="N4142" s="8" t="s">
        <v>206</v>
      </c>
      <c r="O4142" s="6">
        <v>0</v>
      </c>
      <c r="P4142" s="6">
        <v>0</v>
      </c>
      <c r="Q4142" s="6">
        <v>0</v>
      </c>
      <c r="R4142" s="6">
        <v>0</v>
      </c>
      <c r="S4142" s="6">
        <v>10</v>
      </c>
    </row>
    <row r="4143" spans="1:19" ht="15" hidden="1" x14ac:dyDescent="0.25">
      <c r="A4143" s="7" t="s">
        <v>16</v>
      </c>
      <c r="B4143" s="7" t="s">
        <v>372</v>
      </c>
      <c r="C4143" s="7" t="s">
        <v>373</v>
      </c>
      <c r="D4143" s="4">
        <v>87638334000505</v>
      </c>
      <c r="E4143" s="8" t="s">
        <v>1020</v>
      </c>
      <c r="F4143" s="8" t="s">
        <v>129</v>
      </c>
      <c r="G4143" s="8" t="s">
        <v>67</v>
      </c>
      <c r="H4143" s="8" t="s">
        <v>215</v>
      </c>
      <c r="I4143" s="3">
        <v>2</v>
      </c>
      <c r="J4143" s="8" t="s">
        <v>144</v>
      </c>
      <c r="K4143" s="8" t="s">
        <v>145</v>
      </c>
      <c r="L4143" s="8" t="s">
        <v>557</v>
      </c>
      <c r="M4143" s="1" t="s">
        <v>205</v>
      </c>
      <c r="N4143" s="8" t="s">
        <v>206</v>
      </c>
      <c r="O4143" s="6">
        <v>0</v>
      </c>
      <c r="P4143" s="6">
        <v>0</v>
      </c>
      <c r="Q4143" s="6">
        <v>0</v>
      </c>
      <c r="R4143" s="6">
        <v>0</v>
      </c>
      <c r="S4143" s="6">
        <v>10</v>
      </c>
    </row>
    <row r="4144" spans="1:19" ht="15" hidden="1" x14ac:dyDescent="0.25">
      <c r="A4144" s="7" t="s">
        <v>16</v>
      </c>
      <c r="B4144" s="7" t="s">
        <v>372</v>
      </c>
      <c r="C4144" s="7" t="s">
        <v>373</v>
      </c>
      <c r="D4144" s="4">
        <v>87647756000296</v>
      </c>
      <c r="E4144" s="8" t="s">
        <v>1506</v>
      </c>
      <c r="F4144" s="8" t="s">
        <v>1507</v>
      </c>
      <c r="G4144" s="8" t="s">
        <v>67</v>
      </c>
      <c r="H4144" s="8" t="s">
        <v>1334</v>
      </c>
      <c r="I4144" s="3">
        <v>0</v>
      </c>
      <c r="J4144" s="8"/>
      <c r="K4144" s="8"/>
      <c r="L4144" s="8"/>
      <c r="M4144" s="1"/>
      <c r="N4144" s="8"/>
      <c r="O4144" s="6">
        <v>0</v>
      </c>
      <c r="P4144" s="6">
        <v>0</v>
      </c>
      <c r="Q4144" s="6">
        <v>0</v>
      </c>
      <c r="R4144" s="6">
        <v>0</v>
      </c>
      <c r="S4144" s="6">
        <v>0</v>
      </c>
    </row>
    <row r="4145" spans="1:19" ht="15" hidden="1" x14ac:dyDescent="0.25">
      <c r="A4145" s="7" t="s">
        <v>16</v>
      </c>
      <c r="B4145" s="7" t="s">
        <v>372</v>
      </c>
      <c r="C4145" s="7" t="s">
        <v>373</v>
      </c>
      <c r="D4145" s="4">
        <v>1141127000193</v>
      </c>
      <c r="E4145" s="8" t="s">
        <v>1443</v>
      </c>
      <c r="F4145" s="8" t="s">
        <v>104</v>
      </c>
      <c r="G4145" s="8" t="s">
        <v>67</v>
      </c>
      <c r="H4145" s="8" t="s">
        <v>1334</v>
      </c>
      <c r="I4145" s="3">
        <v>0</v>
      </c>
      <c r="J4145" s="8"/>
      <c r="K4145" s="8"/>
      <c r="L4145" s="8"/>
      <c r="M4145" s="1"/>
      <c r="N4145" s="8"/>
      <c r="O4145" s="6">
        <v>0</v>
      </c>
      <c r="P4145" s="6">
        <v>0</v>
      </c>
      <c r="Q4145" s="6">
        <v>0</v>
      </c>
      <c r="R4145" s="6">
        <v>0</v>
      </c>
      <c r="S4145" s="6">
        <v>0</v>
      </c>
    </row>
    <row r="4146" spans="1:19" ht="15" hidden="1" x14ac:dyDescent="0.25">
      <c r="A4146" s="7" t="s">
        <v>16</v>
      </c>
      <c r="B4146" s="7" t="s">
        <v>372</v>
      </c>
      <c r="C4146" s="7" t="s">
        <v>373</v>
      </c>
      <c r="D4146" s="4">
        <v>87607149000626</v>
      </c>
      <c r="E4146" s="8" t="s">
        <v>1019</v>
      </c>
      <c r="F4146" s="8" t="s">
        <v>96</v>
      </c>
      <c r="G4146" s="8" t="s">
        <v>67</v>
      </c>
      <c r="H4146" s="8" t="s">
        <v>215</v>
      </c>
      <c r="I4146" s="3">
        <v>2</v>
      </c>
      <c r="J4146" s="8" t="s">
        <v>175</v>
      </c>
      <c r="K4146" s="8" t="s">
        <v>176</v>
      </c>
      <c r="L4146" s="8" t="s">
        <v>556</v>
      </c>
      <c r="M4146" s="1" t="s">
        <v>205</v>
      </c>
      <c r="N4146" s="8" t="s">
        <v>206</v>
      </c>
      <c r="O4146" s="6">
        <v>0</v>
      </c>
      <c r="P4146" s="6">
        <v>0</v>
      </c>
      <c r="Q4146" s="6">
        <v>0</v>
      </c>
      <c r="R4146" s="6">
        <v>0</v>
      </c>
      <c r="S4146" s="6">
        <v>68</v>
      </c>
    </row>
    <row r="4147" spans="1:19" ht="15" hidden="1" x14ac:dyDescent="0.25">
      <c r="A4147" s="7" t="s">
        <v>16</v>
      </c>
      <c r="B4147" s="7" t="s">
        <v>372</v>
      </c>
      <c r="C4147" s="7" t="s">
        <v>373</v>
      </c>
      <c r="D4147" s="4">
        <v>87607149000626</v>
      </c>
      <c r="E4147" s="8" t="s">
        <v>1019</v>
      </c>
      <c r="F4147" s="8" t="s">
        <v>96</v>
      </c>
      <c r="G4147" s="8" t="s">
        <v>67</v>
      </c>
      <c r="H4147" s="8" t="s">
        <v>215</v>
      </c>
      <c r="I4147" s="3">
        <v>2</v>
      </c>
      <c r="J4147" s="8" t="s">
        <v>144</v>
      </c>
      <c r="K4147" s="8" t="s">
        <v>145</v>
      </c>
      <c r="L4147" s="8" t="s">
        <v>557</v>
      </c>
      <c r="M4147" s="1" t="s">
        <v>205</v>
      </c>
      <c r="N4147" s="8" t="s">
        <v>206</v>
      </c>
      <c r="O4147" s="6">
        <v>0</v>
      </c>
      <c r="P4147" s="6">
        <v>0</v>
      </c>
      <c r="Q4147" s="6">
        <v>0</v>
      </c>
      <c r="R4147" s="6">
        <v>0</v>
      </c>
      <c r="S4147" s="6">
        <v>68</v>
      </c>
    </row>
    <row r="4148" spans="1:19" ht="15" hidden="1" x14ac:dyDescent="0.25">
      <c r="A4148" s="7" t="s">
        <v>16</v>
      </c>
      <c r="B4148" s="7" t="s">
        <v>372</v>
      </c>
      <c r="C4148" s="7" t="s">
        <v>373</v>
      </c>
      <c r="D4148" s="4">
        <v>18770112000197</v>
      </c>
      <c r="E4148" s="8" t="s">
        <v>1467</v>
      </c>
      <c r="F4148" s="8" t="s">
        <v>83</v>
      </c>
      <c r="G4148" s="8" t="s">
        <v>67</v>
      </c>
      <c r="H4148" s="8" t="s">
        <v>1334</v>
      </c>
      <c r="I4148" s="3">
        <v>0</v>
      </c>
      <c r="J4148" s="8"/>
      <c r="K4148" s="8"/>
      <c r="L4148" s="8"/>
      <c r="M4148" s="1"/>
      <c r="N4148" s="8"/>
      <c r="O4148" s="6">
        <v>0</v>
      </c>
      <c r="P4148" s="6">
        <v>0</v>
      </c>
      <c r="Q4148" s="6">
        <v>0</v>
      </c>
      <c r="R4148" s="6">
        <v>0</v>
      </c>
      <c r="S4148" s="6">
        <v>0</v>
      </c>
    </row>
    <row r="4149" spans="1:19" ht="15" hidden="1" x14ac:dyDescent="0.25">
      <c r="A4149" s="7" t="s">
        <v>16</v>
      </c>
      <c r="B4149" s="7" t="s">
        <v>372</v>
      </c>
      <c r="C4149" s="7" t="s">
        <v>373</v>
      </c>
      <c r="D4149" s="4">
        <v>87096616003101</v>
      </c>
      <c r="E4149" s="8" t="s">
        <v>1014</v>
      </c>
      <c r="F4149" s="8" t="s">
        <v>83</v>
      </c>
      <c r="G4149" s="8" t="s">
        <v>67</v>
      </c>
      <c r="H4149" s="8" t="s">
        <v>215</v>
      </c>
      <c r="I4149" s="3">
        <v>2</v>
      </c>
      <c r="J4149" s="8" t="s">
        <v>175</v>
      </c>
      <c r="K4149" s="8" t="s">
        <v>176</v>
      </c>
      <c r="L4149" s="8" t="s">
        <v>556</v>
      </c>
      <c r="M4149" s="1" t="s">
        <v>205</v>
      </c>
      <c r="N4149" s="8" t="s">
        <v>206</v>
      </c>
      <c r="O4149" s="6">
        <v>0</v>
      </c>
      <c r="P4149" s="6">
        <v>0</v>
      </c>
      <c r="Q4149" s="6">
        <v>0</v>
      </c>
      <c r="R4149" s="6">
        <v>200</v>
      </c>
      <c r="S4149" s="6">
        <v>70</v>
      </c>
    </row>
    <row r="4150" spans="1:19" ht="15" hidden="1" x14ac:dyDescent="0.25">
      <c r="A4150" s="7" t="s">
        <v>16</v>
      </c>
      <c r="B4150" s="7" t="s">
        <v>372</v>
      </c>
      <c r="C4150" s="7" t="s">
        <v>373</v>
      </c>
      <c r="D4150" s="4">
        <v>87096616003101</v>
      </c>
      <c r="E4150" s="8" t="s">
        <v>1014</v>
      </c>
      <c r="F4150" s="8" t="s">
        <v>83</v>
      </c>
      <c r="G4150" s="8" t="s">
        <v>67</v>
      </c>
      <c r="H4150" s="8" t="s">
        <v>215</v>
      </c>
      <c r="I4150" s="3">
        <v>2</v>
      </c>
      <c r="J4150" s="8" t="s">
        <v>144</v>
      </c>
      <c r="K4150" s="8" t="s">
        <v>145</v>
      </c>
      <c r="L4150" s="8" t="s">
        <v>557</v>
      </c>
      <c r="M4150" s="1" t="s">
        <v>205</v>
      </c>
      <c r="N4150" s="8" t="s">
        <v>206</v>
      </c>
      <c r="O4150" s="6">
        <v>0</v>
      </c>
      <c r="P4150" s="6">
        <v>0</v>
      </c>
      <c r="Q4150" s="6">
        <v>0</v>
      </c>
      <c r="R4150" s="6">
        <v>0</v>
      </c>
      <c r="S4150" s="6">
        <v>70</v>
      </c>
    </row>
    <row r="4151" spans="1:19" ht="15" hidden="1" x14ac:dyDescent="0.25">
      <c r="A4151" s="7" t="s">
        <v>16</v>
      </c>
      <c r="B4151" s="7" t="s">
        <v>372</v>
      </c>
      <c r="C4151" s="7" t="s">
        <v>373</v>
      </c>
      <c r="D4151" s="4">
        <v>87020517000120</v>
      </c>
      <c r="E4151" s="8" t="s">
        <v>1013</v>
      </c>
      <c r="F4151" s="8" t="s">
        <v>83</v>
      </c>
      <c r="G4151" s="8" t="s">
        <v>67</v>
      </c>
      <c r="H4151" s="8" t="s">
        <v>215</v>
      </c>
      <c r="I4151" s="3">
        <v>2</v>
      </c>
      <c r="J4151" s="8" t="s">
        <v>175</v>
      </c>
      <c r="K4151" s="8" t="s">
        <v>176</v>
      </c>
      <c r="L4151" s="8" t="s">
        <v>556</v>
      </c>
      <c r="M4151" s="1" t="s">
        <v>205</v>
      </c>
      <c r="N4151" s="8" t="s">
        <v>206</v>
      </c>
      <c r="O4151" s="6">
        <v>0</v>
      </c>
      <c r="P4151" s="6">
        <v>0</v>
      </c>
      <c r="Q4151" s="6">
        <v>0</v>
      </c>
      <c r="R4151" s="6">
        <v>0</v>
      </c>
      <c r="S4151" s="6">
        <v>0</v>
      </c>
    </row>
    <row r="4152" spans="1:19" ht="15" hidden="1" x14ac:dyDescent="0.25">
      <c r="A4152" s="7" t="s">
        <v>16</v>
      </c>
      <c r="B4152" s="7" t="s">
        <v>372</v>
      </c>
      <c r="C4152" s="7" t="s">
        <v>373</v>
      </c>
      <c r="D4152" s="4">
        <v>87020517000120</v>
      </c>
      <c r="E4152" s="8" t="s">
        <v>1013</v>
      </c>
      <c r="F4152" s="8" t="s">
        <v>83</v>
      </c>
      <c r="G4152" s="8" t="s">
        <v>67</v>
      </c>
      <c r="H4152" s="8" t="s">
        <v>215</v>
      </c>
      <c r="I4152" s="3">
        <v>2</v>
      </c>
      <c r="J4152" s="8" t="s">
        <v>144</v>
      </c>
      <c r="K4152" s="8" t="s">
        <v>145</v>
      </c>
      <c r="L4152" s="8" t="s">
        <v>557</v>
      </c>
      <c r="M4152" s="1" t="s">
        <v>205</v>
      </c>
      <c r="N4152" s="8" t="s">
        <v>206</v>
      </c>
      <c r="O4152" s="6">
        <v>0</v>
      </c>
      <c r="P4152" s="6">
        <v>33</v>
      </c>
      <c r="Q4152" s="6">
        <v>4</v>
      </c>
      <c r="R4152" s="6">
        <v>0</v>
      </c>
      <c r="S4152" s="6">
        <v>0</v>
      </c>
    </row>
    <row r="4153" spans="1:19" ht="15" hidden="1" x14ac:dyDescent="0.25">
      <c r="A4153" s="7" t="s">
        <v>16</v>
      </c>
      <c r="B4153" s="7" t="s">
        <v>372</v>
      </c>
      <c r="C4153" s="7" t="s">
        <v>373</v>
      </c>
      <c r="D4153" s="4">
        <v>88625686002443</v>
      </c>
      <c r="E4153" s="8" t="s">
        <v>1023</v>
      </c>
      <c r="F4153" s="8" t="s">
        <v>83</v>
      </c>
      <c r="G4153" s="8" t="s">
        <v>67</v>
      </c>
      <c r="H4153" s="8" t="s">
        <v>215</v>
      </c>
      <c r="I4153" s="3">
        <v>2</v>
      </c>
      <c r="J4153" s="8" t="s">
        <v>175</v>
      </c>
      <c r="K4153" s="8" t="s">
        <v>176</v>
      </c>
      <c r="L4153" s="8" t="s">
        <v>556</v>
      </c>
      <c r="M4153" s="1" t="s">
        <v>205</v>
      </c>
      <c r="N4153" s="8" t="s">
        <v>206</v>
      </c>
      <c r="O4153" s="6">
        <v>0</v>
      </c>
      <c r="P4153" s="6">
        <v>0</v>
      </c>
      <c r="Q4153" s="6">
        <v>0</v>
      </c>
      <c r="R4153" s="6">
        <v>0</v>
      </c>
      <c r="S4153" s="6">
        <v>0</v>
      </c>
    </row>
    <row r="4154" spans="1:19" ht="15" hidden="1" x14ac:dyDescent="0.25">
      <c r="A4154" s="7" t="s">
        <v>16</v>
      </c>
      <c r="B4154" s="7" t="s">
        <v>372</v>
      </c>
      <c r="C4154" s="7" t="s">
        <v>373</v>
      </c>
      <c r="D4154" s="4">
        <v>88625686002443</v>
      </c>
      <c r="E4154" s="8" t="s">
        <v>1023</v>
      </c>
      <c r="F4154" s="8" t="s">
        <v>83</v>
      </c>
      <c r="G4154" s="8" t="s">
        <v>67</v>
      </c>
      <c r="H4154" s="8" t="s">
        <v>215</v>
      </c>
      <c r="I4154" s="3">
        <v>2</v>
      </c>
      <c r="J4154" s="8" t="s">
        <v>144</v>
      </c>
      <c r="K4154" s="8" t="s">
        <v>145</v>
      </c>
      <c r="L4154" s="8" t="s">
        <v>557</v>
      </c>
      <c r="M4154" s="1" t="s">
        <v>205</v>
      </c>
      <c r="N4154" s="8" t="s">
        <v>206</v>
      </c>
      <c r="O4154" s="6">
        <v>0</v>
      </c>
      <c r="P4154" s="6">
        <v>14</v>
      </c>
      <c r="Q4154" s="6">
        <v>0</v>
      </c>
      <c r="R4154" s="6">
        <v>0</v>
      </c>
      <c r="S4154" s="6">
        <v>0</v>
      </c>
    </row>
    <row r="4155" spans="1:19" ht="15" hidden="1" x14ac:dyDescent="0.25">
      <c r="A4155" s="7" t="s">
        <v>16</v>
      </c>
      <c r="B4155" s="7" t="s">
        <v>372</v>
      </c>
      <c r="C4155" s="7" t="s">
        <v>373</v>
      </c>
      <c r="D4155" s="4">
        <v>88630413000796</v>
      </c>
      <c r="E4155" s="8" t="s">
        <v>1024</v>
      </c>
      <c r="F4155" s="8" t="s">
        <v>83</v>
      </c>
      <c r="G4155" s="8" t="s">
        <v>67</v>
      </c>
      <c r="H4155" s="8" t="s">
        <v>215</v>
      </c>
      <c r="I4155" s="3">
        <v>2</v>
      </c>
      <c r="J4155" s="8" t="s">
        <v>175</v>
      </c>
      <c r="K4155" s="8" t="s">
        <v>176</v>
      </c>
      <c r="L4155" s="8" t="s">
        <v>556</v>
      </c>
      <c r="M4155" s="1" t="s">
        <v>205</v>
      </c>
      <c r="N4155" s="8" t="s">
        <v>206</v>
      </c>
      <c r="O4155" s="6">
        <v>0</v>
      </c>
      <c r="P4155" s="6">
        <v>0</v>
      </c>
      <c r="Q4155" s="6">
        <v>0</v>
      </c>
      <c r="R4155" s="6">
        <v>0</v>
      </c>
      <c r="S4155" s="6">
        <v>0</v>
      </c>
    </row>
    <row r="4156" spans="1:19" ht="15" hidden="1" x14ac:dyDescent="0.25">
      <c r="A4156" s="7" t="s">
        <v>16</v>
      </c>
      <c r="B4156" s="7" t="s">
        <v>372</v>
      </c>
      <c r="C4156" s="7" t="s">
        <v>373</v>
      </c>
      <c r="D4156" s="4">
        <v>88630413000796</v>
      </c>
      <c r="E4156" s="8" t="s">
        <v>1024</v>
      </c>
      <c r="F4156" s="8" t="s">
        <v>83</v>
      </c>
      <c r="G4156" s="8" t="s">
        <v>67</v>
      </c>
      <c r="H4156" s="8" t="s">
        <v>215</v>
      </c>
      <c r="I4156" s="3">
        <v>2</v>
      </c>
      <c r="J4156" s="8" t="s">
        <v>144</v>
      </c>
      <c r="K4156" s="8" t="s">
        <v>145</v>
      </c>
      <c r="L4156" s="8" t="s">
        <v>557</v>
      </c>
      <c r="M4156" s="1" t="s">
        <v>205</v>
      </c>
      <c r="N4156" s="8" t="s">
        <v>206</v>
      </c>
      <c r="O4156" s="6">
        <v>0</v>
      </c>
      <c r="P4156" s="6">
        <v>5</v>
      </c>
      <c r="Q4156" s="6">
        <v>0</v>
      </c>
      <c r="R4156" s="6">
        <v>0</v>
      </c>
      <c r="S4156" s="6">
        <v>0</v>
      </c>
    </row>
    <row r="4157" spans="1:19" ht="15" hidden="1" x14ac:dyDescent="0.25">
      <c r="A4157" s="7" t="s">
        <v>16</v>
      </c>
      <c r="B4157" s="7" t="s">
        <v>372</v>
      </c>
      <c r="C4157" s="7" t="s">
        <v>373</v>
      </c>
      <c r="D4157" s="4">
        <v>94831294000147</v>
      </c>
      <c r="E4157" s="8" t="s">
        <v>1036</v>
      </c>
      <c r="F4157" s="8" t="s">
        <v>83</v>
      </c>
      <c r="G4157" s="8" t="s">
        <v>67</v>
      </c>
      <c r="H4157" s="8" t="s">
        <v>215</v>
      </c>
      <c r="I4157" s="3">
        <v>2</v>
      </c>
      <c r="J4157" s="8" t="s">
        <v>175</v>
      </c>
      <c r="K4157" s="8" t="s">
        <v>176</v>
      </c>
      <c r="L4157" s="8" t="s">
        <v>556</v>
      </c>
      <c r="M4157" s="1" t="s">
        <v>205</v>
      </c>
      <c r="N4157" s="8" t="s">
        <v>206</v>
      </c>
      <c r="O4157" s="6">
        <v>0</v>
      </c>
      <c r="P4157" s="6">
        <v>0</v>
      </c>
      <c r="Q4157" s="6">
        <v>0</v>
      </c>
      <c r="R4157" s="6">
        <v>0</v>
      </c>
      <c r="S4157" s="6">
        <v>30</v>
      </c>
    </row>
    <row r="4158" spans="1:19" ht="15" hidden="1" x14ac:dyDescent="0.25">
      <c r="A4158" s="7" t="s">
        <v>16</v>
      </c>
      <c r="B4158" s="7" t="s">
        <v>372</v>
      </c>
      <c r="C4158" s="7" t="s">
        <v>373</v>
      </c>
      <c r="D4158" s="4">
        <v>94831294000147</v>
      </c>
      <c r="E4158" s="8" t="s">
        <v>1036</v>
      </c>
      <c r="F4158" s="8" t="s">
        <v>83</v>
      </c>
      <c r="G4158" s="8" t="s">
        <v>67</v>
      </c>
      <c r="H4158" s="8" t="s">
        <v>215</v>
      </c>
      <c r="I4158" s="3">
        <v>2</v>
      </c>
      <c r="J4158" s="8" t="s">
        <v>144</v>
      </c>
      <c r="K4158" s="8" t="s">
        <v>145</v>
      </c>
      <c r="L4158" s="8" t="s">
        <v>557</v>
      </c>
      <c r="M4158" s="1" t="s">
        <v>205</v>
      </c>
      <c r="N4158" s="8" t="s">
        <v>206</v>
      </c>
      <c r="O4158" s="6">
        <v>0</v>
      </c>
      <c r="P4158" s="6">
        <v>0</v>
      </c>
      <c r="Q4158" s="6">
        <v>0</v>
      </c>
      <c r="R4158" s="6">
        <v>0</v>
      </c>
      <c r="S4158" s="6">
        <v>30</v>
      </c>
    </row>
    <row r="4159" spans="1:19" ht="15" hidden="1" x14ac:dyDescent="0.25">
      <c r="A4159" s="7" t="s">
        <v>16</v>
      </c>
      <c r="B4159" s="7" t="s">
        <v>372</v>
      </c>
      <c r="C4159" s="7" t="s">
        <v>373</v>
      </c>
      <c r="D4159" s="4">
        <v>92815000000168</v>
      </c>
      <c r="E4159" s="8" t="s">
        <v>1033</v>
      </c>
      <c r="F4159" s="8" t="s">
        <v>83</v>
      </c>
      <c r="G4159" s="8" t="s">
        <v>67</v>
      </c>
      <c r="H4159" s="8" t="s">
        <v>215</v>
      </c>
      <c r="I4159" s="3">
        <v>2</v>
      </c>
      <c r="J4159" s="8" t="s">
        <v>175</v>
      </c>
      <c r="K4159" s="8" t="s">
        <v>176</v>
      </c>
      <c r="L4159" s="8" t="s">
        <v>556</v>
      </c>
      <c r="M4159" s="1" t="s">
        <v>205</v>
      </c>
      <c r="N4159" s="8" t="s">
        <v>206</v>
      </c>
      <c r="O4159" s="6">
        <v>0</v>
      </c>
      <c r="P4159" s="6">
        <v>0</v>
      </c>
      <c r="Q4159" s="6">
        <v>0</v>
      </c>
      <c r="R4159" s="6">
        <v>25</v>
      </c>
      <c r="S4159" s="6">
        <v>0</v>
      </c>
    </row>
    <row r="4160" spans="1:19" ht="15" hidden="1" x14ac:dyDescent="0.25">
      <c r="A4160" s="7" t="s">
        <v>16</v>
      </c>
      <c r="B4160" s="7" t="s">
        <v>372</v>
      </c>
      <c r="C4160" s="7" t="s">
        <v>373</v>
      </c>
      <c r="D4160" s="4">
        <v>92815000000168</v>
      </c>
      <c r="E4160" s="8" t="s">
        <v>1033</v>
      </c>
      <c r="F4160" s="8" t="s">
        <v>83</v>
      </c>
      <c r="G4160" s="8" t="s">
        <v>67</v>
      </c>
      <c r="H4160" s="8" t="s">
        <v>215</v>
      </c>
      <c r="I4160" s="3">
        <v>2</v>
      </c>
      <c r="J4160" s="8" t="s">
        <v>144</v>
      </c>
      <c r="K4160" s="8" t="s">
        <v>145</v>
      </c>
      <c r="L4160" s="8" t="s">
        <v>557</v>
      </c>
      <c r="M4160" s="1" t="s">
        <v>205</v>
      </c>
      <c r="N4160" s="8" t="s">
        <v>206</v>
      </c>
      <c r="O4160" s="6">
        <v>0</v>
      </c>
      <c r="P4160" s="6">
        <v>0</v>
      </c>
      <c r="Q4160" s="6">
        <v>21</v>
      </c>
      <c r="R4160" s="6">
        <v>0</v>
      </c>
      <c r="S4160" s="6">
        <v>0</v>
      </c>
    </row>
    <row r="4161" spans="1:19" ht="15" hidden="1" x14ac:dyDescent="0.25">
      <c r="A4161" s="7" t="s">
        <v>16</v>
      </c>
      <c r="B4161" s="7" t="s">
        <v>372</v>
      </c>
      <c r="C4161" s="7" t="s">
        <v>373</v>
      </c>
      <c r="D4161" s="4">
        <v>9087150000230</v>
      </c>
      <c r="E4161" s="8" t="s">
        <v>958</v>
      </c>
      <c r="F4161" s="8" t="s">
        <v>83</v>
      </c>
      <c r="G4161" s="8" t="s">
        <v>67</v>
      </c>
      <c r="H4161" s="8" t="s">
        <v>215</v>
      </c>
      <c r="I4161" s="3">
        <v>2</v>
      </c>
      <c r="J4161" s="8" t="s">
        <v>175</v>
      </c>
      <c r="K4161" s="8" t="s">
        <v>176</v>
      </c>
      <c r="L4161" s="8" t="s">
        <v>556</v>
      </c>
      <c r="M4161" s="1" t="s">
        <v>205</v>
      </c>
      <c r="N4161" s="8" t="s">
        <v>206</v>
      </c>
      <c r="O4161" s="6">
        <v>0</v>
      </c>
      <c r="P4161" s="6">
        <v>0</v>
      </c>
      <c r="Q4161" s="6">
        <v>0</v>
      </c>
      <c r="R4161" s="6">
        <v>8</v>
      </c>
      <c r="S4161" s="6">
        <v>0</v>
      </c>
    </row>
    <row r="4162" spans="1:19" ht="15" hidden="1" x14ac:dyDescent="0.25">
      <c r="A4162" s="7" t="s">
        <v>16</v>
      </c>
      <c r="B4162" s="7" t="s">
        <v>372</v>
      </c>
      <c r="C4162" s="7" t="s">
        <v>373</v>
      </c>
      <c r="D4162" s="4">
        <v>9087150000230</v>
      </c>
      <c r="E4162" s="8" t="s">
        <v>958</v>
      </c>
      <c r="F4162" s="8" t="s">
        <v>83</v>
      </c>
      <c r="G4162" s="8" t="s">
        <v>67</v>
      </c>
      <c r="H4162" s="8" t="s">
        <v>215</v>
      </c>
      <c r="I4162" s="3">
        <v>2</v>
      </c>
      <c r="J4162" s="8" t="s">
        <v>144</v>
      </c>
      <c r="K4162" s="8" t="s">
        <v>145</v>
      </c>
      <c r="L4162" s="8" t="s">
        <v>557</v>
      </c>
      <c r="M4162" s="1" t="s">
        <v>205</v>
      </c>
      <c r="N4162" s="8" t="s">
        <v>206</v>
      </c>
      <c r="O4162" s="6">
        <v>0</v>
      </c>
      <c r="P4162" s="6">
        <v>0</v>
      </c>
      <c r="Q4162" s="6">
        <v>0</v>
      </c>
      <c r="R4162" s="6">
        <v>0</v>
      </c>
      <c r="S4162" s="6">
        <v>0</v>
      </c>
    </row>
    <row r="4163" spans="1:19" ht="15" hidden="1" x14ac:dyDescent="0.25">
      <c r="A4163" s="7" t="s">
        <v>16</v>
      </c>
      <c r="B4163" s="7" t="s">
        <v>372</v>
      </c>
      <c r="C4163" s="7" t="s">
        <v>373</v>
      </c>
      <c r="D4163" s="4">
        <v>12508728000108</v>
      </c>
      <c r="E4163" s="8" t="s">
        <v>965</v>
      </c>
      <c r="F4163" s="8" t="s">
        <v>87</v>
      </c>
      <c r="G4163" s="8" t="s">
        <v>67</v>
      </c>
      <c r="H4163" s="8" t="s">
        <v>215</v>
      </c>
      <c r="I4163" s="3">
        <v>2</v>
      </c>
      <c r="J4163" s="8" t="s">
        <v>175</v>
      </c>
      <c r="K4163" s="8" t="s">
        <v>176</v>
      </c>
      <c r="L4163" s="8" t="s">
        <v>556</v>
      </c>
      <c r="M4163" s="1" t="s">
        <v>205</v>
      </c>
      <c r="N4163" s="8" t="s">
        <v>206</v>
      </c>
      <c r="O4163" s="6">
        <v>0</v>
      </c>
      <c r="P4163" s="6">
        <v>0</v>
      </c>
      <c r="Q4163" s="6">
        <v>0</v>
      </c>
      <c r="R4163" s="6">
        <v>0</v>
      </c>
      <c r="S4163" s="6">
        <v>60</v>
      </c>
    </row>
    <row r="4164" spans="1:19" ht="15" hidden="1" x14ac:dyDescent="0.25">
      <c r="A4164" s="7" t="s">
        <v>16</v>
      </c>
      <c r="B4164" s="7" t="s">
        <v>372</v>
      </c>
      <c r="C4164" s="7" t="s">
        <v>373</v>
      </c>
      <c r="D4164" s="4">
        <v>12508728000108</v>
      </c>
      <c r="E4164" s="8" t="s">
        <v>965</v>
      </c>
      <c r="F4164" s="8" t="s">
        <v>87</v>
      </c>
      <c r="G4164" s="8" t="s">
        <v>67</v>
      </c>
      <c r="H4164" s="8" t="s">
        <v>215</v>
      </c>
      <c r="I4164" s="3">
        <v>2</v>
      </c>
      <c r="J4164" s="8" t="s">
        <v>144</v>
      </c>
      <c r="K4164" s="8" t="s">
        <v>145</v>
      </c>
      <c r="L4164" s="8" t="s">
        <v>557</v>
      </c>
      <c r="M4164" s="1" t="s">
        <v>205</v>
      </c>
      <c r="N4164" s="8" t="s">
        <v>206</v>
      </c>
      <c r="O4164" s="6">
        <v>0</v>
      </c>
      <c r="P4164" s="6">
        <v>0</v>
      </c>
      <c r="Q4164" s="6">
        <v>0</v>
      </c>
      <c r="R4164" s="6">
        <v>0</v>
      </c>
      <c r="S4164" s="6">
        <v>60</v>
      </c>
    </row>
    <row r="4165" spans="1:19" ht="15" hidden="1" x14ac:dyDescent="0.25">
      <c r="A4165" s="7" t="s">
        <v>16</v>
      </c>
      <c r="B4165" s="7" t="s">
        <v>372</v>
      </c>
      <c r="C4165" s="7" t="s">
        <v>373</v>
      </c>
      <c r="D4165" s="4">
        <v>15126437001972</v>
      </c>
      <c r="E4165" s="8" t="s">
        <v>966</v>
      </c>
      <c r="F4165" s="8" t="s">
        <v>87</v>
      </c>
      <c r="G4165" s="8" t="s">
        <v>67</v>
      </c>
      <c r="H4165" s="8" t="s">
        <v>215</v>
      </c>
      <c r="I4165" s="3">
        <v>2</v>
      </c>
      <c r="J4165" s="8" t="s">
        <v>175</v>
      </c>
      <c r="K4165" s="8" t="s">
        <v>176</v>
      </c>
      <c r="L4165" s="8" t="s">
        <v>556</v>
      </c>
      <c r="M4165" s="1" t="s">
        <v>205</v>
      </c>
      <c r="N4165" s="8" t="s">
        <v>206</v>
      </c>
      <c r="O4165" s="6">
        <v>0</v>
      </c>
      <c r="P4165" s="6">
        <v>0</v>
      </c>
      <c r="Q4165" s="6">
        <v>0</v>
      </c>
      <c r="R4165" s="6">
        <v>0</v>
      </c>
      <c r="S4165" s="6">
        <v>0</v>
      </c>
    </row>
    <row r="4166" spans="1:19" ht="15" hidden="1" x14ac:dyDescent="0.25">
      <c r="A4166" s="7" t="s">
        <v>16</v>
      </c>
      <c r="B4166" s="7" t="s">
        <v>372</v>
      </c>
      <c r="C4166" s="7" t="s">
        <v>373</v>
      </c>
      <c r="D4166" s="4">
        <v>15126437001972</v>
      </c>
      <c r="E4166" s="8" t="s">
        <v>966</v>
      </c>
      <c r="F4166" s="8" t="s">
        <v>87</v>
      </c>
      <c r="G4166" s="8" t="s">
        <v>67</v>
      </c>
      <c r="H4166" s="8" t="s">
        <v>215</v>
      </c>
      <c r="I4166" s="3">
        <v>2</v>
      </c>
      <c r="J4166" s="8" t="s">
        <v>144</v>
      </c>
      <c r="K4166" s="8" t="s">
        <v>145</v>
      </c>
      <c r="L4166" s="8" t="s">
        <v>557</v>
      </c>
      <c r="M4166" s="1" t="s">
        <v>205</v>
      </c>
      <c r="N4166" s="8" t="s">
        <v>206</v>
      </c>
      <c r="O4166" s="6">
        <v>0</v>
      </c>
      <c r="P4166" s="6">
        <v>10</v>
      </c>
      <c r="Q4166" s="6">
        <v>0</v>
      </c>
      <c r="R4166" s="6">
        <v>0</v>
      </c>
      <c r="S4166" s="6">
        <v>0</v>
      </c>
    </row>
    <row r="4167" spans="1:19" ht="15" hidden="1" x14ac:dyDescent="0.25">
      <c r="A4167" s="7" t="s">
        <v>16</v>
      </c>
      <c r="B4167" s="7" t="s">
        <v>372</v>
      </c>
      <c r="C4167" s="7" t="s">
        <v>373</v>
      </c>
      <c r="D4167" s="4">
        <v>95610887000146</v>
      </c>
      <c r="E4167" s="8" t="s">
        <v>1037</v>
      </c>
      <c r="F4167" s="8" t="s">
        <v>87</v>
      </c>
      <c r="G4167" s="8" t="s">
        <v>67</v>
      </c>
      <c r="H4167" s="8" t="s">
        <v>215</v>
      </c>
      <c r="I4167" s="3">
        <v>2</v>
      </c>
      <c r="J4167" s="8" t="s">
        <v>175</v>
      </c>
      <c r="K4167" s="8" t="s">
        <v>176</v>
      </c>
      <c r="L4167" s="8" t="s">
        <v>556</v>
      </c>
      <c r="M4167" s="1" t="s">
        <v>205</v>
      </c>
      <c r="N4167" s="8" t="s">
        <v>206</v>
      </c>
      <c r="O4167" s="6">
        <v>0</v>
      </c>
      <c r="P4167" s="6">
        <v>0</v>
      </c>
      <c r="Q4167" s="6">
        <v>0</v>
      </c>
      <c r="R4167" s="6">
        <v>30</v>
      </c>
      <c r="S4167" s="6">
        <v>400</v>
      </c>
    </row>
    <row r="4168" spans="1:19" ht="15" hidden="1" x14ac:dyDescent="0.25">
      <c r="A4168" s="7" t="s">
        <v>16</v>
      </c>
      <c r="B4168" s="7" t="s">
        <v>372</v>
      </c>
      <c r="C4168" s="7" t="s">
        <v>373</v>
      </c>
      <c r="D4168" s="4">
        <v>95610887000146</v>
      </c>
      <c r="E4168" s="8" t="s">
        <v>1037</v>
      </c>
      <c r="F4168" s="8" t="s">
        <v>87</v>
      </c>
      <c r="G4168" s="8" t="s">
        <v>67</v>
      </c>
      <c r="H4168" s="8" t="s">
        <v>215</v>
      </c>
      <c r="I4168" s="3">
        <v>2</v>
      </c>
      <c r="J4168" s="8" t="s">
        <v>144</v>
      </c>
      <c r="K4168" s="8" t="s">
        <v>145</v>
      </c>
      <c r="L4168" s="8" t="s">
        <v>557</v>
      </c>
      <c r="M4168" s="1" t="s">
        <v>205</v>
      </c>
      <c r="N4168" s="8" t="s">
        <v>206</v>
      </c>
      <c r="O4168" s="6">
        <v>0</v>
      </c>
      <c r="P4168" s="6">
        <v>0</v>
      </c>
      <c r="Q4168" s="6">
        <v>0</v>
      </c>
      <c r="R4168" s="6">
        <v>0</v>
      </c>
      <c r="S4168" s="6">
        <v>400</v>
      </c>
    </row>
    <row r="4169" spans="1:19" ht="15" hidden="1" x14ac:dyDescent="0.25">
      <c r="A4169" s="7" t="s">
        <v>16</v>
      </c>
      <c r="B4169" s="7" t="s">
        <v>372</v>
      </c>
      <c r="C4169" s="7" t="s">
        <v>373</v>
      </c>
      <c r="D4169" s="4">
        <v>1753991000146</v>
      </c>
      <c r="E4169" s="8" t="s">
        <v>1444</v>
      </c>
      <c r="F4169" s="8" t="s">
        <v>1445</v>
      </c>
      <c r="G4169" s="8" t="s">
        <v>67</v>
      </c>
      <c r="H4169" s="8" t="s">
        <v>1334</v>
      </c>
      <c r="I4169" s="3">
        <v>0</v>
      </c>
      <c r="J4169" s="8"/>
      <c r="K4169" s="8"/>
      <c r="L4169" s="8"/>
      <c r="M4169" s="1"/>
      <c r="N4169" s="8"/>
      <c r="O4169" s="6">
        <v>0</v>
      </c>
      <c r="P4169" s="6">
        <v>0</v>
      </c>
      <c r="Q4169" s="6">
        <v>0</v>
      </c>
      <c r="R4169" s="6">
        <v>0</v>
      </c>
      <c r="S4169" s="6">
        <v>0</v>
      </c>
    </row>
    <row r="4170" spans="1:19" ht="15" hidden="1" x14ac:dyDescent="0.25">
      <c r="A4170" s="7" t="s">
        <v>16</v>
      </c>
      <c r="B4170" s="7" t="s">
        <v>372</v>
      </c>
      <c r="C4170" s="7" t="s">
        <v>373</v>
      </c>
      <c r="D4170" s="4">
        <v>85377174000392</v>
      </c>
      <c r="E4170" s="8" t="s">
        <v>1012</v>
      </c>
      <c r="F4170" s="8" t="s">
        <v>938</v>
      </c>
      <c r="G4170" s="8" t="s">
        <v>68</v>
      </c>
      <c r="H4170" s="8" t="s">
        <v>215</v>
      </c>
      <c r="I4170" s="3">
        <v>2</v>
      </c>
      <c r="J4170" s="8" t="s">
        <v>175</v>
      </c>
      <c r="K4170" s="8" t="s">
        <v>176</v>
      </c>
      <c r="L4170" s="8" t="s">
        <v>556</v>
      </c>
      <c r="M4170" s="1" t="s">
        <v>205</v>
      </c>
      <c r="N4170" s="8" t="s">
        <v>206</v>
      </c>
      <c r="O4170" s="6">
        <v>0</v>
      </c>
      <c r="P4170" s="6">
        <v>0</v>
      </c>
      <c r="Q4170" s="6">
        <v>0</v>
      </c>
      <c r="R4170" s="6">
        <v>6</v>
      </c>
      <c r="S4170" s="6">
        <v>10</v>
      </c>
    </row>
    <row r="4171" spans="1:19" ht="15" hidden="1" x14ac:dyDescent="0.25">
      <c r="A4171" s="7" t="s">
        <v>16</v>
      </c>
      <c r="B4171" s="7" t="s">
        <v>372</v>
      </c>
      <c r="C4171" s="7" t="s">
        <v>373</v>
      </c>
      <c r="D4171" s="4">
        <v>85377174000392</v>
      </c>
      <c r="E4171" s="8" t="s">
        <v>1012</v>
      </c>
      <c r="F4171" s="8" t="s">
        <v>938</v>
      </c>
      <c r="G4171" s="8" t="s">
        <v>68</v>
      </c>
      <c r="H4171" s="8" t="s">
        <v>215</v>
      </c>
      <c r="I4171" s="3">
        <v>2</v>
      </c>
      <c r="J4171" s="8" t="s">
        <v>157</v>
      </c>
      <c r="K4171" s="8" t="s">
        <v>158</v>
      </c>
      <c r="L4171" s="8" t="s">
        <v>557</v>
      </c>
      <c r="M4171" s="1" t="s">
        <v>205</v>
      </c>
      <c r="N4171" s="8" t="s">
        <v>206</v>
      </c>
      <c r="O4171" s="6">
        <v>0</v>
      </c>
      <c r="P4171" s="6">
        <v>0</v>
      </c>
      <c r="Q4171" s="6">
        <v>0</v>
      </c>
      <c r="R4171" s="6">
        <v>0</v>
      </c>
      <c r="S4171" s="6">
        <v>10</v>
      </c>
    </row>
    <row r="4172" spans="1:19" ht="15" hidden="1" x14ac:dyDescent="0.25">
      <c r="A4172" s="7" t="s">
        <v>16</v>
      </c>
      <c r="B4172" s="7" t="s">
        <v>372</v>
      </c>
      <c r="C4172" s="7" t="s">
        <v>373</v>
      </c>
      <c r="D4172" s="4">
        <v>1880344000103</v>
      </c>
      <c r="E4172" s="8" t="s">
        <v>941</v>
      </c>
      <c r="F4172" s="8" t="s">
        <v>93</v>
      </c>
      <c r="G4172" s="8" t="s">
        <v>68</v>
      </c>
      <c r="H4172" s="8" t="s">
        <v>215</v>
      </c>
      <c r="I4172" s="3">
        <v>2</v>
      </c>
      <c r="J4172" s="8" t="s">
        <v>175</v>
      </c>
      <c r="K4172" s="8" t="s">
        <v>176</v>
      </c>
      <c r="L4172" s="8" t="s">
        <v>556</v>
      </c>
      <c r="M4172" s="1" t="s">
        <v>205</v>
      </c>
      <c r="N4172" s="8" t="s">
        <v>206</v>
      </c>
      <c r="O4172" s="6">
        <v>0</v>
      </c>
      <c r="P4172" s="6">
        <v>0</v>
      </c>
      <c r="Q4172" s="6">
        <v>0</v>
      </c>
      <c r="R4172" s="6">
        <v>0</v>
      </c>
      <c r="S4172" s="6">
        <v>5</v>
      </c>
    </row>
    <row r="4173" spans="1:19" ht="15" hidden="1" x14ac:dyDescent="0.25">
      <c r="A4173" s="7" t="s">
        <v>16</v>
      </c>
      <c r="B4173" s="7" t="s">
        <v>372</v>
      </c>
      <c r="C4173" s="7" t="s">
        <v>373</v>
      </c>
      <c r="D4173" s="4">
        <v>1880344000103</v>
      </c>
      <c r="E4173" s="8" t="s">
        <v>941</v>
      </c>
      <c r="F4173" s="8" t="s">
        <v>93</v>
      </c>
      <c r="G4173" s="8" t="s">
        <v>68</v>
      </c>
      <c r="H4173" s="8" t="s">
        <v>215</v>
      </c>
      <c r="I4173" s="3">
        <v>2</v>
      </c>
      <c r="J4173" s="8" t="s">
        <v>157</v>
      </c>
      <c r="K4173" s="8" t="s">
        <v>158</v>
      </c>
      <c r="L4173" s="8" t="s">
        <v>557</v>
      </c>
      <c r="M4173" s="1" t="s">
        <v>205</v>
      </c>
      <c r="N4173" s="8" t="s">
        <v>206</v>
      </c>
      <c r="O4173" s="6">
        <v>0</v>
      </c>
      <c r="P4173" s="6">
        <v>0</v>
      </c>
      <c r="Q4173" s="6">
        <v>0</v>
      </c>
      <c r="R4173" s="6">
        <v>0</v>
      </c>
      <c r="S4173" s="6">
        <v>5</v>
      </c>
    </row>
    <row r="4174" spans="1:19" ht="15" hidden="1" x14ac:dyDescent="0.25">
      <c r="A4174" s="7" t="s">
        <v>16</v>
      </c>
      <c r="B4174" s="7" t="s">
        <v>372</v>
      </c>
      <c r="C4174" s="7" t="s">
        <v>373</v>
      </c>
      <c r="D4174" s="4">
        <v>60922168005226</v>
      </c>
      <c r="E4174" s="8" t="s">
        <v>977</v>
      </c>
      <c r="F4174" s="8" t="s">
        <v>93</v>
      </c>
      <c r="G4174" s="8" t="s">
        <v>68</v>
      </c>
      <c r="H4174" s="8" t="s">
        <v>215</v>
      </c>
      <c r="I4174" s="3">
        <v>2</v>
      </c>
      <c r="J4174" s="8" t="s">
        <v>175</v>
      </c>
      <c r="K4174" s="8" t="s">
        <v>176</v>
      </c>
      <c r="L4174" s="8" t="s">
        <v>556</v>
      </c>
      <c r="M4174" s="1" t="s">
        <v>205</v>
      </c>
      <c r="N4174" s="8" t="s">
        <v>206</v>
      </c>
      <c r="O4174" s="6">
        <v>0</v>
      </c>
      <c r="P4174" s="6">
        <v>0</v>
      </c>
      <c r="Q4174" s="6">
        <v>0</v>
      </c>
      <c r="R4174" s="6">
        <v>0</v>
      </c>
      <c r="S4174" s="6">
        <v>0</v>
      </c>
    </row>
    <row r="4175" spans="1:19" ht="15" hidden="1" x14ac:dyDescent="0.25">
      <c r="A4175" s="7" t="s">
        <v>16</v>
      </c>
      <c r="B4175" s="7" t="s">
        <v>372</v>
      </c>
      <c r="C4175" s="7" t="s">
        <v>373</v>
      </c>
      <c r="D4175" s="4">
        <v>60922168005226</v>
      </c>
      <c r="E4175" s="8" t="s">
        <v>977</v>
      </c>
      <c r="F4175" s="8" t="s">
        <v>93</v>
      </c>
      <c r="G4175" s="8" t="s">
        <v>68</v>
      </c>
      <c r="H4175" s="8" t="s">
        <v>215</v>
      </c>
      <c r="I4175" s="3">
        <v>2</v>
      </c>
      <c r="J4175" s="8" t="s">
        <v>157</v>
      </c>
      <c r="K4175" s="8" t="s">
        <v>158</v>
      </c>
      <c r="L4175" s="8" t="s">
        <v>557</v>
      </c>
      <c r="M4175" s="1" t="s">
        <v>205</v>
      </c>
      <c r="N4175" s="8" t="s">
        <v>206</v>
      </c>
      <c r="O4175" s="6">
        <v>0</v>
      </c>
      <c r="P4175" s="6">
        <v>18</v>
      </c>
      <c r="Q4175" s="6">
        <v>4</v>
      </c>
      <c r="R4175" s="6">
        <v>0</v>
      </c>
      <c r="S4175" s="6">
        <v>0</v>
      </c>
    </row>
    <row r="4176" spans="1:19" ht="15" hidden="1" x14ac:dyDescent="0.25">
      <c r="A4176" s="7" t="s">
        <v>16</v>
      </c>
      <c r="B4176" s="7" t="s">
        <v>372</v>
      </c>
      <c r="C4176" s="7" t="s">
        <v>373</v>
      </c>
      <c r="D4176" s="4">
        <v>1554266000149</v>
      </c>
      <c r="E4176" s="8" t="s">
        <v>939</v>
      </c>
      <c r="F4176" s="8" t="s">
        <v>113</v>
      </c>
      <c r="G4176" s="8" t="s">
        <v>68</v>
      </c>
      <c r="H4176" s="8" t="s">
        <v>215</v>
      </c>
      <c r="I4176" s="3">
        <v>2</v>
      </c>
      <c r="J4176" s="8" t="s">
        <v>175</v>
      </c>
      <c r="K4176" s="8" t="s">
        <v>176</v>
      </c>
      <c r="L4176" s="8" t="s">
        <v>556</v>
      </c>
      <c r="M4176" s="1" t="s">
        <v>205</v>
      </c>
      <c r="N4176" s="8" t="s">
        <v>206</v>
      </c>
      <c r="O4176" s="6">
        <v>0</v>
      </c>
      <c r="P4176" s="6">
        <v>0</v>
      </c>
      <c r="Q4176" s="6">
        <v>0</v>
      </c>
      <c r="R4176" s="6">
        <v>0</v>
      </c>
      <c r="S4176" s="6">
        <v>105</v>
      </c>
    </row>
    <row r="4177" spans="1:19" ht="15" hidden="1" x14ac:dyDescent="0.25">
      <c r="A4177" s="7" t="s">
        <v>16</v>
      </c>
      <c r="B4177" s="7" t="s">
        <v>372</v>
      </c>
      <c r="C4177" s="7" t="s">
        <v>373</v>
      </c>
      <c r="D4177" s="4">
        <v>1554266000149</v>
      </c>
      <c r="E4177" s="8" t="s">
        <v>939</v>
      </c>
      <c r="F4177" s="8" t="s">
        <v>113</v>
      </c>
      <c r="G4177" s="8" t="s">
        <v>68</v>
      </c>
      <c r="H4177" s="8" t="s">
        <v>215</v>
      </c>
      <c r="I4177" s="3">
        <v>2</v>
      </c>
      <c r="J4177" s="8" t="s">
        <v>157</v>
      </c>
      <c r="K4177" s="8" t="s">
        <v>158</v>
      </c>
      <c r="L4177" s="8" t="s">
        <v>557</v>
      </c>
      <c r="M4177" s="1" t="s">
        <v>205</v>
      </c>
      <c r="N4177" s="8" t="s">
        <v>206</v>
      </c>
      <c r="O4177" s="6">
        <v>0</v>
      </c>
      <c r="P4177" s="6">
        <v>0</v>
      </c>
      <c r="Q4177" s="6">
        <v>0</v>
      </c>
      <c r="R4177" s="6">
        <v>0</v>
      </c>
      <c r="S4177" s="6">
        <v>105</v>
      </c>
    </row>
    <row r="4178" spans="1:19" ht="15" hidden="1" x14ac:dyDescent="0.25">
      <c r="A4178" s="7" t="s">
        <v>16</v>
      </c>
      <c r="B4178" s="7" t="s">
        <v>372</v>
      </c>
      <c r="C4178" s="7" t="s">
        <v>373</v>
      </c>
      <c r="D4178" s="4">
        <v>23982118000168</v>
      </c>
      <c r="E4178" s="8" t="s">
        <v>972</v>
      </c>
      <c r="F4178" s="8" t="s">
        <v>930</v>
      </c>
      <c r="G4178" s="8" t="s">
        <v>68</v>
      </c>
      <c r="H4178" s="8" t="s">
        <v>215</v>
      </c>
      <c r="I4178" s="3">
        <v>2</v>
      </c>
      <c r="J4178" s="8" t="s">
        <v>175</v>
      </c>
      <c r="K4178" s="8" t="s">
        <v>176</v>
      </c>
      <c r="L4178" s="8" t="s">
        <v>556</v>
      </c>
      <c r="M4178" s="1" t="s">
        <v>205</v>
      </c>
      <c r="N4178" s="8" t="s">
        <v>206</v>
      </c>
      <c r="O4178" s="6">
        <v>0</v>
      </c>
      <c r="P4178" s="6">
        <v>0</v>
      </c>
      <c r="Q4178" s="6">
        <v>0</v>
      </c>
      <c r="R4178" s="6">
        <v>32</v>
      </c>
      <c r="S4178" s="6">
        <v>315</v>
      </c>
    </row>
    <row r="4179" spans="1:19" ht="15" hidden="1" x14ac:dyDescent="0.25">
      <c r="A4179" s="7" t="s">
        <v>16</v>
      </c>
      <c r="B4179" s="7" t="s">
        <v>372</v>
      </c>
      <c r="C4179" s="7" t="s">
        <v>373</v>
      </c>
      <c r="D4179" s="4">
        <v>23982118000168</v>
      </c>
      <c r="E4179" s="8" t="s">
        <v>972</v>
      </c>
      <c r="F4179" s="8" t="s">
        <v>930</v>
      </c>
      <c r="G4179" s="8" t="s">
        <v>68</v>
      </c>
      <c r="H4179" s="8" t="s">
        <v>215</v>
      </c>
      <c r="I4179" s="3">
        <v>2</v>
      </c>
      <c r="J4179" s="8" t="s">
        <v>157</v>
      </c>
      <c r="K4179" s="8" t="s">
        <v>158</v>
      </c>
      <c r="L4179" s="8" t="s">
        <v>557</v>
      </c>
      <c r="M4179" s="1" t="s">
        <v>205</v>
      </c>
      <c r="N4179" s="8" t="s">
        <v>206</v>
      </c>
      <c r="O4179" s="6">
        <v>0</v>
      </c>
      <c r="P4179" s="6">
        <v>0</v>
      </c>
      <c r="Q4179" s="6">
        <v>0</v>
      </c>
      <c r="R4179" s="6">
        <v>0</v>
      </c>
      <c r="S4179" s="6">
        <v>315</v>
      </c>
    </row>
    <row r="4180" spans="1:19" ht="15" hidden="1" x14ac:dyDescent="0.25">
      <c r="A4180" s="7" t="s">
        <v>16</v>
      </c>
      <c r="B4180" s="7" t="s">
        <v>372</v>
      </c>
      <c r="C4180" s="7" t="s">
        <v>373</v>
      </c>
      <c r="D4180" s="4">
        <v>1125832000105</v>
      </c>
      <c r="E4180" s="8" t="s">
        <v>935</v>
      </c>
      <c r="F4180" s="8" t="s">
        <v>930</v>
      </c>
      <c r="G4180" s="8" t="s">
        <v>68</v>
      </c>
      <c r="H4180" s="8" t="s">
        <v>215</v>
      </c>
      <c r="I4180" s="3">
        <v>2</v>
      </c>
      <c r="J4180" s="8" t="s">
        <v>175</v>
      </c>
      <c r="K4180" s="8" t="s">
        <v>176</v>
      </c>
      <c r="L4180" s="8" t="s">
        <v>556</v>
      </c>
      <c r="M4180" s="1" t="s">
        <v>205</v>
      </c>
      <c r="N4180" s="8" t="s">
        <v>206</v>
      </c>
      <c r="O4180" s="6">
        <v>0</v>
      </c>
      <c r="P4180" s="6">
        <v>0</v>
      </c>
      <c r="Q4180" s="6">
        <v>0</v>
      </c>
      <c r="R4180" s="6">
        <v>0</v>
      </c>
      <c r="S4180" s="6">
        <v>110</v>
      </c>
    </row>
    <row r="4181" spans="1:19" ht="15" hidden="1" x14ac:dyDescent="0.25">
      <c r="A4181" s="7" t="s">
        <v>16</v>
      </c>
      <c r="B4181" s="7" t="s">
        <v>372</v>
      </c>
      <c r="C4181" s="7" t="s">
        <v>373</v>
      </c>
      <c r="D4181" s="4">
        <v>1125832000105</v>
      </c>
      <c r="E4181" s="8" t="s">
        <v>935</v>
      </c>
      <c r="F4181" s="8" t="s">
        <v>930</v>
      </c>
      <c r="G4181" s="8" t="s">
        <v>68</v>
      </c>
      <c r="H4181" s="8" t="s">
        <v>215</v>
      </c>
      <c r="I4181" s="3">
        <v>2</v>
      </c>
      <c r="J4181" s="8" t="s">
        <v>157</v>
      </c>
      <c r="K4181" s="8" t="s">
        <v>158</v>
      </c>
      <c r="L4181" s="8" t="s">
        <v>557</v>
      </c>
      <c r="M4181" s="1" t="s">
        <v>205</v>
      </c>
      <c r="N4181" s="8" t="s">
        <v>206</v>
      </c>
      <c r="O4181" s="6">
        <v>0</v>
      </c>
      <c r="P4181" s="6">
        <v>0</v>
      </c>
      <c r="Q4181" s="6">
        <v>0</v>
      </c>
      <c r="R4181" s="6">
        <v>0</v>
      </c>
      <c r="S4181" s="6">
        <v>110</v>
      </c>
    </row>
    <row r="4182" spans="1:19" ht="15" hidden="1" x14ac:dyDescent="0.25">
      <c r="A4182" s="7" t="s">
        <v>16</v>
      </c>
      <c r="B4182" s="7" t="s">
        <v>372</v>
      </c>
      <c r="C4182" s="7" t="s">
        <v>373</v>
      </c>
      <c r="D4182" s="4">
        <v>80673411000187</v>
      </c>
      <c r="E4182" s="8" t="s">
        <v>999</v>
      </c>
      <c r="F4182" s="8" t="s">
        <v>930</v>
      </c>
      <c r="G4182" s="8" t="s">
        <v>68</v>
      </c>
      <c r="H4182" s="8" t="s">
        <v>215</v>
      </c>
      <c r="I4182" s="3">
        <v>2</v>
      </c>
      <c r="J4182" s="8" t="s">
        <v>175</v>
      </c>
      <c r="K4182" s="8" t="s">
        <v>176</v>
      </c>
      <c r="L4182" s="8" t="s">
        <v>556</v>
      </c>
      <c r="M4182" s="1" t="s">
        <v>205</v>
      </c>
      <c r="N4182" s="8" t="s">
        <v>206</v>
      </c>
      <c r="O4182" s="6">
        <v>0</v>
      </c>
      <c r="P4182" s="6">
        <v>0</v>
      </c>
      <c r="Q4182" s="6">
        <v>0</v>
      </c>
      <c r="R4182" s="6">
        <v>64</v>
      </c>
      <c r="S4182" s="6">
        <v>0</v>
      </c>
    </row>
    <row r="4183" spans="1:19" ht="15" hidden="1" x14ac:dyDescent="0.25">
      <c r="A4183" s="7" t="s">
        <v>16</v>
      </c>
      <c r="B4183" s="7" t="s">
        <v>372</v>
      </c>
      <c r="C4183" s="7" t="s">
        <v>373</v>
      </c>
      <c r="D4183" s="4">
        <v>80673411000187</v>
      </c>
      <c r="E4183" s="8" t="s">
        <v>999</v>
      </c>
      <c r="F4183" s="8" t="s">
        <v>930</v>
      </c>
      <c r="G4183" s="8" t="s">
        <v>68</v>
      </c>
      <c r="H4183" s="8" t="s">
        <v>215</v>
      </c>
      <c r="I4183" s="3">
        <v>2</v>
      </c>
      <c r="J4183" s="8" t="s">
        <v>157</v>
      </c>
      <c r="K4183" s="8" t="s">
        <v>158</v>
      </c>
      <c r="L4183" s="8" t="s">
        <v>557</v>
      </c>
      <c r="M4183" s="1" t="s">
        <v>205</v>
      </c>
      <c r="N4183" s="8" t="s">
        <v>206</v>
      </c>
      <c r="O4183" s="6">
        <v>0</v>
      </c>
      <c r="P4183" s="6">
        <v>0</v>
      </c>
      <c r="Q4183" s="6">
        <v>0</v>
      </c>
      <c r="R4183" s="6">
        <v>0</v>
      </c>
      <c r="S4183" s="6">
        <v>0</v>
      </c>
    </row>
    <row r="4184" spans="1:19" ht="15" hidden="1" x14ac:dyDescent="0.25">
      <c r="A4184" s="7" t="s">
        <v>16</v>
      </c>
      <c r="B4184" s="7" t="s">
        <v>372</v>
      </c>
      <c r="C4184" s="7" t="s">
        <v>373</v>
      </c>
      <c r="D4184" s="4">
        <v>83884999000106</v>
      </c>
      <c r="E4184" s="8" t="s">
        <v>1009</v>
      </c>
      <c r="F4184" s="8" t="s">
        <v>930</v>
      </c>
      <c r="G4184" s="8" t="s">
        <v>68</v>
      </c>
      <c r="H4184" s="8" t="s">
        <v>215</v>
      </c>
      <c r="I4184" s="3">
        <v>2</v>
      </c>
      <c r="J4184" s="8" t="s">
        <v>175</v>
      </c>
      <c r="K4184" s="8" t="s">
        <v>176</v>
      </c>
      <c r="L4184" s="8" t="s">
        <v>556</v>
      </c>
      <c r="M4184" s="1" t="s">
        <v>205</v>
      </c>
      <c r="N4184" s="8" t="s">
        <v>206</v>
      </c>
      <c r="O4184" s="6">
        <v>0</v>
      </c>
      <c r="P4184" s="6">
        <v>0</v>
      </c>
      <c r="Q4184" s="6">
        <v>0</v>
      </c>
      <c r="R4184" s="6">
        <v>0</v>
      </c>
      <c r="S4184" s="6">
        <v>130</v>
      </c>
    </row>
    <row r="4185" spans="1:19" ht="15" hidden="1" x14ac:dyDescent="0.25">
      <c r="A4185" s="7" t="s">
        <v>16</v>
      </c>
      <c r="B4185" s="7" t="s">
        <v>372</v>
      </c>
      <c r="C4185" s="7" t="s">
        <v>373</v>
      </c>
      <c r="D4185" s="4">
        <v>83884999000106</v>
      </c>
      <c r="E4185" s="8" t="s">
        <v>1009</v>
      </c>
      <c r="F4185" s="8" t="s">
        <v>930</v>
      </c>
      <c r="G4185" s="8" t="s">
        <v>68</v>
      </c>
      <c r="H4185" s="8" t="s">
        <v>215</v>
      </c>
      <c r="I4185" s="3">
        <v>2</v>
      </c>
      <c r="J4185" s="8" t="s">
        <v>157</v>
      </c>
      <c r="K4185" s="8" t="s">
        <v>158</v>
      </c>
      <c r="L4185" s="8" t="s">
        <v>557</v>
      </c>
      <c r="M4185" s="1" t="s">
        <v>205</v>
      </c>
      <c r="N4185" s="8" t="s">
        <v>206</v>
      </c>
      <c r="O4185" s="6">
        <v>0</v>
      </c>
      <c r="P4185" s="6">
        <v>0</v>
      </c>
      <c r="Q4185" s="6">
        <v>0</v>
      </c>
      <c r="R4185" s="6">
        <v>0</v>
      </c>
      <c r="S4185" s="6">
        <v>130</v>
      </c>
    </row>
    <row r="4186" spans="1:19" ht="15" hidden="1" x14ac:dyDescent="0.25">
      <c r="A4186" s="7" t="s">
        <v>16</v>
      </c>
      <c r="B4186" s="7" t="s">
        <v>372</v>
      </c>
      <c r="C4186" s="7" t="s">
        <v>373</v>
      </c>
      <c r="D4186" s="4">
        <v>85307098000187</v>
      </c>
      <c r="E4186" s="8" t="s">
        <v>1505</v>
      </c>
      <c r="F4186" s="8" t="s">
        <v>930</v>
      </c>
      <c r="G4186" s="8" t="s">
        <v>68</v>
      </c>
      <c r="H4186" s="8" t="s">
        <v>1334</v>
      </c>
      <c r="I4186" s="3">
        <v>0</v>
      </c>
      <c r="J4186" s="8"/>
      <c r="K4186" s="8"/>
      <c r="L4186" s="8"/>
      <c r="M4186" s="1"/>
      <c r="N4186" s="8"/>
      <c r="O4186" s="6">
        <v>0</v>
      </c>
      <c r="P4186" s="6">
        <v>0</v>
      </c>
      <c r="Q4186" s="6">
        <v>0</v>
      </c>
      <c r="R4186" s="6">
        <v>0</v>
      </c>
      <c r="S4186" s="6">
        <v>0</v>
      </c>
    </row>
    <row r="4187" spans="1:19" ht="15" hidden="1" x14ac:dyDescent="0.25">
      <c r="A4187" s="7" t="s">
        <v>16</v>
      </c>
      <c r="B4187" s="7" t="s">
        <v>372</v>
      </c>
      <c r="C4187" s="7" t="s">
        <v>373</v>
      </c>
      <c r="D4187" s="4">
        <v>4670913000176</v>
      </c>
      <c r="E4187" s="8" t="s">
        <v>949</v>
      </c>
      <c r="F4187" s="8" t="s">
        <v>930</v>
      </c>
      <c r="G4187" s="8" t="s">
        <v>68</v>
      </c>
      <c r="H4187" s="8" t="s">
        <v>215</v>
      </c>
      <c r="I4187" s="3">
        <v>2</v>
      </c>
      <c r="J4187" s="8" t="s">
        <v>175</v>
      </c>
      <c r="K4187" s="8" t="s">
        <v>176</v>
      </c>
      <c r="L4187" s="8" t="s">
        <v>556</v>
      </c>
      <c r="M4187" s="1" t="s">
        <v>205</v>
      </c>
      <c r="N4187" s="8" t="s">
        <v>206</v>
      </c>
      <c r="O4187" s="6">
        <v>0</v>
      </c>
      <c r="P4187" s="6">
        <v>0</v>
      </c>
      <c r="Q4187" s="6">
        <v>0</v>
      </c>
      <c r="R4187" s="6">
        <v>0</v>
      </c>
      <c r="S4187" s="6">
        <v>350</v>
      </c>
    </row>
    <row r="4188" spans="1:19" ht="15" hidden="1" x14ac:dyDescent="0.25">
      <c r="A4188" s="7" t="s">
        <v>16</v>
      </c>
      <c r="B4188" s="7" t="s">
        <v>372</v>
      </c>
      <c r="C4188" s="7" t="s">
        <v>373</v>
      </c>
      <c r="D4188" s="4">
        <v>4670913000176</v>
      </c>
      <c r="E4188" s="8" t="s">
        <v>949</v>
      </c>
      <c r="F4188" s="8" t="s">
        <v>930</v>
      </c>
      <c r="G4188" s="8" t="s">
        <v>68</v>
      </c>
      <c r="H4188" s="8" t="s">
        <v>215</v>
      </c>
      <c r="I4188" s="3">
        <v>2</v>
      </c>
      <c r="J4188" s="8" t="s">
        <v>157</v>
      </c>
      <c r="K4188" s="8" t="s">
        <v>158</v>
      </c>
      <c r="L4188" s="8" t="s">
        <v>557</v>
      </c>
      <c r="M4188" s="1" t="s">
        <v>205</v>
      </c>
      <c r="N4188" s="8" t="s">
        <v>206</v>
      </c>
      <c r="O4188" s="6">
        <v>0</v>
      </c>
      <c r="P4188" s="6">
        <v>0</v>
      </c>
      <c r="Q4188" s="6">
        <v>0</v>
      </c>
      <c r="R4188" s="6">
        <v>0</v>
      </c>
      <c r="S4188" s="6">
        <v>350</v>
      </c>
    </row>
    <row r="4189" spans="1:19" ht="15" hidden="1" x14ac:dyDescent="0.25">
      <c r="A4189" s="7" t="s">
        <v>16</v>
      </c>
      <c r="B4189" s="7" t="s">
        <v>372</v>
      </c>
      <c r="C4189" s="7" t="s">
        <v>373</v>
      </c>
      <c r="D4189" s="4">
        <v>92390000177</v>
      </c>
      <c r="E4189" s="8" t="s">
        <v>1434</v>
      </c>
      <c r="F4189" s="8" t="s">
        <v>125</v>
      </c>
      <c r="G4189" s="8" t="s">
        <v>68</v>
      </c>
      <c r="H4189" s="8" t="s">
        <v>1334</v>
      </c>
      <c r="I4189" s="3">
        <v>0</v>
      </c>
      <c r="J4189" s="8"/>
      <c r="K4189" s="8"/>
      <c r="L4189" s="8"/>
      <c r="M4189" s="1"/>
      <c r="N4189" s="8"/>
      <c r="O4189" s="6">
        <v>0</v>
      </c>
      <c r="P4189" s="6">
        <v>0</v>
      </c>
      <c r="Q4189" s="6">
        <v>0</v>
      </c>
      <c r="R4189" s="6">
        <v>0</v>
      </c>
      <c r="S4189" s="6">
        <v>0</v>
      </c>
    </row>
    <row r="4190" spans="1:19" ht="15" hidden="1" x14ac:dyDescent="0.25">
      <c r="A4190" s="7" t="s">
        <v>16</v>
      </c>
      <c r="B4190" s="7" t="s">
        <v>372</v>
      </c>
      <c r="C4190" s="7" t="s">
        <v>373</v>
      </c>
      <c r="D4190" s="4">
        <v>84947167000154</v>
      </c>
      <c r="E4190" s="8" t="s">
        <v>1504</v>
      </c>
      <c r="F4190" s="8" t="s">
        <v>1503</v>
      </c>
      <c r="G4190" s="8" t="s">
        <v>68</v>
      </c>
      <c r="H4190" s="8" t="s">
        <v>1334</v>
      </c>
      <c r="I4190" s="3">
        <v>0</v>
      </c>
      <c r="J4190" s="8"/>
      <c r="K4190" s="8"/>
      <c r="L4190" s="8"/>
      <c r="M4190" s="1"/>
      <c r="N4190" s="8"/>
      <c r="O4190" s="6">
        <v>0</v>
      </c>
      <c r="P4190" s="6">
        <v>0</v>
      </c>
      <c r="Q4190" s="6">
        <v>0</v>
      </c>
      <c r="R4190" s="6">
        <v>0</v>
      </c>
      <c r="S4190" s="6">
        <v>0</v>
      </c>
    </row>
    <row r="4191" spans="1:19" ht="15" hidden="1" x14ac:dyDescent="0.25">
      <c r="A4191" s="7" t="s">
        <v>16</v>
      </c>
      <c r="B4191" s="7" t="s">
        <v>372</v>
      </c>
      <c r="C4191" s="7" t="s">
        <v>373</v>
      </c>
      <c r="D4191" s="4">
        <v>84942887000127</v>
      </c>
      <c r="E4191" s="8" t="s">
        <v>1502</v>
      </c>
      <c r="F4191" s="8" t="s">
        <v>1503</v>
      </c>
      <c r="G4191" s="8" t="s">
        <v>68</v>
      </c>
      <c r="H4191" s="8" t="s">
        <v>1334</v>
      </c>
      <c r="I4191" s="3">
        <v>0</v>
      </c>
      <c r="J4191" s="8"/>
      <c r="K4191" s="8"/>
      <c r="L4191" s="8"/>
      <c r="M4191" s="1"/>
      <c r="N4191" s="8"/>
      <c r="O4191" s="6">
        <v>0</v>
      </c>
      <c r="P4191" s="6">
        <v>0</v>
      </c>
      <c r="Q4191" s="6">
        <v>0</v>
      </c>
      <c r="R4191" s="6">
        <v>0</v>
      </c>
      <c r="S4191" s="6">
        <v>0</v>
      </c>
    </row>
    <row r="4192" spans="1:19" ht="15" hidden="1" x14ac:dyDescent="0.25">
      <c r="A4192" s="7" t="s">
        <v>16</v>
      </c>
      <c r="B4192" s="7" t="s">
        <v>372</v>
      </c>
      <c r="C4192" s="7" t="s">
        <v>373</v>
      </c>
      <c r="D4192" s="4">
        <v>77858611001414</v>
      </c>
      <c r="E4192" s="8" t="s">
        <v>991</v>
      </c>
      <c r="F4192" s="8" t="s">
        <v>969</v>
      </c>
      <c r="G4192" s="8" t="s">
        <v>68</v>
      </c>
      <c r="H4192" s="8" t="s">
        <v>215</v>
      </c>
      <c r="I4192" s="3">
        <v>2</v>
      </c>
      <c r="J4192" s="8" t="s">
        <v>175</v>
      </c>
      <c r="K4192" s="8" t="s">
        <v>176</v>
      </c>
      <c r="L4192" s="8" t="s">
        <v>556</v>
      </c>
      <c r="M4192" s="1" t="s">
        <v>205</v>
      </c>
      <c r="N4192" s="8" t="s">
        <v>206</v>
      </c>
      <c r="O4192" s="6">
        <v>0</v>
      </c>
      <c r="P4192" s="6">
        <v>0</v>
      </c>
      <c r="Q4192" s="6">
        <v>0</v>
      </c>
      <c r="R4192" s="6">
        <v>0</v>
      </c>
      <c r="S4192" s="6">
        <v>158</v>
      </c>
    </row>
    <row r="4193" spans="1:19" ht="15" hidden="1" x14ac:dyDescent="0.25">
      <c r="A4193" s="7" t="s">
        <v>16</v>
      </c>
      <c r="B4193" s="7" t="s">
        <v>372</v>
      </c>
      <c r="C4193" s="7" t="s">
        <v>373</v>
      </c>
      <c r="D4193" s="4">
        <v>77858611001414</v>
      </c>
      <c r="E4193" s="8" t="s">
        <v>991</v>
      </c>
      <c r="F4193" s="8" t="s">
        <v>969</v>
      </c>
      <c r="G4193" s="8" t="s">
        <v>68</v>
      </c>
      <c r="H4193" s="8" t="s">
        <v>215</v>
      </c>
      <c r="I4193" s="3">
        <v>2</v>
      </c>
      <c r="J4193" s="8" t="s">
        <v>157</v>
      </c>
      <c r="K4193" s="8" t="s">
        <v>158</v>
      </c>
      <c r="L4193" s="8" t="s">
        <v>557</v>
      </c>
      <c r="M4193" s="1" t="s">
        <v>205</v>
      </c>
      <c r="N4193" s="8" t="s">
        <v>206</v>
      </c>
      <c r="O4193" s="6">
        <v>0</v>
      </c>
      <c r="P4193" s="6">
        <v>0</v>
      </c>
      <c r="Q4193" s="6">
        <v>0</v>
      </c>
      <c r="R4193" s="6">
        <v>0</v>
      </c>
      <c r="S4193" s="6">
        <v>158</v>
      </c>
    </row>
    <row r="4194" spans="1:19" ht="15" hidden="1" x14ac:dyDescent="0.25">
      <c r="A4194" s="7" t="s">
        <v>16</v>
      </c>
      <c r="B4194" s="7" t="s">
        <v>372</v>
      </c>
      <c r="C4194" s="7" t="s">
        <v>373</v>
      </c>
      <c r="D4194" s="4">
        <v>85241339000809</v>
      </c>
      <c r="E4194" s="8" t="s">
        <v>1011</v>
      </c>
      <c r="F4194" s="8" t="s">
        <v>998</v>
      </c>
      <c r="G4194" s="8" t="s">
        <v>68</v>
      </c>
      <c r="H4194" s="8" t="s">
        <v>215</v>
      </c>
      <c r="I4194" s="3">
        <v>2</v>
      </c>
      <c r="J4194" s="8" t="s">
        <v>175</v>
      </c>
      <c r="K4194" s="8" t="s">
        <v>176</v>
      </c>
      <c r="L4194" s="8" t="s">
        <v>556</v>
      </c>
      <c r="M4194" s="1" t="s">
        <v>205</v>
      </c>
      <c r="N4194" s="8" t="s">
        <v>206</v>
      </c>
      <c r="O4194" s="6">
        <v>0</v>
      </c>
      <c r="P4194" s="6">
        <v>0</v>
      </c>
      <c r="Q4194" s="6">
        <v>0</v>
      </c>
      <c r="R4194" s="6">
        <v>0</v>
      </c>
      <c r="S4194" s="6">
        <v>10</v>
      </c>
    </row>
    <row r="4195" spans="1:19" ht="15" hidden="1" x14ac:dyDescent="0.25">
      <c r="A4195" s="7" t="s">
        <v>16</v>
      </c>
      <c r="B4195" s="7" t="s">
        <v>372</v>
      </c>
      <c r="C4195" s="7" t="s">
        <v>373</v>
      </c>
      <c r="D4195" s="4">
        <v>85241339000809</v>
      </c>
      <c r="E4195" s="8" t="s">
        <v>1011</v>
      </c>
      <c r="F4195" s="8" t="s">
        <v>998</v>
      </c>
      <c r="G4195" s="8" t="s">
        <v>68</v>
      </c>
      <c r="H4195" s="8" t="s">
        <v>215</v>
      </c>
      <c r="I4195" s="3">
        <v>2</v>
      </c>
      <c r="J4195" s="8" t="s">
        <v>157</v>
      </c>
      <c r="K4195" s="8" t="s">
        <v>158</v>
      </c>
      <c r="L4195" s="8" t="s">
        <v>557</v>
      </c>
      <c r="M4195" s="1" t="s">
        <v>205</v>
      </c>
      <c r="N4195" s="8" t="s">
        <v>206</v>
      </c>
      <c r="O4195" s="6">
        <v>0</v>
      </c>
      <c r="P4195" s="6">
        <v>0</v>
      </c>
      <c r="Q4195" s="6">
        <v>0</v>
      </c>
      <c r="R4195" s="6">
        <v>0</v>
      </c>
      <c r="S4195" s="6">
        <v>10</v>
      </c>
    </row>
    <row r="4196" spans="1:19" ht="15" hidden="1" x14ac:dyDescent="0.25">
      <c r="A4196" s="7" t="s">
        <v>16</v>
      </c>
      <c r="B4196" s="7" t="s">
        <v>372</v>
      </c>
      <c r="C4196" s="7" t="s">
        <v>373</v>
      </c>
      <c r="D4196" s="4">
        <v>13131370000100</v>
      </c>
      <c r="E4196" s="8" t="s">
        <v>870</v>
      </c>
      <c r="F4196" s="8" t="s">
        <v>84</v>
      </c>
      <c r="G4196" s="8" t="s">
        <v>85</v>
      </c>
      <c r="H4196" s="8" t="s">
        <v>215</v>
      </c>
      <c r="I4196" s="3">
        <v>2</v>
      </c>
      <c r="J4196" s="8" t="s">
        <v>199</v>
      </c>
      <c r="K4196" s="8" t="s">
        <v>200</v>
      </c>
      <c r="L4196" s="8" t="s">
        <v>556</v>
      </c>
      <c r="M4196" s="1" t="s">
        <v>211</v>
      </c>
      <c r="N4196" s="8" t="s">
        <v>212</v>
      </c>
      <c r="O4196" s="6">
        <v>0</v>
      </c>
      <c r="P4196" s="6">
        <v>0</v>
      </c>
      <c r="Q4196" s="6">
        <v>0</v>
      </c>
      <c r="R4196" s="6">
        <v>150</v>
      </c>
      <c r="S4196" s="6">
        <v>0</v>
      </c>
    </row>
    <row r="4197" spans="1:19" ht="15" hidden="1" x14ac:dyDescent="0.25">
      <c r="A4197" s="7" t="s">
        <v>16</v>
      </c>
      <c r="B4197" s="7" t="s">
        <v>372</v>
      </c>
      <c r="C4197" s="7" t="s">
        <v>373</v>
      </c>
      <c r="D4197" s="4">
        <v>13131370000100</v>
      </c>
      <c r="E4197" s="8" t="s">
        <v>870</v>
      </c>
      <c r="F4197" s="8" t="s">
        <v>84</v>
      </c>
      <c r="G4197" s="8" t="s">
        <v>85</v>
      </c>
      <c r="H4197" s="8" t="s">
        <v>215</v>
      </c>
      <c r="I4197" s="3">
        <v>2</v>
      </c>
      <c r="J4197" s="8" t="s">
        <v>167</v>
      </c>
      <c r="K4197" s="8" t="s">
        <v>168</v>
      </c>
      <c r="L4197" s="8" t="s">
        <v>557</v>
      </c>
      <c r="M4197" s="1" t="s">
        <v>211</v>
      </c>
      <c r="N4197" s="8" t="s">
        <v>212</v>
      </c>
      <c r="O4197" s="6">
        <v>0</v>
      </c>
      <c r="P4197" s="6">
        <v>0</v>
      </c>
      <c r="Q4197" s="6">
        <v>0</v>
      </c>
      <c r="R4197" s="6">
        <v>0</v>
      </c>
      <c r="S4197" s="6">
        <v>0</v>
      </c>
    </row>
    <row r="4198" spans="1:19" ht="15" hidden="1" x14ac:dyDescent="0.25">
      <c r="A4198" s="7" t="s">
        <v>16</v>
      </c>
      <c r="B4198" s="7" t="s">
        <v>372</v>
      </c>
      <c r="C4198" s="7" t="s">
        <v>373</v>
      </c>
      <c r="D4198" s="4">
        <v>16064313000577</v>
      </c>
      <c r="E4198" s="8" t="s">
        <v>898</v>
      </c>
      <c r="F4198" s="8" t="s">
        <v>84</v>
      </c>
      <c r="G4198" s="8" t="s">
        <v>85</v>
      </c>
      <c r="H4198" s="8" t="s">
        <v>215</v>
      </c>
      <c r="I4198" s="3">
        <v>2</v>
      </c>
      <c r="J4198" s="8" t="s">
        <v>199</v>
      </c>
      <c r="K4198" s="8" t="s">
        <v>200</v>
      </c>
      <c r="L4198" s="8" t="s">
        <v>556</v>
      </c>
      <c r="M4198" s="1" t="s">
        <v>211</v>
      </c>
      <c r="N4198" s="8" t="s">
        <v>212</v>
      </c>
      <c r="O4198" s="6">
        <v>0</v>
      </c>
      <c r="P4198" s="6">
        <v>0</v>
      </c>
      <c r="Q4198" s="6">
        <v>0</v>
      </c>
      <c r="R4198" s="6">
        <v>42</v>
      </c>
      <c r="S4198" s="6">
        <v>0</v>
      </c>
    </row>
    <row r="4199" spans="1:19" ht="15" hidden="1" x14ac:dyDescent="0.25">
      <c r="A4199" s="7" t="s">
        <v>16</v>
      </c>
      <c r="B4199" s="7" t="s">
        <v>372</v>
      </c>
      <c r="C4199" s="7" t="s">
        <v>373</v>
      </c>
      <c r="D4199" s="4">
        <v>16064313000577</v>
      </c>
      <c r="E4199" s="8" t="s">
        <v>898</v>
      </c>
      <c r="F4199" s="8" t="s">
        <v>84</v>
      </c>
      <c r="G4199" s="8" t="s">
        <v>85</v>
      </c>
      <c r="H4199" s="8" t="s">
        <v>215</v>
      </c>
      <c r="I4199" s="3">
        <v>2</v>
      </c>
      <c r="J4199" s="8" t="s">
        <v>167</v>
      </c>
      <c r="K4199" s="8" t="s">
        <v>168</v>
      </c>
      <c r="L4199" s="8" t="s">
        <v>557</v>
      </c>
      <c r="M4199" s="1" t="s">
        <v>211</v>
      </c>
      <c r="N4199" s="8" t="s">
        <v>212</v>
      </c>
      <c r="O4199" s="6">
        <v>0</v>
      </c>
      <c r="P4199" s="6">
        <v>0</v>
      </c>
      <c r="Q4199" s="6">
        <v>0</v>
      </c>
      <c r="R4199" s="6">
        <v>0</v>
      </c>
      <c r="S4199" s="6">
        <v>0</v>
      </c>
    </row>
    <row r="4200" spans="1:19" ht="15" hidden="1" x14ac:dyDescent="0.25">
      <c r="A4200" s="7" t="s">
        <v>16</v>
      </c>
      <c r="B4200" s="7" t="s">
        <v>372</v>
      </c>
      <c r="C4200" s="7" t="s">
        <v>373</v>
      </c>
      <c r="D4200" s="4">
        <v>7549453000110</v>
      </c>
      <c r="E4200" s="8" t="s">
        <v>1452</v>
      </c>
      <c r="F4200" s="8" t="s">
        <v>84</v>
      </c>
      <c r="G4200" s="8" t="s">
        <v>85</v>
      </c>
      <c r="H4200" s="8" t="s">
        <v>1334</v>
      </c>
      <c r="I4200" s="3">
        <v>0</v>
      </c>
      <c r="J4200" s="8"/>
      <c r="K4200" s="8"/>
      <c r="L4200" s="8"/>
      <c r="M4200" s="1"/>
      <c r="N4200" s="8"/>
      <c r="O4200" s="6">
        <v>0</v>
      </c>
      <c r="P4200" s="6">
        <v>0</v>
      </c>
      <c r="Q4200" s="6">
        <v>0</v>
      </c>
      <c r="R4200" s="6">
        <v>0</v>
      </c>
      <c r="S4200" s="6">
        <v>0</v>
      </c>
    </row>
    <row r="4201" spans="1:19" ht="15" hidden="1" x14ac:dyDescent="0.25">
      <c r="A4201" s="7" t="s">
        <v>16</v>
      </c>
      <c r="B4201" s="7" t="s">
        <v>372</v>
      </c>
      <c r="C4201" s="7" t="s">
        <v>373</v>
      </c>
      <c r="D4201" s="4">
        <v>48628366000721</v>
      </c>
      <c r="E4201" s="8" t="s">
        <v>1376</v>
      </c>
      <c r="F4201" s="8" t="s">
        <v>1377</v>
      </c>
      <c r="G4201" s="8" t="s">
        <v>19</v>
      </c>
      <c r="H4201" s="8" t="s">
        <v>215</v>
      </c>
      <c r="I4201" s="3">
        <v>2</v>
      </c>
      <c r="J4201" s="8" t="s">
        <v>151</v>
      </c>
      <c r="K4201" s="8" t="s">
        <v>152</v>
      </c>
      <c r="L4201" s="8" t="s">
        <v>556</v>
      </c>
      <c r="M4201" s="1" t="s">
        <v>207</v>
      </c>
      <c r="N4201" s="8" t="s">
        <v>208</v>
      </c>
      <c r="O4201" s="6">
        <v>0</v>
      </c>
      <c r="P4201" s="6">
        <v>0</v>
      </c>
      <c r="Q4201" s="6">
        <v>0</v>
      </c>
      <c r="R4201" s="6">
        <v>0</v>
      </c>
      <c r="S4201" s="6">
        <v>40</v>
      </c>
    </row>
    <row r="4202" spans="1:19" ht="15" hidden="1" x14ac:dyDescent="0.25">
      <c r="A4202" s="7" t="s">
        <v>16</v>
      </c>
      <c r="B4202" s="7" t="s">
        <v>372</v>
      </c>
      <c r="C4202" s="7" t="s">
        <v>373</v>
      </c>
      <c r="D4202" s="4">
        <v>48628366000721</v>
      </c>
      <c r="E4202" s="8" t="s">
        <v>1376</v>
      </c>
      <c r="F4202" s="8" t="s">
        <v>1377</v>
      </c>
      <c r="G4202" s="8" t="s">
        <v>19</v>
      </c>
      <c r="H4202" s="8" t="s">
        <v>215</v>
      </c>
      <c r="I4202" s="3">
        <v>2</v>
      </c>
      <c r="J4202" s="8" t="s">
        <v>149</v>
      </c>
      <c r="K4202" s="8" t="s">
        <v>150</v>
      </c>
      <c r="L4202" s="8" t="s">
        <v>557</v>
      </c>
      <c r="M4202" s="1" t="s">
        <v>207</v>
      </c>
      <c r="N4202" s="8" t="s">
        <v>208</v>
      </c>
      <c r="O4202" s="6">
        <v>0</v>
      </c>
      <c r="P4202" s="6">
        <v>0</v>
      </c>
      <c r="Q4202" s="6">
        <v>0</v>
      </c>
      <c r="R4202" s="6">
        <v>0</v>
      </c>
      <c r="S4202" s="6">
        <v>40</v>
      </c>
    </row>
    <row r="4203" spans="1:19" ht="15" hidden="1" x14ac:dyDescent="0.25">
      <c r="A4203" s="7" t="s">
        <v>16</v>
      </c>
      <c r="B4203" s="7" t="s">
        <v>372</v>
      </c>
      <c r="C4203" s="7" t="s">
        <v>373</v>
      </c>
      <c r="D4203" s="4">
        <v>1613433010814</v>
      </c>
      <c r="E4203" s="8" t="s">
        <v>641</v>
      </c>
      <c r="F4203" s="8" t="s">
        <v>49</v>
      </c>
      <c r="G4203" s="8" t="s">
        <v>19</v>
      </c>
      <c r="H4203" s="8" t="s">
        <v>215</v>
      </c>
      <c r="I4203" s="3">
        <v>2</v>
      </c>
      <c r="J4203" s="8" t="s">
        <v>151</v>
      </c>
      <c r="K4203" s="8" t="s">
        <v>152</v>
      </c>
      <c r="L4203" s="8" t="s">
        <v>556</v>
      </c>
      <c r="M4203" s="1" t="s">
        <v>207</v>
      </c>
      <c r="N4203" s="8" t="s">
        <v>208</v>
      </c>
      <c r="O4203" s="6">
        <v>0</v>
      </c>
      <c r="P4203" s="6">
        <v>0</v>
      </c>
      <c r="Q4203" s="6">
        <v>0</v>
      </c>
      <c r="R4203" s="6">
        <v>0</v>
      </c>
      <c r="S4203" s="6">
        <v>350</v>
      </c>
    </row>
    <row r="4204" spans="1:19" ht="15" hidden="1" x14ac:dyDescent="0.25">
      <c r="A4204" s="7" t="s">
        <v>16</v>
      </c>
      <c r="B4204" s="7" t="s">
        <v>372</v>
      </c>
      <c r="C4204" s="7" t="s">
        <v>373</v>
      </c>
      <c r="D4204" s="4">
        <v>1613433010814</v>
      </c>
      <c r="E4204" s="8" t="s">
        <v>641</v>
      </c>
      <c r="F4204" s="8" t="s">
        <v>49</v>
      </c>
      <c r="G4204" s="8" t="s">
        <v>19</v>
      </c>
      <c r="H4204" s="8" t="s">
        <v>215</v>
      </c>
      <c r="I4204" s="3">
        <v>2</v>
      </c>
      <c r="J4204" s="8" t="s">
        <v>149</v>
      </c>
      <c r="K4204" s="8" t="s">
        <v>150</v>
      </c>
      <c r="L4204" s="8" t="s">
        <v>557</v>
      </c>
      <c r="M4204" s="1" t="s">
        <v>207</v>
      </c>
      <c r="N4204" s="8" t="s">
        <v>208</v>
      </c>
      <c r="O4204" s="6">
        <v>0</v>
      </c>
      <c r="P4204" s="6">
        <v>0</v>
      </c>
      <c r="Q4204" s="6">
        <v>0</v>
      </c>
      <c r="R4204" s="6">
        <v>0</v>
      </c>
      <c r="S4204" s="6">
        <v>350</v>
      </c>
    </row>
    <row r="4205" spans="1:19" ht="15" hidden="1" x14ac:dyDescent="0.25">
      <c r="A4205" s="7" t="s">
        <v>16</v>
      </c>
      <c r="B4205" s="7" t="s">
        <v>372</v>
      </c>
      <c r="C4205" s="7" t="s">
        <v>373</v>
      </c>
      <c r="D4205" s="4">
        <v>54012406000385</v>
      </c>
      <c r="E4205" s="8" t="s">
        <v>718</v>
      </c>
      <c r="F4205" s="8" t="s">
        <v>45</v>
      </c>
      <c r="G4205" s="8" t="s">
        <v>19</v>
      </c>
      <c r="H4205" s="8" t="s">
        <v>215</v>
      </c>
      <c r="I4205" s="3">
        <v>2</v>
      </c>
      <c r="J4205" s="8" t="s">
        <v>151</v>
      </c>
      <c r="K4205" s="8" t="s">
        <v>152</v>
      </c>
      <c r="L4205" s="8" t="s">
        <v>556</v>
      </c>
      <c r="M4205" s="1" t="s">
        <v>207</v>
      </c>
      <c r="N4205" s="8" t="s">
        <v>208</v>
      </c>
      <c r="O4205" s="6">
        <v>0</v>
      </c>
      <c r="P4205" s="6">
        <v>0</v>
      </c>
      <c r="Q4205" s="6">
        <v>0</v>
      </c>
      <c r="R4205" s="6">
        <v>0</v>
      </c>
      <c r="S4205" s="6">
        <v>65</v>
      </c>
    </row>
    <row r="4206" spans="1:19" ht="15" hidden="1" x14ac:dyDescent="0.25">
      <c r="A4206" s="7" t="s">
        <v>16</v>
      </c>
      <c r="B4206" s="7" t="s">
        <v>372</v>
      </c>
      <c r="C4206" s="7" t="s">
        <v>373</v>
      </c>
      <c r="D4206" s="4">
        <v>54012406000385</v>
      </c>
      <c r="E4206" s="8" t="s">
        <v>718</v>
      </c>
      <c r="F4206" s="8" t="s">
        <v>45</v>
      </c>
      <c r="G4206" s="8" t="s">
        <v>19</v>
      </c>
      <c r="H4206" s="8" t="s">
        <v>215</v>
      </c>
      <c r="I4206" s="3">
        <v>2</v>
      </c>
      <c r="J4206" s="8" t="s">
        <v>149</v>
      </c>
      <c r="K4206" s="8" t="s">
        <v>150</v>
      </c>
      <c r="L4206" s="8" t="s">
        <v>557</v>
      </c>
      <c r="M4206" s="1" t="s">
        <v>207</v>
      </c>
      <c r="N4206" s="8" t="s">
        <v>208</v>
      </c>
      <c r="O4206" s="6">
        <v>0</v>
      </c>
      <c r="P4206" s="6">
        <v>0</v>
      </c>
      <c r="Q4206" s="6">
        <v>0</v>
      </c>
      <c r="R4206" s="6">
        <v>0</v>
      </c>
      <c r="S4206" s="6">
        <v>65</v>
      </c>
    </row>
    <row r="4207" spans="1:19" ht="15" hidden="1" x14ac:dyDescent="0.25">
      <c r="A4207" s="7" t="s">
        <v>16</v>
      </c>
      <c r="B4207" s="7" t="s">
        <v>372</v>
      </c>
      <c r="C4207" s="7" t="s">
        <v>373</v>
      </c>
      <c r="D4207" s="4">
        <v>4275687000129</v>
      </c>
      <c r="E4207" s="8" t="s">
        <v>645</v>
      </c>
      <c r="F4207" s="8" t="s">
        <v>31</v>
      </c>
      <c r="G4207" s="8" t="s">
        <v>19</v>
      </c>
      <c r="H4207" s="8" t="s">
        <v>215</v>
      </c>
      <c r="I4207" s="3">
        <v>2</v>
      </c>
      <c r="J4207" s="8" t="s">
        <v>151</v>
      </c>
      <c r="K4207" s="8" t="s">
        <v>152</v>
      </c>
      <c r="L4207" s="8" t="s">
        <v>556</v>
      </c>
      <c r="M4207" s="1" t="s">
        <v>207</v>
      </c>
      <c r="N4207" s="8" t="s">
        <v>208</v>
      </c>
      <c r="O4207" s="6">
        <v>0</v>
      </c>
      <c r="P4207" s="6">
        <v>0</v>
      </c>
      <c r="Q4207" s="6">
        <v>0</v>
      </c>
      <c r="R4207" s="6">
        <v>54</v>
      </c>
      <c r="S4207" s="6">
        <v>0</v>
      </c>
    </row>
    <row r="4208" spans="1:19" ht="15" hidden="1" x14ac:dyDescent="0.25">
      <c r="A4208" s="7" t="s">
        <v>16</v>
      </c>
      <c r="B4208" s="7" t="s">
        <v>372</v>
      </c>
      <c r="C4208" s="7" t="s">
        <v>373</v>
      </c>
      <c r="D4208" s="4">
        <v>4275687000129</v>
      </c>
      <c r="E4208" s="8" t="s">
        <v>645</v>
      </c>
      <c r="F4208" s="8" t="s">
        <v>31</v>
      </c>
      <c r="G4208" s="8" t="s">
        <v>19</v>
      </c>
      <c r="H4208" s="8" t="s">
        <v>215</v>
      </c>
      <c r="I4208" s="3">
        <v>2</v>
      </c>
      <c r="J4208" s="8" t="s">
        <v>149</v>
      </c>
      <c r="K4208" s="8" t="s">
        <v>150</v>
      </c>
      <c r="L4208" s="8" t="s">
        <v>557</v>
      </c>
      <c r="M4208" s="1" t="s">
        <v>207</v>
      </c>
      <c r="N4208" s="8" t="s">
        <v>208</v>
      </c>
      <c r="O4208" s="6">
        <v>0</v>
      </c>
      <c r="P4208" s="6">
        <v>0</v>
      </c>
      <c r="Q4208" s="6">
        <v>0</v>
      </c>
      <c r="R4208" s="6">
        <v>0</v>
      </c>
      <c r="S4208" s="6">
        <v>0</v>
      </c>
    </row>
    <row r="4209" spans="1:19" ht="15" hidden="1" x14ac:dyDescent="0.25">
      <c r="A4209" s="7" t="s">
        <v>16</v>
      </c>
      <c r="B4209" s="7" t="s">
        <v>372</v>
      </c>
      <c r="C4209" s="7" t="s">
        <v>373</v>
      </c>
      <c r="D4209" s="4">
        <v>44456036000311</v>
      </c>
      <c r="E4209" s="8" t="s">
        <v>675</v>
      </c>
      <c r="F4209" s="8" t="s">
        <v>37</v>
      </c>
      <c r="G4209" s="8" t="s">
        <v>19</v>
      </c>
      <c r="H4209" s="8" t="s">
        <v>215</v>
      </c>
      <c r="I4209" s="3">
        <v>2</v>
      </c>
      <c r="J4209" s="8" t="s">
        <v>151</v>
      </c>
      <c r="K4209" s="8" t="s">
        <v>152</v>
      </c>
      <c r="L4209" s="8" t="s">
        <v>556</v>
      </c>
      <c r="M4209" s="1" t="s">
        <v>207</v>
      </c>
      <c r="N4209" s="8" t="s">
        <v>208</v>
      </c>
      <c r="O4209" s="6">
        <v>4</v>
      </c>
      <c r="P4209" s="6">
        <v>0</v>
      </c>
      <c r="Q4209" s="6">
        <v>0</v>
      </c>
      <c r="R4209" s="6">
        <v>0</v>
      </c>
      <c r="S4209" s="6">
        <v>0</v>
      </c>
    </row>
    <row r="4210" spans="1:19" ht="15" hidden="1" x14ac:dyDescent="0.25">
      <c r="A4210" s="7" t="s">
        <v>16</v>
      </c>
      <c r="B4210" s="7" t="s">
        <v>372</v>
      </c>
      <c r="C4210" s="7" t="s">
        <v>373</v>
      </c>
      <c r="D4210" s="4">
        <v>44456036000311</v>
      </c>
      <c r="E4210" s="8" t="s">
        <v>675</v>
      </c>
      <c r="F4210" s="8" t="s">
        <v>37</v>
      </c>
      <c r="G4210" s="8" t="s">
        <v>19</v>
      </c>
      <c r="H4210" s="8" t="s">
        <v>215</v>
      </c>
      <c r="I4210" s="3">
        <v>2</v>
      </c>
      <c r="J4210" s="8" t="s">
        <v>149</v>
      </c>
      <c r="K4210" s="8" t="s">
        <v>150</v>
      </c>
      <c r="L4210" s="8" t="s">
        <v>557</v>
      </c>
      <c r="M4210" s="1" t="s">
        <v>207</v>
      </c>
      <c r="N4210" s="8" t="s">
        <v>208</v>
      </c>
      <c r="O4210" s="6">
        <v>0</v>
      </c>
      <c r="P4210" s="6">
        <v>0</v>
      </c>
      <c r="Q4210" s="6">
        <v>8</v>
      </c>
      <c r="R4210" s="6">
        <v>0</v>
      </c>
      <c r="S4210" s="6">
        <v>0</v>
      </c>
    </row>
    <row r="4211" spans="1:19" ht="15" hidden="1" x14ac:dyDescent="0.25">
      <c r="A4211" s="7" t="s">
        <v>16</v>
      </c>
      <c r="B4211" s="7" t="s">
        <v>372</v>
      </c>
      <c r="C4211" s="7" t="s">
        <v>373</v>
      </c>
      <c r="D4211" s="4">
        <v>10447300000177</v>
      </c>
      <c r="E4211" s="8" t="s">
        <v>658</v>
      </c>
      <c r="F4211" s="8" t="s">
        <v>33</v>
      </c>
      <c r="G4211" s="8" t="s">
        <v>19</v>
      </c>
      <c r="H4211" s="8" t="s">
        <v>215</v>
      </c>
      <c r="I4211" s="3">
        <v>2</v>
      </c>
      <c r="J4211" s="8" t="s">
        <v>151</v>
      </c>
      <c r="K4211" s="8" t="s">
        <v>152</v>
      </c>
      <c r="L4211" s="8" t="s">
        <v>556</v>
      </c>
      <c r="M4211" s="1" t="s">
        <v>207</v>
      </c>
      <c r="N4211" s="8" t="s">
        <v>208</v>
      </c>
      <c r="O4211" s="6">
        <v>0</v>
      </c>
      <c r="P4211" s="6">
        <v>0</v>
      </c>
      <c r="Q4211" s="6">
        <v>0</v>
      </c>
      <c r="R4211" s="6">
        <v>30</v>
      </c>
      <c r="S4211" s="6">
        <v>30</v>
      </c>
    </row>
    <row r="4212" spans="1:19" ht="15" hidden="1" x14ac:dyDescent="0.25">
      <c r="A4212" s="7" t="s">
        <v>16</v>
      </c>
      <c r="B4212" s="7" t="s">
        <v>372</v>
      </c>
      <c r="C4212" s="7" t="s">
        <v>373</v>
      </c>
      <c r="D4212" s="4">
        <v>10447300000177</v>
      </c>
      <c r="E4212" s="8" t="s">
        <v>658</v>
      </c>
      <c r="F4212" s="8" t="s">
        <v>33</v>
      </c>
      <c r="G4212" s="8" t="s">
        <v>19</v>
      </c>
      <c r="H4212" s="8" t="s">
        <v>215</v>
      </c>
      <c r="I4212" s="3">
        <v>2</v>
      </c>
      <c r="J4212" s="8" t="s">
        <v>149</v>
      </c>
      <c r="K4212" s="8" t="s">
        <v>150</v>
      </c>
      <c r="L4212" s="8" t="s">
        <v>557</v>
      </c>
      <c r="M4212" s="1" t="s">
        <v>207</v>
      </c>
      <c r="N4212" s="8" t="s">
        <v>208</v>
      </c>
      <c r="O4212" s="6">
        <v>0</v>
      </c>
      <c r="P4212" s="6">
        <v>0</v>
      </c>
      <c r="Q4212" s="6">
        <v>0</v>
      </c>
      <c r="R4212" s="6">
        <v>0</v>
      </c>
      <c r="S4212" s="6">
        <v>30</v>
      </c>
    </row>
    <row r="4213" spans="1:19" ht="15" hidden="1" x14ac:dyDescent="0.25">
      <c r="A4213" s="7" t="s">
        <v>16</v>
      </c>
      <c r="B4213" s="7" t="s">
        <v>372</v>
      </c>
      <c r="C4213" s="7" t="s">
        <v>373</v>
      </c>
      <c r="D4213" s="4">
        <v>58597774000121</v>
      </c>
      <c r="E4213" s="8" t="s">
        <v>1493</v>
      </c>
      <c r="F4213" s="8" t="s">
        <v>33</v>
      </c>
      <c r="G4213" s="8" t="s">
        <v>19</v>
      </c>
      <c r="H4213" s="8" t="s">
        <v>1334</v>
      </c>
      <c r="I4213" s="3">
        <v>0</v>
      </c>
      <c r="J4213" s="8"/>
      <c r="K4213" s="8"/>
      <c r="L4213" s="8"/>
      <c r="M4213" s="1"/>
      <c r="N4213" s="8"/>
      <c r="O4213" s="6">
        <v>0</v>
      </c>
      <c r="P4213" s="6">
        <v>0</v>
      </c>
      <c r="Q4213" s="6">
        <v>0</v>
      </c>
      <c r="R4213" s="6">
        <v>0</v>
      </c>
      <c r="S4213" s="6">
        <v>0</v>
      </c>
    </row>
    <row r="4214" spans="1:19" ht="15" hidden="1" x14ac:dyDescent="0.25">
      <c r="A4214" s="7" t="s">
        <v>16</v>
      </c>
      <c r="B4214" s="7" t="s">
        <v>372</v>
      </c>
      <c r="C4214" s="7" t="s">
        <v>373</v>
      </c>
      <c r="D4214" s="4">
        <v>44595700000141</v>
      </c>
      <c r="E4214" s="8" t="s">
        <v>1375</v>
      </c>
      <c r="F4214" s="8" t="s">
        <v>33</v>
      </c>
      <c r="G4214" s="8" t="s">
        <v>19</v>
      </c>
      <c r="H4214" s="8" t="s">
        <v>215</v>
      </c>
      <c r="I4214" s="3">
        <v>2</v>
      </c>
      <c r="J4214" s="8" t="s">
        <v>151</v>
      </c>
      <c r="K4214" s="8" t="s">
        <v>152</v>
      </c>
      <c r="L4214" s="8" t="s">
        <v>556</v>
      </c>
      <c r="M4214" s="1" t="s">
        <v>207</v>
      </c>
      <c r="N4214" s="8" t="s">
        <v>208</v>
      </c>
      <c r="O4214" s="6">
        <v>0</v>
      </c>
      <c r="P4214" s="6">
        <v>0</v>
      </c>
      <c r="Q4214" s="6">
        <v>0</v>
      </c>
      <c r="R4214" s="6">
        <v>0</v>
      </c>
      <c r="S4214" s="6">
        <v>50</v>
      </c>
    </row>
    <row r="4215" spans="1:19" ht="15" hidden="1" x14ac:dyDescent="0.25">
      <c r="A4215" s="7" t="s">
        <v>16</v>
      </c>
      <c r="B4215" s="7" t="s">
        <v>372</v>
      </c>
      <c r="C4215" s="7" t="s">
        <v>373</v>
      </c>
      <c r="D4215" s="4">
        <v>44595700000141</v>
      </c>
      <c r="E4215" s="8" t="s">
        <v>1375</v>
      </c>
      <c r="F4215" s="8" t="s">
        <v>33</v>
      </c>
      <c r="G4215" s="8" t="s">
        <v>19</v>
      </c>
      <c r="H4215" s="8" t="s">
        <v>215</v>
      </c>
      <c r="I4215" s="3">
        <v>2</v>
      </c>
      <c r="J4215" s="8" t="s">
        <v>149</v>
      </c>
      <c r="K4215" s="8" t="s">
        <v>150</v>
      </c>
      <c r="L4215" s="8" t="s">
        <v>557</v>
      </c>
      <c r="M4215" s="1" t="s">
        <v>207</v>
      </c>
      <c r="N4215" s="8" t="s">
        <v>208</v>
      </c>
      <c r="O4215" s="6">
        <v>0</v>
      </c>
      <c r="P4215" s="6">
        <v>0</v>
      </c>
      <c r="Q4215" s="6">
        <v>0</v>
      </c>
      <c r="R4215" s="6">
        <v>0</v>
      </c>
      <c r="S4215" s="6">
        <v>50</v>
      </c>
    </row>
    <row r="4216" spans="1:19" ht="15" hidden="1" x14ac:dyDescent="0.25">
      <c r="A4216" s="7" t="s">
        <v>16</v>
      </c>
      <c r="B4216" s="7" t="s">
        <v>372</v>
      </c>
      <c r="C4216" s="7" t="s">
        <v>373</v>
      </c>
      <c r="D4216" s="4">
        <v>46020301000269</v>
      </c>
      <c r="E4216" s="8" t="s">
        <v>691</v>
      </c>
      <c r="F4216" s="8" t="s">
        <v>33</v>
      </c>
      <c r="G4216" s="8" t="s">
        <v>19</v>
      </c>
      <c r="H4216" s="8" t="s">
        <v>215</v>
      </c>
      <c r="I4216" s="3">
        <v>2</v>
      </c>
      <c r="J4216" s="8" t="s">
        <v>151</v>
      </c>
      <c r="K4216" s="8" t="s">
        <v>152</v>
      </c>
      <c r="L4216" s="8" t="s">
        <v>556</v>
      </c>
      <c r="M4216" s="1" t="s">
        <v>207</v>
      </c>
      <c r="N4216" s="8" t="s">
        <v>208</v>
      </c>
      <c r="O4216" s="6">
        <v>0</v>
      </c>
      <c r="P4216" s="6">
        <v>0</v>
      </c>
      <c r="Q4216" s="6">
        <v>0</v>
      </c>
      <c r="R4216" s="6">
        <v>20</v>
      </c>
      <c r="S4216" s="6">
        <v>0</v>
      </c>
    </row>
    <row r="4217" spans="1:19" ht="15" hidden="1" x14ac:dyDescent="0.25">
      <c r="A4217" s="7" t="s">
        <v>16</v>
      </c>
      <c r="B4217" s="7" t="s">
        <v>372</v>
      </c>
      <c r="C4217" s="7" t="s">
        <v>373</v>
      </c>
      <c r="D4217" s="4">
        <v>46020301000269</v>
      </c>
      <c r="E4217" s="8" t="s">
        <v>691</v>
      </c>
      <c r="F4217" s="8" t="s">
        <v>33</v>
      </c>
      <c r="G4217" s="8" t="s">
        <v>19</v>
      </c>
      <c r="H4217" s="8" t="s">
        <v>215</v>
      </c>
      <c r="I4217" s="3">
        <v>2</v>
      </c>
      <c r="J4217" s="8" t="s">
        <v>149</v>
      </c>
      <c r="K4217" s="8" t="s">
        <v>150</v>
      </c>
      <c r="L4217" s="8" t="s">
        <v>557</v>
      </c>
      <c r="M4217" s="1" t="s">
        <v>207</v>
      </c>
      <c r="N4217" s="8" t="s">
        <v>208</v>
      </c>
      <c r="O4217" s="6">
        <v>0</v>
      </c>
      <c r="P4217" s="6">
        <v>0</v>
      </c>
      <c r="Q4217" s="6">
        <v>0</v>
      </c>
      <c r="R4217" s="6">
        <v>0</v>
      </c>
      <c r="S4217" s="6">
        <v>0</v>
      </c>
    </row>
    <row r="4218" spans="1:19" ht="15" hidden="1" x14ac:dyDescent="0.25">
      <c r="A4218" s="7" t="s">
        <v>16</v>
      </c>
      <c r="B4218" s="7" t="s">
        <v>372</v>
      </c>
      <c r="C4218" s="7" t="s">
        <v>373</v>
      </c>
      <c r="D4218" s="4">
        <v>47018676000176</v>
      </c>
      <c r="E4218" s="8" t="s">
        <v>1488</v>
      </c>
      <c r="F4218" s="8" t="s">
        <v>33</v>
      </c>
      <c r="G4218" s="8" t="s">
        <v>19</v>
      </c>
      <c r="H4218" s="8" t="s">
        <v>1334</v>
      </c>
      <c r="I4218" s="3">
        <v>0</v>
      </c>
      <c r="J4218" s="8"/>
      <c r="K4218" s="8"/>
      <c r="L4218" s="8"/>
      <c r="M4218" s="1"/>
      <c r="N4218" s="8"/>
      <c r="O4218" s="6">
        <v>0</v>
      </c>
      <c r="P4218" s="6">
        <v>0</v>
      </c>
      <c r="Q4218" s="6">
        <v>0</v>
      </c>
      <c r="R4218" s="6">
        <v>0</v>
      </c>
      <c r="S4218" s="6">
        <v>0</v>
      </c>
    </row>
    <row r="4219" spans="1:19" ht="15" hidden="1" x14ac:dyDescent="0.25">
      <c r="A4219" s="7" t="s">
        <v>16</v>
      </c>
      <c r="B4219" s="7" t="s">
        <v>372</v>
      </c>
      <c r="C4219" s="7" t="s">
        <v>373</v>
      </c>
      <c r="D4219" s="4">
        <v>46009718000140</v>
      </c>
      <c r="E4219" s="8" t="s">
        <v>690</v>
      </c>
      <c r="F4219" s="8" t="s">
        <v>33</v>
      </c>
      <c r="G4219" s="8" t="s">
        <v>19</v>
      </c>
      <c r="H4219" s="8" t="s">
        <v>215</v>
      </c>
      <c r="I4219" s="3">
        <v>2</v>
      </c>
      <c r="J4219" s="8" t="s">
        <v>151</v>
      </c>
      <c r="K4219" s="8" t="s">
        <v>152</v>
      </c>
      <c r="L4219" s="8" t="s">
        <v>556</v>
      </c>
      <c r="M4219" s="1" t="s">
        <v>207</v>
      </c>
      <c r="N4219" s="8" t="s">
        <v>208</v>
      </c>
      <c r="O4219" s="6">
        <v>0</v>
      </c>
      <c r="P4219" s="6">
        <v>0</v>
      </c>
      <c r="Q4219" s="6">
        <v>0</v>
      </c>
      <c r="R4219" s="6">
        <v>40</v>
      </c>
      <c r="S4219" s="6">
        <v>550</v>
      </c>
    </row>
    <row r="4220" spans="1:19" ht="15" hidden="1" x14ac:dyDescent="0.25">
      <c r="A4220" s="7" t="s">
        <v>16</v>
      </c>
      <c r="B4220" s="7" t="s">
        <v>372</v>
      </c>
      <c r="C4220" s="7" t="s">
        <v>373</v>
      </c>
      <c r="D4220" s="4">
        <v>46009718000140</v>
      </c>
      <c r="E4220" s="8" t="s">
        <v>690</v>
      </c>
      <c r="F4220" s="8" t="s">
        <v>33</v>
      </c>
      <c r="G4220" s="8" t="s">
        <v>19</v>
      </c>
      <c r="H4220" s="8" t="s">
        <v>215</v>
      </c>
      <c r="I4220" s="3">
        <v>2</v>
      </c>
      <c r="J4220" s="8" t="s">
        <v>149</v>
      </c>
      <c r="K4220" s="8" t="s">
        <v>150</v>
      </c>
      <c r="L4220" s="8" t="s">
        <v>557</v>
      </c>
      <c r="M4220" s="1" t="s">
        <v>207</v>
      </c>
      <c r="N4220" s="8" t="s">
        <v>208</v>
      </c>
      <c r="O4220" s="6">
        <v>0</v>
      </c>
      <c r="P4220" s="6">
        <v>0</v>
      </c>
      <c r="Q4220" s="6">
        <v>0</v>
      </c>
      <c r="R4220" s="6">
        <v>0</v>
      </c>
      <c r="S4220" s="6">
        <v>550</v>
      </c>
    </row>
    <row r="4221" spans="1:19" ht="15" hidden="1" x14ac:dyDescent="0.25">
      <c r="A4221" s="7" t="s">
        <v>16</v>
      </c>
      <c r="B4221" s="7" t="s">
        <v>372</v>
      </c>
      <c r="C4221" s="7" t="s">
        <v>373</v>
      </c>
      <c r="D4221" s="4">
        <v>44649812019238</v>
      </c>
      <c r="E4221" s="8" t="s">
        <v>679</v>
      </c>
      <c r="F4221" s="8" t="s">
        <v>33</v>
      </c>
      <c r="G4221" s="8" t="s">
        <v>19</v>
      </c>
      <c r="H4221" s="8" t="s">
        <v>215</v>
      </c>
      <c r="I4221" s="3">
        <v>2</v>
      </c>
      <c r="J4221" s="8" t="s">
        <v>151</v>
      </c>
      <c r="K4221" s="8" t="s">
        <v>152</v>
      </c>
      <c r="L4221" s="8" t="s">
        <v>556</v>
      </c>
      <c r="M4221" s="1" t="s">
        <v>207</v>
      </c>
      <c r="N4221" s="8" t="s">
        <v>208</v>
      </c>
      <c r="O4221" s="6">
        <v>0</v>
      </c>
      <c r="P4221" s="6">
        <v>0</v>
      </c>
      <c r="Q4221" s="6">
        <v>0</v>
      </c>
      <c r="R4221" s="6">
        <v>8</v>
      </c>
      <c r="S4221" s="6">
        <v>0</v>
      </c>
    </row>
    <row r="4222" spans="1:19" ht="15" hidden="1" x14ac:dyDescent="0.25">
      <c r="A4222" s="7" t="s">
        <v>16</v>
      </c>
      <c r="B4222" s="7" t="s">
        <v>372</v>
      </c>
      <c r="C4222" s="7" t="s">
        <v>373</v>
      </c>
      <c r="D4222" s="4">
        <v>44649812019238</v>
      </c>
      <c r="E4222" s="8" t="s">
        <v>679</v>
      </c>
      <c r="F4222" s="8" t="s">
        <v>33</v>
      </c>
      <c r="G4222" s="8" t="s">
        <v>19</v>
      </c>
      <c r="H4222" s="8" t="s">
        <v>215</v>
      </c>
      <c r="I4222" s="3">
        <v>2</v>
      </c>
      <c r="J4222" s="8" t="s">
        <v>149</v>
      </c>
      <c r="K4222" s="8" t="s">
        <v>150</v>
      </c>
      <c r="L4222" s="8" t="s">
        <v>557</v>
      </c>
      <c r="M4222" s="1" t="s">
        <v>207</v>
      </c>
      <c r="N4222" s="8" t="s">
        <v>208</v>
      </c>
      <c r="O4222" s="6">
        <v>0</v>
      </c>
      <c r="P4222" s="6">
        <v>0</v>
      </c>
      <c r="Q4222" s="6">
        <v>0</v>
      </c>
      <c r="R4222" s="6">
        <v>0</v>
      </c>
      <c r="S4222" s="6">
        <v>0</v>
      </c>
    </row>
    <row r="4223" spans="1:19" ht="15" hidden="1" x14ac:dyDescent="0.25">
      <c r="A4223" s="7" t="s">
        <v>16</v>
      </c>
      <c r="B4223" s="7" t="s">
        <v>372</v>
      </c>
      <c r="C4223" s="7" t="s">
        <v>373</v>
      </c>
      <c r="D4223" s="4">
        <v>29435005008456</v>
      </c>
      <c r="E4223" s="8" t="s">
        <v>672</v>
      </c>
      <c r="F4223" s="8" t="s">
        <v>33</v>
      </c>
      <c r="G4223" s="8" t="s">
        <v>19</v>
      </c>
      <c r="H4223" s="8" t="s">
        <v>215</v>
      </c>
      <c r="I4223" s="3">
        <v>2</v>
      </c>
      <c r="J4223" s="8" t="s">
        <v>151</v>
      </c>
      <c r="K4223" s="8" t="s">
        <v>152</v>
      </c>
      <c r="L4223" s="8" t="s">
        <v>556</v>
      </c>
      <c r="M4223" s="1" t="s">
        <v>207</v>
      </c>
      <c r="N4223" s="8" t="s">
        <v>208</v>
      </c>
      <c r="O4223" s="6">
        <v>0</v>
      </c>
      <c r="P4223" s="6">
        <v>0</v>
      </c>
      <c r="Q4223" s="6">
        <v>0</v>
      </c>
      <c r="R4223" s="6">
        <v>0</v>
      </c>
      <c r="S4223" s="6">
        <v>350</v>
      </c>
    </row>
    <row r="4224" spans="1:19" ht="15" hidden="1" x14ac:dyDescent="0.25">
      <c r="A4224" s="7" t="s">
        <v>16</v>
      </c>
      <c r="B4224" s="7" t="s">
        <v>372</v>
      </c>
      <c r="C4224" s="7" t="s">
        <v>373</v>
      </c>
      <c r="D4224" s="4">
        <v>29435005008456</v>
      </c>
      <c r="E4224" s="8" t="s">
        <v>672</v>
      </c>
      <c r="F4224" s="8" t="s">
        <v>33</v>
      </c>
      <c r="G4224" s="8" t="s">
        <v>19</v>
      </c>
      <c r="H4224" s="8" t="s">
        <v>215</v>
      </c>
      <c r="I4224" s="3">
        <v>2</v>
      </c>
      <c r="J4224" s="8" t="s">
        <v>149</v>
      </c>
      <c r="K4224" s="8" t="s">
        <v>150</v>
      </c>
      <c r="L4224" s="8" t="s">
        <v>557</v>
      </c>
      <c r="M4224" s="1" t="s">
        <v>207</v>
      </c>
      <c r="N4224" s="8" t="s">
        <v>208</v>
      </c>
      <c r="O4224" s="6">
        <v>0</v>
      </c>
      <c r="P4224" s="6">
        <v>0</v>
      </c>
      <c r="Q4224" s="6">
        <v>0</v>
      </c>
      <c r="R4224" s="6">
        <v>0</v>
      </c>
      <c r="S4224" s="6">
        <v>350</v>
      </c>
    </row>
    <row r="4225" spans="1:19" ht="15" hidden="1" x14ac:dyDescent="0.25">
      <c r="A4225" s="7" t="s">
        <v>16</v>
      </c>
      <c r="B4225" s="7" t="s">
        <v>372</v>
      </c>
      <c r="C4225" s="7" t="s">
        <v>373</v>
      </c>
      <c r="D4225" s="4">
        <v>46124624000111</v>
      </c>
      <c r="E4225" s="8" t="s">
        <v>693</v>
      </c>
      <c r="F4225" s="8" t="s">
        <v>33</v>
      </c>
      <c r="G4225" s="8" t="s">
        <v>19</v>
      </c>
      <c r="H4225" s="8" t="s">
        <v>215</v>
      </c>
      <c r="I4225" s="3">
        <v>2</v>
      </c>
      <c r="J4225" s="8" t="s">
        <v>151</v>
      </c>
      <c r="K4225" s="8" t="s">
        <v>152</v>
      </c>
      <c r="L4225" s="8" t="s">
        <v>556</v>
      </c>
      <c r="M4225" s="1" t="s">
        <v>207</v>
      </c>
      <c r="N4225" s="8" t="s">
        <v>208</v>
      </c>
      <c r="O4225" s="6">
        <v>0</v>
      </c>
      <c r="P4225" s="6">
        <v>0</v>
      </c>
      <c r="Q4225" s="6">
        <v>0</v>
      </c>
      <c r="R4225" s="6">
        <v>276</v>
      </c>
      <c r="S4225" s="6">
        <v>1120</v>
      </c>
    </row>
    <row r="4226" spans="1:19" ht="15" hidden="1" x14ac:dyDescent="0.25">
      <c r="A4226" s="7" t="s">
        <v>16</v>
      </c>
      <c r="B4226" s="7" t="s">
        <v>372</v>
      </c>
      <c r="C4226" s="7" t="s">
        <v>373</v>
      </c>
      <c r="D4226" s="4">
        <v>46124624000111</v>
      </c>
      <c r="E4226" s="8" t="s">
        <v>693</v>
      </c>
      <c r="F4226" s="8" t="s">
        <v>33</v>
      </c>
      <c r="G4226" s="8" t="s">
        <v>19</v>
      </c>
      <c r="H4226" s="8" t="s">
        <v>215</v>
      </c>
      <c r="I4226" s="3">
        <v>2</v>
      </c>
      <c r="J4226" s="8" t="s">
        <v>149</v>
      </c>
      <c r="K4226" s="8" t="s">
        <v>150</v>
      </c>
      <c r="L4226" s="8" t="s">
        <v>557</v>
      </c>
      <c r="M4226" s="1" t="s">
        <v>207</v>
      </c>
      <c r="N4226" s="8" t="s">
        <v>208</v>
      </c>
      <c r="O4226" s="6">
        <v>0</v>
      </c>
      <c r="P4226" s="6">
        <v>0</v>
      </c>
      <c r="Q4226" s="6">
        <v>0</v>
      </c>
      <c r="R4226" s="6">
        <v>0</v>
      </c>
      <c r="S4226" s="6">
        <v>1120</v>
      </c>
    </row>
    <row r="4227" spans="1:19" ht="15" hidden="1" x14ac:dyDescent="0.25">
      <c r="A4227" s="7" t="s">
        <v>16</v>
      </c>
      <c r="B4227" s="7" t="s">
        <v>372</v>
      </c>
      <c r="C4227" s="7" t="s">
        <v>373</v>
      </c>
      <c r="D4227" s="4">
        <v>46068425000133</v>
      </c>
      <c r="E4227" s="8" t="s">
        <v>692</v>
      </c>
      <c r="F4227" s="8" t="s">
        <v>33</v>
      </c>
      <c r="G4227" s="8" t="s">
        <v>19</v>
      </c>
      <c r="H4227" s="8" t="s">
        <v>215</v>
      </c>
      <c r="I4227" s="3">
        <v>2</v>
      </c>
      <c r="J4227" s="8" t="s">
        <v>151</v>
      </c>
      <c r="K4227" s="8" t="s">
        <v>152</v>
      </c>
      <c r="L4227" s="8" t="s">
        <v>556</v>
      </c>
      <c r="M4227" s="1" t="s">
        <v>207</v>
      </c>
      <c r="N4227" s="8" t="s">
        <v>208</v>
      </c>
      <c r="O4227" s="6">
        <v>1</v>
      </c>
      <c r="P4227" s="6">
        <v>0</v>
      </c>
      <c r="Q4227" s="6">
        <v>0</v>
      </c>
      <c r="R4227" s="6">
        <v>0</v>
      </c>
      <c r="S4227" s="6">
        <v>0</v>
      </c>
    </row>
    <row r="4228" spans="1:19" ht="15" hidden="1" x14ac:dyDescent="0.25">
      <c r="A4228" s="7" t="s">
        <v>16</v>
      </c>
      <c r="B4228" s="7" t="s">
        <v>372</v>
      </c>
      <c r="C4228" s="7" t="s">
        <v>373</v>
      </c>
      <c r="D4228" s="4">
        <v>46068425000133</v>
      </c>
      <c r="E4228" s="8" t="s">
        <v>692</v>
      </c>
      <c r="F4228" s="8" t="s">
        <v>33</v>
      </c>
      <c r="G4228" s="8" t="s">
        <v>19</v>
      </c>
      <c r="H4228" s="8" t="s">
        <v>215</v>
      </c>
      <c r="I4228" s="3">
        <v>2</v>
      </c>
      <c r="J4228" s="8" t="s">
        <v>149</v>
      </c>
      <c r="K4228" s="8" t="s">
        <v>150</v>
      </c>
      <c r="L4228" s="8" t="s">
        <v>557</v>
      </c>
      <c r="M4228" s="1" t="s">
        <v>207</v>
      </c>
      <c r="N4228" s="8" t="s">
        <v>208</v>
      </c>
      <c r="O4228" s="6">
        <v>0</v>
      </c>
      <c r="P4228" s="6">
        <v>0</v>
      </c>
      <c r="Q4228" s="6">
        <v>0</v>
      </c>
      <c r="R4228" s="6">
        <v>0</v>
      </c>
      <c r="S4228" s="6">
        <v>0</v>
      </c>
    </row>
    <row r="4229" spans="1:19" ht="15" hidden="1" x14ac:dyDescent="0.25">
      <c r="A4229" s="7" t="s">
        <v>16</v>
      </c>
      <c r="B4229" s="7" t="s">
        <v>372</v>
      </c>
      <c r="C4229" s="7" t="s">
        <v>373</v>
      </c>
      <c r="D4229" s="4">
        <v>45118429001279</v>
      </c>
      <c r="E4229" s="8" t="s">
        <v>683</v>
      </c>
      <c r="F4229" s="8" t="s">
        <v>41</v>
      </c>
      <c r="G4229" s="8" t="s">
        <v>19</v>
      </c>
      <c r="H4229" s="8" t="s">
        <v>215</v>
      </c>
      <c r="I4229" s="3">
        <v>2</v>
      </c>
      <c r="J4229" s="8" t="s">
        <v>151</v>
      </c>
      <c r="K4229" s="8" t="s">
        <v>152</v>
      </c>
      <c r="L4229" s="8" t="s">
        <v>556</v>
      </c>
      <c r="M4229" s="1" t="s">
        <v>207</v>
      </c>
      <c r="N4229" s="8" t="s">
        <v>208</v>
      </c>
      <c r="O4229" s="6">
        <v>0</v>
      </c>
      <c r="P4229" s="6">
        <v>0</v>
      </c>
      <c r="Q4229" s="6">
        <v>0</v>
      </c>
      <c r="R4229" s="6">
        <v>0</v>
      </c>
      <c r="S4229" s="6">
        <v>50</v>
      </c>
    </row>
    <row r="4230" spans="1:19" ht="15" hidden="1" x14ac:dyDescent="0.25">
      <c r="A4230" s="7" t="s">
        <v>16</v>
      </c>
      <c r="B4230" s="7" t="s">
        <v>372</v>
      </c>
      <c r="C4230" s="7" t="s">
        <v>373</v>
      </c>
      <c r="D4230" s="4">
        <v>45118429001279</v>
      </c>
      <c r="E4230" s="8" t="s">
        <v>683</v>
      </c>
      <c r="F4230" s="8" t="s">
        <v>41</v>
      </c>
      <c r="G4230" s="8" t="s">
        <v>19</v>
      </c>
      <c r="H4230" s="8" t="s">
        <v>215</v>
      </c>
      <c r="I4230" s="3">
        <v>2</v>
      </c>
      <c r="J4230" s="8" t="s">
        <v>149</v>
      </c>
      <c r="K4230" s="8" t="s">
        <v>150</v>
      </c>
      <c r="L4230" s="8" t="s">
        <v>557</v>
      </c>
      <c r="M4230" s="1" t="s">
        <v>207</v>
      </c>
      <c r="N4230" s="8" t="s">
        <v>208</v>
      </c>
      <c r="O4230" s="6">
        <v>0</v>
      </c>
      <c r="P4230" s="6">
        <v>0</v>
      </c>
      <c r="Q4230" s="6">
        <v>0</v>
      </c>
      <c r="R4230" s="6">
        <v>0</v>
      </c>
      <c r="S4230" s="6">
        <v>50</v>
      </c>
    </row>
    <row r="4231" spans="1:19" ht="15" hidden="1" x14ac:dyDescent="0.25">
      <c r="A4231" s="7" t="s">
        <v>16</v>
      </c>
      <c r="B4231" s="7" t="s">
        <v>372</v>
      </c>
      <c r="C4231" s="7" t="s">
        <v>373</v>
      </c>
      <c r="D4231" s="4">
        <v>50486026000160</v>
      </c>
      <c r="E4231" s="8" t="s">
        <v>706</v>
      </c>
      <c r="F4231" s="8" t="s">
        <v>44</v>
      </c>
      <c r="G4231" s="8" t="s">
        <v>19</v>
      </c>
      <c r="H4231" s="8" t="s">
        <v>215</v>
      </c>
      <c r="I4231" s="3">
        <v>2</v>
      </c>
      <c r="J4231" s="8" t="s">
        <v>151</v>
      </c>
      <c r="K4231" s="8" t="s">
        <v>152</v>
      </c>
      <c r="L4231" s="8" t="s">
        <v>556</v>
      </c>
      <c r="M4231" s="1" t="s">
        <v>207</v>
      </c>
      <c r="N4231" s="8" t="s">
        <v>208</v>
      </c>
      <c r="O4231" s="6">
        <v>0</v>
      </c>
      <c r="P4231" s="6">
        <v>0</v>
      </c>
      <c r="Q4231" s="6">
        <v>0</v>
      </c>
      <c r="R4231" s="6">
        <v>0</v>
      </c>
      <c r="S4231" s="6">
        <v>275</v>
      </c>
    </row>
    <row r="4232" spans="1:19" ht="15" hidden="1" x14ac:dyDescent="0.25">
      <c r="A4232" s="7" t="s">
        <v>16</v>
      </c>
      <c r="B4232" s="7" t="s">
        <v>372</v>
      </c>
      <c r="C4232" s="7" t="s">
        <v>373</v>
      </c>
      <c r="D4232" s="4">
        <v>50486026000160</v>
      </c>
      <c r="E4232" s="8" t="s">
        <v>706</v>
      </c>
      <c r="F4232" s="8" t="s">
        <v>44</v>
      </c>
      <c r="G4232" s="8" t="s">
        <v>19</v>
      </c>
      <c r="H4232" s="8" t="s">
        <v>215</v>
      </c>
      <c r="I4232" s="3">
        <v>2</v>
      </c>
      <c r="J4232" s="8" t="s">
        <v>149</v>
      </c>
      <c r="K4232" s="8" t="s">
        <v>150</v>
      </c>
      <c r="L4232" s="8" t="s">
        <v>557</v>
      </c>
      <c r="M4232" s="1" t="s">
        <v>207</v>
      </c>
      <c r="N4232" s="8" t="s">
        <v>208</v>
      </c>
      <c r="O4232" s="6">
        <v>0</v>
      </c>
      <c r="P4232" s="6">
        <v>0</v>
      </c>
      <c r="Q4232" s="6">
        <v>0</v>
      </c>
      <c r="R4232" s="6">
        <v>0</v>
      </c>
      <c r="S4232" s="6">
        <v>275</v>
      </c>
    </row>
    <row r="4233" spans="1:19" ht="15" hidden="1" x14ac:dyDescent="0.25">
      <c r="A4233" s="7" t="s">
        <v>16</v>
      </c>
      <c r="B4233" s="7" t="s">
        <v>372</v>
      </c>
      <c r="C4233" s="7" t="s">
        <v>373</v>
      </c>
      <c r="D4233" s="4">
        <v>48468284000171</v>
      </c>
      <c r="E4233" s="8" t="s">
        <v>705</v>
      </c>
      <c r="F4233" s="8" t="s">
        <v>43</v>
      </c>
      <c r="G4233" s="8" t="s">
        <v>19</v>
      </c>
      <c r="H4233" s="8" t="s">
        <v>215</v>
      </c>
      <c r="I4233" s="3">
        <v>2</v>
      </c>
      <c r="J4233" s="8" t="s">
        <v>151</v>
      </c>
      <c r="K4233" s="8" t="s">
        <v>152</v>
      </c>
      <c r="L4233" s="8" t="s">
        <v>556</v>
      </c>
      <c r="M4233" s="1" t="s">
        <v>207</v>
      </c>
      <c r="N4233" s="8" t="s">
        <v>208</v>
      </c>
      <c r="O4233" s="6">
        <v>0</v>
      </c>
      <c r="P4233" s="6">
        <v>0</v>
      </c>
      <c r="Q4233" s="6">
        <v>0</v>
      </c>
      <c r="R4233" s="6">
        <v>0</v>
      </c>
      <c r="S4233" s="6">
        <v>150</v>
      </c>
    </row>
    <row r="4234" spans="1:19" ht="15" hidden="1" x14ac:dyDescent="0.25">
      <c r="A4234" s="7" t="s">
        <v>16</v>
      </c>
      <c r="B4234" s="7" t="s">
        <v>372</v>
      </c>
      <c r="C4234" s="7" t="s">
        <v>373</v>
      </c>
      <c r="D4234" s="4">
        <v>48468284000171</v>
      </c>
      <c r="E4234" s="8" t="s">
        <v>705</v>
      </c>
      <c r="F4234" s="8" t="s">
        <v>43</v>
      </c>
      <c r="G4234" s="8" t="s">
        <v>19</v>
      </c>
      <c r="H4234" s="8" t="s">
        <v>215</v>
      </c>
      <c r="I4234" s="3">
        <v>2</v>
      </c>
      <c r="J4234" s="8" t="s">
        <v>149</v>
      </c>
      <c r="K4234" s="8" t="s">
        <v>150</v>
      </c>
      <c r="L4234" s="8" t="s">
        <v>557</v>
      </c>
      <c r="M4234" s="1" t="s">
        <v>207</v>
      </c>
      <c r="N4234" s="8" t="s">
        <v>208</v>
      </c>
      <c r="O4234" s="6">
        <v>0</v>
      </c>
      <c r="P4234" s="6">
        <v>0</v>
      </c>
      <c r="Q4234" s="6">
        <v>0</v>
      </c>
      <c r="R4234" s="6">
        <v>0</v>
      </c>
      <c r="S4234" s="6">
        <v>150</v>
      </c>
    </row>
    <row r="4235" spans="1:19" ht="15" hidden="1" x14ac:dyDescent="0.25">
      <c r="A4235" s="7" t="s">
        <v>16</v>
      </c>
      <c r="B4235" s="7" t="s">
        <v>372</v>
      </c>
      <c r="C4235" s="7" t="s">
        <v>373</v>
      </c>
      <c r="D4235" s="4">
        <v>48547806000120</v>
      </c>
      <c r="E4235" s="8" t="s">
        <v>1367</v>
      </c>
      <c r="F4235" s="8" t="s">
        <v>1368</v>
      </c>
      <c r="G4235" s="8" t="s">
        <v>19</v>
      </c>
      <c r="H4235" s="8" t="s">
        <v>215</v>
      </c>
      <c r="I4235" s="3">
        <v>2</v>
      </c>
      <c r="J4235" s="8" t="s">
        <v>161</v>
      </c>
      <c r="K4235" s="8" t="s">
        <v>162</v>
      </c>
      <c r="L4235" s="8" t="s">
        <v>556</v>
      </c>
      <c r="M4235" s="1" t="s">
        <v>207</v>
      </c>
      <c r="N4235" s="8" t="s">
        <v>208</v>
      </c>
      <c r="O4235" s="6">
        <v>0</v>
      </c>
      <c r="P4235" s="6">
        <v>0</v>
      </c>
      <c r="Q4235" s="6">
        <v>0</v>
      </c>
      <c r="R4235" s="6">
        <v>0</v>
      </c>
      <c r="S4235" s="6">
        <v>105</v>
      </c>
    </row>
    <row r="4236" spans="1:19" ht="15" hidden="1" x14ac:dyDescent="0.25">
      <c r="A4236" s="7" t="s">
        <v>16</v>
      </c>
      <c r="B4236" s="7" t="s">
        <v>372</v>
      </c>
      <c r="C4236" s="7" t="s">
        <v>373</v>
      </c>
      <c r="D4236" s="4">
        <v>48547806000120</v>
      </c>
      <c r="E4236" s="8" t="s">
        <v>1367</v>
      </c>
      <c r="F4236" s="8" t="s">
        <v>1368</v>
      </c>
      <c r="G4236" s="8" t="s">
        <v>19</v>
      </c>
      <c r="H4236" s="8" t="s">
        <v>215</v>
      </c>
      <c r="I4236" s="3">
        <v>2</v>
      </c>
      <c r="J4236" s="8" t="s">
        <v>183</v>
      </c>
      <c r="K4236" s="8" t="s">
        <v>184</v>
      </c>
      <c r="L4236" s="8" t="s">
        <v>557</v>
      </c>
      <c r="M4236" s="1" t="s">
        <v>207</v>
      </c>
      <c r="N4236" s="8" t="s">
        <v>208</v>
      </c>
      <c r="O4236" s="6">
        <v>0</v>
      </c>
      <c r="P4236" s="6">
        <v>0</v>
      </c>
      <c r="Q4236" s="6">
        <v>0</v>
      </c>
      <c r="R4236" s="6">
        <v>0</v>
      </c>
      <c r="S4236" s="6">
        <v>105</v>
      </c>
    </row>
    <row r="4237" spans="1:19" ht="15" hidden="1" x14ac:dyDescent="0.25">
      <c r="A4237" s="7" t="s">
        <v>16</v>
      </c>
      <c r="B4237" s="7" t="s">
        <v>372</v>
      </c>
      <c r="C4237" s="7" t="s">
        <v>373</v>
      </c>
      <c r="D4237" s="4">
        <v>29435005008294</v>
      </c>
      <c r="E4237" s="8" t="s">
        <v>671</v>
      </c>
      <c r="F4237" s="8" t="s">
        <v>36</v>
      </c>
      <c r="G4237" s="8" t="s">
        <v>19</v>
      </c>
      <c r="H4237" s="8" t="s">
        <v>215</v>
      </c>
      <c r="I4237" s="3">
        <v>2</v>
      </c>
      <c r="J4237" s="8" t="s">
        <v>1355</v>
      </c>
      <c r="K4237" s="8" t="s">
        <v>1356</v>
      </c>
      <c r="L4237" s="8" t="s">
        <v>556</v>
      </c>
      <c r="M4237" s="1" t="s">
        <v>207</v>
      </c>
      <c r="N4237" s="8" t="s">
        <v>208</v>
      </c>
      <c r="O4237" s="6">
        <v>0</v>
      </c>
      <c r="P4237" s="6">
        <v>0</v>
      </c>
      <c r="Q4237" s="6">
        <v>0</v>
      </c>
      <c r="R4237" s="6">
        <v>0</v>
      </c>
      <c r="S4237" s="6">
        <v>305</v>
      </c>
    </row>
    <row r="4238" spans="1:19" ht="15" hidden="1" x14ac:dyDescent="0.25">
      <c r="A4238" s="7" t="s">
        <v>16</v>
      </c>
      <c r="B4238" s="7" t="s">
        <v>372</v>
      </c>
      <c r="C4238" s="7" t="s">
        <v>373</v>
      </c>
      <c r="D4238" s="4">
        <v>29435005008294</v>
      </c>
      <c r="E4238" s="8" t="s">
        <v>671</v>
      </c>
      <c r="F4238" s="8" t="s">
        <v>36</v>
      </c>
      <c r="G4238" s="8" t="s">
        <v>19</v>
      </c>
      <c r="H4238" s="8" t="s">
        <v>215</v>
      </c>
      <c r="I4238" s="3">
        <v>2</v>
      </c>
      <c r="J4238" s="8" t="s">
        <v>147</v>
      </c>
      <c r="K4238" s="8" t="s">
        <v>148</v>
      </c>
      <c r="L4238" s="8" t="s">
        <v>557</v>
      </c>
      <c r="M4238" s="1" t="s">
        <v>207</v>
      </c>
      <c r="N4238" s="8" t="s">
        <v>208</v>
      </c>
      <c r="O4238" s="6">
        <v>0</v>
      </c>
      <c r="P4238" s="6">
        <v>0</v>
      </c>
      <c r="Q4238" s="6">
        <v>0</v>
      </c>
      <c r="R4238" s="6">
        <v>0</v>
      </c>
      <c r="S4238" s="6">
        <v>305</v>
      </c>
    </row>
    <row r="4239" spans="1:19" ht="15" hidden="1" x14ac:dyDescent="0.25">
      <c r="A4239" s="7" t="s">
        <v>16</v>
      </c>
      <c r="B4239" s="7" t="s">
        <v>372</v>
      </c>
      <c r="C4239" s="7" t="s">
        <v>373</v>
      </c>
      <c r="D4239" s="4">
        <v>69289171000189</v>
      </c>
      <c r="E4239" s="8" t="s">
        <v>1499</v>
      </c>
      <c r="F4239" s="8" t="s">
        <v>1500</v>
      </c>
      <c r="G4239" s="8" t="s">
        <v>19</v>
      </c>
      <c r="H4239" s="8" t="s">
        <v>1334</v>
      </c>
      <c r="I4239" s="3">
        <v>0</v>
      </c>
      <c r="J4239" s="8"/>
      <c r="K4239" s="8"/>
      <c r="L4239" s="8"/>
      <c r="M4239" s="1"/>
      <c r="N4239" s="8"/>
      <c r="O4239" s="6">
        <v>0</v>
      </c>
      <c r="P4239" s="6">
        <v>0</v>
      </c>
      <c r="Q4239" s="6">
        <v>0</v>
      </c>
      <c r="R4239" s="6">
        <v>0</v>
      </c>
      <c r="S4239" s="6">
        <v>0</v>
      </c>
    </row>
    <row r="4240" spans="1:19" ht="15" hidden="1" x14ac:dyDescent="0.25">
      <c r="A4240" s="7" t="s">
        <v>16</v>
      </c>
      <c r="B4240" s="7" t="s">
        <v>372</v>
      </c>
      <c r="C4240" s="7" t="s">
        <v>373</v>
      </c>
      <c r="D4240" s="4">
        <v>44649812001614</v>
      </c>
      <c r="E4240" s="8" t="s">
        <v>677</v>
      </c>
      <c r="F4240" s="8" t="s">
        <v>678</v>
      </c>
      <c r="G4240" s="8" t="s">
        <v>19</v>
      </c>
      <c r="H4240" s="8" t="s">
        <v>215</v>
      </c>
      <c r="I4240" s="3">
        <v>2</v>
      </c>
      <c r="J4240" s="8" t="s">
        <v>151</v>
      </c>
      <c r="K4240" s="8" t="s">
        <v>152</v>
      </c>
      <c r="L4240" s="8" t="s">
        <v>556</v>
      </c>
      <c r="M4240" s="1" t="s">
        <v>207</v>
      </c>
      <c r="N4240" s="8" t="s">
        <v>208</v>
      </c>
      <c r="O4240" s="6">
        <v>0</v>
      </c>
      <c r="P4240" s="6">
        <v>0</v>
      </c>
      <c r="Q4240" s="6">
        <v>0</v>
      </c>
      <c r="R4240" s="6">
        <v>0</v>
      </c>
      <c r="S4240" s="6">
        <v>0</v>
      </c>
    </row>
    <row r="4241" spans="1:19" ht="15" hidden="1" x14ac:dyDescent="0.25">
      <c r="A4241" s="7" t="s">
        <v>16</v>
      </c>
      <c r="B4241" s="7" t="s">
        <v>372</v>
      </c>
      <c r="C4241" s="7" t="s">
        <v>373</v>
      </c>
      <c r="D4241" s="4">
        <v>44649812001614</v>
      </c>
      <c r="E4241" s="8" t="s">
        <v>677</v>
      </c>
      <c r="F4241" s="8" t="s">
        <v>678</v>
      </c>
      <c r="G4241" s="8" t="s">
        <v>19</v>
      </c>
      <c r="H4241" s="8" t="s">
        <v>215</v>
      </c>
      <c r="I4241" s="3">
        <v>2</v>
      </c>
      <c r="J4241" s="8" t="s">
        <v>149</v>
      </c>
      <c r="K4241" s="8" t="s">
        <v>150</v>
      </c>
      <c r="L4241" s="8" t="s">
        <v>557</v>
      </c>
      <c r="M4241" s="1" t="s">
        <v>207</v>
      </c>
      <c r="N4241" s="8" t="s">
        <v>208</v>
      </c>
      <c r="O4241" s="6">
        <v>0</v>
      </c>
      <c r="P4241" s="6">
        <v>4</v>
      </c>
      <c r="Q4241" s="6">
        <v>0</v>
      </c>
      <c r="R4241" s="6">
        <v>0</v>
      </c>
      <c r="S4241" s="6">
        <v>0</v>
      </c>
    </row>
    <row r="4242" spans="1:19" ht="15" hidden="1" x14ac:dyDescent="0.25">
      <c r="A4242" s="7" t="s">
        <v>16</v>
      </c>
      <c r="B4242" s="7" t="s">
        <v>372</v>
      </c>
      <c r="C4242" s="7" t="s">
        <v>373</v>
      </c>
      <c r="D4242" s="4">
        <v>45780103000150</v>
      </c>
      <c r="E4242" s="8" t="s">
        <v>689</v>
      </c>
      <c r="F4242" s="8" t="s">
        <v>678</v>
      </c>
      <c r="G4242" s="8" t="s">
        <v>19</v>
      </c>
      <c r="H4242" s="8" t="s">
        <v>215</v>
      </c>
      <c r="I4242" s="3">
        <v>2</v>
      </c>
      <c r="J4242" s="8" t="s">
        <v>151</v>
      </c>
      <c r="K4242" s="8" t="s">
        <v>152</v>
      </c>
      <c r="L4242" s="8" t="s">
        <v>556</v>
      </c>
      <c r="M4242" s="1" t="s">
        <v>207</v>
      </c>
      <c r="N4242" s="8" t="s">
        <v>208</v>
      </c>
      <c r="O4242" s="6">
        <v>0</v>
      </c>
      <c r="P4242" s="6">
        <v>0</v>
      </c>
      <c r="Q4242" s="6">
        <v>0</v>
      </c>
      <c r="R4242" s="6">
        <v>0</v>
      </c>
      <c r="S4242" s="6">
        <v>500</v>
      </c>
    </row>
    <row r="4243" spans="1:19" ht="15" hidden="1" x14ac:dyDescent="0.25">
      <c r="A4243" s="7" t="s">
        <v>16</v>
      </c>
      <c r="B4243" s="7" t="s">
        <v>372</v>
      </c>
      <c r="C4243" s="7" t="s">
        <v>373</v>
      </c>
      <c r="D4243" s="4">
        <v>45780103000150</v>
      </c>
      <c r="E4243" s="8" t="s">
        <v>689</v>
      </c>
      <c r="F4243" s="8" t="s">
        <v>678</v>
      </c>
      <c r="G4243" s="8" t="s">
        <v>19</v>
      </c>
      <c r="H4243" s="8" t="s">
        <v>215</v>
      </c>
      <c r="I4243" s="3">
        <v>2</v>
      </c>
      <c r="J4243" s="8" t="s">
        <v>149</v>
      </c>
      <c r="K4243" s="8" t="s">
        <v>150</v>
      </c>
      <c r="L4243" s="8" t="s">
        <v>557</v>
      </c>
      <c r="M4243" s="1" t="s">
        <v>207</v>
      </c>
      <c r="N4243" s="8" t="s">
        <v>208</v>
      </c>
      <c r="O4243" s="6">
        <v>0</v>
      </c>
      <c r="P4243" s="6">
        <v>0</v>
      </c>
      <c r="Q4243" s="6">
        <v>0</v>
      </c>
      <c r="R4243" s="6">
        <v>0</v>
      </c>
      <c r="S4243" s="6">
        <v>500</v>
      </c>
    </row>
    <row r="4244" spans="1:19" ht="15" hidden="1" x14ac:dyDescent="0.25">
      <c r="A4244" s="7" t="s">
        <v>16</v>
      </c>
      <c r="B4244" s="7" t="s">
        <v>372</v>
      </c>
      <c r="C4244" s="7" t="s">
        <v>373</v>
      </c>
      <c r="D4244" s="4">
        <v>50739135001709</v>
      </c>
      <c r="E4244" s="8" t="s">
        <v>1489</v>
      </c>
      <c r="F4244" s="8" t="s">
        <v>678</v>
      </c>
      <c r="G4244" s="8" t="s">
        <v>19</v>
      </c>
      <c r="H4244" s="8" t="s">
        <v>1334</v>
      </c>
      <c r="I4244" s="3">
        <v>0</v>
      </c>
      <c r="J4244" s="8"/>
      <c r="K4244" s="8"/>
      <c r="L4244" s="8"/>
      <c r="M4244" s="1"/>
      <c r="N4244" s="8"/>
      <c r="O4244" s="6">
        <v>0</v>
      </c>
      <c r="P4244" s="6">
        <v>0</v>
      </c>
      <c r="Q4244" s="6">
        <v>0</v>
      </c>
      <c r="R4244" s="6">
        <v>0</v>
      </c>
      <c r="S4244" s="6">
        <v>0</v>
      </c>
    </row>
    <row r="4245" spans="1:19" ht="15" hidden="1" x14ac:dyDescent="0.25">
      <c r="A4245" s="7" t="s">
        <v>16</v>
      </c>
      <c r="B4245" s="7" t="s">
        <v>372</v>
      </c>
      <c r="C4245" s="7" t="s">
        <v>373</v>
      </c>
      <c r="D4245" s="4">
        <v>51427540000359</v>
      </c>
      <c r="E4245" s="8" t="s">
        <v>1490</v>
      </c>
      <c r="F4245" s="8" t="s">
        <v>1491</v>
      </c>
      <c r="G4245" s="8" t="s">
        <v>19</v>
      </c>
      <c r="H4245" s="8" t="s">
        <v>1334</v>
      </c>
      <c r="I4245" s="3">
        <v>0</v>
      </c>
      <c r="J4245" s="8"/>
      <c r="K4245" s="8"/>
      <c r="L4245" s="8"/>
      <c r="M4245" s="1"/>
      <c r="N4245" s="8"/>
      <c r="O4245" s="6">
        <v>0</v>
      </c>
      <c r="P4245" s="6">
        <v>0</v>
      </c>
      <c r="Q4245" s="6">
        <v>0</v>
      </c>
      <c r="R4245" s="6">
        <v>0</v>
      </c>
      <c r="S4245" s="6">
        <v>0</v>
      </c>
    </row>
    <row r="4246" spans="1:19" ht="15" hidden="1" x14ac:dyDescent="0.25">
      <c r="A4246" s="7" t="s">
        <v>16</v>
      </c>
      <c r="B4246" s="7" t="s">
        <v>372</v>
      </c>
      <c r="C4246" s="7" t="s">
        <v>373</v>
      </c>
      <c r="D4246" s="4">
        <v>44803922000293</v>
      </c>
      <c r="E4246" s="8" t="s">
        <v>681</v>
      </c>
      <c r="F4246" s="8" t="s">
        <v>40</v>
      </c>
      <c r="G4246" s="8" t="s">
        <v>19</v>
      </c>
      <c r="H4246" s="8" t="s">
        <v>215</v>
      </c>
      <c r="I4246" s="3">
        <v>2</v>
      </c>
      <c r="J4246" s="8" t="s">
        <v>151</v>
      </c>
      <c r="K4246" s="8" t="s">
        <v>152</v>
      </c>
      <c r="L4246" s="8" t="s">
        <v>556</v>
      </c>
      <c r="M4246" s="1" t="s">
        <v>207</v>
      </c>
      <c r="N4246" s="8" t="s">
        <v>208</v>
      </c>
      <c r="O4246" s="6">
        <v>0</v>
      </c>
      <c r="P4246" s="6">
        <v>0</v>
      </c>
      <c r="Q4246" s="6">
        <v>0</v>
      </c>
      <c r="R4246" s="6">
        <v>8</v>
      </c>
      <c r="S4246" s="6">
        <v>0</v>
      </c>
    </row>
    <row r="4247" spans="1:19" ht="15" hidden="1" x14ac:dyDescent="0.25">
      <c r="A4247" s="7" t="s">
        <v>16</v>
      </c>
      <c r="B4247" s="7" t="s">
        <v>372</v>
      </c>
      <c r="C4247" s="7" t="s">
        <v>373</v>
      </c>
      <c r="D4247" s="4">
        <v>44803922000293</v>
      </c>
      <c r="E4247" s="8" t="s">
        <v>681</v>
      </c>
      <c r="F4247" s="8" t="s">
        <v>40</v>
      </c>
      <c r="G4247" s="8" t="s">
        <v>19</v>
      </c>
      <c r="H4247" s="8" t="s">
        <v>215</v>
      </c>
      <c r="I4247" s="3">
        <v>2</v>
      </c>
      <c r="J4247" s="8" t="s">
        <v>149</v>
      </c>
      <c r="K4247" s="8" t="s">
        <v>150</v>
      </c>
      <c r="L4247" s="8" t="s">
        <v>557</v>
      </c>
      <c r="M4247" s="1" t="s">
        <v>207</v>
      </c>
      <c r="N4247" s="8" t="s">
        <v>208</v>
      </c>
      <c r="O4247" s="6">
        <v>0</v>
      </c>
      <c r="P4247" s="6">
        <v>0</v>
      </c>
      <c r="Q4247" s="6">
        <v>0</v>
      </c>
      <c r="R4247" s="6">
        <v>0</v>
      </c>
      <c r="S4247" s="6">
        <v>0</v>
      </c>
    </row>
    <row r="4248" spans="1:19" ht="15" hidden="1" x14ac:dyDescent="0.25">
      <c r="A4248" s="7" t="s">
        <v>16</v>
      </c>
      <c r="B4248" s="7" t="s">
        <v>372</v>
      </c>
      <c r="C4248" s="7" t="s">
        <v>373</v>
      </c>
      <c r="D4248" s="4">
        <v>840048000450</v>
      </c>
      <c r="E4248" s="8" t="s">
        <v>637</v>
      </c>
      <c r="F4248" s="8" t="s">
        <v>30</v>
      </c>
      <c r="G4248" s="8" t="s">
        <v>19</v>
      </c>
      <c r="H4248" s="8" t="s">
        <v>215</v>
      </c>
      <c r="I4248" s="3">
        <v>2</v>
      </c>
      <c r="J4248" s="8" t="s">
        <v>151</v>
      </c>
      <c r="K4248" s="8" t="s">
        <v>152</v>
      </c>
      <c r="L4248" s="8" t="s">
        <v>556</v>
      </c>
      <c r="M4248" s="1" t="s">
        <v>207</v>
      </c>
      <c r="N4248" s="8" t="s">
        <v>208</v>
      </c>
      <c r="O4248" s="6">
        <v>0</v>
      </c>
      <c r="P4248" s="6">
        <v>0</v>
      </c>
      <c r="Q4248" s="6">
        <v>0</v>
      </c>
      <c r="R4248" s="6">
        <v>0</v>
      </c>
      <c r="S4248" s="6">
        <v>180</v>
      </c>
    </row>
    <row r="4249" spans="1:19" ht="15" hidden="1" x14ac:dyDescent="0.25">
      <c r="A4249" s="7" t="s">
        <v>16</v>
      </c>
      <c r="B4249" s="7" t="s">
        <v>372</v>
      </c>
      <c r="C4249" s="7" t="s">
        <v>373</v>
      </c>
      <c r="D4249" s="4">
        <v>840048000450</v>
      </c>
      <c r="E4249" s="8" t="s">
        <v>637</v>
      </c>
      <c r="F4249" s="8" t="s">
        <v>30</v>
      </c>
      <c r="G4249" s="8" t="s">
        <v>19</v>
      </c>
      <c r="H4249" s="8" t="s">
        <v>215</v>
      </c>
      <c r="I4249" s="3">
        <v>2</v>
      </c>
      <c r="J4249" s="8" t="s">
        <v>149</v>
      </c>
      <c r="K4249" s="8" t="s">
        <v>150</v>
      </c>
      <c r="L4249" s="8" t="s">
        <v>557</v>
      </c>
      <c r="M4249" s="1" t="s">
        <v>207</v>
      </c>
      <c r="N4249" s="8" t="s">
        <v>208</v>
      </c>
      <c r="O4249" s="6">
        <v>0</v>
      </c>
      <c r="P4249" s="6">
        <v>0</v>
      </c>
      <c r="Q4249" s="6">
        <v>0</v>
      </c>
      <c r="R4249" s="6">
        <v>0</v>
      </c>
      <c r="S4249" s="6">
        <v>180</v>
      </c>
    </row>
    <row r="4250" spans="1:19" ht="15" hidden="1" x14ac:dyDescent="0.25">
      <c r="A4250" s="7" t="s">
        <v>16</v>
      </c>
      <c r="B4250" s="7" t="s">
        <v>372</v>
      </c>
      <c r="C4250" s="7" t="s">
        <v>373</v>
      </c>
      <c r="D4250" s="4">
        <v>44863959000126</v>
      </c>
      <c r="E4250" s="8" t="s">
        <v>682</v>
      </c>
      <c r="F4250" s="8" t="s">
        <v>544</v>
      </c>
      <c r="G4250" s="8" t="s">
        <v>19</v>
      </c>
      <c r="H4250" s="8" t="s">
        <v>215</v>
      </c>
      <c r="I4250" s="3">
        <v>2</v>
      </c>
      <c r="J4250" s="8" t="s">
        <v>151</v>
      </c>
      <c r="K4250" s="8" t="s">
        <v>152</v>
      </c>
      <c r="L4250" s="8" t="s">
        <v>556</v>
      </c>
      <c r="M4250" s="1" t="s">
        <v>207</v>
      </c>
      <c r="N4250" s="8" t="s">
        <v>208</v>
      </c>
      <c r="O4250" s="6">
        <v>0</v>
      </c>
      <c r="P4250" s="6">
        <v>0</v>
      </c>
      <c r="Q4250" s="6">
        <v>0</v>
      </c>
      <c r="R4250" s="6">
        <v>0</v>
      </c>
      <c r="S4250" s="6">
        <v>40</v>
      </c>
    </row>
    <row r="4251" spans="1:19" ht="15" hidden="1" x14ac:dyDescent="0.25">
      <c r="A4251" s="7" t="s">
        <v>16</v>
      </c>
      <c r="B4251" s="7" t="s">
        <v>372</v>
      </c>
      <c r="C4251" s="7" t="s">
        <v>373</v>
      </c>
      <c r="D4251" s="4">
        <v>44863959000126</v>
      </c>
      <c r="E4251" s="8" t="s">
        <v>682</v>
      </c>
      <c r="F4251" s="8" t="s">
        <v>544</v>
      </c>
      <c r="G4251" s="8" t="s">
        <v>19</v>
      </c>
      <c r="H4251" s="8" t="s">
        <v>215</v>
      </c>
      <c r="I4251" s="3">
        <v>2</v>
      </c>
      <c r="J4251" s="8" t="s">
        <v>149</v>
      </c>
      <c r="K4251" s="8" t="s">
        <v>150</v>
      </c>
      <c r="L4251" s="8" t="s">
        <v>557</v>
      </c>
      <c r="M4251" s="1" t="s">
        <v>207</v>
      </c>
      <c r="N4251" s="8" t="s">
        <v>208</v>
      </c>
      <c r="O4251" s="6">
        <v>0</v>
      </c>
      <c r="P4251" s="6">
        <v>0</v>
      </c>
      <c r="Q4251" s="6">
        <v>0</v>
      </c>
      <c r="R4251" s="6">
        <v>0</v>
      </c>
      <c r="S4251" s="6">
        <v>40</v>
      </c>
    </row>
    <row r="4252" spans="1:19" ht="15" hidden="1" x14ac:dyDescent="0.25">
      <c r="A4252" s="7" t="s">
        <v>16</v>
      </c>
      <c r="B4252" s="7" t="s">
        <v>372</v>
      </c>
      <c r="C4252" s="7" t="s">
        <v>373</v>
      </c>
      <c r="D4252" s="4">
        <v>56014830000122</v>
      </c>
      <c r="E4252" s="8" t="s">
        <v>1492</v>
      </c>
      <c r="F4252" s="8" t="s">
        <v>639</v>
      </c>
      <c r="G4252" s="8" t="s">
        <v>19</v>
      </c>
      <c r="H4252" s="8" t="s">
        <v>1334</v>
      </c>
      <c r="I4252" s="3">
        <v>0</v>
      </c>
      <c r="J4252" s="8"/>
      <c r="K4252" s="8"/>
      <c r="L4252" s="8"/>
      <c r="M4252" s="1"/>
      <c r="N4252" s="8"/>
      <c r="O4252" s="6">
        <v>0</v>
      </c>
      <c r="P4252" s="6">
        <v>0</v>
      </c>
      <c r="Q4252" s="6">
        <v>0</v>
      </c>
      <c r="R4252" s="6">
        <v>0</v>
      </c>
      <c r="S4252" s="6">
        <v>0</v>
      </c>
    </row>
    <row r="4253" spans="1:19" ht="15" hidden="1" x14ac:dyDescent="0.25">
      <c r="A4253" s="7" t="s">
        <v>16</v>
      </c>
      <c r="B4253" s="7" t="s">
        <v>372</v>
      </c>
      <c r="C4253" s="7" t="s">
        <v>373</v>
      </c>
      <c r="D4253" s="4">
        <v>1613433006892</v>
      </c>
      <c r="E4253" s="8" t="s">
        <v>638</v>
      </c>
      <c r="F4253" s="8" t="s">
        <v>639</v>
      </c>
      <c r="G4253" s="8" t="s">
        <v>19</v>
      </c>
      <c r="H4253" s="8" t="s">
        <v>215</v>
      </c>
      <c r="I4253" s="3">
        <v>2</v>
      </c>
      <c r="J4253" s="8" t="s">
        <v>151</v>
      </c>
      <c r="K4253" s="8" t="s">
        <v>152</v>
      </c>
      <c r="L4253" s="8" t="s">
        <v>556</v>
      </c>
      <c r="M4253" s="1" t="s">
        <v>207</v>
      </c>
      <c r="N4253" s="8" t="s">
        <v>208</v>
      </c>
      <c r="O4253" s="6">
        <v>0</v>
      </c>
      <c r="P4253" s="6">
        <v>0</v>
      </c>
      <c r="Q4253" s="6">
        <v>0</v>
      </c>
      <c r="R4253" s="6">
        <v>0</v>
      </c>
      <c r="S4253" s="6">
        <v>375</v>
      </c>
    </row>
    <row r="4254" spans="1:19" ht="15" hidden="1" x14ac:dyDescent="0.25">
      <c r="A4254" s="7" t="s">
        <v>16</v>
      </c>
      <c r="B4254" s="7" t="s">
        <v>372</v>
      </c>
      <c r="C4254" s="7" t="s">
        <v>373</v>
      </c>
      <c r="D4254" s="4">
        <v>1613433006892</v>
      </c>
      <c r="E4254" s="8" t="s">
        <v>638</v>
      </c>
      <c r="F4254" s="8" t="s">
        <v>639</v>
      </c>
      <c r="G4254" s="8" t="s">
        <v>19</v>
      </c>
      <c r="H4254" s="8" t="s">
        <v>215</v>
      </c>
      <c r="I4254" s="3">
        <v>2</v>
      </c>
      <c r="J4254" s="8" t="s">
        <v>149</v>
      </c>
      <c r="K4254" s="8" t="s">
        <v>150</v>
      </c>
      <c r="L4254" s="8" t="s">
        <v>557</v>
      </c>
      <c r="M4254" s="1" t="s">
        <v>207</v>
      </c>
      <c r="N4254" s="8" t="s">
        <v>208</v>
      </c>
      <c r="O4254" s="6">
        <v>0</v>
      </c>
      <c r="P4254" s="6">
        <v>0</v>
      </c>
      <c r="Q4254" s="6">
        <v>0</v>
      </c>
      <c r="R4254" s="6">
        <v>0</v>
      </c>
      <c r="S4254" s="6">
        <v>375</v>
      </c>
    </row>
    <row r="4255" spans="1:19" ht="15" hidden="1" x14ac:dyDescent="0.25">
      <c r="A4255" s="7" t="s">
        <v>16</v>
      </c>
      <c r="B4255" s="7" t="s">
        <v>372</v>
      </c>
      <c r="C4255" s="7" t="s">
        <v>373</v>
      </c>
      <c r="D4255" s="4">
        <v>57723280000183</v>
      </c>
      <c r="E4255" s="8" t="s">
        <v>724</v>
      </c>
      <c r="F4255" s="8" t="s">
        <v>639</v>
      </c>
      <c r="G4255" s="8" t="s">
        <v>19</v>
      </c>
      <c r="H4255" s="8" t="s">
        <v>215</v>
      </c>
      <c r="I4255" s="3">
        <v>2</v>
      </c>
      <c r="J4255" s="8" t="s">
        <v>151</v>
      </c>
      <c r="K4255" s="8" t="s">
        <v>152</v>
      </c>
      <c r="L4255" s="8" t="s">
        <v>556</v>
      </c>
      <c r="M4255" s="1" t="s">
        <v>207</v>
      </c>
      <c r="N4255" s="8" t="s">
        <v>208</v>
      </c>
      <c r="O4255" s="6">
        <v>0</v>
      </c>
      <c r="P4255" s="6">
        <v>0</v>
      </c>
      <c r="Q4255" s="6">
        <v>0</v>
      </c>
      <c r="R4255" s="6">
        <v>0</v>
      </c>
      <c r="S4255" s="6">
        <v>35</v>
      </c>
    </row>
    <row r="4256" spans="1:19" ht="15" hidden="1" x14ac:dyDescent="0.25">
      <c r="A4256" s="7" t="s">
        <v>16</v>
      </c>
      <c r="B4256" s="7" t="s">
        <v>372</v>
      </c>
      <c r="C4256" s="7" t="s">
        <v>373</v>
      </c>
      <c r="D4256" s="4">
        <v>57723280000183</v>
      </c>
      <c r="E4256" s="8" t="s">
        <v>724</v>
      </c>
      <c r="F4256" s="8" t="s">
        <v>639</v>
      </c>
      <c r="G4256" s="8" t="s">
        <v>19</v>
      </c>
      <c r="H4256" s="8" t="s">
        <v>215</v>
      </c>
      <c r="I4256" s="3">
        <v>2</v>
      </c>
      <c r="J4256" s="8" t="s">
        <v>149</v>
      </c>
      <c r="K4256" s="8" t="s">
        <v>150</v>
      </c>
      <c r="L4256" s="8" t="s">
        <v>557</v>
      </c>
      <c r="M4256" s="1" t="s">
        <v>207</v>
      </c>
      <c r="N4256" s="8" t="s">
        <v>208</v>
      </c>
      <c r="O4256" s="6">
        <v>0</v>
      </c>
      <c r="P4256" s="6">
        <v>0</v>
      </c>
      <c r="Q4256" s="6">
        <v>0</v>
      </c>
      <c r="R4256" s="6">
        <v>0</v>
      </c>
      <c r="S4256" s="6">
        <v>35</v>
      </c>
    </row>
    <row r="4257" spans="1:19" ht="15" hidden="1" x14ac:dyDescent="0.25">
      <c r="A4257" s="7" t="s">
        <v>16</v>
      </c>
      <c r="B4257" s="7" t="s">
        <v>372</v>
      </c>
      <c r="C4257" s="7" t="s">
        <v>373</v>
      </c>
      <c r="D4257" s="4">
        <v>45232246000550</v>
      </c>
      <c r="E4257" s="8" t="s">
        <v>685</v>
      </c>
      <c r="F4257" s="8" t="s">
        <v>639</v>
      </c>
      <c r="G4257" s="8" t="s">
        <v>19</v>
      </c>
      <c r="H4257" s="8" t="s">
        <v>215</v>
      </c>
      <c r="I4257" s="3">
        <v>2</v>
      </c>
      <c r="J4257" s="8" t="s">
        <v>151</v>
      </c>
      <c r="K4257" s="8" t="s">
        <v>152</v>
      </c>
      <c r="L4257" s="8" t="s">
        <v>556</v>
      </c>
      <c r="M4257" s="1" t="s">
        <v>207</v>
      </c>
      <c r="N4257" s="8" t="s">
        <v>208</v>
      </c>
      <c r="O4257" s="6">
        <v>0</v>
      </c>
      <c r="P4257" s="6">
        <v>0</v>
      </c>
      <c r="Q4257" s="6">
        <v>0</v>
      </c>
      <c r="R4257" s="6">
        <v>47</v>
      </c>
      <c r="S4257" s="6">
        <v>145</v>
      </c>
    </row>
    <row r="4258" spans="1:19" ht="15" hidden="1" x14ac:dyDescent="0.25">
      <c r="A4258" s="7" t="s">
        <v>16</v>
      </c>
      <c r="B4258" s="7" t="s">
        <v>372</v>
      </c>
      <c r="C4258" s="7" t="s">
        <v>373</v>
      </c>
      <c r="D4258" s="4">
        <v>45232246000550</v>
      </c>
      <c r="E4258" s="8" t="s">
        <v>685</v>
      </c>
      <c r="F4258" s="8" t="s">
        <v>639</v>
      </c>
      <c r="G4258" s="8" t="s">
        <v>19</v>
      </c>
      <c r="H4258" s="8" t="s">
        <v>215</v>
      </c>
      <c r="I4258" s="3">
        <v>2</v>
      </c>
      <c r="J4258" s="8" t="s">
        <v>149</v>
      </c>
      <c r="K4258" s="8" t="s">
        <v>150</v>
      </c>
      <c r="L4258" s="8" t="s">
        <v>557</v>
      </c>
      <c r="M4258" s="1" t="s">
        <v>207</v>
      </c>
      <c r="N4258" s="8" t="s">
        <v>208</v>
      </c>
      <c r="O4258" s="6">
        <v>0</v>
      </c>
      <c r="P4258" s="6">
        <v>0</v>
      </c>
      <c r="Q4258" s="6">
        <v>0</v>
      </c>
      <c r="R4258" s="6">
        <v>0</v>
      </c>
      <c r="S4258" s="6">
        <v>145</v>
      </c>
    </row>
    <row r="4259" spans="1:19" ht="15" hidden="1" x14ac:dyDescent="0.25">
      <c r="A4259" s="7" t="s">
        <v>16</v>
      </c>
      <c r="B4259" s="7" t="s">
        <v>372</v>
      </c>
      <c r="C4259" s="7" t="s">
        <v>373</v>
      </c>
      <c r="D4259" s="4">
        <v>44663631000590</v>
      </c>
      <c r="E4259" s="8" t="s">
        <v>680</v>
      </c>
      <c r="F4259" s="8" t="s">
        <v>39</v>
      </c>
      <c r="G4259" s="8" t="s">
        <v>19</v>
      </c>
      <c r="H4259" s="8" t="s">
        <v>215</v>
      </c>
      <c r="I4259" s="3">
        <v>2</v>
      </c>
      <c r="J4259" s="8" t="s">
        <v>151</v>
      </c>
      <c r="K4259" s="8" t="s">
        <v>152</v>
      </c>
      <c r="L4259" s="8" t="s">
        <v>556</v>
      </c>
      <c r="M4259" s="1" t="s">
        <v>207</v>
      </c>
      <c r="N4259" s="8" t="s">
        <v>208</v>
      </c>
      <c r="O4259" s="6">
        <v>0</v>
      </c>
      <c r="P4259" s="6">
        <v>0</v>
      </c>
      <c r="Q4259" s="6">
        <v>0</v>
      </c>
      <c r="R4259" s="6">
        <v>16</v>
      </c>
      <c r="S4259" s="6">
        <v>75</v>
      </c>
    </row>
    <row r="4260" spans="1:19" ht="15" hidden="1" x14ac:dyDescent="0.25">
      <c r="A4260" s="7" t="s">
        <v>16</v>
      </c>
      <c r="B4260" s="7" t="s">
        <v>372</v>
      </c>
      <c r="C4260" s="7" t="s">
        <v>373</v>
      </c>
      <c r="D4260" s="4">
        <v>44663631000590</v>
      </c>
      <c r="E4260" s="8" t="s">
        <v>680</v>
      </c>
      <c r="F4260" s="8" t="s">
        <v>39</v>
      </c>
      <c r="G4260" s="8" t="s">
        <v>19</v>
      </c>
      <c r="H4260" s="8" t="s">
        <v>215</v>
      </c>
      <c r="I4260" s="3">
        <v>2</v>
      </c>
      <c r="J4260" s="8" t="s">
        <v>149</v>
      </c>
      <c r="K4260" s="8" t="s">
        <v>150</v>
      </c>
      <c r="L4260" s="8" t="s">
        <v>557</v>
      </c>
      <c r="M4260" s="1" t="s">
        <v>207</v>
      </c>
      <c r="N4260" s="8" t="s">
        <v>208</v>
      </c>
      <c r="O4260" s="6">
        <v>0</v>
      </c>
      <c r="P4260" s="6">
        <v>0</v>
      </c>
      <c r="Q4260" s="6">
        <v>0</v>
      </c>
      <c r="R4260" s="6">
        <v>0</v>
      </c>
      <c r="S4260" s="6">
        <v>75</v>
      </c>
    </row>
    <row r="4261" spans="1:19" ht="15" hidden="1" x14ac:dyDescent="0.25">
      <c r="A4261" s="7" t="s">
        <v>16</v>
      </c>
      <c r="B4261" s="7" t="s">
        <v>372</v>
      </c>
      <c r="C4261" s="7" t="s">
        <v>373</v>
      </c>
      <c r="D4261" s="4">
        <v>6033403000113</v>
      </c>
      <c r="E4261" s="8" t="s">
        <v>646</v>
      </c>
      <c r="F4261" s="8" t="s">
        <v>647</v>
      </c>
      <c r="G4261" s="8" t="s">
        <v>19</v>
      </c>
      <c r="H4261" s="8" t="s">
        <v>215</v>
      </c>
      <c r="I4261" s="3">
        <v>2</v>
      </c>
      <c r="J4261" s="8" t="s">
        <v>1355</v>
      </c>
      <c r="K4261" s="8" t="s">
        <v>1356</v>
      </c>
      <c r="L4261" s="8" t="s">
        <v>556</v>
      </c>
      <c r="M4261" s="1" t="s">
        <v>207</v>
      </c>
      <c r="N4261" s="8" t="s">
        <v>208</v>
      </c>
      <c r="O4261" s="6">
        <v>0</v>
      </c>
      <c r="P4261" s="6">
        <v>0</v>
      </c>
      <c r="Q4261" s="6">
        <v>0</v>
      </c>
      <c r="R4261" s="6">
        <v>0</v>
      </c>
      <c r="S4261" s="6">
        <v>0</v>
      </c>
    </row>
    <row r="4262" spans="1:19" ht="15" hidden="1" x14ac:dyDescent="0.25">
      <c r="A4262" s="7" t="s">
        <v>16</v>
      </c>
      <c r="B4262" s="7" t="s">
        <v>372</v>
      </c>
      <c r="C4262" s="7" t="s">
        <v>373</v>
      </c>
      <c r="D4262" s="4">
        <v>6033403000113</v>
      </c>
      <c r="E4262" s="8" t="s">
        <v>646</v>
      </c>
      <c r="F4262" s="8" t="s">
        <v>647</v>
      </c>
      <c r="G4262" s="8" t="s">
        <v>19</v>
      </c>
      <c r="H4262" s="8" t="s">
        <v>215</v>
      </c>
      <c r="I4262" s="3">
        <v>2</v>
      </c>
      <c r="J4262" s="8" t="s">
        <v>147</v>
      </c>
      <c r="K4262" s="8" t="s">
        <v>148</v>
      </c>
      <c r="L4262" s="8" t="s">
        <v>557</v>
      </c>
      <c r="M4262" s="1" t="s">
        <v>207</v>
      </c>
      <c r="N4262" s="8" t="s">
        <v>208</v>
      </c>
      <c r="O4262" s="6">
        <v>0</v>
      </c>
      <c r="P4262" s="6">
        <v>3</v>
      </c>
      <c r="Q4262" s="6">
        <v>0</v>
      </c>
      <c r="R4262" s="6">
        <v>0</v>
      </c>
      <c r="S4262" s="6">
        <v>0</v>
      </c>
    </row>
    <row r="4263" spans="1:19" ht="15" hidden="1" x14ac:dyDescent="0.25">
      <c r="A4263" s="7" t="s">
        <v>16</v>
      </c>
      <c r="B4263" s="7" t="s">
        <v>372</v>
      </c>
      <c r="C4263" s="7" t="s">
        <v>373</v>
      </c>
      <c r="D4263" s="4">
        <v>18290268000170</v>
      </c>
      <c r="E4263" s="8" t="s">
        <v>663</v>
      </c>
      <c r="F4263" s="8" t="s">
        <v>35</v>
      </c>
      <c r="G4263" s="8" t="s">
        <v>19</v>
      </c>
      <c r="H4263" s="8" t="s">
        <v>215</v>
      </c>
      <c r="I4263" s="3">
        <v>2</v>
      </c>
      <c r="J4263" s="8" t="s">
        <v>1355</v>
      </c>
      <c r="K4263" s="8" t="s">
        <v>1356</v>
      </c>
      <c r="L4263" s="8" t="s">
        <v>556</v>
      </c>
      <c r="M4263" s="1" t="s">
        <v>207</v>
      </c>
      <c r="N4263" s="8" t="s">
        <v>208</v>
      </c>
      <c r="O4263" s="6">
        <v>0</v>
      </c>
      <c r="P4263" s="6">
        <v>0</v>
      </c>
      <c r="Q4263" s="6">
        <v>0</v>
      </c>
      <c r="R4263" s="6">
        <v>0</v>
      </c>
      <c r="S4263" s="6">
        <v>150</v>
      </c>
    </row>
    <row r="4264" spans="1:19" ht="15" hidden="1" x14ac:dyDescent="0.25">
      <c r="A4264" s="7" t="s">
        <v>16</v>
      </c>
      <c r="B4264" s="7" t="s">
        <v>372</v>
      </c>
      <c r="C4264" s="7" t="s">
        <v>373</v>
      </c>
      <c r="D4264" s="4">
        <v>18290268000170</v>
      </c>
      <c r="E4264" s="8" t="s">
        <v>663</v>
      </c>
      <c r="F4264" s="8" t="s">
        <v>35</v>
      </c>
      <c r="G4264" s="8" t="s">
        <v>19</v>
      </c>
      <c r="H4264" s="8" t="s">
        <v>215</v>
      </c>
      <c r="I4264" s="3">
        <v>2</v>
      </c>
      <c r="J4264" s="8" t="s">
        <v>147</v>
      </c>
      <c r="K4264" s="8" t="s">
        <v>148</v>
      </c>
      <c r="L4264" s="8" t="s">
        <v>557</v>
      </c>
      <c r="M4264" s="1" t="s">
        <v>207</v>
      </c>
      <c r="N4264" s="8" t="s">
        <v>208</v>
      </c>
      <c r="O4264" s="6">
        <v>0</v>
      </c>
      <c r="P4264" s="6">
        <v>0</v>
      </c>
      <c r="Q4264" s="6">
        <v>0</v>
      </c>
      <c r="R4264" s="6">
        <v>0</v>
      </c>
      <c r="S4264" s="6">
        <v>150</v>
      </c>
    </row>
    <row r="4265" spans="1:19" ht="15" hidden="1" x14ac:dyDescent="0.25">
      <c r="A4265" s="7" t="s">
        <v>16</v>
      </c>
      <c r="B4265" s="7" t="s">
        <v>372</v>
      </c>
      <c r="C4265" s="7" t="s">
        <v>373</v>
      </c>
      <c r="D4265" s="4">
        <v>10868295000176</v>
      </c>
      <c r="E4265" s="8" t="s">
        <v>660</v>
      </c>
      <c r="F4265" s="8" t="s">
        <v>35</v>
      </c>
      <c r="G4265" s="8" t="s">
        <v>19</v>
      </c>
      <c r="H4265" s="8" t="s">
        <v>215</v>
      </c>
      <c r="I4265" s="3">
        <v>2</v>
      </c>
      <c r="J4265" s="8" t="s">
        <v>1355</v>
      </c>
      <c r="K4265" s="8" t="s">
        <v>1356</v>
      </c>
      <c r="L4265" s="8" t="s">
        <v>556</v>
      </c>
      <c r="M4265" s="1" t="s">
        <v>207</v>
      </c>
      <c r="N4265" s="8" t="s">
        <v>208</v>
      </c>
      <c r="O4265" s="6">
        <v>0</v>
      </c>
      <c r="P4265" s="6">
        <v>0</v>
      </c>
      <c r="Q4265" s="6">
        <v>0</v>
      </c>
      <c r="R4265" s="6">
        <v>0</v>
      </c>
      <c r="S4265" s="6">
        <v>45</v>
      </c>
    </row>
    <row r="4266" spans="1:19" ht="15" hidden="1" x14ac:dyDescent="0.25">
      <c r="A4266" s="7" t="s">
        <v>16</v>
      </c>
      <c r="B4266" s="7" t="s">
        <v>372</v>
      </c>
      <c r="C4266" s="7" t="s">
        <v>373</v>
      </c>
      <c r="D4266" s="4">
        <v>10868295000176</v>
      </c>
      <c r="E4266" s="8" t="s">
        <v>660</v>
      </c>
      <c r="F4266" s="8" t="s">
        <v>35</v>
      </c>
      <c r="G4266" s="8" t="s">
        <v>19</v>
      </c>
      <c r="H4266" s="8" t="s">
        <v>215</v>
      </c>
      <c r="I4266" s="3">
        <v>2</v>
      </c>
      <c r="J4266" s="8" t="s">
        <v>147</v>
      </c>
      <c r="K4266" s="8" t="s">
        <v>148</v>
      </c>
      <c r="L4266" s="8" t="s">
        <v>557</v>
      </c>
      <c r="M4266" s="1" t="s">
        <v>207</v>
      </c>
      <c r="N4266" s="8" t="s">
        <v>208</v>
      </c>
      <c r="O4266" s="6">
        <v>0</v>
      </c>
      <c r="P4266" s="6">
        <v>0</v>
      </c>
      <c r="Q4266" s="6">
        <v>0</v>
      </c>
      <c r="R4266" s="6">
        <v>0</v>
      </c>
      <c r="S4266" s="6">
        <v>45</v>
      </c>
    </row>
    <row r="4267" spans="1:19" ht="15" hidden="1" x14ac:dyDescent="0.25">
      <c r="A4267" s="7" t="s">
        <v>16</v>
      </c>
      <c r="B4267" s="7" t="s">
        <v>372</v>
      </c>
      <c r="C4267" s="7" t="s">
        <v>373</v>
      </c>
      <c r="D4267" s="4">
        <v>3117525000108</v>
      </c>
      <c r="E4267" s="8" t="s">
        <v>1447</v>
      </c>
      <c r="F4267" s="8" t="s">
        <v>35</v>
      </c>
      <c r="G4267" s="8" t="s">
        <v>19</v>
      </c>
      <c r="H4267" s="8" t="s">
        <v>1334</v>
      </c>
      <c r="I4267" s="3">
        <v>0</v>
      </c>
      <c r="J4267" s="8"/>
      <c r="K4267" s="8"/>
      <c r="L4267" s="8"/>
      <c r="M4267" s="1"/>
      <c r="N4267" s="8"/>
      <c r="O4267" s="6">
        <v>0</v>
      </c>
      <c r="P4267" s="6">
        <v>0</v>
      </c>
      <c r="Q4267" s="6">
        <v>0</v>
      </c>
      <c r="R4267" s="6">
        <v>0</v>
      </c>
      <c r="S4267" s="6">
        <v>0</v>
      </c>
    </row>
    <row r="4268" spans="1:19" ht="15" hidden="1" x14ac:dyDescent="0.25">
      <c r="A4268" s="7" t="s">
        <v>16</v>
      </c>
      <c r="B4268" s="7" t="s">
        <v>372</v>
      </c>
      <c r="C4268" s="7" t="s">
        <v>373</v>
      </c>
      <c r="D4268" s="4">
        <v>461479007257</v>
      </c>
      <c r="E4268" s="8" t="s">
        <v>1435</v>
      </c>
      <c r="F4268" s="8" t="s">
        <v>35</v>
      </c>
      <c r="G4268" s="8" t="s">
        <v>19</v>
      </c>
      <c r="H4268" s="8" t="s">
        <v>1334</v>
      </c>
      <c r="I4268" s="3">
        <v>0</v>
      </c>
      <c r="J4268" s="8"/>
      <c r="K4268" s="8"/>
      <c r="L4268" s="8"/>
      <c r="M4268" s="1"/>
      <c r="N4268" s="8"/>
      <c r="O4268" s="6">
        <v>0</v>
      </c>
      <c r="P4268" s="6">
        <v>0</v>
      </c>
      <c r="Q4268" s="6">
        <v>0</v>
      </c>
      <c r="R4268" s="6">
        <v>0</v>
      </c>
      <c r="S4268" s="6">
        <v>0</v>
      </c>
    </row>
    <row r="4269" spans="1:19" ht="15" hidden="1" x14ac:dyDescent="0.25">
      <c r="A4269" s="7" t="s">
        <v>16</v>
      </c>
      <c r="B4269" s="7" t="s">
        <v>372</v>
      </c>
      <c r="C4269" s="7" t="s">
        <v>373</v>
      </c>
      <c r="D4269" s="4">
        <v>58229691001070</v>
      </c>
      <c r="E4269" s="8" t="s">
        <v>725</v>
      </c>
      <c r="F4269" s="8" t="s">
        <v>35</v>
      </c>
      <c r="G4269" s="8" t="s">
        <v>19</v>
      </c>
      <c r="H4269" s="8" t="s">
        <v>215</v>
      </c>
      <c r="I4269" s="3">
        <v>2</v>
      </c>
      <c r="J4269" s="8" t="s">
        <v>1355</v>
      </c>
      <c r="K4269" s="8" t="s">
        <v>1356</v>
      </c>
      <c r="L4269" s="8" t="s">
        <v>556</v>
      </c>
      <c r="M4269" s="1" t="s">
        <v>207</v>
      </c>
      <c r="N4269" s="8" t="s">
        <v>208</v>
      </c>
      <c r="O4269" s="6">
        <v>0</v>
      </c>
      <c r="P4269" s="6">
        <v>0</v>
      </c>
      <c r="Q4269" s="6">
        <v>0</v>
      </c>
      <c r="R4269" s="6">
        <v>32</v>
      </c>
      <c r="S4269" s="6">
        <v>0</v>
      </c>
    </row>
    <row r="4270" spans="1:19" ht="15" hidden="1" x14ac:dyDescent="0.25">
      <c r="A4270" s="7" t="s">
        <v>16</v>
      </c>
      <c r="B4270" s="7" t="s">
        <v>372</v>
      </c>
      <c r="C4270" s="7" t="s">
        <v>373</v>
      </c>
      <c r="D4270" s="4">
        <v>58229691001070</v>
      </c>
      <c r="E4270" s="8" t="s">
        <v>725</v>
      </c>
      <c r="F4270" s="8" t="s">
        <v>35</v>
      </c>
      <c r="G4270" s="8" t="s">
        <v>19</v>
      </c>
      <c r="H4270" s="8" t="s">
        <v>215</v>
      </c>
      <c r="I4270" s="3">
        <v>2</v>
      </c>
      <c r="J4270" s="8" t="s">
        <v>147</v>
      </c>
      <c r="K4270" s="8" t="s">
        <v>148</v>
      </c>
      <c r="L4270" s="8" t="s">
        <v>557</v>
      </c>
      <c r="M4270" s="1" t="s">
        <v>207</v>
      </c>
      <c r="N4270" s="8" t="s">
        <v>208</v>
      </c>
      <c r="O4270" s="6">
        <v>0</v>
      </c>
      <c r="P4270" s="6">
        <v>0</v>
      </c>
      <c r="Q4270" s="6">
        <v>0</v>
      </c>
      <c r="R4270" s="6">
        <v>0</v>
      </c>
      <c r="S4270" s="6">
        <v>0</v>
      </c>
    </row>
    <row r="4271" spans="1:19" ht="15" hidden="1" x14ac:dyDescent="0.25">
      <c r="A4271" s="7" t="s">
        <v>16</v>
      </c>
      <c r="B4271" s="7" t="s">
        <v>372</v>
      </c>
      <c r="C4271" s="7" t="s">
        <v>373</v>
      </c>
      <c r="D4271" s="4">
        <v>2639768000135</v>
      </c>
      <c r="E4271" s="8" t="s">
        <v>1446</v>
      </c>
      <c r="F4271" s="8" t="s">
        <v>1372</v>
      </c>
      <c r="G4271" s="8" t="s">
        <v>19</v>
      </c>
      <c r="H4271" s="8" t="s">
        <v>1334</v>
      </c>
      <c r="I4271" s="3">
        <v>0</v>
      </c>
      <c r="J4271" s="8"/>
      <c r="K4271" s="8"/>
      <c r="L4271" s="8"/>
      <c r="M4271" s="1"/>
      <c r="N4271" s="8"/>
      <c r="O4271" s="6">
        <v>0</v>
      </c>
      <c r="P4271" s="6">
        <v>0</v>
      </c>
      <c r="Q4271" s="6">
        <v>0</v>
      </c>
      <c r="R4271" s="6">
        <v>0</v>
      </c>
      <c r="S4271" s="6">
        <v>0</v>
      </c>
    </row>
    <row r="4272" spans="1:19" ht="15" hidden="1" x14ac:dyDescent="0.25">
      <c r="A4272" s="7" t="s">
        <v>16</v>
      </c>
      <c r="B4272" s="7" t="s">
        <v>372</v>
      </c>
      <c r="C4272" s="7" t="s">
        <v>373</v>
      </c>
      <c r="D4272" s="4">
        <v>68029156000481</v>
      </c>
      <c r="E4272" s="8" t="s">
        <v>1371</v>
      </c>
      <c r="F4272" s="8" t="s">
        <v>1372</v>
      </c>
      <c r="G4272" s="8" t="s">
        <v>19</v>
      </c>
      <c r="H4272" s="8" t="s">
        <v>215</v>
      </c>
      <c r="I4272" s="3">
        <v>2</v>
      </c>
      <c r="J4272" s="8" t="s">
        <v>1355</v>
      </c>
      <c r="K4272" s="8" t="s">
        <v>1356</v>
      </c>
      <c r="L4272" s="8" t="s">
        <v>556</v>
      </c>
      <c r="M4272" s="1" t="s">
        <v>207</v>
      </c>
      <c r="N4272" s="8" t="s">
        <v>208</v>
      </c>
      <c r="O4272" s="6">
        <v>0</v>
      </c>
      <c r="P4272" s="6">
        <v>0</v>
      </c>
      <c r="Q4272" s="6">
        <v>0</v>
      </c>
      <c r="R4272" s="6">
        <v>0</v>
      </c>
      <c r="S4272" s="6">
        <v>65</v>
      </c>
    </row>
    <row r="4273" spans="1:19" ht="15" hidden="1" x14ac:dyDescent="0.25">
      <c r="A4273" s="7" t="s">
        <v>16</v>
      </c>
      <c r="B4273" s="7" t="s">
        <v>372</v>
      </c>
      <c r="C4273" s="7" t="s">
        <v>373</v>
      </c>
      <c r="D4273" s="4">
        <v>68029156000481</v>
      </c>
      <c r="E4273" s="8" t="s">
        <v>1371</v>
      </c>
      <c r="F4273" s="8" t="s">
        <v>1372</v>
      </c>
      <c r="G4273" s="8" t="s">
        <v>19</v>
      </c>
      <c r="H4273" s="8" t="s">
        <v>215</v>
      </c>
      <c r="I4273" s="3">
        <v>2</v>
      </c>
      <c r="J4273" s="8" t="s">
        <v>183</v>
      </c>
      <c r="K4273" s="8" t="s">
        <v>184</v>
      </c>
      <c r="L4273" s="8" t="s">
        <v>557</v>
      </c>
      <c r="M4273" s="1" t="s">
        <v>207</v>
      </c>
      <c r="N4273" s="8" t="s">
        <v>208</v>
      </c>
      <c r="O4273" s="6">
        <v>0</v>
      </c>
      <c r="P4273" s="6">
        <v>0</v>
      </c>
      <c r="Q4273" s="6">
        <v>0</v>
      </c>
      <c r="R4273" s="6">
        <v>0</v>
      </c>
      <c r="S4273" s="6">
        <v>65</v>
      </c>
    </row>
    <row r="4274" spans="1:19" ht="15" hidden="1" x14ac:dyDescent="0.25">
      <c r="A4274" s="7" t="s">
        <v>16</v>
      </c>
      <c r="B4274" s="7" t="s">
        <v>372</v>
      </c>
      <c r="C4274" s="7" t="s">
        <v>373</v>
      </c>
      <c r="D4274" s="4">
        <v>61687356004399</v>
      </c>
      <c r="E4274" s="8" t="s">
        <v>1498</v>
      </c>
      <c r="F4274" s="8" t="s">
        <v>42</v>
      </c>
      <c r="G4274" s="8" t="s">
        <v>19</v>
      </c>
      <c r="H4274" s="8" t="s">
        <v>1334</v>
      </c>
      <c r="I4274" s="3">
        <v>0</v>
      </c>
      <c r="J4274" s="8"/>
      <c r="K4274" s="8"/>
      <c r="L4274" s="8"/>
      <c r="M4274" s="1"/>
      <c r="N4274" s="8"/>
      <c r="O4274" s="6">
        <v>0</v>
      </c>
      <c r="P4274" s="6">
        <v>0</v>
      </c>
      <c r="Q4274" s="6">
        <v>0</v>
      </c>
      <c r="R4274" s="6">
        <v>0</v>
      </c>
      <c r="S4274" s="6">
        <v>0</v>
      </c>
    </row>
    <row r="4275" spans="1:19" ht="15" hidden="1" x14ac:dyDescent="0.25">
      <c r="A4275" s="7" t="s">
        <v>16</v>
      </c>
      <c r="B4275" s="7" t="s">
        <v>372</v>
      </c>
      <c r="C4275" s="7" t="s">
        <v>373</v>
      </c>
      <c r="D4275" s="4">
        <v>4708424000166</v>
      </c>
      <c r="E4275" s="8" t="s">
        <v>1450</v>
      </c>
      <c r="F4275" s="8" t="s">
        <v>674</v>
      </c>
      <c r="G4275" s="8" t="s">
        <v>19</v>
      </c>
      <c r="H4275" s="8" t="s">
        <v>1334</v>
      </c>
      <c r="I4275" s="3">
        <v>0</v>
      </c>
      <c r="J4275" s="8"/>
      <c r="K4275" s="8"/>
      <c r="L4275" s="8"/>
      <c r="M4275" s="1"/>
      <c r="N4275" s="8"/>
      <c r="O4275" s="6">
        <v>0</v>
      </c>
      <c r="P4275" s="6">
        <v>0</v>
      </c>
      <c r="Q4275" s="6">
        <v>0</v>
      </c>
      <c r="R4275" s="6">
        <v>0</v>
      </c>
      <c r="S4275" s="6">
        <v>0</v>
      </c>
    </row>
    <row r="4276" spans="1:19" ht="15" hidden="1" x14ac:dyDescent="0.25">
      <c r="A4276" s="7" t="s">
        <v>16</v>
      </c>
      <c r="B4276" s="7" t="s">
        <v>372</v>
      </c>
      <c r="C4276" s="7" t="s">
        <v>373</v>
      </c>
      <c r="D4276" s="4">
        <v>45359213000576</v>
      </c>
      <c r="E4276" s="8" t="s">
        <v>686</v>
      </c>
      <c r="F4276" s="8" t="s">
        <v>687</v>
      </c>
      <c r="G4276" s="8" t="s">
        <v>19</v>
      </c>
      <c r="H4276" s="8" t="s">
        <v>215</v>
      </c>
      <c r="I4276" s="3">
        <v>2</v>
      </c>
      <c r="J4276" s="8" t="s">
        <v>151</v>
      </c>
      <c r="K4276" s="8" t="s">
        <v>152</v>
      </c>
      <c r="L4276" s="8" t="s">
        <v>556</v>
      </c>
      <c r="M4276" s="1" t="s">
        <v>207</v>
      </c>
      <c r="N4276" s="8" t="s">
        <v>208</v>
      </c>
      <c r="O4276" s="6">
        <v>0</v>
      </c>
      <c r="P4276" s="6">
        <v>0</v>
      </c>
      <c r="Q4276" s="6">
        <v>0</v>
      </c>
      <c r="R4276" s="6">
        <v>28</v>
      </c>
      <c r="S4276" s="6">
        <v>0</v>
      </c>
    </row>
    <row r="4277" spans="1:19" ht="15" hidden="1" x14ac:dyDescent="0.25">
      <c r="A4277" s="7" t="s">
        <v>16</v>
      </c>
      <c r="B4277" s="7" t="s">
        <v>372</v>
      </c>
      <c r="C4277" s="7" t="s">
        <v>373</v>
      </c>
      <c r="D4277" s="4">
        <v>45359213000576</v>
      </c>
      <c r="E4277" s="8" t="s">
        <v>686</v>
      </c>
      <c r="F4277" s="8" t="s">
        <v>687</v>
      </c>
      <c r="G4277" s="8" t="s">
        <v>19</v>
      </c>
      <c r="H4277" s="8" t="s">
        <v>215</v>
      </c>
      <c r="I4277" s="3">
        <v>2</v>
      </c>
      <c r="J4277" s="8" t="s">
        <v>149</v>
      </c>
      <c r="K4277" s="8" t="s">
        <v>150</v>
      </c>
      <c r="L4277" s="8" t="s">
        <v>557</v>
      </c>
      <c r="M4277" s="1" t="s">
        <v>207</v>
      </c>
      <c r="N4277" s="8" t="s">
        <v>208</v>
      </c>
      <c r="O4277" s="6">
        <v>0</v>
      </c>
      <c r="P4277" s="6">
        <v>0</v>
      </c>
      <c r="Q4277" s="6">
        <v>0</v>
      </c>
      <c r="R4277" s="6">
        <v>0</v>
      </c>
      <c r="S4277" s="6">
        <v>0</v>
      </c>
    </row>
    <row r="4278" spans="1:19" ht="15" hidden="1" x14ac:dyDescent="0.25">
      <c r="A4278" s="7" t="s">
        <v>16</v>
      </c>
      <c r="B4278" s="7" t="s">
        <v>372</v>
      </c>
      <c r="C4278" s="7" t="s">
        <v>373</v>
      </c>
      <c r="D4278" s="4">
        <v>10576443000189</v>
      </c>
      <c r="E4278" s="8" t="s">
        <v>659</v>
      </c>
      <c r="F4278" s="8" t="s">
        <v>643</v>
      </c>
      <c r="G4278" s="8" t="s">
        <v>19</v>
      </c>
      <c r="H4278" s="8" t="s">
        <v>215</v>
      </c>
      <c r="I4278" s="3">
        <v>2</v>
      </c>
      <c r="J4278" s="8" t="s">
        <v>151</v>
      </c>
      <c r="K4278" s="8" t="s">
        <v>152</v>
      </c>
      <c r="L4278" s="8" t="s">
        <v>556</v>
      </c>
      <c r="M4278" s="1" t="s">
        <v>207</v>
      </c>
      <c r="N4278" s="8" t="s">
        <v>208</v>
      </c>
      <c r="O4278" s="6">
        <v>0</v>
      </c>
      <c r="P4278" s="6">
        <v>0</v>
      </c>
      <c r="Q4278" s="6">
        <v>0</v>
      </c>
      <c r="R4278" s="6">
        <v>0</v>
      </c>
      <c r="S4278" s="6">
        <v>25</v>
      </c>
    </row>
    <row r="4279" spans="1:19" ht="15" hidden="1" x14ac:dyDescent="0.25">
      <c r="A4279" s="7" t="s">
        <v>16</v>
      </c>
      <c r="B4279" s="7" t="s">
        <v>372</v>
      </c>
      <c r="C4279" s="7" t="s">
        <v>373</v>
      </c>
      <c r="D4279" s="4">
        <v>10576443000189</v>
      </c>
      <c r="E4279" s="8" t="s">
        <v>659</v>
      </c>
      <c r="F4279" s="8" t="s">
        <v>643</v>
      </c>
      <c r="G4279" s="8" t="s">
        <v>19</v>
      </c>
      <c r="H4279" s="8" t="s">
        <v>215</v>
      </c>
      <c r="I4279" s="3">
        <v>2</v>
      </c>
      <c r="J4279" s="8" t="s">
        <v>149</v>
      </c>
      <c r="K4279" s="8" t="s">
        <v>150</v>
      </c>
      <c r="L4279" s="8" t="s">
        <v>557</v>
      </c>
      <c r="M4279" s="1" t="s">
        <v>207</v>
      </c>
      <c r="N4279" s="8" t="s">
        <v>208</v>
      </c>
      <c r="O4279" s="6">
        <v>0</v>
      </c>
      <c r="P4279" s="6">
        <v>0</v>
      </c>
      <c r="Q4279" s="6">
        <v>0</v>
      </c>
      <c r="R4279" s="6">
        <v>0</v>
      </c>
      <c r="S4279" s="6">
        <v>25</v>
      </c>
    </row>
    <row r="4280" spans="1:19" ht="15" hidden="1" x14ac:dyDescent="0.25">
      <c r="A4280" s="7" t="s">
        <v>16</v>
      </c>
      <c r="B4280" s="7" t="s">
        <v>372</v>
      </c>
      <c r="C4280" s="7" t="s">
        <v>373</v>
      </c>
      <c r="D4280" s="4">
        <v>2643405000173</v>
      </c>
      <c r="E4280" s="8" t="s">
        <v>642</v>
      </c>
      <c r="F4280" s="8" t="s">
        <v>643</v>
      </c>
      <c r="G4280" s="8" t="s">
        <v>19</v>
      </c>
      <c r="H4280" s="8" t="s">
        <v>215</v>
      </c>
      <c r="I4280" s="3">
        <v>2</v>
      </c>
      <c r="J4280" s="8" t="s">
        <v>151</v>
      </c>
      <c r="K4280" s="8" t="s">
        <v>152</v>
      </c>
      <c r="L4280" s="8" t="s">
        <v>556</v>
      </c>
      <c r="M4280" s="1" t="s">
        <v>207</v>
      </c>
      <c r="N4280" s="8" t="s">
        <v>208</v>
      </c>
      <c r="O4280" s="6">
        <v>0</v>
      </c>
      <c r="P4280" s="6">
        <v>0</v>
      </c>
      <c r="Q4280" s="6">
        <v>0</v>
      </c>
      <c r="R4280" s="6">
        <v>22</v>
      </c>
      <c r="S4280" s="6">
        <v>0</v>
      </c>
    </row>
    <row r="4281" spans="1:19" ht="15" hidden="1" x14ac:dyDescent="0.25">
      <c r="A4281" s="7" t="s">
        <v>16</v>
      </c>
      <c r="B4281" s="7" t="s">
        <v>372</v>
      </c>
      <c r="C4281" s="7" t="s">
        <v>373</v>
      </c>
      <c r="D4281" s="4">
        <v>2643405000173</v>
      </c>
      <c r="E4281" s="8" t="s">
        <v>642</v>
      </c>
      <c r="F4281" s="8" t="s">
        <v>643</v>
      </c>
      <c r="G4281" s="8" t="s">
        <v>19</v>
      </c>
      <c r="H4281" s="8" t="s">
        <v>215</v>
      </c>
      <c r="I4281" s="3">
        <v>2</v>
      </c>
      <c r="J4281" s="8" t="s">
        <v>149</v>
      </c>
      <c r="K4281" s="8" t="s">
        <v>150</v>
      </c>
      <c r="L4281" s="8" t="s">
        <v>557</v>
      </c>
      <c r="M4281" s="1" t="s">
        <v>207</v>
      </c>
      <c r="N4281" s="8" t="s">
        <v>208</v>
      </c>
      <c r="O4281" s="6">
        <v>0</v>
      </c>
      <c r="P4281" s="6">
        <v>0</v>
      </c>
      <c r="Q4281" s="6">
        <v>0</v>
      </c>
      <c r="R4281" s="6">
        <v>0</v>
      </c>
      <c r="S4281" s="6">
        <v>0</v>
      </c>
    </row>
    <row r="4282" spans="1:19" ht="15" hidden="1" x14ac:dyDescent="0.25">
      <c r="A4282" s="7" t="s">
        <v>16</v>
      </c>
      <c r="B4282" s="7" t="s">
        <v>372</v>
      </c>
      <c r="C4282" s="7" t="s">
        <v>373</v>
      </c>
      <c r="D4282" s="4">
        <v>60003761000129</v>
      </c>
      <c r="E4282" s="8" t="s">
        <v>728</v>
      </c>
      <c r="F4282" s="8" t="s">
        <v>643</v>
      </c>
      <c r="G4282" s="8" t="s">
        <v>19</v>
      </c>
      <c r="H4282" s="8" t="s">
        <v>215</v>
      </c>
      <c r="I4282" s="3">
        <v>2</v>
      </c>
      <c r="J4282" s="8" t="s">
        <v>151</v>
      </c>
      <c r="K4282" s="8" t="s">
        <v>152</v>
      </c>
      <c r="L4282" s="8" t="s">
        <v>556</v>
      </c>
      <c r="M4282" s="1" t="s">
        <v>207</v>
      </c>
      <c r="N4282" s="8" t="s">
        <v>208</v>
      </c>
      <c r="O4282" s="6">
        <v>0</v>
      </c>
      <c r="P4282" s="6">
        <v>0</v>
      </c>
      <c r="Q4282" s="6">
        <v>0</v>
      </c>
      <c r="R4282" s="6">
        <v>0</v>
      </c>
      <c r="S4282" s="6">
        <v>0</v>
      </c>
    </row>
    <row r="4283" spans="1:19" ht="15" hidden="1" x14ac:dyDescent="0.25">
      <c r="A4283" s="7" t="s">
        <v>16</v>
      </c>
      <c r="B4283" s="7" t="s">
        <v>372</v>
      </c>
      <c r="C4283" s="7" t="s">
        <v>373</v>
      </c>
      <c r="D4283" s="4">
        <v>60003761000129</v>
      </c>
      <c r="E4283" s="8" t="s">
        <v>728</v>
      </c>
      <c r="F4283" s="8" t="s">
        <v>643</v>
      </c>
      <c r="G4283" s="8" t="s">
        <v>19</v>
      </c>
      <c r="H4283" s="8" t="s">
        <v>215</v>
      </c>
      <c r="I4283" s="3">
        <v>2</v>
      </c>
      <c r="J4283" s="8" t="s">
        <v>149</v>
      </c>
      <c r="K4283" s="8" t="s">
        <v>150</v>
      </c>
      <c r="L4283" s="8" t="s">
        <v>557</v>
      </c>
      <c r="M4283" s="1" t="s">
        <v>207</v>
      </c>
      <c r="N4283" s="8" t="s">
        <v>208</v>
      </c>
      <c r="O4283" s="6">
        <v>0</v>
      </c>
      <c r="P4283" s="6">
        <v>20</v>
      </c>
      <c r="Q4283" s="6">
        <v>0</v>
      </c>
      <c r="R4283" s="6">
        <v>0</v>
      </c>
      <c r="S4283" s="6">
        <v>0</v>
      </c>
    </row>
    <row r="4284" spans="1:19" ht="15" hidden="1" x14ac:dyDescent="0.25">
      <c r="A4284" s="7" t="s">
        <v>16</v>
      </c>
      <c r="B4284" s="7" t="s">
        <v>372</v>
      </c>
      <c r="C4284" s="7" t="s">
        <v>373</v>
      </c>
      <c r="D4284" s="4">
        <v>45184066000117</v>
      </c>
      <c r="E4284" s="8" t="s">
        <v>684</v>
      </c>
      <c r="F4284" s="8" t="s">
        <v>650</v>
      </c>
      <c r="G4284" s="8" t="s">
        <v>19</v>
      </c>
      <c r="H4284" s="8" t="s">
        <v>215</v>
      </c>
      <c r="I4284" s="3">
        <v>2</v>
      </c>
      <c r="J4284" s="8" t="s">
        <v>161</v>
      </c>
      <c r="K4284" s="8" t="s">
        <v>162</v>
      </c>
      <c r="L4284" s="8" t="s">
        <v>556</v>
      </c>
      <c r="M4284" s="1" t="s">
        <v>207</v>
      </c>
      <c r="N4284" s="8" t="s">
        <v>208</v>
      </c>
      <c r="O4284" s="6">
        <v>0</v>
      </c>
      <c r="P4284" s="6">
        <v>0</v>
      </c>
      <c r="Q4284" s="6">
        <v>0</v>
      </c>
      <c r="R4284" s="6">
        <v>15</v>
      </c>
      <c r="S4284" s="6">
        <v>0</v>
      </c>
    </row>
    <row r="4285" spans="1:19" ht="15" hidden="1" x14ac:dyDescent="0.25">
      <c r="A4285" s="7" t="s">
        <v>16</v>
      </c>
      <c r="B4285" s="7" t="s">
        <v>372</v>
      </c>
      <c r="C4285" s="7" t="s">
        <v>373</v>
      </c>
      <c r="D4285" s="4">
        <v>45184066000117</v>
      </c>
      <c r="E4285" s="8" t="s">
        <v>684</v>
      </c>
      <c r="F4285" s="8" t="s">
        <v>650</v>
      </c>
      <c r="G4285" s="8" t="s">
        <v>19</v>
      </c>
      <c r="H4285" s="8" t="s">
        <v>215</v>
      </c>
      <c r="I4285" s="3">
        <v>2</v>
      </c>
      <c r="J4285" s="8" t="s">
        <v>183</v>
      </c>
      <c r="K4285" s="8" t="s">
        <v>184</v>
      </c>
      <c r="L4285" s="8" t="s">
        <v>557</v>
      </c>
      <c r="M4285" s="1" t="s">
        <v>207</v>
      </c>
      <c r="N4285" s="8" t="s">
        <v>208</v>
      </c>
      <c r="O4285" s="6">
        <v>0</v>
      </c>
      <c r="P4285" s="6">
        <v>1</v>
      </c>
      <c r="Q4285" s="6">
        <v>0</v>
      </c>
      <c r="R4285" s="6">
        <v>0</v>
      </c>
      <c r="S4285" s="6">
        <v>0</v>
      </c>
    </row>
    <row r="4286" spans="1:19" ht="15" hidden="1" x14ac:dyDescent="0.25">
      <c r="A4286" s="7" t="s">
        <v>16</v>
      </c>
      <c r="B4286" s="7" t="s">
        <v>372</v>
      </c>
      <c r="C4286" s="7" t="s">
        <v>373</v>
      </c>
      <c r="D4286" s="4">
        <v>60214517001691</v>
      </c>
      <c r="E4286" s="8" t="s">
        <v>732</v>
      </c>
      <c r="F4286" s="8" t="s">
        <v>650</v>
      </c>
      <c r="G4286" s="8" t="s">
        <v>19</v>
      </c>
      <c r="H4286" s="8" t="s">
        <v>215</v>
      </c>
      <c r="I4286" s="3">
        <v>2</v>
      </c>
      <c r="J4286" s="8" t="s">
        <v>161</v>
      </c>
      <c r="K4286" s="8" t="s">
        <v>162</v>
      </c>
      <c r="L4286" s="8" t="s">
        <v>556</v>
      </c>
      <c r="M4286" s="1" t="s">
        <v>207</v>
      </c>
      <c r="N4286" s="8" t="s">
        <v>208</v>
      </c>
      <c r="O4286" s="6">
        <v>0</v>
      </c>
      <c r="P4286" s="6">
        <v>0</v>
      </c>
      <c r="Q4286" s="6">
        <v>0</v>
      </c>
      <c r="R4286" s="6">
        <v>0</v>
      </c>
      <c r="S4286" s="6">
        <v>225</v>
      </c>
    </row>
    <row r="4287" spans="1:19" ht="15" hidden="1" x14ac:dyDescent="0.25">
      <c r="A4287" s="7" t="s">
        <v>16</v>
      </c>
      <c r="B4287" s="7" t="s">
        <v>372</v>
      </c>
      <c r="C4287" s="7" t="s">
        <v>373</v>
      </c>
      <c r="D4287" s="4">
        <v>60214517001691</v>
      </c>
      <c r="E4287" s="8" t="s">
        <v>732</v>
      </c>
      <c r="F4287" s="8" t="s">
        <v>650</v>
      </c>
      <c r="G4287" s="8" t="s">
        <v>19</v>
      </c>
      <c r="H4287" s="8" t="s">
        <v>215</v>
      </c>
      <c r="I4287" s="3">
        <v>2</v>
      </c>
      <c r="J4287" s="8" t="s">
        <v>183</v>
      </c>
      <c r="K4287" s="8" t="s">
        <v>184</v>
      </c>
      <c r="L4287" s="8" t="s">
        <v>557</v>
      </c>
      <c r="M4287" s="1" t="s">
        <v>207</v>
      </c>
      <c r="N4287" s="8" t="s">
        <v>208</v>
      </c>
      <c r="O4287" s="6">
        <v>0</v>
      </c>
      <c r="P4287" s="6">
        <v>0</v>
      </c>
      <c r="Q4287" s="6">
        <v>0</v>
      </c>
      <c r="R4287" s="6">
        <v>0</v>
      </c>
      <c r="S4287" s="6">
        <v>225</v>
      </c>
    </row>
    <row r="4288" spans="1:19" ht="15" hidden="1" x14ac:dyDescent="0.25">
      <c r="A4288" s="7" t="s">
        <v>16</v>
      </c>
      <c r="B4288" s="7" t="s">
        <v>372</v>
      </c>
      <c r="C4288" s="7" t="s">
        <v>373</v>
      </c>
      <c r="D4288" s="4">
        <v>60190550000142</v>
      </c>
      <c r="E4288" s="8" t="s">
        <v>1494</v>
      </c>
      <c r="F4288" s="8" t="s">
        <v>650</v>
      </c>
      <c r="G4288" s="8" t="s">
        <v>19</v>
      </c>
      <c r="H4288" s="8" t="s">
        <v>1334</v>
      </c>
      <c r="I4288" s="3">
        <v>0</v>
      </c>
      <c r="J4288" s="8"/>
      <c r="K4288" s="8"/>
      <c r="L4288" s="8"/>
      <c r="M4288" s="1"/>
      <c r="N4288" s="8"/>
      <c r="O4288" s="6">
        <v>0</v>
      </c>
      <c r="P4288" s="6">
        <v>0</v>
      </c>
      <c r="Q4288" s="6">
        <v>0</v>
      </c>
      <c r="R4288" s="6">
        <v>0</v>
      </c>
      <c r="S4288" s="6">
        <v>0</v>
      </c>
    </row>
    <row r="4289" spans="1:19" ht="15" hidden="1" x14ac:dyDescent="0.25">
      <c r="A4289" s="7" t="s">
        <v>16</v>
      </c>
      <c r="B4289" s="7" t="s">
        <v>372</v>
      </c>
      <c r="C4289" s="7" t="s">
        <v>373</v>
      </c>
      <c r="D4289" s="4">
        <v>18321477000134</v>
      </c>
      <c r="E4289" s="8" t="s">
        <v>664</v>
      </c>
      <c r="F4289" s="8" t="s">
        <v>650</v>
      </c>
      <c r="G4289" s="8" t="s">
        <v>19</v>
      </c>
      <c r="H4289" s="8" t="s">
        <v>215</v>
      </c>
      <c r="I4289" s="3">
        <v>2</v>
      </c>
      <c r="J4289" s="8" t="s">
        <v>161</v>
      </c>
      <c r="K4289" s="8" t="s">
        <v>162</v>
      </c>
      <c r="L4289" s="8" t="s">
        <v>556</v>
      </c>
      <c r="M4289" s="1" t="s">
        <v>207</v>
      </c>
      <c r="N4289" s="8" t="s">
        <v>208</v>
      </c>
      <c r="O4289" s="6">
        <v>0</v>
      </c>
      <c r="P4289" s="6">
        <v>0</v>
      </c>
      <c r="Q4289" s="6">
        <v>0</v>
      </c>
      <c r="R4289" s="6">
        <v>98</v>
      </c>
      <c r="S4289" s="6">
        <v>180</v>
      </c>
    </row>
    <row r="4290" spans="1:19" ht="15" hidden="1" x14ac:dyDescent="0.25">
      <c r="A4290" s="7" t="s">
        <v>16</v>
      </c>
      <c r="B4290" s="7" t="s">
        <v>372</v>
      </c>
      <c r="C4290" s="7" t="s">
        <v>373</v>
      </c>
      <c r="D4290" s="4">
        <v>18321477000134</v>
      </c>
      <c r="E4290" s="8" t="s">
        <v>664</v>
      </c>
      <c r="F4290" s="8" t="s">
        <v>650</v>
      </c>
      <c r="G4290" s="8" t="s">
        <v>19</v>
      </c>
      <c r="H4290" s="8" t="s">
        <v>215</v>
      </c>
      <c r="I4290" s="3">
        <v>2</v>
      </c>
      <c r="J4290" s="8" t="s">
        <v>183</v>
      </c>
      <c r="K4290" s="8" t="s">
        <v>184</v>
      </c>
      <c r="L4290" s="8" t="s">
        <v>557</v>
      </c>
      <c r="M4290" s="1" t="s">
        <v>207</v>
      </c>
      <c r="N4290" s="8" t="s">
        <v>208</v>
      </c>
      <c r="O4290" s="6">
        <v>0</v>
      </c>
      <c r="P4290" s="6">
        <v>0</v>
      </c>
      <c r="Q4290" s="6">
        <v>0</v>
      </c>
      <c r="R4290" s="6">
        <v>0</v>
      </c>
      <c r="S4290" s="6">
        <v>180</v>
      </c>
    </row>
    <row r="4291" spans="1:19" ht="15" hidden="1" x14ac:dyDescent="0.25">
      <c r="A4291" s="7" t="s">
        <v>16</v>
      </c>
      <c r="B4291" s="7" t="s">
        <v>372</v>
      </c>
      <c r="C4291" s="7" t="s">
        <v>373</v>
      </c>
      <c r="D4291" s="4">
        <v>60214517000962</v>
      </c>
      <c r="E4291" s="8" t="s">
        <v>729</v>
      </c>
      <c r="F4291" s="8" t="s">
        <v>650</v>
      </c>
      <c r="G4291" s="8" t="s">
        <v>19</v>
      </c>
      <c r="H4291" s="8" t="s">
        <v>215</v>
      </c>
      <c r="I4291" s="3">
        <v>2</v>
      </c>
      <c r="J4291" s="8" t="s">
        <v>161</v>
      </c>
      <c r="K4291" s="8" t="s">
        <v>162</v>
      </c>
      <c r="L4291" s="8" t="s">
        <v>556</v>
      </c>
      <c r="M4291" s="1" t="s">
        <v>207</v>
      </c>
      <c r="N4291" s="8" t="s">
        <v>208</v>
      </c>
      <c r="O4291" s="6">
        <v>0</v>
      </c>
      <c r="P4291" s="6">
        <v>0</v>
      </c>
      <c r="Q4291" s="6">
        <v>0</v>
      </c>
      <c r="R4291" s="6">
        <v>0</v>
      </c>
      <c r="S4291" s="6">
        <v>120</v>
      </c>
    </row>
    <row r="4292" spans="1:19" ht="15" hidden="1" x14ac:dyDescent="0.25">
      <c r="A4292" s="7" t="s">
        <v>16</v>
      </c>
      <c r="B4292" s="7" t="s">
        <v>372</v>
      </c>
      <c r="C4292" s="7" t="s">
        <v>373</v>
      </c>
      <c r="D4292" s="4">
        <v>60214517000962</v>
      </c>
      <c r="E4292" s="8" t="s">
        <v>729</v>
      </c>
      <c r="F4292" s="8" t="s">
        <v>650</v>
      </c>
      <c r="G4292" s="8" t="s">
        <v>19</v>
      </c>
      <c r="H4292" s="8" t="s">
        <v>215</v>
      </c>
      <c r="I4292" s="3">
        <v>2</v>
      </c>
      <c r="J4292" s="8" t="s">
        <v>183</v>
      </c>
      <c r="K4292" s="8" t="s">
        <v>184</v>
      </c>
      <c r="L4292" s="8" t="s">
        <v>557</v>
      </c>
      <c r="M4292" s="1" t="s">
        <v>207</v>
      </c>
      <c r="N4292" s="8" t="s">
        <v>208</v>
      </c>
      <c r="O4292" s="6">
        <v>0</v>
      </c>
      <c r="P4292" s="6">
        <v>0</v>
      </c>
      <c r="Q4292" s="6">
        <v>0</v>
      </c>
      <c r="R4292" s="6">
        <v>0</v>
      </c>
      <c r="S4292" s="6">
        <v>120</v>
      </c>
    </row>
    <row r="4293" spans="1:19" ht="15" hidden="1" x14ac:dyDescent="0.25">
      <c r="A4293" s="7" t="s">
        <v>16</v>
      </c>
      <c r="B4293" s="7" t="s">
        <v>372</v>
      </c>
      <c r="C4293" s="7" t="s">
        <v>373</v>
      </c>
      <c r="D4293" s="4">
        <v>60961968000106</v>
      </c>
      <c r="E4293" s="8" t="s">
        <v>621</v>
      </c>
      <c r="F4293" s="8" t="s">
        <v>29</v>
      </c>
      <c r="G4293" s="8" t="s">
        <v>19</v>
      </c>
      <c r="H4293" s="8" t="s">
        <v>215</v>
      </c>
      <c r="I4293" s="3">
        <v>2</v>
      </c>
      <c r="J4293" s="8" t="s">
        <v>1355</v>
      </c>
      <c r="K4293" s="8" t="s">
        <v>1356</v>
      </c>
      <c r="L4293" s="8" t="s">
        <v>556</v>
      </c>
      <c r="M4293" s="1" t="s">
        <v>207</v>
      </c>
      <c r="N4293" s="8" t="s">
        <v>208</v>
      </c>
      <c r="O4293" s="6">
        <v>0</v>
      </c>
      <c r="P4293" s="6">
        <v>0</v>
      </c>
      <c r="Q4293" s="6">
        <v>0</v>
      </c>
      <c r="R4293" s="6">
        <v>0</v>
      </c>
      <c r="S4293" s="6">
        <v>350</v>
      </c>
    </row>
    <row r="4294" spans="1:19" ht="15" hidden="1" x14ac:dyDescent="0.25">
      <c r="A4294" s="7" t="s">
        <v>16</v>
      </c>
      <c r="B4294" s="7" t="s">
        <v>372</v>
      </c>
      <c r="C4294" s="7" t="s">
        <v>373</v>
      </c>
      <c r="D4294" s="4">
        <v>60961968000106</v>
      </c>
      <c r="E4294" s="8" t="s">
        <v>621</v>
      </c>
      <c r="F4294" s="8" t="s">
        <v>29</v>
      </c>
      <c r="G4294" s="8" t="s">
        <v>19</v>
      </c>
      <c r="H4294" s="8" t="s">
        <v>215</v>
      </c>
      <c r="I4294" s="3">
        <v>2</v>
      </c>
      <c r="J4294" s="8" t="s">
        <v>177</v>
      </c>
      <c r="K4294" s="8" t="s">
        <v>178</v>
      </c>
      <c r="L4294" s="8" t="s">
        <v>557</v>
      </c>
      <c r="M4294" s="1" t="s">
        <v>207</v>
      </c>
      <c r="N4294" s="8" t="s">
        <v>208</v>
      </c>
      <c r="O4294" s="6">
        <v>0</v>
      </c>
      <c r="P4294" s="6">
        <v>0</v>
      </c>
      <c r="Q4294" s="6">
        <v>0</v>
      </c>
      <c r="R4294" s="6">
        <v>0</v>
      </c>
      <c r="S4294" s="6">
        <v>350</v>
      </c>
    </row>
    <row r="4295" spans="1:19" ht="15" hidden="1" x14ac:dyDescent="0.25">
      <c r="A4295" s="7" t="s">
        <v>16</v>
      </c>
      <c r="B4295" s="7" t="s">
        <v>372</v>
      </c>
      <c r="C4295" s="7" t="s">
        <v>373</v>
      </c>
      <c r="D4295" s="4">
        <v>51722957000506</v>
      </c>
      <c r="E4295" s="8" t="s">
        <v>602</v>
      </c>
      <c r="F4295" s="8" t="s">
        <v>29</v>
      </c>
      <c r="G4295" s="8" t="s">
        <v>19</v>
      </c>
      <c r="H4295" s="8" t="s">
        <v>215</v>
      </c>
      <c r="I4295" s="3">
        <v>2</v>
      </c>
      <c r="J4295" s="8" t="s">
        <v>161</v>
      </c>
      <c r="K4295" s="8" t="s">
        <v>162</v>
      </c>
      <c r="L4295" s="8" t="s">
        <v>556</v>
      </c>
      <c r="M4295" s="1" t="s">
        <v>207</v>
      </c>
      <c r="N4295" s="8" t="s">
        <v>208</v>
      </c>
      <c r="O4295" s="6">
        <v>0</v>
      </c>
      <c r="P4295" s="6">
        <v>0</v>
      </c>
      <c r="Q4295" s="6">
        <v>0</v>
      </c>
      <c r="R4295" s="6">
        <v>0</v>
      </c>
      <c r="S4295" s="6">
        <v>300</v>
      </c>
    </row>
    <row r="4296" spans="1:19" ht="15" hidden="1" x14ac:dyDescent="0.25">
      <c r="A4296" s="7" t="s">
        <v>16</v>
      </c>
      <c r="B4296" s="7" t="s">
        <v>372</v>
      </c>
      <c r="C4296" s="7" t="s">
        <v>373</v>
      </c>
      <c r="D4296" s="4">
        <v>51722957000506</v>
      </c>
      <c r="E4296" s="8" t="s">
        <v>602</v>
      </c>
      <c r="F4296" s="8" t="s">
        <v>29</v>
      </c>
      <c r="G4296" s="8" t="s">
        <v>19</v>
      </c>
      <c r="H4296" s="8" t="s">
        <v>215</v>
      </c>
      <c r="I4296" s="3">
        <v>2</v>
      </c>
      <c r="J4296" s="8" t="s">
        <v>183</v>
      </c>
      <c r="K4296" s="8" t="s">
        <v>184</v>
      </c>
      <c r="L4296" s="8" t="s">
        <v>557</v>
      </c>
      <c r="M4296" s="1" t="s">
        <v>207</v>
      </c>
      <c r="N4296" s="8" t="s">
        <v>208</v>
      </c>
      <c r="O4296" s="6">
        <v>0</v>
      </c>
      <c r="P4296" s="6">
        <v>4</v>
      </c>
      <c r="Q4296" s="6">
        <v>0</v>
      </c>
      <c r="R4296" s="6">
        <v>0</v>
      </c>
      <c r="S4296" s="6">
        <v>300</v>
      </c>
    </row>
    <row r="4297" spans="1:19" ht="15" hidden="1" x14ac:dyDescent="0.25">
      <c r="A4297" s="7" t="s">
        <v>16</v>
      </c>
      <c r="B4297" s="7" t="s">
        <v>372</v>
      </c>
      <c r="C4297" s="7" t="s">
        <v>373</v>
      </c>
      <c r="D4297" s="4">
        <v>51722957010226</v>
      </c>
      <c r="E4297" s="8" t="s">
        <v>603</v>
      </c>
      <c r="F4297" s="8" t="s">
        <v>29</v>
      </c>
      <c r="G4297" s="8" t="s">
        <v>19</v>
      </c>
      <c r="H4297" s="8" t="s">
        <v>215</v>
      </c>
      <c r="I4297" s="3">
        <v>2</v>
      </c>
      <c r="J4297" s="8" t="s">
        <v>161</v>
      </c>
      <c r="K4297" s="8" t="s">
        <v>162</v>
      </c>
      <c r="L4297" s="8" t="s">
        <v>556</v>
      </c>
      <c r="M4297" s="1" t="s">
        <v>207</v>
      </c>
      <c r="N4297" s="8" t="s">
        <v>208</v>
      </c>
      <c r="O4297" s="6">
        <v>0</v>
      </c>
      <c r="P4297" s="6">
        <v>0</v>
      </c>
      <c r="Q4297" s="6">
        <v>0</v>
      </c>
      <c r="R4297" s="6">
        <v>100</v>
      </c>
      <c r="S4297" s="6">
        <v>0</v>
      </c>
    </row>
    <row r="4298" spans="1:19" ht="15" hidden="1" x14ac:dyDescent="0.25">
      <c r="A4298" s="7" t="s">
        <v>16</v>
      </c>
      <c r="B4298" s="7" t="s">
        <v>372</v>
      </c>
      <c r="C4298" s="7" t="s">
        <v>373</v>
      </c>
      <c r="D4298" s="4">
        <v>51722957010226</v>
      </c>
      <c r="E4298" s="8" t="s">
        <v>603</v>
      </c>
      <c r="F4298" s="8" t="s">
        <v>29</v>
      </c>
      <c r="G4298" s="8" t="s">
        <v>19</v>
      </c>
      <c r="H4298" s="8" t="s">
        <v>215</v>
      </c>
      <c r="I4298" s="3">
        <v>2</v>
      </c>
      <c r="J4298" s="8" t="s">
        <v>183</v>
      </c>
      <c r="K4298" s="8" t="s">
        <v>184</v>
      </c>
      <c r="L4298" s="8" t="s">
        <v>557</v>
      </c>
      <c r="M4298" s="1" t="s">
        <v>207</v>
      </c>
      <c r="N4298" s="8" t="s">
        <v>208</v>
      </c>
      <c r="O4298" s="6">
        <v>0</v>
      </c>
      <c r="P4298" s="6">
        <v>0</v>
      </c>
      <c r="Q4298" s="6">
        <v>0</v>
      </c>
      <c r="R4298" s="6">
        <v>0</v>
      </c>
      <c r="S4298" s="6">
        <v>0</v>
      </c>
    </row>
    <row r="4299" spans="1:19" ht="15" hidden="1" x14ac:dyDescent="0.25">
      <c r="A4299" s="7" t="s">
        <v>16</v>
      </c>
      <c r="B4299" s="7" t="s">
        <v>372</v>
      </c>
      <c r="C4299" s="7" t="s">
        <v>373</v>
      </c>
      <c r="D4299" s="4">
        <v>60992427000650</v>
      </c>
      <c r="E4299" s="8" t="s">
        <v>627</v>
      </c>
      <c r="F4299" s="8" t="s">
        <v>29</v>
      </c>
      <c r="G4299" s="8" t="s">
        <v>19</v>
      </c>
      <c r="H4299" s="8" t="s">
        <v>215</v>
      </c>
      <c r="I4299" s="3">
        <v>2</v>
      </c>
      <c r="J4299" s="8" t="s">
        <v>1355</v>
      </c>
      <c r="K4299" s="8" t="s">
        <v>1356</v>
      </c>
      <c r="L4299" s="8" t="s">
        <v>556</v>
      </c>
      <c r="M4299" s="1" t="s">
        <v>207</v>
      </c>
      <c r="N4299" s="8" t="s">
        <v>208</v>
      </c>
      <c r="O4299" s="6">
        <v>0</v>
      </c>
      <c r="P4299" s="6">
        <v>0</v>
      </c>
      <c r="Q4299" s="6">
        <v>0</v>
      </c>
      <c r="R4299" s="6">
        <v>0</v>
      </c>
      <c r="S4299" s="6">
        <v>0</v>
      </c>
    </row>
    <row r="4300" spans="1:19" ht="15" hidden="1" x14ac:dyDescent="0.25">
      <c r="A4300" s="7" t="s">
        <v>16</v>
      </c>
      <c r="B4300" s="7" t="s">
        <v>372</v>
      </c>
      <c r="C4300" s="7" t="s">
        <v>373</v>
      </c>
      <c r="D4300" s="4">
        <v>60992427000650</v>
      </c>
      <c r="E4300" s="8" t="s">
        <v>627</v>
      </c>
      <c r="F4300" s="8" t="s">
        <v>29</v>
      </c>
      <c r="G4300" s="8" t="s">
        <v>19</v>
      </c>
      <c r="H4300" s="8" t="s">
        <v>215</v>
      </c>
      <c r="I4300" s="3">
        <v>2</v>
      </c>
      <c r="J4300" s="8" t="s">
        <v>147</v>
      </c>
      <c r="K4300" s="8" t="s">
        <v>148</v>
      </c>
      <c r="L4300" s="8" t="s">
        <v>557</v>
      </c>
      <c r="M4300" s="1" t="s">
        <v>207</v>
      </c>
      <c r="N4300" s="8" t="s">
        <v>208</v>
      </c>
      <c r="O4300" s="6">
        <v>0</v>
      </c>
      <c r="P4300" s="6">
        <v>5</v>
      </c>
      <c r="Q4300" s="6">
        <v>0</v>
      </c>
      <c r="R4300" s="6">
        <v>0</v>
      </c>
      <c r="S4300" s="6">
        <v>0</v>
      </c>
    </row>
    <row r="4301" spans="1:19" ht="15" hidden="1" x14ac:dyDescent="0.25">
      <c r="A4301" s="7" t="s">
        <v>16</v>
      </c>
      <c r="B4301" s="7" t="s">
        <v>372</v>
      </c>
      <c r="C4301" s="7" t="s">
        <v>373</v>
      </c>
      <c r="D4301" s="4">
        <v>2383508000494</v>
      </c>
      <c r="E4301" s="8" t="s">
        <v>562</v>
      </c>
      <c r="F4301" s="8" t="s">
        <v>29</v>
      </c>
      <c r="G4301" s="8" t="s">
        <v>19</v>
      </c>
      <c r="H4301" s="8" t="s">
        <v>215</v>
      </c>
      <c r="I4301" s="3">
        <v>2</v>
      </c>
      <c r="J4301" s="8" t="s">
        <v>161</v>
      </c>
      <c r="K4301" s="8" t="s">
        <v>162</v>
      </c>
      <c r="L4301" s="8" t="s">
        <v>556</v>
      </c>
      <c r="M4301" s="1" t="s">
        <v>207</v>
      </c>
      <c r="N4301" s="8" t="s">
        <v>208</v>
      </c>
      <c r="O4301" s="6">
        <v>0</v>
      </c>
      <c r="P4301" s="6">
        <v>0</v>
      </c>
      <c r="Q4301" s="6">
        <v>0</v>
      </c>
      <c r="R4301" s="6">
        <v>12</v>
      </c>
      <c r="S4301" s="6">
        <v>0</v>
      </c>
    </row>
    <row r="4302" spans="1:19" ht="15" hidden="1" x14ac:dyDescent="0.25">
      <c r="A4302" s="7" t="s">
        <v>16</v>
      </c>
      <c r="B4302" s="7" t="s">
        <v>372</v>
      </c>
      <c r="C4302" s="7" t="s">
        <v>373</v>
      </c>
      <c r="D4302" s="4">
        <v>2383508000494</v>
      </c>
      <c r="E4302" s="8" t="s">
        <v>562</v>
      </c>
      <c r="F4302" s="8" t="s">
        <v>29</v>
      </c>
      <c r="G4302" s="8" t="s">
        <v>19</v>
      </c>
      <c r="H4302" s="8" t="s">
        <v>215</v>
      </c>
      <c r="I4302" s="3">
        <v>2</v>
      </c>
      <c r="J4302" s="8" t="s">
        <v>147</v>
      </c>
      <c r="K4302" s="8" t="s">
        <v>148</v>
      </c>
      <c r="L4302" s="8" t="s">
        <v>557</v>
      </c>
      <c r="M4302" s="1" t="s">
        <v>207</v>
      </c>
      <c r="N4302" s="8" t="s">
        <v>208</v>
      </c>
      <c r="O4302" s="6">
        <v>0</v>
      </c>
      <c r="P4302" s="6">
        <v>0</v>
      </c>
      <c r="Q4302" s="6">
        <v>0</v>
      </c>
      <c r="R4302" s="6">
        <v>0</v>
      </c>
      <c r="S4302" s="6">
        <v>0</v>
      </c>
    </row>
    <row r="4303" spans="1:19" ht="15" hidden="1" x14ac:dyDescent="0.25">
      <c r="A4303" s="7" t="s">
        <v>16</v>
      </c>
      <c r="B4303" s="7" t="s">
        <v>372</v>
      </c>
      <c r="C4303" s="7" t="s">
        <v>373</v>
      </c>
      <c r="D4303" s="4">
        <v>45876208000107</v>
      </c>
      <c r="E4303" s="8" t="s">
        <v>1361</v>
      </c>
      <c r="F4303" s="8" t="s">
        <v>29</v>
      </c>
      <c r="G4303" s="8" t="s">
        <v>19</v>
      </c>
      <c r="H4303" s="8" t="s">
        <v>215</v>
      </c>
      <c r="I4303" s="3">
        <v>2</v>
      </c>
      <c r="J4303" s="8" t="s">
        <v>161</v>
      </c>
      <c r="K4303" s="8" t="s">
        <v>162</v>
      </c>
      <c r="L4303" s="8" t="s">
        <v>556</v>
      </c>
      <c r="M4303" s="1" t="s">
        <v>207</v>
      </c>
      <c r="N4303" s="8" t="s">
        <v>208</v>
      </c>
      <c r="O4303" s="6">
        <v>0</v>
      </c>
      <c r="P4303" s="6">
        <v>0</v>
      </c>
      <c r="Q4303" s="6">
        <v>0</v>
      </c>
      <c r="R4303" s="6">
        <v>0</v>
      </c>
      <c r="S4303" s="6">
        <v>30</v>
      </c>
    </row>
    <row r="4304" spans="1:19" ht="15" hidden="1" x14ac:dyDescent="0.25">
      <c r="A4304" s="7" t="s">
        <v>16</v>
      </c>
      <c r="B4304" s="7" t="s">
        <v>372</v>
      </c>
      <c r="C4304" s="7" t="s">
        <v>373</v>
      </c>
      <c r="D4304" s="4">
        <v>45876208000107</v>
      </c>
      <c r="E4304" s="8" t="s">
        <v>1361</v>
      </c>
      <c r="F4304" s="8" t="s">
        <v>29</v>
      </c>
      <c r="G4304" s="8" t="s">
        <v>19</v>
      </c>
      <c r="H4304" s="8" t="s">
        <v>215</v>
      </c>
      <c r="I4304" s="3">
        <v>2</v>
      </c>
      <c r="J4304" s="8" t="s">
        <v>147</v>
      </c>
      <c r="K4304" s="8" t="s">
        <v>148</v>
      </c>
      <c r="L4304" s="8" t="s">
        <v>557</v>
      </c>
      <c r="M4304" s="1" t="s">
        <v>207</v>
      </c>
      <c r="N4304" s="8" t="s">
        <v>208</v>
      </c>
      <c r="O4304" s="6">
        <v>0</v>
      </c>
      <c r="P4304" s="6">
        <v>0</v>
      </c>
      <c r="Q4304" s="6">
        <v>0</v>
      </c>
      <c r="R4304" s="6">
        <v>0</v>
      </c>
      <c r="S4304" s="6">
        <v>30</v>
      </c>
    </row>
    <row r="4305" spans="1:19" ht="15" hidden="1" x14ac:dyDescent="0.25">
      <c r="A4305" s="7" t="s">
        <v>16</v>
      </c>
      <c r="B4305" s="7" t="s">
        <v>372</v>
      </c>
      <c r="C4305" s="7" t="s">
        <v>373</v>
      </c>
      <c r="D4305" s="4">
        <v>8871521000126</v>
      </c>
      <c r="E4305" s="8" t="s">
        <v>577</v>
      </c>
      <c r="F4305" s="8" t="s">
        <v>29</v>
      </c>
      <c r="G4305" s="8" t="s">
        <v>19</v>
      </c>
      <c r="H4305" s="8" t="s">
        <v>215</v>
      </c>
      <c r="I4305" s="3">
        <v>2</v>
      </c>
      <c r="J4305" s="8" t="s">
        <v>1355</v>
      </c>
      <c r="K4305" s="8" t="s">
        <v>1356</v>
      </c>
      <c r="L4305" s="8" t="s">
        <v>556</v>
      </c>
      <c r="M4305" s="1" t="s">
        <v>207</v>
      </c>
      <c r="N4305" s="8" t="s">
        <v>208</v>
      </c>
      <c r="O4305" s="6">
        <v>0</v>
      </c>
      <c r="P4305" s="6">
        <v>0</v>
      </c>
      <c r="Q4305" s="6">
        <v>0</v>
      </c>
      <c r="R4305" s="6">
        <v>0</v>
      </c>
      <c r="S4305" s="6">
        <v>110</v>
      </c>
    </row>
    <row r="4306" spans="1:19" ht="15" hidden="1" x14ac:dyDescent="0.25">
      <c r="A4306" s="7" t="s">
        <v>16</v>
      </c>
      <c r="B4306" s="7" t="s">
        <v>372</v>
      </c>
      <c r="C4306" s="7" t="s">
        <v>373</v>
      </c>
      <c r="D4306" s="4">
        <v>8871521000126</v>
      </c>
      <c r="E4306" s="8" t="s">
        <v>577</v>
      </c>
      <c r="F4306" s="8" t="s">
        <v>29</v>
      </c>
      <c r="G4306" s="8" t="s">
        <v>19</v>
      </c>
      <c r="H4306" s="8" t="s">
        <v>215</v>
      </c>
      <c r="I4306" s="3">
        <v>2</v>
      </c>
      <c r="J4306" s="8" t="s">
        <v>177</v>
      </c>
      <c r="K4306" s="8" t="s">
        <v>178</v>
      </c>
      <c r="L4306" s="8" t="s">
        <v>557</v>
      </c>
      <c r="M4306" s="1" t="s">
        <v>207</v>
      </c>
      <c r="N4306" s="8" t="s">
        <v>208</v>
      </c>
      <c r="O4306" s="6">
        <v>0</v>
      </c>
      <c r="P4306" s="6">
        <v>0</v>
      </c>
      <c r="Q4306" s="6">
        <v>0</v>
      </c>
      <c r="R4306" s="6">
        <v>0</v>
      </c>
      <c r="S4306" s="6">
        <v>110</v>
      </c>
    </row>
    <row r="4307" spans="1:19" ht="15" hidden="1" x14ac:dyDescent="0.25">
      <c r="A4307" s="7" t="s">
        <v>16</v>
      </c>
      <c r="B4307" s="7" t="s">
        <v>372</v>
      </c>
      <c r="C4307" s="7" t="s">
        <v>373</v>
      </c>
      <c r="D4307" s="4">
        <v>60975976000101</v>
      </c>
      <c r="E4307" s="8" t="s">
        <v>1497</v>
      </c>
      <c r="F4307" s="8" t="s">
        <v>29</v>
      </c>
      <c r="G4307" s="8" t="s">
        <v>19</v>
      </c>
      <c r="H4307" s="8" t="s">
        <v>1334</v>
      </c>
      <c r="I4307" s="3">
        <v>0</v>
      </c>
      <c r="J4307" s="8"/>
      <c r="K4307" s="8"/>
      <c r="L4307" s="8"/>
      <c r="M4307" s="1"/>
      <c r="N4307" s="8"/>
      <c r="O4307" s="6">
        <v>0</v>
      </c>
      <c r="P4307" s="6">
        <v>0</v>
      </c>
      <c r="Q4307" s="6">
        <v>0</v>
      </c>
      <c r="R4307" s="6">
        <v>0</v>
      </c>
      <c r="S4307" s="6">
        <v>0</v>
      </c>
    </row>
    <row r="4308" spans="1:19" ht="15" hidden="1" x14ac:dyDescent="0.25">
      <c r="A4308" s="7" t="s">
        <v>16</v>
      </c>
      <c r="B4308" s="7" t="s">
        <v>372</v>
      </c>
      <c r="C4308" s="7" t="s">
        <v>373</v>
      </c>
      <c r="D4308" s="4">
        <v>43775956000178</v>
      </c>
      <c r="E4308" s="8" t="s">
        <v>597</v>
      </c>
      <c r="F4308" s="8" t="s">
        <v>29</v>
      </c>
      <c r="G4308" s="8" t="s">
        <v>19</v>
      </c>
      <c r="H4308" s="8" t="s">
        <v>215</v>
      </c>
      <c r="I4308" s="3">
        <v>2</v>
      </c>
      <c r="J4308" s="8" t="s">
        <v>1355</v>
      </c>
      <c r="K4308" s="8" t="s">
        <v>1356</v>
      </c>
      <c r="L4308" s="8" t="s">
        <v>556</v>
      </c>
      <c r="M4308" s="1" t="s">
        <v>207</v>
      </c>
      <c r="N4308" s="8" t="s">
        <v>208</v>
      </c>
      <c r="O4308" s="6">
        <v>0</v>
      </c>
      <c r="P4308" s="6">
        <v>0</v>
      </c>
      <c r="Q4308" s="6">
        <v>0</v>
      </c>
      <c r="R4308" s="6">
        <v>0</v>
      </c>
      <c r="S4308" s="6">
        <v>100</v>
      </c>
    </row>
    <row r="4309" spans="1:19" ht="15" hidden="1" x14ac:dyDescent="0.25">
      <c r="A4309" s="7" t="s">
        <v>16</v>
      </c>
      <c r="B4309" s="7" t="s">
        <v>372</v>
      </c>
      <c r="C4309" s="7" t="s">
        <v>373</v>
      </c>
      <c r="D4309" s="4">
        <v>43775956000178</v>
      </c>
      <c r="E4309" s="8" t="s">
        <v>597</v>
      </c>
      <c r="F4309" s="8" t="s">
        <v>29</v>
      </c>
      <c r="G4309" s="8" t="s">
        <v>19</v>
      </c>
      <c r="H4309" s="8" t="s">
        <v>215</v>
      </c>
      <c r="I4309" s="3">
        <v>2</v>
      </c>
      <c r="J4309" s="8" t="s">
        <v>177</v>
      </c>
      <c r="K4309" s="8" t="s">
        <v>178</v>
      </c>
      <c r="L4309" s="8" t="s">
        <v>557</v>
      </c>
      <c r="M4309" s="1" t="s">
        <v>207</v>
      </c>
      <c r="N4309" s="8" t="s">
        <v>208</v>
      </c>
      <c r="O4309" s="6">
        <v>0</v>
      </c>
      <c r="P4309" s="6">
        <v>0</v>
      </c>
      <c r="Q4309" s="6">
        <v>0</v>
      </c>
      <c r="R4309" s="6">
        <v>0</v>
      </c>
      <c r="S4309" s="6">
        <v>100</v>
      </c>
    </row>
    <row r="4310" spans="1:19" ht="15" hidden="1" x14ac:dyDescent="0.25">
      <c r="A4310" s="7" t="s">
        <v>16</v>
      </c>
      <c r="B4310" s="7" t="s">
        <v>372</v>
      </c>
      <c r="C4310" s="7" t="s">
        <v>373</v>
      </c>
      <c r="D4310" s="4">
        <v>46374500008845</v>
      </c>
      <c r="E4310" s="8" t="s">
        <v>599</v>
      </c>
      <c r="F4310" s="8" t="s">
        <v>29</v>
      </c>
      <c r="G4310" s="8" t="s">
        <v>19</v>
      </c>
      <c r="H4310" s="8" t="s">
        <v>215</v>
      </c>
      <c r="I4310" s="3">
        <v>2</v>
      </c>
      <c r="J4310" s="8" t="s">
        <v>161</v>
      </c>
      <c r="K4310" s="8" t="s">
        <v>162</v>
      </c>
      <c r="L4310" s="8" t="s">
        <v>556</v>
      </c>
      <c r="M4310" s="1" t="s">
        <v>207</v>
      </c>
      <c r="N4310" s="8" t="s">
        <v>208</v>
      </c>
      <c r="O4310" s="6">
        <v>0</v>
      </c>
      <c r="P4310" s="6">
        <v>0</v>
      </c>
      <c r="Q4310" s="6">
        <v>0</v>
      </c>
      <c r="R4310" s="6">
        <v>0</v>
      </c>
      <c r="S4310" s="6">
        <v>320</v>
      </c>
    </row>
    <row r="4311" spans="1:19" ht="15" hidden="1" x14ac:dyDescent="0.25">
      <c r="A4311" s="7" t="s">
        <v>16</v>
      </c>
      <c r="B4311" s="7" t="s">
        <v>372</v>
      </c>
      <c r="C4311" s="7" t="s">
        <v>373</v>
      </c>
      <c r="D4311" s="4">
        <v>46374500008845</v>
      </c>
      <c r="E4311" s="8" t="s">
        <v>599</v>
      </c>
      <c r="F4311" s="8" t="s">
        <v>29</v>
      </c>
      <c r="G4311" s="8" t="s">
        <v>19</v>
      </c>
      <c r="H4311" s="8" t="s">
        <v>215</v>
      </c>
      <c r="I4311" s="3">
        <v>2</v>
      </c>
      <c r="J4311" s="8" t="s">
        <v>177</v>
      </c>
      <c r="K4311" s="8" t="s">
        <v>178</v>
      </c>
      <c r="L4311" s="8" t="s">
        <v>557</v>
      </c>
      <c r="M4311" s="1" t="s">
        <v>207</v>
      </c>
      <c r="N4311" s="8" t="s">
        <v>208</v>
      </c>
      <c r="O4311" s="6">
        <v>0</v>
      </c>
      <c r="P4311" s="6">
        <v>0</v>
      </c>
      <c r="Q4311" s="6">
        <v>0</v>
      </c>
      <c r="R4311" s="6">
        <v>0</v>
      </c>
      <c r="S4311" s="6">
        <v>320</v>
      </c>
    </row>
    <row r="4312" spans="1:19" ht="15" hidden="1" x14ac:dyDescent="0.25">
      <c r="A4312" s="7" t="s">
        <v>16</v>
      </c>
      <c r="B4312" s="7" t="s">
        <v>372</v>
      </c>
      <c r="C4312" s="7" t="s">
        <v>373</v>
      </c>
      <c r="D4312" s="4">
        <v>46374500026231</v>
      </c>
      <c r="E4312" s="8" t="s">
        <v>601</v>
      </c>
      <c r="F4312" s="8" t="s">
        <v>29</v>
      </c>
      <c r="G4312" s="8" t="s">
        <v>19</v>
      </c>
      <c r="H4312" s="8" t="s">
        <v>215</v>
      </c>
      <c r="I4312" s="3">
        <v>2</v>
      </c>
      <c r="J4312" s="8" t="s">
        <v>1355</v>
      </c>
      <c r="K4312" s="8" t="s">
        <v>1356</v>
      </c>
      <c r="L4312" s="8" t="s">
        <v>556</v>
      </c>
      <c r="M4312" s="1" t="s">
        <v>207</v>
      </c>
      <c r="N4312" s="8" t="s">
        <v>208</v>
      </c>
      <c r="O4312" s="6">
        <v>0</v>
      </c>
      <c r="P4312" s="6">
        <v>0</v>
      </c>
      <c r="Q4312" s="6">
        <v>0</v>
      </c>
      <c r="R4312" s="6">
        <v>0</v>
      </c>
      <c r="S4312" s="6">
        <v>180</v>
      </c>
    </row>
    <row r="4313" spans="1:19" ht="15" hidden="1" x14ac:dyDescent="0.25">
      <c r="A4313" s="7" t="s">
        <v>16</v>
      </c>
      <c r="B4313" s="7" t="s">
        <v>372</v>
      </c>
      <c r="C4313" s="7" t="s">
        <v>373</v>
      </c>
      <c r="D4313" s="4">
        <v>46374500026231</v>
      </c>
      <c r="E4313" s="8" t="s">
        <v>601</v>
      </c>
      <c r="F4313" s="8" t="s">
        <v>29</v>
      </c>
      <c r="G4313" s="8" t="s">
        <v>19</v>
      </c>
      <c r="H4313" s="8" t="s">
        <v>215</v>
      </c>
      <c r="I4313" s="3">
        <v>2</v>
      </c>
      <c r="J4313" s="8" t="s">
        <v>177</v>
      </c>
      <c r="K4313" s="8" t="s">
        <v>178</v>
      </c>
      <c r="L4313" s="8" t="s">
        <v>557</v>
      </c>
      <c r="M4313" s="1" t="s">
        <v>207</v>
      </c>
      <c r="N4313" s="8" t="s">
        <v>208</v>
      </c>
      <c r="O4313" s="6">
        <v>0</v>
      </c>
      <c r="P4313" s="6">
        <v>0</v>
      </c>
      <c r="Q4313" s="6">
        <v>0</v>
      </c>
      <c r="R4313" s="6">
        <v>0</v>
      </c>
      <c r="S4313" s="6">
        <v>180</v>
      </c>
    </row>
    <row r="4314" spans="1:19" ht="15" hidden="1" x14ac:dyDescent="0.25">
      <c r="A4314" s="7" t="s">
        <v>16</v>
      </c>
      <c r="B4314" s="7" t="s">
        <v>372</v>
      </c>
      <c r="C4314" s="7" t="s">
        <v>373</v>
      </c>
      <c r="D4314" s="4">
        <v>10468341000220</v>
      </c>
      <c r="E4314" s="8" t="s">
        <v>582</v>
      </c>
      <c r="F4314" s="8" t="s">
        <v>29</v>
      </c>
      <c r="G4314" s="8" t="s">
        <v>19</v>
      </c>
      <c r="H4314" s="8" t="s">
        <v>215</v>
      </c>
      <c r="I4314" s="3">
        <v>2</v>
      </c>
      <c r="J4314" s="8" t="s">
        <v>161</v>
      </c>
      <c r="K4314" s="8" t="s">
        <v>162</v>
      </c>
      <c r="L4314" s="8" t="s">
        <v>556</v>
      </c>
      <c r="M4314" s="1" t="s">
        <v>207</v>
      </c>
      <c r="N4314" s="8" t="s">
        <v>208</v>
      </c>
      <c r="O4314" s="6">
        <v>0</v>
      </c>
      <c r="P4314" s="6">
        <v>0</v>
      </c>
      <c r="Q4314" s="6">
        <v>0</v>
      </c>
      <c r="R4314" s="6">
        <v>0</v>
      </c>
      <c r="S4314" s="6">
        <v>130</v>
      </c>
    </row>
    <row r="4315" spans="1:19" ht="15" hidden="1" x14ac:dyDescent="0.25">
      <c r="A4315" s="7" t="s">
        <v>16</v>
      </c>
      <c r="B4315" s="7" t="s">
        <v>372</v>
      </c>
      <c r="C4315" s="7" t="s">
        <v>373</v>
      </c>
      <c r="D4315" s="4">
        <v>10468341000220</v>
      </c>
      <c r="E4315" s="8" t="s">
        <v>582</v>
      </c>
      <c r="F4315" s="8" t="s">
        <v>29</v>
      </c>
      <c r="G4315" s="8" t="s">
        <v>19</v>
      </c>
      <c r="H4315" s="8" t="s">
        <v>215</v>
      </c>
      <c r="I4315" s="3">
        <v>2</v>
      </c>
      <c r="J4315" s="8" t="s">
        <v>183</v>
      </c>
      <c r="K4315" s="8" t="s">
        <v>184</v>
      </c>
      <c r="L4315" s="8" t="s">
        <v>557</v>
      </c>
      <c r="M4315" s="1" t="s">
        <v>207</v>
      </c>
      <c r="N4315" s="8" t="s">
        <v>208</v>
      </c>
      <c r="O4315" s="6">
        <v>0</v>
      </c>
      <c r="P4315" s="6">
        <v>0</v>
      </c>
      <c r="Q4315" s="6">
        <v>0</v>
      </c>
      <c r="R4315" s="6">
        <v>0</v>
      </c>
      <c r="S4315" s="6">
        <v>130</v>
      </c>
    </row>
    <row r="4316" spans="1:19" ht="15" hidden="1" x14ac:dyDescent="0.25">
      <c r="A4316" s="7" t="s">
        <v>16</v>
      </c>
      <c r="B4316" s="7" t="s">
        <v>372</v>
      </c>
      <c r="C4316" s="7" t="s">
        <v>373</v>
      </c>
      <c r="D4316" s="4">
        <v>10468341000140</v>
      </c>
      <c r="E4316" s="8" t="s">
        <v>581</v>
      </c>
      <c r="F4316" s="8" t="s">
        <v>29</v>
      </c>
      <c r="G4316" s="8" t="s">
        <v>19</v>
      </c>
      <c r="H4316" s="8" t="s">
        <v>215</v>
      </c>
      <c r="I4316" s="3">
        <v>2</v>
      </c>
      <c r="J4316" s="8" t="s">
        <v>161</v>
      </c>
      <c r="K4316" s="8" t="s">
        <v>162</v>
      </c>
      <c r="L4316" s="8" t="s">
        <v>556</v>
      </c>
      <c r="M4316" s="1" t="s">
        <v>207</v>
      </c>
      <c r="N4316" s="8" t="s">
        <v>208</v>
      </c>
      <c r="O4316" s="6">
        <v>0</v>
      </c>
      <c r="P4316" s="6">
        <v>0</v>
      </c>
      <c r="Q4316" s="6">
        <v>0</v>
      </c>
      <c r="R4316" s="6">
        <v>0</v>
      </c>
      <c r="S4316" s="6">
        <v>1635</v>
      </c>
    </row>
    <row r="4317" spans="1:19" ht="15" hidden="1" x14ac:dyDescent="0.25">
      <c r="A4317" s="7" t="s">
        <v>16</v>
      </c>
      <c r="B4317" s="7" t="s">
        <v>372</v>
      </c>
      <c r="C4317" s="7" t="s">
        <v>373</v>
      </c>
      <c r="D4317" s="4">
        <v>10468341000140</v>
      </c>
      <c r="E4317" s="8" t="s">
        <v>581</v>
      </c>
      <c r="F4317" s="8" t="s">
        <v>29</v>
      </c>
      <c r="G4317" s="8" t="s">
        <v>19</v>
      </c>
      <c r="H4317" s="8" t="s">
        <v>215</v>
      </c>
      <c r="I4317" s="3">
        <v>2</v>
      </c>
      <c r="J4317" s="8" t="s">
        <v>183</v>
      </c>
      <c r="K4317" s="8" t="s">
        <v>184</v>
      </c>
      <c r="L4317" s="8" t="s">
        <v>557</v>
      </c>
      <c r="M4317" s="1" t="s">
        <v>207</v>
      </c>
      <c r="N4317" s="8" t="s">
        <v>208</v>
      </c>
      <c r="O4317" s="6">
        <v>0</v>
      </c>
      <c r="P4317" s="6">
        <v>0</v>
      </c>
      <c r="Q4317" s="6">
        <v>0</v>
      </c>
      <c r="R4317" s="6">
        <v>0</v>
      </c>
      <c r="S4317" s="6">
        <v>1635</v>
      </c>
    </row>
    <row r="4318" spans="1:19" ht="15" hidden="1" x14ac:dyDescent="0.25">
      <c r="A4318" s="7" t="s">
        <v>16</v>
      </c>
      <c r="B4318" s="7" t="s">
        <v>372</v>
      </c>
      <c r="C4318" s="7" t="s">
        <v>373</v>
      </c>
      <c r="D4318" s="4">
        <v>29435005009932</v>
      </c>
      <c r="E4318" s="8" t="s">
        <v>595</v>
      </c>
      <c r="F4318" s="8" t="s">
        <v>29</v>
      </c>
      <c r="G4318" s="8" t="s">
        <v>19</v>
      </c>
      <c r="H4318" s="8" t="s">
        <v>215</v>
      </c>
      <c r="I4318" s="3">
        <v>2</v>
      </c>
      <c r="J4318" s="8" t="s">
        <v>1355</v>
      </c>
      <c r="K4318" s="8" t="s">
        <v>1356</v>
      </c>
      <c r="L4318" s="8" t="s">
        <v>556</v>
      </c>
      <c r="M4318" s="1" t="s">
        <v>207</v>
      </c>
      <c r="N4318" s="8" t="s">
        <v>208</v>
      </c>
      <c r="O4318" s="6">
        <v>0</v>
      </c>
      <c r="P4318" s="6">
        <v>0</v>
      </c>
      <c r="Q4318" s="6">
        <v>0</v>
      </c>
      <c r="R4318" s="6">
        <v>0</v>
      </c>
      <c r="S4318" s="6">
        <v>1300</v>
      </c>
    </row>
    <row r="4319" spans="1:19" ht="15" hidden="1" x14ac:dyDescent="0.25">
      <c r="A4319" s="7" t="s">
        <v>16</v>
      </c>
      <c r="B4319" s="7" t="s">
        <v>372</v>
      </c>
      <c r="C4319" s="7" t="s">
        <v>373</v>
      </c>
      <c r="D4319" s="4">
        <v>29435005009932</v>
      </c>
      <c r="E4319" s="8" t="s">
        <v>595</v>
      </c>
      <c r="F4319" s="8" t="s">
        <v>29</v>
      </c>
      <c r="G4319" s="8" t="s">
        <v>19</v>
      </c>
      <c r="H4319" s="8" t="s">
        <v>215</v>
      </c>
      <c r="I4319" s="3">
        <v>2</v>
      </c>
      <c r="J4319" s="8" t="s">
        <v>147</v>
      </c>
      <c r="K4319" s="8" t="s">
        <v>148</v>
      </c>
      <c r="L4319" s="8" t="s">
        <v>557</v>
      </c>
      <c r="M4319" s="1" t="s">
        <v>207</v>
      </c>
      <c r="N4319" s="8" t="s">
        <v>208</v>
      </c>
      <c r="O4319" s="6">
        <v>0</v>
      </c>
      <c r="P4319" s="6">
        <v>25</v>
      </c>
      <c r="Q4319" s="6">
        <v>7</v>
      </c>
      <c r="R4319" s="6">
        <v>0</v>
      </c>
      <c r="S4319" s="6">
        <v>1300</v>
      </c>
    </row>
    <row r="4320" spans="1:19" ht="15" hidden="1" x14ac:dyDescent="0.25">
      <c r="A4320" s="7" t="s">
        <v>16</v>
      </c>
      <c r="B4320" s="7" t="s">
        <v>372</v>
      </c>
      <c r="C4320" s="7" t="s">
        <v>373</v>
      </c>
      <c r="D4320" s="4">
        <v>28290788000307</v>
      </c>
      <c r="E4320" s="8" t="s">
        <v>592</v>
      </c>
      <c r="F4320" s="8" t="s">
        <v>29</v>
      </c>
      <c r="G4320" s="8" t="s">
        <v>19</v>
      </c>
      <c r="H4320" s="8" t="s">
        <v>215</v>
      </c>
      <c r="I4320" s="3">
        <v>2</v>
      </c>
      <c r="J4320" s="8" t="s">
        <v>1355</v>
      </c>
      <c r="K4320" s="8" t="s">
        <v>1356</v>
      </c>
      <c r="L4320" s="8" t="s">
        <v>556</v>
      </c>
      <c r="M4320" s="1" t="s">
        <v>207</v>
      </c>
      <c r="N4320" s="8" t="s">
        <v>208</v>
      </c>
      <c r="O4320" s="6">
        <v>0</v>
      </c>
      <c r="P4320" s="6">
        <v>0</v>
      </c>
      <c r="Q4320" s="6">
        <v>0</v>
      </c>
      <c r="R4320" s="6">
        <v>0</v>
      </c>
      <c r="S4320" s="6">
        <v>320</v>
      </c>
    </row>
    <row r="4321" spans="1:19" ht="15" hidden="1" x14ac:dyDescent="0.25">
      <c r="A4321" s="7" t="s">
        <v>16</v>
      </c>
      <c r="B4321" s="7" t="s">
        <v>372</v>
      </c>
      <c r="C4321" s="7" t="s">
        <v>373</v>
      </c>
      <c r="D4321" s="4">
        <v>28290788000307</v>
      </c>
      <c r="E4321" s="8" t="s">
        <v>592</v>
      </c>
      <c r="F4321" s="8" t="s">
        <v>29</v>
      </c>
      <c r="G4321" s="8" t="s">
        <v>19</v>
      </c>
      <c r="H4321" s="8" t="s">
        <v>215</v>
      </c>
      <c r="I4321" s="3">
        <v>2</v>
      </c>
      <c r="J4321" s="8" t="s">
        <v>147</v>
      </c>
      <c r="K4321" s="8" t="s">
        <v>148</v>
      </c>
      <c r="L4321" s="8" t="s">
        <v>557</v>
      </c>
      <c r="M4321" s="1" t="s">
        <v>207</v>
      </c>
      <c r="N4321" s="8" t="s">
        <v>208</v>
      </c>
      <c r="O4321" s="6">
        <v>0</v>
      </c>
      <c r="P4321" s="6">
        <v>0</v>
      </c>
      <c r="Q4321" s="6">
        <v>0</v>
      </c>
      <c r="R4321" s="6">
        <v>0</v>
      </c>
      <c r="S4321" s="6">
        <v>320</v>
      </c>
    </row>
    <row r="4322" spans="1:19" ht="15" hidden="1" x14ac:dyDescent="0.25">
      <c r="A4322" s="7" t="s">
        <v>16</v>
      </c>
      <c r="B4322" s="7" t="s">
        <v>372</v>
      </c>
      <c r="C4322" s="7" t="s">
        <v>373</v>
      </c>
      <c r="D4322" s="4">
        <v>60840055000131</v>
      </c>
      <c r="E4322" s="8" t="s">
        <v>1496</v>
      </c>
      <c r="F4322" s="8" t="s">
        <v>29</v>
      </c>
      <c r="G4322" s="8" t="s">
        <v>19</v>
      </c>
      <c r="H4322" s="8" t="s">
        <v>1334</v>
      </c>
      <c r="I4322" s="3">
        <v>0</v>
      </c>
      <c r="J4322" s="8"/>
      <c r="K4322" s="8"/>
      <c r="L4322" s="8"/>
      <c r="M4322" s="1"/>
      <c r="N4322" s="8"/>
      <c r="O4322" s="6">
        <v>0</v>
      </c>
      <c r="P4322" s="6">
        <v>0</v>
      </c>
      <c r="Q4322" s="6">
        <v>0</v>
      </c>
      <c r="R4322" s="6">
        <v>0</v>
      </c>
      <c r="S4322" s="6">
        <v>0</v>
      </c>
    </row>
    <row r="4323" spans="1:19" ht="15" hidden="1" x14ac:dyDescent="0.25">
      <c r="A4323" s="7" t="s">
        <v>16</v>
      </c>
      <c r="B4323" s="7" t="s">
        <v>372</v>
      </c>
      <c r="C4323" s="7" t="s">
        <v>373</v>
      </c>
      <c r="D4323" s="4">
        <v>3872790000193</v>
      </c>
      <c r="E4323" s="8" t="s">
        <v>564</v>
      </c>
      <c r="F4323" s="8" t="s">
        <v>29</v>
      </c>
      <c r="G4323" s="8" t="s">
        <v>19</v>
      </c>
      <c r="H4323" s="8" t="s">
        <v>215</v>
      </c>
      <c r="I4323" s="3">
        <v>2</v>
      </c>
      <c r="J4323" s="8" t="s">
        <v>161</v>
      </c>
      <c r="K4323" s="8" t="s">
        <v>162</v>
      </c>
      <c r="L4323" s="8" t="s">
        <v>556</v>
      </c>
      <c r="M4323" s="1" t="s">
        <v>207</v>
      </c>
      <c r="N4323" s="8" t="s">
        <v>208</v>
      </c>
      <c r="O4323" s="6">
        <v>0</v>
      </c>
      <c r="P4323" s="6">
        <v>0</v>
      </c>
      <c r="Q4323" s="6">
        <v>0</v>
      </c>
      <c r="R4323" s="6">
        <v>8</v>
      </c>
      <c r="S4323" s="6">
        <v>0</v>
      </c>
    </row>
    <row r="4324" spans="1:19" ht="15" hidden="1" x14ac:dyDescent="0.25">
      <c r="A4324" s="7" t="s">
        <v>16</v>
      </c>
      <c r="B4324" s="7" t="s">
        <v>372</v>
      </c>
      <c r="C4324" s="7" t="s">
        <v>373</v>
      </c>
      <c r="D4324" s="4">
        <v>3872790000193</v>
      </c>
      <c r="E4324" s="8" t="s">
        <v>564</v>
      </c>
      <c r="F4324" s="8" t="s">
        <v>29</v>
      </c>
      <c r="G4324" s="8" t="s">
        <v>19</v>
      </c>
      <c r="H4324" s="8" t="s">
        <v>215</v>
      </c>
      <c r="I4324" s="3">
        <v>2</v>
      </c>
      <c r="J4324" s="8" t="s">
        <v>147</v>
      </c>
      <c r="K4324" s="8" t="s">
        <v>148</v>
      </c>
      <c r="L4324" s="8" t="s">
        <v>557</v>
      </c>
      <c r="M4324" s="1" t="s">
        <v>207</v>
      </c>
      <c r="N4324" s="8" t="s">
        <v>208</v>
      </c>
      <c r="O4324" s="6">
        <v>0</v>
      </c>
      <c r="P4324" s="6">
        <v>0</v>
      </c>
      <c r="Q4324" s="6">
        <v>0</v>
      </c>
      <c r="R4324" s="6">
        <v>0</v>
      </c>
      <c r="S4324" s="6">
        <v>0</v>
      </c>
    </row>
    <row r="4325" spans="1:19" ht="15" hidden="1" x14ac:dyDescent="0.25">
      <c r="A4325" s="7" t="s">
        <v>16</v>
      </c>
      <c r="B4325" s="7" t="s">
        <v>372</v>
      </c>
      <c r="C4325" s="7" t="s">
        <v>373</v>
      </c>
      <c r="D4325" s="4">
        <v>10475230000160</v>
      </c>
      <c r="E4325" s="8" t="s">
        <v>583</v>
      </c>
      <c r="F4325" s="8" t="s">
        <v>29</v>
      </c>
      <c r="G4325" s="8" t="s">
        <v>19</v>
      </c>
      <c r="H4325" s="8" t="s">
        <v>215</v>
      </c>
      <c r="I4325" s="3">
        <v>2</v>
      </c>
      <c r="J4325" s="8" t="s">
        <v>161</v>
      </c>
      <c r="K4325" s="8" t="s">
        <v>162</v>
      </c>
      <c r="L4325" s="8" t="s">
        <v>556</v>
      </c>
      <c r="M4325" s="1" t="s">
        <v>207</v>
      </c>
      <c r="N4325" s="8" t="s">
        <v>208</v>
      </c>
      <c r="O4325" s="6">
        <v>0</v>
      </c>
      <c r="P4325" s="6">
        <v>0</v>
      </c>
      <c r="Q4325" s="6">
        <v>0</v>
      </c>
      <c r="R4325" s="6">
        <v>0</v>
      </c>
      <c r="S4325" s="6">
        <v>280</v>
      </c>
    </row>
    <row r="4326" spans="1:19" ht="15" hidden="1" x14ac:dyDescent="0.25">
      <c r="A4326" s="7" t="s">
        <v>16</v>
      </c>
      <c r="B4326" s="7" t="s">
        <v>372</v>
      </c>
      <c r="C4326" s="7" t="s">
        <v>373</v>
      </c>
      <c r="D4326" s="4">
        <v>10475230000160</v>
      </c>
      <c r="E4326" s="8" t="s">
        <v>583</v>
      </c>
      <c r="F4326" s="8" t="s">
        <v>29</v>
      </c>
      <c r="G4326" s="8" t="s">
        <v>19</v>
      </c>
      <c r="H4326" s="8" t="s">
        <v>215</v>
      </c>
      <c r="I4326" s="3">
        <v>2</v>
      </c>
      <c r="J4326" s="8" t="s">
        <v>177</v>
      </c>
      <c r="K4326" s="8" t="s">
        <v>178</v>
      </c>
      <c r="L4326" s="8" t="s">
        <v>557</v>
      </c>
      <c r="M4326" s="1" t="s">
        <v>207</v>
      </c>
      <c r="N4326" s="8" t="s">
        <v>208</v>
      </c>
      <c r="O4326" s="6">
        <v>0</v>
      </c>
      <c r="P4326" s="6">
        <v>0</v>
      </c>
      <c r="Q4326" s="6">
        <v>0</v>
      </c>
      <c r="R4326" s="6">
        <v>0</v>
      </c>
      <c r="S4326" s="6">
        <v>280</v>
      </c>
    </row>
    <row r="4327" spans="1:19" ht="15" hidden="1" x14ac:dyDescent="0.25">
      <c r="A4327" s="7" t="s">
        <v>16</v>
      </c>
      <c r="B4327" s="7" t="s">
        <v>372</v>
      </c>
      <c r="C4327" s="7" t="s">
        <v>373</v>
      </c>
      <c r="D4327" s="4">
        <v>9591608000293</v>
      </c>
      <c r="E4327" s="8" t="s">
        <v>1455</v>
      </c>
      <c r="F4327" s="8" t="s">
        <v>29</v>
      </c>
      <c r="G4327" s="8" t="s">
        <v>19</v>
      </c>
      <c r="H4327" s="8" t="s">
        <v>1334</v>
      </c>
      <c r="I4327" s="3">
        <v>0</v>
      </c>
      <c r="J4327" s="8"/>
      <c r="K4327" s="8"/>
      <c r="L4327" s="8"/>
      <c r="M4327" s="1"/>
      <c r="N4327" s="8"/>
      <c r="O4327" s="6">
        <v>0</v>
      </c>
      <c r="P4327" s="6">
        <v>0</v>
      </c>
      <c r="Q4327" s="6">
        <v>0</v>
      </c>
      <c r="R4327" s="6">
        <v>0</v>
      </c>
      <c r="S4327" s="6">
        <v>0</v>
      </c>
    </row>
    <row r="4328" spans="1:19" ht="15" hidden="1" x14ac:dyDescent="0.25">
      <c r="A4328" s="7" t="s">
        <v>16</v>
      </c>
      <c r="B4328" s="7" t="s">
        <v>372</v>
      </c>
      <c r="C4328" s="7" t="s">
        <v>373</v>
      </c>
      <c r="D4328" s="4">
        <v>603226000187</v>
      </c>
      <c r="E4328" s="8" t="s">
        <v>561</v>
      </c>
      <c r="F4328" s="8" t="s">
        <v>29</v>
      </c>
      <c r="G4328" s="8" t="s">
        <v>19</v>
      </c>
      <c r="H4328" s="8" t="s">
        <v>215</v>
      </c>
      <c r="I4328" s="3">
        <v>2</v>
      </c>
      <c r="J4328" s="8" t="s">
        <v>161</v>
      </c>
      <c r="K4328" s="8" t="s">
        <v>162</v>
      </c>
      <c r="L4328" s="8" t="s">
        <v>556</v>
      </c>
      <c r="M4328" s="1" t="s">
        <v>207</v>
      </c>
      <c r="N4328" s="8" t="s">
        <v>208</v>
      </c>
      <c r="O4328" s="6">
        <v>0</v>
      </c>
      <c r="P4328" s="6">
        <v>0</v>
      </c>
      <c r="Q4328" s="6">
        <v>0</v>
      </c>
      <c r="R4328" s="6">
        <v>4</v>
      </c>
      <c r="S4328" s="6">
        <v>0</v>
      </c>
    </row>
    <row r="4329" spans="1:19" ht="15" hidden="1" x14ac:dyDescent="0.25">
      <c r="A4329" s="7" t="s">
        <v>16</v>
      </c>
      <c r="B4329" s="7" t="s">
        <v>372</v>
      </c>
      <c r="C4329" s="7" t="s">
        <v>373</v>
      </c>
      <c r="D4329" s="4">
        <v>603226000187</v>
      </c>
      <c r="E4329" s="8" t="s">
        <v>561</v>
      </c>
      <c r="F4329" s="8" t="s">
        <v>29</v>
      </c>
      <c r="G4329" s="8" t="s">
        <v>19</v>
      </c>
      <c r="H4329" s="8" t="s">
        <v>215</v>
      </c>
      <c r="I4329" s="3">
        <v>2</v>
      </c>
      <c r="J4329" s="8" t="s">
        <v>177</v>
      </c>
      <c r="K4329" s="8" t="s">
        <v>178</v>
      </c>
      <c r="L4329" s="8" t="s">
        <v>557</v>
      </c>
      <c r="M4329" s="1" t="s">
        <v>207</v>
      </c>
      <c r="N4329" s="8" t="s">
        <v>208</v>
      </c>
      <c r="O4329" s="6">
        <v>0</v>
      </c>
      <c r="P4329" s="6">
        <v>0</v>
      </c>
      <c r="Q4329" s="6">
        <v>0</v>
      </c>
      <c r="R4329" s="6">
        <v>0</v>
      </c>
      <c r="S4329" s="6">
        <v>0</v>
      </c>
    </row>
    <row r="4330" spans="1:19" ht="15" hidden="1" x14ac:dyDescent="0.25">
      <c r="A4330" s="7" t="s">
        <v>16</v>
      </c>
      <c r="B4330" s="7" t="s">
        <v>372</v>
      </c>
      <c r="C4330" s="7" t="s">
        <v>373</v>
      </c>
      <c r="D4330" s="4">
        <v>6047087000139</v>
      </c>
      <c r="E4330" s="8" t="s">
        <v>568</v>
      </c>
      <c r="F4330" s="8" t="s">
        <v>29</v>
      </c>
      <c r="G4330" s="8" t="s">
        <v>19</v>
      </c>
      <c r="H4330" s="8" t="s">
        <v>215</v>
      </c>
      <c r="I4330" s="3">
        <v>2</v>
      </c>
      <c r="J4330" s="8" t="s">
        <v>161</v>
      </c>
      <c r="K4330" s="8" t="s">
        <v>162</v>
      </c>
      <c r="L4330" s="8" t="s">
        <v>556</v>
      </c>
      <c r="M4330" s="1" t="s">
        <v>207</v>
      </c>
      <c r="N4330" s="8" t="s">
        <v>208</v>
      </c>
      <c r="O4330" s="6">
        <v>0</v>
      </c>
      <c r="P4330" s="6">
        <v>0</v>
      </c>
      <c r="Q4330" s="6">
        <v>0</v>
      </c>
      <c r="R4330" s="6">
        <v>0</v>
      </c>
      <c r="S4330" s="6">
        <v>0</v>
      </c>
    </row>
    <row r="4331" spans="1:19" ht="15" hidden="1" x14ac:dyDescent="0.25">
      <c r="A4331" s="7" t="s">
        <v>16</v>
      </c>
      <c r="B4331" s="7" t="s">
        <v>372</v>
      </c>
      <c r="C4331" s="7" t="s">
        <v>373</v>
      </c>
      <c r="D4331" s="4">
        <v>6047087000139</v>
      </c>
      <c r="E4331" s="8" t="s">
        <v>568</v>
      </c>
      <c r="F4331" s="8" t="s">
        <v>29</v>
      </c>
      <c r="G4331" s="8" t="s">
        <v>19</v>
      </c>
      <c r="H4331" s="8" t="s">
        <v>215</v>
      </c>
      <c r="I4331" s="3">
        <v>2</v>
      </c>
      <c r="J4331" s="8" t="s">
        <v>147</v>
      </c>
      <c r="K4331" s="8" t="s">
        <v>148</v>
      </c>
      <c r="L4331" s="8" t="s">
        <v>557</v>
      </c>
      <c r="M4331" s="1" t="s">
        <v>207</v>
      </c>
      <c r="N4331" s="8" t="s">
        <v>208</v>
      </c>
      <c r="O4331" s="6">
        <v>0</v>
      </c>
      <c r="P4331" s="6">
        <v>0</v>
      </c>
      <c r="Q4331" s="6">
        <v>5</v>
      </c>
      <c r="R4331" s="6">
        <v>0</v>
      </c>
      <c r="S4331" s="6">
        <v>0</v>
      </c>
    </row>
    <row r="4332" spans="1:19" ht="15" hidden="1" x14ac:dyDescent="0.25">
      <c r="A4332" s="7" t="s">
        <v>16</v>
      </c>
      <c r="B4332" s="7" t="s">
        <v>372</v>
      </c>
      <c r="C4332" s="7" t="s">
        <v>373</v>
      </c>
      <c r="D4332" s="4">
        <v>60884855000316</v>
      </c>
      <c r="E4332" s="8" t="s">
        <v>617</v>
      </c>
      <c r="F4332" s="8" t="s">
        <v>29</v>
      </c>
      <c r="G4332" s="8" t="s">
        <v>19</v>
      </c>
      <c r="H4332" s="8" t="s">
        <v>215</v>
      </c>
      <c r="I4332" s="3">
        <v>2</v>
      </c>
      <c r="J4332" s="8" t="s">
        <v>1355</v>
      </c>
      <c r="K4332" s="8" t="s">
        <v>1356</v>
      </c>
      <c r="L4332" s="8" t="s">
        <v>556</v>
      </c>
      <c r="M4332" s="1" t="s">
        <v>207</v>
      </c>
      <c r="N4332" s="8" t="s">
        <v>208</v>
      </c>
      <c r="O4332" s="6">
        <v>0</v>
      </c>
      <c r="P4332" s="6">
        <v>0</v>
      </c>
      <c r="Q4332" s="6">
        <v>0</v>
      </c>
      <c r="R4332" s="6">
        <v>32</v>
      </c>
      <c r="S4332" s="6">
        <v>1855</v>
      </c>
    </row>
    <row r="4333" spans="1:19" ht="15" hidden="1" x14ac:dyDescent="0.25">
      <c r="A4333" s="7" t="s">
        <v>16</v>
      </c>
      <c r="B4333" s="7" t="s">
        <v>372</v>
      </c>
      <c r="C4333" s="7" t="s">
        <v>373</v>
      </c>
      <c r="D4333" s="4">
        <v>60884855000316</v>
      </c>
      <c r="E4333" s="8" t="s">
        <v>617</v>
      </c>
      <c r="F4333" s="8" t="s">
        <v>29</v>
      </c>
      <c r="G4333" s="8" t="s">
        <v>19</v>
      </c>
      <c r="H4333" s="8" t="s">
        <v>215</v>
      </c>
      <c r="I4333" s="3">
        <v>2</v>
      </c>
      <c r="J4333" s="8" t="s">
        <v>183</v>
      </c>
      <c r="K4333" s="8" t="s">
        <v>184</v>
      </c>
      <c r="L4333" s="8" t="s">
        <v>557</v>
      </c>
      <c r="M4333" s="1" t="s">
        <v>207</v>
      </c>
      <c r="N4333" s="8" t="s">
        <v>208</v>
      </c>
      <c r="O4333" s="6">
        <v>0</v>
      </c>
      <c r="P4333" s="6">
        <v>14</v>
      </c>
      <c r="Q4333" s="6">
        <v>0</v>
      </c>
      <c r="R4333" s="6">
        <v>0</v>
      </c>
      <c r="S4333" s="6">
        <v>1855</v>
      </c>
    </row>
    <row r="4334" spans="1:19" ht="15" hidden="1" x14ac:dyDescent="0.25">
      <c r="A4334" s="7" t="s">
        <v>16</v>
      </c>
      <c r="B4334" s="7" t="s">
        <v>372</v>
      </c>
      <c r="C4334" s="7" t="s">
        <v>373</v>
      </c>
      <c r="D4334" s="4">
        <v>60961968000459</v>
      </c>
      <c r="E4334" s="8" t="s">
        <v>622</v>
      </c>
      <c r="F4334" s="8" t="s">
        <v>29</v>
      </c>
      <c r="G4334" s="8" t="s">
        <v>19</v>
      </c>
      <c r="H4334" s="8" t="s">
        <v>215</v>
      </c>
      <c r="I4334" s="3">
        <v>2</v>
      </c>
      <c r="J4334" s="8" t="s">
        <v>1355</v>
      </c>
      <c r="K4334" s="8" t="s">
        <v>1356</v>
      </c>
      <c r="L4334" s="8" t="s">
        <v>556</v>
      </c>
      <c r="M4334" s="1" t="s">
        <v>207</v>
      </c>
      <c r="N4334" s="8" t="s">
        <v>208</v>
      </c>
      <c r="O4334" s="6">
        <v>0</v>
      </c>
      <c r="P4334" s="6">
        <v>0</v>
      </c>
      <c r="Q4334" s="6">
        <v>0</v>
      </c>
      <c r="R4334" s="6">
        <v>0</v>
      </c>
      <c r="S4334" s="6">
        <v>150</v>
      </c>
    </row>
    <row r="4335" spans="1:19" ht="15" hidden="1" x14ac:dyDescent="0.25">
      <c r="A4335" s="7" t="s">
        <v>16</v>
      </c>
      <c r="B4335" s="7" t="s">
        <v>372</v>
      </c>
      <c r="C4335" s="7" t="s">
        <v>373</v>
      </c>
      <c r="D4335" s="4">
        <v>60961968000459</v>
      </c>
      <c r="E4335" s="8" t="s">
        <v>622</v>
      </c>
      <c r="F4335" s="8" t="s">
        <v>29</v>
      </c>
      <c r="G4335" s="8" t="s">
        <v>19</v>
      </c>
      <c r="H4335" s="8" t="s">
        <v>215</v>
      </c>
      <c r="I4335" s="3">
        <v>2</v>
      </c>
      <c r="J4335" s="8" t="s">
        <v>177</v>
      </c>
      <c r="K4335" s="8" t="s">
        <v>178</v>
      </c>
      <c r="L4335" s="8" t="s">
        <v>557</v>
      </c>
      <c r="M4335" s="1" t="s">
        <v>207</v>
      </c>
      <c r="N4335" s="8" t="s">
        <v>208</v>
      </c>
      <c r="O4335" s="6">
        <v>0</v>
      </c>
      <c r="P4335" s="6">
        <v>0</v>
      </c>
      <c r="Q4335" s="6">
        <v>0</v>
      </c>
      <c r="R4335" s="6">
        <v>0</v>
      </c>
      <c r="S4335" s="6">
        <v>150</v>
      </c>
    </row>
    <row r="4336" spans="1:19" ht="15" hidden="1" x14ac:dyDescent="0.25">
      <c r="A4336" s="7" t="s">
        <v>16</v>
      </c>
      <c r="B4336" s="7" t="s">
        <v>372</v>
      </c>
      <c r="C4336" s="7" t="s">
        <v>373</v>
      </c>
      <c r="D4336" s="4">
        <v>43586122000971</v>
      </c>
      <c r="E4336" s="8" t="s">
        <v>1486</v>
      </c>
      <c r="F4336" s="8" t="s">
        <v>29</v>
      </c>
      <c r="G4336" s="8" t="s">
        <v>19</v>
      </c>
      <c r="H4336" s="8" t="s">
        <v>1334</v>
      </c>
      <c r="I4336" s="3">
        <v>0</v>
      </c>
      <c r="J4336" s="8"/>
      <c r="K4336" s="8"/>
      <c r="L4336" s="8"/>
      <c r="M4336" s="1"/>
      <c r="N4336" s="8"/>
      <c r="O4336" s="6">
        <v>0</v>
      </c>
      <c r="P4336" s="6">
        <v>0</v>
      </c>
      <c r="Q4336" s="6">
        <v>0</v>
      </c>
      <c r="R4336" s="6">
        <v>0</v>
      </c>
      <c r="S4336" s="6">
        <v>0</v>
      </c>
    </row>
    <row r="4337" spans="1:19" ht="15" hidden="1" x14ac:dyDescent="0.25">
      <c r="A4337" s="7" t="s">
        <v>16</v>
      </c>
      <c r="B4337" s="7" t="s">
        <v>372</v>
      </c>
      <c r="C4337" s="7" t="s">
        <v>373</v>
      </c>
      <c r="D4337" s="4">
        <v>60726502000126</v>
      </c>
      <c r="E4337" s="8" t="s">
        <v>613</v>
      </c>
      <c r="F4337" s="8" t="s">
        <v>29</v>
      </c>
      <c r="G4337" s="8" t="s">
        <v>19</v>
      </c>
      <c r="H4337" s="8" t="s">
        <v>215</v>
      </c>
      <c r="I4337" s="3">
        <v>2</v>
      </c>
      <c r="J4337" s="8" t="s">
        <v>1355</v>
      </c>
      <c r="K4337" s="8" t="s">
        <v>1356</v>
      </c>
      <c r="L4337" s="8" t="s">
        <v>556</v>
      </c>
      <c r="M4337" s="1" t="s">
        <v>207</v>
      </c>
      <c r="N4337" s="8" t="s">
        <v>208</v>
      </c>
      <c r="O4337" s="6">
        <v>0</v>
      </c>
      <c r="P4337" s="6">
        <v>0</v>
      </c>
      <c r="Q4337" s="6">
        <v>0</v>
      </c>
      <c r="R4337" s="6">
        <v>0</v>
      </c>
      <c r="S4337" s="6">
        <v>0</v>
      </c>
    </row>
    <row r="4338" spans="1:19" ht="15" hidden="1" x14ac:dyDescent="0.25">
      <c r="A4338" s="7" t="s">
        <v>16</v>
      </c>
      <c r="B4338" s="7" t="s">
        <v>372</v>
      </c>
      <c r="C4338" s="7" t="s">
        <v>373</v>
      </c>
      <c r="D4338" s="4">
        <v>60726502000126</v>
      </c>
      <c r="E4338" s="8" t="s">
        <v>613</v>
      </c>
      <c r="F4338" s="8" t="s">
        <v>29</v>
      </c>
      <c r="G4338" s="8" t="s">
        <v>19</v>
      </c>
      <c r="H4338" s="8" t="s">
        <v>215</v>
      </c>
      <c r="I4338" s="3">
        <v>2</v>
      </c>
      <c r="J4338" s="8" t="s">
        <v>183</v>
      </c>
      <c r="K4338" s="8" t="s">
        <v>184</v>
      </c>
      <c r="L4338" s="8" t="s">
        <v>557</v>
      </c>
      <c r="M4338" s="1" t="s">
        <v>207</v>
      </c>
      <c r="N4338" s="8" t="s">
        <v>208</v>
      </c>
      <c r="O4338" s="6">
        <v>0</v>
      </c>
      <c r="P4338" s="6">
        <v>7</v>
      </c>
      <c r="Q4338" s="6">
        <v>7</v>
      </c>
      <c r="R4338" s="6">
        <v>0</v>
      </c>
      <c r="S4338" s="6">
        <v>0</v>
      </c>
    </row>
    <row r="4339" spans="1:19" ht="15" hidden="1" x14ac:dyDescent="0.25">
      <c r="A4339" s="7" t="s">
        <v>16</v>
      </c>
      <c r="B4339" s="7" t="s">
        <v>372</v>
      </c>
      <c r="C4339" s="7" t="s">
        <v>373</v>
      </c>
      <c r="D4339" s="4">
        <v>60726502000711</v>
      </c>
      <c r="E4339" s="8" t="s">
        <v>614</v>
      </c>
      <c r="F4339" s="8" t="s">
        <v>29</v>
      </c>
      <c r="G4339" s="8" t="s">
        <v>19</v>
      </c>
      <c r="H4339" s="8" t="s">
        <v>215</v>
      </c>
      <c r="I4339" s="3">
        <v>2</v>
      </c>
      <c r="J4339" s="8" t="s">
        <v>1355</v>
      </c>
      <c r="K4339" s="8" t="s">
        <v>1356</v>
      </c>
      <c r="L4339" s="8" t="s">
        <v>556</v>
      </c>
      <c r="M4339" s="1" t="s">
        <v>207</v>
      </c>
      <c r="N4339" s="8" t="s">
        <v>208</v>
      </c>
      <c r="O4339" s="6">
        <v>0</v>
      </c>
      <c r="P4339" s="6">
        <v>0</v>
      </c>
      <c r="Q4339" s="6">
        <v>0</v>
      </c>
      <c r="R4339" s="6">
        <v>0</v>
      </c>
      <c r="S4339" s="6">
        <v>0</v>
      </c>
    </row>
    <row r="4340" spans="1:19" ht="15" hidden="1" x14ac:dyDescent="0.25">
      <c r="A4340" s="7" t="s">
        <v>16</v>
      </c>
      <c r="B4340" s="7" t="s">
        <v>372</v>
      </c>
      <c r="C4340" s="7" t="s">
        <v>373</v>
      </c>
      <c r="D4340" s="4">
        <v>60726502000711</v>
      </c>
      <c r="E4340" s="8" t="s">
        <v>614</v>
      </c>
      <c r="F4340" s="8" t="s">
        <v>29</v>
      </c>
      <c r="G4340" s="8" t="s">
        <v>19</v>
      </c>
      <c r="H4340" s="8" t="s">
        <v>215</v>
      </c>
      <c r="I4340" s="3">
        <v>2</v>
      </c>
      <c r="J4340" s="8" t="s">
        <v>183</v>
      </c>
      <c r="K4340" s="8" t="s">
        <v>184</v>
      </c>
      <c r="L4340" s="8" t="s">
        <v>557</v>
      </c>
      <c r="M4340" s="1" t="s">
        <v>207</v>
      </c>
      <c r="N4340" s="8" t="s">
        <v>208</v>
      </c>
      <c r="O4340" s="6">
        <v>0</v>
      </c>
      <c r="P4340" s="6">
        <v>0</v>
      </c>
      <c r="Q4340" s="6">
        <v>6</v>
      </c>
      <c r="R4340" s="6">
        <v>0</v>
      </c>
      <c r="S4340" s="6">
        <v>0</v>
      </c>
    </row>
    <row r="4341" spans="1:19" ht="15" hidden="1" x14ac:dyDescent="0.25">
      <c r="A4341" s="7" t="s">
        <v>16</v>
      </c>
      <c r="B4341" s="7" t="s">
        <v>372</v>
      </c>
      <c r="C4341" s="7" t="s">
        <v>373</v>
      </c>
      <c r="D4341" s="4">
        <v>8100676000592</v>
      </c>
      <c r="E4341" s="8" t="s">
        <v>572</v>
      </c>
      <c r="F4341" s="8" t="s">
        <v>29</v>
      </c>
      <c r="G4341" s="8" t="s">
        <v>19</v>
      </c>
      <c r="H4341" s="8" t="s">
        <v>215</v>
      </c>
      <c r="I4341" s="3">
        <v>2</v>
      </c>
      <c r="J4341" s="8" t="s">
        <v>161</v>
      </c>
      <c r="K4341" s="8" t="s">
        <v>162</v>
      </c>
      <c r="L4341" s="8" t="s">
        <v>556</v>
      </c>
      <c r="M4341" s="1" t="s">
        <v>207</v>
      </c>
      <c r="N4341" s="8" t="s">
        <v>208</v>
      </c>
      <c r="O4341" s="6">
        <v>0</v>
      </c>
      <c r="P4341" s="6">
        <v>0</v>
      </c>
      <c r="Q4341" s="6">
        <v>0</v>
      </c>
      <c r="R4341" s="6">
        <v>0</v>
      </c>
      <c r="S4341" s="6">
        <v>685</v>
      </c>
    </row>
    <row r="4342" spans="1:19" ht="15" hidden="1" x14ac:dyDescent="0.25">
      <c r="A4342" s="7" t="s">
        <v>16</v>
      </c>
      <c r="B4342" s="7" t="s">
        <v>372</v>
      </c>
      <c r="C4342" s="7" t="s">
        <v>373</v>
      </c>
      <c r="D4342" s="4">
        <v>8100676000592</v>
      </c>
      <c r="E4342" s="8" t="s">
        <v>572</v>
      </c>
      <c r="F4342" s="8" t="s">
        <v>29</v>
      </c>
      <c r="G4342" s="8" t="s">
        <v>19</v>
      </c>
      <c r="H4342" s="8" t="s">
        <v>215</v>
      </c>
      <c r="I4342" s="3">
        <v>2</v>
      </c>
      <c r="J4342" s="8" t="s">
        <v>183</v>
      </c>
      <c r="K4342" s="8" t="s">
        <v>184</v>
      </c>
      <c r="L4342" s="8" t="s">
        <v>557</v>
      </c>
      <c r="M4342" s="1" t="s">
        <v>207</v>
      </c>
      <c r="N4342" s="8" t="s">
        <v>208</v>
      </c>
      <c r="O4342" s="6">
        <v>0</v>
      </c>
      <c r="P4342" s="6">
        <v>3</v>
      </c>
      <c r="Q4342" s="6">
        <v>0</v>
      </c>
      <c r="R4342" s="6">
        <v>0</v>
      </c>
      <c r="S4342" s="6">
        <v>685</v>
      </c>
    </row>
    <row r="4343" spans="1:19" ht="15" hidden="1" x14ac:dyDescent="0.25">
      <c r="A4343" s="7" t="s">
        <v>16</v>
      </c>
      <c r="B4343" s="7" t="s">
        <v>372</v>
      </c>
      <c r="C4343" s="7" t="s">
        <v>373</v>
      </c>
      <c r="D4343" s="4">
        <v>60922168004335</v>
      </c>
      <c r="E4343" s="8" t="s">
        <v>619</v>
      </c>
      <c r="F4343" s="8" t="s">
        <v>29</v>
      </c>
      <c r="G4343" s="8" t="s">
        <v>19</v>
      </c>
      <c r="H4343" s="8" t="s">
        <v>215</v>
      </c>
      <c r="I4343" s="3">
        <v>2</v>
      </c>
      <c r="J4343" s="8" t="s">
        <v>161</v>
      </c>
      <c r="K4343" s="8" t="s">
        <v>162</v>
      </c>
      <c r="L4343" s="8" t="s">
        <v>556</v>
      </c>
      <c r="M4343" s="1" t="s">
        <v>207</v>
      </c>
      <c r="N4343" s="8" t="s">
        <v>208</v>
      </c>
      <c r="O4343" s="6">
        <v>0</v>
      </c>
      <c r="P4343" s="6">
        <v>0</v>
      </c>
      <c r="Q4343" s="6">
        <v>0</v>
      </c>
      <c r="R4343" s="6">
        <v>0</v>
      </c>
      <c r="S4343" s="6">
        <v>10</v>
      </c>
    </row>
    <row r="4344" spans="1:19" ht="15" hidden="1" x14ac:dyDescent="0.25">
      <c r="A4344" s="7" t="s">
        <v>16</v>
      </c>
      <c r="B4344" s="7" t="s">
        <v>372</v>
      </c>
      <c r="C4344" s="7" t="s">
        <v>373</v>
      </c>
      <c r="D4344" s="4">
        <v>60922168004335</v>
      </c>
      <c r="E4344" s="8" t="s">
        <v>619</v>
      </c>
      <c r="F4344" s="8" t="s">
        <v>29</v>
      </c>
      <c r="G4344" s="8" t="s">
        <v>19</v>
      </c>
      <c r="H4344" s="8" t="s">
        <v>215</v>
      </c>
      <c r="I4344" s="3">
        <v>2</v>
      </c>
      <c r="J4344" s="8" t="s">
        <v>183</v>
      </c>
      <c r="K4344" s="8" t="s">
        <v>184</v>
      </c>
      <c r="L4344" s="8" t="s">
        <v>557</v>
      </c>
      <c r="M4344" s="1" t="s">
        <v>207</v>
      </c>
      <c r="N4344" s="8" t="s">
        <v>208</v>
      </c>
      <c r="O4344" s="6">
        <v>0</v>
      </c>
      <c r="P4344" s="6">
        <v>0</v>
      </c>
      <c r="Q4344" s="6">
        <v>0</v>
      </c>
      <c r="R4344" s="6">
        <v>0</v>
      </c>
      <c r="S4344" s="6">
        <v>10</v>
      </c>
    </row>
    <row r="4345" spans="1:19" ht="15" hidden="1" x14ac:dyDescent="0.25">
      <c r="A4345" s="7" t="s">
        <v>16</v>
      </c>
      <c r="B4345" s="7" t="s">
        <v>372</v>
      </c>
      <c r="C4345" s="7" t="s">
        <v>373</v>
      </c>
      <c r="D4345" s="4">
        <v>21371777000132</v>
      </c>
      <c r="E4345" s="8" t="s">
        <v>589</v>
      </c>
      <c r="F4345" s="8" t="s">
        <v>29</v>
      </c>
      <c r="G4345" s="8" t="s">
        <v>19</v>
      </c>
      <c r="H4345" s="8" t="s">
        <v>215</v>
      </c>
      <c r="I4345" s="3">
        <v>2</v>
      </c>
      <c r="J4345" s="8" t="s">
        <v>161</v>
      </c>
      <c r="K4345" s="8" t="s">
        <v>162</v>
      </c>
      <c r="L4345" s="8" t="s">
        <v>556</v>
      </c>
      <c r="M4345" s="1" t="s">
        <v>207</v>
      </c>
      <c r="N4345" s="8" t="s">
        <v>208</v>
      </c>
      <c r="O4345" s="6">
        <v>0</v>
      </c>
      <c r="P4345" s="6">
        <v>0</v>
      </c>
      <c r="Q4345" s="6">
        <v>0</v>
      </c>
      <c r="R4345" s="6">
        <v>0</v>
      </c>
      <c r="S4345" s="6">
        <v>0</v>
      </c>
    </row>
    <row r="4346" spans="1:19" ht="15" hidden="1" x14ac:dyDescent="0.25">
      <c r="A4346" s="7" t="s">
        <v>16</v>
      </c>
      <c r="B4346" s="7" t="s">
        <v>372</v>
      </c>
      <c r="C4346" s="7" t="s">
        <v>373</v>
      </c>
      <c r="D4346" s="4">
        <v>21371777000132</v>
      </c>
      <c r="E4346" s="8" t="s">
        <v>589</v>
      </c>
      <c r="F4346" s="8" t="s">
        <v>29</v>
      </c>
      <c r="G4346" s="8" t="s">
        <v>19</v>
      </c>
      <c r="H4346" s="8" t="s">
        <v>215</v>
      </c>
      <c r="I4346" s="3">
        <v>2</v>
      </c>
      <c r="J4346" s="8" t="s">
        <v>183</v>
      </c>
      <c r="K4346" s="8" t="s">
        <v>184</v>
      </c>
      <c r="L4346" s="8" t="s">
        <v>557</v>
      </c>
      <c r="M4346" s="1" t="s">
        <v>207</v>
      </c>
      <c r="N4346" s="8" t="s">
        <v>208</v>
      </c>
      <c r="O4346" s="6">
        <v>0</v>
      </c>
      <c r="P4346" s="6">
        <v>18</v>
      </c>
      <c r="Q4346" s="6">
        <v>0</v>
      </c>
      <c r="R4346" s="6">
        <v>0</v>
      </c>
      <c r="S4346" s="6">
        <v>0</v>
      </c>
    </row>
    <row r="4347" spans="1:19" ht="15" hidden="1" x14ac:dyDescent="0.25">
      <c r="A4347" s="7" t="s">
        <v>16</v>
      </c>
      <c r="B4347" s="7" t="s">
        <v>372</v>
      </c>
      <c r="C4347" s="7" t="s">
        <v>373</v>
      </c>
      <c r="D4347" s="4">
        <v>60448040000122</v>
      </c>
      <c r="E4347" s="8" t="s">
        <v>609</v>
      </c>
      <c r="F4347" s="8" t="s">
        <v>29</v>
      </c>
      <c r="G4347" s="8" t="s">
        <v>19</v>
      </c>
      <c r="H4347" s="8" t="s">
        <v>215</v>
      </c>
      <c r="I4347" s="3">
        <v>2</v>
      </c>
      <c r="J4347" s="8" t="s">
        <v>1355</v>
      </c>
      <c r="K4347" s="8" t="s">
        <v>1356</v>
      </c>
      <c r="L4347" s="8" t="s">
        <v>556</v>
      </c>
      <c r="M4347" s="1" t="s">
        <v>207</v>
      </c>
      <c r="N4347" s="8" t="s">
        <v>208</v>
      </c>
      <c r="O4347" s="6">
        <v>0</v>
      </c>
      <c r="P4347" s="6">
        <v>0</v>
      </c>
      <c r="Q4347" s="6">
        <v>0</v>
      </c>
      <c r="R4347" s="6">
        <v>0</v>
      </c>
      <c r="S4347" s="6">
        <v>0</v>
      </c>
    </row>
    <row r="4348" spans="1:19" ht="15" hidden="1" x14ac:dyDescent="0.25">
      <c r="A4348" s="7" t="s">
        <v>16</v>
      </c>
      <c r="B4348" s="7" t="s">
        <v>372</v>
      </c>
      <c r="C4348" s="7" t="s">
        <v>373</v>
      </c>
      <c r="D4348" s="4">
        <v>60448040000122</v>
      </c>
      <c r="E4348" s="8" t="s">
        <v>609</v>
      </c>
      <c r="F4348" s="8" t="s">
        <v>29</v>
      </c>
      <c r="G4348" s="8" t="s">
        <v>19</v>
      </c>
      <c r="H4348" s="8" t="s">
        <v>215</v>
      </c>
      <c r="I4348" s="3">
        <v>2</v>
      </c>
      <c r="J4348" s="8" t="s">
        <v>177</v>
      </c>
      <c r="K4348" s="8" t="s">
        <v>178</v>
      </c>
      <c r="L4348" s="8" t="s">
        <v>557</v>
      </c>
      <c r="M4348" s="1" t="s">
        <v>207</v>
      </c>
      <c r="N4348" s="8" t="s">
        <v>208</v>
      </c>
      <c r="O4348" s="6">
        <v>0</v>
      </c>
      <c r="P4348" s="6">
        <v>158</v>
      </c>
      <c r="Q4348" s="6">
        <v>165</v>
      </c>
      <c r="R4348" s="6">
        <v>0</v>
      </c>
      <c r="S4348" s="6">
        <v>0</v>
      </c>
    </row>
    <row r="4349" spans="1:19" ht="15" hidden="1" x14ac:dyDescent="0.25">
      <c r="A4349" s="7" t="s">
        <v>16</v>
      </c>
      <c r="B4349" s="7" t="s">
        <v>372</v>
      </c>
      <c r="C4349" s="7" t="s">
        <v>373</v>
      </c>
      <c r="D4349" s="4">
        <v>60453024000390</v>
      </c>
      <c r="E4349" s="8" t="s">
        <v>610</v>
      </c>
      <c r="F4349" s="8" t="s">
        <v>29</v>
      </c>
      <c r="G4349" s="8" t="s">
        <v>19</v>
      </c>
      <c r="H4349" s="8" t="s">
        <v>215</v>
      </c>
      <c r="I4349" s="3">
        <v>2</v>
      </c>
      <c r="J4349" s="8" t="s">
        <v>161</v>
      </c>
      <c r="K4349" s="8" t="s">
        <v>162</v>
      </c>
      <c r="L4349" s="8" t="s">
        <v>556</v>
      </c>
      <c r="M4349" s="1" t="s">
        <v>207</v>
      </c>
      <c r="N4349" s="8" t="s">
        <v>208</v>
      </c>
      <c r="O4349" s="6">
        <v>0</v>
      </c>
      <c r="P4349" s="6">
        <v>0</v>
      </c>
      <c r="Q4349" s="6">
        <v>0</v>
      </c>
      <c r="R4349" s="6">
        <v>0</v>
      </c>
      <c r="S4349" s="6">
        <v>0</v>
      </c>
    </row>
    <row r="4350" spans="1:19" ht="15" hidden="1" x14ac:dyDescent="0.25">
      <c r="A4350" s="7" t="s">
        <v>16</v>
      </c>
      <c r="B4350" s="7" t="s">
        <v>372</v>
      </c>
      <c r="C4350" s="7" t="s">
        <v>373</v>
      </c>
      <c r="D4350" s="4">
        <v>60453024000390</v>
      </c>
      <c r="E4350" s="8" t="s">
        <v>610</v>
      </c>
      <c r="F4350" s="8" t="s">
        <v>29</v>
      </c>
      <c r="G4350" s="8" t="s">
        <v>19</v>
      </c>
      <c r="H4350" s="8" t="s">
        <v>215</v>
      </c>
      <c r="I4350" s="3">
        <v>2</v>
      </c>
      <c r="J4350" s="8" t="s">
        <v>177</v>
      </c>
      <c r="K4350" s="8" t="s">
        <v>178</v>
      </c>
      <c r="L4350" s="8" t="s">
        <v>557</v>
      </c>
      <c r="M4350" s="1" t="s">
        <v>207</v>
      </c>
      <c r="N4350" s="8" t="s">
        <v>208</v>
      </c>
      <c r="O4350" s="6">
        <v>0</v>
      </c>
      <c r="P4350" s="6">
        <v>0</v>
      </c>
      <c r="Q4350" s="6">
        <v>50</v>
      </c>
      <c r="R4350" s="6">
        <v>0</v>
      </c>
      <c r="S4350" s="6">
        <v>0</v>
      </c>
    </row>
    <row r="4351" spans="1:19" ht="15" hidden="1" x14ac:dyDescent="0.25">
      <c r="A4351" s="7" t="s">
        <v>16</v>
      </c>
      <c r="B4351" s="7" t="s">
        <v>372</v>
      </c>
      <c r="C4351" s="7" t="s">
        <v>373</v>
      </c>
      <c r="D4351" s="4">
        <v>51722957012512</v>
      </c>
      <c r="E4351" s="8" t="s">
        <v>604</v>
      </c>
      <c r="F4351" s="8" t="s">
        <v>29</v>
      </c>
      <c r="G4351" s="8" t="s">
        <v>19</v>
      </c>
      <c r="H4351" s="8" t="s">
        <v>215</v>
      </c>
      <c r="I4351" s="3">
        <v>2</v>
      </c>
      <c r="J4351" s="8" t="s">
        <v>161</v>
      </c>
      <c r="K4351" s="8" t="s">
        <v>162</v>
      </c>
      <c r="L4351" s="8" t="s">
        <v>556</v>
      </c>
      <c r="M4351" s="1" t="s">
        <v>207</v>
      </c>
      <c r="N4351" s="8" t="s">
        <v>208</v>
      </c>
      <c r="O4351" s="6">
        <v>0</v>
      </c>
      <c r="P4351" s="6">
        <v>0</v>
      </c>
      <c r="Q4351" s="6">
        <v>0</v>
      </c>
      <c r="R4351" s="6">
        <v>0</v>
      </c>
      <c r="S4351" s="6">
        <v>0</v>
      </c>
    </row>
    <row r="4352" spans="1:19" ht="15" hidden="1" x14ac:dyDescent="0.25">
      <c r="A4352" s="7" t="s">
        <v>16</v>
      </c>
      <c r="B4352" s="7" t="s">
        <v>372</v>
      </c>
      <c r="C4352" s="7" t="s">
        <v>373</v>
      </c>
      <c r="D4352" s="4">
        <v>51722957012512</v>
      </c>
      <c r="E4352" s="8" t="s">
        <v>604</v>
      </c>
      <c r="F4352" s="8" t="s">
        <v>29</v>
      </c>
      <c r="G4352" s="8" t="s">
        <v>19</v>
      </c>
      <c r="H4352" s="8" t="s">
        <v>215</v>
      </c>
      <c r="I4352" s="3">
        <v>2</v>
      </c>
      <c r="J4352" s="8" t="s">
        <v>183</v>
      </c>
      <c r="K4352" s="8" t="s">
        <v>184</v>
      </c>
      <c r="L4352" s="8" t="s">
        <v>557</v>
      </c>
      <c r="M4352" s="1" t="s">
        <v>207</v>
      </c>
      <c r="N4352" s="8" t="s">
        <v>208</v>
      </c>
      <c r="O4352" s="6">
        <v>0</v>
      </c>
      <c r="P4352" s="6">
        <v>6</v>
      </c>
      <c r="Q4352" s="6">
        <v>0</v>
      </c>
      <c r="R4352" s="6">
        <v>0</v>
      </c>
      <c r="S4352" s="6">
        <v>0</v>
      </c>
    </row>
    <row r="4353" spans="1:19" ht="15" hidden="1" x14ac:dyDescent="0.25">
      <c r="A4353" s="7" t="s">
        <v>16</v>
      </c>
      <c r="B4353" s="7" t="s">
        <v>372</v>
      </c>
      <c r="C4353" s="7" t="s">
        <v>373</v>
      </c>
      <c r="D4353" s="4">
        <v>60678604000113</v>
      </c>
      <c r="E4353" s="8" t="s">
        <v>612</v>
      </c>
      <c r="F4353" s="8" t="s">
        <v>29</v>
      </c>
      <c r="G4353" s="8" t="s">
        <v>19</v>
      </c>
      <c r="H4353" s="8" t="s">
        <v>215</v>
      </c>
      <c r="I4353" s="3">
        <v>2</v>
      </c>
      <c r="J4353" s="8" t="s">
        <v>161</v>
      </c>
      <c r="K4353" s="8" t="s">
        <v>162</v>
      </c>
      <c r="L4353" s="8" t="s">
        <v>556</v>
      </c>
      <c r="M4353" s="1" t="s">
        <v>207</v>
      </c>
      <c r="N4353" s="8" t="s">
        <v>208</v>
      </c>
      <c r="O4353" s="6">
        <v>0</v>
      </c>
      <c r="P4353" s="6">
        <v>0</v>
      </c>
      <c r="Q4353" s="6">
        <v>0</v>
      </c>
      <c r="R4353" s="6">
        <v>0</v>
      </c>
      <c r="S4353" s="6">
        <v>150</v>
      </c>
    </row>
    <row r="4354" spans="1:19" ht="15" hidden="1" x14ac:dyDescent="0.25">
      <c r="A4354" s="7" t="s">
        <v>16</v>
      </c>
      <c r="B4354" s="7" t="s">
        <v>372</v>
      </c>
      <c r="C4354" s="7" t="s">
        <v>373</v>
      </c>
      <c r="D4354" s="4">
        <v>60678604000113</v>
      </c>
      <c r="E4354" s="8" t="s">
        <v>612</v>
      </c>
      <c r="F4354" s="8" t="s">
        <v>29</v>
      </c>
      <c r="G4354" s="8" t="s">
        <v>19</v>
      </c>
      <c r="H4354" s="8" t="s">
        <v>215</v>
      </c>
      <c r="I4354" s="3">
        <v>2</v>
      </c>
      <c r="J4354" s="8" t="s">
        <v>147</v>
      </c>
      <c r="K4354" s="8" t="s">
        <v>148</v>
      </c>
      <c r="L4354" s="8" t="s">
        <v>557</v>
      </c>
      <c r="M4354" s="1" t="s">
        <v>207</v>
      </c>
      <c r="N4354" s="8" t="s">
        <v>208</v>
      </c>
      <c r="O4354" s="6">
        <v>0</v>
      </c>
      <c r="P4354" s="6">
        <v>0</v>
      </c>
      <c r="Q4354" s="6">
        <v>43</v>
      </c>
      <c r="R4354" s="6">
        <v>0</v>
      </c>
      <c r="S4354" s="6">
        <v>150</v>
      </c>
    </row>
    <row r="4355" spans="1:19" ht="15" hidden="1" x14ac:dyDescent="0.25">
      <c r="A4355" s="7" t="s">
        <v>16</v>
      </c>
      <c r="B4355" s="7" t="s">
        <v>372</v>
      </c>
      <c r="C4355" s="7" t="s">
        <v>373</v>
      </c>
      <c r="D4355" s="4">
        <v>46374500011803</v>
      </c>
      <c r="E4355" s="8" t="s">
        <v>1487</v>
      </c>
      <c r="F4355" s="8" t="s">
        <v>29</v>
      </c>
      <c r="G4355" s="8" t="s">
        <v>19</v>
      </c>
      <c r="H4355" s="8" t="s">
        <v>1334</v>
      </c>
      <c r="I4355" s="3">
        <v>0</v>
      </c>
      <c r="J4355" s="8"/>
      <c r="K4355" s="8"/>
      <c r="L4355" s="8"/>
      <c r="M4355" s="1"/>
      <c r="N4355" s="8"/>
      <c r="O4355" s="6">
        <v>0</v>
      </c>
      <c r="P4355" s="6">
        <v>0</v>
      </c>
      <c r="Q4355" s="6">
        <v>0</v>
      </c>
      <c r="R4355" s="6">
        <v>0</v>
      </c>
      <c r="S4355" s="6">
        <v>0</v>
      </c>
    </row>
    <row r="4356" spans="1:19" ht="15" hidden="1" x14ac:dyDescent="0.25">
      <c r="A4356" s="7" t="s">
        <v>16</v>
      </c>
      <c r="B4356" s="7" t="s">
        <v>372</v>
      </c>
      <c r="C4356" s="7" t="s">
        <v>373</v>
      </c>
      <c r="D4356" s="4">
        <v>61213674000240</v>
      </c>
      <c r="E4356" s="8" t="s">
        <v>629</v>
      </c>
      <c r="F4356" s="8" t="s">
        <v>29</v>
      </c>
      <c r="G4356" s="8" t="s">
        <v>19</v>
      </c>
      <c r="H4356" s="8" t="s">
        <v>215</v>
      </c>
      <c r="I4356" s="3">
        <v>2</v>
      </c>
      <c r="J4356" s="8" t="s">
        <v>1355</v>
      </c>
      <c r="K4356" s="8" t="s">
        <v>1356</v>
      </c>
      <c r="L4356" s="8" t="s">
        <v>556</v>
      </c>
      <c r="M4356" s="1" t="s">
        <v>207</v>
      </c>
      <c r="N4356" s="8" t="s">
        <v>208</v>
      </c>
      <c r="O4356" s="6">
        <v>0</v>
      </c>
      <c r="P4356" s="6">
        <v>0</v>
      </c>
      <c r="Q4356" s="6">
        <v>0</v>
      </c>
      <c r="R4356" s="6">
        <v>49</v>
      </c>
      <c r="S4356" s="6">
        <v>0</v>
      </c>
    </row>
    <row r="4357" spans="1:19" ht="15" hidden="1" x14ac:dyDescent="0.25">
      <c r="A4357" s="7" t="s">
        <v>16</v>
      </c>
      <c r="B4357" s="7" t="s">
        <v>372</v>
      </c>
      <c r="C4357" s="7" t="s">
        <v>373</v>
      </c>
      <c r="D4357" s="4">
        <v>61213674000240</v>
      </c>
      <c r="E4357" s="8" t="s">
        <v>629</v>
      </c>
      <c r="F4357" s="8" t="s">
        <v>29</v>
      </c>
      <c r="G4357" s="8" t="s">
        <v>19</v>
      </c>
      <c r="H4357" s="8" t="s">
        <v>215</v>
      </c>
      <c r="I4357" s="3">
        <v>2</v>
      </c>
      <c r="J4357" s="8" t="s">
        <v>147</v>
      </c>
      <c r="K4357" s="8" t="s">
        <v>148</v>
      </c>
      <c r="L4357" s="8" t="s">
        <v>557</v>
      </c>
      <c r="M4357" s="1" t="s">
        <v>207</v>
      </c>
      <c r="N4357" s="8" t="s">
        <v>208</v>
      </c>
      <c r="O4357" s="6">
        <v>0</v>
      </c>
      <c r="P4357" s="6">
        <v>1</v>
      </c>
      <c r="Q4357" s="6">
        <v>4</v>
      </c>
      <c r="R4357" s="6">
        <v>0</v>
      </c>
      <c r="S4357" s="6">
        <v>0</v>
      </c>
    </row>
    <row r="4358" spans="1:19" ht="15" hidden="1" x14ac:dyDescent="0.25">
      <c r="A4358" s="7" t="s">
        <v>16</v>
      </c>
      <c r="B4358" s="7" t="s">
        <v>372</v>
      </c>
      <c r="C4358" s="7" t="s">
        <v>373</v>
      </c>
      <c r="D4358" s="4">
        <v>8604105000161</v>
      </c>
      <c r="E4358" s="8" t="s">
        <v>1358</v>
      </c>
      <c r="F4358" s="8" t="s">
        <v>29</v>
      </c>
      <c r="G4358" s="8" t="s">
        <v>19</v>
      </c>
      <c r="H4358" s="8" t="s">
        <v>215</v>
      </c>
      <c r="I4358" s="3">
        <v>2</v>
      </c>
      <c r="J4358" s="8" t="s">
        <v>161</v>
      </c>
      <c r="K4358" s="8" t="s">
        <v>162</v>
      </c>
      <c r="L4358" s="8" t="s">
        <v>556</v>
      </c>
      <c r="M4358" s="1" t="s">
        <v>207</v>
      </c>
      <c r="N4358" s="8" t="s">
        <v>208</v>
      </c>
      <c r="O4358" s="6">
        <v>0</v>
      </c>
      <c r="P4358" s="6">
        <v>0</v>
      </c>
      <c r="Q4358" s="6">
        <v>0</v>
      </c>
      <c r="R4358" s="6">
        <v>0</v>
      </c>
      <c r="S4358" s="6">
        <v>35</v>
      </c>
    </row>
    <row r="4359" spans="1:19" ht="15" hidden="1" x14ac:dyDescent="0.25">
      <c r="A4359" s="7" t="s">
        <v>16</v>
      </c>
      <c r="B4359" s="7" t="s">
        <v>372</v>
      </c>
      <c r="C4359" s="7" t="s">
        <v>373</v>
      </c>
      <c r="D4359" s="4">
        <v>8604105000161</v>
      </c>
      <c r="E4359" s="8" t="s">
        <v>1358</v>
      </c>
      <c r="F4359" s="8" t="s">
        <v>29</v>
      </c>
      <c r="G4359" s="8" t="s">
        <v>19</v>
      </c>
      <c r="H4359" s="8" t="s">
        <v>215</v>
      </c>
      <c r="I4359" s="3">
        <v>2</v>
      </c>
      <c r="J4359" s="8" t="s">
        <v>177</v>
      </c>
      <c r="K4359" s="8" t="s">
        <v>178</v>
      </c>
      <c r="L4359" s="8" t="s">
        <v>557</v>
      </c>
      <c r="M4359" s="1" t="s">
        <v>207</v>
      </c>
      <c r="N4359" s="8" t="s">
        <v>208</v>
      </c>
      <c r="O4359" s="6">
        <v>0</v>
      </c>
      <c r="P4359" s="6">
        <v>0</v>
      </c>
      <c r="Q4359" s="6">
        <v>0</v>
      </c>
      <c r="R4359" s="6">
        <v>0</v>
      </c>
      <c r="S4359" s="6">
        <v>35</v>
      </c>
    </row>
    <row r="4360" spans="1:19" ht="15" hidden="1" x14ac:dyDescent="0.25">
      <c r="A4360" s="7" t="s">
        <v>16</v>
      </c>
      <c r="B4360" s="7" t="s">
        <v>372</v>
      </c>
      <c r="C4360" s="7" t="s">
        <v>373</v>
      </c>
      <c r="D4360" s="4">
        <v>60765823000130</v>
      </c>
      <c r="E4360" s="8" t="s">
        <v>615</v>
      </c>
      <c r="F4360" s="8" t="s">
        <v>29</v>
      </c>
      <c r="G4360" s="8" t="s">
        <v>19</v>
      </c>
      <c r="H4360" s="8" t="s">
        <v>215</v>
      </c>
      <c r="I4360" s="3">
        <v>2</v>
      </c>
      <c r="J4360" s="8" t="s">
        <v>1355</v>
      </c>
      <c r="K4360" s="8" t="s">
        <v>1356</v>
      </c>
      <c r="L4360" s="8" t="s">
        <v>556</v>
      </c>
      <c r="M4360" s="1" t="s">
        <v>207</v>
      </c>
      <c r="N4360" s="8" t="s">
        <v>208</v>
      </c>
      <c r="O4360" s="6">
        <v>0</v>
      </c>
      <c r="P4360" s="6">
        <v>0</v>
      </c>
      <c r="Q4360" s="6">
        <v>0</v>
      </c>
      <c r="R4360" s="6">
        <v>50</v>
      </c>
      <c r="S4360" s="6">
        <v>1300</v>
      </c>
    </row>
    <row r="4361" spans="1:19" ht="15" hidden="1" x14ac:dyDescent="0.25">
      <c r="A4361" s="7" t="s">
        <v>16</v>
      </c>
      <c r="B4361" s="7" t="s">
        <v>372</v>
      </c>
      <c r="C4361" s="7" t="s">
        <v>373</v>
      </c>
      <c r="D4361" s="4">
        <v>60765823000130</v>
      </c>
      <c r="E4361" s="8" t="s">
        <v>615</v>
      </c>
      <c r="F4361" s="8" t="s">
        <v>29</v>
      </c>
      <c r="G4361" s="8" t="s">
        <v>19</v>
      </c>
      <c r="H4361" s="8" t="s">
        <v>215</v>
      </c>
      <c r="I4361" s="3">
        <v>2</v>
      </c>
      <c r="J4361" s="8" t="s">
        <v>147</v>
      </c>
      <c r="K4361" s="8" t="s">
        <v>148</v>
      </c>
      <c r="L4361" s="8" t="s">
        <v>557</v>
      </c>
      <c r="M4361" s="1" t="s">
        <v>207</v>
      </c>
      <c r="N4361" s="8" t="s">
        <v>208</v>
      </c>
      <c r="O4361" s="6">
        <v>0</v>
      </c>
      <c r="P4361" s="6">
        <v>100</v>
      </c>
      <c r="Q4361" s="6">
        <v>140</v>
      </c>
      <c r="R4361" s="6">
        <v>0</v>
      </c>
      <c r="S4361" s="6">
        <v>1300</v>
      </c>
    </row>
    <row r="4362" spans="1:19" ht="15" hidden="1" x14ac:dyDescent="0.25">
      <c r="A4362" s="7" t="s">
        <v>16</v>
      </c>
      <c r="B4362" s="7" t="s">
        <v>372</v>
      </c>
      <c r="C4362" s="7" t="s">
        <v>373</v>
      </c>
      <c r="D4362" s="4">
        <v>19056055000141</v>
      </c>
      <c r="E4362" s="8" t="s">
        <v>586</v>
      </c>
      <c r="F4362" s="8" t="s">
        <v>29</v>
      </c>
      <c r="G4362" s="8" t="s">
        <v>19</v>
      </c>
      <c r="H4362" s="8" t="s">
        <v>215</v>
      </c>
      <c r="I4362" s="3">
        <v>2</v>
      </c>
      <c r="J4362" s="8" t="s">
        <v>161</v>
      </c>
      <c r="K4362" s="8" t="s">
        <v>162</v>
      </c>
      <c r="L4362" s="8" t="s">
        <v>556</v>
      </c>
      <c r="M4362" s="1" t="s">
        <v>207</v>
      </c>
      <c r="N4362" s="8" t="s">
        <v>208</v>
      </c>
      <c r="O4362" s="6">
        <v>0</v>
      </c>
      <c r="P4362" s="6">
        <v>0</v>
      </c>
      <c r="Q4362" s="6">
        <v>0</v>
      </c>
      <c r="R4362" s="6">
        <v>0</v>
      </c>
      <c r="S4362" s="6">
        <v>0</v>
      </c>
    </row>
    <row r="4363" spans="1:19" ht="15" hidden="1" x14ac:dyDescent="0.25">
      <c r="A4363" s="7" t="s">
        <v>16</v>
      </c>
      <c r="B4363" s="7" t="s">
        <v>372</v>
      </c>
      <c r="C4363" s="7" t="s">
        <v>373</v>
      </c>
      <c r="D4363" s="4">
        <v>19056055000141</v>
      </c>
      <c r="E4363" s="8" t="s">
        <v>586</v>
      </c>
      <c r="F4363" s="8" t="s">
        <v>29</v>
      </c>
      <c r="G4363" s="8" t="s">
        <v>19</v>
      </c>
      <c r="H4363" s="8" t="s">
        <v>215</v>
      </c>
      <c r="I4363" s="3">
        <v>2</v>
      </c>
      <c r="J4363" s="8" t="s">
        <v>177</v>
      </c>
      <c r="K4363" s="8" t="s">
        <v>178</v>
      </c>
      <c r="L4363" s="8" t="s">
        <v>557</v>
      </c>
      <c r="M4363" s="1" t="s">
        <v>207</v>
      </c>
      <c r="N4363" s="8" t="s">
        <v>208</v>
      </c>
      <c r="O4363" s="6">
        <v>0</v>
      </c>
      <c r="P4363" s="6">
        <v>4</v>
      </c>
      <c r="Q4363" s="6">
        <v>3</v>
      </c>
      <c r="R4363" s="6">
        <v>0</v>
      </c>
      <c r="S4363" s="6">
        <v>0</v>
      </c>
    </row>
    <row r="4364" spans="1:19" ht="15" hidden="1" x14ac:dyDescent="0.25">
      <c r="A4364" s="7" t="s">
        <v>16</v>
      </c>
      <c r="B4364" s="7" t="s">
        <v>372</v>
      </c>
      <c r="C4364" s="7" t="s">
        <v>373</v>
      </c>
      <c r="D4364" s="4">
        <v>29435005002687</v>
      </c>
      <c r="E4364" s="8" t="s">
        <v>593</v>
      </c>
      <c r="F4364" s="8" t="s">
        <v>29</v>
      </c>
      <c r="G4364" s="8" t="s">
        <v>19</v>
      </c>
      <c r="H4364" s="8" t="s">
        <v>215</v>
      </c>
      <c r="I4364" s="3">
        <v>2</v>
      </c>
      <c r="J4364" s="8" t="s">
        <v>161</v>
      </c>
      <c r="K4364" s="8" t="s">
        <v>162</v>
      </c>
      <c r="L4364" s="8" t="s">
        <v>556</v>
      </c>
      <c r="M4364" s="1" t="s">
        <v>207</v>
      </c>
      <c r="N4364" s="8" t="s">
        <v>208</v>
      </c>
      <c r="O4364" s="6">
        <v>0</v>
      </c>
      <c r="P4364" s="6">
        <v>0</v>
      </c>
      <c r="Q4364" s="6">
        <v>0</v>
      </c>
      <c r="R4364" s="6">
        <v>0</v>
      </c>
      <c r="S4364" s="6">
        <v>0</v>
      </c>
    </row>
    <row r="4365" spans="1:19" ht="15" hidden="1" x14ac:dyDescent="0.25">
      <c r="A4365" s="7" t="s">
        <v>16</v>
      </c>
      <c r="B4365" s="7" t="s">
        <v>372</v>
      </c>
      <c r="C4365" s="7" t="s">
        <v>373</v>
      </c>
      <c r="D4365" s="4">
        <v>29435005002687</v>
      </c>
      <c r="E4365" s="8" t="s">
        <v>593</v>
      </c>
      <c r="F4365" s="8" t="s">
        <v>29</v>
      </c>
      <c r="G4365" s="8" t="s">
        <v>19</v>
      </c>
      <c r="H4365" s="8" t="s">
        <v>215</v>
      </c>
      <c r="I4365" s="3">
        <v>2</v>
      </c>
      <c r="J4365" s="8" t="s">
        <v>183</v>
      </c>
      <c r="K4365" s="8" t="s">
        <v>184</v>
      </c>
      <c r="L4365" s="8" t="s">
        <v>557</v>
      </c>
      <c r="M4365" s="1" t="s">
        <v>207</v>
      </c>
      <c r="N4365" s="8" t="s">
        <v>208</v>
      </c>
      <c r="O4365" s="6">
        <v>0</v>
      </c>
      <c r="P4365" s="6">
        <v>10</v>
      </c>
      <c r="Q4365" s="6">
        <v>0</v>
      </c>
      <c r="R4365" s="6">
        <v>0</v>
      </c>
      <c r="S4365" s="6">
        <v>0</v>
      </c>
    </row>
    <row r="4366" spans="1:19" ht="15" hidden="1" x14ac:dyDescent="0.25">
      <c r="A4366" s="7" t="s">
        <v>16</v>
      </c>
      <c r="B4366" s="7" t="s">
        <v>372</v>
      </c>
      <c r="C4366" s="7" t="s">
        <v>373</v>
      </c>
      <c r="D4366" s="4">
        <v>461479004150</v>
      </c>
      <c r="E4366" s="8" t="s">
        <v>1138</v>
      </c>
      <c r="F4366" s="8" t="s">
        <v>29</v>
      </c>
      <c r="G4366" s="8" t="s">
        <v>19</v>
      </c>
      <c r="H4366" s="8" t="s">
        <v>215</v>
      </c>
      <c r="I4366" s="3">
        <v>2</v>
      </c>
      <c r="J4366" s="8" t="s">
        <v>1355</v>
      </c>
      <c r="K4366" s="8" t="s">
        <v>1356</v>
      </c>
      <c r="L4366" s="8" t="s">
        <v>556</v>
      </c>
      <c r="M4366" s="1" t="s">
        <v>207</v>
      </c>
      <c r="N4366" s="8" t="s">
        <v>208</v>
      </c>
      <c r="O4366" s="6">
        <v>0</v>
      </c>
      <c r="P4366" s="6">
        <v>0</v>
      </c>
      <c r="Q4366" s="6">
        <v>0</v>
      </c>
      <c r="R4366" s="6">
        <v>0</v>
      </c>
      <c r="S4366" s="6">
        <v>175</v>
      </c>
    </row>
    <row r="4367" spans="1:19" ht="15" hidden="1" x14ac:dyDescent="0.25">
      <c r="A4367" s="7" t="s">
        <v>16</v>
      </c>
      <c r="B4367" s="7" t="s">
        <v>372</v>
      </c>
      <c r="C4367" s="7" t="s">
        <v>373</v>
      </c>
      <c r="D4367" s="4">
        <v>461479004150</v>
      </c>
      <c r="E4367" s="8" t="s">
        <v>1138</v>
      </c>
      <c r="F4367" s="8" t="s">
        <v>29</v>
      </c>
      <c r="G4367" s="8" t="s">
        <v>19</v>
      </c>
      <c r="H4367" s="8" t="s">
        <v>215</v>
      </c>
      <c r="I4367" s="3">
        <v>2</v>
      </c>
      <c r="J4367" s="8" t="s">
        <v>183</v>
      </c>
      <c r="K4367" s="8" t="s">
        <v>184</v>
      </c>
      <c r="L4367" s="8" t="s">
        <v>557</v>
      </c>
      <c r="M4367" s="1" t="s">
        <v>207</v>
      </c>
      <c r="N4367" s="8" t="s">
        <v>208</v>
      </c>
      <c r="O4367" s="6">
        <v>0</v>
      </c>
      <c r="P4367" s="6">
        <v>0</v>
      </c>
      <c r="Q4367" s="6">
        <v>0</v>
      </c>
      <c r="R4367" s="6">
        <v>0</v>
      </c>
      <c r="S4367" s="6">
        <v>175</v>
      </c>
    </row>
    <row r="4368" spans="1:19" ht="15" hidden="1" x14ac:dyDescent="0.25">
      <c r="A4368" s="7" t="s">
        <v>16</v>
      </c>
      <c r="B4368" s="7" t="s">
        <v>372</v>
      </c>
      <c r="C4368" s="7" t="s">
        <v>373</v>
      </c>
      <c r="D4368" s="4">
        <v>60922168000771</v>
      </c>
      <c r="E4368" s="8" t="s">
        <v>618</v>
      </c>
      <c r="F4368" s="8" t="s">
        <v>29</v>
      </c>
      <c r="G4368" s="8" t="s">
        <v>19</v>
      </c>
      <c r="H4368" s="8" t="s">
        <v>215</v>
      </c>
      <c r="I4368" s="3">
        <v>2</v>
      </c>
      <c r="J4368" s="8" t="s">
        <v>1355</v>
      </c>
      <c r="K4368" s="8" t="s">
        <v>1356</v>
      </c>
      <c r="L4368" s="8" t="s">
        <v>556</v>
      </c>
      <c r="M4368" s="1" t="s">
        <v>207</v>
      </c>
      <c r="N4368" s="8" t="s">
        <v>208</v>
      </c>
      <c r="O4368" s="6">
        <v>0</v>
      </c>
      <c r="P4368" s="6">
        <v>0</v>
      </c>
      <c r="Q4368" s="6">
        <v>0</v>
      </c>
      <c r="R4368" s="6">
        <v>18</v>
      </c>
      <c r="S4368" s="6">
        <v>300</v>
      </c>
    </row>
    <row r="4369" spans="1:19" ht="15" hidden="1" x14ac:dyDescent="0.25">
      <c r="A4369" s="7" t="s">
        <v>16</v>
      </c>
      <c r="B4369" s="7" t="s">
        <v>372</v>
      </c>
      <c r="C4369" s="7" t="s">
        <v>373</v>
      </c>
      <c r="D4369" s="4">
        <v>60922168000771</v>
      </c>
      <c r="E4369" s="8" t="s">
        <v>618</v>
      </c>
      <c r="F4369" s="8" t="s">
        <v>29</v>
      </c>
      <c r="G4369" s="8" t="s">
        <v>19</v>
      </c>
      <c r="H4369" s="8" t="s">
        <v>215</v>
      </c>
      <c r="I4369" s="3">
        <v>2</v>
      </c>
      <c r="J4369" s="8" t="s">
        <v>147</v>
      </c>
      <c r="K4369" s="8" t="s">
        <v>148</v>
      </c>
      <c r="L4369" s="8" t="s">
        <v>557</v>
      </c>
      <c r="M4369" s="1" t="s">
        <v>207</v>
      </c>
      <c r="N4369" s="8" t="s">
        <v>208</v>
      </c>
      <c r="O4369" s="6">
        <v>0</v>
      </c>
      <c r="P4369" s="6">
        <v>0</v>
      </c>
      <c r="Q4369" s="6">
        <v>1</v>
      </c>
      <c r="R4369" s="6">
        <v>0</v>
      </c>
      <c r="S4369" s="6">
        <v>300</v>
      </c>
    </row>
    <row r="4370" spans="1:19" ht="15" hidden="1" x14ac:dyDescent="0.25">
      <c r="A4370" s="7" t="s">
        <v>16</v>
      </c>
      <c r="B4370" s="7" t="s">
        <v>372</v>
      </c>
      <c r="C4370" s="7" t="s">
        <v>373</v>
      </c>
      <c r="D4370" s="4">
        <v>60552098000111</v>
      </c>
      <c r="E4370" s="8" t="s">
        <v>611</v>
      </c>
      <c r="F4370" s="8" t="s">
        <v>29</v>
      </c>
      <c r="G4370" s="8" t="s">
        <v>19</v>
      </c>
      <c r="H4370" s="8" t="s">
        <v>215</v>
      </c>
      <c r="I4370" s="3">
        <v>2</v>
      </c>
      <c r="J4370" s="8" t="s">
        <v>161</v>
      </c>
      <c r="K4370" s="8" t="s">
        <v>162</v>
      </c>
      <c r="L4370" s="8" t="s">
        <v>556</v>
      </c>
      <c r="M4370" s="1" t="s">
        <v>207</v>
      </c>
      <c r="N4370" s="8" t="s">
        <v>208</v>
      </c>
      <c r="O4370" s="6">
        <v>0</v>
      </c>
      <c r="P4370" s="6">
        <v>0</v>
      </c>
      <c r="Q4370" s="6">
        <v>0</v>
      </c>
      <c r="R4370" s="6">
        <v>0</v>
      </c>
      <c r="S4370" s="6">
        <v>450</v>
      </c>
    </row>
    <row r="4371" spans="1:19" ht="15" hidden="1" x14ac:dyDescent="0.25">
      <c r="A4371" s="7" t="s">
        <v>16</v>
      </c>
      <c r="B4371" s="7" t="s">
        <v>372</v>
      </c>
      <c r="C4371" s="7" t="s">
        <v>373</v>
      </c>
      <c r="D4371" s="4">
        <v>60552098000111</v>
      </c>
      <c r="E4371" s="8" t="s">
        <v>611</v>
      </c>
      <c r="F4371" s="8" t="s">
        <v>29</v>
      </c>
      <c r="G4371" s="8" t="s">
        <v>19</v>
      </c>
      <c r="H4371" s="8" t="s">
        <v>215</v>
      </c>
      <c r="I4371" s="3">
        <v>2</v>
      </c>
      <c r="J4371" s="8" t="s">
        <v>147</v>
      </c>
      <c r="K4371" s="8" t="s">
        <v>148</v>
      </c>
      <c r="L4371" s="8" t="s">
        <v>557</v>
      </c>
      <c r="M4371" s="1" t="s">
        <v>207</v>
      </c>
      <c r="N4371" s="8" t="s">
        <v>208</v>
      </c>
      <c r="O4371" s="6">
        <v>0</v>
      </c>
      <c r="P4371" s="6">
        <v>0</v>
      </c>
      <c r="Q4371" s="6">
        <v>0</v>
      </c>
      <c r="R4371" s="6">
        <v>0</v>
      </c>
      <c r="S4371" s="6">
        <v>450</v>
      </c>
    </row>
    <row r="4372" spans="1:19" ht="15" hidden="1" x14ac:dyDescent="0.25">
      <c r="A4372" s="7" t="s">
        <v>16</v>
      </c>
      <c r="B4372" s="7" t="s">
        <v>372</v>
      </c>
      <c r="C4372" s="7" t="s">
        <v>373</v>
      </c>
      <c r="D4372" s="4">
        <v>60742616000160</v>
      </c>
      <c r="E4372" s="8" t="s">
        <v>1362</v>
      </c>
      <c r="F4372" s="8" t="s">
        <v>29</v>
      </c>
      <c r="G4372" s="8" t="s">
        <v>19</v>
      </c>
      <c r="H4372" s="8" t="s">
        <v>215</v>
      </c>
      <c r="I4372" s="3">
        <v>2</v>
      </c>
      <c r="J4372" s="8" t="s">
        <v>161</v>
      </c>
      <c r="K4372" s="8" t="s">
        <v>162</v>
      </c>
      <c r="L4372" s="8" t="s">
        <v>556</v>
      </c>
      <c r="M4372" s="1" t="s">
        <v>207</v>
      </c>
      <c r="N4372" s="8" t="s">
        <v>208</v>
      </c>
      <c r="O4372" s="6">
        <v>0</v>
      </c>
      <c r="P4372" s="6">
        <v>0</v>
      </c>
      <c r="Q4372" s="6">
        <v>0</v>
      </c>
      <c r="R4372" s="6">
        <v>0</v>
      </c>
      <c r="S4372" s="6">
        <v>530</v>
      </c>
    </row>
    <row r="4373" spans="1:19" ht="15" hidden="1" x14ac:dyDescent="0.25">
      <c r="A4373" s="7" t="s">
        <v>16</v>
      </c>
      <c r="B4373" s="7" t="s">
        <v>372</v>
      </c>
      <c r="C4373" s="7" t="s">
        <v>373</v>
      </c>
      <c r="D4373" s="4">
        <v>60742616000160</v>
      </c>
      <c r="E4373" s="8" t="s">
        <v>1362</v>
      </c>
      <c r="F4373" s="8" t="s">
        <v>29</v>
      </c>
      <c r="G4373" s="8" t="s">
        <v>19</v>
      </c>
      <c r="H4373" s="8" t="s">
        <v>215</v>
      </c>
      <c r="I4373" s="3">
        <v>2</v>
      </c>
      <c r="J4373" s="8" t="s">
        <v>147</v>
      </c>
      <c r="K4373" s="8" t="s">
        <v>148</v>
      </c>
      <c r="L4373" s="8" t="s">
        <v>557</v>
      </c>
      <c r="M4373" s="1" t="s">
        <v>207</v>
      </c>
      <c r="N4373" s="8" t="s">
        <v>208</v>
      </c>
      <c r="O4373" s="6">
        <v>0</v>
      </c>
      <c r="P4373" s="6">
        <v>0</v>
      </c>
      <c r="Q4373" s="6">
        <v>0</v>
      </c>
      <c r="R4373" s="6">
        <v>0</v>
      </c>
      <c r="S4373" s="6">
        <v>530</v>
      </c>
    </row>
    <row r="4374" spans="1:19" ht="15" hidden="1" x14ac:dyDescent="0.25">
      <c r="A4374" s="7" t="s">
        <v>16</v>
      </c>
      <c r="B4374" s="7" t="s">
        <v>372</v>
      </c>
      <c r="C4374" s="7" t="s">
        <v>373</v>
      </c>
      <c r="D4374" s="4">
        <v>60777901000116</v>
      </c>
      <c r="E4374" s="8" t="s">
        <v>616</v>
      </c>
      <c r="F4374" s="8" t="s">
        <v>29</v>
      </c>
      <c r="G4374" s="8" t="s">
        <v>19</v>
      </c>
      <c r="H4374" s="8" t="s">
        <v>215</v>
      </c>
      <c r="I4374" s="3">
        <v>2</v>
      </c>
      <c r="J4374" s="8" t="s">
        <v>161</v>
      </c>
      <c r="K4374" s="8" t="s">
        <v>162</v>
      </c>
      <c r="L4374" s="8" t="s">
        <v>556</v>
      </c>
      <c r="M4374" s="1" t="s">
        <v>207</v>
      </c>
      <c r="N4374" s="8" t="s">
        <v>208</v>
      </c>
      <c r="O4374" s="6">
        <v>0</v>
      </c>
      <c r="P4374" s="6">
        <v>0</v>
      </c>
      <c r="Q4374" s="6">
        <v>0</v>
      </c>
      <c r="R4374" s="6">
        <v>60</v>
      </c>
      <c r="S4374" s="6">
        <v>850</v>
      </c>
    </row>
    <row r="4375" spans="1:19" ht="15" hidden="1" x14ac:dyDescent="0.25">
      <c r="A4375" s="7" t="s">
        <v>16</v>
      </c>
      <c r="B4375" s="7" t="s">
        <v>372</v>
      </c>
      <c r="C4375" s="7" t="s">
        <v>373</v>
      </c>
      <c r="D4375" s="4">
        <v>60777901000116</v>
      </c>
      <c r="E4375" s="8" t="s">
        <v>616</v>
      </c>
      <c r="F4375" s="8" t="s">
        <v>29</v>
      </c>
      <c r="G4375" s="8" t="s">
        <v>19</v>
      </c>
      <c r="H4375" s="8" t="s">
        <v>215</v>
      </c>
      <c r="I4375" s="3">
        <v>2</v>
      </c>
      <c r="J4375" s="8" t="s">
        <v>183</v>
      </c>
      <c r="K4375" s="8" t="s">
        <v>184</v>
      </c>
      <c r="L4375" s="8" t="s">
        <v>557</v>
      </c>
      <c r="M4375" s="1" t="s">
        <v>207</v>
      </c>
      <c r="N4375" s="8" t="s">
        <v>208</v>
      </c>
      <c r="O4375" s="6">
        <v>0</v>
      </c>
      <c r="P4375" s="6">
        <v>0</v>
      </c>
      <c r="Q4375" s="6">
        <v>0</v>
      </c>
      <c r="R4375" s="6">
        <v>0</v>
      </c>
      <c r="S4375" s="6">
        <v>850</v>
      </c>
    </row>
    <row r="4376" spans="1:19" ht="15" hidden="1" x14ac:dyDescent="0.25">
      <c r="A4376" s="7" t="s">
        <v>16</v>
      </c>
      <c r="B4376" s="7" t="s">
        <v>372</v>
      </c>
      <c r="C4376" s="7" t="s">
        <v>373</v>
      </c>
      <c r="D4376" s="4">
        <v>60975737005110</v>
      </c>
      <c r="E4376" s="8" t="s">
        <v>626</v>
      </c>
      <c r="F4376" s="8" t="s">
        <v>29</v>
      </c>
      <c r="G4376" s="8" t="s">
        <v>19</v>
      </c>
      <c r="H4376" s="8" t="s">
        <v>215</v>
      </c>
      <c r="I4376" s="3">
        <v>2</v>
      </c>
      <c r="J4376" s="8" t="s">
        <v>161</v>
      </c>
      <c r="K4376" s="8" t="s">
        <v>162</v>
      </c>
      <c r="L4376" s="8" t="s">
        <v>556</v>
      </c>
      <c r="M4376" s="1" t="s">
        <v>207</v>
      </c>
      <c r="N4376" s="8" t="s">
        <v>208</v>
      </c>
      <c r="O4376" s="6">
        <v>0</v>
      </c>
      <c r="P4376" s="6">
        <v>0</v>
      </c>
      <c r="Q4376" s="6">
        <v>0</v>
      </c>
      <c r="R4376" s="6">
        <v>0</v>
      </c>
      <c r="S4376" s="6">
        <v>0</v>
      </c>
    </row>
    <row r="4377" spans="1:19" ht="15" hidden="1" x14ac:dyDescent="0.25">
      <c r="A4377" s="7" t="s">
        <v>16</v>
      </c>
      <c r="B4377" s="7" t="s">
        <v>372</v>
      </c>
      <c r="C4377" s="7" t="s">
        <v>373</v>
      </c>
      <c r="D4377" s="4">
        <v>60975737005110</v>
      </c>
      <c r="E4377" s="8" t="s">
        <v>626</v>
      </c>
      <c r="F4377" s="8" t="s">
        <v>29</v>
      </c>
      <c r="G4377" s="8" t="s">
        <v>19</v>
      </c>
      <c r="H4377" s="8" t="s">
        <v>215</v>
      </c>
      <c r="I4377" s="3">
        <v>2</v>
      </c>
      <c r="J4377" s="8" t="s">
        <v>177</v>
      </c>
      <c r="K4377" s="8" t="s">
        <v>178</v>
      </c>
      <c r="L4377" s="8" t="s">
        <v>557</v>
      </c>
      <c r="M4377" s="1" t="s">
        <v>207</v>
      </c>
      <c r="N4377" s="8" t="s">
        <v>208</v>
      </c>
      <c r="O4377" s="6">
        <v>0</v>
      </c>
      <c r="P4377" s="6">
        <v>3</v>
      </c>
      <c r="Q4377" s="6">
        <v>0</v>
      </c>
      <c r="R4377" s="6">
        <v>0</v>
      </c>
      <c r="S4377" s="6">
        <v>0</v>
      </c>
    </row>
    <row r="4378" spans="1:19" ht="15" hidden="1" x14ac:dyDescent="0.25">
      <c r="A4378" s="7" t="s">
        <v>16</v>
      </c>
      <c r="B4378" s="7" t="s">
        <v>372</v>
      </c>
      <c r="C4378" s="7" t="s">
        <v>373</v>
      </c>
      <c r="D4378" s="4">
        <v>60975737000232</v>
      </c>
      <c r="E4378" s="8" t="s">
        <v>624</v>
      </c>
      <c r="F4378" s="8" t="s">
        <v>29</v>
      </c>
      <c r="G4378" s="8" t="s">
        <v>19</v>
      </c>
      <c r="H4378" s="8" t="s">
        <v>215</v>
      </c>
      <c r="I4378" s="3">
        <v>2</v>
      </c>
      <c r="J4378" s="8" t="s">
        <v>161</v>
      </c>
      <c r="K4378" s="8" t="s">
        <v>162</v>
      </c>
      <c r="L4378" s="8" t="s">
        <v>556</v>
      </c>
      <c r="M4378" s="1" t="s">
        <v>207</v>
      </c>
      <c r="N4378" s="8" t="s">
        <v>208</v>
      </c>
      <c r="O4378" s="6">
        <v>0</v>
      </c>
      <c r="P4378" s="6">
        <v>0</v>
      </c>
      <c r="Q4378" s="6">
        <v>0</v>
      </c>
      <c r="R4378" s="6">
        <v>0</v>
      </c>
      <c r="S4378" s="6">
        <v>0</v>
      </c>
    </row>
    <row r="4379" spans="1:19" ht="15" hidden="1" x14ac:dyDescent="0.25">
      <c r="A4379" s="7" t="s">
        <v>16</v>
      </c>
      <c r="B4379" s="7" t="s">
        <v>372</v>
      </c>
      <c r="C4379" s="7" t="s">
        <v>373</v>
      </c>
      <c r="D4379" s="4">
        <v>60975737000232</v>
      </c>
      <c r="E4379" s="8" t="s">
        <v>624</v>
      </c>
      <c r="F4379" s="8" t="s">
        <v>29</v>
      </c>
      <c r="G4379" s="8" t="s">
        <v>19</v>
      </c>
      <c r="H4379" s="8" t="s">
        <v>215</v>
      </c>
      <c r="I4379" s="3">
        <v>2</v>
      </c>
      <c r="J4379" s="8" t="s">
        <v>177</v>
      </c>
      <c r="K4379" s="8" t="s">
        <v>178</v>
      </c>
      <c r="L4379" s="8" t="s">
        <v>557</v>
      </c>
      <c r="M4379" s="1" t="s">
        <v>207</v>
      </c>
      <c r="N4379" s="8" t="s">
        <v>208</v>
      </c>
      <c r="O4379" s="6">
        <v>0</v>
      </c>
      <c r="P4379" s="6">
        <v>5</v>
      </c>
      <c r="Q4379" s="6">
        <v>0</v>
      </c>
      <c r="R4379" s="6">
        <v>0</v>
      </c>
      <c r="S4379" s="6">
        <v>0</v>
      </c>
    </row>
    <row r="4380" spans="1:19" ht="15" hidden="1" x14ac:dyDescent="0.25">
      <c r="A4380" s="7" t="s">
        <v>16</v>
      </c>
      <c r="B4380" s="7" t="s">
        <v>372</v>
      </c>
      <c r="C4380" s="7" t="s">
        <v>373</v>
      </c>
      <c r="D4380" s="4">
        <v>60975737001204</v>
      </c>
      <c r="E4380" s="8" t="s">
        <v>625</v>
      </c>
      <c r="F4380" s="8" t="s">
        <v>29</v>
      </c>
      <c r="G4380" s="8" t="s">
        <v>19</v>
      </c>
      <c r="H4380" s="8" t="s">
        <v>215</v>
      </c>
      <c r="I4380" s="3">
        <v>2</v>
      </c>
      <c r="J4380" s="8" t="s">
        <v>161</v>
      </c>
      <c r="K4380" s="8" t="s">
        <v>162</v>
      </c>
      <c r="L4380" s="8" t="s">
        <v>556</v>
      </c>
      <c r="M4380" s="1" t="s">
        <v>207</v>
      </c>
      <c r="N4380" s="8" t="s">
        <v>208</v>
      </c>
      <c r="O4380" s="6">
        <v>0</v>
      </c>
      <c r="P4380" s="6">
        <v>0</v>
      </c>
      <c r="Q4380" s="6">
        <v>0</v>
      </c>
      <c r="R4380" s="6">
        <v>0</v>
      </c>
      <c r="S4380" s="6">
        <v>0</v>
      </c>
    </row>
    <row r="4381" spans="1:19" ht="15" hidden="1" x14ac:dyDescent="0.25">
      <c r="A4381" s="7" t="s">
        <v>16</v>
      </c>
      <c r="B4381" s="7" t="s">
        <v>372</v>
      </c>
      <c r="C4381" s="7" t="s">
        <v>373</v>
      </c>
      <c r="D4381" s="4">
        <v>60975737001204</v>
      </c>
      <c r="E4381" s="8" t="s">
        <v>625</v>
      </c>
      <c r="F4381" s="8" t="s">
        <v>29</v>
      </c>
      <c r="G4381" s="8" t="s">
        <v>19</v>
      </c>
      <c r="H4381" s="8" t="s">
        <v>215</v>
      </c>
      <c r="I4381" s="3">
        <v>2</v>
      </c>
      <c r="J4381" s="8" t="s">
        <v>177</v>
      </c>
      <c r="K4381" s="8" t="s">
        <v>178</v>
      </c>
      <c r="L4381" s="8" t="s">
        <v>557</v>
      </c>
      <c r="M4381" s="1" t="s">
        <v>207</v>
      </c>
      <c r="N4381" s="8" t="s">
        <v>208</v>
      </c>
      <c r="O4381" s="6">
        <v>0</v>
      </c>
      <c r="P4381" s="6">
        <v>6</v>
      </c>
      <c r="Q4381" s="6">
        <v>6</v>
      </c>
      <c r="R4381" s="6">
        <v>0</v>
      </c>
      <c r="S4381" s="6">
        <v>0</v>
      </c>
    </row>
    <row r="4382" spans="1:19" ht="15" hidden="1" x14ac:dyDescent="0.25">
      <c r="A4382" s="7" t="s">
        <v>16</v>
      </c>
      <c r="B4382" s="7" t="s">
        <v>372</v>
      </c>
      <c r="C4382" s="7" t="s">
        <v>373</v>
      </c>
      <c r="D4382" s="4">
        <v>5831510000124</v>
      </c>
      <c r="E4382" s="8" t="s">
        <v>567</v>
      </c>
      <c r="F4382" s="8" t="s">
        <v>29</v>
      </c>
      <c r="G4382" s="8" t="s">
        <v>19</v>
      </c>
      <c r="H4382" s="8" t="s">
        <v>215</v>
      </c>
      <c r="I4382" s="3">
        <v>2</v>
      </c>
      <c r="J4382" s="8" t="s">
        <v>161</v>
      </c>
      <c r="K4382" s="8" t="s">
        <v>162</v>
      </c>
      <c r="L4382" s="8" t="s">
        <v>556</v>
      </c>
      <c r="M4382" s="1" t="s">
        <v>207</v>
      </c>
      <c r="N4382" s="8" t="s">
        <v>208</v>
      </c>
      <c r="O4382" s="6">
        <v>0</v>
      </c>
      <c r="P4382" s="6">
        <v>0</v>
      </c>
      <c r="Q4382" s="6">
        <v>0</v>
      </c>
      <c r="R4382" s="6">
        <v>0</v>
      </c>
      <c r="S4382" s="6">
        <v>140</v>
      </c>
    </row>
    <row r="4383" spans="1:19" ht="15" hidden="1" x14ac:dyDescent="0.25">
      <c r="A4383" s="7" t="s">
        <v>16</v>
      </c>
      <c r="B4383" s="7" t="s">
        <v>372</v>
      </c>
      <c r="C4383" s="7" t="s">
        <v>373</v>
      </c>
      <c r="D4383" s="4">
        <v>5831510000124</v>
      </c>
      <c r="E4383" s="8" t="s">
        <v>567</v>
      </c>
      <c r="F4383" s="8" t="s">
        <v>29</v>
      </c>
      <c r="G4383" s="8" t="s">
        <v>19</v>
      </c>
      <c r="H4383" s="8" t="s">
        <v>215</v>
      </c>
      <c r="I4383" s="3">
        <v>2</v>
      </c>
      <c r="J4383" s="8" t="s">
        <v>147</v>
      </c>
      <c r="K4383" s="8" t="s">
        <v>148</v>
      </c>
      <c r="L4383" s="8" t="s">
        <v>557</v>
      </c>
      <c r="M4383" s="1" t="s">
        <v>207</v>
      </c>
      <c r="N4383" s="8" t="s">
        <v>208</v>
      </c>
      <c r="O4383" s="6">
        <v>0</v>
      </c>
      <c r="P4383" s="6">
        <v>0</v>
      </c>
      <c r="Q4383" s="6">
        <v>0</v>
      </c>
      <c r="R4383" s="6">
        <v>0</v>
      </c>
      <c r="S4383" s="6">
        <v>140</v>
      </c>
    </row>
    <row r="4384" spans="1:19" ht="15" hidden="1" x14ac:dyDescent="0.25">
      <c r="A4384" s="7" t="s">
        <v>16</v>
      </c>
      <c r="B4384" s="7" t="s">
        <v>372</v>
      </c>
      <c r="C4384" s="7" t="s">
        <v>373</v>
      </c>
      <c r="D4384" s="4">
        <v>461479004584</v>
      </c>
      <c r="E4384" s="8" t="s">
        <v>560</v>
      </c>
      <c r="F4384" s="8" t="s">
        <v>29</v>
      </c>
      <c r="G4384" s="8" t="s">
        <v>19</v>
      </c>
      <c r="H4384" s="8" t="s">
        <v>215</v>
      </c>
      <c r="I4384" s="3">
        <v>2</v>
      </c>
      <c r="J4384" s="8" t="s">
        <v>1355</v>
      </c>
      <c r="K4384" s="8" t="s">
        <v>1356</v>
      </c>
      <c r="L4384" s="8" t="s">
        <v>556</v>
      </c>
      <c r="M4384" s="1" t="s">
        <v>207</v>
      </c>
      <c r="N4384" s="8" t="s">
        <v>208</v>
      </c>
      <c r="O4384" s="6">
        <v>0</v>
      </c>
      <c r="P4384" s="6">
        <v>0</v>
      </c>
      <c r="Q4384" s="6">
        <v>0</v>
      </c>
      <c r="R4384" s="6">
        <v>0</v>
      </c>
      <c r="S4384" s="6">
        <v>1940</v>
      </c>
    </row>
    <row r="4385" spans="1:19" ht="15" hidden="1" x14ac:dyDescent="0.25">
      <c r="A4385" s="7" t="s">
        <v>16</v>
      </c>
      <c r="B4385" s="7" t="s">
        <v>372</v>
      </c>
      <c r="C4385" s="7" t="s">
        <v>373</v>
      </c>
      <c r="D4385" s="4">
        <v>461479004584</v>
      </c>
      <c r="E4385" s="8" t="s">
        <v>560</v>
      </c>
      <c r="F4385" s="8" t="s">
        <v>29</v>
      </c>
      <c r="G4385" s="8" t="s">
        <v>19</v>
      </c>
      <c r="H4385" s="8" t="s">
        <v>215</v>
      </c>
      <c r="I4385" s="3">
        <v>2</v>
      </c>
      <c r="J4385" s="8" t="s">
        <v>183</v>
      </c>
      <c r="K4385" s="8" t="s">
        <v>184</v>
      </c>
      <c r="L4385" s="8" t="s">
        <v>557</v>
      </c>
      <c r="M4385" s="1" t="s">
        <v>207</v>
      </c>
      <c r="N4385" s="8" t="s">
        <v>208</v>
      </c>
      <c r="O4385" s="6">
        <v>0</v>
      </c>
      <c r="P4385" s="6">
        <v>0</v>
      </c>
      <c r="Q4385" s="6">
        <v>0</v>
      </c>
      <c r="R4385" s="6">
        <v>0</v>
      </c>
      <c r="S4385" s="6">
        <v>1940</v>
      </c>
    </row>
    <row r="4386" spans="1:19" ht="15" hidden="1" x14ac:dyDescent="0.25">
      <c r="A4386" s="7" t="s">
        <v>16</v>
      </c>
      <c r="B4386" s="7" t="s">
        <v>372</v>
      </c>
      <c r="C4386" s="7" t="s">
        <v>373</v>
      </c>
      <c r="D4386" s="4">
        <v>56577059000606</v>
      </c>
      <c r="E4386" s="8" t="s">
        <v>606</v>
      </c>
      <c r="F4386" s="8" t="s">
        <v>29</v>
      </c>
      <c r="G4386" s="8" t="s">
        <v>19</v>
      </c>
      <c r="H4386" s="8" t="s">
        <v>215</v>
      </c>
      <c r="I4386" s="3">
        <v>2</v>
      </c>
      <c r="J4386" s="8" t="s">
        <v>1355</v>
      </c>
      <c r="K4386" s="8" t="s">
        <v>1356</v>
      </c>
      <c r="L4386" s="8" t="s">
        <v>556</v>
      </c>
      <c r="M4386" s="1" t="s">
        <v>207</v>
      </c>
      <c r="N4386" s="8" t="s">
        <v>208</v>
      </c>
      <c r="O4386" s="6">
        <v>0</v>
      </c>
      <c r="P4386" s="6">
        <v>0</v>
      </c>
      <c r="Q4386" s="6">
        <v>0</v>
      </c>
      <c r="R4386" s="6">
        <v>0</v>
      </c>
      <c r="S4386" s="6">
        <v>0</v>
      </c>
    </row>
    <row r="4387" spans="1:19" ht="15" hidden="1" x14ac:dyDescent="0.25">
      <c r="A4387" s="7" t="s">
        <v>16</v>
      </c>
      <c r="B4387" s="7" t="s">
        <v>372</v>
      </c>
      <c r="C4387" s="7" t="s">
        <v>373</v>
      </c>
      <c r="D4387" s="4">
        <v>56577059000606</v>
      </c>
      <c r="E4387" s="8" t="s">
        <v>606</v>
      </c>
      <c r="F4387" s="8" t="s">
        <v>29</v>
      </c>
      <c r="G4387" s="8" t="s">
        <v>19</v>
      </c>
      <c r="H4387" s="8" t="s">
        <v>215</v>
      </c>
      <c r="I4387" s="3">
        <v>2</v>
      </c>
      <c r="J4387" s="8" t="s">
        <v>177</v>
      </c>
      <c r="K4387" s="8" t="s">
        <v>178</v>
      </c>
      <c r="L4387" s="8" t="s">
        <v>557</v>
      </c>
      <c r="M4387" s="1" t="s">
        <v>207</v>
      </c>
      <c r="N4387" s="8" t="s">
        <v>208</v>
      </c>
      <c r="O4387" s="6">
        <v>0</v>
      </c>
      <c r="P4387" s="6">
        <v>40</v>
      </c>
      <c r="Q4387" s="6">
        <v>0</v>
      </c>
      <c r="R4387" s="6">
        <v>0</v>
      </c>
      <c r="S4387" s="6">
        <v>0</v>
      </c>
    </row>
    <row r="4388" spans="1:19" ht="15" hidden="1" x14ac:dyDescent="0.25">
      <c r="A4388" s="7" t="s">
        <v>16</v>
      </c>
      <c r="B4388" s="7" t="s">
        <v>372</v>
      </c>
      <c r="C4388" s="7" t="s">
        <v>373</v>
      </c>
      <c r="D4388" s="4">
        <v>62779145000190</v>
      </c>
      <c r="E4388" s="8" t="s">
        <v>634</v>
      </c>
      <c r="F4388" s="8" t="s">
        <v>29</v>
      </c>
      <c r="G4388" s="8" t="s">
        <v>19</v>
      </c>
      <c r="H4388" s="8" t="s">
        <v>215</v>
      </c>
      <c r="I4388" s="3">
        <v>2</v>
      </c>
      <c r="J4388" s="8" t="s">
        <v>161</v>
      </c>
      <c r="K4388" s="8" t="s">
        <v>162</v>
      </c>
      <c r="L4388" s="8" t="s">
        <v>556</v>
      </c>
      <c r="M4388" s="1" t="s">
        <v>207</v>
      </c>
      <c r="N4388" s="8" t="s">
        <v>208</v>
      </c>
      <c r="O4388" s="6">
        <v>0</v>
      </c>
      <c r="P4388" s="6">
        <v>0</v>
      </c>
      <c r="Q4388" s="6">
        <v>0</v>
      </c>
      <c r="R4388" s="6">
        <v>0</v>
      </c>
      <c r="S4388" s="6">
        <v>0</v>
      </c>
    </row>
    <row r="4389" spans="1:19" ht="15" hidden="1" x14ac:dyDescent="0.25">
      <c r="A4389" s="7" t="s">
        <v>16</v>
      </c>
      <c r="B4389" s="7" t="s">
        <v>372</v>
      </c>
      <c r="C4389" s="7" t="s">
        <v>373</v>
      </c>
      <c r="D4389" s="4">
        <v>62779145000190</v>
      </c>
      <c r="E4389" s="8" t="s">
        <v>634</v>
      </c>
      <c r="F4389" s="8" t="s">
        <v>29</v>
      </c>
      <c r="G4389" s="8" t="s">
        <v>19</v>
      </c>
      <c r="H4389" s="8" t="s">
        <v>215</v>
      </c>
      <c r="I4389" s="3">
        <v>2</v>
      </c>
      <c r="J4389" s="8" t="s">
        <v>177</v>
      </c>
      <c r="K4389" s="8" t="s">
        <v>178</v>
      </c>
      <c r="L4389" s="8" t="s">
        <v>557</v>
      </c>
      <c r="M4389" s="1" t="s">
        <v>207</v>
      </c>
      <c r="N4389" s="8" t="s">
        <v>208</v>
      </c>
      <c r="O4389" s="6">
        <v>0</v>
      </c>
      <c r="P4389" s="6">
        <v>6</v>
      </c>
      <c r="Q4389" s="6">
        <v>0</v>
      </c>
      <c r="R4389" s="6">
        <v>0</v>
      </c>
      <c r="S4389" s="6">
        <v>0</v>
      </c>
    </row>
    <row r="4390" spans="1:19" ht="15" hidden="1" x14ac:dyDescent="0.25">
      <c r="A4390" s="7" t="s">
        <v>16</v>
      </c>
      <c r="B4390" s="7" t="s">
        <v>372</v>
      </c>
      <c r="C4390" s="7" t="s">
        <v>373</v>
      </c>
      <c r="D4390" s="4">
        <v>44649812021216</v>
      </c>
      <c r="E4390" s="8" t="s">
        <v>1360</v>
      </c>
      <c r="F4390" s="8" t="s">
        <v>29</v>
      </c>
      <c r="G4390" s="8" t="s">
        <v>19</v>
      </c>
      <c r="H4390" s="8" t="s">
        <v>215</v>
      </c>
      <c r="I4390" s="3">
        <v>2</v>
      </c>
      <c r="J4390" s="8" t="s">
        <v>1355</v>
      </c>
      <c r="K4390" s="8" t="s">
        <v>1356</v>
      </c>
      <c r="L4390" s="8" t="s">
        <v>556</v>
      </c>
      <c r="M4390" s="1" t="s">
        <v>207</v>
      </c>
      <c r="N4390" s="8" t="s">
        <v>208</v>
      </c>
      <c r="O4390" s="6">
        <v>0</v>
      </c>
      <c r="P4390" s="6">
        <v>0</v>
      </c>
      <c r="Q4390" s="6">
        <v>0</v>
      </c>
      <c r="R4390" s="6">
        <v>24</v>
      </c>
      <c r="S4390" s="6">
        <v>0</v>
      </c>
    </row>
    <row r="4391" spans="1:19" ht="15" hidden="1" x14ac:dyDescent="0.25">
      <c r="A4391" s="7" t="s">
        <v>16</v>
      </c>
      <c r="B4391" s="7" t="s">
        <v>372</v>
      </c>
      <c r="C4391" s="7" t="s">
        <v>373</v>
      </c>
      <c r="D4391" s="4">
        <v>44649812021216</v>
      </c>
      <c r="E4391" s="8" t="s">
        <v>1360</v>
      </c>
      <c r="F4391" s="8" t="s">
        <v>29</v>
      </c>
      <c r="G4391" s="8" t="s">
        <v>19</v>
      </c>
      <c r="H4391" s="8" t="s">
        <v>215</v>
      </c>
      <c r="I4391" s="3">
        <v>2</v>
      </c>
      <c r="J4391" s="8" t="s">
        <v>147</v>
      </c>
      <c r="K4391" s="8" t="s">
        <v>148</v>
      </c>
      <c r="L4391" s="8" t="s">
        <v>557</v>
      </c>
      <c r="M4391" s="1" t="s">
        <v>207</v>
      </c>
      <c r="N4391" s="8" t="s">
        <v>208</v>
      </c>
      <c r="O4391" s="6">
        <v>0</v>
      </c>
      <c r="P4391" s="6">
        <v>0</v>
      </c>
      <c r="Q4391" s="6">
        <v>0</v>
      </c>
      <c r="R4391" s="6">
        <v>0</v>
      </c>
      <c r="S4391" s="6">
        <v>0</v>
      </c>
    </row>
    <row r="4392" spans="1:19" ht="15" hidden="1" x14ac:dyDescent="0.25">
      <c r="A4392" s="7" t="s">
        <v>16</v>
      </c>
      <c r="B4392" s="7" t="s">
        <v>372</v>
      </c>
      <c r="C4392" s="7" t="s">
        <v>373</v>
      </c>
      <c r="D4392" s="4">
        <v>60742616001301</v>
      </c>
      <c r="E4392" s="8" t="s">
        <v>1495</v>
      </c>
      <c r="F4392" s="8" t="s">
        <v>29</v>
      </c>
      <c r="G4392" s="8" t="s">
        <v>19</v>
      </c>
      <c r="H4392" s="8" t="s">
        <v>1334</v>
      </c>
      <c r="I4392" s="3">
        <v>0</v>
      </c>
      <c r="J4392" s="8"/>
      <c r="K4392" s="8"/>
      <c r="L4392" s="8"/>
      <c r="M4392" s="1"/>
      <c r="N4392" s="8"/>
      <c r="O4392" s="6">
        <v>0</v>
      </c>
      <c r="P4392" s="6">
        <v>0</v>
      </c>
      <c r="Q4392" s="6">
        <v>0</v>
      </c>
      <c r="R4392" s="6">
        <v>0</v>
      </c>
      <c r="S4392" s="6">
        <v>0</v>
      </c>
    </row>
    <row r="4393" spans="1:19" ht="15" hidden="1" x14ac:dyDescent="0.25">
      <c r="A4393" s="7" t="s">
        <v>16</v>
      </c>
      <c r="B4393" s="7" t="s">
        <v>372</v>
      </c>
      <c r="C4393" s="7" t="s">
        <v>373</v>
      </c>
      <c r="D4393" s="4">
        <v>4036348000190</v>
      </c>
      <c r="E4393" s="8" t="s">
        <v>565</v>
      </c>
      <c r="F4393" s="8" t="s">
        <v>29</v>
      </c>
      <c r="G4393" s="8" t="s">
        <v>19</v>
      </c>
      <c r="H4393" s="8" t="s">
        <v>215</v>
      </c>
      <c r="I4393" s="3">
        <v>2</v>
      </c>
      <c r="J4393" s="8" t="s">
        <v>1355</v>
      </c>
      <c r="K4393" s="8" t="s">
        <v>1356</v>
      </c>
      <c r="L4393" s="8" t="s">
        <v>556</v>
      </c>
      <c r="M4393" s="1" t="s">
        <v>207</v>
      </c>
      <c r="N4393" s="8" t="s">
        <v>208</v>
      </c>
      <c r="O4393" s="6">
        <v>0</v>
      </c>
      <c r="P4393" s="6">
        <v>0</v>
      </c>
      <c r="Q4393" s="6">
        <v>0</v>
      </c>
      <c r="R4393" s="6">
        <v>0</v>
      </c>
      <c r="S4393" s="6">
        <v>375</v>
      </c>
    </row>
    <row r="4394" spans="1:19" ht="15" hidden="1" x14ac:dyDescent="0.25">
      <c r="A4394" s="7" t="s">
        <v>16</v>
      </c>
      <c r="B4394" s="7" t="s">
        <v>372</v>
      </c>
      <c r="C4394" s="7" t="s">
        <v>373</v>
      </c>
      <c r="D4394" s="4">
        <v>4036348000190</v>
      </c>
      <c r="E4394" s="8" t="s">
        <v>565</v>
      </c>
      <c r="F4394" s="8" t="s">
        <v>29</v>
      </c>
      <c r="G4394" s="8" t="s">
        <v>19</v>
      </c>
      <c r="H4394" s="8" t="s">
        <v>215</v>
      </c>
      <c r="I4394" s="3">
        <v>2</v>
      </c>
      <c r="J4394" s="8" t="s">
        <v>147</v>
      </c>
      <c r="K4394" s="8" t="s">
        <v>148</v>
      </c>
      <c r="L4394" s="8" t="s">
        <v>557</v>
      </c>
      <c r="M4394" s="1" t="s">
        <v>207</v>
      </c>
      <c r="N4394" s="8" t="s">
        <v>208</v>
      </c>
      <c r="O4394" s="6">
        <v>0</v>
      </c>
      <c r="P4394" s="6">
        <v>0</v>
      </c>
      <c r="Q4394" s="6">
        <v>0</v>
      </c>
      <c r="R4394" s="6">
        <v>0</v>
      </c>
      <c r="S4394" s="6">
        <v>375</v>
      </c>
    </row>
    <row r="4395" spans="1:19" ht="15" hidden="1" x14ac:dyDescent="0.25">
      <c r="A4395" s="7" t="s">
        <v>16</v>
      </c>
      <c r="B4395" s="7" t="s">
        <v>372</v>
      </c>
      <c r="C4395" s="7" t="s">
        <v>373</v>
      </c>
      <c r="D4395" s="4">
        <v>60742616000674</v>
      </c>
      <c r="E4395" s="8" t="s">
        <v>1363</v>
      </c>
      <c r="F4395" s="8" t="s">
        <v>29</v>
      </c>
      <c r="G4395" s="8" t="s">
        <v>19</v>
      </c>
      <c r="H4395" s="8" t="s">
        <v>215</v>
      </c>
      <c r="I4395" s="3">
        <v>2</v>
      </c>
      <c r="J4395" s="8" t="s">
        <v>161</v>
      </c>
      <c r="K4395" s="8" t="s">
        <v>162</v>
      </c>
      <c r="L4395" s="8" t="s">
        <v>556</v>
      </c>
      <c r="M4395" s="1" t="s">
        <v>207</v>
      </c>
      <c r="N4395" s="8" t="s">
        <v>208</v>
      </c>
      <c r="O4395" s="6">
        <v>0</v>
      </c>
      <c r="P4395" s="6">
        <v>0</v>
      </c>
      <c r="Q4395" s="6">
        <v>0</v>
      </c>
      <c r="R4395" s="6">
        <v>0</v>
      </c>
      <c r="S4395" s="6">
        <v>25</v>
      </c>
    </row>
    <row r="4396" spans="1:19" ht="15" hidden="1" x14ac:dyDescent="0.25">
      <c r="A4396" s="7" t="s">
        <v>16</v>
      </c>
      <c r="B4396" s="7" t="s">
        <v>372</v>
      </c>
      <c r="C4396" s="7" t="s">
        <v>373</v>
      </c>
      <c r="D4396" s="4">
        <v>60742616000674</v>
      </c>
      <c r="E4396" s="8" t="s">
        <v>1363</v>
      </c>
      <c r="F4396" s="8" t="s">
        <v>29</v>
      </c>
      <c r="G4396" s="8" t="s">
        <v>19</v>
      </c>
      <c r="H4396" s="8" t="s">
        <v>215</v>
      </c>
      <c r="I4396" s="3">
        <v>2</v>
      </c>
      <c r="J4396" s="8" t="s">
        <v>147</v>
      </c>
      <c r="K4396" s="8" t="s">
        <v>148</v>
      </c>
      <c r="L4396" s="8" t="s">
        <v>557</v>
      </c>
      <c r="M4396" s="1" t="s">
        <v>207</v>
      </c>
      <c r="N4396" s="8" t="s">
        <v>208</v>
      </c>
      <c r="O4396" s="6">
        <v>0</v>
      </c>
      <c r="P4396" s="6">
        <v>0</v>
      </c>
      <c r="Q4396" s="6">
        <v>0</v>
      </c>
      <c r="R4396" s="6">
        <v>0</v>
      </c>
      <c r="S4396" s="6">
        <v>25</v>
      </c>
    </row>
    <row r="4397" spans="1:19" ht="15" hidden="1" x14ac:dyDescent="0.25">
      <c r="A4397" s="7" t="s">
        <v>16</v>
      </c>
      <c r="B4397" s="7" t="s">
        <v>372</v>
      </c>
      <c r="C4397" s="7" t="s">
        <v>373</v>
      </c>
      <c r="D4397" s="4">
        <v>2837922000183</v>
      </c>
      <c r="E4397" s="8" t="s">
        <v>563</v>
      </c>
      <c r="F4397" s="8" t="s">
        <v>29</v>
      </c>
      <c r="G4397" s="8" t="s">
        <v>19</v>
      </c>
      <c r="H4397" s="8" t="s">
        <v>215</v>
      </c>
      <c r="I4397" s="3">
        <v>2</v>
      </c>
      <c r="J4397" s="8" t="s">
        <v>161</v>
      </c>
      <c r="K4397" s="8" t="s">
        <v>162</v>
      </c>
      <c r="L4397" s="8" t="s">
        <v>556</v>
      </c>
      <c r="M4397" s="1" t="s">
        <v>207</v>
      </c>
      <c r="N4397" s="8" t="s">
        <v>208</v>
      </c>
      <c r="O4397" s="6">
        <v>0</v>
      </c>
      <c r="P4397" s="6">
        <v>0</v>
      </c>
      <c r="Q4397" s="6">
        <v>0</v>
      </c>
      <c r="R4397" s="6">
        <v>50</v>
      </c>
      <c r="S4397" s="6">
        <v>0</v>
      </c>
    </row>
    <row r="4398" spans="1:19" ht="15" hidden="1" x14ac:dyDescent="0.25">
      <c r="A4398" s="7" t="s">
        <v>16</v>
      </c>
      <c r="B4398" s="7" t="s">
        <v>372</v>
      </c>
      <c r="C4398" s="7" t="s">
        <v>373</v>
      </c>
      <c r="D4398" s="4">
        <v>2837922000183</v>
      </c>
      <c r="E4398" s="8" t="s">
        <v>563</v>
      </c>
      <c r="F4398" s="8" t="s">
        <v>29</v>
      </c>
      <c r="G4398" s="8" t="s">
        <v>19</v>
      </c>
      <c r="H4398" s="8" t="s">
        <v>215</v>
      </c>
      <c r="I4398" s="3">
        <v>2</v>
      </c>
      <c r="J4398" s="8" t="s">
        <v>147</v>
      </c>
      <c r="K4398" s="8" t="s">
        <v>148</v>
      </c>
      <c r="L4398" s="8" t="s">
        <v>557</v>
      </c>
      <c r="M4398" s="1" t="s">
        <v>207</v>
      </c>
      <c r="N4398" s="8" t="s">
        <v>208</v>
      </c>
      <c r="O4398" s="6">
        <v>0</v>
      </c>
      <c r="P4398" s="6">
        <v>0</v>
      </c>
      <c r="Q4398" s="6">
        <v>0</v>
      </c>
      <c r="R4398" s="6">
        <v>0</v>
      </c>
      <c r="S4398" s="6">
        <v>0</v>
      </c>
    </row>
    <row r="4399" spans="1:19" ht="15" hidden="1" x14ac:dyDescent="0.25">
      <c r="A4399" s="7" t="s">
        <v>16</v>
      </c>
      <c r="B4399" s="7" t="s">
        <v>372</v>
      </c>
      <c r="C4399" s="7" t="s">
        <v>373</v>
      </c>
      <c r="D4399" s="4">
        <v>61599908000158</v>
      </c>
      <c r="E4399" s="8" t="s">
        <v>631</v>
      </c>
      <c r="F4399" s="8" t="s">
        <v>29</v>
      </c>
      <c r="G4399" s="8" t="s">
        <v>19</v>
      </c>
      <c r="H4399" s="8" t="s">
        <v>215</v>
      </c>
      <c r="I4399" s="3">
        <v>2</v>
      </c>
      <c r="J4399" s="8" t="s">
        <v>1355</v>
      </c>
      <c r="K4399" s="8" t="s">
        <v>1356</v>
      </c>
      <c r="L4399" s="8" t="s">
        <v>556</v>
      </c>
      <c r="M4399" s="1" t="s">
        <v>207</v>
      </c>
      <c r="N4399" s="8" t="s">
        <v>208</v>
      </c>
      <c r="O4399" s="6">
        <v>0</v>
      </c>
      <c r="P4399" s="6">
        <v>0</v>
      </c>
      <c r="Q4399" s="6">
        <v>0</v>
      </c>
      <c r="R4399" s="6">
        <v>0</v>
      </c>
      <c r="S4399" s="6">
        <v>0</v>
      </c>
    </row>
    <row r="4400" spans="1:19" ht="15" hidden="1" x14ac:dyDescent="0.25">
      <c r="A4400" s="7" t="s">
        <v>16</v>
      </c>
      <c r="B4400" s="7" t="s">
        <v>372</v>
      </c>
      <c r="C4400" s="7" t="s">
        <v>373</v>
      </c>
      <c r="D4400" s="4">
        <v>61599908000158</v>
      </c>
      <c r="E4400" s="8" t="s">
        <v>631</v>
      </c>
      <c r="F4400" s="8" t="s">
        <v>29</v>
      </c>
      <c r="G4400" s="8" t="s">
        <v>19</v>
      </c>
      <c r="H4400" s="8" t="s">
        <v>215</v>
      </c>
      <c r="I4400" s="3">
        <v>2</v>
      </c>
      <c r="J4400" s="8" t="s">
        <v>183</v>
      </c>
      <c r="K4400" s="8" t="s">
        <v>184</v>
      </c>
      <c r="L4400" s="8" t="s">
        <v>557</v>
      </c>
      <c r="M4400" s="1" t="s">
        <v>207</v>
      </c>
      <c r="N4400" s="8" t="s">
        <v>208</v>
      </c>
      <c r="O4400" s="6">
        <v>0</v>
      </c>
      <c r="P4400" s="6">
        <v>0</v>
      </c>
      <c r="Q4400" s="6">
        <v>10</v>
      </c>
      <c r="R4400" s="6">
        <v>0</v>
      </c>
      <c r="S4400" s="6">
        <v>0</v>
      </c>
    </row>
    <row r="4401" spans="1:19" ht="15" hidden="1" x14ac:dyDescent="0.25">
      <c r="A4401" s="7" t="s">
        <v>16</v>
      </c>
      <c r="B4401" s="7" t="s">
        <v>372</v>
      </c>
      <c r="C4401" s="7" t="s">
        <v>373</v>
      </c>
      <c r="D4401" s="4">
        <v>7045325000130</v>
      </c>
      <c r="E4401" s="8" t="s">
        <v>571</v>
      </c>
      <c r="F4401" s="8" t="s">
        <v>29</v>
      </c>
      <c r="G4401" s="8" t="s">
        <v>19</v>
      </c>
      <c r="H4401" s="8" t="s">
        <v>215</v>
      </c>
      <c r="I4401" s="3">
        <v>2</v>
      </c>
      <c r="J4401" s="8" t="s">
        <v>161</v>
      </c>
      <c r="K4401" s="8" t="s">
        <v>162</v>
      </c>
      <c r="L4401" s="8" t="s">
        <v>556</v>
      </c>
      <c r="M4401" s="1" t="s">
        <v>207</v>
      </c>
      <c r="N4401" s="8" t="s">
        <v>208</v>
      </c>
      <c r="O4401" s="6">
        <v>0</v>
      </c>
      <c r="P4401" s="6">
        <v>0</v>
      </c>
      <c r="Q4401" s="6">
        <v>0</v>
      </c>
      <c r="R4401" s="6">
        <v>184</v>
      </c>
      <c r="S4401" s="6">
        <v>500</v>
      </c>
    </row>
    <row r="4402" spans="1:19" ht="15" hidden="1" x14ac:dyDescent="0.25">
      <c r="A4402" s="7" t="s">
        <v>16</v>
      </c>
      <c r="B4402" s="7" t="s">
        <v>372</v>
      </c>
      <c r="C4402" s="7" t="s">
        <v>373</v>
      </c>
      <c r="D4402" s="4">
        <v>7045325000130</v>
      </c>
      <c r="E4402" s="8" t="s">
        <v>571</v>
      </c>
      <c r="F4402" s="8" t="s">
        <v>29</v>
      </c>
      <c r="G4402" s="8" t="s">
        <v>19</v>
      </c>
      <c r="H4402" s="8" t="s">
        <v>215</v>
      </c>
      <c r="I4402" s="3">
        <v>2</v>
      </c>
      <c r="J4402" s="8" t="s">
        <v>147</v>
      </c>
      <c r="K4402" s="8" t="s">
        <v>148</v>
      </c>
      <c r="L4402" s="8" t="s">
        <v>557</v>
      </c>
      <c r="M4402" s="1" t="s">
        <v>207</v>
      </c>
      <c r="N4402" s="8" t="s">
        <v>208</v>
      </c>
      <c r="O4402" s="6">
        <v>0</v>
      </c>
      <c r="P4402" s="6">
        <v>0</v>
      </c>
      <c r="Q4402" s="6">
        <v>0</v>
      </c>
      <c r="R4402" s="6">
        <v>0</v>
      </c>
      <c r="S4402" s="6">
        <v>500</v>
      </c>
    </row>
    <row r="4403" spans="1:19" ht="15" hidden="1" x14ac:dyDescent="0.25">
      <c r="A4403" s="7" t="s">
        <v>16</v>
      </c>
      <c r="B4403" s="7" t="s">
        <v>372</v>
      </c>
      <c r="C4403" s="7" t="s">
        <v>373</v>
      </c>
      <c r="D4403" s="4">
        <v>6047087000210</v>
      </c>
      <c r="E4403" s="8" t="s">
        <v>569</v>
      </c>
      <c r="F4403" s="8" t="s">
        <v>29</v>
      </c>
      <c r="G4403" s="8" t="s">
        <v>19</v>
      </c>
      <c r="H4403" s="8" t="s">
        <v>215</v>
      </c>
      <c r="I4403" s="3">
        <v>2</v>
      </c>
      <c r="J4403" s="8" t="s">
        <v>161</v>
      </c>
      <c r="K4403" s="8" t="s">
        <v>162</v>
      </c>
      <c r="L4403" s="8" t="s">
        <v>556</v>
      </c>
      <c r="M4403" s="1" t="s">
        <v>207</v>
      </c>
      <c r="N4403" s="8" t="s">
        <v>208</v>
      </c>
      <c r="O4403" s="6">
        <v>0</v>
      </c>
      <c r="P4403" s="6">
        <v>0</v>
      </c>
      <c r="Q4403" s="6">
        <v>0</v>
      </c>
      <c r="R4403" s="6">
        <v>0</v>
      </c>
      <c r="S4403" s="6">
        <v>0</v>
      </c>
    </row>
    <row r="4404" spans="1:19" ht="15" hidden="1" x14ac:dyDescent="0.25">
      <c r="A4404" s="7" t="s">
        <v>16</v>
      </c>
      <c r="B4404" s="7" t="s">
        <v>372</v>
      </c>
      <c r="C4404" s="7" t="s">
        <v>373</v>
      </c>
      <c r="D4404" s="4">
        <v>6047087000210</v>
      </c>
      <c r="E4404" s="8" t="s">
        <v>569</v>
      </c>
      <c r="F4404" s="8" t="s">
        <v>29</v>
      </c>
      <c r="G4404" s="8" t="s">
        <v>19</v>
      </c>
      <c r="H4404" s="8" t="s">
        <v>215</v>
      </c>
      <c r="I4404" s="3">
        <v>2</v>
      </c>
      <c r="J4404" s="8" t="s">
        <v>147</v>
      </c>
      <c r="K4404" s="8" t="s">
        <v>148</v>
      </c>
      <c r="L4404" s="8" t="s">
        <v>557</v>
      </c>
      <c r="M4404" s="1" t="s">
        <v>207</v>
      </c>
      <c r="N4404" s="8" t="s">
        <v>208</v>
      </c>
      <c r="O4404" s="6">
        <v>0</v>
      </c>
      <c r="P4404" s="6">
        <v>60</v>
      </c>
      <c r="Q4404" s="6">
        <v>0</v>
      </c>
      <c r="R4404" s="6">
        <v>0</v>
      </c>
      <c r="S4404" s="6">
        <v>0</v>
      </c>
    </row>
    <row r="4405" spans="1:19" ht="15" hidden="1" x14ac:dyDescent="0.25">
      <c r="A4405" s="7" t="s">
        <v>16</v>
      </c>
      <c r="B4405" s="7" t="s">
        <v>372</v>
      </c>
      <c r="C4405" s="7" t="s">
        <v>373</v>
      </c>
      <c r="D4405" s="4">
        <v>60961422000155</v>
      </c>
      <c r="E4405" s="8" t="s">
        <v>620</v>
      </c>
      <c r="F4405" s="8" t="s">
        <v>29</v>
      </c>
      <c r="G4405" s="8" t="s">
        <v>19</v>
      </c>
      <c r="H4405" s="8" t="s">
        <v>215</v>
      </c>
      <c r="I4405" s="3">
        <v>2</v>
      </c>
      <c r="J4405" s="8" t="s">
        <v>161</v>
      </c>
      <c r="K4405" s="8" t="s">
        <v>162</v>
      </c>
      <c r="L4405" s="8" t="s">
        <v>556</v>
      </c>
      <c r="M4405" s="1" t="s">
        <v>207</v>
      </c>
      <c r="N4405" s="8" t="s">
        <v>208</v>
      </c>
      <c r="O4405" s="6">
        <v>0</v>
      </c>
      <c r="P4405" s="6">
        <v>0</v>
      </c>
      <c r="Q4405" s="6">
        <v>0</v>
      </c>
      <c r="R4405" s="6">
        <v>0</v>
      </c>
      <c r="S4405" s="6">
        <v>200</v>
      </c>
    </row>
    <row r="4406" spans="1:19" ht="15" hidden="1" x14ac:dyDescent="0.25">
      <c r="A4406" s="7" t="s">
        <v>16</v>
      </c>
      <c r="B4406" s="7" t="s">
        <v>372</v>
      </c>
      <c r="C4406" s="7" t="s">
        <v>373</v>
      </c>
      <c r="D4406" s="4">
        <v>60961422000155</v>
      </c>
      <c r="E4406" s="8" t="s">
        <v>620</v>
      </c>
      <c r="F4406" s="8" t="s">
        <v>29</v>
      </c>
      <c r="G4406" s="8" t="s">
        <v>19</v>
      </c>
      <c r="H4406" s="8" t="s">
        <v>215</v>
      </c>
      <c r="I4406" s="3">
        <v>2</v>
      </c>
      <c r="J4406" s="8" t="s">
        <v>147</v>
      </c>
      <c r="K4406" s="8" t="s">
        <v>148</v>
      </c>
      <c r="L4406" s="8" t="s">
        <v>557</v>
      </c>
      <c r="M4406" s="1" t="s">
        <v>207</v>
      </c>
      <c r="N4406" s="8" t="s">
        <v>208</v>
      </c>
      <c r="O4406" s="6">
        <v>0</v>
      </c>
      <c r="P4406" s="6">
        <v>5</v>
      </c>
      <c r="Q4406" s="6">
        <v>11</v>
      </c>
      <c r="R4406" s="6">
        <v>0</v>
      </c>
      <c r="S4406" s="6">
        <v>200</v>
      </c>
    </row>
    <row r="4407" spans="1:19" ht="15" hidden="1" x14ac:dyDescent="0.25">
      <c r="A4407" s="7" t="s">
        <v>16</v>
      </c>
      <c r="B4407" s="7" t="s">
        <v>372</v>
      </c>
      <c r="C4407" s="7" t="s">
        <v>373</v>
      </c>
      <c r="D4407" s="4">
        <v>61590410000124</v>
      </c>
      <c r="E4407" s="8" t="s">
        <v>630</v>
      </c>
      <c r="F4407" s="8" t="s">
        <v>29</v>
      </c>
      <c r="G4407" s="8" t="s">
        <v>19</v>
      </c>
      <c r="H4407" s="8" t="s">
        <v>215</v>
      </c>
      <c r="I4407" s="3">
        <v>2</v>
      </c>
      <c r="J4407" s="8" t="s">
        <v>1355</v>
      </c>
      <c r="K4407" s="8" t="s">
        <v>1356</v>
      </c>
      <c r="L4407" s="8" t="s">
        <v>556</v>
      </c>
      <c r="M4407" s="1" t="s">
        <v>207</v>
      </c>
      <c r="N4407" s="8" t="s">
        <v>208</v>
      </c>
      <c r="O4407" s="6">
        <v>0</v>
      </c>
      <c r="P4407" s="6">
        <v>0</v>
      </c>
      <c r="Q4407" s="6">
        <v>0</v>
      </c>
      <c r="R4407" s="6">
        <v>0</v>
      </c>
      <c r="S4407" s="6">
        <v>2485</v>
      </c>
    </row>
    <row r="4408" spans="1:19" ht="15" hidden="1" x14ac:dyDescent="0.25">
      <c r="A4408" s="7" t="s">
        <v>16</v>
      </c>
      <c r="B4408" s="7" t="s">
        <v>372</v>
      </c>
      <c r="C4408" s="7" t="s">
        <v>373</v>
      </c>
      <c r="D4408" s="4">
        <v>61590410000124</v>
      </c>
      <c r="E4408" s="8" t="s">
        <v>630</v>
      </c>
      <c r="F4408" s="8" t="s">
        <v>29</v>
      </c>
      <c r="G4408" s="8" t="s">
        <v>19</v>
      </c>
      <c r="H4408" s="8" t="s">
        <v>215</v>
      </c>
      <c r="I4408" s="3">
        <v>2</v>
      </c>
      <c r="J4408" s="8" t="s">
        <v>177</v>
      </c>
      <c r="K4408" s="8" t="s">
        <v>178</v>
      </c>
      <c r="L4408" s="8" t="s">
        <v>557</v>
      </c>
      <c r="M4408" s="1" t="s">
        <v>207</v>
      </c>
      <c r="N4408" s="8" t="s">
        <v>208</v>
      </c>
      <c r="O4408" s="6">
        <v>0</v>
      </c>
      <c r="P4408" s="6">
        <v>0</v>
      </c>
      <c r="Q4408" s="6">
        <v>0</v>
      </c>
      <c r="R4408" s="6">
        <v>0</v>
      </c>
      <c r="S4408" s="6">
        <v>2485</v>
      </c>
    </row>
    <row r="4409" spans="1:19" ht="15" hidden="1" x14ac:dyDescent="0.25">
      <c r="A4409" s="7" t="s">
        <v>16</v>
      </c>
      <c r="B4409" s="7" t="s">
        <v>372</v>
      </c>
      <c r="C4409" s="7" t="s">
        <v>373</v>
      </c>
      <c r="D4409" s="4">
        <v>46124624002670</v>
      </c>
      <c r="E4409" s="8" t="s">
        <v>1226</v>
      </c>
      <c r="F4409" s="8" t="s">
        <v>29</v>
      </c>
      <c r="G4409" s="8" t="s">
        <v>19</v>
      </c>
      <c r="H4409" s="8" t="s">
        <v>215</v>
      </c>
      <c r="I4409" s="3">
        <v>2</v>
      </c>
      <c r="J4409" s="8" t="s">
        <v>151</v>
      </c>
      <c r="K4409" s="8" t="s">
        <v>152</v>
      </c>
      <c r="L4409" s="8" t="s">
        <v>556</v>
      </c>
      <c r="M4409" s="1" t="s">
        <v>207</v>
      </c>
      <c r="N4409" s="8" t="s">
        <v>208</v>
      </c>
      <c r="O4409" s="6">
        <v>0</v>
      </c>
      <c r="P4409" s="6">
        <v>0</v>
      </c>
      <c r="Q4409" s="6">
        <v>0</v>
      </c>
      <c r="R4409" s="6">
        <v>240</v>
      </c>
      <c r="S4409" s="6">
        <v>1250</v>
      </c>
    </row>
    <row r="4410" spans="1:19" ht="15" hidden="1" x14ac:dyDescent="0.25">
      <c r="A4410" s="7" t="s">
        <v>16</v>
      </c>
      <c r="B4410" s="7" t="s">
        <v>372</v>
      </c>
      <c r="C4410" s="7" t="s">
        <v>373</v>
      </c>
      <c r="D4410" s="4">
        <v>46124624002670</v>
      </c>
      <c r="E4410" s="8" t="s">
        <v>1226</v>
      </c>
      <c r="F4410" s="8" t="s">
        <v>29</v>
      </c>
      <c r="G4410" s="8" t="s">
        <v>19</v>
      </c>
      <c r="H4410" s="8" t="s">
        <v>215</v>
      </c>
      <c r="I4410" s="3">
        <v>2</v>
      </c>
      <c r="J4410" s="8" t="s">
        <v>149</v>
      </c>
      <c r="K4410" s="8" t="s">
        <v>150</v>
      </c>
      <c r="L4410" s="8" t="s">
        <v>557</v>
      </c>
      <c r="M4410" s="1" t="s">
        <v>207</v>
      </c>
      <c r="N4410" s="8" t="s">
        <v>208</v>
      </c>
      <c r="O4410" s="6">
        <v>0</v>
      </c>
      <c r="P4410" s="6">
        <v>0</v>
      </c>
      <c r="Q4410" s="6">
        <v>0</v>
      </c>
      <c r="R4410" s="6">
        <v>0</v>
      </c>
      <c r="S4410" s="6">
        <v>1250</v>
      </c>
    </row>
    <row r="4411" spans="1:19" ht="15" hidden="1" x14ac:dyDescent="0.25">
      <c r="A4411" s="7" t="s">
        <v>16</v>
      </c>
      <c r="B4411" s="7" t="s">
        <v>372</v>
      </c>
      <c r="C4411" s="7" t="s">
        <v>373</v>
      </c>
      <c r="D4411" s="4">
        <v>9087150000159</v>
      </c>
      <c r="E4411" s="8" t="s">
        <v>578</v>
      </c>
      <c r="F4411" s="8" t="s">
        <v>29</v>
      </c>
      <c r="G4411" s="8" t="s">
        <v>19</v>
      </c>
      <c r="H4411" s="8" t="s">
        <v>215</v>
      </c>
      <c r="I4411" s="3">
        <v>2</v>
      </c>
      <c r="J4411" s="8" t="s">
        <v>1355</v>
      </c>
      <c r="K4411" s="8" t="s">
        <v>1356</v>
      </c>
      <c r="L4411" s="8" t="s">
        <v>556</v>
      </c>
      <c r="M4411" s="1" t="s">
        <v>207</v>
      </c>
      <c r="N4411" s="8" t="s">
        <v>208</v>
      </c>
      <c r="O4411" s="6">
        <v>0</v>
      </c>
      <c r="P4411" s="6">
        <v>0</v>
      </c>
      <c r="Q4411" s="6">
        <v>0</v>
      </c>
      <c r="R4411" s="6">
        <v>6</v>
      </c>
      <c r="S4411" s="6">
        <v>0</v>
      </c>
    </row>
    <row r="4412" spans="1:19" ht="15" hidden="1" x14ac:dyDescent="0.25">
      <c r="A4412" s="7" t="s">
        <v>16</v>
      </c>
      <c r="B4412" s="7" t="s">
        <v>372</v>
      </c>
      <c r="C4412" s="7" t="s">
        <v>373</v>
      </c>
      <c r="D4412" s="4">
        <v>9087150000159</v>
      </c>
      <c r="E4412" s="8" t="s">
        <v>578</v>
      </c>
      <c r="F4412" s="8" t="s">
        <v>29</v>
      </c>
      <c r="G4412" s="8" t="s">
        <v>19</v>
      </c>
      <c r="H4412" s="8" t="s">
        <v>215</v>
      </c>
      <c r="I4412" s="3">
        <v>2</v>
      </c>
      <c r="J4412" s="8" t="s">
        <v>177</v>
      </c>
      <c r="K4412" s="8" t="s">
        <v>178</v>
      </c>
      <c r="L4412" s="8" t="s">
        <v>557</v>
      </c>
      <c r="M4412" s="1" t="s">
        <v>207</v>
      </c>
      <c r="N4412" s="8" t="s">
        <v>208</v>
      </c>
      <c r="O4412" s="6">
        <v>0</v>
      </c>
      <c r="P4412" s="6">
        <v>0</v>
      </c>
      <c r="Q4412" s="6">
        <v>0</v>
      </c>
      <c r="R4412" s="6">
        <v>0</v>
      </c>
      <c r="S4412" s="6">
        <v>0</v>
      </c>
    </row>
    <row r="4413" spans="1:19" ht="15" hidden="1" x14ac:dyDescent="0.25">
      <c r="A4413" s="7" t="s">
        <v>16</v>
      </c>
      <c r="B4413" s="7" t="s">
        <v>372</v>
      </c>
      <c r="C4413" s="7" t="s">
        <v>373</v>
      </c>
      <c r="D4413" s="4">
        <v>745887000570</v>
      </c>
      <c r="E4413" s="8" t="s">
        <v>1436</v>
      </c>
      <c r="F4413" s="8" t="s">
        <v>1437</v>
      </c>
      <c r="G4413" s="8" t="s">
        <v>19</v>
      </c>
      <c r="H4413" s="8" t="s">
        <v>1334</v>
      </c>
      <c r="I4413" s="3">
        <v>0</v>
      </c>
      <c r="J4413" s="8"/>
      <c r="K4413" s="8"/>
      <c r="L4413" s="8"/>
      <c r="M4413" s="1"/>
      <c r="N4413" s="8"/>
      <c r="O4413" s="6">
        <v>0</v>
      </c>
      <c r="P4413" s="6">
        <v>0</v>
      </c>
      <c r="Q4413" s="6">
        <v>0</v>
      </c>
      <c r="R4413" s="6">
        <v>0</v>
      </c>
      <c r="S4413" s="6">
        <v>0</v>
      </c>
    </row>
    <row r="4414" spans="1:19" ht="15" hidden="1" x14ac:dyDescent="0.25">
      <c r="A4414" s="7" t="s">
        <v>16</v>
      </c>
      <c r="B4414" s="7" t="s">
        <v>372</v>
      </c>
      <c r="C4414" s="7" t="s">
        <v>373</v>
      </c>
      <c r="D4414" s="4">
        <v>29929600000110</v>
      </c>
      <c r="E4414" s="8" t="s">
        <v>1212</v>
      </c>
      <c r="F4414" s="8" t="s">
        <v>1213</v>
      </c>
      <c r="G4414" s="8" t="s">
        <v>19</v>
      </c>
      <c r="H4414" s="8" t="s">
        <v>215</v>
      </c>
      <c r="I4414" s="3">
        <v>2</v>
      </c>
      <c r="J4414" s="8" t="s">
        <v>151</v>
      </c>
      <c r="K4414" s="8" t="s">
        <v>152</v>
      </c>
      <c r="L4414" s="8" t="s">
        <v>556</v>
      </c>
      <c r="M4414" s="1" t="s">
        <v>207</v>
      </c>
      <c r="N4414" s="8" t="s">
        <v>208</v>
      </c>
      <c r="O4414" s="6">
        <v>0</v>
      </c>
      <c r="P4414" s="6">
        <v>0</v>
      </c>
      <c r="Q4414" s="6">
        <v>0</v>
      </c>
      <c r="R4414" s="6">
        <v>4</v>
      </c>
      <c r="S4414" s="6">
        <v>0</v>
      </c>
    </row>
    <row r="4415" spans="1:19" ht="15" hidden="1" x14ac:dyDescent="0.25">
      <c r="A4415" s="7" t="s">
        <v>16</v>
      </c>
      <c r="B4415" s="7" t="s">
        <v>372</v>
      </c>
      <c r="C4415" s="7" t="s">
        <v>373</v>
      </c>
      <c r="D4415" s="4">
        <v>29929600000110</v>
      </c>
      <c r="E4415" s="8" t="s">
        <v>1212</v>
      </c>
      <c r="F4415" s="8" t="s">
        <v>1213</v>
      </c>
      <c r="G4415" s="8" t="s">
        <v>19</v>
      </c>
      <c r="H4415" s="8" t="s">
        <v>215</v>
      </c>
      <c r="I4415" s="3">
        <v>2</v>
      </c>
      <c r="J4415" s="8" t="s">
        <v>149</v>
      </c>
      <c r="K4415" s="8" t="s">
        <v>150</v>
      </c>
      <c r="L4415" s="8" t="s">
        <v>557</v>
      </c>
      <c r="M4415" s="1" t="s">
        <v>207</v>
      </c>
      <c r="N4415" s="8" t="s">
        <v>208</v>
      </c>
      <c r="O4415" s="6">
        <v>0</v>
      </c>
      <c r="P4415" s="6">
        <v>0</v>
      </c>
      <c r="Q4415" s="6">
        <v>0</v>
      </c>
      <c r="R4415" s="6">
        <v>0</v>
      </c>
      <c r="S4415" s="6">
        <v>0</v>
      </c>
    </row>
    <row r="4416" spans="1:19" ht="15" hidden="1" x14ac:dyDescent="0.25">
      <c r="A4416" s="7" t="s">
        <v>16</v>
      </c>
      <c r="B4416" s="7" t="s">
        <v>372</v>
      </c>
      <c r="C4416" s="7" t="s">
        <v>373</v>
      </c>
      <c r="D4416" s="4">
        <v>33215770000100</v>
      </c>
      <c r="E4416" s="8" t="s">
        <v>1476</v>
      </c>
      <c r="F4416" s="8" t="s">
        <v>1477</v>
      </c>
      <c r="G4416" s="8" t="s">
        <v>19</v>
      </c>
      <c r="H4416" s="8" t="s">
        <v>1334</v>
      </c>
      <c r="I4416" s="3">
        <v>0</v>
      </c>
      <c r="J4416" s="8"/>
      <c r="K4416" s="8"/>
      <c r="L4416" s="8"/>
      <c r="M4416" s="1"/>
      <c r="N4416" s="8"/>
      <c r="O4416" s="6">
        <v>0</v>
      </c>
      <c r="P4416" s="6">
        <v>0</v>
      </c>
      <c r="Q4416" s="6">
        <v>0</v>
      </c>
      <c r="R4416" s="6">
        <v>0</v>
      </c>
      <c r="S4416" s="6">
        <v>0</v>
      </c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4565-9EF3-4539-80DF-17FF90A945E3}">
  <sheetPr codeName="Planilha16">
    <tabColor theme="9" tint="-0.249977111117893"/>
  </sheetPr>
  <dimension ref="A1:AJ17"/>
  <sheetViews>
    <sheetView showGridLines="0" workbookViewId="0">
      <pane xSplit="5" ySplit="5" topLeftCell="Y6" activePane="bottomRight" state="frozen"/>
      <selection activeCell="C15" sqref="C15"/>
      <selection pane="topRight" activeCell="C15" sqref="C15"/>
      <selection pane="bottomLeft" activeCell="C15" sqref="C15"/>
      <selection pane="bottomRight" activeCell="A6" sqref="A6"/>
    </sheetView>
  </sheetViews>
  <sheetFormatPr defaultRowHeight="15" x14ac:dyDescent="0.25"/>
  <cols>
    <col min="1" max="1" width="21.42578125" style="3" bestFit="1" customWidth="1"/>
    <col min="2" max="2" width="11" style="3" bestFit="1" customWidth="1"/>
    <col min="3" max="3" width="11.140625" style="3" bestFit="1" customWidth="1"/>
    <col min="4" max="4" width="27.140625" style="3" bestFit="1" customWidth="1"/>
    <col min="5" max="5" width="24.85546875" style="3" bestFit="1" customWidth="1"/>
    <col min="6" max="6" width="16.85546875" style="6" bestFit="1" customWidth="1"/>
    <col min="7" max="7" width="16.5703125" style="3" bestFit="1" customWidth="1"/>
    <col min="8" max="8" width="15.5703125" style="3" bestFit="1" customWidth="1"/>
    <col min="9" max="9" width="17.140625" style="3" bestFit="1" customWidth="1"/>
    <col min="10" max="10" width="16.85546875" style="3" bestFit="1" customWidth="1"/>
    <col min="11" max="11" width="20.85546875" style="3" bestFit="1" customWidth="1"/>
    <col min="12" max="12" width="20.5703125" style="3" bestFit="1" customWidth="1"/>
    <col min="13" max="13" width="19.5703125" style="3" bestFit="1" customWidth="1"/>
    <col min="14" max="14" width="21.140625" style="3" bestFit="1" customWidth="1"/>
    <col min="15" max="15" width="20.85546875" style="3" bestFit="1" customWidth="1"/>
    <col min="16" max="16" width="19.140625" style="3" bestFit="1" customWidth="1"/>
    <col min="17" max="17" width="18.85546875" style="3" bestFit="1" customWidth="1"/>
    <col min="18" max="18" width="17.85546875" style="3" bestFit="1" customWidth="1"/>
    <col min="19" max="19" width="19.5703125" style="3" bestFit="1" customWidth="1"/>
    <col min="20" max="21" width="19.140625" style="3" bestFit="1" customWidth="1"/>
    <col min="22" max="22" width="18.85546875" style="3" bestFit="1" customWidth="1"/>
    <col min="23" max="23" width="17.85546875" style="3" bestFit="1" customWidth="1"/>
    <col min="24" max="24" width="19.42578125" style="3" bestFit="1" customWidth="1"/>
    <col min="25" max="25" width="19.140625" style="3" bestFit="1" customWidth="1"/>
    <col min="26" max="26" width="18.28515625" bestFit="1" customWidth="1"/>
    <col min="27" max="27" width="18" bestFit="1" customWidth="1"/>
    <col min="28" max="28" width="17" style="3" bestFit="1" customWidth="1"/>
    <col min="29" max="29" width="18.5703125" style="3" bestFit="1" customWidth="1"/>
    <col min="30" max="30" width="18.28515625" style="3" bestFit="1" customWidth="1"/>
    <col min="31" max="31" width="23.140625" style="3" bestFit="1" customWidth="1"/>
    <col min="32" max="32" width="22.85546875" style="3" bestFit="1" customWidth="1"/>
    <col min="33" max="33" width="21.85546875" style="3" bestFit="1" customWidth="1"/>
    <col min="34" max="34" width="23.42578125" style="3" bestFit="1" customWidth="1"/>
    <col min="35" max="35" width="23.140625" style="3" bestFit="1" customWidth="1"/>
    <col min="36" max="36" width="19.7109375" style="3" bestFit="1" customWidth="1"/>
    <col min="37" max="16384" width="9.140625" style="3"/>
  </cols>
  <sheetData>
    <row r="1" spans="1:36" ht="15.75" x14ac:dyDescent="0.25">
      <c r="A1" s="49" t="s">
        <v>303</v>
      </c>
      <c r="F1" s="6" t="str">
        <f>IF(F2&lt;&gt;'IV Demanda GR Mensal'!G2,"Erro","Ok")</f>
        <v>Ok</v>
      </c>
      <c r="G1" s="6" t="str">
        <f>IF(G2&lt;&gt;'IV Demanda GR Mensal'!H2,"Erro","Ok")</f>
        <v>Ok</v>
      </c>
      <c r="H1" s="6" t="str">
        <f>IF(H2&lt;&gt;'IV Demanda GR Mensal'!I2,"Erro","Ok")</f>
        <v>Ok</v>
      </c>
      <c r="I1" s="6" t="str">
        <f>IF(I2&lt;&gt;'IV Demanda GR Mensal'!J2,"Erro","Ok")</f>
        <v>Ok</v>
      </c>
      <c r="J1" s="6" t="str">
        <f>IF(J2&lt;&gt;'IV Demanda GR Mensal'!K2,"Erro","Ok")</f>
        <v>Ok</v>
      </c>
      <c r="K1" s="6" t="str">
        <f>IF(K2&lt;&gt;'IV Demanda GR Mensal'!L2,"Erro","Ok")</f>
        <v>Ok</v>
      </c>
      <c r="L1" s="6" t="str">
        <f>IF(L2&lt;&gt;'IV Demanda GR Mensal'!M2,"Erro","Ok")</f>
        <v>Ok</v>
      </c>
      <c r="M1" s="6" t="str">
        <f>IF(M2&lt;&gt;'IV Demanda GR Mensal'!N2,"Erro","Ok")</f>
        <v>Ok</v>
      </c>
      <c r="N1" s="6" t="str">
        <f>IF(N2&lt;&gt;'IV Demanda GR Mensal'!O2,"Erro","Ok")</f>
        <v>Ok</v>
      </c>
      <c r="O1" s="6" t="str">
        <f>IF(O2&lt;&gt;'IV Demanda GR Mensal'!P2,"Erro","Ok")</f>
        <v>Ok</v>
      </c>
      <c r="U1" s="57">
        <v>0.03</v>
      </c>
      <c r="V1" s="57">
        <v>0.1</v>
      </c>
      <c r="W1" s="57">
        <v>0.1</v>
      </c>
      <c r="X1" s="57">
        <v>0.15</v>
      </c>
      <c r="Y1" s="57">
        <v>0.12</v>
      </c>
      <c r="Z1" s="6" t="str">
        <f>IF(Z2&lt;&gt;'IV Demanda GR Mensal'!V2,"Erro","Ok")</f>
        <v>Ok</v>
      </c>
      <c r="AA1" s="6" t="str">
        <f>IF(AA2&lt;&gt;'IV Demanda GR Mensal'!W2,"Erro","Ok")</f>
        <v>Ok</v>
      </c>
      <c r="AB1" s="6" t="str">
        <f>IF(AB2&lt;&gt;'IV Demanda GR Mensal'!X2,"Erro","Ok")</f>
        <v>Ok</v>
      </c>
      <c r="AC1" s="6" t="str">
        <f>IF(AC2&lt;&gt;'IV Demanda GR Mensal'!Y2,"Erro","Ok")</f>
        <v>Ok</v>
      </c>
      <c r="AD1" s="6" t="str">
        <f>IF(AD2&lt;&gt;'IV Demanda GR Mensal'!Z2,"Erro","Ok")</f>
        <v>Ok</v>
      </c>
    </row>
    <row r="2" spans="1:36" ht="12.75" x14ac:dyDescent="0.25">
      <c r="A2" s="3" t="s">
        <v>264</v>
      </c>
      <c r="E2" s="52" t="s">
        <v>266</v>
      </c>
      <c r="F2" s="50">
        <f>SUM(VIEW_IV_2019_GR_COTA_DEMANDA_TRI[Cota.BERINERT])</f>
        <v>2898</v>
      </c>
      <c r="G2" s="50">
        <f>SUM(VIEW_IV_2019_GR_COTA_DEMANDA_TRI[Cota.BERIPLEX])</f>
        <v>23700</v>
      </c>
      <c r="H2" s="50">
        <f>SUM(VIEW_IV_2019_GR_COTA_DEMANDA_TRI[Cota.HAEMO])</f>
        <v>17000</v>
      </c>
      <c r="I2" s="50">
        <f>SUM(VIEW_IV_2019_GR_COTA_DEMANDA_TRI[Cota.HIZENTRA])</f>
        <v>74639</v>
      </c>
      <c r="J2" s="50">
        <f>SUM(VIEW_IV_2019_GR_COTA_DEMANDA_TRI[Cota.PRIVIGEN])</f>
        <v>722520</v>
      </c>
      <c r="K2" s="50">
        <f>SUM(VIEW_IV_2019_GR_COTA_DEMANDA_TRI[Demanda.BERINERT])</f>
        <v>1314</v>
      </c>
      <c r="L2" s="50">
        <f>SUM(VIEW_IV_2019_GR_COTA_DEMANDA_TRI[Demanda.BERIPLEX])</f>
        <v>12345</v>
      </c>
      <c r="M2" s="50">
        <f>SUM(VIEW_IV_2019_GR_COTA_DEMANDA_TRI[Demanda.HAEMO])</f>
        <v>9958</v>
      </c>
      <c r="N2" s="50">
        <f>SUM(VIEW_IV_2019_GR_COTA_DEMANDA_TRI[Demanda.HIZENTRA])</f>
        <v>31375</v>
      </c>
      <c r="O2" s="50">
        <f>SUM(VIEW_IV_2019_GR_COTA_DEMANDA_TRI[Demanda.PRIVIGEN])</f>
        <v>460880</v>
      </c>
      <c r="P2" s="53">
        <f>IFERROR(K2/F2,0)</f>
        <v>0.453416149068323</v>
      </c>
      <c r="Q2" s="53">
        <f t="shared" ref="Q2:T3" si="0">IFERROR(L2/G2,0)</f>
        <v>0.52088607594936709</v>
      </c>
      <c r="R2" s="53">
        <f t="shared" si="0"/>
        <v>0.58576470588235297</v>
      </c>
      <c r="S2" s="53">
        <f t="shared" si="0"/>
        <v>0.42035665000870859</v>
      </c>
      <c r="T2" s="53">
        <f t="shared" si="0"/>
        <v>0.63787853623429114</v>
      </c>
      <c r="U2" s="59">
        <f>SUM(VIEW_IV_2019_GR_COTA_DEMANDA_TRI[Premio.BERINERT])</f>
        <v>2200.249890719052</v>
      </c>
      <c r="V2" s="59">
        <f>SUM(VIEW_IV_2019_GR_COTA_DEMANDA_TRI[Premio.BERIPLEX])</f>
        <v>6227.145293589253</v>
      </c>
      <c r="W2" s="59">
        <f>SUM(VIEW_IV_2019_GR_COTA_DEMANDA_TRI[Premio.HAEMO])</f>
        <v>11328.015769223966</v>
      </c>
      <c r="X2" s="59">
        <f>SUM(VIEW_IV_2019_GR_COTA_DEMANDA_TRI[Premio.HIZENTRA])</f>
        <v>2050.564748817249</v>
      </c>
      <c r="Y2" s="59">
        <f>SUM(VIEW_IV_2019_GR_COTA_DEMANDA_TRI[Premio.PRIVIGEN])</f>
        <v>22263.505010819881</v>
      </c>
      <c r="Z2" s="59">
        <f>SUM(VIEW_IV_2019_GR_COTA_DEMANDA_TRI[Recebido.BERINERT])</f>
        <v>2004.5639491108525</v>
      </c>
      <c r="AA2" s="59">
        <f>SUM(VIEW_IV_2019_GR_COTA_DEMANDA_TRI[Recebido.BERIPLEX])</f>
        <v>8145.5641589747784</v>
      </c>
      <c r="AB2" s="59">
        <f>SUM(VIEW_IV_2019_GR_COTA_DEMANDA_TRI[Recebido.HAEMO])</f>
        <v>12556.883458312082</v>
      </c>
      <c r="AC2" s="59">
        <f>SUM(VIEW_IV_2019_GR_COTA_DEMANDA_TRI[Recebido.HIZENTRA])</f>
        <v>2761.1513525359783</v>
      </c>
      <c r="AD2" s="59">
        <f>SUM(VIEW_IV_2019_GR_COTA_DEMANDA_TRI[Recebido.PRIVIGEN])</f>
        <v>19640.028291563947</v>
      </c>
      <c r="AE2" s="59">
        <f>SUM(VIEW_IV_2019_GR_COTA_DEMANDA_TRI[Recuperavel.BERINERT])</f>
        <v>562.39425672804146</v>
      </c>
      <c r="AF2" s="59">
        <f>SUM(VIEW_IV_2019_GR_COTA_DEMANDA_TRI[Recuperavel.BERIPLEX])</f>
        <v>1027.1348463544771</v>
      </c>
      <c r="AG2" s="59">
        <f>SUM(VIEW_IV_2019_GR_COTA_DEMANDA_TRI[Recuperavel.HAEMO])</f>
        <v>307.14363469576369</v>
      </c>
      <c r="AH2" s="59">
        <f>SUM(VIEW_IV_2019_GR_COTA_DEMANDA_TRI[Recuperavel.HIZENTRA])</f>
        <v>104.65790409393605</v>
      </c>
      <c r="AI2" s="59">
        <f>SUM(VIEW_IV_2019_GR_COTA_DEMANDA_TRI[Recuperavel.PRIVIGEN])</f>
        <v>3073.2623163852263</v>
      </c>
      <c r="AJ2" s="59">
        <f>SUM(VIEW_IV_2019_GR_COTA_DEMANDA_TRI[Recuperavel-Total])</f>
        <v>5074.5929582574445</v>
      </c>
    </row>
    <row r="3" spans="1:36" ht="12.75" x14ac:dyDescent="0.25">
      <c r="A3" s="3" t="s">
        <v>278</v>
      </c>
      <c r="E3" s="51" t="s">
        <v>267</v>
      </c>
      <c r="F3" s="58">
        <f>SUBTOTAL(9,VIEW_IV_2019_GR_COTA_DEMANDA_TRI[Cota.BERINERT])</f>
        <v>2898</v>
      </c>
      <c r="G3" s="58">
        <f>SUBTOTAL(9,VIEW_IV_2019_GR_COTA_DEMANDA_TRI[Cota.BERIPLEX])</f>
        <v>23700</v>
      </c>
      <c r="H3" s="58">
        <f>SUBTOTAL(9,VIEW_IV_2019_GR_COTA_DEMANDA_TRI[Cota.HAEMO])</f>
        <v>17000</v>
      </c>
      <c r="I3" s="58">
        <f>SUBTOTAL(9,VIEW_IV_2019_GR_COTA_DEMANDA_TRI[Cota.HIZENTRA])</f>
        <v>74639</v>
      </c>
      <c r="J3" s="58">
        <f>SUBTOTAL(9,VIEW_IV_2019_GR_COTA_DEMANDA_TRI[Cota.PRIVIGEN])</f>
        <v>722520</v>
      </c>
      <c r="K3" s="58">
        <f>SUBTOTAL(9,VIEW_IV_2019_GR_COTA_DEMANDA_TRI[Demanda.BERINERT])</f>
        <v>1314</v>
      </c>
      <c r="L3" s="58">
        <f>SUBTOTAL(9,VIEW_IV_2019_GR_COTA_DEMANDA_TRI[Demanda.BERIPLEX])</f>
        <v>12345</v>
      </c>
      <c r="M3" s="58">
        <f>SUBTOTAL(9,VIEW_IV_2019_GR_COTA_DEMANDA_TRI[Demanda.HAEMO])</f>
        <v>9958</v>
      </c>
      <c r="N3" s="58">
        <f>SUBTOTAL(9,VIEW_IV_2019_GR_COTA_DEMANDA_TRI[Demanda.HIZENTRA])</f>
        <v>31375</v>
      </c>
      <c r="O3" s="58">
        <f>SUBTOTAL(9,VIEW_IV_2019_GR_COTA_DEMANDA_TRI[Demanda.PRIVIGEN])</f>
        <v>460880</v>
      </c>
      <c r="P3" s="54">
        <f>IFERROR(K3/F3,0)</f>
        <v>0.453416149068323</v>
      </c>
      <c r="Q3" s="54">
        <f t="shared" si="0"/>
        <v>0.52088607594936709</v>
      </c>
      <c r="R3" s="54">
        <f t="shared" si="0"/>
        <v>0.58576470588235297</v>
      </c>
      <c r="S3" s="54">
        <f t="shared" si="0"/>
        <v>0.42035665000870859</v>
      </c>
      <c r="T3" s="54">
        <f t="shared" si="0"/>
        <v>0.63787853623429114</v>
      </c>
      <c r="U3" s="60">
        <f>SUBTOTAL(9,VIEW_IV_2019_GR_COTA_DEMANDA_TRI[Premio.BERINERT])</f>
        <v>2200.249890719052</v>
      </c>
      <c r="V3" s="60">
        <f>SUBTOTAL(9,VIEW_IV_2019_GR_COTA_DEMANDA_TRI[Premio.BERIPLEX])</f>
        <v>6227.145293589253</v>
      </c>
      <c r="W3" s="60">
        <f>SUBTOTAL(9,VIEW_IV_2019_GR_COTA_DEMANDA_TRI[Premio.HAEMO])</f>
        <v>11328.015769223966</v>
      </c>
      <c r="X3" s="60">
        <f>SUBTOTAL(9,VIEW_IV_2019_GR_COTA_DEMANDA_TRI[Premio.HIZENTRA])</f>
        <v>2050.564748817249</v>
      </c>
      <c r="Y3" s="60">
        <f>SUBTOTAL(9,VIEW_IV_2019_GR_COTA_DEMANDA_TRI[Premio.PRIVIGEN])</f>
        <v>22263.505010819881</v>
      </c>
      <c r="Z3" s="60">
        <f>SUBTOTAL(9,VIEW_IV_2019_GR_COTA_DEMANDA_TRI[Recebido.BERINERT])</f>
        <v>2004.5639491108525</v>
      </c>
      <c r="AA3" s="60">
        <f>SUBTOTAL(9,VIEW_IV_2019_GR_COTA_DEMANDA_TRI[Recebido.BERIPLEX])</f>
        <v>8145.5641589747784</v>
      </c>
      <c r="AB3" s="60">
        <f>SUBTOTAL(9,VIEW_IV_2019_GR_COTA_DEMANDA_TRI[Recebido.HAEMO])</f>
        <v>12556.883458312082</v>
      </c>
      <c r="AC3" s="60">
        <f>SUBTOTAL(9,VIEW_IV_2019_GR_COTA_DEMANDA_TRI[Recebido.HIZENTRA])</f>
        <v>2761.1513525359783</v>
      </c>
      <c r="AD3" s="60">
        <f>SUBTOTAL(9,VIEW_IV_2019_GR_COTA_DEMANDA_TRI[Recebido.PRIVIGEN])</f>
        <v>19640.028291563947</v>
      </c>
      <c r="AE3" s="60">
        <f>SUBTOTAL(9,VIEW_IV_2019_GR_COTA_DEMANDA_TRI[Recuperavel.BERINERT])</f>
        <v>562.39425672804146</v>
      </c>
      <c r="AF3" s="60">
        <f>SUBTOTAL(9,VIEW_IV_2019_GR_COTA_DEMANDA_TRI[Recuperavel.BERIPLEX])</f>
        <v>1027.1348463544771</v>
      </c>
      <c r="AG3" s="60">
        <f>SUBTOTAL(9,VIEW_IV_2019_GR_COTA_DEMANDA_TRI[Recuperavel.HAEMO])</f>
        <v>307.14363469576369</v>
      </c>
      <c r="AH3" s="60">
        <f>SUBTOTAL(9,VIEW_IV_2019_GR_COTA_DEMANDA_TRI[Recuperavel.HIZENTRA])</f>
        <v>104.65790409393605</v>
      </c>
      <c r="AI3" s="60">
        <f>SUBTOTAL(9,VIEW_IV_2019_GR_COTA_DEMANDA_TRI[Recuperavel.PRIVIGEN])</f>
        <v>3073.2623163852263</v>
      </c>
      <c r="AJ3" s="60">
        <f>SUBTOTAL(9,VIEW_IV_2019_GR_COTA_DEMANDA_TRI[Recuperavel-Total])</f>
        <v>5074.5929582574445</v>
      </c>
    </row>
    <row r="4" spans="1:36" x14ac:dyDescent="0.25">
      <c r="A4" s="63" t="s">
        <v>307</v>
      </c>
    </row>
    <row r="5" spans="1:36" x14ac:dyDescent="0.25">
      <c r="A5" s="3" t="s">
        <v>265</v>
      </c>
      <c r="B5" s="3" t="s">
        <v>2</v>
      </c>
      <c r="C5" t="s">
        <v>4</v>
      </c>
      <c r="D5" s="3" t="s">
        <v>203</v>
      </c>
      <c r="E5" s="3" t="s">
        <v>204</v>
      </c>
      <c r="F5" s="6" t="s">
        <v>273</v>
      </c>
      <c r="G5" s="6" t="s">
        <v>274</v>
      </c>
      <c r="H5" s="6" t="s">
        <v>275</v>
      </c>
      <c r="I5" s="6" t="s">
        <v>276</v>
      </c>
      <c r="J5" s="6" t="s">
        <v>277</v>
      </c>
      <c r="K5" s="6" t="s">
        <v>268</v>
      </c>
      <c r="L5" s="6" t="s">
        <v>269</v>
      </c>
      <c r="M5" s="6" t="s">
        <v>270</v>
      </c>
      <c r="N5" s="6" t="s">
        <v>271</v>
      </c>
      <c r="O5" s="6" t="s">
        <v>272</v>
      </c>
      <c r="P5" s="3" t="s">
        <v>279</v>
      </c>
      <c r="Q5" s="3" t="s">
        <v>280</v>
      </c>
      <c r="R5" s="3" t="s">
        <v>281</v>
      </c>
      <c r="S5" s="3" t="s">
        <v>282</v>
      </c>
      <c r="T5" s="3" t="s">
        <v>283</v>
      </c>
      <c r="U5" s="36" t="s">
        <v>284</v>
      </c>
      <c r="V5" s="36" t="s">
        <v>285</v>
      </c>
      <c r="W5" s="36" t="s">
        <v>286</v>
      </c>
      <c r="X5" s="36" t="s">
        <v>287</v>
      </c>
      <c r="Y5" s="36" t="s">
        <v>288</v>
      </c>
      <c r="Z5" s="3" t="s">
        <v>290</v>
      </c>
      <c r="AA5" s="3" t="s">
        <v>291</v>
      </c>
      <c r="AB5" s="3" t="s">
        <v>292</v>
      </c>
      <c r="AC5" s="3" t="s">
        <v>293</v>
      </c>
      <c r="AD5" s="3" t="s">
        <v>294</v>
      </c>
      <c r="AE5" s="36" t="s">
        <v>295</v>
      </c>
      <c r="AF5" s="36" t="s">
        <v>296</v>
      </c>
      <c r="AG5" s="36" t="s">
        <v>297</v>
      </c>
      <c r="AH5" s="36" t="s">
        <v>298</v>
      </c>
      <c r="AI5" s="36" t="s">
        <v>299</v>
      </c>
      <c r="AJ5" s="36" t="s">
        <v>390</v>
      </c>
    </row>
    <row r="6" spans="1:36" x14ac:dyDescent="0.25">
      <c r="A6" s="3" t="s">
        <v>300</v>
      </c>
      <c r="B6" s="8" t="s">
        <v>16</v>
      </c>
      <c r="C6" s="1" t="s">
        <v>18</v>
      </c>
      <c r="D6" s="8" t="s">
        <v>207</v>
      </c>
      <c r="E6" s="8" t="s">
        <v>208</v>
      </c>
      <c r="F6" s="10">
        <v>204</v>
      </c>
      <c r="G6" s="10">
        <v>1450</v>
      </c>
      <c r="H6" s="10">
        <v>1360</v>
      </c>
      <c r="I6" s="10">
        <v>7683</v>
      </c>
      <c r="J6" s="10">
        <v>57605</v>
      </c>
      <c r="K6" s="10">
        <v>70</v>
      </c>
      <c r="L6" s="10">
        <v>1228</v>
      </c>
      <c r="M6" s="10">
        <v>1271</v>
      </c>
      <c r="N6" s="10">
        <v>4624</v>
      </c>
      <c r="O6" s="10">
        <v>95408</v>
      </c>
      <c r="P6" s="55">
        <f>IFERROR(VIEW_IV_2019_GR_COTA_DEMANDA_TRI[[#This Row],[Demanda.BERINERT]]/VIEW_IV_2019_GR_COTA_DEMANDA_TRI[[#This Row],[Cota.BERINERT]],0)</f>
        <v>0.34313725490196079</v>
      </c>
      <c r="Q6" s="55">
        <f>IFERROR(VIEW_IV_2019_GR_COTA_DEMANDA_TRI[[#This Row],[Demanda.BERIPLEX]]/VIEW_IV_2019_GR_COTA_DEMANDA_TRI[[#This Row],[Cota.BERIPLEX]],0)</f>
        <v>0.84689655172413791</v>
      </c>
      <c r="R6" s="55">
        <f>IFERROR(VIEW_IV_2019_GR_COTA_DEMANDA_TRI[[#This Row],[Demanda.HAEMO]]/VIEW_IV_2019_GR_COTA_DEMANDA_TRI[[#This Row],[Cota.HAEMO]],0)</f>
        <v>0.93455882352941178</v>
      </c>
      <c r="S6" s="55">
        <f>IFERROR(VIEW_IV_2019_GR_COTA_DEMANDA_TRI[[#This Row],[Demanda.HIZENTRA]]/VIEW_IV_2019_GR_COTA_DEMANDA_TRI[[#This Row],[Cota.HIZENTRA]],0)</f>
        <v>0.60184823636600282</v>
      </c>
      <c r="T6" s="55">
        <f>IFERROR(VIEW_IV_2019_GR_COTA_DEMANDA_TRI[[#This Row],[Demanda.PRIVIGEN]]/VIEW_IV_2019_GR_COTA_DEMANDA_TRI[[#This Row],[Cota.PRIVIGEN]],0)</f>
        <v>1.6562451176113184</v>
      </c>
      <c r="U6" s="61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6" s="61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686.36113847651552</v>
      </c>
      <c r="W6" s="61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1136.6335165550813</v>
      </c>
      <c r="X6" s="61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6" s="61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4400.499781438104</v>
      </c>
      <c r="Z6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6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596.03622900009486</v>
      </c>
      <c r="AB6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1114.3497664327558</v>
      </c>
      <c r="AC6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6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3791.4900829250382</v>
      </c>
      <c r="AE6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6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90.324909476420657</v>
      </c>
      <c r="AG6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22.2837501223255</v>
      </c>
      <c r="AH6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6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609.00969851306581</v>
      </c>
      <c r="AJ6" s="103">
        <f>SUM(VIEW_IV_2019_GR_COTA_DEMANDA_TRI[[#This Row],[Recuperavel.BERINERT]:[Recuperavel.PRIVIGEN]])</f>
        <v>721.61835811181197</v>
      </c>
    </row>
    <row r="7" spans="1:36" x14ac:dyDescent="0.25">
      <c r="A7" s="3" t="s">
        <v>300</v>
      </c>
      <c r="B7" s="8" t="s">
        <v>16</v>
      </c>
      <c r="C7" s="1" t="s">
        <v>18</v>
      </c>
      <c r="D7" s="8" t="s">
        <v>211</v>
      </c>
      <c r="E7" s="8" t="s">
        <v>212</v>
      </c>
      <c r="F7" s="10">
        <v>237</v>
      </c>
      <c r="G7" s="10">
        <v>2000</v>
      </c>
      <c r="H7" s="10">
        <v>1200</v>
      </c>
      <c r="I7" s="10">
        <v>4310</v>
      </c>
      <c r="J7" s="10">
        <v>28100</v>
      </c>
      <c r="K7" s="10">
        <v>447</v>
      </c>
      <c r="L7" s="10">
        <v>3219</v>
      </c>
      <c r="M7" s="10">
        <v>1094</v>
      </c>
      <c r="N7" s="10">
        <v>2435</v>
      </c>
      <c r="O7" s="10">
        <v>35388</v>
      </c>
      <c r="P7" s="62">
        <f>IFERROR(VIEW_IV_2019_GR_COTA_DEMANDA_TRI[[#This Row],[Demanda.BERINERT]]/VIEW_IV_2019_GR_COTA_DEMANDA_TRI[[#This Row],[Cota.BERINERT]],0)</f>
        <v>1.8860759493670887</v>
      </c>
      <c r="Q7" s="62">
        <f>IFERROR(VIEW_IV_2019_GR_COTA_DEMANDA_TRI[[#This Row],[Demanda.BERIPLEX]]/VIEW_IV_2019_GR_COTA_DEMANDA_TRI[[#This Row],[Cota.BERIPLEX]],0)</f>
        <v>1.6094999999999999</v>
      </c>
      <c r="R7" s="62">
        <f>IFERROR(VIEW_IV_2019_GR_COTA_DEMANDA_TRI[[#This Row],[Demanda.HAEMO]]/VIEW_IV_2019_GR_COTA_DEMANDA_TRI[[#This Row],[Cota.HAEMO]],0)</f>
        <v>0.91166666666666663</v>
      </c>
      <c r="S7" s="62">
        <f>IFERROR(VIEW_IV_2019_GR_COTA_DEMANDA_TRI[[#This Row],[Demanda.HIZENTRA]]/VIEW_IV_2019_GR_COTA_DEMANDA_TRI[[#This Row],[Cota.HIZENTRA]],0)</f>
        <v>0.56496519721577731</v>
      </c>
      <c r="T7" s="62">
        <f>IFERROR(VIEW_IV_2019_GR_COTA_DEMANDA_TRI[[#This Row],[Demanda.PRIVIGEN]]/VIEW_IV_2019_GR_COTA_DEMANDA_TRI[[#This Row],[Cota.PRIVIGEN]],0)</f>
        <v>1.2593594306049822</v>
      </c>
      <c r="U7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1100.124945359526</v>
      </c>
      <c r="V7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3667.0831511984197</v>
      </c>
      <c r="W7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1108.6436119718187</v>
      </c>
      <c r="X7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7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3658.5813596590224</v>
      </c>
      <c r="Z7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733.41663023968397</v>
      </c>
      <c r="AA7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2819.1377809489609</v>
      </c>
      <c r="AB7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1784.1603526339554</v>
      </c>
      <c r="AC7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7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2386.3300215949048</v>
      </c>
      <c r="AE7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366.70831511984204</v>
      </c>
      <c r="AF7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847.94537024945885</v>
      </c>
      <c r="AG7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7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7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1272.2513380641176</v>
      </c>
      <c r="AJ7" s="103">
        <f>SUM(VIEW_IV_2019_GR_COTA_DEMANDA_TRI[[#This Row],[Recuperavel.BERINERT]:[Recuperavel.PRIVIGEN]])</f>
        <v>2486.9050234334186</v>
      </c>
    </row>
    <row r="8" spans="1:36" x14ac:dyDescent="0.25">
      <c r="A8" s="3" t="s">
        <v>300</v>
      </c>
      <c r="B8" s="8" t="s">
        <v>16</v>
      </c>
      <c r="C8" s="1" t="s">
        <v>18</v>
      </c>
      <c r="D8" s="8" t="s">
        <v>205</v>
      </c>
      <c r="E8" s="8" t="s">
        <v>206</v>
      </c>
      <c r="F8" s="10">
        <v>237</v>
      </c>
      <c r="G8" s="10">
        <v>1550</v>
      </c>
      <c r="H8" s="10">
        <v>1440</v>
      </c>
      <c r="I8" s="10">
        <v>6746</v>
      </c>
      <c r="J8" s="10">
        <v>54795</v>
      </c>
      <c r="K8" s="10">
        <v>373</v>
      </c>
      <c r="L8" s="10">
        <v>1546</v>
      </c>
      <c r="M8" s="10">
        <v>1714</v>
      </c>
      <c r="N8" s="10">
        <v>5809</v>
      </c>
      <c r="O8" s="10">
        <v>89461</v>
      </c>
      <c r="P8" s="62">
        <f>IFERROR(VIEW_IV_2019_GR_COTA_DEMANDA_TRI[[#This Row],[Demanda.BERINERT]]/VIEW_IV_2019_GR_COTA_DEMANDA_TRI[[#This Row],[Cota.BERINERT]],0)</f>
        <v>1.5738396624472575</v>
      </c>
      <c r="Q8" s="62">
        <f>IFERROR(VIEW_IV_2019_GR_COTA_DEMANDA_TRI[[#This Row],[Demanda.BERIPLEX]]/VIEW_IV_2019_GR_COTA_DEMANDA_TRI[[#This Row],[Cota.BERIPLEX]],0)</f>
        <v>0.99741935483870969</v>
      </c>
      <c r="R8" s="62">
        <f>IFERROR(VIEW_IV_2019_GR_COTA_DEMANDA_TRI[[#This Row],[Demanda.HAEMO]]/VIEW_IV_2019_GR_COTA_DEMANDA_TRI[[#This Row],[Cota.HAEMO]],0)</f>
        <v>1.1902777777777778</v>
      </c>
      <c r="S8" s="62">
        <f>IFERROR(VIEW_IV_2019_GR_COTA_DEMANDA_TRI[[#This Row],[Demanda.HIZENTRA]]/VIEW_IV_2019_GR_COTA_DEMANDA_TRI[[#This Row],[Cota.HIZENTRA]],0)</f>
        <v>0.86110287577823896</v>
      </c>
      <c r="T8" s="62">
        <f>IFERROR(VIEW_IV_2019_GR_COTA_DEMANDA_TRI[[#This Row],[Demanda.PRIVIGEN]]/VIEW_IV_2019_GR_COTA_DEMANDA_TRI[[#This Row],[Cota.PRIVIGEN]],0)</f>
        <v>1.6326489643215623</v>
      </c>
      <c r="U8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1100.124945359526</v>
      </c>
      <c r="V8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1213.3015160657565</v>
      </c>
      <c r="W8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2421.4107020059269</v>
      </c>
      <c r="X8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1047.7959933125528</v>
      </c>
      <c r="Y8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4400.499781438104</v>
      </c>
      <c r="Z8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904.4390037513266</v>
      </c>
      <c r="AA8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1662.4802596116197</v>
      </c>
      <c r="AB8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2474.9923036956943</v>
      </c>
      <c r="AC8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943.13808921861676</v>
      </c>
      <c r="AD8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4148.6081643029147</v>
      </c>
      <c r="AE8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195.68594160819941</v>
      </c>
      <c r="AF8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8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8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104.65790409393605</v>
      </c>
      <c r="AI8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251.89161713518934</v>
      </c>
      <c r="AJ8" s="103">
        <f>SUM(VIEW_IV_2019_GR_COTA_DEMANDA_TRI[[#This Row],[Recuperavel.BERINERT]:[Recuperavel.PRIVIGEN]])</f>
        <v>552.2354628373248</v>
      </c>
    </row>
    <row r="9" spans="1:36" x14ac:dyDescent="0.25">
      <c r="A9" s="3" t="s">
        <v>300</v>
      </c>
      <c r="B9" s="8" t="s">
        <v>16</v>
      </c>
      <c r="C9" s="1" t="s">
        <v>24</v>
      </c>
      <c r="D9" s="8" t="s">
        <v>207</v>
      </c>
      <c r="E9" s="8" t="s">
        <v>208</v>
      </c>
      <c r="F9" s="10">
        <v>348</v>
      </c>
      <c r="G9" s="10">
        <v>1769</v>
      </c>
      <c r="H9" s="10">
        <v>1428</v>
      </c>
      <c r="I9" s="10">
        <v>8897</v>
      </c>
      <c r="J9" s="10">
        <v>61705</v>
      </c>
      <c r="K9" s="10">
        <v>42</v>
      </c>
      <c r="L9" s="10">
        <v>1279</v>
      </c>
      <c r="M9" s="10">
        <v>1874</v>
      </c>
      <c r="N9" s="10">
        <v>4783</v>
      </c>
      <c r="O9" s="10">
        <v>62435</v>
      </c>
      <c r="P9" s="62">
        <f>IFERROR(VIEW_IV_2019_GR_COTA_DEMANDA_TRI[[#This Row],[Demanda.BERINERT]]/VIEW_IV_2019_GR_COTA_DEMANDA_TRI[[#This Row],[Cota.BERINERT]],0)</f>
        <v>0.1206896551724138</v>
      </c>
      <c r="Q9" s="62">
        <f>IFERROR(VIEW_IV_2019_GR_COTA_DEMANDA_TRI[[#This Row],[Demanda.BERIPLEX]]/VIEW_IV_2019_GR_COTA_DEMANDA_TRI[[#This Row],[Cota.BERIPLEX]],0)</f>
        <v>0.72300734878462403</v>
      </c>
      <c r="R9" s="62">
        <f>IFERROR(VIEW_IV_2019_GR_COTA_DEMANDA_TRI[[#This Row],[Demanda.HAEMO]]/VIEW_IV_2019_GR_COTA_DEMANDA_TRI[[#This Row],[Cota.HAEMO]],0)</f>
        <v>1.3123249299719888</v>
      </c>
      <c r="S9" s="62">
        <f>IFERROR(VIEW_IV_2019_GR_COTA_DEMANDA_TRI[[#This Row],[Demanda.HIZENTRA]]/VIEW_IV_2019_GR_COTA_DEMANDA_TRI[[#This Row],[Cota.HIZENTRA]],0)</f>
        <v>0.53759694278970438</v>
      </c>
      <c r="T9" s="62">
        <f>IFERROR(VIEW_IV_2019_GR_COTA_DEMANDA_TRI[[#This Row],[Demanda.PRIVIGEN]]/VIEW_IV_2019_GR_COTA_DEMANDA_TRI[[#This Row],[Cota.PRIVIGEN]],0)</f>
        <v>1.0118304837533425</v>
      </c>
      <c r="U9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9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9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3189.4926262465806</v>
      </c>
      <c r="X9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9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1966.4003226877553</v>
      </c>
      <c r="Z9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9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569.10101647359397</v>
      </c>
      <c r="AB9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2985.779666784857</v>
      </c>
      <c r="AC9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9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1915.1195722848943</v>
      </c>
      <c r="AE9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9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9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203.71295946172359</v>
      </c>
      <c r="AH9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9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51.280750402861031</v>
      </c>
      <c r="AJ9" s="103">
        <f>SUM(VIEW_IV_2019_GR_COTA_DEMANDA_TRI[[#This Row],[Recuperavel.BERINERT]:[Recuperavel.PRIVIGEN]])</f>
        <v>254.99370986458462</v>
      </c>
    </row>
    <row r="10" spans="1:36" x14ac:dyDescent="0.25">
      <c r="A10" s="3" t="s">
        <v>300</v>
      </c>
      <c r="B10" s="8" t="s">
        <v>16</v>
      </c>
      <c r="C10" s="1" t="s">
        <v>24</v>
      </c>
      <c r="D10" s="8" t="s">
        <v>211</v>
      </c>
      <c r="E10" s="8" t="s">
        <v>212</v>
      </c>
      <c r="F10" s="10">
        <v>406</v>
      </c>
      <c r="G10" s="10">
        <v>2440</v>
      </c>
      <c r="H10" s="10">
        <v>1260</v>
      </c>
      <c r="I10" s="10">
        <v>4991</v>
      </c>
      <c r="J10" s="10">
        <v>30100</v>
      </c>
      <c r="K10" s="10">
        <v>78</v>
      </c>
      <c r="L10" s="10">
        <v>1988</v>
      </c>
      <c r="M10" s="10">
        <v>1419</v>
      </c>
      <c r="N10" s="10">
        <v>3289</v>
      </c>
      <c r="O10" s="10">
        <v>40135</v>
      </c>
      <c r="P10" s="62">
        <f>IFERROR(VIEW_IV_2019_GR_COTA_DEMANDA_TRI[[#This Row],[Demanda.BERINERT]]/VIEW_IV_2019_GR_COTA_DEMANDA_TRI[[#This Row],[Cota.BERINERT]],0)</f>
        <v>0.19211822660098521</v>
      </c>
      <c r="Q10" s="62">
        <f>IFERROR(VIEW_IV_2019_GR_COTA_DEMANDA_TRI[[#This Row],[Demanda.BERIPLEX]]/VIEW_IV_2019_GR_COTA_DEMANDA_TRI[[#This Row],[Cota.BERIPLEX]],0)</f>
        <v>0.81475409836065571</v>
      </c>
      <c r="R10" s="62">
        <f>IFERROR(VIEW_IV_2019_GR_COTA_DEMANDA_TRI[[#This Row],[Demanda.HAEMO]]/VIEW_IV_2019_GR_COTA_DEMANDA_TRI[[#This Row],[Cota.HAEMO]],0)</f>
        <v>1.1261904761904762</v>
      </c>
      <c r="S10" s="62">
        <f>IFERROR(VIEW_IV_2019_GR_COTA_DEMANDA_TRI[[#This Row],[Demanda.HIZENTRA]]/VIEW_IV_2019_GR_COTA_DEMANDA_TRI[[#This Row],[Cota.HIZENTRA]],0)</f>
        <v>0.65898617511520741</v>
      </c>
      <c r="T10" s="62">
        <f>IFERROR(VIEW_IV_2019_GR_COTA_DEMANDA_TRI[[#This Row],[Demanda.PRIVIGEN]]/VIEW_IV_2019_GR_COTA_DEMANDA_TRI[[#This Row],[Cota.PRIVIGEN]],0)</f>
        <v>1.333388704318937</v>
      </c>
      <c r="U10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0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660.39948784856222</v>
      </c>
      <c r="W10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2299.9101770671027</v>
      </c>
      <c r="X10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0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3885.5361623247927</v>
      </c>
      <c r="Z10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0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571.53492121996464</v>
      </c>
      <c r="AB10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2218.7632519553881</v>
      </c>
      <c r="AC10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0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3301.3055612535863</v>
      </c>
      <c r="AE10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0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88.864566628597572</v>
      </c>
      <c r="AG10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81.146925111714609</v>
      </c>
      <c r="AH10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0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584.23060107120637</v>
      </c>
      <c r="AJ10" s="103">
        <f>SUM(VIEW_IV_2019_GR_COTA_DEMANDA_TRI[[#This Row],[Recuperavel.BERINERT]:[Recuperavel.PRIVIGEN]])</f>
        <v>754.24209281151855</v>
      </c>
    </row>
    <row r="11" spans="1:36" x14ac:dyDescent="0.25">
      <c r="A11" s="3" t="s">
        <v>300</v>
      </c>
      <c r="B11" s="8" t="s">
        <v>16</v>
      </c>
      <c r="C11" s="1" t="s">
        <v>24</v>
      </c>
      <c r="D11" s="8" t="s">
        <v>205</v>
      </c>
      <c r="E11" s="8" t="s">
        <v>206</v>
      </c>
      <c r="F11" s="10">
        <v>406</v>
      </c>
      <c r="G11" s="10">
        <v>1891</v>
      </c>
      <c r="H11" s="10">
        <v>1512</v>
      </c>
      <c r="I11" s="10">
        <v>7812</v>
      </c>
      <c r="J11" s="10">
        <v>58695</v>
      </c>
      <c r="K11" s="10">
        <v>283</v>
      </c>
      <c r="L11" s="10">
        <v>1460</v>
      </c>
      <c r="M11" s="10">
        <v>1457</v>
      </c>
      <c r="N11" s="10">
        <v>6439</v>
      </c>
      <c r="O11" s="10">
        <v>79695</v>
      </c>
      <c r="P11" s="62">
        <f>IFERROR(VIEW_IV_2019_GR_COTA_DEMANDA_TRI[[#This Row],[Demanda.BERINERT]]/VIEW_IV_2019_GR_COTA_DEMANDA_TRI[[#This Row],[Cota.BERINERT]],0)</f>
        <v>0.69704433497536944</v>
      </c>
      <c r="Q11" s="62">
        <f>IFERROR(VIEW_IV_2019_GR_COTA_DEMANDA_TRI[[#This Row],[Demanda.BERIPLEX]]/VIEW_IV_2019_GR_COTA_DEMANDA_TRI[[#This Row],[Cota.BERIPLEX]],0)</f>
        <v>0.7720782654680064</v>
      </c>
      <c r="R11" s="62">
        <f>IFERROR(VIEW_IV_2019_GR_COTA_DEMANDA_TRI[[#This Row],[Demanda.HAEMO]]/VIEW_IV_2019_GR_COTA_DEMANDA_TRI[[#This Row],[Cota.HAEMO]],0)</f>
        <v>0.96362433862433861</v>
      </c>
      <c r="S11" s="62">
        <f>IFERROR(VIEW_IV_2019_GR_COTA_DEMANDA_TRI[[#This Row],[Demanda.HIZENTRA]]/VIEW_IV_2019_GR_COTA_DEMANDA_TRI[[#This Row],[Cota.HIZENTRA]],0)</f>
        <v>0.82424475166410649</v>
      </c>
      <c r="T11" s="62">
        <f>IFERROR(VIEW_IV_2019_GR_COTA_DEMANDA_TRI[[#This Row],[Demanda.PRIVIGEN]]/VIEW_IV_2019_GR_COTA_DEMANDA_TRI[[#This Row],[Cota.PRIVIGEN]],0)</f>
        <v>1.3577817531305902</v>
      </c>
      <c r="U11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1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1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1171.9251353774557</v>
      </c>
      <c r="X11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1002.7687555046962</v>
      </c>
      <c r="Y11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3951.9876032721013</v>
      </c>
      <c r="Z11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366.70831511984198</v>
      </c>
      <c r="AA11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585.16478779964052</v>
      </c>
      <c r="AB11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1411.6842241329359</v>
      </c>
      <c r="AC11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1479.700503571845</v>
      </c>
      <c r="AD11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3647.3892920733151</v>
      </c>
      <c r="AE11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1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1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1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1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304.59831119878618</v>
      </c>
      <c r="AJ11" s="103">
        <f>SUM(VIEW_IV_2019_GR_COTA_DEMANDA_TRI[[#This Row],[Recuperavel.BERINERT]:[Recuperavel.PRIVIGEN]])</f>
        <v>304.59831119878618</v>
      </c>
    </row>
    <row r="12" spans="1:36" x14ac:dyDescent="0.25">
      <c r="A12" s="3" t="s">
        <v>300</v>
      </c>
      <c r="B12" s="8" t="s">
        <v>16</v>
      </c>
      <c r="C12" s="1" t="s">
        <v>373</v>
      </c>
      <c r="D12" s="8" t="s">
        <v>207</v>
      </c>
      <c r="E12" s="8" t="s">
        <v>208</v>
      </c>
      <c r="F12" s="10">
        <v>132</v>
      </c>
      <c r="G12" s="10">
        <v>1653</v>
      </c>
      <c r="H12" s="10">
        <v>1462</v>
      </c>
      <c r="I12" s="10">
        <v>7011</v>
      </c>
      <c r="J12" s="10">
        <v>78105</v>
      </c>
      <c r="K12" s="10">
        <v>5</v>
      </c>
      <c r="L12" s="10">
        <v>508</v>
      </c>
      <c r="M12" s="10">
        <v>466</v>
      </c>
      <c r="N12" s="10">
        <v>1535</v>
      </c>
      <c r="O12" s="10">
        <v>24060</v>
      </c>
      <c r="P12" s="62">
        <f>IFERROR(VIEW_IV_2019_GR_COTA_DEMANDA_TRI[[#This Row],[Demanda.BERINERT]]/VIEW_IV_2019_GR_COTA_DEMANDA_TRI[[#This Row],[Cota.BERINERT]],0)</f>
        <v>3.787878787878788E-2</v>
      </c>
      <c r="Q12" s="62">
        <f>IFERROR(VIEW_IV_2019_GR_COTA_DEMANDA_TRI[[#This Row],[Demanda.BERIPLEX]]/VIEW_IV_2019_GR_COTA_DEMANDA_TRI[[#This Row],[Cota.BERIPLEX]],0)</f>
        <v>0.30732002419842708</v>
      </c>
      <c r="R12" s="62">
        <f>IFERROR(VIEW_IV_2019_GR_COTA_DEMANDA_TRI[[#This Row],[Demanda.HAEMO]]/VIEW_IV_2019_GR_COTA_DEMANDA_TRI[[#This Row],[Cota.HAEMO]],0)</f>
        <v>0.31874145006839943</v>
      </c>
      <c r="S12" s="62">
        <f>IFERROR(VIEW_IV_2019_GR_COTA_DEMANDA_TRI[[#This Row],[Demanda.HIZENTRA]]/VIEW_IV_2019_GR_COTA_DEMANDA_TRI[[#This Row],[Cota.HIZENTRA]],0)</f>
        <v>0.21894166310084154</v>
      </c>
      <c r="T12" s="62">
        <f>IFERROR(VIEW_IV_2019_GR_COTA_DEMANDA_TRI[[#This Row],[Demanda.PRIVIGEN]]/VIEW_IV_2019_GR_COTA_DEMANDA_TRI[[#This Row],[Cota.PRIVIGEN]],0)</f>
        <v>0.30804685999615899</v>
      </c>
      <c r="U12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2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2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2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2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2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2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555.47114989391832</v>
      </c>
      <c r="AB12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567.15389267649778</v>
      </c>
      <c r="AC12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2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449.7855971292912</v>
      </c>
      <c r="AE12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2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2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2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2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2" s="103">
        <f>SUM(VIEW_IV_2019_GR_COTA_DEMANDA_TRI[[#This Row],[Recuperavel.BERINERT]:[Recuperavel.PRIVIGEN]])</f>
        <v>0</v>
      </c>
    </row>
    <row r="13" spans="1:36" x14ac:dyDescent="0.25">
      <c r="A13" s="3" t="s">
        <v>300</v>
      </c>
      <c r="B13" s="8" t="s">
        <v>16</v>
      </c>
      <c r="C13" s="1" t="s">
        <v>373</v>
      </c>
      <c r="D13" s="8" t="s">
        <v>211</v>
      </c>
      <c r="E13" s="8" t="s">
        <v>212</v>
      </c>
      <c r="F13" s="10">
        <v>154</v>
      </c>
      <c r="G13" s="10">
        <v>2280</v>
      </c>
      <c r="H13" s="10">
        <v>1290</v>
      </c>
      <c r="I13" s="10">
        <v>3420</v>
      </c>
      <c r="J13" s="10">
        <v>55245</v>
      </c>
      <c r="K13" s="10">
        <v>16</v>
      </c>
      <c r="L13" s="10">
        <v>568</v>
      </c>
      <c r="M13" s="10">
        <v>298</v>
      </c>
      <c r="N13" s="10">
        <v>951</v>
      </c>
      <c r="O13" s="10">
        <v>11530</v>
      </c>
      <c r="P13" s="62">
        <f>IFERROR(VIEW_IV_2019_GR_COTA_DEMANDA_TRI[[#This Row],[Demanda.BERINERT]]/VIEW_IV_2019_GR_COTA_DEMANDA_TRI[[#This Row],[Cota.BERINERT]],0)</f>
        <v>0.1038961038961039</v>
      </c>
      <c r="Q13" s="62">
        <f>IFERROR(VIEW_IV_2019_GR_COTA_DEMANDA_TRI[[#This Row],[Demanda.BERIPLEX]]/VIEW_IV_2019_GR_COTA_DEMANDA_TRI[[#This Row],[Cota.BERIPLEX]],0)</f>
        <v>0.24912280701754386</v>
      </c>
      <c r="R13" s="62">
        <f>IFERROR(VIEW_IV_2019_GR_COTA_DEMANDA_TRI[[#This Row],[Demanda.HAEMO]]/VIEW_IV_2019_GR_COTA_DEMANDA_TRI[[#This Row],[Cota.HAEMO]],0)</f>
        <v>0.23100775193798451</v>
      </c>
      <c r="S13" s="62">
        <f>IFERROR(VIEW_IV_2019_GR_COTA_DEMANDA_TRI[[#This Row],[Demanda.HIZENTRA]]/VIEW_IV_2019_GR_COTA_DEMANDA_TRI[[#This Row],[Cota.HIZENTRA]],0)</f>
        <v>0.27807017543859647</v>
      </c>
      <c r="T13" s="62">
        <f>IFERROR(VIEW_IV_2019_GR_COTA_DEMANDA_TRI[[#This Row],[Demanda.PRIVIGEN]]/VIEW_IV_2019_GR_COTA_DEMANDA_TRI[[#This Row],[Cota.PRIVIGEN]],0)</f>
        <v>0.20870667028690379</v>
      </c>
      <c r="U13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3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3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3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3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3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3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225.81227369105216</v>
      </c>
      <c r="AB13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C13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338.31275974551647</v>
      </c>
      <c r="AD13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E13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3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3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3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3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3" s="103">
        <f>SUM(VIEW_IV_2019_GR_COTA_DEMANDA_TRI[[#This Row],[Recuperavel.BERINERT]:[Recuperavel.PRIVIGEN]])</f>
        <v>0</v>
      </c>
    </row>
    <row r="14" spans="1:36" x14ac:dyDescent="0.25">
      <c r="A14" s="3" t="s">
        <v>300</v>
      </c>
      <c r="B14" s="8" t="s">
        <v>16</v>
      </c>
      <c r="C14" s="1" t="s">
        <v>373</v>
      </c>
      <c r="D14" s="8" t="s">
        <v>205</v>
      </c>
      <c r="E14" s="8" t="s">
        <v>206</v>
      </c>
      <c r="F14" s="10">
        <v>154</v>
      </c>
      <c r="G14" s="10">
        <v>1767</v>
      </c>
      <c r="H14" s="10">
        <v>1548</v>
      </c>
      <c r="I14" s="10">
        <v>6669</v>
      </c>
      <c r="J14" s="10">
        <v>87630</v>
      </c>
      <c r="K14" s="10">
        <v>0</v>
      </c>
      <c r="L14" s="10">
        <v>549</v>
      </c>
      <c r="M14" s="10">
        <v>365</v>
      </c>
      <c r="N14" s="10">
        <v>1510</v>
      </c>
      <c r="O14" s="10">
        <v>22768</v>
      </c>
      <c r="P14" s="62">
        <f>IFERROR(VIEW_IV_2019_GR_COTA_DEMANDA_TRI[[#This Row],[Demanda.BERINERT]]/VIEW_IV_2019_GR_COTA_DEMANDA_TRI[[#This Row],[Cota.BERINERT]],0)</f>
        <v>0</v>
      </c>
      <c r="Q14" s="62">
        <f>IFERROR(VIEW_IV_2019_GR_COTA_DEMANDA_TRI[[#This Row],[Demanda.BERIPLEX]]/VIEW_IV_2019_GR_COTA_DEMANDA_TRI[[#This Row],[Cota.BERIPLEX]],0)</f>
        <v>0.31069609507640067</v>
      </c>
      <c r="R14" s="62">
        <f>IFERROR(VIEW_IV_2019_GR_COTA_DEMANDA_TRI[[#This Row],[Demanda.HAEMO]]/VIEW_IV_2019_GR_COTA_DEMANDA_TRI[[#This Row],[Cota.HAEMO]],0)</f>
        <v>0.23578811369509045</v>
      </c>
      <c r="S14" s="62">
        <f>IFERROR(VIEW_IV_2019_GR_COTA_DEMANDA_TRI[[#This Row],[Demanda.HIZENTRA]]/VIEW_IV_2019_GR_COTA_DEMANDA_TRI[[#This Row],[Cota.HIZENTRA]],0)</f>
        <v>0.22642075273654222</v>
      </c>
      <c r="T14" s="62">
        <f>IFERROR(VIEW_IV_2019_GR_COTA_DEMANDA_TRI[[#This Row],[Demanda.PRIVIGEN]]/VIEW_IV_2019_GR_COTA_DEMANDA_TRI[[#This Row],[Cota.PRIVIGEN]],0)</f>
        <v>0.25981969645098713</v>
      </c>
      <c r="U14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4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4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4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4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4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4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560.82574033593392</v>
      </c>
      <c r="AB14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C14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4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E14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4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4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4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4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4" s="103">
        <f>SUM(VIEW_IV_2019_GR_COTA_DEMANDA_TRI[[#This Row],[Recuperavel.BERINERT]:[Recuperavel.PRIVIGEN]])</f>
        <v>0</v>
      </c>
    </row>
    <row r="15" spans="1:36" x14ac:dyDescent="0.25">
      <c r="A15" s="3" t="s">
        <v>300</v>
      </c>
      <c r="B15" s="8" t="s">
        <v>16</v>
      </c>
      <c r="C15" s="1" t="s">
        <v>377</v>
      </c>
      <c r="D15" s="8" t="s">
        <v>207</v>
      </c>
      <c r="E15" s="8" t="s">
        <v>208</v>
      </c>
      <c r="F15" s="10">
        <v>186</v>
      </c>
      <c r="G15" s="10">
        <v>2001</v>
      </c>
      <c r="H15" s="10">
        <v>1530</v>
      </c>
      <c r="I15" s="10">
        <v>7011</v>
      </c>
      <c r="J15" s="10">
        <v>74415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62">
        <f>IFERROR(VIEW_IV_2019_GR_COTA_DEMANDA_TRI[[#This Row],[Demanda.BERINERT]]/VIEW_IV_2019_GR_COTA_DEMANDA_TRI[[#This Row],[Cota.BERINERT]],0)</f>
        <v>0</v>
      </c>
      <c r="Q15" s="62">
        <f>IFERROR(VIEW_IV_2019_GR_COTA_DEMANDA_TRI[[#This Row],[Demanda.BERIPLEX]]/VIEW_IV_2019_GR_COTA_DEMANDA_TRI[[#This Row],[Cota.BERIPLEX]],0)</f>
        <v>0</v>
      </c>
      <c r="R15" s="62">
        <f>IFERROR(VIEW_IV_2019_GR_COTA_DEMANDA_TRI[[#This Row],[Demanda.HAEMO]]/VIEW_IV_2019_GR_COTA_DEMANDA_TRI[[#This Row],[Cota.HAEMO]],0)</f>
        <v>0</v>
      </c>
      <c r="S15" s="62">
        <f>IFERROR(VIEW_IV_2019_GR_COTA_DEMANDA_TRI[[#This Row],[Demanda.HIZENTRA]]/VIEW_IV_2019_GR_COTA_DEMANDA_TRI[[#This Row],[Cota.HIZENTRA]],0)</f>
        <v>0</v>
      </c>
      <c r="T15" s="62">
        <f>IFERROR(VIEW_IV_2019_GR_COTA_DEMANDA_TRI[[#This Row],[Demanda.PRIVIGEN]]/VIEW_IV_2019_GR_COTA_DEMANDA_TRI[[#This Row],[Cota.PRIVIGEN]],0)</f>
        <v>0</v>
      </c>
      <c r="U15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5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5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5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5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5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5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15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C15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5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E15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5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5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5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5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5" s="103">
        <f>SUM(VIEW_IV_2019_GR_COTA_DEMANDA_TRI[[#This Row],[Recuperavel.BERINERT]:[Recuperavel.PRIVIGEN]])</f>
        <v>0</v>
      </c>
    </row>
    <row r="16" spans="1:36" x14ac:dyDescent="0.25">
      <c r="A16" s="3" t="s">
        <v>300</v>
      </c>
      <c r="B16" s="8" t="s">
        <v>16</v>
      </c>
      <c r="C16" s="1" t="s">
        <v>377</v>
      </c>
      <c r="D16" s="8" t="s">
        <v>211</v>
      </c>
      <c r="E16" s="8" t="s">
        <v>212</v>
      </c>
      <c r="F16" s="10">
        <v>217</v>
      </c>
      <c r="G16" s="10">
        <v>2760</v>
      </c>
      <c r="H16" s="10">
        <v>1350</v>
      </c>
      <c r="I16" s="10">
        <v>3420</v>
      </c>
      <c r="J16" s="10">
        <v>52635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62">
        <f>IFERROR(VIEW_IV_2019_GR_COTA_DEMANDA_TRI[[#This Row],[Demanda.BERINERT]]/VIEW_IV_2019_GR_COTA_DEMANDA_TRI[[#This Row],[Cota.BERINERT]],0)</f>
        <v>0</v>
      </c>
      <c r="Q16" s="62">
        <f>IFERROR(VIEW_IV_2019_GR_COTA_DEMANDA_TRI[[#This Row],[Demanda.BERIPLEX]]/VIEW_IV_2019_GR_COTA_DEMANDA_TRI[[#This Row],[Cota.BERIPLEX]],0)</f>
        <v>0</v>
      </c>
      <c r="R16" s="62">
        <f>IFERROR(VIEW_IV_2019_GR_COTA_DEMANDA_TRI[[#This Row],[Demanda.HAEMO]]/VIEW_IV_2019_GR_COTA_DEMANDA_TRI[[#This Row],[Cota.HAEMO]],0)</f>
        <v>0</v>
      </c>
      <c r="S16" s="62">
        <f>IFERROR(VIEW_IV_2019_GR_COTA_DEMANDA_TRI[[#This Row],[Demanda.HIZENTRA]]/VIEW_IV_2019_GR_COTA_DEMANDA_TRI[[#This Row],[Cota.HIZENTRA]],0)</f>
        <v>0</v>
      </c>
      <c r="T16" s="62">
        <f>IFERROR(VIEW_IV_2019_GR_COTA_DEMANDA_TRI[[#This Row],[Demanda.PRIVIGEN]]/VIEW_IV_2019_GR_COTA_DEMANDA_TRI[[#This Row],[Cota.PRIVIGEN]],0)</f>
        <v>0</v>
      </c>
      <c r="U16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6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6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6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6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6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6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16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C16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6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E16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6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6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6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6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6" s="103">
        <f>SUM(VIEW_IV_2019_GR_COTA_DEMANDA_TRI[[#This Row],[Recuperavel.BERINERT]:[Recuperavel.PRIVIGEN]])</f>
        <v>0</v>
      </c>
    </row>
    <row r="17" spans="1:36" x14ac:dyDescent="0.25">
      <c r="A17" s="3" t="s">
        <v>300</v>
      </c>
      <c r="B17" s="8" t="s">
        <v>16</v>
      </c>
      <c r="C17" s="1" t="s">
        <v>377</v>
      </c>
      <c r="D17" s="8" t="s">
        <v>205</v>
      </c>
      <c r="E17" s="8" t="s">
        <v>206</v>
      </c>
      <c r="F17" s="10">
        <v>217</v>
      </c>
      <c r="G17" s="10">
        <v>2139</v>
      </c>
      <c r="H17" s="10">
        <v>1620</v>
      </c>
      <c r="I17" s="10">
        <v>6669</v>
      </c>
      <c r="J17" s="10">
        <v>83490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62">
        <f>IFERROR(VIEW_IV_2019_GR_COTA_DEMANDA_TRI[[#This Row],[Demanda.BERINERT]]/VIEW_IV_2019_GR_COTA_DEMANDA_TRI[[#This Row],[Cota.BERINERT]],0)</f>
        <v>0</v>
      </c>
      <c r="Q17" s="62">
        <f>IFERROR(VIEW_IV_2019_GR_COTA_DEMANDA_TRI[[#This Row],[Demanda.BERIPLEX]]/VIEW_IV_2019_GR_COTA_DEMANDA_TRI[[#This Row],[Cota.BERIPLEX]],0)</f>
        <v>0</v>
      </c>
      <c r="R17" s="62">
        <f>IFERROR(VIEW_IV_2019_GR_COTA_DEMANDA_TRI[[#This Row],[Demanda.HAEMO]]/VIEW_IV_2019_GR_COTA_DEMANDA_TRI[[#This Row],[Cota.HAEMO]],0)</f>
        <v>0</v>
      </c>
      <c r="S17" s="62">
        <f>IFERROR(VIEW_IV_2019_GR_COTA_DEMANDA_TRI[[#This Row],[Demanda.HIZENTRA]]/VIEW_IV_2019_GR_COTA_DEMANDA_TRI[[#This Row],[Cota.HIZENTRA]],0)</f>
        <v>0</v>
      </c>
      <c r="T17" s="62">
        <f>IFERROR(VIEW_IV_2019_GR_COTA_DEMANDA_TRI[[#This Row],[Demanda.PRIVIGEN]]/VIEW_IV_2019_GR_COTA_DEMANDA_TRI[[#This Row],[Cota.PRIVIGEN]],0)</f>
        <v>0</v>
      </c>
      <c r="U17" s="46">
        <f>IF(VIEW_IV_2019_GR_COTA_DEMANDA_TRI[[#This Row],[Cobertura.BERINERT]]&lt;Cob_Min_GR,0,IF(VIEW_IV_2019_GR_COTA_DEMANDA_TRI[[#This Row],[Cobertura.BERINERT]]&gt;=Cob_Max_GR,(Vlr_Max_GR*U$1),(VLOOKUP(VIEW_IV_2019_GR_COTA_DEMANDA_TRI[[#This Row],[Cobertura.BERINERT]],Tabela_Valores_GR,2,1))*U$1))*3</f>
        <v>0</v>
      </c>
      <c r="V17" s="46">
        <f>IF(VIEW_IV_2019_GR_COTA_DEMANDA_TRI[[#This Row],[Cobertura.BERIPLEX]]&lt;Cob_Min_GR,0,IF(VIEW_IV_2019_GR_COTA_DEMANDA_TRI[[#This Row],[Cobertura.BERIPLEX]]&gt;=Cob_Max_GR,(Vlr_Max_GR*V$1),(VLOOKUP(VIEW_IV_2019_GR_COTA_DEMANDA_TRI[[#This Row],[Cobertura.BERIPLEX]],Tabela_Valores_GR,2,1))*V$1))*3</f>
        <v>0</v>
      </c>
      <c r="W17" s="46">
        <f>IF(VIEW_IV_2019_GR_COTA_DEMANDA_TRI[[#This Row],[Cobertura.HAEMO]]&lt;Cob_Min_GR,0,IF(VIEW_IV_2019_GR_COTA_DEMANDA_TRI[[#This Row],[Cobertura.HAEMO]]&gt;=Cob_Max_GR,(Vlr_Max_GR*W$1),(VLOOKUP(VIEW_IV_2019_GR_COTA_DEMANDA_TRI[[#This Row],[Cobertura.HAEMO]],Tabela_Valores_GR,2,1))*W$1))*3</f>
        <v>0</v>
      </c>
      <c r="X17" s="46">
        <f>IF(VIEW_IV_2019_GR_COTA_DEMANDA_TRI[[#This Row],[Cobertura.HIZENTRA]]&lt;Cob_Min_GR,0,IF(VIEW_IV_2019_GR_COTA_DEMANDA_TRI[[#This Row],[Cobertura.HIZENTRA]]&gt;=Cob_Max_GR,(Vlr_Max_GR*X$1),(VLOOKUP(VIEW_IV_2019_GR_COTA_DEMANDA_TRI[[#This Row],[Cobertura.HIZENTRA]],Tabela_Valores_GR,2,1))*X$1))*3</f>
        <v>0</v>
      </c>
      <c r="Y17" s="46">
        <f>IF(VIEW_IV_2019_GR_COTA_DEMANDA_TRI[[#This Row],[Cobertura.PRIVIGEN]]&lt;Cob_Min_GR,0,IF(VIEW_IV_2019_GR_COTA_DEMANDA_TRI[[#This Row],[Cobertura.PRIVIGEN]]&gt;=Cob_Max_GR,(Vlr_Max_GR*Y$1),(VLOOKUP(VIEW_IV_2019_GR_COTA_DEMANDA_TRI[[#This Row],[Cobertura.PRIVIGEN]],Tabela_Valores_GR,2,1))*Y$1))*3</f>
        <v>0</v>
      </c>
      <c r="Z17" s="46">
        <f>SUMIFS(VIEW_IV_2019_GR_COTA_DEMANDA[Premio.BERINERT],VIEW_IV_2019_GR_COTA_DEMANDA[Ano-Fiscal],VIEW_IV_2019_GR_COTA_DEMANDA_TRI[[#This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A17" s="46">
        <f>SUMIFS(VIEW_IV_2019_GR_COTA_DEMANDA[Premio.BERIPLEX],VIEW_IV_2019_GR_COTA_DEMANDA[Ano-Fiscal],VIEW_IV_2019_GR_COTA_DEMANDA_TRI[[#This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B17" s="46">
        <f>SUMIFS(VIEW_IV_2019_GR_COTA_DEMANDA[Premio.HAEMO],VIEW_IV_2019_GR_COTA_DEMANDA[Ano-Fiscal],VIEW_IV_2019_GR_COTA_DEMANDA_TRI[[#This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C17" s="46">
        <f>SUMIFS(VIEW_IV_2019_GR_COTA_DEMANDA[Premio.HIZENTRA],VIEW_IV_2019_GR_COTA_DEMANDA[Ano-Fiscal],VIEW_IV_2019_GR_COTA_DEMANDA_TRI[[#This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D17" s="46">
        <f>SUMIFS(VIEW_IV_2019_GR_COTA_DEMANDA[Premio.PRIVIGEN],VIEW_IV_2019_GR_COTA_DEMANDA[Ano-Fiscal],VIEW_IV_2019_GR_COTA_DEMANDA_TRI[[#This Row],[Ano-Fiscal]],VIEW_IV_2019_GR_COTA_DEMANDA[Tri-Fiscal],VIEW_IV_2019_GR_COTA_DEMANDA_TRI[[#This Row],[Tri-Fiscal]],VIEW_IV_2019_GR_COTA_DEMANDA[Gerente],VIEW_IV_2019_GR_COTA_DEMANDA_TRI[[#This Row],[Gerente]])</f>
        <v>0</v>
      </c>
      <c r="AE17" s="46">
        <f>IF(VIEW_IV_2019_GR_COTA_DEMANDA_TRI[[#This Row],[Premio.BERINERT]]-VIEW_IV_2019_GR_COTA_DEMANDA_TRI[[#This Row],[Recebido.BERINERT]]&lt;=0,0,VIEW_IV_2019_GR_COTA_DEMANDA_TRI[[#This Row],[Premio.BERINERT]]-VIEW_IV_2019_GR_COTA_DEMANDA_TRI[[#This Row],[Recebido.BERINERT]])</f>
        <v>0</v>
      </c>
      <c r="AF17" s="46">
        <f>IF(VIEW_IV_2019_GR_COTA_DEMANDA_TRI[[#This Row],[Premio.BERIPLEX]]-VIEW_IV_2019_GR_COTA_DEMANDA_TRI[[#This Row],[Recebido.BERIPLEX]]&lt;=0,0,VIEW_IV_2019_GR_COTA_DEMANDA_TRI[[#This Row],[Premio.BERIPLEX]]-VIEW_IV_2019_GR_COTA_DEMANDA_TRI[[#This Row],[Recebido.BERIPLEX]])</f>
        <v>0</v>
      </c>
      <c r="AG17" s="46">
        <f>IF(VIEW_IV_2019_GR_COTA_DEMANDA_TRI[[#This Row],[Premio.HAEMO]]-VIEW_IV_2019_GR_COTA_DEMANDA_TRI[[#This Row],[Recebido.HAEMO]]&lt;=0,0,VIEW_IV_2019_GR_COTA_DEMANDA_TRI[[#This Row],[Premio.HAEMO]]-VIEW_IV_2019_GR_COTA_DEMANDA_TRI[[#This Row],[Recebido.HAEMO]])</f>
        <v>0</v>
      </c>
      <c r="AH17" s="46">
        <f>IF(VIEW_IV_2019_GR_COTA_DEMANDA_TRI[[#This Row],[Premio.HIZENTRA]]-VIEW_IV_2019_GR_COTA_DEMANDA_TRI[[#This Row],[Recebido.HIZENTRA]]&lt;=0,0,VIEW_IV_2019_GR_COTA_DEMANDA_TRI[[#This Row],[Premio.HIZENTRA]]-VIEW_IV_2019_GR_COTA_DEMANDA_TRI[[#This Row],[Recebido.HIZENTRA]])</f>
        <v>0</v>
      </c>
      <c r="AI17" s="46">
        <f>IF(VIEW_IV_2019_GR_COTA_DEMANDA_TRI[[#This Row],[Premio.PRIVIGEN]]-VIEW_IV_2019_GR_COTA_DEMANDA_TRI[[#This Row],[Recebido.PRIVIGEN]]&lt;=0,0,VIEW_IV_2019_GR_COTA_DEMANDA_TRI[[#This Row],[Premio.PRIVIGEN]]-VIEW_IV_2019_GR_COTA_DEMANDA_TRI[[#This Row],[Recebido.PRIVIGEN]])</f>
        <v>0</v>
      </c>
      <c r="AJ17" s="103">
        <f>SUM(VIEW_IV_2019_GR_COTA_DEMANDA_TRI[[#This Row],[Recuperavel.BERINERT]:[Recuperavel.PRIVIGEN]])</f>
        <v>0</v>
      </c>
    </row>
  </sheetData>
  <conditionalFormatting sqref="F1:O1">
    <cfRule type="cellIs" dxfId="1486" priority="3" operator="equal">
      <formula>"erro"</formula>
    </cfRule>
    <cfRule type="cellIs" dxfId="1485" priority="4" operator="equal">
      <formula>"ok"</formula>
    </cfRule>
  </conditionalFormatting>
  <conditionalFormatting sqref="Z1:AD1">
    <cfRule type="cellIs" dxfId="1484" priority="1" operator="equal">
      <formula>"erro"</formula>
    </cfRule>
    <cfRule type="cellIs" dxfId="1483" priority="2" operator="equal">
      <formula>"ok"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BB307-480D-42FF-9520-6D45D0E15BF2}">
  <sheetPr codeName="Planilha17">
    <tabColor theme="9" tint="-0.249977111117893"/>
  </sheetPr>
  <dimension ref="A1:AA41"/>
  <sheetViews>
    <sheetView showGridLines="0" workbookViewId="0">
      <pane xSplit="6" ySplit="5" topLeftCell="Q6" activePane="bottomRight" state="frozen"/>
      <selection activeCell="C15" sqref="C15"/>
      <selection pane="topRight" activeCell="C15" sqref="C15"/>
      <selection pane="bottomLeft" activeCell="C15" sqref="C15"/>
      <selection pane="bottomRight" activeCell="A18" sqref="A18:AA20"/>
    </sheetView>
  </sheetViews>
  <sheetFormatPr defaultRowHeight="12.75" x14ac:dyDescent="0.25"/>
  <cols>
    <col min="1" max="1" width="21.140625" style="3" bestFit="1" customWidth="1"/>
    <col min="2" max="2" width="13.28515625" style="3" bestFit="1" customWidth="1"/>
    <col min="3" max="3" width="13.42578125" style="3" bestFit="1" customWidth="1"/>
    <col min="4" max="4" width="12.140625" style="3" bestFit="1" customWidth="1"/>
    <col min="5" max="5" width="27.140625" style="3" bestFit="1" customWidth="1"/>
    <col min="6" max="6" width="24.85546875" style="3" bestFit="1" customWidth="1"/>
    <col min="7" max="7" width="16.85546875" style="3" bestFit="1" customWidth="1"/>
    <col min="8" max="8" width="16.5703125" style="3" bestFit="1" customWidth="1"/>
    <col min="9" max="9" width="15.5703125" style="3" bestFit="1" customWidth="1"/>
    <col min="10" max="10" width="17.140625" style="3" bestFit="1" customWidth="1"/>
    <col min="11" max="11" width="16.85546875" style="3" bestFit="1" customWidth="1"/>
    <col min="12" max="12" width="20.85546875" style="3" bestFit="1" customWidth="1"/>
    <col min="13" max="13" width="20.5703125" style="3" bestFit="1" customWidth="1"/>
    <col min="14" max="14" width="19.5703125" style="3" bestFit="1" customWidth="1"/>
    <col min="15" max="15" width="21.140625" style="3" bestFit="1" customWidth="1"/>
    <col min="16" max="16" width="20.85546875" style="3" bestFit="1" customWidth="1"/>
    <col min="17" max="17" width="21.42578125" style="3" bestFit="1" customWidth="1"/>
    <col min="18" max="18" width="21.140625" style="3" bestFit="1" customWidth="1"/>
    <col min="19" max="19" width="20.140625" style="3" bestFit="1" customWidth="1"/>
    <col min="20" max="20" width="21.85546875" style="3" bestFit="1" customWidth="1"/>
    <col min="21" max="21" width="21.42578125" style="3" bestFit="1" customWidth="1"/>
    <col min="22" max="22" width="19.140625" style="3" bestFit="1" customWidth="1"/>
    <col min="23" max="23" width="18.85546875" style="3" bestFit="1" customWidth="1"/>
    <col min="24" max="24" width="17.85546875" style="3" bestFit="1" customWidth="1"/>
    <col min="25" max="25" width="19.42578125" style="3" bestFit="1" customWidth="1"/>
    <col min="26" max="26" width="19.140625" style="3" bestFit="1" customWidth="1"/>
    <col min="27" max="27" width="15.5703125" style="3" bestFit="1" customWidth="1"/>
    <col min="28" max="28" width="11.85546875" style="3" bestFit="1" customWidth="1"/>
    <col min="29" max="16384" width="9.140625" style="3"/>
  </cols>
  <sheetData>
    <row r="1" spans="1:27" ht="15.75" x14ac:dyDescent="0.25">
      <c r="A1" s="49" t="s">
        <v>304</v>
      </c>
      <c r="V1" s="57">
        <v>0.03</v>
      </c>
      <c r="W1" s="57">
        <v>0.1</v>
      </c>
      <c r="X1" s="57">
        <v>0.1</v>
      </c>
      <c r="Y1" s="57">
        <v>0.15</v>
      </c>
      <c r="Z1" s="57">
        <v>0.12</v>
      </c>
    </row>
    <row r="2" spans="1:27" x14ac:dyDescent="0.25">
      <c r="A2" s="3" t="s">
        <v>264</v>
      </c>
      <c r="F2" s="52" t="s">
        <v>266</v>
      </c>
      <c r="G2" s="50">
        <f>SUM(VIEW_IV_2019_GR_COTA_DEMANDA[Cota.BERINERT])</f>
        <v>2898</v>
      </c>
      <c r="H2" s="50">
        <f>SUM(VIEW_IV_2019_GR_COTA_DEMANDA[Cota.BERIPLEX])</f>
        <v>23700</v>
      </c>
      <c r="I2" s="50">
        <f>SUM(VIEW_IV_2019_GR_COTA_DEMANDA[Cota.HAEMO])</f>
        <v>17000</v>
      </c>
      <c r="J2" s="50">
        <f>SUM(VIEW_IV_2019_GR_COTA_DEMANDA[Cota.HIZENTRA])</f>
        <v>74639</v>
      </c>
      <c r="K2" s="50">
        <f>SUM(VIEW_IV_2019_GR_COTA_DEMANDA[Cota.PRIVIGEN])</f>
        <v>722520</v>
      </c>
      <c r="L2" s="50">
        <f>SUM(VIEW_IV_2019_GR_COTA_DEMANDA[Demanda.BERINERT])</f>
        <v>1314</v>
      </c>
      <c r="M2" s="50">
        <f>SUM(VIEW_IV_2019_GR_COTA_DEMANDA[Demanda.BERIPLEX])</f>
        <v>12345</v>
      </c>
      <c r="N2" s="50">
        <f>SUM(VIEW_IV_2019_GR_COTA_DEMANDA[Demanda.HAEMO])</f>
        <v>9958</v>
      </c>
      <c r="O2" s="50">
        <f>SUM(VIEW_IV_2019_GR_COTA_DEMANDA[Demanda.HIZENTRA])</f>
        <v>31375</v>
      </c>
      <c r="P2" s="50">
        <f>SUM(VIEW_IV_2019_GR_COTA_DEMANDA[Demanda.PRIVIGEN])</f>
        <v>460880</v>
      </c>
      <c r="Q2" s="53">
        <f>IFERROR(L2/G2,0)</f>
        <v>0.453416149068323</v>
      </c>
      <c r="R2" s="53">
        <f t="shared" ref="R2:R3" si="0">IFERROR(M2/H2,0)</f>
        <v>0.52088607594936709</v>
      </c>
      <c r="S2" s="53">
        <f t="shared" ref="S2:S3" si="1">IFERROR(N2/I2,0)</f>
        <v>0.58576470588235297</v>
      </c>
      <c r="T2" s="53">
        <f t="shared" ref="T2:T3" si="2">IFERROR(O2/J2,0)</f>
        <v>0.42035665000870859</v>
      </c>
      <c r="U2" s="53">
        <f t="shared" ref="U2:U3" si="3">IFERROR(P2/K2,0)</f>
        <v>0.63787853623429114</v>
      </c>
      <c r="V2" s="59">
        <f>SUM(VIEW_IV_2019_GR_COTA_DEMANDA[Premio.BERINERT])</f>
        <v>2004.5639491108525</v>
      </c>
      <c r="W2" s="59">
        <f>SUM(VIEW_IV_2019_GR_COTA_DEMANDA[Premio.BERIPLEX])</f>
        <v>8145.5641589747775</v>
      </c>
      <c r="X2" s="59">
        <f>SUM(VIEW_IV_2019_GR_COTA_DEMANDA[Premio.HAEMO])</f>
        <v>12556.883458312084</v>
      </c>
      <c r="Y2" s="59">
        <f>SUM(VIEW_IV_2019_GR_COTA_DEMANDA[Premio.HIZENTRA])</f>
        <v>2761.1513525359783</v>
      </c>
      <c r="Z2" s="59">
        <f>SUM(VIEW_IV_2019_GR_COTA_DEMANDA[Premio.PRIVIGEN])</f>
        <v>19640.028291563944</v>
      </c>
      <c r="AA2" s="59">
        <f>SUM(VIEW_IV_2019_GR_COTA_DEMANDA[Premio.Total])</f>
        <v>37331.418789105592</v>
      </c>
    </row>
    <row r="3" spans="1:27" x14ac:dyDescent="0.25">
      <c r="A3" s="3" t="s">
        <v>278</v>
      </c>
      <c r="F3" s="51" t="s">
        <v>267</v>
      </c>
      <c r="G3" s="58">
        <f>SUBTOTAL(9,VIEW_IV_2019_GR_COTA_DEMANDA[Cota.BERINERT])</f>
        <v>480</v>
      </c>
      <c r="H3" s="58">
        <f>SUBTOTAL(9,VIEW_IV_2019_GR_COTA_DEMANDA[Cota.BERIPLEX])</f>
        <v>2200</v>
      </c>
      <c r="I3" s="58">
        <f>SUBTOTAL(9,VIEW_IV_2019_GR_COTA_DEMANDA[Cota.HAEMO])</f>
        <v>1500</v>
      </c>
      <c r="J3" s="58">
        <f>SUBTOTAL(9,VIEW_IV_2019_GR_COTA_DEMANDA[Cota.HIZENTRA])</f>
        <v>7800</v>
      </c>
      <c r="K3" s="58">
        <f>SUBTOTAL(9,VIEW_IV_2019_GR_COTA_DEMANDA[Cota.PRIVIGEN])</f>
        <v>53500</v>
      </c>
      <c r="L3" s="58">
        <f>SUBTOTAL(9,VIEW_IV_2019_GR_COTA_DEMANDA[Demanda.BERINERT])</f>
        <v>35</v>
      </c>
      <c r="M3" s="58">
        <f>SUBTOTAL(9,VIEW_IV_2019_GR_COTA_DEMANDA[Demanda.BERIPLEX])</f>
        <v>1740</v>
      </c>
      <c r="N3" s="58">
        <f>SUBTOTAL(9,VIEW_IV_2019_GR_COTA_DEMANDA[Demanda.HAEMO])</f>
        <v>1513</v>
      </c>
      <c r="O3" s="58">
        <f>SUBTOTAL(9,VIEW_IV_2019_GR_COTA_DEMANDA[Demanda.HIZENTRA])</f>
        <v>4319</v>
      </c>
      <c r="P3" s="58">
        <f>SUBTOTAL(9,VIEW_IV_2019_GR_COTA_DEMANDA[Demanda.PRIVIGEN])</f>
        <v>52253</v>
      </c>
      <c r="Q3" s="54">
        <f t="shared" ref="Q3" si="4">IFERROR(L3/G3,0)</f>
        <v>7.2916666666666671E-2</v>
      </c>
      <c r="R3" s="54">
        <f t="shared" si="0"/>
        <v>0.79090909090909089</v>
      </c>
      <c r="S3" s="54">
        <f t="shared" si="1"/>
        <v>1.0086666666666666</v>
      </c>
      <c r="T3" s="54">
        <f t="shared" si="2"/>
        <v>0.55371794871794877</v>
      </c>
      <c r="U3" s="54">
        <f t="shared" si="3"/>
        <v>0.97669158878504669</v>
      </c>
      <c r="V3" s="60">
        <f>SUBTOTAL(9,VIEW_IV_2019_GR_COTA_DEMANDA[Premio.BERINERT])</f>
        <v>0</v>
      </c>
      <c r="W3" s="60">
        <f>SUBTOTAL(9,VIEW_IV_2019_GR_COTA_DEMANDA[Premio.BERIPLEX])</f>
        <v>571.53492121996464</v>
      </c>
      <c r="X3" s="60">
        <f>SUBTOTAL(9,VIEW_IV_2019_GR_COTA_DEMANDA[Premio.HAEMO])</f>
        <v>1783.2890147347532</v>
      </c>
      <c r="Y3" s="60">
        <f>SUBTOTAL(9,VIEW_IV_2019_GR_COTA_DEMANDA[Premio.HIZENTRA])</f>
        <v>0</v>
      </c>
      <c r="Z3" s="60">
        <f>SUBTOTAL(9,VIEW_IV_2019_GR_COTA_DEMANDA[Premio.PRIVIGEN])</f>
        <v>2133.7841708638939</v>
      </c>
      <c r="AA3" s="60">
        <f>SUBTOTAL(9,VIEW_IV_2019_GR_COTA_DEMANDA[Premio.Total])</f>
        <v>4488.6081068186113</v>
      </c>
    </row>
    <row r="4" spans="1:27" x14ac:dyDescent="0.25">
      <c r="A4" s="63" t="s">
        <v>307</v>
      </c>
    </row>
    <row r="5" spans="1:27" ht="15" x14ac:dyDescent="0.25">
      <c r="A5" t="s">
        <v>265</v>
      </c>
      <c r="B5" s="6" t="s">
        <v>2</v>
      </c>
      <c r="C5" s="6" t="s">
        <v>3</v>
      </c>
      <c r="D5" s="6" t="s">
        <v>4</v>
      </c>
      <c r="E5" s="3" t="s">
        <v>203</v>
      </c>
      <c r="F5" s="3" t="s">
        <v>204</v>
      </c>
      <c r="G5" s="6" t="s">
        <v>273</v>
      </c>
      <c r="H5" s="6" t="s">
        <v>274</v>
      </c>
      <c r="I5" s="6" t="s">
        <v>275</v>
      </c>
      <c r="J5" s="6" t="s">
        <v>276</v>
      </c>
      <c r="K5" s="6" t="s">
        <v>277</v>
      </c>
      <c r="L5" s="6" t="s">
        <v>268</v>
      </c>
      <c r="M5" s="6" t="s">
        <v>269</v>
      </c>
      <c r="N5" s="6" t="s">
        <v>270</v>
      </c>
      <c r="O5" s="6" t="s">
        <v>271</v>
      </c>
      <c r="P5" s="6" t="s">
        <v>272</v>
      </c>
      <c r="Q5" s="6" t="s">
        <v>279</v>
      </c>
      <c r="R5" s="6" t="s">
        <v>280</v>
      </c>
      <c r="S5" s="6" t="s">
        <v>281</v>
      </c>
      <c r="T5" s="6" t="s">
        <v>282</v>
      </c>
      <c r="U5" s="6" t="s">
        <v>283</v>
      </c>
      <c r="V5" s="36" t="s">
        <v>284</v>
      </c>
      <c r="W5" s="36" t="s">
        <v>285</v>
      </c>
      <c r="X5" s="36" t="s">
        <v>286</v>
      </c>
      <c r="Y5" s="36" t="s">
        <v>287</v>
      </c>
      <c r="Z5" s="36" t="s">
        <v>288</v>
      </c>
      <c r="AA5" s="36" t="s">
        <v>393</v>
      </c>
    </row>
    <row r="6" spans="1:27" hidden="1" x14ac:dyDescent="0.2">
      <c r="A6" s="11" t="s">
        <v>289</v>
      </c>
      <c r="B6" s="7" t="s">
        <v>16</v>
      </c>
      <c r="C6" s="7" t="s">
        <v>17</v>
      </c>
      <c r="D6" s="7" t="s">
        <v>18</v>
      </c>
      <c r="E6" s="8" t="s">
        <v>207</v>
      </c>
      <c r="F6" s="8" t="s">
        <v>208</v>
      </c>
      <c r="G6" s="10">
        <v>45</v>
      </c>
      <c r="H6" s="10">
        <v>406</v>
      </c>
      <c r="I6" s="10">
        <v>408</v>
      </c>
      <c r="J6" s="10">
        <v>2091</v>
      </c>
      <c r="K6" s="10">
        <v>17835</v>
      </c>
      <c r="L6" s="10">
        <v>2</v>
      </c>
      <c r="M6" s="10">
        <v>336</v>
      </c>
      <c r="N6" s="10">
        <v>285</v>
      </c>
      <c r="O6" s="10">
        <v>1592</v>
      </c>
      <c r="P6" s="10">
        <v>24955</v>
      </c>
      <c r="Q6" s="55">
        <f>IFERROR(VIEW_IV_2019_GR_COTA_DEMANDA[[#This Row],[Demanda.BERINERT]]/VIEW_IV_2019_GR_COTA_DEMANDA[[#This Row],[Cota.BERINERT]],0)</f>
        <v>4.4444444444444446E-2</v>
      </c>
      <c r="R6" s="55">
        <f>IFERROR(VIEW_IV_2019_GR_COTA_DEMANDA[[#This Row],[Demanda.BERIPLEX]]/VIEW_IV_2019_GR_COTA_DEMANDA[[#This Row],[Cota.BERIPLEX]],0)</f>
        <v>0.82758620689655171</v>
      </c>
      <c r="S6" s="55">
        <f>IFERROR(VIEW_IV_2019_GR_COTA_DEMANDA[[#This Row],[Demanda.HAEMO]]/VIEW_IV_2019_GR_COTA_DEMANDA[[#This Row],[Cota.HAEMO]],0)</f>
        <v>0.69852941176470584</v>
      </c>
      <c r="T6" s="55">
        <f>IFERROR(VIEW_IV_2019_GR_COTA_DEMANDA[[#This Row],[Demanda.HIZENTRA]]/VIEW_IV_2019_GR_COTA_DEMANDA[[#This Row],[Cota.HIZENTRA]],0)</f>
        <v>0.76135820181731229</v>
      </c>
      <c r="U6" s="55">
        <f>IFERROR(VIEW_IV_2019_GR_COTA_DEMANDA[[#This Row],[Demanda.PRIVIGEN]]/VIEW_IV_2019_GR_COTA_DEMANDA[[#This Row],[Cota.PRIVIGEN]],0)</f>
        <v>1.399215026633025</v>
      </c>
      <c r="V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223.64880280538944</v>
      </c>
      <c r="X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1356.0925416432995</v>
      </c>
      <c r="AA6" s="104">
        <f>SUM(VIEW_IV_2019_GR_COTA_DEMANDA[[#This Row],[Premio.BERINERT]:[Premio.PRIVIGEN]])</f>
        <v>1579.7413444486888</v>
      </c>
    </row>
    <row r="7" spans="1:27" hidden="1" x14ac:dyDescent="0.2">
      <c r="A7" s="11" t="s">
        <v>289</v>
      </c>
      <c r="B7" s="7" t="s">
        <v>16</v>
      </c>
      <c r="C7" s="7" t="s">
        <v>17</v>
      </c>
      <c r="D7" s="7" t="s">
        <v>18</v>
      </c>
      <c r="E7" s="8" t="s">
        <v>211</v>
      </c>
      <c r="F7" s="8" t="s">
        <v>212</v>
      </c>
      <c r="G7" s="10">
        <v>52</v>
      </c>
      <c r="H7" s="10">
        <v>560</v>
      </c>
      <c r="I7" s="10">
        <v>360</v>
      </c>
      <c r="J7" s="10">
        <v>1173</v>
      </c>
      <c r="K7" s="10">
        <v>8700</v>
      </c>
      <c r="L7" s="10">
        <v>98</v>
      </c>
      <c r="M7" s="10">
        <v>940</v>
      </c>
      <c r="N7" s="10">
        <v>595</v>
      </c>
      <c r="O7" s="10">
        <v>727</v>
      </c>
      <c r="P7" s="10">
        <v>8770</v>
      </c>
      <c r="Q7" s="55">
        <f>IFERROR(VIEW_IV_2019_GR_COTA_DEMANDA[[#This Row],[Demanda.BERINERT]]/VIEW_IV_2019_GR_COTA_DEMANDA[[#This Row],[Cota.BERINERT]],0)</f>
        <v>1.8846153846153846</v>
      </c>
      <c r="R7" s="55">
        <f>IFERROR(VIEW_IV_2019_GR_COTA_DEMANDA[[#This Row],[Demanda.BERIPLEX]]/VIEW_IV_2019_GR_COTA_DEMANDA[[#This Row],[Cota.BERIPLEX]],0)</f>
        <v>1.6785714285714286</v>
      </c>
      <c r="S7" s="55">
        <f>IFERROR(VIEW_IV_2019_GR_COTA_DEMANDA[[#This Row],[Demanda.HAEMO]]/VIEW_IV_2019_GR_COTA_DEMANDA[[#This Row],[Cota.HAEMO]],0)</f>
        <v>1.6527777777777777</v>
      </c>
      <c r="T7" s="55">
        <f>IFERROR(VIEW_IV_2019_GR_COTA_DEMANDA[[#This Row],[Demanda.HIZENTRA]]/VIEW_IV_2019_GR_COTA_DEMANDA[[#This Row],[Cota.HIZENTRA]],0)</f>
        <v>0.61977834612105709</v>
      </c>
      <c r="U7" s="55">
        <f>IFERROR(VIEW_IV_2019_GR_COTA_DEMANDA[[#This Row],[Demanda.PRIVIGEN]]/VIEW_IV_2019_GR_COTA_DEMANDA[[#This Row],[Cota.PRIVIGEN]],0)</f>
        <v>1.0080459770114942</v>
      </c>
      <c r="V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1222.3610503994732</v>
      </c>
      <c r="X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653.71436281186493</v>
      </c>
      <c r="AA7" s="104">
        <f>SUM(VIEW_IV_2019_GR_COTA_DEMANDA[[#This Row],[Premio.BERINERT]:[Premio.PRIVIGEN]])</f>
        <v>3465.1447787306533</v>
      </c>
    </row>
    <row r="8" spans="1:27" hidden="1" x14ac:dyDescent="0.2">
      <c r="A8" s="11" t="s">
        <v>289</v>
      </c>
      <c r="B8" s="7" t="s">
        <v>16</v>
      </c>
      <c r="C8" s="7" t="s">
        <v>17</v>
      </c>
      <c r="D8" s="7" t="s">
        <v>18</v>
      </c>
      <c r="E8" s="8" t="s">
        <v>205</v>
      </c>
      <c r="F8" s="8" t="s">
        <v>206</v>
      </c>
      <c r="G8" s="10">
        <v>52</v>
      </c>
      <c r="H8" s="10">
        <v>434</v>
      </c>
      <c r="I8" s="10">
        <v>432</v>
      </c>
      <c r="J8" s="10">
        <v>1836</v>
      </c>
      <c r="K8" s="10">
        <v>16965</v>
      </c>
      <c r="L8" s="10">
        <v>112</v>
      </c>
      <c r="M8" s="10">
        <v>575</v>
      </c>
      <c r="N8" s="10">
        <v>677</v>
      </c>
      <c r="O8" s="10">
        <v>1822</v>
      </c>
      <c r="P8" s="10">
        <v>37263</v>
      </c>
      <c r="Q8" s="55">
        <f>IFERROR(VIEW_IV_2019_GR_COTA_DEMANDA[[#This Row],[Demanda.BERINERT]]/VIEW_IV_2019_GR_COTA_DEMANDA[[#This Row],[Cota.BERINERT]],0)</f>
        <v>2.1538461538461537</v>
      </c>
      <c r="R8" s="55">
        <f>IFERROR(VIEW_IV_2019_GR_COTA_DEMANDA[[#This Row],[Demanda.BERIPLEX]]/VIEW_IV_2019_GR_COTA_DEMANDA[[#This Row],[Cota.BERIPLEX]],0)</f>
        <v>1.3248847926267282</v>
      </c>
      <c r="S8" s="55">
        <f>IFERROR(VIEW_IV_2019_GR_COTA_DEMANDA[[#This Row],[Demanda.HAEMO]]/VIEW_IV_2019_GR_COTA_DEMANDA[[#This Row],[Cota.HAEMO]],0)</f>
        <v>1.5671296296296295</v>
      </c>
      <c r="T8" s="55">
        <f>IFERROR(VIEW_IV_2019_GR_COTA_DEMANDA[[#This Row],[Demanda.HIZENTRA]]/VIEW_IV_2019_GR_COTA_DEMANDA[[#This Row],[Cota.HIZENTRA]],0)</f>
        <v>0.99237472766884527</v>
      </c>
      <c r="U8" s="55">
        <f>IFERROR(VIEW_IV_2019_GR_COTA_DEMANDA[[#This Row],[Demanda.PRIVIGEN]]/VIEW_IV_2019_GR_COTA_DEMANDA[[#This Row],[Cota.PRIVIGEN]],0)</f>
        <v>2.1964633068081345</v>
      </c>
      <c r="V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1072.3935755470975</v>
      </c>
      <c r="X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603.60837709991506</v>
      </c>
      <c r="Z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8" s="104">
        <f>SUM(VIEW_IV_2019_GR_COTA_DEMANDA[[#This Row],[Premio.BERINERT]:[Premio.PRIVIGEN]])</f>
        <v>4731.9045786456954</v>
      </c>
    </row>
    <row r="9" spans="1:27" hidden="1" x14ac:dyDescent="0.2">
      <c r="A9" s="11" t="s">
        <v>289</v>
      </c>
      <c r="B9" s="7" t="s">
        <v>16</v>
      </c>
      <c r="C9" s="7" t="s">
        <v>21</v>
      </c>
      <c r="D9" s="7" t="s">
        <v>18</v>
      </c>
      <c r="E9" s="8" t="s">
        <v>207</v>
      </c>
      <c r="F9" s="8" t="s">
        <v>208</v>
      </c>
      <c r="G9" s="10">
        <v>45</v>
      </c>
      <c r="H9" s="10">
        <v>464</v>
      </c>
      <c r="I9" s="10">
        <v>510</v>
      </c>
      <c r="J9" s="10">
        <v>2476</v>
      </c>
      <c r="K9" s="10">
        <v>17835</v>
      </c>
      <c r="L9" s="10">
        <v>27</v>
      </c>
      <c r="M9" s="10">
        <v>359</v>
      </c>
      <c r="N9" s="10">
        <v>537</v>
      </c>
      <c r="O9" s="10">
        <v>1219</v>
      </c>
      <c r="P9" s="10">
        <v>44343</v>
      </c>
      <c r="Q9" s="55">
        <f>IFERROR(VIEW_IV_2019_GR_COTA_DEMANDA[[#This Row],[Demanda.BERINERT]]/VIEW_IV_2019_GR_COTA_DEMANDA[[#This Row],[Cota.BERINERT]],0)</f>
        <v>0.6</v>
      </c>
      <c r="R9" s="55">
        <f>IFERROR(VIEW_IV_2019_GR_COTA_DEMANDA[[#This Row],[Demanda.BERIPLEX]]/VIEW_IV_2019_GR_COTA_DEMANDA[[#This Row],[Cota.BERIPLEX]],0)</f>
        <v>0.77370689655172409</v>
      </c>
      <c r="S9" s="55">
        <f>IFERROR(VIEW_IV_2019_GR_COTA_DEMANDA[[#This Row],[Demanda.HAEMO]]/VIEW_IV_2019_GR_COTA_DEMANDA[[#This Row],[Cota.HAEMO]],0)</f>
        <v>1.0529411764705883</v>
      </c>
      <c r="T9" s="55">
        <f>IFERROR(VIEW_IV_2019_GR_COTA_DEMANDA[[#This Row],[Demanda.HIZENTRA]]/VIEW_IV_2019_GR_COTA_DEMANDA[[#This Row],[Cota.HIZENTRA]],0)</f>
        <v>0.49232633279483035</v>
      </c>
      <c r="U9" s="55">
        <f>IFERROR(VIEW_IV_2019_GR_COTA_DEMANDA[[#This Row],[Demanda.PRIVIGEN]]/VIEW_IV_2019_GR_COTA_DEMANDA[[#This Row],[Cota.PRIVIGEN]],0)</f>
        <v>2.4862910008410428</v>
      </c>
      <c r="V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566.18033077794951</v>
      </c>
      <c r="Y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9" s="104">
        <f>SUM(VIEW_IV_2019_GR_COTA_DEMANDA[[#This Row],[Premio.BERINERT]:[Premio.PRIVIGEN]])</f>
        <v>2033.0135912573173</v>
      </c>
    </row>
    <row r="10" spans="1:27" hidden="1" x14ac:dyDescent="0.2">
      <c r="A10" s="11" t="s">
        <v>289</v>
      </c>
      <c r="B10" s="7" t="s">
        <v>16</v>
      </c>
      <c r="C10" s="7" t="s">
        <v>21</v>
      </c>
      <c r="D10" s="7" t="s">
        <v>18</v>
      </c>
      <c r="E10" s="8" t="s">
        <v>211</v>
      </c>
      <c r="F10" s="8" t="s">
        <v>212</v>
      </c>
      <c r="G10" s="10">
        <v>52</v>
      </c>
      <c r="H10" s="10">
        <v>640</v>
      </c>
      <c r="I10" s="10">
        <v>450</v>
      </c>
      <c r="J10" s="10">
        <v>1389</v>
      </c>
      <c r="K10" s="10">
        <v>8700</v>
      </c>
      <c r="L10" s="10">
        <v>14</v>
      </c>
      <c r="M10" s="10">
        <v>1540</v>
      </c>
      <c r="N10" s="10">
        <v>92</v>
      </c>
      <c r="O10" s="10">
        <v>806</v>
      </c>
      <c r="P10" s="10">
        <v>17853</v>
      </c>
      <c r="Q10" s="55">
        <f>IFERROR(VIEW_IV_2019_GR_COTA_DEMANDA[[#This Row],[Demanda.BERINERT]]/VIEW_IV_2019_GR_COTA_DEMANDA[[#This Row],[Cota.BERINERT]],0)</f>
        <v>0.26923076923076922</v>
      </c>
      <c r="R10" s="55">
        <f>IFERROR(VIEW_IV_2019_GR_COTA_DEMANDA[[#This Row],[Demanda.BERIPLEX]]/VIEW_IV_2019_GR_COTA_DEMANDA[[#This Row],[Cota.BERIPLEX]],0)</f>
        <v>2.40625</v>
      </c>
      <c r="S10" s="55">
        <f>IFERROR(VIEW_IV_2019_GR_COTA_DEMANDA[[#This Row],[Demanda.HAEMO]]/VIEW_IV_2019_GR_COTA_DEMANDA[[#This Row],[Cota.HAEMO]],0)</f>
        <v>0.20444444444444446</v>
      </c>
      <c r="T10" s="55">
        <f>IFERROR(VIEW_IV_2019_GR_COTA_DEMANDA[[#This Row],[Demanda.HIZENTRA]]/VIEW_IV_2019_GR_COTA_DEMANDA[[#This Row],[Cota.HIZENTRA]],0)</f>
        <v>0.58027357811375091</v>
      </c>
      <c r="U10" s="55">
        <f>IFERROR(VIEW_IV_2019_GR_COTA_DEMANDA[[#This Row],[Demanda.PRIVIGEN]]/VIEW_IV_2019_GR_COTA_DEMANDA[[#This Row],[Cota.PRIVIGEN]],0)</f>
        <v>2.0520689655172415</v>
      </c>
      <c r="V1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1222.3610503994732</v>
      </c>
      <c r="X1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1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10" s="104">
        <f>SUM(VIEW_IV_2019_GR_COTA_DEMANDA[[#This Row],[Premio.BERINERT]:[Premio.PRIVIGEN]])</f>
        <v>2689.194310878841</v>
      </c>
    </row>
    <row r="11" spans="1:27" hidden="1" x14ac:dyDescent="0.2">
      <c r="A11" s="11" t="s">
        <v>289</v>
      </c>
      <c r="B11" s="7" t="s">
        <v>16</v>
      </c>
      <c r="C11" s="7" t="s">
        <v>21</v>
      </c>
      <c r="D11" s="7" t="s">
        <v>18</v>
      </c>
      <c r="E11" s="8" t="s">
        <v>205</v>
      </c>
      <c r="F11" s="8" t="s">
        <v>206</v>
      </c>
      <c r="G11" s="10">
        <v>52</v>
      </c>
      <c r="H11" s="10">
        <v>496</v>
      </c>
      <c r="I11" s="10">
        <v>540</v>
      </c>
      <c r="J11" s="10">
        <v>2174</v>
      </c>
      <c r="K11" s="10">
        <v>16965</v>
      </c>
      <c r="L11" s="10">
        <v>120</v>
      </c>
      <c r="M11" s="10">
        <v>413</v>
      </c>
      <c r="N11" s="10">
        <v>437</v>
      </c>
      <c r="O11" s="10">
        <v>1821</v>
      </c>
      <c r="P11" s="10">
        <v>26023</v>
      </c>
      <c r="Q11" s="55">
        <f>IFERROR(VIEW_IV_2019_GR_COTA_DEMANDA[[#This Row],[Demanda.BERINERT]]/VIEW_IV_2019_GR_COTA_DEMANDA[[#This Row],[Cota.BERINERT]],0)</f>
        <v>2.3076923076923075</v>
      </c>
      <c r="R11" s="55">
        <f>IFERROR(VIEW_IV_2019_GR_COTA_DEMANDA[[#This Row],[Demanda.BERIPLEX]]/VIEW_IV_2019_GR_COTA_DEMANDA[[#This Row],[Cota.BERIPLEX]],0)</f>
        <v>0.83266129032258063</v>
      </c>
      <c r="S11" s="55">
        <f>IFERROR(VIEW_IV_2019_GR_COTA_DEMANDA[[#This Row],[Demanda.HAEMO]]/VIEW_IV_2019_GR_COTA_DEMANDA[[#This Row],[Cota.HAEMO]],0)</f>
        <v>0.80925925925925923</v>
      </c>
      <c r="T11" s="55">
        <f>IFERROR(VIEW_IV_2019_GR_COTA_DEMANDA[[#This Row],[Demanda.HIZENTRA]]/VIEW_IV_2019_GR_COTA_DEMANDA[[#This Row],[Cota.HIZENTRA]],0)</f>
        <v>0.83762649494020236</v>
      </c>
      <c r="U11" s="55">
        <f>IFERROR(VIEW_IV_2019_GR_COTA_DEMANDA[[#This Row],[Demanda.PRIVIGEN]]/VIEW_IV_2019_GR_COTA_DEMANDA[[#This Row],[Cota.PRIVIGEN]],0)</f>
        <v>1.5339227821986443</v>
      </c>
      <c r="V1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1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225.00097210892864</v>
      </c>
      <c r="X1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218.78099331264821</v>
      </c>
      <c r="Y1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339.5297121187017</v>
      </c>
      <c r="Z1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11" s="104">
        <f>SUM(VIEW_IV_2019_GR_COTA_DEMANDA[[#This Row],[Premio.BERINERT]:[Premio.PRIVIGEN]])</f>
        <v>2616.8532531394885</v>
      </c>
    </row>
    <row r="12" spans="1:27" hidden="1" x14ac:dyDescent="0.2">
      <c r="A12" s="11" t="s">
        <v>289</v>
      </c>
      <c r="B12" s="7" t="s">
        <v>16</v>
      </c>
      <c r="C12" s="7" t="s">
        <v>22</v>
      </c>
      <c r="D12" s="7" t="s">
        <v>18</v>
      </c>
      <c r="E12" s="8" t="s">
        <v>207</v>
      </c>
      <c r="F12" s="8" t="s">
        <v>208</v>
      </c>
      <c r="G12" s="10">
        <v>114</v>
      </c>
      <c r="H12" s="10">
        <v>580</v>
      </c>
      <c r="I12" s="10">
        <v>442</v>
      </c>
      <c r="J12" s="10">
        <v>3116</v>
      </c>
      <c r="K12" s="10">
        <v>21935</v>
      </c>
      <c r="L12" s="10">
        <v>41</v>
      </c>
      <c r="M12" s="10">
        <v>533</v>
      </c>
      <c r="N12" s="10">
        <v>449</v>
      </c>
      <c r="O12" s="10">
        <v>1813</v>
      </c>
      <c r="P12" s="10">
        <v>26110</v>
      </c>
      <c r="Q12" s="55">
        <f>IFERROR(VIEW_IV_2019_GR_COTA_DEMANDA[[#This Row],[Demanda.BERINERT]]/VIEW_IV_2019_GR_COTA_DEMANDA[[#This Row],[Cota.BERINERT]],0)</f>
        <v>0.35964912280701755</v>
      </c>
      <c r="R12" s="55">
        <f>IFERROR(VIEW_IV_2019_GR_COTA_DEMANDA[[#This Row],[Demanda.BERIPLEX]]/VIEW_IV_2019_GR_COTA_DEMANDA[[#This Row],[Cota.BERIPLEX]],0)</f>
        <v>0.91896551724137931</v>
      </c>
      <c r="S12" s="55">
        <f>IFERROR(VIEW_IV_2019_GR_COTA_DEMANDA[[#This Row],[Demanda.HAEMO]]/VIEW_IV_2019_GR_COTA_DEMANDA[[#This Row],[Cota.HAEMO]],0)</f>
        <v>1.0158371040723981</v>
      </c>
      <c r="T12" s="55">
        <f>IFERROR(VIEW_IV_2019_GR_COTA_DEMANDA[[#This Row],[Demanda.HIZENTRA]]/VIEW_IV_2019_GR_COTA_DEMANDA[[#This Row],[Cota.HIZENTRA]],0)</f>
        <v>0.58183568677792041</v>
      </c>
      <c r="U12" s="55">
        <f>IFERROR(VIEW_IV_2019_GR_COTA_DEMANDA[[#This Row],[Demanda.PRIVIGEN]]/VIEW_IV_2019_GR_COTA_DEMANDA[[#This Row],[Cota.PRIVIGEN]],0)</f>
        <v>1.1903350809209026</v>
      </c>
      <c r="V12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2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372.38742619470537</v>
      </c>
      <c r="X12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548.16943565480631</v>
      </c>
      <c r="Y12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2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968.5642808023706</v>
      </c>
      <c r="AA12" s="104">
        <f>SUM(VIEW_IV_2019_GR_COTA_DEMANDA[[#This Row],[Premio.BERINERT]:[Premio.PRIVIGEN]])</f>
        <v>1889.1211426518823</v>
      </c>
    </row>
    <row r="13" spans="1:27" hidden="1" x14ac:dyDescent="0.2">
      <c r="A13" s="11" t="s">
        <v>289</v>
      </c>
      <c r="B13" s="7" t="s">
        <v>16</v>
      </c>
      <c r="C13" s="7" t="s">
        <v>22</v>
      </c>
      <c r="D13" s="7" t="s">
        <v>18</v>
      </c>
      <c r="E13" s="8" t="s">
        <v>211</v>
      </c>
      <c r="F13" s="8" t="s">
        <v>212</v>
      </c>
      <c r="G13" s="10">
        <v>133</v>
      </c>
      <c r="H13" s="10">
        <v>800</v>
      </c>
      <c r="I13" s="10">
        <v>390</v>
      </c>
      <c r="J13" s="10">
        <v>1748</v>
      </c>
      <c r="K13" s="10">
        <v>10700</v>
      </c>
      <c r="L13" s="10">
        <v>335</v>
      </c>
      <c r="M13" s="10">
        <v>739</v>
      </c>
      <c r="N13" s="10">
        <v>407</v>
      </c>
      <c r="O13" s="10">
        <v>902</v>
      </c>
      <c r="P13" s="10">
        <v>8765</v>
      </c>
      <c r="Q13" s="55">
        <f>IFERROR(VIEW_IV_2019_GR_COTA_DEMANDA[[#This Row],[Demanda.BERINERT]]/VIEW_IV_2019_GR_COTA_DEMANDA[[#This Row],[Cota.BERINERT]],0)</f>
        <v>2.518796992481203</v>
      </c>
      <c r="R13" s="55">
        <f>IFERROR(VIEW_IV_2019_GR_COTA_DEMANDA[[#This Row],[Demanda.BERIPLEX]]/VIEW_IV_2019_GR_COTA_DEMANDA[[#This Row],[Cota.BERIPLEX]],0)</f>
        <v>0.92374999999999996</v>
      </c>
      <c r="S13" s="55">
        <f>IFERROR(VIEW_IV_2019_GR_COTA_DEMANDA[[#This Row],[Demanda.HAEMO]]/VIEW_IV_2019_GR_COTA_DEMANDA[[#This Row],[Cota.HAEMO]],0)</f>
        <v>1.0435897435897437</v>
      </c>
      <c r="T13" s="55">
        <f>IFERROR(VIEW_IV_2019_GR_COTA_DEMANDA[[#This Row],[Demanda.HIZENTRA]]/VIEW_IV_2019_GR_COTA_DEMANDA[[#This Row],[Cota.HIZENTRA]],0)</f>
        <v>0.51601830663615555</v>
      </c>
      <c r="U13" s="55">
        <f>IFERROR(VIEW_IV_2019_GR_COTA_DEMANDA[[#This Row],[Demanda.PRIVIGEN]]/VIEW_IV_2019_GR_COTA_DEMANDA[[#This Row],[Cota.PRIVIGEN]],0)</f>
        <v>0.81915887850467295</v>
      </c>
      <c r="V13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13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374.41568015001423</v>
      </c>
      <c r="X13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561.7993022344823</v>
      </c>
      <c r="Y13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3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265.78239830367193</v>
      </c>
      <c r="AA13" s="104">
        <f>SUM(VIEW_IV_2019_GR_COTA_DEMANDA[[#This Row],[Premio.BERINERT]:[Premio.PRIVIGEN]])</f>
        <v>1568.7056958080104</v>
      </c>
    </row>
    <row r="14" spans="1:27" hidden="1" x14ac:dyDescent="0.2">
      <c r="A14" s="11" t="s">
        <v>289</v>
      </c>
      <c r="B14" s="7" t="s">
        <v>16</v>
      </c>
      <c r="C14" s="7" t="s">
        <v>22</v>
      </c>
      <c r="D14" s="7" t="s">
        <v>18</v>
      </c>
      <c r="E14" s="8" t="s">
        <v>205</v>
      </c>
      <c r="F14" s="8" t="s">
        <v>206</v>
      </c>
      <c r="G14" s="10">
        <v>133</v>
      </c>
      <c r="H14" s="10">
        <v>620</v>
      </c>
      <c r="I14" s="10">
        <v>468</v>
      </c>
      <c r="J14" s="10">
        <v>2736</v>
      </c>
      <c r="K14" s="10">
        <v>20865</v>
      </c>
      <c r="L14" s="10">
        <v>141</v>
      </c>
      <c r="M14" s="10">
        <v>558</v>
      </c>
      <c r="N14" s="10">
        <v>600</v>
      </c>
      <c r="O14" s="10">
        <v>2166</v>
      </c>
      <c r="P14" s="10">
        <v>26175</v>
      </c>
      <c r="Q14" s="55">
        <f>IFERROR(VIEW_IV_2019_GR_COTA_DEMANDA[[#This Row],[Demanda.BERINERT]]/VIEW_IV_2019_GR_COTA_DEMANDA[[#This Row],[Cota.BERINERT]],0)</f>
        <v>1.0601503759398496</v>
      </c>
      <c r="R14" s="55">
        <f>IFERROR(VIEW_IV_2019_GR_COTA_DEMANDA[[#This Row],[Demanda.BERIPLEX]]/VIEW_IV_2019_GR_COTA_DEMANDA[[#This Row],[Cota.BERIPLEX]],0)</f>
        <v>0.9</v>
      </c>
      <c r="S14" s="55">
        <f>IFERROR(VIEW_IV_2019_GR_COTA_DEMANDA[[#This Row],[Demanda.HAEMO]]/VIEW_IV_2019_GR_COTA_DEMANDA[[#This Row],[Cota.HAEMO]],0)</f>
        <v>1.2820512820512822</v>
      </c>
      <c r="T14" s="55">
        <f>IFERROR(VIEW_IV_2019_GR_COTA_DEMANDA[[#This Row],[Demanda.HIZENTRA]]/VIEW_IV_2019_GR_COTA_DEMANDA[[#This Row],[Cota.HIZENTRA]],0)</f>
        <v>0.79166666666666663</v>
      </c>
      <c r="U14" s="55">
        <f>IFERROR(VIEW_IV_2019_GR_COTA_DEMANDA[[#This Row],[Demanda.PRIVIGEN]]/VIEW_IV_2019_GR_COTA_DEMANDA[[#This Row],[Cota.PRIVIGEN]],0)</f>
        <v>1.2544931703810209</v>
      </c>
      <c r="V14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171.02237351164266</v>
      </c>
      <c r="W14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365.08571195559352</v>
      </c>
      <c r="X14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1033.8502599835726</v>
      </c>
      <c r="Y14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4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1214.9416433441791</v>
      </c>
      <c r="AA14" s="104">
        <f>SUM(VIEW_IV_2019_GR_COTA_DEMANDA[[#This Row],[Premio.BERINERT]:[Premio.PRIVIGEN]])</f>
        <v>2784.8999887949876</v>
      </c>
    </row>
    <row r="15" spans="1:27" hidden="1" x14ac:dyDescent="0.2">
      <c r="A15" s="11" t="s">
        <v>289</v>
      </c>
      <c r="B15" s="7" t="s">
        <v>16</v>
      </c>
      <c r="C15" s="7" t="s">
        <v>23</v>
      </c>
      <c r="D15" s="7" t="s">
        <v>24</v>
      </c>
      <c r="E15" s="8" t="s">
        <v>207</v>
      </c>
      <c r="F15" s="8" t="s">
        <v>208</v>
      </c>
      <c r="G15" s="10">
        <v>144</v>
      </c>
      <c r="H15" s="10">
        <v>638</v>
      </c>
      <c r="I15" s="10">
        <v>510</v>
      </c>
      <c r="J15" s="10">
        <v>3198</v>
      </c>
      <c r="K15" s="10">
        <v>21935</v>
      </c>
      <c r="L15" s="10">
        <v>1</v>
      </c>
      <c r="M15" s="10">
        <v>328</v>
      </c>
      <c r="N15" s="10">
        <v>616</v>
      </c>
      <c r="O15" s="10">
        <v>1594</v>
      </c>
      <c r="P15" s="10">
        <v>21027</v>
      </c>
      <c r="Q15" s="55">
        <f>IFERROR(VIEW_IV_2019_GR_COTA_DEMANDA[[#This Row],[Demanda.BERINERT]]/VIEW_IV_2019_GR_COTA_DEMANDA[[#This Row],[Cota.BERINERT]],0)</f>
        <v>6.9444444444444441E-3</v>
      </c>
      <c r="R15" s="55">
        <f>IFERROR(VIEW_IV_2019_GR_COTA_DEMANDA[[#This Row],[Demanda.BERIPLEX]]/VIEW_IV_2019_GR_COTA_DEMANDA[[#This Row],[Cota.BERIPLEX]],0)</f>
        <v>0.51410658307210033</v>
      </c>
      <c r="S15" s="55">
        <f>IFERROR(VIEW_IV_2019_GR_COTA_DEMANDA[[#This Row],[Demanda.HAEMO]]/VIEW_IV_2019_GR_COTA_DEMANDA[[#This Row],[Cota.HAEMO]],0)</f>
        <v>1.2078431372549019</v>
      </c>
      <c r="T15" s="55">
        <f>IFERROR(VIEW_IV_2019_GR_COTA_DEMANDA[[#This Row],[Demanda.HIZENTRA]]/VIEW_IV_2019_GR_COTA_DEMANDA[[#This Row],[Cota.HIZENTRA]],0)</f>
        <v>0.4984365228267667</v>
      </c>
      <c r="U15" s="55">
        <f>IFERROR(VIEW_IV_2019_GR_COTA_DEMANDA[[#This Row],[Demanda.PRIVIGEN]]/VIEW_IV_2019_GR_COTA_DEMANDA[[#This Row],[Cota.PRIVIGEN]],0)</f>
        <v>0.95860496922726235</v>
      </c>
      <c r="V15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5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5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976.53180320654542</v>
      </c>
      <c r="Y15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5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466.33614940461172</v>
      </c>
      <c r="AA15" s="104">
        <f>SUM(VIEW_IV_2019_GR_COTA_DEMANDA[[#This Row],[Premio.BERINERT]:[Premio.PRIVIGEN]])</f>
        <v>1442.8679526111571</v>
      </c>
    </row>
    <row r="16" spans="1:27" hidden="1" x14ac:dyDescent="0.2">
      <c r="A16" s="11" t="s">
        <v>289</v>
      </c>
      <c r="B16" s="7" t="s">
        <v>16</v>
      </c>
      <c r="C16" s="7" t="s">
        <v>23</v>
      </c>
      <c r="D16" s="7" t="s">
        <v>24</v>
      </c>
      <c r="E16" s="8" t="s">
        <v>211</v>
      </c>
      <c r="F16" s="8" t="s">
        <v>212</v>
      </c>
      <c r="G16" s="10">
        <v>168</v>
      </c>
      <c r="H16" s="10">
        <v>880</v>
      </c>
      <c r="I16" s="10">
        <v>450</v>
      </c>
      <c r="J16" s="10">
        <v>1794</v>
      </c>
      <c r="K16" s="10">
        <v>10700</v>
      </c>
      <c r="L16" s="10">
        <v>30</v>
      </c>
      <c r="M16" s="10">
        <v>625</v>
      </c>
      <c r="N16" s="10">
        <v>684</v>
      </c>
      <c r="O16" s="10">
        <v>1188</v>
      </c>
      <c r="P16" s="10">
        <v>10770</v>
      </c>
      <c r="Q16" s="55">
        <f>IFERROR(VIEW_IV_2019_GR_COTA_DEMANDA[[#This Row],[Demanda.BERINERT]]/VIEW_IV_2019_GR_COTA_DEMANDA[[#This Row],[Cota.BERINERT]],0)</f>
        <v>0.17857142857142858</v>
      </c>
      <c r="R16" s="55">
        <f>IFERROR(VIEW_IV_2019_GR_COTA_DEMANDA[[#This Row],[Demanda.BERIPLEX]]/VIEW_IV_2019_GR_COTA_DEMANDA[[#This Row],[Cota.BERIPLEX]],0)</f>
        <v>0.71022727272727271</v>
      </c>
      <c r="S16" s="55">
        <f>IFERROR(VIEW_IV_2019_GR_COTA_DEMANDA[[#This Row],[Demanda.HAEMO]]/VIEW_IV_2019_GR_COTA_DEMANDA[[#This Row],[Cota.HAEMO]],0)</f>
        <v>1.52</v>
      </c>
      <c r="T16" s="55">
        <f>IFERROR(VIEW_IV_2019_GR_COTA_DEMANDA[[#This Row],[Demanda.HIZENTRA]]/VIEW_IV_2019_GR_COTA_DEMANDA[[#This Row],[Cota.HIZENTRA]],0)</f>
        <v>0.66220735785953178</v>
      </c>
      <c r="U16" s="55">
        <f>IFERROR(VIEW_IV_2019_GR_COTA_DEMANDA[[#This Row],[Demanda.PRIVIGEN]]/VIEW_IV_2019_GR_COTA_DEMANDA[[#This Row],[Cota.PRIVIGEN]],0)</f>
        <v>1.0065420560747664</v>
      </c>
      <c r="V1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1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652.54608853360708</v>
      </c>
      <c r="AA16" s="104">
        <f>SUM(VIEW_IV_2019_GR_COTA_DEMANDA[[#This Row],[Premio.BERINERT]:[Premio.PRIVIGEN]])</f>
        <v>1874.9071389330802</v>
      </c>
    </row>
    <row r="17" spans="1:27" hidden="1" x14ac:dyDescent="0.2">
      <c r="A17" s="11" t="s">
        <v>289</v>
      </c>
      <c r="B17" s="7" t="s">
        <v>16</v>
      </c>
      <c r="C17" s="7" t="s">
        <v>23</v>
      </c>
      <c r="D17" s="7" t="s">
        <v>24</v>
      </c>
      <c r="E17" s="8" t="s">
        <v>205</v>
      </c>
      <c r="F17" s="8" t="s">
        <v>206</v>
      </c>
      <c r="G17" s="10">
        <v>168</v>
      </c>
      <c r="H17" s="10">
        <v>682</v>
      </c>
      <c r="I17" s="10">
        <v>540</v>
      </c>
      <c r="J17" s="10">
        <v>2808</v>
      </c>
      <c r="K17" s="10">
        <v>20865</v>
      </c>
      <c r="L17" s="10">
        <v>131</v>
      </c>
      <c r="M17" s="10">
        <v>510</v>
      </c>
      <c r="N17" s="10">
        <v>461</v>
      </c>
      <c r="O17" s="10">
        <v>2060</v>
      </c>
      <c r="P17" s="10">
        <v>26488</v>
      </c>
      <c r="Q17" s="55">
        <f>IFERROR(VIEW_IV_2019_GR_COTA_DEMANDA[[#This Row],[Demanda.BERINERT]]/VIEW_IV_2019_GR_COTA_DEMANDA[[#This Row],[Cota.BERINERT]],0)</f>
        <v>0.77976190476190477</v>
      </c>
      <c r="R17" s="55">
        <f>IFERROR(VIEW_IV_2019_GR_COTA_DEMANDA[[#This Row],[Demanda.BERIPLEX]]/VIEW_IV_2019_GR_COTA_DEMANDA[[#This Row],[Cota.BERIPLEX]],0)</f>
        <v>0.74780058651026393</v>
      </c>
      <c r="S17" s="55">
        <f>IFERROR(VIEW_IV_2019_GR_COTA_DEMANDA[[#This Row],[Demanda.HAEMO]]/VIEW_IV_2019_GR_COTA_DEMANDA[[#This Row],[Cota.HAEMO]],0)</f>
        <v>0.85370370370370374</v>
      </c>
      <c r="T17" s="55">
        <f>IFERROR(VIEW_IV_2019_GR_COTA_DEMANDA[[#This Row],[Demanda.HIZENTRA]]/VIEW_IV_2019_GR_COTA_DEMANDA[[#This Row],[Cota.HIZENTRA]],0)</f>
        <v>0.73361823361823364</v>
      </c>
      <c r="U17" s="55">
        <f>IFERROR(VIEW_IV_2019_GR_COTA_DEMANDA[[#This Row],[Demanda.PRIVIGEN]]/VIEW_IV_2019_GR_COTA_DEMANDA[[#This Row],[Cota.PRIVIGEN]],0)</f>
        <v>1.269494368559789</v>
      </c>
      <c r="V1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230.6800831837935</v>
      </c>
      <c r="Y1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1228.6980729706654</v>
      </c>
      <c r="AA17" s="104">
        <f>SUM(VIEW_IV_2019_GR_COTA_DEMANDA[[#This Row],[Premio.BERINERT]:[Premio.PRIVIGEN]])</f>
        <v>1459.3781561544588</v>
      </c>
    </row>
    <row r="18" spans="1:27" x14ac:dyDescent="0.2">
      <c r="A18" s="11" t="s">
        <v>289</v>
      </c>
      <c r="B18" s="7" t="s">
        <v>16</v>
      </c>
      <c r="C18" s="7" t="s">
        <v>229</v>
      </c>
      <c r="D18" s="7" t="s">
        <v>24</v>
      </c>
      <c r="E18" s="8" t="s">
        <v>207</v>
      </c>
      <c r="F18" s="8" t="s">
        <v>208</v>
      </c>
      <c r="G18" s="10">
        <v>144</v>
      </c>
      <c r="H18" s="10">
        <v>638</v>
      </c>
      <c r="I18" s="10">
        <v>510</v>
      </c>
      <c r="J18" s="10">
        <v>3198</v>
      </c>
      <c r="K18" s="10">
        <v>21935</v>
      </c>
      <c r="L18" s="10">
        <v>10</v>
      </c>
      <c r="M18" s="10">
        <v>429</v>
      </c>
      <c r="N18" s="10">
        <v>591</v>
      </c>
      <c r="O18" s="10">
        <v>1540</v>
      </c>
      <c r="P18" s="10">
        <v>14833</v>
      </c>
      <c r="Q18" s="55">
        <f>IFERROR(VIEW_IV_2019_GR_COTA_DEMANDA[[#This Row],[Demanda.BERINERT]]/VIEW_IV_2019_GR_COTA_DEMANDA[[#This Row],[Cota.BERINERT]],0)</f>
        <v>6.9444444444444448E-2</v>
      </c>
      <c r="R18" s="55">
        <f>IFERROR(VIEW_IV_2019_GR_COTA_DEMANDA[[#This Row],[Demanda.BERIPLEX]]/VIEW_IV_2019_GR_COTA_DEMANDA[[#This Row],[Cota.BERIPLEX]],0)</f>
        <v>0.67241379310344829</v>
      </c>
      <c r="S18" s="55">
        <f>IFERROR(VIEW_IV_2019_GR_COTA_DEMANDA[[#This Row],[Demanda.HAEMO]]/VIEW_IV_2019_GR_COTA_DEMANDA[[#This Row],[Cota.HAEMO]],0)</f>
        <v>1.1588235294117648</v>
      </c>
      <c r="T18" s="55">
        <f>IFERROR(VIEW_IV_2019_GR_COTA_DEMANDA[[#This Row],[Demanda.HIZENTRA]]/VIEW_IV_2019_GR_COTA_DEMANDA[[#This Row],[Cota.HIZENTRA]],0)</f>
        <v>0.4815509693558474</v>
      </c>
      <c r="U18" s="55">
        <f>IFERROR(VIEW_IV_2019_GR_COTA_DEMANDA[[#This Row],[Demanda.PRIVIGEN]]/VIEW_IV_2019_GR_COTA_DEMANDA[[#This Row],[Cota.PRIVIGEN]],0)</f>
        <v>0.67622521085023934</v>
      </c>
      <c r="V1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1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786.88681317883811</v>
      </c>
      <c r="Y1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18" s="104">
        <f>SUM(VIEW_IV_2019_GR_COTA_DEMANDA[[#This Row],[Premio.BERINERT]:[Premio.PRIVIGEN]])</f>
        <v>786.88681317883811</v>
      </c>
    </row>
    <row r="19" spans="1:27" x14ac:dyDescent="0.2">
      <c r="A19" s="11" t="s">
        <v>289</v>
      </c>
      <c r="B19" s="7" t="s">
        <v>16</v>
      </c>
      <c r="C19" s="7" t="s">
        <v>229</v>
      </c>
      <c r="D19" s="7" t="s">
        <v>24</v>
      </c>
      <c r="E19" s="8" t="s">
        <v>211</v>
      </c>
      <c r="F19" s="8" t="s">
        <v>212</v>
      </c>
      <c r="G19" s="10">
        <v>168</v>
      </c>
      <c r="H19" s="10">
        <v>880</v>
      </c>
      <c r="I19" s="10">
        <v>450</v>
      </c>
      <c r="J19" s="10">
        <v>1794</v>
      </c>
      <c r="K19" s="10">
        <v>10700</v>
      </c>
      <c r="L19" s="10">
        <v>24</v>
      </c>
      <c r="M19" s="10">
        <v>936</v>
      </c>
      <c r="N19" s="10">
        <v>555</v>
      </c>
      <c r="O19" s="10">
        <v>1081</v>
      </c>
      <c r="P19" s="10">
        <v>13035</v>
      </c>
      <c r="Q19" s="55">
        <f>IFERROR(VIEW_IV_2019_GR_COTA_DEMANDA[[#This Row],[Demanda.BERINERT]]/VIEW_IV_2019_GR_COTA_DEMANDA[[#This Row],[Cota.BERINERT]],0)</f>
        <v>0.14285714285714285</v>
      </c>
      <c r="R19" s="55">
        <f>IFERROR(VIEW_IV_2019_GR_COTA_DEMANDA[[#This Row],[Demanda.BERIPLEX]]/VIEW_IV_2019_GR_COTA_DEMANDA[[#This Row],[Cota.BERIPLEX]],0)</f>
        <v>1.0636363636363637</v>
      </c>
      <c r="S19" s="55">
        <f>IFERROR(VIEW_IV_2019_GR_COTA_DEMANDA[[#This Row],[Demanda.HAEMO]]/VIEW_IV_2019_GR_COTA_DEMANDA[[#This Row],[Cota.HAEMO]],0)</f>
        <v>1.2333333333333334</v>
      </c>
      <c r="T19" s="55">
        <f>IFERROR(VIEW_IV_2019_GR_COTA_DEMANDA[[#This Row],[Demanda.HIZENTRA]]/VIEW_IV_2019_GR_COTA_DEMANDA[[#This Row],[Cota.HIZENTRA]],0)</f>
        <v>0.60256410256410253</v>
      </c>
      <c r="U19" s="55">
        <f>IFERROR(VIEW_IV_2019_GR_COTA_DEMANDA[[#This Row],[Demanda.PRIVIGEN]]/VIEW_IV_2019_GR_COTA_DEMANDA[[#This Row],[Cota.PRIVIGEN]],0)</f>
        <v>1.2182242990654206</v>
      </c>
      <c r="V1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1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571.53492121996464</v>
      </c>
      <c r="X1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996.4022015559151</v>
      </c>
      <c r="Y1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1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1181.9262122406117</v>
      </c>
      <c r="AA19" s="104">
        <f>SUM(VIEW_IV_2019_GR_COTA_DEMANDA[[#This Row],[Premio.BERINERT]:[Premio.PRIVIGEN]])</f>
        <v>2749.8633350164914</v>
      </c>
    </row>
    <row r="20" spans="1:27" x14ac:dyDescent="0.2">
      <c r="A20" s="11" t="s">
        <v>289</v>
      </c>
      <c r="B20" s="7" t="s">
        <v>16</v>
      </c>
      <c r="C20" s="7" t="s">
        <v>229</v>
      </c>
      <c r="D20" s="7" t="s">
        <v>24</v>
      </c>
      <c r="E20" s="8" t="s">
        <v>205</v>
      </c>
      <c r="F20" s="8" t="s">
        <v>206</v>
      </c>
      <c r="G20" s="10">
        <v>168</v>
      </c>
      <c r="H20" s="10">
        <v>682</v>
      </c>
      <c r="I20" s="10">
        <v>540</v>
      </c>
      <c r="J20" s="10">
        <v>2808</v>
      </c>
      <c r="K20" s="10">
        <v>20865</v>
      </c>
      <c r="L20" s="10">
        <v>1</v>
      </c>
      <c r="M20" s="10">
        <v>375</v>
      </c>
      <c r="N20" s="10">
        <v>367</v>
      </c>
      <c r="O20" s="10">
        <v>1698</v>
      </c>
      <c r="P20" s="10">
        <v>24385</v>
      </c>
      <c r="Q20" s="55">
        <f>IFERROR(VIEW_IV_2019_GR_COTA_DEMANDA[[#This Row],[Demanda.BERINERT]]/VIEW_IV_2019_GR_COTA_DEMANDA[[#This Row],[Cota.BERINERT]],0)</f>
        <v>5.9523809523809521E-3</v>
      </c>
      <c r="R20" s="55">
        <f>IFERROR(VIEW_IV_2019_GR_COTA_DEMANDA[[#This Row],[Demanda.BERIPLEX]]/VIEW_IV_2019_GR_COTA_DEMANDA[[#This Row],[Cota.BERIPLEX]],0)</f>
        <v>0.54985337243401755</v>
      </c>
      <c r="S20" s="55">
        <f>IFERROR(VIEW_IV_2019_GR_COTA_DEMANDA[[#This Row],[Demanda.HAEMO]]/VIEW_IV_2019_GR_COTA_DEMANDA[[#This Row],[Cota.HAEMO]],0)</f>
        <v>0.67962962962962958</v>
      </c>
      <c r="T20" s="55">
        <f>IFERROR(VIEW_IV_2019_GR_COTA_DEMANDA[[#This Row],[Demanda.HIZENTRA]]/VIEW_IV_2019_GR_COTA_DEMANDA[[#This Row],[Cota.HIZENTRA]],0)</f>
        <v>0.60470085470085466</v>
      </c>
      <c r="U20" s="55">
        <f>IFERROR(VIEW_IV_2019_GR_COTA_DEMANDA[[#This Row],[Demanda.PRIVIGEN]]/VIEW_IV_2019_GR_COTA_DEMANDA[[#This Row],[Cota.PRIVIGEN]],0)</f>
        <v>1.1687035705727296</v>
      </c>
      <c r="V2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951.85795862328212</v>
      </c>
      <c r="AA20" s="104">
        <f>SUM(VIEW_IV_2019_GR_COTA_DEMANDA[[#This Row],[Premio.BERINERT]:[Premio.PRIVIGEN]])</f>
        <v>951.85795862328212</v>
      </c>
    </row>
    <row r="21" spans="1:27" hidden="1" x14ac:dyDescent="0.2">
      <c r="A21" s="11" t="s">
        <v>289</v>
      </c>
      <c r="B21" s="7" t="s">
        <v>16</v>
      </c>
      <c r="C21" s="7" t="s">
        <v>230</v>
      </c>
      <c r="D21" s="7" t="s">
        <v>24</v>
      </c>
      <c r="E21" s="8" t="s">
        <v>207</v>
      </c>
      <c r="F21" s="8" t="s">
        <v>208</v>
      </c>
      <c r="G21" s="10">
        <v>60</v>
      </c>
      <c r="H21" s="10">
        <v>493</v>
      </c>
      <c r="I21" s="10">
        <v>408</v>
      </c>
      <c r="J21" s="10">
        <v>2501</v>
      </c>
      <c r="K21" s="10">
        <v>17835</v>
      </c>
      <c r="L21" s="10">
        <v>31</v>
      </c>
      <c r="M21" s="10">
        <v>522</v>
      </c>
      <c r="N21" s="10">
        <v>667</v>
      </c>
      <c r="O21" s="10">
        <v>1649</v>
      </c>
      <c r="P21" s="10">
        <v>26575</v>
      </c>
      <c r="Q21" s="55">
        <f>IFERROR(VIEW_IV_2019_GR_COTA_DEMANDA[[#This Row],[Demanda.BERINERT]]/VIEW_IV_2019_GR_COTA_DEMANDA[[#This Row],[Cota.BERINERT]],0)</f>
        <v>0.51666666666666672</v>
      </c>
      <c r="R21" s="55">
        <f>IFERROR(VIEW_IV_2019_GR_COTA_DEMANDA[[#This Row],[Demanda.BERIPLEX]]/VIEW_IV_2019_GR_COTA_DEMANDA[[#This Row],[Cota.BERIPLEX]],0)</f>
        <v>1.0588235294117647</v>
      </c>
      <c r="S21" s="55">
        <f>IFERROR(VIEW_IV_2019_GR_COTA_DEMANDA[[#This Row],[Demanda.HAEMO]]/VIEW_IV_2019_GR_COTA_DEMANDA[[#This Row],[Cota.HAEMO]],0)</f>
        <v>1.6348039215686274</v>
      </c>
      <c r="T21" s="55">
        <f>IFERROR(VIEW_IV_2019_GR_COTA_DEMANDA[[#This Row],[Demanda.HIZENTRA]]/VIEW_IV_2019_GR_COTA_DEMANDA[[#This Row],[Cota.HIZENTRA]],0)</f>
        <v>0.65933626549380253</v>
      </c>
      <c r="U21" s="55">
        <f>IFERROR(VIEW_IV_2019_GR_COTA_DEMANDA[[#This Row],[Demanda.PRIVIGEN]]/VIEW_IV_2019_GR_COTA_DEMANDA[[#This Row],[Cota.PRIVIGEN]],0)</f>
        <v>1.4900476590972807</v>
      </c>
      <c r="V2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569.10101647359397</v>
      </c>
      <c r="X2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1222.3610503994732</v>
      </c>
      <c r="Y2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1448.7834228802826</v>
      </c>
      <c r="AA21" s="104">
        <f>SUM(VIEW_IV_2019_GR_COTA_DEMANDA[[#This Row],[Premio.BERINERT]:[Premio.PRIVIGEN]])</f>
        <v>3240.2454897533498</v>
      </c>
    </row>
    <row r="22" spans="1:27" hidden="1" x14ac:dyDescent="0.2">
      <c r="A22" s="11" t="s">
        <v>289</v>
      </c>
      <c r="B22" s="7" t="s">
        <v>16</v>
      </c>
      <c r="C22" s="7" t="s">
        <v>230</v>
      </c>
      <c r="D22" s="7" t="s">
        <v>24</v>
      </c>
      <c r="E22" s="8" t="s">
        <v>211</v>
      </c>
      <c r="F22" s="8" t="s">
        <v>212</v>
      </c>
      <c r="G22" s="10">
        <v>70</v>
      </c>
      <c r="H22" s="10">
        <v>680</v>
      </c>
      <c r="I22" s="10">
        <v>360</v>
      </c>
      <c r="J22" s="10">
        <v>1403</v>
      </c>
      <c r="K22" s="10">
        <v>8700</v>
      </c>
      <c r="L22" s="10">
        <v>24</v>
      </c>
      <c r="M22" s="10">
        <v>427</v>
      </c>
      <c r="N22" s="10">
        <v>180</v>
      </c>
      <c r="O22" s="10">
        <v>1020</v>
      </c>
      <c r="P22" s="10">
        <v>16330</v>
      </c>
      <c r="Q22" s="55">
        <f>IFERROR(VIEW_IV_2019_GR_COTA_DEMANDA[[#This Row],[Demanda.BERINERT]]/VIEW_IV_2019_GR_COTA_DEMANDA[[#This Row],[Cota.BERINERT]],0)</f>
        <v>0.34285714285714286</v>
      </c>
      <c r="R22" s="55">
        <f>IFERROR(VIEW_IV_2019_GR_COTA_DEMANDA[[#This Row],[Demanda.BERIPLEX]]/VIEW_IV_2019_GR_COTA_DEMANDA[[#This Row],[Cota.BERIPLEX]],0)</f>
        <v>0.62794117647058822</v>
      </c>
      <c r="S22" s="55">
        <f>IFERROR(VIEW_IV_2019_GR_COTA_DEMANDA[[#This Row],[Demanda.HAEMO]]/VIEW_IV_2019_GR_COTA_DEMANDA[[#This Row],[Cota.HAEMO]],0)</f>
        <v>0.5</v>
      </c>
      <c r="T22" s="55">
        <f>IFERROR(VIEW_IV_2019_GR_COTA_DEMANDA[[#This Row],[Demanda.HIZENTRA]]/VIEW_IV_2019_GR_COTA_DEMANDA[[#This Row],[Cota.HIZENTRA]],0)</f>
        <v>0.7270135424091233</v>
      </c>
      <c r="U22" s="55">
        <f>IFERROR(VIEW_IV_2019_GR_COTA_DEMANDA[[#This Row],[Demanda.PRIVIGEN]]/VIEW_IV_2019_GR_COTA_DEMANDA[[#This Row],[Cota.PRIVIGEN]],0)</f>
        <v>1.8770114942528735</v>
      </c>
      <c r="V22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2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2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2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2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22" s="104">
        <f>SUM(VIEW_IV_2019_GR_COTA_DEMANDA[[#This Row],[Premio.BERINERT]:[Premio.PRIVIGEN]])</f>
        <v>1466.8332604793679</v>
      </c>
    </row>
    <row r="23" spans="1:27" hidden="1" x14ac:dyDescent="0.2">
      <c r="A23" s="11" t="s">
        <v>289</v>
      </c>
      <c r="B23" s="7" t="s">
        <v>16</v>
      </c>
      <c r="C23" s="7" t="s">
        <v>230</v>
      </c>
      <c r="D23" s="7" t="s">
        <v>24</v>
      </c>
      <c r="E23" s="8" t="s">
        <v>205</v>
      </c>
      <c r="F23" s="8" t="s">
        <v>206</v>
      </c>
      <c r="G23" s="10">
        <v>70</v>
      </c>
      <c r="H23" s="10">
        <v>527</v>
      </c>
      <c r="I23" s="10">
        <v>432</v>
      </c>
      <c r="J23" s="10">
        <v>2196</v>
      </c>
      <c r="K23" s="10">
        <v>16965</v>
      </c>
      <c r="L23" s="10">
        <v>151</v>
      </c>
      <c r="M23" s="10">
        <v>575</v>
      </c>
      <c r="N23" s="10">
        <v>629</v>
      </c>
      <c r="O23" s="10">
        <v>2681</v>
      </c>
      <c r="P23" s="10">
        <v>28822</v>
      </c>
      <c r="Q23" s="55">
        <f>IFERROR(VIEW_IV_2019_GR_COTA_DEMANDA[[#This Row],[Demanda.BERINERT]]/VIEW_IV_2019_GR_COTA_DEMANDA[[#This Row],[Cota.BERINERT]],0)</f>
        <v>2.157142857142857</v>
      </c>
      <c r="R23" s="55">
        <f>IFERROR(VIEW_IV_2019_GR_COTA_DEMANDA[[#This Row],[Demanda.BERIPLEX]]/VIEW_IV_2019_GR_COTA_DEMANDA[[#This Row],[Cota.BERIPLEX]],0)</f>
        <v>1.0910815939278937</v>
      </c>
      <c r="S23" s="55">
        <f>IFERROR(VIEW_IV_2019_GR_COTA_DEMANDA[[#This Row],[Demanda.HAEMO]]/VIEW_IV_2019_GR_COTA_DEMANDA[[#This Row],[Cota.HAEMO]],0)</f>
        <v>1.4560185185185186</v>
      </c>
      <c r="T23" s="55">
        <f>IFERROR(VIEW_IV_2019_GR_COTA_DEMANDA[[#This Row],[Demanda.HIZENTRA]]/VIEW_IV_2019_GR_COTA_DEMANDA[[#This Row],[Cota.HIZENTRA]],0)</f>
        <v>1.220856102003643</v>
      </c>
      <c r="U23" s="55">
        <f>IFERROR(VIEW_IV_2019_GR_COTA_DEMANDA[[#This Row],[Demanda.PRIVIGEN]]/VIEW_IV_2019_GR_COTA_DEMANDA[[#This Row],[Cota.PRIVIGEN]],0)</f>
        <v>1.6989095195991748</v>
      </c>
      <c r="V23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366.70831511984198</v>
      </c>
      <c r="W23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585.16478779964052</v>
      </c>
      <c r="X23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1181.0041409491423</v>
      </c>
      <c r="Y23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1479.700503571845</v>
      </c>
      <c r="Z23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1466.8332604793679</v>
      </c>
      <c r="AA23" s="104"/>
    </row>
    <row r="24" spans="1:27" hidden="1" x14ac:dyDescent="0.2">
      <c r="A24" s="11" t="s">
        <v>289</v>
      </c>
      <c r="B24" s="7" t="s">
        <v>16</v>
      </c>
      <c r="C24" s="7" t="s">
        <v>372</v>
      </c>
      <c r="D24" s="7" t="s">
        <v>373</v>
      </c>
      <c r="E24" s="8" t="s">
        <v>207</v>
      </c>
      <c r="F24" s="8" t="s">
        <v>208</v>
      </c>
      <c r="G24" s="10">
        <v>24</v>
      </c>
      <c r="H24" s="10">
        <v>493</v>
      </c>
      <c r="I24" s="10">
        <v>442</v>
      </c>
      <c r="J24" s="10">
        <v>2337</v>
      </c>
      <c r="K24" s="10">
        <v>26035</v>
      </c>
      <c r="L24" s="10">
        <v>5</v>
      </c>
      <c r="M24" s="10">
        <v>508</v>
      </c>
      <c r="N24" s="10">
        <v>466</v>
      </c>
      <c r="O24" s="10">
        <v>1535</v>
      </c>
      <c r="P24" s="10">
        <v>24060</v>
      </c>
      <c r="Q24" s="55">
        <f>IFERROR(VIEW_IV_2019_GR_COTA_DEMANDA[[#This Row],[Demanda.BERINERT]]/VIEW_IV_2019_GR_COTA_DEMANDA[[#This Row],[Cota.BERINERT]],0)</f>
        <v>0.20833333333333334</v>
      </c>
      <c r="R24" s="55">
        <f>IFERROR(VIEW_IV_2019_GR_COTA_DEMANDA[[#This Row],[Demanda.BERIPLEX]]/VIEW_IV_2019_GR_COTA_DEMANDA[[#This Row],[Cota.BERIPLEX]],0)</f>
        <v>1.0304259634888437</v>
      </c>
      <c r="S24" s="55">
        <f>IFERROR(VIEW_IV_2019_GR_COTA_DEMANDA[[#This Row],[Demanda.HAEMO]]/VIEW_IV_2019_GR_COTA_DEMANDA[[#This Row],[Cota.HAEMO]],0)</f>
        <v>1.0542986425339367</v>
      </c>
      <c r="T24" s="55">
        <f>IFERROR(VIEW_IV_2019_GR_COTA_DEMANDA[[#This Row],[Demanda.HIZENTRA]]/VIEW_IV_2019_GR_COTA_DEMANDA[[#This Row],[Cota.HIZENTRA]],0)</f>
        <v>0.65682498930252464</v>
      </c>
      <c r="U24" s="55">
        <f>IFERROR(VIEW_IV_2019_GR_COTA_DEMANDA[[#This Row],[Demanda.PRIVIGEN]]/VIEW_IV_2019_GR_COTA_DEMANDA[[#This Row],[Cota.PRIVIGEN]],0)</f>
        <v>0.9241405799884771</v>
      </c>
      <c r="V24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4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555.47114989391832</v>
      </c>
      <c r="X24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567.15389267649778</v>
      </c>
      <c r="Y24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4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449.7855971292912</v>
      </c>
      <c r="AA24" s="104"/>
    </row>
    <row r="25" spans="1:27" hidden="1" x14ac:dyDescent="0.2">
      <c r="A25" s="11" t="s">
        <v>289</v>
      </c>
      <c r="B25" s="7" t="s">
        <v>16</v>
      </c>
      <c r="C25" s="7" t="s">
        <v>372</v>
      </c>
      <c r="D25" s="7" t="s">
        <v>373</v>
      </c>
      <c r="E25" s="8" t="s">
        <v>211</v>
      </c>
      <c r="F25" s="8" t="s">
        <v>212</v>
      </c>
      <c r="G25" s="10">
        <v>28</v>
      </c>
      <c r="H25" s="10">
        <v>680</v>
      </c>
      <c r="I25" s="10">
        <v>390</v>
      </c>
      <c r="J25" s="10">
        <v>1140</v>
      </c>
      <c r="K25" s="10">
        <v>18415</v>
      </c>
      <c r="L25" s="10">
        <v>16</v>
      </c>
      <c r="M25" s="10">
        <v>568</v>
      </c>
      <c r="N25" s="10">
        <v>298</v>
      </c>
      <c r="O25" s="10">
        <v>951</v>
      </c>
      <c r="P25" s="10">
        <v>11530</v>
      </c>
      <c r="Q25" s="55">
        <f>IFERROR(VIEW_IV_2019_GR_COTA_DEMANDA[[#This Row],[Demanda.BERINERT]]/VIEW_IV_2019_GR_COTA_DEMANDA[[#This Row],[Cota.BERINERT]],0)</f>
        <v>0.5714285714285714</v>
      </c>
      <c r="R25" s="55">
        <f>IFERROR(VIEW_IV_2019_GR_COTA_DEMANDA[[#This Row],[Demanda.BERIPLEX]]/VIEW_IV_2019_GR_COTA_DEMANDA[[#This Row],[Cota.BERIPLEX]],0)</f>
        <v>0.83529411764705885</v>
      </c>
      <c r="S25" s="55">
        <f>IFERROR(VIEW_IV_2019_GR_COTA_DEMANDA[[#This Row],[Demanda.HAEMO]]/VIEW_IV_2019_GR_COTA_DEMANDA[[#This Row],[Cota.HAEMO]],0)</f>
        <v>0.76410256410256405</v>
      </c>
      <c r="T25" s="55">
        <f>IFERROR(VIEW_IV_2019_GR_COTA_DEMANDA[[#This Row],[Demanda.HIZENTRA]]/VIEW_IV_2019_GR_COTA_DEMANDA[[#This Row],[Cota.HIZENTRA]],0)</f>
        <v>0.83421052631578951</v>
      </c>
      <c r="U25" s="55">
        <f>IFERROR(VIEW_IV_2019_GR_COTA_DEMANDA[[#This Row],[Demanda.PRIVIGEN]]/VIEW_IV_2019_GR_COTA_DEMANDA[[#This Row],[Cota.PRIVIGEN]],0)</f>
        <v>0.62612001086071134</v>
      </c>
      <c r="V25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5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225.81227369105216</v>
      </c>
      <c r="X25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5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338.31275974551647</v>
      </c>
      <c r="Z25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5" s="104"/>
    </row>
    <row r="26" spans="1:27" hidden="1" x14ac:dyDescent="0.2">
      <c r="A26" s="11" t="s">
        <v>289</v>
      </c>
      <c r="B26" s="7" t="s">
        <v>16</v>
      </c>
      <c r="C26" s="7" t="s">
        <v>372</v>
      </c>
      <c r="D26" s="7" t="s">
        <v>373</v>
      </c>
      <c r="E26" s="8" t="s">
        <v>205</v>
      </c>
      <c r="F26" s="8" t="s">
        <v>206</v>
      </c>
      <c r="G26" s="10">
        <v>28</v>
      </c>
      <c r="H26" s="10">
        <v>527</v>
      </c>
      <c r="I26" s="10">
        <v>468</v>
      </c>
      <c r="J26" s="10">
        <v>2223</v>
      </c>
      <c r="K26" s="10">
        <v>29210</v>
      </c>
      <c r="L26" s="10">
        <v>0</v>
      </c>
      <c r="M26" s="10">
        <v>549</v>
      </c>
      <c r="N26" s="10">
        <v>365</v>
      </c>
      <c r="O26" s="10">
        <v>1510</v>
      </c>
      <c r="P26" s="10">
        <v>22768</v>
      </c>
      <c r="Q26" s="55">
        <f>IFERROR(VIEW_IV_2019_GR_COTA_DEMANDA[[#This Row],[Demanda.BERINERT]]/VIEW_IV_2019_GR_COTA_DEMANDA[[#This Row],[Cota.BERINERT]],0)</f>
        <v>0</v>
      </c>
      <c r="R26" s="55">
        <f>IFERROR(VIEW_IV_2019_GR_COTA_DEMANDA[[#This Row],[Demanda.BERIPLEX]]/VIEW_IV_2019_GR_COTA_DEMANDA[[#This Row],[Cota.BERIPLEX]],0)</f>
        <v>1.0417457305502846</v>
      </c>
      <c r="S26" s="55">
        <f>IFERROR(VIEW_IV_2019_GR_COTA_DEMANDA[[#This Row],[Demanda.HAEMO]]/VIEW_IV_2019_GR_COTA_DEMANDA[[#This Row],[Cota.HAEMO]],0)</f>
        <v>0.77991452991452992</v>
      </c>
      <c r="T26" s="55">
        <f>IFERROR(VIEW_IV_2019_GR_COTA_DEMANDA[[#This Row],[Demanda.HIZENTRA]]/VIEW_IV_2019_GR_COTA_DEMANDA[[#This Row],[Cota.HIZENTRA]],0)</f>
        <v>0.6792622582096266</v>
      </c>
      <c r="U26" s="55">
        <f>IFERROR(VIEW_IV_2019_GR_COTA_DEMANDA[[#This Row],[Demanda.PRIVIGEN]]/VIEW_IV_2019_GR_COTA_DEMANDA[[#This Row],[Cota.PRIVIGEN]],0)</f>
        <v>0.77945908935296127</v>
      </c>
      <c r="V2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560.82574033593392</v>
      </c>
      <c r="X2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6" s="104"/>
    </row>
    <row r="27" spans="1:27" hidden="1" x14ac:dyDescent="0.2">
      <c r="A27" s="11" t="s">
        <v>289</v>
      </c>
      <c r="B27" s="7" t="s">
        <v>16</v>
      </c>
      <c r="C27" s="7" t="s">
        <v>374</v>
      </c>
      <c r="D27" s="7" t="s">
        <v>373</v>
      </c>
      <c r="E27" s="8" t="s">
        <v>207</v>
      </c>
      <c r="F27" s="8" t="s">
        <v>208</v>
      </c>
      <c r="G27" s="10">
        <v>36</v>
      </c>
      <c r="H27" s="10">
        <v>522</v>
      </c>
      <c r="I27" s="10">
        <v>510</v>
      </c>
      <c r="J27" s="10">
        <v>2337</v>
      </c>
      <c r="K27" s="10">
        <v>26035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55">
        <f>IFERROR(VIEW_IV_2019_GR_COTA_DEMANDA[[#This Row],[Demanda.BERINERT]]/VIEW_IV_2019_GR_COTA_DEMANDA[[#This Row],[Cota.BERINERT]],0)</f>
        <v>0</v>
      </c>
      <c r="R27" s="55">
        <f>IFERROR(VIEW_IV_2019_GR_COTA_DEMANDA[[#This Row],[Demanda.BERIPLEX]]/VIEW_IV_2019_GR_COTA_DEMANDA[[#This Row],[Cota.BERIPLEX]],0)</f>
        <v>0</v>
      </c>
      <c r="S27" s="55">
        <f>IFERROR(VIEW_IV_2019_GR_COTA_DEMANDA[[#This Row],[Demanda.HAEMO]]/VIEW_IV_2019_GR_COTA_DEMANDA[[#This Row],[Cota.HAEMO]],0)</f>
        <v>0</v>
      </c>
      <c r="T27" s="55">
        <f>IFERROR(VIEW_IV_2019_GR_COTA_DEMANDA[[#This Row],[Demanda.HIZENTRA]]/VIEW_IV_2019_GR_COTA_DEMANDA[[#This Row],[Cota.HIZENTRA]],0)</f>
        <v>0</v>
      </c>
      <c r="U27" s="55">
        <f>IFERROR(VIEW_IV_2019_GR_COTA_DEMANDA[[#This Row],[Demanda.PRIVIGEN]]/VIEW_IV_2019_GR_COTA_DEMANDA[[#This Row],[Cota.PRIVIGEN]],0)</f>
        <v>0</v>
      </c>
      <c r="V2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7" s="104"/>
    </row>
    <row r="28" spans="1:27" hidden="1" x14ac:dyDescent="0.2">
      <c r="A28" s="11" t="s">
        <v>289</v>
      </c>
      <c r="B28" s="7" t="s">
        <v>16</v>
      </c>
      <c r="C28" s="7" t="s">
        <v>374</v>
      </c>
      <c r="D28" s="7" t="s">
        <v>373</v>
      </c>
      <c r="E28" s="8" t="s">
        <v>211</v>
      </c>
      <c r="F28" s="8" t="s">
        <v>212</v>
      </c>
      <c r="G28" s="10">
        <v>42</v>
      </c>
      <c r="H28" s="10">
        <v>720</v>
      </c>
      <c r="I28" s="10">
        <v>450</v>
      </c>
      <c r="J28" s="10">
        <v>1140</v>
      </c>
      <c r="K28" s="10">
        <v>18415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55">
        <f>IFERROR(VIEW_IV_2019_GR_COTA_DEMANDA[[#This Row],[Demanda.BERINERT]]/VIEW_IV_2019_GR_COTA_DEMANDA[[#This Row],[Cota.BERINERT]],0)</f>
        <v>0</v>
      </c>
      <c r="R28" s="55">
        <f>IFERROR(VIEW_IV_2019_GR_COTA_DEMANDA[[#This Row],[Demanda.BERIPLEX]]/VIEW_IV_2019_GR_COTA_DEMANDA[[#This Row],[Cota.BERIPLEX]],0)</f>
        <v>0</v>
      </c>
      <c r="S28" s="55">
        <f>IFERROR(VIEW_IV_2019_GR_COTA_DEMANDA[[#This Row],[Demanda.HAEMO]]/VIEW_IV_2019_GR_COTA_DEMANDA[[#This Row],[Cota.HAEMO]],0)</f>
        <v>0</v>
      </c>
      <c r="T28" s="55">
        <f>IFERROR(VIEW_IV_2019_GR_COTA_DEMANDA[[#This Row],[Demanda.HIZENTRA]]/VIEW_IV_2019_GR_COTA_DEMANDA[[#This Row],[Cota.HIZENTRA]],0)</f>
        <v>0</v>
      </c>
      <c r="U28" s="55">
        <f>IFERROR(VIEW_IV_2019_GR_COTA_DEMANDA[[#This Row],[Demanda.PRIVIGEN]]/VIEW_IV_2019_GR_COTA_DEMANDA[[#This Row],[Cota.PRIVIGEN]],0)</f>
        <v>0</v>
      </c>
      <c r="V2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8" s="104"/>
    </row>
    <row r="29" spans="1:27" hidden="1" x14ac:dyDescent="0.2">
      <c r="A29" s="11" t="s">
        <v>289</v>
      </c>
      <c r="B29" s="7" t="s">
        <v>16</v>
      </c>
      <c r="C29" s="7" t="s">
        <v>374</v>
      </c>
      <c r="D29" s="7" t="s">
        <v>373</v>
      </c>
      <c r="E29" s="8" t="s">
        <v>205</v>
      </c>
      <c r="F29" s="8" t="s">
        <v>206</v>
      </c>
      <c r="G29" s="10">
        <v>42</v>
      </c>
      <c r="H29" s="10">
        <v>558</v>
      </c>
      <c r="I29" s="10">
        <v>540</v>
      </c>
      <c r="J29" s="10">
        <v>2223</v>
      </c>
      <c r="K29" s="10">
        <v>29210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55">
        <f>IFERROR(VIEW_IV_2019_GR_COTA_DEMANDA[[#This Row],[Demanda.BERINERT]]/VIEW_IV_2019_GR_COTA_DEMANDA[[#This Row],[Cota.BERINERT]],0)</f>
        <v>0</v>
      </c>
      <c r="R29" s="55">
        <f>IFERROR(VIEW_IV_2019_GR_COTA_DEMANDA[[#This Row],[Demanda.BERIPLEX]]/VIEW_IV_2019_GR_COTA_DEMANDA[[#This Row],[Cota.BERIPLEX]],0)</f>
        <v>0</v>
      </c>
      <c r="S29" s="55">
        <f>IFERROR(VIEW_IV_2019_GR_COTA_DEMANDA[[#This Row],[Demanda.HAEMO]]/VIEW_IV_2019_GR_COTA_DEMANDA[[#This Row],[Cota.HAEMO]],0)</f>
        <v>0</v>
      </c>
      <c r="T29" s="55">
        <f>IFERROR(VIEW_IV_2019_GR_COTA_DEMANDA[[#This Row],[Demanda.HIZENTRA]]/VIEW_IV_2019_GR_COTA_DEMANDA[[#This Row],[Cota.HIZENTRA]],0)</f>
        <v>0</v>
      </c>
      <c r="U29" s="55">
        <f>IFERROR(VIEW_IV_2019_GR_COTA_DEMANDA[[#This Row],[Demanda.PRIVIGEN]]/VIEW_IV_2019_GR_COTA_DEMANDA[[#This Row],[Cota.PRIVIGEN]],0)</f>
        <v>0</v>
      </c>
      <c r="V2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2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2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2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2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29" s="104"/>
    </row>
    <row r="30" spans="1:27" hidden="1" x14ac:dyDescent="0.2">
      <c r="A30" s="11" t="s">
        <v>289</v>
      </c>
      <c r="B30" s="7" t="s">
        <v>16</v>
      </c>
      <c r="C30" s="7" t="s">
        <v>375</v>
      </c>
      <c r="D30" s="7" t="s">
        <v>373</v>
      </c>
      <c r="E30" s="8" t="s">
        <v>207</v>
      </c>
      <c r="F30" s="8" t="s">
        <v>208</v>
      </c>
      <c r="G30" s="10">
        <v>72</v>
      </c>
      <c r="H30" s="10">
        <v>638</v>
      </c>
      <c r="I30" s="10">
        <v>510</v>
      </c>
      <c r="J30" s="10">
        <v>2337</v>
      </c>
      <c r="K30" s="10">
        <v>26035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55">
        <f>IFERROR(VIEW_IV_2019_GR_COTA_DEMANDA[[#This Row],[Demanda.BERINERT]]/VIEW_IV_2019_GR_COTA_DEMANDA[[#This Row],[Cota.BERINERT]],0)</f>
        <v>0</v>
      </c>
      <c r="R30" s="55">
        <f>IFERROR(VIEW_IV_2019_GR_COTA_DEMANDA[[#This Row],[Demanda.BERIPLEX]]/VIEW_IV_2019_GR_COTA_DEMANDA[[#This Row],[Cota.BERIPLEX]],0)</f>
        <v>0</v>
      </c>
      <c r="S30" s="55">
        <f>IFERROR(VIEW_IV_2019_GR_COTA_DEMANDA[[#This Row],[Demanda.HAEMO]]/VIEW_IV_2019_GR_COTA_DEMANDA[[#This Row],[Cota.HAEMO]],0)</f>
        <v>0</v>
      </c>
      <c r="T30" s="55">
        <f>IFERROR(VIEW_IV_2019_GR_COTA_DEMANDA[[#This Row],[Demanda.HIZENTRA]]/VIEW_IV_2019_GR_COTA_DEMANDA[[#This Row],[Cota.HIZENTRA]],0)</f>
        <v>0</v>
      </c>
      <c r="U30" s="55">
        <f>IFERROR(VIEW_IV_2019_GR_COTA_DEMANDA[[#This Row],[Demanda.PRIVIGEN]]/VIEW_IV_2019_GR_COTA_DEMANDA[[#This Row],[Cota.PRIVIGEN]],0)</f>
        <v>0</v>
      </c>
      <c r="V3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0" s="104"/>
    </row>
    <row r="31" spans="1:27" hidden="1" x14ac:dyDescent="0.2">
      <c r="A31" s="11" t="s">
        <v>289</v>
      </c>
      <c r="B31" s="7" t="s">
        <v>16</v>
      </c>
      <c r="C31" s="7" t="s">
        <v>375</v>
      </c>
      <c r="D31" s="7" t="s">
        <v>373</v>
      </c>
      <c r="E31" s="8" t="s">
        <v>211</v>
      </c>
      <c r="F31" s="8" t="s">
        <v>212</v>
      </c>
      <c r="G31" s="10">
        <v>84</v>
      </c>
      <c r="H31" s="10">
        <v>880</v>
      </c>
      <c r="I31" s="10">
        <v>450</v>
      </c>
      <c r="J31" s="10">
        <v>1140</v>
      </c>
      <c r="K31" s="10">
        <v>18415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55">
        <f>IFERROR(VIEW_IV_2019_GR_COTA_DEMANDA[[#This Row],[Demanda.BERINERT]]/VIEW_IV_2019_GR_COTA_DEMANDA[[#This Row],[Cota.BERINERT]],0)</f>
        <v>0</v>
      </c>
      <c r="R31" s="55">
        <f>IFERROR(VIEW_IV_2019_GR_COTA_DEMANDA[[#This Row],[Demanda.BERIPLEX]]/VIEW_IV_2019_GR_COTA_DEMANDA[[#This Row],[Cota.BERIPLEX]],0)</f>
        <v>0</v>
      </c>
      <c r="S31" s="55">
        <f>IFERROR(VIEW_IV_2019_GR_COTA_DEMANDA[[#This Row],[Demanda.HAEMO]]/VIEW_IV_2019_GR_COTA_DEMANDA[[#This Row],[Cota.HAEMO]],0)</f>
        <v>0</v>
      </c>
      <c r="T31" s="55">
        <f>IFERROR(VIEW_IV_2019_GR_COTA_DEMANDA[[#This Row],[Demanda.HIZENTRA]]/VIEW_IV_2019_GR_COTA_DEMANDA[[#This Row],[Cota.HIZENTRA]],0)</f>
        <v>0</v>
      </c>
      <c r="U31" s="55">
        <f>IFERROR(VIEW_IV_2019_GR_COTA_DEMANDA[[#This Row],[Demanda.PRIVIGEN]]/VIEW_IV_2019_GR_COTA_DEMANDA[[#This Row],[Cota.PRIVIGEN]],0)</f>
        <v>0</v>
      </c>
      <c r="V3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1" s="104"/>
    </row>
    <row r="32" spans="1:27" hidden="1" x14ac:dyDescent="0.2">
      <c r="A32" s="11" t="s">
        <v>289</v>
      </c>
      <c r="B32" s="7" t="s">
        <v>16</v>
      </c>
      <c r="C32" s="7" t="s">
        <v>375</v>
      </c>
      <c r="D32" s="7" t="s">
        <v>373</v>
      </c>
      <c r="E32" s="8" t="s">
        <v>205</v>
      </c>
      <c r="F32" s="8" t="s">
        <v>206</v>
      </c>
      <c r="G32" s="10">
        <v>84</v>
      </c>
      <c r="H32" s="10">
        <v>682</v>
      </c>
      <c r="I32" s="10">
        <v>540</v>
      </c>
      <c r="J32" s="10">
        <v>2223</v>
      </c>
      <c r="K32" s="10">
        <v>29210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55">
        <f>IFERROR(VIEW_IV_2019_GR_COTA_DEMANDA[[#This Row],[Demanda.BERINERT]]/VIEW_IV_2019_GR_COTA_DEMANDA[[#This Row],[Cota.BERINERT]],0)</f>
        <v>0</v>
      </c>
      <c r="R32" s="55">
        <f>IFERROR(VIEW_IV_2019_GR_COTA_DEMANDA[[#This Row],[Demanda.BERIPLEX]]/VIEW_IV_2019_GR_COTA_DEMANDA[[#This Row],[Cota.BERIPLEX]],0)</f>
        <v>0</v>
      </c>
      <c r="S32" s="55">
        <f>IFERROR(VIEW_IV_2019_GR_COTA_DEMANDA[[#This Row],[Demanda.HAEMO]]/VIEW_IV_2019_GR_COTA_DEMANDA[[#This Row],[Cota.HAEMO]],0)</f>
        <v>0</v>
      </c>
      <c r="T32" s="55">
        <f>IFERROR(VIEW_IV_2019_GR_COTA_DEMANDA[[#This Row],[Demanda.HIZENTRA]]/VIEW_IV_2019_GR_COTA_DEMANDA[[#This Row],[Cota.HIZENTRA]],0)</f>
        <v>0</v>
      </c>
      <c r="U32" s="55">
        <f>IFERROR(VIEW_IV_2019_GR_COTA_DEMANDA[[#This Row],[Demanda.PRIVIGEN]]/VIEW_IV_2019_GR_COTA_DEMANDA[[#This Row],[Cota.PRIVIGEN]],0)</f>
        <v>0</v>
      </c>
      <c r="V32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2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2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2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2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2" s="104"/>
    </row>
    <row r="33" spans="1:27" hidden="1" x14ac:dyDescent="0.2">
      <c r="A33" s="11" t="s">
        <v>289</v>
      </c>
      <c r="B33" s="7" t="s">
        <v>16</v>
      </c>
      <c r="C33" s="7" t="s">
        <v>376</v>
      </c>
      <c r="D33" s="7" t="s">
        <v>377</v>
      </c>
      <c r="E33" s="8" t="s">
        <v>207</v>
      </c>
      <c r="F33" s="8" t="s">
        <v>208</v>
      </c>
      <c r="G33" s="10">
        <v>54</v>
      </c>
      <c r="H33" s="10">
        <v>667</v>
      </c>
      <c r="I33" s="10">
        <v>510</v>
      </c>
      <c r="J33" s="10">
        <v>2337</v>
      </c>
      <c r="K33" s="10">
        <v>26035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55">
        <f>IFERROR(VIEW_IV_2019_GR_COTA_DEMANDA[[#This Row],[Demanda.BERINERT]]/VIEW_IV_2019_GR_COTA_DEMANDA[[#This Row],[Cota.BERINERT]],0)</f>
        <v>0</v>
      </c>
      <c r="R33" s="55">
        <f>IFERROR(VIEW_IV_2019_GR_COTA_DEMANDA[[#This Row],[Demanda.BERIPLEX]]/VIEW_IV_2019_GR_COTA_DEMANDA[[#This Row],[Cota.BERIPLEX]],0)</f>
        <v>0</v>
      </c>
      <c r="S33" s="55">
        <f>IFERROR(VIEW_IV_2019_GR_COTA_DEMANDA[[#This Row],[Demanda.HAEMO]]/VIEW_IV_2019_GR_COTA_DEMANDA[[#This Row],[Cota.HAEMO]],0)</f>
        <v>0</v>
      </c>
      <c r="T33" s="55">
        <f>IFERROR(VIEW_IV_2019_GR_COTA_DEMANDA[[#This Row],[Demanda.HIZENTRA]]/VIEW_IV_2019_GR_COTA_DEMANDA[[#This Row],[Cota.HIZENTRA]],0)</f>
        <v>0</v>
      </c>
      <c r="U33" s="55">
        <f>IFERROR(VIEW_IV_2019_GR_COTA_DEMANDA[[#This Row],[Demanda.PRIVIGEN]]/VIEW_IV_2019_GR_COTA_DEMANDA[[#This Row],[Cota.PRIVIGEN]],0)</f>
        <v>0</v>
      </c>
      <c r="V33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3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3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3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3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3" s="104"/>
    </row>
    <row r="34" spans="1:27" hidden="1" x14ac:dyDescent="0.2">
      <c r="A34" s="11" t="s">
        <v>289</v>
      </c>
      <c r="B34" s="7" t="s">
        <v>16</v>
      </c>
      <c r="C34" s="7" t="s">
        <v>376</v>
      </c>
      <c r="D34" s="7" t="s">
        <v>377</v>
      </c>
      <c r="E34" s="8" t="s">
        <v>211</v>
      </c>
      <c r="F34" s="8" t="s">
        <v>212</v>
      </c>
      <c r="G34" s="10">
        <v>63</v>
      </c>
      <c r="H34" s="10">
        <v>920</v>
      </c>
      <c r="I34" s="10">
        <v>450</v>
      </c>
      <c r="J34" s="10">
        <v>1140</v>
      </c>
      <c r="K34" s="10">
        <v>18415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55">
        <f>IFERROR(VIEW_IV_2019_GR_COTA_DEMANDA[[#This Row],[Demanda.BERINERT]]/VIEW_IV_2019_GR_COTA_DEMANDA[[#This Row],[Cota.BERINERT]],0)</f>
        <v>0</v>
      </c>
      <c r="R34" s="55">
        <f>IFERROR(VIEW_IV_2019_GR_COTA_DEMANDA[[#This Row],[Demanda.BERIPLEX]]/VIEW_IV_2019_GR_COTA_DEMANDA[[#This Row],[Cota.BERIPLEX]],0)</f>
        <v>0</v>
      </c>
      <c r="S34" s="55">
        <f>IFERROR(VIEW_IV_2019_GR_COTA_DEMANDA[[#This Row],[Demanda.HAEMO]]/VIEW_IV_2019_GR_COTA_DEMANDA[[#This Row],[Cota.HAEMO]],0)</f>
        <v>0</v>
      </c>
      <c r="T34" s="55">
        <f>IFERROR(VIEW_IV_2019_GR_COTA_DEMANDA[[#This Row],[Demanda.HIZENTRA]]/VIEW_IV_2019_GR_COTA_DEMANDA[[#This Row],[Cota.HIZENTRA]],0)</f>
        <v>0</v>
      </c>
      <c r="U34" s="55">
        <f>IFERROR(VIEW_IV_2019_GR_COTA_DEMANDA[[#This Row],[Demanda.PRIVIGEN]]/VIEW_IV_2019_GR_COTA_DEMANDA[[#This Row],[Cota.PRIVIGEN]],0)</f>
        <v>0</v>
      </c>
      <c r="V34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4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4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4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4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4" s="104"/>
    </row>
    <row r="35" spans="1:27" hidden="1" x14ac:dyDescent="0.2">
      <c r="A35" s="11" t="s">
        <v>289</v>
      </c>
      <c r="B35" s="7" t="s">
        <v>16</v>
      </c>
      <c r="C35" s="7" t="s">
        <v>376</v>
      </c>
      <c r="D35" s="7" t="s">
        <v>377</v>
      </c>
      <c r="E35" s="8" t="s">
        <v>205</v>
      </c>
      <c r="F35" s="8" t="s">
        <v>206</v>
      </c>
      <c r="G35" s="10">
        <v>63</v>
      </c>
      <c r="H35" s="10">
        <v>713</v>
      </c>
      <c r="I35" s="10">
        <v>540</v>
      </c>
      <c r="J35" s="10">
        <v>2223</v>
      </c>
      <c r="K35" s="10">
        <v>29210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55">
        <f>IFERROR(VIEW_IV_2019_GR_COTA_DEMANDA[[#This Row],[Demanda.BERINERT]]/VIEW_IV_2019_GR_COTA_DEMANDA[[#This Row],[Cota.BERINERT]],0)</f>
        <v>0</v>
      </c>
      <c r="R35" s="55">
        <f>IFERROR(VIEW_IV_2019_GR_COTA_DEMANDA[[#This Row],[Demanda.BERIPLEX]]/VIEW_IV_2019_GR_COTA_DEMANDA[[#This Row],[Cota.BERIPLEX]],0)</f>
        <v>0</v>
      </c>
      <c r="S35" s="55">
        <f>IFERROR(VIEW_IV_2019_GR_COTA_DEMANDA[[#This Row],[Demanda.HAEMO]]/VIEW_IV_2019_GR_COTA_DEMANDA[[#This Row],[Cota.HAEMO]],0)</f>
        <v>0</v>
      </c>
      <c r="T35" s="55">
        <f>IFERROR(VIEW_IV_2019_GR_COTA_DEMANDA[[#This Row],[Demanda.HIZENTRA]]/VIEW_IV_2019_GR_COTA_DEMANDA[[#This Row],[Cota.HIZENTRA]],0)</f>
        <v>0</v>
      </c>
      <c r="U35" s="55">
        <f>IFERROR(VIEW_IV_2019_GR_COTA_DEMANDA[[#This Row],[Demanda.PRIVIGEN]]/VIEW_IV_2019_GR_COTA_DEMANDA[[#This Row],[Cota.PRIVIGEN]],0)</f>
        <v>0</v>
      </c>
      <c r="V35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5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5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5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5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5" s="104"/>
    </row>
    <row r="36" spans="1:27" hidden="1" x14ac:dyDescent="0.2">
      <c r="A36" s="11" t="s">
        <v>289</v>
      </c>
      <c r="B36" s="7" t="s">
        <v>16</v>
      </c>
      <c r="C36" s="7" t="s">
        <v>378</v>
      </c>
      <c r="D36" s="7" t="s">
        <v>377</v>
      </c>
      <c r="E36" s="8" t="s">
        <v>207</v>
      </c>
      <c r="F36" s="8" t="s">
        <v>208</v>
      </c>
      <c r="G36" s="10">
        <v>54</v>
      </c>
      <c r="H36" s="10">
        <v>667</v>
      </c>
      <c r="I36" s="10">
        <v>510</v>
      </c>
      <c r="J36" s="10">
        <v>2337</v>
      </c>
      <c r="K36" s="10">
        <v>23985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55">
        <f>IFERROR(VIEW_IV_2019_GR_COTA_DEMANDA[[#This Row],[Demanda.BERINERT]]/VIEW_IV_2019_GR_COTA_DEMANDA[[#This Row],[Cota.BERINERT]],0)</f>
        <v>0</v>
      </c>
      <c r="R36" s="55">
        <f>IFERROR(VIEW_IV_2019_GR_COTA_DEMANDA[[#This Row],[Demanda.BERIPLEX]]/VIEW_IV_2019_GR_COTA_DEMANDA[[#This Row],[Cota.BERIPLEX]],0)</f>
        <v>0</v>
      </c>
      <c r="S36" s="55">
        <f>IFERROR(VIEW_IV_2019_GR_COTA_DEMANDA[[#This Row],[Demanda.HAEMO]]/VIEW_IV_2019_GR_COTA_DEMANDA[[#This Row],[Cota.HAEMO]],0)</f>
        <v>0</v>
      </c>
      <c r="T36" s="55">
        <f>IFERROR(VIEW_IV_2019_GR_COTA_DEMANDA[[#This Row],[Demanda.HIZENTRA]]/VIEW_IV_2019_GR_COTA_DEMANDA[[#This Row],[Cota.HIZENTRA]],0)</f>
        <v>0</v>
      </c>
      <c r="U36" s="55">
        <f>IFERROR(VIEW_IV_2019_GR_COTA_DEMANDA[[#This Row],[Demanda.PRIVIGEN]]/VIEW_IV_2019_GR_COTA_DEMANDA[[#This Row],[Cota.PRIVIGEN]],0)</f>
        <v>0</v>
      </c>
      <c r="V36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6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6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6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6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6" s="104"/>
    </row>
    <row r="37" spans="1:27" hidden="1" x14ac:dyDescent="0.2">
      <c r="A37" s="11" t="s">
        <v>289</v>
      </c>
      <c r="B37" s="7" t="s">
        <v>16</v>
      </c>
      <c r="C37" s="7" t="s">
        <v>378</v>
      </c>
      <c r="D37" s="7" t="s">
        <v>377</v>
      </c>
      <c r="E37" s="8" t="s">
        <v>211</v>
      </c>
      <c r="F37" s="8" t="s">
        <v>212</v>
      </c>
      <c r="G37" s="10">
        <v>63</v>
      </c>
      <c r="H37" s="10">
        <v>920</v>
      </c>
      <c r="I37" s="10">
        <v>450</v>
      </c>
      <c r="J37" s="10">
        <v>1140</v>
      </c>
      <c r="K37" s="10">
        <v>16965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55">
        <f>IFERROR(VIEW_IV_2019_GR_COTA_DEMANDA[[#This Row],[Demanda.BERINERT]]/VIEW_IV_2019_GR_COTA_DEMANDA[[#This Row],[Cota.BERINERT]],0)</f>
        <v>0</v>
      </c>
      <c r="R37" s="55">
        <f>IFERROR(VIEW_IV_2019_GR_COTA_DEMANDA[[#This Row],[Demanda.BERIPLEX]]/VIEW_IV_2019_GR_COTA_DEMANDA[[#This Row],[Cota.BERIPLEX]],0)</f>
        <v>0</v>
      </c>
      <c r="S37" s="55">
        <f>IFERROR(VIEW_IV_2019_GR_COTA_DEMANDA[[#This Row],[Demanda.HAEMO]]/VIEW_IV_2019_GR_COTA_DEMANDA[[#This Row],[Cota.HAEMO]],0)</f>
        <v>0</v>
      </c>
      <c r="T37" s="55">
        <f>IFERROR(VIEW_IV_2019_GR_COTA_DEMANDA[[#This Row],[Demanda.HIZENTRA]]/VIEW_IV_2019_GR_COTA_DEMANDA[[#This Row],[Cota.HIZENTRA]],0)</f>
        <v>0</v>
      </c>
      <c r="U37" s="55">
        <f>IFERROR(VIEW_IV_2019_GR_COTA_DEMANDA[[#This Row],[Demanda.PRIVIGEN]]/VIEW_IV_2019_GR_COTA_DEMANDA[[#This Row],[Cota.PRIVIGEN]],0)</f>
        <v>0</v>
      </c>
      <c r="V37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7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7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7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7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7" s="104"/>
    </row>
    <row r="38" spans="1:27" hidden="1" x14ac:dyDescent="0.2">
      <c r="A38" s="11" t="s">
        <v>289</v>
      </c>
      <c r="B38" s="7" t="s">
        <v>16</v>
      </c>
      <c r="C38" s="7" t="s">
        <v>378</v>
      </c>
      <c r="D38" s="7" t="s">
        <v>377</v>
      </c>
      <c r="E38" s="8" t="s">
        <v>205</v>
      </c>
      <c r="F38" s="8" t="s">
        <v>206</v>
      </c>
      <c r="G38" s="10">
        <v>63</v>
      </c>
      <c r="H38" s="10">
        <v>713</v>
      </c>
      <c r="I38" s="10">
        <v>540</v>
      </c>
      <c r="J38" s="10">
        <v>2223</v>
      </c>
      <c r="K38" s="10">
        <v>26910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55">
        <f>IFERROR(VIEW_IV_2019_GR_COTA_DEMANDA[[#This Row],[Demanda.BERINERT]]/VIEW_IV_2019_GR_COTA_DEMANDA[[#This Row],[Cota.BERINERT]],0)</f>
        <v>0</v>
      </c>
      <c r="R38" s="55">
        <f>IFERROR(VIEW_IV_2019_GR_COTA_DEMANDA[[#This Row],[Demanda.BERIPLEX]]/VIEW_IV_2019_GR_COTA_DEMANDA[[#This Row],[Cota.BERIPLEX]],0)</f>
        <v>0</v>
      </c>
      <c r="S38" s="55">
        <f>IFERROR(VIEW_IV_2019_GR_COTA_DEMANDA[[#This Row],[Demanda.HAEMO]]/VIEW_IV_2019_GR_COTA_DEMANDA[[#This Row],[Cota.HAEMO]],0)</f>
        <v>0</v>
      </c>
      <c r="T38" s="55">
        <f>IFERROR(VIEW_IV_2019_GR_COTA_DEMANDA[[#This Row],[Demanda.HIZENTRA]]/VIEW_IV_2019_GR_COTA_DEMANDA[[#This Row],[Cota.HIZENTRA]],0)</f>
        <v>0</v>
      </c>
      <c r="U38" s="55">
        <f>IFERROR(VIEW_IV_2019_GR_COTA_DEMANDA[[#This Row],[Demanda.PRIVIGEN]]/VIEW_IV_2019_GR_COTA_DEMANDA[[#This Row],[Cota.PRIVIGEN]],0)</f>
        <v>0</v>
      </c>
      <c r="V38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8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8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8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8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8" s="104"/>
    </row>
    <row r="39" spans="1:27" hidden="1" x14ac:dyDescent="0.2">
      <c r="A39" s="11" t="s">
        <v>289</v>
      </c>
      <c r="B39" s="7" t="s">
        <v>16</v>
      </c>
      <c r="C39" s="7" t="s">
        <v>379</v>
      </c>
      <c r="D39" s="7" t="s">
        <v>377</v>
      </c>
      <c r="E39" s="8" t="s">
        <v>207</v>
      </c>
      <c r="F39" s="8" t="s">
        <v>208</v>
      </c>
      <c r="G39" s="10">
        <v>78</v>
      </c>
      <c r="H39" s="10">
        <v>667</v>
      </c>
      <c r="I39" s="10">
        <v>510</v>
      </c>
      <c r="J39" s="10">
        <v>2337</v>
      </c>
      <c r="K39" s="10">
        <v>24395</v>
      </c>
      <c r="L39" s="10">
        <v>0</v>
      </c>
      <c r="M39" s="10">
        <v>0</v>
      </c>
      <c r="N39" s="10">
        <v>0</v>
      </c>
      <c r="O39" s="10">
        <v>0</v>
      </c>
      <c r="P39" s="10">
        <v>0</v>
      </c>
      <c r="Q39" s="55">
        <f>IFERROR(VIEW_IV_2019_GR_COTA_DEMANDA[[#This Row],[Demanda.BERINERT]]/VIEW_IV_2019_GR_COTA_DEMANDA[[#This Row],[Cota.BERINERT]],0)</f>
        <v>0</v>
      </c>
      <c r="R39" s="55">
        <f>IFERROR(VIEW_IV_2019_GR_COTA_DEMANDA[[#This Row],[Demanda.BERIPLEX]]/VIEW_IV_2019_GR_COTA_DEMANDA[[#This Row],[Cota.BERIPLEX]],0)</f>
        <v>0</v>
      </c>
      <c r="S39" s="55">
        <f>IFERROR(VIEW_IV_2019_GR_COTA_DEMANDA[[#This Row],[Demanda.HAEMO]]/VIEW_IV_2019_GR_COTA_DEMANDA[[#This Row],[Cota.HAEMO]],0)</f>
        <v>0</v>
      </c>
      <c r="T39" s="55">
        <f>IFERROR(VIEW_IV_2019_GR_COTA_DEMANDA[[#This Row],[Demanda.HIZENTRA]]/VIEW_IV_2019_GR_COTA_DEMANDA[[#This Row],[Cota.HIZENTRA]],0)</f>
        <v>0</v>
      </c>
      <c r="U39" s="55">
        <f>IFERROR(VIEW_IV_2019_GR_COTA_DEMANDA[[#This Row],[Demanda.PRIVIGEN]]/VIEW_IV_2019_GR_COTA_DEMANDA[[#This Row],[Cota.PRIVIGEN]],0)</f>
        <v>0</v>
      </c>
      <c r="V39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39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39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39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39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39" s="104"/>
    </row>
    <row r="40" spans="1:27" hidden="1" x14ac:dyDescent="0.2">
      <c r="A40" s="11" t="s">
        <v>289</v>
      </c>
      <c r="B40" s="7" t="s">
        <v>16</v>
      </c>
      <c r="C40" s="7" t="s">
        <v>379</v>
      </c>
      <c r="D40" s="7" t="s">
        <v>377</v>
      </c>
      <c r="E40" s="8" t="s">
        <v>211</v>
      </c>
      <c r="F40" s="8" t="s">
        <v>212</v>
      </c>
      <c r="G40" s="10">
        <v>91</v>
      </c>
      <c r="H40" s="10">
        <v>920</v>
      </c>
      <c r="I40" s="10">
        <v>450</v>
      </c>
      <c r="J40" s="10">
        <v>1140</v>
      </c>
      <c r="K40" s="10">
        <v>17255</v>
      </c>
      <c r="L40" s="10">
        <v>0</v>
      </c>
      <c r="M40" s="10">
        <v>0</v>
      </c>
      <c r="N40" s="10">
        <v>0</v>
      </c>
      <c r="O40" s="10">
        <v>0</v>
      </c>
      <c r="P40" s="10">
        <v>0</v>
      </c>
      <c r="Q40" s="55">
        <f>IFERROR(VIEW_IV_2019_GR_COTA_DEMANDA[[#This Row],[Demanda.BERINERT]]/VIEW_IV_2019_GR_COTA_DEMANDA[[#This Row],[Cota.BERINERT]],0)</f>
        <v>0</v>
      </c>
      <c r="R40" s="55">
        <f>IFERROR(VIEW_IV_2019_GR_COTA_DEMANDA[[#This Row],[Demanda.BERIPLEX]]/VIEW_IV_2019_GR_COTA_DEMANDA[[#This Row],[Cota.BERIPLEX]],0)</f>
        <v>0</v>
      </c>
      <c r="S40" s="55">
        <f>IFERROR(VIEW_IV_2019_GR_COTA_DEMANDA[[#This Row],[Demanda.HAEMO]]/VIEW_IV_2019_GR_COTA_DEMANDA[[#This Row],[Cota.HAEMO]],0)</f>
        <v>0</v>
      </c>
      <c r="T40" s="55">
        <f>IFERROR(VIEW_IV_2019_GR_COTA_DEMANDA[[#This Row],[Demanda.HIZENTRA]]/VIEW_IV_2019_GR_COTA_DEMANDA[[#This Row],[Cota.HIZENTRA]],0)</f>
        <v>0</v>
      </c>
      <c r="U40" s="55">
        <f>IFERROR(VIEW_IV_2019_GR_COTA_DEMANDA[[#This Row],[Demanda.PRIVIGEN]]/VIEW_IV_2019_GR_COTA_DEMANDA[[#This Row],[Cota.PRIVIGEN]],0)</f>
        <v>0</v>
      </c>
      <c r="V40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40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40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40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40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40" s="104"/>
    </row>
    <row r="41" spans="1:27" hidden="1" x14ac:dyDescent="0.2">
      <c r="A41" s="11" t="s">
        <v>289</v>
      </c>
      <c r="B41" s="7" t="s">
        <v>16</v>
      </c>
      <c r="C41" s="7" t="s">
        <v>379</v>
      </c>
      <c r="D41" s="7" t="s">
        <v>377</v>
      </c>
      <c r="E41" s="8" t="s">
        <v>205</v>
      </c>
      <c r="F41" s="8" t="s">
        <v>206</v>
      </c>
      <c r="G41" s="10">
        <v>91</v>
      </c>
      <c r="H41" s="10">
        <v>713</v>
      </c>
      <c r="I41" s="10">
        <v>540</v>
      </c>
      <c r="J41" s="10">
        <v>2223</v>
      </c>
      <c r="K41" s="10">
        <v>27370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55">
        <f>IFERROR(VIEW_IV_2019_GR_COTA_DEMANDA[[#This Row],[Demanda.BERINERT]]/VIEW_IV_2019_GR_COTA_DEMANDA[[#This Row],[Cota.BERINERT]],0)</f>
        <v>0</v>
      </c>
      <c r="R41" s="55">
        <f>IFERROR(VIEW_IV_2019_GR_COTA_DEMANDA[[#This Row],[Demanda.BERIPLEX]]/VIEW_IV_2019_GR_COTA_DEMANDA[[#This Row],[Cota.BERIPLEX]],0)</f>
        <v>0</v>
      </c>
      <c r="S41" s="55">
        <f>IFERROR(VIEW_IV_2019_GR_COTA_DEMANDA[[#This Row],[Demanda.HAEMO]]/VIEW_IV_2019_GR_COTA_DEMANDA[[#This Row],[Cota.HAEMO]],0)</f>
        <v>0</v>
      </c>
      <c r="T41" s="55">
        <f>IFERROR(VIEW_IV_2019_GR_COTA_DEMANDA[[#This Row],[Demanda.HIZENTRA]]/VIEW_IV_2019_GR_COTA_DEMANDA[[#This Row],[Cota.HIZENTRA]],0)</f>
        <v>0</v>
      </c>
      <c r="U41" s="55">
        <f>IFERROR(VIEW_IV_2019_GR_COTA_DEMANDA[[#This Row],[Demanda.PRIVIGEN]]/VIEW_IV_2019_GR_COTA_DEMANDA[[#This Row],[Cota.PRIVIGEN]],0)</f>
        <v>0</v>
      </c>
      <c r="V41" s="56">
        <f>IF(VIEW_IV_2019_GR_COTA_DEMANDA[[#This Row],[Cobertura.BERINERT]]&lt;Cob_Min_GR,0,IF(VIEW_IV_2019_GR_COTA_DEMANDA[[#This Row],[Cobertura.BERINERT]]&gt;=Cob_Max_GR,(Vlr_Max_GR*V$1),(VLOOKUP(VIEW_IV_2019_GR_COTA_DEMANDA[[#This Row],[Cobertura.BERINERT]],Tabela_Valores_GR,2,1))*V$1))</f>
        <v>0</v>
      </c>
      <c r="W41" s="56">
        <f>IF(VIEW_IV_2019_GR_COTA_DEMANDA[[#This Row],[Cobertura.BERIPLEX]]&lt;Cob_Min_GR,0,IF(VIEW_IV_2019_GR_COTA_DEMANDA[[#This Row],[Cobertura.BERIPLEX]]&gt;=Cob_Max_GR,(Vlr_Max_GR*W$1),(VLOOKUP(VIEW_IV_2019_GR_COTA_DEMANDA[[#This Row],[Cobertura.BERIPLEX]],Tabela_Valores_GR,2,1))*W$1))</f>
        <v>0</v>
      </c>
      <c r="X41" s="56">
        <f>IF(VIEW_IV_2019_GR_COTA_DEMANDA[[#This Row],[Cobertura.HAEMO]]&lt;Cob_Min_GR,0,IF(VIEW_IV_2019_GR_COTA_DEMANDA[[#This Row],[Cobertura.HAEMO]]&gt;=Cob_Max_GR,(Vlr_Max_GR*X$1),(VLOOKUP(VIEW_IV_2019_GR_COTA_DEMANDA[[#This Row],[Cobertura.HAEMO]],Tabela_Valores_GR,2,1))*X$1))</f>
        <v>0</v>
      </c>
      <c r="Y41" s="56">
        <f>IF(VIEW_IV_2019_GR_COTA_DEMANDA[[#This Row],[Cobertura.HIZENTRA]]&lt;Cob_Min_GR,0,IF(VIEW_IV_2019_GR_COTA_DEMANDA[[#This Row],[Cobertura.HIZENTRA]]&gt;=Cob_Max_GR,(Vlr_Max_GR*Y$1),(VLOOKUP(VIEW_IV_2019_GR_COTA_DEMANDA[[#This Row],[Cobertura.HIZENTRA]],Tabela_Valores_GR,2,1))*Y$1))</f>
        <v>0</v>
      </c>
      <c r="Z41" s="56">
        <f>IF(VIEW_IV_2019_GR_COTA_DEMANDA[[#This Row],[Cobertura.PRIVIGEN]]&lt;Cob_Min_GR,0,IF(VIEW_IV_2019_GR_COTA_DEMANDA[[#This Row],[Cobertura.PRIVIGEN]]&gt;=Cob_Max_GR,(Vlr_Max_GR*Z$1),(VLOOKUP(VIEW_IV_2019_GR_COTA_DEMANDA[[#This Row],[Cobertura.PRIVIGEN]],Tabela_Valores_GR,2,1))*Z$1))</f>
        <v>0</v>
      </c>
      <c r="AA41" s="104">
        <f>SUM(VIEW_IV_2019_GR_COTA_DEMANDA[[#This Row],[Premio.BERINERT]:[Premio.PRIVIGEN]])</f>
        <v>0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26D2D-6DEC-4FC7-ABAD-1BAA328A0DA1}">
  <sheetPr codeName="Planilha18">
    <tabColor theme="9" tint="-0.249977111117893"/>
  </sheetPr>
  <dimension ref="A1:I23"/>
  <sheetViews>
    <sheetView showGridLines="0" workbookViewId="0">
      <pane ySplit="5" topLeftCell="A6" activePane="bottomLeft" state="frozen"/>
      <selection activeCell="C15" sqref="C15"/>
      <selection pane="bottomLeft" activeCell="A6" sqref="A6"/>
    </sheetView>
  </sheetViews>
  <sheetFormatPr defaultRowHeight="12.75" x14ac:dyDescent="0.25"/>
  <cols>
    <col min="1" max="1" width="11" style="3" bestFit="1" customWidth="1"/>
    <col min="2" max="2" width="11.140625" style="3" bestFit="1" customWidth="1"/>
    <col min="3" max="3" width="9.85546875" style="3" bestFit="1" customWidth="1"/>
    <col min="4" max="4" width="27.140625" style="3" bestFit="1" customWidth="1"/>
    <col min="5" max="5" width="24.85546875" style="3" bestFit="1" customWidth="1"/>
    <col min="6" max="6" width="14.85546875" style="3" bestFit="1" customWidth="1"/>
    <col min="7" max="7" width="16.85546875" style="3" bestFit="1" customWidth="1"/>
    <col min="8" max="8" width="17" style="3" bestFit="1" customWidth="1"/>
    <col min="9" max="9" width="16.85546875" style="3" bestFit="1" customWidth="1"/>
    <col min="10" max="10" width="15.7109375" style="3" bestFit="1" customWidth="1"/>
    <col min="11" max="11" width="30.7109375" style="3" bestFit="1" customWidth="1"/>
    <col min="12" max="12" width="29.140625" style="3" bestFit="1" customWidth="1"/>
    <col min="13" max="13" width="17" style="3" bestFit="1" customWidth="1"/>
    <col min="14" max="14" width="19.28515625" style="3" bestFit="1" customWidth="1"/>
    <col min="15" max="16384" width="9.140625" style="3"/>
  </cols>
  <sheetData>
    <row r="1" spans="1:9" ht="15.75" x14ac:dyDescent="0.25">
      <c r="A1" s="49" t="s">
        <v>367</v>
      </c>
      <c r="I1" s="79">
        <v>0.05</v>
      </c>
    </row>
    <row r="2" spans="1:9" x14ac:dyDescent="0.25">
      <c r="A2" s="63" t="s">
        <v>317</v>
      </c>
      <c r="I2" s="78">
        <f>SUM(VIEW_IV_2019_VISITAS_GR[Visitas-Premio])</f>
        <v>1847.3337024953039</v>
      </c>
    </row>
    <row r="3" spans="1:9" x14ac:dyDescent="0.25">
      <c r="I3" s="60">
        <f>SUBTOTAL(9,VIEW_IV_2019_VISITAS_GR[Visitas-Premio])</f>
        <v>1847.3337024953039</v>
      </c>
    </row>
    <row r="5" spans="1:9" x14ac:dyDescent="0.25">
      <c r="A5" s="3" t="s">
        <v>2</v>
      </c>
      <c r="B5" s="3" t="s">
        <v>3</v>
      </c>
      <c r="C5" s="3" t="s">
        <v>4</v>
      </c>
      <c r="D5" s="3" t="s">
        <v>203</v>
      </c>
      <c r="E5" s="3" t="s">
        <v>204</v>
      </c>
      <c r="F5" s="3" t="s">
        <v>358</v>
      </c>
      <c r="G5" s="3" t="s">
        <v>359</v>
      </c>
      <c r="H5" s="3" t="s">
        <v>364</v>
      </c>
      <c r="I5" s="36" t="s">
        <v>366</v>
      </c>
    </row>
    <row r="6" spans="1:9" x14ac:dyDescent="0.25">
      <c r="A6" s="7" t="s">
        <v>16</v>
      </c>
      <c r="B6" s="7" t="s">
        <v>17</v>
      </c>
      <c r="C6" s="7" t="s">
        <v>18</v>
      </c>
      <c r="D6" s="8" t="s">
        <v>207</v>
      </c>
      <c r="E6" s="8" t="s">
        <v>208</v>
      </c>
      <c r="F6" s="10">
        <v>968</v>
      </c>
      <c r="G6" s="10">
        <v>601</v>
      </c>
      <c r="H6" s="12">
        <f>IFERROR(VIEW_IV_2019_VISITAS_GR[[#This Row],[Visitas-Realizadas]]/VIEW_IV_2019_VISITAS_GR[[#This Row],[Visitas-Realizar]],0)</f>
        <v>0.62086776859504134</v>
      </c>
      <c r="I6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7" spans="1:9" x14ac:dyDescent="0.25">
      <c r="A7" s="7" t="s">
        <v>16</v>
      </c>
      <c r="B7" s="7" t="s">
        <v>17</v>
      </c>
      <c r="C7" s="7" t="s">
        <v>18</v>
      </c>
      <c r="D7" s="8" t="s">
        <v>211</v>
      </c>
      <c r="E7" s="8" t="s">
        <v>212</v>
      </c>
      <c r="F7" s="10">
        <v>862</v>
      </c>
      <c r="G7" s="10">
        <v>494</v>
      </c>
      <c r="H7" s="12">
        <f>IFERROR(VIEW_IV_2019_VISITAS_GR[[#This Row],[Visitas-Realizadas]]/VIEW_IV_2019_VISITAS_GR[[#This Row],[Visitas-Realizar]],0)</f>
        <v>0.57308584686774944</v>
      </c>
      <c r="I7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8" spans="1:9" x14ac:dyDescent="0.25">
      <c r="A8" s="7" t="s">
        <v>16</v>
      </c>
      <c r="B8" s="7" t="s">
        <v>17</v>
      </c>
      <c r="C8" s="7" t="s">
        <v>18</v>
      </c>
      <c r="D8" s="8" t="s">
        <v>205</v>
      </c>
      <c r="E8" s="8" t="s">
        <v>206</v>
      </c>
      <c r="F8" s="10">
        <v>980</v>
      </c>
      <c r="G8" s="10">
        <v>325</v>
      </c>
      <c r="H8" s="12">
        <f>IFERROR(VIEW_IV_2019_VISITAS_GR[[#This Row],[Visitas-Realizadas]]/VIEW_IV_2019_VISITAS_GR[[#This Row],[Visitas-Realizar]],0)</f>
        <v>0.33163265306122447</v>
      </c>
      <c r="I8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9" spans="1:9" x14ac:dyDescent="0.25">
      <c r="A9" s="7" t="s">
        <v>16</v>
      </c>
      <c r="B9" s="7" t="s">
        <v>21</v>
      </c>
      <c r="C9" s="7" t="s">
        <v>18</v>
      </c>
      <c r="D9" s="8" t="s">
        <v>207</v>
      </c>
      <c r="E9" s="8" t="s">
        <v>208</v>
      </c>
      <c r="F9" s="10">
        <v>814</v>
      </c>
      <c r="G9" s="10">
        <v>865</v>
      </c>
      <c r="H9" s="12">
        <f>IFERROR(VIEW_IV_2019_VISITAS_GR[[#This Row],[Visitas-Realizadas]]/VIEW_IV_2019_VISITAS_GR[[#This Row],[Visitas-Realizar]],0)</f>
        <v>1.0626535626535627</v>
      </c>
      <c r="I9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0" spans="1:9" x14ac:dyDescent="0.25">
      <c r="A10" s="7" t="s">
        <v>16</v>
      </c>
      <c r="B10" s="7" t="s">
        <v>21</v>
      </c>
      <c r="C10" s="7" t="s">
        <v>18</v>
      </c>
      <c r="D10" s="8" t="s">
        <v>211</v>
      </c>
      <c r="E10" s="8" t="s">
        <v>212</v>
      </c>
      <c r="F10" s="10">
        <v>838</v>
      </c>
      <c r="G10" s="10">
        <v>678</v>
      </c>
      <c r="H10" s="12">
        <f>IFERROR(VIEW_IV_2019_VISITAS_GR[[#This Row],[Visitas-Realizadas]]/VIEW_IV_2019_VISITAS_GR[[#This Row],[Visitas-Realizar]],0)</f>
        <v>0.80906921241050123</v>
      </c>
      <c r="I10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109.3904966563241</v>
      </c>
    </row>
    <row r="11" spans="1:9" x14ac:dyDescent="0.25">
      <c r="A11" s="7" t="s">
        <v>16</v>
      </c>
      <c r="B11" s="7" t="s">
        <v>21</v>
      </c>
      <c r="C11" s="7" t="s">
        <v>18</v>
      </c>
      <c r="D11" s="8" t="s">
        <v>205</v>
      </c>
      <c r="E11" s="8" t="s">
        <v>206</v>
      </c>
      <c r="F11" s="10">
        <v>744</v>
      </c>
      <c r="G11" s="10">
        <v>523</v>
      </c>
      <c r="H11" s="12">
        <f>IFERROR(VIEW_IV_2019_VISITAS_GR[[#This Row],[Visitas-Realizadas]]/VIEW_IV_2019_VISITAS_GR[[#This Row],[Visitas-Realizar]],0)</f>
        <v>0.70295698924731187</v>
      </c>
      <c r="I11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2" spans="1:9" x14ac:dyDescent="0.25">
      <c r="A12" s="7" t="s">
        <v>16</v>
      </c>
      <c r="B12" s="7" t="s">
        <v>22</v>
      </c>
      <c r="C12" s="7" t="s">
        <v>18</v>
      </c>
      <c r="D12" s="8" t="s">
        <v>207</v>
      </c>
      <c r="E12" s="8" t="s">
        <v>208</v>
      </c>
      <c r="F12" s="10">
        <v>962</v>
      </c>
      <c r="G12" s="10">
        <v>1013</v>
      </c>
      <c r="H12" s="12">
        <f>IFERROR(VIEW_IV_2019_VISITAS_GR[[#This Row],[Visitas-Realizadas]]/VIEW_IV_2019_VISITAS_GR[[#This Row],[Visitas-Realizar]],0)</f>
        <v>1.0530145530145529</v>
      </c>
      <c r="I12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3" spans="1:9" x14ac:dyDescent="0.25">
      <c r="A13" s="7" t="s">
        <v>16</v>
      </c>
      <c r="B13" s="7" t="s">
        <v>22</v>
      </c>
      <c r="C13" s="7" t="s">
        <v>18</v>
      </c>
      <c r="D13" s="8" t="s">
        <v>211</v>
      </c>
      <c r="E13" s="8" t="s">
        <v>212</v>
      </c>
      <c r="F13" s="10">
        <v>860</v>
      </c>
      <c r="G13" s="10">
        <v>819</v>
      </c>
      <c r="H13" s="12">
        <f>IFERROR(VIEW_IV_2019_VISITAS_GR[[#This Row],[Visitas-Realizadas]]/VIEW_IV_2019_VISITAS_GR[[#This Row],[Visitas-Realizar]],0)</f>
        <v>0.95232558139534884</v>
      </c>
      <c r="I13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193.08977654540288</v>
      </c>
    </row>
    <row r="14" spans="1:9" x14ac:dyDescent="0.25">
      <c r="A14" s="7" t="s">
        <v>16</v>
      </c>
      <c r="B14" s="7" t="s">
        <v>22</v>
      </c>
      <c r="C14" s="7" t="s">
        <v>18</v>
      </c>
      <c r="D14" s="8" t="s">
        <v>205</v>
      </c>
      <c r="E14" s="8" t="s">
        <v>206</v>
      </c>
      <c r="F14" s="10">
        <v>820</v>
      </c>
      <c r="G14" s="10">
        <v>578</v>
      </c>
      <c r="H14" s="12">
        <f>IFERROR(VIEW_IV_2019_VISITAS_GR[[#This Row],[Visitas-Realizadas]]/VIEW_IV_2019_VISITAS_GR[[#This Row],[Visitas-Realizar]],0)</f>
        <v>0.70487804878048776</v>
      </c>
      <c r="I14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5" spans="1:9" x14ac:dyDescent="0.25">
      <c r="A15" s="7" t="s">
        <v>16</v>
      </c>
      <c r="B15" s="7" t="s">
        <v>23</v>
      </c>
      <c r="C15" s="7" t="s">
        <v>24</v>
      </c>
      <c r="D15" s="8" t="s">
        <v>207</v>
      </c>
      <c r="E15" s="8" t="s">
        <v>208</v>
      </c>
      <c r="F15" s="10">
        <v>966</v>
      </c>
      <c r="G15" s="10">
        <v>993</v>
      </c>
      <c r="H15" s="12">
        <f>IFERROR(VIEW_IV_2019_VISITAS_GR[[#This Row],[Visitas-Realizadas]]/VIEW_IV_2019_VISITAS_GR[[#This Row],[Visitas-Realizar]],0)</f>
        <v>1.0279503105590062</v>
      </c>
      <c r="I15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270.43386070784726</v>
      </c>
    </row>
    <row r="16" spans="1:9" x14ac:dyDescent="0.25">
      <c r="A16" s="7" t="s">
        <v>16</v>
      </c>
      <c r="B16" s="7" t="s">
        <v>23</v>
      </c>
      <c r="C16" s="7" t="s">
        <v>24</v>
      </c>
      <c r="D16" s="8" t="s">
        <v>211</v>
      </c>
      <c r="E16" s="8" t="s">
        <v>212</v>
      </c>
      <c r="F16" s="10">
        <v>1006</v>
      </c>
      <c r="G16" s="10">
        <v>859</v>
      </c>
      <c r="H16" s="12">
        <f>IFERROR(VIEW_IV_2019_VISITAS_GR[[#This Row],[Visitas-Realizadas]]/VIEW_IV_2019_VISITAS_GR[[#This Row],[Visitas-Realizar]],0)</f>
        <v>0.85387673956262422</v>
      </c>
      <c r="I16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115.34004159189675</v>
      </c>
    </row>
    <row r="17" spans="1:9" x14ac:dyDescent="0.25">
      <c r="A17" s="7" t="s">
        <v>16</v>
      </c>
      <c r="B17" s="7" t="s">
        <v>23</v>
      </c>
      <c r="C17" s="7" t="s">
        <v>24</v>
      </c>
      <c r="D17" s="8" t="s">
        <v>205</v>
      </c>
      <c r="E17" s="8" t="s">
        <v>206</v>
      </c>
      <c r="F17" s="10">
        <v>1002</v>
      </c>
      <c r="G17" s="10">
        <v>739</v>
      </c>
      <c r="H17" s="12">
        <f>IFERROR(VIEW_IV_2019_VISITAS_GR[[#This Row],[Visitas-Realizadas]]/VIEW_IV_2019_VISITAS_GR[[#This Row],[Visitas-Realizar]],0)</f>
        <v>0.73752495009980035</v>
      </c>
      <c r="I17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18" spans="1:9" x14ac:dyDescent="0.25">
      <c r="A18" s="7" t="s">
        <v>16</v>
      </c>
      <c r="B18" s="7" t="s">
        <v>229</v>
      </c>
      <c r="C18" s="7" t="s">
        <v>24</v>
      </c>
      <c r="D18" s="8" t="s">
        <v>207</v>
      </c>
      <c r="E18" s="8" t="s">
        <v>208</v>
      </c>
      <c r="F18" s="10">
        <v>656</v>
      </c>
      <c r="G18" s="10">
        <v>643</v>
      </c>
      <c r="H18" s="12">
        <f>IFERROR(VIEW_IV_2019_VISITAS_GR[[#This Row],[Visitas-Realizadas]]/VIEW_IV_2019_VISITAS_GR[[#This Row],[Visitas-Realizar]],0)</f>
        <v>0.98018292682926833</v>
      </c>
      <c r="I18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198.76888762026769</v>
      </c>
    </row>
    <row r="19" spans="1:9" x14ac:dyDescent="0.25">
      <c r="A19" s="7" t="s">
        <v>16</v>
      </c>
      <c r="B19" s="7" t="s">
        <v>229</v>
      </c>
      <c r="C19" s="7" t="s">
        <v>24</v>
      </c>
      <c r="D19" s="8" t="s">
        <v>211</v>
      </c>
      <c r="E19" s="8" t="s">
        <v>212</v>
      </c>
      <c r="F19" s="10">
        <v>848</v>
      </c>
      <c r="G19" s="10">
        <v>700</v>
      </c>
      <c r="H19" s="12">
        <f>IFERROR(VIEW_IV_2019_VISITAS_GR[[#This Row],[Visitas-Realizadas]]/VIEW_IV_2019_VISITAS_GR[[#This Row],[Visitas-Realizar]],0)</f>
        <v>0.82547169811320753</v>
      </c>
      <c r="I19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111.55396754198685</v>
      </c>
    </row>
    <row r="20" spans="1:9" x14ac:dyDescent="0.25">
      <c r="A20" s="7" t="s">
        <v>16</v>
      </c>
      <c r="B20" s="7" t="s">
        <v>229</v>
      </c>
      <c r="C20" s="7" t="s">
        <v>24</v>
      </c>
      <c r="D20" s="8" t="s">
        <v>205</v>
      </c>
      <c r="E20" s="8" t="s">
        <v>206</v>
      </c>
      <c r="F20" s="10">
        <v>722</v>
      </c>
      <c r="G20" s="10">
        <v>551</v>
      </c>
      <c r="H20" s="12">
        <f>IFERROR(VIEW_IV_2019_VISITAS_GR[[#This Row],[Visitas-Realizadas]]/VIEW_IV_2019_VISITAS_GR[[#This Row],[Visitas-Realizar]],0)</f>
        <v>0.76315789473684215</v>
      </c>
      <c r="I20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  <row r="21" spans="1:9" x14ac:dyDescent="0.25">
      <c r="A21" s="7" t="s">
        <v>16</v>
      </c>
      <c r="B21" s="7" t="s">
        <v>230</v>
      </c>
      <c r="C21" s="7" t="s">
        <v>24</v>
      </c>
      <c r="D21" s="8" t="s">
        <v>207</v>
      </c>
      <c r="E21" s="8" t="s">
        <v>208</v>
      </c>
      <c r="F21" s="10">
        <v>646</v>
      </c>
      <c r="G21" s="10">
        <v>537</v>
      </c>
      <c r="H21" s="12">
        <f>IFERROR(VIEW_IV_2019_VISITAS_GR[[#This Row],[Visitas-Realizadas]]/VIEW_IV_2019_VISITAS_GR[[#This Row],[Visitas-Realizar]],0)</f>
        <v>0.83126934984520129</v>
      </c>
      <c r="I21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112.3652691241104</v>
      </c>
    </row>
    <row r="22" spans="1:9" x14ac:dyDescent="0.25">
      <c r="A22" s="7" t="s">
        <v>16</v>
      </c>
      <c r="B22" s="7" t="s">
        <v>230</v>
      </c>
      <c r="C22" s="7" t="s">
        <v>24</v>
      </c>
      <c r="D22" s="8" t="s">
        <v>211</v>
      </c>
      <c r="E22" s="8" t="s">
        <v>212</v>
      </c>
      <c r="F22" s="10">
        <v>540</v>
      </c>
      <c r="G22" s="10">
        <v>521</v>
      </c>
      <c r="H22" s="12">
        <f>IFERROR(VIEW_IV_2019_VISITAS_GR[[#This Row],[Visitas-Realizadas]]/VIEW_IV_2019_VISITAS_GR[[#This Row],[Visitas-Realizar]],0)</f>
        <v>0.96481481481481479</v>
      </c>
      <c r="I22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195.5236812917735</v>
      </c>
    </row>
    <row r="23" spans="1:9" x14ac:dyDescent="0.25">
      <c r="A23" s="7" t="s">
        <v>16</v>
      </c>
      <c r="B23" s="7" t="s">
        <v>230</v>
      </c>
      <c r="C23" s="7" t="s">
        <v>24</v>
      </c>
      <c r="D23" s="8" t="s">
        <v>205</v>
      </c>
      <c r="E23" s="8" t="s">
        <v>206</v>
      </c>
      <c r="F23" s="10">
        <v>546</v>
      </c>
      <c r="G23" s="10">
        <v>272</v>
      </c>
      <c r="H23" s="12">
        <f>IFERROR(VIEW_IV_2019_VISITAS_GR[[#This Row],[Visitas-Realizadas]]/VIEW_IV_2019_VISITAS_GR[[#This Row],[Visitas-Realizar]],0)</f>
        <v>0.49816849816849818</v>
      </c>
      <c r="I23" s="102">
        <f>IF(VIEW_IV_2019_VISITAS_GR[[#This Row],[Visitas-Cobertura]]&lt;Cob_Min_GR,0,IF(VIEW_IV_2019_VISITAS_GR[[#This Row],[Visitas-Cobertura]]&gt;=Cob_100_GR,(Vlr_100_GR*I$1),(VLOOKUP(VIEW_IV_2019_VISITAS_GR[[#This Row],[Visitas-Cobertura]],Tabela_Valores_GR,2,1))*I$1))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8BF36-FAF3-4322-9549-A8F5939C6B75}">
  <sheetPr codeName="Planilha8">
    <tabColor theme="9" tint="-0.249977111117893"/>
  </sheetPr>
  <dimension ref="A1:CD3149"/>
  <sheetViews>
    <sheetView showGridLines="0" topLeftCell="D1" workbookViewId="0">
      <pane ySplit="5" topLeftCell="A6" activePane="bottomLeft" state="frozen"/>
      <selection activeCell="E29" sqref="E29"/>
      <selection pane="bottomLeft" activeCell="O3" sqref="O3"/>
    </sheetView>
  </sheetViews>
  <sheetFormatPr defaultRowHeight="12.75" x14ac:dyDescent="0.25"/>
  <cols>
    <col min="1" max="1" width="13.28515625" style="6" bestFit="1" customWidth="1"/>
    <col min="2" max="2" width="13.42578125" style="6" bestFit="1" customWidth="1"/>
    <col min="3" max="3" width="12.140625" style="6" bestFit="1" customWidth="1"/>
    <col min="4" max="4" width="15.140625" style="6" bestFit="1" customWidth="1"/>
    <col min="5" max="5" width="81.140625" style="6" bestFit="1" customWidth="1"/>
    <col min="6" max="6" width="23.5703125" style="6" bestFit="1" customWidth="1"/>
    <col min="7" max="7" width="7.5703125" style="6" bestFit="1" customWidth="1"/>
    <col min="8" max="8" width="27.140625" style="6" bestFit="1" customWidth="1"/>
    <col min="9" max="9" width="24.85546875" style="6" bestFit="1" customWidth="1"/>
    <col min="10" max="10" width="13.28515625" style="4" bestFit="1" customWidth="1"/>
    <col min="11" max="11" width="17.42578125" style="3" bestFit="1" customWidth="1"/>
    <col min="12" max="12" width="81.140625" style="3" bestFit="1" customWidth="1"/>
    <col min="13" max="13" width="7.7109375" style="3" bestFit="1" customWidth="1"/>
    <col min="14" max="14" width="7.5703125" style="3" bestFit="1" customWidth="1"/>
    <col min="15" max="15" width="30.7109375" style="3" bestFit="1" customWidth="1"/>
    <col min="16" max="16" width="29.140625" style="3" bestFit="1" customWidth="1"/>
    <col min="17" max="17" width="13.28515625" style="5" bestFit="1" customWidth="1"/>
    <col min="18" max="18" width="17.42578125" style="5" bestFit="1" customWidth="1"/>
    <col min="19" max="19" width="7.7109375" style="5" customWidth="1"/>
    <col min="20" max="46" width="9.140625" style="3"/>
    <col min="47" max="47" width="15.140625" style="3" bestFit="1" customWidth="1"/>
    <col min="48" max="48" width="9.140625" style="3"/>
    <col min="49" max="49" width="15.140625" style="3" bestFit="1" customWidth="1"/>
    <col min="50" max="16384" width="9.140625" style="3"/>
  </cols>
  <sheetData>
    <row r="1" spans="1:19" ht="15.75" x14ac:dyDescent="0.25">
      <c r="A1" s="49" t="s">
        <v>309</v>
      </c>
    </row>
    <row r="2" spans="1:19" x14ac:dyDescent="0.25">
      <c r="L2" s="111" t="s">
        <v>266</v>
      </c>
      <c r="M2" s="171">
        <f>SUM(VIEW_IV_2019_DEMANDA_SETORIZADA_GR[EQ])</f>
        <v>524742.5</v>
      </c>
    </row>
    <row r="3" spans="1:19" x14ac:dyDescent="0.25">
      <c r="L3" s="111" t="s">
        <v>1324</v>
      </c>
      <c r="M3" s="172">
        <f>SUBTOTAL(9,VIEW_IV_2019_DEMANDA_SETORIZADA_GR[EQ])</f>
        <v>524742.5</v>
      </c>
    </row>
    <row r="4" spans="1:19" x14ac:dyDescent="0.25">
      <c r="M4" s="5"/>
    </row>
    <row r="5" spans="1:19" ht="15" x14ac:dyDescent="0.25">
      <c r="A5" s="6" t="s">
        <v>2</v>
      </c>
      <c r="B5" s="6" t="s">
        <v>3</v>
      </c>
      <c r="C5" s="6" t="s">
        <v>4</v>
      </c>
      <c r="D5" s="9" t="s">
        <v>9</v>
      </c>
      <c r="E5" s="6" t="s">
        <v>10</v>
      </c>
      <c r="F5" s="6" t="s">
        <v>11</v>
      </c>
      <c r="G5" s="6" t="s">
        <v>12</v>
      </c>
      <c r="H5" s="11" t="s">
        <v>203</v>
      </c>
      <c r="I5" s="11" t="s">
        <v>204</v>
      </c>
      <c r="J5" s="6" t="s">
        <v>13</v>
      </c>
      <c r="K5" s="6" t="s">
        <v>14</v>
      </c>
      <c r="L5" t="s">
        <v>1306</v>
      </c>
      <c r="M5" s="10" t="s">
        <v>15</v>
      </c>
      <c r="Q5" s="3"/>
      <c r="R5" s="3"/>
      <c r="S5" s="3"/>
    </row>
    <row r="6" spans="1:19" ht="15" x14ac:dyDescent="0.25">
      <c r="A6" s="7" t="s">
        <v>16</v>
      </c>
      <c r="B6" s="7" t="s">
        <v>17</v>
      </c>
      <c r="C6" s="7" t="s">
        <v>18</v>
      </c>
      <c r="D6" s="4">
        <v>461479004584</v>
      </c>
      <c r="E6" s="8" t="s">
        <v>560</v>
      </c>
      <c r="F6" s="8" t="s">
        <v>29</v>
      </c>
      <c r="G6" s="7" t="s">
        <v>19</v>
      </c>
      <c r="H6" s="47" t="s">
        <v>207</v>
      </c>
      <c r="I6" s="47" t="s">
        <v>208</v>
      </c>
      <c r="J6" s="6">
        <v>70</v>
      </c>
      <c r="K6" s="8" t="s">
        <v>20</v>
      </c>
      <c r="L6" s="1" t="s">
        <v>560</v>
      </c>
      <c r="M6" s="5">
        <v>225</v>
      </c>
      <c r="Q6" s="3"/>
      <c r="R6" s="3"/>
      <c r="S6" s="3"/>
    </row>
    <row r="7" spans="1:19" ht="15" x14ac:dyDescent="0.25">
      <c r="A7" s="7" t="s">
        <v>16</v>
      </c>
      <c r="B7" s="7" t="s">
        <v>21</v>
      </c>
      <c r="C7" s="7" t="s">
        <v>18</v>
      </c>
      <c r="D7" s="4">
        <v>2383508000494</v>
      </c>
      <c r="E7" s="8" t="s">
        <v>562</v>
      </c>
      <c r="F7" s="8" t="s">
        <v>29</v>
      </c>
      <c r="G7" s="7" t="s">
        <v>19</v>
      </c>
      <c r="H7" s="47" t="s">
        <v>207</v>
      </c>
      <c r="I7" s="47" t="s">
        <v>208</v>
      </c>
      <c r="J7" s="6">
        <v>70</v>
      </c>
      <c r="K7" s="8" t="s">
        <v>20</v>
      </c>
      <c r="L7" s="1" t="s">
        <v>562</v>
      </c>
      <c r="M7" s="5">
        <v>280</v>
      </c>
      <c r="Q7" s="3"/>
      <c r="R7" s="3"/>
      <c r="S7" s="3"/>
    </row>
    <row r="8" spans="1:19" ht="15" x14ac:dyDescent="0.25">
      <c r="A8" s="7" t="s">
        <v>16</v>
      </c>
      <c r="B8" s="7" t="s">
        <v>17</v>
      </c>
      <c r="C8" s="7" t="s">
        <v>18</v>
      </c>
      <c r="D8" s="4">
        <v>4036348000190</v>
      </c>
      <c r="E8" s="8" t="s">
        <v>565</v>
      </c>
      <c r="F8" s="8" t="s">
        <v>29</v>
      </c>
      <c r="G8" s="7" t="s">
        <v>19</v>
      </c>
      <c r="H8" s="47" t="s">
        <v>207</v>
      </c>
      <c r="I8" s="47" t="s">
        <v>208</v>
      </c>
      <c r="J8" s="6">
        <v>70</v>
      </c>
      <c r="K8" s="8" t="s">
        <v>20</v>
      </c>
      <c r="L8" s="1" t="s">
        <v>565</v>
      </c>
      <c r="M8" s="5">
        <v>515</v>
      </c>
      <c r="Q8" s="3"/>
      <c r="R8" s="3"/>
      <c r="S8" s="3"/>
    </row>
    <row r="9" spans="1:19" ht="15" x14ac:dyDescent="0.25">
      <c r="A9" s="7" t="s">
        <v>16</v>
      </c>
      <c r="B9" s="7" t="s">
        <v>21</v>
      </c>
      <c r="C9" s="7" t="s">
        <v>18</v>
      </c>
      <c r="D9" s="4">
        <v>4036348000190</v>
      </c>
      <c r="E9" s="8" t="s">
        <v>565</v>
      </c>
      <c r="F9" s="8" t="s">
        <v>29</v>
      </c>
      <c r="G9" s="7" t="s">
        <v>19</v>
      </c>
      <c r="H9" s="47" t="s">
        <v>207</v>
      </c>
      <c r="I9" s="47" t="s">
        <v>208</v>
      </c>
      <c r="J9" s="6">
        <v>70</v>
      </c>
      <c r="K9" s="8" t="s">
        <v>20</v>
      </c>
      <c r="L9" s="1" t="s">
        <v>565</v>
      </c>
      <c r="M9" s="5">
        <v>320</v>
      </c>
      <c r="Q9" s="3"/>
      <c r="R9" s="3"/>
      <c r="S9" s="3"/>
    </row>
    <row r="10" spans="1:19" ht="15" x14ac:dyDescent="0.25">
      <c r="A10" s="7" t="s">
        <v>16</v>
      </c>
      <c r="B10" s="7" t="s">
        <v>17</v>
      </c>
      <c r="C10" s="7" t="s">
        <v>18</v>
      </c>
      <c r="D10" s="4">
        <v>5831510000124</v>
      </c>
      <c r="E10" s="8" t="s">
        <v>567</v>
      </c>
      <c r="F10" s="8" t="s">
        <v>29</v>
      </c>
      <c r="G10" s="7" t="s">
        <v>19</v>
      </c>
      <c r="H10" s="47" t="s">
        <v>207</v>
      </c>
      <c r="I10" s="47" t="s">
        <v>208</v>
      </c>
      <c r="J10" s="6">
        <v>70</v>
      </c>
      <c r="K10" s="8" t="s">
        <v>20</v>
      </c>
      <c r="L10" s="1" t="s">
        <v>567</v>
      </c>
      <c r="M10" s="5">
        <v>195</v>
      </c>
      <c r="Q10" s="3"/>
      <c r="R10" s="3"/>
      <c r="S10" s="3"/>
    </row>
    <row r="11" spans="1:19" ht="15" x14ac:dyDescent="0.25">
      <c r="A11" s="7" t="s">
        <v>16</v>
      </c>
      <c r="B11" s="7" t="s">
        <v>21</v>
      </c>
      <c r="C11" s="7" t="s">
        <v>18</v>
      </c>
      <c r="D11" s="4">
        <v>5831510000124</v>
      </c>
      <c r="E11" s="8" t="s">
        <v>567</v>
      </c>
      <c r="F11" s="8" t="s">
        <v>29</v>
      </c>
      <c r="G11" s="7" t="s">
        <v>19</v>
      </c>
      <c r="H11" s="47" t="s">
        <v>207</v>
      </c>
      <c r="I11" s="47" t="s">
        <v>208</v>
      </c>
      <c r="J11" s="6">
        <v>70</v>
      </c>
      <c r="K11" s="8" t="s">
        <v>20</v>
      </c>
      <c r="L11" s="1" t="s">
        <v>567</v>
      </c>
      <c r="M11" s="5">
        <v>140</v>
      </c>
      <c r="Q11" s="3"/>
      <c r="R11" s="3"/>
      <c r="S11" s="3"/>
    </row>
    <row r="12" spans="1:19" ht="15" x14ac:dyDescent="0.25">
      <c r="A12" s="7" t="s">
        <v>16</v>
      </c>
      <c r="B12" s="7" t="s">
        <v>21</v>
      </c>
      <c r="C12" s="7" t="s">
        <v>18</v>
      </c>
      <c r="D12" s="4">
        <v>7045325000130</v>
      </c>
      <c r="E12" s="8" t="s">
        <v>571</v>
      </c>
      <c r="F12" s="8" t="s">
        <v>29</v>
      </c>
      <c r="G12" s="7" t="s">
        <v>19</v>
      </c>
      <c r="H12" s="47" t="s">
        <v>207</v>
      </c>
      <c r="I12" s="47" t="s">
        <v>208</v>
      </c>
      <c r="J12" s="6">
        <v>70</v>
      </c>
      <c r="K12" s="8" t="s">
        <v>20</v>
      </c>
      <c r="L12" s="1" t="s">
        <v>571</v>
      </c>
      <c r="M12" s="5">
        <v>200</v>
      </c>
      <c r="Q12" s="3"/>
      <c r="R12" s="3"/>
      <c r="S12" s="3"/>
    </row>
    <row r="13" spans="1:19" ht="15" x14ac:dyDescent="0.25">
      <c r="A13" s="7" t="s">
        <v>16</v>
      </c>
      <c r="B13" s="7" t="s">
        <v>17</v>
      </c>
      <c r="C13" s="7" t="s">
        <v>18</v>
      </c>
      <c r="D13" s="4">
        <v>8100676000592</v>
      </c>
      <c r="E13" s="8" t="s">
        <v>572</v>
      </c>
      <c r="F13" s="8" t="s">
        <v>29</v>
      </c>
      <c r="G13" s="7" t="s">
        <v>19</v>
      </c>
      <c r="H13" s="47" t="s">
        <v>207</v>
      </c>
      <c r="I13" s="47" t="s">
        <v>208</v>
      </c>
      <c r="J13" s="6">
        <v>70</v>
      </c>
      <c r="K13" s="8" t="s">
        <v>20</v>
      </c>
      <c r="L13" s="1" t="s">
        <v>572</v>
      </c>
      <c r="M13" s="5">
        <v>130</v>
      </c>
      <c r="Q13" s="3"/>
      <c r="R13" s="3"/>
      <c r="S13" s="3"/>
    </row>
    <row r="14" spans="1:19" ht="15" x14ac:dyDescent="0.25">
      <c r="A14" s="7" t="s">
        <v>16</v>
      </c>
      <c r="B14" s="7" t="s">
        <v>21</v>
      </c>
      <c r="C14" s="7" t="s">
        <v>18</v>
      </c>
      <c r="D14" s="4">
        <v>8100676000592</v>
      </c>
      <c r="E14" s="8" t="s">
        <v>572</v>
      </c>
      <c r="F14" s="8" t="s">
        <v>29</v>
      </c>
      <c r="G14" s="7" t="s">
        <v>19</v>
      </c>
      <c r="H14" s="47" t="s">
        <v>207</v>
      </c>
      <c r="I14" s="47" t="s">
        <v>208</v>
      </c>
      <c r="J14" s="6">
        <v>70</v>
      </c>
      <c r="K14" s="8" t="s">
        <v>20</v>
      </c>
      <c r="L14" s="1" t="s">
        <v>572</v>
      </c>
      <c r="M14" s="5">
        <v>220</v>
      </c>
      <c r="Q14" s="3"/>
      <c r="R14" s="3"/>
      <c r="S14" s="3"/>
    </row>
    <row r="15" spans="1:19" ht="15" x14ac:dyDescent="0.25">
      <c r="A15" s="7" t="s">
        <v>16</v>
      </c>
      <c r="B15" s="7" t="s">
        <v>17</v>
      </c>
      <c r="C15" s="7" t="s">
        <v>18</v>
      </c>
      <c r="D15" s="4">
        <v>8100676000835</v>
      </c>
      <c r="E15" s="8" t="s">
        <v>573</v>
      </c>
      <c r="F15" s="8" t="s">
        <v>29</v>
      </c>
      <c r="G15" s="7" t="s">
        <v>19</v>
      </c>
      <c r="H15" s="47" t="s">
        <v>207</v>
      </c>
      <c r="I15" s="47" t="s">
        <v>208</v>
      </c>
      <c r="J15" s="6">
        <v>70</v>
      </c>
      <c r="K15" s="8" t="s">
        <v>20</v>
      </c>
      <c r="L15" s="1" t="s">
        <v>573</v>
      </c>
      <c r="M15" s="5">
        <v>25</v>
      </c>
      <c r="Q15" s="3"/>
      <c r="R15" s="3"/>
      <c r="S15" s="3"/>
    </row>
    <row r="16" spans="1:19" ht="15" x14ac:dyDescent="0.25">
      <c r="A16" s="7" t="s">
        <v>16</v>
      </c>
      <c r="B16" s="7" t="s">
        <v>17</v>
      </c>
      <c r="C16" s="7" t="s">
        <v>18</v>
      </c>
      <c r="D16" s="4">
        <v>8100676002455</v>
      </c>
      <c r="E16" s="8" t="s">
        <v>574</v>
      </c>
      <c r="F16" s="8" t="s">
        <v>29</v>
      </c>
      <c r="G16" s="7" t="s">
        <v>19</v>
      </c>
      <c r="H16" s="47" t="s">
        <v>207</v>
      </c>
      <c r="I16" s="47" t="s">
        <v>208</v>
      </c>
      <c r="J16" s="6">
        <v>70</v>
      </c>
      <c r="K16" s="8" t="s">
        <v>20</v>
      </c>
      <c r="L16" s="1" t="s">
        <v>574</v>
      </c>
      <c r="M16" s="5">
        <v>340</v>
      </c>
      <c r="Q16" s="3"/>
      <c r="R16" s="3"/>
      <c r="S16" s="3"/>
    </row>
    <row r="17" spans="1:19" ht="15" x14ac:dyDescent="0.25">
      <c r="A17" s="7" t="s">
        <v>16</v>
      </c>
      <c r="B17" s="7" t="s">
        <v>21</v>
      </c>
      <c r="C17" s="7" t="s">
        <v>18</v>
      </c>
      <c r="D17" s="4">
        <v>8100676002455</v>
      </c>
      <c r="E17" s="8" t="s">
        <v>574</v>
      </c>
      <c r="F17" s="8" t="s">
        <v>29</v>
      </c>
      <c r="G17" s="7" t="s">
        <v>19</v>
      </c>
      <c r="H17" s="47" t="s">
        <v>207</v>
      </c>
      <c r="I17" s="47" t="s">
        <v>208</v>
      </c>
      <c r="J17" s="6">
        <v>70</v>
      </c>
      <c r="K17" s="8" t="s">
        <v>20</v>
      </c>
      <c r="L17" s="1" t="s">
        <v>574</v>
      </c>
      <c r="M17" s="5">
        <v>525</v>
      </c>
      <c r="Q17" s="3"/>
      <c r="R17" s="3"/>
      <c r="S17" s="3"/>
    </row>
    <row r="18" spans="1:19" ht="15" x14ac:dyDescent="0.25">
      <c r="A18" s="7" t="s">
        <v>16</v>
      </c>
      <c r="B18" s="7" t="s">
        <v>17</v>
      </c>
      <c r="C18" s="7" t="s">
        <v>18</v>
      </c>
      <c r="D18" s="4">
        <v>8871521000126</v>
      </c>
      <c r="E18" s="8" t="s">
        <v>577</v>
      </c>
      <c r="F18" s="8" t="s">
        <v>29</v>
      </c>
      <c r="G18" s="7" t="s">
        <v>19</v>
      </c>
      <c r="H18" s="47" t="s">
        <v>207</v>
      </c>
      <c r="I18" s="47" t="s">
        <v>208</v>
      </c>
      <c r="J18" s="6">
        <v>70</v>
      </c>
      <c r="K18" s="8" t="s">
        <v>20</v>
      </c>
      <c r="L18" s="1" t="s">
        <v>577</v>
      </c>
      <c r="M18" s="5">
        <v>60</v>
      </c>
      <c r="Q18" s="3"/>
      <c r="R18" s="3"/>
      <c r="S18" s="3"/>
    </row>
    <row r="19" spans="1:19" ht="15" x14ac:dyDescent="0.25">
      <c r="A19" s="7" t="s">
        <v>16</v>
      </c>
      <c r="B19" s="7" t="s">
        <v>21</v>
      </c>
      <c r="C19" s="7" t="s">
        <v>18</v>
      </c>
      <c r="D19" s="4">
        <v>8871521000126</v>
      </c>
      <c r="E19" s="8" t="s">
        <v>577</v>
      </c>
      <c r="F19" s="8" t="s">
        <v>29</v>
      </c>
      <c r="G19" s="7" t="s">
        <v>19</v>
      </c>
      <c r="H19" s="47" t="s">
        <v>207</v>
      </c>
      <c r="I19" s="47" t="s">
        <v>208</v>
      </c>
      <c r="J19" s="6">
        <v>70</v>
      </c>
      <c r="K19" s="8" t="s">
        <v>20</v>
      </c>
      <c r="L19" s="1" t="s">
        <v>577</v>
      </c>
      <c r="M19" s="5">
        <v>397.5</v>
      </c>
      <c r="Q19" s="3"/>
      <c r="R19" s="3"/>
      <c r="S19" s="3"/>
    </row>
    <row r="20" spans="1:19" ht="15" x14ac:dyDescent="0.25">
      <c r="A20" s="7" t="s">
        <v>16</v>
      </c>
      <c r="B20" s="7" t="s">
        <v>17</v>
      </c>
      <c r="C20" s="7" t="s">
        <v>18</v>
      </c>
      <c r="D20" s="4">
        <v>10468341000140</v>
      </c>
      <c r="E20" s="8" t="s">
        <v>581</v>
      </c>
      <c r="F20" s="8" t="s">
        <v>29</v>
      </c>
      <c r="G20" s="7" t="s">
        <v>19</v>
      </c>
      <c r="H20" s="47" t="s">
        <v>207</v>
      </c>
      <c r="I20" s="47" t="s">
        <v>208</v>
      </c>
      <c r="J20" s="6">
        <v>70</v>
      </c>
      <c r="K20" s="8" t="s">
        <v>20</v>
      </c>
      <c r="L20" s="1" t="s">
        <v>581</v>
      </c>
      <c r="M20" s="5">
        <v>2065</v>
      </c>
      <c r="Q20" s="3"/>
      <c r="R20" s="3"/>
      <c r="S20" s="3"/>
    </row>
    <row r="21" spans="1:19" ht="15" x14ac:dyDescent="0.25">
      <c r="A21" s="7" t="s">
        <v>16</v>
      </c>
      <c r="B21" s="7" t="s">
        <v>21</v>
      </c>
      <c r="C21" s="7" t="s">
        <v>18</v>
      </c>
      <c r="D21" s="4">
        <v>10468341000140</v>
      </c>
      <c r="E21" s="8" t="s">
        <v>581</v>
      </c>
      <c r="F21" s="8" t="s">
        <v>29</v>
      </c>
      <c r="G21" s="7" t="s">
        <v>19</v>
      </c>
      <c r="H21" s="47" t="s">
        <v>207</v>
      </c>
      <c r="I21" s="47" t="s">
        <v>208</v>
      </c>
      <c r="J21" s="6">
        <v>70</v>
      </c>
      <c r="K21" s="8" t="s">
        <v>20</v>
      </c>
      <c r="L21" s="1" t="s">
        <v>581</v>
      </c>
      <c r="M21" s="5">
        <v>805</v>
      </c>
      <c r="Q21" s="3"/>
      <c r="R21" s="3"/>
      <c r="S21" s="3"/>
    </row>
    <row r="22" spans="1:19" ht="15" x14ac:dyDescent="0.25">
      <c r="A22" s="7" t="s">
        <v>16</v>
      </c>
      <c r="B22" s="7" t="s">
        <v>17</v>
      </c>
      <c r="C22" s="7" t="s">
        <v>18</v>
      </c>
      <c r="D22" s="4">
        <v>10468341000220</v>
      </c>
      <c r="E22" s="8" t="s">
        <v>582</v>
      </c>
      <c r="F22" s="8" t="s">
        <v>29</v>
      </c>
      <c r="G22" s="7" t="s">
        <v>19</v>
      </c>
      <c r="H22" s="47" t="s">
        <v>207</v>
      </c>
      <c r="I22" s="47" t="s">
        <v>208</v>
      </c>
      <c r="J22" s="6">
        <v>70</v>
      </c>
      <c r="K22" s="8" t="s">
        <v>20</v>
      </c>
      <c r="L22" s="1" t="s">
        <v>582</v>
      </c>
      <c r="M22" s="5">
        <v>635</v>
      </c>
      <c r="Q22" s="3"/>
      <c r="R22" s="3"/>
      <c r="S22" s="3"/>
    </row>
    <row r="23" spans="1:19" ht="15" x14ac:dyDescent="0.25">
      <c r="A23" s="7" t="s">
        <v>16</v>
      </c>
      <c r="B23" s="7" t="s">
        <v>21</v>
      </c>
      <c r="C23" s="7" t="s">
        <v>18</v>
      </c>
      <c r="D23" s="4">
        <v>10468341000220</v>
      </c>
      <c r="E23" s="8" t="s">
        <v>582</v>
      </c>
      <c r="F23" s="8" t="s">
        <v>29</v>
      </c>
      <c r="G23" s="7" t="s">
        <v>19</v>
      </c>
      <c r="H23" s="47" t="s">
        <v>207</v>
      </c>
      <c r="I23" s="47" t="s">
        <v>208</v>
      </c>
      <c r="J23" s="6">
        <v>70</v>
      </c>
      <c r="K23" s="8" t="s">
        <v>20</v>
      </c>
      <c r="L23" s="1" t="s">
        <v>582</v>
      </c>
      <c r="M23" s="5">
        <v>550</v>
      </c>
      <c r="Q23" s="3"/>
      <c r="R23" s="3"/>
      <c r="S23" s="3"/>
    </row>
    <row r="24" spans="1:19" ht="15" x14ac:dyDescent="0.25">
      <c r="A24" s="7" t="s">
        <v>16</v>
      </c>
      <c r="B24" s="7" t="s">
        <v>17</v>
      </c>
      <c r="C24" s="7" t="s">
        <v>18</v>
      </c>
      <c r="D24" s="4">
        <v>10475230000160</v>
      </c>
      <c r="E24" s="8" t="s">
        <v>583</v>
      </c>
      <c r="F24" s="8" t="s">
        <v>29</v>
      </c>
      <c r="G24" s="7" t="s">
        <v>19</v>
      </c>
      <c r="H24" s="47" t="s">
        <v>207</v>
      </c>
      <c r="I24" s="47" t="s">
        <v>208</v>
      </c>
      <c r="J24" s="6">
        <v>70</v>
      </c>
      <c r="K24" s="8" t="s">
        <v>20</v>
      </c>
      <c r="L24" s="1" t="s">
        <v>583</v>
      </c>
      <c r="M24" s="5">
        <v>45</v>
      </c>
      <c r="Q24" s="3"/>
      <c r="R24" s="3"/>
      <c r="S24" s="3"/>
    </row>
    <row r="25" spans="1:19" ht="15" x14ac:dyDescent="0.25">
      <c r="A25" s="7" t="s">
        <v>16</v>
      </c>
      <c r="B25" s="7" t="s">
        <v>21</v>
      </c>
      <c r="C25" s="7" t="s">
        <v>18</v>
      </c>
      <c r="D25" s="4">
        <v>10475230000160</v>
      </c>
      <c r="E25" s="8" t="s">
        <v>583</v>
      </c>
      <c r="F25" s="8" t="s">
        <v>29</v>
      </c>
      <c r="G25" s="7" t="s">
        <v>19</v>
      </c>
      <c r="H25" s="47" t="s">
        <v>207</v>
      </c>
      <c r="I25" s="47" t="s">
        <v>208</v>
      </c>
      <c r="J25" s="6">
        <v>70</v>
      </c>
      <c r="K25" s="8" t="s">
        <v>20</v>
      </c>
      <c r="L25" s="1" t="s">
        <v>583</v>
      </c>
      <c r="M25" s="5">
        <v>45</v>
      </c>
      <c r="Q25" s="3"/>
      <c r="R25" s="3"/>
      <c r="S25" s="3"/>
    </row>
    <row r="26" spans="1:19" ht="15" x14ac:dyDescent="0.25">
      <c r="A26" s="7" t="s">
        <v>16</v>
      </c>
      <c r="B26" s="7" t="s">
        <v>17</v>
      </c>
      <c r="C26" s="7" t="s">
        <v>18</v>
      </c>
      <c r="D26" s="4">
        <v>19803199000114</v>
      </c>
      <c r="E26" s="8" t="s">
        <v>587</v>
      </c>
      <c r="F26" s="8" t="s">
        <v>29</v>
      </c>
      <c r="G26" s="7" t="s">
        <v>19</v>
      </c>
      <c r="H26" s="47" t="s">
        <v>207</v>
      </c>
      <c r="I26" s="47" t="s">
        <v>208</v>
      </c>
      <c r="J26" s="6">
        <v>70</v>
      </c>
      <c r="K26" s="8" t="s">
        <v>20</v>
      </c>
      <c r="L26" s="1" t="s">
        <v>587</v>
      </c>
      <c r="M26" s="5">
        <v>50</v>
      </c>
      <c r="Q26" s="3"/>
      <c r="R26" s="3"/>
      <c r="S26" s="3"/>
    </row>
    <row r="27" spans="1:19" ht="15" x14ac:dyDescent="0.25">
      <c r="A27" s="7" t="s">
        <v>16</v>
      </c>
      <c r="B27" s="7" t="s">
        <v>21</v>
      </c>
      <c r="C27" s="7" t="s">
        <v>18</v>
      </c>
      <c r="D27" s="4">
        <v>19803199000114</v>
      </c>
      <c r="E27" s="8" t="s">
        <v>587</v>
      </c>
      <c r="F27" s="8" t="s">
        <v>29</v>
      </c>
      <c r="G27" s="7" t="s">
        <v>19</v>
      </c>
      <c r="H27" s="47" t="s">
        <v>207</v>
      </c>
      <c r="I27" s="47" t="s">
        <v>208</v>
      </c>
      <c r="J27" s="6">
        <v>70</v>
      </c>
      <c r="K27" s="8" t="s">
        <v>20</v>
      </c>
      <c r="L27" s="1" t="s">
        <v>587</v>
      </c>
      <c r="M27" s="5">
        <v>175</v>
      </c>
      <c r="Q27" s="3"/>
      <c r="R27" s="3"/>
      <c r="S27" s="3"/>
    </row>
    <row r="28" spans="1:19" ht="15" x14ac:dyDescent="0.25">
      <c r="A28" s="7" t="s">
        <v>16</v>
      </c>
      <c r="B28" s="7" t="s">
        <v>17</v>
      </c>
      <c r="C28" s="7" t="s">
        <v>18</v>
      </c>
      <c r="D28" s="4">
        <v>21371777000132</v>
      </c>
      <c r="E28" s="8" t="s">
        <v>589</v>
      </c>
      <c r="F28" s="8" t="s">
        <v>29</v>
      </c>
      <c r="G28" s="7" t="s">
        <v>19</v>
      </c>
      <c r="H28" s="47" t="s">
        <v>207</v>
      </c>
      <c r="I28" s="47" t="s">
        <v>208</v>
      </c>
      <c r="J28" s="6">
        <v>70</v>
      </c>
      <c r="K28" s="8" t="s">
        <v>20</v>
      </c>
      <c r="L28" s="1" t="s">
        <v>589</v>
      </c>
      <c r="M28" s="5">
        <v>175</v>
      </c>
      <c r="Q28" s="3"/>
      <c r="R28" s="3"/>
      <c r="S28" s="3"/>
    </row>
    <row r="29" spans="1:19" ht="15" x14ac:dyDescent="0.25">
      <c r="A29" s="7" t="s">
        <v>16</v>
      </c>
      <c r="B29" s="7" t="s">
        <v>21</v>
      </c>
      <c r="C29" s="7" t="s">
        <v>18</v>
      </c>
      <c r="D29" s="4">
        <v>21371777000132</v>
      </c>
      <c r="E29" s="8" t="s">
        <v>589</v>
      </c>
      <c r="F29" s="8" t="s">
        <v>29</v>
      </c>
      <c r="G29" s="7" t="s">
        <v>19</v>
      </c>
      <c r="H29" s="47" t="s">
        <v>207</v>
      </c>
      <c r="I29" s="47" t="s">
        <v>208</v>
      </c>
      <c r="J29" s="6">
        <v>70</v>
      </c>
      <c r="K29" s="8" t="s">
        <v>20</v>
      </c>
      <c r="L29" s="1" t="s">
        <v>589</v>
      </c>
      <c r="M29" s="5">
        <v>600</v>
      </c>
      <c r="Q29" s="3"/>
      <c r="R29" s="3"/>
      <c r="S29" s="3"/>
    </row>
    <row r="30" spans="1:19" ht="15" x14ac:dyDescent="0.25">
      <c r="A30" s="7" t="s">
        <v>16</v>
      </c>
      <c r="B30" s="7" t="s">
        <v>17</v>
      </c>
      <c r="C30" s="7" t="s">
        <v>18</v>
      </c>
      <c r="D30" s="4">
        <v>29435005002687</v>
      </c>
      <c r="E30" s="8" t="s">
        <v>593</v>
      </c>
      <c r="F30" s="8" t="s">
        <v>29</v>
      </c>
      <c r="G30" s="7" t="s">
        <v>19</v>
      </c>
      <c r="H30" s="47" t="s">
        <v>207</v>
      </c>
      <c r="I30" s="47" t="s">
        <v>208</v>
      </c>
      <c r="J30" s="6">
        <v>70</v>
      </c>
      <c r="K30" s="8" t="s">
        <v>20</v>
      </c>
      <c r="L30" s="1" t="s">
        <v>593</v>
      </c>
      <c r="M30" s="5">
        <v>500</v>
      </c>
      <c r="Q30" s="3"/>
      <c r="R30" s="3"/>
      <c r="S30" s="3"/>
    </row>
    <row r="31" spans="1:19" ht="15" x14ac:dyDescent="0.25">
      <c r="A31" s="7" t="s">
        <v>16</v>
      </c>
      <c r="B31" s="7" t="s">
        <v>21</v>
      </c>
      <c r="C31" s="7" t="s">
        <v>18</v>
      </c>
      <c r="D31" s="4">
        <v>29435005002687</v>
      </c>
      <c r="E31" s="8" t="s">
        <v>593</v>
      </c>
      <c r="F31" s="8" t="s">
        <v>29</v>
      </c>
      <c r="G31" s="7" t="s">
        <v>19</v>
      </c>
      <c r="H31" s="47" t="s">
        <v>207</v>
      </c>
      <c r="I31" s="47" t="s">
        <v>208</v>
      </c>
      <c r="J31" s="6">
        <v>70</v>
      </c>
      <c r="K31" s="8" t="s">
        <v>20</v>
      </c>
      <c r="L31" s="1" t="s">
        <v>593</v>
      </c>
      <c r="M31" s="5">
        <v>1350</v>
      </c>
      <c r="Q31" s="3"/>
      <c r="R31" s="3"/>
      <c r="S31" s="3"/>
    </row>
    <row r="32" spans="1:19" ht="15" x14ac:dyDescent="0.25">
      <c r="A32" s="7" t="s">
        <v>16</v>
      </c>
      <c r="B32" s="7" t="s">
        <v>17</v>
      </c>
      <c r="C32" s="7" t="s">
        <v>18</v>
      </c>
      <c r="D32" s="4">
        <v>29435005004540</v>
      </c>
      <c r="E32" s="8" t="s">
        <v>594</v>
      </c>
      <c r="F32" s="8" t="s">
        <v>29</v>
      </c>
      <c r="G32" s="7" t="s">
        <v>19</v>
      </c>
      <c r="H32" s="47" t="s">
        <v>207</v>
      </c>
      <c r="I32" s="47" t="s">
        <v>208</v>
      </c>
      <c r="J32" s="6">
        <v>70</v>
      </c>
      <c r="K32" s="8" t="s">
        <v>20</v>
      </c>
      <c r="L32" s="1" t="s">
        <v>594</v>
      </c>
      <c r="M32" s="5">
        <v>500</v>
      </c>
      <c r="Q32" s="3"/>
      <c r="R32" s="3"/>
      <c r="S32" s="3"/>
    </row>
    <row r="33" spans="1:19" ht="15" x14ac:dyDescent="0.25">
      <c r="A33" s="7" t="s">
        <v>16</v>
      </c>
      <c r="B33" s="7" t="s">
        <v>17</v>
      </c>
      <c r="C33" s="7" t="s">
        <v>18</v>
      </c>
      <c r="D33" s="4">
        <v>29435005009932</v>
      </c>
      <c r="E33" s="8" t="s">
        <v>595</v>
      </c>
      <c r="F33" s="8" t="s">
        <v>29</v>
      </c>
      <c r="G33" s="7" t="s">
        <v>19</v>
      </c>
      <c r="H33" s="47" t="s">
        <v>207</v>
      </c>
      <c r="I33" s="47" t="s">
        <v>208</v>
      </c>
      <c r="J33" s="6">
        <v>70</v>
      </c>
      <c r="K33" s="8" t="s">
        <v>20</v>
      </c>
      <c r="L33" s="1" t="s">
        <v>595</v>
      </c>
      <c r="M33" s="5">
        <v>350</v>
      </c>
      <c r="Q33" s="3"/>
      <c r="R33" s="3"/>
      <c r="S33" s="3"/>
    </row>
    <row r="34" spans="1:19" ht="15" x14ac:dyDescent="0.25">
      <c r="A34" s="7" t="s">
        <v>16</v>
      </c>
      <c r="B34" s="7" t="s">
        <v>21</v>
      </c>
      <c r="C34" s="7" t="s">
        <v>18</v>
      </c>
      <c r="D34" s="4">
        <v>29435005009932</v>
      </c>
      <c r="E34" s="8" t="s">
        <v>595</v>
      </c>
      <c r="F34" s="8" t="s">
        <v>29</v>
      </c>
      <c r="G34" s="7" t="s">
        <v>19</v>
      </c>
      <c r="H34" s="47" t="s">
        <v>207</v>
      </c>
      <c r="I34" s="47" t="s">
        <v>208</v>
      </c>
      <c r="J34" s="6">
        <v>70</v>
      </c>
      <c r="K34" s="8" t="s">
        <v>20</v>
      </c>
      <c r="L34" s="1" t="s">
        <v>595</v>
      </c>
      <c r="M34" s="5">
        <v>1700</v>
      </c>
      <c r="Q34" s="3"/>
      <c r="R34" s="3"/>
      <c r="S34" s="3"/>
    </row>
    <row r="35" spans="1:19" ht="15" x14ac:dyDescent="0.25">
      <c r="A35" s="7" t="s">
        <v>16</v>
      </c>
      <c r="B35" s="7" t="s">
        <v>17</v>
      </c>
      <c r="C35" s="7" t="s">
        <v>18</v>
      </c>
      <c r="D35" s="4">
        <v>43643139000409</v>
      </c>
      <c r="E35" s="8" t="s">
        <v>596</v>
      </c>
      <c r="F35" s="8" t="s">
        <v>29</v>
      </c>
      <c r="G35" s="7" t="s">
        <v>19</v>
      </c>
      <c r="H35" s="47" t="s">
        <v>207</v>
      </c>
      <c r="I35" s="47" t="s">
        <v>208</v>
      </c>
      <c r="J35" s="6">
        <v>70</v>
      </c>
      <c r="K35" s="8" t="s">
        <v>20</v>
      </c>
      <c r="L35" s="1" t="s">
        <v>596</v>
      </c>
      <c r="M35" s="5">
        <v>160</v>
      </c>
      <c r="Q35" s="3"/>
      <c r="R35" s="3"/>
      <c r="S35" s="3"/>
    </row>
    <row r="36" spans="1:19" ht="15" x14ac:dyDescent="0.25">
      <c r="A36" s="7" t="s">
        <v>16</v>
      </c>
      <c r="B36" s="7" t="s">
        <v>17</v>
      </c>
      <c r="C36" s="7" t="s">
        <v>18</v>
      </c>
      <c r="D36" s="4">
        <v>44649812005520</v>
      </c>
      <c r="E36" s="8" t="s">
        <v>598</v>
      </c>
      <c r="F36" s="8" t="s">
        <v>29</v>
      </c>
      <c r="G36" s="7" t="s">
        <v>19</v>
      </c>
      <c r="H36" s="47" t="s">
        <v>207</v>
      </c>
      <c r="I36" s="47" t="s">
        <v>208</v>
      </c>
      <c r="J36" s="6">
        <v>70</v>
      </c>
      <c r="K36" s="8" t="s">
        <v>20</v>
      </c>
      <c r="L36" s="1" t="s">
        <v>598</v>
      </c>
      <c r="M36" s="5">
        <v>10</v>
      </c>
      <c r="Q36" s="3"/>
      <c r="R36" s="3"/>
      <c r="S36" s="3"/>
    </row>
    <row r="37" spans="1:19" ht="15" x14ac:dyDescent="0.25">
      <c r="A37" s="7" t="s">
        <v>16</v>
      </c>
      <c r="B37" s="7" t="s">
        <v>17</v>
      </c>
      <c r="C37" s="7" t="s">
        <v>18</v>
      </c>
      <c r="D37" s="4">
        <v>51722957010226</v>
      </c>
      <c r="E37" s="8" t="s">
        <v>603</v>
      </c>
      <c r="F37" s="8" t="s">
        <v>29</v>
      </c>
      <c r="G37" s="7" t="s">
        <v>19</v>
      </c>
      <c r="H37" s="47" t="s">
        <v>207</v>
      </c>
      <c r="I37" s="47" t="s">
        <v>208</v>
      </c>
      <c r="J37" s="6">
        <v>70</v>
      </c>
      <c r="K37" s="8" t="s">
        <v>20</v>
      </c>
      <c r="L37" s="1" t="s">
        <v>603</v>
      </c>
      <c r="M37" s="5">
        <v>535</v>
      </c>
      <c r="Q37" s="3"/>
      <c r="R37" s="3"/>
      <c r="S37" s="3"/>
    </row>
    <row r="38" spans="1:19" ht="15" x14ac:dyDescent="0.25">
      <c r="A38" s="7" t="s">
        <v>16</v>
      </c>
      <c r="B38" s="7" t="s">
        <v>17</v>
      </c>
      <c r="C38" s="7" t="s">
        <v>18</v>
      </c>
      <c r="D38" s="4">
        <v>51722957012512</v>
      </c>
      <c r="E38" s="8" t="s">
        <v>604</v>
      </c>
      <c r="F38" s="8" t="s">
        <v>29</v>
      </c>
      <c r="G38" s="7" t="s">
        <v>19</v>
      </c>
      <c r="H38" s="47" t="s">
        <v>207</v>
      </c>
      <c r="I38" s="47" t="s">
        <v>208</v>
      </c>
      <c r="J38" s="6">
        <v>70</v>
      </c>
      <c r="K38" s="8" t="s">
        <v>20</v>
      </c>
      <c r="L38" s="1" t="s">
        <v>604</v>
      </c>
      <c r="M38" s="5">
        <v>65</v>
      </c>
      <c r="Q38" s="3"/>
      <c r="R38" s="3"/>
      <c r="S38" s="3"/>
    </row>
    <row r="39" spans="1:19" ht="15" x14ac:dyDescent="0.25">
      <c r="A39" s="7" t="s">
        <v>16</v>
      </c>
      <c r="B39" s="7" t="s">
        <v>17</v>
      </c>
      <c r="C39" s="7" t="s">
        <v>18</v>
      </c>
      <c r="D39" s="4">
        <v>57394710000160</v>
      </c>
      <c r="E39" s="8" t="s">
        <v>607</v>
      </c>
      <c r="F39" s="8" t="s">
        <v>29</v>
      </c>
      <c r="G39" s="7" t="s">
        <v>19</v>
      </c>
      <c r="H39" s="47" t="s">
        <v>207</v>
      </c>
      <c r="I39" s="47" t="s">
        <v>208</v>
      </c>
      <c r="J39" s="6">
        <v>70</v>
      </c>
      <c r="K39" s="8" t="s">
        <v>20</v>
      </c>
      <c r="L39" s="1" t="s">
        <v>607</v>
      </c>
      <c r="M39" s="5">
        <v>25</v>
      </c>
      <c r="Q39" s="3"/>
      <c r="R39" s="3"/>
      <c r="S39" s="3"/>
    </row>
    <row r="40" spans="1:19" ht="15" x14ac:dyDescent="0.25">
      <c r="A40" s="7" t="s">
        <v>16</v>
      </c>
      <c r="B40" s="7" t="s">
        <v>17</v>
      </c>
      <c r="C40" s="7" t="s">
        <v>18</v>
      </c>
      <c r="D40" s="4">
        <v>59481028000130</v>
      </c>
      <c r="E40" s="8" t="s">
        <v>608</v>
      </c>
      <c r="F40" s="8" t="s">
        <v>29</v>
      </c>
      <c r="G40" s="7" t="s">
        <v>19</v>
      </c>
      <c r="H40" s="47" t="s">
        <v>207</v>
      </c>
      <c r="I40" s="47" t="s">
        <v>208</v>
      </c>
      <c r="J40" s="6">
        <v>70</v>
      </c>
      <c r="K40" s="8" t="s">
        <v>20</v>
      </c>
      <c r="L40" s="1" t="s">
        <v>608</v>
      </c>
      <c r="M40" s="5">
        <v>10</v>
      </c>
      <c r="Q40" s="3"/>
      <c r="R40" s="3"/>
      <c r="S40" s="3"/>
    </row>
    <row r="41" spans="1:19" ht="15" x14ac:dyDescent="0.25">
      <c r="A41" s="7" t="s">
        <v>16</v>
      </c>
      <c r="B41" s="7" t="s">
        <v>17</v>
      </c>
      <c r="C41" s="7" t="s">
        <v>18</v>
      </c>
      <c r="D41" s="4">
        <v>60552098000111</v>
      </c>
      <c r="E41" s="8" t="s">
        <v>611</v>
      </c>
      <c r="F41" s="8" t="s">
        <v>29</v>
      </c>
      <c r="G41" s="7" t="s">
        <v>19</v>
      </c>
      <c r="H41" s="47" t="s">
        <v>207</v>
      </c>
      <c r="I41" s="47" t="s">
        <v>208</v>
      </c>
      <c r="J41" s="6">
        <v>70</v>
      </c>
      <c r="K41" s="8" t="s">
        <v>20</v>
      </c>
      <c r="L41" s="1" t="s">
        <v>611</v>
      </c>
      <c r="M41" s="5">
        <v>225</v>
      </c>
      <c r="Q41" s="3"/>
      <c r="R41" s="3"/>
      <c r="S41" s="3"/>
    </row>
    <row r="42" spans="1:19" ht="15" x14ac:dyDescent="0.25">
      <c r="A42" s="7" t="s">
        <v>16</v>
      </c>
      <c r="B42" s="7" t="s">
        <v>17</v>
      </c>
      <c r="C42" s="7" t="s">
        <v>18</v>
      </c>
      <c r="D42" s="4">
        <v>60726502000126</v>
      </c>
      <c r="E42" s="8" t="s">
        <v>613</v>
      </c>
      <c r="F42" s="8" t="s">
        <v>29</v>
      </c>
      <c r="G42" s="7" t="s">
        <v>19</v>
      </c>
      <c r="H42" s="47" t="s">
        <v>207</v>
      </c>
      <c r="I42" s="47" t="s">
        <v>208</v>
      </c>
      <c r="J42" s="6">
        <v>70</v>
      </c>
      <c r="K42" s="8" t="s">
        <v>20</v>
      </c>
      <c r="L42" s="1" t="s">
        <v>613</v>
      </c>
      <c r="M42" s="5">
        <v>390</v>
      </c>
      <c r="Q42" s="3"/>
      <c r="R42" s="3"/>
      <c r="S42" s="3"/>
    </row>
    <row r="43" spans="1:19" ht="15" x14ac:dyDescent="0.25">
      <c r="A43" s="7" t="s">
        <v>16</v>
      </c>
      <c r="B43" s="7" t="s">
        <v>17</v>
      </c>
      <c r="C43" s="7" t="s">
        <v>18</v>
      </c>
      <c r="D43" s="4">
        <v>60777901000116</v>
      </c>
      <c r="E43" s="8" t="s">
        <v>616</v>
      </c>
      <c r="F43" s="8" t="s">
        <v>29</v>
      </c>
      <c r="G43" s="7" t="s">
        <v>19</v>
      </c>
      <c r="H43" s="47" t="s">
        <v>207</v>
      </c>
      <c r="I43" s="47" t="s">
        <v>208</v>
      </c>
      <c r="J43" s="6">
        <v>70</v>
      </c>
      <c r="K43" s="8" t="s">
        <v>20</v>
      </c>
      <c r="L43" s="1" t="s">
        <v>616</v>
      </c>
      <c r="M43" s="5">
        <v>1650</v>
      </c>
      <c r="Q43" s="3"/>
      <c r="R43" s="3"/>
      <c r="S43" s="3"/>
    </row>
    <row r="44" spans="1:19" ht="15" x14ac:dyDescent="0.25">
      <c r="A44" s="7" t="s">
        <v>16</v>
      </c>
      <c r="B44" s="7" t="s">
        <v>17</v>
      </c>
      <c r="C44" s="7" t="s">
        <v>18</v>
      </c>
      <c r="D44" s="4">
        <v>60884855000316</v>
      </c>
      <c r="E44" s="8" t="s">
        <v>617</v>
      </c>
      <c r="F44" s="8" t="s">
        <v>29</v>
      </c>
      <c r="G44" s="7" t="s">
        <v>19</v>
      </c>
      <c r="H44" s="47" t="s">
        <v>207</v>
      </c>
      <c r="I44" s="47" t="s">
        <v>208</v>
      </c>
      <c r="J44" s="6">
        <v>70</v>
      </c>
      <c r="K44" s="8" t="s">
        <v>20</v>
      </c>
      <c r="L44" s="1" t="s">
        <v>617</v>
      </c>
      <c r="M44" s="5">
        <v>1930</v>
      </c>
      <c r="Q44" s="3"/>
      <c r="R44" s="3"/>
      <c r="S44" s="3"/>
    </row>
    <row r="45" spans="1:19" ht="15" x14ac:dyDescent="0.25">
      <c r="A45" s="7" t="s">
        <v>16</v>
      </c>
      <c r="B45" s="7" t="s">
        <v>17</v>
      </c>
      <c r="C45" s="7" t="s">
        <v>18</v>
      </c>
      <c r="D45" s="4">
        <v>60922168000771</v>
      </c>
      <c r="E45" s="8" t="s">
        <v>618</v>
      </c>
      <c r="F45" s="8" t="s">
        <v>29</v>
      </c>
      <c r="G45" s="7" t="s">
        <v>19</v>
      </c>
      <c r="H45" s="47" t="s">
        <v>207</v>
      </c>
      <c r="I45" s="47" t="s">
        <v>208</v>
      </c>
      <c r="J45" s="6">
        <v>70</v>
      </c>
      <c r="K45" s="8" t="s">
        <v>20</v>
      </c>
      <c r="L45" s="1" t="s">
        <v>618</v>
      </c>
      <c r="M45" s="5">
        <v>350</v>
      </c>
      <c r="Q45" s="3"/>
      <c r="R45" s="3"/>
      <c r="S45" s="3"/>
    </row>
    <row r="46" spans="1:19" ht="15" x14ac:dyDescent="0.25">
      <c r="A46" s="7" t="s">
        <v>16</v>
      </c>
      <c r="B46" s="7" t="s">
        <v>17</v>
      </c>
      <c r="C46" s="7" t="s">
        <v>18</v>
      </c>
      <c r="D46" s="4">
        <v>60922168004335</v>
      </c>
      <c r="E46" s="8" t="s">
        <v>619</v>
      </c>
      <c r="F46" s="8" t="s">
        <v>29</v>
      </c>
      <c r="G46" s="7" t="s">
        <v>19</v>
      </c>
      <c r="H46" s="47" t="s">
        <v>207</v>
      </c>
      <c r="I46" s="47" t="s">
        <v>208</v>
      </c>
      <c r="J46" s="6">
        <v>70</v>
      </c>
      <c r="K46" s="8" t="s">
        <v>20</v>
      </c>
      <c r="L46" s="1" t="s">
        <v>619</v>
      </c>
      <c r="M46" s="5">
        <v>5</v>
      </c>
      <c r="Q46" s="3"/>
      <c r="R46" s="3"/>
      <c r="S46" s="3"/>
    </row>
    <row r="47" spans="1:19" ht="15" x14ac:dyDescent="0.25">
      <c r="A47" s="7" t="s">
        <v>16</v>
      </c>
      <c r="B47" s="7" t="s">
        <v>17</v>
      </c>
      <c r="C47" s="7" t="s">
        <v>18</v>
      </c>
      <c r="D47" s="4">
        <v>60961422000155</v>
      </c>
      <c r="E47" s="8" t="s">
        <v>620</v>
      </c>
      <c r="F47" s="8" t="s">
        <v>29</v>
      </c>
      <c r="G47" s="7" t="s">
        <v>19</v>
      </c>
      <c r="H47" s="47" t="s">
        <v>207</v>
      </c>
      <c r="I47" s="47" t="s">
        <v>208</v>
      </c>
      <c r="J47" s="6">
        <v>70</v>
      </c>
      <c r="K47" s="8" t="s">
        <v>20</v>
      </c>
      <c r="L47" s="1" t="s">
        <v>620</v>
      </c>
      <c r="M47" s="5">
        <v>20</v>
      </c>
      <c r="Q47" s="3"/>
      <c r="R47" s="3"/>
      <c r="S47" s="3"/>
    </row>
    <row r="48" spans="1:19" ht="15" x14ac:dyDescent="0.25">
      <c r="A48" s="7" t="s">
        <v>16</v>
      </c>
      <c r="B48" s="7" t="s">
        <v>17</v>
      </c>
      <c r="C48" s="7" t="s">
        <v>18</v>
      </c>
      <c r="D48" s="4">
        <v>60961968000106</v>
      </c>
      <c r="E48" s="8" t="s">
        <v>621</v>
      </c>
      <c r="F48" s="8" t="s">
        <v>29</v>
      </c>
      <c r="G48" s="7" t="s">
        <v>19</v>
      </c>
      <c r="H48" s="47" t="s">
        <v>207</v>
      </c>
      <c r="I48" s="47" t="s">
        <v>208</v>
      </c>
      <c r="J48" s="6">
        <v>70</v>
      </c>
      <c r="K48" s="8" t="s">
        <v>20</v>
      </c>
      <c r="L48" s="1" t="s">
        <v>621</v>
      </c>
      <c r="M48" s="5">
        <v>1825</v>
      </c>
      <c r="Q48" s="3"/>
      <c r="R48" s="3"/>
      <c r="S48" s="3"/>
    </row>
    <row r="49" spans="1:19" ht="15" x14ac:dyDescent="0.25">
      <c r="A49" s="7" t="s">
        <v>16</v>
      </c>
      <c r="B49" s="7" t="s">
        <v>17</v>
      </c>
      <c r="C49" s="7" t="s">
        <v>18</v>
      </c>
      <c r="D49" s="4">
        <v>60975174000363</v>
      </c>
      <c r="E49" s="8" t="s">
        <v>623</v>
      </c>
      <c r="F49" s="8" t="s">
        <v>29</v>
      </c>
      <c r="G49" s="7" t="s">
        <v>19</v>
      </c>
      <c r="H49" s="47" t="s">
        <v>207</v>
      </c>
      <c r="I49" s="47" t="s">
        <v>208</v>
      </c>
      <c r="J49" s="6">
        <v>70</v>
      </c>
      <c r="K49" s="8" t="s">
        <v>20</v>
      </c>
      <c r="L49" s="1" t="s">
        <v>623</v>
      </c>
      <c r="M49" s="5">
        <v>150</v>
      </c>
      <c r="Q49" s="3"/>
      <c r="R49" s="3"/>
      <c r="S49" s="3"/>
    </row>
    <row r="50" spans="1:19" ht="15" x14ac:dyDescent="0.25">
      <c r="A50" s="7" t="s">
        <v>16</v>
      </c>
      <c r="B50" s="7" t="s">
        <v>17</v>
      </c>
      <c r="C50" s="7" t="s">
        <v>18</v>
      </c>
      <c r="D50" s="4">
        <v>61213674000240</v>
      </c>
      <c r="E50" s="8" t="s">
        <v>629</v>
      </c>
      <c r="F50" s="8" t="s">
        <v>29</v>
      </c>
      <c r="G50" s="7" t="s">
        <v>19</v>
      </c>
      <c r="H50" s="47" t="s">
        <v>207</v>
      </c>
      <c r="I50" s="47" t="s">
        <v>208</v>
      </c>
      <c r="J50" s="6">
        <v>70</v>
      </c>
      <c r="K50" s="8" t="s">
        <v>20</v>
      </c>
      <c r="L50" s="1" t="s">
        <v>629</v>
      </c>
      <c r="M50" s="5">
        <v>5</v>
      </c>
      <c r="Q50" s="3"/>
      <c r="R50" s="3"/>
      <c r="S50" s="3"/>
    </row>
    <row r="51" spans="1:19" ht="15" x14ac:dyDescent="0.25">
      <c r="A51" s="7" t="s">
        <v>16</v>
      </c>
      <c r="B51" s="7" t="s">
        <v>17</v>
      </c>
      <c r="C51" s="7" t="s">
        <v>18</v>
      </c>
      <c r="D51" s="4">
        <v>61590410000124</v>
      </c>
      <c r="E51" s="8" t="s">
        <v>630</v>
      </c>
      <c r="F51" s="8" t="s">
        <v>29</v>
      </c>
      <c r="G51" s="7" t="s">
        <v>19</v>
      </c>
      <c r="H51" s="47" t="s">
        <v>207</v>
      </c>
      <c r="I51" s="47" t="s">
        <v>208</v>
      </c>
      <c r="J51" s="6">
        <v>70</v>
      </c>
      <c r="K51" s="8" t="s">
        <v>20</v>
      </c>
      <c r="L51" s="1" t="s">
        <v>630</v>
      </c>
      <c r="M51" s="5">
        <v>2360</v>
      </c>
      <c r="Q51" s="3"/>
      <c r="R51" s="3"/>
      <c r="S51" s="3"/>
    </row>
    <row r="52" spans="1:19" ht="15" x14ac:dyDescent="0.25">
      <c r="A52" s="7" t="s">
        <v>16</v>
      </c>
      <c r="B52" s="7" t="s">
        <v>17</v>
      </c>
      <c r="C52" s="7" t="s">
        <v>18</v>
      </c>
      <c r="D52" s="4">
        <v>61849980001087</v>
      </c>
      <c r="E52" s="8" t="s">
        <v>632</v>
      </c>
      <c r="F52" s="8" t="s">
        <v>29</v>
      </c>
      <c r="G52" s="7" t="s">
        <v>19</v>
      </c>
      <c r="H52" s="47" t="s">
        <v>207</v>
      </c>
      <c r="I52" s="47" t="s">
        <v>208</v>
      </c>
      <c r="J52" s="6">
        <v>70</v>
      </c>
      <c r="K52" s="8" t="s">
        <v>20</v>
      </c>
      <c r="L52" s="1" t="s">
        <v>632</v>
      </c>
      <c r="M52" s="5">
        <v>40</v>
      </c>
      <c r="Q52" s="3"/>
      <c r="R52" s="3"/>
      <c r="S52" s="3"/>
    </row>
    <row r="53" spans="1:19" ht="15" x14ac:dyDescent="0.25">
      <c r="A53" s="7" t="s">
        <v>16</v>
      </c>
      <c r="B53" s="7" t="s">
        <v>21</v>
      </c>
      <c r="C53" s="7" t="s">
        <v>18</v>
      </c>
      <c r="D53" s="4">
        <v>43643139000409</v>
      </c>
      <c r="E53" s="8" t="s">
        <v>596</v>
      </c>
      <c r="F53" s="8" t="s">
        <v>29</v>
      </c>
      <c r="G53" s="7" t="s">
        <v>19</v>
      </c>
      <c r="H53" s="47" t="s">
        <v>207</v>
      </c>
      <c r="I53" s="47" t="s">
        <v>208</v>
      </c>
      <c r="J53" s="6">
        <v>70</v>
      </c>
      <c r="K53" s="8" t="s">
        <v>20</v>
      </c>
      <c r="L53" s="1" t="s">
        <v>596</v>
      </c>
      <c r="M53" s="5">
        <v>160</v>
      </c>
      <c r="Q53" s="3"/>
      <c r="R53" s="3"/>
      <c r="S53" s="3"/>
    </row>
    <row r="54" spans="1:19" ht="15" x14ac:dyDescent="0.25">
      <c r="A54" s="7" t="s">
        <v>16</v>
      </c>
      <c r="B54" s="7" t="s">
        <v>21</v>
      </c>
      <c r="C54" s="7" t="s">
        <v>18</v>
      </c>
      <c r="D54" s="4">
        <v>44649812005520</v>
      </c>
      <c r="E54" s="8" t="s">
        <v>598</v>
      </c>
      <c r="F54" s="8" t="s">
        <v>29</v>
      </c>
      <c r="G54" s="7" t="s">
        <v>19</v>
      </c>
      <c r="H54" s="47" t="s">
        <v>207</v>
      </c>
      <c r="I54" s="47" t="s">
        <v>208</v>
      </c>
      <c r="J54" s="6">
        <v>70</v>
      </c>
      <c r="K54" s="8" t="s">
        <v>20</v>
      </c>
      <c r="L54" s="1" t="s">
        <v>598</v>
      </c>
      <c r="M54" s="5">
        <v>150</v>
      </c>
      <c r="Q54" s="3"/>
      <c r="R54" s="3"/>
      <c r="S54" s="3"/>
    </row>
    <row r="55" spans="1:19" ht="15" x14ac:dyDescent="0.25">
      <c r="A55" s="7" t="s">
        <v>16</v>
      </c>
      <c r="B55" s="7" t="s">
        <v>21</v>
      </c>
      <c r="C55" s="7" t="s">
        <v>18</v>
      </c>
      <c r="D55" s="4">
        <v>46374500026231</v>
      </c>
      <c r="E55" s="8" t="s">
        <v>601</v>
      </c>
      <c r="F55" s="8" t="s">
        <v>29</v>
      </c>
      <c r="G55" s="7" t="s">
        <v>19</v>
      </c>
      <c r="H55" s="47" t="s">
        <v>207</v>
      </c>
      <c r="I55" s="47" t="s">
        <v>208</v>
      </c>
      <c r="J55" s="6">
        <v>70</v>
      </c>
      <c r="K55" s="8" t="s">
        <v>20</v>
      </c>
      <c r="L55" s="1" t="s">
        <v>601</v>
      </c>
      <c r="M55" s="5">
        <v>20285</v>
      </c>
      <c r="Q55" s="3"/>
      <c r="R55" s="3"/>
      <c r="S55" s="3"/>
    </row>
    <row r="56" spans="1:19" ht="15" x14ac:dyDescent="0.25">
      <c r="A56" s="7" t="s">
        <v>16</v>
      </c>
      <c r="B56" s="7" t="s">
        <v>21</v>
      </c>
      <c r="C56" s="7" t="s">
        <v>18</v>
      </c>
      <c r="D56" s="4">
        <v>51722957000506</v>
      </c>
      <c r="E56" s="8" t="s">
        <v>602</v>
      </c>
      <c r="F56" s="8" t="s">
        <v>29</v>
      </c>
      <c r="G56" s="7" t="s">
        <v>19</v>
      </c>
      <c r="H56" s="47" t="s">
        <v>207</v>
      </c>
      <c r="I56" s="47" t="s">
        <v>208</v>
      </c>
      <c r="J56" s="6">
        <v>70</v>
      </c>
      <c r="K56" s="8" t="s">
        <v>20</v>
      </c>
      <c r="L56" s="1" t="s">
        <v>602</v>
      </c>
      <c r="M56" s="5">
        <v>400</v>
      </c>
      <c r="Q56" s="3"/>
      <c r="R56" s="3"/>
      <c r="S56" s="3"/>
    </row>
    <row r="57" spans="1:19" ht="15" x14ac:dyDescent="0.25">
      <c r="A57" s="7" t="s">
        <v>16</v>
      </c>
      <c r="B57" s="7" t="s">
        <v>21</v>
      </c>
      <c r="C57" s="7" t="s">
        <v>18</v>
      </c>
      <c r="D57" s="4">
        <v>51722957010226</v>
      </c>
      <c r="E57" s="8" t="s">
        <v>603</v>
      </c>
      <c r="F57" s="8" t="s">
        <v>29</v>
      </c>
      <c r="G57" s="7" t="s">
        <v>19</v>
      </c>
      <c r="H57" s="47" t="s">
        <v>207</v>
      </c>
      <c r="I57" s="47" t="s">
        <v>208</v>
      </c>
      <c r="J57" s="6">
        <v>70</v>
      </c>
      <c r="K57" s="8" t="s">
        <v>20</v>
      </c>
      <c r="L57" s="1" t="s">
        <v>603</v>
      </c>
      <c r="M57" s="5">
        <v>950</v>
      </c>
      <c r="Q57" s="3"/>
      <c r="R57" s="3"/>
      <c r="S57" s="3"/>
    </row>
    <row r="58" spans="1:19" ht="15" x14ac:dyDescent="0.25">
      <c r="A58" s="7" t="s">
        <v>16</v>
      </c>
      <c r="B58" s="7" t="s">
        <v>21</v>
      </c>
      <c r="C58" s="7" t="s">
        <v>18</v>
      </c>
      <c r="D58" s="4">
        <v>51722957012512</v>
      </c>
      <c r="E58" s="8" t="s">
        <v>604</v>
      </c>
      <c r="F58" s="8" t="s">
        <v>29</v>
      </c>
      <c r="G58" s="7" t="s">
        <v>19</v>
      </c>
      <c r="H58" s="47" t="s">
        <v>207</v>
      </c>
      <c r="I58" s="47" t="s">
        <v>208</v>
      </c>
      <c r="J58" s="6">
        <v>70</v>
      </c>
      <c r="K58" s="8" t="s">
        <v>20</v>
      </c>
      <c r="L58" s="1" t="s">
        <v>604</v>
      </c>
      <c r="M58" s="5">
        <v>265</v>
      </c>
      <c r="Q58" s="3"/>
      <c r="R58" s="3"/>
      <c r="S58" s="3"/>
    </row>
    <row r="59" spans="1:19" ht="15" x14ac:dyDescent="0.25">
      <c r="A59" s="7" t="s">
        <v>16</v>
      </c>
      <c r="B59" s="7" t="s">
        <v>21</v>
      </c>
      <c r="C59" s="7" t="s">
        <v>18</v>
      </c>
      <c r="D59" s="4">
        <v>59481028000130</v>
      </c>
      <c r="E59" s="8" t="s">
        <v>608</v>
      </c>
      <c r="F59" s="8" t="s">
        <v>29</v>
      </c>
      <c r="G59" s="7" t="s">
        <v>19</v>
      </c>
      <c r="H59" s="47" t="s">
        <v>207</v>
      </c>
      <c r="I59" s="47" t="s">
        <v>208</v>
      </c>
      <c r="J59" s="6">
        <v>70</v>
      </c>
      <c r="K59" s="8" t="s">
        <v>20</v>
      </c>
      <c r="L59" s="1" t="s">
        <v>608</v>
      </c>
      <c r="M59" s="5">
        <v>30</v>
      </c>
      <c r="Q59" s="3"/>
      <c r="R59" s="3"/>
      <c r="S59" s="3"/>
    </row>
    <row r="60" spans="1:19" ht="15" x14ac:dyDescent="0.25">
      <c r="A60" s="7" t="s">
        <v>16</v>
      </c>
      <c r="B60" s="7" t="s">
        <v>21</v>
      </c>
      <c r="C60" s="7" t="s">
        <v>18</v>
      </c>
      <c r="D60" s="4">
        <v>60552098000111</v>
      </c>
      <c r="E60" s="8" t="s">
        <v>611</v>
      </c>
      <c r="F60" s="8" t="s">
        <v>29</v>
      </c>
      <c r="G60" s="7" t="s">
        <v>19</v>
      </c>
      <c r="H60" s="47" t="s">
        <v>207</v>
      </c>
      <c r="I60" s="47" t="s">
        <v>208</v>
      </c>
      <c r="J60" s="6">
        <v>70</v>
      </c>
      <c r="K60" s="8" t="s">
        <v>20</v>
      </c>
      <c r="L60" s="1" t="s">
        <v>611</v>
      </c>
      <c r="M60" s="5">
        <v>405</v>
      </c>
      <c r="Q60" s="3"/>
      <c r="R60" s="3"/>
      <c r="S60" s="3"/>
    </row>
    <row r="61" spans="1:19" ht="15" x14ac:dyDescent="0.25">
      <c r="A61" s="7" t="s">
        <v>16</v>
      </c>
      <c r="B61" s="7" t="s">
        <v>21</v>
      </c>
      <c r="C61" s="7" t="s">
        <v>18</v>
      </c>
      <c r="D61" s="4">
        <v>60726502000126</v>
      </c>
      <c r="E61" s="8" t="s">
        <v>613</v>
      </c>
      <c r="F61" s="8" t="s">
        <v>29</v>
      </c>
      <c r="G61" s="7" t="s">
        <v>19</v>
      </c>
      <c r="H61" s="47" t="s">
        <v>207</v>
      </c>
      <c r="I61" s="47" t="s">
        <v>208</v>
      </c>
      <c r="J61" s="6">
        <v>70</v>
      </c>
      <c r="K61" s="8" t="s">
        <v>20</v>
      </c>
      <c r="L61" s="1" t="s">
        <v>613</v>
      </c>
      <c r="M61" s="5">
        <v>830</v>
      </c>
      <c r="Q61" s="3"/>
      <c r="R61" s="3"/>
      <c r="S61" s="3"/>
    </row>
    <row r="62" spans="1:19" ht="15" x14ac:dyDescent="0.25">
      <c r="A62" s="7" t="s">
        <v>16</v>
      </c>
      <c r="B62" s="7" t="s">
        <v>21</v>
      </c>
      <c r="C62" s="7" t="s">
        <v>18</v>
      </c>
      <c r="D62" s="4">
        <v>60777901000116</v>
      </c>
      <c r="E62" s="8" t="s">
        <v>616</v>
      </c>
      <c r="F62" s="8" t="s">
        <v>29</v>
      </c>
      <c r="G62" s="7" t="s">
        <v>19</v>
      </c>
      <c r="H62" s="47" t="s">
        <v>207</v>
      </c>
      <c r="I62" s="47" t="s">
        <v>208</v>
      </c>
      <c r="J62" s="6">
        <v>70</v>
      </c>
      <c r="K62" s="8" t="s">
        <v>20</v>
      </c>
      <c r="L62" s="1" t="s">
        <v>616</v>
      </c>
      <c r="M62" s="5">
        <v>1000</v>
      </c>
      <c r="Q62" s="3"/>
      <c r="R62" s="3"/>
      <c r="S62" s="3"/>
    </row>
    <row r="63" spans="1:19" ht="15" x14ac:dyDescent="0.25">
      <c r="A63" s="7" t="s">
        <v>16</v>
      </c>
      <c r="B63" s="7" t="s">
        <v>21</v>
      </c>
      <c r="C63" s="7" t="s">
        <v>18</v>
      </c>
      <c r="D63" s="4">
        <v>60884855000316</v>
      </c>
      <c r="E63" s="8" t="s">
        <v>617</v>
      </c>
      <c r="F63" s="8" t="s">
        <v>29</v>
      </c>
      <c r="G63" s="7" t="s">
        <v>19</v>
      </c>
      <c r="H63" s="47" t="s">
        <v>207</v>
      </c>
      <c r="I63" s="47" t="s">
        <v>208</v>
      </c>
      <c r="J63" s="6">
        <v>70</v>
      </c>
      <c r="K63" s="8" t="s">
        <v>20</v>
      </c>
      <c r="L63" s="1" t="s">
        <v>617</v>
      </c>
      <c r="M63" s="5">
        <v>875</v>
      </c>
      <c r="Q63" s="3"/>
      <c r="R63" s="3"/>
      <c r="S63" s="3"/>
    </row>
    <row r="64" spans="1:19" ht="15" x14ac:dyDescent="0.25">
      <c r="A64" s="7" t="s">
        <v>16</v>
      </c>
      <c r="B64" s="7" t="s">
        <v>21</v>
      </c>
      <c r="C64" s="7" t="s">
        <v>18</v>
      </c>
      <c r="D64" s="4">
        <v>60922168000771</v>
      </c>
      <c r="E64" s="8" t="s">
        <v>618</v>
      </c>
      <c r="F64" s="8" t="s">
        <v>29</v>
      </c>
      <c r="G64" s="7" t="s">
        <v>19</v>
      </c>
      <c r="H64" s="47" t="s">
        <v>207</v>
      </c>
      <c r="I64" s="47" t="s">
        <v>208</v>
      </c>
      <c r="J64" s="6">
        <v>70</v>
      </c>
      <c r="K64" s="8" t="s">
        <v>20</v>
      </c>
      <c r="L64" s="1" t="s">
        <v>618</v>
      </c>
      <c r="M64" s="5">
        <v>105</v>
      </c>
      <c r="Q64" s="3"/>
      <c r="R64" s="3"/>
      <c r="S64" s="3"/>
    </row>
    <row r="65" spans="1:19" ht="15" x14ac:dyDescent="0.25">
      <c r="A65" s="7" t="s">
        <v>16</v>
      </c>
      <c r="B65" s="7" t="s">
        <v>21</v>
      </c>
      <c r="C65" s="7" t="s">
        <v>18</v>
      </c>
      <c r="D65" s="4">
        <v>60922168004335</v>
      </c>
      <c r="E65" s="8" t="s">
        <v>619</v>
      </c>
      <c r="F65" s="8" t="s">
        <v>29</v>
      </c>
      <c r="G65" s="7" t="s">
        <v>19</v>
      </c>
      <c r="H65" s="47" t="s">
        <v>207</v>
      </c>
      <c r="I65" s="47" t="s">
        <v>208</v>
      </c>
      <c r="J65" s="6">
        <v>70</v>
      </c>
      <c r="K65" s="8" t="s">
        <v>20</v>
      </c>
      <c r="L65" s="1" t="s">
        <v>619</v>
      </c>
      <c r="M65" s="5">
        <v>60</v>
      </c>
      <c r="Q65" s="3"/>
      <c r="R65" s="3"/>
      <c r="S65" s="3"/>
    </row>
    <row r="66" spans="1:19" ht="15" x14ac:dyDescent="0.25">
      <c r="A66" s="7" t="s">
        <v>16</v>
      </c>
      <c r="B66" s="7" t="s">
        <v>21</v>
      </c>
      <c r="C66" s="7" t="s">
        <v>18</v>
      </c>
      <c r="D66" s="4">
        <v>60961422000155</v>
      </c>
      <c r="E66" s="8" t="s">
        <v>620</v>
      </c>
      <c r="F66" s="8" t="s">
        <v>29</v>
      </c>
      <c r="G66" s="7" t="s">
        <v>19</v>
      </c>
      <c r="H66" s="47" t="s">
        <v>207</v>
      </c>
      <c r="I66" s="47" t="s">
        <v>208</v>
      </c>
      <c r="J66" s="6">
        <v>70</v>
      </c>
      <c r="K66" s="8" t="s">
        <v>20</v>
      </c>
      <c r="L66" s="1" t="s">
        <v>620</v>
      </c>
      <c r="M66" s="5">
        <v>20</v>
      </c>
      <c r="Q66" s="3"/>
      <c r="R66" s="3"/>
      <c r="S66" s="3"/>
    </row>
    <row r="67" spans="1:19" ht="15" x14ac:dyDescent="0.25">
      <c r="A67" s="7" t="s">
        <v>16</v>
      </c>
      <c r="B67" s="7" t="s">
        <v>21</v>
      </c>
      <c r="C67" s="7" t="s">
        <v>18</v>
      </c>
      <c r="D67" s="4">
        <v>60961968000106</v>
      </c>
      <c r="E67" s="8" t="s">
        <v>621</v>
      </c>
      <c r="F67" s="8" t="s">
        <v>29</v>
      </c>
      <c r="G67" s="7" t="s">
        <v>19</v>
      </c>
      <c r="H67" s="47" t="s">
        <v>207</v>
      </c>
      <c r="I67" s="47" t="s">
        <v>208</v>
      </c>
      <c r="J67" s="6">
        <v>70</v>
      </c>
      <c r="K67" s="8" t="s">
        <v>20</v>
      </c>
      <c r="L67" s="1" t="s">
        <v>621</v>
      </c>
      <c r="M67" s="5">
        <v>1500</v>
      </c>
      <c r="Q67" s="3"/>
      <c r="R67" s="3"/>
      <c r="S67" s="3"/>
    </row>
    <row r="68" spans="1:19" ht="15" x14ac:dyDescent="0.25">
      <c r="A68" s="7" t="s">
        <v>16</v>
      </c>
      <c r="B68" s="7" t="s">
        <v>21</v>
      </c>
      <c r="C68" s="7" t="s">
        <v>18</v>
      </c>
      <c r="D68" s="4">
        <v>61590410000124</v>
      </c>
      <c r="E68" s="8" t="s">
        <v>630</v>
      </c>
      <c r="F68" s="8" t="s">
        <v>29</v>
      </c>
      <c r="G68" s="7" t="s">
        <v>19</v>
      </c>
      <c r="H68" s="47" t="s">
        <v>207</v>
      </c>
      <c r="I68" s="47" t="s">
        <v>208</v>
      </c>
      <c r="J68" s="6">
        <v>70</v>
      </c>
      <c r="K68" s="8" t="s">
        <v>20</v>
      </c>
      <c r="L68" s="1" t="s">
        <v>630</v>
      </c>
      <c r="M68" s="5">
        <v>2670</v>
      </c>
      <c r="Q68" s="3"/>
      <c r="R68" s="3"/>
      <c r="S68" s="3"/>
    </row>
    <row r="69" spans="1:19" ht="15" x14ac:dyDescent="0.25">
      <c r="A69" s="7" t="s">
        <v>16</v>
      </c>
      <c r="B69" s="7" t="s">
        <v>22</v>
      </c>
      <c r="C69" s="7" t="s">
        <v>18</v>
      </c>
      <c r="D69" s="4">
        <v>2383508000494</v>
      </c>
      <c r="E69" s="8" t="s">
        <v>562</v>
      </c>
      <c r="F69" s="8" t="s">
        <v>29</v>
      </c>
      <c r="G69" s="7" t="s">
        <v>19</v>
      </c>
      <c r="H69" s="47" t="s">
        <v>207</v>
      </c>
      <c r="I69" s="47" t="s">
        <v>208</v>
      </c>
      <c r="J69" s="6">
        <v>70</v>
      </c>
      <c r="K69" s="8" t="s">
        <v>20</v>
      </c>
      <c r="L69" s="1" t="s">
        <v>562</v>
      </c>
      <c r="M69" s="5">
        <v>280</v>
      </c>
      <c r="Q69" s="3"/>
      <c r="R69" s="3"/>
      <c r="S69" s="3"/>
    </row>
    <row r="70" spans="1:19" ht="15" x14ac:dyDescent="0.25">
      <c r="A70" s="7" t="s">
        <v>16</v>
      </c>
      <c r="B70" s="7" t="s">
        <v>22</v>
      </c>
      <c r="C70" s="7" t="s">
        <v>18</v>
      </c>
      <c r="D70" s="4">
        <v>4036348000190</v>
      </c>
      <c r="E70" s="8" t="s">
        <v>565</v>
      </c>
      <c r="F70" s="8" t="s">
        <v>29</v>
      </c>
      <c r="G70" s="7" t="s">
        <v>19</v>
      </c>
      <c r="H70" s="47" t="s">
        <v>207</v>
      </c>
      <c r="I70" s="47" t="s">
        <v>208</v>
      </c>
      <c r="J70" s="6">
        <v>70</v>
      </c>
      <c r="K70" s="8" t="s">
        <v>20</v>
      </c>
      <c r="L70" s="1" t="s">
        <v>565</v>
      </c>
      <c r="M70" s="5">
        <v>365</v>
      </c>
      <c r="Q70" s="3"/>
      <c r="R70" s="3"/>
      <c r="S70" s="3"/>
    </row>
    <row r="71" spans="1:19" ht="15" x14ac:dyDescent="0.25">
      <c r="A71" s="7" t="s">
        <v>16</v>
      </c>
      <c r="B71" s="7" t="s">
        <v>22</v>
      </c>
      <c r="C71" s="7" t="s">
        <v>18</v>
      </c>
      <c r="D71" s="4">
        <v>5831510000124</v>
      </c>
      <c r="E71" s="8" t="s">
        <v>567</v>
      </c>
      <c r="F71" s="8" t="s">
        <v>29</v>
      </c>
      <c r="G71" s="7" t="s">
        <v>19</v>
      </c>
      <c r="H71" s="47" t="s">
        <v>207</v>
      </c>
      <c r="I71" s="47" t="s">
        <v>208</v>
      </c>
      <c r="J71" s="6">
        <v>70</v>
      </c>
      <c r="K71" s="8" t="s">
        <v>20</v>
      </c>
      <c r="L71" s="1" t="s">
        <v>567</v>
      </c>
      <c r="M71" s="5">
        <v>140</v>
      </c>
      <c r="Q71" s="3"/>
      <c r="R71" s="3"/>
      <c r="S71" s="3"/>
    </row>
    <row r="72" spans="1:19" ht="15" x14ac:dyDescent="0.25">
      <c r="A72" s="7" t="s">
        <v>16</v>
      </c>
      <c r="B72" s="7" t="s">
        <v>22</v>
      </c>
      <c r="C72" s="7" t="s">
        <v>18</v>
      </c>
      <c r="D72" s="4">
        <v>8100676000592</v>
      </c>
      <c r="E72" s="8" t="s">
        <v>572</v>
      </c>
      <c r="F72" s="8" t="s">
        <v>29</v>
      </c>
      <c r="G72" s="7" t="s">
        <v>19</v>
      </c>
      <c r="H72" s="47" t="s">
        <v>207</v>
      </c>
      <c r="I72" s="47" t="s">
        <v>208</v>
      </c>
      <c r="J72" s="6">
        <v>70</v>
      </c>
      <c r="K72" s="8" t="s">
        <v>20</v>
      </c>
      <c r="L72" s="1" t="s">
        <v>572</v>
      </c>
      <c r="M72" s="5">
        <v>490</v>
      </c>
      <c r="Q72" s="3"/>
      <c r="R72" s="3"/>
      <c r="S72" s="3"/>
    </row>
    <row r="73" spans="1:19" ht="15" x14ac:dyDescent="0.25">
      <c r="A73" s="7" t="s">
        <v>16</v>
      </c>
      <c r="B73" s="7" t="s">
        <v>22</v>
      </c>
      <c r="C73" s="7" t="s">
        <v>18</v>
      </c>
      <c r="D73" s="4">
        <v>8100676000835</v>
      </c>
      <c r="E73" s="8" t="s">
        <v>573</v>
      </c>
      <c r="F73" s="8" t="s">
        <v>29</v>
      </c>
      <c r="G73" s="7" t="s">
        <v>19</v>
      </c>
      <c r="H73" s="47" t="s">
        <v>207</v>
      </c>
      <c r="I73" s="47" t="s">
        <v>208</v>
      </c>
      <c r="J73" s="6">
        <v>70</v>
      </c>
      <c r="K73" s="8" t="s">
        <v>20</v>
      </c>
      <c r="L73" s="1" t="s">
        <v>573</v>
      </c>
      <c r="M73" s="5">
        <v>240</v>
      </c>
      <c r="Q73" s="3"/>
      <c r="R73" s="3"/>
      <c r="S73" s="3"/>
    </row>
    <row r="74" spans="1:19" ht="15" x14ac:dyDescent="0.25">
      <c r="A74" s="7" t="s">
        <v>16</v>
      </c>
      <c r="B74" s="7" t="s">
        <v>22</v>
      </c>
      <c r="C74" s="7" t="s">
        <v>18</v>
      </c>
      <c r="D74" s="4">
        <v>8100676002455</v>
      </c>
      <c r="E74" s="8" t="s">
        <v>574</v>
      </c>
      <c r="F74" s="8" t="s">
        <v>29</v>
      </c>
      <c r="G74" s="7" t="s">
        <v>19</v>
      </c>
      <c r="H74" s="47" t="s">
        <v>207</v>
      </c>
      <c r="I74" s="47" t="s">
        <v>208</v>
      </c>
      <c r="J74" s="6">
        <v>70</v>
      </c>
      <c r="K74" s="8" t="s">
        <v>20</v>
      </c>
      <c r="L74" s="1" t="s">
        <v>574</v>
      </c>
      <c r="M74" s="5">
        <v>825</v>
      </c>
      <c r="Q74" s="3"/>
      <c r="R74" s="3"/>
      <c r="S74" s="3"/>
    </row>
    <row r="75" spans="1:19" ht="15" x14ac:dyDescent="0.25">
      <c r="A75" s="7" t="s">
        <v>16</v>
      </c>
      <c r="B75" s="7" t="s">
        <v>22</v>
      </c>
      <c r="C75" s="7" t="s">
        <v>18</v>
      </c>
      <c r="D75" s="4">
        <v>8871521000126</v>
      </c>
      <c r="E75" s="8" t="s">
        <v>577</v>
      </c>
      <c r="F75" s="8" t="s">
        <v>29</v>
      </c>
      <c r="G75" s="7" t="s">
        <v>19</v>
      </c>
      <c r="H75" s="47" t="s">
        <v>207</v>
      </c>
      <c r="I75" s="47" t="s">
        <v>208</v>
      </c>
      <c r="J75" s="6">
        <v>70</v>
      </c>
      <c r="K75" s="8" t="s">
        <v>20</v>
      </c>
      <c r="L75" s="1" t="s">
        <v>577</v>
      </c>
      <c r="M75" s="5">
        <v>45</v>
      </c>
      <c r="Q75" s="3"/>
      <c r="R75" s="3"/>
      <c r="S75" s="3"/>
    </row>
    <row r="76" spans="1:19" ht="15" x14ac:dyDescent="0.25">
      <c r="A76" s="7" t="s">
        <v>16</v>
      </c>
      <c r="B76" s="7" t="s">
        <v>22</v>
      </c>
      <c r="C76" s="7" t="s">
        <v>18</v>
      </c>
      <c r="D76" s="4">
        <v>10468341000140</v>
      </c>
      <c r="E76" s="8" t="s">
        <v>581</v>
      </c>
      <c r="F76" s="8" t="s">
        <v>29</v>
      </c>
      <c r="G76" s="7" t="s">
        <v>19</v>
      </c>
      <c r="H76" s="47" t="s">
        <v>207</v>
      </c>
      <c r="I76" s="47" t="s">
        <v>208</v>
      </c>
      <c r="J76" s="6">
        <v>70</v>
      </c>
      <c r="K76" s="8" t="s">
        <v>20</v>
      </c>
      <c r="L76" s="1" t="s">
        <v>581</v>
      </c>
      <c r="M76" s="5">
        <v>305</v>
      </c>
      <c r="Q76" s="3"/>
      <c r="R76" s="3"/>
      <c r="S76" s="3"/>
    </row>
    <row r="77" spans="1:19" ht="15" x14ac:dyDescent="0.25">
      <c r="A77" s="7" t="s">
        <v>16</v>
      </c>
      <c r="B77" s="7" t="s">
        <v>22</v>
      </c>
      <c r="C77" s="7" t="s">
        <v>18</v>
      </c>
      <c r="D77" s="4">
        <v>10468341000220</v>
      </c>
      <c r="E77" s="8" t="s">
        <v>582</v>
      </c>
      <c r="F77" s="8" t="s">
        <v>29</v>
      </c>
      <c r="G77" s="7" t="s">
        <v>19</v>
      </c>
      <c r="H77" s="47" t="s">
        <v>207</v>
      </c>
      <c r="I77" s="47" t="s">
        <v>208</v>
      </c>
      <c r="J77" s="6">
        <v>70</v>
      </c>
      <c r="K77" s="8" t="s">
        <v>20</v>
      </c>
      <c r="L77" s="1" t="s">
        <v>582</v>
      </c>
      <c r="M77" s="5">
        <v>805</v>
      </c>
      <c r="Q77" s="3"/>
      <c r="R77" s="3"/>
      <c r="S77" s="3"/>
    </row>
    <row r="78" spans="1:19" ht="15" x14ac:dyDescent="0.25">
      <c r="A78" s="7" t="s">
        <v>16</v>
      </c>
      <c r="B78" s="7" t="s">
        <v>22</v>
      </c>
      <c r="C78" s="7" t="s">
        <v>18</v>
      </c>
      <c r="D78" s="4">
        <v>10475230000160</v>
      </c>
      <c r="E78" s="8" t="s">
        <v>583</v>
      </c>
      <c r="F78" s="8" t="s">
        <v>29</v>
      </c>
      <c r="G78" s="7" t="s">
        <v>19</v>
      </c>
      <c r="H78" s="47" t="s">
        <v>207</v>
      </c>
      <c r="I78" s="47" t="s">
        <v>208</v>
      </c>
      <c r="J78" s="6">
        <v>70</v>
      </c>
      <c r="K78" s="8" t="s">
        <v>20</v>
      </c>
      <c r="L78" s="1" t="s">
        <v>583</v>
      </c>
      <c r="M78" s="5">
        <v>25</v>
      </c>
      <c r="Q78" s="3"/>
      <c r="R78" s="3"/>
      <c r="S78" s="3"/>
    </row>
    <row r="79" spans="1:19" ht="15" x14ac:dyDescent="0.25">
      <c r="A79" s="7" t="s">
        <v>16</v>
      </c>
      <c r="B79" s="7" t="s">
        <v>22</v>
      </c>
      <c r="C79" s="7" t="s">
        <v>18</v>
      </c>
      <c r="D79" s="4">
        <v>19803199000114</v>
      </c>
      <c r="E79" s="8" t="s">
        <v>587</v>
      </c>
      <c r="F79" s="8" t="s">
        <v>29</v>
      </c>
      <c r="G79" s="7" t="s">
        <v>19</v>
      </c>
      <c r="H79" s="47" t="s">
        <v>207</v>
      </c>
      <c r="I79" s="47" t="s">
        <v>208</v>
      </c>
      <c r="J79" s="6">
        <v>70</v>
      </c>
      <c r="K79" s="8" t="s">
        <v>20</v>
      </c>
      <c r="L79" s="1" t="s">
        <v>587</v>
      </c>
      <c r="M79" s="5">
        <v>125</v>
      </c>
      <c r="Q79" s="3"/>
      <c r="R79" s="3"/>
      <c r="S79" s="3"/>
    </row>
    <row r="80" spans="1:19" ht="15" x14ac:dyDescent="0.25">
      <c r="A80" s="7" t="s">
        <v>16</v>
      </c>
      <c r="B80" s="7" t="s">
        <v>22</v>
      </c>
      <c r="C80" s="7" t="s">
        <v>18</v>
      </c>
      <c r="D80" s="4">
        <v>29435005002687</v>
      </c>
      <c r="E80" s="8" t="s">
        <v>593</v>
      </c>
      <c r="F80" s="8" t="s">
        <v>29</v>
      </c>
      <c r="G80" s="7" t="s">
        <v>19</v>
      </c>
      <c r="H80" s="47" t="s">
        <v>207</v>
      </c>
      <c r="I80" s="47" t="s">
        <v>208</v>
      </c>
      <c r="J80" s="6">
        <v>70</v>
      </c>
      <c r="K80" s="8" t="s">
        <v>20</v>
      </c>
      <c r="L80" s="1" t="s">
        <v>593</v>
      </c>
      <c r="M80" s="5">
        <v>1150</v>
      </c>
      <c r="Q80" s="3"/>
      <c r="R80" s="3"/>
      <c r="S80" s="3"/>
    </row>
    <row r="81" spans="1:19" ht="15" x14ac:dyDescent="0.25">
      <c r="A81" s="7" t="s">
        <v>16</v>
      </c>
      <c r="B81" s="7" t="s">
        <v>22</v>
      </c>
      <c r="C81" s="7" t="s">
        <v>18</v>
      </c>
      <c r="D81" s="4">
        <v>29435005004540</v>
      </c>
      <c r="E81" s="8" t="s">
        <v>594</v>
      </c>
      <c r="F81" s="8" t="s">
        <v>29</v>
      </c>
      <c r="G81" s="7" t="s">
        <v>19</v>
      </c>
      <c r="H81" s="47" t="s">
        <v>207</v>
      </c>
      <c r="I81" s="47" t="s">
        <v>208</v>
      </c>
      <c r="J81" s="6">
        <v>70</v>
      </c>
      <c r="K81" s="8" t="s">
        <v>20</v>
      </c>
      <c r="L81" s="1" t="s">
        <v>594</v>
      </c>
      <c r="M81" s="5">
        <v>180</v>
      </c>
      <c r="Q81" s="3"/>
      <c r="R81" s="3"/>
      <c r="S81" s="3"/>
    </row>
    <row r="82" spans="1:19" ht="15" x14ac:dyDescent="0.25">
      <c r="A82" s="7" t="s">
        <v>16</v>
      </c>
      <c r="B82" s="7" t="s">
        <v>22</v>
      </c>
      <c r="C82" s="7" t="s">
        <v>18</v>
      </c>
      <c r="D82" s="4">
        <v>29435005009932</v>
      </c>
      <c r="E82" s="8" t="s">
        <v>595</v>
      </c>
      <c r="F82" s="8" t="s">
        <v>29</v>
      </c>
      <c r="G82" s="7" t="s">
        <v>19</v>
      </c>
      <c r="H82" s="47" t="s">
        <v>207</v>
      </c>
      <c r="I82" s="47" t="s">
        <v>208</v>
      </c>
      <c r="J82" s="6">
        <v>70</v>
      </c>
      <c r="K82" s="8" t="s">
        <v>20</v>
      </c>
      <c r="L82" s="1" t="s">
        <v>595</v>
      </c>
      <c r="M82" s="5">
        <v>1050</v>
      </c>
      <c r="Q82" s="3"/>
      <c r="R82" s="3"/>
      <c r="S82" s="3"/>
    </row>
    <row r="83" spans="1:19" ht="15" x14ac:dyDescent="0.25">
      <c r="A83" s="7" t="s">
        <v>16</v>
      </c>
      <c r="B83" s="7" t="s">
        <v>22</v>
      </c>
      <c r="C83" s="7" t="s">
        <v>18</v>
      </c>
      <c r="D83" s="4">
        <v>46374500008845</v>
      </c>
      <c r="E83" s="8" t="s">
        <v>599</v>
      </c>
      <c r="F83" s="8" t="s">
        <v>29</v>
      </c>
      <c r="G83" s="7" t="s">
        <v>19</v>
      </c>
      <c r="H83" s="47" t="s">
        <v>207</v>
      </c>
      <c r="I83" s="47" t="s">
        <v>208</v>
      </c>
      <c r="J83" s="6">
        <v>70</v>
      </c>
      <c r="K83" s="8" t="s">
        <v>20</v>
      </c>
      <c r="L83" s="1" t="s">
        <v>599</v>
      </c>
      <c r="M83" s="5">
        <v>200</v>
      </c>
      <c r="Q83" s="3"/>
      <c r="R83" s="3"/>
      <c r="S83" s="3"/>
    </row>
    <row r="84" spans="1:19" ht="15" x14ac:dyDescent="0.25">
      <c r="A84" s="7" t="s">
        <v>16</v>
      </c>
      <c r="B84" s="7" t="s">
        <v>22</v>
      </c>
      <c r="C84" s="7" t="s">
        <v>18</v>
      </c>
      <c r="D84" s="4">
        <v>46374500010823</v>
      </c>
      <c r="E84" s="8" t="s">
        <v>600</v>
      </c>
      <c r="F84" s="8" t="s">
        <v>29</v>
      </c>
      <c r="G84" s="7" t="s">
        <v>19</v>
      </c>
      <c r="H84" s="47" t="s">
        <v>207</v>
      </c>
      <c r="I84" s="47" t="s">
        <v>208</v>
      </c>
      <c r="J84" s="6">
        <v>70</v>
      </c>
      <c r="K84" s="8" t="s">
        <v>20</v>
      </c>
      <c r="L84" s="1" t="s">
        <v>600</v>
      </c>
      <c r="M84" s="5">
        <v>150</v>
      </c>
      <c r="Q84" s="3"/>
      <c r="R84" s="3"/>
      <c r="S84" s="3"/>
    </row>
    <row r="85" spans="1:19" ht="15" x14ac:dyDescent="0.25">
      <c r="A85" s="7" t="s">
        <v>16</v>
      </c>
      <c r="B85" s="7" t="s">
        <v>22</v>
      </c>
      <c r="C85" s="7" t="s">
        <v>18</v>
      </c>
      <c r="D85" s="4">
        <v>51722957000506</v>
      </c>
      <c r="E85" s="8" t="s">
        <v>602</v>
      </c>
      <c r="F85" s="8" t="s">
        <v>29</v>
      </c>
      <c r="G85" s="7" t="s">
        <v>19</v>
      </c>
      <c r="H85" s="47" t="s">
        <v>207</v>
      </c>
      <c r="I85" s="47" t="s">
        <v>208</v>
      </c>
      <c r="J85" s="6">
        <v>70</v>
      </c>
      <c r="K85" s="8" t="s">
        <v>20</v>
      </c>
      <c r="L85" s="1" t="s">
        <v>602</v>
      </c>
      <c r="M85" s="5">
        <v>1170</v>
      </c>
      <c r="Q85" s="3"/>
      <c r="R85" s="3"/>
      <c r="S85" s="3"/>
    </row>
    <row r="86" spans="1:19" ht="15" x14ac:dyDescent="0.25">
      <c r="A86" s="7" t="s">
        <v>16</v>
      </c>
      <c r="B86" s="7" t="s">
        <v>22</v>
      </c>
      <c r="C86" s="7" t="s">
        <v>18</v>
      </c>
      <c r="D86" s="4">
        <v>51722957010226</v>
      </c>
      <c r="E86" s="8" t="s">
        <v>603</v>
      </c>
      <c r="F86" s="8" t="s">
        <v>29</v>
      </c>
      <c r="G86" s="7" t="s">
        <v>19</v>
      </c>
      <c r="H86" s="47" t="s">
        <v>207</v>
      </c>
      <c r="I86" s="47" t="s">
        <v>208</v>
      </c>
      <c r="J86" s="6">
        <v>70</v>
      </c>
      <c r="K86" s="8" t="s">
        <v>20</v>
      </c>
      <c r="L86" s="1" t="s">
        <v>603</v>
      </c>
      <c r="M86" s="5">
        <v>1125</v>
      </c>
      <c r="Q86" s="3"/>
      <c r="R86" s="3"/>
      <c r="S86" s="3"/>
    </row>
    <row r="87" spans="1:19" ht="15" x14ac:dyDescent="0.25">
      <c r="A87" s="7" t="s">
        <v>16</v>
      </c>
      <c r="B87" s="7" t="s">
        <v>22</v>
      </c>
      <c r="C87" s="7" t="s">
        <v>18</v>
      </c>
      <c r="D87" s="4">
        <v>51722957012512</v>
      </c>
      <c r="E87" s="8" t="s">
        <v>604</v>
      </c>
      <c r="F87" s="8" t="s">
        <v>29</v>
      </c>
      <c r="G87" s="7" t="s">
        <v>19</v>
      </c>
      <c r="H87" s="47" t="s">
        <v>207</v>
      </c>
      <c r="I87" s="47" t="s">
        <v>208</v>
      </c>
      <c r="J87" s="6">
        <v>70</v>
      </c>
      <c r="K87" s="8" t="s">
        <v>20</v>
      </c>
      <c r="L87" s="1" t="s">
        <v>604</v>
      </c>
      <c r="M87" s="5">
        <v>90</v>
      </c>
      <c r="Q87" s="3"/>
      <c r="R87" s="3"/>
      <c r="S87" s="3"/>
    </row>
    <row r="88" spans="1:19" ht="15" x14ac:dyDescent="0.25">
      <c r="A88" s="7" t="s">
        <v>16</v>
      </c>
      <c r="B88" s="7" t="s">
        <v>22</v>
      </c>
      <c r="C88" s="7" t="s">
        <v>18</v>
      </c>
      <c r="D88" s="4">
        <v>56577059000100</v>
      </c>
      <c r="E88" s="8" t="s">
        <v>605</v>
      </c>
      <c r="F88" s="8" t="s">
        <v>29</v>
      </c>
      <c r="G88" s="7" t="s">
        <v>19</v>
      </c>
      <c r="H88" s="47" t="s">
        <v>207</v>
      </c>
      <c r="I88" s="47" t="s">
        <v>208</v>
      </c>
      <c r="J88" s="6">
        <v>70</v>
      </c>
      <c r="K88" s="8" t="s">
        <v>20</v>
      </c>
      <c r="L88" s="1" t="s">
        <v>605</v>
      </c>
      <c r="M88" s="5">
        <v>135</v>
      </c>
      <c r="Q88" s="3"/>
      <c r="R88" s="3"/>
      <c r="S88" s="3"/>
    </row>
    <row r="89" spans="1:19" ht="15" x14ac:dyDescent="0.25">
      <c r="A89" s="7" t="s">
        <v>16</v>
      </c>
      <c r="B89" s="7" t="s">
        <v>22</v>
      </c>
      <c r="C89" s="7" t="s">
        <v>18</v>
      </c>
      <c r="D89" s="4">
        <v>59481028000130</v>
      </c>
      <c r="E89" s="8" t="s">
        <v>608</v>
      </c>
      <c r="F89" s="8" t="s">
        <v>29</v>
      </c>
      <c r="G89" s="7" t="s">
        <v>19</v>
      </c>
      <c r="H89" s="47" t="s">
        <v>207</v>
      </c>
      <c r="I89" s="47" t="s">
        <v>208</v>
      </c>
      <c r="J89" s="6">
        <v>70</v>
      </c>
      <c r="K89" s="8" t="s">
        <v>20</v>
      </c>
      <c r="L89" s="1" t="s">
        <v>608</v>
      </c>
      <c r="M89" s="5">
        <v>30</v>
      </c>
      <c r="Q89" s="3"/>
      <c r="R89" s="3"/>
      <c r="S89" s="3"/>
    </row>
    <row r="90" spans="1:19" ht="15" x14ac:dyDescent="0.25">
      <c r="A90" s="7" t="s">
        <v>16</v>
      </c>
      <c r="B90" s="7" t="s">
        <v>22</v>
      </c>
      <c r="C90" s="7" t="s">
        <v>18</v>
      </c>
      <c r="D90" s="4">
        <v>60552098000111</v>
      </c>
      <c r="E90" s="8" t="s">
        <v>611</v>
      </c>
      <c r="F90" s="8" t="s">
        <v>29</v>
      </c>
      <c r="G90" s="7" t="s">
        <v>19</v>
      </c>
      <c r="H90" s="47" t="s">
        <v>207</v>
      </c>
      <c r="I90" s="47" t="s">
        <v>208</v>
      </c>
      <c r="J90" s="6">
        <v>70</v>
      </c>
      <c r="K90" s="8" t="s">
        <v>20</v>
      </c>
      <c r="L90" s="1" t="s">
        <v>611</v>
      </c>
      <c r="M90" s="5">
        <v>75</v>
      </c>
      <c r="Q90" s="3"/>
      <c r="R90" s="3"/>
      <c r="S90" s="3"/>
    </row>
    <row r="91" spans="1:19" ht="15" x14ac:dyDescent="0.25">
      <c r="A91" s="7" t="s">
        <v>16</v>
      </c>
      <c r="B91" s="7" t="s">
        <v>22</v>
      </c>
      <c r="C91" s="7" t="s">
        <v>18</v>
      </c>
      <c r="D91" s="4">
        <v>60678604000113</v>
      </c>
      <c r="E91" s="8" t="s">
        <v>612</v>
      </c>
      <c r="F91" s="8" t="s">
        <v>29</v>
      </c>
      <c r="G91" s="7" t="s">
        <v>19</v>
      </c>
      <c r="H91" s="47" t="s">
        <v>207</v>
      </c>
      <c r="I91" s="47" t="s">
        <v>208</v>
      </c>
      <c r="J91" s="6">
        <v>70</v>
      </c>
      <c r="K91" s="8" t="s">
        <v>20</v>
      </c>
      <c r="L91" s="1" t="s">
        <v>612</v>
      </c>
      <c r="M91" s="5">
        <v>200</v>
      </c>
      <c r="Q91" s="3"/>
      <c r="R91" s="3"/>
      <c r="S91" s="3"/>
    </row>
    <row r="92" spans="1:19" ht="15" x14ac:dyDescent="0.25">
      <c r="A92" s="7" t="s">
        <v>16</v>
      </c>
      <c r="B92" s="7" t="s">
        <v>22</v>
      </c>
      <c r="C92" s="7" t="s">
        <v>18</v>
      </c>
      <c r="D92" s="4">
        <v>60726502000126</v>
      </c>
      <c r="E92" s="8" t="s">
        <v>613</v>
      </c>
      <c r="F92" s="8" t="s">
        <v>29</v>
      </c>
      <c r="G92" s="7" t="s">
        <v>19</v>
      </c>
      <c r="H92" s="47" t="s">
        <v>207</v>
      </c>
      <c r="I92" s="47" t="s">
        <v>208</v>
      </c>
      <c r="J92" s="6">
        <v>70</v>
      </c>
      <c r="K92" s="8" t="s">
        <v>20</v>
      </c>
      <c r="L92" s="1" t="s">
        <v>613</v>
      </c>
      <c r="M92" s="5">
        <v>535</v>
      </c>
      <c r="Q92" s="3"/>
      <c r="R92" s="3"/>
      <c r="S92" s="3"/>
    </row>
    <row r="93" spans="1:19" ht="15" x14ac:dyDescent="0.25">
      <c r="A93" s="7" t="s">
        <v>16</v>
      </c>
      <c r="B93" s="7" t="s">
        <v>22</v>
      </c>
      <c r="C93" s="7" t="s">
        <v>18</v>
      </c>
      <c r="D93" s="4">
        <v>60777901000116</v>
      </c>
      <c r="E93" s="8" t="s">
        <v>616</v>
      </c>
      <c r="F93" s="8" t="s">
        <v>29</v>
      </c>
      <c r="G93" s="7" t="s">
        <v>19</v>
      </c>
      <c r="H93" s="47" t="s">
        <v>207</v>
      </c>
      <c r="I93" s="47" t="s">
        <v>208</v>
      </c>
      <c r="J93" s="6">
        <v>70</v>
      </c>
      <c r="K93" s="8" t="s">
        <v>20</v>
      </c>
      <c r="L93" s="1" t="s">
        <v>616</v>
      </c>
      <c r="M93" s="5">
        <v>1400</v>
      </c>
      <c r="Q93" s="3"/>
      <c r="R93" s="3"/>
      <c r="S93" s="3"/>
    </row>
    <row r="94" spans="1:19" ht="15" x14ac:dyDescent="0.25">
      <c r="A94" s="7" t="s">
        <v>16</v>
      </c>
      <c r="B94" s="7" t="s">
        <v>22</v>
      </c>
      <c r="C94" s="7" t="s">
        <v>18</v>
      </c>
      <c r="D94" s="4">
        <v>60884855000316</v>
      </c>
      <c r="E94" s="8" t="s">
        <v>617</v>
      </c>
      <c r="F94" s="8" t="s">
        <v>29</v>
      </c>
      <c r="G94" s="7" t="s">
        <v>19</v>
      </c>
      <c r="H94" s="47" t="s">
        <v>207</v>
      </c>
      <c r="I94" s="47" t="s">
        <v>208</v>
      </c>
      <c r="J94" s="6">
        <v>70</v>
      </c>
      <c r="K94" s="8" t="s">
        <v>20</v>
      </c>
      <c r="L94" s="1" t="s">
        <v>617</v>
      </c>
      <c r="M94" s="5">
        <v>2130</v>
      </c>
      <c r="Q94" s="3"/>
      <c r="R94" s="3"/>
      <c r="S94" s="3"/>
    </row>
    <row r="95" spans="1:19" ht="15" x14ac:dyDescent="0.25">
      <c r="A95" s="7" t="s">
        <v>16</v>
      </c>
      <c r="B95" s="7" t="s">
        <v>22</v>
      </c>
      <c r="C95" s="7" t="s">
        <v>18</v>
      </c>
      <c r="D95" s="4">
        <v>60922168004335</v>
      </c>
      <c r="E95" s="8" t="s">
        <v>619</v>
      </c>
      <c r="F95" s="8" t="s">
        <v>29</v>
      </c>
      <c r="G95" s="7" t="s">
        <v>19</v>
      </c>
      <c r="H95" s="47" t="s">
        <v>207</v>
      </c>
      <c r="I95" s="47" t="s">
        <v>208</v>
      </c>
      <c r="J95" s="6">
        <v>70</v>
      </c>
      <c r="K95" s="8" t="s">
        <v>20</v>
      </c>
      <c r="L95" s="1" t="s">
        <v>619</v>
      </c>
      <c r="M95" s="5">
        <v>10</v>
      </c>
      <c r="Q95" s="3"/>
      <c r="R95" s="3"/>
      <c r="S95" s="3"/>
    </row>
    <row r="96" spans="1:19" ht="15" x14ac:dyDescent="0.25">
      <c r="A96" s="7" t="s">
        <v>16</v>
      </c>
      <c r="B96" s="7" t="s">
        <v>22</v>
      </c>
      <c r="C96" s="7" t="s">
        <v>18</v>
      </c>
      <c r="D96" s="4">
        <v>60961422000155</v>
      </c>
      <c r="E96" s="8" t="s">
        <v>620</v>
      </c>
      <c r="F96" s="8" t="s">
        <v>29</v>
      </c>
      <c r="G96" s="7" t="s">
        <v>19</v>
      </c>
      <c r="H96" s="47" t="s">
        <v>207</v>
      </c>
      <c r="I96" s="47" t="s">
        <v>208</v>
      </c>
      <c r="J96" s="6">
        <v>70</v>
      </c>
      <c r="K96" s="8" t="s">
        <v>20</v>
      </c>
      <c r="L96" s="1" t="s">
        <v>620</v>
      </c>
      <c r="M96" s="5">
        <v>20</v>
      </c>
      <c r="Q96" s="3"/>
      <c r="R96" s="3"/>
      <c r="S96" s="3"/>
    </row>
    <row r="97" spans="1:19" ht="15" x14ac:dyDescent="0.25">
      <c r="A97" s="7" t="s">
        <v>16</v>
      </c>
      <c r="B97" s="7" t="s">
        <v>22</v>
      </c>
      <c r="C97" s="7" t="s">
        <v>18</v>
      </c>
      <c r="D97" s="4">
        <v>61590410000124</v>
      </c>
      <c r="E97" s="8" t="s">
        <v>630</v>
      </c>
      <c r="F97" s="8" t="s">
        <v>29</v>
      </c>
      <c r="G97" s="7" t="s">
        <v>19</v>
      </c>
      <c r="H97" s="47" t="s">
        <v>207</v>
      </c>
      <c r="I97" s="47" t="s">
        <v>208</v>
      </c>
      <c r="J97" s="6">
        <v>70</v>
      </c>
      <c r="K97" s="8" t="s">
        <v>20</v>
      </c>
      <c r="L97" s="1" t="s">
        <v>630</v>
      </c>
      <c r="M97" s="5">
        <v>1745</v>
      </c>
      <c r="Q97" s="3"/>
      <c r="R97" s="3"/>
      <c r="S97" s="3"/>
    </row>
    <row r="98" spans="1:19" ht="15" x14ac:dyDescent="0.25">
      <c r="A98" s="7" t="s">
        <v>16</v>
      </c>
      <c r="B98" s="7" t="s">
        <v>23</v>
      </c>
      <c r="C98" s="7" t="s">
        <v>24</v>
      </c>
      <c r="D98" s="4">
        <v>2383508000494</v>
      </c>
      <c r="E98" s="8" t="s">
        <v>562</v>
      </c>
      <c r="F98" s="8" t="s">
        <v>29</v>
      </c>
      <c r="G98" s="7" t="s">
        <v>19</v>
      </c>
      <c r="H98" s="47" t="s">
        <v>207</v>
      </c>
      <c r="I98" s="47" t="s">
        <v>208</v>
      </c>
      <c r="J98" s="6">
        <v>70</v>
      </c>
      <c r="K98" s="8" t="s">
        <v>20</v>
      </c>
      <c r="L98" s="1" t="s">
        <v>562</v>
      </c>
      <c r="M98" s="5">
        <v>160</v>
      </c>
      <c r="Q98" s="3"/>
      <c r="R98" s="3"/>
      <c r="S98" s="3"/>
    </row>
    <row r="99" spans="1:19" ht="15" x14ac:dyDescent="0.25">
      <c r="A99" s="7" t="s">
        <v>16</v>
      </c>
      <c r="B99" s="7" t="s">
        <v>23</v>
      </c>
      <c r="C99" s="7" t="s">
        <v>24</v>
      </c>
      <c r="D99" s="4">
        <v>4036348000190</v>
      </c>
      <c r="E99" s="8" t="s">
        <v>565</v>
      </c>
      <c r="F99" s="8" t="s">
        <v>29</v>
      </c>
      <c r="G99" s="7" t="s">
        <v>19</v>
      </c>
      <c r="H99" s="47" t="s">
        <v>207</v>
      </c>
      <c r="I99" s="47" t="s">
        <v>208</v>
      </c>
      <c r="J99" s="6">
        <v>70</v>
      </c>
      <c r="K99" s="8" t="s">
        <v>20</v>
      </c>
      <c r="L99" s="1" t="s">
        <v>565</v>
      </c>
      <c r="M99" s="5">
        <v>330</v>
      </c>
      <c r="Q99" s="3"/>
      <c r="R99" s="3"/>
      <c r="S99" s="3"/>
    </row>
    <row r="100" spans="1:19" ht="15" x14ac:dyDescent="0.25">
      <c r="A100" s="7" t="s">
        <v>16</v>
      </c>
      <c r="B100" s="7" t="s">
        <v>23</v>
      </c>
      <c r="C100" s="7" t="s">
        <v>24</v>
      </c>
      <c r="D100" s="4">
        <v>5831510000124</v>
      </c>
      <c r="E100" s="8" t="s">
        <v>567</v>
      </c>
      <c r="F100" s="8" t="s">
        <v>29</v>
      </c>
      <c r="G100" s="7" t="s">
        <v>19</v>
      </c>
      <c r="H100" s="47" t="s">
        <v>207</v>
      </c>
      <c r="I100" s="47" t="s">
        <v>208</v>
      </c>
      <c r="J100" s="6">
        <v>70</v>
      </c>
      <c r="K100" s="8" t="s">
        <v>20</v>
      </c>
      <c r="L100" s="1" t="s">
        <v>567</v>
      </c>
      <c r="M100" s="5">
        <v>135</v>
      </c>
      <c r="Q100" s="3"/>
      <c r="R100" s="3"/>
      <c r="S100" s="3"/>
    </row>
    <row r="101" spans="1:19" ht="15" x14ac:dyDescent="0.25">
      <c r="A101" s="7" t="s">
        <v>16</v>
      </c>
      <c r="B101" s="7" t="s">
        <v>23</v>
      </c>
      <c r="C101" s="7" t="s">
        <v>24</v>
      </c>
      <c r="D101" s="4">
        <v>8100676000592</v>
      </c>
      <c r="E101" s="8" t="s">
        <v>572</v>
      </c>
      <c r="F101" s="8" t="s">
        <v>29</v>
      </c>
      <c r="G101" s="7" t="s">
        <v>19</v>
      </c>
      <c r="H101" s="47" t="s">
        <v>207</v>
      </c>
      <c r="I101" s="47" t="s">
        <v>208</v>
      </c>
      <c r="J101" s="6">
        <v>70</v>
      </c>
      <c r="K101" s="8" t="s">
        <v>20</v>
      </c>
      <c r="L101" s="1" t="s">
        <v>572</v>
      </c>
      <c r="M101" s="5">
        <v>300</v>
      </c>
      <c r="Q101" s="3"/>
      <c r="R101" s="3"/>
      <c r="S101" s="3"/>
    </row>
    <row r="102" spans="1:19" ht="15" x14ac:dyDescent="0.25">
      <c r="A102" s="7" t="s">
        <v>16</v>
      </c>
      <c r="B102" s="7" t="s">
        <v>23</v>
      </c>
      <c r="C102" s="7" t="s">
        <v>24</v>
      </c>
      <c r="D102" s="4">
        <v>8871521000126</v>
      </c>
      <c r="E102" s="8" t="s">
        <v>577</v>
      </c>
      <c r="F102" s="8" t="s">
        <v>29</v>
      </c>
      <c r="G102" s="7" t="s">
        <v>19</v>
      </c>
      <c r="H102" s="47" t="s">
        <v>207</v>
      </c>
      <c r="I102" s="47" t="s">
        <v>208</v>
      </c>
      <c r="J102" s="6">
        <v>70</v>
      </c>
      <c r="K102" s="8" t="s">
        <v>20</v>
      </c>
      <c r="L102" s="1" t="s">
        <v>577</v>
      </c>
      <c r="M102" s="5">
        <v>870</v>
      </c>
      <c r="Q102" s="3"/>
      <c r="R102" s="3"/>
      <c r="S102" s="3"/>
    </row>
    <row r="103" spans="1:19" ht="15" x14ac:dyDescent="0.25">
      <c r="A103" s="7" t="s">
        <v>16</v>
      </c>
      <c r="B103" s="7" t="s">
        <v>23</v>
      </c>
      <c r="C103" s="7" t="s">
        <v>24</v>
      </c>
      <c r="D103" s="4">
        <v>10468341000140</v>
      </c>
      <c r="E103" s="8" t="s">
        <v>581</v>
      </c>
      <c r="F103" s="8" t="s">
        <v>29</v>
      </c>
      <c r="G103" s="7" t="s">
        <v>19</v>
      </c>
      <c r="H103" s="47" t="s">
        <v>207</v>
      </c>
      <c r="I103" s="47" t="s">
        <v>208</v>
      </c>
      <c r="J103" s="6">
        <v>70</v>
      </c>
      <c r="K103" s="8" t="s">
        <v>20</v>
      </c>
      <c r="L103" s="1" t="s">
        <v>581</v>
      </c>
      <c r="M103" s="5">
        <v>1100</v>
      </c>
      <c r="Q103" s="3"/>
      <c r="R103" s="3"/>
      <c r="S103" s="3"/>
    </row>
    <row r="104" spans="1:19" ht="15" x14ac:dyDescent="0.25">
      <c r="A104" s="7" t="s">
        <v>16</v>
      </c>
      <c r="B104" s="7" t="s">
        <v>23</v>
      </c>
      <c r="C104" s="7" t="s">
        <v>24</v>
      </c>
      <c r="D104" s="4">
        <v>10468341000220</v>
      </c>
      <c r="E104" s="8" t="s">
        <v>582</v>
      </c>
      <c r="F104" s="8" t="s">
        <v>29</v>
      </c>
      <c r="G104" s="7" t="s">
        <v>19</v>
      </c>
      <c r="H104" s="47" t="s">
        <v>207</v>
      </c>
      <c r="I104" s="47" t="s">
        <v>208</v>
      </c>
      <c r="J104" s="6">
        <v>70</v>
      </c>
      <c r="K104" s="8" t="s">
        <v>20</v>
      </c>
      <c r="L104" s="1" t="s">
        <v>582</v>
      </c>
      <c r="M104" s="5">
        <v>950</v>
      </c>
      <c r="Q104" s="3"/>
      <c r="R104" s="3"/>
      <c r="S104" s="3"/>
    </row>
    <row r="105" spans="1:19" ht="15" x14ac:dyDescent="0.25">
      <c r="A105" s="7" t="s">
        <v>16</v>
      </c>
      <c r="B105" s="7" t="s">
        <v>23</v>
      </c>
      <c r="C105" s="7" t="s">
        <v>24</v>
      </c>
      <c r="D105" s="4">
        <v>10475230000160</v>
      </c>
      <c r="E105" s="8" t="s">
        <v>583</v>
      </c>
      <c r="F105" s="8" t="s">
        <v>29</v>
      </c>
      <c r="G105" s="7" t="s">
        <v>19</v>
      </c>
      <c r="H105" s="47" t="s">
        <v>207</v>
      </c>
      <c r="I105" s="47" t="s">
        <v>208</v>
      </c>
      <c r="J105" s="6">
        <v>70</v>
      </c>
      <c r="K105" s="8" t="s">
        <v>20</v>
      </c>
      <c r="L105" s="1" t="s">
        <v>583</v>
      </c>
      <c r="M105" s="5">
        <v>45</v>
      </c>
      <c r="Q105" s="3"/>
      <c r="R105" s="3"/>
      <c r="S105" s="3"/>
    </row>
    <row r="106" spans="1:19" ht="15" x14ac:dyDescent="0.25">
      <c r="A106" s="7" t="s">
        <v>16</v>
      </c>
      <c r="B106" s="7" t="s">
        <v>23</v>
      </c>
      <c r="C106" s="7" t="s">
        <v>24</v>
      </c>
      <c r="D106" s="4">
        <v>22227973000109</v>
      </c>
      <c r="E106" s="8" t="s">
        <v>590</v>
      </c>
      <c r="F106" s="8" t="s">
        <v>29</v>
      </c>
      <c r="G106" s="7" t="s">
        <v>19</v>
      </c>
      <c r="H106" s="47" t="s">
        <v>207</v>
      </c>
      <c r="I106" s="47" t="s">
        <v>208</v>
      </c>
      <c r="J106" s="6">
        <v>70</v>
      </c>
      <c r="K106" s="8" t="s">
        <v>20</v>
      </c>
      <c r="L106" s="1" t="s">
        <v>590</v>
      </c>
      <c r="M106" s="5">
        <v>2.5</v>
      </c>
      <c r="Q106" s="3"/>
      <c r="R106" s="3"/>
      <c r="S106" s="3"/>
    </row>
    <row r="107" spans="1:19" ht="15" x14ac:dyDescent="0.25">
      <c r="A107" s="7" t="s">
        <v>16</v>
      </c>
      <c r="B107" s="7" t="s">
        <v>23</v>
      </c>
      <c r="C107" s="7" t="s">
        <v>24</v>
      </c>
      <c r="D107" s="4">
        <v>29435005002687</v>
      </c>
      <c r="E107" s="8" t="s">
        <v>593</v>
      </c>
      <c r="F107" s="8" t="s">
        <v>29</v>
      </c>
      <c r="G107" s="7" t="s">
        <v>19</v>
      </c>
      <c r="H107" s="47" t="s">
        <v>207</v>
      </c>
      <c r="I107" s="47" t="s">
        <v>208</v>
      </c>
      <c r="J107" s="6">
        <v>70</v>
      </c>
      <c r="K107" s="8" t="s">
        <v>20</v>
      </c>
      <c r="L107" s="1" t="s">
        <v>593</v>
      </c>
      <c r="M107" s="5">
        <v>1300</v>
      </c>
      <c r="Q107" s="3"/>
      <c r="R107" s="3"/>
      <c r="S107" s="3"/>
    </row>
    <row r="108" spans="1:19" ht="15" x14ac:dyDescent="0.25">
      <c r="A108" s="7" t="s">
        <v>16</v>
      </c>
      <c r="B108" s="7" t="s">
        <v>23</v>
      </c>
      <c r="C108" s="7" t="s">
        <v>24</v>
      </c>
      <c r="D108" s="4">
        <v>29435005004540</v>
      </c>
      <c r="E108" s="8" t="s">
        <v>594</v>
      </c>
      <c r="F108" s="8" t="s">
        <v>29</v>
      </c>
      <c r="G108" s="7" t="s">
        <v>19</v>
      </c>
      <c r="H108" s="47" t="s">
        <v>207</v>
      </c>
      <c r="I108" s="47" t="s">
        <v>208</v>
      </c>
      <c r="J108" s="6">
        <v>70</v>
      </c>
      <c r="K108" s="8" t="s">
        <v>20</v>
      </c>
      <c r="L108" s="1" t="s">
        <v>594</v>
      </c>
      <c r="M108" s="5">
        <v>250</v>
      </c>
      <c r="Q108" s="3"/>
      <c r="R108" s="3"/>
      <c r="S108" s="3"/>
    </row>
    <row r="109" spans="1:19" ht="15" x14ac:dyDescent="0.25">
      <c r="A109" s="7" t="s">
        <v>16</v>
      </c>
      <c r="B109" s="7" t="s">
        <v>23</v>
      </c>
      <c r="C109" s="7" t="s">
        <v>24</v>
      </c>
      <c r="D109" s="4">
        <v>29435005009932</v>
      </c>
      <c r="E109" s="8" t="s">
        <v>595</v>
      </c>
      <c r="F109" s="8" t="s">
        <v>29</v>
      </c>
      <c r="G109" s="7" t="s">
        <v>19</v>
      </c>
      <c r="H109" s="47" t="s">
        <v>207</v>
      </c>
      <c r="I109" s="47" t="s">
        <v>208</v>
      </c>
      <c r="J109" s="6">
        <v>70</v>
      </c>
      <c r="K109" s="8" t="s">
        <v>20</v>
      </c>
      <c r="L109" s="1" t="s">
        <v>595</v>
      </c>
      <c r="M109" s="5">
        <v>650</v>
      </c>
      <c r="Q109" s="3"/>
      <c r="R109" s="3"/>
      <c r="S109" s="3"/>
    </row>
    <row r="110" spans="1:19" ht="15" x14ac:dyDescent="0.25">
      <c r="A110" s="7" t="s">
        <v>16</v>
      </c>
      <c r="B110" s="7" t="s">
        <v>23</v>
      </c>
      <c r="C110" s="7" t="s">
        <v>24</v>
      </c>
      <c r="D110" s="4">
        <v>43775956000178</v>
      </c>
      <c r="E110" s="8" t="s">
        <v>597</v>
      </c>
      <c r="F110" s="8" t="s">
        <v>29</v>
      </c>
      <c r="G110" s="7" t="s">
        <v>19</v>
      </c>
      <c r="H110" s="47" t="s">
        <v>207</v>
      </c>
      <c r="I110" s="47" t="s">
        <v>208</v>
      </c>
      <c r="J110" s="6">
        <v>70</v>
      </c>
      <c r="K110" s="8" t="s">
        <v>20</v>
      </c>
      <c r="L110" s="1" t="s">
        <v>597</v>
      </c>
      <c r="M110" s="5">
        <v>30</v>
      </c>
      <c r="Q110" s="3"/>
      <c r="R110" s="3"/>
      <c r="S110" s="3"/>
    </row>
    <row r="111" spans="1:19" ht="15" x14ac:dyDescent="0.25">
      <c r="A111" s="7" t="s">
        <v>16</v>
      </c>
      <c r="B111" s="7" t="s">
        <v>23</v>
      </c>
      <c r="C111" s="7" t="s">
        <v>24</v>
      </c>
      <c r="D111" s="4">
        <v>44649812005520</v>
      </c>
      <c r="E111" s="8" t="s">
        <v>598</v>
      </c>
      <c r="F111" s="8" t="s">
        <v>29</v>
      </c>
      <c r="G111" s="7" t="s">
        <v>19</v>
      </c>
      <c r="H111" s="47" t="s">
        <v>207</v>
      </c>
      <c r="I111" s="47" t="s">
        <v>208</v>
      </c>
      <c r="J111" s="6">
        <v>70</v>
      </c>
      <c r="K111" s="8" t="s">
        <v>20</v>
      </c>
      <c r="L111" s="1" t="s">
        <v>598</v>
      </c>
      <c r="M111" s="5">
        <v>70</v>
      </c>
      <c r="Q111" s="3"/>
      <c r="R111" s="3"/>
      <c r="S111" s="3"/>
    </row>
    <row r="112" spans="1:19" ht="15" x14ac:dyDescent="0.25">
      <c r="A112" s="7" t="s">
        <v>16</v>
      </c>
      <c r="B112" s="7" t="s">
        <v>23</v>
      </c>
      <c r="C112" s="7" t="s">
        <v>24</v>
      </c>
      <c r="D112" s="4">
        <v>51722957012512</v>
      </c>
      <c r="E112" s="8" t="s">
        <v>604</v>
      </c>
      <c r="F112" s="8" t="s">
        <v>29</v>
      </c>
      <c r="G112" s="7" t="s">
        <v>19</v>
      </c>
      <c r="H112" s="47" t="s">
        <v>207</v>
      </c>
      <c r="I112" s="47" t="s">
        <v>208</v>
      </c>
      <c r="J112" s="6">
        <v>70</v>
      </c>
      <c r="K112" s="8" t="s">
        <v>20</v>
      </c>
      <c r="L112" s="1" t="s">
        <v>604</v>
      </c>
      <c r="M112" s="5">
        <v>680</v>
      </c>
      <c r="Q112" s="3"/>
      <c r="R112" s="3"/>
      <c r="S112" s="3"/>
    </row>
    <row r="113" spans="1:19" ht="15" x14ac:dyDescent="0.25">
      <c r="A113" s="7" t="s">
        <v>16</v>
      </c>
      <c r="B113" s="7" t="s">
        <v>23</v>
      </c>
      <c r="C113" s="7" t="s">
        <v>24</v>
      </c>
      <c r="D113" s="4">
        <v>59481028000130</v>
      </c>
      <c r="E113" s="8" t="s">
        <v>608</v>
      </c>
      <c r="F113" s="8" t="s">
        <v>29</v>
      </c>
      <c r="G113" s="7" t="s">
        <v>19</v>
      </c>
      <c r="H113" s="47" t="s">
        <v>207</v>
      </c>
      <c r="I113" s="47" t="s">
        <v>208</v>
      </c>
      <c r="J113" s="6">
        <v>70</v>
      </c>
      <c r="K113" s="8" t="s">
        <v>20</v>
      </c>
      <c r="L113" s="1" t="s">
        <v>608</v>
      </c>
      <c r="M113" s="5">
        <v>30</v>
      </c>
      <c r="Q113" s="3"/>
      <c r="R113" s="3"/>
      <c r="S113" s="3"/>
    </row>
    <row r="114" spans="1:19" ht="15" x14ac:dyDescent="0.25">
      <c r="A114" s="7" t="s">
        <v>16</v>
      </c>
      <c r="B114" s="7" t="s">
        <v>23</v>
      </c>
      <c r="C114" s="7" t="s">
        <v>24</v>
      </c>
      <c r="D114" s="4">
        <v>60552098000111</v>
      </c>
      <c r="E114" s="8" t="s">
        <v>611</v>
      </c>
      <c r="F114" s="8" t="s">
        <v>29</v>
      </c>
      <c r="G114" s="7" t="s">
        <v>19</v>
      </c>
      <c r="H114" s="47" t="s">
        <v>207</v>
      </c>
      <c r="I114" s="47" t="s">
        <v>208</v>
      </c>
      <c r="J114" s="6">
        <v>70</v>
      </c>
      <c r="K114" s="8" t="s">
        <v>20</v>
      </c>
      <c r="L114" s="1" t="s">
        <v>611</v>
      </c>
      <c r="M114" s="5">
        <v>635</v>
      </c>
      <c r="Q114" s="3"/>
      <c r="R114" s="3"/>
      <c r="S114" s="3"/>
    </row>
    <row r="115" spans="1:19" ht="15" x14ac:dyDescent="0.25">
      <c r="A115" s="7" t="s">
        <v>16</v>
      </c>
      <c r="B115" s="7" t="s">
        <v>23</v>
      </c>
      <c r="C115" s="7" t="s">
        <v>24</v>
      </c>
      <c r="D115" s="4">
        <v>60678604000113</v>
      </c>
      <c r="E115" s="8" t="s">
        <v>612</v>
      </c>
      <c r="F115" s="8" t="s">
        <v>29</v>
      </c>
      <c r="G115" s="7" t="s">
        <v>19</v>
      </c>
      <c r="H115" s="47" t="s">
        <v>207</v>
      </c>
      <c r="I115" s="47" t="s">
        <v>208</v>
      </c>
      <c r="J115" s="6">
        <v>70</v>
      </c>
      <c r="K115" s="8" t="s">
        <v>20</v>
      </c>
      <c r="L115" s="1" t="s">
        <v>612</v>
      </c>
      <c r="M115" s="5">
        <v>100</v>
      </c>
      <c r="Q115" s="3"/>
      <c r="R115" s="3"/>
      <c r="S115" s="3"/>
    </row>
    <row r="116" spans="1:19" ht="15" x14ac:dyDescent="0.25">
      <c r="A116" s="7" t="s">
        <v>16</v>
      </c>
      <c r="B116" s="7" t="s">
        <v>23</v>
      </c>
      <c r="C116" s="7" t="s">
        <v>24</v>
      </c>
      <c r="D116" s="4">
        <v>60726502000126</v>
      </c>
      <c r="E116" s="8" t="s">
        <v>613</v>
      </c>
      <c r="F116" s="8" t="s">
        <v>29</v>
      </c>
      <c r="G116" s="7" t="s">
        <v>19</v>
      </c>
      <c r="H116" s="47" t="s">
        <v>207</v>
      </c>
      <c r="I116" s="47" t="s">
        <v>208</v>
      </c>
      <c r="J116" s="6">
        <v>70</v>
      </c>
      <c r="K116" s="8" t="s">
        <v>20</v>
      </c>
      <c r="L116" s="1" t="s">
        <v>613</v>
      </c>
      <c r="M116" s="5">
        <v>405</v>
      </c>
      <c r="Q116" s="3"/>
      <c r="R116" s="3"/>
      <c r="S116" s="3"/>
    </row>
    <row r="117" spans="1:19" ht="15" x14ac:dyDescent="0.25">
      <c r="A117" s="7" t="s">
        <v>16</v>
      </c>
      <c r="B117" s="7" t="s">
        <v>23</v>
      </c>
      <c r="C117" s="7" t="s">
        <v>24</v>
      </c>
      <c r="D117" s="4">
        <v>60777901000116</v>
      </c>
      <c r="E117" s="8" t="s">
        <v>616</v>
      </c>
      <c r="F117" s="8" t="s">
        <v>29</v>
      </c>
      <c r="G117" s="7" t="s">
        <v>19</v>
      </c>
      <c r="H117" s="47" t="s">
        <v>207</v>
      </c>
      <c r="I117" s="47" t="s">
        <v>208</v>
      </c>
      <c r="J117" s="6">
        <v>70</v>
      </c>
      <c r="K117" s="8" t="s">
        <v>20</v>
      </c>
      <c r="L117" s="1" t="s">
        <v>616</v>
      </c>
      <c r="M117" s="5">
        <v>1250</v>
      </c>
      <c r="Q117" s="3"/>
      <c r="R117" s="3"/>
      <c r="S117" s="3"/>
    </row>
    <row r="118" spans="1:19" ht="15" x14ac:dyDescent="0.25">
      <c r="A118" s="7" t="s">
        <v>16</v>
      </c>
      <c r="B118" s="7" t="s">
        <v>23</v>
      </c>
      <c r="C118" s="7" t="s">
        <v>24</v>
      </c>
      <c r="D118" s="4">
        <v>60884855000316</v>
      </c>
      <c r="E118" s="8" t="s">
        <v>617</v>
      </c>
      <c r="F118" s="8" t="s">
        <v>29</v>
      </c>
      <c r="G118" s="7" t="s">
        <v>19</v>
      </c>
      <c r="H118" s="47" t="s">
        <v>207</v>
      </c>
      <c r="I118" s="47" t="s">
        <v>208</v>
      </c>
      <c r="J118" s="6">
        <v>70</v>
      </c>
      <c r="K118" s="8" t="s">
        <v>20</v>
      </c>
      <c r="L118" s="1" t="s">
        <v>617</v>
      </c>
      <c r="M118" s="5">
        <v>1695</v>
      </c>
      <c r="Q118" s="3"/>
      <c r="R118" s="3"/>
      <c r="S118" s="3"/>
    </row>
    <row r="119" spans="1:19" ht="15" x14ac:dyDescent="0.25">
      <c r="A119" s="7" t="s">
        <v>16</v>
      </c>
      <c r="B119" s="7" t="s">
        <v>23</v>
      </c>
      <c r="C119" s="7" t="s">
        <v>24</v>
      </c>
      <c r="D119" s="4">
        <v>60922168000771</v>
      </c>
      <c r="E119" s="8" t="s">
        <v>618</v>
      </c>
      <c r="F119" s="8" t="s">
        <v>29</v>
      </c>
      <c r="G119" s="7" t="s">
        <v>19</v>
      </c>
      <c r="H119" s="47" t="s">
        <v>207</v>
      </c>
      <c r="I119" s="47" t="s">
        <v>208</v>
      </c>
      <c r="J119" s="6">
        <v>70</v>
      </c>
      <c r="K119" s="8" t="s">
        <v>20</v>
      </c>
      <c r="L119" s="1" t="s">
        <v>618</v>
      </c>
      <c r="M119" s="5">
        <v>195</v>
      </c>
      <c r="Q119" s="3"/>
      <c r="R119" s="3"/>
      <c r="S119" s="3"/>
    </row>
    <row r="120" spans="1:19" ht="15" x14ac:dyDescent="0.25">
      <c r="A120" s="7" t="s">
        <v>16</v>
      </c>
      <c r="B120" s="7" t="s">
        <v>23</v>
      </c>
      <c r="C120" s="7" t="s">
        <v>24</v>
      </c>
      <c r="D120" s="4">
        <v>60961422000155</v>
      </c>
      <c r="E120" s="8" t="s">
        <v>620</v>
      </c>
      <c r="F120" s="8" t="s">
        <v>29</v>
      </c>
      <c r="G120" s="7" t="s">
        <v>19</v>
      </c>
      <c r="H120" s="47" t="s">
        <v>207</v>
      </c>
      <c r="I120" s="47" t="s">
        <v>208</v>
      </c>
      <c r="J120" s="6">
        <v>70</v>
      </c>
      <c r="K120" s="8" t="s">
        <v>20</v>
      </c>
      <c r="L120" s="1" t="s">
        <v>620</v>
      </c>
      <c r="M120" s="5">
        <v>20</v>
      </c>
      <c r="Q120" s="3"/>
      <c r="R120" s="3"/>
      <c r="S120" s="3"/>
    </row>
    <row r="121" spans="1:19" ht="15" x14ac:dyDescent="0.25">
      <c r="A121" s="7" t="s">
        <v>16</v>
      </c>
      <c r="B121" s="7" t="s">
        <v>23</v>
      </c>
      <c r="C121" s="7" t="s">
        <v>24</v>
      </c>
      <c r="D121" s="4">
        <v>61590410000124</v>
      </c>
      <c r="E121" s="8" t="s">
        <v>630</v>
      </c>
      <c r="F121" s="8" t="s">
        <v>29</v>
      </c>
      <c r="G121" s="7" t="s">
        <v>19</v>
      </c>
      <c r="H121" s="47" t="s">
        <v>207</v>
      </c>
      <c r="I121" s="47" t="s">
        <v>208</v>
      </c>
      <c r="J121" s="6">
        <v>70</v>
      </c>
      <c r="K121" s="8" t="s">
        <v>20</v>
      </c>
      <c r="L121" s="1" t="s">
        <v>630</v>
      </c>
      <c r="M121" s="5">
        <v>1860</v>
      </c>
      <c r="Q121" s="3"/>
      <c r="R121" s="3"/>
      <c r="S121" s="3"/>
    </row>
    <row r="122" spans="1:19" ht="15" x14ac:dyDescent="0.25">
      <c r="A122" s="7" t="s">
        <v>16</v>
      </c>
      <c r="B122" s="7" t="s">
        <v>229</v>
      </c>
      <c r="C122" s="7" t="s">
        <v>24</v>
      </c>
      <c r="D122" s="4">
        <v>461479004150</v>
      </c>
      <c r="E122" s="8" t="s">
        <v>1138</v>
      </c>
      <c r="F122" s="8" t="s">
        <v>29</v>
      </c>
      <c r="G122" s="7" t="s">
        <v>19</v>
      </c>
      <c r="H122" s="47" t="s">
        <v>207</v>
      </c>
      <c r="I122" s="47" t="s">
        <v>208</v>
      </c>
      <c r="J122" s="6">
        <v>70</v>
      </c>
      <c r="K122" s="8" t="s">
        <v>20</v>
      </c>
      <c r="L122" s="1" t="s">
        <v>1138</v>
      </c>
      <c r="M122" s="5">
        <v>80</v>
      </c>
      <c r="Q122" s="3"/>
      <c r="R122" s="3"/>
      <c r="S122" s="3"/>
    </row>
    <row r="123" spans="1:19" ht="15" x14ac:dyDescent="0.25">
      <c r="A123" s="7" t="s">
        <v>16</v>
      </c>
      <c r="B123" s="7" t="s">
        <v>229</v>
      </c>
      <c r="C123" s="7" t="s">
        <v>24</v>
      </c>
      <c r="D123" s="4">
        <v>461479005122</v>
      </c>
      <c r="E123" s="8" t="s">
        <v>1139</v>
      </c>
      <c r="F123" s="8" t="s">
        <v>29</v>
      </c>
      <c r="G123" s="7" t="s">
        <v>19</v>
      </c>
      <c r="H123" s="47" t="s">
        <v>207</v>
      </c>
      <c r="I123" s="47" t="s">
        <v>208</v>
      </c>
      <c r="J123" s="6">
        <v>70</v>
      </c>
      <c r="K123" s="8" t="s">
        <v>20</v>
      </c>
      <c r="L123" s="1" t="s">
        <v>1139</v>
      </c>
      <c r="M123" s="5">
        <v>125</v>
      </c>
      <c r="Q123" s="3"/>
      <c r="R123" s="3"/>
      <c r="S123" s="3"/>
    </row>
    <row r="124" spans="1:19" ht="15" x14ac:dyDescent="0.25">
      <c r="A124" s="7" t="s">
        <v>16</v>
      </c>
      <c r="B124" s="7" t="s">
        <v>229</v>
      </c>
      <c r="C124" s="7" t="s">
        <v>24</v>
      </c>
      <c r="D124" s="4">
        <v>4036348000190</v>
      </c>
      <c r="E124" s="8" t="s">
        <v>565</v>
      </c>
      <c r="F124" s="8" t="s">
        <v>29</v>
      </c>
      <c r="G124" s="7" t="s">
        <v>19</v>
      </c>
      <c r="H124" s="47" t="s">
        <v>207</v>
      </c>
      <c r="I124" s="47" t="s">
        <v>208</v>
      </c>
      <c r="J124" s="6">
        <v>70</v>
      </c>
      <c r="K124" s="8" t="s">
        <v>20</v>
      </c>
      <c r="L124" s="1" t="s">
        <v>565</v>
      </c>
      <c r="M124" s="5">
        <v>250</v>
      </c>
      <c r="Q124" s="3"/>
      <c r="R124" s="3"/>
      <c r="S124" s="3"/>
    </row>
    <row r="125" spans="1:19" ht="15" x14ac:dyDescent="0.25">
      <c r="A125" s="7" t="s">
        <v>16</v>
      </c>
      <c r="B125" s="7" t="s">
        <v>229</v>
      </c>
      <c r="C125" s="7" t="s">
        <v>24</v>
      </c>
      <c r="D125" s="4">
        <v>4995603000121</v>
      </c>
      <c r="E125" s="8" t="s">
        <v>566</v>
      </c>
      <c r="F125" s="8" t="s">
        <v>29</v>
      </c>
      <c r="G125" s="7" t="s">
        <v>19</v>
      </c>
      <c r="H125" s="47" t="s">
        <v>207</v>
      </c>
      <c r="I125" s="47" t="s">
        <v>208</v>
      </c>
      <c r="J125" s="6">
        <v>70</v>
      </c>
      <c r="K125" s="8" t="s">
        <v>20</v>
      </c>
      <c r="L125" s="1" t="s">
        <v>566</v>
      </c>
      <c r="M125" s="5">
        <v>1000</v>
      </c>
      <c r="Q125" s="3"/>
      <c r="R125" s="3"/>
      <c r="S125" s="3"/>
    </row>
    <row r="126" spans="1:19" ht="15" x14ac:dyDescent="0.25">
      <c r="A126" s="7" t="s">
        <v>16</v>
      </c>
      <c r="B126" s="7" t="s">
        <v>229</v>
      </c>
      <c r="C126" s="7" t="s">
        <v>24</v>
      </c>
      <c r="D126" s="4">
        <v>5831510000124</v>
      </c>
      <c r="E126" s="8" t="s">
        <v>567</v>
      </c>
      <c r="F126" s="8" t="s">
        <v>29</v>
      </c>
      <c r="G126" s="7" t="s">
        <v>19</v>
      </c>
      <c r="H126" s="47" t="s">
        <v>207</v>
      </c>
      <c r="I126" s="47" t="s">
        <v>208</v>
      </c>
      <c r="J126" s="6">
        <v>70</v>
      </c>
      <c r="K126" s="8" t="s">
        <v>20</v>
      </c>
      <c r="L126" s="1" t="s">
        <v>567</v>
      </c>
      <c r="M126" s="5">
        <v>140</v>
      </c>
      <c r="Q126" s="3"/>
      <c r="R126" s="3"/>
      <c r="S126" s="3"/>
    </row>
    <row r="127" spans="1:19" ht="15" x14ac:dyDescent="0.25">
      <c r="A127" s="7" t="s">
        <v>16</v>
      </c>
      <c r="B127" s="7" t="s">
        <v>229</v>
      </c>
      <c r="C127" s="7" t="s">
        <v>24</v>
      </c>
      <c r="D127" s="4">
        <v>7045325000130</v>
      </c>
      <c r="E127" s="8" t="s">
        <v>571</v>
      </c>
      <c r="F127" s="8" t="s">
        <v>29</v>
      </c>
      <c r="G127" s="7" t="s">
        <v>19</v>
      </c>
      <c r="H127" s="47" t="s">
        <v>207</v>
      </c>
      <c r="I127" s="47" t="s">
        <v>208</v>
      </c>
      <c r="J127" s="6">
        <v>70</v>
      </c>
      <c r="K127" s="8" t="s">
        <v>20</v>
      </c>
      <c r="L127" s="1" t="s">
        <v>571</v>
      </c>
      <c r="M127" s="5">
        <v>375</v>
      </c>
      <c r="Q127" s="3"/>
      <c r="R127" s="3"/>
      <c r="S127" s="3"/>
    </row>
    <row r="128" spans="1:19" ht="15" x14ac:dyDescent="0.25">
      <c r="A128" s="7" t="s">
        <v>16</v>
      </c>
      <c r="B128" s="7" t="s">
        <v>229</v>
      </c>
      <c r="C128" s="7" t="s">
        <v>24</v>
      </c>
      <c r="D128" s="4">
        <v>8100676000592</v>
      </c>
      <c r="E128" s="8" t="s">
        <v>572</v>
      </c>
      <c r="F128" s="8" t="s">
        <v>29</v>
      </c>
      <c r="G128" s="7" t="s">
        <v>19</v>
      </c>
      <c r="H128" s="47" t="s">
        <v>207</v>
      </c>
      <c r="I128" s="47" t="s">
        <v>208</v>
      </c>
      <c r="J128" s="6">
        <v>70</v>
      </c>
      <c r="K128" s="8" t="s">
        <v>20</v>
      </c>
      <c r="L128" s="1" t="s">
        <v>572</v>
      </c>
      <c r="M128" s="5">
        <v>285</v>
      </c>
      <c r="Q128" s="3"/>
      <c r="R128" s="3"/>
      <c r="S128" s="3"/>
    </row>
    <row r="129" spans="1:19" ht="15" x14ac:dyDescent="0.25">
      <c r="A129" s="7" t="s">
        <v>16</v>
      </c>
      <c r="B129" s="7" t="s">
        <v>229</v>
      </c>
      <c r="C129" s="7" t="s">
        <v>24</v>
      </c>
      <c r="D129" s="4">
        <v>8100676000673</v>
      </c>
      <c r="E129" s="8" t="s">
        <v>1155</v>
      </c>
      <c r="F129" s="8" t="s">
        <v>29</v>
      </c>
      <c r="G129" s="7" t="s">
        <v>19</v>
      </c>
      <c r="H129" s="47" t="s">
        <v>207</v>
      </c>
      <c r="I129" s="47" t="s">
        <v>208</v>
      </c>
      <c r="J129" s="6">
        <v>70</v>
      </c>
      <c r="K129" s="8" t="s">
        <v>20</v>
      </c>
      <c r="L129" s="1" t="s">
        <v>1155</v>
      </c>
      <c r="M129" s="5">
        <v>10</v>
      </c>
      <c r="Q129" s="3"/>
      <c r="R129" s="3"/>
      <c r="S129" s="3"/>
    </row>
    <row r="130" spans="1:19" ht="15" x14ac:dyDescent="0.25">
      <c r="A130" s="7" t="s">
        <v>16</v>
      </c>
      <c r="B130" s="7" t="s">
        <v>229</v>
      </c>
      <c r="C130" s="7" t="s">
        <v>24</v>
      </c>
      <c r="D130" s="4">
        <v>8871521000126</v>
      </c>
      <c r="E130" s="8" t="s">
        <v>577</v>
      </c>
      <c r="F130" s="8" t="s">
        <v>29</v>
      </c>
      <c r="G130" s="7" t="s">
        <v>19</v>
      </c>
      <c r="H130" s="47" t="s">
        <v>207</v>
      </c>
      <c r="I130" s="47" t="s">
        <v>208</v>
      </c>
      <c r="J130" s="6">
        <v>70</v>
      </c>
      <c r="K130" s="8" t="s">
        <v>20</v>
      </c>
      <c r="L130" s="1" t="s">
        <v>577</v>
      </c>
      <c r="M130" s="5">
        <v>527.5</v>
      </c>
      <c r="Q130" s="3"/>
      <c r="R130" s="3"/>
      <c r="S130" s="3"/>
    </row>
    <row r="131" spans="1:19" ht="15" x14ac:dyDescent="0.25">
      <c r="A131" s="7" t="s">
        <v>16</v>
      </c>
      <c r="B131" s="7" t="s">
        <v>229</v>
      </c>
      <c r="C131" s="7" t="s">
        <v>24</v>
      </c>
      <c r="D131" s="4">
        <v>10468341000140</v>
      </c>
      <c r="E131" s="8" t="s">
        <v>581</v>
      </c>
      <c r="F131" s="8" t="s">
        <v>29</v>
      </c>
      <c r="G131" s="7" t="s">
        <v>19</v>
      </c>
      <c r="H131" s="47" t="s">
        <v>207</v>
      </c>
      <c r="I131" s="47" t="s">
        <v>208</v>
      </c>
      <c r="J131" s="6">
        <v>70</v>
      </c>
      <c r="K131" s="8" t="s">
        <v>20</v>
      </c>
      <c r="L131" s="1" t="s">
        <v>581</v>
      </c>
      <c r="M131" s="5">
        <v>760</v>
      </c>
      <c r="Q131" s="3"/>
      <c r="R131" s="3"/>
      <c r="S131" s="3"/>
    </row>
    <row r="132" spans="1:19" ht="15" x14ac:dyDescent="0.25">
      <c r="A132" s="7" t="s">
        <v>16</v>
      </c>
      <c r="B132" s="7" t="s">
        <v>229</v>
      </c>
      <c r="C132" s="7" t="s">
        <v>24</v>
      </c>
      <c r="D132" s="4">
        <v>10468341000220</v>
      </c>
      <c r="E132" s="8" t="s">
        <v>582</v>
      </c>
      <c r="F132" s="8" t="s">
        <v>29</v>
      </c>
      <c r="G132" s="7" t="s">
        <v>19</v>
      </c>
      <c r="H132" s="47" t="s">
        <v>207</v>
      </c>
      <c r="I132" s="47" t="s">
        <v>208</v>
      </c>
      <c r="J132" s="6">
        <v>70</v>
      </c>
      <c r="K132" s="8" t="s">
        <v>20</v>
      </c>
      <c r="L132" s="1" t="s">
        <v>582</v>
      </c>
      <c r="M132" s="5">
        <v>895</v>
      </c>
      <c r="Q132" s="3"/>
      <c r="R132" s="3"/>
      <c r="S132" s="3"/>
    </row>
    <row r="133" spans="1:19" ht="15" x14ac:dyDescent="0.25">
      <c r="A133" s="7" t="s">
        <v>16</v>
      </c>
      <c r="B133" s="7" t="s">
        <v>229</v>
      </c>
      <c r="C133" s="7" t="s">
        <v>24</v>
      </c>
      <c r="D133" s="4">
        <v>10475230000160</v>
      </c>
      <c r="E133" s="8" t="s">
        <v>583</v>
      </c>
      <c r="F133" s="8" t="s">
        <v>29</v>
      </c>
      <c r="G133" s="7" t="s">
        <v>19</v>
      </c>
      <c r="H133" s="47" t="s">
        <v>207</v>
      </c>
      <c r="I133" s="47" t="s">
        <v>208</v>
      </c>
      <c r="J133" s="6">
        <v>70</v>
      </c>
      <c r="K133" s="8" t="s">
        <v>20</v>
      </c>
      <c r="L133" s="1" t="s">
        <v>583</v>
      </c>
      <c r="M133" s="5">
        <v>45</v>
      </c>
      <c r="Q133" s="3"/>
      <c r="R133" s="3"/>
      <c r="S133" s="3"/>
    </row>
    <row r="134" spans="1:19" ht="15" x14ac:dyDescent="0.25">
      <c r="A134" s="7" t="s">
        <v>16</v>
      </c>
      <c r="B134" s="7" t="s">
        <v>229</v>
      </c>
      <c r="C134" s="7" t="s">
        <v>24</v>
      </c>
      <c r="D134" s="4">
        <v>15217814000150</v>
      </c>
      <c r="E134" s="8" t="s">
        <v>1167</v>
      </c>
      <c r="F134" s="8" t="s">
        <v>29</v>
      </c>
      <c r="G134" s="7" t="s">
        <v>19</v>
      </c>
      <c r="H134" s="47" t="s">
        <v>207</v>
      </c>
      <c r="I134" s="47" t="s">
        <v>208</v>
      </c>
      <c r="J134" s="6">
        <v>70</v>
      </c>
      <c r="K134" s="8" t="s">
        <v>20</v>
      </c>
      <c r="L134" s="1" t="s">
        <v>1167</v>
      </c>
      <c r="M134" s="5">
        <v>5</v>
      </c>
      <c r="Q134" s="3"/>
      <c r="R134" s="3"/>
      <c r="S134" s="3"/>
    </row>
    <row r="135" spans="1:19" ht="15" x14ac:dyDescent="0.25">
      <c r="A135" s="7" t="s">
        <v>16</v>
      </c>
      <c r="B135" s="7" t="s">
        <v>229</v>
      </c>
      <c r="C135" s="7" t="s">
        <v>24</v>
      </c>
      <c r="D135" s="4">
        <v>21371777000132</v>
      </c>
      <c r="E135" s="8" t="s">
        <v>589</v>
      </c>
      <c r="F135" s="8" t="s">
        <v>29</v>
      </c>
      <c r="G135" s="7" t="s">
        <v>19</v>
      </c>
      <c r="H135" s="47" t="s">
        <v>207</v>
      </c>
      <c r="I135" s="47" t="s">
        <v>208</v>
      </c>
      <c r="J135" s="6">
        <v>70</v>
      </c>
      <c r="K135" s="8" t="s">
        <v>20</v>
      </c>
      <c r="L135" s="1" t="s">
        <v>589</v>
      </c>
      <c r="M135" s="5">
        <v>100</v>
      </c>
      <c r="Q135" s="3"/>
      <c r="R135" s="3"/>
      <c r="S135" s="3"/>
    </row>
    <row r="136" spans="1:19" ht="15" x14ac:dyDescent="0.25">
      <c r="A136" s="7" t="s">
        <v>16</v>
      </c>
      <c r="B136" s="7" t="s">
        <v>229</v>
      </c>
      <c r="C136" s="7" t="s">
        <v>24</v>
      </c>
      <c r="D136" s="4">
        <v>29435005002687</v>
      </c>
      <c r="E136" s="8" t="s">
        <v>593</v>
      </c>
      <c r="F136" s="8" t="s">
        <v>29</v>
      </c>
      <c r="G136" s="7" t="s">
        <v>19</v>
      </c>
      <c r="H136" s="47" t="s">
        <v>207</v>
      </c>
      <c r="I136" s="47" t="s">
        <v>208</v>
      </c>
      <c r="J136" s="6">
        <v>70</v>
      </c>
      <c r="K136" s="8" t="s">
        <v>20</v>
      </c>
      <c r="L136" s="1" t="s">
        <v>593</v>
      </c>
      <c r="M136" s="5">
        <v>500</v>
      </c>
      <c r="Q136" s="3"/>
      <c r="R136" s="3"/>
      <c r="S136" s="3"/>
    </row>
    <row r="137" spans="1:19" ht="15" x14ac:dyDescent="0.25">
      <c r="A137" s="7" t="s">
        <v>16</v>
      </c>
      <c r="B137" s="7" t="s">
        <v>229</v>
      </c>
      <c r="C137" s="7" t="s">
        <v>24</v>
      </c>
      <c r="D137" s="4">
        <v>29435005004540</v>
      </c>
      <c r="E137" s="8" t="s">
        <v>594</v>
      </c>
      <c r="F137" s="8" t="s">
        <v>29</v>
      </c>
      <c r="G137" s="7" t="s">
        <v>19</v>
      </c>
      <c r="H137" s="47" t="s">
        <v>207</v>
      </c>
      <c r="I137" s="47" t="s">
        <v>208</v>
      </c>
      <c r="J137" s="6">
        <v>70</v>
      </c>
      <c r="K137" s="8" t="s">
        <v>20</v>
      </c>
      <c r="L137" s="1" t="s">
        <v>594</v>
      </c>
      <c r="M137" s="5">
        <v>150</v>
      </c>
      <c r="Q137" s="3"/>
      <c r="R137" s="3"/>
      <c r="S137" s="3"/>
    </row>
    <row r="138" spans="1:19" ht="15" x14ac:dyDescent="0.25">
      <c r="A138" s="7" t="s">
        <v>16</v>
      </c>
      <c r="B138" s="7" t="s">
        <v>229</v>
      </c>
      <c r="C138" s="7" t="s">
        <v>24</v>
      </c>
      <c r="D138" s="4">
        <v>29435005009932</v>
      </c>
      <c r="E138" s="8" t="s">
        <v>595</v>
      </c>
      <c r="F138" s="8" t="s">
        <v>29</v>
      </c>
      <c r="G138" s="7" t="s">
        <v>19</v>
      </c>
      <c r="H138" s="47" t="s">
        <v>207</v>
      </c>
      <c r="I138" s="47" t="s">
        <v>208</v>
      </c>
      <c r="J138" s="6">
        <v>70</v>
      </c>
      <c r="K138" s="8" t="s">
        <v>20</v>
      </c>
      <c r="L138" s="1" t="s">
        <v>595</v>
      </c>
      <c r="M138" s="5">
        <v>1010</v>
      </c>
      <c r="Q138" s="3"/>
      <c r="R138" s="3"/>
      <c r="S138" s="3"/>
    </row>
    <row r="139" spans="1:19" ht="15" x14ac:dyDescent="0.25">
      <c r="A139" s="7" t="s">
        <v>16</v>
      </c>
      <c r="B139" s="7" t="s">
        <v>229</v>
      </c>
      <c r="C139" s="7" t="s">
        <v>24</v>
      </c>
      <c r="D139" s="4">
        <v>43775956000178</v>
      </c>
      <c r="E139" s="8" t="s">
        <v>597</v>
      </c>
      <c r="F139" s="8" t="s">
        <v>29</v>
      </c>
      <c r="G139" s="7" t="s">
        <v>19</v>
      </c>
      <c r="H139" s="47" t="s">
        <v>207</v>
      </c>
      <c r="I139" s="47" t="s">
        <v>208</v>
      </c>
      <c r="J139" s="6">
        <v>70</v>
      </c>
      <c r="K139" s="8" t="s">
        <v>20</v>
      </c>
      <c r="L139" s="1" t="s">
        <v>597</v>
      </c>
      <c r="M139" s="5">
        <v>30</v>
      </c>
      <c r="Q139" s="3"/>
      <c r="R139" s="3"/>
      <c r="S139" s="3"/>
    </row>
    <row r="140" spans="1:19" ht="15" x14ac:dyDescent="0.25">
      <c r="A140" s="7" t="s">
        <v>16</v>
      </c>
      <c r="B140" s="7" t="s">
        <v>229</v>
      </c>
      <c r="C140" s="7" t="s">
        <v>24</v>
      </c>
      <c r="D140" s="4">
        <v>46124624002670</v>
      </c>
      <c r="E140" s="8" t="s">
        <v>1226</v>
      </c>
      <c r="F140" s="8" t="s">
        <v>29</v>
      </c>
      <c r="G140" s="7" t="s">
        <v>19</v>
      </c>
      <c r="H140" s="47" t="s">
        <v>207</v>
      </c>
      <c r="I140" s="47" t="s">
        <v>208</v>
      </c>
      <c r="J140" s="6">
        <v>70</v>
      </c>
      <c r="K140" s="8" t="s">
        <v>20</v>
      </c>
      <c r="L140" s="1" t="s">
        <v>1226</v>
      </c>
      <c r="M140" s="5">
        <v>750</v>
      </c>
      <c r="Q140" s="3"/>
      <c r="R140" s="3"/>
      <c r="S140" s="3"/>
    </row>
    <row r="141" spans="1:19" ht="15" x14ac:dyDescent="0.25">
      <c r="A141" s="7" t="s">
        <v>16</v>
      </c>
      <c r="B141" s="7" t="s">
        <v>229</v>
      </c>
      <c r="C141" s="7" t="s">
        <v>24</v>
      </c>
      <c r="D141" s="4">
        <v>51722957000506</v>
      </c>
      <c r="E141" s="8" t="s">
        <v>602</v>
      </c>
      <c r="F141" s="8" t="s">
        <v>29</v>
      </c>
      <c r="G141" s="7" t="s">
        <v>19</v>
      </c>
      <c r="H141" s="47" t="s">
        <v>207</v>
      </c>
      <c r="I141" s="47" t="s">
        <v>208</v>
      </c>
      <c r="J141" s="6">
        <v>70</v>
      </c>
      <c r="K141" s="8" t="s">
        <v>20</v>
      </c>
      <c r="L141" s="1" t="s">
        <v>602</v>
      </c>
      <c r="M141" s="5">
        <v>100</v>
      </c>
      <c r="Q141" s="3"/>
      <c r="R141" s="3"/>
      <c r="S141" s="3"/>
    </row>
    <row r="142" spans="1:19" ht="15" x14ac:dyDescent="0.25">
      <c r="A142" s="7" t="s">
        <v>16</v>
      </c>
      <c r="B142" s="7" t="s">
        <v>229</v>
      </c>
      <c r="C142" s="7" t="s">
        <v>24</v>
      </c>
      <c r="D142" s="4">
        <v>51722957010226</v>
      </c>
      <c r="E142" s="8" t="s">
        <v>603</v>
      </c>
      <c r="F142" s="8" t="s">
        <v>29</v>
      </c>
      <c r="G142" s="7" t="s">
        <v>19</v>
      </c>
      <c r="H142" s="47" t="s">
        <v>207</v>
      </c>
      <c r="I142" s="47" t="s">
        <v>208</v>
      </c>
      <c r="J142" s="6">
        <v>70</v>
      </c>
      <c r="K142" s="8" t="s">
        <v>20</v>
      </c>
      <c r="L142" s="1" t="s">
        <v>603</v>
      </c>
      <c r="M142" s="5">
        <v>165</v>
      </c>
      <c r="Q142" s="3"/>
      <c r="R142" s="3"/>
      <c r="S142" s="3"/>
    </row>
    <row r="143" spans="1:19" ht="15" x14ac:dyDescent="0.25">
      <c r="A143" s="7" t="s">
        <v>16</v>
      </c>
      <c r="B143" s="7" t="s">
        <v>229</v>
      </c>
      <c r="C143" s="7" t="s">
        <v>24</v>
      </c>
      <c r="D143" s="4">
        <v>51722957012512</v>
      </c>
      <c r="E143" s="8" t="s">
        <v>604</v>
      </c>
      <c r="F143" s="8" t="s">
        <v>29</v>
      </c>
      <c r="G143" s="7" t="s">
        <v>19</v>
      </c>
      <c r="H143" s="47" t="s">
        <v>207</v>
      </c>
      <c r="I143" s="47" t="s">
        <v>208</v>
      </c>
      <c r="J143" s="6">
        <v>70</v>
      </c>
      <c r="K143" s="8" t="s">
        <v>20</v>
      </c>
      <c r="L143" s="1" t="s">
        <v>604</v>
      </c>
      <c r="M143" s="5">
        <v>280</v>
      </c>
      <c r="Q143" s="3"/>
      <c r="R143" s="3"/>
      <c r="S143" s="3"/>
    </row>
    <row r="144" spans="1:19" ht="15" x14ac:dyDescent="0.25">
      <c r="A144" s="7" t="s">
        <v>16</v>
      </c>
      <c r="B144" s="7" t="s">
        <v>229</v>
      </c>
      <c r="C144" s="7" t="s">
        <v>24</v>
      </c>
      <c r="D144" s="4">
        <v>59481028000130</v>
      </c>
      <c r="E144" s="8" t="s">
        <v>608</v>
      </c>
      <c r="F144" s="8" t="s">
        <v>29</v>
      </c>
      <c r="G144" s="7" t="s">
        <v>19</v>
      </c>
      <c r="H144" s="47" t="s">
        <v>207</v>
      </c>
      <c r="I144" s="47" t="s">
        <v>208</v>
      </c>
      <c r="J144" s="6">
        <v>70</v>
      </c>
      <c r="K144" s="8" t="s">
        <v>20</v>
      </c>
      <c r="L144" s="1" t="s">
        <v>608</v>
      </c>
      <c r="M144" s="5">
        <v>30</v>
      </c>
      <c r="Q144" s="3"/>
      <c r="R144" s="3"/>
      <c r="S144" s="3"/>
    </row>
    <row r="145" spans="1:19" ht="15" x14ac:dyDescent="0.25">
      <c r="A145" s="7" t="s">
        <v>16</v>
      </c>
      <c r="B145" s="7" t="s">
        <v>229</v>
      </c>
      <c r="C145" s="7" t="s">
        <v>24</v>
      </c>
      <c r="D145" s="4">
        <v>60726502000126</v>
      </c>
      <c r="E145" s="8" t="s">
        <v>613</v>
      </c>
      <c r="F145" s="8" t="s">
        <v>29</v>
      </c>
      <c r="G145" s="7" t="s">
        <v>19</v>
      </c>
      <c r="H145" s="47" t="s">
        <v>207</v>
      </c>
      <c r="I145" s="47" t="s">
        <v>208</v>
      </c>
      <c r="J145" s="6">
        <v>70</v>
      </c>
      <c r="K145" s="8" t="s">
        <v>20</v>
      </c>
      <c r="L145" s="1" t="s">
        <v>613</v>
      </c>
      <c r="M145" s="5">
        <v>70</v>
      </c>
      <c r="Q145" s="3"/>
      <c r="R145" s="3"/>
      <c r="S145" s="3"/>
    </row>
    <row r="146" spans="1:19" ht="15" x14ac:dyDescent="0.25">
      <c r="A146" s="7" t="s">
        <v>16</v>
      </c>
      <c r="B146" s="7" t="s">
        <v>229</v>
      </c>
      <c r="C146" s="7" t="s">
        <v>24</v>
      </c>
      <c r="D146" s="4">
        <v>60765823000130</v>
      </c>
      <c r="E146" s="8" t="s">
        <v>615</v>
      </c>
      <c r="F146" s="8" t="s">
        <v>29</v>
      </c>
      <c r="G146" s="7" t="s">
        <v>19</v>
      </c>
      <c r="H146" s="47" t="s">
        <v>207</v>
      </c>
      <c r="I146" s="47" t="s">
        <v>208</v>
      </c>
      <c r="J146" s="6">
        <v>70</v>
      </c>
      <c r="K146" s="8" t="s">
        <v>20</v>
      </c>
      <c r="L146" s="1" t="s">
        <v>615</v>
      </c>
      <c r="M146" s="5">
        <v>75</v>
      </c>
      <c r="Q146" s="3"/>
      <c r="R146" s="3"/>
      <c r="S146" s="3"/>
    </row>
    <row r="147" spans="1:19" ht="15" x14ac:dyDescent="0.25">
      <c r="A147" s="7" t="s">
        <v>16</v>
      </c>
      <c r="B147" s="7" t="s">
        <v>229</v>
      </c>
      <c r="C147" s="7" t="s">
        <v>24</v>
      </c>
      <c r="D147" s="4">
        <v>60777901000116</v>
      </c>
      <c r="E147" s="8" t="s">
        <v>616</v>
      </c>
      <c r="F147" s="8" t="s">
        <v>29</v>
      </c>
      <c r="G147" s="7" t="s">
        <v>19</v>
      </c>
      <c r="H147" s="47" t="s">
        <v>207</v>
      </c>
      <c r="I147" s="47" t="s">
        <v>208</v>
      </c>
      <c r="J147" s="6">
        <v>70</v>
      </c>
      <c r="K147" s="8" t="s">
        <v>20</v>
      </c>
      <c r="L147" s="1" t="s">
        <v>616</v>
      </c>
      <c r="M147" s="5">
        <v>1150</v>
      </c>
      <c r="Q147" s="3"/>
      <c r="R147" s="3"/>
      <c r="S147" s="3"/>
    </row>
    <row r="148" spans="1:19" ht="15" x14ac:dyDescent="0.25">
      <c r="A148" s="7" t="s">
        <v>16</v>
      </c>
      <c r="B148" s="7" t="s">
        <v>229</v>
      </c>
      <c r="C148" s="7" t="s">
        <v>24</v>
      </c>
      <c r="D148" s="4">
        <v>60884855000316</v>
      </c>
      <c r="E148" s="8" t="s">
        <v>617</v>
      </c>
      <c r="F148" s="8" t="s">
        <v>29</v>
      </c>
      <c r="G148" s="7" t="s">
        <v>19</v>
      </c>
      <c r="H148" s="47" t="s">
        <v>207</v>
      </c>
      <c r="I148" s="47" t="s">
        <v>208</v>
      </c>
      <c r="J148" s="6">
        <v>70</v>
      </c>
      <c r="K148" s="8" t="s">
        <v>20</v>
      </c>
      <c r="L148" s="1" t="s">
        <v>617</v>
      </c>
      <c r="M148" s="5">
        <v>1205</v>
      </c>
      <c r="Q148" s="3"/>
      <c r="R148" s="3"/>
      <c r="S148" s="3"/>
    </row>
    <row r="149" spans="1:19" ht="15" x14ac:dyDescent="0.25">
      <c r="A149" s="7" t="s">
        <v>16</v>
      </c>
      <c r="B149" s="7" t="s">
        <v>229</v>
      </c>
      <c r="C149" s="7" t="s">
        <v>24</v>
      </c>
      <c r="D149" s="4">
        <v>60922168000771</v>
      </c>
      <c r="E149" s="8" t="s">
        <v>618</v>
      </c>
      <c r="F149" s="8" t="s">
        <v>29</v>
      </c>
      <c r="G149" s="7" t="s">
        <v>19</v>
      </c>
      <c r="H149" s="47" t="s">
        <v>207</v>
      </c>
      <c r="I149" s="47" t="s">
        <v>208</v>
      </c>
      <c r="J149" s="6">
        <v>70</v>
      </c>
      <c r="K149" s="8" t="s">
        <v>20</v>
      </c>
      <c r="L149" s="1" t="s">
        <v>618</v>
      </c>
      <c r="M149" s="5">
        <v>100</v>
      </c>
      <c r="Q149" s="3"/>
      <c r="R149" s="3"/>
      <c r="S149" s="3"/>
    </row>
    <row r="150" spans="1:19" ht="15" x14ac:dyDescent="0.25">
      <c r="A150" s="7" t="s">
        <v>16</v>
      </c>
      <c r="B150" s="7" t="s">
        <v>229</v>
      </c>
      <c r="C150" s="7" t="s">
        <v>24</v>
      </c>
      <c r="D150" s="4">
        <v>60961422000155</v>
      </c>
      <c r="E150" s="8" t="s">
        <v>620</v>
      </c>
      <c r="F150" s="8" t="s">
        <v>29</v>
      </c>
      <c r="G150" s="7" t="s">
        <v>19</v>
      </c>
      <c r="H150" s="47" t="s">
        <v>207</v>
      </c>
      <c r="I150" s="47" t="s">
        <v>208</v>
      </c>
      <c r="J150" s="6">
        <v>70</v>
      </c>
      <c r="K150" s="8" t="s">
        <v>20</v>
      </c>
      <c r="L150" s="1" t="s">
        <v>620</v>
      </c>
      <c r="M150" s="5">
        <v>20</v>
      </c>
      <c r="Q150" s="3"/>
      <c r="R150" s="3"/>
      <c r="S150" s="3"/>
    </row>
    <row r="151" spans="1:19" ht="15" x14ac:dyDescent="0.25">
      <c r="A151" s="7" t="s">
        <v>16</v>
      </c>
      <c r="B151" s="7" t="s">
        <v>229</v>
      </c>
      <c r="C151" s="7" t="s">
        <v>24</v>
      </c>
      <c r="D151" s="4">
        <v>60979457000111</v>
      </c>
      <c r="E151" s="8" t="s">
        <v>1232</v>
      </c>
      <c r="F151" s="8" t="s">
        <v>29</v>
      </c>
      <c r="G151" s="7" t="s">
        <v>19</v>
      </c>
      <c r="H151" s="47" t="s">
        <v>207</v>
      </c>
      <c r="I151" s="47" t="s">
        <v>208</v>
      </c>
      <c r="J151" s="6">
        <v>70</v>
      </c>
      <c r="K151" s="8" t="s">
        <v>20</v>
      </c>
      <c r="L151" s="1" t="s">
        <v>1232</v>
      </c>
      <c r="M151" s="5">
        <v>20</v>
      </c>
      <c r="Q151" s="3"/>
      <c r="R151" s="3"/>
      <c r="S151" s="3"/>
    </row>
    <row r="152" spans="1:19" ht="15" x14ac:dyDescent="0.25">
      <c r="A152" s="7" t="s">
        <v>16</v>
      </c>
      <c r="B152" s="7" t="s">
        <v>230</v>
      </c>
      <c r="C152" s="7" t="s">
        <v>24</v>
      </c>
      <c r="D152" s="4">
        <v>461479001054</v>
      </c>
      <c r="E152" s="8" t="s">
        <v>558</v>
      </c>
      <c r="F152" s="8" t="s">
        <v>29</v>
      </c>
      <c r="G152" s="7" t="s">
        <v>19</v>
      </c>
      <c r="H152" s="47" t="s">
        <v>207</v>
      </c>
      <c r="I152" s="47" t="s">
        <v>208</v>
      </c>
      <c r="J152" s="6">
        <v>70</v>
      </c>
      <c r="K152" s="8" t="s">
        <v>20</v>
      </c>
      <c r="L152" s="1" t="s">
        <v>558</v>
      </c>
      <c r="M152" s="5">
        <v>100</v>
      </c>
      <c r="Q152" s="3"/>
      <c r="R152" s="3"/>
      <c r="S152" s="3"/>
    </row>
    <row r="153" spans="1:19" ht="15" x14ac:dyDescent="0.25">
      <c r="A153" s="7" t="s">
        <v>16</v>
      </c>
      <c r="B153" s="7" t="s">
        <v>230</v>
      </c>
      <c r="C153" s="7" t="s">
        <v>24</v>
      </c>
      <c r="D153" s="4">
        <v>461479004584</v>
      </c>
      <c r="E153" s="8" t="s">
        <v>560</v>
      </c>
      <c r="F153" s="8" t="s">
        <v>29</v>
      </c>
      <c r="G153" s="7" t="s">
        <v>19</v>
      </c>
      <c r="H153" s="47" t="s">
        <v>207</v>
      </c>
      <c r="I153" s="47" t="s">
        <v>208</v>
      </c>
      <c r="J153" s="6">
        <v>70</v>
      </c>
      <c r="K153" s="8" t="s">
        <v>20</v>
      </c>
      <c r="L153" s="1" t="s">
        <v>560</v>
      </c>
      <c r="M153" s="5">
        <v>1220</v>
      </c>
      <c r="Q153" s="3"/>
      <c r="R153" s="3"/>
      <c r="S153" s="3"/>
    </row>
    <row r="154" spans="1:19" ht="15" x14ac:dyDescent="0.25">
      <c r="A154" s="7" t="s">
        <v>16</v>
      </c>
      <c r="B154" s="7" t="s">
        <v>230</v>
      </c>
      <c r="C154" s="7" t="s">
        <v>24</v>
      </c>
      <c r="D154" s="4">
        <v>4036348000190</v>
      </c>
      <c r="E154" s="8" t="s">
        <v>565</v>
      </c>
      <c r="F154" s="8" t="s">
        <v>29</v>
      </c>
      <c r="G154" s="7" t="s">
        <v>19</v>
      </c>
      <c r="H154" s="47" t="s">
        <v>207</v>
      </c>
      <c r="I154" s="47" t="s">
        <v>208</v>
      </c>
      <c r="J154" s="6">
        <v>70</v>
      </c>
      <c r="K154" s="8" t="s">
        <v>20</v>
      </c>
      <c r="L154" s="1" t="s">
        <v>565</v>
      </c>
      <c r="M154" s="5">
        <v>395</v>
      </c>
      <c r="Q154" s="3"/>
      <c r="R154" s="3"/>
      <c r="S154" s="3"/>
    </row>
    <row r="155" spans="1:19" ht="15" x14ac:dyDescent="0.25">
      <c r="A155" s="7" t="s">
        <v>16</v>
      </c>
      <c r="B155" s="7" t="s">
        <v>230</v>
      </c>
      <c r="C155" s="7" t="s">
        <v>24</v>
      </c>
      <c r="D155" s="4">
        <v>5831510000124</v>
      </c>
      <c r="E155" s="8" t="s">
        <v>567</v>
      </c>
      <c r="F155" s="8" t="s">
        <v>29</v>
      </c>
      <c r="G155" s="7" t="s">
        <v>19</v>
      </c>
      <c r="H155" s="47" t="s">
        <v>207</v>
      </c>
      <c r="I155" s="47" t="s">
        <v>208</v>
      </c>
      <c r="J155" s="6">
        <v>70</v>
      </c>
      <c r="K155" s="8" t="s">
        <v>20</v>
      </c>
      <c r="L155" s="1" t="s">
        <v>567</v>
      </c>
      <c r="M155" s="5">
        <v>140</v>
      </c>
      <c r="Q155" s="3"/>
      <c r="R155" s="3"/>
      <c r="S155" s="3"/>
    </row>
    <row r="156" spans="1:19" ht="15" x14ac:dyDescent="0.25">
      <c r="A156" s="7" t="s">
        <v>16</v>
      </c>
      <c r="B156" s="7" t="s">
        <v>230</v>
      </c>
      <c r="C156" s="7" t="s">
        <v>24</v>
      </c>
      <c r="D156" s="4">
        <v>7045325000130</v>
      </c>
      <c r="E156" s="8" t="s">
        <v>571</v>
      </c>
      <c r="F156" s="8" t="s">
        <v>29</v>
      </c>
      <c r="G156" s="7" t="s">
        <v>19</v>
      </c>
      <c r="H156" s="47" t="s">
        <v>207</v>
      </c>
      <c r="I156" s="47" t="s">
        <v>208</v>
      </c>
      <c r="J156" s="6">
        <v>70</v>
      </c>
      <c r="K156" s="8" t="s">
        <v>20</v>
      </c>
      <c r="L156" s="1" t="s">
        <v>571</v>
      </c>
      <c r="M156" s="5">
        <v>850</v>
      </c>
      <c r="Q156" s="3"/>
      <c r="R156" s="3"/>
      <c r="S156" s="3"/>
    </row>
    <row r="157" spans="1:19" ht="15" x14ac:dyDescent="0.25">
      <c r="A157" s="7" t="s">
        <v>16</v>
      </c>
      <c r="B157" s="7" t="s">
        <v>230</v>
      </c>
      <c r="C157" s="7" t="s">
        <v>24</v>
      </c>
      <c r="D157" s="4">
        <v>8100676000592</v>
      </c>
      <c r="E157" s="8" t="s">
        <v>572</v>
      </c>
      <c r="F157" s="8" t="s">
        <v>29</v>
      </c>
      <c r="G157" s="7" t="s">
        <v>19</v>
      </c>
      <c r="H157" s="47" t="s">
        <v>207</v>
      </c>
      <c r="I157" s="47" t="s">
        <v>208</v>
      </c>
      <c r="J157" s="6">
        <v>70</v>
      </c>
      <c r="K157" s="8" t="s">
        <v>20</v>
      </c>
      <c r="L157" s="1" t="s">
        <v>572</v>
      </c>
      <c r="M157" s="5">
        <v>335</v>
      </c>
      <c r="Q157" s="3"/>
      <c r="R157" s="3"/>
      <c r="S157" s="3"/>
    </row>
    <row r="158" spans="1:19" ht="15" x14ac:dyDescent="0.25">
      <c r="A158" s="7" t="s">
        <v>16</v>
      </c>
      <c r="B158" s="7" t="s">
        <v>230</v>
      </c>
      <c r="C158" s="7" t="s">
        <v>24</v>
      </c>
      <c r="D158" s="4">
        <v>8604105000161</v>
      </c>
      <c r="E158" s="8" t="s">
        <v>1358</v>
      </c>
      <c r="F158" s="8" t="s">
        <v>29</v>
      </c>
      <c r="G158" s="7" t="s">
        <v>19</v>
      </c>
      <c r="H158" s="47" t="s">
        <v>207</v>
      </c>
      <c r="I158" s="47" t="s">
        <v>208</v>
      </c>
      <c r="J158" s="6">
        <v>70</v>
      </c>
      <c r="K158" s="8" t="s">
        <v>20</v>
      </c>
      <c r="L158" s="1" t="s">
        <v>1358</v>
      </c>
      <c r="M158" s="5">
        <v>35</v>
      </c>
      <c r="Q158" s="3"/>
      <c r="R158" s="3"/>
      <c r="S158" s="3"/>
    </row>
    <row r="159" spans="1:19" ht="15" x14ac:dyDescent="0.25">
      <c r="A159" s="7" t="s">
        <v>16</v>
      </c>
      <c r="B159" s="7" t="s">
        <v>230</v>
      </c>
      <c r="C159" s="7" t="s">
        <v>24</v>
      </c>
      <c r="D159" s="4">
        <v>8677327000104</v>
      </c>
      <c r="E159" s="8" t="s">
        <v>576</v>
      </c>
      <c r="F159" s="8" t="s">
        <v>29</v>
      </c>
      <c r="G159" s="7" t="s">
        <v>19</v>
      </c>
      <c r="H159" s="47" t="s">
        <v>207</v>
      </c>
      <c r="I159" s="47" t="s">
        <v>208</v>
      </c>
      <c r="J159" s="6">
        <v>70</v>
      </c>
      <c r="K159" s="8" t="s">
        <v>20</v>
      </c>
      <c r="L159" s="1" t="s">
        <v>576</v>
      </c>
      <c r="M159" s="5">
        <v>60</v>
      </c>
      <c r="Q159" s="3"/>
      <c r="R159" s="3"/>
      <c r="S159" s="3"/>
    </row>
    <row r="160" spans="1:19" ht="15" x14ac:dyDescent="0.25">
      <c r="A160" s="7" t="s">
        <v>16</v>
      </c>
      <c r="B160" s="7" t="s">
        <v>230</v>
      </c>
      <c r="C160" s="7" t="s">
        <v>24</v>
      </c>
      <c r="D160" s="4">
        <v>8871521000126</v>
      </c>
      <c r="E160" s="8" t="s">
        <v>577</v>
      </c>
      <c r="F160" s="8" t="s">
        <v>29</v>
      </c>
      <c r="G160" s="7" t="s">
        <v>19</v>
      </c>
      <c r="H160" s="47" t="s">
        <v>207</v>
      </c>
      <c r="I160" s="47" t="s">
        <v>208</v>
      </c>
      <c r="J160" s="6">
        <v>70</v>
      </c>
      <c r="K160" s="8" t="s">
        <v>20</v>
      </c>
      <c r="L160" s="1" t="s">
        <v>577</v>
      </c>
      <c r="M160" s="5">
        <v>565</v>
      </c>
      <c r="Q160" s="3"/>
      <c r="R160" s="3"/>
      <c r="S160" s="3"/>
    </row>
    <row r="161" spans="1:19" ht="15" x14ac:dyDescent="0.25">
      <c r="A161" s="7" t="s">
        <v>16</v>
      </c>
      <c r="B161" s="7" t="s">
        <v>230</v>
      </c>
      <c r="C161" s="7" t="s">
        <v>24</v>
      </c>
      <c r="D161" s="4">
        <v>10468341000140</v>
      </c>
      <c r="E161" s="8" t="s">
        <v>581</v>
      </c>
      <c r="F161" s="8" t="s">
        <v>29</v>
      </c>
      <c r="G161" s="7" t="s">
        <v>19</v>
      </c>
      <c r="H161" s="47" t="s">
        <v>207</v>
      </c>
      <c r="I161" s="47" t="s">
        <v>208</v>
      </c>
      <c r="J161" s="6">
        <v>70</v>
      </c>
      <c r="K161" s="8" t="s">
        <v>20</v>
      </c>
      <c r="L161" s="1" t="s">
        <v>581</v>
      </c>
      <c r="M161" s="5">
        <v>445</v>
      </c>
      <c r="Q161" s="3"/>
      <c r="R161" s="3"/>
      <c r="S161" s="3"/>
    </row>
    <row r="162" spans="1:19" ht="15" x14ac:dyDescent="0.25">
      <c r="A162" s="7" t="s">
        <v>16</v>
      </c>
      <c r="B162" s="7" t="s">
        <v>230</v>
      </c>
      <c r="C162" s="7" t="s">
        <v>24</v>
      </c>
      <c r="D162" s="4">
        <v>10468341000220</v>
      </c>
      <c r="E162" s="8" t="s">
        <v>582</v>
      </c>
      <c r="F162" s="8" t="s">
        <v>29</v>
      </c>
      <c r="G162" s="7" t="s">
        <v>19</v>
      </c>
      <c r="H162" s="47" t="s">
        <v>207</v>
      </c>
      <c r="I162" s="47" t="s">
        <v>208</v>
      </c>
      <c r="J162" s="6">
        <v>70</v>
      </c>
      <c r="K162" s="8" t="s">
        <v>20</v>
      </c>
      <c r="L162" s="1" t="s">
        <v>582</v>
      </c>
      <c r="M162" s="5">
        <v>750</v>
      </c>
      <c r="Q162" s="3"/>
      <c r="R162" s="3"/>
      <c r="S162" s="3"/>
    </row>
    <row r="163" spans="1:19" ht="15" x14ac:dyDescent="0.25">
      <c r="A163" s="7" t="s">
        <v>16</v>
      </c>
      <c r="B163" s="7" t="s">
        <v>230</v>
      </c>
      <c r="C163" s="7" t="s">
        <v>24</v>
      </c>
      <c r="D163" s="4">
        <v>10475230000160</v>
      </c>
      <c r="E163" s="8" t="s">
        <v>583</v>
      </c>
      <c r="F163" s="8" t="s">
        <v>29</v>
      </c>
      <c r="G163" s="7" t="s">
        <v>19</v>
      </c>
      <c r="H163" s="47" t="s">
        <v>207</v>
      </c>
      <c r="I163" s="47" t="s">
        <v>208</v>
      </c>
      <c r="J163" s="6">
        <v>70</v>
      </c>
      <c r="K163" s="8" t="s">
        <v>20</v>
      </c>
      <c r="L163" s="1" t="s">
        <v>583</v>
      </c>
      <c r="M163" s="5">
        <v>45</v>
      </c>
      <c r="Q163" s="3"/>
      <c r="R163" s="3"/>
      <c r="S163" s="3"/>
    </row>
    <row r="164" spans="1:19" ht="15" x14ac:dyDescent="0.25">
      <c r="A164" s="7" t="s">
        <v>16</v>
      </c>
      <c r="B164" s="7" t="s">
        <v>230</v>
      </c>
      <c r="C164" s="7" t="s">
        <v>24</v>
      </c>
      <c r="D164" s="4">
        <v>29435005002687</v>
      </c>
      <c r="E164" s="8" t="s">
        <v>593</v>
      </c>
      <c r="F164" s="8" t="s">
        <v>29</v>
      </c>
      <c r="G164" s="7" t="s">
        <v>19</v>
      </c>
      <c r="H164" s="47" t="s">
        <v>207</v>
      </c>
      <c r="I164" s="47" t="s">
        <v>208</v>
      </c>
      <c r="J164" s="6">
        <v>70</v>
      </c>
      <c r="K164" s="8" t="s">
        <v>20</v>
      </c>
      <c r="L164" s="1" t="s">
        <v>593</v>
      </c>
      <c r="M164" s="5">
        <v>2000</v>
      </c>
      <c r="Q164" s="3"/>
      <c r="R164" s="3"/>
      <c r="S164" s="3"/>
    </row>
    <row r="165" spans="1:19" ht="15" x14ac:dyDescent="0.25">
      <c r="A165" s="7" t="s">
        <v>16</v>
      </c>
      <c r="B165" s="7" t="s">
        <v>230</v>
      </c>
      <c r="C165" s="7" t="s">
        <v>24</v>
      </c>
      <c r="D165" s="4">
        <v>29435005004540</v>
      </c>
      <c r="E165" s="8" t="s">
        <v>594</v>
      </c>
      <c r="F165" s="8" t="s">
        <v>29</v>
      </c>
      <c r="G165" s="7" t="s">
        <v>19</v>
      </c>
      <c r="H165" s="47" t="s">
        <v>207</v>
      </c>
      <c r="I165" s="47" t="s">
        <v>208</v>
      </c>
      <c r="J165" s="6">
        <v>70</v>
      </c>
      <c r="K165" s="8" t="s">
        <v>20</v>
      </c>
      <c r="L165" s="1" t="s">
        <v>594</v>
      </c>
      <c r="M165" s="5">
        <v>100</v>
      </c>
      <c r="Q165" s="3"/>
      <c r="R165" s="3"/>
      <c r="S165" s="3"/>
    </row>
    <row r="166" spans="1:19" ht="15" x14ac:dyDescent="0.25">
      <c r="A166" s="7" t="s">
        <v>16</v>
      </c>
      <c r="B166" s="7" t="s">
        <v>230</v>
      </c>
      <c r="C166" s="7" t="s">
        <v>24</v>
      </c>
      <c r="D166" s="4">
        <v>29435005009932</v>
      </c>
      <c r="E166" s="8" t="s">
        <v>595</v>
      </c>
      <c r="F166" s="8" t="s">
        <v>29</v>
      </c>
      <c r="G166" s="7" t="s">
        <v>19</v>
      </c>
      <c r="H166" s="47" t="s">
        <v>207</v>
      </c>
      <c r="I166" s="47" t="s">
        <v>208</v>
      </c>
      <c r="J166" s="6">
        <v>70</v>
      </c>
      <c r="K166" s="8" t="s">
        <v>20</v>
      </c>
      <c r="L166" s="1" t="s">
        <v>595</v>
      </c>
      <c r="M166" s="5">
        <v>900</v>
      </c>
      <c r="Q166" s="3"/>
      <c r="R166" s="3"/>
      <c r="S166" s="3"/>
    </row>
    <row r="167" spans="1:19" ht="15" x14ac:dyDescent="0.25">
      <c r="A167" s="7" t="s">
        <v>16</v>
      </c>
      <c r="B167" s="7" t="s">
        <v>230</v>
      </c>
      <c r="C167" s="7" t="s">
        <v>24</v>
      </c>
      <c r="D167" s="4">
        <v>43775956000178</v>
      </c>
      <c r="E167" s="8" t="s">
        <v>597</v>
      </c>
      <c r="F167" s="8" t="s">
        <v>29</v>
      </c>
      <c r="G167" s="7" t="s">
        <v>19</v>
      </c>
      <c r="H167" s="47" t="s">
        <v>207</v>
      </c>
      <c r="I167" s="47" t="s">
        <v>208</v>
      </c>
      <c r="J167" s="6">
        <v>70</v>
      </c>
      <c r="K167" s="8" t="s">
        <v>20</v>
      </c>
      <c r="L167" s="1" t="s">
        <v>597</v>
      </c>
      <c r="M167" s="5">
        <v>90</v>
      </c>
      <c r="Q167" s="3"/>
      <c r="R167" s="3"/>
      <c r="S167" s="3"/>
    </row>
    <row r="168" spans="1:19" ht="15" x14ac:dyDescent="0.25">
      <c r="A168" s="7" t="s">
        <v>16</v>
      </c>
      <c r="B168" s="7" t="s">
        <v>230</v>
      </c>
      <c r="C168" s="7" t="s">
        <v>24</v>
      </c>
      <c r="D168" s="4">
        <v>44649812005520</v>
      </c>
      <c r="E168" s="8" t="s">
        <v>598</v>
      </c>
      <c r="F168" s="8" t="s">
        <v>29</v>
      </c>
      <c r="G168" s="7" t="s">
        <v>19</v>
      </c>
      <c r="H168" s="47" t="s">
        <v>207</v>
      </c>
      <c r="I168" s="47" t="s">
        <v>208</v>
      </c>
      <c r="J168" s="6">
        <v>70</v>
      </c>
      <c r="K168" s="8" t="s">
        <v>20</v>
      </c>
      <c r="L168" s="1" t="s">
        <v>598</v>
      </c>
      <c r="M168" s="5">
        <v>70</v>
      </c>
      <c r="Q168" s="3"/>
      <c r="R168" s="3"/>
      <c r="S168" s="3"/>
    </row>
    <row r="169" spans="1:19" ht="15" x14ac:dyDescent="0.25">
      <c r="A169" s="7" t="s">
        <v>16</v>
      </c>
      <c r="B169" s="7" t="s">
        <v>230</v>
      </c>
      <c r="C169" s="7" t="s">
        <v>24</v>
      </c>
      <c r="D169" s="4">
        <v>46124624002670</v>
      </c>
      <c r="E169" s="8" t="s">
        <v>1226</v>
      </c>
      <c r="F169" s="8" t="s">
        <v>29</v>
      </c>
      <c r="G169" s="7" t="s">
        <v>19</v>
      </c>
      <c r="H169" s="47" t="s">
        <v>207</v>
      </c>
      <c r="I169" s="47" t="s">
        <v>208</v>
      </c>
      <c r="J169" s="6">
        <v>70</v>
      </c>
      <c r="K169" s="8" t="s">
        <v>20</v>
      </c>
      <c r="L169" s="1" t="s">
        <v>1226</v>
      </c>
      <c r="M169" s="5">
        <v>1300</v>
      </c>
      <c r="Q169" s="3"/>
      <c r="R169" s="3"/>
      <c r="S169" s="3"/>
    </row>
    <row r="170" spans="1:19" ht="15" x14ac:dyDescent="0.25">
      <c r="A170" s="7" t="s">
        <v>16</v>
      </c>
      <c r="B170" s="7" t="s">
        <v>230</v>
      </c>
      <c r="C170" s="7" t="s">
        <v>24</v>
      </c>
      <c r="D170" s="4">
        <v>51722957000506</v>
      </c>
      <c r="E170" s="8" t="s">
        <v>602</v>
      </c>
      <c r="F170" s="8" t="s">
        <v>29</v>
      </c>
      <c r="G170" s="7" t="s">
        <v>19</v>
      </c>
      <c r="H170" s="47" t="s">
        <v>207</v>
      </c>
      <c r="I170" s="47" t="s">
        <v>208</v>
      </c>
      <c r="J170" s="6">
        <v>70</v>
      </c>
      <c r="K170" s="8" t="s">
        <v>20</v>
      </c>
      <c r="L170" s="1" t="s">
        <v>602</v>
      </c>
      <c r="M170" s="5">
        <v>150</v>
      </c>
      <c r="Q170" s="3"/>
      <c r="R170" s="3"/>
      <c r="S170" s="3"/>
    </row>
    <row r="171" spans="1:19" ht="15" x14ac:dyDescent="0.25">
      <c r="A171" s="7" t="s">
        <v>16</v>
      </c>
      <c r="B171" s="7" t="s">
        <v>230</v>
      </c>
      <c r="C171" s="7" t="s">
        <v>24</v>
      </c>
      <c r="D171" s="4">
        <v>51722957010226</v>
      </c>
      <c r="E171" s="8" t="s">
        <v>603</v>
      </c>
      <c r="F171" s="8" t="s">
        <v>29</v>
      </c>
      <c r="G171" s="7" t="s">
        <v>19</v>
      </c>
      <c r="H171" s="47" t="s">
        <v>207</v>
      </c>
      <c r="I171" s="47" t="s">
        <v>208</v>
      </c>
      <c r="J171" s="6">
        <v>70</v>
      </c>
      <c r="K171" s="8" t="s">
        <v>20</v>
      </c>
      <c r="L171" s="1" t="s">
        <v>603</v>
      </c>
      <c r="M171" s="5">
        <v>1090</v>
      </c>
      <c r="Q171" s="3"/>
      <c r="R171" s="3"/>
      <c r="S171" s="3"/>
    </row>
    <row r="172" spans="1:19" ht="15" x14ac:dyDescent="0.25">
      <c r="A172" s="7" t="s">
        <v>16</v>
      </c>
      <c r="B172" s="7" t="s">
        <v>230</v>
      </c>
      <c r="C172" s="7" t="s">
        <v>24</v>
      </c>
      <c r="D172" s="4">
        <v>51722957012512</v>
      </c>
      <c r="E172" s="8" t="s">
        <v>604</v>
      </c>
      <c r="F172" s="8" t="s">
        <v>29</v>
      </c>
      <c r="G172" s="7" t="s">
        <v>19</v>
      </c>
      <c r="H172" s="47" t="s">
        <v>207</v>
      </c>
      <c r="I172" s="47" t="s">
        <v>208</v>
      </c>
      <c r="J172" s="6">
        <v>70</v>
      </c>
      <c r="K172" s="8" t="s">
        <v>20</v>
      </c>
      <c r="L172" s="1" t="s">
        <v>604</v>
      </c>
      <c r="M172" s="5">
        <v>600</v>
      </c>
      <c r="Q172" s="3"/>
      <c r="R172" s="3"/>
      <c r="S172" s="3"/>
    </row>
    <row r="173" spans="1:19" ht="15" x14ac:dyDescent="0.25">
      <c r="A173" s="7" t="s">
        <v>16</v>
      </c>
      <c r="B173" s="7" t="s">
        <v>230</v>
      </c>
      <c r="C173" s="7" t="s">
        <v>24</v>
      </c>
      <c r="D173" s="4">
        <v>56577059000100</v>
      </c>
      <c r="E173" s="8" t="s">
        <v>605</v>
      </c>
      <c r="F173" s="8" t="s">
        <v>29</v>
      </c>
      <c r="G173" s="7" t="s">
        <v>19</v>
      </c>
      <c r="H173" s="47" t="s">
        <v>207</v>
      </c>
      <c r="I173" s="47" t="s">
        <v>208</v>
      </c>
      <c r="J173" s="6">
        <v>70</v>
      </c>
      <c r="K173" s="8" t="s">
        <v>20</v>
      </c>
      <c r="L173" s="1" t="s">
        <v>605</v>
      </c>
      <c r="M173" s="5">
        <v>1530</v>
      </c>
      <c r="Q173" s="3"/>
      <c r="R173" s="3"/>
      <c r="S173" s="3"/>
    </row>
    <row r="174" spans="1:19" ht="15" x14ac:dyDescent="0.25">
      <c r="A174" s="7" t="s">
        <v>16</v>
      </c>
      <c r="B174" s="7" t="s">
        <v>230</v>
      </c>
      <c r="C174" s="7" t="s">
        <v>24</v>
      </c>
      <c r="D174" s="4">
        <v>59481028000130</v>
      </c>
      <c r="E174" s="8" t="s">
        <v>608</v>
      </c>
      <c r="F174" s="8" t="s">
        <v>29</v>
      </c>
      <c r="G174" s="7" t="s">
        <v>19</v>
      </c>
      <c r="H174" s="47" t="s">
        <v>207</v>
      </c>
      <c r="I174" s="47" t="s">
        <v>208</v>
      </c>
      <c r="J174" s="6">
        <v>70</v>
      </c>
      <c r="K174" s="8" t="s">
        <v>20</v>
      </c>
      <c r="L174" s="1" t="s">
        <v>608</v>
      </c>
      <c r="M174" s="5">
        <v>30</v>
      </c>
      <c r="Q174" s="3"/>
      <c r="R174" s="3"/>
      <c r="S174" s="3"/>
    </row>
    <row r="175" spans="1:19" ht="15" x14ac:dyDescent="0.25">
      <c r="A175" s="7" t="s">
        <v>16</v>
      </c>
      <c r="B175" s="7" t="s">
        <v>230</v>
      </c>
      <c r="C175" s="7" t="s">
        <v>24</v>
      </c>
      <c r="D175" s="4">
        <v>60678604000113</v>
      </c>
      <c r="E175" s="8" t="s">
        <v>612</v>
      </c>
      <c r="F175" s="8" t="s">
        <v>29</v>
      </c>
      <c r="G175" s="7" t="s">
        <v>19</v>
      </c>
      <c r="H175" s="47" t="s">
        <v>207</v>
      </c>
      <c r="I175" s="47" t="s">
        <v>208</v>
      </c>
      <c r="J175" s="6">
        <v>70</v>
      </c>
      <c r="K175" s="8" t="s">
        <v>20</v>
      </c>
      <c r="L175" s="1" t="s">
        <v>612</v>
      </c>
      <c r="M175" s="5">
        <v>75</v>
      </c>
      <c r="Q175" s="3"/>
      <c r="R175" s="3"/>
      <c r="S175" s="3"/>
    </row>
    <row r="176" spans="1:19" ht="15" x14ac:dyDescent="0.25">
      <c r="A176" s="7" t="s">
        <v>16</v>
      </c>
      <c r="B176" s="7" t="s">
        <v>230</v>
      </c>
      <c r="C176" s="7" t="s">
        <v>24</v>
      </c>
      <c r="D176" s="4">
        <v>60726502000126</v>
      </c>
      <c r="E176" s="8" t="s">
        <v>613</v>
      </c>
      <c r="F176" s="8" t="s">
        <v>29</v>
      </c>
      <c r="G176" s="7" t="s">
        <v>19</v>
      </c>
      <c r="H176" s="47" t="s">
        <v>207</v>
      </c>
      <c r="I176" s="47" t="s">
        <v>208</v>
      </c>
      <c r="J176" s="6">
        <v>70</v>
      </c>
      <c r="K176" s="8" t="s">
        <v>20</v>
      </c>
      <c r="L176" s="1" t="s">
        <v>613</v>
      </c>
      <c r="M176" s="5">
        <v>500</v>
      </c>
      <c r="Q176" s="3"/>
      <c r="R176" s="3"/>
      <c r="S176" s="3"/>
    </row>
    <row r="177" spans="1:19" ht="15" x14ac:dyDescent="0.25">
      <c r="A177" s="7" t="s">
        <v>16</v>
      </c>
      <c r="B177" s="7" t="s">
        <v>230</v>
      </c>
      <c r="C177" s="7" t="s">
        <v>24</v>
      </c>
      <c r="D177" s="4">
        <v>60742616000160</v>
      </c>
      <c r="E177" s="8" t="s">
        <v>1362</v>
      </c>
      <c r="F177" s="8" t="s">
        <v>29</v>
      </c>
      <c r="G177" s="7" t="s">
        <v>19</v>
      </c>
      <c r="H177" s="47" t="s">
        <v>207</v>
      </c>
      <c r="I177" s="47" t="s">
        <v>208</v>
      </c>
      <c r="J177" s="6">
        <v>70</v>
      </c>
      <c r="K177" s="8" t="s">
        <v>20</v>
      </c>
      <c r="L177" s="1" t="s">
        <v>1362</v>
      </c>
      <c r="M177" s="5">
        <v>50</v>
      </c>
      <c r="Q177" s="3"/>
      <c r="R177" s="3"/>
      <c r="S177" s="3"/>
    </row>
    <row r="178" spans="1:19" ht="15" x14ac:dyDescent="0.25">
      <c r="A178" s="7" t="s">
        <v>16</v>
      </c>
      <c r="B178" s="7" t="s">
        <v>230</v>
      </c>
      <c r="C178" s="7" t="s">
        <v>24</v>
      </c>
      <c r="D178" s="4">
        <v>60765823000130</v>
      </c>
      <c r="E178" s="8" t="s">
        <v>615</v>
      </c>
      <c r="F178" s="8" t="s">
        <v>29</v>
      </c>
      <c r="G178" s="7" t="s">
        <v>19</v>
      </c>
      <c r="H178" s="47" t="s">
        <v>207</v>
      </c>
      <c r="I178" s="47" t="s">
        <v>208</v>
      </c>
      <c r="J178" s="6">
        <v>70</v>
      </c>
      <c r="K178" s="8" t="s">
        <v>20</v>
      </c>
      <c r="L178" s="1" t="s">
        <v>615</v>
      </c>
      <c r="M178" s="5">
        <v>1300</v>
      </c>
      <c r="Q178" s="3"/>
      <c r="R178" s="3"/>
      <c r="S178" s="3"/>
    </row>
    <row r="179" spans="1:19" ht="15" x14ac:dyDescent="0.25">
      <c r="A179" s="7" t="s">
        <v>16</v>
      </c>
      <c r="B179" s="7" t="s">
        <v>230</v>
      </c>
      <c r="C179" s="7" t="s">
        <v>24</v>
      </c>
      <c r="D179" s="4">
        <v>60777901000116</v>
      </c>
      <c r="E179" s="8" t="s">
        <v>616</v>
      </c>
      <c r="F179" s="8" t="s">
        <v>29</v>
      </c>
      <c r="G179" s="7" t="s">
        <v>19</v>
      </c>
      <c r="H179" s="47" t="s">
        <v>207</v>
      </c>
      <c r="I179" s="47" t="s">
        <v>208</v>
      </c>
      <c r="J179" s="6">
        <v>70</v>
      </c>
      <c r="K179" s="8" t="s">
        <v>20</v>
      </c>
      <c r="L179" s="1" t="s">
        <v>616</v>
      </c>
      <c r="M179" s="5">
        <v>1750</v>
      </c>
      <c r="Q179" s="3"/>
      <c r="R179" s="3"/>
      <c r="S179" s="3"/>
    </row>
    <row r="180" spans="1:19" ht="15" x14ac:dyDescent="0.25">
      <c r="A180" s="7" t="s">
        <v>16</v>
      </c>
      <c r="B180" s="7" t="s">
        <v>230</v>
      </c>
      <c r="C180" s="7" t="s">
        <v>24</v>
      </c>
      <c r="D180" s="4">
        <v>60884855000316</v>
      </c>
      <c r="E180" s="8" t="s">
        <v>617</v>
      </c>
      <c r="F180" s="8" t="s">
        <v>29</v>
      </c>
      <c r="G180" s="7" t="s">
        <v>19</v>
      </c>
      <c r="H180" s="47" t="s">
        <v>207</v>
      </c>
      <c r="I180" s="47" t="s">
        <v>208</v>
      </c>
      <c r="J180" s="6">
        <v>70</v>
      </c>
      <c r="K180" s="8" t="s">
        <v>20</v>
      </c>
      <c r="L180" s="1" t="s">
        <v>617</v>
      </c>
      <c r="M180" s="5">
        <v>3280</v>
      </c>
      <c r="Q180" s="3"/>
      <c r="R180" s="3"/>
      <c r="S180" s="3"/>
    </row>
    <row r="181" spans="1:19" ht="15" x14ac:dyDescent="0.25">
      <c r="A181" s="7" t="s">
        <v>16</v>
      </c>
      <c r="B181" s="7" t="s">
        <v>230</v>
      </c>
      <c r="C181" s="7" t="s">
        <v>24</v>
      </c>
      <c r="D181" s="4">
        <v>60922168000771</v>
      </c>
      <c r="E181" s="8" t="s">
        <v>618</v>
      </c>
      <c r="F181" s="8" t="s">
        <v>29</v>
      </c>
      <c r="G181" s="7" t="s">
        <v>19</v>
      </c>
      <c r="H181" s="47" t="s">
        <v>207</v>
      </c>
      <c r="I181" s="47" t="s">
        <v>208</v>
      </c>
      <c r="J181" s="6">
        <v>70</v>
      </c>
      <c r="K181" s="8" t="s">
        <v>20</v>
      </c>
      <c r="L181" s="1" t="s">
        <v>618</v>
      </c>
      <c r="M181" s="5">
        <v>915</v>
      </c>
      <c r="Q181" s="3"/>
      <c r="R181" s="3"/>
      <c r="S181" s="3"/>
    </row>
    <row r="182" spans="1:19" ht="15" x14ac:dyDescent="0.25">
      <c r="A182" s="7" t="s">
        <v>16</v>
      </c>
      <c r="B182" s="7" t="s">
        <v>230</v>
      </c>
      <c r="C182" s="7" t="s">
        <v>24</v>
      </c>
      <c r="D182" s="4">
        <v>60961422000155</v>
      </c>
      <c r="E182" s="8" t="s">
        <v>620</v>
      </c>
      <c r="F182" s="8" t="s">
        <v>29</v>
      </c>
      <c r="G182" s="7" t="s">
        <v>19</v>
      </c>
      <c r="H182" s="47" t="s">
        <v>207</v>
      </c>
      <c r="I182" s="47" t="s">
        <v>208</v>
      </c>
      <c r="J182" s="6">
        <v>70</v>
      </c>
      <c r="K182" s="8" t="s">
        <v>20</v>
      </c>
      <c r="L182" s="1" t="s">
        <v>620</v>
      </c>
      <c r="M182" s="5">
        <v>20</v>
      </c>
      <c r="Q182" s="3"/>
      <c r="R182" s="3"/>
      <c r="S182" s="3"/>
    </row>
    <row r="183" spans="1:19" ht="15" x14ac:dyDescent="0.25">
      <c r="A183" s="7" t="s">
        <v>16</v>
      </c>
      <c r="B183" s="7" t="s">
        <v>230</v>
      </c>
      <c r="C183" s="7" t="s">
        <v>24</v>
      </c>
      <c r="D183" s="4">
        <v>61590410000124</v>
      </c>
      <c r="E183" s="8" t="s">
        <v>630</v>
      </c>
      <c r="F183" s="8" t="s">
        <v>29</v>
      </c>
      <c r="G183" s="7" t="s">
        <v>19</v>
      </c>
      <c r="H183" s="47" t="s">
        <v>207</v>
      </c>
      <c r="I183" s="47" t="s">
        <v>208</v>
      </c>
      <c r="J183" s="6">
        <v>70</v>
      </c>
      <c r="K183" s="8" t="s">
        <v>20</v>
      </c>
      <c r="L183" s="1" t="s">
        <v>630</v>
      </c>
      <c r="M183" s="5">
        <v>1050</v>
      </c>
      <c r="Q183" s="3"/>
      <c r="R183" s="3"/>
      <c r="S183" s="3"/>
    </row>
    <row r="184" spans="1:19" ht="15" x14ac:dyDescent="0.25">
      <c r="A184" s="7" t="s">
        <v>16</v>
      </c>
      <c r="B184" s="7" t="s">
        <v>230</v>
      </c>
      <c r="C184" s="7" t="s">
        <v>24</v>
      </c>
      <c r="D184" s="4">
        <v>61699567006204</v>
      </c>
      <c r="E184" s="8" t="s">
        <v>1364</v>
      </c>
      <c r="F184" s="8" t="s">
        <v>29</v>
      </c>
      <c r="G184" s="7" t="s">
        <v>19</v>
      </c>
      <c r="H184" s="47" t="s">
        <v>207</v>
      </c>
      <c r="I184" s="47" t="s">
        <v>208</v>
      </c>
      <c r="J184" s="6">
        <v>70</v>
      </c>
      <c r="K184" s="8" t="s">
        <v>20</v>
      </c>
      <c r="L184" s="1" t="s">
        <v>1364</v>
      </c>
      <c r="M184" s="5">
        <v>60</v>
      </c>
      <c r="Q184" s="3"/>
      <c r="R184" s="3"/>
      <c r="S184" s="3"/>
    </row>
    <row r="185" spans="1:19" ht="15" x14ac:dyDescent="0.25">
      <c r="A185" s="7" t="s">
        <v>16</v>
      </c>
      <c r="B185" s="7" t="s">
        <v>230</v>
      </c>
      <c r="C185" s="7" t="s">
        <v>24</v>
      </c>
      <c r="D185" s="4">
        <v>62779145000190</v>
      </c>
      <c r="E185" s="8" t="s">
        <v>634</v>
      </c>
      <c r="F185" s="8" t="s">
        <v>29</v>
      </c>
      <c r="G185" s="7" t="s">
        <v>19</v>
      </c>
      <c r="H185" s="47" t="s">
        <v>207</v>
      </c>
      <c r="I185" s="47" t="s">
        <v>208</v>
      </c>
      <c r="J185" s="6">
        <v>70</v>
      </c>
      <c r="K185" s="8" t="s">
        <v>20</v>
      </c>
      <c r="L185" s="1" t="s">
        <v>634</v>
      </c>
      <c r="M185" s="5">
        <v>300</v>
      </c>
      <c r="Q185" s="3"/>
      <c r="R185" s="3"/>
      <c r="S185" s="3"/>
    </row>
    <row r="186" spans="1:19" ht="15" x14ac:dyDescent="0.25">
      <c r="A186" s="7" t="s">
        <v>16</v>
      </c>
      <c r="B186" s="7" t="s">
        <v>372</v>
      </c>
      <c r="C186" s="7" t="s">
        <v>373</v>
      </c>
      <c r="D186" s="4">
        <v>461479004150</v>
      </c>
      <c r="E186" s="8" t="s">
        <v>1138</v>
      </c>
      <c r="F186" s="8" t="s">
        <v>29</v>
      </c>
      <c r="G186" s="7" t="s">
        <v>19</v>
      </c>
      <c r="H186" s="47" t="s">
        <v>207</v>
      </c>
      <c r="I186" s="47" t="s">
        <v>208</v>
      </c>
      <c r="J186" s="6">
        <v>70</v>
      </c>
      <c r="K186" s="8" t="s">
        <v>20</v>
      </c>
      <c r="L186" s="1" t="s">
        <v>1138</v>
      </c>
      <c r="M186" s="5">
        <v>175</v>
      </c>
      <c r="Q186" s="3"/>
      <c r="R186" s="3"/>
      <c r="S186" s="3"/>
    </row>
    <row r="187" spans="1:19" ht="15" x14ac:dyDescent="0.25">
      <c r="A187" s="7" t="s">
        <v>16</v>
      </c>
      <c r="B187" s="7" t="s">
        <v>372</v>
      </c>
      <c r="C187" s="7" t="s">
        <v>373</v>
      </c>
      <c r="D187" s="4">
        <v>461479004584</v>
      </c>
      <c r="E187" s="8" t="s">
        <v>560</v>
      </c>
      <c r="F187" s="8" t="s">
        <v>29</v>
      </c>
      <c r="G187" s="7" t="s">
        <v>19</v>
      </c>
      <c r="H187" s="47" t="s">
        <v>207</v>
      </c>
      <c r="I187" s="47" t="s">
        <v>208</v>
      </c>
      <c r="J187" s="6">
        <v>70</v>
      </c>
      <c r="K187" s="8" t="s">
        <v>20</v>
      </c>
      <c r="L187" s="1" t="s">
        <v>560</v>
      </c>
      <c r="M187" s="5">
        <v>1940</v>
      </c>
      <c r="Q187" s="3"/>
      <c r="R187" s="3"/>
      <c r="S187" s="3"/>
    </row>
    <row r="188" spans="1:19" ht="15" x14ac:dyDescent="0.25">
      <c r="A188" s="7" t="s">
        <v>16</v>
      </c>
      <c r="B188" s="7" t="s">
        <v>372</v>
      </c>
      <c r="C188" s="7" t="s">
        <v>373</v>
      </c>
      <c r="D188" s="4">
        <v>4036348000190</v>
      </c>
      <c r="E188" s="8" t="s">
        <v>565</v>
      </c>
      <c r="F188" s="8" t="s">
        <v>29</v>
      </c>
      <c r="G188" s="7" t="s">
        <v>19</v>
      </c>
      <c r="H188" s="47" t="s">
        <v>207</v>
      </c>
      <c r="I188" s="47" t="s">
        <v>208</v>
      </c>
      <c r="J188" s="6">
        <v>70</v>
      </c>
      <c r="K188" s="8" t="s">
        <v>20</v>
      </c>
      <c r="L188" s="1" t="s">
        <v>565</v>
      </c>
      <c r="M188" s="5">
        <v>375</v>
      </c>
      <c r="Q188" s="3"/>
      <c r="R188" s="3"/>
      <c r="S188" s="3"/>
    </row>
    <row r="189" spans="1:19" ht="15" x14ac:dyDescent="0.25">
      <c r="A189" s="7" t="s">
        <v>16</v>
      </c>
      <c r="B189" s="7" t="s">
        <v>372</v>
      </c>
      <c r="C189" s="7" t="s">
        <v>373</v>
      </c>
      <c r="D189" s="4">
        <v>5831510000124</v>
      </c>
      <c r="E189" s="8" t="s">
        <v>567</v>
      </c>
      <c r="F189" s="8" t="s">
        <v>29</v>
      </c>
      <c r="G189" s="7" t="s">
        <v>19</v>
      </c>
      <c r="H189" s="47" t="s">
        <v>207</v>
      </c>
      <c r="I189" s="47" t="s">
        <v>208</v>
      </c>
      <c r="J189" s="6">
        <v>70</v>
      </c>
      <c r="K189" s="8" t="s">
        <v>20</v>
      </c>
      <c r="L189" s="1" t="s">
        <v>567</v>
      </c>
      <c r="M189" s="5">
        <v>140</v>
      </c>
      <c r="Q189" s="3"/>
      <c r="R189" s="3"/>
      <c r="S189" s="3"/>
    </row>
    <row r="190" spans="1:19" ht="15" x14ac:dyDescent="0.25">
      <c r="A190" s="7" t="s">
        <v>16</v>
      </c>
      <c r="B190" s="7" t="s">
        <v>372</v>
      </c>
      <c r="C190" s="7" t="s">
        <v>373</v>
      </c>
      <c r="D190" s="4">
        <v>7045325000130</v>
      </c>
      <c r="E190" s="8" t="s">
        <v>571</v>
      </c>
      <c r="F190" s="8" t="s">
        <v>29</v>
      </c>
      <c r="G190" s="7" t="s">
        <v>19</v>
      </c>
      <c r="H190" s="47" t="s">
        <v>207</v>
      </c>
      <c r="I190" s="47" t="s">
        <v>208</v>
      </c>
      <c r="J190" s="6">
        <v>70</v>
      </c>
      <c r="K190" s="8" t="s">
        <v>20</v>
      </c>
      <c r="L190" s="1" t="s">
        <v>571</v>
      </c>
      <c r="M190" s="5">
        <v>500</v>
      </c>
      <c r="Q190" s="3"/>
      <c r="R190" s="3"/>
      <c r="S190" s="3"/>
    </row>
    <row r="191" spans="1:19" ht="15" x14ac:dyDescent="0.25">
      <c r="A191" s="7" t="s">
        <v>16</v>
      </c>
      <c r="B191" s="7" t="s">
        <v>372</v>
      </c>
      <c r="C191" s="7" t="s">
        <v>373</v>
      </c>
      <c r="D191" s="4">
        <v>8100676000592</v>
      </c>
      <c r="E191" s="8" t="s">
        <v>572</v>
      </c>
      <c r="F191" s="8" t="s">
        <v>29</v>
      </c>
      <c r="G191" s="7" t="s">
        <v>19</v>
      </c>
      <c r="H191" s="47" t="s">
        <v>207</v>
      </c>
      <c r="I191" s="47" t="s">
        <v>208</v>
      </c>
      <c r="J191" s="6">
        <v>70</v>
      </c>
      <c r="K191" s="8" t="s">
        <v>20</v>
      </c>
      <c r="L191" s="1" t="s">
        <v>572</v>
      </c>
      <c r="M191" s="5">
        <v>685</v>
      </c>
      <c r="Q191" s="3"/>
      <c r="R191" s="3"/>
      <c r="S191" s="3"/>
    </row>
    <row r="192" spans="1:19" ht="15" x14ac:dyDescent="0.25">
      <c r="A192" s="7" t="s">
        <v>16</v>
      </c>
      <c r="B192" s="7" t="s">
        <v>372</v>
      </c>
      <c r="C192" s="7" t="s">
        <v>373</v>
      </c>
      <c r="D192" s="4">
        <v>8604105000161</v>
      </c>
      <c r="E192" s="8" t="s">
        <v>1358</v>
      </c>
      <c r="F192" s="8" t="s">
        <v>29</v>
      </c>
      <c r="G192" s="7" t="s">
        <v>19</v>
      </c>
      <c r="H192" s="47" t="s">
        <v>207</v>
      </c>
      <c r="I192" s="47" t="s">
        <v>208</v>
      </c>
      <c r="J192" s="6">
        <v>70</v>
      </c>
      <c r="K192" s="8" t="s">
        <v>20</v>
      </c>
      <c r="L192" s="1" t="s">
        <v>1358</v>
      </c>
      <c r="M192" s="5">
        <v>35</v>
      </c>
      <c r="Q192" s="3"/>
      <c r="R192" s="3"/>
      <c r="S192" s="3"/>
    </row>
    <row r="193" spans="1:19" ht="15" x14ac:dyDescent="0.25">
      <c r="A193" s="7" t="s">
        <v>16</v>
      </c>
      <c r="B193" s="7" t="s">
        <v>372</v>
      </c>
      <c r="C193" s="7" t="s">
        <v>373</v>
      </c>
      <c r="D193" s="4">
        <v>8871521000126</v>
      </c>
      <c r="E193" s="8" t="s">
        <v>577</v>
      </c>
      <c r="F193" s="8" t="s">
        <v>29</v>
      </c>
      <c r="G193" s="7" t="s">
        <v>19</v>
      </c>
      <c r="H193" s="47" t="s">
        <v>207</v>
      </c>
      <c r="I193" s="47" t="s">
        <v>208</v>
      </c>
      <c r="J193" s="6">
        <v>70</v>
      </c>
      <c r="K193" s="8" t="s">
        <v>20</v>
      </c>
      <c r="L193" s="1" t="s">
        <v>577</v>
      </c>
      <c r="M193" s="5">
        <v>110</v>
      </c>
      <c r="Q193" s="3"/>
      <c r="R193" s="3"/>
      <c r="S193" s="3"/>
    </row>
    <row r="194" spans="1:19" ht="15" x14ac:dyDescent="0.25">
      <c r="A194" s="7" t="s">
        <v>16</v>
      </c>
      <c r="B194" s="7" t="s">
        <v>372</v>
      </c>
      <c r="C194" s="7" t="s">
        <v>373</v>
      </c>
      <c r="D194" s="4">
        <v>10468341000140</v>
      </c>
      <c r="E194" s="8" t="s">
        <v>581</v>
      </c>
      <c r="F194" s="8" t="s">
        <v>29</v>
      </c>
      <c r="G194" s="7" t="s">
        <v>19</v>
      </c>
      <c r="H194" s="47" t="s">
        <v>207</v>
      </c>
      <c r="I194" s="47" t="s">
        <v>208</v>
      </c>
      <c r="J194" s="6">
        <v>70</v>
      </c>
      <c r="K194" s="8" t="s">
        <v>20</v>
      </c>
      <c r="L194" s="1" t="s">
        <v>581</v>
      </c>
      <c r="M194" s="5">
        <v>1635</v>
      </c>
      <c r="Q194" s="3"/>
      <c r="R194" s="3"/>
      <c r="S194" s="3"/>
    </row>
    <row r="195" spans="1:19" ht="15" x14ac:dyDescent="0.25">
      <c r="A195" s="7" t="s">
        <v>16</v>
      </c>
      <c r="B195" s="7" t="s">
        <v>372</v>
      </c>
      <c r="C195" s="7" t="s">
        <v>373</v>
      </c>
      <c r="D195" s="4">
        <v>10468341000220</v>
      </c>
      <c r="E195" s="8" t="s">
        <v>582</v>
      </c>
      <c r="F195" s="8" t="s">
        <v>29</v>
      </c>
      <c r="G195" s="7" t="s">
        <v>19</v>
      </c>
      <c r="H195" s="47" t="s">
        <v>207</v>
      </c>
      <c r="I195" s="47" t="s">
        <v>208</v>
      </c>
      <c r="J195" s="6">
        <v>70</v>
      </c>
      <c r="K195" s="8" t="s">
        <v>20</v>
      </c>
      <c r="L195" s="1" t="s">
        <v>582</v>
      </c>
      <c r="M195" s="5">
        <v>130</v>
      </c>
      <c r="Q195" s="3"/>
      <c r="R195" s="3"/>
      <c r="S195" s="3"/>
    </row>
    <row r="196" spans="1:19" ht="15" x14ac:dyDescent="0.25">
      <c r="A196" s="7" t="s">
        <v>16</v>
      </c>
      <c r="B196" s="7" t="s">
        <v>372</v>
      </c>
      <c r="C196" s="7" t="s">
        <v>373</v>
      </c>
      <c r="D196" s="4">
        <v>10475230000160</v>
      </c>
      <c r="E196" s="8" t="s">
        <v>583</v>
      </c>
      <c r="F196" s="8" t="s">
        <v>29</v>
      </c>
      <c r="G196" s="7" t="s">
        <v>19</v>
      </c>
      <c r="H196" s="47" t="s">
        <v>207</v>
      </c>
      <c r="I196" s="47" t="s">
        <v>208</v>
      </c>
      <c r="J196" s="6">
        <v>70</v>
      </c>
      <c r="K196" s="8" t="s">
        <v>20</v>
      </c>
      <c r="L196" s="1" t="s">
        <v>583</v>
      </c>
      <c r="M196" s="5">
        <v>280</v>
      </c>
      <c r="Q196" s="3"/>
      <c r="R196" s="3"/>
      <c r="S196" s="3"/>
    </row>
    <row r="197" spans="1:19" ht="15" x14ac:dyDescent="0.25">
      <c r="A197" s="7" t="s">
        <v>16</v>
      </c>
      <c r="B197" s="7" t="s">
        <v>372</v>
      </c>
      <c r="C197" s="7" t="s">
        <v>373</v>
      </c>
      <c r="D197" s="4">
        <v>28290788000307</v>
      </c>
      <c r="E197" s="8" t="s">
        <v>592</v>
      </c>
      <c r="F197" s="8" t="s">
        <v>29</v>
      </c>
      <c r="G197" s="7" t="s">
        <v>19</v>
      </c>
      <c r="H197" s="47" t="s">
        <v>207</v>
      </c>
      <c r="I197" s="47" t="s">
        <v>208</v>
      </c>
      <c r="J197" s="6">
        <v>70</v>
      </c>
      <c r="K197" s="8" t="s">
        <v>20</v>
      </c>
      <c r="L197" s="1" t="s">
        <v>592</v>
      </c>
      <c r="M197" s="5">
        <v>320</v>
      </c>
      <c r="Q197" s="3"/>
      <c r="R197" s="3"/>
      <c r="S197" s="3"/>
    </row>
    <row r="198" spans="1:19" ht="15" x14ac:dyDescent="0.25">
      <c r="A198" s="7" t="s">
        <v>16</v>
      </c>
      <c r="B198" s="7" t="s">
        <v>372</v>
      </c>
      <c r="C198" s="7" t="s">
        <v>373</v>
      </c>
      <c r="D198" s="4">
        <v>29435005009932</v>
      </c>
      <c r="E198" s="8" t="s">
        <v>595</v>
      </c>
      <c r="F198" s="8" t="s">
        <v>29</v>
      </c>
      <c r="G198" s="7" t="s">
        <v>19</v>
      </c>
      <c r="H198" s="47" t="s">
        <v>207</v>
      </c>
      <c r="I198" s="47" t="s">
        <v>208</v>
      </c>
      <c r="J198" s="6">
        <v>70</v>
      </c>
      <c r="K198" s="8" t="s">
        <v>20</v>
      </c>
      <c r="L198" s="1" t="s">
        <v>595</v>
      </c>
      <c r="M198" s="5">
        <v>1300</v>
      </c>
      <c r="Q198" s="3"/>
      <c r="R198" s="3"/>
      <c r="S198" s="3"/>
    </row>
    <row r="199" spans="1:19" ht="15" x14ac:dyDescent="0.25">
      <c r="A199" s="7" t="s">
        <v>16</v>
      </c>
      <c r="B199" s="7" t="s">
        <v>372</v>
      </c>
      <c r="C199" s="7" t="s">
        <v>373</v>
      </c>
      <c r="D199" s="4">
        <v>43775956000178</v>
      </c>
      <c r="E199" s="8" t="s">
        <v>597</v>
      </c>
      <c r="F199" s="8" t="s">
        <v>29</v>
      </c>
      <c r="G199" s="7" t="s">
        <v>19</v>
      </c>
      <c r="H199" s="47" t="s">
        <v>207</v>
      </c>
      <c r="I199" s="47" t="s">
        <v>208</v>
      </c>
      <c r="J199" s="6">
        <v>70</v>
      </c>
      <c r="K199" s="8" t="s">
        <v>20</v>
      </c>
      <c r="L199" s="1" t="s">
        <v>597</v>
      </c>
      <c r="M199" s="5">
        <v>100</v>
      </c>
      <c r="Q199" s="3"/>
      <c r="R199" s="3"/>
      <c r="S199" s="3"/>
    </row>
    <row r="200" spans="1:19" ht="15" x14ac:dyDescent="0.25">
      <c r="A200" s="7" t="s">
        <v>16</v>
      </c>
      <c r="B200" s="7" t="s">
        <v>372</v>
      </c>
      <c r="C200" s="7" t="s">
        <v>373</v>
      </c>
      <c r="D200" s="4">
        <v>45876208000107</v>
      </c>
      <c r="E200" s="8" t="s">
        <v>1361</v>
      </c>
      <c r="F200" s="8" t="s">
        <v>29</v>
      </c>
      <c r="G200" s="7" t="s">
        <v>19</v>
      </c>
      <c r="H200" s="47" t="s">
        <v>207</v>
      </c>
      <c r="I200" s="47" t="s">
        <v>208</v>
      </c>
      <c r="J200" s="6">
        <v>70</v>
      </c>
      <c r="K200" s="8" t="s">
        <v>20</v>
      </c>
      <c r="L200" s="1" t="s">
        <v>1361</v>
      </c>
      <c r="M200" s="5">
        <v>30</v>
      </c>
      <c r="Q200" s="3"/>
      <c r="R200" s="3"/>
      <c r="S200" s="3"/>
    </row>
    <row r="201" spans="1:19" ht="15" x14ac:dyDescent="0.25">
      <c r="A201" s="7" t="s">
        <v>16</v>
      </c>
      <c r="B201" s="7" t="s">
        <v>372</v>
      </c>
      <c r="C201" s="7" t="s">
        <v>373</v>
      </c>
      <c r="D201" s="4">
        <v>46124624002670</v>
      </c>
      <c r="E201" s="8" t="s">
        <v>1226</v>
      </c>
      <c r="F201" s="8" t="s">
        <v>29</v>
      </c>
      <c r="G201" s="7" t="s">
        <v>19</v>
      </c>
      <c r="H201" s="47" t="s">
        <v>207</v>
      </c>
      <c r="I201" s="47" t="s">
        <v>208</v>
      </c>
      <c r="J201" s="6">
        <v>70</v>
      </c>
      <c r="K201" s="8" t="s">
        <v>20</v>
      </c>
      <c r="L201" s="1" t="s">
        <v>1226</v>
      </c>
      <c r="M201" s="5">
        <v>1250</v>
      </c>
      <c r="Q201" s="3"/>
      <c r="R201" s="3"/>
      <c r="S201" s="3"/>
    </row>
    <row r="202" spans="1:19" ht="15" x14ac:dyDescent="0.25">
      <c r="A202" s="7" t="s">
        <v>16</v>
      </c>
      <c r="B202" s="7" t="s">
        <v>372</v>
      </c>
      <c r="C202" s="7" t="s">
        <v>373</v>
      </c>
      <c r="D202" s="4">
        <v>46374500008845</v>
      </c>
      <c r="E202" s="8" t="s">
        <v>599</v>
      </c>
      <c r="F202" s="8" t="s">
        <v>29</v>
      </c>
      <c r="G202" s="7" t="s">
        <v>19</v>
      </c>
      <c r="H202" s="47" t="s">
        <v>207</v>
      </c>
      <c r="I202" s="47" t="s">
        <v>208</v>
      </c>
      <c r="J202" s="6">
        <v>70</v>
      </c>
      <c r="K202" s="8" t="s">
        <v>20</v>
      </c>
      <c r="L202" s="1" t="s">
        <v>599</v>
      </c>
      <c r="M202" s="5">
        <v>320</v>
      </c>
      <c r="Q202" s="3"/>
      <c r="R202" s="3"/>
      <c r="S202" s="3"/>
    </row>
    <row r="203" spans="1:19" ht="15" x14ac:dyDescent="0.25">
      <c r="A203" s="7" t="s">
        <v>16</v>
      </c>
      <c r="B203" s="7" t="s">
        <v>372</v>
      </c>
      <c r="C203" s="7" t="s">
        <v>373</v>
      </c>
      <c r="D203" s="4">
        <v>46374500026231</v>
      </c>
      <c r="E203" s="8" t="s">
        <v>601</v>
      </c>
      <c r="F203" s="8" t="s">
        <v>29</v>
      </c>
      <c r="G203" s="7" t="s">
        <v>19</v>
      </c>
      <c r="H203" s="47" t="s">
        <v>207</v>
      </c>
      <c r="I203" s="47" t="s">
        <v>208</v>
      </c>
      <c r="J203" s="6">
        <v>70</v>
      </c>
      <c r="K203" s="8" t="s">
        <v>20</v>
      </c>
      <c r="L203" s="1" t="s">
        <v>601</v>
      </c>
      <c r="M203" s="5">
        <v>180</v>
      </c>
      <c r="Q203" s="3"/>
      <c r="R203" s="3"/>
      <c r="S203" s="3"/>
    </row>
    <row r="204" spans="1:19" ht="15" x14ac:dyDescent="0.25">
      <c r="A204" s="7" t="s">
        <v>16</v>
      </c>
      <c r="B204" s="7" t="s">
        <v>372</v>
      </c>
      <c r="C204" s="7" t="s">
        <v>373</v>
      </c>
      <c r="D204" s="4">
        <v>51722957000506</v>
      </c>
      <c r="E204" s="8" t="s">
        <v>602</v>
      </c>
      <c r="F204" s="8" t="s">
        <v>29</v>
      </c>
      <c r="G204" s="7" t="s">
        <v>19</v>
      </c>
      <c r="H204" s="47" t="s">
        <v>207</v>
      </c>
      <c r="I204" s="47" t="s">
        <v>208</v>
      </c>
      <c r="J204" s="6">
        <v>70</v>
      </c>
      <c r="K204" s="8" t="s">
        <v>20</v>
      </c>
      <c r="L204" s="1" t="s">
        <v>602</v>
      </c>
      <c r="M204" s="5">
        <v>300</v>
      </c>
      <c r="Q204" s="3"/>
      <c r="R204" s="3"/>
      <c r="S204" s="3"/>
    </row>
    <row r="205" spans="1:19" ht="15" x14ac:dyDescent="0.25">
      <c r="A205" s="7" t="s">
        <v>16</v>
      </c>
      <c r="B205" s="7" t="s">
        <v>372</v>
      </c>
      <c r="C205" s="7" t="s">
        <v>373</v>
      </c>
      <c r="D205" s="4">
        <v>60552098000111</v>
      </c>
      <c r="E205" s="8" t="s">
        <v>611</v>
      </c>
      <c r="F205" s="8" t="s">
        <v>29</v>
      </c>
      <c r="G205" s="7" t="s">
        <v>19</v>
      </c>
      <c r="H205" s="47" t="s">
        <v>207</v>
      </c>
      <c r="I205" s="47" t="s">
        <v>208</v>
      </c>
      <c r="J205" s="6">
        <v>70</v>
      </c>
      <c r="K205" s="8" t="s">
        <v>20</v>
      </c>
      <c r="L205" s="1" t="s">
        <v>611</v>
      </c>
      <c r="M205" s="5">
        <v>450</v>
      </c>
      <c r="Q205" s="3"/>
      <c r="R205" s="3"/>
      <c r="S205" s="3"/>
    </row>
    <row r="206" spans="1:19" ht="15" x14ac:dyDescent="0.25">
      <c r="A206" s="7" t="s">
        <v>16</v>
      </c>
      <c r="B206" s="7" t="s">
        <v>372</v>
      </c>
      <c r="C206" s="7" t="s">
        <v>373</v>
      </c>
      <c r="D206" s="4">
        <v>60678604000113</v>
      </c>
      <c r="E206" s="8" t="s">
        <v>612</v>
      </c>
      <c r="F206" s="8" t="s">
        <v>29</v>
      </c>
      <c r="G206" s="7" t="s">
        <v>19</v>
      </c>
      <c r="H206" s="47" t="s">
        <v>207</v>
      </c>
      <c r="I206" s="47" t="s">
        <v>208</v>
      </c>
      <c r="J206" s="6">
        <v>70</v>
      </c>
      <c r="K206" s="8" t="s">
        <v>20</v>
      </c>
      <c r="L206" s="1" t="s">
        <v>612</v>
      </c>
      <c r="M206" s="5">
        <v>150</v>
      </c>
      <c r="Q206" s="3"/>
      <c r="R206" s="3"/>
      <c r="S206" s="3"/>
    </row>
    <row r="207" spans="1:19" ht="15" x14ac:dyDescent="0.25">
      <c r="A207" s="7" t="s">
        <v>16</v>
      </c>
      <c r="B207" s="7" t="s">
        <v>372</v>
      </c>
      <c r="C207" s="7" t="s">
        <v>373</v>
      </c>
      <c r="D207" s="4">
        <v>60742616000160</v>
      </c>
      <c r="E207" s="8" t="s">
        <v>1362</v>
      </c>
      <c r="F207" s="8" t="s">
        <v>29</v>
      </c>
      <c r="G207" s="7" t="s">
        <v>19</v>
      </c>
      <c r="H207" s="47" t="s">
        <v>207</v>
      </c>
      <c r="I207" s="47" t="s">
        <v>208</v>
      </c>
      <c r="J207" s="6">
        <v>70</v>
      </c>
      <c r="K207" s="8" t="s">
        <v>20</v>
      </c>
      <c r="L207" s="1" t="s">
        <v>1362</v>
      </c>
      <c r="M207" s="5">
        <v>530</v>
      </c>
      <c r="Q207" s="3"/>
      <c r="R207" s="3"/>
      <c r="S207" s="3"/>
    </row>
    <row r="208" spans="1:19" ht="15" x14ac:dyDescent="0.25">
      <c r="A208" s="7" t="s">
        <v>16</v>
      </c>
      <c r="B208" s="7" t="s">
        <v>372</v>
      </c>
      <c r="C208" s="7" t="s">
        <v>373</v>
      </c>
      <c r="D208" s="4">
        <v>60742616000674</v>
      </c>
      <c r="E208" s="8" t="s">
        <v>1363</v>
      </c>
      <c r="F208" s="8" t="s">
        <v>29</v>
      </c>
      <c r="G208" s="7" t="s">
        <v>19</v>
      </c>
      <c r="H208" s="47" t="s">
        <v>207</v>
      </c>
      <c r="I208" s="47" t="s">
        <v>208</v>
      </c>
      <c r="J208" s="6">
        <v>70</v>
      </c>
      <c r="K208" s="8" t="s">
        <v>20</v>
      </c>
      <c r="L208" s="1" t="s">
        <v>1363</v>
      </c>
      <c r="M208" s="5">
        <v>25</v>
      </c>
      <c r="Q208" s="3"/>
      <c r="R208" s="3"/>
      <c r="S208" s="3"/>
    </row>
    <row r="209" spans="1:19" ht="15" x14ac:dyDescent="0.25">
      <c r="A209" s="7" t="s">
        <v>16</v>
      </c>
      <c r="B209" s="7" t="s">
        <v>372</v>
      </c>
      <c r="C209" s="7" t="s">
        <v>373</v>
      </c>
      <c r="D209" s="4">
        <v>60765823000130</v>
      </c>
      <c r="E209" s="8" t="s">
        <v>615</v>
      </c>
      <c r="F209" s="8" t="s">
        <v>29</v>
      </c>
      <c r="G209" s="7" t="s">
        <v>19</v>
      </c>
      <c r="H209" s="47" t="s">
        <v>207</v>
      </c>
      <c r="I209" s="47" t="s">
        <v>208</v>
      </c>
      <c r="J209" s="6">
        <v>70</v>
      </c>
      <c r="K209" s="8" t="s">
        <v>20</v>
      </c>
      <c r="L209" s="1" t="s">
        <v>615</v>
      </c>
      <c r="M209" s="5">
        <v>1300</v>
      </c>
      <c r="Q209" s="3"/>
      <c r="R209" s="3"/>
      <c r="S209" s="3"/>
    </row>
    <row r="210" spans="1:19" ht="15" x14ac:dyDescent="0.25">
      <c r="A210" s="7" t="s">
        <v>16</v>
      </c>
      <c r="B210" s="7" t="s">
        <v>372</v>
      </c>
      <c r="C210" s="7" t="s">
        <v>373</v>
      </c>
      <c r="D210" s="4">
        <v>60777901000116</v>
      </c>
      <c r="E210" s="8" t="s">
        <v>616</v>
      </c>
      <c r="F210" s="8" t="s">
        <v>29</v>
      </c>
      <c r="G210" s="7" t="s">
        <v>19</v>
      </c>
      <c r="H210" s="47" t="s">
        <v>207</v>
      </c>
      <c r="I210" s="47" t="s">
        <v>208</v>
      </c>
      <c r="J210" s="6">
        <v>70</v>
      </c>
      <c r="K210" s="8" t="s">
        <v>20</v>
      </c>
      <c r="L210" s="1" t="s">
        <v>616</v>
      </c>
      <c r="M210" s="5">
        <v>850</v>
      </c>
      <c r="Q210" s="3"/>
      <c r="R210" s="3"/>
      <c r="S210" s="3"/>
    </row>
    <row r="211" spans="1:19" ht="15" x14ac:dyDescent="0.25">
      <c r="A211" s="7" t="s">
        <v>16</v>
      </c>
      <c r="B211" s="7" t="s">
        <v>372</v>
      </c>
      <c r="C211" s="7" t="s">
        <v>373</v>
      </c>
      <c r="D211" s="4">
        <v>60884855000316</v>
      </c>
      <c r="E211" s="8" t="s">
        <v>617</v>
      </c>
      <c r="F211" s="8" t="s">
        <v>29</v>
      </c>
      <c r="G211" s="7" t="s">
        <v>19</v>
      </c>
      <c r="H211" s="47" t="s">
        <v>207</v>
      </c>
      <c r="I211" s="47" t="s">
        <v>208</v>
      </c>
      <c r="J211" s="6">
        <v>70</v>
      </c>
      <c r="K211" s="8" t="s">
        <v>20</v>
      </c>
      <c r="L211" s="1" t="s">
        <v>617</v>
      </c>
      <c r="M211" s="5">
        <v>1855</v>
      </c>
      <c r="Q211" s="3"/>
      <c r="R211" s="3"/>
      <c r="S211" s="3"/>
    </row>
    <row r="212" spans="1:19" ht="15" x14ac:dyDescent="0.25">
      <c r="A212" s="7" t="s">
        <v>16</v>
      </c>
      <c r="B212" s="7" t="s">
        <v>372</v>
      </c>
      <c r="C212" s="7" t="s">
        <v>373</v>
      </c>
      <c r="D212" s="4">
        <v>60922168000771</v>
      </c>
      <c r="E212" s="8" t="s">
        <v>618</v>
      </c>
      <c r="F212" s="8" t="s">
        <v>29</v>
      </c>
      <c r="G212" s="7" t="s">
        <v>19</v>
      </c>
      <c r="H212" s="47" t="s">
        <v>207</v>
      </c>
      <c r="I212" s="47" t="s">
        <v>208</v>
      </c>
      <c r="J212" s="6">
        <v>70</v>
      </c>
      <c r="K212" s="8" t="s">
        <v>20</v>
      </c>
      <c r="L212" s="1" t="s">
        <v>618</v>
      </c>
      <c r="M212" s="5">
        <v>300</v>
      </c>
      <c r="Q212" s="3"/>
      <c r="R212" s="3"/>
      <c r="S212" s="3"/>
    </row>
    <row r="213" spans="1:19" ht="15" x14ac:dyDescent="0.25">
      <c r="A213" s="7" t="s">
        <v>16</v>
      </c>
      <c r="B213" s="7" t="s">
        <v>372</v>
      </c>
      <c r="C213" s="7" t="s">
        <v>373</v>
      </c>
      <c r="D213" s="4">
        <v>60922168004335</v>
      </c>
      <c r="E213" s="8" t="s">
        <v>619</v>
      </c>
      <c r="F213" s="8" t="s">
        <v>29</v>
      </c>
      <c r="G213" s="7" t="s">
        <v>19</v>
      </c>
      <c r="H213" s="47" t="s">
        <v>207</v>
      </c>
      <c r="I213" s="47" t="s">
        <v>208</v>
      </c>
      <c r="J213" s="6">
        <v>70</v>
      </c>
      <c r="K213" s="8" t="s">
        <v>20</v>
      </c>
      <c r="L213" s="1" t="s">
        <v>619</v>
      </c>
      <c r="M213" s="5">
        <v>10</v>
      </c>
      <c r="Q213" s="3"/>
      <c r="R213" s="3"/>
      <c r="S213" s="3"/>
    </row>
    <row r="214" spans="1:19" ht="15" x14ac:dyDescent="0.25">
      <c r="A214" s="7" t="s">
        <v>16</v>
      </c>
      <c r="B214" s="7" t="s">
        <v>372</v>
      </c>
      <c r="C214" s="7" t="s">
        <v>373</v>
      </c>
      <c r="D214" s="4">
        <v>60961422000155</v>
      </c>
      <c r="E214" s="8" t="s">
        <v>620</v>
      </c>
      <c r="F214" s="8" t="s">
        <v>29</v>
      </c>
      <c r="G214" s="7" t="s">
        <v>19</v>
      </c>
      <c r="H214" s="47" t="s">
        <v>207</v>
      </c>
      <c r="I214" s="47" t="s">
        <v>208</v>
      </c>
      <c r="J214" s="6">
        <v>70</v>
      </c>
      <c r="K214" s="8" t="s">
        <v>20</v>
      </c>
      <c r="L214" s="1" t="s">
        <v>620</v>
      </c>
      <c r="M214" s="5">
        <v>200</v>
      </c>
      <c r="Q214" s="3"/>
      <c r="R214" s="3"/>
      <c r="S214" s="3"/>
    </row>
    <row r="215" spans="1:19" ht="15" x14ac:dyDescent="0.25">
      <c r="A215" s="7" t="s">
        <v>16</v>
      </c>
      <c r="B215" s="7" t="s">
        <v>372</v>
      </c>
      <c r="C215" s="7" t="s">
        <v>373</v>
      </c>
      <c r="D215" s="4">
        <v>60961968000106</v>
      </c>
      <c r="E215" s="8" t="s">
        <v>621</v>
      </c>
      <c r="F215" s="8" t="s">
        <v>29</v>
      </c>
      <c r="G215" s="7" t="s">
        <v>19</v>
      </c>
      <c r="H215" s="47" t="s">
        <v>207</v>
      </c>
      <c r="I215" s="47" t="s">
        <v>208</v>
      </c>
      <c r="J215" s="6">
        <v>70</v>
      </c>
      <c r="K215" s="8" t="s">
        <v>20</v>
      </c>
      <c r="L215" s="1" t="s">
        <v>621</v>
      </c>
      <c r="M215" s="5">
        <v>350</v>
      </c>
      <c r="Q215" s="3"/>
      <c r="R215" s="3"/>
      <c r="S215" s="3"/>
    </row>
    <row r="216" spans="1:19" ht="15" x14ac:dyDescent="0.25">
      <c r="A216" s="7" t="s">
        <v>16</v>
      </c>
      <c r="B216" s="7" t="s">
        <v>372</v>
      </c>
      <c r="C216" s="7" t="s">
        <v>373</v>
      </c>
      <c r="D216" s="4">
        <v>60961968000459</v>
      </c>
      <c r="E216" s="8" t="s">
        <v>622</v>
      </c>
      <c r="F216" s="8" t="s">
        <v>29</v>
      </c>
      <c r="G216" s="7" t="s">
        <v>19</v>
      </c>
      <c r="H216" s="47" t="s">
        <v>207</v>
      </c>
      <c r="I216" s="47" t="s">
        <v>208</v>
      </c>
      <c r="J216" s="6">
        <v>70</v>
      </c>
      <c r="K216" s="8" t="s">
        <v>20</v>
      </c>
      <c r="L216" s="1" t="s">
        <v>622</v>
      </c>
      <c r="M216" s="5">
        <v>150</v>
      </c>
      <c r="Q216" s="3"/>
      <c r="R216" s="3"/>
      <c r="S216" s="3"/>
    </row>
    <row r="217" spans="1:19" ht="15" x14ac:dyDescent="0.25">
      <c r="A217" s="7" t="s">
        <v>16</v>
      </c>
      <c r="B217" s="7" t="s">
        <v>372</v>
      </c>
      <c r="C217" s="7" t="s">
        <v>373</v>
      </c>
      <c r="D217" s="4">
        <v>61590410000124</v>
      </c>
      <c r="E217" s="8" t="s">
        <v>630</v>
      </c>
      <c r="F217" s="8" t="s">
        <v>29</v>
      </c>
      <c r="G217" s="7" t="s">
        <v>19</v>
      </c>
      <c r="H217" s="47" t="s">
        <v>207</v>
      </c>
      <c r="I217" s="47" t="s">
        <v>208</v>
      </c>
      <c r="J217" s="6">
        <v>70</v>
      </c>
      <c r="K217" s="8" t="s">
        <v>20</v>
      </c>
      <c r="L217" s="1" t="s">
        <v>630</v>
      </c>
      <c r="M217" s="5">
        <v>2485</v>
      </c>
      <c r="Q217" s="3"/>
      <c r="R217" s="3"/>
      <c r="S217" s="3"/>
    </row>
    <row r="218" spans="1:19" ht="15" x14ac:dyDescent="0.25">
      <c r="A218" s="7" t="s">
        <v>16</v>
      </c>
      <c r="B218" s="7" t="s">
        <v>17</v>
      </c>
      <c r="C218" s="7" t="s">
        <v>18</v>
      </c>
      <c r="D218" s="4">
        <v>23941593838</v>
      </c>
      <c r="E218" s="8" t="s">
        <v>555</v>
      </c>
      <c r="F218" s="8" t="s">
        <v>29</v>
      </c>
      <c r="G218" s="7" t="s">
        <v>19</v>
      </c>
      <c r="H218" s="47" t="s">
        <v>207</v>
      </c>
      <c r="I218" s="47" t="s">
        <v>208</v>
      </c>
      <c r="J218" s="6">
        <v>73</v>
      </c>
      <c r="K218" s="8" t="s">
        <v>26</v>
      </c>
      <c r="L218" s="1" t="s">
        <v>555</v>
      </c>
      <c r="M218" s="5">
        <v>60</v>
      </c>
      <c r="Q218" s="3"/>
      <c r="R218" s="3"/>
      <c r="S218" s="3"/>
    </row>
    <row r="219" spans="1:19" ht="15" x14ac:dyDescent="0.25">
      <c r="A219" s="7" t="s">
        <v>16</v>
      </c>
      <c r="B219" s="7" t="s">
        <v>17</v>
      </c>
      <c r="C219" s="7" t="s">
        <v>18</v>
      </c>
      <c r="D219" s="4">
        <v>461479001992</v>
      </c>
      <c r="E219" s="8" t="s">
        <v>559</v>
      </c>
      <c r="F219" s="8" t="s">
        <v>29</v>
      </c>
      <c r="G219" s="7" t="s">
        <v>19</v>
      </c>
      <c r="H219" s="47" t="s">
        <v>207</v>
      </c>
      <c r="I219" s="47" t="s">
        <v>208</v>
      </c>
      <c r="J219" s="6">
        <v>64</v>
      </c>
      <c r="K219" s="8" t="s">
        <v>25</v>
      </c>
      <c r="L219" s="1" t="s">
        <v>559</v>
      </c>
      <c r="M219" s="5">
        <v>6</v>
      </c>
      <c r="Q219" s="3"/>
      <c r="R219" s="3"/>
      <c r="S219" s="3"/>
    </row>
    <row r="220" spans="1:19" ht="15" x14ac:dyDescent="0.25">
      <c r="A220" s="7" t="s">
        <v>16</v>
      </c>
      <c r="B220" s="7" t="s">
        <v>17</v>
      </c>
      <c r="C220" s="7" t="s">
        <v>18</v>
      </c>
      <c r="D220" s="4">
        <v>2383508000494</v>
      </c>
      <c r="E220" s="8" t="s">
        <v>562</v>
      </c>
      <c r="F220" s="8" t="s">
        <v>29</v>
      </c>
      <c r="G220" s="7" t="s">
        <v>19</v>
      </c>
      <c r="H220" s="47" t="s">
        <v>207</v>
      </c>
      <c r="I220" s="47" t="s">
        <v>208</v>
      </c>
      <c r="J220" s="6">
        <v>73</v>
      </c>
      <c r="K220" s="8" t="s">
        <v>26</v>
      </c>
      <c r="L220" s="1" t="s">
        <v>562</v>
      </c>
      <c r="M220" s="5">
        <v>31</v>
      </c>
      <c r="Q220" s="3"/>
      <c r="R220" s="3"/>
      <c r="S220" s="3"/>
    </row>
    <row r="221" spans="1:19" ht="15" x14ac:dyDescent="0.25">
      <c r="A221" s="7" t="s">
        <v>16</v>
      </c>
      <c r="B221" s="7" t="s">
        <v>21</v>
      </c>
      <c r="C221" s="7" t="s">
        <v>18</v>
      </c>
      <c r="D221" s="4">
        <v>2383508000494</v>
      </c>
      <c r="E221" s="8" t="s">
        <v>562</v>
      </c>
      <c r="F221" s="8" t="s">
        <v>29</v>
      </c>
      <c r="G221" s="7" t="s">
        <v>19</v>
      </c>
      <c r="H221" s="47" t="s">
        <v>207</v>
      </c>
      <c r="I221" s="47" t="s">
        <v>208</v>
      </c>
      <c r="J221" s="6">
        <v>73</v>
      </c>
      <c r="K221" s="8" t="s">
        <v>26</v>
      </c>
      <c r="L221" s="1" t="s">
        <v>562</v>
      </c>
      <c r="M221" s="5">
        <v>39</v>
      </c>
      <c r="Q221" s="3"/>
      <c r="R221" s="3"/>
      <c r="S221" s="3"/>
    </row>
    <row r="222" spans="1:19" ht="15" x14ac:dyDescent="0.25">
      <c r="A222" s="7" t="s">
        <v>16</v>
      </c>
      <c r="B222" s="7" t="s">
        <v>17</v>
      </c>
      <c r="C222" s="7" t="s">
        <v>18</v>
      </c>
      <c r="D222" s="4">
        <v>2837922000183</v>
      </c>
      <c r="E222" s="8" t="s">
        <v>563</v>
      </c>
      <c r="F222" s="8" t="s">
        <v>29</v>
      </c>
      <c r="G222" s="7" t="s">
        <v>19</v>
      </c>
      <c r="H222" s="47" t="s">
        <v>207</v>
      </c>
      <c r="I222" s="47" t="s">
        <v>208</v>
      </c>
      <c r="J222" s="6">
        <v>73</v>
      </c>
      <c r="K222" s="8" t="s">
        <v>26</v>
      </c>
      <c r="L222" s="1" t="s">
        <v>563</v>
      </c>
      <c r="M222" s="5">
        <v>100</v>
      </c>
      <c r="Q222" s="3"/>
      <c r="R222" s="3"/>
      <c r="S222" s="3"/>
    </row>
    <row r="223" spans="1:19" ht="15" x14ac:dyDescent="0.25">
      <c r="A223" s="7" t="s">
        <v>16</v>
      </c>
      <c r="B223" s="7" t="s">
        <v>21</v>
      </c>
      <c r="C223" s="7" t="s">
        <v>18</v>
      </c>
      <c r="D223" s="4">
        <v>2837922000183</v>
      </c>
      <c r="E223" s="8" t="s">
        <v>563</v>
      </c>
      <c r="F223" s="8" t="s">
        <v>29</v>
      </c>
      <c r="G223" s="7" t="s">
        <v>19</v>
      </c>
      <c r="H223" s="47" t="s">
        <v>207</v>
      </c>
      <c r="I223" s="47" t="s">
        <v>208</v>
      </c>
      <c r="J223" s="6">
        <v>73</v>
      </c>
      <c r="K223" s="8" t="s">
        <v>26</v>
      </c>
      <c r="L223" s="1" t="s">
        <v>563</v>
      </c>
      <c r="M223" s="5">
        <v>100</v>
      </c>
      <c r="Q223" s="3"/>
      <c r="R223" s="3"/>
      <c r="S223" s="3"/>
    </row>
    <row r="224" spans="1:19" ht="15" x14ac:dyDescent="0.25">
      <c r="A224" s="7" t="s">
        <v>16</v>
      </c>
      <c r="B224" s="7" t="s">
        <v>17</v>
      </c>
      <c r="C224" s="7" t="s">
        <v>18</v>
      </c>
      <c r="D224" s="4">
        <v>3872790000193</v>
      </c>
      <c r="E224" s="8" t="s">
        <v>564</v>
      </c>
      <c r="F224" s="8" t="s">
        <v>29</v>
      </c>
      <c r="G224" s="7" t="s">
        <v>19</v>
      </c>
      <c r="H224" s="47" t="s">
        <v>207</v>
      </c>
      <c r="I224" s="47" t="s">
        <v>208</v>
      </c>
      <c r="J224" s="6">
        <v>73</v>
      </c>
      <c r="K224" s="8" t="s">
        <v>26</v>
      </c>
      <c r="L224" s="1" t="s">
        <v>564</v>
      </c>
      <c r="M224" s="5">
        <v>8</v>
      </c>
      <c r="Q224" s="3"/>
      <c r="R224" s="3"/>
      <c r="S224" s="3"/>
    </row>
    <row r="225" spans="1:19" ht="15" x14ac:dyDescent="0.25">
      <c r="A225" s="7" t="s">
        <v>16</v>
      </c>
      <c r="B225" s="7" t="s">
        <v>21</v>
      </c>
      <c r="C225" s="7" t="s">
        <v>18</v>
      </c>
      <c r="D225" s="4">
        <v>3872790000193</v>
      </c>
      <c r="E225" s="8" t="s">
        <v>564</v>
      </c>
      <c r="F225" s="8" t="s">
        <v>29</v>
      </c>
      <c r="G225" s="7" t="s">
        <v>19</v>
      </c>
      <c r="H225" s="47" t="s">
        <v>207</v>
      </c>
      <c r="I225" s="47" t="s">
        <v>208</v>
      </c>
      <c r="J225" s="6">
        <v>73</v>
      </c>
      <c r="K225" s="8" t="s">
        <v>26</v>
      </c>
      <c r="L225" s="1" t="s">
        <v>564</v>
      </c>
      <c r="M225" s="5">
        <v>8</v>
      </c>
      <c r="Q225" s="3"/>
      <c r="R225" s="3"/>
      <c r="S225" s="3"/>
    </row>
    <row r="226" spans="1:19" ht="15" x14ac:dyDescent="0.25">
      <c r="A226" s="7" t="s">
        <v>16</v>
      </c>
      <c r="B226" s="7" t="s">
        <v>17</v>
      </c>
      <c r="C226" s="7" t="s">
        <v>18</v>
      </c>
      <c r="D226" s="4">
        <v>6047087000139</v>
      </c>
      <c r="E226" s="8" t="s">
        <v>568</v>
      </c>
      <c r="F226" s="8" t="s">
        <v>29</v>
      </c>
      <c r="G226" s="7" t="s">
        <v>19</v>
      </c>
      <c r="H226" s="47" t="s">
        <v>207</v>
      </c>
      <c r="I226" s="47" t="s">
        <v>208</v>
      </c>
      <c r="J226" s="6">
        <v>64</v>
      </c>
      <c r="K226" s="8" t="s">
        <v>25</v>
      </c>
      <c r="L226" s="1" t="s">
        <v>568</v>
      </c>
      <c r="M226" s="5">
        <v>2</v>
      </c>
      <c r="Q226" s="3"/>
      <c r="R226" s="3"/>
      <c r="S226" s="3"/>
    </row>
    <row r="227" spans="1:19" ht="15" x14ac:dyDescent="0.25">
      <c r="A227" s="7" t="s">
        <v>16</v>
      </c>
      <c r="B227" s="7" t="s">
        <v>17</v>
      </c>
      <c r="C227" s="7" t="s">
        <v>18</v>
      </c>
      <c r="D227" s="4">
        <v>6047087000210</v>
      </c>
      <c r="E227" s="8" t="s">
        <v>569</v>
      </c>
      <c r="F227" s="8" t="s">
        <v>29</v>
      </c>
      <c r="G227" s="7" t="s">
        <v>19</v>
      </c>
      <c r="H227" s="47" t="s">
        <v>207</v>
      </c>
      <c r="I227" s="47" t="s">
        <v>208</v>
      </c>
      <c r="J227" s="6">
        <v>62</v>
      </c>
      <c r="K227" s="8" t="s">
        <v>27</v>
      </c>
      <c r="L227" s="1" t="s">
        <v>569</v>
      </c>
      <c r="M227" s="5">
        <v>10</v>
      </c>
      <c r="Q227" s="3"/>
      <c r="R227" s="3"/>
      <c r="S227" s="3"/>
    </row>
    <row r="228" spans="1:19" ht="15" x14ac:dyDescent="0.25">
      <c r="A228" s="7" t="s">
        <v>16</v>
      </c>
      <c r="B228" s="7" t="s">
        <v>17</v>
      </c>
      <c r="C228" s="7" t="s">
        <v>18</v>
      </c>
      <c r="D228" s="4">
        <v>6047087000210</v>
      </c>
      <c r="E228" s="8" t="s">
        <v>569</v>
      </c>
      <c r="F228" s="8" t="s">
        <v>29</v>
      </c>
      <c r="G228" s="7" t="s">
        <v>19</v>
      </c>
      <c r="H228" s="47" t="s">
        <v>207</v>
      </c>
      <c r="I228" s="47" t="s">
        <v>208</v>
      </c>
      <c r="J228" s="6">
        <v>64</v>
      </c>
      <c r="K228" s="8" t="s">
        <v>25</v>
      </c>
      <c r="L228" s="1" t="s">
        <v>569</v>
      </c>
      <c r="M228" s="5">
        <v>43</v>
      </c>
      <c r="Q228" s="3"/>
      <c r="R228" s="3"/>
      <c r="S228" s="3"/>
    </row>
    <row r="229" spans="1:19" ht="15" x14ac:dyDescent="0.25">
      <c r="A229" s="7" t="s">
        <v>16</v>
      </c>
      <c r="B229" s="7" t="s">
        <v>21</v>
      </c>
      <c r="C229" s="7" t="s">
        <v>18</v>
      </c>
      <c r="D229" s="4">
        <v>6047087000210</v>
      </c>
      <c r="E229" s="8" t="s">
        <v>569</v>
      </c>
      <c r="F229" s="8" t="s">
        <v>29</v>
      </c>
      <c r="G229" s="7" t="s">
        <v>19</v>
      </c>
      <c r="H229" s="47" t="s">
        <v>207</v>
      </c>
      <c r="I229" s="47" t="s">
        <v>208</v>
      </c>
      <c r="J229" s="6">
        <v>62</v>
      </c>
      <c r="K229" s="8" t="s">
        <v>27</v>
      </c>
      <c r="L229" s="1" t="s">
        <v>569</v>
      </c>
      <c r="M229" s="5">
        <v>33</v>
      </c>
      <c r="Q229" s="3"/>
      <c r="R229" s="3"/>
      <c r="S229" s="3"/>
    </row>
    <row r="230" spans="1:19" ht="15" x14ac:dyDescent="0.25">
      <c r="A230" s="7" t="s">
        <v>16</v>
      </c>
      <c r="B230" s="7" t="s">
        <v>21</v>
      </c>
      <c r="C230" s="7" t="s">
        <v>18</v>
      </c>
      <c r="D230" s="4">
        <v>6047087000210</v>
      </c>
      <c r="E230" s="8" t="s">
        <v>569</v>
      </c>
      <c r="F230" s="8" t="s">
        <v>29</v>
      </c>
      <c r="G230" s="7" t="s">
        <v>19</v>
      </c>
      <c r="H230" s="47" t="s">
        <v>207</v>
      </c>
      <c r="I230" s="47" t="s">
        <v>208</v>
      </c>
      <c r="J230" s="6">
        <v>64</v>
      </c>
      <c r="K230" s="8" t="s">
        <v>25</v>
      </c>
      <c r="L230" s="1" t="s">
        <v>569</v>
      </c>
      <c r="M230" s="5">
        <v>41</v>
      </c>
      <c r="Q230" s="3"/>
      <c r="R230" s="3"/>
      <c r="S230" s="3"/>
    </row>
    <row r="231" spans="1:19" ht="15" x14ac:dyDescent="0.25">
      <c r="A231" s="7" t="s">
        <v>16</v>
      </c>
      <c r="B231" s="7" t="s">
        <v>17</v>
      </c>
      <c r="C231" s="7" t="s">
        <v>18</v>
      </c>
      <c r="D231" s="4">
        <v>6047087003820</v>
      </c>
      <c r="E231" s="8" t="s">
        <v>570</v>
      </c>
      <c r="F231" s="8" t="s">
        <v>29</v>
      </c>
      <c r="G231" s="7" t="s">
        <v>19</v>
      </c>
      <c r="H231" s="47" t="s">
        <v>207</v>
      </c>
      <c r="I231" s="47" t="s">
        <v>208</v>
      </c>
      <c r="J231" s="6">
        <v>62</v>
      </c>
      <c r="K231" s="8" t="s">
        <v>27</v>
      </c>
      <c r="L231" s="1" t="s">
        <v>570</v>
      </c>
      <c r="M231" s="5">
        <v>6</v>
      </c>
      <c r="Q231" s="3"/>
      <c r="R231" s="3"/>
      <c r="S231" s="3"/>
    </row>
    <row r="232" spans="1:19" ht="15" x14ac:dyDescent="0.25">
      <c r="A232" s="7" t="s">
        <v>16</v>
      </c>
      <c r="B232" s="7" t="s">
        <v>17</v>
      </c>
      <c r="C232" s="7" t="s">
        <v>18</v>
      </c>
      <c r="D232" s="4">
        <v>6047087003820</v>
      </c>
      <c r="E232" s="8" t="s">
        <v>570</v>
      </c>
      <c r="F232" s="8" t="s">
        <v>29</v>
      </c>
      <c r="G232" s="7" t="s">
        <v>19</v>
      </c>
      <c r="H232" s="47" t="s">
        <v>207</v>
      </c>
      <c r="I232" s="47" t="s">
        <v>208</v>
      </c>
      <c r="J232" s="6">
        <v>64</v>
      </c>
      <c r="K232" s="8" t="s">
        <v>25</v>
      </c>
      <c r="L232" s="1" t="s">
        <v>570</v>
      </c>
      <c r="M232" s="5">
        <v>3</v>
      </c>
      <c r="Q232" s="3"/>
      <c r="R232" s="3"/>
      <c r="S232" s="3"/>
    </row>
    <row r="233" spans="1:19" ht="15" x14ac:dyDescent="0.25">
      <c r="A233" s="7" t="s">
        <v>16</v>
      </c>
      <c r="B233" s="7" t="s">
        <v>21</v>
      </c>
      <c r="C233" s="7" t="s">
        <v>18</v>
      </c>
      <c r="D233" s="4">
        <v>6047087003820</v>
      </c>
      <c r="E233" s="8" t="s">
        <v>570</v>
      </c>
      <c r="F233" s="8" t="s">
        <v>29</v>
      </c>
      <c r="G233" s="7" t="s">
        <v>19</v>
      </c>
      <c r="H233" s="47" t="s">
        <v>207</v>
      </c>
      <c r="I233" s="47" t="s">
        <v>208</v>
      </c>
      <c r="J233" s="6">
        <v>62</v>
      </c>
      <c r="K233" s="8" t="s">
        <v>27</v>
      </c>
      <c r="L233" s="1" t="s">
        <v>570</v>
      </c>
      <c r="M233" s="5">
        <v>11</v>
      </c>
      <c r="Q233" s="3"/>
      <c r="R233" s="3"/>
      <c r="S233" s="3"/>
    </row>
    <row r="234" spans="1:19" ht="15" x14ac:dyDescent="0.25">
      <c r="A234" s="7" t="s">
        <v>16</v>
      </c>
      <c r="B234" s="7" t="s">
        <v>21</v>
      </c>
      <c r="C234" s="7" t="s">
        <v>18</v>
      </c>
      <c r="D234" s="4">
        <v>6047087003820</v>
      </c>
      <c r="E234" s="8" t="s">
        <v>570</v>
      </c>
      <c r="F234" s="8" t="s">
        <v>29</v>
      </c>
      <c r="G234" s="7" t="s">
        <v>19</v>
      </c>
      <c r="H234" s="47" t="s">
        <v>207</v>
      </c>
      <c r="I234" s="47" t="s">
        <v>208</v>
      </c>
      <c r="J234" s="6">
        <v>64</v>
      </c>
      <c r="K234" s="8" t="s">
        <v>25</v>
      </c>
      <c r="L234" s="1" t="s">
        <v>570</v>
      </c>
      <c r="M234" s="5">
        <v>2</v>
      </c>
      <c r="Q234" s="3"/>
      <c r="R234" s="3"/>
      <c r="S234" s="3"/>
    </row>
    <row r="235" spans="1:19" ht="15" x14ac:dyDescent="0.25">
      <c r="A235" s="7" t="s">
        <v>16</v>
      </c>
      <c r="B235" s="7" t="s">
        <v>17</v>
      </c>
      <c r="C235" s="7" t="s">
        <v>18</v>
      </c>
      <c r="D235" s="4">
        <v>7045325000130</v>
      </c>
      <c r="E235" s="8" t="s">
        <v>571</v>
      </c>
      <c r="F235" s="8" t="s">
        <v>29</v>
      </c>
      <c r="G235" s="7" t="s">
        <v>19</v>
      </c>
      <c r="H235" s="47" t="s">
        <v>207</v>
      </c>
      <c r="I235" s="47" t="s">
        <v>208</v>
      </c>
      <c r="J235" s="6">
        <v>73</v>
      </c>
      <c r="K235" s="8" t="s">
        <v>26</v>
      </c>
      <c r="L235" s="1" t="s">
        <v>571</v>
      </c>
      <c r="M235" s="5">
        <v>96</v>
      </c>
      <c r="Q235" s="3"/>
      <c r="R235" s="3"/>
      <c r="S235" s="3"/>
    </row>
    <row r="236" spans="1:19" ht="15" x14ac:dyDescent="0.25">
      <c r="A236" s="7" t="s">
        <v>16</v>
      </c>
      <c r="B236" s="7" t="s">
        <v>21</v>
      </c>
      <c r="C236" s="7" t="s">
        <v>18</v>
      </c>
      <c r="D236" s="4">
        <v>7045325000130</v>
      </c>
      <c r="E236" s="8" t="s">
        <v>571</v>
      </c>
      <c r="F236" s="8" t="s">
        <v>29</v>
      </c>
      <c r="G236" s="7" t="s">
        <v>19</v>
      </c>
      <c r="H236" s="47" t="s">
        <v>207</v>
      </c>
      <c r="I236" s="47" t="s">
        <v>208</v>
      </c>
      <c r="J236" s="6">
        <v>73</v>
      </c>
      <c r="K236" s="8" t="s">
        <v>26</v>
      </c>
      <c r="L236" s="1" t="s">
        <v>571</v>
      </c>
      <c r="M236" s="5">
        <v>80</v>
      </c>
      <c r="Q236" s="3"/>
      <c r="R236" s="3"/>
      <c r="S236" s="3"/>
    </row>
    <row r="237" spans="1:19" ht="15" x14ac:dyDescent="0.25">
      <c r="A237" s="7" t="s">
        <v>16</v>
      </c>
      <c r="B237" s="7" t="s">
        <v>17</v>
      </c>
      <c r="C237" s="7" t="s">
        <v>18</v>
      </c>
      <c r="D237" s="4">
        <v>8100676002455</v>
      </c>
      <c r="E237" s="8" t="s">
        <v>574</v>
      </c>
      <c r="F237" s="8" t="s">
        <v>29</v>
      </c>
      <c r="G237" s="7" t="s">
        <v>19</v>
      </c>
      <c r="H237" s="47" t="s">
        <v>207</v>
      </c>
      <c r="I237" s="47" t="s">
        <v>208</v>
      </c>
      <c r="J237" s="6">
        <v>64</v>
      </c>
      <c r="K237" s="8" t="s">
        <v>25</v>
      </c>
      <c r="L237" s="1" t="s">
        <v>574</v>
      </c>
      <c r="M237" s="5">
        <v>3</v>
      </c>
      <c r="Q237" s="3"/>
      <c r="R237" s="3"/>
      <c r="S237" s="3"/>
    </row>
    <row r="238" spans="1:19" ht="15" x14ac:dyDescent="0.25">
      <c r="A238" s="7" t="s">
        <v>16</v>
      </c>
      <c r="B238" s="7" t="s">
        <v>21</v>
      </c>
      <c r="C238" s="7" t="s">
        <v>18</v>
      </c>
      <c r="D238" s="4">
        <v>8100676002455</v>
      </c>
      <c r="E238" s="8" t="s">
        <v>574</v>
      </c>
      <c r="F238" s="8" t="s">
        <v>29</v>
      </c>
      <c r="G238" s="7" t="s">
        <v>19</v>
      </c>
      <c r="H238" s="47" t="s">
        <v>207</v>
      </c>
      <c r="I238" s="47" t="s">
        <v>208</v>
      </c>
      <c r="J238" s="6">
        <v>64</v>
      </c>
      <c r="K238" s="8" t="s">
        <v>25</v>
      </c>
      <c r="L238" s="1" t="s">
        <v>574</v>
      </c>
      <c r="M238" s="5">
        <v>12</v>
      </c>
      <c r="Q238" s="3"/>
      <c r="R238" s="3"/>
      <c r="S238" s="3"/>
    </row>
    <row r="239" spans="1:19" ht="15" x14ac:dyDescent="0.25">
      <c r="A239" s="7" t="s">
        <v>16</v>
      </c>
      <c r="B239" s="7" t="s">
        <v>17</v>
      </c>
      <c r="C239" s="7" t="s">
        <v>18</v>
      </c>
      <c r="D239" s="4">
        <v>8438844000392</v>
      </c>
      <c r="E239" s="8" t="s">
        <v>575</v>
      </c>
      <c r="F239" s="8" t="s">
        <v>29</v>
      </c>
      <c r="G239" s="7" t="s">
        <v>19</v>
      </c>
      <c r="H239" s="47" t="s">
        <v>207</v>
      </c>
      <c r="I239" s="47" t="s">
        <v>208</v>
      </c>
      <c r="J239" s="6">
        <v>73</v>
      </c>
      <c r="K239" s="8" t="s">
        <v>26</v>
      </c>
      <c r="L239" s="1" t="s">
        <v>575</v>
      </c>
      <c r="M239" s="5">
        <v>2</v>
      </c>
      <c r="Q239" s="3"/>
      <c r="R239" s="3"/>
      <c r="S239" s="3"/>
    </row>
    <row r="240" spans="1:19" ht="15" x14ac:dyDescent="0.25">
      <c r="A240" s="7" t="s">
        <v>16</v>
      </c>
      <c r="B240" s="7" t="s">
        <v>17</v>
      </c>
      <c r="C240" s="7" t="s">
        <v>18</v>
      </c>
      <c r="D240" s="4">
        <v>10211939000230</v>
      </c>
      <c r="E240" s="8" t="s">
        <v>579</v>
      </c>
      <c r="F240" s="8" t="s">
        <v>29</v>
      </c>
      <c r="G240" s="7" t="s">
        <v>19</v>
      </c>
      <c r="H240" s="47" t="s">
        <v>207</v>
      </c>
      <c r="I240" s="47" t="s">
        <v>208</v>
      </c>
      <c r="J240" s="6">
        <v>73</v>
      </c>
      <c r="K240" s="8" t="s">
        <v>26</v>
      </c>
      <c r="L240" s="1" t="s">
        <v>579</v>
      </c>
      <c r="M240" s="5">
        <v>8</v>
      </c>
      <c r="Q240" s="3"/>
      <c r="R240" s="3"/>
      <c r="S240" s="3"/>
    </row>
    <row r="241" spans="1:19" ht="15" x14ac:dyDescent="0.25">
      <c r="A241" s="7" t="s">
        <v>16</v>
      </c>
      <c r="B241" s="7" t="s">
        <v>21</v>
      </c>
      <c r="C241" s="7" t="s">
        <v>18</v>
      </c>
      <c r="D241" s="4">
        <v>10211939000230</v>
      </c>
      <c r="E241" s="8" t="s">
        <v>579</v>
      </c>
      <c r="F241" s="8" t="s">
        <v>29</v>
      </c>
      <c r="G241" s="7" t="s">
        <v>19</v>
      </c>
      <c r="H241" s="47" t="s">
        <v>207</v>
      </c>
      <c r="I241" s="47" t="s">
        <v>208</v>
      </c>
      <c r="J241" s="6">
        <v>73</v>
      </c>
      <c r="K241" s="8" t="s">
        <v>26</v>
      </c>
      <c r="L241" s="1" t="s">
        <v>579</v>
      </c>
      <c r="M241" s="5">
        <v>8</v>
      </c>
      <c r="Q241" s="3"/>
      <c r="R241" s="3"/>
      <c r="S241" s="3"/>
    </row>
    <row r="242" spans="1:19" ht="15" x14ac:dyDescent="0.25">
      <c r="A242" s="7" t="s">
        <v>16</v>
      </c>
      <c r="B242" s="7" t="s">
        <v>17</v>
      </c>
      <c r="C242" s="7" t="s">
        <v>18</v>
      </c>
      <c r="D242" s="4">
        <v>10323381000101</v>
      </c>
      <c r="E242" s="8" t="s">
        <v>580</v>
      </c>
      <c r="F242" s="8" t="s">
        <v>29</v>
      </c>
      <c r="G242" s="7" t="s">
        <v>19</v>
      </c>
      <c r="H242" s="47" t="s">
        <v>207</v>
      </c>
      <c r="I242" s="47" t="s">
        <v>208</v>
      </c>
      <c r="J242" s="6">
        <v>73</v>
      </c>
      <c r="K242" s="8" t="s">
        <v>26</v>
      </c>
      <c r="L242" s="1" t="s">
        <v>580</v>
      </c>
      <c r="M242" s="5">
        <v>3</v>
      </c>
      <c r="Q242" s="3"/>
      <c r="R242" s="3"/>
      <c r="S242" s="3"/>
    </row>
    <row r="243" spans="1:19" ht="15" x14ac:dyDescent="0.25">
      <c r="A243" s="7" t="s">
        <v>16</v>
      </c>
      <c r="B243" s="7" t="s">
        <v>21</v>
      </c>
      <c r="C243" s="7" t="s">
        <v>18</v>
      </c>
      <c r="D243" s="4">
        <v>10323381000101</v>
      </c>
      <c r="E243" s="8" t="s">
        <v>580</v>
      </c>
      <c r="F243" s="8" t="s">
        <v>29</v>
      </c>
      <c r="G243" s="7" t="s">
        <v>19</v>
      </c>
      <c r="H243" s="47" t="s">
        <v>207</v>
      </c>
      <c r="I243" s="47" t="s">
        <v>208</v>
      </c>
      <c r="J243" s="6">
        <v>73</v>
      </c>
      <c r="K243" s="8" t="s">
        <v>26</v>
      </c>
      <c r="L243" s="1" t="s">
        <v>580</v>
      </c>
      <c r="M243" s="5">
        <v>6</v>
      </c>
      <c r="Q243" s="3"/>
      <c r="R243" s="3"/>
      <c r="S243" s="3"/>
    </row>
    <row r="244" spans="1:19" ht="15" x14ac:dyDescent="0.25">
      <c r="A244" s="7" t="s">
        <v>16</v>
      </c>
      <c r="B244" s="7" t="s">
        <v>17</v>
      </c>
      <c r="C244" s="7" t="s">
        <v>18</v>
      </c>
      <c r="D244" s="4">
        <v>10468341000140</v>
      </c>
      <c r="E244" s="8" t="s">
        <v>581</v>
      </c>
      <c r="F244" s="8" t="s">
        <v>29</v>
      </c>
      <c r="G244" s="7" t="s">
        <v>19</v>
      </c>
      <c r="H244" s="47" t="s">
        <v>207</v>
      </c>
      <c r="I244" s="47" t="s">
        <v>208</v>
      </c>
      <c r="J244" s="6">
        <v>73</v>
      </c>
      <c r="K244" s="8" t="s">
        <v>26</v>
      </c>
      <c r="L244" s="1" t="s">
        <v>581</v>
      </c>
      <c r="M244" s="5">
        <v>36</v>
      </c>
      <c r="Q244" s="3"/>
      <c r="R244" s="3"/>
      <c r="S244" s="3"/>
    </row>
    <row r="245" spans="1:19" ht="15" x14ac:dyDescent="0.25">
      <c r="A245" s="7" t="s">
        <v>16</v>
      </c>
      <c r="B245" s="7" t="s">
        <v>17</v>
      </c>
      <c r="C245" s="7" t="s">
        <v>18</v>
      </c>
      <c r="D245" s="4">
        <v>10468341000220</v>
      </c>
      <c r="E245" s="8" t="s">
        <v>582</v>
      </c>
      <c r="F245" s="8" t="s">
        <v>29</v>
      </c>
      <c r="G245" s="7" t="s">
        <v>19</v>
      </c>
      <c r="H245" s="47" t="s">
        <v>207</v>
      </c>
      <c r="I245" s="47" t="s">
        <v>208</v>
      </c>
      <c r="J245" s="6">
        <v>73</v>
      </c>
      <c r="K245" s="8" t="s">
        <v>26</v>
      </c>
      <c r="L245" s="1" t="s">
        <v>582</v>
      </c>
      <c r="M245" s="5">
        <v>12</v>
      </c>
      <c r="Q245" s="3"/>
      <c r="R245" s="3"/>
      <c r="S245" s="3"/>
    </row>
    <row r="246" spans="1:19" ht="15" x14ac:dyDescent="0.25">
      <c r="A246" s="7" t="s">
        <v>16</v>
      </c>
      <c r="B246" s="7" t="s">
        <v>21</v>
      </c>
      <c r="C246" s="7" t="s">
        <v>18</v>
      </c>
      <c r="D246" s="4">
        <v>10468341000220</v>
      </c>
      <c r="E246" s="8" t="s">
        <v>582</v>
      </c>
      <c r="F246" s="8" t="s">
        <v>29</v>
      </c>
      <c r="G246" s="7" t="s">
        <v>19</v>
      </c>
      <c r="H246" s="47" t="s">
        <v>207</v>
      </c>
      <c r="I246" s="47" t="s">
        <v>208</v>
      </c>
      <c r="J246" s="6">
        <v>73</v>
      </c>
      <c r="K246" s="8" t="s">
        <v>26</v>
      </c>
      <c r="L246" s="1" t="s">
        <v>582</v>
      </c>
      <c r="M246" s="5">
        <v>24</v>
      </c>
      <c r="Q246" s="3"/>
      <c r="R246" s="3"/>
      <c r="S246" s="3"/>
    </row>
    <row r="247" spans="1:19" ht="15" x14ac:dyDescent="0.25">
      <c r="A247" s="7" t="s">
        <v>16</v>
      </c>
      <c r="B247" s="7" t="s">
        <v>17</v>
      </c>
      <c r="C247" s="7" t="s">
        <v>18</v>
      </c>
      <c r="D247" s="4">
        <v>13718999000150</v>
      </c>
      <c r="E247" s="8" t="s">
        <v>584</v>
      </c>
      <c r="F247" s="8" t="s">
        <v>29</v>
      </c>
      <c r="G247" s="7" t="s">
        <v>19</v>
      </c>
      <c r="H247" s="47" t="s">
        <v>207</v>
      </c>
      <c r="I247" s="47" t="s">
        <v>208</v>
      </c>
      <c r="J247" s="6">
        <v>73</v>
      </c>
      <c r="K247" s="8" t="s">
        <v>26</v>
      </c>
      <c r="L247" s="1" t="s">
        <v>584</v>
      </c>
      <c r="M247" s="5">
        <v>4</v>
      </c>
      <c r="Q247" s="3"/>
      <c r="R247" s="3"/>
      <c r="S247" s="3"/>
    </row>
    <row r="248" spans="1:19" ht="15" x14ac:dyDescent="0.25">
      <c r="A248" s="7" t="s">
        <v>16</v>
      </c>
      <c r="B248" s="7" t="s">
        <v>21</v>
      </c>
      <c r="C248" s="7" t="s">
        <v>18</v>
      </c>
      <c r="D248" s="4">
        <v>13718999000150</v>
      </c>
      <c r="E248" s="8" t="s">
        <v>584</v>
      </c>
      <c r="F248" s="8" t="s">
        <v>29</v>
      </c>
      <c r="G248" s="7" t="s">
        <v>19</v>
      </c>
      <c r="H248" s="47" t="s">
        <v>207</v>
      </c>
      <c r="I248" s="47" t="s">
        <v>208</v>
      </c>
      <c r="J248" s="6">
        <v>73</v>
      </c>
      <c r="K248" s="8" t="s">
        <v>26</v>
      </c>
      <c r="L248" s="1" t="s">
        <v>584</v>
      </c>
      <c r="M248" s="5">
        <v>4</v>
      </c>
      <c r="Q248" s="3"/>
      <c r="R248" s="3"/>
      <c r="S248" s="3"/>
    </row>
    <row r="249" spans="1:19" ht="15" x14ac:dyDescent="0.25">
      <c r="A249" s="7" t="s">
        <v>16</v>
      </c>
      <c r="B249" s="7" t="s">
        <v>17</v>
      </c>
      <c r="C249" s="7" t="s">
        <v>18</v>
      </c>
      <c r="D249" s="4">
        <v>18180008000142</v>
      </c>
      <c r="E249" s="8" t="s">
        <v>585</v>
      </c>
      <c r="F249" s="8" t="s">
        <v>29</v>
      </c>
      <c r="G249" s="7" t="s">
        <v>19</v>
      </c>
      <c r="H249" s="47" t="s">
        <v>207</v>
      </c>
      <c r="I249" s="47" t="s">
        <v>208</v>
      </c>
      <c r="J249" s="6">
        <v>64</v>
      </c>
      <c r="K249" s="8" t="s">
        <v>25</v>
      </c>
      <c r="L249" s="1" t="s">
        <v>585</v>
      </c>
      <c r="M249" s="5">
        <v>2</v>
      </c>
      <c r="Q249" s="3"/>
      <c r="R249" s="3"/>
      <c r="S249" s="3"/>
    </row>
    <row r="250" spans="1:19" ht="15" x14ac:dyDescent="0.25">
      <c r="A250" s="7" t="s">
        <v>16</v>
      </c>
      <c r="B250" s="7" t="s">
        <v>17</v>
      </c>
      <c r="C250" s="7" t="s">
        <v>18</v>
      </c>
      <c r="D250" s="4">
        <v>19803199000114</v>
      </c>
      <c r="E250" s="8" t="s">
        <v>587</v>
      </c>
      <c r="F250" s="8" t="s">
        <v>29</v>
      </c>
      <c r="G250" s="7" t="s">
        <v>19</v>
      </c>
      <c r="H250" s="47" t="s">
        <v>207</v>
      </c>
      <c r="I250" s="47" t="s">
        <v>208</v>
      </c>
      <c r="J250" s="6">
        <v>62</v>
      </c>
      <c r="K250" s="8" t="s">
        <v>27</v>
      </c>
      <c r="L250" s="1" t="s">
        <v>587</v>
      </c>
      <c r="M250" s="5">
        <v>1</v>
      </c>
      <c r="Q250" s="3"/>
      <c r="R250" s="3"/>
      <c r="S250" s="3"/>
    </row>
    <row r="251" spans="1:19" ht="15" x14ac:dyDescent="0.25">
      <c r="A251" s="7" t="s">
        <v>16</v>
      </c>
      <c r="B251" s="7" t="s">
        <v>21</v>
      </c>
      <c r="C251" s="7" t="s">
        <v>18</v>
      </c>
      <c r="D251" s="4">
        <v>19803199000114</v>
      </c>
      <c r="E251" s="8" t="s">
        <v>587</v>
      </c>
      <c r="F251" s="8" t="s">
        <v>29</v>
      </c>
      <c r="G251" s="7" t="s">
        <v>19</v>
      </c>
      <c r="H251" s="47" t="s">
        <v>207</v>
      </c>
      <c r="I251" s="47" t="s">
        <v>208</v>
      </c>
      <c r="J251" s="6">
        <v>62</v>
      </c>
      <c r="K251" s="8" t="s">
        <v>27</v>
      </c>
      <c r="L251" s="1" t="s">
        <v>587</v>
      </c>
      <c r="M251" s="5">
        <v>3</v>
      </c>
      <c r="Q251" s="3"/>
      <c r="R251" s="3"/>
      <c r="S251" s="3"/>
    </row>
    <row r="252" spans="1:19" ht="15" x14ac:dyDescent="0.25">
      <c r="A252" s="7" t="s">
        <v>16</v>
      </c>
      <c r="B252" s="7" t="s">
        <v>21</v>
      </c>
      <c r="C252" s="7" t="s">
        <v>18</v>
      </c>
      <c r="D252" s="4">
        <v>19803199000114</v>
      </c>
      <c r="E252" s="8" t="s">
        <v>587</v>
      </c>
      <c r="F252" s="8" t="s">
        <v>29</v>
      </c>
      <c r="G252" s="7" t="s">
        <v>19</v>
      </c>
      <c r="H252" s="47" t="s">
        <v>207</v>
      </c>
      <c r="I252" s="47" t="s">
        <v>208</v>
      </c>
      <c r="J252" s="6">
        <v>64</v>
      </c>
      <c r="K252" s="8" t="s">
        <v>25</v>
      </c>
      <c r="L252" s="1" t="s">
        <v>587</v>
      </c>
      <c r="M252" s="5">
        <v>2</v>
      </c>
      <c r="Q252" s="3"/>
      <c r="R252" s="3"/>
      <c r="S252" s="3"/>
    </row>
    <row r="253" spans="1:19" ht="15" x14ac:dyDescent="0.25">
      <c r="A253" s="7" t="s">
        <v>16</v>
      </c>
      <c r="B253" s="7" t="s">
        <v>21</v>
      </c>
      <c r="C253" s="7" t="s">
        <v>18</v>
      </c>
      <c r="D253" s="4">
        <v>8677327000104</v>
      </c>
      <c r="E253" s="8" t="s">
        <v>576</v>
      </c>
      <c r="F253" s="8" t="s">
        <v>29</v>
      </c>
      <c r="G253" s="7" t="s">
        <v>19</v>
      </c>
      <c r="H253" s="47" t="s">
        <v>207</v>
      </c>
      <c r="I253" s="47" t="s">
        <v>208</v>
      </c>
      <c r="J253" s="6">
        <v>64</v>
      </c>
      <c r="K253" s="8" t="s">
        <v>25</v>
      </c>
      <c r="L253" s="1" t="s">
        <v>576</v>
      </c>
      <c r="M253" s="5">
        <v>2</v>
      </c>
      <c r="Q253" s="3"/>
      <c r="R253" s="3"/>
      <c r="S253" s="3"/>
    </row>
    <row r="254" spans="1:19" ht="15" x14ac:dyDescent="0.25">
      <c r="A254" s="7" t="s">
        <v>16</v>
      </c>
      <c r="B254" s="7" t="s">
        <v>17</v>
      </c>
      <c r="C254" s="7" t="s">
        <v>18</v>
      </c>
      <c r="D254" s="4">
        <v>20812223000241</v>
      </c>
      <c r="E254" s="8" t="s">
        <v>588</v>
      </c>
      <c r="F254" s="8" t="s">
        <v>29</v>
      </c>
      <c r="G254" s="7" t="s">
        <v>19</v>
      </c>
      <c r="H254" s="47" t="s">
        <v>207</v>
      </c>
      <c r="I254" s="47" t="s">
        <v>208</v>
      </c>
      <c r="J254" s="6">
        <v>73</v>
      </c>
      <c r="K254" s="8" t="s">
        <v>26</v>
      </c>
      <c r="L254" s="1" t="s">
        <v>588</v>
      </c>
      <c r="M254" s="5">
        <v>10</v>
      </c>
      <c r="Q254" s="3"/>
      <c r="R254" s="3"/>
      <c r="S254" s="3"/>
    </row>
    <row r="255" spans="1:19" ht="15" x14ac:dyDescent="0.25">
      <c r="A255" s="7" t="s">
        <v>16</v>
      </c>
      <c r="B255" s="7" t="s">
        <v>21</v>
      </c>
      <c r="C255" s="7" t="s">
        <v>18</v>
      </c>
      <c r="D255" s="4">
        <v>20812223000241</v>
      </c>
      <c r="E255" s="8" t="s">
        <v>588</v>
      </c>
      <c r="F255" s="8" t="s">
        <v>29</v>
      </c>
      <c r="G255" s="7" t="s">
        <v>19</v>
      </c>
      <c r="H255" s="47" t="s">
        <v>207</v>
      </c>
      <c r="I255" s="47" t="s">
        <v>208</v>
      </c>
      <c r="J255" s="6">
        <v>73</v>
      </c>
      <c r="K255" s="8" t="s">
        <v>26</v>
      </c>
      <c r="L255" s="1" t="s">
        <v>588</v>
      </c>
      <c r="M255" s="5">
        <v>20</v>
      </c>
      <c r="Q255" s="3"/>
      <c r="R255" s="3"/>
      <c r="S255" s="3"/>
    </row>
    <row r="256" spans="1:19" ht="15" x14ac:dyDescent="0.25">
      <c r="A256" s="7" t="s">
        <v>16</v>
      </c>
      <c r="B256" s="7" t="s">
        <v>17</v>
      </c>
      <c r="C256" s="7" t="s">
        <v>18</v>
      </c>
      <c r="D256" s="4">
        <v>21371777000132</v>
      </c>
      <c r="E256" s="8" t="s">
        <v>589</v>
      </c>
      <c r="F256" s="8" t="s">
        <v>29</v>
      </c>
      <c r="G256" s="7" t="s">
        <v>19</v>
      </c>
      <c r="H256" s="47" t="s">
        <v>207</v>
      </c>
      <c r="I256" s="47" t="s">
        <v>208</v>
      </c>
      <c r="J256" s="6">
        <v>62</v>
      </c>
      <c r="K256" s="8" t="s">
        <v>27</v>
      </c>
      <c r="L256" s="1" t="s">
        <v>589</v>
      </c>
      <c r="M256" s="5">
        <v>8</v>
      </c>
      <c r="Q256" s="3"/>
      <c r="R256" s="3"/>
      <c r="S256" s="3"/>
    </row>
    <row r="257" spans="1:19" ht="15" x14ac:dyDescent="0.25">
      <c r="A257" s="7" t="s">
        <v>16</v>
      </c>
      <c r="B257" s="7" t="s">
        <v>21</v>
      </c>
      <c r="C257" s="7" t="s">
        <v>18</v>
      </c>
      <c r="D257" s="4">
        <v>21371777000132</v>
      </c>
      <c r="E257" s="8" t="s">
        <v>589</v>
      </c>
      <c r="F257" s="8" t="s">
        <v>29</v>
      </c>
      <c r="G257" s="7" t="s">
        <v>19</v>
      </c>
      <c r="H257" s="47" t="s">
        <v>207</v>
      </c>
      <c r="I257" s="47" t="s">
        <v>208</v>
      </c>
      <c r="J257" s="6">
        <v>62</v>
      </c>
      <c r="K257" s="8" t="s">
        <v>27</v>
      </c>
      <c r="L257" s="1" t="s">
        <v>589</v>
      </c>
      <c r="M257" s="5">
        <v>16</v>
      </c>
      <c r="Q257" s="3"/>
      <c r="R257" s="3"/>
      <c r="S257" s="3"/>
    </row>
    <row r="258" spans="1:19" ht="15" x14ac:dyDescent="0.25">
      <c r="A258" s="7" t="s">
        <v>16</v>
      </c>
      <c r="B258" s="7" t="s">
        <v>21</v>
      </c>
      <c r="C258" s="7" t="s">
        <v>18</v>
      </c>
      <c r="D258" s="4">
        <v>21371777000132</v>
      </c>
      <c r="E258" s="8" t="s">
        <v>589</v>
      </c>
      <c r="F258" s="8" t="s">
        <v>29</v>
      </c>
      <c r="G258" s="7" t="s">
        <v>19</v>
      </c>
      <c r="H258" s="47" t="s">
        <v>207</v>
      </c>
      <c r="I258" s="47" t="s">
        <v>208</v>
      </c>
      <c r="J258" s="6">
        <v>64</v>
      </c>
      <c r="K258" s="8" t="s">
        <v>25</v>
      </c>
      <c r="L258" s="1" t="s">
        <v>589</v>
      </c>
      <c r="M258" s="5">
        <v>38</v>
      </c>
      <c r="Q258" s="3"/>
      <c r="R258" s="3"/>
      <c r="S258" s="3"/>
    </row>
    <row r="259" spans="1:19" ht="15" x14ac:dyDescent="0.25">
      <c r="A259" s="7" t="s">
        <v>16</v>
      </c>
      <c r="B259" s="7" t="s">
        <v>17</v>
      </c>
      <c r="C259" s="7" t="s">
        <v>18</v>
      </c>
      <c r="D259" s="4">
        <v>28290788000137</v>
      </c>
      <c r="E259" s="8" t="s">
        <v>591</v>
      </c>
      <c r="F259" s="8" t="s">
        <v>29</v>
      </c>
      <c r="G259" s="7" t="s">
        <v>19</v>
      </c>
      <c r="H259" s="47" t="s">
        <v>207</v>
      </c>
      <c r="I259" s="47" t="s">
        <v>208</v>
      </c>
      <c r="J259" s="6">
        <v>62</v>
      </c>
      <c r="K259" s="8" t="s">
        <v>27</v>
      </c>
      <c r="L259" s="1" t="s">
        <v>591</v>
      </c>
      <c r="M259" s="5">
        <v>34</v>
      </c>
      <c r="Q259" s="3"/>
      <c r="R259" s="3"/>
      <c r="S259" s="3"/>
    </row>
    <row r="260" spans="1:19" ht="15" x14ac:dyDescent="0.25">
      <c r="A260" s="7" t="s">
        <v>16</v>
      </c>
      <c r="B260" s="7" t="s">
        <v>21</v>
      </c>
      <c r="C260" s="7" t="s">
        <v>18</v>
      </c>
      <c r="D260" s="4">
        <v>28290788000137</v>
      </c>
      <c r="E260" s="8" t="s">
        <v>591</v>
      </c>
      <c r="F260" s="8" t="s">
        <v>29</v>
      </c>
      <c r="G260" s="7" t="s">
        <v>19</v>
      </c>
      <c r="H260" s="47" t="s">
        <v>207</v>
      </c>
      <c r="I260" s="47" t="s">
        <v>208</v>
      </c>
      <c r="J260" s="6">
        <v>62</v>
      </c>
      <c r="K260" s="8" t="s">
        <v>27</v>
      </c>
      <c r="L260" s="1" t="s">
        <v>591</v>
      </c>
      <c r="M260" s="5">
        <v>5</v>
      </c>
      <c r="Q260" s="3"/>
      <c r="R260" s="3"/>
      <c r="S260" s="3"/>
    </row>
    <row r="261" spans="1:19" ht="15" x14ac:dyDescent="0.25">
      <c r="A261" s="7" t="s">
        <v>16</v>
      </c>
      <c r="B261" s="7" t="s">
        <v>21</v>
      </c>
      <c r="C261" s="7" t="s">
        <v>18</v>
      </c>
      <c r="D261" s="4">
        <v>28290788000137</v>
      </c>
      <c r="E261" s="8" t="s">
        <v>591</v>
      </c>
      <c r="F261" s="8" t="s">
        <v>29</v>
      </c>
      <c r="G261" s="7" t="s">
        <v>19</v>
      </c>
      <c r="H261" s="47" t="s">
        <v>207</v>
      </c>
      <c r="I261" s="47" t="s">
        <v>208</v>
      </c>
      <c r="J261" s="6">
        <v>64</v>
      </c>
      <c r="K261" s="8" t="s">
        <v>25</v>
      </c>
      <c r="L261" s="1" t="s">
        <v>591</v>
      </c>
      <c r="M261" s="5">
        <v>5</v>
      </c>
      <c r="Q261" s="3"/>
      <c r="R261" s="3"/>
      <c r="S261" s="3"/>
    </row>
    <row r="262" spans="1:19" ht="15" x14ac:dyDescent="0.25">
      <c r="A262" s="7" t="s">
        <v>16</v>
      </c>
      <c r="B262" s="7" t="s">
        <v>17</v>
      </c>
      <c r="C262" s="7" t="s">
        <v>18</v>
      </c>
      <c r="D262" s="4">
        <v>28290788000307</v>
      </c>
      <c r="E262" s="8" t="s">
        <v>592</v>
      </c>
      <c r="F262" s="8" t="s">
        <v>29</v>
      </c>
      <c r="G262" s="7" t="s">
        <v>19</v>
      </c>
      <c r="H262" s="47" t="s">
        <v>207</v>
      </c>
      <c r="I262" s="47" t="s">
        <v>208</v>
      </c>
      <c r="J262" s="6">
        <v>73</v>
      </c>
      <c r="K262" s="8" t="s">
        <v>26</v>
      </c>
      <c r="L262" s="1" t="s">
        <v>592</v>
      </c>
      <c r="M262" s="5">
        <v>24</v>
      </c>
      <c r="Q262" s="3"/>
      <c r="R262" s="3"/>
      <c r="S262" s="3"/>
    </row>
    <row r="263" spans="1:19" ht="15" x14ac:dyDescent="0.25">
      <c r="A263" s="7" t="s">
        <v>16</v>
      </c>
      <c r="B263" s="7" t="s">
        <v>21</v>
      </c>
      <c r="C263" s="7" t="s">
        <v>18</v>
      </c>
      <c r="D263" s="4">
        <v>28290788000307</v>
      </c>
      <c r="E263" s="8" t="s">
        <v>592</v>
      </c>
      <c r="F263" s="8" t="s">
        <v>29</v>
      </c>
      <c r="G263" s="7" t="s">
        <v>19</v>
      </c>
      <c r="H263" s="47" t="s">
        <v>207</v>
      </c>
      <c r="I263" s="47" t="s">
        <v>208</v>
      </c>
      <c r="J263" s="6">
        <v>73</v>
      </c>
      <c r="K263" s="8" t="s">
        <v>26</v>
      </c>
      <c r="L263" s="1" t="s">
        <v>592</v>
      </c>
      <c r="M263" s="5">
        <v>20</v>
      </c>
      <c r="Q263" s="3"/>
      <c r="R263" s="3"/>
      <c r="S263" s="3"/>
    </row>
    <row r="264" spans="1:19" ht="15" x14ac:dyDescent="0.25">
      <c r="A264" s="7" t="s">
        <v>16</v>
      </c>
      <c r="B264" s="7" t="s">
        <v>17</v>
      </c>
      <c r="C264" s="7" t="s">
        <v>18</v>
      </c>
      <c r="D264" s="4">
        <v>29435005009932</v>
      </c>
      <c r="E264" s="8" t="s">
        <v>595</v>
      </c>
      <c r="F264" s="8" t="s">
        <v>29</v>
      </c>
      <c r="G264" s="7" t="s">
        <v>19</v>
      </c>
      <c r="H264" s="47" t="s">
        <v>207</v>
      </c>
      <c r="I264" s="47" t="s">
        <v>208</v>
      </c>
      <c r="J264" s="6">
        <v>62</v>
      </c>
      <c r="K264" s="8" t="s">
        <v>27</v>
      </c>
      <c r="L264" s="1" t="s">
        <v>595</v>
      </c>
      <c r="M264" s="5">
        <v>6</v>
      </c>
      <c r="Q264" s="3"/>
      <c r="R264" s="3"/>
      <c r="S264" s="3"/>
    </row>
    <row r="265" spans="1:19" ht="15" x14ac:dyDescent="0.25">
      <c r="A265" s="7" t="s">
        <v>16</v>
      </c>
      <c r="B265" s="7" t="s">
        <v>17</v>
      </c>
      <c r="C265" s="7" t="s">
        <v>18</v>
      </c>
      <c r="D265" s="4">
        <v>29435005009932</v>
      </c>
      <c r="E265" s="8" t="s">
        <v>595</v>
      </c>
      <c r="F265" s="8" t="s">
        <v>29</v>
      </c>
      <c r="G265" s="7" t="s">
        <v>19</v>
      </c>
      <c r="H265" s="47" t="s">
        <v>207</v>
      </c>
      <c r="I265" s="47" t="s">
        <v>208</v>
      </c>
      <c r="J265" s="6">
        <v>64</v>
      </c>
      <c r="K265" s="8" t="s">
        <v>25</v>
      </c>
      <c r="L265" s="1" t="s">
        <v>595</v>
      </c>
      <c r="M265" s="5">
        <v>4</v>
      </c>
      <c r="Q265" s="3"/>
      <c r="R265" s="3"/>
      <c r="S265" s="3"/>
    </row>
    <row r="266" spans="1:19" ht="15" x14ac:dyDescent="0.25">
      <c r="A266" s="7" t="s">
        <v>16</v>
      </c>
      <c r="B266" s="7" t="s">
        <v>21</v>
      </c>
      <c r="C266" s="7" t="s">
        <v>18</v>
      </c>
      <c r="D266" s="4">
        <v>29435005009932</v>
      </c>
      <c r="E266" s="8" t="s">
        <v>595</v>
      </c>
      <c r="F266" s="8" t="s">
        <v>29</v>
      </c>
      <c r="G266" s="7" t="s">
        <v>19</v>
      </c>
      <c r="H266" s="47" t="s">
        <v>207</v>
      </c>
      <c r="I266" s="47" t="s">
        <v>208</v>
      </c>
      <c r="J266" s="6">
        <v>62</v>
      </c>
      <c r="K266" s="8" t="s">
        <v>27</v>
      </c>
      <c r="L266" s="1" t="s">
        <v>595</v>
      </c>
      <c r="M266" s="5">
        <v>13</v>
      </c>
      <c r="Q266" s="3"/>
      <c r="R266" s="3"/>
      <c r="S266" s="3"/>
    </row>
    <row r="267" spans="1:19" ht="15" x14ac:dyDescent="0.25">
      <c r="A267" s="7" t="s">
        <v>16</v>
      </c>
      <c r="B267" s="7" t="s">
        <v>17</v>
      </c>
      <c r="C267" s="7" t="s">
        <v>18</v>
      </c>
      <c r="D267" s="4">
        <v>51722957010226</v>
      </c>
      <c r="E267" s="8" t="s">
        <v>603</v>
      </c>
      <c r="F267" s="8" t="s">
        <v>29</v>
      </c>
      <c r="G267" s="7" t="s">
        <v>19</v>
      </c>
      <c r="H267" s="47" t="s">
        <v>207</v>
      </c>
      <c r="I267" s="47" t="s">
        <v>208</v>
      </c>
      <c r="J267" s="6">
        <v>73</v>
      </c>
      <c r="K267" s="8" t="s">
        <v>26</v>
      </c>
      <c r="L267" s="1" t="s">
        <v>603</v>
      </c>
      <c r="M267" s="5">
        <v>7</v>
      </c>
      <c r="Q267" s="3"/>
      <c r="R267" s="3"/>
      <c r="S267" s="3"/>
    </row>
    <row r="268" spans="1:19" ht="15" x14ac:dyDescent="0.25">
      <c r="A268" s="7" t="s">
        <v>16</v>
      </c>
      <c r="B268" s="7" t="s">
        <v>17</v>
      </c>
      <c r="C268" s="7" t="s">
        <v>18</v>
      </c>
      <c r="D268" s="4">
        <v>56577059000606</v>
      </c>
      <c r="E268" s="8" t="s">
        <v>606</v>
      </c>
      <c r="F268" s="8" t="s">
        <v>29</v>
      </c>
      <c r="G268" s="7" t="s">
        <v>19</v>
      </c>
      <c r="H268" s="47" t="s">
        <v>207</v>
      </c>
      <c r="I268" s="47" t="s">
        <v>208</v>
      </c>
      <c r="J268" s="6">
        <v>64</v>
      </c>
      <c r="K268" s="8" t="s">
        <v>25</v>
      </c>
      <c r="L268" s="1" t="s">
        <v>606</v>
      </c>
      <c r="M268" s="5">
        <v>30</v>
      </c>
      <c r="Q268" s="3"/>
      <c r="R268" s="3"/>
      <c r="S268" s="3"/>
    </row>
    <row r="269" spans="1:19" ht="15" x14ac:dyDescent="0.25">
      <c r="A269" s="7" t="s">
        <v>16</v>
      </c>
      <c r="B269" s="7" t="s">
        <v>17</v>
      </c>
      <c r="C269" s="7" t="s">
        <v>18</v>
      </c>
      <c r="D269" s="4">
        <v>60448040000122</v>
      </c>
      <c r="E269" s="8" t="s">
        <v>609</v>
      </c>
      <c r="F269" s="8" t="s">
        <v>29</v>
      </c>
      <c r="G269" s="7" t="s">
        <v>19</v>
      </c>
      <c r="H269" s="47" t="s">
        <v>207</v>
      </c>
      <c r="I269" s="47" t="s">
        <v>208</v>
      </c>
      <c r="J269" s="6">
        <v>62</v>
      </c>
      <c r="K269" s="8" t="s">
        <v>27</v>
      </c>
      <c r="L269" s="1" t="s">
        <v>609</v>
      </c>
      <c r="M269" s="5">
        <v>55</v>
      </c>
      <c r="Q269" s="3"/>
      <c r="R269" s="3"/>
      <c r="S269" s="3"/>
    </row>
    <row r="270" spans="1:19" ht="15" x14ac:dyDescent="0.25">
      <c r="A270" s="7" t="s">
        <v>16</v>
      </c>
      <c r="B270" s="7" t="s">
        <v>17</v>
      </c>
      <c r="C270" s="7" t="s">
        <v>18</v>
      </c>
      <c r="D270" s="4">
        <v>60448040000122</v>
      </c>
      <c r="E270" s="8" t="s">
        <v>609</v>
      </c>
      <c r="F270" s="8" t="s">
        <v>29</v>
      </c>
      <c r="G270" s="7" t="s">
        <v>19</v>
      </c>
      <c r="H270" s="47" t="s">
        <v>207</v>
      </c>
      <c r="I270" s="47" t="s">
        <v>208</v>
      </c>
      <c r="J270" s="6">
        <v>64</v>
      </c>
      <c r="K270" s="8" t="s">
        <v>25</v>
      </c>
      <c r="L270" s="1" t="s">
        <v>609</v>
      </c>
      <c r="M270" s="5">
        <v>60</v>
      </c>
      <c r="Q270" s="3"/>
      <c r="R270" s="3"/>
      <c r="S270" s="3"/>
    </row>
    <row r="271" spans="1:19" ht="15" x14ac:dyDescent="0.25">
      <c r="A271" s="7" t="s">
        <v>16</v>
      </c>
      <c r="B271" s="7" t="s">
        <v>17</v>
      </c>
      <c r="C271" s="7" t="s">
        <v>18</v>
      </c>
      <c r="D271" s="4">
        <v>60453024000390</v>
      </c>
      <c r="E271" s="8" t="s">
        <v>610</v>
      </c>
      <c r="F271" s="8" t="s">
        <v>29</v>
      </c>
      <c r="G271" s="7" t="s">
        <v>19</v>
      </c>
      <c r="H271" s="47" t="s">
        <v>207</v>
      </c>
      <c r="I271" s="47" t="s">
        <v>208</v>
      </c>
      <c r="J271" s="6">
        <v>62</v>
      </c>
      <c r="K271" s="8" t="s">
        <v>27</v>
      </c>
      <c r="L271" s="1" t="s">
        <v>610</v>
      </c>
      <c r="M271" s="5">
        <v>10</v>
      </c>
      <c r="Q271" s="3"/>
      <c r="R271" s="3"/>
      <c r="S271" s="3"/>
    </row>
    <row r="272" spans="1:19" ht="15" x14ac:dyDescent="0.25">
      <c r="A272" s="7" t="s">
        <v>16</v>
      </c>
      <c r="B272" s="7" t="s">
        <v>17</v>
      </c>
      <c r="C272" s="7" t="s">
        <v>18</v>
      </c>
      <c r="D272" s="4">
        <v>60453024000390</v>
      </c>
      <c r="E272" s="8" t="s">
        <v>610</v>
      </c>
      <c r="F272" s="8" t="s">
        <v>29</v>
      </c>
      <c r="G272" s="7" t="s">
        <v>19</v>
      </c>
      <c r="H272" s="47" t="s">
        <v>207</v>
      </c>
      <c r="I272" s="47" t="s">
        <v>208</v>
      </c>
      <c r="J272" s="6">
        <v>64</v>
      </c>
      <c r="K272" s="8" t="s">
        <v>25</v>
      </c>
      <c r="L272" s="1" t="s">
        <v>610</v>
      </c>
      <c r="M272" s="5">
        <v>5</v>
      </c>
      <c r="Q272" s="3"/>
      <c r="R272" s="3"/>
      <c r="S272" s="3"/>
    </row>
    <row r="273" spans="1:19" ht="15" x14ac:dyDescent="0.25">
      <c r="A273" s="7" t="s">
        <v>16</v>
      </c>
      <c r="B273" s="7" t="s">
        <v>17</v>
      </c>
      <c r="C273" s="7" t="s">
        <v>18</v>
      </c>
      <c r="D273" s="4">
        <v>60678604000113</v>
      </c>
      <c r="E273" s="8" t="s">
        <v>612</v>
      </c>
      <c r="F273" s="8" t="s">
        <v>29</v>
      </c>
      <c r="G273" s="7" t="s">
        <v>19</v>
      </c>
      <c r="H273" s="47" t="s">
        <v>207</v>
      </c>
      <c r="I273" s="47" t="s">
        <v>208</v>
      </c>
      <c r="J273" s="6">
        <v>62</v>
      </c>
      <c r="K273" s="8" t="s">
        <v>27</v>
      </c>
      <c r="L273" s="1" t="s">
        <v>612</v>
      </c>
      <c r="M273" s="5">
        <v>42</v>
      </c>
      <c r="Q273" s="3"/>
      <c r="R273" s="3"/>
      <c r="S273" s="3"/>
    </row>
    <row r="274" spans="1:19" ht="15" x14ac:dyDescent="0.25">
      <c r="A274" s="7" t="s">
        <v>16</v>
      </c>
      <c r="B274" s="7" t="s">
        <v>17</v>
      </c>
      <c r="C274" s="7" t="s">
        <v>18</v>
      </c>
      <c r="D274" s="4">
        <v>60678604000113</v>
      </c>
      <c r="E274" s="8" t="s">
        <v>612</v>
      </c>
      <c r="F274" s="8" t="s">
        <v>29</v>
      </c>
      <c r="G274" s="7" t="s">
        <v>19</v>
      </c>
      <c r="H274" s="47" t="s">
        <v>207</v>
      </c>
      <c r="I274" s="47" t="s">
        <v>208</v>
      </c>
      <c r="J274" s="6">
        <v>64</v>
      </c>
      <c r="K274" s="8" t="s">
        <v>25</v>
      </c>
      <c r="L274" s="1" t="s">
        <v>612</v>
      </c>
      <c r="M274" s="5">
        <v>2</v>
      </c>
      <c r="Q274" s="3"/>
      <c r="R274" s="3"/>
      <c r="S274" s="3"/>
    </row>
    <row r="275" spans="1:19" ht="15" x14ac:dyDescent="0.25">
      <c r="A275" s="7" t="s">
        <v>16</v>
      </c>
      <c r="B275" s="7" t="s">
        <v>17</v>
      </c>
      <c r="C275" s="7" t="s">
        <v>18</v>
      </c>
      <c r="D275" s="4">
        <v>60726502000126</v>
      </c>
      <c r="E275" s="8" t="s">
        <v>613</v>
      </c>
      <c r="F275" s="8" t="s">
        <v>29</v>
      </c>
      <c r="G275" s="7" t="s">
        <v>19</v>
      </c>
      <c r="H275" s="47" t="s">
        <v>207</v>
      </c>
      <c r="I275" s="47" t="s">
        <v>208</v>
      </c>
      <c r="J275" s="6">
        <v>62</v>
      </c>
      <c r="K275" s="8" t="s">
        <v>27</v>
      </c>
      <c r="L275" s="1" t="s">
        <v>613</v>
      </c>
      <c r="M275" s="5">
        <v>6</v>
      </c>
      <c r="Q275" s="3"/>
      <c r="R275" s="3"/>
      <c r="S275" s="3"/>
    </row>
    <row r="276" spans="1:19" ht="15" x14ac:dyDescent="0.25">
      <c r="A276" s="7" t="s">
        <v>16</v>
      </c>
      <c r="B276" s="7" t="s">
        <v>17</v>
      </c>
      <c r="C276" s="7" t="s">
        <v>18</v>
      </c>
      <c r="D276" s="4">
        <v>60726502000126</v>
      </c>
      <c r="E276" s="8" t="s">
        <v>613</v>
      </c>
      <c r="F276" s="8" t="s">
        <v>29</v>
      </c>
      <c r="G276" s="7" t="s">
        <v>19</v>
      </c>
      <c r="H276" s="47" t="s">
        <v>207</v>
      </c>
      <c r="I276" s="47" t="s">
        <v>208</v>
      </c>
      <c r="J276" s="6">
        <v>64</v>
      </c>
      <c r="K276" s="8" t="s">
        <v>25</v>
      </c>
      <c r="L276" s="1" t="s">
        <v>613</v>
      </c>
      <c r="M276" s="5">
        <v>3</v>
      </c>
      <c r="Q276" s="3"/>
      <c r="R276" s="3"/>
      <c r="S276" s="3"/>
    </row>
    <row r="277" spans="1:19" ht="15" x14ac:dyDescent="0.25">
      <c r="A277" s="7" t="s">
        <v>16</v>
      </c>
      <c r="B277" s="7" t="s">
        <v>17</v>
      </c>
      <c r="C277" s="7" t="s">
        <v>18</v>
      </c>
      <c r="D277" s="4">
        <v>60726502000711</v>
      </c>
      <c r="E277" s="8" t="s">
        <v>614</v>
      </c>
      <c r="F277" s="8" t="s">
        <v>29</v>
      </c>
      <c r="G277" s="7" t="s">
        <v>19</v>
      </c>
      <c r="H277" s="47" t="s">
        <v>207</v>
      </c>
      <c r="I277" s="47" t="s">
        <v>208</v>
      </c>
      <c r="J277" s="6">
        <v>62</v>
      </c>
      <c r="K277" s="8" t="s">
        <v>27</v>
      </c>
      <c r="L277" s="1" t="s">
        <v>614</v>
      </c>
      <c r="M277" s="5">
        <v>5</v>
      </c>
      <c r="Q277" s="3"/>
      <c r="R277" s="3"/>
      <c r="S277" s="3"/>
    </row>
    <row r="278" spans="1:19" ht="15" x14ac:dyDescent="0.25">
      <c r="A278" s="7" t="s">
        <v>16</v>
      </c>
      <c r="B278" s="7" t="s">
        <v>17</v>
      </c>
      <c r="C278" s="7" t="s">
        <v>18</v>
      </c>
      <c r="D278" s="4">
        <v>60884855000316</v>
      </c>
      <c r="E278" s="8" t="s">
        <v>617</v>
      </c>
      <c r="F278" s="8" t="s">
        <v>29</v>
      </c>
      <c r="G278" s="7" t="s">
        <v>19</v>
      </c>
      <c r="H278" s="47" t="s">
        <v>207</v>
      </c>
      <c r="I278" s="47" t="s">
        <v>208</v>
      </c>
      <c r="J278" s="6">
        <v>62</v>
      </c>
      <c r="K278" s="8" t="s">
        <v>27</v>
      </c>
      <c r="L278" s="1" t="s">
        <v>617</v>
      </c>
      <c r="M278" s="5">
        <v>38</v>
      </c>
      <c r="Q278" s="3"/>
      <c r="R278" s="3"/>
      <c r="S278" s="3"/>
    </row>
    <row r="279" spans="1:19" ht="15" x14ac:dyDescent="0.25">
      <c r="A279" s="7" t="s">
        <v>16</v>
      </c>
      <c r="B279" s="7" t="s">
        <v>17</v>
      </c>
      <c r="C279" s="7" t="s">
        <v>18</v>
      </c>
      <c r="D279" s="4">
        <v>60884855000316</v>
      </c>
      <c r="E279" s="8" t="s">
        <v>617</v>
      </c>
      <c r="F279" s="8" t="s">
        <v>29</v>
      </c>
      <c r="G279" s="7" t="s">
        <v>19</v>
      </c>
      <c r="H279" s="47" t="s">
        <v>207</v>
      </c>
      <c r="I279" s="47" t="s">
        <v>208</v>
      </c>
      <c r="J279" s="6">
        <v>64</v>
      </c>
      <c r="K279" s="8" t="s">
        <v>25</v>
      </c>
      <c r="L279" s="1" t="s">
        <v>617</v>
      </c>
      <c r="M279" s="5">
        <v>8</v>
      </c>
      <c r="Q279" s="3"/>
      <c r="R279" s="3"/>
      <c r="S279" s="3"/>
    </row>
    <row r="280" spans="1:19" ht="15" x14ac:dyDescent="0.25">
      <c r="A280" s="7" t="s">
        <v>16</v>
      </c>
      <c r="B280" s="7" t="s">
        <v>21</v>
      </c>
      <c r="C280" s="7" t="s">
        <v>18</v>
      </c>
      <c r="D280" s="4">
        <v>19056055000141</v>
      </c>
      <c r="E280" s="8" t="s">
        <v>586</v>
      </c>
      <c r="F280" s="8" t="s">
        <v>29</v>
      </c>
      <c r="G280" s="7" t="s">
        <v>19</v>
      </c>
      <c r="H280" s="47" t="s">
        <v>207</v>
      </c>
      <c r="I280" s="47" t="s">
        <v>208</v>
      </c>
      <c r="J280" s="6">
        <v>62</v>
      </c>
      <c r="K280" s="8" t="s">
        <v>27</v>
      </c>
      <c r="L280" s="1" t="s">
        <v>586</v>
      </c>
      <c r="M280" s="5">
        <v>3</v>
      </c>
      <c r="Q280" s="3"/>
      <c r="R280" s="3"/>
      <c r="S280" s="3"/>
    </row>
    <row r="281" spans="1:19" ht="15" x14ac:dyDescent="0.25">
      <c r="A281" s="7" t="s">
        <v>16</v>
      </c>
      <c r="B281" s="7" t="s">
        <v>17</v>
      </c>
      <c r="C281" s="7" t="s">
        <v>18</v>
      </c>
      <c r="D281" s="4">
        <v>60922168000771</v>
      </c>
      <c r="E281" s="8" t="s">
        <v>618</v>
      </c>
      <c r="F281" s="8" t="s">
        <v>29</v>
      </c>
      <c r="G281" s="7" t="s">
        <v>19</v>
      </c>
      <c r="H281" s="47" t="s">
        <v>207</v>
      </c>
      <c r="I281" s="47" t="s">
        <v>208</v>
      </c>
      <c r="J281" s="6">
        <v>73</v>
      </c>
      <c r="K281" s="8" t="s">
        <v>26</v>
      </c>
      <c r="L281" s="1" t="s">
        <v>618</v>
      </c>
      <c r="M281" s="5">
        <v>16</v>
      </c>
      <c r="Q281" s="3"/>
      <c r="R281" s="3"/>
      <c r="S281" s="3"/>
    </row>
    <row r="282" spans="1:19" ht="15" x14ac:dyDescent="0.25">
      <c r="A282" s="7" t="s">
        <v>16</v>
      </c>
      <c r="B282" s="7" t="s">
        <v>17</v>
      </c>
      <c r="C282" s="7" t="s">
        <v>18</v>
      </c>
      <c r="D282" s="4">
        <v>60961422000155</v>
      </c>
      <c r="E282" s="8" t="s">
        <v>620</v>
      </c>
      <c r="F282" s="8" t="s">
        <v>29</v>
      </c>
      <c r="G282" s="7" t="s">
        <v>19</v>
      </c>
      <c r="H282" s="47" t="s">
        <v>207</v>
      </c>
      <c r="I282" s="47" t="s">
        <v>208</v>
      </c>
      <c r="J282" s="6">
        <v>62</v>
      </c>
      <c r="K282" s="8" t="s">
        <v>27</v>
      </c>
      <c r="L282" s="1" t="s">
        <v>620</v>
      </c>
      <c r="M282" s="5">
        <v>13</v>
      </c>
      <c r="Q282" s="3"/>
      <c r="R282" s="3"/>
      <c r="S282" s="3"/>
    </row>
    <row r="283" spans="1:19" ht="15" x14ac:dyDescent="0.25">
      <c r="A283" s="7" t="s">
        <v>16</v>
      </c>
      <c r="B283" s="7" t="s">
        <v>17</v>
      </c>
      <c r="C283" s="7" t="s">
        <v>18</v>
      </c>
      <c r="D283" s="4">
        <v>60961422000155</v>
      </c>
      <c r="E283" s="8" t="s">
        <v>620</v>
      </c>
      <c r="F283" s="8" t="s">
        <v>29</v>
      </c>
      <c r="G283" s="7" t="s">
        <v>19</v>
      </c>
      <c r="H283" s="47" t="s">
        <v>207</v>
      </c>
      <c r="I283" s="47" t="s">
        <v>208</v>
      </c>
      <c r="J283" s="6">
        <v>64</v>
      </c>
      <c r="K283" s="8" t="s">
        <v>25</v>
      </c>
      <c r="L283" s="1" t="s">
        <v>620</v>
      </c>
      <c r="M283" s="5">
        <v>10</v>
      </c>
      <c r="Q283" s="3"/>
      <c r="R283" s="3"/>
      <c r="S283" s="3"/>
    </row>
    <row r="284" spans="1:19" ht="15" x14ac:dyDescent="0.25">
      <c r="A284" s="7" t="s">
        <v>16</v>
      </c>
      <c r="B284" s="7" t="s">
        <v>17</v>
      </c>
      <c r="C284" s="7" t="s">
        <v>18</v>
      </c>
      <c r="D284" s="4">
        <v>60975737001204</v>
      </c>
      <c r="E284" s="8" t="s">
        <v>625</v>
      </c>
      <c r="F284" s="8" t="s">
        <v>29</v>
      </c>
      <c r="G284" s="7" t="s">
        <v>19</v>
      </c>
      <c r="H284" s="47" t="s">
        <v>207</v>
      </c>
      <c r="I284" s="47" t="s">
        <v>208</v>
      </c>
      <c r="J284" s="6">
        <v>64</v>
      </c>
      <c r="K284" s="8" t="s">
        <v>25</v>
      </c>
      <c r="L284" s="1" t="s">
        <v>625</v>
      </c>
      <c r="M284" s="5">
        <v>6</v>
      </c>
      <c r="Q284" s="3"/>
      <c r="R284" s="3"/>
      <c r="S284" s="3"/>
    </row>
    <row r="285" spans="1:19" ht="15" x14ac:dyDescent="0.25">
      <c r="A285" s="7" t="s">
        <v>16</v>
      </c>
      <c r="B285" s="7" t="s">
        <v>17</v>
      </c>
      <c r="C285" s="7" t="s">
        <v>18</v>
      </c>
      <c r="D285" s="4">
        <v>61213674000240</v>
      </c>
      <c r="E285" s="8" t="s">
        <v>629</v>
      </c>
      <c r="F285" s="8" t="s">
        <v>29</v>
      </c>
      <c r="G285" s="7" t="s">
        <v>19</v>
      </c>
      <c r="H285" s="47" t="s">
        <v>207</v>
      </c>
      <c r="I285" s="47" t="s">
        <v>208</v>
      </c>
      <c r="J285" s="6">
        <v>62</v>
      </c>
      <c r="K285" s="8" t="s">
        <v>27</v>
      </c>
      <c r="L285" s="1" t="s">
        <v>629</v>
      </c>
      <c r="M285" s="5">
        <v>1</v>
      </c>
      <c r="Q285" s="3"/>
      <c r="R285" s="3"/>
      <c r="S285" s="3"/>
    </row>
    <row r="286" spans="1:19" ht="15" x14ac:dyDescent="0.25">
      <c r="A286" s="7" t="s">
        <v>16</v>
      </c>
      <c r="B286" s="7" t="s">
        <v>17</v>
      </c>
      <c r="C286" s="7" t="s">
        <v>18</v>
      </c>
      <c r="D286" s="4">
        <v>61213674000240</v>
      </c>
      <c r="E286" s="8" t="s">
        <v>629</v>
      </c>
      <c r="F286" s="8" t="s">
        <v>29</v>
      </c>
      <c r="G286" s="7" t="s">
        <v>19</v>
      </c>
      <c r="H286" s="47" t="s">
        <v>207</v>
      </c>
      <c r="I286" s="47" t="s">
        <v>208</v>
      </c>
      <c r="J286" s="6">
        <v>64</v>
      </c>
      <c r="K286" s="8" t="s">
        <v>25</v>
      </c>
      <c r="L286" s="1" t="s">
        <v>629</v>
      </c>
      <c r="M286" s="5">
        <v>3</v>
      </c>
      <c r="Q286" s="3"/>
      <c r="R286" s="3"/>
      <c r="S286" s="3"/>
    </row>
    <row r="287" spans="1:19" ht="15" x14ac:dyDescent="0.25">
      <c r="A287" s="7" t="s">
        <v>16</v>
      </c>
      <c r="B287" s="7" t="s">
        <v>17</v>
      </c>
      <c r="C287" s="7" t="s">
        <v>18</v>
      </c>
      <c r="D287" s="4">
        <v>61213674000240</v>
      </c>
      <c r="E287" s="8" t="s">
        <v>629</v>
      </c>
      <c r="F287" s="8" t="s">
        <v>29</v>
      </c>
      <c r="G287" s="7" t="s">
        <v>19</v>
      </c>
      <c r="H287" s="47" t="s">
        <v>207</v>
      </c>
      <c r="I287" s="47" t="s">
        <v>208</v>
      </c>
      <c r="J287" s="6">
        <v>73</v>
      </c>
      <c r="K287" s="8" t="s">
        <v>26</v>
      </c>
      <c r="L287" s="1" t="s">
        <v>629</v>
      </c>
      <c r="M287" s="5">
        <v>49</v>
      </c>
      <c r="Q287" s="3"/>
      <c r="R287" s="3"/>
      <c r="S287" s="3"/>
    </row>
    <row r="288" spans="1:19" ht="15" x14ac:dyDescent="0.25">
      <c r="A288" s="7" t="s">
        <v>16</v>
      </c>
      <c r="B288" s="7" t="s">
        <v>17</v>
      </c>
      <c r="C288" s="7" t="s">
        <v>18</v>
      </c>
      <c r="D288" s="4">
        <v>61599908000158</v>
      </c>
      <c r="E288" s="8" t="s">
        <v>631</v>
      </c>
      <c r="F288" s="8" t="s">
        <v>29</v>
      </c>
      <c r="G288" s="7" t="s">
        <v>19</v>
      </c>
      <c r="H288" s="47" t="s">
        <v>207</v>
      </c>
      <c r="I288" s="47" t="s">
        <v>208</v>
      </c>
      <c r="J288" s="6">
        <v>62</v>
      </c>
      <c r="K288" s="8" t="s">
        <v>27</v>
      </c>
      <c r="L288" s="1" t="s">
        <v>631</v>
      </c>
      <c r="M288" s="5">
        <v>30</v>
      </c>
      <c r="Q288" s="3"/>
      <c r="R288" s="3"/>
      <c r="S288" s="3"/>
    </row>
    <row r="289" spans="1:19" ht="15" x14ac:dyDescent="0.25">
      <c r="A289" s="7" t="s">
        <v>16</v>
      </c>
      <c r="B289" s="7" t="s">
        <v>17</v>
      </c>
      <c r="C289" s="7" t="s">
        <v>18</v>
      </c>
      <c r="D289" s="4">
        <v>61599908000158</v>
      </c>
      <c r="E289" s="8" t="s">
        <v>631</v>
      </c>
      <c r="F289" s="8" t="s">
        <v>29</v>
      </c>
      <c r="G289" s="7" t="s">
        <v>19</v>
      </c>
      <c r="H289" s="47" t="s">
        <v>207</v>
      </c>
      <c r="I289" s="47" t="s">
        <v>208</v>
      </c>
      <c r="J289" s="6">
        <v>64</v>
      </c>
      <c r="K289" s="8" t="s">
        <v>25</v>
      </c>
      <c r="L289" s="1" t="s">
        <v>631</v>
      </c>
      <c r="M289" s="5">
        <v>130</v>
      </c>
      <c r="Q289" s="3"/>
      <c r="R289" s="3"/>
      <c r="S289" s="3"/>
    </row>
    <row r="290" spans="1:19" ht="15" x14ac:dyDescent="0.25">
      <c r="A290" s="7" t="s">
        <v>16</v>
      </c>
      <c r="B290" s="7" t="s">
        <v>17</v>
      </c>
      <c r="C290" s="7" t="s">
        <v>18</v>
      </c>
      <c r="D290" s="4">
        <v>62106505000192</v>
      </c>
      <c r="E290" s="8" t="s">
        <v>633</v>
      </c>
      <c r="F290" s="8" t="s">
        <v>29</v>
      </c>
      <c r="G290" s="7" t="s">
        <v>19</v>
      </c>
      <c r="H290" s="47" t="s">
        <v>207</v>
      </c>
      <c r="I290" s="47" t="s">
        <v>208</v>
      </c>
      <c r="J290" s="6">
        <v>62</v>
      </c>
      <c r="K290" s="8" t="s">
        <v>27</v>
      </c>
      <c r="L290" s="1" t="s">
        <v>633</v>
      </c>
      <c r="M290" s="5">
        <v>2</v>
      </c>
      <c r="Q290" s="3"/>
      <c r="R290" s="3"/>
      <c r="S290" s="3"/>
    </row>
    <row r="291" spans="1:19" ht="15" x14ac:dyDescent="0.25">
      <c r="A291" s="7" t="s">
        <v>16</v>
      </c>
      <c r="B291" s="7" t="s">
        <v>17</v>
      </c>
      <c r="C291" s="7" t="s">
        <v>18</v>
      </c>
      <c r="D291" s="4">
        <v>62779145000190</v>
      </c>
      <c r="E291" s="8" t="s">
        <v>634</v>
      </c>
      <c r="F291" s="8" t="s">
        <v>29</v>
      </c>
      <c r="G291" s="7" t="s">
        <v>19</v>
      </c>
      <c r="H291" s="47" t="s">
        <v>207</v>
      </c>
      <c r="I291" s="47" t="s">
        <v>208</v>
      </c>
      <c r="J291" s="6">
        <v>64</v>
      </c>
      <c r="K291" s="8" t="s">
        <v>25</v>
      </c>
      <c r="L291" s="1" t="s">
        <v>634</v>
      </c>
      <c r="M291" s="5">
        <v>2</v>
      </c>
      <c r="Q291" s="3"/>
      <c r="R291" s="3"/>
      <c r="S291" s="3"/>
    </row>
    <row r="292" spans="1:19" ht="15" x14ac:dyDescent="0.25">
      <c r="A292" s="7" t="s">
        <v>16</v>
      </c>
      <c r="B292" s="7" t="s">
        <v>21</v>
      </c>
      <c r="C292" s="7" t="s">
        <v>18</v>
      </c>
      <c r="D292" s="4">
        <v>44649812005520</v>
      </c>
      <c r="E292" s="8" t="s">
        <v>598</v>
      </c>
      <c r="F292" s="8" t="s">
        <v>29</v>
      </c>
      <c r="G292" s="7" t="s">
        <v>19</v>
      </c>
      <c r="H292" s="47" t="s">
        <v>207</v>
      </c>
      <c r="I292" s="47" t="s">
        <v>208</v>
      </c>
      <c r="J292" s="6">
        <v>73</v>
      </c>
      <c r="K292" s="8" t="s">
        <v>26</v>
      </c>
      <c r="L292" s="1" t="s">
        <v>598</v>
      </c>
      <c r="M292" s="5">
        <v>16</v>
      </c>
      <c r="Q292" s="3"/>
      <c r="R292" s="3"/>
      <c r="S292" s="3"/>
    </row>
    <row r="293" spans="1:19" ht="15" x14ac:dyDescent="0.25">
      <c r="A293" s="7" t="s">
        <v>16</v>
      </c>
      <c r="B293" s="7" t="s">
        <v>21</v>
      </c>
      <c r="C293" s="7" t="s">
        <v>18</v>
      </c>
      <c r="D293" s="4">
        <v>51722957010226</v>
      </c>
      <c r="E293" s="8" t="s">
        <v>603</v>
      </c>
      <c r="F293" s="8" t="s">
        <v>29</v>
      </c>
      <c r="G293" s="7" t="s">
        <v>19</v>
      </c>
      <c r="H293" s="47" t="s">
        <v>207</v>
      </c>
      <c r="I293" s="47" t="s">
        <v>208</v>
      </c>
      <c r="J293" s="6">
        <v>73</v>
      </c>
      <c r="K293" s="8" t="s">
        <v>26</v>
      </c>
      <c r="L293" s="1" t="s">
        <v>603</v>
      </c>
      <c r="M293" s="5">
        <v>42</v>
      </c>
      <c r="Q293" s="3"/>
      <c r="R293" s="3"/>
      <c r="S293" s="3"/>
    </row>
    <row r="294" spans="1:19" ht="15" x14ac:dyDescent="0.25">
      <c r="A294" s="7" t="s">
        <v>16</v>
      </c>
      <c r="B294" s="7" t="s">
        <v>21</v>
      </c>
      <c r="C294" s="7" t="s">
        <v>18</v>
      </c>
      <c r="D294" s="4">
        <v>60448040000122</v>
      </c>
      <c r="E294" s="8" t="s">
        <v>609</v>
      </c>
      <c r="F294" s="8" t="s">
        <v>29</v>
      </c>
      <c r="G294" s="7" t="s">
        <v>19</v>
      </c>
      <c r="H294" s="47" t="s">
        <v>207</v>
      </c>
      <c r="I294" s="47" t="s">
        <v>208</v>
      </c>
      <c r="J294" s="6">
        <v>62</v>
      </c>
      <c r="K294" s="8" t="s">
        <v>27</v>
      </c>
      <c r="L294" s="1" t="s">
        <v>609</v>
      </c>
      <c r="M294" s="5">
        <v>87</v>
      </c>
      <c r="Q294" s="3"/>
      <c r="R294" s="3"/>
      <c r="S294" s="3"/>
    </row>
    <row r="295" spans="1:19" ht="15" x14ac:dyDescent="0.25">
      <c r="A295" s="7" t="s">
        <v>16</v>
      </c>
      <c r="B295" s="7" t="s">
        <v>21</v>
      </c>
      <c r="C295" s="7" t="s">
        <v>18</v>
      </c>
      <c r="D295" s="4">
        <v>60448040000122</v>
      </c>
      <c r="E295" s="8" t="s">
        <v>609</v>
      </c>
      <c r="F295" s="8" t="s">
        <v>29</v>
      </c>
      <c r="G295" s="7" t="s">
        <v>19</v>
      </c>
      <c r="H295" s="47" t="s">
        <v>207</v>
      </c>
      <c r="I295" s="47" t="s">
        <v>208</v>
      </c>
      <c r="J295" s="6">
        <v>64</v>
      </c>
      <c r="K295" s="8" t="s">
        <v>25</v>
      </c>
      <c r="L295" s="1" t="s">
        <v>609</v>
      </c>
      <c r="M295" s="5">
        <v>57</v>
      </c>
      <c r="Q295" s="3"/>
      <c r="R295" s="3"/>
      <c r="S295" s="3"/>
    </row>
    <row r="296" spans="1:19" ht="15" x14ac:dyDescent="0.25">
      <c r="A296" s="7" t="s">
        <v>16</v>
      </c>
      <c r="B296" s="7" t="s">
        <v>21</v>
      </c>
      <c r="C296" s="7" t="s">
        <v>18</v>
      </c>
      <c r="D296" s="4">
        <v>60453024000390</v>
      </c>
      <c r="E296" s="8" t="s">
        <v>610</v>
      </c>
      <c r="F296" s="8" t="s">
        <v>29</v>
      </c>
      <c r="G296" s="7" t="s">
        <v>19</v>
      </c>
      <c r="H296" s="47" t="s">
        <v>207</v>
      </c>
      <c r="I296" s="47" t="s">
        <v>208</v>
      </c>
      <c r="J296" s="6">
        <v>62</v>
      </c>
      <c r="K296" s="8" t="s">
        <v>27</v>
      </c>
      <c r="L296" s="1" t="s">
        <v>610</v>
      </c>
      <c r="M296" s="5">
        <v>37</v>
      </c>
      <c r="Q296" s="3"/>
      <c r="R296" s="3"/>
      <c r="S296" s="3"/>
    </row>
    <row r="297" spans="1:19" ht="15" x14ac:dyDescent="0.25">
      <c r="A297" s="7" t="s">
        <v>16</v>
      </c>
      <c r="B297" s="7" t="s">
        <v>21</v>
      </c>
      <c r="C297" s="7" t="s">
        <v>18</v>
      </c>
      <c r="D297" s="4">
        <v>60453024000390</v>
      </c>
      <c r="E297" s="8" t="s">
        <v>610</v>
      </c>
      <c r="F297" s="8" t="s">
        <v>29</v>
      </c>
      <c r="G297" s="7" t="s">
        <v>19</v>
      </c>
      <c r="H297" s="47" t="s">
        <v>207</v>
      </c>
      <c r="I297" s="47" t="s">
        <v>208</v>
      </c>
      <c r="J297" s="6">
        <v>64</v>
      </c>
      <c r="K297" s="8" t="s">
        <v>25</v>
      </c>
      <c r="L297" s="1" t="s">
        <v>610</v>
      </c>
      <c r="M297" s="5">
        <v>10</v>
      </c>
      <c r="Q297" s="3"/>
      <c r="R297" s="3"/>
      <c r="S297" s="3"/>
    </row>
    <row r="298" spans="1:19" ht="15" x14ac:dyDescent="0.25">
      <c r="A298" s="7" t="s">
        <v>16</v>
      </c>
      <c r="B298" s="7" t="s">
        <v>21</v>
      </c>
      <c r="C298" s="7" t="s">
        <v>18</v>
      </c>
      <c r="D298" s="4">
        <v>60678604000113</v>
      </c>
      <c r="E298" s="8" t="s">
        <v>612</v>
      </c>
      <c r="F298" s="8" t="s">
        <v>29</v>
      </c>
      <c r="G298" s="7" t="s">
        <v>19</v>
      </c>
      <c r="H298" s="47" t="s">
        <v>207</v>
      </c>
      <c r="I298" s="47" t="s">
        <v>208</v>
      </c>
      <c r="J298" s="6">
        <v>62</v>
      </c>
      <c r="K298" s="8" t="s">
        <v>27</v>
      </c>
      <c r="L298" s="1" t="s">
        <v>612</v>
      </c>
      <c r="M298" s="5">
        <v>23</v>
      </c>
      <c r="Q298" s="3"/>
      <c r="R298" s="3"/>
      <c r="S298" s="3"/>
    </row>
    <row r="299" spans="1:19" ht="15" x14ac:dyDescent="0.25">
      <c r="A299" s="7" t="s">
        <v>16</v>
      </c>
      <c r="B299" s="7" t="s">
        <v>21</v>
      </c>
      <c r="C299" s="7" t="s">
        <v>18</v>
      </c>
      <c r="D299" s="4">
        <v>60726502000126</v>
      </c>
      <c r="E299" s="8" t="s">
        <v>613</v>
      </c>
      <c r="F299" s="8" t="s">
        <v>29</v>
      </c>
      <c r="G299" s="7" t="s">
        <v>19</v>
      </c>
      <c r="H299" s="47" t="s">
        <v>207</v>
      </c>
      <c r="I299" s="47" t="s">
        <v>208</v>
      </c>
      <c r="J299" s="6">
        <v>62</v>
      </c>
      <c r="K299" s="8" t="s">
        <v>27</v>
      </c>
      <c r="L299" s="1" t="s">
        <v>613</v>
      </c>
      <c r="M299" s="5">
        <v>2</v>
      </c>
      <c r="Q299" s="3"/>
      <c r="R299" s="3"/>
      <c r="S299" s="3"/>
    </row>
    <row r="300" spans="1:19" ht="15" x14ac:dyDescent="0.25">
      <c r="A300" s="7" t="s">
        <v>16</v>
      </c>
      <c r="B300" s="7" t="s">
        <v>21</v>
      </c>
      <c r="C300" s="7" t="s">
        <v>18</v>
      </c>
      <c r="D300" s="4">
        <v>60726502000126</v>
      </c>
      <c r="E300" s="8" t="s">
        <v>613</v>
      </c>
      <c r="F300" s="8" t="s">
        <v>29</v>
      </c>
      <c r="G300" s="7" t="s">
        <v>19</v>
      </c>
      <c r="H300" s="47" t="s">
        <v>207</v>
      </c>
      <c r="I300" s="47" t="s">
        <v>208</v>
      </c>
      <c r="J300" s="6">
        <v>64</v>
      </c>
      <c r="K300" s="8" t="s">
        <v>25</v>
      </c>
      <c r="L300" s="1" t="s">
        <v>613</v>
      </c>
      <c r="M300" s="5">
        <v>6</v>
      </c>
      <c r="Q300" s="3"/>
      <c r="R300" s="3"/>
      <c r="S300" s="3"/>
    </row>
    <row r="301" spans="1:19" ht="15" x14ac:dyDescent="0.25">
      <c r="A301" s="7" t="s">
        <v>16</v>
      </c>
      <c r="B301" s="7" t="s">
        <v>21</v>
      </c>
      <c r="C301" s="7" t="s">
        <v>18</v>
      </c>
      <c r="D301" s="4">
        <v>60726502000126</v>
      </c>
      <c r="E301" s="8" t="s">
        <v>613</v>
      </c>
      <c r="F301" s="8" t="s">
        <v>29</v>
      </c>
      <c r="G301" s="7" t="s">
        <v>19</v>
      </c>
      <c r="H301" s="47" t="s">
        <v>207</v>
      </c>
      <c r="I301" s="47" t="s">
        <v>208</v>
      </c>
      <c r="J301" s="6">
        <v>73</v>
      </c>
      <c r="K301" s="8" t="s">
        <v>26</v>
      </c>
      <c r="L301" s="1" t="s">
        <v>613</v>
      </c>
      <c r="M301" s="5">
        <v>16</v>
      </c>
      <c r="Q301" s="3"/>
      <c r="R301" s="3"/>
      <c r="S301" s="3"/>
    </row>
    <row r="302" spans="1:19" ht="15" x14ac:dyDescent="0.25">
      <c r="A302" s="7" t="s">
        <v>16</v>
      </c>
      <c r="B302" s="7" t="s">
        <v>21</v>
      </c>
      <c r="C302" s="7" t="s">
        <v>18</v>
      </c>
      <c r="D302" s="4">
        <v>60765823000130</v>
      </c>
      <c r="E302" s="8" t="s">
        <v>615</v>
      </c>
      <c r="F302" s="8" t="s">
        <v>29</v>
      </c>
      <c r="G302" s="7" t="s">
        <v>19</v>
      </c>
      <c r="H302" s="47" t="s">
        <v>207</v>
      </c>
      <c r="I302" s="47" t="s">
        <v>208</v>
      </c>
      <c r="J302" s="6">
        <v>62</v>
      </c>
      <c r="K302" s="8" t="s">
        <v>27</v>
      </c>
      <c r="L302" s="1" t="s">
        <v>615</v>
      </c>
      <c r="M302" s="5">
        <v>65</v>
      </c>
      <c r="Q302" s="3"/>
      <c r="R302" s="3"/>
      <c r="S302" s="3"/>
    </row>
    <row r="303" spans="1:19" ht="15" x14ac:dyDescent="0.25">
      <c r="A303" s="7" t="s">
        <v>16</v>
      </c>
      <c r="B303" s="7" t="s">
        <v>21</v>
      </c>
      <c r="C303" s="7" t="s">
        <v>18</v>
      </c>
      <c r="D303" s="4">
        <v>60777901000116</v>
      </c>
      <c r="E303" s="8" t="s">
        <v>616</v>
      </c>
      <c r="F303" s="8" t="s">
        <v>29</v>
      </c>
      <c r="G303" s="7" t="s">
        <v>19</v>
      </c>
      <c r="H303" s="47" t="s">
        <v>207</v>
      </c>
      <c r="I303" s="47" t="s">
        <v>208</v>
      </c>
      <c r="J303" s="6">
        <v>64</v>
      </c>
      <c r="K303" s="8" t="s">
        <v>25</v>
      </c>
      <c r="L303" s="1" t="s">
        <v>616</v>
      </c>
      <c r="M303" s="5">
        <v>100</v>
      </c>
      <c r="Q303" s="3"/>
      <c r="R303" s="3"/>
      <c r="S303" s="3"/>
    </row>
    <row r="304" spans="1:19" ht="15" x14ac:dyDescent="0.25">
      <c r="A304" s="7" t="s">
        <v>16</v>
      </c>
      <c r="B304" s="7" t="s">
        <v>21</v>
      </c>
      <c r="C304" s="7" t="s">
        <v>18</v>
      </c>
      <c r="D304" s="4">
        <v>60884855000316</v>
      </c>
      <c r="E304" s="8" t="s">
        <v>617</v>
      </c>
      <c r="F304" s="8" t="s">
        <v>29</v>
      </c>
      <c r="G304" s="7" t="s">
        <v>19</v>
      </c>
      <c r="H304" s="47" t="s">
        <v>207</v>
      </c>
      <c r="I304" s="47" t="s">
        <v>208</v>
      </c>
      <c r="J304" s="6">
        <v>62</v>
      </c>
      <c r="K304" s="8" t="s">
        <v>27</v>
      </c>
      <c r="L304" s="1" t="s">
        <v>617</v>
      </c>
      <c r="M304" s="5">
        <v>3</v>
      </c>
      <c r="Q304" s="3"/>
      <c r="R304" s="3"/>
      <c r="S304" s="3"/>
    </row>
    <row r="305" spans="1:19" ht="15" x14ac:dyDescent="0.25">
      <c r="A305" s="7" t="s">
        <v>16</v>
      </c>
      <c r="B305" s="7" t="s">
        <v>21</v>
      </c>
      <c r="C305" s="7" t="s">
        <v>18</v>
      </c>
      <c r="D305" s="4">
        <v>60884855000316</v>
      </c>
      <c r="E305" s="8" t="s">
        <v>617</v>
      </c>
      <c r="F305" s="8" t="s">
        <v>29</v>
      </c>
      <c r="G305" s="7" t="s">
        <v>19</v>
      </c>
      <c r="H305" s="47" t="s">
        <v>207</v>
      </c>
      <c r="I305" s="47" t="s">
        <v>208</v>
      </c>
      <c r="J305" s="6">
        <v>64</v>
      </c>
      <c r="K305" s="8" t="s">
        <v>25</v>
      </c>
      <c r="L305" s="1" t="s">
        <v>617</v>
      </c>
      <c r="M305" s="5">
        <v>10</v>
      </c>
      <c r="Q305" s="3"/>
      <c r="R305" s="3"/>
      <c r="S305" s="3"/>
    </row>
    <row r="306" spans="1:19" ht="15" x14ac:dyDescent="0.25">
      <c r="A306" s="7" t="s">
        <v>16</v>
      </c>
      <c r="B306" s="7" t="s">
        <v>21</v>
      </c>
      <c r="C306" s="7" t="s">
        <v>18</v>
      </c>
      <c r="D306" s="4">
        <v>60884855000316</v>
      </c>
      <c r="E306" s="8" t="s">
        <v>617</v>
      </c>
      <c r="F306" s="8" t="s">
        <v>29</v>
      </c>
      <c r="G306" s="7" t="s">
        <v>19</v>
      </c>
      <c r="H306" s="47" t="s">
        <v>207</v>
      </c>
      <c r="I306" s="47" t="s">
        <v>208</v>
      </c>
      <c r="J306" s="6">
        <v>73</v>
      </c>
      <c r="K306" s="8" t="s">
        <v>26</v>
      </c>
      <c r="L306" s="1" t="s">
        <v>617</v>
      </c>
      <c r="M306" s="5">
        <v>24</v>
      </c>
      <c r="Q306" s="3"/>
      <c r="R306" s="3"/>
      <c r="S306" s="3"/>
    </row>
    <row r="307" spans="1:19" ht="15" x14ac:dyDescent="0.25">
      <c r="A307" s="7" t="s">
        <v>16</v>
      </c>
      <c r="B307" s="7" t="s">
        <v>21</v>
      </c>
      <c r="C307" s="7" t="s">
        <v>18</v>
      </c>
      <c r="D307" s="4">
        <v>60922168000771</v>
      </c>
      <c r="E307" s="8" t="s">
        <v>618</v>
      </c>
      <c r="F307" s="8" t="s">
        <v>29</v>
      </c>
      <c r="G307" s="7" t="s">
        <v>19</v>
      </c>
      <c r="H307" s="47" t="s">
        <v>207</v>
      </c>
      <c r="I307" s="47" t="s">
        <v>208</v>
      </c>
      <c r="J307" s="6">
        <v>62</v>
      </c>
      <c r="K307" s="8" t="s">
        <v>27</v>
      </c>
      <c r="L307" s="1" t="s">
        <v>618</v>
      </c>
      <c r="M307" s="5">
        <v>5</v>
      </c>
      <c r="Q307" s="3"/>
      <c r="R307" s="3"/>
      <c r="S307" s="3"/>
    </row>
    <row r="308" spans="1:19" ht="15" x14ac:dyDescent="0.25">
      <c r="A308" s="7" t="s">
        <v>16</v>
      </c>
      <c r="B308" s="7" t="s">
        <v>21</v>
      </c>
      <c r="C308" s="7" t="s">
        <v>18</v>
      </c>
      <c r="D308" s="4">
        <v>60922168000771</v>
      </c>
      <c r="E308" s="8" t="s">
        <v>618</v>
      </c>
      <c r="F308" s="8" t="s">
        <v>29</v>
      </c>
      <c r="G308" s="7" t="s">
        <v>19</v>
      </c>
      <c r="H308" s="47" t="s">
        <v>207</v>
      </c>
      <c r="I308" s="47" t="s">
        <v>208</v>
      </c>
      <c r="J308" s="6">
        <v>73</v>
      </c>
      <c r="K308" s="8" t="s">
        <v>26</v>
      </c>
      <c r="L308" s="1" t="s">
        <v>618</v>
      </c>
      <c r="M308" s="5">
        <v>4</v>
      </c>
      <c r="Q308" s="3"/>
      <c r="R308" s="3"/>
      <c r="S308" s="3"/>
    </row>
    <row r="309" spans="1:19" ht="15" x14ac:dyDescent="0.25">
      <c r="A309" s="7" t="s">
        <v>16</v>
      </c>
      <c r="B309" s="7" t="s">
        <v>21</v>
      </c>
      <c r="C309" s="7" t="s">
        <v>18</v>
      </c>
      <c r="D309" s="4">
        <v>60961422000155</v>
      </c>
      <c r="E309" s="8" t="s">
        <v>620</v>
      </c>
      <c r="F309" s="8" t="s">
        <v>29</v>
      </c>
      <c r="G309" s="7" t="s">
        <v>19</v>
      </c>
      <c r="H309" s="47" t="s">
        <v>207</v>
      </c>
      <c r="I309" s="47" t="s">
        <v>208</v>
      </c>
      <c r="J309" s="6">
        <v>62</v>
      </c>
      <c r="K309" s="8" t="s">
        <v>27</v>
      </c>
      <c r="L309" s="1" t="s">
        <v>620</v>
      </c>
      <c r="M309" s="5">
        <v>3</v>
      </c>
      <c r="Q309" s="3"/>
      <c r="R309" s="3"/>
      <c r="S309" s="3"/>
    </row>
    <row r="310" spans="1:19" ht="15" x14ac:dyDescent="0.25">
      <c r="A310" s="7" t="s">
        <v>16</v>
      </c>
      <c r="B310" s="7" t="s">
        <v>21</v>
      </c>
      <c r="C310" s="7" t="s">
        <v>18</v>
      </c>
      <c r="D310" s="4">
        <v>60961422000155</v>
      </c>
      <c r="E310" s="8" t="s">
        <v>620</v>
      </c>
      <c r="F310" s="8" t="s">
        <v>29</v>
      </c>
      <c r="G310" s="7" t="s">
        <v>19</v>
      </c>
      <c r="H310" s="47" t="s">
        <v>207</v>
      </c>
      <c r="I310" s="47" t="s">
        <v>208</v>
      </c>
      <c r="J310" s="6">
        <v>64</v>
      </c>
      <c r="K310" s="8" t="s">
        <v>25</v>
      </c>
      <c r="L310" s="1" t="s">
        <v>620</v>
      </c>
      <c r="M310" s="5">
        <v>3</v>
      </c>
      <c r="Q310" s="3"/>
      <c r="R310" s="3"/>
      <c r="S310" s="3"/>
    </row>
    <row r="311" spans="1:19" ht="15" x14ac:dyDescent="0.25">
      <c r="A311" s="7" t="s">
        <v>16</v>
      </c>
      <c r="B311" s="7" t="s">
        <v>21</v>
      </c>
      <c r="C311" s="7" t="s">
        <v>18</v>
      </c>
      <c r="D311" s="4">
        <v>60961968000106</v>
      </c>
      <c r="E311" s="8" t="s">
        <v>621</v>
      </c>
      <c r="F311" s="8" t="s">
        <v>29</v>
      </c>
      <c r="G311" s="7" t="s">
        <v>19</v>
      </c>
      <c r="H311" s="47" t="s">
        <v>207</v>
      </c>
      <c r="I311" s="47" t="s">
        <v>208</v>
      </c>
      <c r="J311" s="6">
        <v>62</v>
      </c>
      <c r="K311" s="8" t="s">
        <v>27</v>
      </c>
      <c r="L311" s="1" t="s">
        <v>621</v>
      </c>
      <c r="M311" s="5">
        <v>10</v>
      </c>
      <c r="Q311" s="3"/>
      <c r="R311" s="3"/>
      <c r="S311" s="3"/>
    </row>
    <row r="312" spans="1:19" ht="15" x14ac:dyDescent="0.25">
      <c r="A312" s="7" t="s">
        <v>16</v>
      </c>
      <c r="B312" s="7" t="s">
        <v>21</v>
      </c>
      <c r="C312" s="7" t="s">
        <v>18</v>
      </c>
      <c r="D312" s="4">
        <v>60961968000106</v>
      </c>
      <c r="E312" s="8" t="s">
        <v>621</v>
      </c>
      <c r="F312" s="8" t="s">
        <v>29</v>
      </c>
      <c r="G312" s="7" t="s">
        <v>19</v>
      </c>
      <c r="H312" s="47" t="s">
        <v>207</v>
      </c>
      <c r="I312" s="47" t="s">
        <v>208</v>
      </c>
      <c r="J312" s="6">
        <v>64</v>
      </c>
      <c r="K312" s="8" t="s">
        <v>25</v>
      </c>
      <c r="L312" s="1" t="s">
        <v>621</v>
      </c>
      <c r="M312" s="5">
        <v>10</v>
      </c>
      <c r="Q312" s="3"/>
      <c r="R312" s="3"/>
      <c r="S312" s="3"/>
    </row>
    <row r="313" spans="1:19" ht="15" x14ac:dyDescent="0.25">
      <c r="A313" s="7" t="s">
        <v>16</v>
      </c>
      <c r="B313" s="7" t="s">
        <v>21</v>
      </c>
      <c r="C313" s="7" t="s">
        <v>18</v>
      </c>
      <c r="D313" s="4">
        <v>60961968000459</v>
      </c>
      <c r="E313" s="8" t="s">
        <v>622</v>
      </c>
      <c r="F313" s="8" t="s">
        <v>29</v>
      </c>
      <c r="G313" s="7" t="s">
        <v>19</v>
      </c>
      <c r="H313" s="47" t="s">
        <v>207</v>
      </c>
      <c r="I313" s="47" t="s">
        <v>208</v>
      </c>
      <c r="J313" s="6">
        <v>62</v>
      </c>
      <c r="K313" s="8" t="s">
        <v>27</v>
      </c>
      <c r="L313" s="1" t="s">
        <v>622</v>
      </c>
      <c r="M313" s="5">
        <v>5</v>
      </c>
      <c r="Q313" s="3"/>
      <c r="R313" s="3"/>
      <c r="S313" s="3"/>
    </row>
    <row r="314" spans="1:19" ht="15" x14ac:dyDescent="0.25">
      <c r="A314" s="7" t="s">
        <v>16</v>
      </c>
      <c r="B314" s="7" t="s">
        <v>21</v>
      </c>
      <c r="C314" s="7" t="s">
        <v>18</v>
      </c>
      <c r="D314" s="4">
        <v>60961968000459</v>
      </c>
      <c r="E314" s="8" t="s">
        <v>622</v>
      </c>
      <c r="F314" s="8" t="s">
        <v>29</v>
      </c>
      <c r="G314" s="7" t="s">
        <v>19</v>
      </c>
      <c r="H314" s="47" t="s">
        <v>207</v>
      </c>
      <c r="I314" s="47" t="s">
        <v>208</v>
      </c>
      <c r="J314" s="6">
        <v>64</v>
      </c>
      <c r="K314" s="8" t="s">
        <v>25</v>
      </c>
      <c r="L314" s="1" t="s">
        <v>622</v>
      </c>
      <c r="M314" s="5">
        <v>2</v>
      </c>
      <c r="Q314" s="3"/>
      <c r="R314" s="3"/>
      <c r="S314" s="3"/>
    </row>
    <row r="315" spans="1:19" ht="15" x14ac:dyDescent="0.25">
      <c r="A315" s="7" t="s">
        <v>16</v>
      </c>
      <c r="B315" s="7" t="s">
        <v>21</v>
      </c>
      <c r="C315" s="7" t="s">
        <v>18</v>
      </c>
      <c r="D315" s="4">
        <v>60975737000232</v>
      </c>
      <c r="E315" s="8" t="s">
        <v>624</v>
      </c>
      <c r="F315" s="8" t="s">
        <v>29</v>
      </c>
      <c r="G315" s="7" t="s">
        <v>19</v>
      </c>
      <c r="H315" s="47" t="s">
        <v>207</v>
      </c>
      <c r="I315" s="47" t="s">
        <v>208</v>
      </c>
      <c r="J315" s="6">
        <v>62</v>
      </c>
      <c r="K315" s="8" t="s">
        <v>27</v>
      </c>
      <c r="L315" s="1" t="s">
        <v>624</v>
      </c>
      <c r="M315" s="5">
        <v>4</v>
      </c>
      <c r="Q315" s="3"/>
      <c r="R315" s="3"/>
      <c r="S315" s="3"/>
    </row>
    <row r="316" spans="1:19" ht="15" x14ac:dyDescent="0.25">
      <c r="A316" s="7" t="s">
        <v>16</v>
      </c>
      <c r="B316" s="7" t="s">
        <v>21</v>
      </c>
      <c r="C316" s="7" t="s">
        <v>18</v>
      </c>
      <c r="D316" s="4">
        <v>60975737000232</v>
      </c>
      <c r="E316" s="8" t="s">
        <v>624</v>
      </c>
      <c r="F316" s="8" t="s">
        <v>29</v>
      </c>
      <c r="G316" s="7" t="s">
        <v>19</v>
      </c>
      <c r="H316" s="47" t="s">
        <v>207</v>
      </c>
      <c r="I316" s="47" t="s">
        <v>208</v>
      </c>
      <c r="J316" s="6">
        <v>64</v>
      </c>
      <c r="K316" s="8" t="s">
        <v>25</v>
      </c>
      <c r="L316" s="1" t="s">
        <v>624</v>
      </c>
      <c r="M316" s="5">
        <v>6</v>
      </c>
      <c r="Q316" s="3"/>
      <c r="R316" s="3"/>
      <c r="S316" s="3"/>
    </row>
    <row r="317" spans="1:19" ht="15" x14ac:dyDescent="0.25">
      <c r="A317" s="7" t="s">
        <v>16</v>
      </c>
      <c r="B317" s="7" t="s">
        <v>21</v>
      </c>
      <c r="C317" s="7" t="s">
        <v>18</v>
      </c>
      <c r="D317" s="4">
        <v>60975737001204</v>
      </c>
      <c r="E317" s="8" t="s">
        <v>625</v>
      </c>
      <c r="F317" s="8" t="s">
        <v>29</v>
      </c>
      <c r="G317" s="7" t="s">
        <v>19</v>
      </c>
      <c r="H317" s="47" t="s">
        <v>207</v>
      </c>
      <c r="I317" s="47" t="s">
        <v>208</v>
      </c>
      <c r="J317" s="6">
        <v>64</v>
      </c>
      <c r="K317" s="8" t="s">
        <v>25</v>
      </c>
      <c r="L317" s="1" t="s">
        <v>625</v>
      </c>
      <c r="M317" s="5">
        <v>4</v>
      </c>
      <c r="Q317" s="3"/>
      <c r="R317" s="3"/>
      <c r="S317" s="3"/>
    </row>
    <row r="318" spans="1:19" ht="15" x14ac:dyDescent="0.25">
      <c r="A318" s="7" t="s">
        <v>16</v>
      </c>
      <c r="B318" s="7" t="s">
        <v>21</v>
      </c>
      <c r="C318" s="7" t="s">
        <v>18</v>
      </c>
      <c r="D318" s="4">
        <v>60975737005110</v>
      </c>
      <c r="E318" s="8" t="s">
        <v>626</v>
      </c>
      <c r="F318" s="8" t="s">
        <v>29</v>
      </c>
      <c r="G318" s="7" t="s">
        <v>19</v>
      </c>
      <c r="H318" s="47" t="s">
        <v>207</v>
      </c>
      <c r="I318" s="47" t="s">
        <v>208</v>
      </c>
      <c r="J318" s="6">
        <v>64</v>
      </c>
      <c r="K318" s="8" t="s">
        <v>25</v>
      </c>
      <c r="L318" s="1" t="s">
        <v>626</v>
      </c>
      <c r="M318" s="5">
        <v>1</v>
      </c>
      <c r="Q318" s="3"/>
      <c r="R318" s="3"/>
      <c r="S318" s="3"/>
    </row>
    <row r="319" spans="1:19" ht="15" x14ac:dyDescent="0.25">
      <c r="A319" s="7" t="s">
        <v>16</v>
      </c>
      <c r="B319" s="7" t="s">
        <v>21</v>
      </c>
      <c r="C319" s="7" t="s">
        <v>18</v>
      </c>
      <c r="D319" s="4">
        <v>61213674000240</v>
      </c>
      <c r="E319" s="8" t="s">
        <v>629</v>
      </c>
      <c r="F319" s="8" t="s">
        <v>29</v>
      </c>
      <c r="G319" s="7" t="s">
        <v>19</v>
      </c>
      <c r="H319" s="47" t="s">
        <v>207</v>
      </c>
      <c r="I319" s="47" t="s">
        <v>208</v>
      </c>
      <c r="J319" s="6">
        <v>62</v>
      </c>
      <c r="K319" s="8" t="s">
        <v>27</v>
      </c>
      <c r="L319" s="1" t="s">
        <v>629</v>
      </c>
      <c r="M319" s="5">
        <v>4</v>
      </c>
      <c r="Q319" s="3"/>
      <c r="R319" s="3"/>
      <c r="S319" s="3"/>
    </row>
    <row r="320" spans="1:19" ht="15" x14ac:dyDescent="0.25">
      <c r="A320" s="7" t="s">
        <v>16</v>
      </c>
      <c r="B320" s="7" t="s">
        <v>21</v>
      </c>
      <c r="C320" s="7" t="s">
        <v>18</v>
      </c>
      <c r="D320" s="4">
        <v>61213674000240</v>
      </c>
      <c r="E320" s="8" t="s">
        <v>629</v>
      </c>
      <c r="F320" s="8" t="s">
        <v>29</v>
      </c>
      <c r="G320" s="7" t="s">
        <v>19</v>
      </c>
      <c r="H320" s="47" t="s">
        <v>207</v>
      </c>
      <c r="I320" s="47" t="s">
        <v>208</v>
      </c>
      <c r="J320" s="6">
        <v>64</v>
      </c>
      <c r="K320" s="8" t="s">
        <v>25</v>
      </c>
      <c r="L320" s="1" t="s">
        <v>629</v>
      </c>
      <c r="M320" s="5">
        <v>5</v>
      </c>
      <c r="Q320" s="3"/>
      <c r="R320" s="3"/>
      <c r="S320" s="3"/>
    </row>
    <row r="321" spans="1:19" ht="15" x14ac:dyDescent="0.25">
      <c r="A321" s="7" t="s">
        <v>16</v>
      </c>
      <c r="B321" s="7" t="s">
        <v>21</v>
      </c>
      <c r="C321" s="7" t="s">
        <v>18</v>
      </c>
      <c r="D321" s="4">
        <v>61213674000240</v>
      </c>
      <c r="E321" s="8" t="s">
        <v>629</v>
      </c>
      <c r="F321" s="8" t="s">
        <v>29</v>
      </c>
      <c r="G321" s="7" t="s">
        <v>19</v>
      </c>
      <c r="H321" s="47" t="s">
        <v>207</v>
      </c>
      <c r="I321" s="47" t="s">
        <v>208</v>
      </c>
      <c r="J321" s="6">
        <v>73</v>
      </c>
      <c r="K321" s="8" t="s">
        <v>26</v>
      </c>
      <c r="L321" s="1" t="s">
        <v>629</v>
      </c>
      <c r="M321" s="5">
        <v>77</v>
      </c>
      <c r="Q321" s="3"/>
      <c r="R321" s="3"/>
      <c r="S321" s="3"/>
    </row>
    <row r="322" spans="1:19" ht="15" x14ac:dyDescent="0.25">
      <c r="A322" s="7" t="s">
        <v>16</v>
      </c>
      <c r="B322" s="7" t="s">
        <v>21</v>
      </c>
      <c r="C322" s="7" t="s">
        <v>18</v>
      </c>
      <c r="D322" s="4">
        <v>61590410000124</v>
      </c>
      <c r="E322" s="8" t="s">
        <v>630</v>
      </c>
      <c r="F322" s="8" t="s">
        <v>29</v>
      </c>
      <c r="G322" s="7" t="s">
        <v>19</v>
      </c>
      <c r="H322" s="47" t="s">
        <v>207</v>
      </c>
      <c r="I322" s="47" t="s">
        <v>208</v>
      </c>
      <c r="J322" s="6">
        <v>62</v>
      </c>
      <c r="K322" s="8" t="s">
        <v>27</v>
      </c>
      <c r="L322" s="1" t="s">
        <v>630</v>
      </c>
      <c r="M322" s="5">
        <v>81</v>
      </c>
      <c r="Q322" s="3"/>
      <c r="R322" s="3"/>
      <c r="S322" s="3"/>
    </row>
    <row r="323" spans="1:19" ht="15" x14ac:dyDescent="0.25">
      <c r="A323" s="7" t="s">
        <v>16</v>
      </c>
      <c r="B323" s="7" t="s">
        <v>21</v>
      </c>
      <c r="C323" s="7" t="s">
        <v>18</v>
      </c>
      <c r="D323" s="4">
        <v>61599908000158</v>
      </c>
      <c r="E323" s="8" t="s">
        <v>631</v>
      </c>
      <c r="F323" s="8" t="s">
        <v>29</v>
      </c>
      <c r="G323" s="7" t="s">
        <v>19</v>
      </c>
      <c r="H323" s="47" t="s">
        <v>207</v>
      </c>
      <c r="I323" s="47" t="s">
        <v>208</v>
      </c>
      <c r="J323" s="6">
        <v>62</v>
      </c>
      <c r="K323" s="8" t="s">
        <v>27</v>
      </c>
      <c r="L323" s="1" t="s">
        <v>631</v>
      </c>
      <c r="M323" s="5">
        <v>75</v>
      </c>
      <c r="Q323" s="3"/>
      <c r="R323" s="3"/>
      <c r="S323" s="3"/>
    </row>
    <row r="324" spans="1:19" ht="15" x14ac:dyDescent="0.25">
      <c r="A324" s="7" t="s">
        <v>16</v>
      </c>
      <c r="B324" s="7" t="s">
        <v>21</v>
      </c>
      <c r="C324" s="7" t="s">
        <v>18</v>
      </c>
      <c r="D324" s="4">
        <v>61599908000158</v>
      </c>
      <c r="E324" s="8" t="s">
        <v>631</v>
      </c>
      <c r="F324" s="8" t="s">
        <v>29</v>
      </c>
      <c r="G324" s="7" t="s">
        <v>19</v>
      </c>
      <c r="H324" s="47" t="s">
        <v>207</v>
      </c>
      <c r="I324" s="47" t="s">
        <v>208</v>
      </c>
      <c r="J324" s="6">
        <v>64</v>
      </c>
      <c r="K324" s="8" t="s">
        <v>25</v>
      </c>
      <c r="L324" s="1" t="s">
        <v>631</v>
      </c>
      <c r="M324" s="5">
        <v>20</v>
      </c>
      <c r="Q324" s="3"/>
      <c r="R324" s="3"/>
      <c r="S324" s="3"/>
    </row>
    <row r="325" spans="1:19" ht="15" x14ac:dyDescent="0.25">
      <c r="A325" s="7" t="s">
        <v>16</v>
      </c>
      <c r="B325" s="7" t="s">
        <v>21</v>
      </c>
      <c r="C325" s="7" t="s">
        <v>18</v>
      </c>
      <c r="D325" s="4">
        <v>62779145000190</v>
      </c>
      <c r="E325" s="8" t="s">
        <v>634</v>
      </c>
      <c r="F325" s="8" t="s">
        <v>29</v>
      </c>
      <c r="G325" s="7" t="s">
        <v>19</v>
      </c>
      <c r="H325" s="47" t="s">
        <v>207</v>
      </c>
      <c r="I325" s="47" t="s">
        <v>208</v>
      </c>
      <c r="J325" s="6">
        <v>64</v>
      </c>
      <c r="K325" s="8" t="s">
        <v>25</v>
      </c>
      <c r="L325" s="1" t="s">
        <v>634</v>
      </c>
      <c r="M325" s="5">
        <v>2</v>
      </c>
      <c r="Q325" s="3"/>
      <c r="R325" s="3"/>
      <c r="S325" s="3"/>
    </row>
    <row r="326" spans="1:19" ht="15" x14ac:dyDescent="0.25">
      <c r="A326" s="7" t="s">
        <v>16</v>
      </c>
      <c r="B326" s="7" t="s">
        <v>21</v>
      </c>
      <c r="C326" s="7" t="s">
        <v>18</v>
      </c>
      <c r="D326" s="4">
        <v>67185694000150</v>
      </c>
      <c r="E326" s="8" t="s">
        <v>635</v>
      </c>
      <c r="F326" s="8" t="s">
        <v>29</v>
      </c>
      <c r="G326" s="7" t="s">
        <v>19</v>
      </c>
      <c r="H326" s="47" t="s">
        <v>207</v>
      </c>
      <c r="I326" s="47" t="s">
        <v>208</v>
      </c>
      <c r="J326" s="6">
        <v>64</v>
      </c>
      <c r="K326" s="8" t="s">
        <v>25</v>
      </c>
      <c r="L326" s="1" t="s">
        <v>635</v>
      </c>
      <c r="M326" s="5">
        <v>2</v>
      </c>
      <c r="Q326" s="3"/>
      <c r="R326" s="3"/>
      <c r="S326" s="3"/>
    </row>
    <row r="327" spans="1:19" ht="15" x14ac:dyDescent="0.25">
      <c r="A327" s="7" t="s">
        <v>16</v>
      </c>
      <c r="B327" s="7" t="s">
        <v>22</v>
      </c>
      <c r="C327" s="7" t="s">
        <v>18</v>
      </c>
      <c r="D327" s="4">
        <v>2383508000494</v>
      </c>
      <c r="E327" s="8" t="s">
        <v>562</v>
      </c>
      <c r="F327" s="8" t="s">
        <v>29</v>
      </c>
      <c r="G327" s="7" t="s">
        <v>19</v>
      </c>
      <c r="H327" s="47" t="s">
        <v>207</v>
      </c>
      <c r="I327" s="47" t="s">
        <v>208</v>
      </c>
      <c r="J327" s="6">
        <v>73</v>
      </c>
      <c r="K327" s="8" t="s">
        <v>26</v>
      </c>
      <c r="L327" s="1" t="s">
        <v>562</v>
      </c>
      <c r="M327" s="5">
        <v>15</v>
      </c>
      <c r="Q327" s="3"/>
      <c r="R327" s="3"/>
      <c r="S327" s="3"/>
    </row>
    <row r="328" spans="1:19" ht="15" x14ac:dyDescent="0.25">
      <c r="A328" s="7" t="s">
        <v>16</v>
      </c>
      <c r="B328" s="7" t="s">
        <v>22</v>
      </c>
      <c r="C328" s="7" t="s">
        <v>18</v>
      </c>
      <c r="D328" s="4">
        <v>2837922000183</v>
      </c>
      <c r="E328" s="8" t="s">
        <v>563</v>
      </c>
      <c r="F328" s="8" t="s">
        <v>29</v>
      </c>
      <c r="G328" s="7" t="s">
        <v>19</v>
      </c>
      <c r="H328" s="47" t="s">
        <v>207</v>
      </c>
      <c r="I328" s="47" t="s">
        <v>208</v>
      </c>
      <c r="J328" s="6">
        <v>73</v>
      </c>
      <c r="K328" s="8" t="s">
        <v>26</v>
      </c>
      <c r="L328" s="1" t="s">
        <v>563</v>
      </c>
      <c r="M328" s="5">
        <v>150</v>
      </c>
      <c r="Q328" s="3"/>
      <c r="R328" s="3"/>
      <c r="S328" s="3"/>
    </row>
    <row r="329" spans="1:19" ht="15" x14ac:dyDescent="0.25">
      <c r="A329" s="7" t="s">
        <v>16</v>
      </c>
      <c r="B329" s="7" t="s">
        <v>22</v>
      </c>
      <c r="C329" s="7" t="s">
        <v>18</v>
      </c>
      <c r="D329" s="4">
        <v>3872790000193</v>
      </c>
      <c r="E329" s="8" t="s">
        <v>564</v>
      </c>
      <c r="F329" s="8" t="s">
        <v>29</v>
      </c>
      <c r="G329" s="7" t="s">
        <v>19</v>
      </c>
      <c r="H329" s="47" t="s">
        <v>207</v>
      </c>
      <c r="I329" s="47" t="s">
        <v>208</v>
      </c>
      <c r="J329" s="6">
        <v>73</v>
      </c>
      <c r="K329" s="8" t="s">
        <v>26</v>
      </c>
      <c r="L329" s="1" t="s">
        <v>564</v>
      </c>
      <c r="M329" s="5">
        <v>16</v>
      </c>
      <c r="Q329" s="3"/>
      <c r="R329" s="3"/>
      <c r="S329" s="3"/>
    </row>
    <row r="330" spans="1:19" ht="15" x14ac:dyDescent="0.25">
      <c r="A330" s="7" t="s">
        <v>16</v>
      </c>
      <c r="B330" s="7" t="s">
        <v>22</v>
      </c>
      <c r="C330" s="7" t="s">
        <v>18</v>
      </c>
      <c r="D330" s="4">
        <v>6047087000139</v>
      </c>
      <c r="E330" s="8" t="s">
        <v>568</v>
      </c>
      <c r="F330" s="8" t="s">
        <v>29</v>
      </c>
      <c r="G330" s="7" t="s">
        <v>19</v>
      </c>
      <c r="H330" s="47" t="s">
        <v>207</v>
      </c>
      <c r="I330" s="47" t="s">
        <v>208</v>
      </c>
      <c r="J330" s="6">
        <v>62</v>
      </c>
      <c r="K330" s="8" t="s">
        <v>27</v>
      </c>
      <c r="L330" s="1" t="s">
        <v>568</v>
      </c>
      <c r="M330" s="5">
        <v>4</v>
      </c>
      <c r="Q330" s="3"/>
      <c r="R330" s="3"/>
      <c r="S330" s="3"/>
    </row>
    <row r="331" spans="1:19" ht="15" x14ac:dyDescent="0.25">
      <c r="A331" s="7" t="s">
        <v>16</v>
      </c>
      <c r="B331" s="7" t="s">
        <v>22</v>
      </c>
      <c r="C331" s="7" t="s">
        <v>18</v>
      </c>
      <c r="D331" s="4">
        <v>6047087000210</v>
      </c>
      <c r="E331" s="8" t="s">
        <v>569</v>
      </c>
      <c r="F331" s="8" t="s">
        <v>29</v>
      </c>
      <c r="G331" s="7" t="s">
        <v>19</v>
      </c>
      <c r="H331" s="47" t="s">
        <v>207</v>
      </c>
      <c r="I331" s="47" t="s">
        <v>208</v>
      </c>
      <c r="J331" s="6">
        <v>62</v>
      </c>
      <c r="K331" s="8" t="s">
        <v>27</v>
      </c>
      <c r="L331" s="1" t="s">
        <v>569</v>
      </c>
      <c r="M331" s="5">
        <v>20</v>
      </c>
      <c r="Q331" s="3"/>
      <c r="R331" s="3"/>
      <c r="S331" s="3"/>
    </row>
    <row r="332" spans="1:19" ht="15" x14ac:dyDescent="0.25">
      <c r="A332" s="7" t="s">
        <v>16</v>
      </c>
      <c r="B332" s="7" t="s">
        <v>22</v>
      </c>
      <c r="C332" s="7" t="s">
        <v>18</v>
      </c>
      <c r="D332" s="4">
        <v>6047087000210</v>
      </c>
      <c r="E332" s="8" t="s">
        <v>569</v>
      </c>
      <c r="F332" s="8" t="s">
        <v>29</v>
      </c>
      <c r="G332" s="7" t="s">
        <v>19</v>
      </c>
      <c r="H332" s="47" t="s">
        <v>207</v>
      </c>
      <c r="I332" s="47" t="s">
        <v>208</v>
      </c>
      <c r="J332" s="6">
        <v>64</v>
      </c>
      <c r="K332" s="8" t="s">
        <v>25</v>
      </c>
      <c r="L332" s="1" t="s">
        <v>569</v>
      </c>
      <c r="M332" s="5">
        <v>36</v>
      </c>
      <c r="Q332" s="3"/>
      <c r="R332" s="3"/>
      <c r="S332" s="3"/>
    </row>
    <row r="333" spans="1:19" ht="15" x14ac:dyDescent="0.25">
      <c r="A333" s="7" t="s">
        <v>16</v>
      </c>
      <c r="B333" s="7" t="s">
        <v>22</v>
      </c>
      <c r="C333" s="7" t="s">
        <v>18</v>
      </c>
      <c r="D333" s="4">
        <v>6047087003820</v>
      </c>
      <c r="E333" s="8" t="s">
        <v>570</v>
      </c>
      <c r="F333" s="8" t="s">
        <v>29</v>
      </c>
      <c r="G333" s="7" t="s">
        <v>19</v>
      </c>
      <c r="H333" s="47" t="s">
        <v>207</v>
      </c>
      <c r="I333" s="47" t="s">
        <v>208</v>
      </c>
      <c r="J333" s="6">
        <v>62</v>
      </c>
      <c r="K333" s="8" t="s">
        <v>27</v>
      </c>
      <c r="L333" s="1" t="s">
        <v>570</v>
      </c>
      <c r="M333" s="5">
        <v>3</v>
      </c>
      <c r="Q333" s="3"/>
      <c r="R333" s="3"/>
      <c r="S333" s="3"/>
    </row>
    <row r="334" spans="1:19" ht="15" x14ac:dyDescent="0.25">
      <c r="A334" s="7" t="s">
        <v>16</v>
      </c>
      <c r="B334" s="7" t="s">
        <v>22</v>
      </c>
      <c r="C334" s="7" t="s">
        <v>18</v>
      </c>
      <c r="D334" s="4">
        <v>7045325000130</v>
      </c>
      <c r="E334" s="8" t="s">
        <v>571</v>
      </c>
      <c r="F334" s="8" t="s">
        <v>29</v>
      </c>
      <c r="G334" s="7" t="s">
        <v>19</v>
      </c>
      <c r="H334" s="47" t="s">
        <v>207</v>
      </c>
      <c r="I334" s="47" t="s">
        <v>208</v>
      </c>
      <c r="J334" s="6">
        <v>73</v>
      </c>
      <c r="K334" s="8" t="s">
        <v>26</v>
      </c>
      <c r="L334" s="1" t="s">
        <v>571</v>
      </c>
      <c r="M334" s="5">
        <v>56</v>
      </c>
      <c r="Q334" s="3"/>
      <c r="R334" s="3"/>
      <c r="S334" s="3"/>
    </row>
    <row r="335" spans="1:19" ht="15" x14ac:dyDescent="0.25">
      <c r="A335" s="7" t="s">
        <v>16</v>
      </c>
      <c r="B335" s="7" t="s">
        <v>22</v>
      </c>
      <c r="C335" s="7" t="s">
        <v>18</v>
      </c>
      <c r="D335" s="4">
        <v>8100676002455</v>
      </c>
      <c r="E335" s="8" t="s">
        <v>574</v>
      </c>
      <c r="F335" s="8" t="s">
        <v>29</v>
      </c>
      <c r="G335" s="7" t="s">
        <v>19</v>
      </c>
      <c r="H335" s="47" t="s">
        <v>207</v>
      </c>
      <c r="I335" s="47" t="s">
        <v>208</v>
      </c>
      <c r="J335" s="6">
        <v>64</v>
      </c>
      <c r="K335" s="8" t="s">
        <v>25</v>
      </c>
      <c r="L335" s="1" t="s">
        <v>574</v>
      </c>
      <c r="M335" s="5">
        <v>24</v>
      </c>
      <c r="Q335" s="3"/>
      <c r="R335" s="3"/>
      <c r="S335" s="3"/>
    </row>
    <row r="336" spans="1:19" ht="15" x14ac:dyDescent="0.25">
      <c r="A336" s="7" t="s">
        <v>16</v>
      </c>
      <c r="B336" s="7" t="s">
        <v>22</v>
      </c>
      <c r="C336" s="7" t="s">
        <v>18</v>
      </c>
      <c r="D336" s="4">
        <v>10323381000101</v>
      </c>
      <c r="E336" s="8" t="s">
        <v>580</v>
      </c>
      <c r="F336" s="8" t="s">
        <v>29</v>
      </c>
      <c r="G336" s="7" t="s">
        <v>19</v>
      </c>
      <c r="H336" s="47" t="s">
        <v>207</v>
      </c>
      <c r="I336" s="47" t="s">
        <v>208</v>
      </c>
      <c r="J336" s="6">
        <v>73</v>
      </c>
      <c r="K336" s="8" t="s">
        <v>26</v>
      </c>
      <c r="L336" s="1" t="s">
        <v>580</v>
      </c>
      <c r="M336" s="5">
        <v>6</v>
      </c>
      <c r="Q336" s="3"/>
      <c r="R336" s="3"/>
      <c r="S336" s="3"/>
    </row>
    <row r="337" spans="1:19" ht="15" x14ac:dyDescent="0.25">
      <c r="A337" s="7" t="s">
        <v>16</v>
      </c>
      <c r="B337" s="7" t="s">
        <v>22</v>
      </c>
      <c r="C337" s="7" t="s">
        <v>18</v>
      </c>
      <c r="D337" s="4">
        <v>10468341000220</v>
      </c>
      <c r="E337" s="8" t="s">
        <v>582</v>
      </c>
      <c r="F337" s="8" t="s">
        <v>29</v>
      </c>
      <c r="G337" s="7" t="s">
        <v>19</v>
      </c>
      <c r="H337" s="47" t="s">
        <v>207</v>
      </c>
      <c r="I337" s="47" t="s">
        <v>208</v>
      </c>
      <c r="J337" s="6">
        <v>73</v>
      </c>
      <c r="K337" s="8" t="s">
        <v>26</v>
      </c>
      <c r="L337" s="1" t="s">
        <v>582</v>
      </c>
      <c r="M337" s="5">
        <v>36</v>
      </c>
      <c r="Q337" s="3"/>
      <c r="R337" s="3"/>
      <c r="S337" s="3"/>
    </row>
    <row r="338" spans="1:19" ht="15" x14ac:dyDescent="0.25">
      <c r="A338" s="7" t="s">
        <v>16</v>
      </c>
      <c r="B338" s="7" t="s">
        <v>22</v>
      </c>
      <c r="C338" s="7" t="s">
        <v>18</v>
      </c>
      <c r="D338" s="4">
        <v>19803199000114</v>
      </c>
      <c r="E338" s="8" t="s">
        <v>587</v>
      </c>
      <c r="F338" s="8" t="s">
        <v>29</v>
      </c>
      <c r="G338" s="7" t="s">
        <v>19</v>
      </c>
      <c r="H338" s="47" t="s">
        <v>207</v>
      </c>
      <c r="I338" s="47" t="s">
        <v>208</v>
      </c>
      <c r="J338" s="6">
        <v>64</v>
      </c>
      <c r="K338" s="8" t="s">
        <v>25</v>
      </c>
      <c r="L338" s="1" t="s">
        <v>587</v>
      </c>
      <c r="M338" s="5">
        <v>4</v>
      </c>
      <c r="Q338" s="3"/>
      <c r="R338" s="3"/>
      <c r="S338" s="3"/>
    </row>
    <row r="339" spans="1:19" ht="15" x14ac:dyDescent="0.25">
      <c r="A339" s="7" t="s">
        <v>16</v>
      </c>
      <c r="B339" s="7" t="s">
        <v>22</v>
      </c>
      <c r="C339" s="7" t="s">
        <v>18</v>
      </c>
      <c r="D339" s="4">
        <v>20812223000241</v>
      </c>
      <c r="E339" s="8" t="s">
        <v>588</v>
      </c>
      <c r="F339" s="8" t="s">
        <v>29</v>
      </c>
      <c r="G339" s="7" t="s">
        <v>19</v>
      </c>
      <c r="H339" s="47" t="s">
        <v>207</v>
      </c>
      <c r="I339" s="47" t="s">
        <v>208</v>
      </c>
      <c r="J339" s="6">
        <v>73</v>
      </c>
      <c r="K339" s="8" t="s">
        <v>26</v>
      </c>
      <c r="L339" s="1" t="s">
        <v>588</v>
      </c>
      <c r="M339" s="5">
        <v>10</v>
      </c>
      <c r="Q339" s="3"/>
      <c r="R339" s="3"/>
      <c r="S339" s="3"/>
    </row>
    <row r="340" spans="1:19" ht="15" x14ac:dyDescent="0.25">
      <c r="A340" s="7" t="s">
        <v>16</v>
      </c>
      <c r="B340" s="7" t="s">
        <v>22</v>
      </c>
      <c r="C340" s="7" t="s">
        <v>18</v>
      </c>
      <c r="D340" s="4">
        <v>21371777000132</v>
      </c>
      <c r="E340" s="8" t="s">
        <v>589</v>
      </c>
      <c r="F340" s="8" t="s">
        <v>29</v>
      </c>
      <c r="G340" s="7" t="s">
        <v>19</v>
      </c>
      <c r="H340" s="47" t="s">
        <v>207</v>
      </c>
      <c r="I340" s="47" t="s">
        <v>208</v>
      </c>
      <c r="J340" s="6">
        <v>62</v>
      </c>
      <c r="K340" s="8" t="s">
        <v>27</v>
      </c>
      <c r="L340" s="1" t="s">
        <v>589</v>
      </c>
      <c r="M340" s="5">
        <v>11</v>
      </c>
      <c r="Q340" s="3"/>
      <c r="R340" s="3"/>
      <c r="S340" s="3"/>
    </row>
    <row r="341" spans="1:19" ht="15" x14ac:dyDescent="0.25">
      <c r="A341" s="7" t="s">
        <v>16</v>
      </c>
      <c r="B341" s="7" t="s">
        <v>22</v>
      </c>
      <c r="C341" s="7" t="s">
        <v>18</v>
      </c>
      <c r="D341" s="4">
        <v>29435005002687</v>
      </c>
      <c r="E341" s="8" t="s">
        <v>593</v>
      </c>
      <c r="F341" s="8" t="s">
        <v>29</v>
      </c>
      <c r="G341" s="7" t="s">
        <v>19</v>
      </c>
      <c r="H341" s="47" t="s">
        <v>207</v>
      </c>
      <c r="I341" s="47" t="s">
        <v>208</v>
      </c>
      <c r="J341" s="6">
        <v>64</v>
      </c>
      <c r="K341" s="8" t="s">
        <v>25</v>
      </c>
      <c r="L341" s="1" t="s">
        <v>593</v>
      </c>
      <c r="M341" s="5">
        <v>7</v>
      </c>
      <c r="Q341" s="3"/>
      <c r="R341" s="3"/>
      <c r="S341" s="3"/>
    </row>
    <row r="342" spans="1:19" ht="15" x14ac:dyDescent="0.25">
      <c r="A342" s="7" t="s">
        <v>16</v>
      </c>
      <c r="B342" s="7" t="s">
        <v>22</v>
      </c>
      <c r="C342" s="7" t="s">
        <v>18</v>
      </c>
      <c r="D342" s="4">
        <v>29435005009932</v>
      </c>
      <c r="E342" s="8" t="s">
        <v>595</v>
      </c>
      <c r="F342" s="8" t="s">
        <v>29</v>
      </c>
      <c r="G342" s="7" t="s">
        <v>19</v>
      </c>
      <c r="H342" s="47" t="s">
        <v>207</v>
      </c>
      <c r="I342" s="47" t="s">
        <v>208</v>
      </c>
      <c r="J342" s="6">
        <v>62</v>
      </c>
      <c r="K342" s="8" t="s">
        <v>27</v>
      </c>
      <c r="L342" s="1" t="s">
        <v>595</v>
      </c>
      <c r="M342" s="5">
        <v>8</v>
      </c>
      <c r="Q342" s="3"/>
      <c r="R342" s="3"/>
      <c r="S342" s="3"/>
    </row>
    <row r="343" spans="1:19" ht="15" x14ac:dyDescent="0.25">
      <c r="A343" s="7" t="s">
        <v>16</v>
      </c>
      <c r="B343" s="7" t="s">
        <v>22</v>
      </c>
      <c r="C343" s="7" t="s">
        <v>18</v>
      </c>
      <c r="D343" s="4">
        <v>29435005009932</v>
      </c>
      <c r="E343" s="8" t="s">
        <v>595</v>
      </c>
      <c r="F343" s="8" t="s">
        <v>29</v>
      </c>
      <c r="G343" s="7" t="s">
        <v>19</v>
      </c>
      <c r="H343" s="47" t="s">
        <v>207</v>
      </c>
      <c r="I343" s="47" t="s">
        <v>208</v>
      </c>
      <c r="J343" s="6">
        <v>64</v>
      </c>
      <c r="K343" s="8" t="s">
        <v>25</v>
      </c>
      <c r="L343" s="1" t="s">
        <v>595</v>
      </c>
      <c r="M343" s="5">
        <v>3</v>
      </c>
      <c r="Q343" s="3"/>
      <c r="R343" s="3"/>
      <c r="S343" s="3"/>
    </row>
    <row r="344" spans="1:19" ht="15" x14ac:dyDescent="0.25">
      <c r="A344" s="7" t="s">
        <v>16</v>
      </c>
      <c r="B344" s="7" t="s">
        <v>22</v>
      </c>
      <c r="C344" s="7" t="s">
        <v>18</v>
      </c>
      <c r="D344" s="4">
        <v>44649812005520</v>
      </c>
      <c r="E344" s="8" t="s">
        <v>598</v>
      </c>
      <c r="F344" s="8" t="s">
        <v>29</v>
      </c>
      <c r="G344" s="7" t="s">
        <v>19</v>
      </c>
      <c r="H344" s="47" t="s">
        <v>207</v>
      </c>
      <c r="I344" s="47" t="s">
        <v>208</v>
      </c>
      <c r="J344" s="6">
        <v>73</v>
      </c>
      <c r="K344" s="8" t="s">
        <v>26</v>
      </c>
      <c r="L344" s="1" t="s">
        <v>598</v>
      </c>
      <c r="M344" s="5">
        <v>4</v>
      </c>
      <c r="Q344" s="3"/>
      <c r="R344" s="3"/>
      <c r="S344" s="3"/>
    </row>
    <row r="345" spans="1:19" ht="15" x14ac:dyDescent="0.25">
      <c r="A345" s="7" t="s">
        <v>16</v>
      </c>
      <c r="B345" s="7" t="s">
        <v>22</v>
      </c>
      <c r="C345" s="7" t="s">
        <v>18</v>
      </c>
      <c r="D345" s="4">
        <v>46374500026231</v>
      </c>
      <c r="E345" s="8" t="s">
        <v>601</v>
      </c>
      <c r="F345" s="8" t="s">
        <v>29</v>
      </c>
      <c r="G345" s="7" t="s">
        <v>19</v>
      </c>
      <c r="H345" s="47" t="s">
        <v>207</v>
      </c>
      <c r="I345" s="47" t="s">
        <v>208</v>
      </c>
      <c r="J345" s="6">
        <v>66</v>
      </c>
      <c r="K345" s="8" t="s">
        <v>28</v>
      </c>
      <c r="L345" s="1" t="s">
        <v>601</v>
      </c>
      <c r="M345" s="5">
        <v>28</v>
      </c>
      <c r="Q345" s="3"/>
      <c r="R345" s="3"/>
      <c r="S345" s="3"/>
    </row>
    <row r="346" spans="1:19" ht="15" x14ac:dyDescent="0.25">
      <c r="A346" s="7" t="s">
        <v>16</v>
      </c>
      <c r="B346" s="7" t="s">
        <v>22</v>
      </c>
      <c r="C346" s="7" t="s">
        <v>18</v>
      </c>
      <c r="D346" s="4">
        <v>46374500026231</v>
      </c>
      <c r="E346" s="8" t="s">
        <v>601</v>
      </c>
      <c r="F346" s="8" t="s">
        <v>29</v>
      </c>
      <c r="G346" s="7" t="s">
        <v>19</v>
      </c>
      <c r="H346" s="47" t="s">
        <v>207</v>
      </c>
      <c r="I346" s="47" t="s">
        <v>208</v>
      </c>
      <c r="J346" s="6">
        <v>73</v>
      </c>
      <c r="K346" s="8" t="s">
        <v>26</v>
      </c>
      <c r="L346" s="1" t="s">
        <v>601</v>
      </c>
      <c r="M346" s="5">
        <v>192</v>
      </c>
      <c r="Q346" s="3"/>
      <c r="R346" s="3"/>
      <c r="S346" s="3"/>
    </row>
    <row r="347" spans="1:19" ht="15" x14ac:dyDescent="0.25">
      <c r="A347" s="7" t="s">
        <v>16</v>
      </c>
      <c r="B347" s="7" t="s">
        <v>22</v>
      </c>
      <c r="C347" s="7" t="s">
        <v>18</v>
      </c>
      <c r="D347" s="4">
        <v>51722957000506</v>
      </c>
      <c r="E347" s="8" t="s">
        <v>602</v>
      </c>
      <c r="F347" s="8" t="s">
        <v>29</v>
      </c>
      <c r="G347" s="7" t="s">
        <v>19</v>
      </c>
      <c r="H347" s="47" t="s">
        <v>207</v>
      </c>
      <c r="I347" s="47" t="s">
        <v>208</v>
      </c>
      <c r="J347" s="6">
        <v>66</v>
      </c>
      <c r="K347" s="8" t="s">
        <v>28</v>
      </c>
      <c r="L347" s="1" t="s">
        <v>602</v>
      </c>
      <c r="M347" s="5">
        <v>3</v>
      </c>
      <c r="Q347" s="3"/>
      <c r="R347" s="3"/>
      <c r="S347" s="3"/>
    </row>
    <row r="348" spans="1:19" ht="15" x14ac:dyDescent="0.25">
      <c r="A348" s="7" t="s">
        <v>16</v>
      </c>
      <c r="B348" s="7" t="s">
        <v>22</v>
      </c>
      <c r="C348" s="7" t="s">
        <v>18</v>
      </c>
      <c r="D348" s="4">
        <v>51722957010226</v>
      </c>
      <c r="E348" s="8" t="s">
        <v>603</v>
      </c>
      <c r="F348" s="8" t="s">
        <v>29</v>
      </c>
      <c r="G348" s="7" t="s">
        <v>19</v>
      </c>
      <c r="H348" s="47" t="s">
        <v>207</v>
      </c>
      <c r="I348" s="47" t="s">
        <v>208</v>
      </c>
      <c r="J348" s="6">
        <v>73</v>
      </c>
      <c r="K348" s="8" t="s">
        <v>26</v>
      </c>
      <c r="L348" s="1" t="s">
        <v>603</v>
      </c>
      <c r="M348" s="5">
        <v>106</v>
      </c>
      <c r="Q348" s="3"/>
      <c r="R348" s="3"/>
      <c r="S348" s="3"/>
    </row>
    <row r="349" spans="1:19" ht="15" x14ac:dyDescent="0.25">
      <c r="A349" s="7" t="s">
        <v>16</v>
      </c>
      <c r="B349" s="7" t="s">
        <v>22</v>
      </c>
      <c r="C349" s="7" t="s">
        <v>18</v>
      </c>
      <c r="D349" s="4">
        <v>60448040000122</v>
      </c>
      <c r="E349" s="8" t="s">
        <v>609</v>
      </c>
      <c r="F349" s="8" t="s">
        <v>29</v>
      </c>
      <c r="G349" s="7" t="s">
        <v>19</v>
      </c>
      <c r="H349" s="47" t="s">
        <v>207</v>
      </c>
      <c r="I349" s="47" t="s">
        <v>208</v>
      </c>
      <c r="J349" s="6">
        <v>62</v>
      </c>
      <c r="K349" s="8" t="s">
        <v>27</v>
      </c>
      <c r="L349" s="1" t="s">
        <v>609</v>
      </c>
      <c r="M349" s="5">
        <v>60</v>
      </c>
      <c r="Q349" s="3"/>
      <c r="R349" s="3"/>
      <c r="S349" s="3"/>
    </row>
    <row r="350" spans="1:19" ht="15" x14ac:dyDescent="0.25">
      <c r="A350" s="7" t="s">
        <v>16</v>
      </c>
      <c r="B350" s="7" t="s">
        <v>22</v>
      </c>
      <c r="C350" s="7" t="s">
        <v>18</v>
      </c>
      <c r="D350" s="4">
        <v>60448040000122</v>
      </c>
      <c r="E350" s="8" t="s">
        <v>609</v>
      </c>
      <c r="F350" s="8" t="s">
        <v>29</v>
      </c>
      <c r="G350" s="7" t="s">
        <v>19</v>
      </c>
      <c r="H350" s="47" t="s">
        <v>207</v>
      </c>
      <c r="I350" s="47" t="s">
        <v>208</v>
      </c>
      <c r="J350" s="6">
        <v>64</v>
      </c>
      <c r="K350" s="8" t="s">
        <v>25</v>
      </c>
      <c r="L350" s="1" t="s">
        <v>609</v>
      </c>
      <c r="M350" s="5">
        <v>66</v>
      </c>
      <c r="Q350" s="3"/>
      <c r="R350" s="3"/>
      <c r="S350" s="3"/>
    </row>
    <row r="351" spans="1:19" ht="15" x14ac:dyDescent="0.25">
      <c r="A351" s="7" t="s">
        <v>16</v>
      </c>
      <c r="B351" s="7" t="s">
        <v>22</v>
      </c>
      <c r="C351" s="7" t="s">
        <v>18</v>
      </c>
      <c r="D351" s="4">
        <v>60448040000122</v>
      </c>
      <c r="E351" s="8" t="s">
        <v>609</v>
      </c>
      <c r="F351" s="8" t="s">
        <v>29</v>
      </c>
      <c r="G351" s="7" t="s">
        <v>19</v>
      </c>
      <c r="H351" s="47" t="s">
        <v>207</v>
      </c>
      <c r="I351" s="47" t="s">
        <v>208</v>
      </c>
      <c r="J351" s="6">
        <v>73</v>
      </c>
      <c r="K351" s="8" t="s">
        <v>26</v>
      </c>
      <c r="L351" s="1" t="s">
        <v>609</v>
      </c>
      <c r="M351" s="5">
        <v>92</v>
      </c>
      <c r="Q351" s="3"/>
      <c r="R351" s="3"/>
      <c r="S351" s="3"/>
    </row>
    <row r="352" spans="1:19" ht="15" x14ac:dyDescent="0.25">
      <c r="A352" s="7" t="s">
        <v>16</v>
      </c>
      <c r="B352" s="7" t="s">
        <v>22</v>
      </c>
      <c r="C352" s="7" t="s">
        <v>18</v>
      </c>
      <c r="D352" s="4">
        <v>60453024000390</v>
      </c>
      <c r="E352" s="8" t="s">
        <v>610</v>
      </c>
      <c r="F352" s="8" t="s">
        <v>29</v>
      </c>
      <c r="G352" s="7" t="s">
        <v>19</v>
      </c>
      <c r="H352" s="47" t="s">
        <v>207</v>
      </c>
      <c r="I352" s="47" t="s">
        <v>208</v>
      </c>
      <c r="J352" s="6">
        <v>62</v>
      </c>
      <c r="K352" s="8" t="s">
        <v>27</v>
      </c>
      <c r="L352" s="1" t="s">
        <v>610</v>
      </c>
      <c r="M352" s="5">
        <v>55</v>
      </c>
      <c r="Q352" s="3"/>
      <c r="R352" s="3"/>
      <c r="S352" s="3"/>
    </row>
    <row r="353" spans="1:19" ht="15" x14ac:dyDescent="0.25">
      <c r="A353" s="7" t="s">
        <v>16</v>
      </c>
      <c r="B353" s="7" t="s">
        <v>22</v>
      </c>
      <c r="C353" s="7" t="s">
        <v>18</v>
      </c>
      <c r="D353" s="4">
        <v>60453024000390</v>
      </c>
      <c r="E353" s="8" t="s">
        <v>610</v>
      </c>
      <c r="F353" s="8" t="s">
        <v>29</v>
      </c>
      <c r="G353" s="7" t="s">
        <v>19</v>
      </c>
      <c r="H353" s="47" t="s">
        <v>207</v>
      </c>
      <c r="I353" s="47" t="s">
        <v>208</v>
      </c>
      <c r="J353" s="6">
        <v>64</v>
      </c>
      <c r="K353" s="8" t="s">
        <v>25</v>
      </c>
      <c r="L353" s="1" t="s">
        <v>610</v>
      </c>
      <c r="M353" s="5">
        <v>11</v>
      </c>
      <c r="Q353" s="3"/>
      <c r="R353" s="3"/>
      <c r="S353" s="3"/>
    </row>
    <row r="354" spans="1:19" ht="15" x14ac:dyDescent="0.25">
      <c r="A354" s="7" t="s">
        <v>16</v>
      </c>
      <c r="B354" s="7" t="s">
        <v>22</v>
      </c>
      <c r="C354" s="7" t="s">
        <v>18</v>
      </c>
      <c r="D354" s="4">
        <v>60678604000113</v>
      </c>
      <c r="E354" s="8" t="s">
        <v>612</v>
      </c>
      <c r="F354" s="8" t="s">
        <v>29</v>
      </c>
      <c r="G354" s="7" t="s">
        <v>19</v>
      </c>
      <c r="H354" s="47" t="s">
        <v>207</v>
      </c>
      <c r="I354" s="47" t="s">
        <v>208</v>
      </c>
      <c r="J354" s="6">
        <v>62</v>
      </c>
      <c r="K354" s="8" t="s">
        <v>27</v>
      </c>
      <c r="L354" s="1" t="s">
        <v>612</v>
      </c>
      <c r="M354" s="5">
        <v>24</v>
      </c>
      <c r="Q354" s="3"/>
      <c r="R354" s="3"/>
      <c r="S354" s="3"/>
    </row>
    <row r="355" spans="1:19" ht="15" x14ac:dyDescent="0.25">
      <c r="A355" s="7" t="s">
        <v>16</v>
      </c>
      <c r="B355" s="7" t="s">
        <v>22</v>
      </c>
      <c r="C355" s="7" t="s">
        <v>18</v>
      </c>
      <c r="D355" s="4">
        <v>60678604000113</v>
      </c>
      <c r="E355" s="8" t="s">
        <v>612</v>
      </c>
      <c r="F355" s="8" t="s">
        <v>29</v>
      </c>
      <c r="G355" s="7" t="s">
        <v>19</v>
      </c>
      <c r="H355" s="47" t="s">
        <v>207</v>
      </c>
      <c r="I355" s="47" t="s">
        <v>208</v>
      </c>
      <c r="J355" s="6">
        <v>64</v>
      </c>
      <c r="K355" s="8" t="s">
        <v>25</v>
      </c>
      <c r="L355" s="1" t="s">
        <v>612</v>
      </c>
      <c r="M355" s="5">
        <v>1</v>
      </c>
      <c r="Q355" s="3"/>
      <c r="R355" s="3"/>
      <c r="S355" s="3"/>
    </row>
    <row r="356" spans="1:19" ht="15" x14ac:dyDescent="0.25">
      <c r="A356" s="7" t="s">
        <v>16</v>
      </c>
      <c r="B356" s="7" t="s">
        <v>22</v>
      </c>
      <c r="C356" s="7" t="s">
        <v>18</v>
      </c>
      <c r="D356" s="4">
        <v>60726502000126</v>
      </c>
      <c r="E356" s="8" t="s">
        <v>613</v>
      </c>
      <c r="F356" s="8" t="s">
        <v>29</v>
      </c>
      <c r="G356" s="7" t="s">
        <v>19</v>
      </c>
      <c r="H356" s="47" t="s">
        <v>207</v>
      </c>
      <c r="I356" s="47" t="s">
        <v>208</v>
      </c>
      <c r="J356" s="6">
        <v>62</v>
      </c>
      <c r="K356" s="8" t="s">
        <v>27</v>
      </c>
      <c r="L356" s="1" t="s">
        <v>613</v>
      </c>
      <c r="M356" s="5">
        <v>2</v>
      </c>
      <c r="Q356" s="3"/>
      <c r="R356" s="3"/>
      <c r="S356" s="3"/>
    </row>
    <row r="357" spans="1:19" ht="15" x14ac:dyDescent="0.25">
      <c r="A357" s="7" t="s">
        <v>16</v>
      </c>
      <c r="B357" s="7" t="s">
        <v>22</v>
      </c>
      <c r="C357" s="7" t="s">
        <v>18</v>
      </c>
      <c r="D357" s="4">
        <v>60726502000126</v>
      </c>
      <c r="E357" s="8" t="s">
        <v>613</v>
      </c>
      <c r="F357" s="8" t="s">
        <v>29</v>
      </c>
      <c r="G357" s="7" t="s">
        <v>19</v>
      </c>
      <c r="H357" s="47" t="s">
        <v>207</v>
      </c>
      <c r="I357" s="47" t="s">
        <v>208</v>
      </c>
      <c r="J357" s="6">
        <v>64</v>
      </c>
      <c r="K357" s="8" t="s">
        <v>25</v>
      </c>
      <c r="L357" s="1" t="s">
        <v>613</v>
      </c>
      <c r="M357" s="5">
        <v>6</v>
      </c>
      <c r="Q357" s="3"/>
      <c r="R357" s="3"/>
      <c r="S357" s="3"/>
    </row>
    <row r="358" spans="1:19" ht="15" x14ac:dyDescent="0.25">
      <c r="A358" s="7" t="s">
        <v>16</v>
      </c>
      <c r="B358" s="7" t="s">
        <v>22</v>
      </c>
      <c r="C358" s="7" t="s">
        <v>18</v>
      </c>
      <c r="D358" s="4">
        <v>60726502000126</v>
      </c>
      <c r="E358" s="8" t="s">
        <v>613</v>
      </c>
      <c r="F358" s="8" t="s">
        <v>29</v>
      </c>
      <c r="G358" s="7" t="s">
        <v>19</v>
      </c>
      <c r="H358" s="47" t="s">
        <v>207</v>
      </c>
      <c r="I358" s="47" t="s">
        <v>208</v>
      </c>
      <c r="J358" s="6">
        <v>73</v>
      </c>
      <c r="K358" s="8" t="s">
        <v>26</v>
      </c>
      <c r="L358" s="1" t="s">
        <v>613</v>
      </c>
      <c r="M358" s="5">
        <v>16</v>
      </c>
      <c r="Q358" s="3"/>
      <c r="R358" s="3"/>
      <c r="S358" s="3"/>
    </row>
    <row r="359" spans="1:19" ht="15" x14ac:dyDescent="0.25">
      <c r="A359" s="7" t="s">
        <v>16</v>
      </c>
      <c r="B359" s="7" t="s">
        <v>22</v>
      </c>
      <c r="C359" s="7" t="s">
        <v>18</v>
      </c>
      <c r="D359" s="4">
        <v>60765823000130</v>
      </c>
      <c r="E359" s="8" t="s">
        <v>615</v>
      </c>
      <c r="F359" s="8" t="s">
        <v>29</v>
      </c>
      <c r="G359" s="7" t="s">
        <v>19</v>
      </c>
      <c r="H359" s="47" t="s">
        <v>207</v>
      </c>
      <c r="I359" s="47" t="s">
        <v>208</v>
      </c>
      <c r="J359" s="6">
        <v>62</v>
      </c>
      <c r="K359" s="8" t="s">
        <v>27</v>
      </c>
      <c r="L359" s="1" t="s">
        <v>615</v>
      </c>
      <c r="M359" s="5">
        <v>70</v>
      </c>
      <c r="Q359" s="3"/>
      <c r="R359" s="3"/>
      <c r="S359" s="3"/>
    </row>
    <row r="360" spans="1:19" ht="15" x14ac:dyDescent="0.25">
      <c r="A360" s="7" t="s">
        <v>16</v>
      </c>
      <c r="B360" s="7" t="s">
        <v>22</v>
      </c>
      <c r="C360" s="7" t="s">
        <v>18</v>
      </c>
      <c r="D360" s="4">
        <v>60765823000130</v>
      </c>
      <c r="E360" s="8" t="s">
        <v>615</v>
      </c>
      <c r="F360" s="8" t="s">
        <v>29</v>
      </c>
      <c r="G360" s="7" t="s">
        <v>19</v>
      </c>
      <c r="H360" s="47" t="s">
        <v>207</v>
      </c>
      <c r="I360" s="47" t="s">
        <v>208</v>
      </c>
      <c r="J360" s="6">
        <v>64</v>
      </c>
      <c r="K360" s="8" t="s">
        <v>25</v>
      </c>
      <c r="L360" s="1" t="s">
        <v>615</v>
      </c>
      <c r="M360" s="5">
        <v>30</v>
      </c>
      <c r="Q360" s="3"/>
      <c r="R360" s="3"/>
      <c r="S360" s="3"/>
    </row>
    <row r="361" spans="1:19" ht="15" x14ac:dyDescent="0.25">
      <c r="A361" s="7" t="s">
        <v>16</v>
      </c>
      <c r="B361" s="7" t="s">
        <v>22</v>
      </c>
      <c r="C361" s="7" t="s">
        <v>18</v>
      </c>
      <c r="D361" s="4">
        <v>60765823000130</v>
      </c>
      <c r="E361" s="8" t="s">
        <v>615</v>
      </c>
      <c r="F361" s="8" t="s">
        <v>29</v>
      </c>
      <c r="G361" s="7" t="s">
        <v>19</v>
      </c>
      <c r="H361" s="47" t="s">
        <v>207</v>
      </c>
      <c r="I361" s="47" t="s">
        <v>208</v>
      </c>
      <c r="J361" s="6">
        <v>73</v>
      </c>
      <c r="K361" s="8" t="s">
        <v>26</v>
      </c>
      <c r="L361" s="1" t="s">
        <v>615</v>
      </c>
      <c r="M361" s="5">
        <v>130</v>
      </c>
      <c r="Q361" s="3"/>
      <c r="R361" s="3"/>
      <c r="S361" s="3"/>
    </row>
    <row r="362" spans="1:19" ht="15" x14ac:dyDescent="0.25">
      <c r="A362" s="7" t="s">
        <v>16</v>
      </c>
      <c r="B362" s="7" t="s">
        <v>22</v>
      </c>
      <c r="C362" s="7" t="s">
        <v>18</v>
      </c>
      <c r="D362" s="4">
        <v>60884855000316</v>
      </c>
      <c r="E362" s="8" t="s">
        <v>617</v>
      </c>
      <c r="F362" s="8" t="s">
        <v>29</v>
      </c>
      <c r="G362" s="7" t="s">
        <v>19</v>
      </c>
      <c r="H362" s="47" t="s">
        <v>207</v>
      </c>
      <c r="I362" s="47" t="s">
        <v>208</v>
      </c>
      <c r="J362" s="6">
        <v>62</v>
      </c>
      <c r="K362" s="8" t="s">
        <v>27</v>
      </c>
      <c r="L362" s="1" t="s">
        <v>617</v>
      </c>
      <c r="M362" s="5">
        <v>19</v>
      </c>
      <c r="Q362" s="3"/>
      <c r="R362" s="3"/>
      <c r="S362" s="3"/>
    </row>
    <row r="363" spans="1:19" ht="15" x14ac:dyDescent="0.25">
      <c r="A363" s="7" t="s">
        <v>16</v>
      </c>
      <c r="B363" s="7" t="s">
        <v>22</v>
      </c>
      <c r="C363" s="7" t="s">
        <v>18</v>
      </c>
      <c r="D363" s="4">
        <v>60884855000316</v>
      </c>
      <c r="E363" s="8" t="s">
        <v>617</v>
      </c>
      <c r="F363" s="8" t="s">
        <v>29</v>
      </c>
      <c r="G363" s="7" t="s">
        <v>19</v>
      </c>
      <c r="H363" s="47" t="s">
        <v>207</v>
      </c>
      <c r="I363" s="47" t="s">
        <v>208</v>
      </c>
      <c r="J363" s="6">
        <v>64</v>
      </c>
      <c r="K363" s="8" t="s">
        <v>25</v>
      </c>
      <c r="L363" s="1" t="s">
        <v>617</v>
      </c>
      <c r="M363" s="5">
        <v>14</v>
      </c>
      <c r="Q363" s="3"/>
      <c r="R363" s="3"/>
      <c r="S363" s="3"/>
    </row>
    <row r="364" spans="1:19" ht="15" x14ac:dyDescent="0.25">
      <c r="A364" s="7" t="s">
        <v>16</v>
      </c>
      <c r="B364" s="7" t="s">
        <v>22</v>
      </c>
      <c r="C364" s="7" t="s">
        <v>18</v>
      </c>
      <c r="D364" s="4">
        <v>60884855000316</v>
      </c>
      <c r="E364" s="8" t="s">
        <v>617</v>
      </c>
      <c r="F364" s="8" t="s">
        <v>29</v>
      </c>
      <c r="G364" s="7" t="s">
        <v>19</v>
      </c>
      <c r="H364" s="47" t="s">
        <v>207</v>
      </c>
      <c r="I364" s="47" t="s">
        <v>208</v>
      </c>
      <c r="J364" s="6">
        <v>73</v>
      </c>
      <c r="K364" s="8" t="s">
        <v>26</v>
      </c>
      <c r="L364" s="1" t="s">
        <v>617</v>
      </c>
      <c r="M364" s="5">
        <v>24</v>
      </c>
      <c r="Q364" s="3"/>
      <c r="R364" s="3"/>
      <c r="S364" s="3"/>
    </row>
    <row r="365" spans="1:19" ht="15" x14ac:dyDescent="0.25">
      <c r="A365" s="7" t="s">
        <v>16</v>
      </c>
      <c r="B365" s="7" t="s">
        <v>22</v>
      </c>
      <c r="C365" s="7" t="s">
        <v>18</v>
      </c>
      <c r="D365" s="4">
        <v>60922168000771</v>
      </c>
      <c r="E365" s="8" t="s">
        <v>618</v>
      </c>
      <c r="F365" s="8" t="s">
        <v>29</v>
      </c>
      <c r="G365" s="7" t="s">
        <v>19</v>
      </c>
      <c r="H365" s="47" t="s">
        <v>207</v>
      </c>
      <c r="I365" s="47" t="s">
        <v>208</v>
      </c>
      <c r="J365" s="6">
        <v>62</v>
      </c>
      <c r="K365" s="8" t="s">
        <v>27</v>
      </c>
      <c r="L365" s="1" t="s">
        <v>618</v>
      </c>
      <c r="M365" s="5">
        <v>4</v>
      </c>
      <c r="Q365" s="3"/>
      <c r="R365" s="3"/>
      <c r="S365" s="3"/>
    </row>
    <row r="366" spans="1:19" ht="15" x14ac:dyDescent="0.25">
      <c r="A366" s="7" t="s">
        <v>16</v>
      </c>
      <c r="B366" s="7" t="s">
        <v>22</v>
      </c>
      <c r="C366" s="7" t="s">
        <v>18</v>
      </c>
      <c r="D366" s="4">
        <v>60922168000771</v>
      </c>
      <c r="E366" s="8" t="s">
        <v>618</v>
      </c>
      <c r="F366" s="8" t="s">
        <v>29</v>
      </c>
      <c r="G366" s="7" t="s">
        <v>19</v>
      </c>
      <c r="H366" s="47" t="s">
        <v>207</v>
      </c>
      <c r="I366" s="47" t="s">
        <v>208</v>
      </c>
      <c r="J366" s="6">
        <v>73</v>
      </c>
      <c r="K366" s="8" t="s">
        <v>26</v>
      </c>
      <c r="L366" s="1" t="s">
        <v>618</v>
      </c>
      <c r="M366" s="5">
        <v>23</v>
      </c>
      <c r="Q366" s="3"/>
      <c r="R366" s="3"/>
      <c r="S366" s="3"/>
    </row>
    <row r="367" spans="1:19" ht="15" x14ac:dyDescent="0.25">
      <c r="A367" s="7" t="s">
        <v>16</v>
      </c>
      <c r="B367" s="7" t="s">
        <v>22</v>
      </c>
      <c r="C367" s="7" t="s">
        <v>18</v>
      </c>
      <c r="D367" s="4">
        <v>60961422000155</v>
      </c>
      <c r="E367" s="8" t="s">
        <v>620</v>
      </c>
      <c r="F367" s="8" t="s">
        <v>29</v>
      </c>
      <c r="G367" s="7" t="s">
        <v>19</v>
      </c>
      <c r="H367" s="47" t="s">
        <v>207</v>
      </c>
      <c r="I367" s="47" t="s">
        <v>208</v>
      </c>
      <c r="J367" s="6">
        <v>62</v>
      </c>
      <c r="K367" s="8" t="s">
        <v>27</v>
      </c>
      <c r="L367" s="1" t="s">
        <v>620</v>
      </c>
      <c r="M367" s="5">
        <v>8</v>
      </c>
      <c r="Q367" s="3"/>
      <c r="R367" s="3"/>
      <c r="S367" s="3"/>
    </row>
    <row r="368" spans="1:19" ht="15" x14ac:dyDescent="0.25">
      <c r="A368" s="7" t="s">
        <v>16</v>
      </c>
      <c r="B368" s="7" t="s">
        <v>22</v>
      </c>
      <c r="C368" s="7" t="s">
        <v>18</v>
      </c>
      <c r="D368" s="4">
        <v>60961422000155</v>
      </c>
      <c r="E368" s="8" t="s">
        <v>620</v>
      </c>
      <c r="F368" s="8" t="s">
        <v>29</v>
      </c>
      <c r="G368" s="7" t="s">
        <v>19</v>
      </c>
      <c r="H368" s="47" t="s">
        <v>207</v>
      </c>
      <c r="I368" s="47" t="s">
        <v>208</v>
      </c>
      <c r="J368" s="6">
        <v>64</v>
      </c>
      <c r="K368" s="8" t="s">
        <v>25</v>
      </c>
      <c r="L368" s="1" t="s">
        <v>620</v>
      </c>
      <c r="M368" s="5">
        <v>6</v>
      </c>
      <c r="Q368" s="3"/>
      <c r="R368" s="3"/>
      <c r="S368" s="3"/>
    </row>
    <row r="369" spans="1:19" ht="15" x14ac:dyDescent="0.25">
      <c r="A369" s="7" t="s">
        <v>16</v>
      </c>
      <c r="B369" s="7" t="s">
        <v>22</v>
      </c>
      <c r="C369" s="7" t="s">
        <v>18</v>
      </c>
      <c r="D369" s="4">
        <v>60961422000155</v>
      </c>
      <c r="E369" s="8" t="s">
        <v>620</v>
      </c>
      <c r="F369" s="8" t="s">
        <v>29</v>
      </c>
      <c r="G369" s="7" t="s">
        <v>19</v>
      </c>
      <c r="H369" s="47" t="s">
        <v>207</v>
      </c>
      <c r="I369" s="47" t="s">
        <v>208</v>
      </c>
      <c r="J369" s="6">
        <v>66</v>
      </c>
      <c r="K369" s="8" t="s">
        <v>28</v>
      </c>
      <c r="L369" s="1" t="s">
        <v>620</v>
      </c>
      <c r="M369" s="5">
        <v>4</v>
      </c>
      <c r="Q369" s="3"/>
      <c r="R369" s="3"/>
      <c r="S369" s="3"/>
    </row>
    <row r="370" spans="1:19" ht="15" x14ac:dyDescent="0.25">
      <c r="A370" s="7" t="s">
        <v>16</v>
      </c>
      <c r="B370" s="7" t="s">
        <v>22</v>
      </c>
      <c r="C370" s="7" t="s">
        <v>18</v>
      </c>
      <c r="D370" s="4">
        <v>60961968000106</v>
      </c>
      <c r="E370" s="8" t="s">
        <v>621</v>
      </c>
      <c r="F370" s="8" t="s">
        <v>29</v>
      </c>
      <c r="G370" s="7" t="s">
        <v>19</v>
      </c>
      <c r="H370" s="47" t="s">
        <v>207</v>
      </c>
      <c r="I370" s="47" t="s">
        <v>208</v>
      </c>
      <c r="J370" s="6">
        <v>62</v>
      </c>
      <c r="K370" s="8" t="s">
        <v>27</v>
      </c>
      <c r="L370" s="1" t="s">
        <v>621</v>
      </c>
      <c r="M370" s="5">
        <v>5</v>
      </c>
      <c r="Q370" s="3"/>
      <c r="R370" s="3"/>
      <c r="S370" s="3"/>
    </row>
    <row r="371" spans="1:19" ht="15" x14ac:dyDescent="0.25">
      <c r="A371" s="7" t="s">
        <v>16</v>
      </c>
      <c r="B371" s="7" t="s">
        <v>22</v>
      </c>
      <c r="C371" s="7" t="s">
        <v>18</v>
      </c>
      <c r="D371" s="4">
        <v>60961968000106</v>
      </c>
      <c r="E371" s="8" t="s">
        <v>621</v>
      </c>
      <c r="F371" s="8" t="s">
        <v>29</v>
      </c>
      <c r="G371" s="7" t="s">
        <v>19</v>
      </c>
      <c r="H371" s="47" t="s">
        <v>207</v>
      </c>
      <c r="I371" s="47" t="s">
        <v>208</v>
      </c>
      <c r="J371" s="6">
        <v>64</v>
      </c>
      <c r="K371" s="8" t="s">
        <v>25</v>
      </c>
      <c r="L371" s="1" t="s">
        <v>621</v>
      </c>
      <c r="M371" s="5">
        <v>40</v>
      </c>
      <c r="Q371" s="3"/>
      <c r="R371" s="3"/>
      <c r="S371" s="3"/>
    </row>
    <row r="372" spans="1:19" ht="15" x14ac:dyDescent="0.25">
      <c r="A372" s="7" t="s">
        <v>16</v>
      </c>
      <c r="B372" s="7" t="s">
        <v>22</v>
      </c>
      <c r="C372" s="7" t="s">
        <v>18</v>
      </c>
      <c r="D372" s="4">
        <v>60961968000459</v>
      </c>
      <c r="E372" s="8" t="s">
        <v>622</v>
      </c>
      <c r="F372" s="8" t="s">
        <v>29</v>
      </c>
      <c r="G372" s="7" t="s">
        <v>19</v>
      </c>
      <c r="H372" s="47" t="s">
        <v>207</v>
      </c>
      <c r="I372" s="47" t="s">
        <v>208</v>
      </c>
      <c r="J372" s="6">
        <v>64</v>
      </c>
      <c r="K372" s="8" t="s">
        <v>25</v>
      </c>
      <c r="L372" s="1" t="s">
        <v>622</v>
      </c>
      <c r="M372" s="5">
        <v>15</v>
      </c>
      <c r="Q372" s="3"/>
      <c r="R372" s="3"/>
      <c r="S372" s="3"/>
    </row>
    <row r="373" spans="1:19" ht="15" x14ac:dyDescent="0.25">
      <c r="A373" s="7" t="s">
        <v>16</v>
      </c>
      <c r="B373" s="7" t="s">
        <v>22</v>
      </c>
      <c r="C373" s="7" t="s">
        <v>18</v>
      </c>
      <c r="D373" s="4">
        <v>60975737001204</v>
      </c>
      <c r="E373" s="8" t="s">
        <v>625</v>
      </c>
      <c r="F373" s="8" t="s">
        <v>29</v>
      </c>
      <c r="G373" s="7" t="s">
        <v>19</v>
      </c>
      <c r="H373" s="47" t="s">
        <v>207</v>
      </c>
      <c r="I373" s="47" t="s">
        <v>208</v>
      </c>
      <c r="J373" s="6">
        <v>64</v>
      </c>
      <c r="K373" s="8" t="s">
        <v>25</v>
      </c>
      <c r="L373" s="1" t="s">
        <v>625</v>
      </c>
      <c r="M373" s="5">
        <v>13</v>
      </c>
      <c r="Q373" s="3"/>
      <c r="R373" s="3"/>
      <c r="S373" s="3"/>
    </row>
    <row r="374" spans="1:19" ht="15" x14ac:dyDescent="0.25">
      <c r="A374" s="7" t="s">
        <v>16</v>
      </c>
      <c r="B374" s="7" t="s">
        <v>22</v>
      </c>
      <c r="C374" s="7" t="s">
        <v>18</v>
      </c>
      <c r="D374" s="4">
        <v>60992427000650</v>
      </c>
      <c r="E374" s="8" t="s">
        <v>627</v>
      </c>
      <c r="F374" s="8" t="s">
        <v>29</v>
      </c>
      <c r="G374" s="7" t="s">
        <v>19</v>
      </c>
      <c r="H374" s="47" t="s">
        <v>207</v>
      </c>
      <c r="I374" s="47" t="s">
        <v>208</v>
      </c>
      <c r="J374" s="6">
        <v>62</v>
      </c>
      <c r="K374" s="8" t="s">
        <v>27</v>
      </c>
      <c r="L374" s="1" t="s">
        <v>627</v>
      </c>
      <c r="M374" s="5">
        <v>3</v>
      </c>
      <c r="Q374" s="3"/>
      <c r="R374" s="3"/>
      <c r="S374" s="3"/>
    </row>
    <row r="375" spans="1:19" ht="15" x14ac:dyDescent="0.25">
      <c r="A375" s="7" t="s">
        <v>16</v>
      </c>
      <c r="B375" s="7" t="s">
        <v>22</v>
      </c>
      <c r="C375" s="7" t="s">
        <v>18</v>
      </c>
      <c r="D375" s="4">
        <v>60992427000650</v>
      </c>
      <c r="E375" s="8" t="s">
        <v>627</v>
      </c>
      <c r="F375" s="8" t="s">
        <v>29</v>
      </c>
      <c r="G375" s="7" t="s">
        <v>19</v>
      </c>
      <c r="H375" s="47" t="s">
        <v>207</v>
      </c>
      <c r="I375" s="47" t="s">
        <v>208</v>
      </c>
      <c r="J375" s="6">
        <v>64</v>
      </c>
      <c r="K375" s="8" t="s">
        <v>25</v>
      </c>
      <c r="L375" s="1" t="s">
        <v>627</v>
      </c>
      <c r="M375" s="5">
        <v>1</v>
      </c>
      <c r="Q375" s="3"/>
      <c r="R375" s="3"/>
      <c r="S375" s="3"/>
    </row>
    <row r="376" spans="1:19" ht="15" x14ac:dyDescent="0.25">
      <c r="A376" s="7" t="s">
        <v>16</v>
      </c>
      <c r="B376" s="7" t="s">
        <v>22</v>
      </c>
      <c r="C376" s="7" t="s">
        <v>18</v>
      </c>
      <c r="D376" s="4">
        <v>61062212000198</v>
      </c>
      <c r="E376" s="8" t="s">
        <v>628</v>
      </c>
      <c r="F376" s="8" t="s">
        <v>29</v>
      </c>
      <c r="G376" s="7" t="s">
        <v>19</v>
      </c>
      <c r="H376" s="47" t="s">
        <v>207</v>
      </c>
      <c r="I376" s="47" t="s">
        <v>208</v>
      </c>
      <c r="J376" s="6">
        <v>62</v>
      </c>
      <c r="K376" s="8" t="s">
        <v>27</v>
      </c>
      <c r="L376" s="1" t="s">
        <v>628</v>
      </c>
      <c r="M376" s="5">
        <v>4</v>
      </c>
      <c r="Q376" s="3"/>
      <c r="R376" s="3"/>
      <c r="S376" s="3"/>
    </row>
    <row r="377" spans="1:19" ht="15" x14ac:dyDescent="0.25">
      <c r="A377" s="7" t="s">
        <v>16</v>
      </c>
      <c r="B377" s="7" t="s">
        <v>22</v>
      </c>
      <c r="C377" s="7" t="s">
        <v>18</v>
      </c>
      <c r="D377" s="4">
        <v>61213674000240</v>
      </c>
      <c r="E377" s="8" t="s">
        <v>629</v>
      </c>
      <c r="F377" s="8" t="s">
        <v>29</v>
      </c>
      <c r="G377" s="7" t="s">
        <v>19</v>
      </c>
      <c r="H377" s="47" t="s">
        <v>207</v>
      </c>
      <c r="I377" s="47" t="s">
        <v>208</v>
      </c>
      <c r="J377" s="6">
        <v>62</v>
      </c>
      <c r="K377" s="8" t="s">
        <v>27</v>
      </c>
      <c r="L377" s="1" t="s">
        <v>629</v>
      </c>
      <c r="M377" s="5">
        <v>2</v>
      </c>
      <c r="Q377" s="3"/>
      <c r="R377" s="3"/>
      <c r="S377" s="3"/>
    </row>
    <row r="378" spans="1:19" ht="15" x14ac:dyDescent="0.25">
      <c r="A378" s="7" t="s">
        <v>16</v>
      </c>
      <c r="B378" s="7" t="s">
        <v>22</v>
      </c>
      <c r="C378" s="7" t="s">
        <v>18</v>
      </c>
      <c r="D378" s="4">
        <v>61213674000240</v>
      </c>
      <c r="E378" s="8" t="s">
        <v>629</v>
      </c>
      <c r="F378" s="8" t="s">
        <v>29</v>
      </c>
      <c r="G378" s="7" t="s">
        <v>19</v>
      </c>
      <c r="H378" s="47" t="s">
        <v>207</v>
      </c>
      <c r="I378" s="47" t="s">
        <v>208</v>
      </c>
      <c r="J378" s="6">
        <v>64</v>
      </c>
      <c r="K378" s="8" t="s">
        <v>25</v>
      </c>
      <c r="L378" s="1" t="s">
        <v>629</v>
      </c>
      <c r="M378" s="5">
        <v>1</v>
      </c>
      <c r="Q378" s="3"/>
      <c r="R378" s="3"/>
      <c r="S378" s="3"/>
    </row>
    <row r="379" spans="1:19" ht="15" x14ac:dyDescent="0.25">
      <c r="A379" s="7" t="s">
        <v>16</v>
      </c>
      <c r="B379" s="7" t="s">
        <v>22</v>
      </c>
      <c r="C379" s="7" t="s">
        <v>18</v>
      </c>
      <c r="D379" s="4">
        <v>61213674000240</v>
      </c>
      <c r="E379" s="8" t="s">
        <v>629</v>
      </c>
      <c r="F379" s="8" t="s">
        <v>29</v>
      </c>
      <c r="G379" s="7" t="s">
        <v>19</v>
      </c>
      <c r="H379" s="47" t="s">
        <v>207</v>
      </c>
      <c r="I379" s="47" t="s">
        <v>208</v>
      </c>
      <c r="J379" s="6">
        <v>73</v>
      </c>
      <c r="K379" s="8" t="s">
        <v>26</v>
      </c>
      <c r="L379" s="1" t="s">
        <v>629</v>
      </c>
      <c r="M379" s="5">
        <v>113</v>
      </c>
      <c r="Q379" s="3"/>
      <c r="R379" s="3"/>
      <c r="S379" s="3"/>
    </row>
    <row r="380" spans="1:19" ht="15" x14ac:dyDescent="0.25">
      <c r="A380" s="7" t="s">
        <v>16</v>
      </c>
      <c r="B380" s="7" t="s">
        <v>22</v>
      </c>
      <c r="C380" s="7" t="s">
        <v>18</v>
      </c>
      <c r="D380" s="4">
        <v>61590410000124</v>
      </c>
      <c r="E380" s="8" t="s">
        <v>630</v>
      </c>
      <c r="F380" s="8" t="s">
        <v>29</v>
      </c>
      <c r="G380" s="7" t="s">
        <v>19</v>
      </c>
      <c r="H380" s="47" t="s">
        <v>207</v>
      </c>
      <c r="I380" s="47" t="s">
        <v>208</v>
      </c>
      <c r="J380" s="6">
        <v>62</v>
      </c>
      <c r="K380" s="8" t="s">
        <v>27</v>
      </c>
      <c r="L380" s="1" t="s">
        <v>630</v>
      </c>
      <c r="M380" s="5">
        <v>56</v>
      </c>
      <c r="Q380" s="3"/>
      <c r="R380" s="3"/>
      <c r="S380" s="3"/>
    </row>
    <row r="381" spans="1:19" ht="15" x14ac:dyDescent="0.25">
      <c r="A381" s="7" t="s">
        <v>16</v>
      </c>
      <c r="B381" s="7" t="s">
        <v>22</v>
      </c>
      <c r="C381" s="7" t="s">
        <v>18</v>
      </c>
      <c r="D381" s="4">
        <v>61590410000124</v>
      </c>
      <c r="E381" s="8" t="s">
        <v>630</v>
      </c>
      <c r="F381" s="8" t="s">
        <v>29</v>
      </c>
      <c r="G381" s="7" t="s">
        <v>19</v>
      </c>
      <c r="H381" s="47" t="s">
        <v>207</v>
      </c>
      <c r="I381" s="47" t="s">
        <v>208</v>
      </c>
      <c r="J381" s="6">
        <v>64</v>
      </c>
      <c r="K381" s="8" t="s">
        <v>25</v>
      </c>
      <c r="L381" s="1" t="s">
        <v>630</v>
      </c>
      <c r="M381" s="5">
        <v>16</v>
      </c>
      <c r="Q381" s="3"/>
      <c r="R381" s="3"/>
      <c r="S381" s="3"/>
    </row>
    <row r="382" spans="1:19" ht="15" x14ac:dyDescent="0.25">
      <c r="A382" s="7" t="s">
        <v>16</v>
      </c>
      <c r="B382" s="7" t="s">
        <v>22</v>
      </c>
      <c r="C382" s="7" t="s">
        <v>18</v>
      </c>
      <c r="D382" s="4">
        <v>61599908000158</v>
      </c>
      <c r="E382" s="8" t="s">
        <v>631</v>
      </c>
      <c r="F382" s="8" t="s">
        <v>29</v>
      </c>
      <c r="G382" s="7" t="s">
        <v>19</v>
      </c>
      <c r="H382" s="47" t="s">
        <v>207</v>
      </c>
      <c r="I382" s="47" t="s">
        <v>208</v>
      </c>
      <c r="J382" s="6">
        <v>62</v>
      </c>
      <c r="K382" s="8" t="s">
        <v>27</v>
      </c>
      <c r="L382" s="1" t="s">
        <v>631</v>
      </c>
      <c r="M382" s="5">
        <v>50</v>
      </c>
      <c r="Q382" s="3"/>
      <c r="R382" s="3"/>
      <c r="S382" s="3"/>
    </row>
    <row r="383" spans="1:19" ht="15" x14ac:dyDescent="0.25">
      <c r="A383" s="7" t="s">
        <v>16</v>
      </c>
      <c r="B383" s="7" t="s">
        <v>22</v>
      </c>
      <c r="C383" s="7" t="s">
        <v>18</v>
      </c>
      <c r="D383" s="4">
        <v>61599908000158</v>
      </c>
      <c r="E383" s="8" t="s">
        <v>631</v>
      </c>
      <c r="F383" s="8" t="s">
        <v>29</v>
      </c>
      <c r="G383" s="7" t="s">
        <v>19</v>
      </c>
      <c r="H383" s="47" t="s">
        <v>207</v>
      </c>
      <c r="I383" s="47" t="s">
        <v>208</v>
      </c>
      <c r="J383" s="6">
        <v>64</v>
      </c>
      <c r="K383" s="8" t="s">
        <v>25</v>
      </c>
      <c r="L383" s="1" t="s">
        <v>631</v>
      </c>
      <c r="M383" s="5">
        <v>150</v>
      </c>
      <c r="Q383" s="3"/>
      <c r="R383" s="3"/>
      <c r="S383" s="3"/>
    </row>
    <row r="384" spans="1:19" ht="15" x14ac:dyDescent="0.25">
      <c r="A384" s="7" t="s">
        <v>16</v>
      </c>
      <c r="B384" s="7" t="s">
        <v>22</v>
      </c>
      <c r="C384" s="7" t="s">
        <v>18</v>
      </c>
      <c r="D384" s="4">
        <v>72775745000133</v>
      </c>
      <c r="E384" s="8" t="s">
        <v>636</v>
      </c>
      <c r="F384" s="8" t="s">
        <v>29</v>
      </c>
      <c r="G384" s="7" t="s">
        <v>19</v>
      </c>
      <c r="H384" s="47" t="s">
        <v>207</v>
      </c>
      <c r="I384" s="47" t="s">
        <v>208</v>
      </c>
      <c r="J384" s="6">
        <v>62</v>
      </c>
      <c r="K384" s="8" t="s">
        <v>27</v>
      </c>
      <c r="L384" s="1" t="s">
        <v>636</v>
      </c>
      <c r="M384" s="5">
        <v>15</v>
      </c>
      <c r="Q384" s="3"/>
      <c r="R384" s="3"/>
      <c r="S384" s="3"/>
    </row>
    <row r="385" spans="1:19" ht="15" x14ac:dyDescent="0.25">
      <c r="A385" s="7" t="s">
        <v>16</v>
      </c>
      <c r="B385" s="7" t="s">
        <v>22</v>
      </c>
      <c r="C385" s="7" t="s">
        <v>18</v>
      </c>
      <c r="D385" s="4">
        <v>72775745000133</v>
      </c>
      <c r="E385" s="8" t="s">
        <v>636</v>
      </c>
      <c r="F385" s="8" t="s">
        <v>29</v>
      </c>
      <c r="G385" s="7" t="s">
        <v>19</v>
      </c>
      <c r="H385" s="47" t="s">
        <v>207</v>
      </c>
      <c r="I385" s="47" t="s">
        <v>208</v>
      </c>
      <c r="J385" s="6">
        <v>64</v>
      </c>
      <c r="K385" s="8" t="s">
        <v>25</v>
      </c>
      <c r="L385" s="1" t="s">
        <v>636</v>
      </c>
      <c r="M385" s="5">
        <v>15</v>
      </c>
      <c r="Q385" s="3"/>
      <c r="R385" s="3"/>
      <c r="S385" s="3"/>
    </row>
    <row r="386" spans="1:19" ht="15" x14ac:dyDescent="0.25">
      <c r="A386" s="7" t="s">
        <v>16</v>
      </c>
      <c r="B386" s="7" t="s">
        <v>23</v>
      </c>
      <c r="C386" s="7" t="s">
        <v>24</v>
      </c>
      <c r="D386" s="4">
        <v>461479001054</v>
      </c>
      <c r="E386" s="8" t="s">
        <v>558</v>
      </c>
      <c r="F386" s="8" t="s">
        <v>29</v>
      </c>
      <c r="G386" s="7" t="s">
        <v>19</v>
      </c>
      <c r="H386" s="47" t="s">
        <v>207</v>
      </c>
      <c r="I386" s="47" t="s">
        <v>208</v>
      </c>
      <c r="J386" s="6">
        <v>64</v>
      </c>
      <c r="K386" s="8" t="s">
        <v>25</v>
      </c>
      <c r="L386" s="1" t="s">
        <v>558</v>
      </c>
      <c r="M386" s="5">
        <v>5</v>
      </c>
      <c r="Q386" s="3"/>
      <c r="R386" s="3"/>
      <c r="S386" s="3"/>
    </row>
    <row r="387" spans="1:19" ht="15" x14ac:dyDescent="0.25">
      <c r="A387" s="7" t="s">
        <v>16</v>
      </c>
      <c r="B387" s="7" t="s">
        <v>23</v>
      </c>
      <c r="C387" s="7" t="s">
        <v>24</v>
      </c>
      <c r="D387" s="4">
        <v>603226000187</v>
      </c>
      <c r="E387" s="8" t="s">
        <v>561</v>
      </c>
      <c r="F387" s="8" t="s">
        <v>29</v>
      </c>
      <c r="G387" s="7" t="s">
        <v>19</v>
      </c>
      <c r="H387" s="47" t="s">
        <v>207</v>
      </c>
      <c r="I387" s="47" t="s">
        <v>208</v>
      </c>
      <c r="J387" s="6">
        <v>73</v>
      </c>
      <c r="K387" s="8" t="s">
        <v>26</v>
      </c>
      <c r="L387" s="1" t="s">
        <v>561</v>
      </c>
      <c r="M387" s="5">
        <v>28</v>
      </c>
      <c r="Q387" s="3"/>
      <c r="R387" s="3"/>
      <c r="S387" s="3"/>
    </row>
    <row r="388" spans="1:19" ht="15" x14ac:dyDescent="0.25">
      <c r="A388" s="7" t="s">
        <v>16</v>
      </c>
      <c r="B388" s="7" t="s">
        <v>23</v>
      </c>
      <c r="C388" s="7" t="s">
        <v>24</v>
      </c>
      <c r="D388" s="4">
        <v>2383508000494</v>
      </c>
      <c r="E388" s="8" t="s">
        <v>562</v>
      </c>
      <c r="F388" s="8" t="s">
        <v>29</v>
      </c>
      <c r="G388" s="7" t="s">
        <v>19</v>
      </c>
      <c r="H388" s="47" t="s">
        <v>207</v>
      </c>
      <c r="I388" s="47" t="s">
        <v>208</v>
      </c>
      <c r="J388" s="6">
        <v>73</v>
      </c>
      <c r="K388" s="8" t="s">
        <v>26</v>
      </c>
      <c r="L388" s="1" t="s">
        <v>562</v>
      </c>
      <c r="M388" s="5">
        <v>43</v>
      </c>
      <c r="Q388" s="3"/>
      <c r="R388" s="3"/>
      <c r="S388" s="3"/>
    </row>
    <row r="389" spans="1:19" ht="15" x14ac:dyDescent="0.25">
      <c r="A389" s="7" t="s">
        <v>16</v>
      </c>
      <c r="B389" s="7" t="s">
        <v>23</v>
      </c>
      <c r="C389" s="7" t="s">
        <v>24</v>
      </c>
      <c r="D389" s="4">
        <v>2837922000183</v>
      </c>
      <c r="E389" s="8" t="s">
        <v>563</v>
      </c>
      <c r="F389" s="8" t="s">
        <v>29</v>
      </c>
      <c r="G389" s="7" t="s">
        <v>19</v>
      </c>
      <c r="H389" s="47" t="s">
        <v>207</v>
      </c>
      <c r="I389" s="47" t="s">
        <v>208</v>
      </c>
      <c r="J389" s="6">
        <v>73</v>
      </c>
      <c r="K389" s="8" t="s">
        <v>26</v>
      </c>
      <c r="L389" s="1" t="s">
        <v>563</v>
      </c>
      <c r="M389" s="5">
        <v>100</v>
      </c>
      <c r="Q389" s="3"/>
      <c r="R389" s="3"/>
      <c r="S389" s="3"/>
    </row>
    <row r="390" spans="1:19" ht="15" x14ac:dyDescent="0.25">
      <c r="A390" s="7" t="s">
        <v>16</v>
      </c>
      <c r="B390" s="7" t="s">
        <v>23</v>
      </c>
      <c r="C390" s="7" t="s">
        <v>24</v>
      </c>
      <c r="D390" s="4">
        <v>3872790000193</v>
      </c>
      <c r="E390" s="8" t="s">
        <v>564</v>
      </c>
      <c r="F390" s="8" t="s">
        <v>29</v>
      </c>
      <c r="G390" s="7" t="s">
        <v>19</v>
      </c>
      <c r="H390" s="47" t="s">
        <v>207</v>
      </c>
      <c r="I390" s="47" t="s">
        <v>208</v>
      </c>
      <c r="J390" s="6">
        <v>73</v>
      </c>
      <c r="K390" s="8" t="s">
        <v>26</v>
      </c>
      <c r="L390" s="1" t="s">
        <v>564</v>
      </c>
      <c r="M390" s="5">
        <v>12</v>
      </c>
      <c r="Q390" s="3"/>
      <c r="R390" s="3"/>
      <c r="S390" s="3"/>
    </row>
    <row r="391" spans="1:19" ht="15" x14ac:dyDescent="0.25">
      <c r="A391" s="7" t="s">
        <v>16</v>
      </c>
      <c r="B391" s="7" t="s">
        <v>23</v>
      </c>
      <c r="C391" s="7" t="s">
        <v>24</v>
      </c>
      <c r="D391" s="4">
        <v>6047087000210</v>
      </c>
      <c r="E391" s="8" t="s">
        <v>569</v>
      </c>
      <c r="F391" s="8" t="s">
        <v>29</v>
      </c>
      <c r="G391" s="7" t="s">
        <v>19</v>
      </c>
      <c r="H391" s="47" t="s">
        <v>207</v>
      </c>
      <c r="I391" s="47" t="s">
        <v>208</v>
      </c>
      <c r="J391" s="6">
        <v>62</v>
      </c>
      <c r="K391" s="8" t="s">
        <v>27</v>
      </c>
      <c r="L391" s="1" t="s">
        <v>569</v>
      </c>
      <c r="M391" s="5">
        <v>69</v>
      </c>
      <c r="Q391" s="3"/>
      <c r="R391" s="3"/>
      <c r="S391" s="3"/>
    </row>
    <row r="392" spans="1:19" ht="15" x14ac:dyDescent="0.25">
      <c r="A392" s="7" t="s">
        <v>16</v>
      </c>
      <c r="B392" s="7" t="s">
        <v>23</v>
      </c>
      <c r="C392" s="7" t="s">
        <v>24</v>
      </c>
      <c r="D392" s="4">
        <v>6047087000210</v>
      </c>
      <c r="E392" s="8" t="s">
        <v>569</v>
      </c>
      <c r="F392" s="8" t="s">
        <v>29</v>
      </c>
      <c r="G392" s="7" t="s">
        <v>19</v>
      </c>
      <c r="H392" s="47" t="s">
        <v>207</v>
      </c>
      <c r="I392" s="47" t="s">
        <v>208</v>
      </c>
      <c r="J392" s="6">
        <v>64</v>
      </c>
      <c r="K392" s="8" t="s">
        <v>25</v>
      </c>
      <c r="L392" s="1" t="s">
        <v>569</v>
      </c>
      <c r="M392" s="5">
        <v>60</v>
      </c>
      <c r="Q392" s="3"/>
      <c r="R392" s="3"/>
      <c r="S392" s="3"/>
    </row>
    <row r="393" spans="1:19" ht="15" x14ac:dyDescent="0.25">
      <c r="A393" s="7" t="s">
        <v>16</v>
      </c>
      <c r="B393" s="7" t="s">
        <v>23</v>
      </c>
      <c r="C393" s="7" t="s">
        <v>24</v>
      </c>
      <c r="D393" s="4">
        <v>7045325000130</v>
      </c>
      <c r="E393" s="8" t="s">
        <v>571</v>
      </c>
      <c r="F393" s="8" t="s">
        <v>29</v>
      </c>
      <c r="G393" s="7" t="s">
        <v>19</v>
      </c>
      <c r="H393" s="47" t="s">
        <v>207</v>
      </c>
      <c r="I393" s="47" t="s">
        <v>208</v>
      </c>
      <c r="J393" s="6">
        <v>73</v>
      </c>
      <c r="K393" s="8" t="s">
        <v>26</v>
      </c>
      <c r="L393" s="1" t="s">
        <v>571</v>
      </c>
      <c r="M393" s="5">
        <v>88</v>
      </c>
      <c r="Q393" s="3"/>
      <c r="R393" s="3"/>
      <c r="S393" s="3"/>
    </row>
    <row r="394" spans="1:19" ht="15" x14ac:dyDescent="0.25">
      <c r="A394" s="7" t="s">
        <v>16</v>
      </c>
      <c r="B394" s="7" t="s">
        <v>23</v>
      </c>
      <c r="C394" s="7" t="s">
        <v>24</v>
      </c>
      <c r="D394" s="4">
        <v>9087150000159</v>
      </c>
      <c r="E394" s="8" t="s">
        <v>578</v>
      </c>
      <c r="F394" s="8" t="s">
        <v>29</v>
      </c>
      <c r="G394" s="7" t="s">
        <v>19</v>
      </c>
      <c r="H394" s="47" t="s">
        <v>207</v>
      </c>
      <c r="I394" s="47" t="s">
        <v>208</v>
      </c>
      <c r="J394" s="6">
        <v>73</v>
      </c>
      <c r="K394" s="8" t="s">
        <v>26</v>
      </c>
      <c r="L394" s="1" t="s">
        <v>578</v>
      </c>
      <c r="M394" s="5">
        <v>11</v>
      </c>
      <c r="Q394" s="3"/>
      <c r="R394" s="3"/>
      <c r="S394" s="3"/>
    </row>
    <row r="395" spans="1:19" ht="15" x14ac:dyDescent="0.25">
      <c r="A395" s="7" t="s">
        <v>16</v>
      </c>
      <c r="B395" s="7" t="s">
        <v>23</v>
      </c>
      <c r="C395" s="7" t="s">
        <v>24</v>
      </c>
      <c r="D395" s="4">
        <v>10323381000101</v>
      </c>
      <c r="E395" s="8" t="s">
        <v>580</v>
      </c>
      <c r="F395" s="8" t="s">
        <v>29</v>
      </c>
      <c r="G395" s="7" t="s">
        <v>19</v>
      </c>
      <c r="H395" s="47" t="s">
        <v>207</v>
      </c>
      <c r="I395" s="47" t="s">
        <v>208</v>
      </c>
      <c r="J395" s="6">
        <v>73</v>
      </c>
      <c r="K395" s="8" t="s">
        <v>26</v>
      </c>
      <c r="L395" s="1" t="s">
        <v>580</v>
      </c>
      <c r="M395" s="5">
        <v>2</v>
      </c>
      <c r="Q395" s="3"/>
      <c r="R395" s="3"/>
      <c r="S395" s="3"/>
    </row>
    <row r="396" spans="1:19" ht="15" x14ac:dyDescent="0.25">
      <c r="A396" s="7" t="s">
        <v>16</v>
      </c>
      <c r="B396" s="7" t="s">
        <v>23</v>
      </c>
      <c r="C396" s="7" t="s">
        <v>24</v>
      </c>
      <c r="D396" s="4">
        <v>10468341000140</v>
      </c>
      <c r="E396" s="8" t="s">
        <v>581</v>
      </c>
      <c r="F396" s="8" t="s">
        <v>29</v>
      </c>
      <c r="G396" s="7" t="s">
        <v>19</v>
      </c>
      <c r="H396" s="47" t="s">
        <v>207</v>
      </c>
      <c r="I396" s="47" t="s">
        <v>208</v>
      </c>
      <c r="J396" s="6">
        <v>73</v>
      </c>
      <c r="K396" s="8" t="s">
        <v>26</v>
      </c>
      <c r="L396" s="1" t="s">
        <v>581</v>
      </c>
      <c r="M396" s="5">
        <v>12</v>
      </c>
      <c r="Q396" s="3"/>
      <c r="R396" s="3"/>
      <c r="S396" s="3"/>
    </row>
    <row r="397" spans="1:19" ht="15" x14ac:dyDescent="0.25">
      <c r="A397" s="7" t="s">
        <v>16</v>
      </c>
      <c r="B397" s="7" t="s">
        <v>23</v>
      </c>
      <c r="C397" s="7" t="s">
        <v>24</v>
      </c>
      <c r="D397" s="4">
        <v>10468341000220</v>
      </c>
      <c r="E397" s="8" t="s">
        <v>582</v>
      </c>
      <c r="F397" s="8" t="s">
        <v>29</v>
      </c>
      <c r="G397" s="7" t="s">
        <v>19</v>
      </c>
      <c r="H397" s="47" t="s">
        <v>207</v>
      </c>
      <c r="I397" s="47" t="s">
        <v>208</v>
      </c>
      <c r="J397" s="6">
        <v>73</v>
      </c>
      <c r="K397" s="8" t="s">
        <v>26</v>
      </c>
      <c r="L397" s="1" t="s">
        <v>582</v>
      </c>
      <c r="M397" s="5">
        <v>24</v>
      </c>
      <c r="Q397" s="3"/>
      <c r="R397" s="3"/>
      <c r="S397" s="3"/>
    </row>
    <row r="398" spans="1:19" ht="15" x14ac:dyDescent="0.25">
      <c r="A398" s="7" t="s">
        <v>16</v>
      </c>
      <c r="B398" s="7" t="s">
        <v>23</v>
      </c>
      <c r="C398" s="7" t="s">
        <v>24</v>
      </c>
      <c r="D398" s="4">
        <v>19056055000141</v>
      </c>
      <c r="E398" s="8" t="s">
        <v>586</v>
      </c>
      <c r="F398" s="8" t="s">
        <v>29</v>
      </c>
      <c r="G398" s="7" t="s">
        <v>19</v>
      </c>
      <c r="H398" s="47" t="s">
        <v>207</v>
      </c>
      <c r="I398" s="47" t="s">
        <v>208</v>
      </c>
      <c r="J398" s="6">
        <v>62</v>
      </c>
      <c r="K398" s="8" t="s">
        <v>27</v>
      </c>
      <c r="L398" s="1" t="s">
        <v>586</v>
      </c>
      <c r="M398" s="5">
        <v>15</v>
      </c>
      <c r="Q398" s="3"/>
      <c r="R398" s="3"/>
      <c r="S398" s="3"/>
    </row>
    <row r="399" spans="1:19" ht="15" x14ac:dyDescent="0.25">
      <c r="A399" s="7" t="s">
        <v>16</v>
      </c>
      <c r="B399" s="7" t="s">
        <v>23</v>
      </c>
      <c r="C399" s="7" t="s">
        <v>24</v>
      </c>
      <c r="D399" s="4">
        <v>20812223000241</v>
      </c>
      <c r="E399" s="8" t="s">
        <v>588</v>
      </c>
      <c r="F399" s="8" t="s">
        <v>29</v>
      </c>
      <c r="G399" s="7" t="s">
        <v>19</v>
      </c>
      <c r="H399" s="47" t="s">
        <v>207</v>
      </c>
      <c r="I399" s="47" t="s">
        <v>208</v>
      </c>
      <c r="J399" s="6">
        <v>73</v>
      </c>
      <c r="K399" s="8" t="s">
        <v>26</v>
      </c>
      <c r="L399" s="1" t="s">
        <v>588</v>
      </c>
      <c r="M399" s="5">
        <v>30</v>
      </c>
      <c r="Q399" s="3"/>
      <c r="R399" s="3"/>
      <c r="S399" s="3"/>
    </row>
    <row r="400" spans="1:19" ht="15" x14ac:dyDescent="0.25">
      <c r="A400" s="7" t="s">
        <v>16</v>
      </c>
      <c r="B400" s="7" t="s">
        <v>23</v>
      </c>
      <c r="C400" s="7" t="s">
        <v>24</v>
      </c>
      <c r="D400" s="4">
        <v>21371777000132</v>
      </c>
      <c r="E400" s="8" t="s">
        <v>589</v>
      </c>
      <c r="F400" s="8" t="s">
        <v>29</v>
      </c>
      <c r="G400" s="7" t="s">
        <v>19</v>
      </c>
      <c r="H400" s="47" t="s">
        <v>207</v>
      </c>
      <c r="I400" s="47" t="s">
        <v>208</v>
      </c>
      <c r="J400" s="6">
        <v>62</v>
      </c>
      <c r="K400" s="8" t="s">
        <v>27</v>
      </c>
      <c r="L400" s="1" t="s">
        <v>589</v>
      </c>
      <c r="M400" s="5">
        <v>33</v>
      </c>
      <c r="Q400" s="3"/>
      <c r="R400" s="3"/>
      <c r="S400" s="3"/>
    </row>
    <row r="401" spans="1:19" ht="15" x14ac:dyDescent="0.25">
      <c r="A401" s="7" t="s">
        <v>16</v>
      </c>
      <c r="B401" s="7" t="s">
        <v>23</v>
      </c>
      <c r="C401" s="7" t="s">
        <v>24</v>
      </c>
      <c r="D401" s="4">
        <v>28290788000137</v>
      </c>
      <c r="E401" s="8" t="s">
        <v>591</v>
      </c>
      <c r="F401" s="8" t="s">
        <v>29</v>
      </c>
      <c r="G401" s="7" t="s">
        <v>19</v>
      </c>
      <c r="H401" s="47" t="s">
        <v>207</v>
      </c>
      <c r="I401" s="47" t="s">
        <v>208</v>
      </c>
      <c r="J401" s="6">
        <v>64</v>
      </c>
      <c r="K401" s="8" t="s">
        <v>25</v>
      </c>
      <c r="L401" s="1" t="s">
        <v>591</v>
      </c>
      <c r="M401" s="5">
        <v>14</v>
      </c>
      <c r="Q401" s="3"/>
      <c r="R401" s="3"/>
      <c r="S401" s="3"/>
    </row>
    <row r="402" spans="1:19" ht="15" x14ac:dyDescent="0.25">
      <c r="A402" s="7" t="s">
        <v>16</v>
      </c>
      <c r="B402" s="7" t="s">
        <v>23</v>
      </c>
      <c r="C402" s="7" t="s">
        <v>24</v>
      </c>
      <c r="D402" s="4">
        <v>29435005002687</v>
      </c>
      <c r="E402" s="8" t="s">
        <v>593</v>
      </c>
      <c r="F402" s="8" t="s">
        <v>29</v>
      </c>
      <c r="G402" s="7" t="s">
        <v>19</v>
      </c>
      <c r="H402" s="47" t="s">
        <v>207</v>
      </c>
      <c r="I402" s="47" t="s">
        <v>208</v>
      </c>
      <c r="J402" s="6">
        <v>64</v>
      </c>
      <c r="K402" s="8" t="s">
        <v>25</v>
      </c>
      <c r="L402" s="1" t="s">
        <v>593</v>
      </c>
      <c r="M402" s="5">
        <v>5</v>
      </c>
      <c r="Q402" s="3"/>
      <c r="R402" s="3"/>
      <c r="S402" s="3"/>
    </row>
    <row r="403" spans="1:19" ht="15" x14ac:dyDescent="0.25">
      <c r="A403" s="7" t="s">
        <v>16</v>
      </c>
      <c r="B403" s="7" t="s">
        <v>23</v>
      </c>
      <c r="C403" s="7" t="s">
        <v>24</v>
      </c>
      <c r="D403" s="4">
        <v>29435005009932</v>
      </c>
      <c r="E403" s="8" t="s">
        <v>595</v>
      </c>
      <c r="F403" s="8" t="s">
        <v>29</v>
      </c>
      <c r="G403" s="7" t="s">
        <v>19</v>
      </c>
      <c r="H403" s="47" t="s">
        <v>207</v>
      </c>
      <c r="I403" s="47" t="s">
        <v>208</v>
      </c>
      <c r="J403" s="6">
        <v>62</v>
      </c>
      <c r="K403" s="8" t="s">
        <v>27</v>
      </c>
      <c r="L403" s="1" t="s">
        <v>595</v>
      </c>
      <c r="M403" s="5">
        <v>30</v>
      </c>
      <c r="Q403" s="3"/>
      <c r="R403" s="3"/>
      <c r="S403" s="3"/>
    </row>
    <row r="404" spans="1:19" ht="15" x14ac:dyDescent="0.25">
      <c r="A404" s="7" t="s">
        <v>16</v>
      </c>
      <c r="B404" s="7" t="s">
        <v>23</v>
      </c>
      <c r="C404" s="7" t="s">
        <v>24</v>
      </c>
      <c r="D404" s="4">
        <v>44649812005520</v>
      </c>
      <c r="E404" s="8" t="s">
        <v>598</v>
      </c>
      <c r="F404" s="8" t="s">
        <v>29</v>
      </c>
      <c r="G404" s="7" t="s">
        <v>19</v>
      </c>
      <c r="H404" s="47" t="s">
        <v>207</v>
      </c>
      <c r="I404" s="47" t="s">
        <v>208</v>
      </c>
      <c r="J404" s="6">
        <v>73</v>
      </c>
      <c r="K404" s="8" t="s">
        <v>26</v>
      </c>
      <c r="L404" s="1" t="s">
        <v>598</v>
      </c>
      <c r="M404" s="5">
        <v>52</v>
      </c>
      <c r="Q404" s="3"/>
      <c r="R404" s="3"/>
      <c r="S404" s="3"/>
    </row>
    <row r="405" spans="1:19" ht="15" x14ac:dyDescent="0.25">
      <c r="A405" s="7" t="s">
        <v>16</v>
      </c>
      <c r="B405" s="7" t="s">
        <v>23</v>
      </c>
      <c r="C405" s="7" t="s">
        <v>24</v>
      </c>
      <c r="D405" s="4">
        <v>51722957010226</v>
      </c>
      <c r="E405" s="8" t="s">
        <v>603</v>
      </c>
      <c r="F405" s="8" t="s">
        <v>29</v>
      </c>
      <c r="G405" s="7" t="s">
        <v>19</v>
      </c>
      <c r="H405" s="47" t="s">
        <v>207</v>
      </c>
      <c r="I405" s="47" t="s">
        <v>208</v>
      </c>
      <c r="J405" s="6">
        <v>73</v>
      </c>
      <c r="K405" s="8" t="s">
        <v>26</v>
      </c>
      <c r="L405" s="1" t="s">
        <v>603</v>
      </c>
      <c r="M405" s="5">
        <v>3</v>
      </c>
      <c r="Q405" s="3"/>
      <c r="R405" s="3"/>
      <c r="S405" s="3"/>
    </row>
    <row r="406" spans="1:19" ht="15" x14ac:dyDescent="0.25">
      <c r="A406" s="7" t="s">
        <v>16</v>
      </c>
      <c r="B406" s="7" t="s">
        <v>23</v>
      </c>
      <c r="C406" s="7" t="s">
        <v>24</v>
      </c>
      <c r="D406" s="4">
        <v>56577059000606</v>
      </c>
      <c r="E406" s="8" t="s">
        <v>606</v>
      </c>
      <c r="F406" s="8" t="s">
        <v>29</v>
      </c>
      <c r="G406" s="7" t="s">
        <v>19</v>
      </c>
      <c r="H406" s="47" t="s">
        <v>207</v>
      </c>
      <c r="I406" s="47" t="s">
        <v>208</v>
      </c>
      <c r="J406" s="6">
        <v>64</v>
      </c>
      <c r="K406" s="8" t="s">
        <v>25</v>
      </c>
      <c r="L406" s="1" t="s">
        <v>606</v>
      </c>
      <c r="M406" s="5">
        <v>30</v>
      </c>
      <c r="Q406" s="3"/>
      <c r="R406" s="3"/>
      <c r="S406" s="3"/>
    </row>
    <row r="407" spans="1:19" ht="15" x14ac:dyDescent="0.25">
      <c r="A407" s="7" t="s">
        <v>16</v>
      </c>
      <c r="B407" s="7" t="s">
        <v>23</v>
      </c>
      <c r="C407" s="7" t="s">
        <v>24</v>
      </c>
      <c r="D407" s="4">
        <v>60448040000122</v>
      </c>
      <c r="E407" s="8" t="s">
        <v>609</v>
      </c>
      <c r="F407" s="8" t="s">
        <v>29</v>
      </c>
      <c r="G407" s="7" t="s">
        <v>19</v>
      </c>
      <c r="H407" s="47" t="s">
        <v>207</v>
      </c>
      <c r="I407" s="47" t="s">
        <v>208</v>
      </c>
      <c r="J407" s="6">
        <v>62</v>
      </c>
      <c r="K407" s="8" t="s">
        <v>27</v>
      </c>
      <c r="L407" s="1" t="s">
        <v>609</v>
      </c>
      <c r="M407" s="5">
        <v>66</v>
      </c>
      <c r="Q407" s="3"/>
      <c r="R407" s="3"/>
      <c r="S407" s="3"/>
    </row>
    <row r="408" spans="1:19" ht="15" x14ac:dyDescent="0.25">
      <c r="A408" s="7" t="s">
        <v>16</v>
      </c>
      <c r="B408" s="7" t="s">
        <v>23</v>
      </c>
      <c r="C408" s="7" t="s">
        <v>24</v>
      </c>
      <c r="D408" s="4">
        <v>60448040000122</v>
      </c>
      <c r="E408" s="8" t="s">
        <v>609</v>
      </c>
      <c r="F408" s="8" t="s">
        <v>29</v>
      </c>
      <c r="G408" s="7" t="s">
        <v>19</v>
      </c>
      <c r="H408" s="47" t="s">
        <v>207</v>
      </c>
      <c r="I408" s="47" t="s">
        <v>208</v>
      </c>
      <c r="J408" s="6">
        <v>64</v>
      </c>
      <c r="K408" s="8" t="s">
        <v>25</v>
      </c>
      <c r="L408" s="1" t="s">
        <v>609</v>
      </c>
      <c r="M408" s="5">
        <v>70</v>
      </c>
      <c r="Q408" s="3"/>
      <c r="R408" s="3"/>
      <c r="S408" s="3"/>
    </row>
    <row r="409" spans="1:19" ht="15" x14ac:dyDescent="0.25">
      <c r="A409" s="7" t="s">
        <v>16</v>
      </c>
      <c r="B409" s="7" t="s">
        <v>23</v>
      </c>
      <c r="C409" s="7" t="s">
        <v>24</v>
      </c>
      <c r="D409" s="4">
        <v>60453024000390</v>
      </c>
      <c r="E409" s="8" t="s">
        <v>610</v>
      </c>
      <c r="F409" s="8" t="s">
        <v>29</v>
      </c>
      <c r="G409" s="7" t="s">
        <v>19</v>
      </c>
      <c r="H409" s="47" t="s">
        <v>207</v>
      </c>
      <c r="I409" s="47" t="s">
        <v>208</v>
      </c>
      <c r="J409" s="6">
        <v>62</v>
      </c>
      <c r="K409" s="8" t="s">
        <v>27</v>
      </c>
      <c r="L409" s="1" t="s">
        <v>610</v>
      </c>
      <c r="M409" s="5">
        <v>30</v>
      </c>
      <c r="Q409" s="3"/>
      <c r="R409" s="3"/>
      <c r="S409" s="3"/>
    </row>
    <row r="410" spans="1:19" ht="15" x14ac:dyDescent="0.25">
      <c r="A410" s="7" t="s">
        <v>16</v>
      </c>
      <c r="B410" s="7" t="s">
        <v>23</v>
      </c>
      <c r="C410" s="7" t="s">
        <v>24</v>
      </c>
      <c r="D410" s="4">
        <v>60453024000390</v>
      </c>
      <c r="E410" s="8" t="s">
        <v>610</v>
      </c>
      <c r="F410" s="8" t="s">
        <v>29</v>
      </c>
      <c r="G410" s="7" t="s">
        <v>19</v>
      </c>
      <c r="H410" s="47" t="s">
        <v>207</v>
      </c>
      <c r="I410" s="47" t="s">
        <v>208</v>
      </c>
      <c r="J410" s="6">
        <v>64</v>
      </c>
      <c r="K410" s="8" t="s">
        <v>25</v>
      </c>
      <c r="L410" s="1" t="s">
        <v>610</v>
      </c>
      <c r="M410" s="5">
        <v>13</v>
      </c>
      <c r="Q410" s="3"/>
      <c r="R410" s="3"/>
      <c r="S410" s="3"/>
    </row>
    <row r="411" spans="1:19" ht="15" x14ac:dyDescent="0.25">
      <c r="A411" s="7" t="s">
        <v>16</v>
      </c>
      <c r="B411" s="7" t="s">
        <v>23</v>
      </c>
      <c r="C411" s="7" t="s">
        <v>24</v>
      </c>
      <c r="D411" s="4">
        <v>60678604000113</v>
      </c>
      <c r="E411" s="8" t="s">
        <v>612</v>
      </c>
      <c r="F411" s="8" t="s">
        <v>29</v>
      </c>
      <c r="G411" s="7" t="s">
        <v>19</v>
      </c>
      <c r="H411" s="47" t="s">
        <v>207</v>
      </c>
      <c r="I411" s="47" t="s">
        <v>208</v>
      </c>
      <c r="J411" s="6">
        <v>62</v>
      </c>
      <c r="K411" s="8" t="s">
        <v>27</v>
      </c>
      <c r="L411" s="1" t="s">
        <v>612</v>
      </c>
      <c r="M411" s="5">
        <v>56</v>
      </c>
      <c r="Q411" s="3"/>
      <c r="R411" s="3"/>
      <c r="S411" s="3"/>
    </row>
    <row r="412" spans="1:19" ht="15" x14ac:dyDescent="0.25">
      <c r="A412" s="7" t="s">
        <v>16</v>
      </c>
      <c r="B412" s="7" t="s">
        <v>23</v>
      </c>
      <c r="C412" s="7" t="s">
        <v>24</v>
      </c>
      <c r="D412" s="4">
        <v>60678604000113</v>
      </c>
      <c r="E412" s="8" t="s">
        <v>612</v>
      </c>
      <c r="F412" s="8" t="s">
        <v>29</v>
      </c>
      <c r="G412" s="7" t="s">
        <v>19</v>
      </c>
      <c r="H412" s="47" t="s">
        <v>207</v>
      </c>
      <c r="I412" s="47" t="s">
        <v>208</v>
      </c>
      <c r="J412" s="6">
        <v>64</v>
      </c>
      <c r="K412" s="8" t="s">
        <v>25</v>
      </c>
      <c r="L412" s="1" t="s">
        <v>612</v>
      </c>
      <c r="M412" s="5">
        <v>1</v>
      </c>
      <c r="Q412" s="3"/>
      <c r="R412" s="3"/>
      <c r="S412" s="3"/>
    </row>
    <row r="413" spans="1:19" ht="15" x14ac:dyDescent="0.25">
      <c r="A413" s="7" t="s">
        <v>16</v>
      </c>
      <c r="B413" s="7" t="s">
        <v>23</v>
      </c>
      <c r="C413" s="7" t="s">
        <v>24</v>
      </c>
      <c r="D413" s="4">
        <v>60726502000126</v>
      </c>
      <c r="E413" s="8" t="s">
        <v>613</v>
      </c>
      <c r="F413" s="8" t="s">
        <v>29</v>
      </c>
      <c r="G413" s="7" t="s">
        <v>19</v>
      </c>
      <c r="H413" s="47" t="s">
        <v>207</v>
      </c>
      <c r="I413" s="47" t="s">
        <v>208</v>
      </c>
      <c r="J413" s="6">
        <v>62</v>
      </c>
      <c r="K413" s="8" t="s">
        <v>27</v>
      </c>
      <c r="L413" s="1" t="s">
        <v>613</v>
      </c>
      <c r="M413" s="5">
        <v>10</v>
      </c>
      <c r="Q413" s="3"/>
      <c r="R413" s="3"/>
      <c r="S413" s="3"/>
    </row>
    <row r="414" spans="1:19" ht="15" x14ac:dyDescent="0.25">
      <c r="A414" s="7" t="s">
        <v>16</v>
      </c>
      <c r="B414" s="7" t="s">
        <v>23</v>
      </c>
      <c r="C414" s="7" t="s">
        <v>24</v>
      </c>
      <c r="D414" s="4">
        <v>60726502000126</v>
      </c>
      <c r="E414" s="8" t="s">
        <v>613</v>
      </c>
      <c r="F414" s="8" t="s">
        <v>29</v>
      </c>
      <c r="G414" s="7" t="s">
        <v>19</v>
      </c>
      <c r="H414" s="47" t="s">
        <v>207</v>
      </c>
      <c r="I414" s="47" t="s">
        <v>208</v>
      </c>
      <c r="J414" s="6">
        <v>64</v>
      </c>
      <c r="K414" s="8" t="s">
        <v>25</v>
      </c>
      <c r="L414" s="1" t="s">
        <v>613</v>
      </c>
      <c r="M414" s="5">
        <v>10</v>
      </c>
      <c r="Q414" s="3"/>
      <c r="R414" s="3"/>
      <c r="S414" s="3"/>
    </row>
    <row r="415" spans="1:19" ht="15" x14ac:dyDescent="0.25">
      <c r="A415" s="7" t="s">
        <v>16</v>
      </c>
      <c r="B415" s="7" t="s">
        <v>23</v>
      </c>
      <c r="C415" s="7" t="s">
        <v>24</v>
      </c>
      <c r="D415" s="4">
        <v>60726502000711</v>
      </c>
      <c r="E415" s="8" t="s">
        <v>614</v>
      </c>
      <c r="F415" s="8" t="s">
        <v>29</v>
      </c>
      <c r="G415" s="7" t="s">
        <v>19</v>
      </c>
      <c r="H415" s="47" t="s">
        <v>207</v>
      </c>
      <c r="I415" s="47" t="s">
        <v>208</v>
      </c>
      <c r="J415" s="6">
        <v>62</v>
      </c>
      <c r="K415" s="8" t="s">
        <v>27</v>
      </c>
      <c r="L415" s="1" t="s">
        <v>614</v>
      </c>
      <c r="M415" s="5">
        <v>4</v>
      </c>
      <c r="Q415" s="3"/>
      <c r="R415" s="3"/>
      <c r="S415" s="3"/>
    </row>
    <row r="416" spans="1:19" ht="15" x14ac:dyDescent="0.25">
      <c r="A416" s="7" t="s">
        <v>16</v>
      </c>
      <c r="B416" s="7" t="s">
        <v>23</v>
      </c>
      <c r="C416" s="7" t="s">
        <v>24</v>
      </c>
      <c r="D416" s="4">
        <v>60765823000130</v>
      </c>
      <c r="E416" s="8" t="s">
        <v>615</v>
      </c>
      <c r="F416" s="8" t="s">
        <v>29</v>
      </c>
      <c r="G416" s="7" t="s">
        <v>19</v>
      </c>
      <c r="H416" s="47" t="s">
        <v>207</v>
      </c>
      <c r="I416" s="47" t="s">
        <v>208</v>
      </c>
      <c r="J416" s="6">
        <v>62</v>
      </c>
      <c r="K416" s="8" t="s">
        <v>27</v>
      </c>
      <c r="L416" s="1" t="s">
        <v>615</v>
      </c>
      <c r="M416" s="5">
        <v>60</v>
      </c>
      <c r="Q416" s="3"/>
      <c r="R416" s="3"/>
      <c r="S416" s="3"/>
    </row>
    <row r="417" spans="1:19" ht="15" x14ac:dyDescent="0.25">
      <c r="A417" s="7" t="s">
        <v>16</v>
      </c>
      <c r="B417" s="7" t="s">
        <v>23</v>
      </c>
      <c r="C417" s="7" t="s">
        <v>24</v>
      </c>
      <c r="D417" s="4">
        <v>60884855000316</v>
      </c>
      <c r="E417" s="8" t="s">
        <v>617</v>
      </c>
      <c r="F417" s="8" t="s">
        <v>29</v>
      </c>
      <c r="G417" s="7" t="s">
        <v>19</v>
      </c>
      <c r="H417" s="47" t="s">
        <v>207</v>
      </c>
      <c r="I417" s="47" t="s">
        <v>208</v>
      </c>
      <c r="J417" s="6">
        <v>62</v>
      </c>
      <c r="K417" s="8" t="s">
        <v>27</v>
      </c>
      <c r="L417" s="1" t="s">
        <v>617</v>
      </c>
      <c r="M417" s="5">
        <v>8</v>
      </c>
      <c r="Q417" s="3"/>
      <c r="R417" s="3"/>
      <c r="S417" s="3"/>
    </row>
    <row r="418" spans="1:19" ht="15" x14ac:dyDescent="0.25">
      <c r="A418" s="7" t="s">
        <v>16</v>
      </c>
      <c r="B418" s="7" t="s">
        <v>23</v>
      </c>
      <c r="C418" s="7" t="s">
        <v>24</v>
      </c>
      <c r="D418" s="4">
        <v>60884855000316</v>
      </c>
      <c r="E418" s="8" t="s">
        <v>617</v>
      </c>
      <c r="F418" s="8" t="s">
        <v>29</v>
      </c>
      <c r="G418" s="7" t="s">
        <v>19</v>
      </c>
      <c r="H418" s="47" t="s">
        <v>207</v>
      </c>
      <c r="I418" s="47" t="s">
        <v>208</v>
      </c>
      <c r="J418" s="6">
        <v>73</v>
      </c>
      <c r="K418" s="8" t="s">
        <v>26</v>
      </c>
      <c r="L418" s="1" t="s">
        <v>617</v>
      </c>
      <c r="M418" s="5">
        <v>40</v>
      </c>
      <c r="Q418" s="3"/>
      <c r="R418" s="3"/>
      <c r="S418" s="3"/>
    </row>
    <row r="419" spans="1:19" ht="15" x14ac:dyDescent="0.25">
      <c r="A419" s="7" t="s">
        <v>16</v>
      </c>
      <c r="B419" s="7" t="s">
        <v>23</v>
      </c>
      <c r="C419" s="7" t="s">
        <v>24</v>
      </c>
      <c r="D419" s="4">
        <v>60922168000771</v>
      </c>
      <c r="E419" s="8" t="s">
        <v>618</v>
      </c>
      <c r="F419" s="8" t="s">
        <v>29</v>
      </c>
      <c r="G419" s="7" t="s">
        <v>19</v>
      </c>
      <c r="H419" s="47" t="s">
        <v>207</v>
      </c>
      <c r="I419" s="47" t="s">
        <v>208</v>
      </c>
      <c r="J419" s="6">
        <v>62</v>
      </c>
      <c r="K419" s="8" t="s">
        <v>27</v>
      </c>
      <c r="L419" s="1" t="s">
        <v>618</v>
      </c>
      <c r="M419" s="5">
        <v>21</v>
      </c>
      <c r="Q419" s="3"/>
      <c r="R419" s="3"/>
      <c r="S419" s="3"/>
    </row>
    <row r="420" spans="1:19" ht="15" x14ac:dyDescent="0.25">
      <c r="A420" s="7" t="s">
        <v>16</v>
      </c>
      <c r="B420" s="7" t="s">
        <v>23</v>
      </c>
      <c r="C420" s="7" t="s">
        <v>24</v>
      </c>
      <c r="D420" s="4">
        <v>60922168000771</v>
      </c>
      <c r="E420" s="8" t="s">
        <v>618</v>
      </c>
      <c r="F420" s="8" t="s">
        <v>29</v>
      </c>
      <c r="G420" s="7" t="s">
        <v>19</v>
      </c>
      <c r="H420" s="47" t="s">
        <v>207</v>
      </c>
      <c r="I420" s="47" t="s">
        <v>208</v>
      </c>
      <c r="J420" s="6">
        <v>73</v>
      </c>
      <c r="K420" s="8" t="s">
        <v>26</v>
      </c>
      <c r="L420" s="1" t="s">
        <v>618</v>
      </c>
      <c r="M420" s="5">
        <v>22</v>
      </c>
      <c r="Q420" s="3"/>
      <c r="R420" s="3"/>
      <c r="S420" s="3"/>
    </row>
    <row r="421" spans="1:19" ht="15" x14ac:dyDescent="0.25">
      <c r="A421" s="7" t="s">
        <v>16</v>
      </c>
      <c r="B421" s="7" t="s">
        <v>23</v>
      </c>
      <c r="C421" s="7" t="s">
        <v>24</v>
      </c>
      <c r="D421" s="4">
        <v>60961422000155</v>
      </c>
      <c r="E421" s="8" t="s">
        <v>620</v>
      </c>
      <c r="F421" s="8" t="s">
        <v>29</v>
      </c>
      <c r="G421" s="7" t="s">
        <v>19</v>
      </c>
      <c r="H421" s="47" t="s">
        <v>207</v>
      </c>
      <c r="I421" s="47" t="s">
        <v>208</v>
      </c>
      <c r="J421" s="6">
        <v>62</v>
      </c>
      <c r="K421" s="8" t="s">
        <v>27</v>
      </c>
      <c r="L421" s="1" t="s">
        <v>620</v>
      </c>
      <c r="M421" s="5">
        <v>13</v>
      </c>
      <c r="Q421" s="3"/>
      <c r="R421" s="3"/>
      <c r="S421" s="3"/>
    </row>
    <row r="422" spans="1:19" ht="15" x14ac:dyDescent="0.25">
      <c r="A422" s="7" t="s">
        <v>16</v>
      </c>
      <c r="B422" s="7" t="s">
        <v>23</v>
      </c>
      <c r="C422" s="7" t="s">
        <v>24</v>
      </c>
      <c r="D422" s="4">
        <v>60961422000155</v>
      </c>
      <c r="E422" s="8" t="s">
        <v>620</v>
      </c>
      <c r="F422" s="8" t="s">
        <v>29</v>
      </c>
      <c r="G422" s="7" t="s">
        <v>19</v>
      </c>
      <c r="H422" s="47" t="s">
        <v>207</v>
      </c>
      <c r="I422" s="47" t="s">
        <v>208</v>
      </c>
      <c r="J422" s="6">
        <v>64</v>
      </c>
      <c r="K422" s="8" t="s">
        <v>25</v>
      </c>
      <c r="L422" s="1" t="s">
        <v>620</v>
      </c>
      <c r="M422" s="5">
        <v>3</v>
      </c>
      <c r="Q422" s="3"/>
      <c r="R422" s="3"/>
      <c r="S422" s="3"/>
    </row>
    <row r="423" spans="1:19" ht="15" x14ac:dyDescent="0.25">
      <c r="A423" s="7" t="s">
        <v>16</v>
      </c>
      <c r="B423" s="7" t="s">
        <v>23</v>
      </c>
      <c r="C423" s="7" t="s">
        <v>24</v>
      </c>
      <c r="D423" s="4">
        <v>60975737001204</v>
      </c>
      <c r="E423" s="8" t="s">
        <v>625</v>
      </c>
      <c r="F423" s="8" t="s">
        <v>29</v>
      </c>
      <c r="G423" s="7" t="s">
        <v>19</v>
      </c>
      <c r="H423" s="47" t="s">
        <v>207</v>
      </c>
      <c r="I423" s="47" t="s">
        <v>208</v>
      </c>
      <c r="J423" s="6">
        <v>62</v>
      </c>
      <c r="K423" s="8" t="s">
        <v>27</v>
      </c>
      <c r="L423" s="1" t="s">
        <v>625</v>
      </c>
      <c r="M423" s="5">
        <v>4</v>
      </c>
      <c r="Q423" s="3"/>
      <c r="R423" s="3"/>
      <c r="S423" s="3"/>
    </row>
    <row r="424" spans="1:19" ht="15" x14ac:dyDescent="0.25">
      <c r="A424" s="7" t="s">
        <v>16</v>
      </c>
      <c r="B424" s="7" t="s">
        <v>23</v>
      </c>
      <c r="C424" s="7" t="s">
        <v>24</v>
      </c>
      <c r="D424" s="4">
        <v>60975737001204</v>
      </c>
      <c r="E424" s="8" t="s">
        <v>625</v>
      </c>
      <c r="F424" s="8" t="s">
        <v>29</v>
      </c>
      <c r="G424" s="7" t="s">
        <v>19</v>
      </c>
      <c r="H424" s="47" t="s">
        <v>207</v>
      </c>
      <c r="I424" s="47" t="s">
        <v>208</v>
      </c>
      <c r="J424" s="6">
        <v>64</v>
      </c>
      <c r="K424" s="8" t="s">
        <v>25</v>
      </c>
      <c r="L424" s="1" t="s">
        <v>625</v>
      </c>
      <c r="M424" s="5">
        <v>10</v>
      </c>
      <c r="Q424" s="3"/>
      <c r="R424" s="3"/>
      <c r="S424" s="3"/>
    </row>
    <row r="425" spans="1:19" ht="15" x14ac:dyDescent="0.25">
      <c r="A425" s="7" t="s">
        <v>16</v>
      </c>
      <c r="B425" s="7" t="s">
        <v>23</v>
      </c>
      <c r="C425" s="7" t="s">
        <v>24</v>
      </c>
      <c r="D425" s="4">
        <v>60992427000650</v>
      </c>
      <c r="E425" s="8" t="s">
        <v>627</v>
      </c>
      <c r="F425" s="8" t="s">
        <v>29</v>
      </c>
      <c r="G425" s="7" t="s">
        <v>19</v>
      </c>
      <c r="H425" s="47" t="s">
        <v>207</v>
      </c>
      <c r="I425" s="47" t="s">
        <v>208</v>
      </c>
      <c r="J425" s="6">
        <v>62</v>
      </c>
      <c r="K425" s="8" t="s">
        <v>27</v>
      </c>
      <c r="L425" s="1" t="s">
        <v>627</v>
      </c>
      <c r="M425" s="5">
        <v>0</v>
      </c>
      <c r="Q425" s="3"/>
      <c r="R425" s="3"/>
      <c r="S425" s="3"/>
    </row>
    <row r="426" spans="1:19" ht="15" x14ac:dyDescent="0.25">
      <c r="A426" s="7" t="s">
        <v>16</v>
      </c>
      <c r="B426" s="7" t="s">
        <v>23</v>
      </c>
      <c r="C426" s="7" t="s">
        <v>24</v>
      </c>
      <c r="D426" s="4">
        <v>61213674000240</v>
      </c>
      <c r="E426" s="8" t="s">
        <v>629</v>
      </c>
      <c r="F426" s="8" t="s">
        <v>29</v>
      </c>
      <c r="G426" s="7" t="s">
        <v>19</v>
      </c>
      <c r="H426" s="47" t="s">
        <v>207</v>
      </c>
      <c r="I426" s="47" t="s">
        <v>208</v>
      </c>
      <c r="J426" s="6">
        <v>62</v>
      </c>
      <c r="K426" s="8" t="s">
        <v>27</v>
      </c>
      <c r="L426" s="1" t="s">
        <v>629</v>
      </c>
      <c r="M426" s="5">
        <v>3</v>
      </c>
      <c r="Q426" s="3"/>
      <c r="R426" s="3"/>
      <c r="S426" s="3"/>
    </row>
    <row r="427" spans="1:19" ht="15" x14ac:dyDescent="0.25">
      <c r="A427" s="7" t="s">
        <v>16</v>
      </c>
      <c r="B427" s="7" t="s">
        <v>23</v>
      </c>
      <c r="C427" s="7" t="s">
        <v>24</v>
      </c>
      <c r="D427" s="4">
        <v>61213674000240</v>
      </c>
      <c r="E427" s="8" t="s">
        <v>629</v>
      </c>
      <c r="F427" s="8" t="s">
        <v>29</v>
      </c>
      <c r="G427" s="7" t="s">
        <v>19</v>
      </c>
      <c r="H427" s="47" t="s">
        <v>207</v>
      </c>
      <c r="I427" s="47" t="s">
        <v>208</v>
      </c>
      <c r="J427" s="6">
        <v>64</v>
      </c>
      <c r="K427" s="8" t="s">
        <v>25</v>
      </c>
      <c r="L427" s="1" t="s">
        <v>629</v>
      </c>
      <c r="M427" s="5">
        <v>3</v>
      </c>
      <c r="Q427" s="3"/>
      <c r="R427" s="3"/>
      <c r="S427" s="3"/>
    </row>
    <row r="428" spans="1:19" ht="15" x14ac:dyDescent="0.25">
      <c r="A428" s="7" t="s">
        <v>16</v>
      </c>
      <c r="B428" s="7" t="s">
        <v>23</v>
      </c>
      <c r="C428" s="7" t="s">
        <v>24</v>
      </c>
      <c r="D428" s="4">
        <v>61213674000240</v>
      </c>
      <c r="E428" s="8" t="s">
        <v>629</v>
      </c>
      <c r="F428" s="8" t="s">
        <v>29</v>
      </c>
      <c r="G428" s="7" t="s">
        <v>19</v>
      </c>
      <c r="H428" s="47" t="s">
        <v>207</v>
      </c>
      <c r="I428" s="47" t="s">
        <v>208</v>
      </c>
      <c r="J428" s="6">
        <v>73</v>
      </c>
      <c r="K428" s="8" t="s">
        <v>26</v>
      </c>
      <c r="L428" s="1" t="s">
        <v>629</v>
      </c>
      <c r="M428" s="5">
        <v>97</v>
      </c>
      <c r="Q428" s="3"/>
      <c r="R428" s="3"/>
      <c r="S428" s="3"/>
    </row>
    <row r="429" spans="1:19" ht="15" x14ac:dyDescent="0.25">
      <c r="A429" s="7" t="s">
        <v>16</v>
      </c>
      <c r="B429" s="7" t="s">
        <v>23</v>
      </c>
      <c r="C429" s="7" t="s">
        <v>24</v>
      </c>
      <c r="D429" s="4">
        <v>61590410000124</v>
      </c>
      <c r="E429" s="8" t="s">
        <v>630</v>
      </c>
      <c r="F429" s="8" t="s">
        <v>29</v>
      </c>
      <c r="G429" s="7" t="s">
        <v>19</v>
      </c>
      <c r="H429" s="47" t="s">
        <v>207</v>
      </c>
      <c r="I429" s="47" t="s">
        <v>208</v>
      </c>
      <c r="J429" s="6">
        <v>62</v>
      </c>
      <c r="K429" s="8" t="s">
        <v>27</v>
      </c>
      <c r="L429" s="1" t="s">
        <v>630</v>
      </c>
      <c r="M429" s="5">
        <v>46</v>
      </c>
      <c r="Q429" s="3"/>
      <c r="R429" s="3"/>
      <c r="S429" s="3"/>
    </row>
    <row r="430" spans="1:19" ht="15" x14ac:dyDescent="0.25">
      <c r="A430" s="7" t="s">
        <v>16</v>
      </c>
      <c r="B430" s="7" t="s">
        <v>23</v>
      </c>
      <c r="C430" s="7" t="s">
        <v>24</v>
      </c>
      <c r="D430" s="4">
        <v>61590410000124</v>
      </c>
      <c r="E430" s="8" t="s">
        <v>630</v>
      </c>
      <c r="F430" s="8" t="s">
        <v>29</v>
      </c>
      <c r="G430" s="7" t="s">
        <v>19</v>
      </c>
      <c r="H430" s="47" t="s">
        <v>207</v>
      </c>
      <c r="I430" s="47" t="s">
        <v>208</v>
      </c>
      <c r="J430" s="6">
        <v>64</v>
      </c>
      <c r="K430" s="8" t="s">
        <v>25</v>
      </c>
      <c r="L430" s="1" t="s">
        <v>630</v>
      </c>
      <c r="M430" s="5">
        <v>26</v>
      </c>
      <c r="Q430" s="3"/>
      <c r="R430" s="3"/>
      <c r="S430" s="3"/>
    </row>
    <row r="431" spans="1:19" ht="15" x14ac:dyDescent="0.25">
      <c r="A431" s="7" t="s">
        <v>16</v>
      </c>
      <c r="B431" s="7" t="s">
        <v>23</v>
      </c>
      <c r="C431" s="7" t="s">
        <v>24</v>
      </c>
      <c r="D431" s="4">
        <v>61599908000158</v>
      </c>
      <c r="E431" s="8" t="s">
        <v>631</v>
      </c>
      <c r="F431" s="8" t="s">
        <v>29</v>
      </c>
      <c r="G431" s="7" t="s">
        <v>19</v>
      </c>
      <c r="H431" s="47" t="s">
        <v>207</v>
      </c>
      <c r="I431" s="47" t="s">
        <v>208</v>
      </c>
      <c r="J431" s="6">
        <v>62</v>
      </c>
      <c r="K431" s="8" t="s">
        <v>27</v>
      </c>
      <c r="L431" s="1" t="s">
        <v>631</v>
      </c>
      <c r="M431" s="5">
        <v>72</v>
      </c>
      <c r="Q431" s="3"/>
      <c r="R431" s="3"/>
      <c r="S431" s="3"/>
    </row>
    <row r="432" spans="1:19" ht="15" x14ac:dyDescent="0.25">
      <c r="A432" s="7" t="s">
        <v>16</v>
      </c>
      <c r="B432" s="7" t="s">
        <v>23</v>
      </c>
      <c r="C432" s="7" t="s">
        <v>24</v>
      </c>
      <c r="D432" s="4">
        <v>61599908000158</v>
      </c>
      <c r="E432" s="8" t="s">
        <v>631</v>
      </c>
      <c r="F432" s="8" t="s">
        <v>29</v>
      </c>
      <c r="G432" s="7" t="s">
        <v>19</v>
      </c>
      <c r="H432" s="47" t="s">
        <v>207</v>
      </c>
      <c r="I432" s="47" t="s">
        <v>208</v>
      </c>
      <c r="J432" s="6">
        <v>64</v>
      </c>
      <c r="K432" s="8" t="s">
        <v>25</v>
      </c>
      <c r="L432" s="1" t="s">
        <v>631</v>
      </c>
      <c r="M432" s="5">
        <v>27</v>
      </c>
      <c r="Q432" s="3"/>
      <c r="R432" s="3"/>
      <c r="S432" s="3"/>
    </row>
    <row r="433" spans="1:19" ht="15" x14ac:dyDescent="0.25">
      <c r="A433" s="7" t="s">
        <v>16</v>
      </c>
      <c r="B433" s="7" t="s">
        <v>23</v>
      </c>
      <c r="C433" s="7" t="s">
        <v>24</v>
      </c>
      <c r="D433" s="4">
        <v>62779145000190</v>
      </c>
      <c r="E433" s="8" t="s">
        <v>634</v>
      </c>
      <c r="F433" s="8" t="s">
        <v>29</v>
      </c>
      <c r="G433" s="7" t="s">
        <v>19</v>
      </c>
      <c r="H433" s="47" t="s">
        <v>207</v>
      </c>
      <c r="I433" s="47" t="s">
        <v>208</v>
      </c>
      <c r="J433" s="6">
        <v>64</v>
      </c>
      <c r="K433" s="8" t="s">
        <v>25</v>
      </c>
      <c r="L433" s="1" t="s">
        <v>634</v>
      </c>
      <c r="M433" s="5">
        <v>10</v>
      </c>
      <c r="Q433" s="3"/>
      <c r="R433" s="3"/>
      <c r="S433" s="3"/>
    </row>
    <row r="434" spans="1:19" ht="15" x14ac:dyDescent="0.25">
      <c r="A434" s="7" t="s">
        <v>16</v>
      </c>
      <c r="B434" s="7" t="s">
        <v>229</v>
      </c>
      <c r="C434" s="7" t="s">
        <v>24</v>
      </c>
      <c r="D434" s="4">
        <v>461479001054</v>
      </c>
      <c r="E434" s="8" t="s">
        <v>558</v>
      </c>
      <c r="F434" s="8" t="s">
        <v>29</v>
      </c>
      <c r="G434" s="7" t="s">
        <v>19</v>
      </c>
      <c r="H434" s="47" t="s">
        <v>207</v>
      </c>
      <c r="I434" s="47" t="s">
        <v>208</v>
      </c>
      <c r="J434" s="6">
        <v>64</v>
      </c>
      <c r="K434" s="8" t="s">
        <v>25</v>
      </c>
      <c r="L434" s="1" t="s">
        <v>558</v>
      </c>
      <c r="M434" s="5">
        <v>8</v>
      </c>
      <c r="Q434" s="3"/>
      <c r="R434" s="3"/>
      <c r="S434" s="3"/>
    </row>
    <row r="435" spans="1:19" ht="15" x14ac:dyDescent="0.25">
      <c r="A435" s="7" t="s">
        <v>16</v>
      </c>
      <c r="B435" s="7" t="s">
        <v>229</v>
      </c>
      <c r="C435" s="7" t="s">
        <v>24</v>
      </c>
      <c r="D435" s="4">
        <v>603226000187</v>
      </c>
      <c r="E435" s="8" t="s">
        <v>561</v>
      </c>
      <c r="F435" s="8" t="s">
        <v>29</v>
      </c>
      <c r="G435" s="7" t="s">
        <v>19</v>
      </c>
      <c r="H435" s="47" t="s">
        <v>207</v>
      </c>
      <c r="I435" s="47" t="s">
        <v>208</v>
      </c>
      <c r="J435" s="6">
        <v>73</v>
      </c>
      <c r="K435" s="8" t="s">
        <v>26</v>
      </c>
      <c r="L435" s="1" t="s">
        <v>561</v>
      </c>
      <c r="M435" s="5">
        <v>8</v>
      </c>
      <c r="Q435" s="3"/>
      <c r="R435" s="3"/>
      <c r="S435" s="3"/>
    </row>
    <row r="436" spans="1:19" ht="15" x14ac:dyDescent="0.25">
      <c r="A436" s="7" t="s">
        <v>16</v>
      </c>
      <c r="B436" s="7" t="s">
        <v>229</v>
      </c>
      <c r="C436" s="7" t="s">
        <v>24</v>
      </c>
      <c r="D436" s="4">
        <v>2383508000494</v>
      </c>
      <c r="E436" s="8" t="s">
        <v>562</v>
      </c>
      <c r="F436" s="8" t="s">
        <v>29</v>
      </c>
      <c r="G436" s="7" t="s">
        <v>19</v>
      </c>
      <c r="H436" s="47" t="s">
        <v>207</v>
      </c>
      <c r="I436" s="47" t="s">
        <v>208</v>
      </c>
      <c r="J436" s="6">
        <v>73</v>
      </c>
      <c r="K436" s="8" t="s">
        <v>26</v>
      </c>
      <c r="L436" s="1" t="s">
        <v>562</v>
      </c>
      <c r="M436" s="5">
        <v>17</v>
      </c>
      <c r="Q436" s="3"/>
      <c r="R436" s="3"/>
      <c r="S436" s="3"/>
    </row>
    <row r="437" spans="1:19" ht="15" x14ac:dyDescent="0.25">
      <c r="A437" s="7" t="s">
        <v>16</v>
      </c>
      <c r="B437" s="7" t="s">
        <v>229</v>
      </c>
      <c r="C437" s="7" t="s">
        <v>24</v>
      </c>
      <c r="D437" s="4">
        <v>2837922000183</v>
      </c>
      <c r="E437" s="8" t="s">
        <v>563</v>
      </c>
      <c r="F437" s="8" t="s">
        <v>29</v>
      </c>
      <c r="G437" s="7" t="s">
        <v>19</v>
      </c>
      <c r="H437" s="47" t="s">
        <v>207</v>
      </c>
      <c r="I437" s="47" t="s">
        <v>208</v>
      </c>
      <c r="J437" s="6">
        <v>73</v>
      </c>
      <c r="K437" s="8" t="s">
        <v>26</v>
      </c>
      <c r="L437" s="1" t="s">
        <v>563</v>
      </c>
      <c r="M437" s="5">
        <v>100</v>
      </c>
      <c r="Q437" s="3"/>
      <c r="R437" s="3"/>
      <c r="S437" s="3"/>
    </row>
    <row r="438" spans="1:19" ht="15" x14ac:dyDescent="0.25">
      <c r="A438" s="7" t="s">
        <v>16</v>
      </c>
      <c r="B438" s="7" t="s">
        <v>229</v>
      </c>
      <c r="C438" s="7" t="s">
        <v>24</v>
      </c>
      <c r="D438" s="4">
        <v>3872790000193</v>
      </c>
      <c r="E438" s="8" t="s">
        <v>564</v>
      </c>
      <c r="F438" s="8" t="s">
        <v>29</v>
      </c>
      <c r="G438" s="7" t="s">
        <v>19</v>
      </c>
      <c r="H438" s="47" t="s">
        <v>207</v>
      </c>
      <c r="I438" s="47" t="s">
        <v>208</v>
      </c>
      <c r="J438" s="6">
        <v>73</v>
      </c>
      <c r="K438" s="8" t="s">
        <v>26</v>
      </c>
      <c r="L438" s="1" t="s">
        <v>564</v>
      </c>
      <c r="M438" s="5">
        <v>4</v>
      </c>
      <c r="Q438" s="3"/>
      <c r="R438" s="3"/>
      <c r="S438" s="3"/>
    </row>
    <row r="439" spans="1:19" ht="15" x14ac:dyDescent="0.25">
      <c r="A439" s="7" t="s">
        <v>16</v>
      </c>
      <c r="B439" s="7" t="s">
        <v>229</v>
      </c>
      <c r="C439" s="7" t="s">
        <v>24</v>
      </c>
      <c r="D439" s="4">
        <v>8100676002455</v>
      </c>
      <c r="E439" s="8" t="s">
        <v>574</v>
      </c>
      <c r="F439" s="8" t="s">
        <v>29</v>
      </c>
      <c r="G439" s="7" t="s">
        <v>19</v>
      </c>
      <c r="H439" s="47" t="s">
        <v>207</v>
      </c>
      <c r="I439" s="47" t="s">
        <v>208</v>
      </c>
      <c r="J439" s="6">
        <v>64</v>
      </c>
      <c r="K439" s="8" t="s">
        <v>25</v>
      </c>
      <c r="L439" s="1" t="s">
        <v>574</v>
      </c>
      <c r="M439" s="5">
        <v>36</v>
      </c>
      <c r="Q439" s="3"/>
      <c r="R439" s="3"/>
      <c r="S439" s="3"/>
    </row>
    <row r="440" spans="1:19" ht="15" x14ac:dyDescent="0.25">
      <c r="A440" s="7" t="s">
        <v>16</v>
      </c>
      <c r="B440" s="7" t="s">
        <v>229</v>
      </c>
      <c r="C440" s="7" t="s">
        <v>24</v>
      </c>
      <c r="D440" s="4">
        <v>9087150000159</v>
      </c>
      <c r="E440" s="8" t="s">
        <v>578</v>
      </c>
      <c r="F440" s="8" t="s">
        <v>29</v>
      </c>
      <c r="G440" s="7" t="s">
        <v>19</v>
      </c>
      <c r="H440" s="47" t="s">
        <v>207</v>
      </c>
      <c r="I440" s="47" t="s">
        <v>208</v>
      </c>
      <c r="J440" s="6">
        <v>73</v>
      </c>
      <c r="K440" s="8" t="s">
        <v>26</v>
      </c>
      <c r="L440" s="1" t="s">
        <v>578</v>
      </c>
      <c r="M440" s="5">
        <v>7</v>
      </c>
      <c r="Q440" s="3"/>
      <c r="R440" s="3"/>
      <c r="S440" s="3"/>
    </row>
    <row r="441" spans="1:19" ht="15" x14ac:dyDescent="0.25">
      <c r="A441" s="7" t="s">
        <v>16</v>
      </c>
      <c r="B441" s="7" t="s">
        <v>229</v>
      </c>
      <c r="C441" s="7" t="s">
        <v>24</v>
      </c>
      <c r="D441" s="4">
        <v>10468341000140</v>
      </c>
      <c r="E441" s="8" t="s">
        <v>581</v>
      </c>
      <c r="F441" s="8" t="s">
        <v>29</v>
      </c>
      <c r="G441" s="7" t="s">
        <v>19</v>
      </c>
      <c r="H441" s="47" t="s">
        <v>207</v>
      </c>
      <c r="I441" s="47" t="s">
        <v>208</v>
      </c>
      <c r="J441" s="6">
        <v>73</v>
      </c>
      <c r="K441" s="8" t="s">
        <v>26</v>
      </c>
      <c r="L441" s="1" t="s">
        <v>581</v>
      </c>
      <c r="M441" s="5">
        <v>48</v>
      </c>
      <c r="Q441" s="3"/>
      <c r="R441" s="3"/>
      <c r="S441" s="3"/>
    </row>
    <row r="442" spans="1:19" ht="15" x14ac:dyDescent="0.25">
      <c r="A442" s="7" t="s">
        <v>16</v>
      </c>
      <c r="B442" s="7" t="s">
        <v>229</v>
      </c>
      <c r="C442" s="7" t="s">
        <v>24</v>
      </c>
      <c r="D442" s="4">
        <v>18180008000142</v>
      </c>
      <c r="E442" s="8" t="s">
        <v>585</v>
      </c>
      <c r="F442" s="8" t="s">
        <v>29</v>
      </c>
      <c r="G442" s="7" t="s">
        <v>19</v>
      </c>
      <c r="H442" s="47" t="s">
        <v>207</v>
      </c>
      <c r="I442" s="47" t="s">
        <v>208</v>
      </c>
      <c r="J442" s="6">
        <v>62</v>
      </c>
      <c r="K442" s="8" t="s">
        <v>27</v>
      </c>
      <c r="L442" s="1" t="s">
        <v>585</v>
      </c>
      <c r="M442" s="5">
        <v>6</v>
      </c>
      <c r="Q442" s="3"/>
      <c r="R442" s="3"/>
      <c r="S442" s="3"/>
    </row>
    <row r="443" spans="1:19" ht="15" x14ac:dyDescent="0.25">
      <c r="A443" s="7" t="s">
        <v>16</v>
      </c>
      <c r="B443" s="7" t="s">
        <v>229</v>
      </c>
      <c r="C443" s="7" t="s">
        <v>24</v>
      </c>
      <c r="D443" s="4">
        <v>18180008000142</v>
      </c>
      <c r="E443" s="8" t="s">
        <v>585</v>
      </c>
      <c r="F443" s="8" t="s">
        <v>29</v>
      </c>
      <c r="G443" s="7" t="s">
        <v>19</v>
      </c>
      <c r="H443" s="47" t="s">
        <v>207</v>
      </c>
      <c r="I443" s="47" t="s">
        <v>208</v>
      </c>
      <c r="J443" s="6">
        <v>64</v>
      </c>
      <c r="K443" s="8" t="s">
        <v>25</v>
      </c>
      <c r="L443" s="1" t="s">
        <v>585</v>
      </c>
      <c r="M443" s="5">
        <v>8</v>
      </c>
      <c r="Q443" s="3"/>
      <c r="R443" s="3"/>
      <c r="S443" s="3"/>
    </row>
    <row r="444" spans="1:19" ht="15" x14ac:dyDescent="0.25">
      <c r="A444" s="7" t="s">
        <v>16</v>
      </c>
      <c r="B444" s="7" t="s">
        <v>229</v>
      </c>
      <c r="C444" s="7" t="s">
        <v>24</v>
      </c>
      <c r="D444" s="4">
        <v>20812223000241</v>
      </c>
      <c r="E444" s="8" t="s">
        <v>588</v>
      </c>
      <c r="F444" s="8" t="s">
        <v>29</v>
      </c>
      <c r="G444" s="7" t="s">
        <v>19</v>
      </c>
      <c r="H444" s="47" t="s">
        <v>207</v>
      </c>
      <c r="I444" s="47" t="s">
        <v>208</v>
      </c>
      <c r="J444" s="6">
        <v>73</v>
      </c>
      <c r="K444" s="8" t="s">
        <v>26</v>
      </c>
      <c r="L444" s="1" t="s">
        <v>588</v>
      </c>
      <c r="M444" s="5">
        <v>23</v>
      </c>
      <c r="Q444" s="3"/>
      <c r="R444" s="3"/>
      <c r="S444" s="3"/>
    </row>
    <row r="445" spans="1:19" ht="15" x14ac:dyDescent="0.25">
      <c r="A445" s="7" t="s">
        <v>16</v>
      </c>
      <c r="B445" s="7" t="s">
        <v>229</v>
      </c>
      <c r="C445" s="7" t="s">
        <v>24</v>
      </c>
      <c r="D445" s="4">
        <v>21371777000132</v>
      </c>
      <c r="E445" s="8" t="s">
        <v>589</v>
      </c>
      <c r="F445" s="8" t="s">
        <v>29</v>
      </c>
      <c r="G445" s="7" t="s">
        <v>19</v>
      </c>
      <c r="H445" s="47" t="s">
        <v>207</v>
      </c>
      <c r="I445" s="47" t="s">
        <v>208</v>
      </c>
      <c r="J445" s="6">
        <v>62</v>
      </c>
      <c r="K445" s="8" t="s">
        <v>27</v>
      </c>
      <c r="L445" s="1" t="s">
        <v>589</v>
      </c>
      <c r="M445" s="5">
        <v>10</v>
      </c>
      <c r="Q445" s="3"/>
      <c r="R445" s="3"/>
      <c r="S445" s="3"/>
    </row>
    <row r="446" spans="1:19" ht="15" x14ac:dyDescent="0.25">
      <c r="A446" s="7" t="s">
        <v>16</v>
      </c>
      <c r="B446" s="7" t="s">
        <v>229</v>
      </c>
      <c r="C446" s="7" t="s">
        <v>24</v>
      </c>
      <c r="D446" s="4">
        <v>29435005009932</v>
      </c>
      <c r="E446" s="8" t="s">
        <v>595</v>
      </c>
      <c r="F446" s="8" t="s">
        <v>29</v>
      </c>
      <c r="G446" s="7" t="s">
        <v>19</v>
      </c>
      <c r="H446" s="47" t="s">
        <v>207</v>
      </c>
      <c r="I446" s="47" t="s">
        <v>208</v>
      </c>
      <c r="J446" s="6">
        <v>64</v>
      </c>
      <c r="K446" s="8" t="s">
        <v>25</v>
      </c>
      <c r="L446" s="1" t="s">
        <v>595</v>
      </c>
      <c r="M446" s="5">
        <v>2</v>
      </c>
      <c r="Q446" s="3"/>
      <c r="R446" s="3"/>
      <c r="S446" s="3"/>
    </row>
    <row r="447" spans="1:19" ht="15" x14ac:dyDescent="0.25">
      <c r="A447" s="7" t="s">
        <v>16</v>
      </c>
      <c r="B447" s="7" t="s">
        <v>229</v>
      </c>
      <c r="C447" s="7" t="s">
        <v>24</v>
      </c>
      <c r="D447" s="4">
        <v>46124624002670</v>
      </c>
      <c r="E447" s="8" t="s">
        <v>1226</v>
      </c>
      <c r="F447" s="8" t="s">
        <v>29</v>
      </c>
      <c r="G447" s="7" t="s">
        <v>19</v>
      </c>
      <c r="H447" s="47" t="s">
        <v>207</v>
      </c>
      <c r="I447" s="47" t="s">
        <v>208</v>
      </c>
      <c r="J447" s="6">
        <v>73</v>
      </c>
      <c r="K447" s="8" t="s">
        <v>26</v>
      </c>
      <c r="L447" s="1" t="s">
        <v>1226</v>
      </c>
      <c r="M447" s="5">
        <v>240</v>
      </c>
      <c r="Q447" s="3"/>
      <c r="R447" s="3"/>
      <c r="S447" s="3"/>
    </row>
    <row r="448" spans="1:19" ht="15" x14ac:dyDescent="0.25">
      <c r="A448" s="7" t="s">
        <v>16</v>
      </c>
      <c r="B448" s="7" t="s">
        <v>229</v>
      </c>
      <c r="C448" s="7" t="s">
        <v>24</v>
      </c>
      <c r="D448" s="4">
        <v>46374500000941</v>
      </c>
      <c r="E448" s="8" t="s">
        <v>1227</v>
      </c>
      <c r="F448" s="8" t="s">
        <v>29</v>
      </c>
      <c r="G448" s="7" t="s">
        <v>19</v>
      </c>
      <c r="H448" s="47" t="s">
        <v>207</v>
      </c>
      <c r="I448" s="47" t="s">
        <v>208</v>
      </c>
      <c r="J448" s="6">
        <v>64</v>
      </c>
      <c r="K448" s="8" t="s">
        <v>25</v>
      </c>
      <c r="L448" s="1" t="s">
        <v>1227</v>
      </c>
      <c r="M448" s="5">
        <v>24</v>
      </c>
      <c r="Q448" s="3"/>
      <c r="R448" s="3"/>
      <c r="S448" s="3"/>
    </row>
    <row r="449" spans="1:19" ht="15" x14ac:dyDescent="0.25">
      <c r="A449" s="7" t="s">
        <v>16</v>
      </c>
      <c r="B449" s="7" t="s">
        <v>229</v>
      </c>
      <c r="C449" s="7" t="s">
        <v>24</v>
      </c>
      <c r="D449" s="4">
        <v>51722957010226</v>
      </c>
      <c r="E449" s="8" t="s">
        <v>603</v>
      </c>
      <c r="F449" s="8" t="s">
        <v>29</v>
      </c>
      <c r="G449" s="7" t="s">
        <v>19</v>
      </c>
      <c r="H449" s="47" t="s">
        <v>207</v>
      </c>
      <c r="I449" s="47" t="s">
        <v>208</v>
      </c>
      <c r="J449" s="6">
        <v>73</v>
      </c>
      <c r="K449" s="8" t="s">
        <v>26</v>
      </c>
      <c r="L449" s="1" t="s">
        <v>603</v>
      </c>
      <c r="M449" s="5">
        <v>8</v>
      </c>
      <c r="Q449" s="3"/>
      <c r="R449" s="3"/>
      <c r="S449" s="3"/>
    </row>
    <row r="450" spans="1:19" ht="15" x14ac:dyDescent="0.25">
      <c r="A450" s="7" t="s">
        <v>16</v>
      </c>
      <c r="B450" s="7" t="s">
        <v>229</v>
      </c>
      <c r="C450" s="7" t="s">
        <v>24</v>
      </c>
      <c r="D450" s="4">
        <v>60448040000122</v>
      </c>
      <c r="E450" s="8" t="s">
        <v>609</v>
      </c>
      <c r="F450" s="8" t="s">
        <v>29</v>
      </c>
      <c r="G450" s="7" t="s">
        <v>19</v>
      </c>
      <c r="H450" s="47" t="s">
        <v>207</v>
      </c>
      <c r="I450" s="47" t="s">
        <v>208</v>
      </c>
      <c r="J450" s="6">
        <v>62</v>
      </c>
      <c r="K450" s="8" t="s">
        <v>27</v>
      </c>
      <c r="L450" s="1" t="s">
        <v>609</v>
      </c>
      <c r="M450" s="5">
        <v>66</v>
      </c>
      <c r="Q450" s="3"/>
      <c r="R450" s="3"/>
      <c r="S450" s="3"/>
    </row>
    <row r="451" spans="1:19" ht="15" x14ac:dyDescent="0.25">
      <c r="A451" s="7" t="s">
        <v>16</v>
      </c>
      <c r="B451" s="7" t="s">
        <v>229</v>
      </c>
      <c r="C451" s="7" t="s">
        <v>24</v>
      </c>
      <c r="D451" s="4">
        <v>60448040000122</v>
      </c>
      <c r="E451" s="8" t="s">
        <v>609</v>
      </c>
      <c r="F451" s="8" t="s">
        <v>29</v>
      </c>
      <c r="G451" s="7" t="s">
        <v>19</v>
      </c>
      <c r="H451" s="47" t="s">
        <v>207</v>
      </c>
      <c r="I451" s="47" t="s">
        <v>208</v>
      </c>
      <c r="J451" s="6">
        <v>73</v>
      </c>
      <c r="K451" s="8" t="s">
        <v>26</v>
      </c>
      <c r="L451" s="1" t="s">
        <v>609</v>
      </c>
      <c r="M451" s="5">
        <v>40</v>
      </c>
      <c r="Q451" s="3"/>
      <c r="R451" s="3"/>
      <c r="S451" s="3"/>
    </row>
    <row r="452" spans="1:19" ht="15" x14ac:dyDescent="0.25">
      <c r="A452" s="7" t="s">
        <v>16</v>
      </c>
      <c r="B452" s="7" t="s">
        <v>229</v>
      </c>
      <c r="C452" s="7" t="s">
        <v>24</v>
      </c>
      <c r="D452" s="4">
        <v>60453024000390</v>
      </c>
      <c r="E452" s="8" t="s">
        <v>610</v>
      </c>
      <c r="F452" s="8" t="s">
        <v>29</v>
      </c>
      <c r="G452" s="7" t="s">
        <v>19</v>
      </c>
      <c r="H452" s="47" t="s">
        <v>207</v>
      </c>
      <c r="I452" s="47" t="s">
        <v>208</v>
      </c>
      <c r="J452" s="6">
        <v>62</v>
      </c>
      <c r="K452" s="8" t="s">
        <v>27</v>
      </c>
      <c r="L452" s="1" t="s">
        <v>610</v>
      </c>
      <c r="M452" s="5">
        <v>33</v>
      </c>
      <c r="Q452" s="3"/>
      <c r="R452" s="3"/>
      <c r="S452" s="3"/>
    </row>
    <row r="453" spans="1:19" ht="15" x14ac:dyDescent="0.25">
      <c r="A453" s="7" t="s">
        <v>16</v>
      </c>
      <c r="B453" s="7" t="s">
        <v>229</v>
      </c>
      <c r="C453" s="7" t="s">
        <v>24</v>
      </c>
      <c r="D453" s="4">
        <v>60453024000390</v>
      </c>
      <c r="E453" s="8" t="s">
        <v>610</v>
      </c>
      <c r="F453" s="8" t="s">
        <v>29</v>
      </c>
      <c r="G453" s="7" t="s">
        <v>19</v>
      </c>
      <c r="H453" s="47" t="s">
        <v>207</v>
      </c>
      <c r="I453" s="47" t="s">
        <v>208</v>
      </c>
      <c r="J453" s="6">
        <v>64</v>
      </c>
      <c r="K453" s="8" t="s">
        <v>25</v>
      </c>
      <c r="L453" s="1" t="s">
        <v>610</v>
      </c>
      <c r="M453" s="5">
        <v>11</v>
      </c>
      <c r="Q453" s="3"/>
      <c r="R453" s="3"/>
      <c r="S453" s="3"/>
    </row>
    <row r="454" spans="1:19" ht="15" x14ac:dyDescent="0.25">
      <c r="A454" s="7" t="s">
        <v>16</v>
      </c>
      <c r="B454" s="7" t="s">
        <v>229</v>
      </c>
      <c r="C454" s="7" t="s">
        <v>24</v>
      </c>
      <c r="D454" s="4">
        <v>60678604000113</v>
      </c>
      <c r="E454" s="8" t="s">
        <v>612</v>
      </c>
      <c r="F454" s="8" t="s">
        <v>29</v>
      </c>
      <c r="G454" s="7" t="s">
        <v>19</v>
      </c>
      <c r="H454" s="47" t="s">
        <v>207</v>
      </c>
      <c r="I454" s="47" t="s">
        <v>208</v>
      </c>
      <c r="J454" s="6">
        <v>62</v>
      </c>
      <c r="K454" s="8" t="s">
        <v>27</v>
      </c>
      <c r="L454" s="1" t="s">
        <v>612</v>
      </c>
      <c r="M454" s="5">
        <v>26</v>
      </c>
      <c r="Q454" s="3"/>
      <c r="R454" s="3"/>
      <c r="S454" s="3"/>
    </row>
    <row r="455" spans="1:19" ht="15" x14ac:dyDescent="0.25">
      <c r="A455" s="7" t="s">
        <v>16</v>
      </c>
      <c r="B455" s="7" t="s">
        <v>229</v>
      </c>
      <c r="C455" s="7" t="s">
        <v>24</v>
      </c>
      <c r="D455" s="4">
        <v>60678604000113</v>
      </c>
      <c r="E455" s="8" t="s">
        <v>612</v>
      </c>
      <c r="F455" s="8" t="s">
        <v>29</v>
      </c>
      <c r="G455" s="7" t="s">
        <v>19</v>
      </c>
      <c r="H455" s="47" t="s">
        <v>207</v>
      </c>
      <c r="I455" s="47" t="s">
        <v>208</v>
      </c>
      <c r="J455" s="6">
        <v>64</v>
      </c>
      <c r="K455" s="8" t="s">
        <v>25</v>
      </c>
      <c r="L455" s="1" t="s">
        <v>612</v>
      </c>
      <c r="M455" s="5">
        <v>1</v>
      </c>
      <c r="Q455" s="3"/>
      <c r="R455" s="3"/>
      <c r="S455" s="3"/>
    </row>
    <row r="456" spans="1:19" ht="15" x14ac:dyDescent="0.25">
      <c r="A456" s="7" t="s">
        <v>16</v>
      </c>
      <c r="B456" s="7" t="s">
        <v>229</v>
      </c>
      <c r="C456" s="7" t="s">
        <v>24</v>
      </c>
      <c r="D456" s="4">
        <v>60726502000126</v>
      </c>
      <c r="E456" s="8" t="s">
        <v>613</v>
      </c>
      <c r="F456" s="8" t="s">
        <v>29</v>
      </c>
      <c r="G456" s="7" t="s">
        <v>19</v>
      </c>
      <c r="H456" s="47" t="s">
        <v>207</v>
      </c>
      <c r="I456" s="47" t="s">
        <v>208</v>
      </c>
      <c r="J456" s="6">
        <v>64</v>
      </c>
      <c r="K456" s="8" t="s">
        <v>25</v>
      </c>
      <c r="L456" s="1" t="s">
        <v>613</v>
      </c>
      <c r="M456" s="5">
        <v>3</v>
      </c>
      <c r="Q456" s="3"/>
      <c r="R456" s="3"/>
      <c r="S456" s="3"/>
    </row>
    <row r="457" spans="1:19" ht="15" x14ac:dyDescent="0.25">
      <c r="A457" s="7" t="s">
        <v>16</v>
      </c>
      <c r="B457" s="7" t="s">
        <v>229</v>
      </c>
      <c r="C457" s="7" t="s">
        <v>24</v>
      </c>
      <c r="D457" s="4">
        <v>60765823000130</v>
      </c>
      <c r="E457" s="8" t="s">
        <v>615</v>
      </c>
      <c r="F457" s="8" t="s">
        <v>29</v>
      </c>
      <c r="G457" s="7" t="s">
        <v>19</v>
      </c>
      <c r="H457" s="47" t="s">
        <v>207</v>
      </c>
      <c r="I457" s="47" t="s">
        <v>208</v>
      </c>
      <c r="J457" s="6">
        <v>62</v>
      </c>
      <c r="K457" s="8" t="s">
        <v>27</v>
      </c>
      <c r="L457" s="1" t="s">
        <v>615</v>
      </c>
      <c r="M457" s="5">
        <v>200</v>
      </c>
      <c r="Q457" s="3"/>
      <c r="R457" s="3"/>
      <c r="S457" s="3"/>
    </row>
    <row r="458" spans="1:19" ht="15" x14ac:dyDescent="0.25">
      <c r="A458" s="7" t="s">
        <v>16</v>
      </c>
      <c r="B458" s="7" t="s">
        <v>229</v>
      </c>
      <c r="C458" s="7" t="s">
        <v>24</v>
      </c>
      <c r="D458" s="4">
        <v>60765823000130</v>
      </c>
      <c r="E458" s="8" t="s">
        <v>615</v>
      </c>
      <c r="F458" s="8" t="s">
        <v>29</v>
      </c>
      <c r="G458" s="7" t="s">
        <v>19</v>
      </c>
      <c r="H458" s="47" t="s">
        <v>207</v>
      </c>
      <c r="I458" s="47" t="s">
        <v>208</v>
      </c>
      <c r="J458" s="6">
        <v>64</v>
      </c>
      <c r="K458" s="8" t="s">
        <v>25</v>
      </c>
      <c r="L458" s="1" t="s">
        <v>615</v>
      </c>
      <c r="M458" s="5">
        <v>40</v>
      </c>
      <c r="Q458" s="3"/>
      <c r="R458" s="3"/>
      <c r="S458" s="3"/>
    </row>
    <row r="459" spans="1:19" ht="15" x14ac:dyDescent="0.25">
      <c r="A459" s="7" t="s">
        <v>16</v>
      </c>
      <c r="B459" s="7" t="s">
        <v>229</v>
      </c>
      <c r="C459" s="7" t="s">
        <v>24</v>
      </c>
      <c r="D459" s="4">
        <v>60765823000130</v>
      </c>
      <c r="E459" s="8" t="s">
        <v>615</v>
      </c>
      <c r="F459" s="8" t="s">
        <v>29</v>
      </c>
      <c r="G459" s="7" t="s">
        <v>19</v>
      </c>
      <c r="H459" s="47" t="s">
        <v>207</v>
      </c>
      <c r="I459" s="47" t="s">
        <v>208</v>
      </c>
      <c r="J459" s="6">
        <v>73</v>
      </c>
      <c r="K459" s="8" t="s">
        <v>26</v>
      </c>
      <c r="L459" s="1" t="s">
        <v>615</v>
      </c>
      <c r="M459" s="5">
        <v>130</v>
      </c>
      <c r="Q459" s="3"/>
      <c r="R459" s="3"/>
      <c r="S459" s="3"/>
    </row>
    <row r="460" spans="1:19" ht="15" x14ac:dyDescent="0.25">
      <c r="A460" s="7" t="s">
        <v>16</v>
      </c>
      <c r="B460" s="7" t="s">
        <v>229</v>
      </c>
      <c r="C460" s="7" t="s">
        <v>24</v>
      </c>
      <c r="D460" s="4">
        <v>60884855000316</v>
      </c>
      <c r="E460" s="8" t="s">
        <v>617</v>
      </c>
      <c r="F460" s="8" t="s">
        <v>29</v>
      </c>
      <c r="G460" s="7" t="s">
        <v>19</v>
      </c>
      <c r="H460" s="47" t="s">
        <v>207</v>
      </c>
      <c r="I460" s="47" t="s">
        <v>208</v>
      </c>
      <c r="J460" s="6">
        <v>62</v>
      </c>
      <c r="K460" s="8" t="s">
        <v>27</v>
      </c>
      <c r="L460" s="1" t="s">
        <v>617</v>
      </c>
      <c r="M460" s="5">
        <v>5</v>
      </c>
      <c r="Q460" s="3"/>
      <c r="R460" s="3"/>
      <c r="S460" s="3"/>
    </row>
    <row r="461" spans="1:19" ht="15" x14ac:dyDescent="0.25">
      <c r="A461" s="7" t="s">
        <v>16</v>
      </c>
      <c r="B461" s="7" t="s">
        <v>229</v>
      </c>
      <c r="C461" s="7" t="s">
        <v>24</v>
      </c>
      <c r="D461" s="4">
        <v>60884855000316</v>
      </c>
      <c r="E461" s="8" t="s">
        <v>617</v>
      </c>
      <c r="F461" s="8" t="s">
        <v>29</v>
      </c>
      <c r="G461" s="7" t="s">
        <v>19</v>
      </c>
      <c r="H461" s="47" t="s">
        <v>207</v>
      </c>
      <c r="I461" s="47" t="s">
        <v>208</v>
      </c>
      <c r="J461" s="6">
        <v>64</v>
      </c>
      <c r="K461" s="8" t="s">
        <v>25</v>
      </c>
      <c r="L461" s="1" t="s">
        <v>617</v>
      </c>
      <c r="M461" s="5">
        <v>6</v>
      </c>
      <c r="Q461" s="3"/>
      <c r="R461" s="3"/>
      <c r="S461" s="3"/>
    </row>
    <row r="462" spans="1:19" ht="15" x14ac:dyDescent="0.25">
      <c r="A462" s="7" t="s">
        <v>16</v>
      </c>
      <c r="B462" s="7" t="s">
        <v>229</v>
      </c>
      <c r="C462" s="7" t="s">
        <v>24</v>
      </c>
      <c r="D462" s="4">
        <v>60884855000316</v>
      </c>
      <c r="E462" s="8" t="s">
        <v>617</v>
      </c>
      <c r="F462" s="8" t="s">
        <v>29</v>
      </c>
      <c r="G462" s="7" t="s">
        <v>19</v>
      </c>
      <c r="H462" s="47" t="s">
        <v>207</v>
      </c>
      <c r="I462" s="47" t="s">
        <v>208</v>
      </c>
      <c r="J462" s="6">
        <v>73</v>
      </c>
      <c r="K462" s="8" t="s">
        <v>26</v>
      </c>
      <c r="L462" s="1" t="s">
        <v>617</v>
      </c>
      <c r="M462" s="5">
        <v>48</v>
      </c>
      <c r="Q462" s="3"/>
      <c r="R462" s="3"/>
      <c r="S462" s="3"/>
    </row>
    <row r="463" spans="1:19" ht="15" x14ac:dyDescent="0.25">
      <c r="A463" s="7" t="s">
        <v>16</v>
      </c>
      <c r="B463" s="7" t="s">
        <v>229</v>
      </c>
      <c r="C463" s="7" t="s">
        <v>24</v>
      </c>
      <c r="D463" s="4">
        <v>60922168000771</v>
      </c>
      <c r="E463" s="8" t="s">
        <v>618</v>
      </c>
      <c r="F463" s="8" t="s">
        <v>29</v>
      </c>
      <c r="G463" s="7" t="s">
        <v>19</v>
      </c>
      <c r="H463" s="47" t="s">
        <v>207</v>
      </c>
      <c r="I463" s="47" t="s">
        <v>208</v>
      </c>
      <c r="J463" s="6">
        <v>62</v>
      </c>
      <c r="K463" s="8" t="s">
        <v>27</v>
      </c>
      <c r="L463" s="1" t="s">
        <v>618</v>
      </c>
      <c r="M463" s="5">
        <v>13</v>
      </c>
      <c r="Q463" s="3"/>
      <c r="R463" s="3"/>
      <c r="S463" s="3"/>
    </row>
    <row r="464" spans="1:19" ht="15" x14ac:dyDescent="0.25">
      <c r="A464" s="7" t="s">
        <v>16</v>
      </c>
      <c r="B464" s="7" t="s">
        <v>229</v>
      </c>
      <c r="C464" s="7" t="s">
        <v>24</v>
      </c>
      <c r="D464" s="4">
        <v>60922168000771</v>
      </c>
      <c r="E464" s="8" t="s">
        <v>618</v>
      </c>
      <c r="F464" s="8" t="s">
        <v>29</v>
      </c>
      <c r="G464" s="7" t="s">
        <v>19</v>
      </c>
      <c r="H464" s="47" t="s">
        <v>207</v>
      </c>
      <c r="I464" s="47" t="s">
        <v>208</v>
      </c>
      <c r="J464" s="6">
        <v>73</v>
      </c>
      <c r="K464" s="8" t="s">
        <v>26</v>
      </c>
      <c r="L464" s="1" t="s">
        <v>618</v>
      </c>
      <c r="M464" s="5">
        <v>6</v>
      </c>
      <c r="Q464" s="3"/>
      <c r="R464" s="3"/>
      <c r="S464" s="3"/>
    </row>
    <row r="465" spans="1:19" ht="15" x14ac:dyDescent="0.25">
      <c r="A465" s="7" t="s">
        <v>16</v>
      </c>
      <c r="B465" s="7" t="s">
        <v>229</v>
      </c>
      <c r="C465" s="7" t="s">
        <v>24</v>
      </c>
      <c r="D465" s="4">
        <v>60961422000155</v>
      </c>
      <c r="E465" s="8" t="s">
        <v>620</v>
      </c>
      <c r="F465" s="8" t="s">
        <v>29</v>
      </c>
      <c r="G465" s="7" t="s">
        <v>19</v>
      </c>
      <c r="H465" s="47" t="s">
        <v>207</v>
      </c>
      <c r="I465" s="47" t="s">
        <v>208</v>
      </c>
      <c r="J465" s="6">
        <v>62</v>
      </c>
      <c r="K465" s="8" t="s">
        <v>27</v>
      </c>
      <c r="L465" s="1" t="s">
        <v>620</v>
      </c>
      <c r="M465" s="5">
        <v>11</v>
      </c>
      <c r="Q465" s="3"/>
      <c r="R465" s="3"/>
      <c r="S465" s="3"/>
    </row>
    <row r="466" spans="1:19" ht="15" x14ac:dyDescent="0.25">
      <c r="A466" s="7" t="s">
        <v>16</v>
      </c>
      <c r="B466" s="7" t="s">
        <v>229</v>
      </c>
      <c r="C466" s="7" t="s">
        <v>24</v>
      </c>
      <c r="D466" s="4">
        <v>60961422000155</v>
      </c>
      <c r="E466" s="8" t="s">
        <v>620</v>
      </c>
      <c r="F466" s="8" t="s">
        <v>29</v>
      </c>
      <c r="G466" s="7" t="s">
        <v>19</v>
      </c>
      <c r="H466" s="47" t="s">
        <v>207</v>
      </c>
      <c r="I466" s="47" t="s">
        <v>208</v>
      </c>
      <c r="J466" s="6">
        <v>64</v>
      </c>
      <c r="K466" s="8" t="s">
        <v>25</v>
      </c>
      <c r="L466" s="1" t="s">
        <v>620</v>
      </c>
      <c r="M466" s="5">
        <v>4</v>
      </c>
      <c r="Q466" s="3"/>
      <c r="R466" s="3"/>
      <c r="S466" s="3"/>
    </row>
    <row r="467" spans="1:19" ht="15" x14ac:dyDescent="0.25">
      <c r="A467" s="7" t="s">
        <v>16</v>
      </c>
      <c r="B467" s="7" t="s">
        <v>229</v>
      </c>
      <c r="C467" s="7" t="s">
        <v>24</v>
      </c>
      <c r="D467" s="4">
        <v>60975737000232</v>
      </c>
      <c r="E467" s="8" t="s">
        <v>624</v>
      </c>
      <c r="F467" s="8" t="s">
        <v>29</v>
      </c>
      <c r="G467" s="7" t="s">
        <v>19</v>
      </c>
      <c r="H467" s="47" t="s">
        <v>207</v>
      </c>
      <c r="I467" s="47" t="s">
        <v>208</v>
      </c>
      <c r="J467" s="6">
        <v>62</v>
      </c>
      <c r="K467" s="8" t="s">
        <v>27</v>
      </c>
      <c r="L467" s="1" t="s">
        <v>624</v>
      </c>
      <c r="M467" s="5">
        <v>8</v>
      </c>
      <c r="Q467" s="3"/>
      <c r="R467" s="3"/>
      <c r="S467" s="3"/>
    </row>
    <row r="468" spans="1:19" ht="15" x14ac:dyDescent="0.25">
      <c r="A468" s="7" t="s">
        <v>16</v>
      </c>
      <c r="B468" s="7" t="s">
        <v>229</v>
      </c>
      <c r="C468" s="7" t="s">
        <v>24</v>
      </c>
      <c r="D468" s="4">
        <v>60975737001204</v>
      </c>
      <c r="E468" s="8" t="s">
        <v>625</v>
      </c>
      <c r="F468" s="8" t="s">
        <v>29</v>
      </c>
      <c r="G468" s="7" t="s">
        <v>19</v>
      </c>
      <c r="H468" s="47" t="s">
        <v>207</v>
      </c>
      <c r="I468" s="47" t="s">
        <v>208</v>
      </c>
      <c r="J468" s="6">
        <v>62</v>
      </c>
      <c r="K468" s="8" t="s">
        <v>27</v>
      </c>
      <c r="L468" s="1" t="s">
        <v>625</v>
      </c>
      <c r="M468" s="5">
        <v>4</v>
      </c>
      <c r="Q468" s="3"/>
      <c r="R468" s="3"/>
      <c r="S468" s="3"/>
    </row>
    <row r="469" spans="1:19" ht="15" x14ac:dyDescent="0.25">
      <c r="A469" s="7" t="s">
        <v>16</v>
      </c>
      <c r="B469" s="7" t="s">
        <v>229</v>
      </c>
      <c r="C469" s="7" t="s">
        <v>24</v>
      </c>
      <c r="D469" s="4">
        <v>60975737005110</v>
      </c>
      <c r="E469" s="8" t="s">
        <v>626</v>
      </c>
      <c r="F469" s="8" t="s">
        <v>29</v>
      </c>
      <c r="G469" s="7" t="s">
        <v>19</v>
      </c>
      <c r="H469" s="47" t="s">
        <v>207</v>
      </c>
      <c r="I469" s="47" t="s">
        <v>208</v>
      </c>
      <c r="J469" s="6">
        <v>62</v>
      </c>
      <c r="K469" s="8" t="s">
        <v>27</v>
      </c>
      <c r="L469" s="1" t="s">
        <v>626</v>
      </c>
      <c r="M469" s="5">
        <v>2</v>
      </c>
      <c r="Q469" s="3"/>
      <c r="R469" s="3"/>
      <c r="S469" s="3"/>
    </row>
    <row r="470" spans="1:19" ht="15" x14ac:dyDescent="0.25">
      <c r="A470" s="7" t="s">
        <v>16</v>
      </c>
      <c r="B470" s="7" t="s">
        <v>229</v>
      </c>
      <c r="C470" s="7" t="s">
        <v>24</v>
      </c>
      <c r="D470" s="4">
        <v>60975737005110</v>
      </c>
      <c r="E470" s="8" t="s">
        <v>626</v>
      </c>
      <c r="F470" s="8" t="s">
        <v>29</v>
      </c>
      <c r="G470" s="7" t="s">
        <v>19</v>
      </c>
      <c r="H470" s="47" t="s">
        <v>207</v>
      </c>
      <c r="I470" s="47" t="s">
        <v>208</v>
      </c>
      <c r="J470" s="6">
        <v>64</v>
      </c>
      <c r="K470" s="8" t="s">
        <v>25</v>
      </c>
      <c r="L470" s="1" t="s">
        <v>626</v>
      </c>
      <c r="M470" s="5">
        <v>2</v>
      </c>
      <c r="Q470" s="3"/>
      <c r="R470" s="3"/>
      <c r="S470" s="3"/>
    </row>
    <row r="471" spans="1:19" ht="15" x14ac:dyDescent="0.25">
      <c r="A471" s="7" t="s">
        <v>16</v>
      </c>
      <c r="B471" s="7" t="s">
        <v>229</v>
      </c>
      <c r="C471" s="7" t="s">
        <v>24</v>
      </c>
      <c r="D471" s="4">
        <v>60992427000650</v>
      </c>
      <c r="E471" s="8" t="s">
        <v>627</v>
      </c>
      <c r="F471" s="8" t="s">
        <v>29</v>
      </c>
      <c r="G471" s="7" t="s">
        <v>19</v>
      </c>
      <c r="H471" s="47" t="s">
        <v>207</v>
      </c>
      <c r="I471" s="47" t="s">
        <v>208</v>
      </c>
      <c r="J471" s="6">
        <v>64</v>
      </c>
      <c r="K471" s="8" t="s">
        <v>25</v>
      </c>
      <c r="L471" s="1" t="s">
        <v>627</v>
      </c>
      <c r="M471" s="5">
        <v>11</v>
      </c>
      <c r="Q471" s="3"/>
      <c r="R471" s="3"/>
      <c r="S471" s="3"/>
    </row>
    <row r="472" spans="1:19" ht="15" x14ac:dyDescent="0.25">
      <c r="A472" s="7" t="s">
        <v>16</v>
      </c>
      <c r="B472" s="7" t="s">
        <v>229</v>
      </c>
      <c r="C472" s="7" t="s">
        <v>24</v>
      </c>
      <c r="D472" s="4">
        <v>61213674000240</v>
      </c>
      <c r="E472" s="8" t="s">
        <v>629</v>
      </c>
      <c r="F472" s="8" t="s">
        <v>29</v>
      </c>
      <c r="G472" s="7" t="s">
        <v>19</v>
      </c>
      <c r="H472" s="47" t="s">
        <v>207</v>
      </c>
      <c r="I472" s="47" t="s">
        <v>208</v>
      </c>
      <c r="J472" s="6">
        <v>62</v>
      </c>
      <c r="K472" s="8" t="s">
        <v>27</v>
      </c>
      <c r="L472" s="1" t="s">
        <v>629</v>
      </c>
      <c r="M472" s="5">
        <v>16</v>
      </c>
      <c r="Q472" s="3"/>
      <c r="R472" s="3"/>
      <c r="S472" s="3"/>
    </row>
    <row r="473" spans="1:19" ht="15" x14ac:dyDescent="0.25">
      <c r="A473" s="7" t="s">
        <v>16</v>
      </c>
      <c r="B473" s="7" t="s">
        <v>229</v>
      </c>
      <c r="C473" s="7" t="s">
        <v>24</v>
      </c>
      <c r="D473" s="4">
        <v>61213674000240</v>
      </c>
      <c r="E473" s="8" t="s">
        <v>629</v>
      </c>
      <c r="F473" s="8" t="s">
        <v>29</v>
      </c>
      <c r="G473" s="7" t="s">
        <v>19</v>
      </c>
      <c r="H473" s="47" t="s">
        <v>207</v>
      </c>
      <c r="I473" s="47" t="s">
        <v>208</v>
      </c>
      <c r="J473" s="6">
        <v>64</v>
      </c>
      <c r="K473" s="8" t="s">
        <v>25</v>
      </c>
      <c r="L473" s="1" t="s">
        <v>629</v>
      </c>
      <c r="M473" s="5">
        <v>5</v>
      </c>
      <c r="Q473" s="3"/>
      <c r="R473" s="3"/>
      <c r="S473" s="3"/>
    </row>
    <row r="474" spans="1:19" ht="15" x14ac:dyDescent="0.25">
      <c r="A474" s="7" t="s">
        <v>16</v>
      </c>
      <c r="B474" s="7" t="s">
        <v>229</v>
      </c>
      <c r="C474" s="7" t="s">
        <v>24</v>
      </c>
      <c r="D474" s="4">
        <v>61213674000240</v>
      </c>
      <c r="E474" s="8" t="s">
        <v>629</v>
      </c>
      <c r="F474" s="8" t="s">
        <v>29</v>
      </c>
      <c r="G474" s="7" t="s">
        <v>19</v>
      </c>
      <c r="H474" s="47" t="s">
        <v>207</v>
      </c>
      <c r="I474" s="47" t="s">
        <v>208</v>
      </c>
      <c r="J474" s="6">
        <v>73</v>
      </c>
      <c r="K474" s="8" t="s">
        <v>26</v>
      </c>
      <c r="L474" s="1" t="s">
        <v>629</v>
      </c>
      <c r="M474" s="5">
        <v>110</v>
      </c>
      <c r="Q474" s="3"/>
      <c r="R474" s="3"/>
      <c r="S474" s="3"/>
    </row>
    <row r="475" spans="1:19" ht="15" x14ac:dyDescent="0.25">
      <c r="A475" s="7" t="s">
        <v>16</v>
      </c>
      <c r="B475" s="7" t="s">
        <v>229</v>
      </c>
      <c r="C475" s="7" t="s">
        <v>24</v>
      </c>
      <c r="D475" s="4">
        <v>61590410000124</v>
      </c>
      <c r="E475" s="8" t="s">
        <v>630</v>
      </c>
      <c r="F475" s="8" t="s">
        <v>29</v>
      </c>
      <c r="G475" s="7" t="s">
        <v>19</v>
      </c>
      <c r="H475" s="47" t="s">
        <v>207</v>
      </c>
      <c r="I475" s="47" t="s">
        <v>208</v>
      </c>
      <c r="J475" s="6">
        <v>62</v>
      </c>
      <c r="K475" s="8" t="s">
        <v>27</v>
      </c>
      <c r="L475" s="1" t="s">
        <v>630</v>
      </c>
      <c r="M475" s="5">
        <v>4</v>
      </c>
      <c r="Q475" s="3"/>
      <c r="R475" s="3"/>
      <c r="S475" s="3"/>
    </row>
    <row r="476" spans="1:19" ht="15" x14ac:dyDescent="0.25">
      <c r="A476" s="7" t="s">
        <v>16</v>
      </c>
      <c r="B476" s="7" t="s">
        <v>229</v>
      </c>
      <c r="C476" s="7" t="s">
        <v>24</v>
      </c>
      <c r="D476" s="4">
        <v>61590410000124</v>
      </c>
      <c r="E476" s="8" t="s">
        <v>630</v>
      </c>
      <c r="F476" s="8" t="s">
        <v>29</v>
      </c>
      <c r="G476" s="7" t="s">
        <v>19</v>
      </c>
      <c r="H476" s="47" t="s">
        <v>207</v>
      </c>
      <c r="I476" s="47" t="s">
        <v>208</v>
      </c>
      <c r="J476" s="6">
        <v>64</v>
      </c>
      <c r="K476" s="8" t="s">
        <v>25</v>
      </c>
      <c r="L476" s="1" t="s">
        <v>630</v>
      </c>
      <c r="M476" s="5">
        <v>20</v>
      </c>
      <c r="Q476" s="3"/>
      <c r="R476" s="3"/>
      <c r="S476" s="3"/>
    </row>
    <row r="477" spans="1:19" ht="15" x14ac:dyDescent="0.25">
      <c r="A477" s="7" t="s">
        <v>16</v>
      </c>
      <c r="B477" s="7" t="s">
        <v>229</v>
      </c>
      <c r="C477" s="7" t="s">
        <v>24</v>
      </c>
      <c r="D477" s="4">
        <v>61599908000158</v>
      </c>
      <c r="E477" s="8" t="s">
        <v>631</v>
      </c>
      <c r="F477" s="8" t="s">
        <v>29</v>
      </c>
      <c r="G477" s="7" t="s">
        <v>19</v>
      </c>
      <c r="H477" s="47" t="s">
        <v>207</v>
      </c>
      <c r="I477" s="47" t="s">
        <v>208</v>
      </c>
      <c r="J477" s="6">
        <v>62</v>
      </c>
      <c r="K477" s="8" t="s">
        <v>27</v>
      </c>
      <c r="L477" s="1" t="s">
        <v>631</v>
      </c>
      <c r="M477" s="5">
        <v>168</v>
      </c>
      <c r="Q477" s="3"/>
      <c r="R477" s="3"/>
      <c r="S477" s="3"/>
    </row>
    <row r="478" spans="1:19" ht="15" x14ac:dyDescent="0.25">
      <c r="A478" s="7" t="s">
        <v>16</v>
      </c>
      <c r="B478" s="7" t="s">
        <v>229</v>
      </c>
      <c r="C478" s="7" t="s">
        <v>24</v>
      </c>
      <c r="D478" s="4">
        <v>61599908000158</v>
      </c>
      <c r="E478" s="8" t="s">
        <v>631</v>
      </c>
      <c r="F478" s="8" t="s">
        <v>29</v>
      </c>
      <c r="G478" s="7" t="s">
        <v>19</v>
      </c>
      <c r="H478" s="47" t="s">
        <v>207</v>
      </c>
      <c r="I478" s="47" t="s">
        <v>208</v>
      </c>
      <c r="J478" s="6">
        <v>64</v>
      </c>
      <c r="K478" s="8" t="s">
        <v>25</v>
      </c>
      <c r="L478" s="1" t="s">
        <v>631</v>
      </c>
      <c r="M478" s="5">
        <v>180</v>
      </c>
      <c r="Q478" s="3"/>
      <c r="R478" s="3"/>
      <c r="S478" s="3"/>
    </row>
    <row r="479" spans="1:19" ht="15" x14ac:dyDescent="0.25">
      <c r="A479" s="7" t="s">
        <v>16</v>
      </c>
      <c r="B479" s="7" t="s">
        <v>230</v>
      </c>
      <c r="C479" s="7" t="s">
        <v>24</v>
      </c>
      <c r="D479" s="4">
        <v>23941593838</v>
      </c>
      <c r="E479" s="8" t="s">
        <v>555</v>
      </c>
      <c r="F479" s="8" t="s">
        <v>29</v>
      </c>
      <c r="G479" s="7" t="s">
        <v>19</v>
      </c>
      <c r="H479" s="47" t="s">
        <v>207</v>
      </c>
      <c r="I479" s="47" t="s">
        <v>208</v>
      </c>
      <c r="J479" s="6">
        <v>73</v>
      </c>
      <c r="K479" s="8" t="s">
        <v>26</v>
      </c>
      <c r="L479" s="1" t="s">
        <v>555</v>
      </c>
      <c r="M479" s="5">
        <v>60</v>
      </c>
      <c r="Q479" s="3"/>
      <c r="R479" s="3"/>
      <c r="S479" s="3"/>
    </row>
    <row r="480" spans="1:19" ht="15" x14ac:dyDescent="0.25">
      <c r="A480" s="7" t="s">
        <v>16</v>
      </c>
      <c r="B480" s="7" t="s">
        <v>230</v>
      </c>
      <c r="C480" s="7" t="s">
        <v>24</v>
      </c>
      <c r="D480" s="4">
        <v>461479007176</v>
      </c>
      <c r="E480" s="8" t="s">
        <v>1357</v>
      </c>
      <c r="F480" s="8" t="s">
        <v>29</v>
      </c>
      <c r="G480" s="7" t="s">
        <v>19</v>
      </c>
      <c r="H480" s="47" t="s">
        <v>207</v>
      </c>
      <c r="I480" s="47" t="s">
        <v>208</v>
      </c>
      <c r="J480" s="6">
        <v>64</v>
      </c>
      <c r="K480" s="8" t="s">
        <v>25</v>
      </c>
      <c r="L480" s="1" t="s">
        <v>1357</v>
      </c>
      <c r="M480" s="5">
        <v>10</v>
      </c>
      <c r="Q480" s="3"/>
      <c r="R480" s="3"/>
      <c r="S480" s="3"/>
    </row>
    <row r="481" spans="1:19" ht="15" x14ac:dyDescent="0.25">
      <c r="A481" s="7" t="s">
        <v>16</v>
      </c>
      <c r="B481" s="7" t="s">
        <v>230</v>
      </c>
      <c r="C481" s="7" t="s">
        <v>24</v>
      </c>
      <c r="D481" s="4">
        <v>603226000187</v>
      </c>
      <c r="E481" s="8" t="s">
        <v>561</v>
      </c>
      <c r="F481" s="8" t="s">
        <v>29</v>
      </c>
      <c r="G481" s="7" t="s">
        <v>19</v>
      </c>
      <c r="H481" s="47" t="s">
        <v>207</v>
      </c>
      <c r="I481" s="47" t="s">
        <v>208</v>
      </c>
      <c r="J481" s="6">
        <v>73</v>
      </c>
      <c r="K481" s="8" t="s">
        <v>26</v>
      </c>
      <c r="L481" s="1" t="s">
        <v>561</v>
      </c>
      <c r="M481" s="5">
        <v>12</v>
      </c>
      <c r="Q481" s="3"/>
      <c r="R481" s="3"/>
      <c r="S481" s="3"/>
    </row>
    <row r="482" spans="1:19" ht="15" x14ac:dyDescent="0.25">
      <c r="A482" s="7" t="s">
        <v>16</v>
      </c>
      <c r="B482" s="7" t="s">
        <v>230</v>
      </c>
      <c r="C482" s="7" t="s">
        <v>24</v>
      </c>
      <c r="D482" s="4">
        <v>2383508000494</v>
      </c>
      <c r="E482" s="8" t="s">
        <v>562</v>
      </c>
      <c r="F482" s="8" t="s">
        <v>29</v>
      </c>
      <c r="G482" s="7" t="s">
        <v>19</v>
      </c>
      <c r="H482" s="47" t="s">
        <v>207</v>
      </c>
      <c r="I482" s="47" t="s">
        <v>208</v>
      </c>
      <c r="J482" s="6">
        <v>73</v>
      </c>
      <c r="K482" s="8" t="s">
        <v>26</v>
      </c>
      <c r="L482" s="1" t="s">
        <v>562</v>
      </c>
      <c r="M482" s="5">
        <v>51</v>
      </c>
      <c r="Q482" s="3"/>
      <c r="R482" s="3"/>
      <c r="S482" s="3"/>
    </row>
    <row r="483" spans="1:19" ht="15" x14ac:dyDescent="0.25">
      <c r="A483" s="7" t="s">
        <v>16</v>
      </c>
      <c r="B483" s="7" t="s">
        <v>230</v>
      </c>
      <c r="C483" s="7" t="s">
        <v>24</v>
      </c>
      <c r="D483" s="4">
        <v>2837922000183</v>
      </c>
      <c r="E483" s="8" t="s">
        <v>563</v>
      </c>
      <c r="F483" s="8" t="s">
        <v>29</v>
      </c>
      <c r="G483" s="7" t="s">
        <v>19</v>
      </c>
      <c r="H483" s="47" t="s">
        <v>207</v>
      </c>
      <c r="I483" s="47" t="s">
        <v>208</v>
      </c>
      <c r="J483" s="6">
        <v>73</v>
      </c>
      <c r="K483" s="8" t="s">
        <v>26</v>
      </c>
      <c r="L483" s="1" t="s">
        <v>563</v>
      </c>
      <c r="M483" s="5">
        <v>40</v>
      </c>
      <c r="Q483" s="3"/>
      <c r="R483" s="3"/>
      <c r="S483" s="3"/>
    </row>
    <row r="484" spans="1:19" ht="15" x14ac:dyDescent="0.25">
      <c r="A484" s="7" t="s">
        <v>16</v>
      </c>
      <c r="B484" s="7" t="s">
        <v>230</v>
      </c>
      <c r="C484" s="7" t="s">
        <v>24</v>
      </c>
      <c r="D484" s="4">
        <v>3872790000193</v>
      </c>
      <c r="E484" s="8" t="s">
        <v>564</v>
      </c>
      <c r="F484" s="8" t="s">
        <v>29</v>
      </c>
      <c r="G484" s="7" t="s">
        <v>19</v>
      </c>
      <c r="H484" s="47" t="s">
        <v>207</v>
      </c>
      <c r="I484" s="47" t="s">
        <v>208</v>
      </c>
      <c r="J484" s="6">
        <v>73</v>
      </c>
      <c r="K484" s="8" t="s">
        <v>26</v>
      </c>
      <c r="L484" s="1" t="s">
        <v>564</v>
      </c>
      <c r="M484" s="5">
        <v>8</v>
      </c>
      <c r="Q484" s="3"/>
      <c r="R484" s="3"/>
      <c r="S484" s="3"/>
    </row>
    <row r="485" spans="1:19" ht="15" x14ac:dyDescent="0.25">
      <c r="A485" s="7" t="s">
        <v>16</v>
      </c>
      <c r="B485" s="7" t="s">
        <v>230</v>
      </c>
      <c r="C485" s="7" t="s">
        <v>24</v>
      </c>
      <c r="D485" s="4">
        <v>6047087000210</v>
      </c>
      <c r="E485" s="8" t="s">
        <v>569</v>
      </c>
      <c r="F485" s="8" t="s">
        <v>29</v>
      </c>
      <c r="G485" s="7" t="s">
        <v>19</v>
      </c>
      <c r="H485" s="47" t="s">
        <v>207</v>
      </c>
      <c r="I485" s="47" t="s">
        <v>208</v>
      </c>
      <c r="J485" s="6">
        <v>62</v>
      </c>
      <c r="K485" s="8" t="s">
        <v>27</v>
      </c>
      <c r="L485" s="1" t="s">
        <v>569</v>
      </c>
      <c r="M485" s="5">
        <v>35</v>
      </c>
      <c r="Q485" s="3"/>
      <c r="R485" s="3"/>
      <c r="S485" s="3"/>
    </row>
    <row r="486" spans="1:19" ht="15" x14ac:dyDescent="0.25">
      <c r="A486" s="7" t="s">
        <v>16</v>
      </c>
      <c r="B486" s="7" t="s">
        <v>230</v>
      </c>
      <c r="C486" s="7" t="s">
        <v>24</v>
      </c>
      <c r="D486" s="4">
        <v>6047087000210</v>
      </c>
      <c r="E486" s="8" t="s">
        <v>569</v>
      </c>
      <c r="F486" s="8" t="s">
        <v>29</v>
      </c>
      <c r="G486" s="7" t="s">
        <v>19</v>
      </c>
      <c r="H486" s="47" t="s">
        <v>207</v>
      </c>
      <c r="I486" s="47" t="s">
        <v>208</v>
      </c>
      <c r="J486" s="6">
        <v>64</v>
      </c>
      <c r="K486" s="8" t="s">
        <v>25</v>
      </c>
      <c r="L486" s="1" t="s">
        <v>569</v>
      </c>
      <c r="M486" s="5">
        <v>35</v>
      </c>
      <c r="Q486" s="3"/>
      <c r="R486" s="3"/>
      <c r="S486" s="3"/>
    </row>
    <row r="487" spans="1:19" ht="15" x14ac:dyDescent="0.25">
      <c r="A487" s="7" t="s">
        <v>16</v>
      </c>
      <c r="B487" s="7" t="s">
        <v>230</v>
      </c>
      <c r="C487" s="7" t="s">
        <v>24</v>
      </c>
      <c r="D487" s="4">
        <v>7045325000130</v>
      </c>
      <c r="E487" s="8" t="s">
        <v>571</v>
      </c>
      <c r="F487" s="8" t="s">
        <v>29</v>
      </c>
      <c r="G487" s="7" t="s">
        <v>19</v>
      </c>
      <c r="H487" s="47" t="s">
        <v>207</v>
      </c>
      <c r="I487" s="47" t="s">
        <v>208</v>
      </c>
      <c r="J487" s="6">
        <v>73</v>
      </c>
      <c r="K487" s="8" t="s">
        <v>26</v>
      </c>
      <c r="L487" s="1" t="s">
        <v>571</v>
      </c>
      <c r="M487" s="5">
        <v>60</v>
      </c>
      <c r="Q487" s="3"/>
      <c r="R487" s="3"/>
      <c r="S487" s="3"/>
    </row>
    <row r="488" spans="1:19" ht="15" x14ac:dyDescent="0.25">
      <c r="A488" s="7" t="s">
        <v>16</v>
      </c>
      <c r="B488" s="7" t="s">
        <v>230</v>
      </c>
      <c r="C488" s="7" t="s">
        <v>24</v>
      </c>
      <c r="D488" s="4">
        <v>9087150000159</v>
      </c>
      <c r="E488" s="8" t="s">
        <v>578</v>
      </c>
      <c r="F488" s="8" t="s">
        <v>29</v>
      </c>
      <c r="G488" s="7" t="s">
        <v>19</v>
      </c>
      <c r="H488" s="47" t="s">
        <v>207</v>
      </c>
      <c r="I488" s="47" t="s">
        <v>208</v>
      </c>
      <c r="J488" s="6">
        <v>73</v>
      </c>
      <c r="K488" s="8" t="s">
        <v>26</v>
      </c>
      <c r="L488" s="1" t="s">
        <v>578</v>
      </c>
      <c r="M488" s="5">
        <v>10</v>
      </c>
      <c r="Q488" s="3"/>
      <c r="R488" s="3"/>
      <c r="S488" s="3"/>
    </row>
    <row r="489" spans="1:19" ht="15" x14ac:dyDescent="0.25">
      <c r="A489" s="7" t="s">
        <v>16</v>
      </c>
      <c r="B489" s="7" t="s">
        <v>230</v>
      </c>
      <c r="C489" s="7" t="s">
        <v>24</v>
      </c>
      <c r="D489" s="4">
        <v>10468341000140</v>
      </c>
      <c r="E489" s="8" t="s">
        <v>581</v>
      </c>
      <c r="F489" s="8" t="s">
        <v>29</v>
      </c>
      <c r="G489" s="7" t="s">
        <v>19</v>
      </c>
      <c r="H489" s="47" t="s">
        <v>207</v>
      </c>
      <c r="I489" s="47" t="s">
        <v>208</v>
      </c>
      <c r="J489" s="6">
        <v>73</v>
      </c>
      <c r="K489" s="8" t="s">
        <v>26</v>
      </c>
      <c r="L489" s="1" t="s">
        <v>581</v>
      </c>
      <c r="M489" s="5">
        <v>36</v>
      </c>
      <c r="Q489" s="3"/>
      <c r="R489" s="3"/>
      <c r="S489" s="3"/>
    </row>
    <row r="490" spans="1:19" ht="15" x14ac:dyDescent="0.25">
      <c r="A490" s="7" t="s">
        <v>16</v>
      </c>
      <c r="B490" s="7" t="s">
        <v>230</v>
      </c>
      <c r="C490" s="7" t="s">
        <v>24</v>
      </c>
      <c r="D490" s="4">
        <v>19056055000141</v>
      </c>
      <c r="E490" s="8" t="s">
        <v>586</v>
      </c>
      <c r="F490" s="8" t="s">
        <v>29</v>
      </c>
      <c r="G490" s="7" t="s">
        <v>19</v>
      </c>
      <c r="H490" s="47" t="s">
        <v>207</v>
      </c>
      <c r="I490" s="47" t="s">
        <v>208</v>
      </c>
      <c r="J490" s="6">
        <v>62</v>
      </c>
      <c r="K490" s="8" t="s">
        <v>27</v>
      </c>
      <c r="L490" s="1" t="s">
        <v>586</v>
      </c>
      <c r="M490" s="5">
        <v>8</v>
      </c>
      <c r="Q490" s="3"/>
      <c r="R490" s="3"/>
      <c r="S490" s="3"/>
    </row>
    <row r="491" spans="1:19" ht="15" x14ac:dyDescent="0.25">
      <c r="A491" s="7" t="s">
        <v>16</v>
      </c>
      <c r="B491" s="7" t="s">
        <v>230</v>
      </c>
      <c r="C491" s="7" t="s">
        <v>24</v>
      </c>
      <c r="D491" s="4">
        <v>19803199000114</v>
      </c>
      <c r="E491" s="8" t="s">
        <v>587</v>
      </c>
      <c r="F491" s="8" t="s">
        <v>29</v>
      </c>
      <c r="G491" s="7" t="s">
        <v>19</v>
      </c>
      <c r="H491" s="47" t="s">
        <v>207</v>
      </c>
      <c r="I491" s="47" t="s">
        <v>208</v>
      </c>
      <c r="J491" s="6">
        <v>62</v>
      </c>
      <c r="K491" s="8" t="s">
        <v>27</v>
      </c>
      <c r="L491" s="1" t="s">
        <v>587</v>
      </c>
      <c r="M491" s="5">
        <v>16</v>
      </c>
      <c r="Q491" s="3"/>
      <c r="R491" s="3"/>
      <c r="S491" s="3"/>
    </row>
    <row r="492" spans="1:19" ht="15" x14ac:dyDescent="0.25">
      <c r="A492" s="7" t="s">
        <v>16</v>
      </c>
      <c r="B492" s="7" t="s">
        <v>230</v>
      </c>
      <c r="C492" s="7" t="s">
        <v>24</v>
      </c>
      <c r="D492" s="4">
        <v>20812223000241</v>
      </c>
      <c r="E492" s="8" t="s">
        <v>588</v>
      </c>
      <c r="F492" s="8" t="s">
        <v>29</v>
      </c>
      <c r="G492" s="7" t="s">
        <v>19</v>
      </c>
      <c r="H492" s="47" t="s">
        <v>207</v>
      </c>
      <c r="I492" s="47" t="s">
        <v>208</v>
      </c>
      <c r="J492" s="6">
        <v>73</v>
      </c>
      <c r="K492" s="8" t="s">
        <v>26</v>
      </c>
      <c r="L492" s="1" t="s">
        <v>588</v>
      </c>
      <c r="M492" s="5">
        <v>13</v>
      </c>
      <c r="Q492" s="3"/>
      <c r="R492" s="3"/>
      <c r="S492" s="3"/>
    </row>
    <row r="493" spans="1:19" ht="15" x14ac:dyDescent="0.25">
      <c r="A493" s="7" t="s">
        <v>16</v>
      </c>
      <c r="B493" s="7" t="s">
        <v>230</v>
      </c>
      <c r="C493" s="7" t="s">
        <v>24</v>
      </c>
      <c r="D493" s="4">
        <v>20973216000140</v>
      </c>
      <c r="E493" s="8" t="s">
        <v>1359</v>
      </c>
      <c r="F493" s="8" t="s">
        <v>29</v>
      </c>
      <c r="G493" s="7" t="s">
        <v>19</v>
      </c>
      <c r="H493" s="47" t="s">
        <v>207</v>
      </c>
      <c r="I493" s="47" t="s">
        <v>208</v>
      </c>
      <c r="J493" s="6">
        <v>73</v>
      </c>
      <c r="K493" s="8" t="s">
        <v>26</v>
      </c>
      <c r="L493" s="1" t="s">
        <v>1359</v>
      </c>
      <c r="M493" s="5">
        <v>20</v>
      </c>
      <c r="Q493" s="3"/>
      <c r="R493" s="3"/>
      <c r="S493" s="3"/>
    </row>
    <row r="494" spans="1:19" ht="15" x14ac:dyDescent="0.25">
      <c r="A494" s="7" t="s">
        <v>16</v>
      </c>
      <c r="B494" s="7" t="s">
        <v>230</v>
      </c>
      <c r="C494" s="7" t="s">
        <v>24</v>
      </c>
      <c r="D494" s="4">
        <v>22227973000109</v>
      </c>
      <c r="E494" s="8" t="s">
        <v>590</v>
      </c>
      <c r="F494" s="8" t="s">
        <v>29</v>
      </c>
      <c r="G494" s="7" t="s">
        <v>19</v>
      </c>
      <c r="H494" s="47" t="s">
        <v>207</v>
      </c>
      <c r="I494" s="47" t="s">
        <v>208</v>
      </c>
      <c r="J494" s="6">
        <v>66</v>
      </c>
      <c r="K494" s="8" t="s">
        <v>28</v>
      </c>
      <c r="L494" s="1" t="s">
        <v>590</v>
      </c>
      <c r="M494" s="5">
        <v>31</v>
      </c>
      <c r="Q494" s="3"/>
      <c r="R494" s="3"/>
      <c r="S494" s="3"/>
    </row>
    <row r="495" spans="1:19" ht="15" x14ac:dyDescent="0.25">
      <c r="A495" s="7" t="s">
        <v>16</v>
      </c>
      <c r="B495" s="7" t="s">
        <v>230</v>
      </c>
      <c r="C495" s="7" t="s">
        <v>24</v>
      </c>
      <c r="D495" s="4">
        <v>28290788000137</v>
      </c>
      <c r="E495" s="8" t="s">
        <v>591</v>
      </c>
      <c r="F495" s="8" t="s">
        <v>29</v>
      </c>
      <c r="G495" s="7" t="s">
        <v>19</v>
      </c>
      <c r="H495" s="47" t="s">
        <v>207</v>
      </c>
      <c r="I495" s="47" t="s">
        <v>208</v>
      </c>
      <c r="J495" s="6">
        <v>62</v>
      </c>
      <c r="K495" s="8" t="s">
        <v>27</v>
      </c>
      <c r="L495" s="1" t="s">
        <v>591</v>
      </c>
      <c r="M495" s="5">
        <v>11</v>
      </c>
      <c r="Q495" s="3"/>
      <c r="R495" s="3"/>
      <c r="S495" s="3"/>
    </row>
    <row r="496" spans="1:19" ht="15" x14ac:dyDescent="0.25">
      <c r="A496" s="7" t="s">
        <v>16</v>
      </c>
      <c r="B496" s="7" t="s">
        <v>230</v>
      </c>
      <c r="C496" s="7" t="s">
        <v>24</v>
      </c>
      <c r="D496" s="4">
        <v>28290788000137</v>
      </c>
      <c r="E496" s="8" t="s">
        <v>591</v>
      </c>
      <c r="F496" s="8" t="s">
        <v>29</v>
      </c>
      <c r="G496" s="7" t="s">
        <v>19</v>
      </c>
      <c r="H496" s="47" t="s">
        <v>207</v>
      </c>
      <c r="I496" s="47" t="s">
        <v>208</v>
      </c>
      <c r="J496" s="6">
        <v>64</v>
      </c>
      <c r="K496" s="8" t="s">
        <v>25</v>
      </c>
      <c r="L496" s="1" t="s">
        <v>591</v>
      </c>
      <c r="M496" s="5">
        <v>21</v>
      </c>
      <c r="Q496" s="3"/>
      <c r="R496" s="3"/>
      <c r="S496" s="3"/>
    </row>
    <row r="497" spans="1:19" ht="15" x14ac:dyDescent="0.25">
      <c r="A497" s="7" t="s">
        <v>16</v>
      </c>
      <c r="B497" s="7" t="s">
        <v>230</v>
      </c>
      <c r="C497" s="7" t="s">
        <v>24</v>
      </c>
      <c r="D497" s="4">
        <v>29435005002687</v>
      </c>
      <c r="E497" s="8" t="s">
        <v>593</v>
      </c>
      <c r="F497" s="8" t="s">
        <v>29</v>
      </c>
      <c r="G497" s="7" t="s">
        <v>19</v>
      </c>
      <c r="H497" s="47" t="s">
        <v>207</v>
      </c>
      <c r="I497" s="47" t="s">
        <v>208</v>
      </c>
      <c r="J497" s="6">
        <v>64</v>
      </c>
      <c r="K497" s="8" t="s">
        <v>25</v>
      </c>
      <c r="L497" s="1" t="s">
        <v>593</v>
      </c>
      <c r="M497" s="5">
        <v>15</v>
      </c>
      <c r="Q497" s="3"/>
      <c r="R497" s="3"/>
      <c r="S497" s="3"/>
    </row>
    <row r="498" spans="1:19" ht="15" x14ac:dyDescent="0.25">
      <c r="A498" s="7" t="s">
        <v>16</v>
      </c>
      <c r="B498" s="7" t="s">
        <v>230</v>
      </c>
      <c r="C498" s="7" t="s">
        <v>24</v>
      </c>
      <c r="D498" s="4">
        <v>29435005009932</v>
      </c>
      <c r="E498" s="8" t="s">
        <v>595</v>
      </c>
      <c r="F498" s="8" t="s">
        <v>29</v>
      </c>
      <c r="G498" s="7" t="s">
        <v>19</v>
      </c>
      <c r="H498" s="47" t="s">
        <v>207</v>
      </c>
      <c r="I498" s="47" t="s">
        <v>208</v>
      </c>
      <c r="J498" s="6">
        <v>62</v>
      </c>
      <c r="K498" s="8" t="s">
        <v>27</v>
      </c>
      <c r="L498" s="1" t="s">
        <v>595</v>
      </c>
      <c r="M498" s="5">
        <v>9</v>
      </c>
      <c r="Q498" s="3"/>
      <c r="R498" s="3"/>
      <c r="S498" s="3"/>
    </row>
    <row r="499" spans="1:19" ht="15" x14ac:dyDescent="0.25">
      <c r="A499" s="7" t="s">
        <v>16</v>
      </c>
      <c r="B499" s="7" t="s">
        <v>230</v>
      </c>
      <c r="C499" s="7" t="s">
        <v>24</v>
      </c>
      <c r="D499" s="4">
        <v>29435005009932</v>
      </c>
      <c r="E499" s="8" t="s">
        <v>595</v>
      </c>
      <c r="F499" s="8" t="s">
        <v>29</v>
      </c>
      <c r="G499" s="7" t="s">
        <v>19</v>
      </c>
      <c r="H499" s="47" t="s">
        <v>207</v>
      </c>
      <c r="I499" s="47" t="s">
        <v>208</v>
      </c>
      <c r="J499" s="6">
        <v>64</v>
      </c>
      <c r="K499" s="8" t="s">
        <v>25</v>
      </c>
      <c r="L499" s="1" t="s">
        <v>595</v>
      </c>
      <c r="M499" s="5">
        <v>30</v>
      </c>
      <c r="Q499" s="3"/>
      <c r="R499" s="3"/>
      <c r="S499" s="3"/>
    </row>
    <row r="500" spans="1:19" ht="15" x14ac:dyDescent="0.25">
      <c r="A500" s="7" t="s">
        <v>16</v>
      </c>
      <c r="B500" s="7" t="s">
        <v>230</v>
      </c>
      <c r="C500" s="7" t="s">
        <v>24</v>
      </c>
      <c r="D500" s="4">
        <v>44649812021216</v>
      </c>
      <c r="E500" s="8" t="s">
        <v>1360</v>
      </c>
      <c r="F500" s="8" t="s">
        <v>29</v>
      </c>
      <c r="G500" s="7" t="s">
        <v>19</v>
      </c>
      <c r="H500" s="47" t="s">
        <v>207</v>
      </c>
      <c r="I500" s="47" t="s">
        <v>208</v>
      </c>
      <c r="J500" s="6">
        <v>73</v>
      </c>
      <c r="K500" s="8" t="s">
        <v>26</v>
      </c>
      <c r="L500" s="1" t="s">
        <v>1360</v>
      </c>
      <c r="M500" s="5">
        <v>8</v>
      </c>
      <c r="Q500" s="3"/>
      <c r="R500" s="3"/>
      <c r="S500" s="3"/>
    </row>
    <row r="501" spans="1:19" ht="15" x14ac:dyDescent="0.25">
      <c r="A501" s="7" t="s">
        <v>16</v>
      </c>
      <c r="B501" s="7" t="s">
        <v>230</v>
      </c>
      <c r="C501" s="7" t="s">
        <v>24</v>
      </c>
      <c r="D501" s="4">
        <v>46124624002670</v>
      </c>
      <c r="E501" s="8" t="s">
        <v>1226</v>
      </c>
      <c r="F501" s="8" t="s">
        <v>29</v>
      </c>
      <c r="G501" s="7" t="s">
        <v>19</v>
      </c>
      <c r="H501" s="47" t="s">
        <v>207</v>
      </c>
      <c r="I501" s="47" t="s">
        <v>208</v>
      </c>
      <c r="J501" s="6">
        <v>73</v>
      </c>
      <c r="K501" s="8" t="s">
        <v>26</v>
      </c>
      <c r="L501" s="1" t="s">
        <v>1226</v>
      </c>
      <c r="M501" s="5">
        <v>204</v>
      </c>
      <c r="Q501" s="3"/>
      <c r="R501" s="3"/>
      <c r="S501" s="3"/>
    </row>
    <row r="502" spans="1:19" ht="15" x14ac:dyDescent="0.25">
      <c r="A502" s="7" t="s">
        <v>16</v>
      </c>
      <c r="B502" s="7" t="s">
        <v>230</v>
      </c>
      <c r="C502" s="7" t="s">
        <v>24</v>
      </c>
      <c r="D502" s="4">
        <v>51722957000506</v>
      </c>
      <c r="E502" s="8" t="s">
        <v>602</v>
      </c>
      <c r="F502" s="8" t="s">
        <v>29</v>
      </c>
      <c r="G502" s="7" t="s">
        <v>19</v>
      </c>
      <c r="H502" s="47" t="s">
        <v>207</v>
      </c>
      <c r="I502" s="47" t="s">
        <v>208</v>
      </c>
      <c r="J502" s="6">
        <v>64</v>
      </c>
      <c r="K502" s="8" t="s">
        <v>25</v>
      </c>
      <c r="L502" s="1" t="s">
        <v>602</v>
      </c>
      <c r="M502" s="5">
        <v>3</v>
      </c>
      <c r="Q502" s="3"/>
      <c r="R502" s="3"/>
      <c r="S502" s="3"/>
    </row>
    <row r="503" spans="1:19" ht="15" x14ac:dyDescent="0.25">
      <c r="A503" s="7" t="s">
        <v>16</v>
      </c>
      <c r="B503" s="7" t="s">
        <v>230</v>
      </c>
      <c r="C503" s="7" t="s">
        <v>24</v>
      </c>
      <c r="D503" s="4">
        <v>51722957010226</v>
      </c>
      <c r="E503" s="8" t="s">
        <v>603</v>
      </c>
      <c r="F503" s="8" t="s">
        <v>29</v>
      </c>
      <c r="G503" s="7" t="s">
        <v>19</v>
      </c>
      <c r="H503" s="47" t="s">
        <v>207</v>
      </c>
      <c r="I503" s="47" t="s">
        <v>208</v>
      </c>
      <c r="J503" s="6">
        <v>73</v>
      </c>
      <c r="K503" s="8" t="s">
        <v>26</v>
      </c>
      <c r="L503" s="1" t="s">
        <v>603</v>
      </c>
      <c r="M503" s="5">
        <v>15</v>
      </c>
      <c r="Q503" s="3"/>
      <c r="R503" s="3"/>
      <c r="S503" s="3"/>
    </row>
    <row r="504" spans="1:19" ht="15" x14ac:dyDescent="0.25">
      <c r="A504" s="7" t="s">
        <v>16</v>
      </c>
      <c r="B504" s="7" t="s">
        <v>230</v>
      </c>
      <c r="C504" s="7" t="s">
        <v>24</v>
      </c>
      <c r="D504" s="4">
        <v>56577059000606</v>
      </c>
      <c r="E504" s="8" t="s">
        <v>606</v>
      </c>
      <c r="F504" s="8" t="s">
        <v>29</v>
      </c>
      <c r="G504" s="7" t="s">
        <v>19</v>
      </c>
      <c r="H504" s="47" t="s">
        <v>207</v>
      </c>
      <c r="I504" s="47" t="s">
        <v>208</v>
      </c>
      <c r="J504" s="6">
        <v>64</v>
      </c>
      <c r="K504" s="8" t="s">
        <v>25</v>
      </c>
      <c r="L504" s="1" t="s">
        <v>606</v>
      </c>
      <c r="M504" s="5">
        <v>8</v>
      </c>
      <c r="Q504" s="3"/>
      <c r="R504" s="3"/>
      <c r="S504" s="3"/>
    </row>
    <row r="505" spans="1:19" ht="15" x14ac:dyDescent="0.25">
      <c r="A505" s="7" t="s">
        <v>16</v>
      </c>
      <c r="B505" s="7" t="s">
        <v>230</v>
      </c>
      <c r="C505" s="7" t="s">
        <v>24</v>
      </c>
      <c r="D505" s="4">
        <v>60448040000122</v>
      </c>
      <c r="E505" s="8" t="s">
        <v>609</v>
      </c>
      <c r="F505" s="8" t="s">
        <v>29</v>
      </c>
      <c r="G505" s="7" t="s">
        <v>19</v>
      </c>
      <c r="H505" s="47" t="s">
        <v>207</v>
      </c>
      <c r="I505" s="47" t="s">
        <v>208</v>
      </c>
      <c r="J505" s="6">
        <v>62</v>
      </c>
      <c r="K505" s="8" t="s">
        <v>27</v>
      </c>
      <c r="L505" s="1" t="s">
        <v>609</v>
      </c>
      <c r="M505" s="5">
        <v>45</v>
      </c>
      <c r="Q505" s="3"/>
      <c r="R505" s="3"/>
      <c r="S505" s="3"/>
    </row>
    <row r="506" spans="1:19" ht="15" x14ac:dyDescent="0.25">
      <c r="A506" s="7" t="s">
        <v>16</v>
      </c>
      <c r="B506" s="7" t="s">
        <v>230</v>
      </c>
      <c r="C506" s="7" t="s">
        <v>24</v>
      </c>
      <c r="D506" s="4">
        <v>60448040000122</v>
      </c>
      <c r="E506" s="8" t="s">
        <v>609</v>
      </c>
      <c r="F506" s="8" t="s">
        <v>29</v>
      </c>
      <c r="G506" s="7" t="s">
        <v>19</v>
      </c>
      <c r="H506" s="47" t="s">
        <v>207</v>
      </c>
      <c r="I506" s="47" t="s">
        <v>208</v>
      </c>
      <c r="J506" s="6">
        <v>64</v>
      </c>
      <c r="K506" s="8" t="s">
        <v>25</v>
      </c>
      <c r="L506" s="1" t="s">
        <v>609</v>
      </c>
      <c r="M506" s="5">
        <v>65</v>
      </c>
      <c r="Q506" s="3"/>
      <c r="R506" s="3"/>
      <c r="S506" s="3"/>
    </row>
    <row r="507" spans="1:19" ht="15" x14ac:dyDescent="0.25">
      <c r="A507" s="7" t="s">
        <v>16</v>
      </c>
      <c r="B507" s="7" t="s">
        <v>230</v>
      </c>
      <c r="C507" s="7" t="s">
        <v>24</v>
      </c>
      <c r="D507" s="4">
        <v>60453024000390</v>
      </c>
      <c r="E507" s="8" t="s">
        <v>610</v>
      </c>
      <c r="F507" s="8" t="s">
        <v>29</v>
      </c>
      <c r="G507" s="7" t="s">
        <v>19</v>
      </c>
      <c r="H507" s="47" t="s">
        <v>207</v>
      </c>
      <c r="I507" s="47" t="s">
        <v>208</v>
      </c>
      <c r="J507" s="6">
        <v>62</v>
      </c>
      <c r="K507" s="8" t="s">
        <v>27</v>
      </c>
      <c r="L507" s="1" t="s">
        <v>610</v>
      </c>
      <c r="M507" s="5">
        <v>68</v>
      </c>
      <c r="Q507" s="3"/>
      <c r="R507" s="3"/>
      <c r="S507" s="3"/>
    </row>
    <row r="508" spans="1:19" ht="15" x14ac:dyDescent="0.25">
      <c r="A508" s="7" t="s">
        <v>16</v>
      </c>
      <c r="B508" s="7" t="s">
        <v>230</v>
      </c>
      <c r="C508" s="7" t="s">
        <v>24</v>
      </c>
      <c r="D508" s="4">
        <v>60453024000390</v>
      </c>
      <c r="E508" s="8" t="s">
        <v>610</v>
      </c>
      <c r="F508" s="8" t="s">
        <v>29</v>
      </c>
      <c r="G508" s="7" t="s">
        <v>19</v>
      </c>
      <c r="H508" s="47" t="s">
        <v>207</v>
      </c>
      <c r="I508" s="47" t="s">
        <v>208</v>
      </c>
      <c r="J508" s="6">
        <v>64</v>
      </c>
      <c r="K508" s="8" t="s">
        <v>25</v>
      </c>
      <c r="L508" s="1" t="s">
        <v>610</v>
      </c>
      <c r="M508" s="5">
        <v>35</v>
      </c>
      <c r="Q508" s="3"/>
      <c r="R508" s="3"/>
      <c r="S508" s="3"/>
    </row>
    <row r="509" spans="1:19" ht="15" x14ac:dyDescent="0.25">
      <c r="A509" s="7" t="s">
        <v>16</v>
      </c>
      <c r="B509" s="7" t="s">
        <v>230</v>
      </c>
      <c r="C509" s="7" t="s">
        <v>24</v>
      </c>
      <c r="D509" s="4">
        <v>60552098000111</v>
      </c>
      <c r="E509" s="8" t="s">
        <v>611</v>
      </c>
      <c r="F509" s="8" t="s">
        <v>29</v>
      </c>
      <c r="G509" s="7" t="s">
        <v>19</v>
      </c>
      <c r="H509" s="47" t="s">
        <v>207</v>
      </c>
      <c r="I509" s="47" t="s">
        <v>208</v>
      </c>
      <c r="J509" s="6">
        <v>62</v>
      </c>
      <c r="K509" s="8" t="s">
        <v>27</v>
      </c>
      <c r="L509" s="1" t="s">
        <v>611</v>
      </c>
      <c r="M509" s="5">
        <v>4</v>
      </c>
      <c r="Q509" s="3"/>
      <c r="R509" s="3"/>
      <c r="S509" s="3"/>
    </row>
    <row r="510" spans="1:19" ht="15" x14ac:dyDescent="0.25">
      <c r="A510" s="7" t="s">
        <v>16</v>
      </c>
      <c r="B510" s="7" t="s">
        <v>230</v>
      </c>
      <c r="C510" s="7" t="s">
        <v>24</v>
      </c>
      <c r="D510" s="4">
        <v>60678604000113</v>
      </c>
      <c r="E510" s="8" t="s">
        <v>612</v>
      </c>
      <c r="F510" s="8" t="s">
        <v>29</v>
      </c>
      <c r="G510" s="7" t="s">
        <v>19</v>
      </c>
      <c r="H510" s="47" t="s">
        <v>207</v>
      </c>
      <c r="I510" s="47" t="s">
        <v>208</v>
      </c>
      <c r="J510" s="6">
        <v>62</v>
      </c>
      <c r="K510" s="8" t="s">
        <v>27</v>
      </c>
      <c r="L510" s="1" t="s">
        <v>612</v>
      </c>
      <c r="M510" s="5">
        <v>55</v>
      </c>
      <c r="Q510" s="3"/>
      <c r="R510" s="3"/>
      <c r="S510" s="3"/>
    </row>
    <row r="511" spans="1:19" ht="15" x14ac:dyDescent="0.25">
      <c r="A511" s="7" t="s">
        <v>16</v>
      </c>
      <c r="B511" s="7" t="s">
        <v>230</v>
      </c>
      <c r="C511" s="7" t="s">
        <v>24</v>
      </c>
      <c r="D511" s="4">
        <v>60678604000113</v>
      </c>
      <c r="E511" s="8" t="s">
        <v>612</v>
      </c>
      <c r="F511" s="8" t="s">
        <v>29</v>
      </c>
      <c r="G511" s="7" t="s">
        <v>19</v>
      </c>
      <c r="H511" s="47" t="s">
        <v>207</v>
      </c>
      <c r="I511" s="47" t="s">
        <v>208</v>
      </c>
      <c r="J511" s="6">
        <v>64</v>
      </c>
      <c r="K511" s="8" t="s">
        <v>25</v>
      </c>
      <c r="L511" s="1" t="s">
        <v>612</v>
      </c>
      <c r="M511" s="5">
        <v>4</v>
      </c>
      <c r="Q511" s="3"/>
      <c r="R511" s="3"/>
      <c r="S511" s="3"/>
    </row>
    <row r="512" spans="1:19" ht="15" x14ac:dyDescent="0.25">
      <c r="A512" s="7" t="s">
        <v>16</v>
      </c>
      <c r="B512" s="7" t="s">
        <v>230</v>
      </c>
      <c r="C512" s="7" t="s">
        <v>24</v>
      </c>
      <c r="D512" s="4">
        <v>60726502000126</v>
      </c>
      <c r="E512" s="8" t="s">
        <v>613</v>
      </c>
      <c r="F512" s="8" t="s">
        <v>29</v>
      </c>
      <c r="G512" s="7" t="s">
        <v>19</v>
      </c>
      <c r="H512" s="47" t="s">
        <v>207</v>
      </c>
      <c r="I512" s="47" t="s">
        <v>208</v>
      </c>
      <c r="J512" s="6">
        <v>62</v>
      </c>
      <c r="K512" s="8" t="s">
        <v>27</v>
      </c>
      <c r="L512" s="1" t="s">
        <v>613</v>
      </c>
      <c r="M512" s="5">
        <v>9</v>
      </c>
      <c r="Q512" s="3"/>
      <c r="R512" s="3"/>
      <c r="S512" s="3"/>
    </row>
    <row r="513" spans="1:19" ht="15" x14ac:dyDescent="0.25">
      <c r="A513" s="7" t="s">
        <v>16</v>
      </c>
      <c r="B513" s="7" t="s">
        <v>230</v>
      </c>
      <c r="C513" s="7" t="s">
        <v>24</v>
      </c>
      <c r="D513" s="4">
        <v>60726502000126</v>
      </c>
      <c r="E513" s="8" t="s">
        <v>613</v>
      </c>
      <c r="F513" s="8" t="s">
        <v>29</v>
      </c>
      <c r="G513" s="7" t="s">
        <v>19</v>
      </c>
      <c r="H513" s="47" t="s">
        <v>207</v>
      </c>
      <c r="I513" s="47" t="s">
        <v>208</v>
      </c>
      <c r="J513" s="6">
        <v>64</v>
      </c>
      <c r="K513" s="8" t="s">
        <v>25</v>
      </c>
      <c r="L513" s="1" t="s">
        <v>613</v>
      </c>
      <c r="M513" s="5">
        <v>10</v>
      </c>
      <c r="Q513" s="3"/>
      <c r="R513" s="3"/>
      <c r="S513" s="3"/>
    </row>
    <row r="514" spans="1:19" ht="15" x14ac:dyDescent="0.25">
      <c r="A514" s="7" t="s">
        <v>16</v>
      </c>
      <c r="B514" s="7" t="s">
        <v>230</v>
      </c>
      <c r="C514" s="7" t="s">
        <v>24</v>
      </c>
      <c r="D514" s="4">
        <v>60765823000130</v>
      </c>
      <c r="E514" s="8" t="s">
        <v>615</v>
      </c>
      <c r="F514" s="8" t="s">
        <v>29</v>
      </c>
      <c r="G514" s="7" t="s">
        <v>19</v>
      </c>
      <c r="H514" s="47" t="s">
        <v>207</v>
      </c>
      <c r="I514" s="47" t="s">
        <v>208</v>
      </c>
      <c r="J514" s="6">
        <v>62</v>
      </c>
      <c r="K514" s="8" t="s">
        <v>27</v>
      </c>
      <c r="L514" s="1" t="s">
        <v>615</v>
      </c>
      <c r="M514" s="5">
        <v>190</v>
      </c>
      <c r="Q514" s="3"/>
      <c r="R514" s="3"/>
      <c r="S514" s="3"/>
    </row>
    <row r="515" spans="1:19" ht="15" x14ac:dyDescent="0.25">
      <c r="A515" s="7" t="s">
        <v>16</v>
      </c>
      <c r="B515" s="7" t="s">
        <v>230</v>
      </c>
      <c r="C515" s="7" t="s">
        <v>24</v>
      </c>
      <c r="D515" s="4">
        <v>60765823000130</v>
      </c>
      <c r="E515" s="8" t="s">
        <v>615</v>
      </c>
      <c r="F515" s="8" t="s">
        <v>29</v>
      </c>
      <c r="G515" s="7" t="s">
        <v>19</v>
      </c>
      <c r="H515" s="47" t="s">
        <v>207</v>
      </c>
      <c r="I515" s="47" t="s">
        <v>208</v>
      </c>
      <c r="J515" s="6">
        <v>64</v>
      </c>
      <c r="K515" s="8" t="s">
        <v>25</v>
      </c>
      <c r="L515" s="1" t="s">
        <v>615</v>
      </c>
      <c r="M515" s="5">
        <v>40</v>
      </c>
      <c r="Q515" s="3"/>
      <c r="R515" s="3"/>
      <c r="S515" s="3"/>
    </row>
    <row r="516" spans="1:19" ht="15" x14ac:dyDescent="0.25">
      <c r="A516" s="7" t="s">
        <v>16</v>
      </c>
      <c r="B516" s="7" t="s">
        <v>230</v>
      </c>
      <c r="C516" s="7" t="s">
        <v>24</v>
      </c>
      <c r="D516" s="4">
        <v>60765823000130</v>
      </c>
      <c r="E516" s="8" t="s">
        <v>615</v>
      </c>
      <c r="F516" s="8" t="s">
        <v>29</v>
      </c>
      <c r="G516" s="7" t="s">
        <v>19</v>
      </c>
      <c r="H516" s="47" t="s">
        <v>207</v>
      </c>
      <c r="I516" s="47" t="s">
        <v>208</v>
      </c>
      <c r="J516" s="6">
        <v>73</v>
      </c>
      <c r="K516" s="8" t="s">
        <v>26</v>
      </c>
      <c r="L516" s="1" t="s">
        <v>615</v>
      </c>
      <c r="M516" s="5">
        <v>60</v>
      </c>
      <c r="Q516" s="3"/>
      <c r="R516" s="3"/>
      <c r="S516" s="3"/>
    </row>
    <row r="517" spans="1:19" ht="15" x14ac:dyDescent="0.25">
      <c r="A517" s="7" t="s">
        <v>16</v>
      </c>
      <c r="B517" s="7" t="s">
        <v>230</v>
      </c>
      <c r="C517" s="7" t="s">
        <v>24</v>
      </c>
      <c r="D517" s="4">
        <v>60777901000116</v>
      </c>
      <c r="E517" s="8" t="s">
        <v>616</v>
      </c>
      <c r="F517" s="8" t="s">
        <v>29</v>
      </c>
      <c r="G517" s="7" t="s">
        <v>19</v>
      </c>
      <c r="H517" s="47" t="s">
        <v>207</v>
      </c>
      <c r="I517" s="47" t="s">
        <v>208</v>
      </c>
      <c r="J517" s="6">
        <v>64</v>
      </c>
      <c r="K517" s="8" t="s">
        <v>25</v>
      </c>
      <c r="L517" s="1" t="s">
        <v>616</v>
      </c>
      <c r="M517" s="5">
        <v>8</v>
      </c>
      <c r="Q517" s="3"/>
      <c r="R517" s="3"/>
      <c r="S517" s="3"/>
    </row>
    <row r="518" spans="1:19" ht="15" x14ac:dyDescent="0.25">
      <c r="A518" s="7" t="s">
        <v>16</v>
      </c>
      <c r="B518" s="7" t="s">
        <v>230</v>
      </c>
      <c r="C518" s="7" t="s">
        <v>24</v>
      </c>
      <c r="D518" s="4">
        <v>60777901000116</v>
      </c>
      <c r="E518" s="8" t="s">
        <v>616</v>
      </c>
      <c r="F518" s="8" t="s">
        <v>29</v>
      </c>
      <c r="G518" s="7" t="s">
        <v>19</v>
      </c>
      <c r="H518" s="47" t="s">
        <v>207</v>
      </c>
      <c r="I518" s="47" t="s">
        <v>208</v>
      </c>
      <c r="J518" s="6">
        <v>73</v>
      </c>
      <c r="K518" s="8" t="s">
        <v>26</v>
      </c>
      <c r="L518" s="1" t="s">
        <v>616</v>
      </c>
      <c r="M518" s="5">
        <v>30</v>
      </c>
      <c r="Q518" s="3"/>
      <c r="R518" s="3"/>
      <c r="S518" s="3"/>
    </row>
    <row r="519" spans="1:19" ht="15" x14ac:dyDescent="0.25">
      <c r="A519" s="7" t="s">
        <v>16</v>
      </c>
      <c r="B519" s="7" t="s">
        <v>230</v>
      </c>
      <c r="C519" s="7" t="s">
        <v>24</v>
      </c>
      <c r="D519" s="4">
        <v>60884855000316</v>
      </c>
      <c r="E519" s="8" t="s">
        <v>617</v>
      </c>
      <c r="F519" s="8" t="s">
        <v>29</v>
      </c>
      <c r="G519" s="7" t="s">
        <v>19</v>
      </c>
      <c r="H519" s="47" t="s">
        <v>207</v>
      </c>
      <c r="I519" s="47" t="s">
        <v>208</v>
      </c>
      <c r="J519" s="6">
        <v>62</v>
      </c>
      <c r="K519" s="8" t="s">
        <v>27</v>
      </c>
      <c r="L519" s="1" t="s">
        <v>617</v>
      </c>
      <c r="M519" s="5">
        <v>58</v>
      </c>
      <c r="Q519" s="3"/>
      <c r="R519" s="3"/>
      <c r="S519" s="3"/>
    </row>
    <row r="520" spans="1:19" ht="15" x14ac:dyDescent="0.25">
      <c r="A520" s="7" t="s">
        <v>16</v>
      </c>
      <c r="B520" s="7" t="s">
        <v>230</v>
      </c>
      <c r="C520" s="7" t="s">
        <v>24</v>
      </c>
      <c r="D520" s="4">
        <v>60884855000316</v>
      </c>
      <c r="E520" s="8" t="s">
        <v>617</v>
      </c>
      <c r="F520" s="8" t="s">
        <v>29</v>
      </c>
      <c r="G520" s="7" t="s">
        <v>19</v>
      </c>
      <c r="H520" s="47" t="s">
        <v>207</v>
      </c>
      <c r="I520" s="47" t="s">
        <v>208</v>
      </c>
      <c r="J520" s="6">
        <v>64</v>
      </c>
      <c r="K520" s="8" t="s">
        <v>25</v>
      </c>
      <c r="L520" s="1" t="s">
        <v>617</v>
      </c>
      <c r="M520" s="5">
        <v>48</v>
      </c>
      <c r="Q520" s="3"/>
      <c r="R520" s="3"/>
      <c r="S520" s="3"/>
    </row>
    <row r="521" spans="1:19" ht="15" x14ac:dyDescent="0.25">
      <c r="A521" s="7" t="s">
        <v>16</v>
      </c>
      <c r="B521" s="7" t="s">
        <v>230</v>
      </c>
      <c r="C521" s="7" t="s">
        <v>24</v>
      </c>
      <c r="D521" s="4">
        <v>60884855000316</v>
      </c>
      <c r="E521" s="8" t="s">
        <v>617</v>
      </c>
      <c r="F521" s="8" t="s">
        <v>29</v>
      </c>
      <c r="G521" s="7" t="s">
        <v>19</v>
      </c>
      <c r="H521" s="47" t="s">
        <v>207</v>
      </c>
      <c r="I521" s="47" t="s">
        <v>208</v>
      </c>
      <c r="J521" s="6">
        <v>73</v>
      </c>
      <c r="K521" s="8" t="s">
        <v>26</v>
      </c>
      <c r="L521" s="1" t="s">
        <v>617</v>
      </c>
      <c r="M521" s="5">
        <v>32</v>
      </c>
      <c r="Q521" s="3"/>
      <c r="R521" s="3"/>
      <c r="S521" s="3"/>
    </row>
    <row r="522" spans="1:19" ht="15" x14ac:dyDescent="0.25">
      <c r="A522" s="7" t="s">
        <v>16</v>
      </c>
      <c r="B522" s="7" t="s">
        <v>230</v>
      </c>
      <c r="C522" s="7" t="s">
        <v>24</v>
      </c>
      <c r="D522" s="4">
        <v>60922168000771</v>
      </c>
      <c r="E522" s="8" t="s">
        <v>618</v>
      </c>
      <c r="F522" s="8" t="s">
        <v>29</v>
      </c>
      <c r="G522" s="7" t="s">
        <v>19</v>
      </c>
      <c r="H522" s="47" t="s">
        <v>207</v>
      </c>
      <c r="I522" s="47" t="s">
        <v>208</v>
      </c>
      <c r="J522" s="6">
        <v>73</v>
      </c>
      <c r="K522" s="8" t="s">
        <v>26</v>
      </c>
      <c r="L522" s="1" t="s">
        <v>618</v>
      </c>
      <c r="M522" s="5">
        <v>32</v>
      </c>
      <c r="Q522" s="3"/>
      <c r="R522" s="3"/>
      <c r="S522" s="3"/>
    </row>
    <row r="523" spans="1:19" ht="15" x14ac:dyDescent="0.25">
      <c r="A523" s="7" t="s">
        <v>16</v>
      </c>
      <c r="B523" s="7" t="s">
        <v>230</v>
      </c>
      <c r="C523" s="7" t="s">
        <v>24</v>
      </c>
      <c r="D523" s="4">
        <v>60961422000155</v>
      </c>
      <c r="E523" s="8" t="s">
        <v>620</v>
      </c>
      <c r="F523" s="8" t="s">
        <v>29</v>
      </c>
      <c r="G523" s="7" t="s">
        <v>19</v>
      </c>
      <c r="H523" s="47" t="s">
        <v>207</v>
      </c>
      <c r="I523" s="47" t="s">
        <v>208</v>
      </c>
      <c r="J523" s="6">
        <v>62</v>
      </c>
      <c r="K523" s="8" t="s">
        <v>27</v>
      </c>
      <c r="L523" s="1" t="s">
        <v>620</v>
      </c>
      <c r="M523" s="5">
        <v>5</v>
      </c>
      <c r="Q523" s="3"/>
      <c r="R523" s="3"/>
      <c r="S523" s="3"/>
    </row>
    <row r="524" spans="1:19" ht="15" x14ac:dyDescent="0.25">
      <c r="A524" s="7" t="s">
        <v>16</v>
      </c>
      <c r="B524" s="7" t="s">
        <v>230</v>
      </c>
      <c r="C524" s="7" t="s">
        <v>24</v>
      </c>
      <c r="D524" s="4">
        <v>60961422000155</v>
      </c>
      <c r="E524" s="8" t="s">
        <v>620</v>
      </c>
      <c r="F524" s="8" t="s">
        <v>29</v>
      </c>
      <c r="G524" s="7" t="s">
        <v>19</v>
      </c>
      <c r="H524" s="47" t="s">
        <v>207</v>
      </c>
      <c r="I524" s="47" t="s">
        <v>208</v>
      </c>
      <c r="J524" s="6">
        <v>64</v>
      </c>
      <c r="K524" s="8" t="s">
        <v>25</v>
      </c>
      <c r="L524" s="1" t="s">
        <v>620</v>
      </c>
      <c r="M524" s="5">
        <v>6</v>
      </c>
      <c r="Q524" s="3"/>
      <c r="R524" s="3"/>
      <c r="S524" s="3"/>
    </row>
    <row r="525" spans="1:19" ht="15" x14ac:dyDescent="0.25">
      <c r="A525" s="7" t="s">
        <v>16</v>
      </c>
      <c r="B525" s="7" t="s">
        <v>230</v>
      </c>
      <c r="C525" s="7" t="s">
        <v>24</v>
      </c>
      <c r="D525" s="4">
        <v>60975737000232</v>
      </c>
      <c r="E525" s="8" t="s">
        <v>624</v>
      </c>
      <c r="F525" s="8" t="s">
        <v>29</v>
      </c>
      <c r="G525" s="7" t="s">
        <v>19</v>
      </c>
      <c r="H525" s="47" t="s">
        <v>207</v>
      </c>
      <c r="I525" s="47" t="s">
        <v>208</v>
      </c>
      <c r="J525" s="6">
        <v>62</v>
      </c>
      <c r="K525" s="8" t="s">
        <v>27</v>
      </c>
      <c r="L525" s="1" t="s">
        <v>624</v>
      </c>
      <c r="M525" s="5">
        <v>6</v>
      </c>
      <c r="Q525" s="3"/>
      <c r="R525" s="3"/>
      <c r="S525" s="3"/>
    </row>
    <row r="526" spans="1:19" ht="15" x14ac:dyDescent="0.25">
      <c r="A526" s="7" t="s">
        <v>16</v>
      </c>
      <c r="B526" s="7" t="s">
        <v>230</v>
      </c>
      <c r="C526" s="7" t="s">
        <v>24</v>
      </c>
      <c r="D526" s="4">
        <v>60992427000650</v>
      </c>
      <c r="E526" s="8" t="s">
        <v>627</v>
      </c>
      <c r="F526" s="8" t="s">
        <v>29</v>
      </c>
      <c r="G526" s="7" t="s">
        <v>19</v>
      </c>
      <c r="H526" s="47" t="s">
        <v>207</v>
      </c>
      <c r="I526" s="47" t="s">
        <v>208</v>
      </c>
      <c r="J526" s="6">
        <v>62</v>
      </c>
      <c r="K526" s="8" t="s">
        <v>27</v>
      </c>
      <c r="L526" s="1" t="s">
        <v>627</v>
      </c>
      <c r="M526" s="5">
        <v>2</v>
      </c>
      <c r="Q526" s="3"/>
      <c r="R526" s="3"/>
      <c r="S526" s="3"/>
    </row>
    <row r="527" spans="1:19" ht="15" x14ac:dyDescent="0.25">
      <c r="A527" s="7" t="s">
        <v>16</v>
      </c>
      <c r="B527" s="7" t="s">
        <v>230</v>
      </c>
      <c r="C527" s="7" t="s">
        <v>24</v>
      </c>
      <c r="D527" s="4">
        <v>60992427000650</v>
      </c>
      <c r="E527" s="8" t="s">
        <v>627</v>
      </c>
      <c r="F527" s="8" t="s">
        <v>29</v>
      </c>
      <c r="G527" s="7" t="s">
        <v>19</v>
      </c>
      <c r="H527" s="47" t="s">
        <v>207</v>
      </c>
      <c r="I527" s="47" t="s">
        <v>208</v>
      </c>
      <c r="J527" s="6">
        <v>64</v>
      </c>
      <c r="K527" s="8" t="s">
        <v>25</v>
      </c>
      <c r="L527" s="1" t="s">
        <v>627</v>
      </c>
      <c r="M527" s="5">
        <v>13</v>
      </c>
      <c r="Q527" s="3"/>
      <c r="R527" s="3"/>
      <c r="S527" s="3"/>
    </row>
    <row r="528" spans="1:19" ht="15" x14ac:dyDescent="0.25">
      <c r="A528" s="7" t="s">
        <v>16</v>
      </c>
      <c r="B528" s="7" t="s">
        <v>230</v>
      </c>
      <c r="C528" s="7" t="s">
        <v>24</v>
      </c>
      <c r="D528" s="4">
        <v>61213674000240</v>
      </c>
      <c r="E528" s="8" t="s">
        <v>629</v>
      </c>
      <c r="F528" s="8" t="s">
        <v>29</v>
      </c>
      <c r="G528" s="7" t="s">
        <v>19</v>
      </c>
      <c r="H528" s="47" t="s">
        <v>207</v>
      </c>
      <c r="I528" s="47" t="s">
        <v>208</v>
      </c>
      <c r="J528" s="6">
        <v>62</v>
      </c>
      <c r="K528" s="8" t="s">
        <v>27</v>
      </c>
      <c r="L528" s="1" t="s">
        <v>629</v>
      </c>
      <c r="M528" s="5">
        <v>5</v>
      </c>
      <c r="Q528" s="3"/>
      <c r="R528" s="3"/>
      <c r="S528" s="3"/>
    </row>
    <row r="529" spans="1:19" ht="15" x14ac:dyDescent="0.25">
      <c r="A529" s="7" t="s">
        <v>16</v>
      </c>
      <c r="B529" s="7" t="s">
        <v>230</v>
      </c>
      <c r="C529" s="7" t="s">
        <v>24</v>
      </c>
      <c r="D529" s="4">
        <v>61213674000240</v>
      </c>
      <c r="E529" s="8" t="s">
        <v>629</v>
      </c>
      <c r="F529" s="8" t="s">
        <v>29</v>
      </c>
      <c r="G529" s="7" t="s">
        <v>19</v>
      </c>
      <c r="H529" s="47" t="s">
        <v>207</v>
      </c>
      <c r="I529" s="47" t="s">
        <v>208</v>
      </c>
      <c r="J529" s="6">
        <v>64</v>
      </c>
      <c r="K529" s="8" t="s">
        <v>25</v>
      </c>
      <c r="L529" s="1" t="s">
        <v>629</v>
      </c>
      <c r="M529" s="5">
        <v>3</v>
      </c>
      <c r="Q529" s="3"/>
      <c r="R529" s="3"/>
      <c r="S529" s="3"/>
    </row>
    <row r="530" spans="1:19" ht="15" x14ac:dyDescent="0.25">
      <c r="A530" s="7" t="s">
        <v>16</v>
      </c>
      <c r="B530" s="7" t="s">
        <v>230</v>
      </c>
      <c r="C530" s="7" t="s">
        <v>24</v>
      </c>
      <c r="D530" s="4">
        <v>61213674000240</v>
      </c>
      <c r="E530" s="8" t="s">
        <v>629</v>
      </c>
      <c r="F530" s="8" t="s">
        <v>29</v>
      </c>
      <c r="G530" s="7" t="s">
        <v>19</v>
      </c>
      <c r="H530" s="47" t="s">
        <v>207</v>
      </c>
      <c r="I530" s="47" t="s">
        <v>208</v>
      </c>
      <c r="J530" s="6">
        <v>73</v>
      </c>
      <c r="K530" s="8" t="s">
        <v>26</v>
      </c>
      <c r="L530" s="1" t="s">
        <v>629</v>
      </c>
      <c r="M530" s="5">
        <v>135</v>
      </c>
      <c r="Q530" s="3"/>
      <c r="R530" s="3"/>
      <c r="S530" s="3"/>
    </row>
    <row r="531" spans="1:19" ht="15" x14ac:dyDescent="0.25">
      <c r="A531" s="7" t="s">
        <v>16</v>
      </c>
      <c r="B531" s="7" t="s">
        <v>230</v>
      </c>
      <c r="C531" s="7" t="s">
        <v>24</v>
      </c>
      <c r="D531" s="4">
        <v>61590410000124</v>
      </c>
      <c r="E531" s="8" t="s">
        <v>630</v>
      </c>
      <c r="F531" s="8" t="s">
        <v>29</v>
      </c>
      <c r="G531" s="7" t="s">
        <v>19</v>
      </c>
      <c r="H531" s="47" t="s">
        <v>207</v>
      </c>
      <c r="I531" s="47" t="s">
        <v>208</v>
      </c>
      <c r="J531" s="6">
        <v>62</v>
      </c>
      <c r="K531" s="8" t="s">
        <v>27</v>
      </c>
      <c r="L531" s="1" t="s">
        <v>630</v>
      </c>
      <c r="M531" s="5">
        <v>56</v>
      </c>
      <c r="Q531" s="3"/>
      <c r="R531" s="3"/>
      <c r="S531" s="3"/>
    </row>
    <row r="532" spans="1:19" ht="15" x14ac:dyDescent="0.25">
      <c r="A532" s="7" t="s">
        <v>16</v>
      </c>
      <c r="B532" s="7" t="s">
        <v>230</v>
      </c>
      <c r="C532" s="7" t="s">
        <v>24</v>
      </c>
      <c r="D532" s="4">
        <v>61599908000158</v>
      </c>
      <c r="E532" s="8" t="s">
        <v>631</v>
      </c>
      <c r="F532" s="8" t="s">
        <v>29</v>
      </c>
      <c r="G532" s="7" t="s">
        <v>19</v>
      </c>
      <c r="H532" s="47" t="s">
        <v>207</v>
      </c>
      <c r="I532" s="47" t="s">
        <v>208</v>
      </c>
      <c r="J532" s="6">
        <v>62</v>
      </c>
      <c r="K532" s="8" t="s">
        <v>27</v>
      </c>
      <c r="L532" s="1" t="s">
        <v>631</v>
      </c>
      <c r="M532" s="5">
        <v>75</v>
      </c>
      <c r="Q532" s="3"/>
      <c r="R532" s="3"/>
      <c r="S532" s="3"/>
    </row>
    <row r="533" spans="1:19" ht="15" x14ac:dyDescent="0.25">
      <c r="A533" s="7" t="s">
        <v>16</v>
      </c>
      <c r="B533" s="7" t="s">
        <v>230</v>
      </c>
      <c r="C533" s="7" t="s">
        <v>24</v>
      </c>
      <c r="D533" s="4">
        <v>61599908000158</v>
      </c>
      <c r="E533" s="8" t="s">
        <v>631</v>
      </c>
      <c r="F533" s="8" t="s">
        <v>29</v>
      </c>
      <c r="G533" s="7" t="s">
        <v>19</v>
      </c>
      <c r="H533" s="47" t="s">
        <v>207</v>
      </c>
      <c r="I533" s="47" t="s">
        <v>208</v>
      </c>
      <c r="J533" s="6">
        <v>64</v>
      </c>
      <c r="K533" s="8" t="s">
        <v>25</v>
      </c>
      <c r="L533" s="1" t="s">
        <v>631</v>
      </c>
      <c r="M533" s="5">
        <v>120</v>
      </c>
      <c r="Q533" s="3"/>
      <c r="R533" s="3"/>
      <c r="S533" s="3"/>
    </row>
    <row r="534" spans="1:19" ht="15" x14ac:dyDescent="0.25">
      <c r="A534" s="7" t="s">
        <v>16</v>
      </c>
      <c r="B534" s="7" t="s">
        <v>230</v>
      </c>
      <c r="C534" s="7" t="s">
        <v>24</v>
      </c>
      <c r="D534" s="4">
        <v>62779145000190</v>
      </c>
      <c r="E534" s="8" t="s">
        <v>634</v>
      </c>
      <c r="F534" s="8" t="s">
        <v>29</v>
      </c>
      <c r="G534" s="7" t="s">
        <v>19</v>
      </c>
      <c r="H534" s="47" t="s">
        <v>207</v>
      </c>
      <c r="I534" s="47" t="s">
        <v>208</v>
      </c>
      <c r="J534" s="6">
        <v>64</v>
      </c>
      <c r="K534" s="8" t="s">
        <v>25</v>
      </c>
      <c r="L534" s="1" t="s">
        <v>634</v>
      </c>
      <c r="M534" s="5">
        <v>6</v>
      </c>
      <c r="Q534" s="3"/>
      <c r="R534" s="3"/>
      <c r="S534" s="3"/>
    </row>
    <row r="535" spans="1:19" ht="15" x14ac:dyDescent="0.25">
      <c r="A535" s="7" t="s">
        <v>16</v>
      </c>
      <c r="B535" s="7" t="s">
        <v>372</v>
      </c>
      <c r="C535" s="7" t="s">
        <v>373</v>
      </c>
      <c r="D535" s="4">
        <v>603226000187</v>
      </c>
      <c r="E535" s="8" t="s">
        <v>561</v>
      </c>
      <c r="F535" s="8" t="s">
        <v>29</v>
      </c>
      <c r="G535" s="7" t="s">
        <v>19</v>
      </c>
      <c r="H535" s="47" t="s">
        <v>207</v>
      </c>
      <c r="I535" s="47" t="s">
        <v>208</v>
      </c>
      <c r="J535" s="6">
        <v>73</v>
      </c>
      <c r="K535" s="8" t="s">
        <v>26</v>
      </c>
      <c r="L535" s="1" t="s">
        <v>561</v>
      </c>
      <c r="M535" s="5">
        <v>4</v>
      </c>
      <c r="Q535" s="3"/>
      <c r="R535" s="3"/>
      <c r="S535" s="3"/>
    </row>
    <row r="536" spans="1:19" ht="15" x14ac:dyDescent="0.25">
      <c r="A536" s="7" t="s">
        <v>16</v>
      </c>
      <c r="B536" s="7" t="s">
        <v>372</v>
      </c>
      <c r="C536" s="7" t="s">
        <v>373</v>
      </c>
      <c r="D536" s="4">
        <v>2383508000494</v>
      </c>
      <c r="E536" s="8" t="s">
        <v>562</v>
      </c>
      <c r="F536" s="8" t="s">
        <v>29</v>
      </c>
      <c r="G536" s="7" t="s">
        <v>19</v>
      </c>
      <c r="H536" s="47" t="s">
        <v>207</v>
      </c>
      <c r="I536" s="47" t="s">
        <v>208</v>
      </c>
      <c r="J536" s="6">
        <v>73</v>
      </c>
      <c r="K536" s="8" t="s">
        <v>26</v>
      </c>
      <c r="L536" s="1" t="s">
        <v>562</v>
      </c>
      <c r="M536" s="5">
        <v>12</v>
      </c>
      <c r="Q536" s="3"/>
      <c r="R536" s="3"/>
      <c r="S536" s="3"/>
    </row>
    <row r="537" spans="1:19" ht="15" x14ac:dyDescent="0.25">
      <c r="A537" s="7" t="s">
        <v>16</v>
      </c>
      <c r="B537" s="7" t="s">
        <v>372</v>
      </c>
      <c r="C537" s="7" t="s">
        <v>373</v>
      </c>
      <c r="D537" s="4">
        <v>2837922000183</v>
      </c>
      <c r="E537" s="8" t="s">
        <v>563</v>
      </c>
      <c r="F537" s="8" t="s">
        <v>29</v>
      </c>
      <c r="G537" s="7" t="s">
        <v>19</v>
      </c>
      <c r="H537" s="47" t="s">
        <v>207</v>
      </c>
      <c r="I537" s="47" t="s">
        <v>208</v>
      </c>
      <c r="J537" s="6">
        <v>73</v>
      </c>
      <c r="K537" s="8" t="s">
        <v>26</v>
      </c>
      <c r="L537" s="1" t="s">
        <v>563</v>
      </c>
      <c r="M537" s="5">
        <v>50</v>
      </c>
      <c r="Q537" s="3"/>
      <c r="R537" s="3"/>
      <c r="S537" s="3"/>
    </row>
    <row r="538" spans="1:19" ht="15" x14ac:dyDescent="0.25">
      <c r="A538" s="7" t="s">
        <v>16</v>
      </c>
      <c r="B538" s="7" t="s">
        <v>372</v>
      </c>
      <c r="C538" s="7" t="s">
        <v>373</v>
      </c>
      <c r="D538" s="4">
        <v>3872790000193</v>
      </c>
      <c r="E538" s="8" t="s">
        <v>564</v>
      </c>
      <c r="F538" s="8" t="s">
        <v>29</v>
      </c>
      <c r="G538" s="7" t="s">
        <v>19</v>
      </c>
      <c r="H538" s="47" t="s">
        <v>207</v>
      </c>
      <c r="I538" s="47" t="s">
        <v>208</v>
      </c>
      <c r="J538" s="6">
        <v>73</v>
      </c>
      <c r="K538" s="8" t="s">
        <v>26</v>
      </c>
      <c r="L538" s="1" t="s">
        <v>564</v>
      </c>
      <c r="M538" s="5">
        <v>8</v>
      </c>
      <c r="Q538" s="3"/>
      <c r="R538" s="3"/>
      <c r="S538" s="3"/>
    </row>
    <row r="539" spans="1:19" ht="15" x14ac:dyDescent="0.25">
      <c r="A539" s="7" t="s">
        <v>16</v>
      </c>
      <c r="B539" s="7" t="s">
        <v>372</v>
      </c>
      <c r="C539" s="7" t="s">
        <v>373</v>
      </c>
      <c r="D539" s="4">
        <v>6047087000139</v>
      </c>
      <c r="E539" s="8" t="s">
        <v>568</v>
      </c>
      <c r="F539" s="8" t="s">
        <v>29</v>
      </c>
      <c r="G539" s="7" t="s">
        <v>19</v>
      </c>
      <c r="H539" s="47" t="s">
        <v>207</v>
      </c>
      <c r="I539" s="47" t="s">
        <v>208</v>
      </c>
      <c r="J539" s="6">
        <v>62</v>
      </c>
      <c r="K539" s="8" t="s">
        <v>27</v>
      </c>
      <c r="L539" s="1" t="s">
        <v>568</v>
      </c>
      <c r="M539" s="5">
        <v>5</v>
      </c>
      <c r="Q539" s="3"/>
      <c r="R539" s="3"/>
      <c r="S539" s="3"/>
    </row>
    <row r="540" spans="1:19" ht="15" x14ac:dyDescent="0.25">
      <c r="A540" s="7" t="s">
        <v>16</v>
      </c>
      <c r="B540" s="7" t="s">
        <v>372</v>
      </c>
      <c r="C540" s="7" t="s">
        <v>373</v>
      </c>
      <c r="D540" s="4">
        <v>6047087000210</v>
      </c>
      <c r="E540" s="8" t="s">
        <v>569</v>
      </c>
      <c r="F540" s="8" t="s">
        <v>29</v>
      </c>
      <c r="G540" s="7" t="s">
        <v>19</v>
      </c>
      <c r="H540" s="47" t="s">
        <v>207</v>
      </c>
      <c r="I540" s="47" t="s">
        <v>208</v>
      </c>
      <c r="J540" s="6">
        <v>64</v>
      </c>
      <c r="K540" s="8" t="s">
        <v>25</v>
      </c>
      <c r="L540" s="1" t="s">
        <v>569</v>
      </c>
      <c r="M540" s="5">
        <v>60</v>
      </c>
      <c r="Q540" s="3"/>
      <c r="R540" s="3"/>
      <c r="S540" s="3"/>
    </row>
    <row r="541" spans="1:19" ht="15" x14ac:dyDescent="0.25">
      <c r="A541" s="7" t="s">
        <v>16</v>
      </c>
      <c r="B541" s="7" t="s">
        <v>372</v>
      </c>
      <c r="C541" s="7" t="s">
        <v>373</v>
      </c>
      <c r="D541" s="4">
        <v>7045325000130</v>
      </c>
      <c r="E541" s="8" t="s">
        <v>571</v>
      </c>
      <c r="F541" s="8" t="s">
        <v>29</v>
      </c>
      <c r="G541" s="7" t="s">
        <v>19</v>
      </c>
      <c r="H541" s="47" t="s">
        <v>207</v>
      </c>
      <c r="I541" s="47" t="s">
        <v>208</v>
      </c>
      <c r="J541" s="6">
        <v>73</v>
      </c>
      <c r="K541" s="8" t="s">
        <v>26</v>
      </c>
      <c r="L541" s="1" t="s">
        <v>571</v>
      </c>
      <c r="M541" s="5">
        <v>184</v>
      </c>
      <c r="Q541" s="3"/>
      <c r="R541" s="3"/>
      <c r="S541" s="3"/>
    </row>
    <row r="542" spans="1:19" ht="15" x14ac:dyDescent="0.25">
      <c r="A542" s="7" t="s">
        <v>16</v>
      </c>
      <c r="B542" s="7" t="s">
        <v>372</v>
      </c>
      <c r="C542" s="7" t="s">
        <v>373</v>
      </c>
      <c r="D542" s="4">
        <v>8100676000592</v>
      </c>
      <c r="E542" s="8" t="s">
        <v>572</v>
      </c>
      <c r="F542" s="8" t="s">
        <v>29</v>
      </c>
      <c r="G542" s="7" t="s">
        <v>19</v>
      </c>
      <c r="H542" s="47" t="s">
        <v>207</v>
      </c>
      <c r="I542" s="47" t="s">
        <v>208</v>
      </c>
      <c r="J542" s="6">
        <v>64</v>
      </c>
      <c r="K542" s="8" t="s">
        <v>25</v>
      </c>
      <c r="L542" s="1" t="s">
        <v>572</v>
      </c>
      <c r="M542" s="5">
        <v>3</v>
      </c>
      <c r="Q542" s="3"/>
      <c r="R542" s="3"/>
      <c r="S542" s="3"/>
    </row>
    <row r="543" spans="1:19" ht="15" x14ac:dyDescent="0.25">
      <c r="A543" s="7" t="s">
        <v>16</v>
      </c>
      <c r="B543" s="7" t="s">
        <v>372</v>
      </c>
      <c r="C543" s="7" t="s">
        <v>373</v>
      </c>
      <c r="D543" s="4">
        <v>9087150000159</v>
      </c>
      <c r="E543" s="8" t="s">
        <v>578</v>
      </c>
      <c r="F543" s="8" t="s">
        <v>29</v>
      </c>
      <c r="G543" s="7" t="s">
        <v>19</v>
      </c>
      <c r="H543" s="47" t="s">
        <v>207</v>
      </c>
      <c r="I543" s="47" t="s">
        <v>208</v>
      </c>
      <c r="J543" s="6">
        <v>73</v>
      </c>
      <c r="K543" s="8" t="s">
        <v>26</v>
      </c>
      <c r="L543" s="1" t="s">
        <v>578</v>
      </c>
      <c r="M543" s="5">
        <v>6</v>
      </c>
      <c r="Q543" s="3"/>
      <c r="R543" s="3"/>
      <c r="S543" s="3"/>
    </row>
    <row r="544" spans="1:19" ht="15" x14ac:dyDescent="0.25">
      <c r="A544" s="7" t="s">
        <v>16</v>
      </c>
      <c r="B544" s="7" t="s">
        <v>372</v>
      </c>
      <c r="C544" s="7" t="s">
        <v>373</v>
      </c>
      <c r="D544" s="4">
        <v>19056055000141</v>
      </c>
      <c r="E544" s="8" t="s">
        <v>586</v>
      </c>
      <c r="F544" s="8" t="s">
        <v>29</v>
      </c>
      <c r="G544" s="7" t="s">
        <v>19</v>
      </c>
      <c r="H544" s="47" t="s">
        <v>207</v>
      </c>
      <c r="I544" s="47" t="s">
        <v>208</v>
      </c>
      <c r="J544" s="6">
        <v>62</v>
      </c>
      <c r="K544" s="8" t="s">
        <v>27</v>
      </c>
      <c r="L544" s="1" t="s">
        <v>586</v>
      </c>
      <c r="M544" s="5">
        <v>3</v>
      </c>
      <c r="Q544" s="3"/>
      <c r="R544" s="3"/>
      <c r="S544" s="3"/>
    </row>
    <row r="545" spans="1:19" ht="15" x14ac:dyDescent="0.25">
      <c r="A545" s="7" t="s">
        <v>16</v>
      </c>
      <c r="B545" s="7" t="s">
        <v>372</v>
      </c>
      <c r="C545" s="7" t="s">
        <v>373</v>
      </c>
      <c r="D545" s="4">
        <v>19056055000141</v>
      </c>
      <c r="E545" s="8" t="s">
        <v>586</v>
      </c>
      <c r="F545" s="8" t="s">
        <v>29</v>
      </c>
      <c r="G545" s="7" t="s">
        <v>19</v>
      </c>
      <c r="H545" s="47" t="s">
        <v>207</v>
      </c>
      <c r="I545" s="47" t="s">
        <v>208</v>
      </c>
      <c r="J545" s="6">
        <v>64</v>
      </c>
      <c r="K545" s="8" t="s">
        <v>25</v>
      </c>
      <c r="L545" s="1" t="s">
        <v>586</v>
      </c>
      <c r="M545" s="5">
        <v>4</v>
      </c>
      <c r="Q545" s="3"/>
      <c r="R545" s="3"/>
      <c r="S545" s="3"/>
    </row>
    <row r="546" spans="1:19" ht="15" x14ac:dyDescent="0.25">
      <c r="A546" s="7" t="s">
        <v>16</v>
      </c>
      <c r="B546" s="7" t="s">
        <v>372</v>
      </c>
      <c r="C546" s="7" t="s">
        <v>373</v>
      </c>
      <c r="D546" s="4">
        <v>21371777000132</v>
      </c>
      <c r="E546" s="8" t="s">
        <v>589</v>
      </c>
      <c r="F546" s="8" t="s">
        <v>29</v>
      </c>
      <c r="G546" s="7" t="s">
        <v>19</v>
      </c>
      <c r="H546" s="47" t="s">
        <v>207</v>
      </c>
      <c r="I546" s="47" t="s">
        <v>208</v>
      </c>
      <c r="J546" s="6">
        <v>64</v>
      </c>
      <c r="K546" s="8" t="s">
        <v>25</v>
      </c>
      <c r="L546" s="1" t="s">
        <v>589</v>
      </c>
      <c r="M546" s="5">
        <v>18</v>
      </c>
      <c r="Q546" s="3"/>
      <c r="R546" s="3"/>
      <c r="S546" s="3"/>
    </row>
    <row r="547" spans="1:19" ht="15" x14ac:dyDescent="0.25">
      <c r="A547" s="7" t="s">
        <v>16</v>
      </c>
      <c r="B547" s="7" t="s">
        <v>372</v>
      </c>
      <c r="C547" s="7" t="s">
        <v>373</v>
      </c>
      <c r="D547" s="4">
        <v>29435005002687</v>
      </c>
      <c r="E547" s="8" t="s">
        <v>593</v>
      </c>
      <c r="F547" s="8" t="s">
        <v>29</v>
      </c>
      <c r="G547" s="7" t="s">
        <v>19</v>
      </c>
      <c r="H547" s="47" t="s">
        <v>207</v>
      </c>
      <c r="I547" s="47" t="s">
        <v>208</v>
      </c>
      <c r="J547" s="6">
        <v>64</v>
      </c>
      <c r="K547" s="8" t="s">
        <v>25</v>
      </c>
      <c r="L547" s="1" t="s">
        <v>593</v>
      </c>
      <c r="M547" s="5">
        <v>10</v>
      </c>
      <c r="Q547" s="3"/>
      <c r="R547" s="3"/>
      <c r="S547" s="3"/>
    </row>
    <row r="548" spans="1:19" ht="15" x14ac:dyDescent="0.25">
      <c r="A548" s="7" t="s">
        <v>16</v>
      </c>
      <c r="B548" s="7" t="s">
        <v>372</v>
      </c>
      <c r="C548" s="7" t="s">
        <v>373</v>
      </c>
      <c r="D548" s="4">
        <v>29435005009932</v>
      </c>
      <c r="E548" s="8" t="s">
        <v>595</v>
      </c>
      <c r="F548" s="8" t="s">
        <v>29</v>
      </c>
      <c r="G548" s="7" t="s">
        <v>19</v>
      </c>
      <c r="H548" s="47" t="s">
        <v>207</v>
      </c>
      <c r="I548" s="47" t="s">
        <v>208</v>
      </c>
      <c r="J548" s="6">
        <v>62</v>
      </c>
      <c r="K548" s="8" t="s">
        <v>27</v>
      </c>
      <c r="L548" s="1" t="s">
        <v>595</v>
      </c>
      <c r="M548" s="5">
        <v>7</v>
      </c>
      <c r="Q548" s="3"/>
      <c r="R548" s="3"/>
      <c r="S548" s="3"/>
    </row>
    <row r="549" spans="1:19" ht="15" x14ac:dyDescent="0.25">
      <c r="A549" s="7" t="s">
        <v>16</v>
      </c>
      <c r="B549" s="7" t="s">
        <v>372</v>
      </c>
      <c r="C549" s="7" t="s">
        <v>373</v>
      </c>
      <c r="D549" s="4">
        <v>29435005009932</v>
      </c>
      <c r="E549" s="8" t="s">
        <v>595</v>
      </c>
      <c r="F549" s="8" t="s">
        <v>29</v>
      </c>
      <c r="G549" s="7" t="s">
        <v>19</v>
      </c>
      <c r="H549" s="47" t="s">
        <v>207</v>
      </c>
      <c r="I549" s="47" t="s">
        <v>208</v>
      </c>
      <c r="J549" s="6">
        <v>64</v>
      </c>
      <c r="K549" s="8" t="s">
        <v>25</v>
      </c>
      <c r="L549" s="1" t="s">
        <v>595</v>
      </c>
      <c r="M549" s="5">
        <v>25</v>
      </c>
      <c r="Q549" s="3"/>
      <c r="R549" s="3"/>
      <c r="S549" s="3"/>
    </row>
    <row r="550" spans="1:19" ht="15" x14ac:dyDescent="0.25">
      <c r="A550" s="7" t="s">
        <v>16</v>
      </c>
      <c r="B550" s="7" t="s">
        <v>372</v>
      </c>
      <c r="C550" s="7" t="s">
        <v>373</v>
      </c>
      <c r="D550" s="4">
        <v>44649812021216</v>
      </c>
      <c r="E550" s="8" t="s">
        <v>1360</v>
      </c>
      <c r="F550" s="8" t="s">
        <v>29</v>
      </c>
      <c r="G550" s="7" t="s">
        <v>19</v>
      </c>
      <c r="H550" s="47" t="s">
        <v>207</v>
      </c>
      <c r="I550" s="47" t="s">
        <v>208</v>
      </c>
      <c r="J550" s="6">
        <v>73</v>
      </c>
      <c r="K550" s="8" t="s">
        <v>26</v>
      </c>
      <c r="L550" s="1" t="s">
        <v>1360</v>
      </c>
      <c r="M550" s="5">
        <v>24</v>
      </c>
      <c r="Q550" s="3"/>
      <c r="R550" s="3"/>
      <c r="S550" s="3"/>
    </row>
    <row r="551" spans="1:19" ht="15" x14ac:dyDescent="0.25">
      <c r="A551" s="7" t="s">
        <v>16</v>
      </c>
      <c r="B551" s="7" t="s">
        <v>372</v>
      </c>
      <c r="C551" s="7" t="s">
        <v>373</v>
      </c>
      <c r="D551" s="4">
        <v>46124624002670</v>
      </c>
      <c r="E551" s="8" t="s">
        <v>1226</v>
      </c>
      <c r="F551" s="8" t="s">
        <v>29</v>
      </c>
      <c r="G551" s="7" t="s">
        <v>19</v>
      </c>
      <c r="H551" s="47" t="s">
        <v>207</v>
      </c>
      <c r="I551" s="47" t="s">
        <v>208</v>
      </c>
      <c r="J551" s="6">
        <v>73</v>
      </c>
      <c r="K551" s="8" t="s">
        <v>26</v>
      </c>
      <c r="L551" s="1" t="s">
        <v>1226</v>
      </c>
      <c r="M551" s="5">
        <v>240</v>
      </c>
      <c r="Q551" s="3"/>
      <c r="R551" s="3"/>
      <c r="S551" s="3"/>
    </row>
    <row r="552" spans="1:19" ht="15" x14ac:dyDescent="0.25">
      <c r="A552" s="7" t="s">
        <v>16</v>
      </c>
      <c r="B552" s="7" t="s">
        <v>372</v>
      </c>
      <c r="C552" s="7" t="s">
        <v>373</v>
      </c>
      <c r="D552" s="4">
        <v>51722957000506</v>
      </c>
      <c r="E552" s="8" t="s">
        <v>602</v>
      </c>
      <c r="F552" s="8" t="s">
        <v>29</v>
      </c>
      <c r="G552" s="7" t="s">
        <v>19</v>
      </c>
      <c r="H552" s="47" t="s">
        <v>207</v>
      </c>
      <c r="I552" s="47" t="s">
        <v>208</v>
      </c>
      <c r="J552" s="6">
        <v>64</v>
      </c>
      <c r="K552" s="8" t="s">
        <v>25</v>
      </c>
      <c r="L552" s="1" t="s">
        <v>602</v>
      </c>
      <c r="M552" s="5">
        <v>4</v>
      </c>
      <c r="Q552" s="3"/>
      <c r="R552" s="3"/>
      <c r="S552" s="3"/>
    </row>
    <row r="553" spans="1:19" ht="15" x14ac:dyDescent="0.25">
      <c r="A553" s="7" t="s">
        <v>16</v>
      </c>
      <c r="B553" s="7" t="s">
        <v>372</v>
      </c>
      <c r="C553" s="7" t="s">
        <v>373</v>
      </c>
      <c r="D553" s="4">
        <v>51722957010226</v>
      </c>
      <c r="E553" s="8" t="s">
        <v>603</v>
      </c>
      <c r="F553" s="8" t="s">
        <v>29</v>
      </c>
      <c r="G553" s="7" t="s">
        <v>19</v>
      </c>
      <c r="H553" s="47" t="s">
        <v>207</v>
      </c>
      <c r="I553" s="47" t="s">
        <v>208</v>
      </c>
      <c r="J553" s="6">
        <v>73</v>
      </c>
      <c r="K553" s="8" t="s">
        <v>26</v>
      </c>
      <c r="L553" s="1" t="s">
        <v>603</v>
      </c>
      <c r="M553" s="5">
        <v>100</v>
      </c>
      <c r="Q553" s="3"/>
      <c r="R553" s="3"/>
      <c r="S553" s="3"/>
    </row>
    <row r="554" spans="1:19" ht="15" x14ac:dyDescent="0.25">
      <c r="A554" s="7" t="s">
        <v>16</v>
      </c>
      <c r="B554" s="7" t="s">
        <v>372</v>
      </c>
      <c r="C554" s="7" t="s">
        <v>373</v>
      </c>
      <c r="D554" s="4">
        <v>51722957012512</v>
      </c>
      <c r="E554" s="8" t="s">
        <v>604</v>
      </c>
      <c r="F554" s="8" t="s">
        <v>29</v>
      </c>
      <c r="G554" s="7" t="s">
        <v>19</v>
      </c>
      <c r="H554" s="47" t="s">
        <v>207</v>
      </c>
      <c r="I554" s="47" t="s">
        <v>208</v>
      </c>
      <c r="J554" s="6">
        <v>64</v>
      </c>
      <c r="K554" s="8" t="s">
        <v>25</v>
      </c>
      <c r="L554" s="1" t="s">
        <v>604</v>
      </c>
      <c r="M554" s="5">
        <v>6</v>
      </c>
      <c r="Q554" s="3"/>
      <c r="R554" s="3"/>
      <c r="S554" s="3"/>
    </row>
    <row r="555" spans="1:19" ht="15" x14ac:dyDescent="0.25">
      <c r="A555" s="7" t="s">
        <v>16</v>
      </c>
      <c r="B555" s="7" t="s">
        <v>372</v>
      </c>
      <c r="C555" s="7" t="s">
        <v>373</v>
      </c>
      <c r="D555" s="4">
        <v>56577059000606</v>
      </c>
      <c r="E555" s="8" t="s">
        <v>606</v>
      </c>
      <c r="F555" s="8" t="s">
        <v>29</v>
      </c>
      <c r="G555" s="7" t="s">
        <v>19</v>
      </c>
      <c r="H555" s="47" t="s">
        <v>207</v>
      </c>
      <c r="I555" s="47" t="s">
        <v>208</v>
      </c>
      <c r="J555" s="6">
        <v>64</v>
      </c>
      <c r="K555" s="8" t="s">
        <v>25</v>
      </c>
      <c r="L555" s="1" t="s">
        <v>606</v>
      </c>
      <c r="M555" s="5">
        <v>40</v>
      </c>
      <c r="Q555" s="3"/>
      <c r="R555" s="3"/>
      <c r="S555" s="3"/>
    </row>
    <row r="556" spans="1:19" ht="15" x14ac:dyDescent="0.25">
      <c r="A556" s="7" t="s">
        <v>16</v>
      </c>
      <c r="B556" s="7" t="s">
        <v>372</v>
      </c>
      <c r="C556" s="7" t="s">
        <v>373</v>
      </c>
      <c r="D556" s="4">
        <v>60448040000122</v>
      </c>
      <c r="E556" s="8" t="s">
        <v>609</v>
      </c>
      <c r="F556" s="8" t="s">
        <v>29</v>
      </c>
      <c r="G556" s="7" t="s">
        <v>19</v>
      </c>
      <c r="H556" s="47" t="s">
        <v>207</v>
      </c>
      <c r="I556" s="47" t="s">
        <v>208</v>
      </c>
      <c r="J556" s="6">
        <v>62</v>
      </c>
      <c r="K556" s="8" t="s">
        <v>27</v>
      </c>
      <c r="L556" s="1" t="s">
        <v>609</v>
      </c>
      <c r="M556" s="5">
        <v>165</v>
      </c>
      <c r="Q556" s="3"/>
      <c r="R556" s="3"/>
      <c r="S556" s="3"/>
    </row>
    <row r="557" spans="1:19" ht="15" x14ac:dyDescent="0.25">
      <c r="A557" s="7" t="s">
        <v>16</v>
      </c>
      <c r="B557" s="7" t="s">
        <v>372</v>
      </c>
      <c r="C557" s="7" t="s">
        <v>373</v>
      </c>
      <c r="D557" s="4">
        <v>60448040000122</v>
      </c>
      <c r="E557" s="8" t="s">
        <v>609</v>
      </c>
      <c r="F557" s="8" t="s">
        <v>29</v>
      </c>
      <c r="G557" s="7" t="s">
        <v>19</v>
      </c>
      <c r="H557" s="47" t="s">
        <v>207</v>
      </c>
      <c r="I557" s="47" t="s">
        <v>208</v>
      </c>
      <c r="J557" s="6">
        <v>64</v>
      </c>
      <c r="K557" s="8" t="s">
        <v>25</v>
      </c>
      <c r="L557" s="1" t="s">
        <v>609</v>
      </c>
      <c r="M557" s="5">
        <v>158</v>
      </c>
      <c r="Q557" s="3"/>
      <c r="R557" s="3"/>
      <c r="S557" s="3"/>
    </row>
    <row r="558" spans="1:19" ht="15" x14ac:dyDescent="0.25">
      <c r="A558" s="7" t="s">
        <v>16</v>
      </c>
      <c r="B558" s="7" t="s">
        <v>372</v>
      </c>
      <c r="C558" s="7" t="s">
        <v>373</v>
      </c>
      <c r="D558" s="4">
        <v>60453024000390</v>
      </c>
      <c r="E558" s="8" t="s">
        <v>610</v>
      </c>
      <c r="F558" s="8" t="s">
        <v>29</v>
      </c>
      <c r="G558" s="7" t="s">
        <v>19</v>
      </c>
      <c r="H558" s="47" t="s">
        <v>207</v>
      </c>
      <c r="I558" s="47" t="s">
        <v>208</v>
      </c>
      <c r="J558" s="6">
        <v>62</v>
      </c>
      <c r="K558" s="8" t="s">
        <v>27</v>
      </c>
      <c r="L558" s="1" t="s">
        <v>610</v>
      </c>
      <c r="M558" s="5">
        <v>50</v>
      </c>
      <c r="Q558" s="3"/>
      <c r="R558" s="3"/>
      <c r="S558" s="3"/>
    </row>
    <row r="559" spans="1:19" ht="15" x14ac:dyDescent="0.25">
      <c r="A559" s="7" t="s">
        <v>16</v>
      </c>
      <c r="B559" s="7" t="s">
        <v>372</v>
      </c>
      <c r="C559" s="7" t="s">
        <v>373</v>
      </c>
      <c r="D559" s="4">
        <v>60678604000113</v>
      </c>
      <c r="E559" s="8" t="s">
        <v>612</v>
      </c>
      <c r="F559" s="8" t="s">
        <v>29</v>
      </c>
      <c r="G559" s="7" t="s">
        <v>19</v>
      </c>
      <c r="H559" s="47" t="s">
        <v>207</v>
      </c>
      <c r="I559" s="47" t="s">
        <v>208</v>
      </c>
      <c r="J559" s="6">
        <v>62</v>
      </c>
      <c r="K559" s="8" t="s">
        <v>27</v>
      </c>
      <c r="L559" s="1" t="s">
        <v>612</v>
      </c>
      <c r="M559" s="5">
        <v>43</v>
      </c>
      <c r="Q559" s="3"/>
      <c r="R559" s="3"/>
      <c r="S559" s="3"/>
    </row>
    <row r="560" spans="1:19" ht="15" x14ac:dyDescent="0.25">
      <c r="A560" s="7" t="s">
        <v>16</v>
      </c>
      <c r="B560" s="7" t="s">
        <v>372</v>
      </c>
      <c r="C560" s="7" t="s">
        <v>373</v>
      </c>
      <c r="D560" s="4">
        <v>60726502000126</v>
      </c>
      <c r="E560" s="8" t="s">
        <v>613</v>
      </c>
      <c r="F560" s="8" t="s">
        <v>29</v>
      </c>
      <c r="G560" s="7" t="s">
        <v>19</v>
      </c>
      <c r="H560" s="47" t="s">
        <v>207</v>
      </c>
      <c r="I560" s="47" t="s">
        <v>208</v>
      </c>
      <c r="J560" s="6">
        <v>62</v>
      </c>
      <c r="K560" s="8" t="s">
        <v>27</v>
      </c>
      <c r="L560" s="1" t="s">
        <v>613</v>
      </c>
      <c r="M560" s="5">
        <v>7</v>
      </c>
      <c r="Q560" s="3"/>
      <c r="R560" s="3"/>
      <c r="S560" s="3"/>
    </row>
    <row r="561" spans="1:19" ht="15" x14ac:dyDescent="0.25">
      <c r="A561" s="7" t="s">
        <v>16</v>
      </c>
      <c r="B561" s="7" t="s">
        <v>372</v>
      </c>
      <c r="C561" s="7" t="s">
        <v>373</v>
      </c>
      <c r="D561" s="4">
        <v>60726502000126</v>
      </c>
      <c r="E561" s="8" t="s">
        <v>613</v>
      </c>
      <c r="F561" s="8" t="s">
        <v>29</v>
      </c>
      <c r="G561" s="7" t="s">
        <v>19</v>
      </c>
      <c r="H561" s="47" t="s">
        <v>207</v>
      </c>
      <c r="I561" s="47" t="s">
        <v>208</v>
      </c>
      <c r="J561" s="6">
        <v>64</v>
      </c>
      <c r="K561" s="8" t="s">
        <v>25</v>
      </c>
      <c r="L561" s="1" t="s">
        <v>613</v>
      </c>
      <c r="M561" s="5">
        <v>7</v>
      </c>
      <c r="Q561" s="3"/>
      <c r="R561" s="3"/>
      <c r="S561" s="3"/>
    </row>
    <row r="562" spans="1:19" ht="15" x14ac:dyDescent="0.25">
      <c r="A562" s="7" t="s">
        <v>16</v>
      </c>
      <c r="B562" s="7" t="s">
        <v>372</v>
      </c>
      <c r="C562" s="7" t="s">
        <v>373</v>
      </c>
      <c r="D562" s="4">
        <v>60726502000711</v>
      </c>
      <c r="E562" s="8" t="s">
        <v>614</v>
      </c>
      <c r="F562" s="8" t="s">
        <v>29</v>
      </c>
      <c r="G562" s="7" t="s">
        <v>19</v>
      </c>
      <c r="H562" s="47" t="s">
        <v>207</v>
      </c>
      <c r="I562" s="47" t="s">
        <v>208</v>
      </c>
      <c r="J562" s="6">
        <v>62</v>
      </c>
      <c r="K562" s="8" t="s">
        <v>27</v>
      </c>
      <c r="L562" s="1" t="s">
        <v>614</v>
      </c>
      <c r="M562" s="5">
        <v>6</v>
      </c>
      <c r="Q562" s="3"/>
      <c r="R562" s="3"/>
      <c r="S562" s="3"/>
    </row>
    <row r="563" spans="1:19" ht="15" x14ac:dyDescent="0.25">
      <c r="A563" s="7" t="s">
        <v>16</v>
      </c>
      <c r="B563" s="7" t="s">
        <v>372</v>
      </c>
      <c r="C563" s="7" t="s">
        <v>373</v>
      </c>
      <c r="D563" s="4">
        <v>60765823000130</v>
      </c>
      <c r="E563" s="8" t="s">
        <v>615</v>
      </c>
      <c r="F563" s="8" t="s">
        <v>29</v>
      </c>
      <c r="G563" s="7" t="s">
        <v>19</v>
      </c>
      <c r="H563" s="47" t="s">
        <v>207</v>
      </c>
      <c r="I563" s="47" t="s">
        <v>208</v>
      </c>
      <c r="J563" s="6">
        <v>62</v>
      </c>
      <c r="K563" s="8" t="s">
        <v>27</v>
      </c>
      <c r="L563" s="1" t="s">
        <v>615</v>
      </c>
      <c r="M563" s="5">
        <v>140</v>
      </c>
      <c r="Q563" s="3"/>
      <c r="R563" s="3"/>
      <c r="S563" s="3"/>
    </row>
    <row r="564" spans="1:19" ht="15" x14ac:dyDescent="0.25">
      <c r="A564" s="7" t="s">
        <v>16</v>
      </c>
      <c r="B564" s="7" t="s">
        <v>372</v>
      </c>
      <c r="C564" s="7" t="s">
        <v>373</v>
      </c>
      <c r="D564" s="4">
        <v>60765823000130</v>
      </c>
      <c r="E564" s="8" t="s">
        <v>615</v>
      </c>
      <c r="F564" s="8" t="s">
        <v>29</v>
      </c>
      <c r="G564" s="7" t="s">
        <v>19</v>
      </c>
      <c r="H564" s="47" t="s">
        <v>207</v>
      </c>
      <c r="I564" s="47" t="s">
        <v>208</v>
      </c>
      <c r="J564" s="6">
        <v>64</v>
      </c>
      <c r="K564" s="8" t="s">
        <v>25</v>
      </c>
      <c r="L564" s="1" t="s">
        <v>615</v>
      </c>
      <c r="M564" s="5">
        <v>100</v>
      </c>
      <c r="Q564" s="3"/>
      <c r="R564" s="3"/>
      <c r="S564" s="3"/>
    </row>
    <row r="565" spans="1:19" ht="15" x14ac:dyDescent="0.25">
      <c r="A565" s="7" t="s">
        <v>16</v>
      </c>
      <c r="B565" s="7" t="s">
        <v>372</v>
      </c>
      <c r="C565" s="7" t="s">
        <v>373</v>
      </c>
      <c r="D565" s="4">
        <v>60765823000130</v>
      </c>
      <c r="E565" s="8" t="s">
        <v>615</v>
      </c>
      <c r="F565" s="8" t="s">
        <v>29</v>
      </c>
      <c r="G565" s="7" t="s">
        <v>19</v>
      </c>
      <c r="H565" s="47" t="s">
        <v>207</v>
      </c>
      <c r="I565" s="47" t="s">
        <v>208</v>
      </c>
      <c r="J565" s="6">
        <v>73</v>
      </c>
      <c r="K565" s="8" t="s">
        <v>26</v>
      </c>
      <c r="L565" s="1" t="s">
        <v>615</v>
      </c>
      <c r="M565" s="5">
        <v>50</v>
      </c>
      <c r="Q565" s="3"/>
      <c r="R565" s="3"/>
      <c r="S565" s="3"/>
    </row>
    <row r="566" spans="1:19" ht="15" x14ac:dyDescent="0.25">
      <c r="A566" s="7" t="s">
        <v>16</v>
      </c>
      <c r="B566" s="7" t="s">
        <v>372</v>
      </c>
      <c r="C566" s="7" t="s">
        <v>373</v>
      </c>
      <c r="D566" s="4">
        <v>60777901000116</v>
      </c>
      <c r="E566" s="8" t="s">
        <v>616</v>
      </c>
      <c r="F566" s="8" t="s">
        <v>29</v>
      </c>
      <c r="G566" s="7" t="s">
        <v>19</v>
      </c>
      <c r="H566" s="47" t="s">
        <v>207</v>
      </c>
      <c r="I566" s="47" t="s">
        <v>208</v>
      </c>
      <c r="J566" s="6">
        <v>73</v>
      </c>
      <c r="K566" s="8" t="s">
        <v>26</v>
      </c>
      <c r="L566" s="1" t="s">
        <v>616</v>
      </c>
      <c r="M566" s="5">
        <v>60</v>
      </c>
      <c r="Q566" s="3"/>
      <c r="R566" s="3"/>
      <c r="S566" s="3"/>
    </row>
    <row r="567" spans="1:19" ht="15" x14ac:dyDescent="0.25">
      <c r="A567" s="7" t="s">
        <v>16</v>
      </c>
      <c r="B567" s="7" t="s">
        <v>372</v>
      </c>
      <c r="C567" s="7" t="s">
        <v>373</v>
      </c>
      <c r="D567" s="4">
        <v>60884855000316</v>
      </c>
      <c r="E567" s="8" t="s">
        <v>617</v>
      </c>
      <c r="F567" s="8" t="s">
        <v>29</v>
      </c>
      <c r="G567" s="7" t="s">
        <v>19</v>
      </c>
      <c r="H567" s="47" t="s">
        <v>207</v>
      </c>
      <c r="I567" s="47" t="s">
        <v>208</v>
      </c>
      <c r="J567" s="6">
        <v>64</v>
      </c>
      <c r="K567" s="8" t="s">
        <v>25</v>
      </c>
      <c r="L567" s="1" t="s">
        <v>617</v>
      </c>
      <c r="M567" s="5">
        <v>14</v>
      </c>
      <c r="Q567" s="3"/>
      <c r="R567" s="3"/>
      <c r="S567" s="3"/>
    </row>
    <row r="568" spans="1:19" ht="15" x14ac:dyDescent="0.25">
      <c r="A568" s="7" t="s">
        <v>16</v>
      </c>
      <c r="B568" s="7" t="s">
        <v>372</v>
      </c>
      <c r="C568" s="7" t="s">
        <v>373</v>
      </c>
      <c r="D568" s="4">
        <v>60884855000316</v>
      </c>
      <c r="E568" s="8" t="s">
        <v>617</v>
      </c>
      <c r="F568" s="8" t="s">
        <v>29</v>
      </c>
      <c r="G568" s="7" t="s">
        <v>19</v>
      </c>
      <c r="H568" s="47" t="s">
        <v>207</v>
      </c>
      <c r="I568" s="47" t="s">
        <v>208</v>
      </c>
      <c r="J568" s="6">
        <v>73</v>
      </c>
      <c r="K568" s="8" t="s">
        <v>26</v>
      </c>
      <c r="L568" s="1" t="s">
        <v>617</v>
      </c>
      <c r="M568" s="5">
        <v>32</v>
      </c>
      <c r="Q568" s="3"/>
      <c r="R568" s="3"/>
      <c r="S568" s="3"/>
    </row>
    <row r="569" spans="1:19" ht="15" x14ac:dyDescent="0.25">
      <c r="A569" s="7" t="s">
        <v>16</v>
      </c>
      <c r="B569" s="7" t="s">
        <v>372</v>
      </c>
      <c r="C569" s="7" t="s">
        <v>373</v>
      </c>
      <c r="D569" s="4">
        <v>60922168000771</v>
      </c>
      <c r="E569" s="8" t="s">
        <v>618</v>
      </c>
      <c r="F569" s="8" t="s">
        <v>29</v>
      </c>
      <c r="G569" s="7" t="s">
        <v>19</v>
      </c>
      <c r="H569" s="47" t="s">
        <v>207</v>
      </c>
      <c r="I569" s="47" t="s">
        <v>208</v>
      </c>
      <c r="J569" s="6">
        <v>62</v>
      </c>
      <c r="K569" s="8" t="s">
        <v>27</v>
      </c>
      <c r="L569" s="1" t="s">
        <v>618</v>
      </c>
      <c r="M569" s="5">
        <v>1</v>
      </c>
      <c r="Q569" s="3"/>
      <c r="R569" s="3"/>
      <c r="S569" s="3"/>
    </row>
    <row r="570" spans="1:19" ht="15" x14ac:dyDescent="0.25">
      <c r="A570" s="7" t="s">
        <v>16</v>
      </c>
      <c r="B570" s="7" t="s">
        <v>372</v>
      </c>
      <c r="C570" s="7" t="s">
        <v>373</v>
      </c>
      <c r="D570" s="4">
        <v>60922168000771</v>
      </c>
      <c r="E570" s="8" t="s">
        <v>618</v>
      </c>
      <c r="F570" s="8" t="s">
        <v>29</v>
      </c>
      <c r="G570" s="7" t="s">
        <v>19</v>
      </c>
      <c r="H570" s="47" t="s">
        <v>207</v>
      </c>
      <c r="I570" s="47" t="s">
        <v>208</v>
      </c>
      <c r="J570" s="6">
        <v>73</v>
      </c>
      <c r="K570" s="8" t="s">
        <v>26</v>
      </c>
      <c r="L570" s="1" t="s">
        <v>618</v>
      </c>
      <c r="M570" s="5">
        <v>18</v>
      </c>
      <c r="Q570" s="3"/>
      <c r="R570" s="3"/>
      <c r="S570" s="3"/>
    </row>
    <row r="571" spans="1:19" ht="15" x14ac:dyDescent="0.25">
      <c r="A571" s="7" t="s">
        <v>16</v>
      </c>
      <c r="B571" s="7" t="s">
        <v>372</v>
      </c>
      <c r="C571" s="7" t="s">
        <v>373</v>
      </c>
      <c r="D571" s="4">
        <v>60961422000155</v>
      </c>
      <c r="E571" s="8" t="s">
        <v>620</v>
      </c>
      <c r="F571" s="8" t="s">
        <v>29</v>
      </c>
      <c r="G571" s="7" t="s">
        <v>19</v>
      </c>
      <c r="H571" s="47" t="s">
        <v>207</v>
      </c>
      <c r="I571" s="47" t="s">
        <v>208</v>
      </c>
      <c r="J571" s="6">
        <v>62</v>
      </c>
      <c r="K571" s="8" t="s">
        <v>27</v>
      </c>
      <c r="L571" s="1" t="s">
        <v>620</v>
      </c>
      <c r="M571" s="5">
        <v>11</v>
      </c>
      <c r="Q571" s="3"/>
      <c r="R571" s="3"/>
      <c r="S571" s="3"/>
    </row>
    <row r="572" spans="1:19" ht="15" x14ac:dyDescent="0.25">
      <c r="A572" s="7" t="s">
        <v>16</v>
      </c>
      <c r="B572" s="7" t="s">
        <v>372</v>
      </c>
      <c r="C572" s="7" t="s">
        <v>373</v>
      </c>
      <c r="D572" s="4">
        <v>60961422000155</v>
      </c>
      <c r="E572" s="8" t="s">
        <v>620</v>
      </c>
      <c r="F572" s="8" t="s">
        <v>29</v>
      </c>
      <c r="G572" s="7" t="s">
        <v>19</v>
      </c>
      <c r="H572" s="47" t="s">
        <v>207</v>
      </c>
      <c r="I572" s="47" t="s">
        <v>208</v>
      </c>
      <c r="J572" s="6">
        <v>64</v>
      </c>
      <c r="K572" s="8" t="s">
        <v>25</v>
      </c>
      <c r="L572" s="1" t="s">
        <v>620</v>
      </c>
      <c r="M572" s="5">
        <v>5</v>
      </c>
      <c r="Q572" s="3"/>
      <c r="R572" s="3"/>
      <c r="S572" s="3"/>
    </row>
    <row r="573" spans="1:19" ht="15" x14ac:dyDescent="0.25">
      <c r="A573" s="7" t="s">
        <v>16</v>
      </c>
      <c r="B573" s="7" t="s">
        <v>372</v>
      </c>
      <c r="C573" s="7" t="s">
        <v>373</v>
      </c>
      <c r="D573" s="4">
        <v>60975737000232</v>
      </c>
      <c r="E573" s="8" t="s">
        <v>624</v>
      </c>
      <c r="F573" s="8" t="s">
        <v>29</v>
      </c>
      <c r="G573" s="7" t="s">
        <v>19</v>
      </c>
      <c r="H573" s="47" t="s">
        <v>207</v>
      </c>
      <c r="I573" s="47" t="s">
        <v>208</v>
      </c>
      <c r="J573" s="6">
        <v>64</v>
      </c>
      <c r="K573" s="8" t="s">
        <v>25</v>
      </c>
      <c r="L573" s="1" t="s">
        <v>624</v>
      </c>
      <c r="M573" s="5">
        <v>5</v>
      </c>
      <c r="Q573" s="3"/>
      <c r="R573" s="3"/>
      <c r="S573" s="3"/>
    </row>
    <row r="574" spans="1:19" ht="15" x14ac:dyDescent="0.25">
      <c r="A574" s="7" t="s">
        <v>16</v>
      </c>
      <c r="B574" s="7" t="s">
        <v>372</v>
      </c>
      <c r="C574" s="7" t="s">
        <v>373</v>
      </c>
      <c r="D574" s="4">
        <v>60975737001204</v>
      </c>
      <c r="E574" s="8" t="s">
        <v>625</v>
      </c>
      <c r="F574" s="8" t="s">
        <v>29</v>
      </c>
      <c r="G574" s="7" t="s">
        <v>19</v>
      </c>
      <c r="H574" s="47" t="s">
        <v>207</v>
      </c>
      <c r="I574" s="47" t="s">
        <v>208</v>
      </c>
      <c r="J574" s="6">
        <v>62</v>
      </c>
      <c r="K574" s="8" t="s">
        <v>27</v>
      </c>
      <c r="L574" s="1" t="s">
        <v>625</v>
      </c>
      <c r="M574" s="5">
        <v>6</v>
      </c>
      <c r="Q574" s="3"/>
      <c r="R574" s="3"/>
      <c r="S574" s="3"/>
    </row>
    <row r="575" spans="1:19" ht="15" x14ac:dyDescent="0.25">
      <c r="A575" s="7" t="s">
        <v>16</v>
      </c>
      <c r="B575" s="7" t="s">
        <v>372</v>
      </c>
      <c r="C575" s="7" t="s">
        <v>373</v>
      </c>
      <c r="D575" s="4">
        <v>60975737001204</v>
      </c>
      <c r="E575" s="8" t="s">
        <v>625</v>
      </c>
      <c r="F575" s="8" t="s">
        <v>29</v>
      </c>
      <c r="G575" s="7" t="s">
        <v>19</v>
      </c>
      <c r="H575" s="47" t="s">
        <v>207</v>
      </c>
      <c r="I575" s="47" t="s">
        <v>208</v>
      </c>
      <c r="J575" s="6">
        <v>64</v>
      </c>
      <c r="K575" s="8" t="s">
        <v>25</v>
      </c>
      <c r="L575" s="1" t="s">
        <v>625</v>
      </c>
      <c r="M575" s="5">
        <v>6</v>
      </c>
      <c r="Q575" s="3"/>
      <c r="R575" s="3"/>
      <c r="S575" s="3"/>
    </row>
    <row r="576" spans="1:19" ht="15" x14ac:dyDescent="0.25">
      <c r="A576" s="7" t="s">
        <v>16</v>
      </c>
      <c r="B576" s="7" t="s">
        <v>372</v>
      </c>
      <c r="C576" s="7" t="s">
        <v>373</v>
      </c>
      <c r="D576" s="4">
        <v>60975737005110</v>
      </c>
      <c r="E576" s="8" t="s">
        <v>626</v>
      </c>
      <c r="F576" s="8" t="s">
        <v>29</v>
      </c>
      <c r="G576" s="7" t="s">
        <v>19</v>
      </c>
      <c r="H576" s="47" t="s">
        <v>207</v>
      </c>
      <c r="I576" s="47" t="s">
        <v>208</v>
      </c>
      <c r="J576" s="6">
        <v>64</v>
      </c>
      <c r="K576" s="8" t="s">
        <v>25</v>
      </c>
      <c r="L576" s="1" t="s">
        <v>626</v>
      </c>
      <c r="M576" s="5">
        <v>3</v>
      </c>
      <c r="Q576" s="3"/>
      <c r="R576" s="3"/>
      <c r="S576" s="3"/>
    </row>
    <row r="577" spans="1:19" ht="15" x14ac:dyDescent="0.25">
      <c r="A577" s="7" t="s">
        <v>16</v>
      </c>
      <c r="B577" s="7" t="s">
        <v>372</v>
      </c>
      <c r="C577" s="7" t="s">
        <v>373</v>
      </c>
      <c r="D577" s="4">
        <v>60992427000650</v>
      </c>
      <c r="E577" s="8" t="s">
        <v>627</v>
      </c>
      <c r="F577" s="8" t="s">
        <v>29</v>
      </c>
      <c r="G577" s="7" t="s">
        <v>19</v>
      </c>
      <c r="H577" s="47" t="s">
        <v>207</v>
      </c>
      <c r="I577" s="47" t="s">
        <v>208</v>
      </c>
      <c r="J577" s="6">
        <v>64</v>
      </c>
      <c r="K577" s="8" t="s">
        <v>25</v>
      </c>
      <c r="L577" s="1" t="s">
        <v>627</v>
      </c>
      <c r="M577" s="5">
        <v>5</v>
      </c>
      <c r="Q577" s="3"/>
      <c r="R577" s="3"/>
      <c r="S577" s="3"/>
    </row>
    <row r="578" spans="1:19" ht="15" x14ac:dyDescent="0.25">
      <c r="A578" s="7" t="s">
        <v>16</v>
      </c>
      <c r="B578" s="7" t="s">
        <v>372</v>
      </c>
      <c r="C578" s="7" t="s">
        <v>373</v>
      </c>
      <c r="D578" s="4">
        <v>61213674000240</v>
      </c>
      <c r="E578" s="8" t="s">
        <v>629</v>
      </c>
      <c r="F578" s="8" t="s">
        <v>29</v>
      </c>
      <c r="G578" s="7" t="s">
        <v>19</v>
      </c>
      <c r="H578" s="47" t="s">
        <v>207</v>
      </c>
      <c r="I578" s="47" t="s">
        <v>208</v>
      </c>
      <c r="J578" s="6">
        <v>62</v>
      </c>
      <c r="K578" s="8" t="s">
        <v>27</v>
      </c>
      <c r="L578" s="1" t="s">
        <v>629</v>
      </c>
      <c r="M578" s="5">
        <v>4</v>
      </c>
      <c r="Q578" s="3"/>
      <c r="R578" s="3"/>
      <c r="S578" s="3"/>
    </row>
    <row r="579" spans="1:19" ht="15" x14ac:dyDescent="0.25">
      <c r="A579" s="7" t="s">
        <v>16</v>
      </c>
      <c r="B579" s="7" t="s">
        <v>372</v>
      </c>
      <c r="C579" s="7" t="s">
        <v>373</v>
      </c>
      <c r="D579" s="4">
        <v>61213674000240</v>
      </c>
      <c r="E579" s="8" t="s">
        <v>629</v>
      </c>
      <c r="F579" s="8" t="s">
        <v>29</v>
      </c>
      <c r="G579" s="7" t="s">
        <v>19</v>
      </c>
      <c r="H579" s="47" t="s">
        <v>207</v>
      </c>
      <c r="I579" s="47" t="s">
        <v>208</v>
      </c>
      <c r="J579" s="6">
        <v>64</v>
      </c>
      <c r="K579" s="8" t="s">
        <v>25</v>
      </c>
      <c r="L579" s="1" t="s">
        <v>629</v>
      </c>
      <c r="M579" s="5">
        <v>1</v>
      </c>
      <c r="Q579" s="3"/>
      <c r="R579" s="3"/>
      <c r="S579" s="3"/>
    </row>
    <row r="580" spans="1:19" ht="15" x14ac:dyDescent="0.25">
      <c r="A580" s="7" t="s">
        <v>16</v>
      </c>
      <c r="B580" s="7" t="s">
        <v>372</v>
      </c>
      <c r="C580" s="7" t="s">
        <v>373</v>
      </c>
      <c r="D580" s="4">
        <v>61213674000240</v>
      </c>
      <c r="E580" s="8" t="s">
        <v>629</v>
      </c>
      <c r="F580" s="8" t="s">
        <v>29</v>
      </c>
      <c r="G580" s="7" t="s">
        <v>19</v>
      </c>
      <c r="H580" s="47" t="s">
        <v>207</v>
      </c>
      <c r="I580" s="47" t="s">
        <v>208</v>
      </c>
      <c r="J580" s="6">
        <v>73</v>
      </c>
      <c r="K580" s="8" t="s">
        <v>26</v>
      </c>
      <c r="L580" s="1" t="s">
        <v>629</v>
      </c>
      <c r="M580" s="5">
        <v>49</v>
      </c>
      <c r="Q580" s="3"/>
      <c r="R580" s="3"/>
      <c r="S580" s="3"/>
    </row>
    <row r="581" spans="1:19" ht="15" x14ac:dyDescent="0.25">
      <c r="A581" s="7" t="s">
        <v>16</v>
      </c>
      <c r="B581" s="7" t="s">
        <v>372</v>
      </c>
      <c r="C581" s="7" t="s">
        <v>373</v>
      </c>
      <c r="D581" s="4">
        <v>61599908000158</v>
      </c>
      <c r="E581" s="8" t="s">
        <v>631</v>
      </c>
      <c r="F581" s="8" t="s">
        <v>29</v>
      </c>
      <c r="G581" s="7" t="s">
        <v>19</v>
      </c>
      <c r="H581" s="47" t="s">
        <v>207</v>
      </c>
      <c r="I581" s="47" t="s">
        <v>208</v>
      </c>
      <c r="J581" s="6">
        <v>62</v>
      </c>
      <c r="K581" s="8" t="s">
        <v>27</v>
      </c>
      <c r="L581" s="1" t="s">
        <v>631</v>
      </c>
      <c r="M581" s="5">
        <v>10</v>
      </c>
      <c r="Q581" s="3"/>
      <c r="R581" s="3"/>
      <c r="S581" s="3"/>
    </row>
    <row r="582" spans="1:19" ht="15" x14ac:dyDescent="0.25">
      <c r="A582" s="7" t="s">
        <v>16</v>
      </c>
      <c r="B582" s="7" t="s">
        <v>372</v>
      </c>
      <c r="C582" s="7" t="s">
        <v>373</v>
      </c>
      <c r="D582" s="4">
        <v>62779145000190</v>
      </c>
      <c r="E582" s="8" t="s">
        <v>634</v>
      </c>
      <c r="F582" s="8" t="s">
        <v>29</v>
      </c>
      <c r="G582" s="7" t="s">
        <v>19</v>
      </c>
      <c r="H582" s="47" t="s">
        <v>207</v>
      </c>
      <c r="I582" s="47" t="s">
        <v>208</v>
      </c>
      <c r="J582" s="6">
        <v>64</v>
      </c>
      <c r="K582" s="8" t="s">
        <v>25</v>
      </c>
      <c r="L582" s="1" t="s">
        <v>634</v>
      </c>
      <c r="M582" s="5">
        <v>6</v>
      </c>
      <c r="Q582" s="3"/>
      <c r="R582" s="3"/>
      <c r="S582" s="3"/>
    </row>
    <row r="583" spans="1:19" ht="15" x14ac:dyDescent="0.25">
      <c r="A583" s="7" t="s">
        <v>16</v>
      </c>
      <c r="B583" s="7" t="s">
        <v>372</v>
      </c>
      <c r="C583" s="7" t="s">
        <v>373</v>
      </c>
      <c r="D583" s="4">
        <v>9591608000293</v>
      </c>
      <c r="E583" s="8" t="s">
        <v>1455</v>
      </c>
      <c r="F583" s="8" t="s">
        <v>29</v>
      </c>
      <c r="G583" s="7" t="s">
        <v>19</v>
      </c>
      <c r="H583" s="47"/>
      <c r="I583" s="47"/>
      <c r="J583" s="6">
        <v>62</v>
      </c>
      <c r="K583" s="8" t="s">
        <v>27</v>
      </c>
      <c r="L583" s="1" t="s">
        <v>1455</v>
      </c>
      <c r="M583" s="5">
        <v>24</v>
      </c>
      <c r="Q583" s="3"/>
      <c r="R583" s="3"/>
      <c r="S583" s="3"/>
    </row>
    <row r="584" spans="1:19" ht="15" x14ac:dyDescent="0.25">
      <c r="A584" s="7" t="s">
        <v>16</v>
      </c>
      <c r="B584" s="7" t="s">
        <v>372</v>
      </c>
      <c r="C584" s="7" t="s">
        <v>373</v>
      </c>
      <c r="D584" s="4">
        <v>9591608000293</v>
      </c>
      <c r="E584" s="8" t="s">
        <v>1455</v>
      </c>
      <c r="F584" s="8" t="s">
        <v>29</v>
      </c>
      <c r="G584" s="7" t="s">
        <v>19</v>
      </c>
      <c r="H584" s="47"/>
      <c r="I584" s="47"/>
      <c r="J584" s="6">
        <v>70</v>
      </c>
      <c r="K584" s="8" t="s">
        <v>20</v>
      </c>
      <c r="L584" s="1" t="s">
        <v>1455</v>
      </c>
      <c r="M584" s="5">
        <v>750</v>
      </c>
      <c r="Q584" s="3"/>
      <c r="R584" s="3"/>
      <c r="S584" s="3"/>
    </row>
    <row r="585" spans="1:19" ht="15" x14ac:dyDescent="0.25">
      <c r="A585" s="7" t="s">
        <v>16</v>
      </c>
      <c r="B585" s="7" t="s">
        <v>372</v>
      </c>
      <c r="C585" s="7" t="s">
        <v>373</v>
      </c>
      <c r="D585" s="4">
        <v>43586122000971</v>
      </c>
      <c r="E585" s="8" t="s">
        <v>1486</v>
      </c>
      <c r="F585" s="8" t="s">
        <v>29</v>
      </c>
      <c r="G585" s="7" t="s">
        <v>19</v>
      </c>
      <c r="H585" s="47"/>
      <c r="I585" s="47"/>
      <c r="J585" s="6">
        <v>70</v>
      </c>
      <c r="K585" s="8" t="s">
        <v>20</v>
      </c>
      <c r="L585" s="1" t="s">
        <v>1486</v>
      </c>
      <c r="M585" s="5">
        <v>170</v>
      </c>
      <c r="Q585" s="3"/>
      <c r="R585" s="3"/>
      <c r="S585" s="3"/>
    </row>
    <row r="586" spans="1:19" ht="15" x14ac:dyDescent="0.25">
      <c r="A586" s="7" t="s">
        <v>16</v>
      </c>
      <c r="B586" s="7" t="s">
        <v>372</v>
      </c>
      <c r="C586" s="7" t="s">
        <v>373</v>
      </c>
      <c r="D586" s="4">
        <v>46374500011803</v>
      </c>
      <c r="E586" s="8" t="s">
        <v>1487</v>
      </c>
      <c r="F586" s="8" t="s">
        <v>29</v>
      </c>
      <c r="G586" s="7" t="s">
        <v>19</v>
      </c>
      <c r="H586" s="47"/>
      <c r="I586" s="47"/>
      <c r="J586" s="6">
        <v>70</v>
      </c>
      <c r="K586" s="8" t="s">
        <v>20</v>
      </c>
      <c r="L586" s="1" t="s">
        <v>1487</v>
      </c>
      <c r="M586" s="5">
        <v>350</v>
      </c>
      <c r="Q586" s="3"/>
      <c r="R586" s="3"/>
      <c r="S586" s="3"/>
    </row>
    <row r="587" spans="1:19" ht="15" x14ac:dyDescent="0.25">
      <c r="A587" s="7" t="s">
        <v>16</v>
      </c>
      <c r="B587" s="7" t="s">
        <v>372</v>
      </c>
      <c r="C587" s="7" t="s">
        <v>373</v>
      </c>
      <c r="D587" s="4">
        <v>60742616001301</v>
      </c>
      <c r="E587" s="8" t="s">
        <v>1495</v>
      </c>
      <c r="F587" s="8" t="s">
        <v>29</v>
      </c>
      <c r="G587" s="7" t="s">
        <v>19</v>
      </c>
      <c r="H587" s="47"/>
      <c r="I587" s="47"/>
      <c r="J587" s="6">
        <v>70</v>
      </c>
      <c r="K587" s="8" t="s">
        <v>20</v>
      </c>
      <c r="L587" s="1" t="s">
        <v>1495</v>
      </c>
      <c r="M587" s="5">
        <v>120</v>
      </c>
      <c r="Q587" s="3"/>
      <c r="R587" s="3"/>
      <c r="S587" s="3"/>
    </row>
    <row r="588" spans="1:19" ht="15" x14ac:dyDescent="0.25">
      <c r="A588" s="7" t="s">
        <v>16</v>
      </c>
      <c r="B588" s="7" t="s">
        <v>372</v>
      </c>
      <c r="C588" s="7" t="s">
        <v>373</v>
      </c>
      <c r="D588" s="4">
        <v>60840055000131</v>
      </c>
      <c r="E588" s="8" t="s">
        <v>1496</v>
      </c>
      <c r="F588" s="8" t="s">
        <v>29</v>
      </c>
      <c r="G588" s="7" t="s">
        <v>19</v>
      </c>
      <c r="H588" s="47"/>
      <c r="I588" s="47"/>
      <c r="J588" s="6">
        <v>73</v>
      </c>
      <c r="K588" s="8" t="s">
        <v>26</v>
      </c>
      <c r="L588" s="1" t="s">
        <v>1496</v>
      </c>
      <c r="M588" s="5">
        <v>10</v>
      </c>
      <c r="Q588" s="3"/>
      <c r="R588" s="3"/>
      <c r="S588" s="3"/>
    </row>
    <row r="589" spans="1:19" ht="15" x14ac:dyDescent="0.25">
      <c r="A589" s="7" t="s">
        <v>16</v>
      </c>
      <c r="B589" s="7" t="s">
        <v>372</v>
      </c>
      <c r="C589" s="7" t="s">
        <v>373</v>
      </c>
      <c r="D589" s="4">
        <v>60975976000101</v>
      </c>
      <c r="E589" s="8" t="s">
        <v>1497</v>
      </c>
      <c r="F589" s="8" t="s">
        <v>29</v>
      </c>
      <c r="G589" s="7" t="s">
        <v>19</v>
      </c>
      <c r="H589" s="47"/>
      <c r="I589" s="47"/>
      <c r="J589" s="6">
        <v>64</v>
      </c>
      <c r="K589" s="8" t="s">
        <v>25</v>
      </c>
      <c r="L589" s="1" t="s">
        <v>1497</v>
      </c>
      <c r="M589" s="5">
        <v>4</v>
      </c>
      <c r="Q589" s="3"/>
      <c r="R589" s="3"/>
      <c r="S589" s="3"/>
    </row>
    <row r="590" spans="1:19" ht="15" x14ac:dyDescent="0.25">
      <c r="A590" s="7" t="s">
        <v>16</v>
      </c>
      <c r="B590" s="7" t="s">
        <v>372</v>
      </c>
      <c r="C590" s="7" t="s">
        <v>373</v>
      </c>
      <c r="D590" s="4">
        <v>461479007257</v>
      </c>
      <c r="E590" s="8" t="s">
        <v>1435</v>
      </c>
      <c r="F590" s="8" t="s">
        <v>35</v>
      </c>
      <c r="G590" s="7" t="s">
        <v>19</v>
      </c>
      <c r="H590" s="47"/>
      <c r="I590" s="47"/>
      <c r="J590" s="6">
        <v>70</v>
      </c>
      <c r="K590" s="8" t="s">
        <v>20</v>
      </c>
      <c r="L590" s="1" t="s">
        <v>1435</v>
      </c>
      <c r="M590" s="5">
        <v>175</v>
      </c>
      <c r="Q590" s="3"/>
      <c r="R590" s="3"/>
      <c r="S590" s="3"/>
    </row>
    <row r="591" spans="1:19" ht="15" x14ac:dyDescent="0.25">
      <c r="A591" s="7" t="s">
        <v>16</v>
      </c>
      <c r="B591" s="7" t="s">
        <v>372</v>
      </c>
      <c r="C591" s="7" t="s">
        <v>373</v>
      </c>
      <c r="D591" s="4">
        <v>745887000570</v>
      </c>
      <c r="E591" s="8" t="s">
        <v>1436</v>
      </c>
      <c r="F591" s="8" t="s">
        <v>1437</v>
      </c>
      <c r="G591" s="7" t="s">
        <v>19</v>
      </c>
      <c r="H591" s="47"/>
      <c r="I591" s="47"/>
      <c r="J591" s="6">
        <v>70</v>
      </c>
      <c r="K591" s="8" t="s">
        <v>20</v>
      </c>
      <c r="L591" s="1" t="s">
        <v>1436</v>
      </c>
      <c r="M591" s="5">
        <v>50</v>
      </c>
      <c r="Q591" s="3"/>
      <c r="R591" s="3"/>
      <c r="S591" s="3"/>
    </row>
    <row r="592" spans="1:19" ht="15" x14ac:dyDescent="0.25">
      <c r="A592" s="7" t="s">
        <v>16</v>
      </c>
      <c r="B592" s="7" t="s">
        <v>372</v>
      </c>
      <c r="C592" s="7" t="s">
        <v>373</v>
      </c>
      <c r="D592" s="4">
        <v>2639768000135</v>
      </c>
      <c r="E592" s="8" t="s">
        <v>1446</v>
      </c>
      <c r="F592" s="8" t="s">
        <v>1372</v>
      </c>
      <c r="G592" s="7" t="s">
        <v>19</v>
      </c>
      <c r="H592" s="47"/>
      <c r="I592" s="47"/>
      <c r="J592" s="6">
        <v>70</v>
      </c>
      <c r="K592" s="8" t="s">
        <v>20</v>
      </c>
      <c r="L592" s="1" t="s">
        <v>1446</v>
      </c>
      <c r="M592" s="5">
        <v>10</v>
      </c>
      <c r="Q592" s="3"/>
      <c r="R592" s="3"/>
      <c r="S592" s="3"/>
    </row>
    <row r="593" spans="1:19" ht="15" x14ac:dyDescent="0.25">
      <c r="A593" s="7" t="s">
        <v>16</v>
      </c>
      <c r="B593" s="7" t="s">
        <v>372</v>
      </c>
      <c r="C593" s="7" t="s">
        <v>373</v>
      </c>
      <c r="D593" s="4">
        <v>3117525000108</v>
      </c>
      <c r="E593" s="8" t="s">
        <v>1447</v>
      </c>
      <c r="F593" s="8" t="s">
        <v>35</v>
      </c>
      <c r="G593" s="7" t="s">
        <v>19</v>
      </c>
      <c r="H593" s="47"/>
      <c r="I593" s="47"/>
      <c r="J593" s="6">
        <v>70</v>
      </c>
      <c r="K593" s="8" t="s">
        <v>20</v>
      </c>
      <c r="L593" s="1" t="s">
        <v>1447</v>
      </c>
      <c r="M593" s="5">
        <v>160</v>
      </c>
      <c r="Q593" s="3"/>
      <c r="R593" s="3"/>
      <c r="S593" s="3"/>
    </row>
    <row r="594" spans="1:19" ht="15" x14ac:dyDescent="0.25">
      <c r="A594" s="7" t="s">
        <v>16</v>
      </c>
      <c r="B594" s="7" t="s">
        <v>372</v>
      </c>
      <c r="C594" s="7" t="s">
        <v>373</v>
      </c>
      <c r="D594" s="4">
        <v>4708424000166</v>
      </c>
      <c r="E594" s="8" t="s">
        <v>1450</v>
      </c>
      <c r="F594" s="8" t="s">
        <v>674</v>
      </c>
      <c r="G594" s="7" t="s">
        <v>19</v>
      </c>
      <c r="H594" s="47"/>
      <c r="I594" s="47"/>
      <c r="J594" s="6">
        <v>64</v>
      </c>
      <c r="K594" s="8" t="s">
        <v>25</v>
      </c>
      <c r="L594" s="1" t="s">
        <v>1450</v>
      </c>
      <c r="M594" s="5">
        <v>1</v>
      </c>
      <c r="Q594" s="3"/>
      <c r="R594" s="3"/>
      <c r="S594" s="3"/>
    </row>
    <row r="595" spans="1:19" ht="15" x14ac:dyDescent="0.25">
      <c r="A595" s="7" t="s">
        <v>16</v>
      </c>
      <c r="B595" s="7" t="s">
        <v>372</v>
      </c>
      <c r="C595" s="7" t="s">
        <v>373</v>
      </c>
      <c r="D595" s="4">
        <v>33215770000100</v>
      </c>
      <c r="E595" s="8" t="s">
        <v>1476</v>
      </c>
      <c r="F595" s="8" t="s">
        <v>1477</v>
      </c>
      <c r="G595" s="7" t="s">
        <v>19</v>
      </c>
      <c r="H595" s="47"/>
      <c r="I595" s="47"/>
      <c r="J595" s="6">
        <v>70</v>
      </c>
      <c r="K595" s="8" t="s">
        <v>20</v>
      </c>
      <c r="L595" s="1" t="s">
        <v>1476</v>
      </c>
      <c r="M595" s="5">
        <v>110</v>
      </c>
      <c r="Q595" s="3"/>
      <c r="R595" s="3"/>
      <c r="S595" s="3"/>
    </row>
    <row r="596" spans="1:19" ht="15" x14ac:dyDescent="0.25">
      <c r="A596" s="7" t="s">
        <v>16</v>
      </c>
      <c r="B596" s="7" t="s">
        <v>372</v>
      </c>
      <c r="C596" s="7" t="s">
        <v>373</v>
      </c>
      <c r="D596" s="4">
        <v>47018676000176</v>
      </c>
      <c r="E596" s="8" t="s">
        <v>1488</v>
      </c>
      <c r="F596" s="8" t="s">
        <v>33</v>
      </c>
      <c r="G596" s="7" t="s">
        <v>19</v>
      </c>
      <c r="H596" s="47"/>
      <c r="I596" s="47"/>
      <c r="J596" s="6">
        <v>70</v>
      </c>
      <c r="K596" s="8" t="s">
        <v>20</v>
      </c>
      <c r="L596" s="1" t="s">
        <v>1488</v>
      </c>
      <c r="M596" s="5">
        <v>225</v>
      </c>
      <c r="Q596" s="3"/>
      <c r="R596" s="3"/>
      <c r="S596" s="3"/>
    </row>
    <row r="597" spans="1:19" ht="15" x14ac:dyDescent="0.25">
      <c r="A597" s="7" t="s">
        <v>16</v>
      </c>
      <c r="B597" s="7" t="s">
        <v>372</v>
      </c>
      <c r="C597" s="7" t="s">
        <v>373</v>
      </c>
      <c r="D597" s="4">
        <v>50739135001709</v>
      </c>
      <c r="E597" s="8" t="s">
        <v>1489</v>
      </c>
      <c r="F597" s="8" t="s">
        <v>678</v>
      </c>
      <c r="G597" s="7" t="s">
        <v>19</v>
      </c>
      <c r="H597" s="47"/>
      <c r="I597" s="47"/>
      <c r="J597" s="6">
        <v>70</v>
      </c>
      <c r="K597" s="8" t="s">
        <v>20</v>
      </c>
      <c r="L597" s="1" t="s">
        <v>1489</v>
      </c>
      <c r="M597" s="5">
        <v>295</v>
      </c>
      <c r="Q597" s="3"/>
      <c r="R597" s="3"/>
      <c r="S597" s="3"/>
    </row>
    <row r="598" spans="1:19" ht="15" x14ac:dyDescent="0.25">
      <c r="A598" s="7" t="s">
        <v>16</v>
      </c>
      <c r="B598" s="7" t="s">
        <v>372</v>
      </c>
      <c r="C598" s="7" t="s">
        <v>373</v>
      </c>
      <c r="D598" s="4">
        <v>51427540000359</v>
      </c>
      <c r="E598" s="8" t="s">
        <v>1490</v>
      </c>
      <c r="F598" s="8" t="s">
        <v>1491</v>
      </c>
      <c r="G598" s="7" t="s">
        <v>19</v>
      </c>
      <c r="H598" s="47"/>
      <c r="I598" s="47"/>
      <c r="J598" s="6">
        <v>70</v>
      </c>
      <c r="K598" s="8" t="s">
        <v>20</v>
      </c>
      <c r="L598" s="1" t="s">
        <v>1490</v>
      </c>
      <c r="M598" s="5">
        <v>45</v>
      </c>
      <c r="Q598" s="3"/>
      <c r="R598" s="3"/>
      <c r="S598" s="3"/>
    </row>
    <row r="599" spans="1:19" ht="15" x14ac:dyDescent="0.25">
      <c r="A599" s="7" t="s">
        <v>16</v>
      </c>
      <c r="B599" s="7" t="s">
        <v>372</v>
      </c>
      <c r="C599" s="7" t="s">
        <v>373</v>
      </c>
      <c r="D599" s="4">
        <v>56014830000122</v>
      </c>
      <c r="E599" s="8" t="s">
        <v>1492</v>
      </c>
      <c r="F599" s="8" t="s">
        <v>639</v>
      </c>
      <c r="G599" s="7" t="s">
        <v>19</v>
      </c>
      <c r="H599" s="47"/>
      <c r="I599" s="47"/>
      <c r="J599" s="6">
        <v>70</v>
      </c>
      <c r="K599" s="8" t="s">
        <v>20</v>
      </c>
      <c r="L599" s="1" t="s">
        <v>1492</v>
      </c>
      <c r="M599" s="5">
        <v>70</v>
      </c>
      <c r="Q599" s="3"/>
      <c r="R599" s="3"/>
      <c r="S599" s="3"/>
    </row>
    <row r="600" spans="1:19" ht="15" x14ac:dyDescent="0.25">
      <c r="A600" s="7" t="s">
        <v>16</v>
      </c>
      <c r="B600" s="7" t="s">
        <v>372</v>
      </c>
      <c r="C600" s="7" t="s">
        <v>373</v>
      </c>
      <c r="D600" s="4">
        <v>58597774000121</v>
      </c>
      <c r="E600" s="8" t="s">
        <v>1493</v>
      </c>
      <c r="F600" s="8" t="s">
        <v>33</v>
      </c>
      <c r="G600" s="7" t="s">
        <v>19</v>
      </c>
      <c r="H600" s="47"/>
      <c r="I600" s="47"/>
      <c r="J600" s="6">
        <v>70</v>
      </c>
      <c r="K600" s="8" t="s">
        <v>20</v>
      </c>
      <c r="L600" s="1" t="s">
        <v>1493</v>
      </c>
      <c r="M600" s="5">
        <v>100</v>
      </c>
      <c r="Q600" s="3"/>
      <c r="R600" s="3"/>
      <c r="S600" s="3"/>
    </row>
    <row r="601" spans="1:19" ht="15" x14ac:dyDescent="0.25">
      <c r="A601" s="7" t="s">
        <v>16</v>
      </c>
      <c r="B601" s="7" t="s">
        <v>372</v>
      </c>
      <c r="C601" s="7" t="s">
        <v>373</v>
      </c>
      <c r="D601" s="4">
        <v>60190550000142</v>
      </c>
      <c r="E601" s="8" t="s">
        <v>1494</v>
      </c>
      <c r="F601" s="8" t="s">
        <v>650</v>
      </c>
      <c r="G601" s="7" t="s">
        <v>19</v>
      </c>
      <c r="H601" s="47"/>
      <c r="I601" s="47"/>
      <c r="J601" s="6">
        <v>66</v>
      </c>
      <c r="K601" s="8" t="s">
        <v>28</v>
      </c>
      <c r="L601" s="1" t="s">
        <v>1494</v>
      </c>
      <c r="M601" s="5">
        <v>1</v>
      </c>
      <c r="Q601" s="3"/>
      <c r="R601" s="3"/>
      <c r="S601" s="3"/>
    </row>
    <row r="602" spans="1:19" ht="15" x14ac:dyDescent="0.25">
      <c r="A602" s="7" t="s">
        <v>16</v>
      </c>
      <c r="B602" s="7" t="s">
        <v>372</v>
      </c>
      <c r="C602" s="7" t="s">
        <v>373</v>
      </c>
      <c r="D602" s="4">
        <v>61687356004399</v>
      </c>
      <c r="E602" s="8" t="s">
        <v>1498</v>
      </c>
      <c r="F602" s="8" t="s">
        <v>42</v>
      </c>
      <c r="G602" s="7" t="s">
        <v>19</v>
      </c>
      <c r="H602" s="47"/>
      <c r="I602" s="47"/>
      <c r="J602" s="6">
        <v>70</v>
      </c>
      <c r="K602" s="8" t="s">
        <v>20</v>
      </c>
      <c r="L602" s="1" t="s">
        <v>1498</v>
      </c>
      <c r="M602" s="5">
        <v>75</v>
      </c>
      <c r="Q602" s="3"/>
      <c r="R602" s="3"/>
      <c r="S602" s="3"/>
    </row>
    <row r="603" spans="1:19" ht="15" x14ac:dyDescent="0.25">
      <c r="A603" s="7" t="s">
        <v>16</v>
      </c>
      <c r="B603" s="7" t="s">
        <v>372</v>
      </c>
      <c r="C603" s="7" t="s">
        <v>373</v>
      </c>
      <c r="D603" s="4">
        <v>69289171000189</v>
      </c>
      <c r="E603" s="8" t="s">
        <v>1499</v>
      </c>
      <c r="F603" s="8" t="s">
        <v>1500</v>
      </c>
      <c r="G603" s="7" t="s">
        <v>19</v>
      </c>
      <c r="H603" s="47"/>
      <c r="I603" s="47"/>
      <c r="J603" s="6">
        <v>70</v>
      </c>
      <c r="K603" s="8" t="s">
        <v>20</v>
      </c>
      <c r="L603" s="1" t="s">
        <v>1499</v>
      </c>
      <c r="M603" s="5">
        <v>175</v>
      </c>
      <c r="Q603" s="3"/>
      <c r="R603" s="3"/>
      <c r="S603" s="3"/>
    </row>
    <row r="604" spans="1:19" ht="15" x14ac:dyDescent="0.25">
      <c r="A604" s="7" t="s">
        <v>16</v>
      </c>
      <c r="B604" s="7" t="s">
        <v>21</v>
      </c>
      <c r="C604" s="7" t="s">
        <v>18</v>
      </c>
      <c r="D604" s="4">
        <v>6033403000113</v>
      </c>
      <c r="E604" s="8" t="s">
        <v>646</v>
      </c>
      <c r="F604" s="8" t="s">
        <v>647</v>
      </c>
      <c r="G604" s="7" t="s">
        <v>19</v>
      </c>
      <c r="H604" s="47" t="s">
        <v>207</v>
      </c>
      <c r="I604" s="47" t="s">
        <v>208</v>
      </c>
      <c r="J604" s="6">
        <v>64</v>
      </c>
      <c r="K604" s="8" t="s">
        <v>25</v>
      </c>
      <c r="L604" s="1" t="s">
        <v>646</v>
      </c>
      <c r="M604" s="5">
        <v>2</v>
      </c>
      <c r="Q604" s="3"/>
      <c r="R604" s="3"/>
      <c r="S604" s="3"/>
    </row>
    <row r="605" spans="1:19" ht="15" x14ac:dyDescent="0.25">
      <c r="A605" s="7" t="s">
        <v>16</v>
      </c>
      <c r="B605" s="7" t="s">
        <v>17</v>
      </c>
      <c r="C605" s="7" t="s">
        <v>18</v>
      </c>
      <c r="D605" s="4">
        <v>6047087003073</v>
      </c>
      <c r="E605" s="8" t="s">
        <v>649</v>
      </c>
      <c r="F605" s="8" t="s">
        <v>650</v>
      </c>
      <c r="G605" s="7" t="s">
        <v>19</v>
      </c>
      <c r="H605" s="47" t="s">
        <v>207</v>
      </c>
      <c r="I605" s="47" t="s">
        <v>208</v>
      </c>
      <c r="J605" s="6">
        <v>66</v>
      </c>
      <c r="K605" s="8" t="s">
        <v>28</v>
      </c>
      <c r="L605" s="1" t="s">
        <v>649</v>
      </c>
      <c r="M605" s="5">
        <v>2</v>
      </c>
      <c r="Q605" s="3"/>
      <c r="R605" s="3"/>
      <c r="S605" s="3"/>
    </row>
    <row r="606" spans="1:19" ht="15" x14ac:dyDescent="0.25">
      <c r="A606" s="7" t="s">
        <v>16</v>
      </c>
      <c r="B606" s="7" t="s">
        <v>21</v>
      </c>
      <c r="C606" s="7" t="s">
        <v>18</v>
      </c>
      <c r="D606" s="4">
        <v>6047087003073</v>
      </c>
      <c r="E606" s="8" t="s">
        <v>649</v>
      </c>
      <c r="F606" s="8" t="s">
        <v>650</v>
      </c>
      <c r="G606" s="7" t="s">
        <v>19</v>
      </c>
      <c r="H606" s="47" t="s">
        <v>207</v>
      </c>
      <c r="I606" s="47" t="s">
        <v>208</v>
      </c>
      <c r="J606" s="6">
        <v>66</v>
      </c>
      <c r="K606" s="8" t="s">
        <v>28</v>
      </c>
      <c r="L606" s="1" t="s">
        <v>649</v>
      </c>
      <c r="M606" s="5">
        <v>1</v>
      </c>
      <c r="Q606" s="3"/>
      <c r="R606" s="3"/>
      <c r="S606" s="3"/>
    </row>
    <row r="607" spans="1:19" ht="15" x14ac:dyDescent="0.25">
      <c r="A607" s="7" t="s">
        <v>16</v>
      </c>
      <c r="B607" s="7" t="s">
        <v>17</v>
      </c>
      <c r="C607" s="7" t="s">
        <v>18</v>
      </c>
      <c r="D607" s="4">
        <v>6047087007656</v>
      </c>
      <c r="E607" s="8" t="s">
        <v>651</v>
      </c>
      <c r="F607" s="8" t="s">
        <v>32</v>
      </c>
      <c r="G607" s="7" t="s">
        <v>19</v>
      </c>
      <c r="H607" s="47" t="s">
        <v>207</v>
      </c>
      <c r="I607" s="47" t="s">
        <v>208</v>
      </c>
      <c r="J607" s="6">
        <v>62</v>
      </c>
      <c r="K607" s="8" t="s">
        <v>27</v>
      </c>
      <c r="L607" s="1" t="s">
        <v>651</v>
      </c>
      <c r="M607" s="5">
        <v>9</v>
      </c>
      <c r="Q607" s="3"/>
      <c r="R607" s="3"/>
      <c r="S607" s="3"/>
    </row>
    <row r="608" spans="1:19" ht="15" x14ac:dyDescent="0.25">
      <c r="A608" s="7" t="s">
        <v>16</v>
      </c>
      <c r="B608" s="7" t="s">
        <v>21</v>
      </c>
      <c r="C608" s="7" t="s">
        <v>18</v>
      </c>
      <c r="D608" s="4">
        <v>6047087007907</v>
      </c>
      <c r="E608" s="8" t="s">
        <v>652</v>
      </c>
      <c r="F608" s="8" t="s">
        <v>647</v>
      </c>
      <c r="G608" s="7" t="s">
        <v>19</v>
      </c>
      <c r="H608" s="47" t="s">
        <v>207</v>
      </c>
      <c r="I608" s="47" t="s">
        <v>208</v>
      </c>
      <c r="J608" s="6">
        <v>62</v>
      </c>
      <c r="K608" s="8" t="s">
        <v>27</v>
      </c>
      <c r="L608" s="1" t="s">
        <v>652</v>
      </c>
      <c r="M608" s="5">
        <v>12</v>
      </c>
      <c r="Q608" s="3"/>
      <c r="R608" s="3"/>
      <c r="S608" s="3"/>
    </row>
    <row r="609" spans="1:19" ht="15" x14ac:dyDescent="0.25">
      <c r="A609" s="7" t="s">
        <v>16</v>
      </c>
      <c r="B609" s="7" t="s">
        <v>17</v>
      </c>
      <c r="C609" s="7" t="s">
        <v>18</v>
      </c>
      <c r="D609" s="4">
        <v>44456036000311</v>
      </c>
      <c r="E609" s="8" t="s">
        <v>675</v>
      </c>
      <c r="F609" s="8" t="s">
        <v>37</v>
      </c>
      <c r="G609" s="7" t="s">
        <v>19</v>
      </c>
      <c r="H609" s="47" t="s">
        <v>207</v>
      </c>
      <c r="I609" s="47" t="s">
        <v>208</v>
      </c>
      <c r="J609" s="6">
        <v>62</v>
      </c>
      <c r="K609" s="8" t="s">
        <v>27</v>
      </c>
      <c r="L609" s="1" t="s">
        <v>675</v>
      </c>
      <c r="M609" s="5">
        <v>8</v>
      </c>
      <c r="Q609" s="3"/>
      <c r="R609" s="3"/>
      <c r="S609" s="3"/>
    </row>
    <row r="610" spans="1:19" ht="15" x14ac:dyDescent="0.25">
      <c r="A610" s="7" t="s">
        <v>16</v>
      </c>
      <c r="B610" s="7" t="s">
        <v>17</v>
      </c>
      <c r="C610" s="7" t="s">
        <v>18</v>
      </c>
      <c r="D610" s="4">
        <v>44456036000311</v>
      </c>
      <c r="E610" s="8" t="s">
        <v>675</v>
      </c>
      <c r="F610" s="8" t="s">
        <v>37</v>
      </c>
      <c r="G610" s="7" t="s">
        <v>19</v>
      </c>
      <c r="H610" s="47" t="s">
        <v>207</v>
      </c>
      <c r="I610" s="47" t="s">
        <v>208</v>
      </c>
      <c r="J610" s="6">
        <v>64</v>
      </c>
      <c r="K610" s="8" t="s">
        <v>25</v>
      </c>
      <c r="L610" s="1" t="s">
        <v>675</v>
      </c>
      <c r="M610" s="5">
        <v>2</v>
      </c>
      <c r="Q610" s="3"/>
      <c r="R610" s="3"/>
      <c r="S610" s="3"/>
    </row>
    <row r="611" spans="1:19" ht="15" x14ac:dyDescent="0.25">
      <c r="A611" s="7" t="s">
        <v>16</v>
      </c>
      <c r="B611" s="7" t="s">
        <v>17</v>
      </c>
      <c r="C611" s="7" t="s">
        <v>18</v>
      </c>
      <c r="D611" s="4">
        <v>59970947000178</v>
      </c>
      <c r="E611" s="8" t="s">
        <v>726</v>
      </c>
      <c r="F611" s="8" t="s">
        <v>643</v>
      </c>
      <c r="G611" s="7" t="s">
        <v>19</v>
      </c>
      <c r="H611" s="47" t="s">
        <v>207</v>
      </c>
      <c r="I611" s="47" t="s">
        <v>208</v>
      </c>
      <c r="J611" s="6">
        <v>62</v>
      </c>
      <c r="K611" s="8" t="s">
        <v>27</v>
      </c>
      <c r="L611" s="1" t="s">
        <v>726</v>
      </c>
      <c r="M611" s="5">
        <v>1</v>
      </c>
      <c r="Q611" s="3"/>
      <c r="R611" s="3"/>
      <c r="S611" s="3"/>
    </row>
    <row r="612" spans="1:19" ht="15" x14ac:dyDescent="0.25">
      <c r="A612" s="7" t="s">
        <v>16</v>
      </c>
      <c r="B612" s="7" t="s">
        <v>17</v>
      </c>
      <c r="C612" s="7" t="s">
        <v>18</v>
      </c>
      <c r="D612" s="4">
        <v>59972307000105</v>
      </c>
      <c r="E612" s="8" t="s">
        <v>727</v>
      </c>
      <c r="F612" s="8" t="s">
        <v>643</v>
      </c>
      <c r="G612" s="7" t="s">
        <v>19</v>
      </c>
      <c r="H612" s="47" t="s">
        <v>207</v>
      </c>
      <c r="I612" s="47" t="s">
        <v>208</v>
      </c>
      <c r="J612" s="6">
        <v>64</v>
      </c>
      <c r="K612" s="8" t="s">
        <v>25</v>
      </c>
      <c r="L612" s="1" t="s">
        <v>727</v>
      </c>
      <c r="M612" s="5">
        <v>2</v>
      </c>
      <c r="Q612" s="3"/>
      <c r="R612" s="3"/>
      <c r="S612" s="3"/>
    </row>
    <row r="613" spans="1:19" ht="15" x14ac:dyDescent="0.25">
      <c r="A613" s="7" t="s">
        <v>16</v>
      </c>
      <c r="B613" s="7" t="s">
        <v>17</v>
      </c>
      <c r="C613" s="7" t="s">
        <v>18</v>
      </c>
      <c r="D613" s="4">
        <v>60003761000129</v>
      </c>
      <c r="E613" s="8" t="s">
        <v>728</v>
      </c>
      <c r="F613" s="8" t="s">
        <v>643</v>
      </c>
      <c r="G613" s="7" t="s">
        <v>19</v>
      </c>
      <c r="H613" s="47" t="s">
        <v>207</v>
      </c>
      <c r="I613" s="47" t="s">
        <v>208</v>
      </c>
      <c r="J613" s="6">
        <v>64</v>
      </c>
      <c r="K613" s="8" t="s">
        <v>25</v>
      </c>
      <c r="L613" s="1" t="s">
        <v>728</v>
      </c>
      <c r="M613" s="5">
        <v>10</v>
      </c>
      <c r="Q613" s="3"/>
      <c r="R613" s="3"/>
      <c r="S613" s="3"/>
    </row>
    <row r="614" spans="1:19" ht="15" x14ac:dyDescent="0.25">
      <c r="A614" s="7" t="s">
        <v>16</v>
      </c>
      <c r="B614" s="7" t="s">
        <v>21</v>
      </c>
      <c r="C614" s="7" t="s">
        <v>18</v>
      </c>
      <c r="D614" s="4">
        <v>18290268000170</v>
      </c>
      <c r="E614" s="8" t="s">
        <v>663</v>
      </c>
      <c r="F614" s="8" t="s">
        <v>35</v>
      </c>
      <c r="G614" s="7" t="s">
        <v>19</v>
      </c>
      <c r="H614" s="47" t="s">
        <v>207</v>
      </c>
      <c r="I614" s="47" t="s">
        <v>208</v>
      </c>
      <c r="J614" s="6">
        <v>64</v>
      </c>
      <c r="K614" s="8" t="s">
        <v>25</v>
      </c>
      <c r="L614" s="1" t="s">
        <v>663</v>
      </c>
      <c r="M614" s="5">
        <v>0</v>
      </c>
      <c r="Q614" s="3"/>
      <c r="R614" s="3"/>
      <c r="S614" s="3"/>
    </row>
    <row r="615" spans="1:19" ht="15" x14ac:dyDescent="0.25">
      <c r="A615" s="7" t="s">
        <v>16</v>
      </c>
      <c r="B615" s="7" t="s">
        <v>21</v>
      </c>
      <c r="C615" s="7" t="s">
        <v>18</v>
      </c>
      <c r="D615" s="4">
        <v>44456036000311</v>
      </c>
      <c r="E615" s="8" t="s">
        <v>675</v>
      </c>
      <c r="F615" s="8" t="s">
        <v>37</v>
      </c>
      <c r="G615" s="7" t="s">
        <v>19</v>
      </c>
      <c r="H615" s="47" t="s">
        <v>207</v>
      </c>
      <c r="I615" s="47" t="s">
        <v>208</v>
      </c>
      <c r="J615" s="6">
        <v>62</v>
      </c>
      <c r="K615" s="8" t="s">
        <v>27</v>
      </c>
      <c r="L615" s="1" t="s">
        <v>675</v>
      </c>
      <c r="M615" s="5">
        <v>28</v>
      </c>
      <c r="Q615" s="3"/>
      <c r="R615" s="3"/>
      <c r="S615" s="3"/>
    </row>
    <row r="616" spans="1:19" ht="15" x14ac:dyDescent="0.25">
      <c r="A616" s="7" t="s">
        <v>16</v>
      </c>
      <c r="B616" s="7" t="s">
        <v>21</v>
      </c>
      <c r="C616" s="7" t="s">
        <v>18</v>
      </c>
      <c r="D616" s="4">
        <v>44456036000311</v>
      </c>
      <c r="E616" s="8" t="s">
        <v>675</v>
      </c>
      <c r="F616" s="8" t="s">
        <v>37</v>
      </c>
      <c r="G616" s="7" t="s">
        <v>19</v>
      </c>
      <c r="H616" s="47" t="s">
        <v>207</v>
      </c>
      <c r="I616" s="47" t="s">
        <v>208</v>
      </c>
      <c r="J616" s="6">
        <v>64</v>
      </c>
      <c r="K616" s="8" t="s">
        <v>25</v>
      </c>
      <c r="L616" s="1" t="s">
        <v>675</v>
      </c>
      <c r="M616" s="5">
        <v>4</v>
      </c>
      <c r="Q616" s="3"/>
      <c r="R616" s="3"/>
      <c r="S616" s="3"/>
    </row>
    <row r="617" spans="1:19" ht="15" x14ac:dyDescent="0.25">
      <c r="A617" s="7" t="s">
        <v>16</v>
      </c>
      <c r="B617" s="7" t="s">
        <v>21</v>
      </c>
      <c r="C617" s="7" t="s">
        <v>18</v>
      </c>
      <c r="D617" s="4">
        <v>46009718000140</v>
      </c>
      <c r="E617" s="8" t="s">
        <v>690</v>
      </c>
      <c r="F617" s="8" t="s">
        <v>33</v>
      </c>
      <c r="G617" s="7" t="s">
        <v>19</v>
      </c>
      <c r="H617" s="47" t="s">
        <v>207</v>
      </c>
      <c r="I617" s="47" t="s">
        <v>208</v>
      </c>
      <c r="J617" s="6">
        <v>66</v>
      </c>
      <c r="K617" s="8" t="s">
        <v>28</v>
      </c>
      <c r="L617" s="1" t="s">
        <v>690</v>
      </c>
      <c r="M617" s="5">
        <v>6</v>
      </c>
      <c r="Q617" s="3"/>
      <c r="R617" s="3"/>
      <c r="S617" s="3"/>
    </row>
    <row r="618" spans="1:19" ht="15" x14ac:dyDescent="0.25">
      <c r="A618" s="7" t="s">
        <v>16</v>
      </c>
      <c r="B618" s="7" t="s">
        <v>21</v>
      </c>
      <c r="C618" s="7" t="s">
        <v>18</v>
      </c>
      <c r="D618" s="4">
        <v>46068425000133</v>
      </c>
      <c r="E618" s="8" t="s">
        <v>692</v>
      </c>
      <c r="F618" s="8" t="s">
        <v>33</v>
      </c>
      <c r="G618" s="7" t="s">
        <v>19</v>
      </c>
      <c r="H618" s="47" t="s">
        <v>207</v>
      </c>
      <c r="I618" s="47" t="s">
        <v>208</v>
      </c>
      <c r="J618" s="6">
        <v>66</v>
      </c>
      <c r="K618" s="8" t="s">
        <v>28</v>
      </c>
      <c r="L618" s="1" t="s">
        <v>692</v>
      </c>
      <c r="M618" s="5">
        <v>2</v>
      </c>
      <c r="Q618" s="3"/>
      <c r="R618" s="3"/>
      <c r="S618" s="3"/>
    </row>
    <row r="619" spans="1:19" ht="15" x14ac:dyDescent="0.25">
      <c r="A619" s="7" t="s">
        <v>16</v>
      </c>
      <c r="B619" s="7" t="s">
        <v>21</v>
      </c>
      <c r="C619" s="7" t="s">
        <v>18</v>
      </c>
      <c r="D619" s="4">
        <v>46374500003886</v>
      </c>
      <c r="E619" s="8" t="s">
        <v>697</v>
      </c>
      <c r="F619" s="8" t="s">
        <v>698</v>
      </c>
      <c r="G619" s="7" t="s">
        <v>19</v>
      </c>
      <c r="H619" s="47" t="s">
        <v>207</v>
      </c>
      <c r="I619" s="47" t="s">
        <v>208</v>
      </c>
      <c r="J619" s="6">
        <v>66</v>
      </c>
      <c r="K619" s="8" t="s">
        <v>28</v>
      </c>
      <c r="L619" s="1" t="s">
        <v>697</v>
      </c>
      <c r="M619" s="5">
        <v>18</v>
      </c>
      <c r="Q619" s="3"/>
      <c r="R619" s="3"/>
      <c r="S619" s="3"/>
    </row>
    <row r="620" spans="1:19" ht="15" x14ac:dyDescent="0.25">
      <c r="A620" s="7" t="s">
        <v>16</v>
      </c>
      <c r="B620" s="7" t="s">
        <v>21</v>
      </c>
      <c r="C620" s="7" t="s">
        <v>18</v>
      </c>
      <c r="D620" s="4">
        <v>48310098000100</v>
      </c>
      <c r="E620" s="8" t="s">
        <v>704</v>
      </c>
      <c r="F620" s="8" t="s">
        <v>643</v>
      </c>
      <c r="G620" s="7" t="s">
        <v>19</v>
      </c>
      <c r="H620" s="47" t="s">
        <v>207</v>
      </c>
      <c r="I620" s="47" t="s">
        <v>208</v>
      </c>
      <c r="J620" s="6">
        <v>64</v>
      </c>
      <c r="K620" s="8" t="s">
        <v>25</v>
      </c>
      <c r="L620" s="1" t="s">
        <v>704</v>
      </c>
      <c r="M620" s="5">
        <v>1</v>
      </c>
      <c r="Q620" s="3"/>
      <c r="R620" s="3"/>
      <c r="S620" s="3"/>
    </row>
    <row r="621" spans="1:19" ht="15" x14ac:dyDescent="0.25">
      <c r="A621" s="7" t="s">
        <v>16</v>
      </c>
      <c r="B621" s="7" t="s">
        <v>21</v>
      </c>
      <c r="C621" s="7" t="s">
        <v>18</v>
      </c>
      <c r="D621" s="4">
        <v>59970947000178</v>
      </c>
      <c r="E621" s="8" t="s">
        <v>726</v>
      </c>
      <c r="F621" s="8" t="s">
        <v>643</v>
      </c>
      <c r="G621" s="7" t="s">
        <v>19</v>
      </c>
      <c r="H621" s="47" t="s">
        <v>207</v>
      </c>
      <c r="I621" s="47" t="s">
        <v>208</v>
      </c>
      <c r="J621" s="6">
        <v>62</v>
      </c>
      <c r="K621" s="8" t="s">
        <v>27</v>
      </c>
      <c r="L621" s="1" t="s">
        <v>726</v>
      </c>
      <c r="M621" s="5">
        <v>4</v>
      </c>
      <c r="Q621" s="3"/>
      <c r="R621" s="3"/>
      <c r="S621" s="3"/>
    </row>
    <row r="622" spans="1:19" ht="15" x14ac:dyDescent="0.25">
      <c r="A622" s="7" t="s">
        <v>16</v>
      </c>
      <c r="B622" s="7" t="s">
        <v>21</v>
      </c>
      <c r="C622" s="7" t="s">
        <v>18</v>
      </c>
      <c r="D622" s="4">
        <v>60003761000129</v>
      </c>
      <c r="E622" s="8" t="s">
        <v>728</v>
      </c>
      <c r="F622" s="8" t="s">
        <v>643</v>
      </c>
      <c r="G622" s="7" t="s">
        <v>19</v>
      </c>
      <c r="H622" s="47" t="s">
        <v>207</v>
      </c>
      <c r="I622" s="47" t="s">
        <v>208</v>
      </c>
      <c r="J622" s="6">
        <v>62</v>
      </c>
      <c r="K622" s="8" t="s">
        <v>27</v>
      </c>
      <c r="L622" s="1" t="s">
        <v>728</v>
      </c>
      <c r="M622" s="5">
        <v>5</v>
      </c>
      <c r="Q622" s="3"/>
      <c r="R622" s="3"/>
      <c r="S622" s="3"/>
    </row>
    <row r="623" spans="1:19" ht="15" x14ac:dyDescent="0.25">
      <c r="A623" s="7" t="s">
        <v>16</v>
      </c>
      <c r="B623" s="7" t="s">
        <v>21</v>
      </c>
      <c r="C623" s="7" t="s">
        <v>18</v>
      </c>
      <c r="D623" s="4">
        <v>60003761000129</v>
      </c>
      <c r="E623" s="8" t="s">
        <v>728</v>
      </c>
      <c r="F623" s="8" t="s">
        <v>643</v>
      </c>
      <c r="G623" s="7" t="s">
        <v>19</v>
      </c>
      <c r="H623" s="47" t="s">
        <v>207</v>
      </c>
      <c r="I623" s="47" t="s">
        <v>208</v>
      </c>
      <c r="J623" s="6">
        <v>64</v>
      </c>
      <c r="K623" s="8" t="s">
        <v>25</v>
      </c>
      <c r="L623" s="1" t="s">
        <v>728</v>
      </c>
      <c r="M623" s="5">
        <v>12</v>
      </c>
      <c r="Q623" s="3"/>
      <c r="R623" s="3"/>
      <c r="S623" s="3"/>
    </row>
    <row r="624" spans="1:19" ht="15" x14ac:dyDescent="0.25">
      <c r="A624" s="7" t="s">
        <v>16</v>
      </c>
      <c r="B624" s="7" t="s">
        <v>22</v>
      </c>
      <c r="C624" s="7" t="s">
        <v>18</v>
      </c>
      <c r="D624" s="4">
        <v>6033403000113</v>
      </c>
      <c r="E624" s="8" t="s">
        <v>646</v>
      </c>
      <c r="F624" s="8" t="s">
        <v>647</v>
      </c>
      <c r="G624" s="7" t="s">
        <v>19</v>
      </c>
      <c r="H624" s="47" t="s">
        <v>207</v>
      </c>
      <c r="I624" s="47" t="s">
        <v>208</v>
      </c>
      <c r="J624" s="6">
        <v>64</v>
      </c>
      <c r="K624" s="8" t="s">
        <v>25</v>
      </c>
      <c r="L624" s="1" t="s">
        <v>646</v>
      </c>
      <c r="M624" s="5">
        <v>14</v>
      </c>
      <c r="Q624" s="3"/>
      <c r="R624" s="3"/>
      <c r="S624" s="3"/>
    </row>
    <row r="625" spans="1:19" ht="15" x14ac:dyDescent="0.25">
      <c r="A625" s="7" t="s">
        <v>16</v>
      </c>
      <c r="B625" s="7" t="s">
        <v>22</v>
      </c>
      <c r="C625" s="7" t="s">
        <v>18</v>
      </c>
      <c r="D625" s="4">
        <v>6047087000724</v>
      </c>
      <c r="E625" s="8" t="s">
        <v>648</v>
      </c>
      <c r="F625" s="8" t="s">
        <v>647</v>
      </c>
      <c r="G625" s="7" t="s">
        <v>19</v>
      </c>
      <c r="H625" s="47" t="s">
        <v>207</v>
      </c>
      <c r="I625" s="47" t="s">
        <v>208</v>
      </c>
      <c r="J625" s="6">
        <v>62</v>
      </c>
      <c r="K625" s="8" t="s">
        <v>27</v>
      </c>
      <c r="L625" s="1" t="s">
        <v>648</v>
      </c>
      <c r="M625" s="5">
        <v>10</v>
      </c>
      <c r="Q625" s="3"/>
      <c r="R625" s="3"/>
      <c r="S625" s="3"/>
    </row>
    <row r="626" spans="1:19" ht="15" x14ac:dyDescent="0.25">
      <c r="A626" s="7" t="s">
        <v>16</v>
      </c>
      <c r="B626" s="7" t="s">
        <v>22</v>
      </c>
      <c r="C626" s="7" t="s">
        <v>18</v>
      </c>
      <c r="D626" s="4">
        <v>6047087000724</v>
      </c>
      <c r="E626" s="8" t="s">
        <v>648</v>
      </c>
      <c r="F626" s="8" t="s">
        <v>647</v>
      </c>
      <c r="G626" s="7" t="s">
        <v>19</v>
      </c>
      <c r="H626" s="47" t="s">
        <v>207</v>
      </c>
      <c r="I626" s="47" t="s">
        <v>208</v>
      </c>
      <c r="J626" s="6">
        <v>64</v>
      </c>
      <c r="K626" s="8" t="s">
        <v>25</v>
      </c>
      <c r="L626" s="1" t="s">
        <v>648</v>
      </c>
      <c r="M626" s="5">
        <v>12</v>
      </c>
      <c r="Q626" s="3"/>
      <c r="R626" s="3"/>
      <c r="S626" s="3"/>
    </row>
    <row r="627" spans="1:19" ht="15" x14ac:dyDescent="0.25">
      <c r="A627" s="7" t="s">
        <v>16</v>
      </c>
      <c r="B627" s="7" t="s">
        <v>22</v>
      </c>
      <c r="C627" s="7" t="s">
        <v>18</v>
      </c>
      <c r="D627" s="4">
        <v>6047087003073</v>
      </c>
      <c r="E627" s="8" t="s">
        <v>649</v>
      </c>
      <c r="F627" s="8" t="s">
        <v>650</v>
      </c>
      <c r="G627" s="7" t="s">
        <v>19</v>
      </c>
      <c r="H627" s="47" t="s">
        <v>207</v>
      </c>
      <c r="I627" s="47" t="s">
        <v>208</v>
      </c>
      <c r="J627" s="6">
        <v>66</v>
      </c>
      <c r="K627" s="8" t="s">
        <v>28</v>
      </c>
      <c r="L627" s="1" t="s">
        <v>649</v>
      </c>
      <c r="M627" s="5">
        <v>3</v>
      </c>
      <c r="Q627" s="3"/>
      <c r="R627" s="3"/>
      <c r="S627" s="3"/>
    </row>
    <row r="628" spans="1:19" ht="15" x14ac:dyDescent="0.25">
      <c r="A628" s="7" t="s">
        <v>16</v>
      </c>
      <c r="B628" s="7" t="s">
        <v>22</v>
      </c>
      <c r="C628" s="7" t="s">
        <v>18</v>
      </c>
      <c r="D628" s="4">
        <v>6047087007656</v>
      </c>
      <c r="E628" s="8" t="s">
        <v>651</v>
      </c>
      <c r="F628" s="8" t="s">
        <v>32</v>
      </c>
      <c r="G628" s="7" t="s">
        <v>19</v>
      </c>
      <c r="H628" s="47" t="s">
        <v>207</v>
      </c>
      <c r="I628" s="47" t="s">
        <v>208</v>
      </c>
      <c r="J628" s="6">
        <v>62</v>
      </c>
      <c r="K628" s="8" t="s">
        <v>27</v>
      </c>
      <c r="L628" s="1" t="s">
        <v>651</v>
      </c>
      <c r="M628" s="5">
        <v>3</v>
      </c>
      <c r="Q628" s="3"/>
      <c r="R628" s="3"/>
      <c r="S628" s="3"/>
    </row>
    <row r="629" spans="1:19" ht="15" x14ac:dyDescent="0.25">
      <c r="A629" s="7" t="s">
        <v>16</v>
      </c>
      <c r="B629" s="7" t="s">
        <v>22</v>
      </c>
      <c r="C629" s="7" t="s">
        <v>18</v>
      </c>
      <c r="D629" s="4">
        <v>44456036000311</v>
      </c>
      <c r="E629" s="8" t="s">
        <v>675</v>
      </c>
      <c r="F629" s="8" t="s">
        <v>37</v>
      </c>
      <c r="G629" s="7" t="s">
        <v>19</v>
      </c>
      <c r="H629" s="47" t="s">
        <v>207</v>
      </c>
      <c r="I629" s="47" t="s">
        <v>208</v>
      </c>
      <c r="J629" s="6">
        <v>64</v>
      </c>
      <c r="K629" s="8" t="s">
        <v>25</v>
      </c>
      <c r="L629" s="1" t="s">
        <v>675</v>
      </c>
      <c r="M629" s="5">
        <v>7</v>
      </c>
      <c r="Q629" s="3"/>
      <c r="R629" s="3"/>
      <c r="S629" s="3"/>
    </row>
    <row r="630" spans="1:19" ht="15" x14ac:dyDescent="0.25">
      <c r="A630" s="7" t="s">
        <v>16</v>
      </c>
      <c r="B630" s="7" t="s">
        <v>22</v>
      </c>
      <c r="C630" s="7" t="s">
        <v>18</v>
      </c>
      <c r="D630" s="4">
        <v>44649812001614</v>
      </c>
      <c r="E630" s="8" t="s">
        <v>677</v>
      </c>
      <c r="F630" s="8" t="s">
        <v>678</v>
      </c>
      <c r="G630" s="7" t="s">
        <v>19</v>
      </c>
      <c r="H630" s="47" t="s">
        <v>207</v>
      </c>
      <c r="I630" s="47" t="s">
        <v>208</v>
      </c>
      <c r="J630" s="6">
        <v>64</v>
      </c>
      <c r="K630" s="8" t="s">
        <v>25</v>
      </c>
      <c r="L630" s="1" t="s">
        <v>677</v>
      </c>
      <c r="M630" s="5">
        <v>4</v>
      </c>
      <c r="Q630" s="3"/>
      <c r="R630" s="3"/>
      <c r="S630" s="3"/>
    </row>
    <row r="631" spans="1:19" ht="15" x14ac:dyDescent="0.25">
      <c r="A631" s="7" t="s">
        <v>16</v>
      </c>
      <c r="B631" s="7" t="s">
        <v>22</v>
      </c>
      <c r="C631" s="7" t="s">
        <v>18</v>
      </c>
      <c r="D631" s="4">
        <v>45118429001279</v>
      </c>
      <c r="E631" s="8" t="s">
        <v>683</v>
      </c>
      <c r="F631" s="8" t="s">
        <v>41</v>
      </c>
      <c r="G631" s="7" t="s">
        <v>19</v>
      </c>
      <c r="H631" s="47" t="s">
        <v>207</v>
      </c>
      <c r="I631" s="47" t="s">
        <v>208</v>
      </c>
      <c r="J631" s="6">
        <v>64</v>
      </c>
      <c r="K631" s="8" t="s">
        <v>25</v>
      </c>
      <c r="L631" s="1" t="s">
        <v>683</v>
      </c>
      <c r="M631" s="5">
        <v>7</v>
      </c>
      <c r="Q631" s="3"/>
      <c r="R631" s="3"/>
      <c r="S631" s="3"/>
    </row>
    <row r="632" spans="1:19" ht="15" x14ac:dyDescent="0.25">
      <c r="A632" s="7" t="s">
        <v>16</v>
      </c>
      <c r="B632" s="7" t="s">
        <v>22</v>
      </c>
      <c r="C632" s="7" t="s">
        <v>18</v>
      </c>
      <c r="D632" s="4">
        <v>46009718000140</v>
      </c>
      <c r="E632" s="8" t="s">
        <v>690</v>
      </c>
      <c r="F632" s="8" t="s">
        <v>33</v>
      </c>
      <c r="G632" s="7" t="s">
        <v>19</v>
      </c>
      <c r="H632" s="47" t="s">
        <v>207</v>
      </c>
      <c r="I632" s="47" t="s">
        <v>208</v>
      </c>
      <c r="J632" s="6">
        <v>66</v>
      </c>
      <c r="K632" s="8" t="s">
        <v>28</v>
      </c>
      <c r="L632" s="1" t="s">
        <v>690</v>
      </c>
      <c r="M632" s="5">
        <v>3</v>
      </c>
      <c r="Q632" s="3"/>
      <c r="R632" s="3"/>
      <c r="S632" s="3"/>
    </row>
    <row r="633" spans="1:19" ht="15" x14ac:dyDescent="0.25">
      <c r="A633" s="7" t="s">
        <v>16</v>
      </c>
      <c r="B633" s="7" t="s">
        <v>22</v>
      </c>
      <c r="C633" s="7" t="s">
        <v>18</v>
      </c>
      <c r="D633" s="4">
        <v>46020301000269</v>
      </c>
      <c r="E633" s="8" t="s">
        <v>691</v>
      </c>
      <c r="F633" s="8" t="s">
        <v>33</v>
      </c>
      <c r="G633" s="7" t="s">
        <v>19</v>
      </c>
      <c r="H633" s="47" t="s">
        <v>207</v>
      </c>
      <c r="I633" s="47" t="s">
        <v>208</v>
      </c>
      <c r="J633" s="6">
        <v>64</v>
      </c>
      <c r="K633" s="8" t="s">
        <v>25</v>
      </c>
      <c r="L633" s="1" t="s">
        <v>691</v>
      </c>
      <c r="M633" s="5">
        <v>1</v>
      </c>
      <c r="Q633" s="3"/>
      <c r="R633" s="3"/>
      <c r="S633" s="3"/>
    </row>
    <row r="634" spans="1:19" ht="15" x14ac:dyDescent="0.25">
      <c r="A634" s="7" t="s">
        <v>16</v>
      </c>
      <c r="B634" s="7" t="s">
        <v>22</v>
      </c>
      <c r="C634" s="7" t="s">
        <v>18</v>
      </c>
      <c r="D634" s="4">
        <v>47565155000996</v>
      </c>
      <c r="E634" s="8" t="s">
        <v>703</v>
      </c>
      <c r="F634" s="8" t="s">
        <v>50</v>
      </c>
      <c r="G634" s="7" t="s">
        <v>19</v>
      </c>
      <c r="H634" s="47" t="s">
        <v>207</v>
      </c>
      <c r="I634" s="47" t="s">
        <v>208</v>
      </c>
      <c r="J634" s="6">
        <v>62</v>
      </c>
      <c r="K634" s="8" t="s">
        <v>27</v>
      </c>
      <c r="L634" s="1" t="s">
        <v>703</v>
      </c>
      <c r="M634" s="5">
        <v>3</v>
      </c>
      <c r="Q634" s="3"/>
      <c r="R634" s="3"/>
      <c r="S634" s="3"/>
    </row>
    <row r="635" spans="1:19" ht="15" x14ac:dyDescent="0.25">
      <c r="A635" s="7" t="s">
        <v>16</v>
      </c>
      <c r="B635" s="7" t="s">
        <v>22</v>
      </c>
      <c r="C635" s="7" t="s">
        <v>18</v>
      </c>
      <c r="D635" s="4">
        <v>47565155000996</v>
      </c>
      <c r="E635" s="8" t="s">
        <v>703</v>
      </c>
      <c r="F635" s="8" t="s">
        <v>50</v>
      </c>
      <c r="G635" s="7" t="s">
        <v>19</v>
      </c>
      <c r="H635" s="47" t="s">
        <v>207</v>
      </c>
      <c r="I635" s="47" t="s">
        <v>208</v>
      </c>
      <c r="J635" s="6">
        <v>64</v>
      </c>
      <c r="K635" s="8" t="s">
        <v>25</v>
      </c>
      <c r="L635" s="1" t="s">
        <v>703</v>
      </c>
      <c r="M635" s="5">
        <v>4</v>
      </c>
      <c r="Q635" s="3"/>
      <c r="R635" s="3"/>
      <c r="S635" s="3"/>
    </row>
    <row r="636" spans="1:19" ht="15" x14ac:dyDescent="0.25">
      <c r="A636" s="7" t="s">
        <v>16</v>
      </c>
      <c r="B636" s="7" t="s">
        <v>22</v>
      </c>
      <c r="C636" s="7" t="s">
        <v>18</v>
      </c>
      <c r="D636" s="4">
        <v>50944198000130</v>
      </c>
      <c r="E636" s="8" t="s">
        <v>707</v>
      </c>
      <c r="F636" s="8" t="s">
        <v>678</v>
      </c>
      <c r="G636" s="7" t="s">
        <v>19</v>
      </c>
      <c r="H636" s="47" t="s">
        <v>207</v>
      </c>
      <c r="I636" s="47" t="s">
        <v>208</v>
      </c>
      <c r="J636" s="6">
        <v>64</v>
      </c>
      <c r="K636" s="8" t="s">
        <v>25</v>
      </c>
      <c r="L636" s="1" t="s">
        <v>707</v>
      </c>
      <c r="M636" s="5">
        <v>8</v>
      </c>
      <c r="Q636" s="3"/>
      <c r="R636" s="3"/>
      <c r="S636" s="3"/>
    </row>
    <row r="637" spans="1:19" ht="15" x14ac:dyDescent="0.25">
      <c r="A637" s="7" t="s">
        <v>16</v>
      </c>
      <c r="B637" s="7" t="s">
        <v>22</v>
      </c>
      <c r="C637" s="7" t="s">
        <v>18</v>
      </c>
      <c r="D637" s="4">
        <v>53311999000156</v>
      </c>
      <c r="E637" s="8" t="s">
        <v>714</v>
      </c>
      <c r="F637" s="8" t="s">
        <v>715</v>
      </c>
      <c r="G637" s="7" t="s">
        <v>19</v>
      </c>
      <c r="H637" s="47" t="s">
        <v>207</v>
      </c>
      <c r="I637" s="47" t="s">
        <v>208</v>
      </c>
      <c r="J637" s="6">
        <v>64</v>
      </c>
      <c r="K637" s="8" t="s">
        <v>25</v>
      </c>
      <c r="L637" s="1" t="s">
        <v>714</v>
      </c>
      <c r="M637" s="5">
        <v>2</v>
      </c>
      <c r="Q637" s="3"/>
      <c r="R637" s="3"/>
      <c r="S637" s="3"/>
    </row>
    <row r="638" spans="1:19" ht="15" x14ac:dyDescent="0.25">
      <c r="A638" s="7" t="s">
        <v>16</v>
      </c>
      <c r="B638" s="7" t="s">
        <v>22</v>
      </c>
      <c r="C638" s="7" t="s">
        <v>18</v>
      </c>
      <c r="D638" s="4">
        <v>60003761000129</v>
      </c>
      <c r="E638" s="8" t="s">
        <v>728</v>
      </c>
      <c r="F638" s="8" t="s">
        <v>643</v>
      </c>
      <c r="G638" s="7" t="s">
        <v>19</v>
      </c>
      <c r="H638" s="47" t="s">
        <v>207</v>
      </c>
      <c r="I638" s="47" t="s">
        <v>208</v>
      </c>
      <c r="J638" s="6">
        <v>62</v>
      </c>
      <c r="K638" s="8" t="s">
        <v>27</v>
      </c>
      <c r="L638" s="1" t="s">
        <v>728</v>
      </c>
      <c r="M638" s="5">
        <v>10</v>
      </c>
      <c r="Q638" s="3"/>
      <c r="R638" s="3"/>
      <c r="S638" s="3"/>
    </row>
    <row r="639" spans="1:19" ht="15" x14ac:dyDescent="0.25">
      <c r="A639" s="7" t="s">
        <v>16</v>
      </c>
      <c r="B639" s="7" t="s">
        <v>22</v>
      </c>
      <c r="C639" s="7" t="s">
        <v>18</v>
      </c>
      <c r="D639" s="4">
        <v>60003761000129</v>
      </c>
      <c r="E639" s="8" t="s">
        <v>728</v>
      </c>
      <c r="F639" s="8" t="s">
        <v>643</v>
      </c>
      <c r="G639" s="7" t="s">
        <v>19</v>
      </c>
      <c r="H639" s="47" t="s">
        <v>207</v>
      </c>
      <c r="I639" s="47" t="s">
        <v>208</v>
      </c>
      <c r="J639" s="6">
        <v>64</v>
      </c>
      <c r="K639" s="8" t="s">
        <v>25</v>
      </c>
      <c r="L639" s="1" t="s">
        <v>728</v>
      </c>
      <c r="M639" s="5">
        <v>15</v>
      </c>
      <c r="Q639" s="3"/>
      <c r="R639" s="3"/>
      <c r="S639" s="3"/>
    </row>
    <row r="640" spans="1:19" ht="15" x14ac:dyDescent="0.25">
      <c r="A640" s="7" t="s">
        <v>16</v>
      </c>
      <c r="B640" s="7" t="s">
        <v>23</v>
      </c>
      <c r="C640" s="7" t="s">
        <v>24</v>
      </c>
      <c r="D640" s="4">
        <v>6047087007656</v>
      </c>
      <c r="E640" s="8" t="s">
        <v>651</v>
      </c>
      <c r="F640" s="8" t="s">
        <v>32</v>
      </c>
      <c r="G640" s="7" t="s">
        <v>19</v>
      </c>
      <c r="H640" s="47" t="s">
        <v>207</v>
      </c>
      <c r="I640" s="47" t="s">
        <v>208</v>
      </c>
      <c r="J640" s="6">
        <v>62</v>
      </c>
      <c r="K640" s="8" t="s">
        <v>27</v>
      </c>
      <c r="L640" s="1" t="s">
        <v>651</v>
      </c>
      <c r="M640" s="5">
        <v>1</v>
      </c>
      <c r="Q640" s="3"/>
      <c r="R640" s="3"/>
      <c r="S640" s="3"/>
    </row>
    <row r="641" spans="1:19" ht="15" x14ac:dyDescent="0.25">
      <c r="A641" s="7" t="s">
        <v>16</v>
      </c>
      <c r="B641" s="7" t="s">
        <v>23</v>
      </c>
      <c r="C641" s="7" t="s">
        <v>24</v>
      </c>
      <c r="D641" s="4">
        <v>8000609000172</v>
      </c>
      <c r="E641" s="8" t="s">
        <v>655</v>
      </c>
      <c r="F641" s="8" t="s">
        <v>542</v>
      </c>
      <c r="G641" s="7" t="s">
        <v>19</v>
      </c>
      <c r="H641" s="47" t="s">
        <v>207</v>
      </c>
      <c r="I641" s="47" t="s">
        <v>208</v>
      </c>
      <c r="J641" s="6">
        <v>64</v>
      </c>
      <c r="K641" s="8" t="s">
        <v>25</v>
      </c>
      <c r="L641" s="1" t="s">
        <v>655</v>
      </c>
      <c r="M641" s="5">
        <v>2</v>
      </c>
      <c r="Q641" s="3"/>
      <c r="R641" s="3"/>
      <c r="S641" s="3"/>
    </row>
    <row r="642" spans="1:19" ht="15" x14ac:dyDescent="0.25">
      <c r="A642" s="7" t="s">
        <v>16</v>
      </c>
      <c r="B642" s="7" t="s">
        <v>23</v>
      </c>
      <c r="C642" s="7" t="s">
        <v>24</v>
      </c>
      <c r="D642" s="4">
        <v>44456036000311</v>
      </c>
      <c r="E642" s="8" t="s">
        <v>675</v>
      </c>
      <c r="F642" s="8" t="s">
        <v>37</v>
      </c>
      <c r="G642" s="7" t="s">
        <v>19</v>
      </c>
      <c r="H642" s="47" t="s">
        <v>207</v>
      </c>
      <c r="I642" s="47" t="s">
        <v>208</v>
      </c>
      <c r="J642" s="6">
        <v>62</v>
      </c>
      <c r="K642" s="8" t="s">
        <v>27</v>
      </c>
      <c r="L642" s="1" t="s">
        <v>675</v>
      </c>
      <c r="M642" s="5">
        <v>12</v>
      </c>
      <c r="Q642" s="3"/>
      <c r="R642" s="3"/>
      <c r="S642" s="3"/>
    </row>
    <row r="643" spans="1:19" ht="15" x14ac:dyDescent="0.25">
      <c r="A643" s="7" t="s">
        <v>16</v>
      </c>
      <c r="B643" s="7" t="s">
        <v>23</v>
      </c>
      <c r="C643" s="7" t="s">
        <v>24</v>
      </c>
      <c r="D643" s="4">
        <v>45184066000117</v>
      </c>
      <c r="E643" s="8" t="s">
        <v>684</v>
      </c>
      <c r="F643" s="8" t="s">
        <v>650</v>
      </c>
      <c r="G643" s="7" t="s">
        <v>19</v>
      </c>
      <c r="H643" s="47" t="s">
        <v>207</v>
      </c>
      <c r="I643" s="47" t="s">
        <v>208</v>
      </c>
      <c r="J643" s="6">
        <v>64</v>
      </c>
      <c r="K643" s="8" t="s">
        <v>25</v>
      </c>
      <c r="L643" s="1" t="s">
        <v>684</v>
      </c>
      <c r="M643" s="5">
        <v>2</v>
      </c>
      <c r="Q643" s="3"/>
      <c r="R643" s="3"/>
      <c r="S643" s="3"/>
    </row>
    <row r="644" spans="1:19" ht="15" x14ac:dyDescent="0.25">
      <c r="A644" s="7" t="s">
        <v>16</v>
      </c>
      <c r="B644" s="7" t="s">
        <v>23</v>
      </c>
      <c r="C644" s="7" t="s">
        <v>24</v>
      </c>
      <c r="D644" s="4">
        <v>45232246000550</v>
      </c>
      <c r="E644" s="8" t="s">
        <v>685</v>
      </c>
      <c r="F644" s="8" t="s">
        <v>639</v>
      </c>
      <c r="G644" s="7" t="s">
        <v>19</v>
      </c>
      <c r="H644" s="47" t="s">
        <v>207</v>
      </c>
      <c r="I644" s="47" t="s">
        <v>208</v>
      </c>
      <c r="J644" s="6">
        <v>62</v>
      </c>
      <c r="K644" s="8" t="s">
        <v>27</v>
      </c>
      <c r="L644" s="1" t="s">
        <v>685</v>
      </c>
      <c r="M644" s="5">
        <v>23</v>
      </c>
      <c r="Q644" s="3"/>
      <c r="R644" s="3"/>
      <c r="S644" s="3"/>
    </row>
    <row r="645" spans="1:19" ht="15" x14ac:dyDescent="0.25">
      <c r="A645" s="7" t="s">
        <v>16</v>
      </c>
      <c r="B645" s="7" t="s">
        <v>23</v>
      </c>
      <c r="C645" s="7" t="s">
        <v>24</v>
      </c>
      <c r="D645" s="4">
        <v>46068425000133</v>
      </c>
      <c r="E645" s="8" t="s">
        <v>692</v>
      </c>
      <c r="F645" s="8" t="s">
        <v>33</v>
      </c>
      <c r="G645" s="7" t="s">
        <v>19</v>
      </c>
      <c r="H645" s="47" t="s">
        <v>207</v>
      </c>
      <c r="I645" s="47" t="s">
        <v>208</v>
      </c>
      <c r="J645" s="6">
        <v>66</v>
      </c>
      <c r="K645" s="8" t="s">
        <v>28</v>
      </c>
      <c r="L645" s="1" t="s">
        <v>692</v>
      </c>
      <c r="M645" s="5">
        <v>1</v>
      </c>
      <c r="Q645" s="3"/>
      <c r="R645" s="3"/>
      <c r="S645" s="3"/>
    </row>
    <row r="646" spans="1:19" ht="15" x14ac:dyDescent="0.25">
      <c r="A646" s="7" t="s">
        <v>16</v>
      </c>
      <c r="B646" s="7" t="s">
        <v>23</v>
      </c>
      <c r="C646" s="7" t="s">
        <v>24</v>
      </c>
      <c r="D646" s="4">
        <v>53311999000156</v>
      </c>
      <c r="E646" s="8" t="s">
        <v>714</v>
      </c>
      <c r="F646" s="8" t="s">
        <v>715</v>
      </c>
      <c r="G646" s="7" t="s">
        <v>19</v>
      </c>
      <c r="H646" s="47" t="s">
        <v>207</v>
      </c>
      <c r="I646" s="47" t="s">
        <v>208</v>
      </c>
      <c r="J646" s="6">
        <v>64</v>
      </c>
      <c r="K646" s="8" t="s">
        <v>25</v>
      </c>
      <c r="L646" s="1" t="s">
        <v>714</v>
      </c>
      <c r="M646" s="5">
        <v>1</v>
      </c>
      <c r="Q646" s="3"/>
      <c r="R646" s="3"/>
      <c r="S646" s="3"/>
    </row>
    <row r="647" spans="1:19" ht="15" x14ac:dyDescent="0.25">
      <c r="A647" s="7" t="s">
        <v>16</v>
      </c>
      <c r="B647" s="7" t="s">
        <v>23</v>
      </c>
      <c r="C647" s="7" t="s">
        <v>24</v>
      </c>
      <c r="D647" s="4">
        <v>60003761000129</v>
      </c>
      <c r="E647" s="8" t="s">
        <v>728</v>
      </c>
      <c r="F647" s="8" t="s">
        <v>643</v>
      </c>
      <c r="G647" s="7" t="s">
        <v>19</v>
      </c>
      <c r="H647" s="47" t="s">
        <v>207</v>
      </c>
      <c r="I647" s="47" t="s">
        <v>208</v>
      </c>
      <c r="J647" s="6">
        <v>62</v>
      </c>
      <c r="K647" s="8" t="s">
        <v>27</v>
      </c>
      <c r="L647" s="1" t="s">
        <v>728</v>
      </c>
      <c r="M647" s="5">
        <v>20</v>
      </c>
      <c r="Q647" s="3"/>
      <c r="R647" s="3"/>
      <c r="S647" s="3"/>
    </row>
    <row r="648" spans="1:19" ht="15" x14ac:dyDescent="0.25">
      <c r="A648" s="7" t="s">
        <v>16</v>
      </c>
      <c r="B648" s="7" t="s">
        <v>23</v>
      </c>
      <c r="C648" s="7" t="s">
        <v>24</v>
      </c>
      <c r="D648" s="4">
        <v>60003761000129</v>
      </c>
      <c r="E648" s="8" t="s">
        <v>728</v>
      </c>
      <c r="F648" s="8" t="s">
        <v>643</v>
      </c>
      <c r="G648" s="7" t="s">
        <v>19</v>
      </c>
      <c r="H648" s="47" t="s">
        <v>207</v>
      </c>
      <c r="I648" s="47" t="s">
        <v>208</v>
      </c>
      <c r="J648" s="6">
        <v>64</v>
      </c>
      <c r="K648" s="8" t="s">
        <v>25</v>
      </c>
      <c r="L648" s="1" t="s">
        <v>728</v>
      </c>
      <c r="M648" s="5">
        <v>36</v>
      </c>
      <c r="Q648" s="3"/>
      <c r="R648" s="3"/>
      <c r="S648" s="3"/>
    </row>
    <row r="649" spans="1:19" ht="15" x14ac:dyDescent="0.25">
      <c r="A649" s="7" t="s">
        <v>16</v>
      </c>
      <c r="B649" s="7" t="s">
        <v>23</v>
      </c>
      <c r="C649" s="7" t="s">
        <v>24</v>
      </c>
      <c r="D649" s="4">
        <v>60214517001691</v>
      </c>
      <c r="E649" s="8" t="s">
        <v>732</v>
      </c>
      <c r="F649" s="8" t="s">
        <v>650</v>
      </c>
      <c r="G649" s="7" t="s">
        <v>19</v>
      </c>
      <c r="H649" s="47" t="s">
        <v>207</v>
      </c>
      <c r="I649" s="47" t="s">
        <v>208</v>
      </c>
      <c r="J649" s="6">
        <v>62</v>
      </c>
      <c r="K649" s="8" t="s">
        <v>27</v>
      </c>
      <c r="L649" s="1" t="s">
        <v>732</v>
      </c>
      <c r="M649" s="5">
        <v>20</v>
      </c>
      <c r="Q649" s="3"/>
      <c r="R649" s="3"/>
      <c r="S649" s="3"/>
    </row>
    <row r="650" spans="1:19" ht="15" x14ac:dyDescent="0.25">
      <c r="A650" s="7" t="s">
        <v>16</v>
      </c>
      <c r="B650" s="7" t="s">
        <v>229</v>
      </c>
      <c r="C650" s="7" t="s">
        <v>24</v>
      </c>
      <c r="D650" s="4">
        <v>6047087003073</v>
      </c>
      <c r="E650" s="8" t="s">
        <v>649</v>
      </c>
      <c r="F650" s="8" t="s">
        <v>650</v>
      </c>
      <c r="G650" s="7" t="s">
        <v>19</v>
      </c>
      <c r="H650" s="47" t="s">
        <v>207</v>
      </c>
      <c r="I650" s="47" t="s">
        <v>208</v>
      </c>
      <c r="J650" s="6">
        <v>66</v>
      </c>
      <c r="K650" s="8" t="s">
        <v>28</v>
      </c>
      <c r="L650" s="1" t="s">
        <v>649</v>
      </c>
      <c r="M650" s="5">
        <v>4</v>
      </c>
      <c r="Q650" s="3"/>
      <c r="R650" s="3"/>
      <c r="S650" s="3"/>
    </row>
    <row r="651" spans="1:19" ht="15" x14ac:dyDescent="0.25">
      <c r="A651" s="7" t="s">
        <v>16</v>
      </c>
      <c r="B651" s="7" t="s">
        <v>229</v>
      </c>
      <c r="C651" s="7" t="s">
        <v>24</v>
      </c>
      <c r="D651" s="4">
        <v>6047087007656</v>
      </c>
      <c r="E651" s="8" t="s">
        <v>651</v>
      </c>
      <c r="F651" s="8" t="s">
        <v>32</v>
      </c>
      <c r="G651" s="7" t="s">
        <v>19</v>
      </c>
      <c r="H651" s="47" t="s">
        <v>207</v>
      </c>
      <c r="I651" s="47" t="s">
        <v>208</v>
      </c>
      <c r="J651" s="6">
        <v>62</v>
      </c>
      <c r="K651" s="8" t="s">
        <v>27</v>
      </c>
      <c r="L651" s="1" t="s">
        <v>651</v>
      </c>
      <c r="M651" s="5">
        <v>2</v>
      </c>
      <c r="Q651" s="3"/>
      <c r="R651" s="3"/>
      <c r="S651" s="3"/>
    </row>
    <row r="652" spans="1:19" ht="15" x14ac:dyDescent="0.25">
      <c r="A652" s="7" t="s">
        <v>16</v>
      </c>
      <c r="B652" s="7" t="s">
        <v>229</v>
      </c>
      <c r="C652" s="7" t="s">
        <v>24</v>
      </c>
      <c r="D652" s="4">
        <v>44456036000311</v>
      </c>
      <c r="E652" s="8" t="s">
        <v>675</v>
      </c>
      <c r="F652" s="8" t="s">
        <v>37</v>
      </c>
      <c r="G652" s="7" t="s">
        <v>19</v>
      </c>
      <c r="H652" s="47" t="s">
        <v>207</v>
      </c>
      <c r="I652" s="47" t="s">
        <v>208</v>
      </c>
      <c r="J652" s="6">
        <v>62</v>
      </c>
      <c r="K652" s="8" t="s">
        <v>27</v>
      </c>
      <c r="L652" s="1" t="s">
        <v>675</v>
      </c>
      <c r="M652" s="5">
        <v>1</v>
      </c>
      <c r="Q652" s="3"/>
      <c r="R652" s="3"/>
      <c r="S652" s="3"/>
    </row>
    <row r="653" spans="1:19" ht="15" x14ac:dyDescent="0.25">
      <c r="A653" s="7" t="s">
        <v>16</v>
      </c>
      <c r="B653" s="7" t="s">
        <v>229</v>
      </c>
      <c r="C653" s="7" t="s">
        <v>24</v>
      </c>
      <c r="D653" s="4">
        <v>44456036000311</v>
      </c>
      <c r="E653" s="8" t="s">
        <v>675</v>
      </c>
      <c r="F653" s="8" t="s">
        <v>37</v>
      </c>
      <c r="G653" s="7" t="s">
        <v>19</v>
      </c>
      <c r="H653" s="47" t="s">
        <v>207</v>
      </c>
      <c r="I653" s="47" t="s">
        <v>208</v>
      </c>
      <c r="J653" s="6">
        <v>64</v>
      </c>
      <c r="K653" s="8" t="s">
        <v>25</v>
      </c>
      <c r="L653" s="1" t="s">
        <v>675</v>
      </c>
      <c r="M653" s="5">
        <v>2</v>
      </c>
      <c r="Q653" s="3"/>
      <c r="R653" s="3"/>
      <c r="S653" s="3"/>
    </row>
    <row r="654" spans="1:19" ht="15" x14ac:dyDescent="0.25">
      <c r="A654" s="7" t="s">
        <v>16</v>
      </c>
      <c r="B654" s="7" t="s">
        <v>229</v>
      </c>
      <c r="C654" s="7" t="s">
        <v>24</v>
      </c>
      <c r="D654" s="4">
        <v>44456036000311</v>
      </c>
      <c r="E654" s="8" t="s">
        <v>675</v>
      </c>
      <c r="F654" s="8" t="s">
        <v>37</v>
      </c>
      <c r="G654" s="7" t="s">
        <v>19</v>
      </c>
      <c r="H654" s="47" t="s">
        <v>207</v>
      </c>
      <c r="I654" s="47" t="s">
        <v>208</v>
      </c>
      <c r="J654" s="6">
        <v>66</v>
      </c>
      <c r="K654" s="8" t="s">
        <v>28</v>
      </c>
      <c r="L654" s="1" t="s">
        <v>675</v>
      </c>
      <c r="M654" s="5">
        <v>4</v>
      </c>
      <c r="Q654" s="3"/>
      <c r="R654" s="3"/>
      <c r="S654" s="3"/>
    </row>
    <row r="655" spans="1:19" ht="15" x14ac:dyDescent="0.25">
      <c r="A655" s="7" t="s">
        <v>16</v>
      </c>
      <c r="B655" s="7" t="s">
        <v>229</v>
      </c>
      <c r="C655" s="7" t="s">
        <v>24</v>
      </c>
      <c r="D655" s="4">
        <v>44649812001614</v>
      </c>
      <c r="E655" s="8" t="s">
        <v>677</v>
      </c>
      <c r="F655" s="8" t="s">
        <v>678</v>
      </c>
      <c r="G655" s="7" t="s">
        <v>19</v>
      </c>
      <c r="H655" s="47" t="s">
        <v>207</v>
      </c>
      <c r="I655" s="47" t="s">
        <v>208</v>
      </c>
      <c r="J655" s="6">
        <v>64</v>
      </c>
      <c r="K655" s="8" t="s">
        <v>25</v>
      </c>
      <c r="L655" s="1" t="s">
        <v>677</v>
      </c>
      <c r="M655" s="5">
        <v>2</v>
      </c>
      <c r="Q655" s="3"/>
      <c r="R655" s="3"/>
      <c r="S655" s="3"/>
    </row>
    <row r="656" spans="1:19" ht="15" x14ac:dyDescent="0.25">
      <c r="A656" s="7" t="s">
        <v>16</v>
      </c>
      <c r="B656" s="7" t="s">
        <v>229</v>
      </c>
      <c r="C656" s="7" t="s">
        <v>24</v>
      </c>
      <c r="D656" s="4">
        <v>46020301000269</v>
      </c>
      <c r="E656" s="8" t="s">
        <v>691</v>
      </c>
      <c r="F656" s="8" t="s">
        <v>33</v>
      </c>
      <c r="G656" s="7" t="s">
        <v>19</v>
      </c>
      <c r="H656" s="47" t="s">
        <v>207</v>
      </c>
      <c r="I656" s="47" t="s">
        <v>208</v>
      </c>
      <c r="J656" s="6">
        <v>64</v>
      </c>
      <c r="K656" s="8" t="s">
        <v>25</v>
      </c>
      <c r="L656" s="1" t="s">
        <v>691</v>
      </c>
      <c r="M656" s="5">
        <v>1</v>
      </c>
      <c r="Q656" s="3"/>
      <c r="R656" s="3"/>
      <c r="S656" s="3"/>
    </row>
    <row r="657" spans="1:19" ht="15" x14ac:dyDescent="0.25">
      <c r="A657" s="7" t="s">
        <v>16</v>
      </c>
      <c r="B657" s="7" t="s">
        <v>229</v>
      </c>
      <c r="C657" s="7" t="s">
        <v>24</v>
      </c>
      <c r="D657" s="4">
        <v>46068425000133</v>
      </c>
      <c r="E657" s="8" t="s">
        <v>692</v>
      </c>
      <c r="F657" s="8" t="s">
        <v>33</v>
      </c>
      <c r="G657" s="7" t="s">
        <v>19</v>
      </c>
      <c r="H657" s="47" t="s">
        <v>207</v>
      </c>
      <c r="I657" s="47" t="s">
        <v>208</v>
      </c>
      <c r="J657" s="6">
        <v>66</v>
      </c>
      <c r="K657" s="8" t="s">
        <v>28</v>
      </c>
      <c r="L657" s="1" t="s">
        <v>692</v>
      </c>
      <c r="M657" s="5">
        <v>2</v>
      </c>
      <c r="Q657" s="3"/>
      <c r="R657" s="3"/>
      <c r="S657" s="3"/>
    </row>
    <row r="658" spans="1:19" ht="15" x14ac:dyDescent="0.25">
      <c r="A658" s="7" t="s">
        <v>16</v>
      </c>
      <c r="B658" s="7" t="s">
        <v>229</v>
      </c>
      <c r="C658" s="7" t="s">
        <v>24</v>
      </c>
      <c r="D658" s="4">
        <v>49150352000201</v>
      </c>
      <c r="E658" s="8" t="s">
        <v>1228</v>
      </c>
      <c r="F658" s="8" t="s">
        <v>1229</v>
      </c>
      <c r="G658" s="7" t="s">
        <v>19</v>
      </c>
      <c r="H658" s="47" t="s">
        <v>207</v>
      </c>
      <c r="I658" s="47" t="s">
        <v>208</v>
      </c>
      <c r="J658" s="6">
        <v>64</v>
      </c>
      <c r="K658" s="8" t="s">
        <v>25</v>
      </c>
      <c r="L658" s="1" t="s">
        <v>1228</v>
      </c>
      <c r="M658" s="5">
        <v>5</v>
      </c>
      <c r="Q658" s="3"/>
      <c r="R658" s="3"/>
      <c r="S658" s="3"/>
    </row>
    <row r="659" spans="1:19" ht="15" x14ac:dyDescent="0.25">
      <c r="A659" s="7" t="s">
        <v>16</v>
      </c>
      <c r="B659" s="7" t="s">
        <v>229</v>
      </c>
      <c r="C659" s="7" t="s">
        <v>24</v>
      </c>
      <c r="D659" s="4">
        <v>50944198000130</v>
      </c>
      <c r="E659" s="8" t="s">
        <v>707</v>
      </c>
      <c r="F659" s="8" t="s">
        <v>678</v>
      </c>
      <c r="G659" s="7" t="s">
        <v>19</v>
      </c>
      <c r="H659" s="47" t="s">
        <v>207</v>
      </c>
      <c r="I659" s="47" t="s">
        <v>208</v>
      </c>
      <c r="J659" s="6">
        <v>64</v>
      </c>
      <c r="K659" s="8" t="s">
        <v>25</v>
      </c>
      <c r="L659" s="1" t="s">
        <v>707</v>
      </c>
      <c r="M659" s="5">
        <v>16</v>
      </c>
      <c r="Q659" s="3"/>
      <c r="R659" s="3"/>
      <c r="S659" s="3"/>
    </row>
    <row r="660" spans="1:19" ht="15" x14ac:dyDescent="0.25">
      <c r="A660" s="7" t="s">
        <v>16</v>
      </c>
      <c r="B660" s="7" t="s">
        <v>229</v>
      </c>
      <c r="C660" s="7" t="s">
        <v>24</v>
      </c>
      <c r="D660" s="4">
        <v>53311999000156</v>
      </c>
      <c r="E660" s="8" t="s">
        <v>714</v>
      </c>
      <c r="F660" s="8" t="s">
        <v>715</v>
      </c>
      <c r="G660" s="7" t="s">
        <v>19</v>
      </c>
      <c r="H660" s="47" t="s">
        <v>207</v>
      </c>
      <c r="I660" s="47" t="s">
        <v>208</v>
      </c>
      <c r="J660" s="6">
        <v>64</v>
      </c>
      <c r="K660" s="8" t="s">
        <v>25</v>
      </c>
      <c r="L660" s="1" t="s">
        <v>714</v>
      </c>
      <c r="M660" s="5">
        <v>10</v>
      </c>
      <c r="Q660" s="3"/>
      <c r="R660" s="3"/>
      <c r="S660" s="3"/>
    </row>
    <row r="661" spans="1:19" ht="15" x14ac:dyDescent="0.25">
      <c r="A661" s="7" t="s">
        <v>16</v>
      </c>
      <c r="B661" s="7" t="s">
        <v>229</v>
      </c>
      <c r="C661" s="7" t="s">
        <v>24</v>
      </c>
      <c r="D661" s="4">
        <v>56727134001216</v>
      </c>
      <c r="E661" s="8" t="s">
        <v>1230</v>
      </c>
      <c r="F661" s="8" t="s">
        <v>678</v>
      </c>
      <c r="G661" s="7" t="s">
        <v>19</v>
      </c>
      <c r="H661" s="47" t="s">
        <v>207</v>
      </c>
      <c r="I661" s="47" t="s">
        <v>208</v>
      </c>
      <c r="J661" s="6">
        <v>64</v>
      </c>
      <c r="K661" s="8" t="s">
        <v>25</v>
      </c>
      <c r="L661" s="1" t="s">
        <v>1230</v>
      </c>
      <c r="M661" s="5">
        <v>2</v>
      </c>
      <c r="Q661" s="3"/>
      <c r="R661" s="3"/>
      <c r="S661" s="3"/>
    </row>
    <row r="662" spans="1:19" ht="15" x14ac:dyDescent="0.25">
      <c r="A662" s="7" t="s">
        <v>16</v>
      </c>
      <c r="B662" s="7" t="s">
        <v>229</v>
      </c>
      <c r="C662" s="7" t="s">
        <v>24</v>
      </c>
      <c r="D662" s="4">
        <v>60003761000129</v>
      </c>
      <c r="E662" s="8" t="s">
        <v>728</v>
      </c>
      <c r="F662" s="8" t="s">
        <v>643</v>
      </c>
      <c r="G662" s="7" t="s">
        <v>19</v>
      </c>
      <c r="H662" s="47" t="s">
        <v>207</v>
      </c>
      <c r="I662" s="47" t="s">
        <v>208</v>
      </c>
      <c r="J662" s="6">
        <v>62</v>
      </c>
      <c r="K662" s="8" t="s">
        <v>27</v>
      </c>
      <c r="L662" s="1" t="s">
        <v>728</v>
      </c>
      <c r="M662" s="5">
        <v>16</v>
      </c>
      <c r="Q662" s="3"/>
      <c r="R662" s="3"/>
      <c r="S662" s="3"/>
    </row>
    <row r="663" spans="1:19" ht="15" x14ac:dyDescent="0.25">
      <c r="A663" s="7" t="s">
        <v>16</v>
      </c>
      <c r="B663" s="7" t="s">
        <v>229</v>
      </c>
      <c r="C663" s="7" t="s">
        <v>24</v>
      </c>
      <c r="D663" s="4">
        <v>60003761000129</v>
      </c>
      <c r="E663" s="8" t="s">
        <v>728</v>
      </c>
      <c r="F663" s="8" t="s">
        <v>643</v>
      </c>
      <c r="G663" s="7" t="s">
        <v>19</v>
      </c>
      <c r="H663" s="47" t="s">
        <v>207</v>
      </c>
      <c r="I663" s="47" t="s">
        <v>208</v>
      </c>
      <c r="J663" s="6">
        <v>64</v>
      </c>
      <c r="K663" s="8" t="s">
        <v>25</v>
      </c>
      <c r="L663" s="1" t="s">
        <v>728</v>
      </c>
      <c r="M663" s="5">
        <v>30</v>
      </c>
      <c r="Q663" s="3"/>
      <c r="R663" s="3"/>
      <c r="S663" s="3"/>
    </row>
    <row r="664" spans="1:19" ht="15" x14ac:dyDescent="0.25">
      <c r="A664" s="7" t="s">
        <v>16</v>
      </c>
      <c r="B664" s="7" t="s">
        <v>230</v>
      </c>
      <c r="C664" s="7" t="s">
        <v>24</v>
      </c>
      <c r="D664" s="4">
        <v>44456036000311</v>
      </c>
      <c r="E664" s="8" t="s">
        <v>675</v>
      </c>
      <c r="F664" s="8" t="s">
        <v>37</v>
      </c>
      <c r="G664" s="7" t="s">
        <v>19</v>
      </c>
      <c r="H664" s="47" t="s">
        <v>207</v>
      </c>
      <c r="I664" s="47" t="s">
        <v>208</v>
      </c>
      <c r="J664" s="6">
        <v>62</v>
      </c>
      <c r="K664" s="8" t="s">
        <v>27</v>
      </c>
      <c r="L664" s="1" t="s">
        <v>675</v>
      </c>
      <c r="M664" s="5">
        <v>2</v>
      </c>
      <c r="Q664" s="3"/>
      <c r="R664" s="3"/>
      <c r="S664" s="3"/>
    </row>
    <row r="665" spans="1:19" ht="15" x14ac:dyDescent="0.25">
      <c r="A665" s="7" t="s">
        <v>16</v>
      </c>
      <c r="B665" s="7" t="s">
        <v>230</v>
      </c>
      <c r="C665" s="7" t="s">
        <v>24</v>
      </c>
      <c r="D665" s="4">
        <v>44456036000311</v>
      </c>
      <c r="E665" s="8" t="s">
        <v>675</v>
      </c>
      <c r="F665" s="8" t="s">
        <v>37</v>
      </c>
      <c r="G665" s="7" t="s">
        <v>19</v>
      </c>
      <c r="H665" s="47" t="s">
        <v>207</v>
      </c>
      <c r="I665" s="47" t="s">
        <v>208</v>
      </c>
      <c r="J665" s="6">
        <v>64</v>
      </c>
      <c r="K665" s="8" t="s">
        <v>25</v>
      </c>
      <c r="L665" s="1" t="s">
        <v>675</v>
      </c>
      <c r="M665" s="5">
        <v>1</v>
      </c>
      <c r="Q665" s="3"/>
      <c r="R665" s="3"/>
      <c r="S665" s="3"/>
    </row>
    <row r="666" spans="1:19" ht="15" x14ac:dyDescent="0.25">
      <c r="A666" s="7" t="s">
        <v>16</v>
      </c>
      <c r="B666" s="7" t="s">
        <v>230</v>
      </c>
      <c r="C666" s="7" t="s">
        <v>24</v>
      </c>
      <c r="D666" s="4">
        <v>50944198000130</v>
      </c>
      <c r="E666" s="8" t="s">
        <v>707</v>
      </c>
      <c r="F666" s="8" t="s">
        <v>678</v>
      </c>
      <c r="G666" s="7" t="s">
        <v>19</v>
      </c>
      <c r="H666" s="47" t="s">
        <v>207</v>
      </c>
      <c r="I666" s="47" t="s">
        <v>208</v>
      </c>
      <c r="J666" s="6">
        <v>64</v>
      </c>
      <c r="K666" s="8" t="s">
        <v>25</v>
      </c>
      <c r="L666" s="1" t="s">
        <v>707</v>
      </c>
      <c r="M666" s="5">
        <v>4</v>
      </c>
      <c r="Q666" s="3"/>
      <c r="R666" s="3"/>
      <c r="S666" s="3"/>
    </row>
    <row r="667" spans="1:19" ht="15" x14ac:dyDescent="0.25">
      <c r="A667" s="7" t="s">
        <v>16</v>
      </c>
      <c r="B667" s="7" t="s">
        <v>230</v>
      </c>
      <c r="C667" s="7" t="s">
        <v>24</v>
      </c>
      <c r="D667" s="4">
        <v>53311999000156</v>
      </c>
      <c r="E667" s="8" t="s">
        <v>714</v>
      </c>
      <c r="F667" s="8" t="s">
        <v>715</v>
      </c>
      <c r="G667" s="7" t="s">
        <v>19</v>
      </c>
      <c r="H667" s="47" t="s">
        <v>207</v>
      </c>
      <c r="I667" s="47" t="s">
        <v>208</v>
      </c>
      <c r="J667" s="6">
        <v>64</v>
      </c>
      <c r="K667" s="8" t="s">
        <v>25</v>
      </c>
      <c r="L667" s="1" t="s">
        <v>714</v>
      </c>
      <c r="M667" s="5">
        <v>2</v>
      </c>
      <c r="Q667" s="3"/>
      <c r="R667" s="3"/>
      <c r="S667" s="3"/>
    </row>
    <row r="668" spans="1:19" ht="15" x14ac:dyDescent="0.25">
      <c r="A668" s="7" t="s">
        <v>16</v>
      </c>
      <c r="B668" s="7" t="s">
        <v>230</v>
      </c>
      <c r="C668" s="7" t="s">
        <v>24</v>
      </c>
      <c r="D668" s="4">
        <v>60003761000129</v>
      </c>
      <c r="E668" s="8" t="s">
        <v>728</v>
      </c>
      <c r="F668" s="8" t="s">
        <v>643</v>
      </c>
      <c r="G668" s="7" t="s">
        <v>19</v>
      </c>
      <c r="H668" s="47" t="s">
        <v>207</v>
      </c>
      <c r="I668" s="47" t="s">
        <v>208</v>
      </c>
      <c r="J668" s="6">
        <v>62</v>
      </c>
      <c r="K668" s="8" t="s">
        <v>27</v>
      </c>
      <c r="L668" s="1" t="s">
        <v>728</v>
      </c>
      <c r="M668" s="5">
        <v>8</v>
      </c>
      <c r="Q668" s="3"/>
      <c r="R668" s="3"/>
      <c r="S668" s="3"/>
    </row>
    <row r="669" spans="1:19" ht="15" x14ac:dyDescent="0.25">
      <c r="A669" s="7" t="s">
        <v>16</v>
      </c>
      <c r="B669" s="7" t="s">
        <v>230</v>
      </c>
      <c r="C669" s="7" t="s">
        <v>24</v>
      </c>
      <c r="D669" s="4">
        <v>60003761000129</v>
      </c>
      <c r="E669" s="8" t="s">
        <v>728</v>
      </c>
      <c r="F669" s="8" t="s">
        <v>643</v>
      </c>
      <c r="G669" s="7" t="s">
        <v>19</v>
      </c>
      <c r="H669" s="47" t="s">
        <v>207</v>
      </c>
      <c r="I669" s="47" t="s">
        <v>208</v>
      </c>
      <c r="J669" s="6">
        <v>64</v>
      </c>
      <c r="K669" s="8" t="s">
        <v>25</v>
      </c>
      <c r="L669" s="1" t="s">
        <v>728</v>
      </c>
      <c r="M669" s="5">
        <v>35</v>
      </c>
      <c r="Q669" s="3"/>
      <c r="R669" s="3"/>
      <c r="S669" s="3"/>
    </row>
    <row r="670" spans="1:19" ht="15" x14ac:dyDescent="0.25">
      <c r="A670" s="7" t="s">
        <v>16</v>
      </c>
      <c r="B670" s="7" t="s">
        <v>372</v>
      </c>
      <c r="C670" s="7" t="s">
        <v>373</v>
      </c>
      <c r="D670" s="4">
        <v>6033403000113</v>
      </c>
      <c r="E670" s="8" t="s">
        <v>646</v>
      </c>
      <c r="F670" s="8" t="s">
        <v>647</v>
      </c>
      <c r="G670" s="7" t="s">
        <v>19</v>
      </c>
      <c r="H670" s="47" t="s">
        <v>207</v>
      </c>
      <c r="I670" s="47" t="s">
        <v>208</v>
      </c>
      <c r="J670" s="6">
        <v>64</v>
      </c>
      <c r="K670" s="8" t="s">
        <v>25</v>
      </c>
      <c r="L670" s="1" t="s">
        <v>646</v>
      </c>
      <c r="M670" s="5">
        <v>3</v>
      </c>
      <c r="Q670" s="3"/>
      <c r="R670" s="3"/>
      <c r="S670" s="3"/>
    </row>
    <row r="671" spans="1:19" ht="15" x14ac:dyDescent="0.25">
      <c r="A671" s="7" t="s">
        <v>16</v>
      </c>
      <c r="B671" s="7" t="s">
        <v>372</v>
      </c>
      <c r="C671" s="7" t="s">
        <v>373</v>
      </c>
      <c r="D671" s="4">
        <v>44456036000311</v>
      </c>
      <c r="E671" s="8" t="s">
        <v>675</v>
      </c>
      <c r="F671" s="8" t="s">
        <v>37</v>
      </c>
      <c r="G671" s="7" t="s">
        <v>19</v>
      </c>
      <c r="H671" s="47" t="s">
        <v>207</v>
      </c>
      <c r="I671" s="47" t="s">
        <v>208</v>
      </c>
      <c r="J671" s="6">
        <v>62</v>
      </c>
      <c r="K671" s="8" t="s">
        <v>27</v>
      </c>
      <c r="L671" s="1" t="s">
        <v>675</v>
      </c>
      <c r="M671" s="5">
        <v>8</v>
      </c>
      <c r="Q671" s="3"/>
      <c r="R671" s="3"/>
      <c r="S671" s="3"/>
    </row>
    <row r="672" spans="1:19" ht="15" x14ac:dyDescent="0.25">
      <c r="A672" s="7" t="s">
        <v>16</v>
      </c>
      <c r="B672" s="7" t="s">
        <v>372</v>
      </c>
      <c r="C672" s="7" t="s">
        <v>373</v>
      </c>
      <c r="D672" s="4">
        <v>44456036000311</v>
      </c>
      <c r="E672" s="8" t="s">
        <v>675</v>
      </c>
      <c r="F672" s="8" t="s">
        <v>37</v>
      </c>
      <c r="G672" s="7" t="s">
        <v>19</v>
      </c>
      <c r="H672" s="47" t="s">
        <v>207</v>
      </c>
      <c r="I672" s="47" t="s">
        <v>208</v>
      </c>
      <c r="J672" s="6">
        <v>66</v>
      </c>
      <c r="K672" s="8" t="s">
        <v>28</v>
      </c>
      <c r="L672" s="1" t="s">
        <v>675</v>
      </c>
      <c r="M672" s="5">
        <v>4</v>
      </c>
      <c r="Q672" s="3"/>
      <c r="R672" s="3"/>
      <c r="S672" s="3"/>
    </row>
    <row r="673" spans="1:19" ht="15" x14ac:dyDescent="0.25">
      <c r="A673" s="7" t="s">
        <v>16</v>
      </c>
      <c r="B673" s="7" t="s">
        <v>372</v>
      </c>
      <c r="C673" s="7" t="s">
        <v>373</v>
      </c>
      <c r="D673" s="4">
        <v>44649812001614</v>
      </c>
      <c r="E673" s="8" t="s">
        <v>677</v>
      </c>
      <c r="F673" s="8" t="s">
        <v>678</v>
      </c>
      <c r="G673" s="7" t="s">
        <v>19</v>
      </c>
      <c r="H673" s="47" t="s">
        <v>207</v>
      </c>
      <c r="I673" s="47" t="s">
        <v>208</v>
      </c>
      <c r="J673" s="6">
        <v>64</v>
      </c>
      <c r="K673" s="8" t="s">
        <v>25</v>
      </c>
      <c r="L673" s="1" t="s">
        <v>677</v>
      </c>
      <c r="M673" s="5">
        <v>4</v>
      </c>
      <c r="Q673" s="3"/>
      <c r="R673" s="3"/>
      <c r="S673" s="3"/>
    </row>
    <row r="674" spans="1:19" ht="15" x14ac:dyDescent="0.25">
      <c r="A674" s="7" t="s">
        <v>16</v>
      </c>
      <c r="B674" s="7" t="s">
        <v>372</v>
      </c>
      <c r="C674" s="7" t="s">
        <v>373</v>
      </c>
      <c r="D674" s="4">
        <v>45184066000117</v>
      </c>
      <c r="E674" s="8" t="s">
        <v>684</v>
      </c>
      <c r="F674" s="8" t="s">
        <v>650</v>
      </c>
      <c r="G674" s="7" t="s">
        <v>19</v>
      </c>
      <c r="H674" s="47" t="s">
        <v>207</v>
      </c>
      <c r="I674" s="47" t="s">
        <v>208</v>
      </c>
      <c r="J674" s="6">
        <v>64</v>
      </c>
      <c r="K674" s="8" t="s">
        <v>25</v>
      </c>
      <c r="L674" s="1" t="s">
        <v>684</v>
      </c>
      <c r="M674" s="5">
        <v>1</v>
      </c>
      <c r="Q674" s="3"/>
      <c r="R674" s="3"/>
      <c r="S674" s="3"/>
    </row>
    <row r="675" spans="1:19" ht="15" x14ac:dyDescent="0.25">
      <c r="A675" s="7" t="s">
        <v>16</v>
      </c>
      <c r="B675" s="7" t="s">
        <v>372</v>
      </c>
      <c r="C675" s="7" t="s">
        <v>373</v>
      </c>
      <c r="D675" s="4">
        <v>46068425000133</v>
      </c>
      <c r="E675" s="8" t="s">
        <v>692</v>
      </c>
      <c r="F675" s="8" t="s">
        <v>33</v>
      </c>
      <c r="G675" s="7" t="s">
        <v>19</v>
      </c>
      <c r="H675" s="47" t="s">
        <v>207</v>
      </c>
      <c r="I675" s="47" t="s">
        <v>208</v>
      </c>
      <c r="J675" s="6">
        <v>66</v>
      </c>
      <c r="K675" s="8" t="s">
        <v>28</v>
      </c>
      <c r="L675" s="1" t="s">
        <v>692</v>
      </c>
      <c r="M675" s="5">
        <v>1</v>
      </c>
      <c r="Q675" s="3"/>
      <c r="R675" s="3"/>
      <c r="S675" s="3"/>
    </row>
    <row r="676" spans="1:19" ht="15" x14ac:dyDescent="0.25">
      <c r="A676" s="7" t="s">
        <v>16</v>
      </c>
      <c r="B676" s="7" t="s">
        <v>372</v>
      </c>
      <c r="C676" s="7" t="s">
        <v>373</v>
      </c>
      <c r="D676" s="4">
        <v>60003761000129</v>
      </c>
      <c r="E676" s="8" t="s">
        <v>728</v>
      </c>
      <c r="F676" s="8" t="s">
        <v>643</v>
      </c>
      <c r="G676" s="7" t="s">
        <v>19</v>
      </c>
      <c r="H676" s="47" t="s">
        <v>207</v>
      </c>
      <c r="I676" s="47" t="s">
        <v>208</v>
      </c>
      <c r="J676" s="6">
        <v>64</v>
      </c>
      <c r="K676" s="8" t="s">
        <v>25</v>
      </c>
      <c r="L676" s="1" t="s">
        <v>728</v>
      </c>
      <c r="M676" s="5">
        <v>20</v>
      </c>
      <c r="Q676" s="3"/>
      <c r="R676" s="3"/>
      <c r="S676" s="3"/>
    </row>
    <row r="677" spans="1:19" ht="15" x14ac:dyDescent="0.25">
      <c r="A677" s="7" t="s">
        <v>16</v>
      </c>
      <c r="B677" s="7" t="s">
        <v>17</v>
      </c>
      <c r="C677" s="7" t="s">
        <v>18</v>
      </c>
      <c r="D677" s="4">
        <v>2643405000173</v>
      </c>
      <c r="E677" s="8" t="s">
        <v>642</v>
      </c>
      <c r="F677" s="8" t="s">
        <v>643</v>
      </c>
      <c r="G677" s="7" t="s">
        <v>19</v>
      </c>
      <c r="H677" s="47" t="s">
        <v>207</v>
      </c>
      <c r="I677" s="47" t="s">
        <v>208</v>
      </c>
      <c r="J677" s="6">
        <v>73</v>
      </c>
      <c r="K677" s="8" t="s">
        <v>26</v>
      </c>
      <c r="L677" s="1" t="s">
        <v>642</v>
      </c>
      <c r="M677" s="5">
        <v>6</v>
      </c>
      <c r="Q677" s="3"/>
      <c r="R677" s="3"/>
      <c r="S677" s="3"/>
    </row>
    <row r="678" spans="1:19" ht="15" x14ac:dyDescent="0.25">
      <c r="A678" s="7" t="s">
        <v>16</v>
      </c>
      <c r="B678" s="7" t="s">
        <v>21</v>
      </c>
      <c r="C678" s="7" t="s">
        <v>18</v>
      </c>
      <c r="D678" s="4">
        <v>2643405000173</v>
      </c>
      <c r="E678" s="8" t="s">
        <v>642</v>
      </c>
      <c r="F678" s="8" t="s">
        <v>643</v>
      </c>
      <c r="G678" s="7" t="s">
        <v>19</v>
      </c>
      <c r="H678" s="47" t="s">
        <v>207</v>
      </c>
      <c r="I678" s="47" t="s">
        <v>208</v>
      </c>
      <c r="J678" s="6">
        <v>73</v>
      </c>
      <c r="K678" s="8" t="s">
        <v>26</v>
      </c>
      <c r="L678" s="1" t="s">
        <v>642</v>
      </c>
      <c r="M678" s="5">
        <v>12</v>
      </c>
      <c r="Q678" s="3"/>
      <c r="R678" s="3"/>
      <c r="S678" s="3"/>
    </row>
    <row r="679" spans="1:19" ht="15" x14ac:dyDescent="0.25">
      <c r="A679" s="7" t="s">
        <v>16</v>
      </c>
      <c r="B679" s="7" t="s">
        <v>17</v>
      </c>
      <c r="C679" s="7" t="s">
        <v>18</v>
      </c>
      <c r="D679" s="4">
        <v>4275687000129</v>
      </c>
      <c r="E679" s="8" t="s">
        <v>645</v>
      </c>
      <c r="F679" s="8" t="s">
        <v>31</v>
      </c>
      <c r="G679" s="7" t="s">
        <v>19</v>
      </c>
      <c r="H679" s="47" t="s">
        <v>207</v>
      </c>
      <c r="I679" s="47" t="s">
        <v>208</v>
      </c>
      <c r="J679" s="6">
        <v>73</v>
      </c>
      <c r="K679" s="8" t="s">
        <v>26</v>
      </c>
      <c r="L679" s="1" t="s">
        <v>645</v>
      </c>
      <c r="M679" s="5">
        <v>36</v>
      </c>
      <c r="Q679" s="3"/>
      <c r="R679" s="3"/>
      <c r="S679" s="3"/>
    </row>
    <row r="680" spans="1:19" ht="15" x14ac:dyDescent="0.25">
      <c r="A680" s="7" t="s">
        <v>16</v>
      </c>
      <c r="B680" s="7" t="s">
        <v>21</v>
      </c>
      <c r="C680" s="7" t="s">
        <v>18</v>
      </c>
      <c r="D680" s="4">
        <v>4275687000129</v>
      </c>
      <c r="E680" s="8" t="s">
        <v>645</v>
      </c>
      <c r="F680" s="8" t="s">
        <v>31</v>
      </c>
      <c r="G680" s="7" t="s">
        <v>19</v>
      </c>
      <c r="H680" s="47" t="s">
        <v>207</v>
      </c>
      <c r="I680" s="47" t="s">
        <v>208</v>
      </c>
      <c r="J680" s="6">
        <v>73</v>
      </c>
      <c r="K680" s="8" t="s">
        <v>26</v>
      </c>
      <c r="L680" s="1" t="s">
        <v>645</v>
      </c>
      <c r="M680" s="5">
        <v>15</v>
      </c>
      <c r="Q680" s="3"/>
      <c r="R680" s="3"/>
      <c r="S680" s="3"/>
    </row>
    <row r="681" spans="1:19" ht="15" x14ac:dyDescent="0.25">
      <c r="A681" s="7" t="s">
        <v>16</v>
      </c>
      <c r="B681" s="7" t="s">
        <v>17</v>
      </c>
      <c r="C681" s="7" t="s">
        <v>18</v>
      </c>
      <c r="D681" s="4">
        <v>6047087003073</v>
      </c>
      <c r="E681" s="8" t="s">
        <v>649</v>
      </c>
      <c r="F681" s="8" t="s">
        <v>650</v>
      </c>
      <c r="G681" s="7" t="s">
        <v>19</v>
      </c>
      <c r="H681" s="47" t="s">
        <v>207</v>
      </c>
      <c r="I681" s="47" t="s">
        <v>208</v>
      </c>
      <c r="J681" s="6">
        <v>73</v>
      </c>
      <c r="K681" s="8" t="s">
        <v>26</v>
      </c>
      <c r="L681" s="1" t="s">
        <v>649</v>
      </c>
      <c r="M681" s="5">
        <v>48</v>
      </c>
      <c r="Q681" s="3"/>
      <c r="R681" s="3"/>
      <c r="S681" s="3"/>
    </row>
    <row r="682" spans="1:19" ht="15" x14ac:dyDescent="0.25">
      <c r="A682" s="7" t="s">
        <v>16</v>
      </c>
      <c r="B682" s="7" t="s">
        <v>21</v>
      </c>
      <c r="C682" s="7" t="s">
        <v>18</v>
      </c>
      <c r="D682" s="4">
        <v>6047087003073</v>
      </c>
      <c r="E682" s="8" t="s">
        <v>649</v>
      </c>
      <c r="F682" s="8" t="s">
        <v>650</v>
      </c>
      <c r="G682" s="7" t="s">
        <v>19</v>
      </c>
      <c r="H682" s="47" t="s">
        <v>207</v>
      </c>
      <c r="I682" s="47" t="s">
        <v>208</v>
      </c>
      <c r="J682" s="6">
        <v>73</v>
      </c>
      <c r="K682" s="8" t="s">
        <v>26</v>
      </c>
      <c r="L682" s="1" t="s">
        <v>649</v>
      </c>
      <c r="M682" s="5">
        <v>48</v>
      </c>
      <c r="Q682" s="3"/>
      <c r="R682" s="3"/>
      <c r="S682" s="3"/>
    </row>
    <row r="683" spans="1:19" ht="15" x14ac:dyDescent="0.25">
      <c r="A683" s="7" t="s">
        <v>16</v>
      </c>
      <c r="B683" s="7" t="s">
        <v>17</v>
      </c>
      <c r="C683" s="7" t="s">
        <v>18</v>
      </c>
      <c r="D683" s="4">
        <v>10447300000177</v>
      </c>
      <c r="E683" s="8" t="s">
        <v>658</v>
      </c>
      <c r="F683" s="8" t="s">
        <v>33</v>
      </c>
      <c r="G683" s="7" t="s">
        <v>19</v>
      </c>
      <c r="H683" s="47" t="s">
        <v>207</v>
      </c>
      <c r="I683" s="47" t="s">
        <v>208</v>
      </c>
      <c r="J683" s="6">
        <v>73</v>
      </c>
      <c r="K683" s="8" t="s">
        <v>26</v>
      </c>
      <c r="L683" s="1" t="s">
        <v>658</v>
      </c>
      <c r="M683" s="5">
        <v>4</v>
      </c>
      <c r="Q683" s="3"/>
      <c r="R683" s="3"/>
      <c r="S683" s="3"/>
    </row>
    <row r="684" spans="1:19" ht="15" x14ac:dyDescent="0.25">
      <c r="A684" s="7" t="s">
        <v>16</v>
      </c>
      <c r="B684" s="7" t="s">
        <v>21</v>
      </c>
      <c r="C684" s="7" t="s">
        <v>18</v>
      </c>
      <c r="D684" s="4">
        <v>10447300000177</v>
      </c>
      <c r="E684" s="8" t="s">
        <v>658</v>
      </c>
      <c r="F684" s="8" t="s">
        <v>33</v>
      </c>
      <c r="G684" s="7" t="s">
        <v>19</v>
      </c>
      <c r="H684" s="47" t="s">
        <v>207</v>
      </c>
      <c r="I684" s="47" t="s">
        <v>208</v>
      </c>
      <c r="J684" s="6">
        <v>73</v>
      </c>
      <c r="K684" s="8" t="s">
        <v>26</v>
      </c>
      <c r="L684" s="1" t="s">
        <v>658</v>
      </c>
      <c r="M684" s="5">
        <v>4</v>
      </c>
      <c r="Q684" s="3"/>
      <c r="R684" s="3"/>
      <c r="S684" s="3"/>
    </row>
    <row r="685" spans="1:19" ht="15" x14ac:dyDescent="0.25">
      <c r="A685" s="7" t="s">
        <v>16</v>
      </c>
      <c r="B685" s="7" t="s">
        <v>17</v>
      </c>
      <c r="C685" s="7" t="s">
        <v>18</v>
      </c>
      <c r="D685" s="4">
        <v>13718999001041</v>
      </c>
      <c r="E685" s="8" t="s">
        <v>662</v>
      </c>
      <c r="F685" s="8" t="s">
        <v>647</v>
      </c>
      <c r="G685" s="7" t="s">
        <v>19</v>
      </c>
      <c r="H685" s="47" t="s">
        <v>207</v>
      </c>
      <c r="I685" s="47" t="s">
        <v>208</v>
      </c>
      <c r="J685" s="6">
        <v>73</v>
      </c>
      <c r="K685" s="8" t="s">
        <v>26</v>
      </c>
      <c r="L685" s="1" t="s">
        <v>662</v>
      </c>
      <c r="M685" s="5">
        <v>4</v>
      </c>
      <c r="Q685" s="3"/>
      <c r="R685" s="3"/>
      <c r="S685" s="3"/>
    </row>
    <row r="686" spans="1:19" ht="15" x14ac:dyDescent="0.25">
      <c r="A686" s="7" t="s">
        <v>16</v>
      </c>
      <c r="B686" s="7" t="s">
        <v>21</v>
      </c>
      <c r="C686" s="7" t="s">
        <v>18</v>
      </c>
      <c r="D686" s="4">
        <v>13718999001041</v>
      </c>
      <c r="E686" s="8" t="s">
        <v>662</v>
      </c>
      <c r="F686" s="8" t="s">
        <v>647</v>
      </c>
      <c r="G686" s="7" t="s">
        <v>19</v>
      </c>
      <c r="H686" s="47" t="s">
        <v>207</v>
      </c>
      <c r="I686" s="47" t="s">
        <v>208</v>
      </c>
      <c r="J686" s="6">
        <v>73</v>
      </c>
      <c r="K686" s="8" t="s">
        <v>26</v>
      </c>
      <c r="L686" s="1" t="s">
        <v>662</v>
      </c>
      <c r="M686" s="5">
        <v>4</v>
      </c>
      <c r="Q686" s="3"/>
      <c r="R686" s="3"/>
      <c r="S686" s="3"/>
    </row>
    <row r="687" spans="1:19" ht="15" x14ac:dyDescent="0.25">
      <c r="A687" s="7" t="s">
        <v>16</v>
      </c>
      <c r="B687" s="7" t="s">
        <v>17</v>
      </c>
      <c r="C687" s="7" t="s">
        <v>18</v>
      </c>
      <c r="D687" s="4">
        <v>18321477000134</v>
      </c>
      <c r="E687" s="8" t="s">
        <v>664</v>
      </c>
      <c r="F687" s="8" t="s">
        <v>650</v>
      </c>
      <c r="G687" s="7" t="s">
        <v>19</v>
      </c>
      <c r="H687" s="47" t="s">
        <v>207</v>
      </c>
      <c r="I687" s="47" t="s">
        <v>208</v>
      </c>
      <c r="J687" s="6">
        <v>73</v>
      </c>
      <c r="K687" s="8" t="s">
        <v>26</v>
      </c>
      <c r="L687" s="1" t="s">
        <v>664</v>
      </c>
      <c r="M687" s="5">
        <v>48</v>
      </c>
      <c r="Q687" s="3"/>
      <c r="R687" s="3"/>
      <c r="S687" s="3"/>
    </row>
    <row r="688" spans="1:19" ht="15" x14ac:dyDescent="0.25">
      <c r="A688" s="7" t="s">
        <v>16</v>
      </c>
      <c r="B688" s="7" t="s">
        <v>21</v>
      </c>
      <c r="C688" s="7" t="s">
        <v>18</v>
      </c>
      <c r="D688" s="4">
        <v>18321477000134</v>
      </c>
      <c r="E688" s="8" t="s">
        <v>664</v>
      </c>
      <c r="F688" s="8" t="s">
        <v>650</v>
      </c>
      <c r="G688" s="7" t="s">
        <v>19</v>
      </c>
      <c r="H688" s="47" t="s">
        <v>207</v>
      </c>
      <c r="I688" s="47" t="s">
        <v>208</v>
      </c>
      <c r="J688" s="6">
        <v>73</v>
      </c>
      <c r="K688" s="8" t="s">
        <v>26</v>
      </c>
      <c r="L688" s="1" t="s">
        <v>664</v>
      </c>
      <c r="M688" s="5">
        <v>48</v>
      </c>
      <c r="Q688" s="3"/>
      <c r="R688" s="3"/>
      <c r="S688" s="3"/>
    </row>
    <row r="689" spans="1:19" ht="15" x14ac:dyDescent="0.25">
      <c r="A689" s="7" t="s">
        <v>16</v>
      </c>
      <c r="B689" s="7" t="s">
        <v>17</v>
      </c>
      <c r="C689" s="7" t="s">
        <v>18</v>
      </c>
      <c r="D689" s="4">
        <v>44531788000138</v>
      </c>
      <c r="E689" s="8" t="s">
        <v>676</v>
      </c>
      <c r="F689" s="8" t="s">
        <v>38</v>
      </c>
      <c r="G689" s="7" t="s">
        <v>19</v>
      </c>
      <c r="H689" s="47" t="s">
        <v>207</v>
      </c>
      <c r="I689" s="47" t="s">
        <v>208</v>
      </c>
      <c r="J689" s="6">
        <v>73</v>
      </c>
      <c r="K689" s="8" t="s">
        <v>26</v>
      </c>
      <c r="L689" s="1" t="s">
        <v>676</v>
      </c>
      <c r="M689" s="5">
        <v>120</v>
      </c>
      <c r="Q689" s="3"/>
      <c r="R689" s="3"/>
      <c r="S689" s="3"/>
    </row>
    <row r="690" spans="1:19" ht="15" x14ac:dyDescent="0.25">
      <c r="A690" s="7" t="s">
        <v>16</v>
      </c>
      <c r="B690" s="7" t="s">
        <v>17</v>
      </c>
      <c r="C690" s="7" t="s">
        <v>18</v>
      </c>
      <c r="D690" s="4">
        <v>44649812019238</v>
      </c>
      <c r="E690" s="8" t="s">
        <v>679</v>
      </c>
      <c r="F690" s="8" t="s">
        <v>33</v>
      </c>
      <c r="G690" s="7" t="s">
        <v>19</v>
      </c>
      <c r="H690" s="47" t="s">
        <v>207</v>
      </c>
      <c r="I690" s="47" t="s">
        <v>208</v>
      </c>
      <c r="J690" s="6">
        <v>73</v>
      </c>
      <c r="K690" s="8" t="s">
        <v>26</v>
      </c>
      <c r="L690" s="1" t="s">
        <v>679</v>
      </c>
      <c r="M690" s="5">
        <v>8</v>
      </c>
      <c r="Q690" s="3"/>
      <c r="R690" s="3"/>
      <c r="S690" s="3"/>
    </row>
    <row r="691" spans="1:19" ht="15" x14ac:dyDescent="0.25">
      <c r="A691" s="7" t="s">
        <v>16</v>
      </c>
      <c r="B691" s="7" t="s">
        <v>17</v>
      </c>
      <c r="C691" s="7" t="s">
        <v>18</v>
      </c>
      <c r="D691" s="4">
        <v>44663631000590</v>
      </c>
      <c r="E691" s="8" t="s">
        <v>680</v>
      </c>
      <c r="F691" s="8" t="s">
        <v>39</v>
      </c>
      <c r="G691" s="7" t="s">
        <v>19</v>
      </c>
      <c r="H691" s="47" t="s">
        <v>207</v>
      </c>
      <c r="I691" s="47" t="s">
        <v>208</v>
      </c>
      <c r="J691" s="6">
        <v>73</v>
      </c>
      <c r="K691" s="8" t="s">
        <v>26</v>
      </c>
      <c r="L691" s="1" t="s">
        <v>680</v>
      </c>
      <c r="M691" s="5">
        <v>32</v>
      </c>
      <c r="Q691" s="3"/>
      <c r="R691" s="3"/>
      <c r="S691" s="3"/>
    </row>
    <row r="692" spans="1:19" ht="15" x14ac:dyDescent="0.25">
      <c r="A692" s="7" t="s">
        <v>16</v>
      </c>
      <c r="B692" s="7" t="s">
        <v>17</v>
      </c>
      <c r="C692" s="7" t="s">
        <v>18</v>
      </c>
      <c r="D692" s="4">
        <v>44803922000293</v>
      </c>
      <c r="E692" s="8" t="s">
        <v>681</v>
      </c>
      <c r="F692" s="8" t="s">
        <v>40</v>
      </c>
      <c r="G692" s="7" t="s">
        <v>19</v>
      </c>
      <c r="H692" s="47" t="s">
        <v>207</v>
      </c>
      <c r="I692" s="47" t="s">
        <v>208</v>
      </c>
      <c r="J692" s="6">
        <v>73</v>
      </c>
      <c r="K692" s="8" t="s">
        <v>26</v>
      </c>
      <c r="L692" s="1" t="s">
        <v>681</v>
      </c>
      <c r="M692" s="5">
        <v>6</v>
      </c>
      <c r="Q692" s="3"/>
      <c r="R692" s="3"/>
      <c r="S692" s="3"/>
    </row>
    <row r="693" spans="1:19" ht="15" x14ac:dyDescent="0.25">
      <c r="A693" s="7" t="s">
        <v>16</v>
      </c>
      <c r="B693" s="7" t="s">
        <v>17</v>
      </c>
      <c r="C693" s="7" t="s">
        <v>18</v>
      </c>
      <c r="D693" s="4">
        <v>45118429001279</v>
      </c>
      <c r="E693" s="8" t="s">
        <v>683</v>
      </c>
      <c r="F693" s="8" t="s">
        <v>41</v>
      </c>
      <c r="G693" s="7" t="s">
        <v>19</v>
      </c>
      <c r="H693" s="47" t="s">
        <v>207</v>
      </c>
      <c r="I693" s="47" t="s">
        <v>208</v>
      </c>
      <c r="J693" s="6">
        <v>73</v>
      </c>
      <c r="K693" s="8" t="s">
        <v>26</v>
      </c>
      <c r="L693" s="1" t="s">
        <v>683</v>
      </c>
      <c r="M693" s="5">
        <v>12</v>
      </c>
      <c r="Q693" s="3"/>
      <c r="R693" s="3"/>
      <c r="S693" s="3"/>
    </row>
    <row r="694" spans="1:19" ht="15" x14ac:dyDescent="0.25">
      <c r="A694" s="7" t="s">
        <v>16</v>
      </c>
      <c r="B694" s="7" t="s">
        <v>17</v>
      </c>
      <c r="C694" s="7" t="s">
        <v>18</v>
      </c>
      <c r="D694" s="4">
        <v>45184066000117</v>
      </c>
      <c r="E694" s="8" t="s">
        <v>684</v>
      </c>
      <c r="F694" s="8" t="s">
        <v>650</v>
      </c>
      <c r="G694" s="7" t="s">
        <v>19</v>
      </c>
      <c r="H694" s="47" t="s">
        <v>207</v>
      </c>
      <c r="I694" s="47" t="s">
        <v>208</v>
      </c>
      <c r="J694" s="6">
        <v>73</v>
      </c>
      <c r="K694" s="8" t="s">
        <v>26</v>
      </c>
      <c r="L694" s="1" t="s">
        <v>684</v>
      </c>
      <c r="M694" s="5">
        <v>14</v>
      </c>
      <c r="Q694" s="3"/>
      <c r="R694" s="3"/>
      <c r="S694" s="3"/>
    </row>
    <row r="695" spans="1:19" ht="15" x14ac:dyDescent="0.25">
      <c r="A695" s="7" t="s">
        <v>16</v>
      </c>
      <c r="B695" s="7" t="s">
        <v>17</v>
      </c>
      <c r="C695" s="7" t="s">
        <v>18</v>
      </c>
      <c r="D695" s="4">
        <v>45232246000550</v>
      </c>
      <c r="E695" s="8" t="s">
        <v>685</v>
      </c>
      <c r="F695" s="8" t="s">
        <v>639</v>
      </c>
      <c r="G695" s="7" t="s">
        <v>19</v>
      </c>
      <c r="H695" s="47" t="s">
        <v>207</v>
      </c>
      <c r="I695" s="47" t="s">
        <v>208</v>
      </c>
      <c r="J695" s="6">
        <v>73</v>
      </c>
      <c r="K695" s="8" t="s">
        <v>26</v>
      </c>
      <c r="L695" s="1" t="s">
        <v>685</v>
      </c>
      <c r="M695" s="5">
        <v>35</v>
      </c>
      <c r="Q695" s="3"/>
      <c r="R695" s="3"/>
      <c r="S695" s="3"/>
    </row>
    <row r="696" spans="1:19" ht="15" x14ac:dyDescent="0.25">
      <c r="A696" s="7" t="s">
        <v>16</v>
      </c>
      <c r="B696" s="7" t="s">
        <v>17</v>
      </c>
      <c r="C696" s="7" t="s">
        <v>18</v>
      </c>
      <c r="D696" s="4">
        <v>45359213000576</v>
      </c>
      <c r="E696" s="8" t="s">
        <v>686</v>
      </c>
      <c r="F696" s="8" t="s">
        <v>687</v>
      </c>
      <c r="G696" s="7" t="s">
        <v>19</v>
      </c>
      <c r="H696" s="47" t="s">
        <v>207</v>
      </c>
      <c r="I696" s="47" t="s">
        <v>208</v>
      </c>
      <c r="J696" s="6">
        <v>73</v>
      </c>
      <c r="K696" s="8" t="s">
        <v>26</v>
      </c>
      <c r="L696" s="1" t="s">
        <v>686</v>
      </c>
      <c r="M696" s="5">
        <v>40</v>
      </c>
      <c r="Q696" s="3"/>
      <c r="R696" s="3"/>
      <c r="S696" s="3"/>
    </row>
    <row r="697" spans="1:19" ht="15" x14ac:dyDescent="0.25">
      <c r="A697" s="7" t="s">
        <v>16</v>
      </c>
      <c r="B697" s="7" t="s">
        <v>17</v>
      </c>
      <c r="C697" s="7" t="s">
        <v>18</v>
      </c>
      <c r="D697" s="4">
        <v>46009718000140</v>
      </c>
      <c r="E697" s="8" t="s">
        <v>690</v>
      </c>
      <c r="F697" s="8" t="s">
        <v>33</v>
      </c>
      <c r="G697" s="7" t="s">
        <v>19</v>
      </c>
      <c r="H697" s="47" t="s">
        <v>207</v>
      </c>
      <c r="I697" s="47" t="s">
        <v>208</v>
      </c>
      <c r="J697" s="6">
        <v>73</v>
      </c>
      <c r="K697" s="8" t="s">
        <v>26</v>
      </c>
      <c r="L697" s="1" t="s">
        <v>690</v>
      </c>
      <c r="M697" s="5">
        <v>34</v>
      </c>
      <c r="Q697" s="3"/>
      <c r="R697" s="3"/>
      <c r="S697" s="3"/>
    </row>
    <row r="698" spans="1:19" ht="15" x14ac:dyDescent="0.25">
      <c r="A698" s="7" t="s">
        <v>16</v>
      </c>
      <c r="B698" s="7" t="s">
        <v>17</v>
      </c>
      <c r="C698" s="7" t="s">
        <v>18</v>
      </c>
      <c r="D698" s="4">
        <v>46020301000269</v>
      </c>
      <c r="E698" s="8" t="s">
        <v>691</v>
      </c>
      <c r="F698" s="8" t="s">
        <v>33</v>
      </c>
      <c r="G698" s="7" t="s">
        <v>19</v>
      </c>
      <c r="H698" s="47" t="s">
        <v>207</v>
      </c>
      <c r="I698" s="47" t="s">
        <v>208</v>
      </c>
      <c r="J698" s="6">
        <v>73</v>
      </c>
      <c r="K698" s="8" t="s">
        <v>26</v>
      </c>
      <c r="L698" s="1" t="s">
        <v>691</v>
      </c>
      <c r="M698" s="5">
        <v>50</v>
      </c>
      <c r="Q698" s="3"/>
      <c r="R698" s="3"/>
      <c r="S698" s="3"/>
    </row>
    <row r="699" spans="1:19" ht="15" x14ac:dyDescent="0.25">
      <c r="A699" s="7" t="s">
        <v>16</v>
      </c>
      <c r="B699" s="7" t="s">
        <v>17</v>
      </c>
      <c r="C699" s="7" t="s">
        <v>18</v>
      </c>
      <c r="D699" s="4">
        <v>46124624000111</v>
      </c>
      <c r="E699" s="8" t="s">
        <v>693</v>
      </c>
      <c r="F699" s="8" t="s">
        <v>33</v>
      </c>
      <c r="G699" s="7" t="s">
        <v>19</v>
      </c>
      <c r="H699" s="47" t="s">
        <v>207</v>
      </c>
      <c r="I699" s="47" t="s">
        <v>208</v>
      </c>
      <c r="J699" s="6">
        <v>73</v>
      </c>
      <c r="K699" s="8" t="s">
        <v>26</v>
      </c>
      <c r="L699" s="1" t="s">
        <v>693</v>
      </c>
      <c r="M699" s="5">
        <v>208</v>
      </c>
      <c r="Q699" s="3"/>
      <c r="R699" s="3"/>
      <c r="S699" s="3"/>
    </row>
    <row r="700" spans="1:19" ht="15" x14ac:dyDescent="0.25">
      <c r="A700" s="7" t="s">
        <v>16</v>
      </c>
      <c r="B700" s="7" t="s">
        <v>17</v>
      </c>
      <c r="C700" s="7" t="s">
        <v>18</v>
      </c>
      <c r="D700" s="4">
        <v>46124624002599</v>
      </c>
      <c r="E700" s="8" t="s">
        <v>694</v>
      </c>
      <c r="F700" s="8" t="s">
        <v>695</v>
      </c>
      <c r="G700" s="7" t="s">
        <v>19</v>
      </c>
      <c r="H700" s="47" t="s">
        <v>207</v>
      </c>
      <c r="I700" s="47" t="s">
        <v>208</v>
      </c>
      <c r="J700" s="6">
        <v>73</v>
      </c>
      <c r="K700" s="8" t="s">
        <v>26</v>
      </c>
      <c r="L700" s="1" t="s">
        <v>694</v>
      </c>
      <c r="M700" s="5">
        <v>120</v>
      </c>
      <c r="Q700" s="3"/>
      <c r="R700" s="3"/>
      <c r="S700" s="3"/>
    </row>
    <row r="701" spans="1:19" ht="15" x14ac:dyDescent="0.25">
      <c r="A701" s="7" t="s">
        <v>16</v>
      </c>
      <c r="B701" s="7" t="s">
        <v>17</v>
      </c>
      <c r="C701" s="7" t="s">
        <v>18</v>
      </c>
      <c r="D701" s="4">
        <v>47074851000819</v>
      </c>
      <c r="E701" s="8" t="s">
        <v>702</v>
      </c>
      <c r="F701" s="8" t="s">
        <v>41</v>
      </c>
      <c r="G701" s="7" t="s">
        <v>19</v>
      </c>
      <c r="H701" s="47" t="s">
        <v>207</v>
      </c>
      <c r="I701" s="47" t="s">
        <v>208</v>
      </c>
      <c r="J701" s="6">
        <v>73</v>
      </c>
      <c r="K701" s="8" t="s">
        <v>26</v>
      </c>
      <c r="L701" s="1" t="s">
        <v>702</v>
      </c>
      <c r="M701" s="5">
        <v>12</v>
      </c>
      <c r="Q701" s="3"/>
      <c r="R701" s="3"/>
      <c r="S701" s="3"/>
    </row>
    <row r="702" spans="1:19" ht="15" x14ac:dyDescent="0.25">
      <c r="A702" s="7" t="s">
        <v>16</v>
      </c>
      <c r="B702" s="7" t="s">
        <v>17</v>
      </c>
      <c r="C702" s="7" t="s">
        <v>18</v>
      </c>
      <c r="D702" s="4">
        <v>51885242000140</v>
      </c>
      <c r="E702" s="8" t="s">
        <v>712</v>
      </c>
      <c r="F702" s="8" t="s">
        <v>33</v>
      </c>
      <c r="G702" s="7" t="s">
        <v>19</v>
      </c>
      <c r="H702" s="47" t="s">
        <v>207</v>
      </c>
      <c r="I702" s="47" t="s">
        <v>208</v>
      </c>
      <c r="J702" s="6">
        <v>73</v>
      </c>
      <c r="K702" s="8" t="s">
        <v>26</v>
      </c>
      <c r="L702" s="1" t="s">
        <v>712</v>
      </c>
      <c r="M702" s="5">
        <v>240</v>
      </c>
      <c r="Q702" s="3"/>
      <c r="R702" s="3"/>
      <c r="S702" s="3"/>
    </row>
    <row r="703" spans="1:19" ht="15" x14ac:dyDescent="0.25">
      <c r="A703" s="7" t="s">
        <v>16</v>
      </c>
      <c r="B703" s="7" t="s">
        <v>17</v>
      </c>
      <c r="C703" s="7" t="s">
        <v>18</v>
      </c>
      <c r="D703" s="4">
        <v>55980148000121</v>
      </c>
      <c r="E703" s="8" t="s">
        <v>720</v>
      </c>
      <c r="F703" s="8" t="s">
        <v>639</v>
      </c>
      <c r="G703" s="7" t="s">
        <v>19</v>
      </c>
      <c r="H703" s="47" t="s">
        <v>207</v>
      </c>
      <c r="I703" s="47" t="s">
        <v>208</v>
      </c>
      <c r="J703" s="6">
        <v>73</v>
      </c>
      <c r="K703" s="8" t="s">
        <v>26</v>
      </c>
      <c r="L703" s="1" t="s">
        <v>720</v>
      </c>
      <c r="M703" s="5">
        <v>1</v>
      </c>
      <c r="Q703" s="3"/>
      <c r="R703" s="3"/>
      <c r="S703" s="3"/>
    </row>
    <row r="704" spans="1:19" ht="15" x14ac:dyDescent="0.25">
      <c r="A704" s="7" t="s">
        <v>16</v>
      </c>
      <c r="B704" s="7" t="s">
        <v>17</v>
      </c>
      <c r="C704" s="7" t="s">
        <v>18</v>
      </c>
      <c r="D704" s="4">
        <v>58229691001070</v>
      </c>
      <c r="E704" s="8" t="s">
        <v>725</v>
      </c>
      <c r="F704" s="8" t="s">
        <v>35</v>
      </c>
      <c r="G704" s="7" t="s">
        <v>19</v>
      </c>
      <c r="H704" s="47" t="s">
        <v>207</v>
      </c>
      <c r="I704" s="47" t="s">
        <v>208</v>
      </c>
      <c r="J704" s="6">
        <v>73</v>
      </c>
      <c r="K704" s="8" t="s">
        <v>26</v>
      </c>
      <c r="L704" s="1" t="s">
        <v>725</v>
      </c>
      <c r="M704" s="5">
        <v>48</v>
      </c>
      <c r="Q704" s="3"/>
      <c r="R704" s="3"/>
      <c r="S704" s="3"/>
    </row>
    <row r="705" spans="1:19" ht="15" x14ac:dyDescent="0.25">
      <c r="A705" s="7" t="s">
        <v>16</v>
      </c>
      <c r="B705" s="7" t="s">
        <v>21</v>
      </c>
      <c r="C705" s="7" t="s">
        <v>18</v>
      </c>
      <c r="D705" s="4">
        <v>44649812019238</v>
      </c>
      <c r="E705" s="8" t="s">
        <v>679</v>
      </c>
      <c r="F705" s="8" t="s">
        <v>33</v>
      </c>
      <c r="G705" s="7" t="s">
        <v>19</v>
      </c>
      <c r="H705" s="47" t="s">
        <v>207</v>
      </c>
      <c r="I705" s="47" t="s">
        <v>208</v>
      </c>
      <c r="J705" s="6">
        <v>73</v>
      </c>
      <c r="K705" s="8" t="s">
        <v>26</v>
      </c>
      <c r="L705" s="1" t="s">
        <v>679</v>
      </c>
      <c r="M705" s="5">
        <v>8</v>
      </c>
      <c r="Q705" s="3"/>
      <c r="R705" s="3"/>
      <c r="S705" s="3"/>
    </row>
    <row r="706" spans="1:19" ht="15" x14ac:dyDescent="0.25">
      <c r="A706" s="7" t="s">
        <v>16</v>
      </c>
      <c r="B706" s="7" t="s">
        <v>21</v>
      </c>
      <c r="C706" s="7" t="s">
        <v>18</v>
      </c>
      <c r="D706" s="4">
        <v>44663631000590</v>
      </c>
      <c r="E706" s="8" t="s">
        <v>680</v>
      </c>
      <c r="F706" s="8" t="s">
        <v>39</v>
      </c>
      <c r="G706" s="7" t="s">
        <v>19</v>
      </c>
      <c r="H706" s="47" t="s">
        <v>207</v>
      </c>
      <c r="I706" s="47" t="s">
        <v>208</v>
      </c>
      <c r="J706" s="6">
        <v>73</v>
      </c>
      <c r="K706" s="8" t="s">
        <v>26</v>
      </c>
      <c r="L706" s="1" t="s">
        <v>680</v>
      </c>
      <c r="M706" s="5">
        <v>32</v>
      </c>
      <c r="Q706" s="3"/>
      <c r="R706" s="3"/>
      <c r="S706" s="3"/>
    </row>
    <row r="707" spans="1:19" ht="15" x14ac:dyDescent="0.25">
      <c r="A707" s="7" t="s">
        <v>16</v>
      </c>
      <c r="B707" s="7" t="s">
        <v>21</v>
      </c>
      <c r="C707" s="7" t="s">
        <v>18</v>
      </c>
      <c r="D707" s="4">
        <v>44803922000293</v>
      </c>
      <c r="E707" s="8" t="s">
        <v>681</v>
      </c>
      <c r="F707" s="8" t="s">
        <v>40</v>
      </c>
      <c r="G707" s="7" t="s">
        <v>19</v>
      </c>
      <c r="H707" s="47" t="s">
        <v>207</v>
      </c>
      <c r="I707" s="47" t="s">
        <v>208</v>
      </c>
      <c r="J707" s="6">
        <v>73</v>
      </c>
      <c r="K707" s="8" t="s">
        <v>26</v>
      </c>
      <c r="L707" s="1" t="s">
        <v>681</v>
      </c>
      <c r="M707" s="5">
        <v>10</v>
      </c>
      <c r="Q707" s="3"/>
      <c r="R707" s="3"/>
      <c r="S707" s="3"/>
    </row>
    <row r="708" spans="1:19" ht="15" x14ac:dyDescent="0.25">
      <c r="A708" s="7" t="s">
        <v>16</v>
      </c>
      <c r="B708" s="7" t="s">
        <v>21</v>
      </c>
      <c r="C708" s="7" t="s">
        <v>18</v>
      </c>
      <c r="D708" s="4">
        <v>45184066000117</v>
      </c>
      <c r="E708" s="8" t="s">
        <v>684</v>
      </c>
      <c r="F708" s="8" t="s">
        <v>650</v>
      </c>
      <c r="G708" s="7" t="s">
        <v>19</v>
      </c>
      <c r="H708" s="47" t="s">
        <v>207</v>
      </c>
      <c r="I708" s="47" t="s">
        <v>208</v>
      </c>
      <c r="J708" s="6">
        <v>73</v>
      </c>
      <c r="K708" s="8" t="s">
        <v>26</v>
      </c>
      <c r="L708" s="1" t="s">
        <v>684</v>
      </c>
      <c r="M708" s="5">
        <v>15</v>
      </c>
      <c r="Q708" s="3"/>
      <c r="R708" s="3"/>
      <c r="S708" s="3"/>
    </row>
    <row r="709" spans="1:19" ht="15" x14ac:dyDescent="0.25">
      <c r="A709" s="7" t="s">
        <v>16</v>
      </c>
      <c r="B709" s="7" t="s">
        <v>21</v>
      </c>
      <c r="C709" s="7" t="s">
        <v>18</v>
      </c>
      <c r="D709" s="4">
        <v>45232246000550</v>
      </c>
      <c r="E709" s="8" t="s">
        <v>685</v>
      </c>
      <c r="F709" s="8" t="s">
        <v>639</v>
      </c>
      <c r="G709" s="7" t="s">
        <v>19</v>
      </c>
      <c r="H709" s="47" t="s">
        <v>207</v>
      </c>
      <c r="I709" s="47" t="s">
        <v>208</v>
      </c>
      <c r="J709" s="6">
        <v>73</v>
      </c>
      <c r="K709" s="8" t="s">
        <v>26</v>
      </c>
      <c r="L709" s="1" t="s">
        <v>685</v>
      </c>
      <c r="M709" s="5">
        <v>51</v>
      </c>
      <c r="Q709" s="3"/>
      <c r="R709" s="3"/>
      <c r="S709" s="3"/>
    </row>
    <row r="710" spans="1:19" ht="15" x14ac:dyDescent="0.25">
      <c r="A710" s="7" t="s">
        <v>16</v>
      </c>
      <c r="B710" s="7" t="s">
        <v>21</v>
      </c>
      <c r="C710" s="7" t="s">
        <v>18</v>
      </c>
      <c r="D710" s="4">
        <v>45359213000576</v>
      </c>
      <c r="E710" s="8" t="s">
        <v>686</v>
      </c>
      <c r="F710" s="8" t="s">
        <v>687</v>
      </c>
      <c r="G710" s="7" t="s">
        <v>19</v>
      </c>
      <c r="H710" s="47" t="s">
        <v>207</v>
      </c>
      <c r="I710" s="47" t="s">
        <v>208</v>
      </c>
      <c r="J710" s="6">
        <v>73</v>
      </c>
      <c r="K710" s="8" t="s">
        <v>26</v>
      </c>
      <c r="L710" s="1" t="s">
        <v>686</v>
      </c>
      <c r="M710" s="5">
        <v>40</v>
      </c>
      <c r="Q710" s="3"/>
      <c r="R710" s="3"/>
      <c r="S710" s="3"/>
    </row>
    <row r="711" spans="1:19" ht="15" x14ac:dyDescent="0.25">
      <c r="A711" s="7" t="s">
        <v>16</v>
      </c>
      <c r="B711" s="7" t="s">
        <v>21</v>
      </c>
      <c r="C711" s="7" t="s">
        <v>18</v>
      </c>
      <c r="D711" s="4">
        <v>46009718000140</v>
      </c>
      <c r="E711" s="8" t="s">
        <v>690</v>
      </c>
      <c r="F711" s="8" t="s">
        <v>33</v>
      </c>
      <c r="G711" s="7" t="s">
        <v>19</v>
      </c>
      <c r="H711" s="47" t="s">
        <v>207</v>
      </c>
      <c r="I711" s="47" t="s">
        <v>208</v>
      </c>
      <c r="J711" s="6">
        <v>73</v>
      </c>
      <c r="K711" s="8" t="s">
        <v>26</v>
      </c>
      <c r="L711" s="1" t="s">
        <v>690</v>
      </c>
      <c r="M711" s="5">
        <v>83</v>
      </c>
      <c r="Q711" s="3"/>
      <c r="R711" s="3"/>
      <c r="S711" s="3"/>
    </row>
    <row r="712" spans="1:19" ht="15" x14ac:dyDescent="0.25">
      <c r="A712" s="7" t="s">
        <v>16</v>
      </c>
      <c r="B712" s="7" t="s">
        <v>21</v>
      </c>
      <c r="C712" s="7" t="s">
        <v>18</v>
      </c>
      <c r="D712" s="4">
        <v>46020301000269</v>
      </c>
      <c r="E712" s="8" t="s">
        <v>691</v>
      </c>
      <c r="F712" s="8" t="s">
        <v>33</v>
      </c>
      <c r="G712" s="7" t="s">
        <v>19</v>
      </c>
      <c r="H712" s="47" t="s">
        <v>207</v>
      </c>
      <c r="I712" s="47" t="s">
        <v>208</v>
      </c>
      <c r="J712" s="6">
        <v>73</v>
      </c>
      <c r="K712" s="8" t="s">
        <v>26</v>
      </c>
      <c r="L712" s="1" t="s">
        <v>691</v>
      </c>
      <c r="M712" s="5">
        <v>35</v>
      </c>
      <c r="Q712" s="3"/>
      <c r="R712" s="3"/>
      <c r="S712" s="3"/>
    </row>
    <row r="713" spans="1:19" ht="15" x14ac:dyDescent="0.25">
      <c r="A713" s="7" t="s">
        <v>16</v>
      </c>
      <c r="B713" s="7" t="s">
        <v>21</v>
      </c>
      <c r="C713" s="7" t="s">
        <v>18</v>
      </c>
      <c r="D713" s="4">
        <v>46124624000111</v>
      </c>
      <c r="E713" s="8" t="s">
        <v>693</v>
      </c>
      <c r="F713" s="8" t="s">
        <v>33</v>
      </c>
      <c r="G713" s="7" t="s">
        <v>19</v>
      </c>
      <c r="H713" s="47" t="s">
        <v>207</v>
      </c>
      <c r="I713" s="47" t="s">
        <v>208</v>
      </c>
      <c r="J713" s="6">
        <v>73</v>
      </c>
      <c r="K713" s="8" t="s">
        <v>26</v>
      </c>
      <c r="L713" s="1" t="s">
        <v>693</v>
      </c>
      <c r="M713" s="5">
        <v>48</v>
      </c>
      <c r="Q713" s="3"/>
      <c r="R713" s="3"/>
      <c r="S713" s="3"/>
    </row>
    <row r="714" spans="1:19" ht="15" x14ac:dyDescent="0.25">
      <c r="A714" s="7" t="s">
        <v>16</v>
      </c>
      <c r="B714" s="7" t="s">
        <v>21</v>
      </c>
      <c r="C714" s="7" t="s">
        <v>18</v>
      </c>
      <c r="D714" s="4">
        <v>46124624002599</v>
      </c>
      <c r="E714" s="8" t="s">
        <v>694</v>
      </c>
      <c r="F714" s="8" t="s">
        <v>695</v>
      </c>
      <c r="G714" s="7" t="s">
        <v>19</v>
      </c>
      <c r="H714" s="47" t="s">
        <v>207</v>
      </c>
      <c r="I714" s="47" t="s">
        <v>208</v>
      </c>
      <c r="J714" s="6">
        <v>73</v>
      </c>
      <c r="K714" s="8" t="s">
        <v>26</v>
      </c>
      <c r="L714" s="1" t="s">
        <v>694</v>
      </c>
      <c r="M714" s="5">
        <v>240</v>
      </c>
      <c r="Q714" s="3"/>
      <c r="R714" s="3"/>
      <c r="S714" s="3"/>
    </row>
    <row r="715" spans="1:19" ht="15" x14ac:dyDescent="0.25">
      <c r="A715" s="7" t="s">
        <v>16</v>
      </c>
      <c r="B715" s="7" t="s">
        <v>21</v>
      </c>
      <c r="C715" s="7" t="s">
        <v>18</v>
      </c>
      <c r="D715" s="4">
        <v>47074851000819</v>
      </c>
      <c r="E715" s="8" t="s">
        <v>702</v>
      </c>
      <c r="F715" s="8" t="s">
        <v>41</v>
      </c>
      <c r="G715" s="7" t="s">
        <v>19</v>
      </c>
      <c r="H715" s="47" t="s">
        <v>207</v>
      </c>
      <c r="I715" s="47" t="s">
        <v>208</v>
      </c>
      <c r="J715" s="6">
        <v>73</v>
      </c>
      <c r="K715" s="8" t="s">
        <v>26</v>
      </c>
      <c r="L715" s="1" t="s">
        <v>702</v>
      </c>
      <c r="M715" s="5">
        <v>6</v>
      </c>
      <c r="Q715" s="3"/>
      <c r="R715" s="3"/>
      <c r="S715" s="3"/>
    </row>
    <row r="716" spans="1:19" ht="15" x14ac:dyDescent="0.25">
      <c r="A716" s="7" t="s">
        <v>16</v>
      </c>
      <c r="B716" s="7" t="s">
        <v>21</v>
      </c>
      <c r="C716" s="7" t="s">
        <v>18</v>
      </c>
      <c r="D716" s="4">
        <v>58229691001070</v>
      </c>
      <c r="E716" s="8" t="s">
        <v>725</v>
      </c>
      <c r="F716" s="8" t="s">
        <v>35</v>
      </c>
      <c r="G716" s="7" t="s">
        <v>19</v>
      </c>
      <c r="H716" s="47" t="s">
        <v>207</v>
      </c>
      <c r="I716" s="47" t="s">
        <v>208</v>
      </c>
      <c r="J716" s="6">
        <v>73</v>
      </c>
      <c r="K716" s="8" t="s">
        <v>26</v>
      </c>
      <c r="L716" s="1" t="s">
        <v>725</v>
      </c>
      <c r="M716" s="5">
        <v>32</v>
      </c>
      <c r="Q716" s="3"/>
      <c r="R716" s="3"/>
      <c r="S716" s="3"/>
    </row>
    <row r="717" spans="1:19" ht="15" x14ac:dyDescent="0.25">
      <c r="A717" s="7" t="s">
        <v>16</v>
      </c>
      <c r="B717" s="7" t="s">
        <v>22</v>
      </c>
      <c r="C717" s="7" t="s">
        <v>18</v>
      </c>
      <c r="D717" s="4">
        <v>2643405000173</v>
      </c>
      <c r="E717" s="8" t="s">
        <v>642</v>
      </c>
      <c r="F717" s="8" t="s">
        <v>643</v>
      </c>
      <c r="G717" s="7" t="s">
        <v>19</v>
      </c>
      <c r="H717" s="47" t="s">
        <v>207</v>
      </c>
      <c r="I717" s="47" t="s">
        <v>208</v>
      </c>
      <c r="J717" s="6">
        <v>73</v>
      </c>
      <c r="K717" s="8" t="s">
        <v>26</v>
      </c>
      <c r="L717" s="1" t="s">
        <v>642</v>
      </c>
      <c r="M717" s="5">
        <v>36</v>
      </c>
      <c r="Q717" s="3"/>
      <c r="R717" s="3"/>
      <c r="S717" s="3"/>
    </row>
    <row r="718" spans="1:19" ht="15" x14ac:dyDescent="0.25">
      <c r="A718" s="7" t="s">
        <v>16</v>
      </c>
      <c r="B718" s="7" t="s">
        <v>22</v>
      </c>
      <c r="C718" s="7" t="s">
        <v>18</v>
      </c>
      <c r="D718" s="4">
        <v>4275687000129</v>
      </c>
      <c r="E718" s="8" t="s">
        <v>645</v>
      </c>
      <c r="F718" s="8" t="s">
        <v>31</v>
      </c>
      <c r="G718" s="7" t="s">
        <v>19</v>
      </c>
      <c r="H718" s="47" t="s">
        <v>207</v>
      </c>
      <c r="I718" s="47" t="s">
        <v>208</v>
      </c>
      <c r="J718" s="6">
        <v>73</v>
      </c>
      <c r="K718" s="8" t="s">
        <v>26</v>
      </c>
      <c r="L718" s="1" t="s">
        <v>645</v>
      </c>
      <c r="M718" s="5">
        <v>52</v>
      </c>
      <c r="Q718" s="3"/>
      <c r="R718" s="3"/>
      <c r="S718" s="3"/>
    </row>
    <row r="719" spans="1:19" ht="15" x14ac:dyDescent="0.25">
      <c r="A719" s="7" t="s">
        <v>16</v>
      </c>
      <c r="B719" s="7" t="s">
        <v>22</v>
      </c>
      <c r="C719" s="7" t="s">
        <v>18</v>
      </c>
      <c r="D719" s="4">
        <v>6047087003073</v>
      </c>
      <c r="E719" s="8" t="s">
        <v>649</v>
      </c>
      <c r="F719" s="8" t="s">
        <v>650</v>
      </c>
      <c r="G719" s="7" t="s">
        <v>19</v>
      </c>
      <c r="H719" s="47" t="s">
        <v>207</v>
      </c>
      <c r="I719" s="47" t="s">
        <v>208</v>
      </c>
      <c r="J719" s="6">
        <v>73</v>
      </c>
      <c r="K719" s="8" t="s">
        <v>26</v>
      </c>
      <c r="L719" s="1" t="s">
        <v>649</v>
      </c>
      <c r="M719" s="5">
        <v>48</v>
      </c>
      <c r="Q719" s="3"/>
      <c r="R719" s="3"/>
      <c r="S719" s="3"/>
    </row>
    <row r="720" spans="1:19" ht="15" x14ac:dyDescent="0.25">
      <c r="A720" s="7" t="s">
        <v>16</v>
      </c>
      <c r="B720" s="7" t="s">
        <v>22</v>
      </c>
      <c r="C720" s="7" t="s">
        <v>18</v>
      </c>
      <c r="D720" s="4">
        <v>10447300000177</v>
      </c>
      <c r="E720" s="8" t="s">
        <v>658</v>
      </c>
      <c r="F720" s="8" t="s">
        <v>33</v>
      </c>
      <c r="G720" s="7" t="s">
        <v>19</v>
      </c>
      <c r="H720" s="47" t="s">
        <v>207</v>
      </c>
      <c r="I720" s="47" t="s">
        <v>208</v>
      </c>
      <c r="J720" s="6">
        <v>73</v>
      </c>
      <c r="K720" s="8" t="s">
        <v>26</v>
      </c>
      <c r="L720" s="1" t="s">
        <v>658</v>
      </c>
      <c r="M720" s="5">
        <v>4</v>
      </c>
      <c r="Q720" s="3"/>
      <c r="R720" s="3"/>
      <c r="S720" s="3"/>
    </row>
    <row r="721" spans="1:19" ht="15" x14ac:dyDescent="0.25">
      <c r="A721" s="7" t="s">
        <v>16</v>
      </c>
      <c r="B721" s="7" t="s">
        <v>22</v>
      </c>
      <c r="C721" s="7" t="s">
        <v>18</v>
      </c>
      <c r="D721" s="4">
        <v>13718999001041</v>
      </c>
      <c r="E721" s="8" t="s">
        <v>662</v>
      </c>
      <c r="F721" s="8" t="s">
        <v>647</v>
      </c>
      <c r="G721" s="7" t="s">
        <v>19</v>
      </c>
      <c r="H721" s="47" t="s">
        <v>207</v>
      </c>
      <c r="I721" s="47" t="s">
        <v>208</v>
      </c>
      <c r="J721" s="6">
        <v>73</v>
      </c>
      <c r="K721" s="8" t="s">
        <v>26</v>
      </c>
      <c r="L721" s="1" t="s">
        <v>662</v>
      </c>
      <c r="M721" s="5">
        <v>8</v>
      </c>
      <c r="Q721" s="3"/>
      <c r="R721" s="3"/>
      <c r="S721" s="3"/>
    </row>
    <row r="722" spans="1:19" ht="15" x14ac:dyDescent="0.25">
      <c r="A722" s="7" t="s">
        <v>16</v>
      </c>
      <c r="B722" s="7" t="s">
        <v>22</v>
      </c>
      <c r="C722" s="7" t="s">
        <v>18</v>
      </c>
      <c r="D722" s="4">
        <v>18321477000134</v>
      </c>
      <c r="E722" s="8" t="s">
        <v>664</v>
      </c>
      <c r="F722" s="8" t="s">
        <v>650</v>
      </c>
      <c r="G722" s="7" t="s">
        <v>19</v>
      </c>
      <c r="H722" s="47" t="s">
        <v>207</v>
      </c>
      <c r="I722" s="47" t="s">
        <v>208</v>
      </c>
      <c r="J722" s="6">
        <v>73</v>
      </c>
      <c r="K722" s="8" t="s">
        <v>26</v>
      </c>
      <c r="L722" s="1" t="s">
        <v>664</v>
      </c>
      <c r="M722" s="5">
        <v>48</v>
      </c>
      <c r="Q722" s="3"/>
      <c r="R722" s="3"/>
      <c r="S722" s="3"/>
    </row>
    <row r="723" spans="1:19" ht="15" x14ac:dyDescent="0.25">
      <c r="A723" s="7" t="s">
        <v>16</v>
      </c>
      <c r="B723" s="7" t="s">
        <v>22</v>
      </c>
      <c r="C723" s="7" t="s">
        <v>18</v>
      </c>
      <c r="D723" s="4">
        <v>44649812019238</v>
      </c>
      <c r="E723" s="8" t="s">
        <v>679</v>
      </c>
      <c r="F723" s="8" t="s">
        <v>33</v>
      </c>
      <c r="G723" s="7" t="s">
        <v>19</v>
      </c>
      <c r="H723" s="47" t="s">
        <v>207</v>
      </c>
      <c r="I723" s="47" t="s">
        <v>208</v>
      </c>
      <c r="J723" s="6">
        <v>73</v>
      </c>
      <c r="K723" s="8" t="s">
        <v>26</v>
      </c>
      <c r="L723" s="1" t="s">
        <v>679</v>
      </c>
      <c r="M723" s="5">
        <v>8</v>
      </c>
      <c r="Q723" s="3"/>
      <c r="R723" s="3"/>
      <c r="S723" s="3"/>
    </row>
    <row r="724" spans="1:19" ht="15" x14ac:dyDescent="0.25">
      <c r="A724" s="7" t="s">
        <v>16</v>
      </c>
      <c r="B724" s="7" t="s">
        <v>22</v>
      </c>
      <c r="C724" s="7" t="s">
        <v>18</v>
      </c>
      <c r="D724" s="4">
        <v>44663631000590</v>
      </c>
      <c r="E724" s="8" t="s">
        <v>680</v>
      </c>
      <c r="F724" s="8" t="s">
        <v>39</v>
      </c>
      <c r="G724" s="7" t="s">
        <v>19</v>
      </c>
      <c r="H724" s="47" t="s">
        <v>207</v>
      </c>
      <c r="I724" s="47" t="s">
        <v>208</v>
      </c>
      <c r="J724" s="6">
        <v>73</v>
      </c>
      <c r="K724" s="8" t="s">
        <v>26</v>
      </c>
      <c r="L724" s="1" t="s">
        <v>680</v>
      </c>
      <c r="M724" s="5">
        <v>32</v>
      </c>
      <c r="Q724" s="3"/>
      <c r="R724" s="3"/>
      <c r="S724" s="3"/>
    </row>
    <row r="725" spans="1:19" ht="15" x14ac:dyDescent="0.25">
      <c r="A725" s="7" t="s">
        <v>16</v>
      </c>
      <c r="B725" s="7" t="s">
        <v>22</v>
      </c>
      <c r="C725" s="7" t="s">
        <v>18</v>
      </c>
      <c r="D725" s="4">
        <v>44803922000293</v>
      </c>
      <c r="E725" s="8" t="s">
        <v>681</v>
      </c>
      <c r="F725" s="8" t="s">
        <v>40</v>
      </c>
      <c r="G725" s="7" t="s">
        <v>19</v>
      </c>
      <c r="H725" s="47" t="s">
        <v>207</v>
      </c>
      <c r="I725" s="47" t="s">
        <v>208</v>
      </c>
      <c r="J725" s="6">
        <v>73</v>
      </c>
      <c r="K725" s="8" t="s">
        <v>26</v>
      </c>
      <c r="L725" s="1" t="s">
        <v>681</v>
      </c>
      <c r="M725" s="5">
        <v>8</v>
      </c>
      <c r="Q725" s="3"/>
      <c r="R725" s="3"/>
      <c r="S725" s="3"/>
    </row>
    <row r="726" spans="1:19" ht="15" x14ac:dyDescent="0.25">
      <c r="A726" s="7" t="s">
        <v>16</v>
      </c>
      <c r="B726" s="7" t="s">
        <v>22</v>
      </c>
      <c r="C726" s="7" t="s">
        <v>18</v>
      </c>
      <c r="D726" s="4">
        <v>45118429001279</v>
      </c>
      <c r="E726" s="8" t="s">
        <v>683</v>
      </c>
      <c r="F726" s="8" t="s">
        <v>41</v>
      </c>
      <c r="G726" s="7" t="s">
        <v>19</v>
      </c>
      <c r="H726" s="47" t="s">
        <v>207</v>
      </c>
      <c r="I726" s="47" t="s">
        <v>208</v>
      </c>
      <c r="J726" s="6">
        <v>73</v>
      </c>
      <c r="K726" s="8" t="s">
        <v>26</v>
      </c>
      <c r="L726" s="1" t="s">
        <v>683</v>
      </c>
      <c r="M726" s="5">
        <v>6</v>
      </c>
      <c r="Q726" s="3"/>
      <c r="R726" s="3"/>
      <c r="S726" s="3"/>
    </row>
    <row r="727" spans="1:19" ht="15" x14ac:dyDescent="0.25">
      <c r="A727" s="7" t="s">
        <v>16</v>
      </c>
      <c r="B727" s="7" t="s">
        <v>22</v>
      </c>
      <c r="C727" s="7" t="s">
        <v>18</v>
      </c>
      <c r="D727" s="4">
        <v>45184066000117</v>
      </c>
      <c r="E727" s="8" t="s">
        <v>684</v>
      </c>
      <c r="F727" s="8" t="s">
        <v>650</v>
      </c>
      <c r="G727" s="7" t="s">
        <v>19</v>
      </c>
      <c r="H727" s="47" t="s">
        <v>207</v>
      </c>
      <c r="I727" s="47" t="s">
        <v>208</v>
      </c>
      <c r="J727" s="6">
        <v>73</v>
      </c>
      <c r="K727" s="8" t="s">
        <v>26</v>
      </c>
      <c r="L727" s="1" t="s">
        <v>684</v>
      </c>
      <c r="M727" s="5">
        <v>15</v>
      </c>
      <c r="Q727" s="3"/>
      <c r="R727" s="3"/>
      <c r="S727" s="3"/>
    </row>
    <row r="728" spans="1:19" ht="15" x14ac:dyDescent="0.25">
      <c r="A728" s="7" t="s">
        <v>16</v>
      </c>
      <c r="B728" s="7" t="s">
        <v>22</v>
      </c>
      <c r="C728" s="7" t="s">
        <v>18</v>
      </c>
      <c r="D728" s="4">
        <v>45232246000550</v>
      </c>
      <c r="E728" s="8" t="s">
        <v>685</v>
      </c>
      <c r="F728" s="8" t="s">
        <v>639</v>
      </c>
      <c r="G728" s="7" t="s">
        <v>19</v>
      </c>
      <c r="H728" s="47" t="s">
        <v>207</v>
      </c>
      <c r="I728" s="47" t="s">
        <v>208</v>
      </c>
      <c r="J728" s="6">
        <v>73</v>
      </c>
      <c r="K728" s="8" t="s">
        <v>26</v>
      </c>
      <c r="L728" s="1" t="s">
        <v>685</v>
      </c>
      <c r="M728" s="5">
        <v>62</v>
      </c>
      <c r="Q728" s="3"/>
      <c r="R728" s="3"/>
      <c r="S728" s="3"/>
    </row>
    <row r="729" spans="1:19" ht="15" x14ac:dyDescent="0.25">
      <c r="A729" s="7" t="s">
        <v>16</v>
      </c>
      <c r="B729" s="7" t="s">
        <v>22</v>
      </c>
      <c r="C729" s="7" t="s">
        <v>18</v>
      </c>
      <c r="D729" s="4">
        <v>45359213000576</v>
      </c>
      <c r="E729" s="8" t="s">
        <v>686</v>
      </c>
      <c r="F729" s="8" t="s">
        <v>687</v>
      </c>
      <c r="G729" s="7" t="s">
        <v>19</v>
      </c>
      <c r="H729" s="47" t="s">
        <v>207</v>
      </c>
      <c r="I729" s="47" t="s">
        <v>208</v>
      </c>
      <c r="J729" s="6">
        <v>73</v>
      </c>
      <c r="K729" s="8" t="s">
        <v>26</v>
      </c>
      <c r="L729" s="1" t="s">
        <v>686</v>
      </c>
      <c r="M729" s="5">
        <v>8</v>
      </c>
      <c r="Q729" s="3"/>
      <c r="R729" s="3"/>
      <c r="S729" s="3"/>
    </row>
    <row r="730" spans="1:19" ht="15" x14ac:dyDescent="0.25">
      <c r="A730" s="7" t="s">
        <v>16</v>
      </c>
      <c r="B730" s="7" t="s">
        <v>22</v>
      </c>
      <c r="C730" s="7" t="s">
        <v>18</v>
      </c>
      <c r="D730" s="4">
        <v>46009718000140</v>
      </c>
      <c r="E730" s="8" t="s">
        <v>690</v>
      </c>
      <c r="F730" s="8" t="s">
        <v>33</v>
      </c>
      <c r="G730" s="7" t="s">
        <v>19</v>
      </c>
      <c r="H730" s="47" t="s">
        <v>207</v>
      </c>
      <c r="I730" s="47" t="s">
        <v>208</v>
      </c>
      <c r="J730" s="6">
        <v>73</v>
      </c>
      <c r="K730" s="8" t="s">
        <v>26</v>
      </c>
      <c r="L730" s="1" t="s">
        <v>690</v>
      </c>
      <c r="M730" s="5">
        <v>42</v>
      </c>
      <c r="Q730" s="3"/>
      <c r="R730" s="3"/>
      <c r="S730" s="3"/>
    </row>
    <row r="731" spans="1:19" ht="15" x14ac:dyDescent="0.25">
      <c r="A731" s="7" t="s">
        <v>16</v>
      </c>
      <c r="B731" s="7" t="s">
        <v>22</v>
      </c>
      <c r="C731" s="7" t="s">
        <v>18</v>
      </c>
      <c r="D731" s="4">
        <v>46020301000269</v>
      </c>
      <c r="E731" s="8" t="s">
        <v>691</v>
      </c>
      <c r="F731" s="8" t="s">
        <v>33</v>
      </c>
      <c r="G731" s="7" t="s">
        <v>19</v>
      </c>
      <c r="H731" s="47" t="s">
        <v>207</v>
      </c>
      <c r="I731" s="47" t="s">
        <v>208</v>
      </c>
      <c r="J731" s="6">
        <v>73</v>
      </c>
      <c r="K731" s="8" t="s">
        <v>26</v>
      </c>
      <c r="L731" s="1" t="s">
        <v>691</v>
      </c>
      <c r="M731" s="5">
        <v>55</v>
      </c>
      <c r="Q731" s="3"/>
      <c r="R731" s="3"/>
      <c r="S731" s="3"/>
    </row>
    <row r="732" spans="1:19" ht="15" x14ac:dyDescent="0.25">
      <c r="A732" s="7" t="s">
        <v>16</v>
      </c>
      <c r="B732" s="7" t="s">
        <v>22</v>
      </c>
      <c r="C732" s="7" t="s">
        <v>18</v>
      </c>
      <c r="D732" s="4">
        <v>46124624000111</v>
      </c>
      <c r="E732" s="8" t="s">
        <v>693</v>
      </c>
      <c r="F732" s="8" t="s">
        <v>33</v>
      </c>
      <c r="G732" s="7" t="s">
        <v>19</v>
      </c>
      <c r="H732" s="47" t="s">
        <v>207</v>
      </c>
      <c r="I732" s="47" t="s">
        <v>208</v>
      </c>
      <c r="J732" s="6">
        <v>73</v>
      </c>
      <c r="K732" s="8" t="s">
        <v>26</v>
      </c>
      <c r="L732" s="1" t="s">
        <v>693</v>
      </c>
      <c r="M732" s="5">
        <v>120</v>
      </c>
      <c r="Q732" s="3"/>
      <c r="R732" s="3"/>
      <c r="S732" s="3"/>
    </row>
    <row r="733" spans="1:19" ht="15" x14ac:dyDescent="0.25">
      <c r="A733" s="7" t="s">
        <v>16</v>
      </c>
      <c r="B733" s="7" t="s">
        <v>22</v>
      </c>
      <c r="C733" s="7" t="s">
        <v>18</v>
      </c>
      <c r="D733" s="4">
        <v>46124624002599</v>
      </c>
      <c r="E733" s="8" t="s">
        <v>694</v>
      </c>
      <c r="F733" s="8" t="s">
        <v>695</v>
      </c>
      <c r="G733" s="7" t="s">
        <v>19</v>
      </c>
      <c r="H733" s="47" t="s">
        <v>207</v>
      </c>
      <c r="I733" s="47" t="s">
        <v>208</v>
      </c>
      <c r="J733" s="6">
        <v>73</v>
      </c>
      <c r="K733" s="8" t="s">
        <v>26</v>
      </c>
      <c r="L733" s="1" t="s">
        <v>694</v>
      </c>
      <c r="M733" s="5">
        <v>80</v>
      </c>
      <c r="Q733" s="3"/>
      <c r="R733" s="3"/>
      <c r="S733" s="3"/>
    </row>
    <row r="734" spans="1:19" ht="15" x14ac:dyDescent="0.25">
      <c r="A734" s="7" t="s">
        <v>16</v>
      </c>
      <c r="B734" s="7" t="s">
        <v>22</v>
      </c>
      <c r="C734" s="7" t="s">
        <v>18</v>
      </c>
      <c r="D734" s="4">
        <v>51885242000140</v>
      </c>
      <c r="E734" s="8" t="s">
        <v>712</v>
      </c>
      <c r="F734" s="8" t="s">
        <v>33</v>
      </c>
      <c r="G734" s="7" t="s">
        <v>19</v>
      </c>
      <c r="H734" s="47" t="s">
        <v>207</v>
      </c>
      <c r="I734" s="47" t="s">
        <v>208</v>
      </c>
      <c r="J734" s="6">
        <v>73</v>
      </c>
      <c r="K734" s="8" t="s">
        <v>26</v>
      </c>
      <c r="L734" s="1" t="s">
        <v>712</v>
      </c>
      <c r="M734" s="5">
        <v>160</v>
      </c>
      <c r="Q734" s="3"/>
      <c r="R734" s="3"/>
      <c r="S734" s="3"/>
    </row>
    <row r="735" spans="1:19" ht="15" x14ac:dyDescent="0.25">
      <c r="A735" s="7" t="s">
        <v>16</v>
      </c>
      <c r="B735" s="7" t="s">
        <v>22</v>
      </c>
      <c r="C735" s="7" t="s">
        <v>18</v>
      </c>
      <c r="D735" s="4">
        <v>58229691001070</v>
      </c>
      <c r="E735" s="8" t="s">
        <v>725</v>
      </c>
      <c r="F735" s="8" t="s">
        <v>35</v>
      </c>
      <c r="G735" s="7" t="s">
        <v>19</v>
      </c>
      <c r="H735" s="47" t="s">
        <v>207</v>
      </c>
      <c r="I735" s="47" t="s">
        <v>208</v>
      </c>
      <c r="J735" s="6">
        <v>73</v>
      </c>
      <c r="K735" s="8" t="s">
        <v>26</v>
      </c>
      <c r="L735" s="1" t="s">
        <v>725</v>
      </c>
      <c r="M735" s="5">
        <v>32</v>
      </c>
      <c r="Q735" s="3"/>
      <c r="R735" s="3"/>
      <c r="S735" s="3"/>
    </row>
    <row r="736" spans="1:19" ht="15" x14ac:dyDescent="0.25">
      <c r="A736" s="7" t="s">
        <v>16</v>
      </c>
      <c r="B736" s="7" t="s">
        <v>23</v>
      </c>
      <c r="C736" s="7" t="s">
        <v>24</v>
      </c>
      <c r="D736" s="4">
        <v>2643405000173</v>
      </c>
      <c r="E736" s="8" t="s">
        <v>642</v>
      </c>
      <c r="F736" s="8" t="s">
        <v>643</v>
      </c>
      <c r="G736" s="7" t="s">
        <v>19</v>
      </c>
      <c r="H736" s="47" t="s">
        <v>207</v>
      </c>
      <c r="I736" s="47" t="s">
        <v>208</v>
      </c>
      <c r="J736" s="6">
        <v>73</v>
      </c>
      <c r="K736" s="8" t="s">
        <v>26</v>
      </c>
      <c r="L736" s="1" t="s">
        <v>642</v>
      </c>
      <c r="M736" s="5">
        <v>17</v>
      </c>
      <c r="Q736" s="3"/>
      <c r="R736" s="3"/>
      <c r="S736" s="3"/>
    </row>
    <row r="737" spans="1:19" ht="15" x14ac:dyDescent="0.25">
      <c r="A737" s="7" t="s">
        <v>16</v>
      </c>
      <c r="B737" s="7" t="s">
        <v>23</v>
      </c>
      <c r="C737" s="7" t="s">
        <v>24</v>
      </c>
      <c r="D737" s="4">
        <v>4275687000129</v>
      </c>
      <c r="E737" s="8" t="s">
        <v>645</v>
      </c>
      <c r="F737" s="8" t="s">
        <v>31</v>
      </c>
      <c r="G737" s="7" t="s">
        <v>19</v>
      </c>
      <c r="H737" s="47" t="s">
        <v>207</v>
      </c>
      <c r="I737" s="47" t="s">
        <v>208</v>
      </c>
      <c r="J737" s="6">
        <v>73</v>
      </c>
      <c r="K737" s="8" t="s">
        <v>26</v>
      </c>
      <c r="L737" s="1" t="s">
        <v>645</v>
      </c>
      <c r="M737" s="5">
        <v>36</v>
      </c>
      <c r="Q737" s="3"/>
      <c r="R737" s="3"/>
      <c r="S737" s="3"/>
    </row>
    <row r="738" spans="1:19" ht="15" x14ac:dyDescent="0.25">
      <c r="A738" s="7" t="s">
        <v>16</v>
      </c>
      <c r="B738" s="7" t="s">
        <v>23</v>
      </c>
      <c r="C738" s="7" t="s">
        <v>24</v>
      </c>
      <c r="D738" s="4">
        <v>6047087003073</v>
      </c>
      <c r="E738" s="8" t="s">
        <v>649</v>
      </c>
      <c r="F738" s="8" t="s">
        <v>650</v>
      </c>
      <c r="G738" s="7" t="s">
        <v>19</v>
      </c>
      <c r="H738" s="47" t="s">
        <v>207</v>
      </c>
      <c r="I738" s="47" t="s">
        <v>208</v>
      </c>
      <c r="J738" s="6">
        <v>73</v>
      </c>
      <c r="K738" s="8" t="s">
        <v>26</v>
      </c>
      <c r="L738" s="1" t="s">
        <v>649</v>
      </c>
      <c r="M738" s="5">
        <v>48</v>
      </c>
      <c r="Q738" s="3"/>
      <c r="R738" s="3"/>
      <c r="S738" s="3"/>
    </row>
    <row r="739" spans="1:19" ht="15" x14ac:dyDescent="0.25">
      <c r="A739" s="7" t="s">
        <v>16</v>
      </c>
      <c r="B739" s="7" t="s">
        <v>23</v>
      </c>
      <c r="C739" s="7" t="s">
        <v>24</v>
      </c>
      <c r="D739" s="4">
        <v>10447300000177</v>
      </c>
      <c r="E739" s="8" t="s">
        <v>658</v>
      </c>
      <c r="F739" s="8" t="s">
        <v>33</v>
      </c>
      <c r="G739" s="7" t="s">
        <v>19</v>
      </c>
      <c r="H739" s="47" t="s">
        <v>207</v>
      </c>
      <c r="I739" s="47" t="s">
        <v>208</v>
      </c>
      <c r="J739" s="6">
        <v>73</v>
      </c>
      <c r="K739" s="8" t="s">
        <v>26</v>
      </c>
      <c r="L739" s="1" t="s">
        <v>658</v>
      </c>
      <c r="M739" s="5">
        <v>16</v>
      </c>
      <c r="Q739" s="3"/>
      <c r="R739" s="3"/>
      <c r="S739" s="3"/>
    </row>
    <row r="740" spans="1:19" ht="15" x14ac:dyDescent="0.25">
      <c r="A740" s="7" t="s">
        <v>16</v>
      </c>
      <c r="B740" s="7" t="s">
        <v>23</v>
      </c>
      <c r="C740" s="7" t="s">
        <v>24</v>
      </c>
      <c r="D740" s="4">
        <v>13718999001041</v>
      </c>
      <c r="E740" s="8" t="s">
        <v>662</v>
      </c>
      <c r="F740" s="8" t="s">
        <v>647</v>
      </c>
      <c r="G740" s="7" t="s">
        <v>19</v>
      </c>
      <c r="H740" s="47" t="s">
        <v>207</v>
      </c>
      <c r="I740" s="47" t="s">
        <v>208</v>
      </c>
      <c r="J740" s="6">
        <v>73</v>
      </c>
      <c r="K740" s="8" t="s">
        <v>26</v>
      </c>
      <c r="L740" s="1" t="s">
        <v>662</v>
      </c>
      <c r="M740" s="5">
        <v>12</v>
      </c>
      <c r="Q740" s="3"/>
      <c r="R740" s="3"/>
      <c r="S740" s="3"/>
    </row>
    <row r="741" spans="1:19" ht="15" x14ac:dyDescent="0.25">
      <c r="A741" s="7" t="s">
        <v>16</v>
      </c>
      <c r="B741" s="7" t="s">
        <v>23</v>
      </c>
      <c r="C741" s="7" t="s">
        <v>24</v>
      </c>
      <c r="D741" s="4">
        <v>18321477000134</v>
      </c>
      <c r="E741" s="8" t="s">
        <v>664</v>
      </c>
      <c r="F741" s="8" t="s">
        <v>650</v>
      </c>
      <c r="G741" s="7" t="s">
        <v>19</v>
      </c>
      <c r="H741" s="47" t="s">
        <v>207</v>
      </c>
      <c r="I741" s="47" t="s">
        <v>208</v>
      </c>
      <c r="J741" s="6">
        <v>73</v>
      </c>
      <c r="K741" s="8" t="s">
        <v>26</v>
      </c>
      <c r="L741" s="1" t="s">
        <v>664</v>
      </c>
      <c r="M741" s="5">
        <v>48</v>
      </c>
      <c r="Q741" s="3"/>
      <c r="R741" s="3"/>
      <c r="S741" s="3"/>
    </row>
    <row r="742" spans="1:19" ht="15" x14ac:dyDescent="0.25">
      <c r="A742" s="7" t="s">
        <v>16</v>
      </c>
      <c r="B742" s="7" t="s">
        <v>23</v>
      </c>
      <c r="C742" s="7" t="s">
        <v>24</v>
      </c>
      <c r="D742" s="4">
        <v>44649812019238</v>
      </c>
      <c r="E742" s="8" t="s">
        <v>679</v>
      </c>
      <c r="F742" s="8" t="s">
        <v>33</v>
      </c>
      <c r="G742" s="7" t="s">
        <v>19</v>
      </c>
      <c r="H742" s="47" t="s">
        <v>207</v>
      </c>
      <c r="I742" s="47" t="s">
        <v>208</v>
      </c>
      <c r="J742" s="6">
        <v>73</v>
      </c>
      <c r="K742" s="8" t="s">
        <v>26</v>
      </c>
      <c r="L742" s="1" t="s">
        <v>679</v>
      </c>
      <c r="M742" s="5">
        <v>8</v>
      </c>
      <c r="Q742" s="3"/>
      <c r="R742" s="3"/>
      <c r="S742" s="3"/>
    </row>
    <row r="743" spans="1:19" ht="15" x14ac:dyDescent="0.25">
      <c r="A743" s="7" t="s">
        <v>16</v>
      </c>
      <c r="B743" s="7" t="s">
        <v>23</v>
      </c>
      <c r="C743" s="7" t="s">
        <v>24</v>
      </c>
      <c r="D743" s="4">
        <v>44663631000590</v>
      </c>
      <c r="E743" s="8" t="s">
        <v>680</v>
      </c>
      <c r="F743" s="8" t="s">
        <v>39</v>
      </c>
      <c r="G743" s="7" t="s">
        <v>19</v>
      </c>
      <c r="H743" s="47" t="s">
        <v>207</v>
      </c>
      <c r="I743" s="47" t="s">
        <v>208</v>
      </c>
      <c r="J743" s="6">
        <v>73</v>
      </c>
      <c r="K743" s="8" t="s">
        <v>26</v>
      </c>
      <c r="L743" s="1" t="s">
        <v>680</v>
      </c>
      <c r="M743" s="5">
        <v>32</v>
      </c>
      <c r="Q743" s="3"/>
      <c r="R743" s="3"/>
      <c r="S743" s="3"/>
    </row>
    <row r="744" spans="1:19" ht="15" x14ac:dyDescent="0.25">
      <c r="A744" s="7" t="s">
        <v>16</v>
      </c>
      <c r="B744" s="7" t="s">
        <v>23</v>
      </c>
      <c r="C744" s="7" t="s">
        <v>24</v>
      </c>
      <c r="D744" s="4">
        <v>44803922000293</v>
      </c>
      <c r="E744" s="8" t="s">
        <v>681</v>
      </c>
      <c r="F744" s="8" t="s">
        <v>40</v>
      </c>
      <c r="G744" s="7" t="s">
        <v>19</v>
      </c>
      <c r="H744" s="47" t="s">
        <v>207</v>
      </c>
      <c r="I744" s="47" t="s">
        <v>208</v>
      </c>
      <c r="J744" s="6">
        <v>73</v>
      </c>
      <c r="K744" s="8" t="s">
        <v>26</v>
      </c>
      <c r="L744" s="1" t="s">
        <v>681</v>
      </c>
      <c r="M744" s="5">
        <v>8</v>
      </c>
      <c r="Q744" s="3"/>
      <c r="R744" s="3"/>
      <c r="S744" s="3"/>
    </row>
    <row r="745" spans="1:19" ht="15" x14ac:dyDescent="0.25">
      <c r="A745" s="7" t="s">
        <v>16</v>
      </c>
      <c r="B745" s="7" t="s">
        <v>23</v>
      </c>
      <c r="C745" s="7" t="s">
        <v>24</v>
      </c>
      <c r="D745" s="4">
        <v>45118429001279</v>
      </c>
      <c r="E745" s="8" t="s">
        <v>683</v>
      </c>
      <c r="F745" s="8" t="s">
        <v>41</v>
      </c>
      <c r="G745" s="7" t="s">
        <v>19</v>
      </c>
      <c r="H745" s="47" t="s">
        <v>207</v>
      </c>
      <c r="I745" s="47" t="s">
        <v>208</v>
      </c>
      <c r="J745" s="6">
        <v>73</v>
      </c>
      <c r="K745" s="8" t="s">
        <v>26</v>
      </c>
      <c r="L745" s="1" t="s">
        <v>683</v>
      </c>
      <c r="M745" s="5">
        <v>12</v>
      </c>
      <c r="Q745" s="3"/>
      <c r="R745" s="3"/>
      <c r="S745" s="3"/>
    </row>
    <row r="746" spans="1:19" ht="15" x14ac:dyDescent="0.25">
      <c r="A746" s="7" t="s">
        <v>16</v>
      </c>
      <c r="B746" s="7" t="s">
        <v>23</v>
      </c>
      <c r="C746" s="7" t="s">
        <v>24</v>
      </c>
      <c r="D746" s="4">
        <v>45184066000117</v>
      </c>
      <c r="E746" s="8" t="s">
        <v>684</v>
      </c>
      <c r="F746" s="8" t="s">
        <v>650</v>
      </c>
      <c r="G746" s="7" t="s">
        <v>19</v>
      </c>
      <c r="H746" s="47" t="s">
        <v>207</v>
      </c>
      <c r="I746" s="47" t="s">
        <v>208</v>
      </c>
      <c r="J746" s="6">
        <v>73</v>
      </c>
      <c r="K746" s="8" t="s">
        <v>26</v>
      </c>
      <c r="L746" s="1" t="s">
        <v>684</v>
      </c>
      <c r="M746" s="5">
        <v>15</v>
      </c>
      <c r="Q746" s="3"/>
      <c r="R746" s="3"/>
      <c r="S746" s="3"/>
    </row>
    <row r="747" spans="1:19" ht="15" x14ac:dyDescent="0.25">
      <c r="A747" s="7" t="s">
        <v>16</v>
      </c>
      <c r="B747" s="7" t="s">
        <v>23</v>
      </c>
      <c r="C747" s="7" t="s">
        <v>24</v>
      </c>
      <c r="D747" s="4">
        <v>45232246000550</v>
      </c>
      <c r="E747" s="8" t="s">
        <v>685</v>
      </c>
      <c r="F747" s="8" t="s">
        <v>639</v>
      </c>
      <c r="G747" s="7" t="s">
        <v>19</v>
      </c>
      <c r="H747" s="47" t="s">
        <v>207</v>
      </c>
      <c r="I747" s="47" t="s">
        <v>208</v>
      </c>
      <c r="J747" s="6">
        <v>73</v>
      </c>
      <c r="K747" s="8" t="s">
        <v>26</v>
      </c>
      <c r="L747" s="1" t="s">
        <v>685</v>
      </c>
      <c r="M747" s="5">
        <v>15</v>
      </c>
      <c r="Q747" s="3"/>
      <c r="R747" s="3"/>
      <c r="S747" s="3"/>
    </row>
    <row r="748" spans="1:19" ht="15" x14ac:dyDescent="0.25">
      <c r="A748" s="7" t="s">
        <v>16</v>
      </c>
      <c r="B748" s="7" t="s">
        <v>23</v>
      </c>
      <c r="C748" s="7" t="s">
        <v>24</v>
      </c>
      <c r="D748" s="4">
        <v>45359213000576</v>
      </c>
      <c r="E748" s="8" t="s">
        <v>686</v>
      </c>
      <c r="F748" s="8" t="s">
        <v>687</v>
      </c>
      <c r="G748" s="7" t="s">
        <v>19</v>
      </c>
      <c r="H748" s="47" t="s">
        <v>207</v>
      </c>
      <c r="I748" s="47" t="s">
        <v>208</v>
      </c>
      <c r="J748" s="6">
        <v>73</v>
      </c>
      <c r="K748" s="8" t="s">
        <v>26</v>
      </c>
      <c r="L748" s="1" t="s">
        <v>686</v>
      </c>
      <c r="M748" s="5">
        <v>66</v>
      </c>
      <c r="Q748" s="3"/>
      <c r="R748" s="3"/>
      <c r="S748" s="3"/>
    </row>
    <row r="749" spans="1:19" ht="15" x14ac:dyDescent="0.25">
      <c r="A749" s="7" t="s">
        <v>16</v>
      </c>
      <c r="B749" s="7" t="s">
        <v>23</v>
      </c>
      <c r="C749" s="7" t="s">
        <v>24</v>
      </c>
      <c r="D749" s="4">
        <v>46009718000140</v>
      </c>
      <c r="E749" s="8" t="s">
        <v>690</v>
      </c>
      <c r="F749" s="8" t="s">
        <v>33</v>
      </c>
      <c r="G749" s="7" t="s">
        <v>19</v>
      </c>
      <c r="H749" s="47" t="s">
        <v>207</v>
      </c>
      <c r="I749" s="47" t="s">
        <v>208</v>
      </c>
      <c r="J749" s="6">
        <v>73</v>
      </c>
      <c r="K749" s="8" t="s">
        <v>26</v>
      </c>
      <c r="L749" s="1" t="s">
        <v>690</v>
      </c>
      <c r="M749" s="5">
        <v>48</v>
      </c>
      <c r="Q749" s="3"/>
      <c r="R749" s="3"/>
      <c r="S749" s="3"/>
    </row>
    <row r="750" spans="1:19" ht="15" x14ac:dyDescent="0.25">
      <c r="A750" s="7" t="s">
        <v>16</v>
      </c>
      <c r="B750" s="7" t="s">
        <v>23</v>
      </c>
      <c r="C750" s="7" t="s">
        <v>24</v>
      </c>
      <c r="D750" s="4">
        <v>46020301000269</v>
      </c>
      <c r="E750" s="8" t="s">
        <v>691</v>
      </c>
      <c r="F750" s="8" t="s">
        <v>33</v>
      </c>
      <c r="G750" s="7" t="s">
        <v>19</v>
      </c>
      <c r="H750" s="47" t="s">
        <v>207</v>
      </c>
      <c r="I750" s="47" t="s">
        <v>208</v>
      </c>
      <c r="J750" s="6">
        <v>73</v>
      </c>
      <c r="K750" s="8" t="s">
        <v>26</v>
      </c>
      <c r="L750" s="1" t="s">
        <v>691</v>
      </c>
      <c r="M750" s="5">
        <v>35</v>
      </c>
      <c r="Q750" s="3"/>
      <c r="R750" s="3"/>
      <c r="S750" s="3"/>
    </row>
    <row r="751" spans="1:19" ht="15" x14ac:dyDescent="0.25">
      <c r="A751" s="7" t="s">
        <v>16</v>
      </c>
      <c r="B751" s="7" t="s">
        <v>23</v>
      </c>
      <c r="C751" s="7" t="s">
        <v>24</v>
      </c>
      <c r="D751" s="4">
        <v>46124624000111</v>
      </c>
      <c r="E751" s="8" t="s">
        <v>693</v>
      </c>
      <c r="F751" s="8" t="s">
        <v>33</v>
      </c>
      <c r="G751" s="7" t="s">
        <v>19</v>
      </c>
      <c r="H751" s="47" t="s">
        <v>207</v>
      </c>
      <c r="I751" s="47" t="s">
        <v>208</v>
      </c>
      <c r="J751" s="6">
        <v>73</v>
      </c>
      <c r="K751" s="8" t="s">
        <v>26</v>
      </c>
      <c r="L751" s="1" t="s">
        <v>693</v>
      </c>
      <c r="M751" s="5">
        <v>72</v>
      </c>
      <c r="Q751" s="3"/>
      <c r="R751" s="3"/>
      <c r="S751" s="3"/>
    </row>
    <row r="752" spans="1:19" ht="15" x14ac:dyDescent="0.25">
      <c r="A752" s="7" t="s">
        <v>16</v>
      </c>
      <c r="B752" s="7" t="s">
        <v>23</v>
      </c>
      <c r="C752" s="7" t="s">
        <v>24</v>
      </c>
      <c r="D752" s="4">
        <v>46124624002599</v>
      </c>
      <c r="E752" s="8" t="s">
        <v>694</v>
      </c>
      <c r="F752" s="8" t="s">
        <v>695</v>
      </c>
      <c r="G752" s="7" t="s">
        <v>19</v>
      </c>
      <c r="H752" s="47" t="s">
        <v>207</v>
      </c>
      <c r="I752" s="47" t="s">
        <v>208</v>
      </c>
      <c r="J752" s="6">
        <v>73</v>
      </c>
      <c r="K752" s="8" t="s">
        <v>26</v>
      </c>
      <c r="L752" s="1" t="s">
        <v>694</v>
      </c>
      <c r="M752" s="5">
        <v>280</v>
      </c>
      <c r="Q752" s="3"/>
      <c r="R752" s="3"/>
      <c r="S752" s="3"/>
    </row>
    <row r="753" spans="1:19" ht="15" x14ac:dyDescent="0.25">
      <c r="A753" s="7" t="s">
        <v>16</v>
      </c>
      <c r="B753" s="7" t="s">
        <v>23</v>
      </c>
      <c r="C753" s="7" t="s">
        <v>24</v>
      </c>
      <c r="D753" s="4">
        <v>47074851000819</v>
      </c>
      <c r="E753" s="8" t="s">
        <v>702</v>
      </c>
      <c r="F753" s="8" t="s">
        <v>41</v>
      </c>
      <c r="G753" s="7" t="s">
        <v>19</v>
      </c>
      <c r="H753" s="47" t="s">
        <v>207</v>
      </c>
      <c r="I753" s="47" t="s">
        <v>208</v>
      </c>
      <c r="J753" s="6">
        <v>73</v>
      </c>
      <c r="K753" s="8" t="s">
        <v>26</v>
      </c>
      <c r="L753" s="1" t="s">
        <v>702</v>
      </c>
      <c r="M753" s="5">
        <v>12</v>
      </c>
      <c r="Q753" s="3"/>
      <c r="R753" s="3"/>
      <c r="S753" s="3"/>
    </row>
    <row r="754" spans="1:19" ht="15" x14ac:dyDescent="0.25">
      <c r="A754" s="7" t="s">
        <v>16</v>
      </c>
      <c r="B754" s="7" t="s">
        <v>23</v>
      </c>
      <c r="C754" s="7" t="s">
        <v>24</v>
      </c>
      <c r="D754" s="4">
        <v>57507402000102</v>
      </c>
      <c r="E754" s="8" t="s">
        <v>721</v>
      </c>
      <c r="F754" s="8" t="s">
        <v>647</v>
      </c>
      <c r="G754" s="7" t="s">
        <v>19</v>
      </c>
      <c r="H754" s="47" t="s">
        <v>207</v>
      </c>
      <c r="I754" s="47" t="s">
        <v>208</v>
      </c>
      <c r="J754" s="6">
        <v>73</v>
      </c>
      <c r="K754" s="8" t="s">
        <v>26</v>
      </c>
      <c r="L754" s="1" t="s">
        <v>721</v>
      </c>
      <c r="M754" s="5">
        <v>150</v>
      </c>
      <c r="Q754" s="3"/>
      <c r="R754" s="3"/>
      <c r="S754" s="3"/>
    </row>
    <row r="755" spans="1:19" ht="15" x14ac:dyDescent="0.25">
      <c r="A755" s="7" t="s">
        <v>16</v>
      </c>
      <c r="B755" s="7" t="s">
        <v>23</v>
      </c>
      <c r="C755" s="7" t="s">
        <v>24</v>
      </c>
      <c r="D755" s="4">
        <v>57722118000302</v>
      </c>
      <c r="E755" s="8" t="s">
        <v>723</v>
      </c>
      <c r="F755" s="8" t="s">
        <v>639</v>
      </c>
      <c r="G755" s="7" t="s">
        <v>19</v>
      </c>
      <c r="H755" s="47" t="s">
        <v>207</v>
      </c>
      <c r="I755" s="47" t="s">
        <v>208</v>
      </c>
      <c r="J755" s="6">
        <v>73</v>
      </c>
      <c r="K755" s="8" t="s">
        <v>26</v>
      </c>
      <c r="L755" s="1" t="s">
        <v>723</v>
      </c>
      <c r="M755" s="5">
        <v>68</v>
      </c>
      <c r="Q755" s="3"/>
      <c r="R755" s="3"/>
      <c r="S755" s="3"/>
    </row>
    <row r="756" spans="1:19" ht="15" x14ac:dyDescent="0.25">
      <c r="A756" s="7" t="s">
        <v>16</v>
      </c>
      <c r="B756" s="7" t="s">
        <v>23</v>
      </c>
      <c r="C756" s="7" t="s">
        <v>24</v>
      </c>
      <c r="D756" s="4">
        <v>58229691001070</v>
      </c>
      <c r="E756" s="8" t="s">
        <v>725</v>
      </c>
      <c r="F756" s="8" t="s">
        <v>35</v>
      </c>
      <c r="G756" s="7" t="s">
        <v>19</v>
      </c>
      <c r="H756" s="47" t="s">
        <v>207</v>
      </c>
      <c r="I756" s="47" t="s">
        <v>208</v>
      </c>
      <c r="J756" s="6">
        <v>73</v>
      </c>
      <c r="K756" s="8" t="s">
        <v>26</v>
      </c>
      <c r="L756" s="1" t="s">
        <v>725</v>
      </c>
      <c r="M756" s="5">
        <v>32</v>
      </c>
      <c r="Q756" s="3"/>
      <c r="R756" s="3"/>
      <c r="S756" s="3"/>
    </row>
    <row r="757" spans="1:19" ht="15" x14ac:dyDescent="0.25">
      <c r="A757" s="7" t="s">
        <v>16</v>
      </c>
      <c r="B757" s="7" t="s">
        <v>229</v>
      </c>
      <c r="C757" s="7" t="s">
        <v>24</v>
      </c>
      <c r="D757" s="4">
        <v>2643405000173</v>
      </c>
      <c r="E757" s="8" t="s">
        <v>642</v>
      </c>
      <c r="F757" s="8" t="s">
        <v>643</v>
      </c>
      <c r="G757" s="7" t="s">
        <v>19</v>
      </c>
      <c r="H757" s="47" t="s">
        <v>207</v>
      </c>
      <c r="I757" s="47" t="s">
        <v>208</v>
      </c>
      <c r="J757" s="6">
        <v>73</v>
      </c>
      <c r="K757" s="8" t="s">
        <v>26</v>
      </c>
      <c r="L757" s="1" t="s">
        <v>642</v>
      </c>
      <c r="M757" s="5">
        <v>25</v>
      </c>
      <c r="Q757" s="3"/>
      <c r="R757" s="3"/>
      <c r="S757" s="3"/>
    </row>
    <row r="758" spans="1:19" ht="15" x14ac:dyDescent="0.25">
      <c r="A758" s="7" t="s">
        <v>16</v>
      </c>
      <c r="B758" s="7" t="s">
        <v>229</v>
      </c>
      <c r="C758" s="7" t="s">
        <v>24</v>
      </c>
      <c r="D758" s="4">
        <v>4275687000129</v>
      </c>
      <c r="E758" s="8" t="s">
        <v>645</v>
      </c>
      <c r="F758" s="8" t="s">
        <v>31</v>
      </c>
      <c r="G758" s="7" t="s">
        <v>19</v>
      </c>
      <c r="H758" s="47" t="s">
        <v>207</v>
      </c>
      <c r="I758" s="47" t="s">
        <v>208</v>
      </c>
      <c r="J758" s="6">
        <v>73</v>
      </c>
      <c r="K758" s="8" t="s">
        <v>26</v>
      </c>
      <c r="L758" s="1" t="s">
        <v>645</v>
      </c>
      <c r="M758" s="5">
        <v>45</v>
      </c>
      <c r="Q758" s="3"/>
      <c r="R758" s="3"/>
      <c r="S758" s="3"/>
    </row>
    <row r="759" spans="1:19" ht="15" x14ac:dyDescent="0.25">
      <c r="A759" s="7" t="s">
        <v>16</v>
      </c>
      <c r="B759" s="7" t="s">
        <v>229</v>
      </c>
      <c r="C759" s="7" t="s">
        <v>24</v>
      </c>
      <c r="D759" s="4">
        <v>6047087003073</v>
      </c>
      <c r="E759" s="8" t="s">
        <v>649</v>
      </c>
      <c r="F759" s="8" t="s">
        <v>650</v>
      </c>
      <c r="G759" s="7" t="s">
        <v>19</v>
      </c>
      <c r="H759" s="47" t="s">
        <v>207</v>
      </c>
      <c r="I759" s="47" t="s">
        <v>208</v>
      </c>
      <c r="J759" s="6">
        <v>73</v>
      </c>
      <c r="K759" s="8" t="s">
        <v>26</v>
      </c>
      <c r="L759" s="1" t="s">
        <v>649</v>
      </c>
      <c r="M759" s="5">
        <v>48</v>
      </c>
      <c r="Q759" s="3"/>
      <c r="R759" s="3"/>
      <c r="S759" s="3"/>
    </row>
    <row r="760" spans="1:19" ht="15" x14ac:dyDescent="0.25">
      <c r="A760" s="7" t="s">
        <v>16</v>
      </c>
      <c r="B760" s="7" t="s">
        <v>229</v>
      </c>
      <c r="C760" s="7" t="s">
        <v>24</v>
      </c>
      <c r="D760" s="4">
        <v>10447300000177</v>
      </c>
      <c r="E760" s="8" t="s">
        <v>658</v>
      </c>
      <c r="F760" s="8" t="s">
        <v>33</v>
      </c>
      <c r="G760" s="7" t="s">
        <v>19</v>
      </c>
      <c r="H760" s="47" t="s">
        <v>207</v>
      </c>
      <c r="I760" s="47" t="s">
        <v>208</v>
      </c>
      <c r="J760" s="6">
        <v>73</v>
      </c>
      <c r="K760" s="8" t="s">
        <v>26</v>
      </c>
      <c r="L760" s="1" t="s">
        <v>658</v>
      </c>
      <c r="M760" s="5">
        <v>20</v>
      </c>
      <c r="Q760" s="3"/>
      <c r="R760" s="3"/>
      <c r="S760" s="3"/>
    </row>
    <row r="761" spans="1:19" ht="15" x14ac:dyDescent="0.25">
      <c r="A761" s="7" t="s">
        <v>16</v>
      </c>
      <c r="B761" s="7" t="s">
        <v>229</v>
      </c>
      <c r="C761" s="7" t="s">
        <v>24</v>
      </c>
      <c r="D761" s="4">
        <v>13718999001041</v>
      </c>
      <c r="E761" s="8" t="s">
        <v>662</v>
      </c>
      <c r="F761" s="8" t="s">
        <v>647</v>
      </c>
      <c r="G761" s="7" t="s">
        <v>19</v>
      </c>
      <c r="H761" s="47" t="s">
        <v>207</v>
      </c>
      <c r="I761" s="47" t="s">
        <v>208</v>
      </c>
      <c r="J761" s="6">
        <v>73</v>
      </c>
      <c r="K761" s="8" t="s">
        <v>26</v>
      </c>
      <c r="L761" s="1" t="s">
        <v>662</v>
      </c>
      <c r="M761" s="5">
        <v>8</v>
      </c>
      <c r="Q761" s="3"/>
      <c r="R761" s="3"/>
      <c r="S761" s="3"/>
    </row>
    <row r="762" spans="1:19" ht="15" x14ac:dyDescent="0.25">
      <c r="A762" s="7" t="s">
        <v>16</v>
      </c>
      <c r="B762" s="7" t="s">
        <v>229</v>
      </c>
      <c r="C762" s="7" t="s">
        <v>24</v>
      </c>
      <c r="D762" s="4">
        <v>18321477000134</v>
      </c>
      <c r="E762" s="8" t="s">
        <v>664</v>
      </c>
      <c r="F762" s="8" t="s">
        <v>650</v>
      </c>
      <c r="G762" s="7" t="s">
        <v>19</v>
      </c>
      <c r="H762" s="47" t="s">
        <v>207</v>
      </c>
      <c r="I762" s="47" t="s">
        <v>208</v>
      </c>
      <c r="J762" s="6">
        <v>73</v>
      </c>
      <c r="K762" s="8" t="s">
        <v>26</v>
      </c>
      <c r="L762" s="1" t="s">
        <v>664</v>
      </c>
      <c r="M762" s="5">
        <v>50</v>
      </c>
      <c r="Q762" s="3"/>
      <c r="R762" s="3"/>
      <c r="S762" s="3"/>
    </row>
    <row r="763" spans="1:19" ht="15" x14ac:dyDescent="0.25">
      <c r="A763" s="7" t="s">
        <v>16</v>
      </c>
      <c r="B763" s="7" t="s">
        <v>229</v>
      </c>
      <c r="C763" s="7" t="s">
        <v>24</v>
      </c>
      <c r="D763" s="4">
        <v>29929600000110</v>
      </c>
      <c r="E763" s="8" t="s">
        <v>1212</v>
      </c>
      <c r="F763" s="8" t="s">
        <v>1213</v>
      </c>
      <c r="G763" s="7" t="s">
        <v>19</v>
      </c>
      <c r="H763" s="47" t="s">
        <v>207</v>
      </c>
      <c r="I763" s="47" t="s">
        <v>208</v>
      </c>
      <c r="J763" s="6">
        <v>73</v>
      </c>
      <c r="K763" s="8" t="s">
        <v>26</v>
      </c>
      <c r="L763" s="1" t="s">
        <v>1212</v>
      </c>
      <c r="M763" s="5">
        <v>8</v>
      </c>
      <c r="Q763" s="3"/>
      <c r="R763" s="3"/>
      <c r="S763" s="3"/>
    </row>
    <row r="764" spans="1:19" ht="15" x14ac:dyDescent="0.25">
      <c r="A764" s="7" t="s">
        <v>16</v>
      </c>
      <c r="B764" s="7" t="s">
        <v>229</v>
      </c>
      <c r="C764" s="7" t="s">
        <v>24</v>
      </c>
      <c r="D764" s="4">
        <v>45184066000117</v>
      </c>
      <c r="E764" s="8" t="s">
        <v>684</v>
      </c>
      <c r="F764" s="8" t="s">
        <v>650</v>
      </c>
      <c r="G764" s="7" t="s">
        <v>19</v>
      </c>
      <c r="H764" s="47" t="s">
        <v>207</v>
      </c>
      <c r="I764" s="47" t="s">
        <v>208</v>
      </c>
      <c r="J764" s="6">
        <v>73</v>
      </c>
      <c r="K764" s="8" t="s">
        <v>26</v>
      </c>
      <c r="L764" s="1" t="s">
        <v>684</v>
      </c>
      <c r="M764" s="5">
        <v>10</v>
      </c>
      <c r="Q764" s="3"/>
      <c r="R764" s="3"/>
      <c r="S764" s="3"/>
    </row>
    <row r="765" spans="1:19" ht="15" x14ac:dyDescent="0.25">
      <c r="A765" s="7" t="s">
        <v>16</v>
      </c>
      <c r="B765" s="7" t="s">
        <v>229</v>
      </c>
      <c r="C765" s="7" t="s">
        <v>24</v>
      </c>
      <c r="D765" s="4">
        <v>45232246000550</v>
      </c>
      <c r="E765" s="8" t="s">
        <v>685</v>
      </c>
      <c r="F765" s="8" t="s">
        <v>639</v>
      </c>
      <c r="G765" s="7" t="s">
        <v>19</v>
      </c>
      <c r="H765" s="47" t="s">
        <v>207</v>
      </c>
      <c r="I765" s="47" t="s">
        <v>208</v>
      </c>
      <c r="J765" s="6">
        <v>73</v>
      </c>
      <c r="K765" s="8" t="s">
        <v>26</v>
      </c>
      <c r="L765" s="1" t="s">
        <v>685</v>
      </c>
      <c r="M765" s="5">
        <v>42</v>
      </c>
      <c r="Q765" s="3"/>
      <c r="R765" s="3"/>
      <c r="S765" s="3"/>
    </row>
    <row r="766" spans="1:19" ht="15" x14ac:dyDescent="0.25">
      <c r="A766" s="7" t="s">
        <v>16</v>
      </c>
      <c r="B766" s="7" t="s">
        <v>229</v>
      </c>
      <c r="C766" s="7" t="s">
        <v>24</v>
      </c>
      <c r="D766" s="4">
        <v>45359213000576</v>
      </c>
      <c r="E766" s="8" t="s">
        <v>686</v>
      </c>
      <c r="F766" s="8" t="s">
        <v>687</v>
      </c>
      <c r="G766" s="7" t="s">
        <v>19</v>
      </c>
      <c r="H766" s="47" t="s">
        <v>207</v>
      </c>
      <c r="I766" s="47" t="s">
        <v>208</v>
      </c>
      <c r="J766" s="6">
        <v>73</v>
      </c>
      <c r="K766" s="8" t="s">
        <v>26</v>
      </c>
      <c r="L766" s="1" t="s">
        <v>686</v>
      </c>
      <c r="M766" s="5">
        <v>16</v>
      </c>
      <c r="Q766" s="3"/>
      <c r="R766" s="3"/>
      <c r="S766" s="3"/>
    </row>
    <row r="767" spans="1:19" ht="15" x14ac:dyDescent="0.25">
      <c r="A767" s="7" t="s">
        <v>16</v>
      </c>
      <c r="B767" s="7" t="s">
        <v>229</v>
      </c>
      <c r="C767" s="7" t="s">
        <v>24</v>
      </c>
      <c r="D767" s="4">
        <v>46009718000140</v>
      </c>
      <c r="E767" s="8" t="s">
        <v>690</v>
      </c>
      <c r="F767" s="8" t="s">
        <v>33</v>
      </c>
      <c r="G767" s="7" t="s">
        <v>19</v>
      </c>
      <c r="H767" s="47" t="s">
        <v>207</v>
      </c>
      <c r="I767" s="47" t="s">
        <v>208</v>
      </c>
      <c r="J767" s="6">
        <v>73</v>
      </c>
      <c r="K767" s="8" t="s">
        <v>26</v>
      </c>
      <c r="L767" s="1" t="s">
        <v>690</v>
      </c>
      <c r="M767" s="5">
        <v>36</v>
      </c>
      <c r="Q767" s="3"/>
      <c r="R767" s="3"/>
      <c r="S767" s="3"/>
    </row>
    <row r="768" spans="1:19" ht="15" x14ac:dyDescent="0.25">
      <c r="A768" s="7" t="s">
        <v>16</v>
      </c>
      <c r="B768" s="7" t="s">
        <v>229</v>
      </c>
      <c r="C768" s="7" t="s">
        <v>24</v>
      </c>
      <c r="D768" s="4">
        <v>46020301000269</v>
      </c>
      <c r="E768" s="8" t="s">
        <v>691</v>
      </c>
      <c r="F768" s="8" t="s">
        <v>33</v>
      </c>
      <c r="G768" s="7" t="s">
        <v>19</v>
      </c>
      <c r="H768" s="47" t="s">
        <v>207</v>
      </c>
      <c r="I768" s="47" t="s">
        <v>208</v>
      </c>
      <c r="J768" s="6">
        <v>73</v>
      </c>
      <c r="K768" s="8" t="s">
        <v>26</v>
      </c>
      <c r="L768" s="1" t="s">
        <v>691</v>
      </c>
      <c r="M768" s="5">
        <v>35</v>
      </c>
      <c r="Q768" s="3"/>
      <c r="R768" s="3"/>
      <c r="S768" s="3"/>
    </row>
    <row r="769" spans="1:19" ht="15" x14ac:dyDescent="0.25">
      <c r="A769" s="7" t="s">
        <v>16</v>
      </c>
      <c r="B769" s="7" t="s">
        <v>229</v>
      </c>
      <c r="C769" s="7" t="s">
        <v>24</v>
      </c>
      <c r="D769" s="4">
        <v>46124624000111</v>
      </c>
      <c r="E769" s="8" t="s">
        <v>693</v>
      </c>
      <c r="F769" s="8" t="s">
        <v>33</v>
      </c>
      <c r="G769" s="7" t="s">
        <v>19</v>
      </c>
      <c r="H769" s="47" t="s">
        <v>207</v>
      </c>
      <c r="I769" s="47" t="s">
        <v>208</v>
      </c>
      <c r="J769" s="6">
        <v>73</v>
      </c>
      <c r="K769" s="8" t="s">
        <v>26</v>
      </c>
      <c r="L769" s="1" t="s">
        <v>693</v>
      </c>
      <c r="M769" s="5">
        <v>32</v>
      </c>
      <c r="Q769" s="3"/>
      <c r="R769" s="3"/>
      <c r="S769" s="3"/>
    </row>
    <row r="770" spans="1:19" ht="15" x14ac:dyDescent="0.25">
      <c r="A770" s="7" t="s">
        <v>16</v>
      </c>
      <c r="B770" s="7" t="s">
        <v>229</v>
      </c>
      <c r="C770" s="7" t="s">
        <v>24</v>
      </c>
      <c r="D770" s="4">
        <v>46124624002599</v>
      </c>
      <c r="E770" s="8" t="s">
        <v>694</v>
      </c>
      <c r="F770" s="8" t="s">
        <v>695</v>
      </c>
      <c r="G770" s="7" t="s">
        <v>19</v>
      </c>
      <c r="H770" s="47" t="s">
        <v>207</v>
      </c>
      <c r="I770" s="47" t="s">
        <v>208</v>
      </c>
      <c r="J770" s="6">
        <v>73</v>
      </c>
      <c r="K770" s="8" t="s">
        <v>26</v>
      </c>
      <c r="L770" s="1" t="s">
        <v>694</v>
      </c>
      <c r="M770" s="5">
        <v>120</v>
      </c>
      <c r="Q770" s="3"/>
      <c r="R770" s="3"/>
      <c r="S770" s="3"/>
    </row>
    <row r="771" spans="1:19" ht="15" x14ac:dyDescent="0.25">
      <c r="A771" s="7" t="s">
        <v>16</v>
      </c>
      <c r="B771" s="7" t="s">
        <v>229</v>
      </c>
      <c r="C771" s="7" t="s">
        <v>24</v>
      </c>
      <c r="D771" s="4">
        <v>51885242000140</v>
      </c>
      <c r="E771" s="8" t="s">
        <v>712</v>
      </c>
      <c r="F771" s="8" t="s">
        <v>33</v>
      </c>
      <c r="G771" s="7" t="s">
        <v>19</v>
      </c>
      <c r="H771" s="47" t="s">
        <v>207</v>
      </c>
      <c r="I771" s="47" t="s">
        <v>208</v>
      </c>
      <c r="J771" s="6">
        <v>73</v>
      </c>
      <c r="K771" s="8" t="s">
        <v>26</v>
      </c>
      <c r="L771" s="1" t="s">
        <v>712</v>
      </c>
      <c r="M771" s="5">
        <v>240</v>
      </c>
      <c r="Q771" s="3"/>
      <c r="R771" s="3"/>
      <c r="S771" s="3"/>
    </row>
    <row r="772" spans="1:19" ht="15" x14ac:dyDescent="0.25">
      <c r="A772" s="7" t="s">
        <v>16</v>
      </c>
      <c r="B772" s="7" t="s">
        <v>229</v>
      </c>
      <c r="C772" s="7" t="s">
        <v>24</v>
      </c>
      <c r="D772" s="4">
        <v>58229691001070</v>
      </c>
      <c r="E772" s="8" t="s">
        <v>725</v>
      </c>
      <c r="F772" s="8" t="s">
        <v>35</v>
      </c>
      <c r="G772" s="7" t="s">
        <v>19</v>
      </c>
      <c r="H772" s="47" t="s">
        <v>207</v>
      </c>
      <c r="I772" s="47" t="s">
        <v>208</v>
      </c>
      <c r="J772" s="6">
        <v>73</v>
      </c>
      <c r="K772" s="8" t="s">
        <v>26</v>
      </c>
      <c r="L772" s="1" t="s">
        <v>725</v>
      </c>
      <c r="M772" s="5">
        <v>16</v>
      </c>
      <c r="Q772" s="3"/>
      <c r="R772" s="3"/>
      <c r="S772" s="3"/>
    </row>
    <row r="773" spans="1:19" ht="15" x14ac:dyDescent="0.25">
      <c r="A773" s="7" t="s">
        <v>16</v>
      </c>
      <c r="B773" s="7" t="s">
        <v>230</v>
      </c>
      <c r="C773" s="7" t="s">
        <v>24</v>
      </c>
      <c r="D773" s="4">
        <v>2643405000173</v>
      </c>
      <c r="E773" s="8" t="s">
        <v>642</v>
      </c>
      <c r="F773" s="8" t="s">
        <v>643</v>
      </c>
      <c r="G773" s="7" t="s">
        <v>19</v>
      </c>
      <c r="H773" s="47" t="s">
        <v>207</v>
      </c>
      <c r="I773" s="47" t="s">
        <v>208</v>
      </c>
      <c r="J773" s="6">
        <v>73</v>
      </c>
      <c r="K773" s="8" t="s">
        <v>26</v>
      </c>
      <c r="L773" s="1" t="s">
        <v>642</v>
      </c>
      <c r="M773" s="5">
        <v>22</v>
      </c>
      <c r="Q773" s="3"/>
      <c r="R773" s="3"/>
      <c r="S773" s="3"/>
    </row>
    <row r="774" spans="1:19" ht="15" x14ac:dyDescent="0.25">
      <c r="A774" s="7" t="s">
        <v>16</v>
      </c>
      <c r="B774" s="7" t="s">
        <v>230</v>
      </c>
      <c r="C774" s="7" t="s">
        <v>24</v>
      </c>
      <c r="D774" s="4">
        <v>4275687000129</v>
      </c>
      <c r="E774" s="8" t="s">
        <v>645</v>
      </c>
      <c r="F774" s="8" t="s">
        <v>31</v>
      </c>
      <c r="G774" s="7" t="s">
        <v>19</v>
      </c>
      <c r="H774" s="47" t="s">
        <v>207</v>
      </c>
      <c r="I774" s="47" t="s">
        <v>208</v>
      </c>
      <c r="J774" s="6">
        <v>73</v>
      </c>
      <c r="K774" s="8" t="s">
        <v>26</v>
      </c>
      <c r="L774" s="1" t="s">
        <v>645</v>
      </c>
      <c r="M774" s="5">
        <v>25</v>
      </c>
      <c r="Q774" s="3"/>
      <c r="R774" s="3"/>
      <c r="S774" s="3"/>
    </row>
    <row r="775" spans="1:19" ht="15" x14ac:dyDescent="0.25">
      <c r="A775" s="7" t="s">
        <v>16</v>
      </c>
      <c r="B775" s="7" t="s">
        <v>230</v>
      </c>
      <c r="C775" s="7" t="s">
        <v>24</v>
      </c>
      <c r="D775" s="4">
        <v>6047087003073</v>
      </c>
      <c r="E775" s="8" t="s">
        <v>649</v>
      </c>
      <c r="F775" s="8" t="s">
        <v>650</v>
      </c>
      <c r="G775" s="7" t="s">
        <v>19</v>
      </c>
      <c r="H775" s="47" t="s">
        <v>207</v>
      </c>
      <c r="I775" s="47" t="s">
        <v>208</v>
      </c>
      <c r="J775" s="6">
        <v>73</v>
      </c>
      <c r="K775" s="8" t="s">
        <v>26</v>
      </c>
      <c r="L775" s="1" t="s">
        <v>649</v>
      </c>
      <c r="M775" s="5">
        <v>120</v>
      </c>
      <c r="Q775" s="3"/>
      <c r="R775" s="3"/>
      <c r="S775" s="3"/>
    </row>
    <row r="776" spans="1:19" ht="15" x14ac:dyDescent="0.25">
      <c r="A776" s="7" t="s">
        <v>16</v>
      </c>
      <c r="B776" s="7" t="s">
        <v>230</v>
      </c>
      <c r="C776" s="7" t="s">
        <v>24</v>
      </c>
      <c r="D776" s="4">
        <v>10447300000177</v>
      </c>
      <c r="E776" s="8" t="s">
        <v>658</v>
      </c>
      <c r="F776" s="8" t="s">
        <v>33</v>
      </c>
      <c r="G776" s="7" t="s">
        <v>19</v>
      </c>
      <c r="H776" s="47" t="s">
        <v>207</v>
      </c>
      <c r="I776" s="47" t="s">
        <v>208</v>
      </c>
      <c r="J776" s="6">
        <v>73</v>
      </c>
      <c r="K776" s="8" t="s">
        <v>26</v>
      </c>
      <c r="L776" s="1" t="s">
        <v>658</v>
      </c>
      <c r="M776" s="5">
        <v>28</v>
      </c>
      <c r="Q776" s="3"/>
      <c r="R776" s="3"/>
      <c r="S776" s="3"/>
    </row>
    <row r="777" spans="1:19" ht="15" x14ac:dyDescent="0.25">
      <c r="A777" s="7" t="s">
        <v>16</v>
      </c>
      <c r="B777" s="7" t="s">
        <v>230</v>
      </c>
      <c r="C777" s="7" t="s">
        <v>24</v>
      </c>
      <c r="D777" s="4">
        <v>13718999001041</v>
      </c>
      <c r="E777" s="8" t="s">
        <v>662</v>
      </c>
      <c r="F777" s="8" t="s">
        <v>647</v>
      </c>
      <c r="G777" s="7" t="s">
        <v>19</v>
      </c>
      <c r="H777" s="47" t="s">
        <v>207</v>
      </c>
      <c r="I777" s="47" t="s">
        <v>208</v>
      </c>
      <c r="J777" s="6">
        <v>73</v>
      </c>
      <c r="K777" s="8" t="s">
        <v>26</v>
      </c>
      <c r="L777" s="1" t="s">
        <v>662</v>
      </c>
      <c r="M777" s="5">
        <v>4</v>
      </c>
      <c r="Q777" s="3"/>
      <c r="R777" s="3"/>
      <c r="S777" s="3"/>
    </row>
    <row r="778" spans="1:19" ht="15" x14ac:dyDescent="0.25">
      <c r="A778" s="7" t="s">
        <v>16</v>
      </c>
      <c r="B778" s="7" t="s">
        <v>230</v>
      </c>
      <c r="C778" s="7" t="s">
        <v>24</v>
      </c>
      <c r="D778" s="4">
        <v>18321477000134</v>
      </c>
      <c r="E778" s="8" t="s">
        <v>664</v>
      </c>
      <c r="F778" s="8" t="s">
        <v>650</v>
      </c>
      <c r="G778" s="7" t="s">
        <v>19</v>
      </c>
      <c r="H778" s="47" t="s">
        <v>207</v>
      </c>
      <c r="I778" s="47" t="s">
        <v>208</v>
      </c>
      <c r="J778" s="6">
        <v>73</v>
      </c>
      <c r="K778" s="8" t="s">
        <v>26</v>
      </c>
      <c r="L778" s="1" t="s">
        <v>664</v>
      </c>
      <c r="M778" s="5">
        <v>54</v>
      </c>
      <c r="Q778" s="3"/>
      <c r="R778" s="3"/>
      <c r="S778" s="3"/>
    </row>
    <row r="779" spans="1:19" ht="15" x14ac:dyDescent="0.25">
      <c r="A779" s="7" t="s">
        <v>16</v>
      </c>
      <c r="B779" s="7" t="s">
        <v>230</v>
      </c>
      <c r="C779" s="7" t="s">
        <v>24</v>
      </c>
      <c r="D779" s="4">
        <v>29929600000110</v>
      </c>
      <c r="E779" s="8" t="s">
        <v>1212</v>
      </c>
      <c r="F779" s="8" t="s">
        <v>1213</v>
      </c>
      <c r="G779" s="7" t="s">
        <v>19</v>
      </c>
      <c r="H779" s="47" t="s">
        <v>207</v>
      </c>
      <c r="I779" s="47" t="s">
        <v>208</v>
      </c>
      <c r="J779" s="6">
        <v>73</v>
      </c>
      <c r="K779" s="8" t="s">
        <v>26</v>
      </c>
      <c r="L779" s="1" t="s">
        <v>1212</v>
      </c>
      <c r="M779" s="5">
        <v>4</v>
      </c>
      <c r="Q779" s="3"/>
      <c r="R779" s="3"/>
      <c r="S779" s="3"/>
    </row>
    <row r="780" spans="1:19" ht="15" x14ac:dyDescent="0.25">
      <c r="A780" s="7" t="s">
        <v>16</v>
      </c>
      <c r="B780" s="7" t="s">
        <v>230</v>
      </c>
      <c r="C780" s="7" t="s">
        <v>24</v>
      </c>
      <c r="D780" s="4">
        <v>44531788000138</v>
      </c>
      <c r="E780" s="8" t="s">
        <v>676</v>
      </c>
      <c r="F780" s="8" t="s">
        <v>38</v>
      </c>
      <c r="G780" s="7" t="s">
        <v>19</v>
      </c>
      <c r="H780" s="47" t="s">
        <v>207</v>
      </c>
      <c r="I780" s="47" t="s">
        <v>208</v>
      </c>
      <c r="J780" s="6">
        <v>73</v>
      </c>
      <c r="K780" s="8" t="s">
        <v>26</v>
      </c>
      <c r="L780" s="1" t="s">
        <v>676</v>
      </c>
      <c r="M780" s="5">
        <v>40</v>
      </c>
      <c r="Q780" s="3"/>
      <c r="R780" s="3"/>
      <c r="S780" s="3"/>
    </row>
    <row r="781" spans="1:19" ht="15" x14ac:dyDescent="0.25">
      <c r="A781" s="7" t="s">
        <v>16</v>
      </c>
      <c r="B781" s="7" t="s">
        <v>230</v>
      </c>
      <c r="C781" s="7" t="s">
        <v>24</v>
      </c>
      <c r="D781" s="4">
        <v>44649812019238</v>
      </c>
      <c r="E781" s="8" t="s">
        <v>679</v>
      </c>
      <c r="F781" s="8" t="s">
        <v>33</v>
      </c>
      <c r="G781" s="7" t="s">
        <v>19</v>
      </c>
      <c r="H781" s="47" t="s">
        <v>207</v>
      </c>
      <c r="I781" s="47" t="s">
        <v>208</v>
      </c>
      <c r="J781" s="6">
        <v>73</v>
      </c>
      <c r="K781" s="8" t="s">
        <v>26</v>
      </c>
      <c r="L781" s="1" t="s">
        <v>679</v>
      </c>
      <c r="M781" s="5">
        <v>8</v>
      </c>
      <c r="Q781" s="3"/>
      <c r="R781" s="3"/>
      <c r="S781" s="3"/>
    </row>
    <row r="782" spans="1:19" ht="15" x14ac:dyDescent="0.25">
      <c r="A782" s="7" t="s">
        <v>16</v>
      </c>
      <c r="B782" s="7" t="s">
        <v>230</v>
      </c>
      <c r="C782" s="7" t="s">
        <v>24</v>
      </c>
      <c r="D782" s="4">
        <v>44663631000590</v>
      </c>
      <c r="E782" s="8" t="s">
        <v>680</v>
      </c>
      <c r="F782" s="8" t="s">
        <v>39</v>
      </c>
      <c r="G782" s="7" t="s">
        <v>19</v>
      </c>
      <c r="H782" s="47" t="s">
        <v>207</v>
      </c>
      <c r="I782" s="47" t="s">
        <v>208</v>
      </c>
      <c r="J782" s="6">
        <v>73</v>
      </c>
      <c r="K782" s="8" t="s">
        <v>26</v>
      </c>
      <c r="L782" s="1" t="s">
        <v>680</v>
      </c>
      <c r="M782" s="5">
        <v>32</v>
      </c>
      <c r="Q782" s="3"/>
      <c r="R782" s="3"/>
      <c r="S782" s="3"/>
    </row>
    <row r="783" spans="1:19" ht="15" x14ac:dyDescent="0.25">
      <c r="A783" s="7" t="s">
        <v>16</v>
      </c>
      <c r="B783" s="7" t="s">
        <v>230</v>
      </c>
      <c r="C783" s="7" t="s">
        <v>24</v>
      </c>
      <c r="D783" s="4">
        <v>44803922000293</v>
      </c>
      <c r="E783" s="8" t="s">
        <v>681</v>
      </c>
      <c r="F783" s="8" t="s">
        <v>40</v>
      </c>
      <c r="G783" s="7" t="s">
        <v>19</v>
      </c>
      <c r="H783" s="47" t="s">
        <v>207</v>
      </c>
      <c r="I783" s="47" t="s">
        <v>208</v>
      </c>
      <c r="J783" s="6">
        <v>73</v>
      </c>
      <c r="K783" s="8" t="s">
        <v>26</v>
      </c>
      <c r="L783" s="1" t="s">
        <v>681</v>
      </c>
      <c r="M783" s="5">
        <v>8</v>
      </c>
      <c r="Q783" s="3"/>
      <c r="R783" s="3"/>
      <c r="S783" s="3"/>
    </row>
    <row r="784" spans="1:19" ht="15" x14ac:dyDescent="0.25">
      <c r="A784" s="7" t="s">
        <v>16</v>
      </c>
      <c r="B784" s="7" t="s">
        <v>230</v>
      </c>
      <c r="C784" s="7" t="s">
        <v>24</v>
      </c>
      <c r="D784" s="4">
        <v>45118429001279</v>
      </c>
      <c r="E784" s="8" t="s">
        <v>683</v>
      </c>
      <c r="F784" s="8" t="s">
        <v>41</v>
      </c>
      <c r="G784" s="7" t="s">
        <v>19</v>
      </c>
      <c r="H784" s="47" t="s">
        <v>207</v>
      </c>
      <c r="I784" s="47" t="s">
        <v>208</v>
      </c>
      <c r="J784" s="6">
        <v>73</v>
      </c>
      <c r="K784" s="8" t="s">
        <v>26</v>
      </c>
      <c r="L784" s="1" t="s">
        <v>683</v>
      </c>
      <c r="M784" s="5">
        <v>6</v>
      </c>
      <c r="Q784" s="3"/>
      <c r="R784" s="3"/>
      <c r="S784" s="3"/>
    </row>
    <row r="785" spans="1:19" ht="15" x14ac:dyDescent="0.25">
      <c r="A785" s="7" t="s">
        <v>16</v>
      </c>
      <c r="B785" s="7" t="s">
        <v>230</v>
      </c>
      <c r="C785" s="7" t="s">
        <v>24</v>
      </c>
      <c r="D785" s="4">
        <v>45184066000117</v>
      </c>
      <c r="E785" s="8" t="s">
        <v>684</v>
      </c>
      <c r="F785" s="8" t="s">
        <v>650</v>
      </c>
      <c r="G785" s="7" t="s">
        <v>19</v>
      </c>
      <c r="H785" s="47" t="s">
        <v>207</v>
      </c>
      <c r="I785" s="47" t="s">
        <v>208</v>
      </c>
      <c r="J785" s="6">
        <v>73</v>
      </c>
      <c r="K785" s="8" t="s">
        <v>26</v>
      </c>
      <c r="L785" s="1" t="s">
        <v>684</v>
      </c>
      <c r="M785" s="5">
        <v>15</v>
      </c>
      <c r="Q785" s="3"/>
      <c r="R785" s="3"/>
      <c r="S785" s="3"/>
    </row>
    <row r="786" spans="1:19" ht="15" x14ac:dyDescent="0.25">
      <c r="A786" s="7" t="s">
        <v>16</v>
      </c>
      <c r="B786" s="7" t="s">
        <v>230</v>
      </c>
      <c r="C786" s="7" t="s">
        <v>24</v>
      </c>
      <c r="D786" s="4">
        <v>45232246000550</v>
      </c>
      <c r="E786" s="8" t="s">
        <v>685</v>
      </c>
      <c r="F786" s="8" t="s">
        <v>639</v>
      </c>
      <c r="G786" s="7" t="s">
        <v>19</v>
      </c>
      <c r="H786" s="47" t="s">
        <v>207</v>
      </c>
      <c r="I786" s="47" t="s">
        <v>208</v>
      </c>
      <c r="J786" s="6">
        <v>73</v>
      </c>
      <c r="K786" s="8" t="s">
        <v>26</v>
      </c>
      <c r="L786" s="1" t="s">
        <v>685</v>
      </c>
      <c r="M786" s="5">
        <v>18</v>
      </c>
      <c r="Q786" s="3"/>
      <c r="R786" s="3"/>
      <c r="S786" s="3"/>
    </row>
    <row r="787" spans="1:19" ht="15" x14ac:dyDescent="0.25">
      <c r="A787" s="7" t="s">
        <v>16</v>
      </c>
      <c r="B787" s="7" t="s">
        <v>230</v>
      </c>
      <c r="C787" s="7" t="s">
        <v>24</v>
      </c>
      <c r="D787" s="4">
        <v>45359213000576</v>
      </c>
      <c r="E787" s="8" t="s">
        <v>686</v>
      </c>
      <c r="F787" s="8" t="s">
        <v>687</v>
      </c>
      <c r="G787" s="7" t="s">
        <v>19</v>
      </c>
      <c r="H787" s="47" t="s">
        <v>207</v>
      </c>
      <c r="I787" s="47" t="s">
        <v>208</v>
      </c>
      <c r="J787" s="6">
        <v>73</v>
      </c>
      <c r="K787" s="8" t="s">
        <v>26</v>
      </c>
      <c r="L787" s="1" t="s">
        <v>686</v>
      </c>
      <c r="M787" s="5">
        <v>16</v>
      </c>
      <c r="Q787" s="3"/>
      <c r="R787" s="3"/>
      <c r="S787" s="3"/>
    </row>
    <row r="788" spans="1:19" ht="15" x14ac:dyDescent="0.25">
      <c r="A788" s="7" t="s">
        <v>16</v>
      </c>
      <c r="B788" s="7" t="s">
        <v>230</v>
      </c>
      <c r="C788" s="7" t="s">
        <v>24</v>
      </c>
      <c r="D788" s="4">
        <v>46009718000140</v>
      </c>
      <c r="E788" s="8" t="s">
        <v>690</v>
      </c>
      <c r="F788" s="8" t="s">
        <v>33</v>
      </c>
      <c r="G788" s="7" t="s">
        <v>19</v>
      </c>
      <c r="H788" s="47" t="s">
        <v>207</v>
      </c>
      <c r="I788" s="47" t="s">
        <v>208</v>
      </c>
      <c r="J788" s="6">
        <v>73</v>
      </c>
      <c r="K788" s="8" t="s">
        <v>26</v>
      </c>
      <c r="L788" s="1" t="s">
        <v>690</v>
      </c>
      <c r="M788" s="5">
        <v>54</v>
      </c>
      <c r="Q788" s="3"/>
      <c r="R788" s="3"/>
      <c r="S788" s="3"/>
    </row>
    <row r="789" spans="1:19" ht="15" x14ac:dyDescent="0.25">
      <c r="A789" s="7" t="s">
        <v>16</v>
      </c>
      <c r="B789" s="7" t="s">
        <v>230</v>
      </c>
      <c r="C789" s="7" t="s">
        <v>24</v>
      </c>
      <c r="D789" s="4">
        <v>46020301000269</v>
      </c>
      <c r="E789" s="8" t="s">
        <v>691</v>
      </c>
      <c r="F789" s="8" t="s">
        <v>33</v>
      </c>
      <c r="G789" s="7" t="s">
        <v>19</v>
      </c>
      <c r="H789" s="47" t="s">
        <v>207</v>
      </c>
      <c r="I789" s="47" t="s">
        <v>208</v>
      </c>
      <c r="J789" s="6">
        <v>73</v>
      </c>
      <c r="K789" s="8" t="s">
        <v>26</v>
      </c>
      <c r="L789" s="1" t="s">
        <v>691</v>
      </c>
      <c r="M789" s="5">
        <v>35</v>
      </c>
      <c r="Q789" s="3"/>
      <c r="R789" s="3"/>
      <c r="S789" s="3"/>
    </row>
    <row r="790" spans="1:19" ht="15" x14ac:dyDescent="0.25">
      <c r="A790" s="7" t="s">
        <v>16</v>
      </c>
      <c r="B790" s="7" t="s">
        <v>230</v>
      </c>
      <c r="C790" s="7" t="s">
        <v>24</v>
      </c>
      <c r="D790" s="4">
        <v>46124624000111</v>
      </c>
      <c r="E790" s="8" t="s">
        <v>693</v>
      </c>
      <c r="F790" s="8" t="s">
        <v>33</v>
      </c>
      <c r="G790" s="7" t="s">
        <v>19</v>
      </c>
      <c r="H790" s="47" t="s">
        <v>207</v>
      </c>
      <c r="I790" s="47" t="s">
        <v>208</v>
      </c>
      <c r="J790" s="6">
        <v>73</v>
      </c>
      <c r="K790" s="8" t="s">
        <v>26</v>
      </c>
      <c r="L790" s="1" t="s">
        <v>693</v>
      </c>
      <c r="M790" s="5">
        <v>96</v>
      </c>
      <c r="Q790" s="3"/>
      <c r="R790" s="3"/>
      <c r="S790" s="3"/>
    </row>
    <row r="791" spans="1:19" ht="15" x14ac:dyDescent="0.25">
      <c r="A791" s="7" t="s">
        <v>16</v>
      </c>
      <c r="B791" s="7" t="s">
        <v>230</v>
      </c>
      <c r="C791" s="7" t="s">
        <v>24</v>
      </c>
      <c r="D791" s="4">
        <v>56023443000152</v>
      </c>
      <c r="E791" s="8" t="s">
        <v>1379</v>
      </c>
      <c r="F791" s="8" t="s">
        <v>639</v>
      </c>
      <c r="G791" s="7" t="s">
        <v>19</v>
      </c>
      <c r="H791" s="47" t="s">
        <v>207</v>
      </c>
      <c r="I791" s="47" t="s">
        <v>208</v>
      </c>
      <c r="J791" s="6">
        <v>73</v>
      </c>
      <c r="K791" s="8" t="s">
        <v>26</v>
      </c>
      <c r="L791" s="1" t="s">
        <v>1379</v>
      </c>
      <c r="M791" s="5">
        <v>24</v>
      </c>
      <c r="Q791" s="3"/>
      <c r="R791" s="3"/>
      <c r="S791" s="3"/>
    </row>
    <row r="792" spans="1:19" ht="15" x14ac:dyDescent="0.25">
      <c r="A792" s="7" t="s">
        <v>16</v>
      </c>
      <c r="B792" s="7" t="s">
        <v>230</v>
      </c>
      <c r="C792" s="7" t="s">
        <v>24</v>
      </c>
      <c r="D792" s="4">
        <v>57507402000102</v>
      </c>
      <c r="E792" s="8" t="s">
        <v>721</v>
      </c>
      <c r="F792" s="8" t="s">
        <v>647</v>
      </c>
      <c r="G792" s="7" t="s">
        <v>19</v>
      </c>
      <c r="H792" s="47" t="s">
        <v>207</v>
      </c>
      <c r="I792" s="47" t="s">
        <v>208</v>
      </c>
      <c r="J792" s="6">
        <v>73</v>
      </c>
      <c r="K792" s="8" t="s">
        <v>26</v>
      </c>
      <c r="L792" s="1" t="s">
        <v>721</v>
      </c>
      <c r="M792" s="5">
        <v>150</v>
      </c>
      <c r="Q792" s="3"/>
      <c r="R792" s="3"/>
      <c r="S792" s="3"/>
    </row>
    <row r="793" spans="1:19" ht="15" x14ac:dyDescent="0.25">
      <c r="A793" s="7" t="s">
        <v>16</v>
      </c>
      <c r="B793" s="7" t="s">
        <v>230</v>
      </c>
      <c r="C793" s="7" t="s">
        <v>24</v>
      </c>
      <c r="D793" s="4">
        <v>57722118000302</v>
      </c>
      <c r="E793" s="8" t="s">
        <v>723</v>
      </c>
      <c r="F793" s="8" t="s">
        <v>639</v>
      </c>
      <c r="G793" s="7" t="s">
        <v>19</v>
      </c>
      <c r="H793" s="47" t="s">
        <v>207</v>
      </c>
      <c r="I793" s="47" t="s">
        <v>208</v>
      </c>
      <c r="J793" s="6">
        <v>73</v>
      </c>
      <c r="K793" s="8" t="s">
        <v>26</v>
      </c>
      <c r="L793" s="1" t="s">
        <v>723</v>
      </c>
      <c r="M793" s="5">
        <v>32</v>
      </c>
      <c r="Q793" s="3"/>
      <c r="R793" s="3"/>
      <c r="S793" s="3"/>
    </row>
    <row r="794" spans="1:19" ht="15" x14ac:dyDescent="0.25">
      <c r="A794" s="7" t="s">
        <v>16</v>
      </c>
      <c r="B794" s="7" t="s">
        <v>230</v>
      </c>
      <c r="C794" s="7" t="s">
        <v>24</v>
      </c>
      <c r="D794" s="4">
        <v>58229691001070</v>
      </c>
      <c r="E794" s="8" t="s">
        <v>725</v>
      </c>
      <c r="F794" s="8" t="s">
        <v>35</v>
      </c>
      <c r="G794" s="7" t="s">
        <v>19</v>
      </c>
      <c r="H794" s="47" t="s">
        <v>207</v>
      </c>
      <c r="I794" s="47" t="s">
        <v>208</v>
      </c>
      <c r="J794" s="6">
        <v>73</v>
      </c>
      <c r="K794" s="8" t="s">
        <v>26</v>
      </c>
      <c r="L794" s="1" t="s">
        <v>725</v>
      </c>
      <c r="M794" s="5">
        <v>32</v>
      </c>
      <c r="Q794" s="3"/>
      <c r="R794" s="3"/>
      <c r="S794" s="3"/>
    </row>
    <row r="795" spans="1:19" ht="15" x14ac:dyDescent="0.25">
      <c r="A795" s="7" t="s">
        <v>16</v>
      </c>
      <c r="B795" s="7" t="s">
        <v>372</v>
      </c>
      <c r="C795" s="7" t="s">
        <v>373</v>
      </c>
      <c r="D795" s="4">
        <v>2643405000173</v>
      </c>
      <c r="E795" s="8" t="s">
        <v>642</v>
      </c>
      <c r="F795" s="8" t="s">
        <v>643</v>
      </c>
      <c r="G795" s="7" t="s">
        <v>19</v>
      </c>
      <c r="H795" s="47" t="s">
        <v>207</v>
      </c>
      <c r="I795" s="47" t="s">
        <v>208</v>
      </c>
      <c r="J795" s="6">
        <v>73</v>
      </c>
      <c r="K795" s="8" t="s">
        <v>26</v>
      </c>
      <c r="L795" s="1" t="s">
        <v>642</v>
      </c>
      <c r="M795" s="5">
        <v>22</v>
      </c>
      <c r="Q795" s="3"/>
      <c r="R795" s="3"/>
      <c r="S795" s="3"/>
    </row>
    <row r="796" spans="1:19" ht="15" x14ac:dyDescent="0.25">
      <c r="A796" s="7" t="s">
        <v>16</v>
      </c>
      <c r="B796" s="7" t="s">
        <v>372</v>
      </c>
      <c r="C796" s="7" t="s">
        <v>373</v>
      </c>
      <c r="D796" s="4">
        <v>4275687000129</v>
      </c>
      <c r="E796" s="8" t="s">
        <v>645</v>
      </c>
      <c r="F796" s="8" t="s">
        <v>31</v>
      </c>
      <c r="G796" s="7" t="s">
        <v>19</v>
      </c>
      <c r="H796" s="47" t="s">
        <v>207</v>
      </c>
      <c r="I796" s="47" t="s">
        <v>208</v>
      </c>
      <c r="J796" s="6">
        <v>73</v>
      </c>
      <c r="K796" s="8" t="s">
        <v>26</v>
      </c>
      <c r="L796" s="1" t="s">
        <v>645</v>
      </c>
      <c r="M796" s="5">
        <v>54</v>
      </c>
      <c r="Q796" s="3"/>
      <c r="R796" s="3"/>
      <c r="S796" s="3"/>
    </row>
    <row r="797" spans="1:19" ht="15" x14ac:dyDescent="0.25">
      <c r="A797" s="7" t="s">
        <v>16</v>
      </c>
      <c r="B797" s="7" t="s">
        <v>372</v>
      </c>
      <c r="C797" s="7" t="s">
        <v>373</v>
      </c>
      <c r="D797" s="4">
        <v>10447300000177</v>
      </c>
      <c r="E797" s="8" t="s">
        <v>658</v>
      </c>
      <c r="F797" s="8" t="s">
        <v>33</v>
      </c>
      <c r="G797" s="7" t="s">
        <v>19</v>
      </c>
      <c r="H797" s="47" t="s">
        <v>207</v>
      </c>
      <c r="I797" s="47" t="s">
        <v>208</v>
      </c>
      <c r="J797" s="6">
        <v>73</v>
      </c>
      <c r="K797" s="8" t="s">
        <v>26</v>
      </c>
      <c r="L797" s="1" t="s">
        <v>658</v>
      </c>
      <c r="M797" s="5">
        <v>30</v>
      </c>
      <c r="Q797" s="3"/>
      <c r="R797" s="3"/>
      <c r="S797" s="3"/>
    </row>
    <row r="798" spans="1:19" ht="15" x14ac:dyDescent="0.25">
      <c r="A798" s="7" t="s">
        <v>16</v>
      </c>
      <c r="B798" s="7" t="s">
        <v>372</v>
      </c>
      <c r="C798" s="7" t="s">
        <v>373</v>
      </c>
      <c r="D798" s="4">
        <v>18321477000134</v>
      </c>
      <c r="E798" s="8" t="s">
        <v>664</v>
      </c>
      <c r="F798" s="8" t="s">
        <v>650</v>
      </c>
      <c r="G798" s="7" t="s">
        <v>19</v>
      </c>
      <c r="H798" s="47" t="s">
        <v>207</v>
      </c>
      <c r="I798" s="47" t="s">
        <v>208</v>
      </c>
      <c r="J798" s="6">
        <v>73</v>
      </c>
      <c r="K798" s="8" t="s">
        <v>26</v>
      </c>
      <c r="L798" s="1" t="s">
        <v>664</v>
      </c>
      <c r="M798" s="5">
        <v>98</v>
      </c>
      <c r="Q798" s="3"/>
      <c r="R798" s="3"/>
      <c r="S798" s="3"/>
    </row>
    <row r="799" spans="1:19" ht="15" x14ac:dyDescent="0.25">
      <c r="A799" s="7" t="s">
        <v>16</v>
      </c>
      <c r="B799" s="7" t="s">
        <v>372</v>
      </c>
      <c r="C799" s="7" t="s">
        <v>373</v>
      </c>
      <c r="D799" s="4">
        <v>29929600000110</v>
      </c>
      <c r="E799" s="8" t="s">
        <v>1212</v>
      </c>
      <c r="F799" s="8" t="s">
        <v>1213</v>
      </c>
      <c r="G799" s="7" t="s">
        <v>19</v>
      </c>
      <c r="H799" s="47" t="s">
        <v>207</v>
      </c>
      <c r="I799" s="47" t="s">
        <v>208</v>
      </c>
      <c r="J799" s="6">
        <v>73</v>
      </c>
      <c r="K799" s="8" t="s">
        <v>26</v>
      </c>
      <c r="L799" s="1" t="s">
        <v>1212</v>
      </c>
      <c r="M799" s="5">
        <v>4</v>
      </c>
      <c r="Q799" s="3"/>
      <c r="R799" s="3"/>
      <c r="S799" s="3"/>
    </row>
    <row r="800" spans="1:19" ht="15" x14ac:dyDescent="0.25">
      <c r="A800" s="7" t="s">
        <v>16</v>
      </c>
      <c r="B800" s="7" t="s">
        <v>372</v>
      </c>
      <c r="C800" s="7" t="s">
        <v>373</v>
      </c>
      <c r="D800" s="4">
        <v>44649812019238</v>
      </c>
      <c r="E800" s="8" t="s">
        <v>679</v>
      </c>
      <c r="F800" s="8" t="s">
        <v>33</v>
      </c>
      <c r="G800" s="7" t="s">
        <v>19</v>
      </c>
      <c r="H800" s="47" t="s">
        <v>207</v>
      </c>
      <c r="I800" s="47" t="s">
        <v>208</v>
      </c>
      <c r="J800" s="6">
        <v>73</v>
      </c>
      <c r="K800" s="8" t="s">
        <v>26</v>
      </c>
      <c r="L800" s="1" t="s">
        <v>679</v>
      </c>
      <c r="M800" s="5">
        <v>8</v>
      </c>
      <c r="Q800" s="3"/>
      <c r="R800" s="3"/>
      <c r="S800" s="3"/>
    </row>
    <row r="801" spans="1:19" ht="15" x14ac:dyDescent="0.25">
      <c r="A801" s="7" t="s">
        <v>16</v>
      </c>
      <c r="B801" s="7" t="s">
        <v>372</v>
      </c>
      <c r="C801" s="7" t="s">
        <v>373</v>
      </c>
      <c r="D801" s="4">
        <v>44663631000590</v>
      </c>
      <c r="E801" s="8" t="s">
        <v>680</v>
      </c>
      <c r="F801" s="8" t="s">
        <v>39</v>
      </c>
      <c r="G801" s="7" t="s">
        <v>19</v>
      </c>
      <c r="H801" s="47" t="s">
        <v>207</v>
      </c>
      <c r="I801" s="47" t="s">
        <v>208</v>
      </c>
      <c r="J801" s="6">
        <v>73</v>
      </c>
      <c r="K801" s="8" t="s">
        <v>26</v>
      </c>
      <c r="L801" s="1" t="s">
        <v>680</v>
      </c>
      <c r="M801" s="5">
        <v>16</v>
      </c>
      <c r="Q801" s="3"/>
      <c r="R801" s="3"/>
      <c r="S801" s="3"/>
    </row>
    <row r="802" spans="1:19" ht="15" x14ac:dyDescent="0.25">
      <c r="A802" s="7" t="s">
        <v>16</v>
      </c>
      <c r="B802" s="7" t="s">
        <v>372</v>
      </c>
      <c r="C802" s="7" t="s">
        <v>373</v>
      </c>
      <c r="D802" s="4">
        <v>44803922000293</v>
      </c>
      <c r="E802" s="8" t="s">
        <v>681</v>
      </c>
      <c r="F802" s="8" t="s">
        <v>40</v>
      </c>
      <c r="G802" s="7" t="s">
        <v>19</v>
      </c>
      <c r="H802" s="47" t="s">
        <v>207</v>
      </c>
      <c r="I802" s="47" t="s">
        <v>208</v>
      </c>
      <c r="J802" s="6">
        <v>73</v>
      </c>
      <c r="K802" s="8" t="s">
        <v>26</v>
      </c>
      <c r="L802" s="1" t="s">
        <v>681</v>
      </c>
      <c r="M802" s="5">
        <v>8</v>
      </c>
      <c r="Q802" s="3"/>
      <c r="R802" s="3"/>
      <c r="S802" s="3"/>
    </row>
    <row r="803" spans="1:19" ht="15" x14ac:dyDescent="0.25">
      <c r="A803" s="7" t="s">
        <v>16</v>
      </c>
      <c r="B803" s="7" t="s">
        <v>372</v>
      </c>
      <c r="C803" s="7" t="s">
        <v>373</v>
      </c>
      <c r="D803" s="4">
        <v>45184066000117</v>
      </c>
      <c r="E803" s="8" t="s">
        <v>684</v>
      </c>
      <c r="F803" s="8" t="s">
        <v>650</v>
      </c>
      <c r="G803" s="7" t="s">
        <v>19</v>
      </c>
      <c r="H803" s="47" t="s">
        <v>207</v>
      </c>
      <c r="I803" s="47" t="s">
        <v>208</v>
      </c>
      <c r="J803" s="6">
        <v>73</v>
      </c>
      <c r="K803" s="8" t="s">
        <v>26</v>
      </c>
      <c r="L803" s="1" t="s">
        <v>684</v>
      </c>
      <c r="M803" s="5">
        <v>15</v>
      </c>
      <c r="Q803" s="3"/>
      <c r="R803" s="3"/>
      <c r="S803" s="3"/>
    </row>
    <row r="804" spans="1:19" ht="15" x14ac:dyDescent="0.25">
      <c r="A804" s="7" t="s">
        <v>16</v>
      </c>
      <c r="B804" s="7" t="s">
        <v>372</v>
      </c>
      <c r="C804" s="7" t="s">
        <v>373</v>
      </c>
      <c r="D804" s="4">
        <v>45232246000550</v>
      </c>
      <c r="E804" s="8" t="s">
        <v>685</v>
      </c>
      <c r="F804" s="8" t="s">
        <v>639</v>
      </c>
      <c r="G804" s="7" t="s">
        <v>19</v>
      </c>
      <c r="H804" s="47" t="s">
        <v>207</v>
      </c>
      <c r="I804" s="47" t="s">
        <v>208</v>
      </c>
      <c r="J804" s="6">
        <v>73</v>
      </c>
      <c r="K804" s="8" t="s">
        <v>26</v>
      </c>
      <c r="L804" s="1" t="s">
        <v>685</v>
      </c>
      <c r="M804" s="5">
        <v>47</v>
      </c>
      <c r="Q804" s="3"/>
      <c r="R804" s="3"/>
      <c r="S804" s="3"/>
    </row>
    <row r="805" spans="1:19" ht="15" x14ac:dyDescent="0.25">
      <c r="A805" s="7" t="s">
        <v>16</v>
      </c>
      <c r="B805" s="7" t="s">
        <v>372</v>
      </c>
      <c r="C805" s="7" t="s">
        <v>373</v>
      </c>
      <c r="D805" s="4">
        <v>45359213000576</v>
      </c>
      <c r="E805" s="8" t="s">
        <v>686</v>
      </c>
      <c r="F805" s="8" t="s">
        <v>687</v>
      </c>
      <c r="G805" s="7" t="s">
        <v>19</v>
      </c>
      <c r="H805" s="47" t="s">
        <v>207</v>
      </c>
      <c r="I805" s="47" t="s">
        <v>208</v>
      </c>
      <c r="J805" s="6">
        <v>73</v>
      </c>
      <c r="K805" s="8" t="s">
        <v>26</v>
      </c>
      <c r="L805" s="1" t="s">
        <v>686</v>
      </c>
      <c r="M805" s="5">
        <v>28</v>
      </c>
      <c r="Q805" s="3"/>
      <c r="R805" s="3"/>
      <c r="S805" s="3"/>
    </row>
    <row r="806" spans="1:19" ht="15" x14ac:dyDescent="0.25">
      <c r="A806" s="7" t="s">
        <v>16</v>
      </c>
      <c r="B806" s="7" t="s">
        <v>372</v>
      </c>
      <c r="C806" s="7" t="s">
        <v>373</v>
      </c>
      <c r="D806" s="4">
        <v>46009718000140</v>
      </c>
      <c r="E806" s="8" t="s">
        <v>690</v>
      </c>
      <c r="F806" s="8" t="s">
        <v>33</v>
      </c>
      <c r="G806" s="7" t="s">
        <v>19</v>
      </c>
      <c r="H806" s="47" t="s">
        <v>207</v>
      </c>
      <c r="I806" s="47" t="s">
        <v>208</v>
      </c>
      <c r="J806" s="6">
        <v>73</v>
      </c>
      <c r="K806" s="8" t="s">
        <v>26</v>
      </c>
      <c r="L806" s="1" t="s">
        <v>690</v>
      </c>
      <c r="M806" s="5">
        <v>40</v>
      </c>
      <c r="Q806" s="3"/>
      <c r="R806" s="3"/>
      <c r="S806" s="3"/>
    </row>
    <row r="807" spans="1:19" ht="15" x14ac:dyDescent="0.25">
      <c r="A807" s="7" t="s">
        <v>16</v>
      </c>
      <c r="B807" s="7" t="s">
        <v>372</v>
      </c>
      <c r="C807" s="7" t="s">
        <v>373</v>
      </c>
      <c r="D807" s="4">
        <v>46020301000269</v>
      </c>
      <c r="E807" s="8" t="s">
        <v>691</v>
      </c>
      <c r="F807" s="8" t="s">
        <v>33</v>
      </c>
      <c r="G807" s="7" t="s">
        <v>19</v>
      </c>
      <c r="H807" s="47" t="s">
        <v>207</v>
      </c>
      <c r="I807" s="47" t="s">
        <v>208</v>
      </c>
      <c r="J807" s="6">
        <v>73</v>
      </c>
      <c r="K807" s="8" t="s">
        <v>26</v>
      </c>
      <c r="L807" s="1" t="s">
        <v>691</v>
      </c>
      <c r="M807" s="5">
        <v>20</v>
      </c>
      <c r="Q807" s="3"/>
      <c r="R807" s="3"/>
      <c r="S807" s="3"/>
    </row>
    <row r="808" spans="1:19" ht="15" x14ac:dyDescent="0.25">
      <c r="A808" s="7" t="s">
        <v>16</v>
      </c>
      <c r="B808" s="7" t="s">
        <v>372</v>
      </c>
      <c r="C808" s="7" t="s">
        <v>373</v>
      </c>
      <c r="D808" s="4">
        <v>46124624000111</v>
      </c>
      <c r="E808" s="8" t="s">
        <v>693</v>
      </c>
      <c r="F808" s="8" t="s">
        <v>33</v>
      </c>
      <c r="G808" s="7" t="s">
        <v>19</v>
      </c>
      <c r="H808" s="47" t="s">
        <v>207</v>
      </c>
      <c r="I808" s="47" t="s">
        <v>208</v>
      </c>
      <c r="J808" s="6">
        <v>73</v>
      </c>
      <c r="K808" s="8" t="s">
        <v>26</v>
      </c>
      <c r="L808" s="1" t="s">
        <v>693</v>
      </c>
      <c r="M808" s="5">
        <v>276</v>
      </c>
      <c r="Q808" s="3"/>
      <c r="R808" s="3"/>
      <c r="S808" s="3"/>
    </row>
    <row r="809" spans="1:19" ht="15" x14ac:dyDescent="0.25">
      <c r="A809" s="7" t="s">
        <v>16</v>
      </c>
      <c r="B809" s="7" t="s">
        <v>372</v>
      </c>
      <c r="C809" s="7" t="s">
        <v>373</v>
      </c>
      <c r="D809" s="4">
        <v>58229691001070</v>
      </c>
      <c r="E809" s="8" t="s">
        <v>725</v>
      </c>
      <c r="F809" s="8" t="s">
        <v>35</v>
      </c>
      <c r="G809" s="7" t="s">
        <v>19</v>
      </c>
      <c r="H809" s="47" t="s">
        <v>207</v>
      </c>
      <c r="I809" s="47" t="s">
        <v>208</v>
      </c>
      <c r="J809" s="6">
        <v>73</v>
      </c>
      <c r="K809" s="8" t="s">
        <v>26</v>
      </c>
      <c r="L809" s="1" t="s">
        <v>725</v>
      </c>
      <c r="M809" s="5">
        <v>32</v>
      </c>
      <c r="Q809" s="3"/>
      <c r="R809" s="3"/>
      <c r="S809" s="3"/>
    </row>
    <row r="810" spans="1:19" ht="15" x14ac:dyDescent="0.25">
      <c r="A810" s="7" t="s">
        <v>16</v>
      </c>
      <c r="B810" s="7" t="s">
        <v>17</v>
      </c>
      <c r="C810" s="7" t="s">
        <v>18</v>
      </c>
      <c r="D810" s="4">
        <v>840048000450</v>
      </c>
      <c r="E810" s="8" t="s">
        <v>637</v>
      </c>
      <c r="F810" s="8" t="s">
        <v>30</v>
      </c>
      <c r="G810" s="7" t="s">
        <v>19</v>
      </c>
      <c r="H810" s="47" t="s">
        <v>207</v>
      </c>
      <c r="I810" s="47" t="s">
        <v>208</v>
      </c>
      <c r="J810" s="6">
        <v>70</v>
      </c>
      <c r="K810" s="8" t="s">
        <v>20</v>
      </c>
      <c r="L810" s="1" t="s">
        <v>637</v>
      </c>
      <c r="M810" s="5">
        <v>85</v>
      </c>
      <c r="Q810" s="3"/>
      <c r="R810" s="3"/>
      <c r="S810" s="3"/>
    </row>
    <row r="811" spans="1:19" ht="15" x14ac:dyDescent="0.25">
      <c r="A811" s="7" t="s">
        <v>16</v>
      </c>
      <c r="B811" s="7" t="s">
        <v>21</v>
      </c>
      <c r="C811" s="7" t="s">
        <v>18</v>
      </c>
      <c r="D811" s="4">
        <v>840048000450</v>
      </c>
      <c r="E811" s="8" t="s">
        <v>637</v>
      </c>
      <c r="F811" s="8" t="s">
        <v>30</v>
      </c>
      <c r="G811" s="7" t="s">
        <v>19</v>
      </c>
      <c r="H811" s="47" t="s">
        <v>207</v>
      </c>
      <c r="I811" s="47" t="s">
        <v>208</v>
      </c>
      <c r="J811" s="6">
        <v>70</v>
      </c>
      <c r="K811" s="8" t="s">
        <v>20</v>
      </c>
      <c r="L811" s="1" t="s">
        <v>637</v>
      </c>
      <c r="M811" s="5">
        <v>5</v>
      </c>
      <c r="Q811" s="3"/>
      <c r="R811" s="3"/>
      <c r="S811" s="3"/>
    </row>
    <row r="812" spans="1:19" ht="15" x14ac:dyDescent="0.25">
      <c r="A812" s="7" t="s">
        <v>16</v>
      </c>
      <c r="B812" s="7" t="s">
        <v>17</v>
      </c>
      <c r="C812" s="7" t="s">
        <v>18</v>
      </c>
      <c r="D812" s="4">
        <v>1613433006892</v>
      </c>
      <c r="E812" s="8" t="s">
        <v>638</v>
      </c>
      <c r="F812" s="8" t="s">
        <v>639</v>
      </c>
      <c r="G812" s="7" t="s">
        <v>19</v>
      </c>
      <c r="H812" s="47" t="s">
        <v>207</v>
      </c>
      <c r="I812" s="47" t="s">
        <v>208</v>
      </c>
      <c r="J812" s="6">
        <v>70</v>
      </c>
      <c r="K812" s="8" t="s">
        <v>20</v>
      </c>
      <c r="L812" s="1" t="s">
        <v>638</v>
      </c>
      <c r="M812" s="5">
        <v>1200</v>
      </c>
      <c r="Q812" s="3"/>
      <c r="R812" s="3"/>
      <c r="S812" s="3"/>
    </row>
    <row r="813" spans="1:19" ht="15" x14ac:dyDescent="0.25">
      <c r="A813" s="7" t="s">
        <v>16</v>
      </c>
      <c r="B813" s="7" t="s">
        <v>21</v>
      </c>
      <c r="C813" s="7" t="s">
        <v>18</v>
      </c>
      <c r="D813" s="4">
        <v>1613433006892</v>
      </c>
      <c r="E813" s="8" t="s">
        <v>638</v>
      </c>
      <c r="F813" s="8" t="s">
        <v>639</v>
      </c>
      <c r="G813" s="7" t="s">
        <v>19</v>
      </c>
      <c r="H813" s="47" t="s">
        <v>207</v>
      </c>
      <c r="I813" s="47" t="s">
        <v>208</v>
      </c>
      <c r="J813" s="6">
        <v>70</v>
      </c>
      <c r="K813" s="8" t="s">
        <v>20</v>
      </c>
      <c r="L813" s="1" t="s">
        <v>638</v>
      </c>
      <c r="M813" s="5">
        <v>450</v>
      </c>
      <c r="Q813" s="3"/>
      <c r="R813" s="3"/>
      <c r="S813" s="3"/>
    </row>
    <row r="814" spans="1:19" ht="15" x14ac:dyDescent="0.25">
      <c r="A814" s="7" t="s">
        <v>16</v>
      </c>
      <c r="B814" s="7" t="s">
        <v>17</v>
      </c>
      <c r="C814" s="7" t="s">
        <v>18</v>
      </c>
      <c r="D814" s="4">
        <v>6033403000113</v>
      </c>
      <c r="E814" s="8" t="s">
        <v>646</v>
      </c>
      <c r="F814" s="8" t="s">
        <v>647</v>
      </c>
      <c r="G814" s="7" t="s">
        <v>19</v>
      </c>
      <c r="H814" s="47" t="s">
        <v>207</v>
      </c>
      <c r="I814" s="47" t="s">
        <v>208</v>
      </c>
      <c r="J814" s="6">
        <v>70</v>
      </c>
      <c r="K814" s="8" t="s">
        <v>20</v>
      </c>
      <c r="L814" s="1" t="s">
        <v>646</v>
      </c>
      <c r="M814" s="5">
        <v>20</v>
      </c>
      <c r="Q814" s="3"/>
      <c r="R814" s="3"/>
      <c r="S814" s="3"/>
    </row>
    <row r="815" spans="1:19" ht="15" x14ac:dyDescent="0.25">
      <c r="A815" s="7" t="s">
        <v>16</v>
      </c>
      <c r="B815" s="7" t="s">
        <v>17</v>
      </c>
      <c r="C815" s="7" t="s">
        <v>18</v>
      </c>
      <c r="D815" s="4">
        <v>6047087003073</v>
      </c>
      <c r="E815" s="8" t="s">
        <v>649</v>
      </c>
      <c r="F815" s="8" t="s">
        <v>650</v>
      </c>
      <c r="G815" s="7" t="s">
        <v>19</v>
      </c>
      <c r="H815" s="47" t="s">
        <v>207</v>
      </c>
      <c r="I815" s="47" t="s">
        <v>208</v>
      </c>
      <c r="J815" s="6">
        <v>70</v>
      </c>
      <c r="K815" s="8" t="s">
        <v>20</v>
      </c>
      <c r="L815" s="1" t="s">
        <v>649</v>
      </c>
      <c r="M815" s="5">
        <v>250</v>
      </c>
      <c r="Q815" s="3"/>
      <c r="R815" s="3"/>
      <c r="S815" s="3"/>
    </row>
    <row r="816" spans="1:19" ht="15" x14ac:dyDescent="0.25">
      <c r="A816" s="7" t="s">
        <v>16</v>
      </c>
      <c r="B816" s="7" t="s">
        <v>17</v>
      </c>
      <c r="C816" s="7" t="s">
        <v>18</v>
      </c>
      <c r="D816" s="4">
        <v>6209132000104</v>
      </c>
      <c r="E816" s="8" t="s">
        <v>653</v>
      </c>
      <c r="F816" s="8" t="s">
        <v>654</v>
      </c>
      <c r="G816" s="7" t="s">
        <v>19</v>
      </c>
      <c r="H816" s="47" t="s">
        <v>207</v>
      </c>
      <c r="I816" s="47" t="s">
        <v>208</v>
      </c>
      <c r="J816" s="6">
        <v>70</v>
      </c>
      <c r="K816" s="8" t="s">
        <v>20</v>
      </c>
      <c r="L816" s="1" t="s">
        <v>653</v>
      </c>
      <c r="M816" s="5">
        <v>75</v>
      </c>
      <c r="Q816" s="3"/>
      <c r="R816" s="3"/>
      <c r="S816" s="3"/>
    </row>
    <row r="817" spans="1:19" ht="15" x14ac:dyDescent="0.25">
      <c r="A817" s="7" t="s">
        <v>16</v>
      </c>
      <c r="B817" s="7" t="s">
        <v>17</v>
      </c>
      <c r="C817" s="7" t="s">
        <v>18</v>
      </c>
      <c r="D817" s="4">
        <v>25026561000190</v>
      </c>
      <c r="E817" s="8" t="s">
        <v>666</v>
      </c>
      <c r="F817" s="8" t="s">
        <v>34</v>
      </c>
      <c r="G817" s="7" t="s">
        <v>19</v>
      </c>
      <c r="H817" s="47" t="s">
        <v>207</v>
      </c>
      <c r="I817" s="47" t="s">
        <v>208</v>
      </c>
      <c r="J817" s="6">
        <v>70</v>
      </c>
      <c r="K817" s="8" t="s">
        <v>20</v>
      </c>
      <c r="L817" s="1" t="s">
        <v>666</v>
      </c>
      <c r="M817" s="5">
        <v>25</v>
      </c>
      <c r="Q817" s="3"/>
      <c r="R817" s="3"/>
      <c r="S817" s="3"/>
    </row>
    <row r="818" spans="1:19" ht="15" x14ac:dyDescent="0.25">
      <c r="A818" s="7" t="s">
        <v>16</v>
      </c>
      <c r="B818" s="7" t="s">
        <v>21</v>
      </c>
      <c r="C818" s="7" t="s">
        <v>18</v>
      </c>
      <c r="D818" s="4">
        <v>25026561000190</v>
      </c>
      <c r="E818" s="8" t="s">
        <v>666</v>
      </c>
      <c r="F818" s="8" t="s">
        <v>34</v>
      </c>
      <c r="G818" s="7" t="s">
        <v>19</v>
      </c>
      <c r="H818" s="47" t="s">
        <v>207</v>
      </c>
      <c r="I818" s="47" t="s">
        <v>208</v>
      </c>
      <c r="J818" s="6">
        <v>70</v>
      </c>
      <c r="K818" s="8" t="s">
        <v>20</v>
      </c>
      <c r="L818" s="1" t="s">
        <v>666</v>
      </c>
      <c r="M818" s="5">
        <v>20</v>
      </c>
      <c r="Q818" s="3"/>
      <c r="R818" s="3"/>
      <c r="S818" s="3"/>
    </row>
    <row r="819" spans="1:19" ht="15" x14ac:dyDescent="0.25">
      <c r="A819" s="7" t="s">
        <v>16</v>
      </c>
      <c r="B819" s="7" t="s">
        <v>21</v>
      </c>
      <c r="C819" s="7" t="s">
        <v>18</v>
      </c>
      <c r="D819" s="4">
        <v>10576443000189</v>
      </c>
      <c r="E819" s="8" t="s">
        <v>659</v>
      </c>
      <c r="F819" s="8" t="s">
        <v>643</v>
      </c>
      <c r="G819" s="7" t="s">
        <v>19</v>
      </c>
      <c r="H819" s="47" t="s">
        <v>207</v>
      </c>
      <c r="I819" s="47" t="s">
        <v>208</v>
      </c>
      <c r="J819" s="6">
        <v>70</v>
      </c>
      <c r="K819" s="8" t="s">
        <v>20</v>
      </c>
      <c r="L819" s="1" t="s">
        <v>659</v>
      </c>
      <c r="M819" s="5">
        <v>140</v>
      </c>
      <c r="Q819" s="3"/>
      <c r="R819" s="3"/>
      <c r="S819" s="3"/>
    </row>
    <row r="820" spans="1:19" ht="15" x14ac:dyDescent="0.25">
      <c r="A820" s="7" t="s">
        <v>16</v>
      </c>
      <c r="B820" s="7" t="s">
        <v>21</v>
      </c>
      <c r="C820" s="7" t="s">
        <v>18</v>
      </c>
      <c r="D820" s="4">
        <v>10868295000176</v>
      </c>
      <c r="E820" s="8" t="s">
        <v>660</v>
      </c>
      <c r="F820" s="8" t="s">
        <v>35</v>
      </c>
      <c r="G820" s="7" t="s">
        <v>19</v>
      </c>
      <c r="H820" s="47" t="s">
        <v>207</v>
      </c>
      <c r="I820" s="47" t="s">
        <v>208</v>
      </c>
      <c r="J820" s="6">
        <v>70</v>
      </c>
      <c r="K820" s="8" t="s">
        <v>20</v>
      </c>
      <c r="L820" s="1" t="s">
        <v>660</v>
      </c>
      <c r="M820" s="5">
        <v>40</v>
      </c>
      <c r="Q820" s="3"/>
      <c r="R820" s="3"/>
      <c r="S820" s="3"/>
    </row>
    <row r="821" spans="1:19" ht="15" x14ac:dyDescent="0.25">
      <c r="A821" s="7" t="s">
        <v>16</v>
      </c>
      <c r="B821" s="7" t="s">
        <v>17</v>
      </c>
      <c r="C821" s="7" t="s">
        <v>18</v>
      </c>
      <c r="D821" s="4">
        <v>29435005008022</v>
      </c>
      <c r="E821" s="8" t="s">
        <v>668</v>
      </c>
      <c r="F821" s="8" t="s">
        <v>35</v>
      </c>
      <c r="G821" s="7" t="s">
        <v>19</v>
      </c>
      <c r="H821" s="47" t="s">
        <v>207</v>
      </c>
      <c r="I821" s="47" t="s">
        <v>208</v>
      </c>
      <c r="J821" s="6">
        <v>70</v>
      </c>
      <c r="K821" s="8" t="s">
        <v>20</v>
      </c>
      <c r="L821" s="1" t="s">
        <v>668</v>
      </c>
      <c r="M821" s="5">
        <v>60</v>
      </c>
      <c r="Q821" s="3"/>
      <c r="R821" s="3"/>
      <c r="S821" s="3"/>
    </row>
    <row r="822" spans="1:19" ht="15" x14ac:dyDescent="0.25">
      <c r="A822" s="7" t="s">
        <v>16</v>
      </c>
      <c r="B822" s="7" t="s">
        <v>17</v>
      </c>
      <c r="C822" s="7" t="s">
        <v>18</v>
      </c>
      <c r="D822" s="4">
        <v>29435005008294</v>
      </c>
      <c r="E822" s="8" t="s">
        <v>671</v>
      </c>
      <c r="F822" s="8" t="s">
        <v>36</v>
      </c>
      <c r="G822" s="7" t="s">
        <v>19</v>
      </c>
      <c r="H822" s="47" t="s">
        <v>207</v>
      </c>
      <c r="I822" s="47" t="s">
        <v>208</v>
      </c>
      <c r="J822" s="6">
        <v>70</v>
      </c>
      <c r="K822" s="8" t="s">
        <v>20</v>
      </c>
      <c r="L822" s="1" t="s">
        <v>671</v>
      </c>
      <c r="M822" s="5">
        <v>245</v>
      </c>
      <c r="Q822" s="3"/>
      <c r="R822" s="3"/>
      <c r="S822" s="3"/>
    </row>
    <row r="823" spans="1:19" ht="15" x14ac:dyDescent="0.25">
      <c r="A823" s="7" t="s">
        <v>16</v>
      </c>
      <c r="B823" s="7" t="s">
        <v>21</v>
      </c>
      <c r="C823" s="7" t="s">
        <v>18</v>
      </c>
      <c r="D823" s="4">
        <v>29435005008294</v>
      </c>
      <c r="E823" s="8" t="s">
        <v>671</v>
      </c>
      <c r="F823" s="8" t="s">
        <v>36</v>
      </c>
      <c r="G823" s="7" t="s">
        <v>19</v>
      </c>
      <c r="H823" s="47" t="s">
        <v>207</v>
      </c>
      <c r="I823" s="47" t="s">
        <v>208</v>
      </c>
      <c r="J823" s="6">
        <v>70</v>
      </c>
      <c r="K823" s="8" t="s">
        <v>20</v>
      </c>
      <c r="L823" s="1" t="s">
        <v>671</v>
      </c>
      <c r="M823" s="5">
        <v>150</v>
      </c>
      <c r="Q823" s="3"/>
      <c r="R823" s="3"/>
      <c r="S823" s="3"/>
    </row>
    <row r="824" spans="1:19" ht="15" x14ac:dyDescent="0.25">
      <c r="A824" s="7" t="s">
        <v>16</v>
      </c>
      <c r="B824" s="7" t="s">
        <v>17</v>
      </c>
      <c r="C824" s="7" t="s">
        <v>18</v>
      </c>
      <c r="D824" s="4">
        <v>29435005008456</v>
      </c>
      <c r="E824" s="8" t="s">
        <v>672</v>
      </c>
      <c r="F824" s="8" t="s">
        <v>33</v>
      </c>
      <c r="G824" s="7" t="s">
        <v>19</v>
      </c>
      <c r="H824" s="47" t="s">
        <v>207</v>
      </c>
      <c r="I824" s="47" t="s">
        <v>208</v>
      </c>
      <c r="J824" s="6">
        <v>70</v>
      </c>
      <c r="K824" s="8" t="s">
        <v>20</v>
      </c>
      <c r="L824" s="1" t="s">
        <v>672</v>
      </c>
      <c r="M824" s="5">
        <v>125</v>
      </c>
      <c r="Q824" s="3"/>
      <c r="R824" s="3"/>
      <c r="S824" s="3"/>
    </row>
    <row r="825" spans="1:19" ht="15" x14ac:dyDescent="0.25">
      <c r="A825" s="7" t="s">
        <v>16</v>
      </c>
      <c r="B825" s="7" t="s">
        <v>21</v>
      </c>
      <c r="C825" s="7" t="s">
        <v>18</v>
      </c>
      <c r="D825" s="4">
        <v>29435005008456</v>
      </c>
      <c r="E825" s="8" t="s">
        <v>672</v>
      </c>
      <c r="F825" s="8" t="s">
        <v>33</v>
      </c>
      <c r="G825" s="7" t="s">
        <v>19</v>
      </c>
      <c r="H825" s="47" t="s">
        <v>207</v>
      </c>
      <c r="I825" s="47" t="s">
        <v>208</v>
      </c>
      <c r="J825" s="6">
        <v>70</v>
      </c>
      <c r="K825" s="8" t="s">
        <v>20</v>
      </c>
      <c r="L825" s="1" t="s">
        <v>672</v>
      </c>
      <c r="M825" s="5">
        <v>35</v>
      </c>
      <c r="Q825" s="3"/>
      <c r="R825" s="3"/>
      <c r="S825" s="3"/>
    </row>
    <row r="826" spans="1:19" ht="15" x14ac:dyDescent="0.25">
      <c r="A826" s="7" t="s">
        <v>16</v>
      </c>
      <c r="B826" s="7" t="s">
        <v>17</v>
      </c>
      <c r="C826" s="7" t="s">
        <v>18</v>
      </c>
      <c r="D826" s="4">
        <v>43293604002120</v>
      </c>
      <c r="E826" s="8" t="s">
        <v>673</v>
      </c>
      <c r="F826" s="8" t="s">
        <v>674</v>
      </c>
      <c r="G826" s="7" t="s">
        <v>19</v>
      </c>
      <c r="H826" s="47" t="s">
        <v>207</v>
      </c>
      <c r="I826" s="47" t="s">
        <v>208</v>
      </c>
      <c r="J826" s="6">
        <v>70</v>
      </c>
      <c r="K826" s="8" t="s">
        <v>20</v>
      </c>
      <c r="L826" s="1" t="s">
        <v>673</v>
      </c>
      <c r="M826" s="5">
        <v>120</v>
      </c>
      <c r="Q826" s="3"/>
      <c r="R826" s="3"/>
      <c r="S826" s="3"/>
    </row>
    <row r="827" spans="1:19" ht="15" x14ac:dyDescent="0.25">
      <c r="A827" s="7" t="s">
        <v>16</v>
      </c>
      <c r="B827" s="7" t="s">
        <v>17</v>
      </c>
      <c r="C827" s="7" t="s">
        <v>18</v>
      </c>
      <c r="D827" s="4">
        <v>44663631000590</v>
      </c>
      <c r="E827" s="8" t="s">
        <v>680</v>
      </c>
      <c r="F827" s="8" t="s">
        <v>39</v>
      </c>
      <c r="G827" s="7" t="s">
        <v>19</v>
      </c>
      <c r="H827" s="47" t="s">
        <v>207</v>
      </c>
      <c r="I827" s="47" t="s">
        <v>208</v>
      </c>
      <c r="J827" s="6">
        <v>70</v>
      </c>
      <c r="K827" s="8" t="s">
        <v>20</v>
      </c>
      <c r="L827" s="1" t="s">
        <v>680</v>
      </c>
      <c r="M827" s="5">
        <v>225</v>
      </c>
      <c r="Q827" s="3"/>
      <c r="R827" s="3"/>
      <c r="S827" s="3"/>
    </row>
    <row r="828" spans="1:19" ht="15" x14ac:dyDescent="0.25">
      <c r="A828" s="7" t="s">
        <v>16</v>
      </c>
      <c r="B828" s="7" t="s">
        <v>17</v>
      </c>
      <c r="C828" s="7" t="s">
        <v>18</v>
      </c>
      <c r="D828" s="4">
        <v>45118429001279</v>
      </c>
      <c r="E828" s="8" t="s">
        <v>683</v>
      </c>
      <c r="F828" s="8" t="s">
        <v>41</v>
      </c>
      <c r="G828" s="7" t="s">
        <v>19</v>
      </c>
      <c r="H828" s="47" t="s">
        <v>207</v>
      </c>
      <c r="I828" s="47" t="s">
        <v>208</v>
      </c>
      <c r="J828" s="6">
        <v>70</v>
      </c>
      <c r="K828" s="8" t="s">
        <v>20</v>
      </c>
      <c r="L828" s="1" t="s">
        <v>683</v>
      </c>
      <c r="M828" s="5">
        <v>100</v>
      </c>
      <c r="Q828" s="3"/>
      <c r="R828" s="3"/>
      <c r="S828" s="3"/>
    </row>
    <row r="829" spans="1:19" ht="15" x14ac:dyDescent="0.25">
      <c r="A829" s="7" t="s">
        <v>16</v>
      </c>
      <c r="B829" s="7" t="s">
        <v>17</v>
      </c>
      <c r="C829" s="7" t="s">
        <v>18</v>
      </c>
      <c r="D829" s="4">
        <v>45232246000550</v>
      </c>
      <c r="E829" s="8" t="s">
        <v>685</v>
      </c>
      <c r="F829" s="8" t="s">
        <v>639</v>
      </c>
      <c r="G829" s="7" t="s">
        <v>19</v>
      </c>
      <c r="H829" s="47" t="s">
        <v>207</v>
      </c>
      <c r="I829" s="47" t="s">
        <v>208</v>
      </c>
      <c r="J829" s="6">
        <v>70</v>
      </c>
      <c r="K829" s="8" t="s">
        <v>20</v>
      </c>
      <c r="L829" s="1" t="s">
        <v>685</v>
      </c>
      <c r="M829" s="5">
        <v>235</v>
      </c>
      <c r="Q829" s="3"/>
      <c r="R829" s="3"/>
      <c r="S829" s="3"/>
    </row>
    <row r="830" spans="1:19" ht="15" x14ac:dyDescent="0.25">
      <c r="A830" s="7" t="s">
        <v>16</v>
      </c>
      <c r="B830" s="7" t="s">
        <v>17</v>
      </c>
      <c r="C830" s="7" t="s">
        <v>18</v>
      </c>
      <c r="D830" s="4">
        <v>45399961000230</v>
      </c>
      <c r="E830" s="8" t="s">
        <v>688</v>
      </c>
      <c r="F830" s="8" t="s">
        <v>42</v>
      </c>
      <c r="G830" s="7" t="s">
        <v>19</v>
      </c>
      <c r="H830" s="47" t="s">
        <v>207</v>
      </c>
      <c r="I830" s="47" t="s">
        <v>208</v>
      </c>
      <c r="J830" s="6">
        <v>70</v>
      </c>
      <c r="K830" s="8" t="s">
        <v>20</v>
      </c>
      <c r="L830" s="1" t="s">
        <v>688</v>
      </c>
      <c r="M830" s="5">
        <v>725</v>
      </c>
      <c r="Q830" s="3"/>
      <c r="R830" s="3"/>
      <c r="S830" s="3"/>
    </row>
    <row r="831" spans="1:19" ht="15" x14ac:dyDescent="0.25">
      <c r="A831" s="7" t="s">
        <v>16</v>
      </c>
      <c r="B831" s="7" t="s">
        <v>17</v>
      </c>
      <c r="C831" s="7" t="s">
        <v>18</v>
      </c>
      <c r="D831" s="4">
        <v>45780103000150</v>
      </c>
      <c r="E831" s="8" t="s">
        <v>689</v>
      </c>
      <c r="F831" s="8" t="s">
        <v>678</v>
      </c>
      <c r="G831" s="7" t="s">
        <v>19</v>
      </c>
      <c r="H831" s="47" t="s">
        <v>207</v>
      </c>
      <c r="I831" s="47" t="s">
        <v>208</v>
      </c>
      <c r="J831" s="6">
        <v>70</v>
      </c>
      <c r="K831" s="8" t="s">
        <v>20</v>
      </c>
      <c r="L831" s="1" t="s">
        <v>689</v>
      </c>
      <c r="M831" s="5">
        <v>730</v>
      </c>
      <c r="Q831" s="3"/>
      <c r="R831" s="3"/>
      <c r="S831" s="3"/>
    </row>
    <row r="832" spans="1:19" ht="15" x14ac:dyDescent="0.25">
      <c r="A832" s="7" t="s">
        <v>16</v>
      </c>
      <c r="B832" s="7" t="s">
        <v>17</v>
      </c>
      <c r="C832" s="7" t="s">
        <v>18</v>
      </c>
      <c r="D832" s="4">
        <v>46009718000140</v>
      </c>
      <c r="E832" s="8" t="s">
        <v>690</v>
      </c>
      <c r="F832" s="8" t="s">
        <v>33</v>
      </c>
      <c r="G832" s="7" t="s">
        <v>19</v>
      </c>
      <c r="H832" s="47" t="s">
        <v>207</v>
      </c>
      <c r="I832" s="47" t="s">
        <v>208</v>
      </c>
      <c r="J832" s="6">
        <v>70</v>
      </c>
      <c r="K832" s="8" t="s">
        <v>20</v>
      </c>
      <c r="L832" s="1" t="s">
        <v>690</v>
      </c>
      <c r="M832" s="5">
        <v>860</v>
      </c>
      <c r="Q832" s="3"/>
      <c r="R832" s="3"/>
      <c r="S832" s="3"/>
    </row>
    <row r="833" spans="1:19" ht="15" x14ac:dyDescent="0.25">
      <c r="A833" s="7" t="s">
        <v>16</v>
      </c>
      <c r="B833" s="7" t="s">
        <v>17</v>
      </c>
      <c r="C833" s="7" t="s">
        <v>18</v>
      </c>
      <c r="D833" s="4">
        <v>46124624000111</v>
      </c>
      <c r="E833" s="8" t="s">
        <v>693</v>
      </c>
      <c r="F833" s="8" t="s">
        <v>33</v>
      </c>
      <c r="G833" s="7" t="s">
        <v>19</v>
      </c>
      <c r="H833" s="47" t="s">
        <v>207</v>
      </c>
      <c r="I833" s="47" t="s">
        <v>208</v>
      </c>
      <c r="J833" s="6">
        <v>70</v>
      </c>
      <c r="K833" s="8" t="s">
        <v>20</v>
      </c>
      <c r="L833" s="1" t="s">
        <v>693</v>
      </c>
      <c r="M833" s="5">
        <v>545</v>
      </c>
      <c r="Q833" s="3"/>
      <c r="R833" s="3"/>
      <c r="S833" s="3"/>
    </row>
    <row r="834" spans="1:19" ht="15" x14ac:dyDescent="0.25">
      <c r="A834" s="7" t="s">
        <v>16</v>
      </c>
      <c r="B834" s="7" t="s">
        <v>17</v>
      </c>
      <c r="C834" s="7" t="s">
        <v>18</v>
      </c>
      <c r="D834" s="4">
        <v>46124624002599</v>
      </c>
      <c r="E834" s="8" t="s">
        <v>694</v>
      </c>
      <c r="F834" s="8" t="s">
        <v>695</v>
      </c>
      <c r="G834" s="7" t="s">
        <v>19</v>
      </c>
      <c r="H834" s="47" t="s">
        <v>207</v>
      </c>
      <c r="I834" s="47" t="s">
        <v>208</v>
      </c>
      <c r="J834" s="6">
        <v>70</v>
      </c>
      <c r="K834" s="8" t="s">
        <v>20</v>
      </c>
      <c r="L834" s="1" t="s">
        <v>694</v>
      </c>
      <c r="M834" s="5">
        <v>400</v>
      </c>
      <c r="Q834" s="3"/>
      <c r="R834" s="3"/>
      <c r="S834" s="3"/>
    </row>
    <row r="835" spans="1:19" ht="15" x14ac:dyDescent="0.25">
      <c r="A835" s="7" t="s">
        <v>16</v>
      </c>
      <c r="B835" s="7" t="s">
        <v>17</v>
      </c>
      <c r="C835" s="7" t="s">
        <v>18</v>
      </c>
      <c r="D835" s="4">
        <v>46374500003533</v>
      </c>
      <c r="E835" s="8" t="s">
        <v>696</v>
      </c>
      <c r="F835" s="8" t="s">
        <v>639</v>
      </c>
      <c r="G835" s="7" t="s">
        <v>19</v>
      </c>
      <c r="H835" s="47" t="s">
        <v>207</v>
      </c>
      <c r="I835" s="47" t="s">
        <v>208</v>
      </c>
      <c r="J835" s="6">
        <v>70</v>
      </c>
      <c r="K835" s="8" t="s">
        <v>20</v>
      </c>
      <c r="L835" s="1" t="s">
        <v>696</v>
      </c>
      <c r="M835" s="5">
        <v>1000</v>
      </c>
      <c r="Q835" s="3"/>
      <c r="R835" s="3"/>
      <c r="S835" s="3"/>
    </row>
    <row r="836" spans="1:19" ht="15" x14ac:dyDescent="0.25">
      <c r="A836" s="7" t="s">
        <v>16</v>
      </c>
      <c r="B836" s="7" t="s">
        <v>17</v>
      </c>
      <c r="C836" s="7" t="s">
        <v>18</v>
      </c>
      <c r="D836" s="4">
        <v>47074851000819</v>
      </c>
      <c r="E836" s="8" t="s">
        <v>702</v>
      </c>
      <c r="F836" s="8" t="s">
        <v>41</v>
      </c>
      <c r="G836" s="7" t="s">
        <v>19</v>
      </c>
      <c r="H836" s="47" t="s">
        <v>207</v>
      </c>
      <c r="I836" s="47" t="s">
        <v>208</v>
      </c>
      <c r="J836" s="6">
        <v>70</v>
      </c>
      <c r="K836" s="8" t="s">
        <v>20</v>
      </c>
      <c r="L836" s="1" t="s">
        <v>702</v>
      </c>
      <c r="M836" s="5">
        <v>40</v>
      </c>
      <c r="Q836" s="3"/>
      <c r="R836" s="3"/>
      <c r="S836" s="3"/>
    </row>
    <row r="837" spans="1:19" ht="15" x14ac:dyDescent="0.25">
      <c r="A837" s="7" t="s">
        <v>16</v>
      </c>
      <c r="B837" s="7" t="s">
        <v>17</v>
      </c>
      <c r="C837" s="7" t="s">
        <v>18</v>
      </c>
      <c r="D837" s="4">
        <v>48468284000171</v>
      </c>
      <c r="E837" s="8" t="s">
        <v>705</v>
      </c>
      <c r="F837" s="8" t="s">
        <v>43</v>
      </c>
      <c r="G837" s="7" t="s">
        <v>19</v>
      </c>
      <c r="H837" s="47" t="s">
        <v>207</v>
      </c>
      <c r="I837" s="47" t="s">
        <v>208</v>
      </c>
      <c r="J837" s="6">
        <v>70</v>
      </c>
      <c r="K837" s="8" t="s">
        <v>20</v>
      </c>
      <c r="L837" s="1" t="s">
        <v>705</v>
      </c>
      <c r="M837" s="5">
        <v>100</v>
      </c>
      <c r="Q837" s="3"/>
      <c r="R837" s="3"/>
      <c r="S837" s="3"/>
    </row>
    <row r="838" spans="1:19" ht="15" x14ac:dyDescent="0.25">
      <c r="A838" s="7" t="s">
        <v>16</v>
      </c>
      <c r="B838" s="7" t="s">
        <v>17</v>
      </c>
      <c r="C838" s="7" t="s">
        <v>18</v>
      </c>
      <c r="D838" s="4">
        <v>50486026000160</v>
      </c>
      <c r="E838" s="8" t="s">
        <v>706</v>
      </c>
      <c r="F838" s="8" t="s">
        <v>44</v>
      </c>
      <c r="G838" s="7" t="s">
        <v>19</v>
      </c>
      <c r="H838" s="47" t="s">
        <v>207</v>
      </c>
      <c r="I838" s="47" t="s">
        <v>208</v>
      </c>
      <c r="J838" s="6">
        <v>70</v>
      </c>
      <c r="K838" s="8" t="s">
        <v>20</v>
      </c>
      <c r="L838" s="1" t="s">
        <v>706</v>
      </c>
      <c r="M838" s="5">
        <v>100</v>
      </c>
      <c r="Q838" s="3"/>
      <c r="R838" s="3"/>
      <c r="S838" s="3"/>
    </row>
    <row r="839" spans="1:19" ht="15" x14ac:dyDescent="0.25">
      <c r="A839" s="7" t="s">
        <v>16</v>
      </c>
      <c r="B839" s="7" t="s">
        <v>17</v>
      </c>
      <c r="C839" s="7" t="s">
        <v>18</v>
      </c>
      <c r="D839" s="4">
        <v>51877926000109</v>
      </c>
      <c r="E839" s="8" t="s">
        <v>711</v>
      </c>
      <c r="F839" s="8" t="s">
        <v>33</v>
      </c>
      <c r="G839" s="7" t="s">
        <v>19</v>
      </c>
      <c r="H839" s="47" t="s">
        <v>207</v>
      </c>
      <c r="I839" s="47" t="s">
        <v>208</v>
      </c>
      <c r="J839" s="6">
        <v>70</v>
      </c>
      <c r="K839" s="8" t="s">
        <v>20</v>
      </c>
      <c r="L839" s="1" t="s">
        <v>711</v>
      </c>
      <c r="M839" s="5">
        <v>165</v>
      </c>
      <c r="Q839" s="3"/>
      <c r="R839" s="3"/>
      <c r="S839" s="3"/>
    </row>
    <row r="840" spans="1:19" ht="15" x14ac:dyDescent="0.25">
      <c r="A840" s="7" t="s">
        <v>16</v>
      </c>
      <c r="B840" s="7" t="s">
        <v>17</v>
      </c>
      <c r="C840" s="7" t="s">
        <v>18</v>
      </c>
      <c r="D840" s="4">
        <v>54012406000385</v>
      </c>
      <c r="E840" s="8" t="s">
        <v>718</v>
      </c>
      <c r="F840" s="8" t="s">
        <v>45</v>
      </c>
      <c r="G840" s="7" t="s">
        <v>19</v>
      </c>
      <c r="H840" s="47" t="s">
        <v>207</v>
      </c>
      <c r="I840" s="47" t="s">
        <v>208</v>
      </c>
      <c r="J840" s="6">
        <v>70</v>
      </c>
      <c r="K840" s="8" t="s">
        <v>20</v>
      </c>
      <c r="L840" s="1" t="s">
        <v>718</v>
      </c>
      <c r="M840" s="5">
        <v>70</v>
      </c>
      <c r="Q840" s="3"/>
      <c r="R840" s="3"/>
      <c r="S840" s="3"/>
    </row>
    <row r="841" spans="1:19" ht="15" x14ac:dyDescent="0.25">
      <c r="A841" s="7" t="s">
        <v>16</v>
      </c>
      <c r="B841" s="7" t="s">
        <v>17</v>
      </c>
      <c r="C841" s="7" t="s">
        <v>18</v>
      </c>
      <c r="D841" s="4">
        <v>57722118000302</v>
      </c>
      <c r="E841" s="8" t="s">
        <v>723</v>
      </c>
      <c r="F841" s="8" t="s">
        <v>639</v>
      </c>
      <c r="G841" s="7" t="s">
        <v>19</v>
      </c>
      <c r="H841" s="47" t="s">
        <v>207</v>
      </c>
      <c r="I841" s="47" t="s">
        <v>208</v>
      </c>
      <c r="J841" s="6">
        <v>70</v>
      </c>
      <c r="K841" s="8" t="s">
        <v>20</v>
      </c>
      <c r="L841" s="1" t="s">
        <v>723</v>
      </c>
      <c r="M841" s="5">
        <v>1650</v>
      </c>
      <c r="Q841" s="3"/>
      <c r="R841" s="3"/>
      <c r="S841" s="3"/>
    </row>
    <row r="842" spans="1:19" ht="15" x14ac:dyDescent="0.25">
      <c r="A842" s="7" t="s">
        <v>16</v>
      </c>
      <c r="B842" s="7" t="s">
        <v>17</v>
      </c>
      <c r="C842" s="7" t="s">
        <v>18</v>
      </c>
      <c r="D842" s="4">
        <v>60214517000962</v>
      </c>
      <c r="E842" s="8" t="s">
        <v>729</v>
      </c>
      <c r="F842" s="8" t="s">
        <v>650</v>
      </c>
      <c r="G842" s="7" t="s">
        <v>19</v>
      </c>
      <c r="H842" s="47" t="s">
        <v>207</v>
      </c>
      <c r="I842" s="47" t="s">
        <v>208</v>
      </c>
      <c r="J842" s="6">
        <v>70</v>
      </c>
      <c r="K842" s="8" t="s">
        <v>20</v>
      </c>
      <c r="L842" s="1" t="s">
        <v>729</v>
      </c>
      <c r="M842" s="5">
        <v>90</v>
      </c>
      <c r="Q842" s="3"/>
      <c r="R842" s="3"/>
      <c r="S842" s="3"/>
    </row>
    <row r="843" spans="1:19" ht="15" x14ac:dyDescent="0.25">
      <c r="A843" s="7" t="s">
        <v>16</v>
      </c>
      <c r="B843" s="7" t="s">
        <v>17</v>
      </c>
      <c r="C843" s="7" t="s">
        <v>18</v>
      </c>
      <c r="D843" s="4">
        <v>60214517001691</v>
      </c>
      <c r="E843" s="8" t="s">
        <v>732</v>
      </c>
      <c r="F843" s="8" t="s">
        <v>650</v>
      </c>
      <c r="G843" s="7" t="s">
        <v>19</v>
      </c>
      <c r="H843" s="47" t="s">
        <v>207</v>
      </c>
      <c r="I843" s="47" t="s">
        <v>208</v>
      </c>
      <c r="J843" s="6">
        <v>70</v>
      </c>
      <c r="K843" s="8" t="s">
        <v>20</v>
      </c>
      <c r="L843" s="1" t="s">
        <v>732</v>
      </c>
      <c r="M843" s="5">
        <v>150</v>
      </c>
      <c r="Q843" s="3"/>
      <c r="R843" s="3"/>
      <c r="S843" s="3"/>
    </row>
    <row r="844" spans="1:19" ht="15" x14ac:dyDescent="0.25">
      <c r="A844" s="7" t="s">
        <v>16</v>
      </c>
      <c r="B844" s="7" t="s">
        <v>21</v>
      </c>
      <c r="C844" s="7" t="s">
        <v>18</v>
      </c>
      <c r="D844" s="4">
        <v>24082016000159</v>
      </c>
      <c r="E844" s="8" t="s">
        <v>665</v>
      </c>
      <c r="F844" s="8" t="s">
        <v>657</v>
      </c>
      <c r="G844" s="7" t="s">
        <v>19</v>
      </c>
      <c r="H844" s="47" t="s">
        <v>207</v>
      </c>
      <c r="I844" s="47" t="s">
        <v>208</v>
      </c>
      <c r="J844" s="6">
        <v>70</v>
      </c>
      <c r="K844" s="8" t="s">
        <v>20</v>
      </c>
      <c r="L844" s="1" t="s">
        <v>665</v>
      </c>
      <c r="M844" s="5">
        <v>2000</v>
      </c>
      <c r="Q844" s="3"/>
      <c r="R844" s="3"/>
      <c r="S844" s="3"/>
    </row>
    <row r="845" spans="1:19" ht="15" x14ac:dyDescent="0.25">
      <c r="A845" s="7" t="s">
        <v>16</v>
      </c>
      <c r="B845" s="7" t="s">
        <v>21</v>
      </c>
      <c r="C845" s="7" t="s">
        <v>18</v>
      </c>
      <c r="D845" s="4">
        <v>43293604002120</v>
      </c>
      <c r="E845" s="8" t="s">
        <v>673</v>
      </c>
      <c r="F845" s="8" t="s">
        <v>674</v>
      </c>
      <c r="G845" s="7" t="s">
        <v>19</v>
      </c>
      <c r="H845" s="47" t="s">
        <v>207</v>
      </c>
      <c r="I845" s="47" t="s">
        <v>208</v>
      </c>
      <c r="J845" s="6">
        <v>70</v>
      </c>
      <c r="K845" s="8" t="s">
        <v>20</v>
      </c>
      <c r="L845" s="1" t="s">
        <v>673</v>
      </c>
      <c r="M845" s="5">
        <v>80</v>
      </c>
      <c r="Q845" s="3"/>
      <c r="R845" s="3"/>
      <c r="S845" s="3"/>
    </row>
    <row r="846" spans="1:19" ht="15" x14ac:dyDescent="0.25">
      <c r="A846" s="7" t="s">
        <v>16</v>
      </c>
      <c r="B846" s="7" t="s">
        <v>21</v>
      </c>
      <c r="C846" s="7" t="s">
        <v>18</v>
      </c>
      <c r="D846" s="4">
        <v>44663631000590</v>
      </c>
      <c r="E846" s="8" t="s">
        <v>680</v>
      </c>
      <c r="F846" s="8" t="s">
        <v>39</v>
      </c>
      <c r="G846" s="7" t="s">
        <v>19</v>
      </c>
      <c r="H846" s="47" t="s">
        <v>207</v>
      </c>
      <c r="I846" s="47" t="s">
        <v>208</v>
      </c>
      <c r="J846" s="6">
        <v>70</v>
      </c>
      <c r="K846" s="8" t="s">
        <v>20</v>
      </c>
      <c r="L846" s="1" t="s">
        <v>680</v>
      </c>
      <c r="M846" s="5">
        <v>165</v>
      </c>
      <c r="Q846" s="3"/>
      <c r="R846" s="3"/>
      <c r="S846" s="3"/>
    </row>
    <row r="847" spans="1:19" ht="15" x14ac:dyDescent="0.25">
      <c r="A847" s="7" t="s">
        <v>16</v>
      </c>
      <c r="B847" s="7" t="s">
        <v>21</v>
      </c>
      <c r="C847" s="7" t="s">
        <v>18</v>
      </c>
      <c r="D847" s="4">
        <v>45184066000117</v>
      </c>
      <c r="E847" s="8" t="s">
        <v>684</v>
      </c>
      <c r="F847" s="8" t="s">
        <v>650</v>
      </c>
      <c r="G847" s="7" t="s">
        <v>19</v>
      </c>
      <c r="H847" s="47" t="s">
        <v>207</v>
      </c>
      <c r="I847" s="47" t="s">
        <v>208</v>
      </c>
      <c r="J847" s="6">
        <v>70</v>
      </c>
      <c r="K847" s="8" t="s">
        <v>20</v>
      </c>
      <c r="L847" s="1" t="s">
        <v>684</v>
      </c>
      <c r="M847" s="5">
        <v>50</v>
      </c>
      <c r="Q847" s="3"/>
      <c r="R847" s="3"/>
      <c r="S847" s="3"/>
    </row>
    <row r="848" spans="1:19" ht="15" x14ac:dyDescent="0.25">
      <c r="A848" s="7" t="s">
        <v>16</v>
      </c>
      <c r="B848" s="7" t="s">
        <v>21</v>
      </c>
      <c r="C848" s="7" t="s">
        <v>18</v>
      </c>
      <c r="D848" s="4">
        <v>45232246000550</v>
      </c>
      <c r="E848" s="8" t="s">
        <v>685</v>
      </c>
      <c r="F848" s="8" t="s">
        <v>639</v>
      </c>
      <c r="G848" s="7" t="s">
        <v>19</v>
      </c>
      <c r="H848" s="47" t="s">
        <v>207</v>
      </c>
      <c r="I848" s="47" t="s">
        <v>208</v>
      </c>
      <c r="J848" s="6">
        <v>70</v>
      </c>
      <c r="K848" s="8" t="s">
        <v>20</v>
      </c>
      <c r="L848" s="1" t="s">
        <v>685</v>
      </c>
      <c r="M848" s="5">
        <v>60</v>
      </c>
      <c r="Q848" s="3"/>
      <c r="R848" s="3"/>
      <c r="S848" s="3"/>
    </row>
    <row r="849" spans="1:19" ht="15" x14ac:dyDescent="0.25">
      <c r="A849" s="7" t="s">
        <v>16</v>
      </c>
      <c r="B849" s="7" t="s">
        <v>21</v>
      </c>
      <c r="C849" s="7" t="s">
        <v>18</v>
      </c>
      <c r="D849" s="4">
        <v>45399961000230</v>
      </c>
      <c r="E849" s="8" t="s">
        <v>688</v>
      </c>
      <c r="F849" s="8" t="s">
        <v>42</v>
      </c>
      <c r="G849" s="7" t="s">
        <v>19</v>
      </c>
      <c r="H849" s="47" t="s">
        <v>207</v>
      </c>
      <c r="I849" s="47" t="s">
        <v>208</v>
      </c>
      <c r="J849" s="6">
        <v>70</v>
      </c>
      <c r="K849" s="8" t="s">
        <v>20</v>
      </c>
      <c r="L849" s="1" t="s">
        <v>688</v>
      </c>
      <c r="M849" s="5">
        <v>450</v>
      </c>
      <c r="Q849" s="3"/>
      <c r="R849" s="3"/>
      <c r="S849" s="3"/>
    </row>
    <row r="850" spans="1:19" ht="15" x14ac:dyDescent="0.25">
      <c r="A850" s="7" t="s">
        <v>16</v>
      </c>
      <c r="B850" s="7" t="s">
        <v>21</v>
      </c>
      <c r="C850" s="7" t="s">
        <v>18</v>
      </c>
      <c r="D850" s="4">
        <v>46009718000140</v>
      </c>
      <c r="E850" s="8" t="s">
        <v>690</v>
      </c>
      <c r="F850" s="8" t="s">
        <v>33</v>
      </c>
      <c r="G850" s="7" t="s">
        <v>19</v>
      </c>
      <c r="H850" s="47" t="s">
        <v>207</v>
      </c>
      <c r="I850" s="47" t="s">
        <v>208</v>
      </c>
      <c r="J850" s="6">
        <v>70</v>
      </c>
      <c r="K850" s="8" t="s">
        <v>20</v>
      </c>
      <c r="L850" s="1" t="s">
        <v>690</v>
      </c>
      <c r="M850" s="5">
        <v>1150</v>
      </c>
      <c r="Q850" s="3"/>
      <c r="R850" s="3"/>
      <c r="S850" s="3"/>
    </row>
    <row r="851" spans="1:19" ht="15" x14ac:dyDescent="0.25">
      <c r="A851" s="7" t="s">
        <v>16</v>
      </c>
      <c r="B851" s="7" t="s">
        <v>21</v>
      </c>
      <c r="C851" s="7" t="s">
        <v>18</v>
      </c>
      <c r="D851" s="4">
        <v>46124624000111</v>
      </c>
      <c r="E851" s="8" t="s">
        <v>693</v>
      </c>
      <c r="F851" s="8" t="s">
        <v>33</v>
      </c>
      <c r="G851" s="7" t="s">
        <v>19</v>
      </c>
      <c r="H851" s="47" t="s">
        <v>207</v>
      </c>
      <c r="I851" s="47" t="s">
        <v>208</v>
      </c>
      <c r="J851" s="6">
        <v>70</v>
      </c>
      <c r="K851" s="8" t="s">
        <v>20</v>
      </c>
      <c r="L851" s="1" t="s">
        <v>693</v>
      </c>
      <c r="M851" s="5">
        <v>340</v>
      </c>
      <c r="Q851" s="3"/>
      <c r="R851" s="3"/>
      <c r="S851" s="3"/>
    </row>
    <row r="852" spans="1:19" ht="15" x14ac:dyDescent="0.25">
      <c r="A852" s="7" t="s">
        <v>16</v>
      </c>
      <c r="B852" s="7" t="s">
        <v>21</v>
      </c>
      <c r="C852" s="7" t="s">
        <v>18</v>
      </c>
      <c r="D852" s="4">
        <v>46124624002599</v>
      </c>
      <c r="E852" s="8" t="s">
        <v>694</v>
      </c>
      <c r="F852" s="8" t="s">
        <v>695</v>
      </c>
      <c r="G852" s="7" t="s">
        <v>19</v>
      </c>
      <c r="H852" s="47" t="s">
        <v>207</v>
      </c>
      <c r="I852" s="47" t="s">
        <v>208</v>
      </c>
      <c r="J852" s="6">
        <v>70</v>
      </c>
      <c r="K852" s="8" t="s">
        <v>20</v>
      </c>
      <c r="L852" s="1" t="s">
        <v>694</v>
      </c>
      <c r="M852" s="5">
        <v>700</v>
      </c>
      <c r="Q852" s="3"/>
      <c r="R852" s="3"/>
      <c r="S852" s="3"/>
    </row>
    <row r="853" spans="1:19" ht="15" x14ac:dyDescent="0.25">
      <c r="A853" s="7" t="s">
        <v>16</v>
      </c>
      <c r="B853" s="7" t="s">
        <v>21</v>
      </c>
      <c r="C853" s="7" t="s">
        <v>18</v>
      </c>
      <c r="D853" s="4">
        <v>46374500009060</v>
      </c>
      <c r="E853" s="8" t="s">
        <v>699</v>
      </c>
      <c r="F853" s="8" t="s">
        <v>40</v>
      </c>
      <c r="G853" s="7" t="s">
        <v>19</v>
      </c>
      <c r="H853" s="47" t="s">
        <v>207</v>
      </c>
      <c r="I853" s="47" t="s">
        <v>208</v>
      </c>
      <c r="J853" s="6">
        <v>70</v>
      </c>
      <c r="K853" s="8" t="s">
        <v>20</v>
      </c>
      <c r="L853" s="1" t="s">
        <v>699</v>
      </c>
      <c r="M853" s="5">
        <v>300</v>
      </c>
      <c r="Q853" s="3"/>
      <c r="R853" s="3"/>
      <c r="S853" s="3"/>
    </row>
    <row r="854" spans="1:19" ht="15" x14ac:dyDescent="0.25">
      <c r="A854" s="7" t="s">
        <v>16</v>
      </c>
      <c r="B854" s="7" t="s">
        <v>21</v>
      </c>
      <c r="C854" s="7" t="s">
        <v>18</v>
      </c>
      <c r="D854" s="4">
        <v>50486026000160</v>
      </c>
      <c r="E854" s="8" t="s">
        <v>706</v>
      </c>
      <c r="F854" s="8" t="s">
        <v>44</v>
      </c>
      <c r="G854" s="7" t="s">
        <v>19</v>
      </c>
      <c r="H854" s="47" t="s">
        <v>207</v>
      </c>
      <c r="I854" s="47" t="s">
        <v>208</v>
      </c>
      <c r="J854" s="6">
        <v>70</v>
      </c>
      <c r="K854" s="8" t="s">
        <v>20</v>
      </c>
      <c r="L854" s="1" t="s">
        <v>706</v>
      </c>
      <c r="M854" s="5">
        <v>100</v>
      </c>
      <c r="Q854" s="3"/>
      <c r="R854" s="3"/>
      <c r="S854" s="3"/>
    </row>
    <row r="855" spans="1:19" ht="15" x14ac:dyDescent="0.25">
      <c r="A855" s="7" t="s">
        <v>16</v>
      </c>
      <c r="B855" s="7" t="s">
        <v>21</v>
      </c>
      <c r="C855" s="7" t="s">
        <v>18</v>
      </c>
      <c r="D855" s="4">
        <v>54012406000385</v>
      </c>
      <c r="E855" s="8" t="s">
        <v>718</v>
      </c>
      <c r="F855" s="8" t="s">
        <v>45</v>
      </c>
      <c r="G855" s="7" t="s">
        <v>19</v>
      </c>
      <c r="H855" s="47" t="s">
        <v>207</v>
      </c>
      <c r="I855" s="47" t="s">
        <v>208</v>
      </c>
      <c r="J855" s="6">
        <v>70</v>
      </c>
      <c r="K855" s="8" t="s">
        <v>20</v>
      </c>
      <c r="L855" s="1" t="s">
        <v>718</v>
      </c>
      <c r="M855" s="5">
        <v>70</v>
      </c>
      <c r="Q855" s="3"/>
      <c r="R855" s="3"/>
      <c r="S855" s="3"/>
    </row>
    <row r="856" spans="1:19" ht="15" x14ac:dyDescent="0.25">
      <c r="A856" s="7" t="s">
        <v>16</v>
      </c>
      <c r="B856" s="7" t="s">
        <v>21</v>
      </c>
      <c r="C856" s="7" t="s">
        <v>18</v>
      </c>
      <c r="D856" s="4">
        <v>57722118000140</v>
      </c>
      <c r="E856" s="8" t="s">
        <v>722</v>
      </c>
      <c r="F856" s="8" t="s">
        <v>639</v>
      </c>
      <c r="G856" s="7" t="s">
        <v>19</v>
      </c>
      <c r="H856" s="47" t="s">
        <v>207</v>
      </c>
      <c r="I856" s="47" t="s">
        <v>208</v>
      </c>
      <c r="J856" s="6">
        <v>70</v>
      </c>
      <c r="K856" s="8" t="s">
        <v>20</v>
      </c>
      <c r="L856" s="1" t="s">
        <v>722</v>
      </c>
      <c r="M856" s="5">
        <v>150</v>
      </c>
      <c r="Q856" s="3"/>
      <c r="R856" s="3"/>
      <c r="S856" s="3"/>
    </row>
    <row r="857" spans="1:19" ht="15" x14ac:dyDescent="0.25">
      <c r="A857" s="7" t="s">
        <v>16</v>
      </c>
      <c r="B857" s="7" t="s">
        <v>21</v>
      </c>
      <c r="C857" s="7" t="s">
        <v>18</v>
      </c>
      <c r="D857" s="4">
        <v>60214517000962</v>
      </c>
      <c r="E857" s="8" t="s">
        <v>729</v>
      </c>
      <c r="F857" s="8" t="s">
        <v>650</v>
      </c>
      <c r="G857" s="7" t="s">
        <v>19</v>
      </c>
      <c r="H857" s="47" t="s">
        <v>207</v>
      </c>
      <c r="I857" s="47" t="s">
        <v>208</v>
      </c>
      <c r="J857" s="6">
        <v>70</v>
      </c>
      <c r="K857" s="8" t="s">
        <v>20</v>
      </c>
      <c r="L857" s="1" t="s">
        <v>729</v>
      </c>
      <c r="M857" s="5">
        <v>60</v>
      </c>
      <c r="Q857" s="3"/>
      <c r="R857" s="3"/>
      <c r="S857" s="3"/>
    </row>
    <row r="858" spans="1:19" ht="15" x14ac:dyDescent="0.25">
      <c r="A858" s="7" t="s">
        <v>16</v>
      </c>
      <c r="B858" s="7" t="s">
        <v>21</v>
      </c>
      <c r="C858" s="7" t="s">
        <v>18</v>
      </c>
      <c r="D858" s="4">
        <v>60214517001691</v>
      </c>
      <c r="E858" s="8" t="s">
        <v>732</v>
      </c>
      <c r="F858" s="8" t="s">
        <v>650</v>
      </c>
      <c r="G858" s="7" t="s">
        <v>19</v>
      </c>
      <c r="H858" s="47" t="s">
        <v>207</v>
      </c>
      <c r="I858" s="47" t="s">
        <v>208</v>
      </c>
      <c r="J858" s="6">
        <v>70</v>
      </c>
      <c r="K858" s="8" t="s">
        <v>20</v>
      </c>
      <c r="L858" s="1" t="s">
        <v>732</v>
      </c>
      <c r="M858" s="5">
        <v>660</v>
      </c>
      <c r="Q858" s="3"/>
      <c r="R858" s="3"/>
      <c r="S858" s="3"/>
    </row>
    <row r="859" spans="1:19" ht="15" x14ac:dyDescent="0.25">
      <c r="A859" s="7" t="s">
        <v>16</v>
      </c>
      <c r="B859" s="7" t="s">
        <v>21</v>
      </c>
      <c r="C859" s="7" t="s">
        <v>18</v>
      </c>
      <c r="D859" s="4">
        <v>63025530008270</v>
      </c>
      <c r="E859" s="8" t="s">
        <v>733</v>
      </c>
      <c r="F859" s="8" t="s">
        <v>37</v>
      </c>
      <c r="G859" s="7" t="s">
        <v>19</v>
      </c>
      <c r="H859" s="47" t="s">
        <v>207</v>
      </c>
      <c r="I859" s="47" t="s">
        <v>208</v>
      </c>
      <c r="J859" s="6">
        <v>70</v>
      </c>
      <c r="K859" s="8" t="s">
        <v>20</v>
      </c>
      <c r="L859" s="1" t="s">
        <v>733</v>
      </c>
      <c r="M859" s="5">
        <v>5</v>
      </c>
      <c r="Q859" s="3"/>
      <c r="R859" s="3"/>
      <c r="S859" s="3"/>
    </row>
    <row r="860" spans="1:19" ht="15" x14ac:dyDescent="0.25">
      <c r="A860" s="7" t="s">
        <v>16</v>
      </c>
      <c r="B860" s="7" t="s">
        <v>21</v>
      </c>
      <c r="C860" s="7" t="s">
        <v>18</v>
      </c>
      <c r="D860" s="4">
        <v>68204486000113</v>
      </c>
      <c r="E860" s="8" t="s">
        <v>734</v>
      </c>
      <c r="F860" s="8" t="s">
        <v>46</v>
      </c>
      <c r="G860" s="7" t="s">
        <v>19</v>
      </c>
      <c r="H860" s="47" t="s">
        <v>207</v>
      </c>
      <c r="I860" s="47" t="s">
        <v>208</v>
      </c>
      <c r="J860" s="6">
        <v>70</v>
      </c>
      <c r="K860" s="8" t="s">
        <v>20</v>
      </c>
      <c r="L860" s="1" t="s">
        <v>734</v>
      </c>
      <c r="M860" s="5">
        <v>150</v>
      </c>
      <c r="Q860" s="3"/>
      <c r="R860" s="3"/>
      <c r="S860" s="3"/>
    </row>
    <row r="861" spans="1:19" ht="15" x14ac:dyDescent="0.25">
      <c r="A861" s="7" t="s">
        <v>16</v>
      </c>
      <c r="B861" s="7" t="s">
        <v>22</v>
      </c>
      <c r="C861" s="7" t="s">
        <v>18</v>
      </c>
      <c r="D861" s="4">
        <v>840048000450</v>
      </c>
      <c r="E861" s="8" t="s">
        <v>637</v>
      </c>
      <c r="F861" s="8" t="s">
        <v>30</v>
      </c>
      <c r="G861" s="7" t="s">
        <v>19</v>
      </c>
      <c r="H861" s="47" t="s">
        <v>207</v>
      </c>
      <c r="I861" s="47" t="s">
        <v>208</v>
      </c>
      <c r="J861" s="6">
        <v>70</v>
      </c>
      <c r="K861" s="8" t="s">
        <v>20</v>
      </c>
      <c r="L861" s="1" t="s">
        <v>637</v>
      </c>
      <c r="M861" s="5">
        <v>240</v>
      </c>
      <c r="Q861" s="3"/>
      <c r="R861" s="3"/>
      <c r="S861" s="3"/>
    </row>
    <row r="862" spans="1:19" ht="15" x14ac:dyDescent="0.25">
      <c r="A862" s="7" t="s">
        <v>16</v>
      </c>
      <c r="B862" s="7" t="s">
        <v>22</v>
      </c>
      <c r="C862" s="7" t="s">
        <v>18</v>
      </c>
      <c r="D862" s="4">
        <v>1613433006892</v>
      </c>
      <c r="E862" s="8" t="s">
        <v>638</v>
      </c>
      <c r="F862" s="8" t="s">
        <v>639</v>
      </c>
      <c r="G862" s="7" t="s">
        <v>19</v>
      </c>
      <c r="H862" s="47" t="s">
        <v>207</v>
      </c>
      <c r="I862" s="47" t="s">
        <v>208</v>
      </c>
      <c r="J862" s="6">
        <v>70</v>
      </c>
      <c r="K862" s="8" t="s">
        <v>20</v>
      </c>
      <c r="L862" s="1" t="s">
        <v>638</v>
      </c>
      <c r="M862" s="5">
        <v>1220</v>
      </c>
      <c r="Q862" s="3"/>
      <c r="R862" s="3"/>
      <c r="S862" s="3"/>
    </row>
    <row r="863" spans="1:19" ht="15" x14ac:dyDescent="0.25">
      <c r="A863" s="7" t="s">
        <v>16</v>
      </c>
      <c r="B863" s="7" t="s">
        <v>22</v>
      </c>
      <c r="C863" s="7" t="s">
        <v>18</v>
      </c>
      <c r="D863" s="4">
        <v>1613433008089</v>
      </c>
      <c r="E863" s="8" t="s">
        <v>640</v>
      </c>
      <c r="F863" s="8" t="s">
        <v>47</v>
      </c>
      <c r="G863" s="7" t="s">
        <v>19</v>
      </c>
      <c r="H863" s="47" t="s">
        <v>207</v>
      </c>
      <c r="I863" s="47" t="s">
        <v>208</v>
      </c>
      <c r="J863" s="6">
        <v>70</v>
      </c>
      <c r="K863" s="8" t="s">
        <v>20</v>
      </c>
      <c r="L863" s="1" t="s">
        <v>640</v>
      </c>
      <c r="M863" s="5">
        <v>80</v>
      </c>
      <c r="Q863" s="3"/>
      <c r="R863" s="3"/>
      <c r="S863" s="3"/>
    </row>
    <row r="864" spans="1:19" ht="15" x14ac:dyDescent="0.25">
      <c r="A864" s="7" t="s">
        <v>16</v>
      </c>
      <c r="B864" s="7" t="s">
        <v>22</v>
      </c>
      <c r="C864" s="7" t="s">
        <v>18</v>
      </c>
      <c r="D864" s="4">
        <v>9528436000122</v>
      </c>
      <c r="E864" s="8" t="s">
        <v>656</v>
      </c>
      <c r="F864" s="8" t="s">
        <v>657</v>
      </c>
      <c r="G864" s="7" t="s">
        <v>19</v>
      </c>
      <c r="H864" s="47" t="s">
        <v>207</v>
      </c>
      <c r="I864" s="47" t="s">
        <v>208</v>
      </c>
      <c r="J864" s="6">
        <v>70</v>
      </c>
      <c r="K864" s="8" t="s">
        <v>20</v>
      </c>
      <c r="L864" s="1" t="s">
        <v>656</v>
      </c>
      <c r="M864" s="5">
        <v>150</v>
      </c>
      <c r="Q864" s="3"/>
      <c r="R864" s="3"/>
      <c r="S864" s="3"/>
    </row>
    <row r="865" spans="1:19" ht="15" x14ac:dyDescent="0.25">
      <c r="A865" s="7" t="s">
        <v>16</v>
      </c>
      <c r="B865" s="7" t="s">
        <v>22</v>
      </c>
      <c r="C865" s="7" t="s">
        <v>18</v>
      </c>
      <c r="D865" s="4">
        <v>10576443000189</v>
      </c>
      <c r="E865" s="8" t="s">
        <v>659</v>
      </c>
      <c r="F865" s="8" t="s">
        <v>643</v>
      </c>
      <c r="G865" s="7" t="s">
        <v>19</v>
      </c>
      <c r="H865" s="47" t="s">
        <v>207</v>
      </c>
      <c r="I865" s="47" t="s">
        <v>208</v>
      </c>
      <c r="J865" s="6">
        <v>70</v>
      </c>
      <c r="K865" s="8" t="s">
        <v>20</v>
      </c>
      <c r="L865" s="1" t="s">
        <v>659</v>
      </c>
      <c r="M865" s="5">
        <v>160</v>
      </c>
      <c r="Q865" s="3"/>
      <c r="R865" s="3"/>
      <c r="S865" s="3"/>
    </row>
    <row r="866" spans="1:19" ht="15" x14ac:dyDescent="0.25">
      <c r="A866" s="7" t="s">
        <v>16</v>
      </c>
      <c r="B866" s="7" t="s">
        <v>22</v>
      </c>
      <c r="C866" s="7" t="s">
        <v>18</v>
      </c>
      <c r="D866" s="4">
        <v>10868295000176</v>
      </c>
      <c r="E866" s="8" t="s">
        <v>660</v>
      </c>
      <c r="F866" s="8" t="s">
        <v>35</v>
      </c>
      <c r="G866" s="7" t="s">
        <v>19</v>
      </c>
      <c r="H866" s="47" t="s">
        <v>207</v>
      </c>
      <c r="I866" s="47" t="s">
        <v>208</v>
      </c>
      <c r="J866" s="6">
        <v>70</v>
      </c>
      <c r="K866" s="8" t="s">
        <v>20</v>
      </c>
      <c r="L866" s="1" t="s">
        <v>660</v>
      </c>
      <c r="M866" s="5">
        <v>120</v>
      </c>
      <c r="Q866" s="3"/>
      <c r="R866" s="3"/>
      <c r="S866" s="3"/>
    </row>
    <row r="867" spans="1:19" ht="15" x14ac:dyDescent="0.25">
      <c r="A867" s="7" t="s">
        <v>16</v>
      </c>
      <c r="B867" s="7" t="s">
        <v>22</v>
      </c>
      <c r="C867" s="7" t="s">
        <v>18</v>
      </c>
      <c r="D867" s="4">
        <v>12474705000120</v>
      </c>
      <c r="E867" s="8" t="s">
        <v>661</v>
      </c>
      <c r="F867" s="8" t="s">
        <v>48</v>
      </c>
      <c r="G867" s="7" t="s">
        <v>19</v>
      </c>
      <c r="H867" s="47" t="s">
        <v>207</v>
      </c>
      <c r="I867" s="47" t="s">
        <v>208</v>
      </c>
      <c r="J867" s="6">
        <v>70</v>
      </c>
      <c r="K867" s="8" t="s">
        <v>20</v>
      </c>
      <c r="L867" s="1" t="s">
        <v>661</v>
      </c>
      <c r="M867" s="5">
        <v>125</v>
      </c>
      <c r="Q867" s="3"/>
      <c r="R867" s="3"/>
      <c r="S867" s="3"/>
    </row>
    <row r="868" spans="1:19" ht="15" x14ac:dyDescent="0.25">
      <c r="A868" s="7" t="s">
        <v>16</v>
      </c>
      <c r="B868" s="7" t="s">
        <v>22</v>
      </c>
      <c r="C868" s="7" t="s">
        <v>18</v>
      </c>
      <c r="D868" s="4">
        <v>25026561000190</v>
      </c>
      <c r="E868" s="8" t="s">
        <v>666</v>
      </c>
      <c r="F868" s="8" t="s">
        <v>34</v>
      </c>
      <c r="G868" s="7" t="s">
        <v>19</v>
      </c>
      <c r="H868" s="47" t="s">
        <v>207</v>
      </c>
      <c r="I868" s="47" t="s">
        <v>208</v>
      </c>
      <c r="J868" s="6">
        <v>70</v>
      </c>
      <c r="K868" s="8" t="s">
        <v>20</v>
      </c>
      <c r="L868" s="1" t="s">
        <v>666</v>
      </c>
      <c r="M868" s="5">
        <v>20</v>
      </c>
      <c r="Q868" s="3"/>
      <c r="R868" s="3"/>
      <c r="S868" s="3"/>
    </row>
    <row r="869" spans="1:19" ht="15" x14ac:dyDescent="0.25">
      <c r="A869" s="7" t="s">
        <v>16</v>
      </c>
      <c r="B869" s="7" t="s">
        <v>22</v>
      </c>
      <c r="C869" s="7" t="s">
        <v>18</v>
      </c>
      <c r="D869" s="4">
        <v>29435005008103</v>
      </c>
      <c r="E869" s="8" t="s">
        <v>669</v>
      </c>
      <c r="F869" s="8" t="s">
        <v>670</v>
      </c>
      <c r="G869" s="7" t="s">
        <v>19</v>
      </c>
      <c r="H869" s="47" t="s">
        <v>207</v>
      </c>
      <c r="I869" s="47" t="s">
        <v>208</v>
      </c>
      <c r="J869" s="6">
        <v>70</v>
      </c>
      <c r="K869" s="8" t="s">
        <v>20</v>
      </c>
      <c r="L869" s="1" t="s">
        <v>669</v>
      </c>
      <c r="M869" s="5">
        <v>5</v>
      </c>
      <c r="Q869" s="3"/>
      <c r="R869" s="3"/>
      <c r="S869" s="3"/>
    </row>
    <row r="870" spans="1:19" ht="15" x14ac:dyDescent="0.25">
      <c r="A870" s="7" t="s">
        <v>16</v>
      </c>
      <c r="B870" s="7" t="s">
        <v>22</v>
      </c>
      <c r="C870" s="7" t="s">
        <v>18</v>
      </c>
      <c r="D870" s="4">
        <v>29435005008294</v>
      </c>
      <c r="E870" s="8" t="s">
        <v>671</v>
      </c>
      <c r="F870" s="8" t="s">
        <v>36</v>
      </c>
      <c r="G870" s="7" t="s">
        <v>19</v>
      </c>
      <c r="H870" s="47" t="s">
        <v>207</v>
      </c>
      <c r="I870" s="47" t="s">
        <v>208</v>
      </c>
      <c r="J870" s="6">
        <v>70</v>
      </c>
      <c r="K870" s="8" t="s">
        <v>20</v>
      </c>
      <c r="L870" s="1" t="s">
        <v>671</v>
      </c>
      <c r="M870" s="5">
        <v>300</v>
      </c>
      <c r="Q870" s="3"/>
      <c r="R870" s="3"/>
      <c r="S870" s="3"/>
    </row>
    <row r="871" spans="1:19" ht="15" x14ac:dyDescent="0.25">
      <c r="A871" s="7" t="s">
        <v>16</v>
      </c>
      <c r="B871" s="7" t="s">
        <v>22</v>
      </c>
      <c r="C871" s="7" t="s">
        <v>18</v>
      </c>
      <c r="D871" s="4">
        <v>29435005008456</v>
      </c>
      <c r="E871" s="8" t="s">
        <v>672</v>
      </c>
      <c r="F871" s="8" t="s">
        <v>33</v>
      </c>
      <c r="G871" s="7" t="s">
        <v>19</v>
      </c>
      <c r="H871" s="47" t="s">
        <v>207</v>
      </c>
      <c r="I871" s="47" t="s">
        <v>208</v>
      </c>
      <c r="J871" s="6">
        <v>70</v>
      </c>
      <c r="K871" s="8" t="s">
        <v>20</v>
      </c>
      <c r="L871" s="1" t="s">
        <v>672</v>
      </c>
      <c r="M871" s="5">
        <v>200</v>
      </c>
      <c r="Q871" s="3"/>
      <c r="R871" s="3"/>
      <c r="S871" s="3"/>
    </row>
    <row r="872" spans="1:19" ht="15" x14ac:dyDescent="0.25">
      <c r="A872" s="7" t="s">
        <v>16</v>
      </c>
      <c r="B872" s="7" t="s">
        <v>22</v>
      </c>
      <c r="C872" s="7" t="s">
        <v>18</v>
      </c>
      <c r="D872" s="4">
        <v>43293604002120</v>
      </c>
      <c r="E872" s="8" t="s">
        <v>673</v>
      </c>
      <c r="F872" s="8" t="s">
        <v>674</v>
      </c>
      <c r="G872" s="7" t="s">
        <v>19</v>
      </c>
      <c r="H872" s="47" t="s">
        <v>207</v>
      </c>
      <c r="I872" s="47" t="s">
        <v>208</v>
      </c>
      <c r="J872" s="6">
        <v>70</v>
      </c>
      <c r="K872" s="8" t="s">
        <v>20</v>
      </c>
      <c r="L872" s="1" t="s">
        <v>673</v>
      </c>
      <c r="M872" s="5">
        <v>65</v>
      </c>
      <c r="Q872" s="3"/>
      <c r="R872" s="3"/>
      <c r="S872" s="3"/>
    </row>
    <row r="873" spans="1:19" ht="15" x14ac:dyDescent="0.25">
      <c r="A873" s="7" t="s">
        <v>16</v>
      </c>
      <c r="B873" s="7" t="s">
        <v>22</v>
      </c>
      <c r="C873" s="7" t="s">
        <v>18</v>
      </c>
      <c r="D873" s="4">
        <v>44663631000590</v>
      </c>
      <c r="E873" s="8" t="s">
        <v>680</v>
      </c>
      <c r="F873" s="8" t="s">
        <v>39</v>
      </c>
      <c r="G873" s="7" t="s">
        <v>19</v>
      </c>
      <c r="H873" s="47" t="s">
        <v>207</v>
      </c>
      <c r="I873" s="47" t="s">
        <v>208</v>
      </c>
      <c r="J873" s="6">
        <v>70</v>
      </c>
      <c r="K873" s="8" t="s">
        <v>20</v>
      </c>
      <c r="L873" s="1" t="s">
        <v>680</v>
      </c>
      <c r="M873" s="5">
        <v>195</v>
      </c>
      <c r="Q873" s="3"/>
      <c r="R873" s="3"/>
      <c r="S873" s="3"/>
    </row>
    <row r="874" spans="1:19" ht="15" x14ac:dyDescent="0.25">
      <c r="A874" s="7" t="s">
        <v>16</v>
      </c>
      <c r="B874" s="7" t="s">
        <v>22</v>
      </c>
      <c r="C874" s="7" t="s">
        <v>18</v>
      </c>
      <c r="D874" s="4">
        <v>45118429001279</v>
      </c>
      <c r="E874" s="8" t="s">
        <v>683</v>
      </c>
      <c r="F874" s="8" t="s">
        <v>41</v>
      </c>
      <c r="G874" s="7" t="s">
        <v>19</v>
      </c>
      <c r="H874" s="47" t="s">
        <v>207</v>
      </c>
      <c r="I874" s="47" t="s">
        <v>208</v>
      </c>
      <c r="J874" s="6">
        <v>70</v>
      </c>
      <c r="K874" s="8" t="s">
        <v>20</v>
      </c>
      <c r="L874" s="1" t="s">
        <v>683</v>
      </c>
      <c r="M874" s="5">
        <v>100</v>
      </c>
      <c r="Q874" s="3"/>
      <c r="R874" s="3"/>
      <c r="S874" s="3"/>
    </row>
    <row r="875" spans="1:19" ht="15" x14ac:dyDescent="0.25">
      <c r="A875" s="7" t="s">
        <v>16</v>
      </c>
      <c r="B875" s="7" t="s">
        <v>22</v>
      </c>
      <c r="C875" s="7" t="s">
        <v>18</v>
      </c>
      <c r="D875" s="4">
        <v>45184066000117</v>
      </c>
      <c r="E875" s="8" t="s">
        <v>684</v>
      </c>
      <c r="F875" s="8" t="s">
        <v>650</v>
      </c>
      <c r="G875" s="7" t="s">
        <v>19</v>
      </c>
      <c r="H875" s="47" t="s">
        <v>207</v>
      </c>
      <c r="I875" s="47" t="s">
        <v>208</v>
      </c>
      <c r="J875" s="6">
        <v>70</v>
      </c>
      <c r="K875" s="8" t="s">
        <v>20</v>
      </c>
      <c r="L875" s="1" t="s">
        <v>684</v>
      </c>
      <c r="M875" s="5">
        <v>100</v>
      </c>
      <c r="Q875" s="3"/>
      <c r="R875" s="3"/>
      <c r="S875" s="3"/>
    </row>
    <row r="876" spans="1:19" ht="15" x14ac:dyDescent="0.25">
      <c r="A876" s="7" t="s">
        <v>16</v>
      </c>
      <c r="B876" s="7" t="s">
        <v>22</v>
      </c>
      <c r="C876" s="7" t="s">
        <v>18</v>
      </c>
      <c r="D876" s="4">
        <v>45232246000550</v>
      </c>
      <c r="E876" s="8" t="s">
        <v>685</v>
      </c>
      <c r="F876" s="8" t="s">
        <v>639</v>
      </c>
      <c r="G876" s="7" t="s">
        <v>19</v>
      </c>
      <c r="H876" s="47" t="s">
        <v>207</v>
      </c>
      <c r="I876" s="47" t="s">
        <v>208</v>
      </c>
      <c r="J876" s="6">
        <v>70</v>
      </c>
      <c r="K876" s="8" t="s">
        <v>20</v>
      </c>
      <c r="L876" s="1" t="s">
        <v>685</v>
      </c>
      <c r="M876" s="5">
        <v>360</v>
      </c>
      <c r="Q876" s="3"/>
      <c r="R876" s="3"/>
      <c r="S876" s="3"/>
    </row>
    <row r="877" spans="1:19" ht="15" x14ac:dyDescent="0.25">
      <c r="A877" s="7" t="s">
        <v>16</v>
      </c>
      <c r="B877" s="7" t="s">
        <v>22</v>
      </c>
      <c r="C877" s="7" t="s">
        <v>18</v>
      </c>
      <c r="D877" s="4">
        <v>45399961000230</v>
      </c>
      <c r="E877" s="8" t="s">
        <v>688</v>
      </c>
      <c r="F877" s="8" t="s">
        <v>42</v>
      </c>
      <c r="G877" s="7" t="s">
        <v>19</v>
      </c>
      <c r="H877" s="47" t="s">
        <v>207</v>
      </c>
      <c r="I877" s="47" t="s">
        <v>208</v>
      </c>
      <c r="J877" s="6">
        <v>70</v>
      </c>
      <c r="K877" s="8" t="s">
        <v>20</v>
      </c>
      <c r="L877" s="1" t="s">
        <v>688</v>
      </c>
      <c r="M877" s="5">
        <v>300</v>
      </c>
      <c r="Q877" s="3"/>
      <c r="R877" s="3"/>
      <c r="S877" s="3"/>
    </row>
    <row r="878" spans="1:19" ht="15" x14ac:dyDescent="0.25">
      <c r="A878" s="7" t="s">
        <v>16</v>
      </c>
      <c r="B878" s="7" t="s">
        <v>22</v>
      </c>
      <c r="C878" s="7" t="s">
        <v>18</v>
      </c>
      <c r="D878" s="4">
        <v>45780103000150</v>
      </c>
      <c r="E878" s="8" t="s">
        <v>689</v>
      </c>
      <c r="F878" s="8" t="s">
        <v>678</v>
      </c>
      <c r="G878" s="7" t="s">
        <v>19</v>
      </c>
      <c r="H878" s="47" t="s">
        <v>207</v>
      </c>
      <c r="I878" s="47" t="s">
        <v>208</v>
      </c>
      <c r="J878" s="6">
        <v>70</v>
      </c>
      <c r="K878" s="8" t="s">
        <v>20</v>
      </c>
      <c r="L878" s="1" t="s">
        <v>689</v>
      </c>
      <c r="M878" s="5">
        <v>615</v>
      </c>
      <c r="Q878" s="3"/>
      <c r="R878" s="3"/>
      <c r="S878" s="3"/>
    </row>
    <row r="879" spans="1:19" ht="15" x14ac:dyDescent="0.25">
      <c r="A879" s="7" t="s">
        <v>16</v>
      </c>
      <c r="B879" s="7" t="s">
        <v>22</v>
      </c>
      <c r="C879" s="7" t="s">
        <v>18</v>
      </c>
      <c r="D879" s="4">
        <v>46009718000140</v>
      </c>
      <c r="E879" s="8" t="s">
        <v>690</v>
      </c>
      <c r="F879" s="8" t="s">
        <v>33</v>
      </c>
      <c r="G879" s="7" t="s">
        <v>19</v>
      </c>
      <c r="H879" s="47" t="s">
        <v>207</v>
      </c>
      <c r="I879" s="47" t="s">
        <v>208</v>
      </c>
      <c r="J879" s="6">
        <v>70</v>
      </c>
      <c r="K879" s="8" t="s">
        <v>20</v>
      </c>
      <c r="L879" s="1" t="s">
        <v>690</v>
      </c>
      <c r="M879" s="5">
        <v>850</v>
      </c>
      <c r="Q879" s="3"/>
      <c r="R879" s="3"/>
      <c r="S879" s="3"/>
    </row>
    <row r="880" spans="1:19" ht="15" x14ac:dyDescent="0.25">
      <c r="A880" s="7" t="s">
        <v>16</v>
      </c>
      <c r="B880" s="7" t="s">
        <v>22</v>
      </c>
      <c r="C880" s="7" t="s">
        <v>18</v>
      </c>
      <c r="D880" s="4">
        <v>46124624000111</v>
      </c>
      <c r="E880" s="8" t="s">
        <v>693</v>
      </c>
      <c r="F880" s="8" t="s">
        <v>33</v>
      </c>
      <c r="G880" s="7" t="s">
        <v>19</v>
      </c>
      <c r="H880" s="47" t="s">
        <v>207</v>
      </c>
      <c r="I880" s="47" t="s">
        <v>208</v>
      </c>
      <c r="J880" s="6">
        <v>70</v>
      </c>
      <c r="K880" s="8" t="s">
        <v>20</v>
      </c>
      <c r="L880" s="1" t="s">
        <v>693</v>
      </c>
      <c r="M880" s="5">
        <v>265</v>
      </c>
      <c r="Q880" s="3"/>
      <c r="R880" s="3"/>
      <c r="S880" s="3"/>
    </row>
    <row r="881" spans="1:19" ht="15" x14ac:dyDescent="0.25">
      <c r="A881" s="7" t="s">
        <v>16</v>
      </c>
      <c r="B881" s="7" t="s">
        <v>22</v>
      </c>
      <c r="C881" s="7" t="s">
        <v>18</v>
      </c>
      <c r="D881" s="4">
        <v>46124624002599</v>
      </c>
      <c r="E881" s="8" t="s">
        <v>694</v>
      </c>
      <c r="F881" s="8" t="s">
        <v>695</v>
      </c>
      <c r="G881" s="7" t="s">
        <v>19</v>
      </c>
      <c r="H881" s="47" t="s">
        <v>207</v>
      </c>
      <c r="I881" s="47" t="s">
        <v>208</v>
      </c>
      <c r="J881" s="6">
        <v>70</v>
      </c>
      <c r="K881" s="8" t="s">
        <v>20</v>
      </c>
      <c r="L881" s="1" t="s">
        <v>694</v>
      </c>
      <c r="M881" s="5">
        <v>1250</v>
      </c>
      <c r="Q881" s="3"/>
      <c r="R881" s="3"/>
      <c r="S881" s="3"/>
    </row>
    <row r="882" spans="1:19" ht="15" x14ac:dyDescent="0.25">
      <c r="A882" s="7" t="s">
        <v>16</v>
      </c>
      <c r="B882" s="7" t="s">
        <v>22</v>
      </c>
      <c r="C882" s="7" t="s">
        <v>18</v>
      </c>
      <c r="D882" s="4">
        <v>46374500003533</v>
      </c>
      <c r="E882" s="8" t="s">
        <v>696</v>
      </c>
      <c r="F882" s="8" t="s">
        <v>639</v>
      </c>
      <c r="G882" s="7" t="s">
        <v>19</v>
      </c>
      <c r="H882" s="47" t="s">
        <v>207</v>
      </c>
      <c r="I882" s="47" t="s">
        <v>208</v>
      </c>
      <c r="J882" s="6">
        <v>70</v>
      </c>
      <c r="K882" s="8" t="s">
        <v>20</v>
      </c>
      <c r="L882" s="1" t="s">
        <v>696</v>
      </c>
      <c r="M882" s="5">
        <v>1000</v>
      </c>
      <c r="Q882" s="3"/>
      <c r="R882" s="3"/>
      <c r="S882" s="3"/>
    </row>
    <row r="883" spans="1:19" ht="15" x14ac:dyDescent="0.25">
      <c r="A883" s="7" t="s">
        <v>16</v>
      </c>
      <c r="B883" s="7" t="s">
        <v>22</v>
      </c>
      <c r="C883" s="7" t="s">
        <v>18</v>
      </c>
      <c r="D883" s="4">
        <v>46374500009221</v>
      </c>
      <c r="E883" s="8" t="s">
        <v>700</v>
      </c>
      <c r="F883" s="8" t="s">
        <v>49</v>
      </c>
      <c r="G883" s="7" t="s">
        <v>19</v>
      </c>
      <c r="H883" s="47" t="s">
        <v>207</v>
      </c>
      <c r="I883" s="47" t="s">
        <v>208</v>
      </c>
      <c r="J883" s="6">
        <v>70</v>
      </c>
      <c r="K883" s="8" t="s">
        <v>20</v>
      </c>
      <c r="L883" s="1" t="s">
        <v>700</v>
      </c>
      <c r="M883" s="5">
        <v>900</v>
      </c>
      <c r="Q883" s="3"/>
      <c r="R883" s="3"/>
      <c r="S883" s="3"/>
    </row>
    <row r="884" spans="1:19" ht="15" x14ac:dyDescent="0.25">
      <c r="A884" s="7" t="s">
        <v>16</v>
      </c>
      <c r="B884" s="7" t="s">
        <v>22</v>
      </c>
      <c r="C884" s="7" t="s">
        <v>18</v>
      </c>
      <c r="D884" s="4">
        <v>46643466000106</v>
      </c>
      <c r="E884" s="8" t="s">
        <v>701</v>
      </c>
      <c r="F884" s="8" t="s">
        <v>650</v>
      </c>
      <c r="G884" s="7" t="s">
        <v>19</v>
      </c>
      <c r="H884" s="47" t="s">
        <v>207</v>
      </c>
      <c r="I884" s="47" t="s">
        <v>208</v>
      </c>
      <c r="J884" s="6">
        <v>70</v>
      </c>
      <c r="K884" s="8" t="s">
        <v>20</v>
      </c>
      <c r="L884" s="1" t="s">
        <v>701</v>
      </c>
      <c r="M884" s="5">
        <v>700</v>
      </c>
      <c r="Q884" s="3"/>
      <c r="R884" s="3"/>
      <c r="S884" s="3"/>
    </row>
    <row r="885" spans="1:19" ht="15" x14ac:dyDescent="0.25">
      <c r="A885" s="7" t="s">
        <v>16</v>
      </c>
      <c r="B885" s="7" t="s">
        <v>22</v>
      </c>
      <c r="C885" s="7" t="s">
        <v>18</v>
      </c>
      <c r="D885" s="4">
        <v>48468284000171</v>
      </c>
      <c r="E885" s="8" t="s">
        <v>705</v>
      </c>
      <c r="F885" s="8" t="s">
        <v>43</v>
      </c>
      <c r="G885" s="7" t="s">
        <v>19</v>
      </c>
      <c r="H885" s="47" t="s">
        <v>207</v>
      </c>
      <c r="I885" s="47" t="s">
        <v>208</v>
      </c>
      <c r="J885" s="6">
        <v>70</v>
      </c>
      <c r="K885" s="8" t="s">
        <v>20</v>
      </c>
      <c r="L885" s="1" t="s">
        <v>705</v>
      </c>
      <c r="M885" s="5">
        <v>200</v>
      </c>
      <c r="Q885" s="3"/>
      <c r="R885" s="3"/>
      <c r="S885" s="3"/>
    </row>
    <row r="886" spans="1:19" ht="15" x14ac:dyDescent="0.25">
      <c r="A886" s="7" t="s">
        <v>16</v>
      </c>
      <c r="B886" s="7" t="s">
        <v>22</v>
      </c>
      <c r="C886" s="7" t="s">
        <v>18</v>
      </c>
      <c r="D886" s="4">
        <v>50486026000160</v>
      </c>
      <c r="E886" s="8" t="s">
        <v>706</v>
      </c>
      <c r="F886" s="8" t="s">
        <v>44</v>
      </c>
      <c r="G886" s="7" t="s">
        <v>19</v>
      </c>
      <c r="H886" s="47" t="s">
        <v>207</v>
      </c>
      <c r="I886" s="47" t="s">
        <v>208</v>
      </c>
      <c r="J886" s="6">
        <v>70</v>
      </c>
      <c r="K886" s="8" t="s">
        <v>20</v>
      </c>
      <c r="L886" s="1" t="s">
        <v>706</v>
      </c>
      <c r="M886" s="5">
        <v>110</v>
      </c>
      <c r="Q886" s="3"/>
      <c r="R886" s="3"/>
      <c r="S886" s="3"/>
    </row>
    <row r="887" spans="1:19" ht="15" x14ac:dyDescent="0.25">
      <c r="A887" s="7" t="s">
        <v>16</v>
      </c>
      <c r="B887" s="7" t="s">
        <v>22</v>
      </c>
      <c r="C887" s="7" t="s">
        <v>18</v>
      </c>
      <c r="D887" s="4">
        <v>51093193000456</v>
      </c>
      <c r="E887" s="8" t="s">
        <v>708</v>
      </c>
      <c r="F887" s="8" t="s">
        <v>698</v>
      </c>
      <c r="G887" s="7" t="s">
        <v>19</v>
      </c>
      <c r="H887" s="47" t="s">
        <v>207</v>
      </c>
      <c r="I887" s="47" t="s">
        <v>208</v>
      </c>
      <c r="J887" s="6">
        <v>70</v>
      </c>
      <c r="K887" s="8" t="s">
        <v>20</v>
      </c>
      <c r="L887" s="1" t="s">
        <v>708</v>
      </c>
      <c r="M887" s="5">
        <v>20</v>
      </c>
      <c r="Q887" s="3"/>
      <c r="R887" s="3"/>
      <c r="S887" s="3"/>
    </row>
    <row r="888" spans="1:19" ht="15" x14ac:dyDescent="0.25">
      <c r="A888" s="7" t="s">
        <v>16</v>
      </c>
      <c r="B888" s="7" t="s">
        <v>22</v>
      </c>
      <c r="C888" s="7" t="s">
        <v>18</v>
      </c>
      <c r="D888" s="4">
        <v>52852100000140</v>
      </c>
      <c r="E888" s="8" t="s">
        <v>713</v>
      </c>
      <c r="F888" s="8" t="s">
        <v>51</v>
      </c>
      <c r="G888" s="7" t="s">
        <v>19</v>
      </c>
      <c r="H888" s="47" t="s">
        <v>207</v>
      </c>
      <c r="I888" s="47" t="s">
        <v>208</v>
      </c>
      <c r="J888" s="6">
        <v>70</v>
      </c>
      <c r="K888" s="8" t="s">
        <v>20</v>
      </c>
      <c r="L888" s="1" t="s">
        <v>713</v>
      </c>
      <c r="M888" s="5">
        <v>300</v>
      </c>
      <c r="Q888" s="3"/>
      <c r="R888" s="3"/>
      <c r="S888" s="3"/>
    </row>
    <row r="889" spans="1:19" ht="15" x14ac:dyDescent="0.25">
      <c r="A889" s="7" t="s">
        <v>16</v>
      </c>
      <c r="B889" s="7" t="s">
        <v>22</v>
      </c>
      <c r="C889" s="7" t="s">
        <v>18</v>
      </c>
      <c r="D889" s="4">
        <v>54012406000385</v>
      </c>
      <c r="E889" s="8" t="s">
        <v>718</v>
      </c>
      <c r="F889" s="8" t="s">
        <v>45</v>
      </c>
      <c r="G889" s="7" t="s">
        <v>19</v>
      </c>
      <c r="H889" s="47" t="s">
        <v>207</v>
      </c>
      <c r="I889" s="47" t="s">
        <v>208</v>
      </c>
      <c r="J889" s="6">
        <v>70</v>
      </c>
      <c r="K889" s="8" t="s">
        <v>20</v>
      </c>
      <c r="L889" s="1" t="s">
        <v>718</v>
      </c>
      <c r="M889" s="5">
        <v>70</v>
      </c>
      <c r="Q889" s="3"/>
      <c r="R889" s="3"/>
      <c r="S889" s="3"/>
    </row>
    <row r="890" spans="1:19" ht="15" x14ac:dyDescent="0.25">
      <c r="A890" s="7" t="s">
        <v>16</v>
      </c>
      <c r="B890" s="7" t="s">
        <v>22</v>
      </c>
      <c r="C890" s="7" t="s">
        <v>18</v>
      </c>
      <c r="D890" s="4">
        <v>57722118000140</v>
      </c>
      <c r="E890" s="8" t="s">
        <v>722</v>
      </c>
      <c r="F890" s="8" t="s">
        <v>639</v>
      </c>
      <c r="G890" s="7" t="s">
        <v>19</v>
      </c>
      <c r="H890" s="47" t="s">
        <v>207</v>
      </c>
      <c r="I890" s="47" t="s">
        <v>208</v>
      </c>
      <c r="J890" s="6">
        <v>70</v>
      </c>
      <c r="K890" s="8" t="s">
        <v>20</v>
      </c>
      <c r="L890" s="1" t="s">
        <v>722</v>
      </c>
      <c r="M890" s="5">
        <v>150</v>
      </c>
      <c r="Q890" s="3"/>
      <c r="R890" s="3"/>
      <c r="S890" s="3"/>
    </row>
    <row r="891" spans="1:19" ht="15" x14ac:dyDescent="0.25">
      <c r="A891" s="7" t="s">
        <v>16</v>
      </c>
      <c r="B891" s="7" t="s">
        <v>22</v>
      </c>
      <c r="C891" s="7" t="s">
        <v>18</v>
      </c>
      <c r="D891" s="4">
        <v>60214517001187</v>
      </c>
      <c r="E891" s="8" t="s">
        <v>730</v>
      </c>
      <c r="F891" s="8" t="s">
        <v>731</v>
      </c>
      <c r="G891" s="7" t="s">
        <v>19</v>
      </c>
      <c r="H891" s="47" t="s">
        <v>207</v>
      </c>
      <c r="I891" s="47" t="s">
        <v>208</v>
      </c>
      <c r="J891" s="6">
        <v>70</v>
      </c>
      <c r="K891" s="8" t="s">
        <v>20</v>
      </c>
      <c r="L891" s="1" t="s">
        <v>730</v>
      </c>
      <c r="M891" s="5">
        <v>20</v>
      </c>
      <c r="Q891" s="3"/>
      <c r="R891" s="3"/>
      <c r="S891" s="3"/>
    </row>
    <row r="892" spans="1:19" ht="15" x14ac:dyDescent="0.25">
      <c r="A892" s="7" t="s">
        <v>16</v>
      </c>
      <c r="B892" s="7" t="s">
        <v>22</v>
      </c>
      <c r="C892" s="7" t="s">
        <v>18</v>
      </c>
      <c r="D892" s="4">
        <v>60214517001691</v>
      </c>
      <c r="E892" s="8" t="s">
        <v>732</v>
      </c>
      <c r="F892" s="8" t="s">
        <v>650</v>
      </c>
      <c r="G892" s="7" t="s">
        <v>19</v>
      </c>
      <c r="H892" s="47" t="s">
        <v>207</v>
      </c>
      <c r="I892" s="47" t="s">
        <v>208</v>
      </c>
      <c r="J892" s="6">
        <v>70</v>
      </c>
      <c r="K892" s="8" t="s">
        <v>20</v>
      </c>
      <c r="L892" s="1" t="s">
        <v>732</v>
      </c>
      <c r="M892" s="5">
        <v>730</v>
      </c>
      <c r="Q892" s="3"/>
      <c r="R892" s="3"/>
      <c r="S892" s="3"/>
    </row>
    <row r="893" spans="1:19" ht="15" x14ac:dyDescent="0.25">
      <c r="A893" s="7" t="s">
        <v>16</v>
      </c>
      <c r="B893" s="7" t="s">
        <v>22</v>
      </c>
      <c r="C893" s="7" t="s">
        <v>18</v>
      </c>
      <c r="D893" s="4">
        <v>68204486000113</v>
      </c>
      <c r="E893" s="8" t="s">
        <v>734</v>
      </c>
      <c r="F893" s="8" t="s">
        <v>46</v>
      </c>
      <c r="G893" s="7" t="s">
        <v>19</v>
      </c>
      <c r="H893" s="47" t="s">
        <v>207</v>
      </c>
      <c r="I893" s="47" t="s">
        <v>208</v>
      </c>
      <c r="J893" s="6">
        <v>70</v>
      </c>
      <c r="K893" s="8" t="s">
        <v>20</v>
      </c>
      <c r="L893" s="1" t="s">
        <v>734</v>
      </c>
      <c r="M893" s="5">
        <v>150</v>
      </c>
      <c r="Q893" s="3"/>
      <c r="R893" s="3"/>
      <c r="S893" s="3"/>
    </row>
    <row r="894" spans="1:19" ht="15" x14ac:dyDescent="0.25">
      <c r="A894" s="7" t="s">
        <v>16</v>
      </c>
      <c r="B894" s="7" t="s">
        <v>23</v>
      </c>
      <c r="C894" s="7" t="s">
        <v>24</v>
      </c>
      <c r="D894" s="4">
        <v>1613433010814</v>
      </c>
      <c r="E894" s="8" t="s">
        <v>641</v>
      </c>
      <c r="F894" s="8" t="s">
        <v>49</v>
      </c>
      <c r="G894" s="7" t="s">
        <v>19</v>
      </c>
      <c r="H894" s="47" t="s">
        <v>207</v>
      </c>
      <c r="I894" s="47" t="s">
        <v>208</v>
      </c>
      <c r="J894" s="6">
        <v>70</v>
      </c>
      <c r="K894" s="8" t="s">
        <v>20</v>
      </c>
      <c r="L894" s="1" t="s">
        <v>641</v>
      </c>
      <c r="M894" s="5">
        <v>50</v>
      </c>
      <c r="Q894" s="3"/>
      <c r="R894" s="3"/>
      <c r="S894" s="3"/>
    </row>
    <row r="895" spans="1:19" ht="15" x14ac:dyDescent="0.25">
      <c r="A895" s="7" t="s">
        <v>16</v>
      </c>
      <c r="B895" s="7" t="s">
        <v>23</v>
      </c>
      <c r="C895" s="7" t="s">
        <v>24</v>
      </c>
      <c r="D895" s="4">
        <v>4127483000140</v>
      </c>
      <c r="E895" s="8" t="s">
        <v>644</v>
      </c>
      <c r="F895" s="8" t="s">
        <v>639</v>
      </c>
      <c r="G895" s="7" t="s">
        <v>19</v>
      </c>
      <c r="H895" s="47" t="s">
        <v>207</v>
      </c>
      <c r="I895" s="47" t="s">
        <v>208</v>
      </c>
      <c r="J895" s="6">
        <v>70</v>
      </c>
      <c r="K895" s="8" t="s">
        <v>20</v>
      </c>
      <c r="L895" s="1" t="s">
        <v>644</v>
      </c>
      <c r="M895" s="5">
        <v>5</v>
      </c>
      <c r="Q895" s="3"/>
      <c r="R895" s="3"/>
      <c r="S895" s="3"/>
    </row>
    <row r="896" spans="1:19" ht="15" x14ac:dyDescent="0.25">
      <c r="A896" s="7" t="s">
        <v>16</v>
      </c>
      <c r="B896" s="7" t="s">
        <v>23</v>
      </c>
      <c r="C896" s="7" t="s">
        <v>24</v>
      </c>
      <c r="D896" s="4">
        <v>10868295000176</v>
      </c>
      <c r="E896" s="8" t="s">
        <v>660</v>
      </c>
      <c r="F896" s="8" t="s">
        <v>35</v>
      </c>
      <c r="G896" s="7" t="s">
        <v>19</v>
      </c>
      <c r="H896" s="47" t="s">
        <v>207</v>
      </c>
      <c r="I896" s="47" t="s">
        <v>208</v>
      </c>
      <c r="J896" s="6">
        <v>70</v>
      </c>
      <c r="K896" s="8" t="s">
        <v>20</v>
      </c>
      <c r="L896" s="1" t="s">
        <v>660</v>
      </c>
      <c r="M896" s="5">
        <v>90</v>
      </c>
      <c r="Q896" s="3"/>
      <c r="R896" s="3"/>
      <c r="S896" s="3"/>
    </row>
    <row r="897" spans="1:19" ht="15" x14ac:dyDescent="0.25">
      <c r="A897" s="7" t="s">
        <v>16</v>
      </c>
      <c r="B897" s="7" t="s">
        <v>23</v>
      </c>
      <c r="C897" s="7" t="s">
        <v>24</v>
      </c>
      <c r="D897" s="4">
        <v>24082016000159</v>
      </c>
      <c r="E897" s="8" t="s">
        <v>665</v>
      </c>
      <c r="F897" s="8" t="s">
        <v>657</v>
      </c>
      <c r="G897" s="7" t="s">
        <v>19</v>
      </c>
      <c r="H897" s="47" t="s">
        <v>207</v>
      </c>
      <c r="I897" s="47" t="s">
        <v>208</v>
      </c>
      <c r="J897" s="6">
        <v>70</v>
      </c>
      <c r="K897" s="8" t="s">
        <v>20</v>
      </c>
      <c r="L897" s="1" t="s">
        <v>665</v>
      </c>
      <c r="M897" s="5">
        <v>250</v>
      </c>
      <c r="Q897" s="3"/>
      <c r="R897" s="3"/>
      <c r="S897" s="3"/>
    </row>
    <row r="898" spans="1:19" ht="15" x14ac:dyDescent="0.25">
      <c r="A898" s="7" t="s">
        <v>16</v>
      </c>
      <c r="B898" s="7" t="s">
        <v>23</v>
      </c>
      <c r="C898" s="7" t="s">
        <v>24</v>
      </c>
      <c r="D898" s="4">
        <v>25026561000190</v>
      </c>
      <c r="E898" s="8" t="s">
        <v>666</v>
      </c>
      <c r="F898" s="8" t="s">
        <v>34</v>
      </c>
      <c r="G898" s="7" t="s">
        <v>19</v>
      </c>
      <c r="H898" s="47" t="s">
        <v>207</v>
      </c>
      <c r="I898" s="47" t="s">
        <v>208</v>
      </c>
      <c r="J898" s="6">
        <v>70</v>
      </c>
      <c r="K898" s="8" t="s">
        <v>20</v>
      </c>
      <c r="L898" s="1" t="s">
        <v>666</v>
      </c>
      <c r="M898" s="5">
        <v>40</v>
      </c>
      <c r="Q898" s="3"/>
      <c r="R898" s="3"/>
      <c r="S898" s="3"/>
    </row>
    <row r="899" spans="1:19" ht="15" x14ac:dyDescent="0.25">
      <c r="A899" s="7" t="s">
        <v>16</v>
      </c>
      <c r="B899" s="7" t="s">
        <v>23</v>
      </c>
      <c r="C899" s="7" t="s">
        <v>24</v>
      </c>
      <c r="D899" s="4">
        <v>26048123000196</v>
      </c>
      <c r="E899" s="8" t="s">
        <v>667</v>
      </c>
      <c r="F899" s="8" t="s">
        <v>42</v>
      </c>
      <c r="G899" s="7" t="s">
        <v>19</v>
      </c>
      <c r="H899" s="47" t="s">
        <v>207</v>
      </c>
      <c r="I899" s="47" t="s">
        <v>208</v>
      </c>
      <c r="J899" s="6">
        <v>70</v>
      </c>
      <c r="K899" s="8" t="s">
        <v>20</v>
      </c>
      <c r="L899" s="1" t="s">
        <v>667</v>
      </c>
      <c r="M899" s="5">
        <v>40</v>
      </c>
      <c r="Q899" s="3"/>
      <c r="R899" s="3"/>
      <c r="S899" s="3"/>
    </row>
    <row r="900" spans="1:19" ht="15" x14ac:dyDescent="0.25">
      <c r="A900" s="7" t="s">
        <v>16</v>
      </c>
      <c r="B900" s="7" t="s">
        <v>23</v>
      </c>
      <c r="C900" s="7" t="s">
        <v>24</v>
      </c>
      <c r="D900" s="4">
        <v>29435005008294</v>
      </c>
      <c r="E900" s="8" t="s">
        <v>671</v>
      </c>
      <c r="F900" s="8" t="s">
        <v>36</v>
      </c>
      <c r="G900" s="7" t="s">
        <v>19</v>
      </c>
      <c r="H900" s="47" t="s">
        <v>207</v>
      </c>
      <c r="I900" s="47" t="s">
        <v>208</v>
      </c>
      <c r="J900" s="6">
        <v>70</v>
      </c>
      <c r="K900" s="8" t="s">
        <v>20</v>
      </c>
      <c r="L900" s="1" t="s">
        <v>671</v>
      </c>
      <c r="M900" s="5">
        <v>250</v>
      </c>
      <c r="Q900" s="3"/>
      <c r="R900" s="3"/>
      <c r="S900" s="3"/>
    </row>
    <row r="901" spans="1:19" ht="15" x14ac:dyDescent="0.25">
      <c r="A901" s="7" t="s">
        <v>16</v>
      </c>
      <c r="B901" s="7" t="s">
        <v>23</v>
      </c>
      <c r="C901" s="7" t="s">
        <v>24</v>
      </c>
      <c r="D901" s="4">
        <v>29435005008456</v>
      </c>
      <c r="E901" s="8" t="s">
        <v>672</v>
      </c>
      <c r="F901" s="8" t="s">
        <v>33</v>
      </c>
      <c r="G901" s="7" t="s">
        <v>19</v>
      </c>
      <c r="H901" s="47" t="s">
        <v>207</v>
      </c>
      <c r="I901" s="47" t="s">
        <v>208</v>
      </c>
      <c r="J901" s="6">
        <v>70</v>
      </c>
      <c r="K901" s="8" t="s">
        <v>20</v>
      </c>
      <c r="L901" s="1" t="s">
        <v>672</v>
      </c>
      <c r="M901" s="5">
        <v>175</v>
      </c>
      <c r="Q901" s="3"/>
      <c r="R901" s="3"/>
      <c r="S901" s="3"/>
    </row>
    <row r="902" spans="1:19" ht="15" x14ac:dyDescent="0.25">
      <c r="A902" s="7" t="s">
        <v>16</v>
      </c>
      <c r="B902" s="7" t="s">
        <v>23</v>
      </c>
      <c r="C902" s="7" t="s">
        <v>24</v>
      </c>
      <c r="D902" s="4">
        <v>43293604002120</v>
      </c>
      <c r="E902" s="8" t="s">
        <v>673</v>
      </c>
      <c r="F902" s="8" t="s">
        <v>674</v>
      </c>
      <c r="G902" s="7" t="s">
        <v>19</v>
      </c>
      <c r="H902" s="47" t="s">
        <v>207</v>
      </c>
      <c r="I902" s="47" t="s">
        <v>208</v>
      </c>
      <c r="J902" s="6">
        <v>70</v>
      </c>
      <c r="K902" s="8" t="s">
        <v>20</v>
      </c>
      <c r="L902" s="1" t="s">
        <v>673</v>
      </c>
      <c r="M902" s="5">
        <v>150</v>
      </c>
      <c r="Q902" s="3"/>
      <c r="R902" s="3"/>
      <c r="S902" s="3"/>
    </row>
    <row r="903" spans="1:19" ht="15" x14ac:dyDescent="0.25">
      <c r="A903" s="7" t="s">
        <v>16</v>
      </c>
      <c r="B903" s="7" t="s">
        <v>23</v>
      </c>
      <c r="C903" s="7" t="s">
        <v>24</v>
      </c>
      <c r="D903" s="4">
        <v>44663631000590</v>
      </c>
      <c r="E903" s="8" t="s">
        <v>680</v>
      </c>
      <c r="F903" s="8" t="s">
        <v>39</v>
      </c>
      <c r="G903" s="7" t="s">
        <v>19</v>
      </c>
      <c r="H903" s="47" t="s">
        <v>207</v>
      </c>
      <c r="I903" s="47" t="s">
        <v>208</v>
      </c>
      <c r="J903" s="6">
        <v>70</v>
      </c>
      <c r="K903" s="8" t="s">
        <v>20</v>
      </c>
      <c r="L903" s="1" t="s">
        <v>680</v>
      </c>
      <c r="M903" s="5">
        <v>195</v>
      </c>
      <c r="Q903" s="3"/>
      <c r="R903" s="3"/>
      <c r="S903" s="3"/>
    </row>
    <row r="904" spans="1:19" ht="15" x14ac:dyDescent="0.25">
      <c r="A904" s="7" t="s">
        <v>16</v>
      </c>
      <c r="B904" s="7" t="s">
        <v>23</v>
      </c>
      <c r="C904" s="7" t="s">
        <v>24</v>
      </c>
      <c r="D904" s="4">
        <v>44863959000126</v>
      </c>
      <c r="E904" s="8" t="s">
        <v>682</v>
      </c>
      <c r="F904" s="8" t="s">
        <v>544</v>
      </c>
      <c r="G904" s="7" t="s">
        <v>19</v>
      </c>
      <c r="H904" s="47" t="s">
        <v>207</v>
      </c>
      <c r="I904" s="47" t="s">
        <v>208</v>
      </c>
      <c r="J904" s="6">
        <v>70</v>
      </c>
      <c r="K904" s="8" t="s">
        <v>20</v>
      </c>
      <c r="L904" s="1" t="s">
        <v>682</v>
      </c>
      <c r="M904" s="5">
        <v>125</v>
      </c>
      <c r="Q904" s="3"/>
      <c r="R904" s="3"/>
      <c r="S904" s="3"/>
    </row>
    <row r="905" spans="1:19" ht="15" x14ac:dyDescent="0.25">
      <c r="A905" s="7" t="s">
        <v>16</v>
      </c>
      <c r="B905" s="7" t="s">
        <v>23</v>
      </c>
      <c r="C905" s="7" t="s">
        <v>24</v>
      </c>
      <c r="D905" s="4">
        <v>45232246000550</v>
      </c>
      <c r="E905" s="8" t="s">
        <v>685</v>
      </c>
      <c r="F905" s="8" t="s">
        <v>639</v>
      </c>
      <c r="G905" s="7" t="s">
        <v>19</v>
      </c>
      <c r="H905" s="47" t="s">
        <v>207</v>
      </c>
      <c r="I905" s="47" t="s">
        <v>208</v>
      </c>
      <c r="J905" s="6">
        <v>70</v>
      </c>
      <c r="K905" s="8" t="s">
        <v>20</v>
      </c>
      <c r="L905" s="1" t="s">
        <v>685</v>
      </c>
      <c r="M905" s="5">
        <v>290</v>
      </c>
      <c r="Q905" s="3"/>
      <c r="R905" s="3"/>
      <c r="S905" s="3"/>
    </row>
    <row r="906" spans="1:19" ht="15" x14ac:dyDescent="0.25">
      <c r="A906" s="7" t="s">
        <v>16</v>
      </c>
      <c r="B906" s="7" t="s">
        <v>23</v>
      </c>
      <c r="C906" s="7" t="s">
        <v>24</v>
      </c>
      <c r="D906" s="4">
        <v>45780103000150</v>
      </c>
      <c r="E906" s="8" t="s">
        <v>689</v>
      </c>
      <c r="F906" s="8" t="s">
        <v>678</v>
      </c>
      <c r="G906" s="7" t="s">
        <v>19</v>
      </c>
      <c r="H906" s="47" t="s">
        <v>207</v>
      </c>
      <c r="I906" s="47" t="s">
        <v>208</v>
      </c>
      <c r="J906" s="6">
        <v>70</v>
      </c>
      <c r="K906" s="8" t="s">
        <v>20</v>
      </c>
      <c r="L906" s="1" t="s">
        <v>689</v>
      </c>
      <c r="M906" s="5">
        <v>365</v>
      </c>
      <c r="Q906" s="3"/>
      <c r="R906" s="3"/>
      <c r="S906" s="3"/>
    </row>
    <row r="907" spans="1:19" ht="15" x14ac:dyDescent="0.25">
      <c r="A907" s="7" t="s">
        <v>16</v>
      </c>
      <c r="B907" s="7" t="s">
        <v>23</v>
      </c>
      <c r="C907" s="7" t="s">
        <v>24</v>
      </c>
      <c r="D907" s="4">
        <v>46124624000111</v>
      </c>
      <c r="E907" s="8" t="s">
        <v>693</v>
      </c>
      <c r="F907" s="8" t="s">
        <v>33</v>
      </c>
      <c r="G907" s="7" t="s">
        <v>19</v>
      </c>
      <c r="H907" s="47" t="s">
        <v>207</v>
      </c>
      <c r="I907" s="47" t="s">
        <v>208</v>
      </c>
      <c r="J907" s="6">
        <v>70</v>
      </c>
      <c r="K907" s="8" t="s">
        <v>20</v>
      </c>
      <c r="L907" s="1" t="s">
        <v>693</v>
      </c>
      <c r="M907" s="5">
        <v>1170</v>
      </c>
      <c r="Q907" s="3"/>
      <c r="R907" s="3"/>
      <c r="S907" s="3"/>
    </row>
    <row r="908" spans="1:19" ht="15" x14ac:dyDescent="0.25">
      <c r="A908" s="7" t="s">
        <v>16</v>
      </c>
      <c r="B908" s="7" t="s">
        <v>23</v>
      </c>
      <c r="C908" s="7" t="s">
        <v>24</v>
      </c>
      <c r="D908" s="4">
        <v>46124624002599</v>
      </c>
      <c r="E908" s="8" t="s">
        <v>694</v>
      </c>
      <c r="F908" s="8" t="s">
        <v>695</v>
      </c>
      <c r="G908" s="7" t="s">
        <v>19</v>
      </c>
      <c r="H908" s="47" t="s">
        <v>207</v>
      </c>
      <c r="I908" s="47" t="s">
        <v>208</v>
      </c>
      <c r="J908" s="6">
        <v>70</v>
      </c>
      <c r="K908" s="8" t="s">
        <v>20</v>
      </c>
      <c r="L908" s="1" t="s">
        <v>694</v>
      </c>
      <c r="M908" s="5">
        <v>1100</v>
      </c>
      <c r="Q908" s="3"/>
      <c r="R908" s="3"/>
      <c r="S908" s="3"/>
    </row>
    <row r="909" spans="1:19" ht="15" x14ac:dyDescent="0.25">
      <c r="A909" s="7" t="s">
        <v>16</v>
      </c>
      <c r="B909" s="7" t="s">
        <v>23</v>
      </c>
      <c r="C909" s="7" t="s">
        <v>24</v>
      </c>
      <c r="D909" s="4">
        <v>46374500003533</v>
      </c>
      <c r="E909" s="8" t="s">
        <v>696</v>
      </c>
      <c r="F909" s="8" t="s">
        <v>639</v>
      </c>
      <c r="G909" s="7" t="s">
        <v>19</v>
      </c>
      <c r="H909" s="47" t="s">
        <v>207</v>
      </c>
      <c r="I909" s="47" t="s">
        <v>208</v>
      </c>
      <c r="J909" s="6">
        <v>70</v>
      </c>
      <c r="K909" s="8" t="s">
        <v>20</v>
      </c>
      <c r="L909" s="1" t="s">
        <v>696</v>
      </c>
      <c r="M909" s="5">
        <v>1000</v>
      </c>
      <c r="Q909" s="3"/>
      <c r="R909" s="3"/>
      <c r="S909" s="3"/>
    </row>
    <row r="910" spans="1:19" ht="15" x14ac:dyDescent="0.25">
      <c r="A910" s="7" t="s">
        <v>16</v>
      </c>
      <c r="B910" s="7" t="s">
        <v>23</v>
      </c>
      <c r="C910" s="7" t="s">
        <v>24</v>
      </c>
      <c r="D910" s="4">
        <v>46643466000106</v>
      </c>
      <c r="E910" s="8" t="s">
        <v>701</v>
      </c>
      <c r="F910" s="8" t="s">
        <v>650</v>
      </c>
      <c r="G910" s="7" t="s">
        <v>19</v>
      </c>
      <c r="H910" s="47" t="s">
        <v>207</v>
      </c>
      <c r="I910" s="47" t="s">
        <v>208</v>
      </c>
      <c r="J910" s="6">
        <v>70</v>
      </c>
      <c r="K910" s="8" t="s">
        <v>20</v>
      </c>
      <c r="L910" s="1" t="s">
        <v>701</v>
      </c>
      <c r="M910" s="5">
        <v>1450</v>
      </c>
      <c r="Q910" s="3"/>
      <c r="R910" s="3"/>
      <c r="S910" s="3"/>
    </row>
    <row r="911" spans="1:19" ht="15" x14ac:dyDescent="0.25">
      <c r="A911" s="7" t="s">
        <v>16</v>
      </c>
      <c r="B911" s="7" t="s">
        <v>23</v>
      </c>
      <c r="C911" s="7" t="s">
        <v>24</v>
      </c>
      <c r="D911" s="4">
        <v>48468284000171</v>
      </c>
      <c r="E911" s="8" t="s">
        <v>705</v>
      </c>
      <c r="F911" s="8" t="s">
        <v>43</v>
      </c>
      <c r="G911" s="7" t="s">
        <v>19</v>
      </c>
      <c r="H911" s="47" t="s">
        <v>207</v>
      </c>
      <c r="I911" s="47" t="s">
        <v>208</v>
      </c>
      <c r="J911" s="6">
        <v>70</v>
      </c>
      <c r="K911" s="8" t="s">
        <v>20</v>
      </c>
      <c r="L911" s="1" t="s">
        <v>705</v>
      </c>
      <c r="M911" s="5">
        <v>100</v>
      </c>
      <c r="Q911" s="3"/>
      <c r="R911" s="3"/>
      <c r="S911" s="3"/>
    </row>
    <row r="912" spans="1:19" ht="15" x14ac:dyDescent="0.25">
      <c r="A912" s="7" t="s">
        <v>16</v>
      </c>
      <c r="B912" s="7" t="s">
        <v>23</v>
      </c>
      <c r="C912" s="7" t="s">
        <v>24</v>
      </c>
      <c r="D912" s="4">
        <v>50486026000160</v>
      </c>
      <c r="E912" s="8" t="s">
        <v>706</v>
      </c>
      <c r="F912" s="8" t="s">
        <v>44</v>
      </c>
      <c r="G912" s="7" t="s">
        <v>19</v>
      </c>
      <c r="H912" s="47" t="s">
        <v>207</v>
      </c>
      <c r="I912" s="47" t="s">
        <v>208</v>
      </c>
      <c r="J912" s="6">
        <v>70</v>
      </c>
      <c r="K912" s="8" t="s">
        <v>20</v>
      </c>
      <c r="L912" s="1" t="s">
        <v>706</v>
      </c>
      <c r="M912" s="5">
        <v>100</v>
      </c>
      <c r="Q912" s="3"/>
      <c r="R912" s="3"/>
      <c r="S912" s="3"/>
    </row>
    <row r="913" spans="1:19" ht="15" x14ac:dyDescent="0.25">
      <c r="A913" s="7" t="s">
        <v>16</v>
      </c>
      <c r="B913" s="7" t="s">
        <v>23</v>
      </c>
      <c r="C913" s="7" t="s">
        <v>24</v>
      </c>
      <c r="D913" s="4">
        <v>51093193000456</v>
      </c>
      <c r="E913" s="8" t="s">
        <v>708</v>
      </c>
      <c r="F913" s="8" t="s">
        <v>698</v>
      </c>
      <c r="G913" s="7" t="s">
        <v>19</v>
      </c>
      <c r="H913" s="47" t="s">
        <v>207</v>
      </c>
      <c r="I913" s="47" t="s">
        <v>208</v>
      </c>
      <c r="J913" s="6">
        <v>70</v>
      </c>
      <c r="K913" s="8" t="s">
        <v>20</v>
      </c>
      <c r="L913" s="1" t="s">
        <v>708</v>
      </c>
      <c r="M913" s="5">
        <v>20</v>
      </c>
      <c r="Q913" s="3"/>
      <c r="R913" s="3"/>
      <c r="S913" s="3"/>
    </row>
    <row r="914" spans="1:19" ht="15" x14ac:dyDescent="0.25">
      <c r="A914" s="7" t="s">
        <v>16</v>
      </c>
      <c r="B914" s="7" t="s">
        <v>23</v>
      </c>
      <c r="C914" s="7" t="s">
        <v>24</v>
      </c>
      <c r="D914" s="4">
        <v>51722957014302</v>
      </c>
      <c r="E914" s="8" t="s">
        <v>709</v>
      </c>
      <c r="F914" s="8" t="s">
        <v>710</v>
      </c>
      <c r="G914" s="7" t="s">
        <v>19</v>
      </c>
      <c r="H914" s="47" t="s">
        <v>207</v>
      </c>
      <c r="I914" s="47" t="s">
        <v>208</v>
      </c>
      <c r="J914" s="6">
        <v>70</v>
      </c>
      <c r="K914" s="8" t="s">
        <v>20</v>
      </c>
      <c r="L914" s="1" t="s">
        <v>709</v>
      </c>
      <c r="M914" s="5">
        <v>75</v>
      </c>
      <c r="Q914" s="3"/>
      <c r="R914" s="3"/>
      <c r="S914" s="3"/>
    </row>
    <row r="915" spans="1:19" ht="15" x14ac:dyDescent="0.25">
      <c r="A915" s="7" t="s">
        <v>16</v>
      </c>
      <c r="B915" s="7" t="s">
        <v>23</v>
      </c>
      <c r="C915" s="7" t="s">
        <v>24</v>
      </c>
      <c r="D915" s="4">
        <v>53678264000246</v>
      </c>
      <c r="E915" s="8" t="s">
        <v>716</v>
      </c>
      <c r="F915" s="8" t="s">
        <v>717</v>
      </c>
      <c r="G915" s="7" t="s">
        <v>19</v>
      </c>
      <c r="H915" s="47" t="s">
        <v>207</v>
      </c>
      <c r="I915" s="47" t="s">
        <v>208</v>
      </c>
      <c r="J915" s="6">
        <v>70</v>
      </c>
      <c r="K915" s="8" t="s">
        <v>20</v>
      </c>
      <c r="L915" s="1" t="s">
        <v>716</v>
      </c>
      <c r="M915" s="5">
        <v>80</v>
      </c>
      <c r="Q915" s="3"/>
      <c r="R915" s="3"/>
      <c r="S915" s="3"/>
    </row>
    <row r="916" spans="1:19" ht="15" x14ac:dyDescent="0.25">
      <c r="A916" s="7" t="s">
        <v>16</v>
      </c>
      <c r="B916" s="7" t="s">
        <v>23</v>
      </c>
      <c r="C916" s="7" t="s">
        <v>24</v>
      </c>
      <c r="D916" s="4">
        <v>54012406000385</v>
      </c>
      <c r="E916" s="8" t="s">
        <v>718</v>
      </c>
      <c r="F916" s="8" t="s">
        <v>45</v>
      </c>
      <c r="G916" s="7" t="s">
        <v>19</v>
      </c>
      <c r="H916" s="47" t="s">
        <v>207</v>
      </c>
      <c r="I916" s="47" t="s">
        <v>208</v>
      </c>
      <c r="J916" s="6">
        <v>70</v>
      </c>
      <c r="K916" s="8" t="s">
        <v>20</v>
      </c>
      <c r="L916" s="1" t="s">
        <v>718</v>
      </c>
      <c r="M916" s="5">
        <v>70</v>
      </c>
      <c r="Q916" s="3"/>
      <c r="R916" s="3"/>
      <c r="S916" s="3"/>
    </row>
    <row r="917" spans="1:19" ht="15" x14ac:dyDescent="0.25">
      <c r="A917" s="7" t="s">
        <v>16</v>
      </c>
      <c r="B917" s="7" t="s">
        <v>23</v>
      </c>
      <c r="C917" s="7" t="s">
        <v>24</v>
      </c>
      <c r="D917" s="4">
        <v>54370630000187</v>
      </c>
      <c r="E917" s="8" t="s">
        <v>719</v>
      </c>
      <c r="F917" s="8" t="s">
        <v>40</v>
      </c>
      <c r="G917" s="7" t="s">
        <v>19</v>
      </c>
      <c r="H917" s="47" t="s">
        <v>207</v>
      </c>
      <c r="I917" s="47" t="s">
        <v>208</v>
      </c>
      <c r="J917" s="6">
        <v>70</v>
      </c>
      <c r="K917" s="8" t="s">
        <v>20</v>
      </c>
      <c r="L917" s="1" t="s">
        <v>719</v>
      </c>
      <c r="M917" s="5">
        <v>120</v>
      </c>
      <c r="Q917" s="3"/>
      <c r="R917" s="3"/>
      <c r="S917" s="3"/>
    </row>
    <row r="918" spans="1:19" ht="15" x14ac:dyDescent="0.25">
      <c r="A918" s="7" t="s">
        <v>16</v>
      </c>
      <c r="B918" s="7" t="s">
        <v>23</v>
      </c>
      <c r="C918" s="7" t="s">
        <v>24</v>
      </c>
      <c r="D918" s="4">
        <v>57507402000102</v>
      </c>
      <c r="E918" s="8" t="s">
        <v>721</v>
      </c>
      <c r="F918" s="8" t="s">
        <v>647</v>
      </c>
      <c r="G918" s="7" t="s">
        <v>19</v>
      </c>
      <c r="H918" s="47" t="s">
        <v>207</v>
      </c>
      <c r="I918" s="47" t="s">
        <v>208</v>
      </c>
      <c r="J918" s="6">
        <v>70</v>
      </c>
      <c r="K918" s="8" t="s">
        <v>20</v>
      </c>
      <c r="L918" s="1" t="s">
        <v>721</v>
      </c>
      <c r="M918" s="5">
        <v>150</v>
      </c>
      <c r="Q918" s="3"/>
      <c r="R918" s="3"/>
      <c r="S918" s="3"/>
    </row>
    <row r="919" spans="1:19" ht="15" x14ac:dyDescent="0.25">
      <c r="A919" s="7" t="s">
        <v>16</v>
      </c>
      <c r="B919" s="7" t="s">
        <v>23</v>
      </c>
      <c r="C919" s="7" t="s">
        <v>24</v>
      </c>
      <c r="D919" s="4">
        <v>57723280000183</v>
      </c>
      <c r="E919" s="8" t="s">
        <v>724</v>
      </c>
      <c r="F919" s="8" t="s">
        <v>639</v>
      </c>
      <c r="G919" s="7" t="s">
        <v>19</v>
      </c>
      <c r="H919" s="47" t="s">
        <v>207</v>
      </c>
      <c r="I919" s="47" t="s">
        <v>208</v>
      </c>
      <c r="J919" s="6">
        <v>70</v>
      </c>
      <c r="K919" s="8" t="s">
        <v>20</v>
      </c>
      <c r="L919" s="1" t="s">
        <v>724</v>
      </c>
      <c r="M919" s="5">
        <v>5</v>
      </c>
      <c r="Q919" s="3"/>
      <c r="R919" s="3"/>
      <c r="S919" s="3"/>
    </row>
    <row r="920" spans="1:19" ht="15" x14ac:dyDescent="0.25">
      <c r="A920" s="7" t="s">
        <v>16</v>
      </c>
      <c r="B920" s="7" t="s">
        <v>23</v>
      </c>
      <c r="C920" s="7" t="s">
        <v>24</v>
      </c>
      <c r="D920" s="4">
        <v>60214517001691</v>
      </c>
      <c r="E920" s="8" t="s">
        <v>732</v>
      </c>
      <c r="F920" s="8" t="s">
        <v>650</v>
      </c>
      <c r="G920" s="7" t="s">
        <v>19</v>
      </c>
      <c r="H920" s="47" t="s">
        <v>207</v>
      </c>
      <c r="I920" s="47" t="s">
        <v>208</v>
      </c>
      <c r="J920" s="6">
        <v>70</v>
      </c>
      <c r="K920" s="8" t="s">
        <v>20</v>
      </c>
      <c r="L920" s="1" t="s">
        <v>732</v>
      </c>
      <c r="M920" s="5">
        <v>500</v>
      </c>
      <c r="Q920" s="3"/>
      <c r="R920" s="3"/>
      <c r="S920" s="3"/>
    </row>
    <row r="921" spans="1:19" ht="15" x14ac:dyDescent="0.25">
      <c r="A921" s="7" t="s">
        <v>16</v>
      </c>
      <c r="B921" s="7" t="s">
        <v>229</v>
      </c>
      <c r="C921" s="7" t="s">
        <v>24</v>
      </c>
      <c r="D921" s="4">
        <v>840048000450</v>
      </c>
      <c r="E921" s="8" t="s">
        <v>637</v>
      </c>
      <c r="F921" s="8" t="s">
        <v>30</v>
      </c>
      <c r="G921" s="7" t="s">
        <v>19</v>
      </c>
      <c r="H921" s="47" t="s">
        <v>207</v>
      </c>
      <c r="I921" s="47" t="s">
        <v>208</v>
      </c>
      <c r="J921" s="6">
        <v>70</v>
      </c>
      <c r="K921" s="8" t="s">
        <v>20</v>
      </c>
      <c r="L921" s="1" t="s">
        <v>637</v>
      </c>
      <c r="M921" s="5">
        <v>160</v>
      </c>
      <c r="Q921" s="3"/>
      <c r="R921" s="3"/>
      <c r="S921" s="3"/>
    </row>
    <row r="922" spans="1:19" ht="15" x14ac:dyDescent="0.25">
      <c r="A922" s="7" t="s">
        <v>16</v>
      </c>
      <c r="B922" s="7" t="s">
        <v>229</v>
      </c>
      <c r="C922" s="7" t="s">
        <v>24</v>
      </c>
      <c r="D922" s="4">
        <v>1613433006892</v>
      </c>
      <c r="E922" s="8" t="s">
        <v>638</v>
      </c>
      <c r="F922" s="8" t="s">
        <v>639</v>
      </c>
      <c r="G922" s="7" t="s">
        <v>19</v>
      </c>
      <c r="H922" s="47" t="s">
        <v>207</v>
      </c>
      <c r="I922" s="47" t="s">
        <v>208</v>
      </c>
      <c r="J922" s="6">
        <v>70</v>
      </c>
      <c r="K922" s="8" t="s">
        <v>20</v>
      </c>
      <c r="L922" s="1" t="s">
        <v>638</v>
      </c>
      <c r="M922" s="5">
        <v>805</v>
      </c>
      <c r="Q922" s="3"/>
      <c r="R922" s="3"/>
      <c r="S922" s="3"/>
    </row>
    <row r="923" spans="1:19" ht="15" x14ac:dyDescent="0.25">
      <c r="A923" s="7" t="s">
        <v>16</v>
      </c>
      <c r="B923" s="7" t="s">
        <v>229</v>
      </c>
      <c r="C923" s="7" t="s">
        <v>24</v>
      </c>
      <c r="D923" s="4">
        <v>10576443000189</v>
      </c>
      <c r="E923" s="8" t="s">
        <v>659</v>
      </c>
      <c r="F923" s="8" t="s">
        <v>643</v>
      </c>
      <c r="G923" s="7" t="s">
        <v>19</v>
      </c>
      <c r="H923" s="47" t="s">
        <v>207</v>
      </c>
      <c r="I923" s="47" t="s">
        <v>208</v>
      </c>
      <c r="J923" s="6">
        <v>70</v>
      </c>
      <c r="K923" s="8" t="s">
        <v>20</v>
      </c>
      <c r="L923" s="1" t="s">
        <v>659</v>
      </c>
      <c r="M923" s="5">
        <v>185</v>
      </c>
      <c r="Q923" s="3"/>
      <c r="R923" s="3"/>
      <c r="S923" s="3"/>
    </row>
    <row r="924" spans="1:19" ht="15" x14ac:dyDescent="0.25">
      <c r="A924" s="7" t="s">
        <v>16</v>
      </c>
      <c r="B924" s="7" t="s">
        <v>229</v>
      </c>
      <c r="C924" s="7" t="s">
        <v>24</v>
      </c>
      <c r="D924" s="4">
        <v>10868295000176</v>
      </c>
      <c r="E924" s="8" t="s">
        <v>660</v>
      </c>
      <c r="F924" s="8" t="s">
        <v>35</v>
      </c>
      <c r="G924" s="7" t="s">
        <v>19</v>
      </c>
      <c r="H924" s="47" t="s">
        <v>207</v>
      </c>
      <c r="I924" s="47" t="s">
        <v>208</v>
      </c>
      <c r="J924" s="6">
        <v>70</v>
      </c>
      <c r="K924" s="8" t="s">
        <v>20</v>
      </c>
      <c r="L924" s="1" t="s">
        <v>660</v>
      </c>
      <c r="M924" s="5">
        <v>270</v>
      </c>
      <c r="Q924" s="3"/>
      <c r="R924" s="3"/>
      <c r="S924" s="3"/>
    </row>
    <row r="925" spans="1:19" ht="15" x14ac:dyDescent="0.25">
      <c r="A925" s="7" t="s">
        <v>16</v>
      </c>
      <c r="B925" s="7" t="s">
        <v>229</v>
      </c>
      <c r="C925" s="7" t="s">
        <v>24</v>
      </c>
      <c r="D925" s="4">
        <v>25026561000190</v>
      </c>
      <c r="E925" s="8" t="s">
        <v>666</v>
      </c>
      <c r="F925" s="8" t="s">
        <v>34</v>
      </c>
      <c r="G925" s="7" t="s">
        <v>19</v>
      </c>
      <c r="H925" s="47" t="s">
        <v>207</v>
      </c>
      <c r="I925" s="47" t="s">
        <v>208</v>
      </c>
      <c r="J925" s="6">
        <v>70</v>
      </c>
      <c r="K925" s="8" t="s">
        <v>20</v>
      </c>
      <c r="L925" s="1" t="s">
        <v>666</v>
      </c>
      <c r="M925" s="5">
        <v>40</v>
      </c>
      <c r="Q925" s="3"/>
      <c r="R925" s="3"/>
      <c r="S925" s="3"/>
    </row>
    <row r="926" spans="1:19" ht="15" x14ac:dyDescent="0.25">
      <c r="A926" s="7" t="s">
        <v>16</v>
      </c>
      <c r="B926" s="7" t="s">
        <v>229</v>
      </c>
      <c r="C926" s="7" t="s">
        <v>24</v>
      </c>
      <c r="D926" s="4">
        <v>29435005008456</v>
      </c>
      <c r="E926" s="8" t="s">
        <v>672</v>
      </c>
      <c r="F926" s="8" t="s">
        <v>33</v>
      </c>
      <c r="G926" s="7" t="s">
        <v>19</v>
      </c>
      <c r="H926" s="47" t="s">
        <v>207</v>
      </c>
      <c r="I926" s="47" t="s">
        <v>208</v>
      </c>
      <c r="J926" s="6">
        <v>70</v>
      </c>
      <c r="K926" s="8" t="s">
        <v>20</v>
      </c>
      <c r="L926" s="1" t="s">
        <v>672</v>
      </c>
      <c r="M926" s="5">
        <v>250</v>
      </c>
      <c r="Q926" s="3"/>
      <c r="R926" s="3"/>
      <c r="S926" s="3"/>
    </row>
    <row r="927" spans="1:19" ht="15" x14ac:dyDescent="0.25">
      <c r="A927" s="7" t="s">
        <v>16</v>
      </c>
      <c r="B927" s="7" t="s">
        <v>229</v>
      </c>
      <c r="C927" s="7" t="s">
        <v>24</v>
      </c>
      <c r="D927" s="4">
        <v>44732469000190</v>
      </c>
      <c r="E927" s="8" t="s">
        <v>1224</v>
      </c>
      <c r="F927" s="8" t="s">
        <v>1225</v>
      </c>
      <c r="G927" s="7" t="s">
        <v>19</v>
      </c>
      <c r="H927" s="47" t="s">
        <v>207</v>
      </c>
      <c r="I927" s="47" t="s">
        <v>208</v>
      </c>
      <c r="J927" s="6">
        <v>70</v>
      </c>
      <c r="K927" s="8" t="s">
        <v>20</v>
      </c>
      <c r="L927" s="1" t="s">
        <v>1224</v>
      </c>
      <c r="M927" s="5">
        <v>55</v>
      </c>
      <c r="Q927" s="3"/>
      <c r="R927" s="3"/>
      <c r="S927" s="3"/>
    </row>
    <row r="928" spans="1:19" ht="15" x14ac:dyDescent="0.25">
      <c r="A928" s="7" t="s">
        <v>16</v>
      </c>
      <c r="B928" s="7" t="s">
        <v>229</v>
      </c>
      <c r="C928" s="7" t="s">
        <v>24</v>
      </c>
      <c r="D928" s="4">
        <v>45118429001279</v>
      </c>
      <c r="E928" s="8" t="s">
        <v>683</v>
      </c>
      <c r="F928" s="8" t="s">
        <v>41</v>
      </c>
      <c r="G928" s="7" t="s">
        <v>19</v>
      </c>
      <c r="H928" s="47" t="s">
        <v>207</v>
      </c>
      <c r="I928" s="47" t="s">
        <v>208</v>
      </c>
      <c r="J928" s="6">
        <v>70</v>
      </c>
      <c r="K928" s="8" t="s">
        <v>20</v>
      </c>
      <c r="L928" s="1" t="s">
        <v>683</v>
      </c>
      <c r="M928" s="5">
        <v>50</v>
      </c>
      <c r="Q928" s="3"/>
      <c r="R928" s="3"/>
      <c r="S928" s="3"/>
    </row>
    <row r="929" spans="1:19" ht="15" x14ac:dyDescent="0.25">
      <c r="A929" s="7" t="s">
        <v>16</v>
      </c>
      <c r="B929" s="7" t="s">
        <v>229</v>
      </c>
      <c r="C929" s="7" t="s">
        <v>24</v>
      </c>
      <c r="D929" s="4">
        <v>45232246000550</v>
      </c>
      <c r="E929" s="8" t="s">
        <v>685</v>
      </c>
      <c r="F929" s="8" t="s">
        <v>639</v>
      </c>
      <c r="G929" s="7" t="s">
        <v>19</v>
      </c>
      <c r="H929" s="47" t="s">
        <v>207</v>
      </c>
      <c r="I929" s="47" t="s">
        <v>208</v>
      </c>
      <c r="J929" s="6">
        <v>70</v>
      </c>
      <c r="K929" s="8" t="s">
        <v>20</v>
      </c>
      <c r="L929" s="1" t="s">
        <v>685</v>
      </c>
      <c r="M929" s="5">
        <v>80</v>
      </c>
      <c r="Q929" s="3"/>
      <c r="R929" s="3"/>
      <c r="S929" s="3"/>
    </row>
    <row r="930" spans="1:19" ht="15" x14ac:dyDescent="0.25">
      <c r="A930" s="7" t="s">
        <v>16</v>
      </c>
      <c r="B930" s="7" t="s">
        <v>229</v>
      </c>
      <c r="C930" s="7" t="s">
        <v>24</v>
      </c>
      <c r="D930" s="4">
        <v>45399961000230</v>
      </c>
      <c r="E930" s="8" t="s">
        <v>688</v>
      </c>
      <c r="F930" s="8" t="s">
        <v>42</v>
      </c>
      <c r="G930" s="7" t="s">
        <v>19</v>
      </c>
      <c r="H930" s="47" t="s">
        <v>207</v>
      </c>
      <c r="I930" s="47" t="s">
        <v>208</v>
      </c>
      <c r="J930" s="6">
        <v>70</v>
      </c>
      <c r="K930" s="8" t="s">
        <v>20</v>
      </c>
      <c r="L930" s="1" t="s">
        <v>688</v>
      </c>
      <c r="M930" s="5">
        <v>250</v>
      </c>
      <c r="Q930" s="3"/>
      <c r="R930" s="3"/>
      <c r="S930" s="3"/>
    </row>
    <row r="931" spans="1:19" ht="15" x14ac:dyDescent="0.25">
      <c r="A931" s="7" t="s">
        <v>16</v>
      </c>
      <c r="B931" s="7" t="s">
        <v>229</v>
      </c>
      <c r="C931" s="7" t="s">
        <v>24</v>
      </c>
      <c r="D931" s="4">
        <v>46124624000111</v>
      </c>
      <c r="E931" s="8" t="s">
        <v>693</v>
      </c>
      <c r="F931" s="8" t="s">
        <v>33</v>
      </c>
      <c r="G931" s="7" t="s">
        <v>19</v>
      </c>
      <c r="H931" s="47" t="s">
        <v>207</v>
      </c>
      <c r="I931" s="47" t="s">
        <v>208</v>
      </c>
      <c r="J931" s="6">
        <v>70</v>
      </c>
      <c r="K931" s="8" t="s">
        <v>20</v>
      </c>
      <c r="L931" s="1" t="s">
        <v>693</v>
      </c>
      <c r="M931" s="5">
        <v>690</v>
      </c>
      <c r="Q931" s="3"/>
      <c r="R931" s="3"/>
      <c r="S931" s="3"/>
    </row>
    <row r="932" spans="1:19" ht="15" x14ac:dyDescent="0.25">
      <c r="A932" s="7" t="s">
        <v>16</v>
      </c>
      <c r="B932" s="7" t="s">
        <v>229</v>
      </c>
      <c r="C932" s="7" t="s">
        <v>24</v>
      </c>
      <c r="D932" s="4">
        <v>46124624002599</v>
      </c>
      <c r="E932" s="8" t="s">
        <v>694</v>
      </c>
      <c r="F932" s="8" t="s">
        <v>695</v>
      </c>
      <c r="G932" s="7" t="s">
        <v>19</v>
      </c>
      <c r="H932" s="47" t="s">
        <v>207</v>
      </c>
      <c r="I932" s="47" t="s">
        <v>208</v>
      </c>
      <c r="J932" s="6">
        <v>70</v>
      </c>
      <c r="K932" s="8" t="s">
        <v>20</v>
      </c>
      <c r="L932" s="1" t="s">
        <v>694</v>
      </c>
      <c r="M932" s="5">
        <v>300</v>
      </c>
      <c r="Q932" s="3"/>
      <c r="R932" s="3"/>
      <c r="S932" s="3"/>
    </row>
    <row r="933" spans="1:19" ht="15" x14ac:dyDescent="0.25">
      <c r="A933" s="7" t="s">
        <v>16</v>
      </c>
      <c r="B933" s="7" t="s">
        <v>229</v>
      </c>
      <c r="C933" s="7" t="s">
        <v>24</v>
      </c>
      <c r="D933" s="4">
        <v>46374500003533</v>
      </c>
      <c r="E933" s="8" t="s">
        <v>696</v>
      </c>
      <c r="F933" s="8" t="s">
        <v>639</v>
      </c>
      <c r="G933" s="7" t="s">
        <v>19</v>
      </c>
      <c r="H933" s="47" t="s">
        <v>207</v>
      </c>
      <c r="I933" s="47" t="s">
        <v>208</v>
      </c>
      <c r="J933" s="6">
        <v>70</v>
      </c>
      <c r="K933" s="8" t="s">
        <v>20</v>
      </c>
      <c r="L933" s="1" t="s">
        <v>696</v>
      </c>
      <c r="M933" s="5">
        <v>1000</v>
      </c>
      <c r="Q933" s="3"/>
      <c r="R933" s="3"/>
      <c r="S933" s="3"/>
    </row>
    <row r="934" spans="1:19" ht="15" x14ac:dyDescent="0.25">
      <c r="A934" s="7" t="s">
        <v>16</v>
      </c>
      <c r="B934" s="7" t="s">
        <v>229</v>
      </c>
      <c r="C934" s="7" t="s">
        <v>24</v>
      </c>
      <c r="D934" s="4">
        <v>50486026000160</v>
      </c>
      <c r="E934" s="8" t="s">
        <v>706</v>
      </c>
      <c r="F934" s="8" t="s">
        <v>44</v>
      </c>
      <c r="G934" s="7" t="s">
        <v>19</v>
      </c>
      <c r="H934" s="47" t="s">
        <v>207</v>
      </c>
      <c r="I934" s="47" t="s">
        <v>208</v>
      </c>
      <c r="J934" s="6">
        <v>70</v>
      </c>
      <c r="K934" s="8" t="s">
        <v>20</v>
      </c>
      <c r="L934" s="1" t="s">
        <v>706</v>
      </c>
      <c r="M934" s="5">
        <v>100</v>
      </c>
      <c r="Q934" s="3"/>
      <c r="R934" s="3"/>
      <c r="S934" s="3"/>
    </row>
    <row r="935" spans="1:19" ht="15" x14ac:dyDescent="0.25">
      <c r="A935" s="7" t="s">
        <v>16</v>
      </c>
      <c r="B935" s="7" t="s">
        <v>229</v>
      </c>
      <c r="C935" s="7" t="s">
        <v>24</v>
      </c>
      <c r="D935" s="4">
        <v>51093193000456</v>
      </c>
      <c r="E935" s="8" t="s">
        <v>708</v>
      </c>
      <c r="F935" s="8" t="s">
        <v>698</v>
      </c>
      <c r="G935" s="7" t="s">
        <v>19</v>
      </c>
      <c r="H935" s="47" t="s">
        <v>207</v>
      </c>
      <c r="I935" s="47" t="s">
        <v>208</v>
      </c>
      <c r="J935" s="6">
        <v>70</v>
      </c>
      <c r="K935" s="8" t="s">
        <v>20</v>
      </c>
      <c r="L935" s="1" t="s">
        <v>708</v>
      </c>
      <c r="M935" s="5">
        <v>20</v>
      </c>
      <c r="Q935" s="3"/>
      <c r="R935" s="3"/>
      <c r="S935" s="3"/>
    </row>
    <row r="936" spans="1:19" ht="15" x14ac:dyDescent="0.25">
      <c r="A936" s="7" t="s">
        <v>16</v>
      </c>
      <c r="B936" s="7" t="s">
        <v>229</v>
      </c>
      <c r="C936" s="7" t="s">
        <v>24</v>
      </c>
      <c r="D936" s="4">
        <v>54012406000385</v>
      </c>
      <c r="E936" s="8" t="s">
        <v>718</v>
      </c>
      <c r="F936" s="8" t="s">
        <v>45</v>
      </c>
      <c r="G936" s="7" t="s">
        <v>19</v>
      </c>
      <c r="H936" s="47" t="s">
        <v>207</v>
      </c>
      <c r="I936" s="47" t="s">
        <v>208</v>
      </c>
      <c r="J936" s="6">
        <v>70</v>
      </c>
      <c r="K936" s="8" t="s">
        <v>20</v>
      </c>
      <c r="L936" s="1" t="s">
        <v>718</v>
      </c>
      <c r="M936" s="5">
        <v>65</v>
      </c>
      <c r="Q936" s="3"/>
      <c r="R936" s="3"/>
      <c r="S936" s="3"/>
    </row>
    <row r="937" spans="1:19" ht="15" x14ac:dyDescent="0.25">
      <c r="A937" s="7" t="s">
        <v>16</v>
      </c>
      <c r="B937" s="7" t="s">
        <v>229</v>
      </c>
      <c r="C937" s="7" t="s">
        <v>24</v>
      </c>
      <c r="D937" s="4">
        <v>57723280000183</v>
      </c>
      <c r="E937" s="8" t="s">
        <v>724</v>
      </c>
      <c r="F937" s="8" t="s">
        <v>639</v>
      </c>
      <c r="G937" s="7" t="s">
        <v>19</v>
      </c>
      <c r="H937" s="47" t="s">
        <v>207</v>
      </c>
      <c r="I937" s="47" t="s">
        <v>208</v>
      </c>
      <c r="J937" s="6">
        <v>70</v>
      </c>
      <c r="K937" s="8" t="s">
        <v>20</v>
      </c>
      <c r="L937" s="1" t="s">
        <v>724</v>
      </c>
      <c r="M937" s="5">
        <v>35</v>
      </c>
      <c r="Q937" s="3"/>
      <c r="R937" s="3"/>
      <c r="S937" s="3"/>
    </row>
    <row r="938" spans="1:19" ht="15" x14ac:dyDescent="0.25">
      <c r="A938" s="7" t="s">
        <v>16</v>
      </c>
      <c r="B938" s="7" t="s">
        <v>229</v>
      </c>
      <c r="C938" s="7" t="s">
        <v>24</v>
      </c>
      <c r="D938" s="4">
        <v>60214517001691</v>
      </c>
      <c r="E938" s="8" t="s">
        <v>732</v>
      </c>
      <c r="F938" s="8" t="s">
        <v>650</v>
      </c>
      <c r="G938" s="7" t="s">
        <v>19</v>
      </c>
      <c r="H938" s="47" t="s">
        <v>207</v>
      </c>
      <c r="I938" s="47" t="s">
        <v>208</v>
      </c>
      <c r="J938" s="6">
        <v>70</v>
      </c>
      <c r="K938" s="8" t="s">
        <v>20</v>
      </c>
      <c r="L938" s="1" t="s">
        <v>732</v>
      </c>
      <c r="M938" s="5">
        <v>35</v>
      </c>
      <c r="Q938" s="3"/>
      <c r="R938" s="3"/>
      <c r="S938" s="3"/>
    </row>
    <row r="939" spans="1:19" ht="15" x14ac:dyDescent="0.25">
      <c r="A939" s="7" t="s">
        <v>16</v>
      </c>
      <c r="B939" s="7" t="s">
        <v>229</v>
      </c>
      <c r="C939" s="7" t="s">
        <v>24</v>
      </c>
      <c r="D939" s="4">
        <v>61699567000869</v>
      </c>
      <c r="E939" s="8" t="s">
        <v>1233</v>
      </c>
      <c r="F939" s="8" t="s">
        <v>710</v>
      </c>
      <c r="G939" s="7" t="s">
        <v>19</v>
      </c>
      <c r="H939" s="47" t="s">
        <v>207</v>
      </c>
      <c r="I939" s="47" t="s">
        <v>208</v>
      </c>
      <c r="J939" s="6">
        <v>70</v>
      </c>
      <c r="K939" s="8" t="s">
        <v>20</v>
      </c>
      <c r="L939" s="1" t="s">
        <v>1233</v>
      </c>
      <c r="M939" s="5">
        <v>160</v>
      </c>
      <c r="Q939" s="3"/>
      <c r="R939" s="3"/>
      <c r="S939" s="3"/>
    </row>
    <row r="940" spans="1:19" ht="15" x14ac:dyDescent="0.25">
      <c r="A940" s="7" t="s">
        <v>16</v>
      </c>
      <c r="B940" s="7" t="s">
        <v>229</v>
      </c>
      <c r="C940" s="7" t="s">
        <v>24</v>
      </c>
      <c r="D940" s="4">
        <v>61699567008924</v>
      </c>
      <c r="E940" s="8" t="s">
        <v>1234</v>
      </c>
      <c r="F940" s="8" t="s">
        <v>1213</v>
      </c>
      <c r="G940" s="7" t="s">
        <v>19</v>
      </c>
      <c r="H940" s="47" t="s">
        <v>207</v>
      </c>
      <c r="I940" s="47" t="s">
        <v>208</v>
      </c>
      <c r="J940" s="6">
        <v>70</v>
      </c>
      <c r="K940" s="8" t="s">
        <v>20</v>
      </c>
      <c r="L940" s="1" t="s">
        <v>1234</v>
      </c>
      <c r="M940" s="5">
        <v>30</v>
      </c>
      <c r="Q940" s="3"/>
      <c r="R940" s="3"/>
      <c r="S940" s="3"/>
    </row>
    <row r="941" spans="1:19" ht="15" x14ac:dyDescent="0.25">
      <c r="A941" s="7" t="s">
        <v>16</v>
      </c>
      <c r="B941" s="7" t="s">
        <v>230</v>
      </c>
      <c r="C941" s="7" t="s">
        <v>24</v>
      </c>
      <c r="D941" s="4">
        <v>840048000450</v>
      </c>
      <c r="E941" s="8" t="s">
        <v>637</v>
      </c>
      <c r="F941" s="8" t="s">
        <v>30</v>
      </c>
      <c r="G941" s="7" t="s">
        <v>19</v>
      </c>
      <c r="H941" s="47" t="s">
        <v>207</v>
      </c>
      <c r="I941" s="47" t="s">
        <v>208</v>
      </c>
      <c r="J941" s="6">
        <v>70</v>
      </c>
      <c r="K941" s="8" t="s">
        <v>20</v>
      </c>
      <c r="L941" s="1" t="s">
        <v>637</v>
      </c>
      <c r="M941" s="5">
        <v>20</v>
      </c>
      <c r="Q941" s="3"/>
      <c r="R941" s="3"/>
      <c r="S941" s="3"/>
    </row>
    <row r="942" spans="1:19" ht="15" x14ac:dyDescent="0.25">
      <c r="A942" s="7" t="s">
        <v>16</v>
      </c>
      <c r="B942" s="7" t="s">
        <v>230</v>
      </c>
      <c r="C942" s="7" t="s">
        <v>24</v>
      </c>
      <c r="D942" s="4">
        <v>1613433006892</v>
      </c>
      <c r="E942" s="8" t="s">
        <v>638</v>
      </c>
      <c r="F942" s="8" t="s">
        <v>639</v>
      </c>
      <c r="G942" s="7" t="s">
        <v>19</v>
      </c>
      <c r="H942" s="47" t="s">
        <v>207</v>
      </c>
      <c r="I942" s="47" t="s">
        <v>208</v>
      </c>
      <c r="J942" s="6">
        <v>70</v>
      </c>
      <c r="K942" s="8" t="s">
        <v>20</v>
      </c>
      <c r="L942" s="1" t="s">
        <v>638</v>
      </c>
      <c r="M942" s="5">
        <v>565</v>
      </c>
      <c r="Q942" s="3"/>
      <c r="R942" s="3"/>
      <c r="S942" s="3"/>
    </row>
    <row r="943" spans="1:19" ht="15" x14ac:dyDescent="0.25">
      <c r="A943" s="7" t="s">
        <v>16</v>
      </c>
      <c r="B943" s="7" t="s">
        <v>230</v>
      </c>
      <c r="C943" s="7" t="s">
        <v>24</v>
      </c>
      <c r="D943" s="4">
        <v>1773319000201</v>
      </c>
      <c r="E943" s="8" t="s">
        <v>1373</v>
      </c>
      <c r="F943" s="8" t="s">
        <v>1374</v>
      </c>
      <c r="G943" s="7" t="s">
        <v>19</v>
      </c>
      <c r="H943" s="47" t="s">
        <v>207</v>
      </c>
      <c r="I943" s="47" t="s">
        <v>208</v>
      </c>
      <c r="J943" s="6">
        <v>70</v>
      </c>
      <c r="K943" s="8" t="s">
        <v>20</v>
      </c>
      <c r="L943" s="1" t="s">
        <v>1373</v>
      </c>
      <c r="M943" s="5">
        <v>35</v>
      </c>
      <c r="Q943" s="3"/>
      <c r="R943" s="3"/>
      <c r="S943" s="3"/>
    </row>
    <row r="944" spans="1:19" ht="15" x14ac:dyDescent="0.25">
      <c r="A944" s="7" t="s">
        <v>16</v>
      </c>
      <c r="B944" s="7" t="s">
        <v>230</v>
      </c>
      <c r="C944" s="7" t="s">
        <v>24</v>
      </c>
      <c r="D944" s="4">
        <v>8100676000401</v>
      </c>
      <c r="E944" s="8" t="s">
        <v>1365</v>
      </c>
      <c r="F944" s="8" t="s">
        <v>674</v>
      </c>
      <c r="G944" s="7" t="s">
        <v>19</v>
      </c>
      <c r="H944" s="47" t="s">
        <v>207</v>
      </c>
      <c r="I944" s="47" t="s">
        <v>208</v>
      </c>
      <c r="J944" s="6">
        <v>70</v>
      </c>
      <c r="K944" s="8" t="s">
        <v>20</v>
      </c>
      <c r="L944" s="1" t="s">
        <v>1365</v>
      </c>
      <c r="M944" s="5">
        <v>50</v>
      </c>
      <c r="Q944" s="3"/>
      <c r="R944" s="3"/>
      <c r="S944" s="3"/>
    </row>
    <row r="945" spans="1:19" ht="15" x14ac:dyDescent="0.25">
      <c r="A945" s="7" t="s">
        <v>16</v>
      </c>
      <c r="B945" s="7" t="s">
        <v>230</v>
      </c>
      <c r="C945" s="7" t="s">
        <v>24</v>
      </c>
      <c r="D945" s="4">
        <v>10447300000177</v>
      </c>
      <c r="E945" s="8" t="s">
        <v>658</v>
      </c>
      <c r="F945" s="8" t="s">
        <v>33</v>
      </c>
      <c r="G945" s="7" t="s">
        <v>19</v>
      </c>
      <c r="H945" s="47" t="s">
        <v>207</v>
      </c>
      <c r="I945" s="47" t="s">
        <v>208</v>
      </c>
      <c r="J945" s="6">
        <v>70</v>
      </c>
      <c r="K945" s="8" t="s">
        <v>20</v>
      </c>
      <c r="L945" s="1" t="s">
        <v>658</v>
      </c>
      <c r="M945" s="5">
        <v>30</v>
      </c>
      <c r="Q945" s="3"/>
      <c r="R945" s="3"/>
      <c r="S945" s="3"/>
    </row>
    <row r="946" spans="1:19" ht="15" x14ac:dyDescent="0.25">
      <c r="A946" s="7" t="s">
        <v>16</v>
      </c>
      <c r="B946" s="7" t="s">
        <v>230</v>
      </c>
      <c r="C946" s="7" t="s">
        <v>24</v>
      </c>
      <c r="D946" s="4">
        <v>10576443000189</v>
      </c>
      <c r="E946" s="8" t="s">
        <v>659</v>
      </c>
      <c r="F946" s="8" t="s">
        <v>643</v>
      </c>
      <c r="G946" s="7" t="s">
        <v>19</v>
      </c>
      <c r="H946" s="47" t="s">
        <v>207</v>
      </c>
      <c r="I946" s="47" t="s">
        <v>208</v>
      </c>
      <c r="J946" s="6">
        <v>70</v>
      </c>
      <c r="K946" s="8" t="s">
        <v>20</v>
      </c>
      <c r="L946" s="1" t="s">
        <v>659</v>
      </c>
      <c r="M946" s="5">
        <v>185</v>
      </c>
      <c r="Q946" s="3"/>
      <c r="R946" s="3"/>
      <c r="S946" s="3"/>
    </row>
    <row r="947" spans="1:19" ht="15" x14ac:dyDescent="0.25">
      <c r="A947" s="7" t="s">
        <v>16</v>
      </c>
      <c r="B947" s="7" t="s">
        <v>230</v>
      </c>
      <c r="C947" s="7" t="s">
        <v>24</v>
      </c>
      <c r="D947" s="4">
        <v>13718999001041</v>
      </c>
      <c r="E947" s="8" t="s">
        <v>662</v>
      </c>
      <c r="F947" s="8" t="s">
        <v>647</v>
      </c>
      <c r="G947" s="7" t="s">
        <v>19</v>
      </c>
      <c r="H947" s="47" t="s">
        <v>207</v>
      </c>
      <c r="I947" s="47" t="s">
        <v>208</v>
      </c>
      <c r="J947" s="6">
        <v>70</v>
      </c>
      <c r="K947" s="8" t="s">
        <v>20</v>
      </c>
      <c r="L947" s="1" t="s">
        <v>662</v>
      </c>
      <c r="M947" s="5">
        <v>80</v>
      </c>
      <c r="Q947" s="3"/>
      <c r="R947" s="3"/>
      <c r="S947" s="3"/>
    </row>
    <row r="948" spans="1:19" ht="15" x14ac:dyDescent="0.25">
      <c r="A948" s="7" t="s">
        <v>16</v>
      </c>
      <c r="B948" s="7" t="s">
        <v>230</v>
      </c>
      <c r="C948" s="7" t="s">
        <v>24</v>
      </c>
      <c r="D948" s="4">
        <v>29435005008456</v>
      </c>
      <c r="E948" s="8" t="s">
        <v>672</v>
      </c>
      <c r="F948" s="8" t="s">
        <v>33</v>
      </c>
      <c r="G948" s="7" t="s">
        <v>19</v>
      </c>
      <c r="H948" s="47" t="s">
        <v>207</v>
      </c>
      <c r="I948" s="47" t="s">
        <v>208</v>
      </c>
      <c r="J948" s="6">
        <v>70</v>
      </c>
      <c r="K948" s="8" t="s">
        <v>20</v>
      </c>
      <c r="L948" s="1" t="s">
        <v>672</v>
      </c>
      <c r="M948" s="5">
        <v>50</v>
      </c>
      <c r="Q948" s="3"/>
      <c r="R948" s="3"/>
      <c r="S948" s="3"/>
    </row>
    <row r="949" spans="1:19" ht="15" x14ac:dyDescent="0.25">
      <c r="A949" s="7" t="s">
        <v>16</v>
      </c>
      <c r="B949" s="7" t="s">
        <v>230</v>
      </c>
      <c r="C949" s="7" t="s">
        <v>24</v>
      </c>
      <c r="D949" s="4">
        <v>44595700000141</v>
      </c>
      <c r="E949" s="8" t="s">
        <v>1375</v>
      </c>
      <c r="F949" s="8" t="s">
        <v>33</v>
      </c>
      <c r="G949" s="7" t="s">
        <v>19</v>
      </c>
      <c r="H949" s="47" t="s">
        <v>207</v>
      </c>
      <c r="I949" s="47" t="s">
        <v>208</v>
      </c>
      <c r="J949" s="6">
        <v>70</v>
      </c>
      <c r="K949" s="8" t="s">
        <v>20</v>
      </c>
      <c r="L949" s="1" t="s">
        <v>1375</v>
      </c>
      <c r="M949" s="5">
        <v>45</v>
      </c>
      <c r="Q949" s="3"/>
      <c r="R949" s="3"/>
      <c r="S949" s="3"/>
    </row>
    <row r="950" spans="1:19" ht="15" x14ac:dyDescent="0.25">
      <c r="A950" s="7" t="s">
        <v>16</v>
      </c>
      <c r="B950" s="7" t="s">
        <v>230</v>
      </c>
      <c r="C950" s="7" t="s">
        <v>24</v>
      </c>
      <c r="D950" s="4">
        <v>44663631000590</v>
      </c>
      <c r="E950" s="8" t="s">
        <v>680</v>
      </c>
      <c r="F950" s="8" t="s">
        <v>39</v>
      </c>
      <c r="G950" s="7" t="s">
        <v>19</v>
      </c>
      <c r="H950" s="47" t="s">
        <v>207</v>
      </c>
      <c r="I950" s="47" t="s">
        <v>208</v>
      </c>
      <c r="J950" s="6">
        <v>70</v>
      </c>
      <c r="K950" s="8" t="s">
        <v>20</v>
      </c>
      <c r="L950" s="1" t="s">
        <v>680</v>
      </c>
      <c r="M950" s="5">
        <v>30</v>
      </c>
      <c r="Q950" s="3"/>
      <c r="R950" s="3"/>
      <c r="S950" s="3"/>
    </row>
    <row r="951" spans="1:19" ht="15" x14ac:dyDescent="0.25">
      <c r="A951" s="7" t="s">
        <v>16</v>
      </c>
      <c r="B951" s="7" t="s">
        <v>230</v>
      </c>
      <c r="C951" s="7" t="s">
        <v>24</v>
      </c>
      <c r="D951" s="4">
        <v>44863959000126</v>
      </c>
      <c r="E951" s="8" t="s">
        <v>682</v>
      </c>
      <c r="F951" s="8" t="s">
        <v>544</v>
      </c>
      <c r="G951" s="7" t="s">
        <v>19</v>
      </c>
      <c r="H951" s="47" t="s">
        <v>207</v>
      </c>
      <c r="I951" s="47" t="s">
        <v>208</v>
      </c>
      <c r="J951" s="6">
        <v>70</v>
      </c>
      <c r="K951" s="8" t="s">
        <v>20</v>
      </c>
      <c r="L951" s="1" t="s">
        <v>682</v>
      </c>
      <c r="M951" s="5">
        <v>30</v>
      </c>
      <c r="Q951" s="3"/>
      <c r="R951" s="3"/>
      <c r="S951" s="3"/>
    </row>
    <row r="952" spans="1:19" ht="15" x14ac:dyDescent="0.25">
      <c r="A952" s="7" t="s">
        <v>16</v>
      </c>
      <c r="B952" s="7" t="s">
        <v>230</v>
      </c>
      <c r="C952" s="7" t="s">
        <v>24</v>
      </c>
      <c r="D952" s="4">
        <v>45118429001279</v>
      </c>
      <c r="E952" s="8" t="s">
        <v>683</v>
      </c>
      <c r="F952" s="8" t="s">
        <v>41</v>
      </c>
      <c r="G952" s="7" t="s">
        <v>19</v>
      </c>
      <c r="H952" s="47" t="s">
        <v>207</v>
      </c>
      <c r="I952" s="47" t="s">
        <v>208</v>
      </c>
      <c r="J952" s="6">
        <v>70</v>
      </c>
      <c r="K952" s="8" t="s">
        <v>20</v>
      </c>
      <c r="L952" s="1" t="s">
        <v>683</v>
      </c>
      <c r="M952" s="5">
        <v>100</v>
      </c>
      <c r="Q952" s="3"/>
      <c r="R952" s="3"/>
      <c r="S952" s="3"/>
    </row>
    <row r="953" spans="1:19" ht="15" x14ac:dyDescent="0.25">
      <c r="A953" s="7" t="s">
        <v>16</v>
      </c>
      <c r="B953" s="7" t="s">
        <v>230</v>
      </c>
      <c r="C953" s="7" t="s">
        <v>24</v>
      </c>
      <c r="D953" s="4">
        <v>45232246000550</v>
      </c>
      <c r="E953" s="8" t="s">
        <v>685</v>
      </c>
      <c r="F953" s="8" t="s">
        <v>639</v>
      </c>
      <c r="G953" s="7" t="s">
        <v>19</v>
      </c>
      <c r="H953" s="47" t="s">
        <v>207</v>
      </c>
      <c r="I953" s="47" t="s">
        <v>208</v>
      </c>
      <c r="J953" s="6">
        <v>70</v>
      </c>
      <c r="K953" s="8" t="s">
        <v>20</v>
      </c>
      <c r="L953" s="1" t="s">
        <v>685</v>
      </c>
      <c r="M953" s="5">
        <v>175</v>
      </c>
      <c r="Q953" s="3"/>
      <c r="R953" s="3"/>
      <c r="S953" s="3"/>
    </row>
    <row r="954" spans="1:19" ht="15" x14ac:dyDescent="0.25">
      <c r="A954" s="7" t="s">
        <v>16</v>
      </c>
      <c r="B954" s="7" t="s">
        <v>230</v>
      </c>
      <c r="C954" s="7" t="s">
        <v>24</v>
      </c>
      <c r="D954" s="4">
        <v>45399961000230</v>
      </c>
      <c r="E954" s="8" t="s">
        <v>688</v>
      </c>
      <c r="F954" s="8" t="s">
        <v>42</v>
      </c>
      <c r="G954" s="7" t="s">
        <v>19</v>
      </c>
      <c r="H954" s="47" t="s">
        <v>207</v>
      </c>
      <c r="I954" s="47" t="s">
        <v>208</v>
      </c>
      <c r="J954" s="6">
        <v>70</v>
      </c>
      <c r="K954" s="8" t="s">
        <v>20</v>
      </c>
      <c r="L954" s="1" t="s">
        <v>688</v>
      </c>
      <c r="M954" s="5">
        <v>200</v>
      </c>
      <c r="Q954" s="3"/>
      <c r="R954" s="3"/>
      <c r="S954" s="3"/>
    </row>
    <row r="955" spans="1:19" ht="15" x14ac:dyDescent="0.25">
      <c r="A955" s="7" t="s">
        <v>16</v>
      </c>
      <c r="B955" s="7" t="s">
        <v>230</v>
      </c>
      <c r="C955" s="7" t="s">
        <v>24</v>
      </c>
      <c r="D955" s="4">
        <v>46009718000140</v>
      </c>
      <c r="E955" s="8" t="s">
        <v>690</v>
      </c>
      <c r="F955" s="8" t="s">
        <v>33</v>
      </c>
      <c r="G955" s="7" t="s">
        <v>19</v>
      </c>
      <c r="H955" s="47" t="s">
        <v>207</v>
      </c>
      <c r="I955" s="47" t="s">
        <v>208</v>
      </c>
      <c r="J955" s="6">
        <v>70</v>
      </c>
      <c r="K955" s="8" t="s">
        <v>20</v>
      </c>
      <c r="L955" s="1" t="s">
        <v>690</v>
      </c>
      <c r="M955" s="5">
        <v>450</v>
      </c>
      <c r="Q955" s="3"/>
      <c r="R955" s="3"/>
      <c r="S955" s="3"/>
    </row>
    <row r="956" spans="1:19" ht="15" x14ac:dyDescent="0.25">
      <c r="A956" s="7" t="s">
        <v>16</v>
      </c>
      <c r="B956" s="7" t="s">
        <v>230</v>
      </c>
      <c r="C956" s="7" t="s">
        <v>24</v>
      </c>
      <c r="D956" s="4">
        <v>46124624000111</v>
      </c>
      <c r="E956" s="8" t="s">
        <v>693</v>
      </c>
      <c r="F956" s="8" t="s">
        <v>33</v>
      </c>
      <c r="G956" s="7" t="s">
        <v>19</v>
      </c>
      <c r="H956" s="47" t="s">
        <v>207</v>
      </c>
      <c r="I956" s="47" t="s">
        <v>208</v>
      </c>
      <c r="J956" s="6">
        <v>70</v>
      </c>
      <c r="K956" s="8" t="s">
        <v>20</v>
      </c>
      <c r="L956" s="1" t="s">
        <v>693</v>
      </c>
      <c r="M956" s="5">
        <v>155</v>
      </c>
      <c r="Q956" s="3"/>
      <c r="R956" s="3"/>
      <c r="S956" s="3"/>
    </row>
    <row r="957" spans="1:19" ht="15" x14ac:dyDescent="0.25">
      <c r="A957" s="7" t="s">
        <v>16</v>
      </c>
      <c r="B957" s="7" t="s">
        <v>230</v>
      </c>
      <c r="C957" s="7" t="s">
        <v>24</v>
      </c>
      <c r="D957" s="4">
        <v>46374500001670</v>
      </c>
      <c r="E957" s="8" t="s">
        <v>1366</v>
      </c>
      <c r="F957" s="8" t="s">
        <v>35</v>
      </c>
      <c r="G957" s="7" t="s">
        <v>19</v>
      </c>
      <c r="H957" s="47" t="s">
        <v>207</v>
      </c>
      <c r="I957" s="47" t="s">
        <v>208</v>
      </c>
      <c r="J957" s="6">
        <v>70</v>
      </c>
      <c r="K957" s="8" t="s">
        <v>20</v>
      </c>
      <c r="L957" s="1" t="s">
        <v>1366</v>
      </c>
      <c r="M957" s="5">
        <v>75</v>
      </c>
      <c r="Q957" s="3"/>
      <c r="R957" s="3"/>
      <c r="S957" s="3"/>
    </row>
    <row r="958" spans="1:19" ht="15" x14ac:dyDescent="0.25">
      <c r="A958" s="7" t="s">
        <v>16</v>
      </c>
      <c r="B958" s="7" t="s">
        <v>230</v>
      </c>
      <c r="C958" s="7" t="s">
        <v>24</v>
      </c>
      <c r="D958" s="4">
        <v>46374500009221</v>
      </c>
      <c r="E958" s="8" t="s">
        <v>700</v>
      </c>
      <c r="F958" s="8" t="s">
        <v>49</v>
      </c>
      <c r="G958" s="7" t="s">
        <v>19</v>
      </c>
      <c r="H958" s="47" t="s">
        <v>207</v>
      </c>
      <c r="I958" s="47" t="s">
        <v>208</v>
      </c>
      <c r="J958" s="6">
        <v>70</v>
      </c>
      <c r="K958" s="8" t="s">
        <v>20</v>
      </c>
      <c r="L958" s="1" t="s">
        <v>700</v>
      </c>
      <c r="M958" s="5">
        <v>840</v>
      </c>
      <c r="Q958" s="3"/>
      <c r="R958" s="3"/>
      <c r="S958" s="3"/>
    </row>
    <row r="959" spans="1:19" ht="15" x14ac:dyDescent="0.25">
      <c r="A959" s="7" t="s">
        <v>16</v>
      </c>
      <c r="B959" s="7" t="s">
        <v>230</v>
      </c>
      <c r="C959" s="7" t="s">
        <v>24</v>
      </c>
      <c r="D959" s="4">
        <v>48547806000120</v>
      </c>
      <c r="E959" s="8" t="s">
        <v>1367</v>
      </c>
      <c r="F959" s="8" t="s">
        <v>1368</v>
      </c>
      <c r="G959" s="7" t="s">
        <v>19</v>
      </c>
      <c r="H959" s="47" t="s">
        <v>207</v>
      </c>
      <c r="I959" s="47" t="s">
        <v>208</v>
      </c>
      <c r="J959" s="6">
        <v>70</v>
      </c>
      <c r="K959" s="8" t="s">
        <v>20</v>
      </c>
      <c r="L959" s="1" t="s">
        <v>1367</v>
      </c>
      <c r="M959" s="5">
        <v>20</v>
      </c>
      <c r="Q959" s="3"/>
      <c r="R959" s="3"/>
      <c r="S959" s="3"/>
    </row>
    <row r="960" spans="1:19" ht="15" x14ac:dyDescent="0.25">
      <c r="A960" s="7" t="s">
        <v>16</v>
      </c>
      <c r="B960" s="7" t="s">
        <v>230</v>
      </c>
      <c r="C960" s="7" t="s">
        <v>24</v>
      </c>
      <c r="D960" s="4">
        <v>48628366000721</v>
      </c>
      <c r="E960" s="8" t="s">
        <v>1376</v>
      </c>
      <c r="F960" s="8" t="s">
        <v>1377</v>
      </c>
      <c r="G960" s="7" t="s">
        <v>19</v>
      </c>
      <c r="H960" s="47" t="s">
        <v>207</v>
      </c>
      <c r="I960" s="47" t="s">
        <v>208</v>
      </c>
      <c r="J960" s="6">
        <v>70</v>
      </c>
      <c r="K960" s="8" t="s">
        <v>20</v>
      </c>
      <c r="L960" s="1" t="s">
        <v>1376</v>
      </c>
      <c r="M960" s="5">
        <v>40</v>
      </c>
      <c r="Q960" s="3"/>
      <c r="R960" s="3"/>
      <c r="S960" s="3"/>
    </row>
    <row r="961" spans="1:19" ht="15" x14ac:dyDescent="0.25">
      <c r="A961" s="7" t="s">
        <v>16</v>
      </c>
      <c r="B961" s="7" t="s">
        <v>230</v>
      </c>
      <c r="C961" s="7" t="s">
        <v>24</v>
      </c>
      <c r="D961" s="4">
        <v>53221255003247</v>
      </c>
      <c r="E961" s="8" t="s">
        <v>1378</v>
      </c>
      <c r="F961" s="8" t="s">
        <v>544</v>
      </c>
      <c r="G961" s="7" t="s">
        <v>19</v>
      </c>
      <c r="H961" s="47" t="s">
        <v>207</v>
      </c>
      <c r="I961" s="47" t="s">
        <v>208</v>
      </c>
      <c r="J961" s="6">
        <v>70</v>
      </c>
      <c r="K961" s="8" t="s">
        <v>20</v>
      </c>
      <c r="L961" s="1" t="s">
        <v>1378</v>
      </c>
      <c r="M961" s="5">
        <v>150</v>
      </c>
      <c r="Q961" s="3"/>
      <c r="R961" s="3"/>
      <c r="S961" s="3"/>
    </row>
    <row r="962" spans="1:19" ht="15" x14ac:dyDescent="0.25">
      <c r="A962" s="7" t="s">
        <v>16</v>
      </c>
      <c r="B962" s="7" t="s">
        <v>230</v>
      </c>
      <c r="C962" s="7" t="s">
        <v>24</v>
      </c>
      <c r="D962" s="4">
        <v>53678264000246</v>
      </c>
      <c r="E962" s="8" t="s">
        <v>716</v>
      </c>
      <c r="F962" s="8" t="s">
        <v>717</v>
      </c>
      <c r="G962" s="7" t="s">
        <v>19</v>
      </c>
      <c r="H962" s="47" t="s">
        <v>207</v>
      </c>
      <c r="I962" s="47" t="s">
        <v>208</v>
      </c>
      <c r="J962" s="6">
        <v>70</v>
      </c>
      <c r="K962" s="8" t="s">
        <v>20</v>
      </c>
      <c r="L962" s="1" t="s">
        <v>716</v>
      </c>
      <c r="M962" s="5">
        <v>40</v>
      </c>
      <c r="Q962" s="3"/>
      <c r="R962" s="3"/>
      <c r="S962" s="3"/>
    </row>
    <row r="963" spans="1:19" ht="15" x14ac:dyDescent="0.25">
      <c r="A963" s="7" t="s">
        <v>16</v>
      </c>
      <c r="B963" s="7" t="s">
        <v>230</v>
      </c>
      <c r="C963" s="7" t="s">
        <v>24</v>
      </c>
      <c r="D963" s="4">
        <v>54012406000385</v>
      </c>
      <c r="E963" s="8" t="s">
        <v>718</v>
      </c>
      <c r="F963" s="8" t="s">
        <v>45</v>
      </c>
      <c r="G963" s="7" t="s">
        <v>19</v>
      </c>
      <c r="H963" s="47" t="s">
        <v>207</v>
      </c>
      <c r="I963" s="47" t="s">
        <v>208</v>
      </c>
      <c r="J963" s="6">
        <v>70</v>
      </c>
      <c r="K963" s="8" t="s">
        <v>20</v>
      </c>
      <c r="L963" s="1" t="s">
        <v>718</v>
      </c>
      <c r="M963" s="5">
        <v>65</v>
      </c>
      <c r="Q963" s="3"/>
      <c r="R963" s="3"/>
      <c r="S963" s="3"/>
    </row>
    <row r="964" spans="1:19" ht="15" x14ac:dyDescent="0.25">
      <c r="A964" s="7" t="s">
        <v>16</v>
      </c>
      <c r="B964" s="7" t="s">
        <v>230</v>
      </c>
      <c r="C964" s="7" t="s">
        <v>24</v>
      </c>
      <c r="D964" s="4">
        <v>54370630000187</v>
      </c>
      <c r="E964" s="8" t="s">
        <v>719</v>
      </c>
      <c r="F964" s="8" t="s">
        <v>40</v>
      </c>
      <c r="G964" s="7" t="s">
        <v>19</v>
      </c>
      <c r="H964" s="47" t="s">
        <v>207</v>
      </c>
      <c r="I964" s="47" t="s">
        <v>208</v>
      </c>
      <c r="J964" s="6">
        <v>70</v>
      </c>
      <c r="K964" s="8" t="s">
        <v>20</v>
      </c>
      <c r="L964" s="1" t="s">
        <v>719</v>
      </c>
      <c r="M964" s="5">
        <v>50</v>
      </c>
      <c r="Q964" s="3"/>
      <c r="R964" s="3"/>
      <c r="S964" s="3"/>
    </row>
    <row r="965" spans="1:19" ht="15" x14ac:dyDescent="0.25">
      <c r="A965" s="7" t="s">
        <v>16</v>
      </c>
      <c r="B965" s="7" t="s">
        <v>230</v>
      </c>
      <c r="C965" s="7" t="s">
        <v>24</v>
      </c>
      <c r="D965" s="4">
        <v>57507402000102</v>
      </c>
      <c r="E965" s="8" t="s">
        <v>721</v>
      </c>
      <c r="F965" s="8" t="s">
        <v>647</v>
      </c>
      <c r="G965" s="7" t="s">
        <v>19</v>
      </c>
      <c r="H965" s="47" t="s">
        <v>207</v>
      </c>
      <c r="I965" s="47" t="s">
        <v>208</v>
      </c>
      <c r="J965" s="6">
        <v>70</v>
      </c>
      <c r="K965" s="8" t="s">
        <v>20</v>
      </c>
      <c r="L965" s="1" t="s">
        <v>721</v>
      </c>
      <c r="M965" s="5">
        <v>150</v>
      </c>
      <c r="Q965" s="3"/>
      <c r="R965" s="3"/>
      <c r="S965" s="3"/>
    </row>
    <row r="966" spans="1:19" ht="15" x14ac:dyDescent="0.25">
      <c r="A966" s="7" t="s">
        <v>16</v>
      </c>
      <c r="B966" s="7" t="s">
        <v>230</v>
      </c>
      <c r="C966" s="7" t="s">
        <v>24</v>
      </c>
      <c r="D966" s="4">
        <v>57722118000140</v>
      </c>
      <c r="E966" s="8" t="s">
        <v>722</v>
      </c>
      <c r="F966" s="8" t="s">
        <v>639</v>
      </c>
      <c r="G966" s="7" t="s">
        <v>19</v>
      </c>
      <c r="H966" s="47" t="s">
        <v>207</v>
      </c>
      <c r="I966" s="47" t="s">
        <v>208</v>
      </c>
      <c r="J966" s="6">
        <v>70</v>
      </c>
      <c r="K966" s="8" t="s">
        <v>20</v>
      </c>
      <c r="L966" s="1" t="s">
        <v>722</v>
      </c>
      <c r="M966" s="5">
        <v>150</v>
      </c>
      <c r="Q966" s="3"/>
      <c r="R966" s="3"/>
      <c r="S966" s="3"/>
    </row>
    <row r="967" spans="1:19" ht="15" x14ac:dyDescent="0.25">
      <c r="A967" s="7" t="s">
        <v>16</v>
      </c>
      <c r="B967" s="7" t="s">
        <v>230</v>
      </c>
      <c r="C967" s="7" t="s">
        <v>24</v>
      </c>
      <c r="D967" s="4">
        <v>57723280000183</v>
      </c>
      <c r="E967" s="8" t="s">
        <v>724</v>
      </c>
      <c r="F967" s="8" t="s">
        <v>639</v>
      </c>
      <c r="G967" s="7" t="s">
        <v>19</v>
      </c>
      <c r="H967" s="47" t="s">
        <v>207</v>
      </c>
      <c r="I967" s="47" t="s">
        <v>208</v>
      </c>
      <c r="J967" s="6">
        <v>70</v>
      </c>
      <c r="K967" s="8" t="s">
        <v>20</v>
      </c>
      <c r="L967" s="1" t="s">
        <v>724</v>
      </c>
      <c r="M967" s="5">
        <v>35</v>
      </c>
      <c r="Q967" s="3"/>
      <c r="R967" s="3"/>
      <c r="S967" s="3"/>
    </row>
    <row r="968" spans="1:19" ht="15" x14ac:dyDescent="0.25">
      <c r="A968" s="7" t="s">
        <v>16</v>
      </c>
      <c r="B968" s="7" t="s">
        <v>230</v>
      </c>
      <c r="C968" s="7" t="s">
        <v>24</v>
      </c>
      <c r="D968" s="4">
        <v>58837188000298</v>
      </c>
      <c r="E968" s="8" t="s">
        <v>1369</v>
      </c>
      <c r="F968" s="8" t="s">
        <v>1370</v>
      </c>
      <c r="G968" s="7" t="s">
        <v>19</v>
      </c>
      <c r="H968" s="47" t="s">
        <v>207</v>
      </c>
      <c r="I968" s="47" t="s">
        <v>208</v>
      </c>
      <c r="J968" s="6">
        <v>70</v>
      </c>
      <c r="K968" s="8" t="s">
        <v>20</v>
      </c>
      <c r="L968" s="1" t="s">
        <v>1369</v>
      </c>
      <c r="M968" s="5">
        <v>20</v>
      </c>
      <c r="Q968" s="3"/>
      <c r="R968" s="3"/>
      <c r="S968" s="3"/>
    </row>
    <row r="969" spans="1:19" ht="15" x14ac:dyDescent="0.25">
      <c r="A969" s="7" t="s">
        <v>16</v>
      </c>
      <c r="B969" s="7" t="s">
        <v>230</v>
      </c>
      <c r="C969" s="7" t="s">
        <v>24</v>
      </c>
      <c r="D969" s="4">
        <v>60214517000962</v>
      </c>
      <c r="E969" s="8" t="s">
        <v>729</v>
      </c>
      <c r="F969" s="8" t="s">
        <v>650</v>
      </c>
      <c r="G969" s="7" t="s">
        <v>19</v>
      </c>
      <c r="H969" s="47" t="s">
        <v>207</v>
      </c>
      <c r="I969" s="47" t="s">
        <v>208</v>
      </c>
      <c r="J969" s="6">
        <v>70</v>
      </c>
      <c r="K969" s="8" t="s">
        <v>20</v>
      </c>
      <c r="L969" s="1" t="s">
        <v>729</v>
      </c>
      <c r="M969" s="5">
        <v>200</v>
      </c>
      <c r="Q969" s="3"/>
      <c r="R969" s="3"/>
      <c r="S969" s="3"/>
    </row>
    <row r="970" spans="1:19" ht="15" x14ac:dyDescent="0.25">
      <c r="A970" s="7" t="s">
        <v>16</v>
      </c>
      <c r="B970" s="7" t="s">
        <v>230</v>
      </c>
      <c r="C970" s="7" t="s">
        <v>24</v>
      </c>
      <c r="D970" s="4">
        <v>60214517001691</v>
      </c>
      <c r="E970" s="8" t="s">
        <v>732</v>
      </c>
      <c r="F970" s="8" t="s">
        <v>650</v>
      </c>
      <c r="G970" s="7" t="s">
        <v>19</v>
      </c>
      <c r="H970" s="47" t="s">
        <v>207</v>
      </c>
      <c r="I970" s="47" t="s">
        <v>208</v>
      </c>
      <c r="J970" s="6">
        <v>70</v>
      </c>
      <c r="K970" s="8" t="s">
        <v>20</v>
      </c>
      <c r="L970" s="1" t="s">
        <v>732</v>
      </c>
      <c r="M970" s="5">
        <v>230</v>
      </c>
      <c r="Q970" s="3"/>
      <c r="R970" s="3"/>
      <c r="S970" s="3"/>
    </row>
    <row r="971" spans="1:19" ht="15" x14ac:dyDescent="0.25">
      <c r="A971" s="7" t="s">
        <v>16</v>
      </c>
      <c r="B971" s="7" t="s">
        <v>230</v>
      </c>
      <c r="C971" s="7" t="s">
        <v>24</v>
      </c>
      <c r="D971" s="4">
        <v>61699567000869</v>
      </c>
      <c r="E971" s="8" t="s">
        <v>1233</v>
      </c>
      <c r="F971" s="8" t="s">
        <v>710</v>
      </c>
      <c r="G971" s="7" t="s">
        <v>19</v>
      </c>
      <c r="H971" s="47" t="s">
        <v>207</v>
      </c>
      <c r="I971" s="47" t="s">
        <v>208</v>
      </c>
      <c r="J971" s="6">
        <v>70</v>
      </c>
      <c r="K971" s="8" t="s">
        <v>20</v>
      </c>
      <c r="L971" s="1" t="s">
        <v>1233</v>
      </c>
      <c r="M971" s="5">
        <v>200</v>
      </c>
      <c r="Q971" s="3"/>
      <c r="R971" s="3"/>
      <c r="S971" s="3"/>
    </row>
    <row r="972" spans="1:19" ht="15" x14ac:dyDescent="0.25">
      <c r="A972" s="7" t="s">
        <v>16</v>
      </c>
      <c r="B972" s="7" t="s">
        <v>230</v>
      </c>
      <c r="C972" s="7" t="s">
        <v>24</v>
      </c>
      <c r="D972" s="4">
        <v>68029156000481</v>
      </c>
      <c r="E972" s="8" t="s">
        <v>1371</v>
      </c>
      <c r="F972" s="8" t="s">
        <v>1372</v>
      </c>
      <c r="G972" s="7" t="s">
        <v>19</v>
      </c>
      <c r="H972" s="47" t="s">
        <v>207</v>
      </c>
      <c r="I972" s="47" t="s">
        <v>208</v>
      </c>
      <c r="J972" s="6">
        <v>70</v>
      </c>
      <c r="K972" s="8" t="s">
        <v>20</v>
      </c>
      <c r="L972" s="1" t="s">
        <v>1371</v>
      </c>
      <c r="M972" s="5">
        <v>10</v>
      </c>
      <c r="Q972" s="3"/>
      <c r="R972" s="3"/>
      <c r="S972" s="3"/>
    </row>
    <row r="973" spans="1:19" ht="15" x14ac:dyDescent="0.25">
      <c r="A973" s="7" t="s">
        <v>16</v>
      </c>
      <c r="B973" s="7" t="s">
        <v>372</v>
      </c>
      <c r="C973" s="7" t="s">
        <v>373</v>
      </c>
      <c r="D973" s="4">
        <v>840048000450</v>
      </c>
      <c r="E973" s="8" t="s">
        <v>637</v>
      </c>
      <c r="F973" s="8" t="s">
        <v>30</v>
      </c>
      <c r="G973" s="7" t="s">
        <v>19</v>
      </c>
      <c r="H973" s="47" t="s">
        <v>207</v>
      </c>
      <c r="I973" s="47" t="s">
        <v>208</v>
      </c>
      <c r="J973" s="6">
        <v>70</v>
      </c>
      <c r="K973" s="8" t="s">
        <v>20</v>
      </c>
      <c r="L973" s="1" t="s">
        <v>637</v>
      </c>
      <c r="M973" s="5">
        <v>180</v>
      </c>
      <c r="Q973" s="3"/>
      <c r="R973" s="3"/>
      <c r="S973" s="3"/>
    </row>
    <row r="974" spans="1:19" ht="15" x14ac:dyDescent="0.25">
      <c r="A974" s="7" t="s">
        <v>16</v>
      </c>
      <c r="B974" s="7" t="s">
        <v>372</v>
      </c>
      <c r="C974" s="7" t="s">
        <v>373</v>
      </c>
      <c r="D974" s="4">
        <v>1613433006892</v>
      </c>
      <c r="E974" s="8" t="s">
        <v>638</v>
      </c>
      <c r="F974" s="8" t="s">
        <v>639</v>
      </c>
      <c r="G974" s="7" t="s">
        <v>19</v>
      </c>
      <c r="H974" s="47" t="s">
        <v>207</v>
      </c>
      <c r="I974" s="47" t="s">
        <v>208</v>
      </c>
      <c r="J974" s="6">
        <v>70</v>
      </c>
      <c r="K974" s="8" t="s">
        <v>20</v>
      </c>
      <c r="L974" s="1" t="s">
        <v>638</v>
      </c>
      <c r="M974" s="5">
        <v>375</v>
      </c>
      <c r="Q974" s="3"/>
      <c r="R974" s="3"/>
      <c r="S974" s="3"/>
    </row>
    <row r="975" spans="1:19" ht="15" x14ac:dyDescent="0.25">
      <c r="A975" s="7" t="s">
        <v>16</v>
      </c>
      <c r="B975" s="7" t="s">
        <v>372</v>
      </c>
      <c r="C975" s="7" t="s">
        <v>373</v>
      </c>
      <c r="D975" s="4">
        <v>1613433010814</v>
      </c>
      <c r="E975" s="8" t="s">
        <v>641</v>
      </c>
      <c r="F975" s="8" t="s">
        <v>49</v>
      </c>
      <c r="G975" s="7" t="s">
        <v>19</v>
      </c>
      <c r="H975" s="47" t="s">
        <v>207</v>
      </c>
      <c r="I975" s="47" t="s">
        <v>208</v>
      </c>
      <c r="J975" s="6">
        <v>70</v>
      </c>
      <c r="K975" s="8" t="s">
        <v>20</v>
      </c>
      <c r="L975" s="1" t="s">
        <v>641</v>
      </c>
      <c r="M975" s="5">
        <v>350</v>
      </c>
      <c r="Q975" s="3"/>
      <c r="R975" s="3"/>
      <c r="S975" s="3"/>
    </row>
    <row r="976" spans="1:19" ht="15" x14ac:dyDescent="0.25">
      <c r="A976" s="7" t="s">
        <v>16</v>
      </c>
      <c r="B976" s="7" t="s">
        <v>372</v>
      </c>
      <c r="C976" s="7" t="s">
        <v>373</v>
      </c>
      <c r="D976" s="4">
        <v>10447300000177</v>
      </c>
      <c r="E976" s="8" t="s">
        <v>658</v>
      </c>
      <c r="F976" s="8" t="s">
        <v>33</v>
      </c>
      <c r="G976" s="7" t="s">
        <v>19</v>
      </c>
      <c r="H976" s="47" t="s">
        <v>207</v>
      </c>
      <c r="I976" s="47" t="s">
        <v>208</v>
      </c>
      <c r="J976" s="6">
        <v>70</v>
      </c>
      <c r="K976" s="8" t="s">
        <v>20</v>
      </c>
      <c r="L976" s="1" t="s">
        <v>658</v>
      </c>
      <c r="M976" s="5">
        <v>30</v>
      </c>
      <c r="Q976" s="3"/>
      <c r="R976" s="3"/>
      <c r="S976" s="3"/>
    </row>
    <row r="977" spans="1:19" ht="15" x14ac:dyDescent="0.25">
      <c r="A977" s="7" t="s">
        <v>16</v>
      </c>
      <c r="B977" s="7" t="s">
        <v>372</v>
      </c>
      <c r="C977" s="7" t="s">
        <v>373</v>
      </c>
      <c r="D977" s="4">
        <v>10576443000189</v>
      </c>
      <c r="E977" s="8" t="s">
        <v>659</v>
      </c>
      <c r="F977" s="8" t="s">
        <v>643</v>
      </c>
      <c r="G977" s="7" t="s">
        <v>19</v>
      </c>
      <c r="H977" s="47" t="s">
        <v>207</v>
      </c>
      <c r="I977" s="47" t="s">
        <v>208</v>
      </c>
      <c r="J977" s="6">
        <v>70</v>
      </c>
      <c r="K977" s="8" t="s">
        <v>20</v>
      </c>
      <c r="L977" s="1" t="s">
        <v>659</v>
      </c>
      <c r="M977" s="5">
        <v>25</v>
      </c>
      <c r="Q977" s="3"/>
      <c r="R977" s="3"/>
      <c r="S977" s="3"/>
    </row>
    <row r="978" spans="1:19" ht="15" x14ac:dyDescent="0.25">
      <c r="A978" s="7" t="s">
        <v>16</v>
      </c>
      <c r="B978" s="7" t="s">
        <v>372</v>
      </c>
      <c r="C978" s="7" t="s">
        <v>373</v>
      </c>
      <c r="D978" s="4">
        <v>10868295000176</v>
      </c>
      <c r="E978" s="8" t="s">
        <v>660</v>
      </c>
      <c r="F978" s="8" t="s">
        <v>35</v>
      </c>
      <c r="G978" s="7" t="s">
        <v>19</v>
      </c>
      <c r="H978" s="47" t="s">
        <v>207</v>
      </c>
      <c r="I978" s="47" t="s">
        <v>208</v>
      </c>
      <c r="J978" s="6">
        <v>70</v>
      </c>
      <c r="K978" s="8" t="s">
        <v>20</v>
      </c>
      <c r="L978" s="1" t="s">
        <v>660</v>
      </c>
      <c r="M978" s="5">
        <v>45</v>
      </c>
      <c r="Q978" s="3"/>
      <c r="R978" s="3"/>
      <c r="S978" s="3"/>
    </row>
    <row r="979" spans="1:19" ht="15" x14ac:dyDescent="0.25">
      <c r="A979" s="7" t="s">
        <v>16</v>
      </c>
      <c r="B979" s="7" t="s">
        <v>372</v>
      </c>
      <c r="C979" s="7" t="s">
        <v>373</v>
      </c>
      <c r="D979" s="4">
        <v>18290268000170</v>
      </c>
      <c r="E979" s="8" t="s">
        <v>663</v>
      </c>
      <c r="F979" s="8" t="s">
        <v>35</v>
      </c>
      <c r="G979" s="7" t="s">
        <v>19</v>
      </c>
      <c r="H979" s="47" t="s">
        <v>207</v>
      </c>
      <c r="I979" s="47" t="s">
        <v>208</v>
      </c>
      <c r="J979" s="6">
        <v>70</v>
      </c>
      <c r="K979" s="8" t="s">
        <v>20</v>
      </c>
      <c r="L979" s="1" t="s">
        <v>663</v>
      </c>
      <c r="M979" s="5">
        <v>150</v>
      </c>
      <c r="Q979" s="3"/>
      <c r="R979" s="3"/>
      <c r="S979" s="3"/>
    </row>
    <row r="980" spans="1:19" ht="15" x14ac:dyDescent="0.25">
      <c r="A980" s="7" t="s">
        <v>16</v>
      </c>
      <c r="B980" s="7" t="s">
        <v>372</v>
      </c>
      <c r="C980" s="7" t="s">
        <v>373</v>
      </c>
      <c r="D980" s="4">
        <v>18321477000134</v>
      </c>
      <c r="E980" s="8" t="s">
        <v>664</v>
      </c>
      <c r="F980" s="8" t="s">
        <v>650</v>
      </c>
      <c r="G980" s="7" t="s">
        <v>19</v>
      </c>
      <c r="H980" s="47" t="s">
        <v>207</v>
      </c>
      <c r="I980" s="47" t="s">
        <v>208</v>
      </c>
      <c r="J980" s="6">
        <v>70</v>
      </c>
      <c r="K980" s="8" t="s">
        <v>20</v>
      </c>
      <c r="L980" s="1" t="s">
        <v>664</v>
      </c>
      <c r="M980" s="5">
        <v>180</v>
      </c>
      <c r="Q980" s="3"/>
      <c r="R980" s="3"/>
      <c r="S980" s="3"/>
    </row>
    <row r="981" spans="1:19" ht="15" x14ac:dyDescent="0.25">
      <c r="A981" s="7" t="s">
        <v>16</v>
      </c>
      <c r="B981" s="7" t="s">
        <v>372</v>
      </c>
      <c r="C981" s="7" t="s">
        <v>373</v>
      </c>
      <c r="D981" s="4">
        <v>29435005008294</v>
      </c>
      <c r="E981" s="8" t="s">
        <v>671</v>
      </c>
      <c r="F981" s="8" t="s">
        <v>36</v>
      </c>
      <c r="G981" s="7" t="s">
        <v>19</v>
      </c>
      <c r="H981" s="47" t="s">
        <v>207</v>
      </c>
      <c r="I981" s="47" t="s">
        <v>208</v>
      </c>
      <c r="J981" s="6">
        <v>70</v>
      </c>
      <c r="K981" s="8" t="s">
        <v>20</v>
      </c>
      <c r="L981" s="1" t="s">
        <v>671</v>
      </c>
      <c r="M981" s="5">
        <v>305</v>
      </c>
      <c r="Q981" s="3"/>
      <c r="R981" s="3"/>
      <c r="S981" s="3"/>
    </row>
    <row r="982" spans="1:19" ht="15" x14ac:dyDescent="0.25">
      <c r="A982" s="7" t="s">
        <v>16</v>
      </c>
      <c r="B982" s="7" t="s">
        <v>372</v>
      </c>
      <c r="C982" s="7" t="s">
        <v>373</v>
      </c>
      <c r="D982" s="4">
        <v>29435005008456</v>
      </c>
      <c r="E982" s="8" t="s">
        <v>672</v>
      </c>
      <c r="F982" s="8" t="s">
        <v>33</v>
      </c>
      <c r="G982" s="7" t="s">
        <v>19</v>
      </c>
      <c r="H982" s="47" t="s">
        <v>207</v>
      </c>
      <c r="I982" s="47" t="s">
        <v>208</v>
      </c>
      <c r="J982" s="6">
        <v>70</v>
      </c>
      <c r="K982" s="8" t="s">
        <v>20</v>
      </c>
      <c r="L982" s="1" t="s">
        <v>672</v>
      </c>
      <c r="M982" s="5">
        <v>350</v>
      </c>
      <c r="Q982" s="3"/>
      <c r="R982" s="3"/>
      <c r="S982" s="3"/>
    </row>
    <row r="983" spans="1:19" ht="15" x14ac:dyDescent="0.25">
      <c r="A983" s="7" t="s">
        <v>16</v>
      </c>
      <c r="B983" s="7" t="s">
        <v>372</v>
      </c>
      <c r="C983" s="7" t="s">
        <v>373</v>
      </c>
      <c r="D983" s="4">
        <v>44595700000141</v>
      </c>
      <c r="E983" s="8" t="s">
        <v>1375</v>
      </c>
      <c r="F983" s="8" t="s">
        <v>33</v>
      </c>
      <c r="G983" s="7" t="s">
        <v>19</v>
      </c>
      <c r="H983" s="47" t="s">
        <v>207</v>
      </c>
      <c r="I983" s="47" t="s">
        <v>208</v>
      </c>
      <c r="J983" s="6">
        <v>70</v>
      </c>
      <c r="K983" s="8" t="s">
        <v>20</v>
      </c>
      <c r="L983" s="1" t="s">
        <v>1375</v>
      </c>
      <c r="M983" s="5">
        <v>50</v>
      </c>
      <c r="Q983" s="3"/>
      <c r="R983" s="3"/>
      <c r="S983" s="3"/>
    </row>
    <row r="984" spans="1:19" ht="15" x14ac:dyDescent="0.25">
      <c r="A984" s="7" t="s">
        <v>16</v>
      </c>
      <c r="B984" s="7" t="s">
        <v>372</v>
      </c>
      <c r="C984" s="7" t="s">
        <v>373</v>
      </c>
      <c r="D984" s="4">
        <v>44663631000590</v>
      </c>
      <c r="E984" s="8" t="s">
        <v>680</v>
      </c>
      <c r="F984" s="8" t="s">
        <v>39</v>
      </c>
      <c r="G984" s="7" t="s">
        <v>19</v>
      </c>
      <c r="H984" s="47" t="s">
        <v>207</v>
      </c>
      <c r="I984" s="47" t="s">
        <v>208</v>
      </c>
      <c r="J984" s="6">
        <v>70</v>
      </c>
      <c r="K984" s="8" t="s">
        <v>20</v>
      </c>
      <c r="L984" s="1" t="s">
        <v>680</v>
      </c>
      <c r="M984" s="5">
        <v>75</v>
      </c>
      <c r="Q984" s="3"/>
      <c r="R984" s="3"/>
      <c r="S984" s="3"/>
    </row>
    <row r="985" spans="1:19" ht="15" x14ac:dyDescent="0.25">
      <c r="A985" s="7" t="s">
        <v>16</v>
      </c>
      <c r="B985" s="7" t="s">
        <v>372</v>
      </c>
      <c r="C985" s="7" t="s">
        <v>373</v>
      </c>
      <c r="D985" s="4">
        <v>44863959000126</v>
      </c>
      <c r="E985" s="8" t="s">
        <v>682</v>
      </c>
      <c r="F985" s="8" t="s">
        <v>544</v>
      </c>
      <c r="G985" s="7" t="s">
        <v>19</v>
      </c>
      <c r="H985" s="47" t="s">
        <v>207</v>
      </c>
      <c r="I985" s="47" t="s">
        <v>208</v>
      </c>
      <c r="J985" s="6">
        <v>70</v>
      </c>
      <c r="K985" s="8" t="s">
        <v>20</v>
      </c>
      <c r="L985" s="1" t="s">
        <v>682</v>
      </c>
      <c r="M985" s="5">
        <v>40</v>
      </c>
      <c r="Q985" s="3"/>
      <c r="R985" s="3"/>
      <c r="S985" s="3"/>
    </row>
    <row r="986" spans="1:19" ht="15" x14ac:dyDescent="0.25">
      <c r="A986" s="7" t="s">
        <v>16</v>
      </c>
      <c r="B986" s="7" t="s">
        <v>372</v>
      </c>
      <c r="C986" s="7" t="s">
        <v>373</v>
      </c>
      <c r="D986" s="4">
        <v>45118429001279</v>
      </c>
      <c r="E986" s="8" t="s">
        <v>683</v>
      </c>
      <c r="F986" s="8" t="s">
        <v>41</v>
      </c>
      <c r="G986" s="7" t="s">
        <v>19</v>
      </c>
      <c r="H986" s="47" t="s">
        <v>207</v>
      </c>
      <c r="I986" s="47" t="s">
        <v>208</v>
      </c>
      <c r="J986" s="6">
        <v>70</v>
      </c>
      <c r="K986" s="8" t="s">
        <v>20</v>
      </c>
      <c r="L986" s="1" t="s">
        <v>683</v>
      </c>
      <c r="M986" s="5">
        <v>50</v>
      </c>
      <c r="Q986" s="3"/>
      <c r="R986" s="3"/>
      <c r="S986" s="3"/>
    </row>
    <row r="987" spans="1:19" ht="15" x14ac:dyDescent="0.25">
      <c r="A987" s="7" t="s">
        <v>16</v>
      </c>
      <c r="B987" s="7" t="s">
        <v>372</v>
      </c>
      <c r="C987" s="7" t="s">
        <v>373</v>
      </c>
      <c r="D987" s="4">
        <v>45232246000550</v>
      </c>
      <c r="E987" s="8" t="s">
        <v>685</v>
      </c>
      <c r="F987" s="8" t="s">
        <v>639</v>
      </c>
      <c r="G987" s="7" t="s">
        <v>19</v>
      </c>
      <c r="H987" s="47" t="s">
        <v>207</v>
      </c>
      <c r="I987" s="47" t="s">
        <v>208</v>
      </c>
      <c r="J987" s="6">
        <v>70</v>
      </c>
      <c r="K987" s="8" t="s">
        <v>20</v>
      </c>
      <c r="L987" s="1" t="s">
        <v>685</v>
      </c>
      <c r="M987" s="5">
        <v>145</v>
      </c>
      <c r="Q987" s="3"/>
      <c r="R987" s="3"/>
      <c r="S987" s="3"/>
    </row>
    <row r="988" spans="1:19" ht="15" x14ac:dyDescent="0.25">
      <c r="A988" s="7" t="s">
        <v>16</v>
      </c>
      <c r="B988" s="7" t="s">
        <v>372</v>
      </c>
      <c r="C988" s="7" t="s">
        <v>373</v>
      </c>
      <c r="D988" s="4">
        <v>45780103000150</v>
      </c>
      <c r="E988" s="8" t="s">
        <v>689</v>
      </c>
      <c r="F988" s="8" t="s">
        <v>678</v>
      </c>
      <c r="G988" s="7" t="s">
        <v>19</v>
      </c>
      <c r="H988" s="47" t="s">
        <v>207</v>
      </c>
      <c r="I988" s="47" t="s">
        <v>208</v>
      </c>
      <c r="J988" s="6">
        <v>70</v>
      </c>
      <c r="K988" s="8" t="s">
        <v>20</v>
      </c>
      <c r="L988" s="1" t="s">
        <v>689</v>
      </c>
      <c r="M988" s="5">
        <v>500</v>
      </c>
      <c r="Q988" s="3"/>
      <c r="R988" s="3"/>
      <c r="S988" s="3"/>
    </row>
    <row r="989" spans="1:19" ht="15" x14ac:dyDescent="0.25">
      <c r="A989" s="7" t="s">
        <v>16</v>
      </c>
      <c r="B989" s="7" t="s">
        <v>372</v>
      </c>
      <c r="C989" s="7" t="s">
        <v>373</v>
      </c>
      <c r="D989" s="4">
        <v>46009718000140</v>
      </c>
      <c r="E989" s="8" t="s">
        <v>690</v>
      </c>
      <c r="F989" s="8" t="s">
        <v>33</v>
      </c>
      <c r="G989" s="7" t="s">
        <v>19</v>
      </c>
      <c r="H989" s="47" t="s">
        <v>207</v>
      </c>
      <c r="I989" s="47" t="s">
        <v>208</v>
      </c>
      <c r="J989" s="6">
        <v>70</v>
      </c>
      <c r="K989" s="8" t="s">
        <v>20</v>
      </c>
      <c r="L989" s="1" t="s">
        <v>690</v>
      </c>
      <c r="M989" s="5">
        <v>550</v>
      </c>
      <c r="Q989" s="3"/>
      <c r="R989" s="3"/>
      <c r="S989" s="3"/>
    </row>
    <row r="990" spans="1:19" ht="15" x14ac:dyDescent="0.25">
      <c r="A990" s="7" t="s">
        <v>16</v>
      </c>
      <c r="B990" s="7" t="s">
        <v>372</v>
      </c>
      <c r="C990" s="7" t="s">
        <v>373</v>
      </c>
      <c r="D990" s="4">
        <v>46124624000111</v>
      </c>
      <c r="E990" s="8" t="s">
        <v>693</v>
      </c>
      <c r="F990" s="8" t="s">
        <v>33</v>
      </c>
      <c r="G990" s="7" t="s">
        <v>19</v>
      </c>
      <c r="H990" s="47" t="s">
        <v>207</v>
      </c>
      <c r="I990" s="47" t="s">
        <v>208</v>
      </c>
      <c r="J990" s="6">
        <v>70</v>
      </c>
      <c r="K990" s="8" t="s">
        <v>20</v>
      </c>
      <c r="L990" s="1" t="s">
        <v>693</v>
      </c>
      <c r="M990" s="5">
        <v>1120</v>
      </c>
      <c r="Q990" s="3"/>
      <c r="R990" s="3"/>
      <c r="S990" s="3"/>
    </row>
    <row r="991" spans="1:19" ht="15" x14ac:dyDescent="0.25">
      <c r="A991" s="7" t="s">
        <v>16</v>
      </c>
      <c r="B991" s="7" t="s">
        <v>372</v>
      </c>
      <c r="C991" s="7" t="s">
        <v>373</v>
      </c>
      <c r="D991" s="4">
        <v>48468284000171</v>
      </c>
      <c r="E991" s="8" t="s">
        <v>705</v>
      </c>
      <c r="F991" s="8" t="s">
        <v>43</v>
      </c>
      <c r="G991" s="7" t="s">
        <v>19</v>
      </c>
      <c r="H991" s="47" t="s">
        <v>207</v>
      </c>
      <c r="I991" s="47" t="s">
        <v>208</v>
      </c>
      <c r="J991" s="6">
        <v>70</v>
      </c>
      <c r="K991" s="8" t="s">
        <v>20</v>
      </c>
      <c r="L991" s="1" t="s">
        <v>705</v>
      </c>
      <c r="M991" s="5">
        <v>150</v>
      </c>
      <c r="Q991" s="3"/>
      <c r="R991" s="3"/>
      <c r="S991" s="3"/>
    </row>
    <row r="992" spans="1:19" ht="15" x14ac:dyDescent="0.25">
      <c r="A992" s="7" t="s">
        <v>16</v>
      </c>
      <c r="B992" s="7" t="s">
        <v>372</v>
      </c>
      <c r="C992" s="7" t="s">
        <v>373</v>
      </c>
      <c r="D992" s="4">
        <v>48547806000120</v>
      </c>
      <c r="E992" s="8" t="s">
        <v>1367</v>
      </c>
      <c r="F992" s="8" t="s">
        <v>1368</v>
      </c>
      <c r="G992" s="7" t="s">
        <v>19</v>
      </c>
      <c r="H992" s="47" t="s">
        <v>207</v>
      </c>
      <c r="I992" s="47" t="s">
        <v>208</v>
      </c>
      <c r="J992" s="6">
        <v>70</v>
      </c>
      <c r="K992" s="8" t="s">
        <v>20</v>
      </c>
      <c r="L992" s="1" t="s">
        <v>1367</v>
      </c>
      <c r="M992" s="5">
        <v>105</v>
      </c>
      <c r="Q992" s="3"/>
      <c r="R992" s="3"/>
      <c r="S992" s="3"/>
    </row>
    <row r="993" spans="1:19" ht="15" x14ac:dyDescent="0.25">
      <c r="A993" s="7" t="s">
        <v>16</v>
      </c>
      <c r="B993" s="7" t="s">
        <v>372</v>
      </c>
      <c r="C993" s="7" t="s">
        <v>373</v>
      </c>
      <c r="D993" s="4">
        <v>48628366000721</v>
      </c>
      <c r="E993" s="8" t="s">
        <v>1376</v>
      </c>
      <c r="F993" s="8" t="s">
        <v>1377</v>
      </c>
      <c r="G993" s="7" t="s">
        <v>19</v>
      </c>
      <c r="H993" s="47" t="s">
        <v>207</v>
      </c>
      <c r="I993" s="47" t="s">
        <v>208</v>
      </c>
      <c r="J993" s="6">
        <v>70</v>
      </c>
      <c r="K993" s="8" t="s">
        <v>20</v>
      </c>
      <c r="L993" s="1" t="s">
        <v>1376</v>
      </c>
      <c r="M993" s="5">
        <v>40</v>
      </c>
      <c r="Q993" s="3"/>
      <c r="R993" s="3"/>
      <c r="S993" s="3"/>
    </row>
    <row r="994" spans="1:19" ht="15" x14ac:dyDescent="0.25">
      <c r="A994" s="7" t="s">
        <v>16</v>
      </c>
      <c r="B994" s="7" t="s">
        <v>372</v>
      </c>
      <c r="C994" s="7" t="s">
        <v>373</v>
      </c>
      <c r="D994" s="4">
        <v>50486026000160</v>
      </c>
      <c r="E994" s="8" t="s">
        <v>706</v>
      </c>
      <c r="F994" s="8" t="s">
        <v>44</v>
      </c>
      <c r="G994" s="7" t="s">
        <v>19</v>
      </c>
      <c r="H994" s="47" t="s">
        <v>207</v>
      </c>
      <c r="I994" s="47" t="s">
        <v>208</v>
      </c>
      <c r="J994" s="6">
        <v>70</v>
      </c>
      <c r="K994" s="8" t="s">
        <v>20</v>
      </c>
      <c r="L994" s="1" t="s">
        <v>706</v>
      </c>
      <c r="M994" s="5">
        <v>275</v>
      </c>
      <c r="Q994" s="3"/>
      <c r="R994" s="3"/>
      <c r="S994" s="3"/>
    </row>
    <row r="995" spans="1:19" ht="15" x14ac:dyDescent="0.25">
      <c r="A995" s="7" t="s">
        <v>16</v>
      </c>
      <c r="B995" s="7" t="s">
        <v>372</v>
      </c>
      <c r="C995" s="7" t="s">
        <v>373</v>
      </c>
      <c r="D995" s="4">
        <v>54012406000385</v>
      </c>
      <c r="E995" s="8" t="s">
        <v>718</v>
      </c>
      <c r="F995" s="8" t="s">
        <v>45</v>
      </c>
      <c r="G995" s="7" t="s">
        <v>19</v>
      </c>
      <c r="H995" s="47" t="s">
        <v>207</v>
      </c>
      <c r="I995" s="47" t="s">
        <v>208</v>
      </c>
      <c r="J995" s="6">
        <v>70</v>
      </c>
      <c r="K995" s="8" t="s">
        <v>20</v>
      </c>
      <c r="L995" s="1" t="s">
        <v>718</v>
      </c>
      <c r="M995" s="5">
        <v>65</v>
      </c>
      <c r="Q995" s="3"/>
      <c r="R995" s="3"/>
      <c r="S995" s="3"/>
    </row>
    <row r="996" spans="1:19" ht="15" x14ac:dyDescent="0.25">
      <c r="A996" s="7" t="s">
        <v>16</v>
      </c>
      <c r="B996" s="7" t="s">
        <v>372</v>
      </c>
      <c r="C996" s="7" t="s">
        <v>373</v>
      </c>
      <c r="D996" s="4">
        <v>57723280000183</v>
      </c>
      <c r="E996" s="8" t="s">
        <v>724</v>
      </c>
      <c r="F996" s="8" t="s">
        <v>639</v>
      </c>
      <c r="G996" s="7" t="s">
        <v>19</v>
      </c>
      <c r="H996" s="47" t="s">
        <v>207</v>
      </c>
      <c r="I996" s="47" t="s">
        <v>208</v>
      </c>
      <c r="J996" s="6">
        <v>70</v>
      </c>
      <c r="K996" s="8" t="s">
        <v>20</v>
      </c>
      <c r="L996" s="1" t="s">
        <v>724</v>
      </c>
      <c r="M996" s="5">
        <v>35</v>
      </c>
      <c r="Q996" s="3"/>
      <c r="R996" s="3"/>
      <c r="S996" s="3"/>
    </row>
    <row r="997" spans="1:19" ht="15" x14ac:dyDescent="0.25">
      <c r="A997" s="7" t="s">
        <v>16</v>
      </c>
      <c r="B997" s="7" t="s">
        <v>372</v>
      </c>
      <c r="C997" s="7" t="s">
        <v>373</v>
      </c>
      <c r="D997" s="4">
        <v>60214517000962</v>
      </c>
      <c r="E997" s="8" t="s">
        <v>729</v>
      </c>
      <c r="F997" s="8" t="s">
        <v>650</v>
      </c>
      <c r="G997" s="7" t="s">
        <v>19</v>
      </c>
      <c r="H997" s="47" t="s">
        <v>207</v>
      </c>
      <c r="I997" s="47" t="s">
        <v>208</v>
      </c>
      <c r="J997" s="6">
        <v>70</v>
      </c>
      <c r="K997" s="8" t="s">
        <v>20</v>
      </c>
      <c r="L997" s="1" t="s">
        <v>729</v>
      </c>
      <c r="M997" s="5">
        <v>120</v>
      </c>
      <c r="Q997" s="3"/>
      <c r="R997" s="3"/>
      <c r="S997" s="3"/>
    </row>
    <row r="998" spans="1:19" ht="15" x14ac:dyDescent="0.25">
      <c r="A998" s="7" t="s">
        <v>16</v>
      </c>
      <c r="B998" s="7" t="s">
        <v>372</v>
      </c>
      <c r="C998" s="7" t="s">
        <v>373</v>
      </c>
      <c r="D998" s="4">
        <v>60214517001691</v>
      </c>
      <c r="E998" s="8" t="s">
        <v>732</v>
      </c>
      <c r="F998" s="8" t="s">
        <v>650</v>
      </c>
      <c r="G998" s="7" t="s">
        <v>19</v>
      </c>
      <c r="H998" s="47" t="s">
        <v>207</v>
      </c>
      <c r="I998" s="47" t="s">
        <v>208</v>
      </c>
      <c r="J998" s="6">
        <v>70</v>
      </c>
      <c r="K998" s="8" t="s">
        <v>20</v>
      </c>
      <c r="L998" s="1" t="s">
        <v>732</v>
      </c>
      <c r="M998" s="5">
        <v>225</v>
      </c>
      <c r="Q998" s="3"/>
      <c r="R998" s="3"/>
      <c r="S998" s="3"/>
    </row>
    <row r="999" spans="1:19" ht="15" x14ac:dyDescent="0.25">
      <c r="A999" s="7" t="s">
        <v>16</v>
      </c>
      <c r="B999" s="7" t="s">
        <v>372</v>
      </c>
      <c r="C999" s="7" t="s">
        <v>373</v>
      </c>
      <c r="D999" s="4">
        <v>68029156000481</v>
      </c>
      <c r="E999" s="8" t="s">
        <v>1371</v>
      </c>
      <c r="F999" s="8" t="s">
        <v>1372</v>
      </c>
      <c r="G999" s="7" t="s">
        <v>19</v>
      </c>
      <c r="H999" s="47" t="s">
        <v>207</v>
      </c>
      <c r="I999" s="47" t="s">
        <v>208</v>
      </c>
      <c r="J999" s="6">
        <v>70</v>
      </c>
      <c r="K999" s="8" t="s">
        <v>20</v>
      </c>
      <c r="L999" s="1" t="s">
        <v>1371</v>
      </c>
      <c r="M999" s="5">
        <v>65</v>
      </c>
      <c r="Q999" s="3"/>
      <c r="R999" s="3"/>
      <c r="S999" s="3"/>
    </row>
    <row r="1000" spans="1:19" ht="15" x14ac:dyDescent="0.25">
      <c r="A1000" s="7" t="s">
        <v>16</v>
      </c>
      <c r="B1000" s="7" t="s">
        <v>21</v>
      </c>
      <c r="C1000" s="7" t="s">
        <v>18</v>
      </c>
      <c r="D1000" s="4">
        <v>394544000851</v>
      </c>
      <c r="E1000" s="8" t="s">
        <v>1136</v>
      </c>
      <c r="F1000" s="8" t="s">
        <v>739</v>
      </c>
      <c r="G1000" s="7" t="s">
        <v>55</v>
      </c>
      <c r="H1000" s="47" t="s">
        <v>1510</v>
      </c>
      <c r="I1000" s="47" t="s">
        <v>1382</v>
      </c>
      <c r="J1000" s="6">
        <v>66</v>
      </c>
      <c r="K1000" s="8" t="s">
        <v>28</v>
      </c>
      <c r="L1000" s="1" t="s">
        <v>1136</v>
      </c>
      <c r="M1000" s="5">
        <v>12</v>
      </c>
      <c r="Q1000" s="3"/>
      <c r="R1000" s="3"/>
      <c r="S1000" s="3"/>
    </row>
    <row r="1001" spans="1:19" ht="15" x14ac:dyDescent="0.25">
      <c r="A1001" s="7" t="s">
        <v>16</v>
      </c>
      <c r="B1001" s="7" t="s">
        <v>21</v>
      </c>
      <c r="C1001" s="7" t="s">
        <v>18</v>
      </c>
      <c r="D1001" s="4">
        <v>394544000851</v>
      </c>
      <c r="E1001" s="8" t="s">
        <v>1136</v>
      </c>
      <c r="F1001" s="8" t="s">
        <v>739</v>
      </c>
      <c r="G1001" s="7" t="s">
        <v>55</v>
      </c>
      <c r="H1001" s="47" t="s">
        <v>1510</v>
      </c>
      <c r="I1001" s="47" t="s">
        <v>1382</v>
      </c>
      <c r="J1001" s="6">
        <v>70</v>
      </c>
      <c r="K1001" s="8" t="s">
        <v>20</v>
      </c>
      <c r="L1001" s="1" t="s">
        <v>1136</v>
      </c>
      <c r="M1001" s="5">
        <v>630</v>
      </c>
      <c r="Q1001" s="3"/>
      <c r="R1001" s="3"/>
      <c r="S1001" s="3"/>
    </row>
    <row r="1002" spans="1:19" ht="15" x14ac:dyDescent="0.25">
      <c r="A1002" s="7" t="s">
        <v>16</v>
      </c>
      <c r="B1002" s="7" t="s">
        <v>22</v>
      </c>
      <c r="C1002" s="7" t="s">
        <v>18</v>
      </c>
      <c r="D1002" s="4">
        <v>394544000851</v>
      </c>
      <c r="E1002" s="8" t="s">
        <v>1136</v>
      </c>
      <c r="F1002" s="8" t="s">
        <v>739</v>
      </c>
      <c r="G1002" s="7" t="s">
        <v>55</v>
      </c>
      <c r="H1002" s="47" t="s">
        <v>1510</v>
      </c>
      <c r="I1002" s="47" t="s">
        <v>1382</v>
      </c>
      <c r="J1002" s="6">
        <v>62</v>
      </c>
      <c r="K1002" s="8" t="s">
        <v>27</v>
      </c>
      <c r="L1002" s="1" t="s">
        <v>1136</v>
      </c>
      <c r="M1002" s="5">
        <v>1050</v>
      </c>
      <c r="Q1002" s="3"/>
      <c r="R1002" s="3"/>
      <c r="S1002" s="3"/>
    </row>
    <row r="1003" spans="1:19" ht="15" x14ac:dyDescent="0.25">
      <c r="A1003" s="7" t="s">
        <v>16</v>
      </c>
      <c r="B1003" s="7" t="s">
        <v>22</v>
      </c>
      <c r="C1003" s="7" t="s">
        <v>18</v>
      </c>
      <c r="D1003" s="4">
        <v>394544000851</v>
      </c>
      <c r="E1003" s="8" t="s">
        <v>1136</v>
      </c>
      <c r="F1003" s="8" t="s">
        <v>739</v>
      </c>
      <c r="G1003" s="7" t="s">
        <v>55</v>
      </c>
      <c r="H1003" s="47" t="s">
        <v>1510</v>
      </c>
      <c r="I1003" s="47" t="s">
        <v>1382</v>
      </c>
      <c r="J1003" s="6">
        <v>70</v>
      </c>
      <c r="K1003" s="8" t="s">
        <v>20</v>
      </c>
      <c r="L1003" s="1" t="s">
        <v>1136</v>
      </c>
      <c r="M1003" s="5">
        <v>120</v>
      </c>
      <c r="Q1003" s="3"/>
      <c r="R1003" s="3"/>
      <c r="S1003" s="3"/>
    </row>
    <row r="1004" spans="1:19" ht="15" x14ac:dyDescent="0.25">
      <c r="A1004" s="7" t="s">
        <v>16</v>
      </c>
      <c r="B1004" s="7" t="s">
        <v>23</v>
      </c>
      <c r="C1004" s="7" t="s">
        <v>24</v>
      </c>
      <c r="D1004" s="4">
        <v>394544000851</v>
      </c>
      <c r="E1004" s="8" t="s">
        <v>1136</v>
      </c>
      <c r="F1004" s="8" t="s">
        <v>739</v>
      </c>
      <c r="G1004" s="7" t="s">
        <v>55</v>
      </c>
      <c r="H1004" s="47" t="s">
        <v>1510</v>
      </c>
      <c r="I1004" s="47" t="s">
        <v>1382</v>
      </c>
      <c r="J1004" s="6">
        <v>66</v>
      </c>
      <c r="K1004" s="8" t="s">
        <v>28</v>
      </c>
      <c r="L1004" s="1" t="s">
        <v>1136</v>
      </c>
      <c r="M1004" s="5">
        <v>326</v>
      </c>
      <c r="Q1004" s="3"/>
      <c r="R1004" s="3"/>
      <c r="S1004" s="3"/>
    </row>
    <row r="1005" spans="1:19" ht="15" x14ac:dyDescent="0.25">
      <c r="A1005" s="7" t="s">
        <v>16</v>
      </c>
      <c r="B1005" s="7" t="s">
        <v>229</v>
      </c>
      <c r="C1005" s="7" t="s">
        <v>24</v>
      </c>
      <c r="D1005" s="4">
        <v>394544000851</v>
      </c>
      <c r="E1005" s="8" t="s">
        <v>1136</v>
      </c>
      <c r="F1005" s="8" t="s">
        <v>739</v>
      </c>
      <c r="G1005" s="7" t="s">
        <v>55</v>
      </c>
      <c r="H1005" s="47" t="s">
        <v>1510</v>
      </c>
      <c r="I1005" s="47" t="s">
        <v>1382</v>
      </c>
      <c r="J1005" s="6">
        <v>73</v>
      </c>
      <c r="K1005" s="8" t="s">
        <v>26</v>
      </c>
      <c r="L1005" s="1" t="s">
        <v>1136</v>
      </c>
      <c r="M1005" s="5">
        <v>24</v>
      </c>
      <c r="Q1005" s="3"/>
      <c r="R1005" s="3"/>
      <c r="S1005" s="3"/>
    </row>
    <row r="1006" spans="1:19" ht="15" x14ac:dyDescent="0.25">
      <c r="A1006" s="7" t="s">
        <v>16</v>
      </c>
      <c r="B1006" s="7" t="s">
        <v>230</v>
      </c>
      <c r="C1006" s="7" t="s">
        <v>24</v>
      </c>
      <c r="D1006" s="4">
        <v>46709932249</v>
      </c>
      <c r="E1006" s="8" t="s">
        <v>1433</v>
      </c>
      <c r="F1006" s="8" t="s">
        <v>1129</v>
      </c>
      <c r="G1006" s="7" t="s">
        <v>52</v>
      </c>
      <c r="H1006" s="47"/>
      <c r="I1006" s="47"/>
      <c r="J1006" s="6">
        <v>70</v>
      </c>
      <c r="K1006" s="8" t="s">
        <v>20</v>
      </c>
      <c r="L1006" s="1" t="s">
        <v>1433</v>
      </c>
      <c r="M1006" s="5">
        <v>10</v>
      </c>
      <c r="Q1006" s="3"/>
      <c r="R1006" s="3"/>
      <c r="S1006" s="3"/>
    </row>
    <row r="1007" spans="1:19" ht="15" x14ac:dyDescent="0.25">
      <c r="A1007" s="7" t="s">
        <v>16</v>
      </c>
      <c r="B1007" s="7" t="s">
        <v>372</v>
      </c>
      <c r="C1007" s="7" t="s">
        <v>373</v>
      </c>
      <c r="D1007" s="4">
        <v>92390000177</v>
      </c>
      <c r="E1007" s="8" t="s">
        <v>1434</v>
      </c>
      <c r="F1007" s="8" t="s">
        <v>125</v>
      </c>
      <c r="G1007" s="7" t="s">
        <v>68</v>
      </c>
      <c r="H1007" s="47"/>
      <c r="I1007" s="47"/>
      <c r="J1007" s="6">
        <v>70</v>
      </c>
      <c r="K1007" s="8" t="s">
        <v>20</v>
      </c>
      <c r="L1007" s="1" t="s">
        <v>1434</v>
      </c>
      <c r="M1007" s="5">
        <v>90</v>
      </c>
      <c r="Q1007" s="3"/>
      <c r="R1007" s="3"/>
      <c r="S1007" s="3"/>
    </row>
    <row r="1008" spans="1:19" ht="15" x14ac:dyDescent="0.25">
      <c r="A1008" s="7" t="s">
        <v>16</v>
      </c>
      <c r="B1008" s="7" t="s">
        <v>372</v>
      </c>
      <c r="C1008" s="7" t="s">
        <v>373</v>
      </c>
      <c r="D1008" s="4">
        <v>754174000140</v>
      </c>
      <c r="E1008" s="8" t="s">
        <v>1438</v>
      </c>
      <c r="F1008" s="8" t="s">
        <v>745</v>
      </c>
      <c r="G1008" s="7" t="s">
        <v>59</v>
      </c>
      <c r="H1008" s="47"/>
      <c r="I1008" s="47"/>
      <c r="J1008" s="6">
        <v>70</v>
      </c>
      <c r="K1008" s="8" t="s">
        <v>20</v>
      </c>
      <c r="L1008" s="1" t="s">
        <v>1438</v>
      </c>
      <c r="M1008" s="5">
        <v>50</v>
      </c>
      <c r="Q1008" s="3"/>
      <c r="R1008" s="3"/>
      <c r="S1008" s="3"/>
    </row>
    <row r="1009" spans="1:19" ht="15" x14ac:dyDescent="0.25">
      <c r="A1009" s="7" t="s">
        <v>16</v>
      </c>
      <c r="B1009" s="7" t="s">
        <v>372</v>
      </c>
      <c r="C1009" s="7" t="s">
        <v>373</v>
      </c>
      <c r="D1009" s="4">
        <v>773639001505</v>
      </c>
      <c r="E1009" s="8" t="s">
        <v>1439</v>
      </c>
      <c r="F1009" s="8" t="s">
        <v>100</v>
      </c>
      <c r="G1009" s="7" t="s">
        <v>67</v>
      </c>
      <c r="H1009" s="47"/>
      <c r="I1009" s="47"/>
      <c r="J1009" s="6">
        <v>70</v>
      </c>
      <c r="K1009" s="8" t="s">
        <v>20</v>
      </c>
      <c r="L1009" s="1" t="s">
        <v>1439</v>
      </c>
      <c r="M1009" s="5">
        <v>150</v>
      </c>
      <c r="Q1009" s="3"/>
      <c r="R1009" s="3"/>
      <c r="S1009" s="3"/>
    </row>
    <row r="1010" spans="1:19" ht="15" x14ac:dyDescent="0.25">
      <c r="A1010" s="7" t="s">
        <v>16</v>
      </c>
      <c r="B1010" s="7" t="s">
        <v>372</v>
      </c>
      <c r="C1010" s="7" t="s">
        <v>373</v>
      </c>
      <c r="D1010" s="4">
        <v>855774000102</v>
      </c>
      <c r="E1010" s="8" t="s">
        <v>1440</v>
      </c>
      <c r="F1010" s="8" t="s">
        <v>988</v>
      </c>
      <c r="G1010" s="7" t="s">
        <v>57</v>
      </c>
      <c r="H1010" s="47"/>
      <c r="I1010" s="47"/>
      <c r="J1010" s="6">
        <v>70</v>
      </c>
      <c r="K1010" s="8" t="s">
        <v>20</v>
      </c>
      <c r="L1010" s="1" t="s">
        <v>1440</v>
      </c>
      <c r="M1010" s="5">
        <v>50</v>
      </c>
      <c r="Q1010" s="3"/>
      <c r="R1010" s="3"/>
      <c r="S1010" s="3"/>
    </row>
    <row r="1011" spans="1:19" ht="15" x14ac:dyDescent="0.25">
      <c r="A1011" s="7" t="s">
        <v>16</v>
      </c>
      <c r="B1011" s="7" t="s">
        <v>372</v>
      </c>
      <c r="C1011" s="7" t="s">
        <v>373</v>
      </c>
      <c r="D1011" s="4">
        <v>1116300000101</v>
      </c>
      <c r="E1011" s="8" t="s">
        <v>1441</v>
      </c>
      <c r="F1011" s="8" t="s">
        <v>1442</v>
      </c>
      <c r="G1011" s="7" t="s">
        <v>59</v>
      </c>
      <c r="H1011" s="47"/>
      <c r="I1011" s="47"/>
      <c r="J1011" s="6">
        <v>70</v>
      </c>
      <c r="K1011" s="8" t="s">
        <v>20</v>
      </c>
      <c r="L1011" s="1" t="s">
        <v>1441</v>
      </c>
      <c r="M1011" s="5">
        <v>15</v>
      </c>
      <c r="Q1011" s="3"/>
      <c r="R1011" s="3"/>
      <c r="S1011" s="3"/>
    </row>
    <row r="1012" spans="1:19" ht="15" x14ac:dyDescent="0.25">
      <c r="A1012" s="7" t="s">
        <v>16</v>
      </c>
      <c r="B1012" s="7" t="s">
        <v>372</v>
      </c>
      <c r="C1012" s="7" t="s">
        <v>373</v>
      </c>
      <c r="D1012" s="4">
        <v>1141127000193</v>
      </c>
      <c r="E1012" s="8" t="s">
        <v>1443</v>
      </c>
      <c r="F1012" s="8" t="s">
        <v>104</v>
      </c>
      <c r="G1012" s="7" t="s">
        <v>67</v>
      </c>
      <c r="H1012" s="47"/>
      <c r="I1012" s="47"/>
      <c r="J1012" s="6">
        <v>70</v>
      </c>
      <c r="K1012" s="8" t="s">
        <v>20</v>
      </c>
      <c r="L1012" s="1" t="s">
        <v>1443</v>
      </c>
      <c r="M1012" s="5">
        <v>10</v>
      </c>
      <c r="Q1012" s="3"/>
      <c r="R1012" s="3"/>
      <c r="S1012" s="3"/>
    </row>
    <row r="1013" spans="1:19" ht="15" x14ac:dyDescent="0.25">
      <c r="A1013" s="7" t="s">
        <v>16</v>
      </c>
      <c r="B1013" s="7" t="s">
        <v>372</v>
      </c>
      <c r="C1013" s="7" t="s">
        <v>373</v>
      </c>
      <c r="D1013" s="4">
        <v>1753991000146</v>
      </c>
      <c r="E1013" s="8" t="s">
        <v>1444</v>
      </c>
      <c r="F1013" s="8" t="s">
        <v>1445</v>
      </c>
      <c r="G1013" s="7" t="s">
        <v>67</v>
      </c>
      <c r="H1013" s="47"/>
      <c r="I1013" s="47"/>
      <c r="J1013" s="6">
        <v>70</v>
      </c>
      <c r="K1013" s="8" t="s">
        <v>20</v>
      </c>
      <c r="L1013" s="1" t="s">
        <v>1444</v>
      </c>
      <c r="M1013" s="5">
        <v>15</v>
      </c>
      <c r="Q1013" s="3"/>
      <c r="R1013" s="3"/>
      <c r="S1013" s="3"/>
    </row>
    <row r="1014" spans="1:19" ht="15" x14ac:dyDescent="0.25">
      <c r="A1014" s="7" t="s">
        <v>16</v>
      </c>
      <c r="B1014" s="7" t="s">
        <v>372</v>
      </c>
      <c r="C1014" s="7" t="s">
        <v>373</v>
      </c>
      <c r="D1014" s="4">
        <v>3989821000433</v>
      </c>
      <c r="E1014" s="8" t="s">
        <v>1448</v>
      </c>
      <c r="F1014" s="8" t="s">
        <v>1449</v>
      </c>
      <c r="G1014" s="7" t="s">
        <v>55</v>
      </c>
      <c r="H1014" s="47"/>
      <c r="I1014" s="47"/>
      <c r="J1014" s="6">
        <v>70</v>
      </c>
      <c r="K1014" s="8" t="s">
        <v>20</v>
      </c>
      <c r="L1014" s="1" t="s">
        <v>1448</v>
      </c>
      <c r="M1014" s="5">
        <v>70</v>
      </c>
      <c r="Q1014" s="3"/>
      <c r="R1014" s="3"/>
      <c r="S1014" s="3"/>
    </row>
    <row r="1015" spans="1:19" ht="15" x14ac:dyDescent="0.25">
      <c r="A1015" s="7" t="s">
        <v>16</v>
      </c>
      <c r="B1015" s="7" t="s">
        <v>372</v>
      </c>
      <c r="C1015" s="7" t="s">
        <v>373</v>
      </c>
      <c r="D1015" s="4">
        <v>6054754000100</v>
      </c>
      <c r="E1015" s="8" t="s">
        <v>1451</v>
      </c>
      <c r="F1015" s="8" t="s">
        <v>1449</v>
      </c>
      <c r="G1015" s="7" t="s">
        <v>55</v>
      </c>
      <c r="H1015" s="47"/>
      <c r="I1015" s="47"/>
      <c r="J1015" s="6">
        <v>70</v>
      </c>
      <c r="K1015" s="8" t="s">
        <v>20</v>
      </c>
      <c r="L1015" s="1" t="s">
        <v>1451</v>
      </c>
      <c r="M1015" s="5">
        <v>250</v>
      </c>
      <c r="Q1015" s="3"/>
      <c r="R1015" s="3"/>
      <c r="S1015" s="3"/>
    </row>
    <row r="1016" spans="1:19" ht="15" x14ac:dyDescent="0.25">
      <c r="A1016" s="7" t="s">
        <v>16</v>
      </c>
      <c r="B1016" s="7" t="s">
        <v>372</v>
      </c>
      <c r="C1016" s="7" t="s">
        <v>373</v>
      </c>
      <c r="D1016" s="4">
        <v>7549453000110</v>
      </c>
      <c r="E1016" s="8" t="s">
        <v>1452</v>
      </c>
      <c r="F1016" s="8" t="s">
        <v>84</v>
      </c>
      <c r="G1016" s="7" t="s">
        <v>85</v>
      </c>
      <c r="H1016" s="47"/>
      <c r="I1016" s="47"/>
      <c r="J1016" s="6">
        <v>70</v>
      </c>
      <c r="K1016" s="8" t="s">
        <v>20</v>
      </c>
      <c r="L1016" s="1" t="s">
        <v>1452</v>
      </c>
      <c r="M1016" s="5">
        <v>90</v>
      </c>
      <c r="Q1016" s="3"/>
      <c r="R1016" s="3"/>
      <c r="S1016" s="3"/>
    </row>
    <row r="1017" spans="1:19" ht="15" x14ac:dyDescent="0.25">
      <c r="A1017" s="7" t="s">
        <v>16</v>
      </c>
      <c r="B1017" s="7" t="s">
        <v>372</v>
      </c>
      <c r="C1017" s="7" t="s">
        <v>373</v>
      </c>
      <c r="D1017" s="4">
        <v>7862532000187</v>
      </c>
      <c r="E1017" s="8" t="s">
        <v>1453</v>
      </c>
      <c r="F1017" s="8" t="s">
        <v>772</v>
      </c>
      <c r="G1017" s="7" t="s">
        <v>69</v>
      </c>
      <c r="H1017" s="47"/>
      <c r="I1017" s="47"/>
      <c r="J1017" s="6">
        <v>70</v>
      </c>
      <c r="K1017" s="8" t="s">
        <v>20</v>
      </c>
      <c r="L1017" s="1" t="s">
        <v>1453</v>
      </c>
      <c r="M1017" s="5">
        <v>20</v>
      </c>
      <c r="Q1017" s="3"/>
      <c r="R1017" s="3"/>
      <c r="S1017" s="3"/>
    </row>
    <row r="1018" spans="1:19" ht="15" x14ac:dyDescent="0.25">
      <c r="A1018" s="7" t="s">
        <v>16</v>
      </c>
      <c r="B1018" s="7" t="s">
        <v>372</v>
      </c>
      <c r="C1018" s="7" t="s">
        <v>373</v>
      </c>
      <c r="D1018" s="4">
        <v>8580014000133</v>
      </c>
      <c r="E1018" s="8" t="s">
        <v>1454</v>
      </c>
      <c r="F1018" s="8" t="s">
        <v>94</v>
      </c>
      <c r="G1018" s="7" t="s">
        <v>57</v>
      </c>
      <c r="H1018" s="47"/>
      <c r="I1018" s="47"/>
      <c r="J1018" s="6">
        <v>70</v>
      </c>
      <c r="K1018" s="8" t="s">
        <v>20</v>
      </c>
      <c r="L1018" s="1" t="s">
        <v>1454</v>
      </c>
      <c r="M1018" s="5">
        <v>10</v>
      </c>
      <c r="Q1018" s="3"/>
      <c r="R1018" s="3"/>
      <c r="S1018" s="3"/>
    </row>
    <row r="1019" spans="1:19" ht="15" x14ac:dyDescent="0.25">
      <c r="A1019" s="7" t="s">
        <v>16</v>
      </c>
      <c r="B1019" s="7" t="s">
        <v>372</v>
      </c>
      <c r="C1019" s="7" t="s">
        <v>373</v>
      </c>
      <c r="D1019" s="4">
        <v>9635024000272</v>
      </c>
      <c r="E1019" s="8" t="s">
        <v>1456</v>
      </c>
      <c r="F1019" s="8" t="s">
        <v>1420</v>
      </c>
      <c r="G1019" s="7" t="s">
        <v>54</v>
      </c>
      <c r="H1019" s="47"/>
      <c r="I1019" s="47"/>
      <c r="J1019" s="6">
        <v>70</v>
      </c>
      <c r="K1019" s="8" t="s">
        <v>20</v>
      </c>
      <c r="L1019" s="1" t="s">
        <v>1456</v>
      </c>
      <c r="M1019" s="5">
        <v>270</v>
      </c>
      <c r="Q1019" s="3"/>
      <c r="R1019" s="3"/>
      <c r="S1019" s="3"/>
    </row>
    <row r="1020" spans="1:19" ht="15" x14ac:dyDescent="0.25">
      <c r="A1020" s="7" t="s">
        <v>16</v>
      </c>
      <c r="B1020" s="7" t="s">
        <v>372</v>
      </c>
      <c r="C1020" s="7" t="s">
        <v>373</v>
      </c>
      <c r="D1020" s="4">
        <v>9767633000102</v>
      </c>
      <c r="E1020" s="8" t="s">
        <v>1457</v>
      </c>
      <c r="F1020" s="8" t="s">
        <v>70</v>
      </c>
      <c r="G1020" s="7" t="s">
        <v>71</v>
      </c>
      <c r="H1020" s="47"/>
      <c r="I1020" s="47"/>
      <c r="J1020" s="6">
        <v>70</v>
      </c>
      <c r="K1020" s="8" t="s">
        <v>20</v>
      </c>
      <c r="L1020" s="1" t="s">
        <v>1457</v>
      </c>
      <c r="M1020" s="5">
        <v>20</v>
      </c>
      <c r="Q1020" s="3"/>
      <c r="R1020" s="3"/>
      <c r="S1020" s="3"/>
    </row>
    <row r="1021" spans="1:19" ht="15" x14ac:dyDescent="0.25">
      <c r="A1021" s="7" t="s">
        <v>16</v>
      </c>
      <c r="B1021" s="7" t="s">
        <v>372</v>
      </c>
      <c r="C1021" s="7" t="s">
        <v>373</v>
      </c>
      <c r="D1021" s="4">
        <v>11697594000310</v>
      </c>
      <c r="E1021" s="8" t="s">
        <v>1458</v>
      </c>
      <c r="F1021" s="8" t="s">
        <v>1459</v>
      </c>
      <c r="G1021" s="7" t="s">
        <v>98</v>
      </c>
      <c r="H1021" s="47"/>
      <c r="I1021" s="47"/>
      <c r="J1021" s="6">
        <v>73</v>
      </c>
      <c r="K1021" s="8" t="s">
        <v>26</v>
      </c>
      <c r="L1021" s="1" t="s">
        <v>1458</v>
      </c>
      <c r="M1021" s="5">
        <v>4</v>
      </c>
      <c r="Q1021" s="3"/>
      <c r="R1021" s="3"/>
      <c r="S1021" s="3"/>
    </row>
    <row r="1022" spans="1:19" ht="15" x14ac:dyDescent="0.25">
      <c r="A1022" s="7" t="s">
        <v>16</v>
      </c>
      <c r="B1022" s="7" t="s">
        <v>372</v>
      </c>
      <c r="C1022" s="7" t="s">
        <v>373</v>
      </c>
      <c r="D1022" s="4">
        <v>12307187000583</v>
      </c>
      <c r="E1022" s="8" t="s">
        <v>1460</v>
      </c>
      <c r="F1022" s="8" t="s">
        <v>742</v>
      </c>
      <c r="G1022" s="7" t="s">
        <v>91</v>
      </c>
      <c r="H1022" s="47"/>
      <c r="I1022" s="47"/>
      <c r="J1022" s="6">
        <v>64</v>
      </c>
      <c r="K1022" s="8" t="s">
        <v>25</v>
      </c>
      <c r="L1022" s="1" t="s">
        <v>1460</v>
      </c>
      <c r="M1022" s="5">
        <v>6</v>
      </c>
      <c r="Q1022" s="3"/>
      <c r="R1022" s="3"/>
      <c r="S1022" s="3"/>
    </row>
    <row r="1023" spans="1:19" ht="15" x14ac:dyDescent="0.25">
      <c r="A1023" s="7" t="s">
        <v>16</v>
      </c>
      <c r="B1023" s="7" t="s">
        <v>372</v>
      </c>
      <c r="C1023" s="7" t="s">
        <v>373</v>
      </c>
      <c r="D1023" s="4">
        <v>12361267011985</v>
      </c>
      <c r="E1023" s="8" t="s">
        <v>1461</v>
      </c>
      <c r="F1023" s="8" t="s">
        <v>109</v>
      </c>
      <c r="G1023" s="7" t="s">
        <v>110</v>
      </c>
      <c r="H1023" s="47"/>
      <c r="I1023" s="47"/>
      <c r="J1023" s="6">
        <v>70</v>
      </c>
      <c r="K1023" s="8" t="s">
        <v>20</v>
      </c>
      <c r="L1023" s="1" t="s">
        <v>1461</v>
      </c>
      <c r="M1023" s="5">
        <v>295</v>
      </c>
      <c r="Q1023" s="3"/>
      <c r="R1023" s="3"/>
      <c r="S1023" s="3"/>
    </row>
    <row r="1024" spans="1:19" ht="15" x14ac:dyDescent="0.25">
      <c r="A1024" s="7" t="s">
        <v>16</v>
      </c>
      <c r="B1024" s="7" t="s">
        <v>372</v>
      </c>
      <c r="C1024" s="7" t="s">
        <v>373</v>
      </c>
      <c r="D1024" s="4">
        <v>12981527000204</v>
      </c>
      <c r="E1024" s="8" t="s">
        <v>1462</v>
      </c>
      <c r="F1024" s="8" t="s">
        <v>1463</v>
      </c>
      <c r="G1024" s="7" t="s">
        <v>69</v>
      </c>
      <c r="H1024" s="47"/>
      <c r="I1024" s="47"/>
      <c r="J1024" s="6">
        <v>70</v>
      </c>
      <c r="K1024" s="8" t="s">
        <v>20</v>
      </c>
      <c r="L1024" s="1" t="s">
        <v>1462</v>
      </c>
      <c r="M1024" s="5">
        <v>25</v>
      </c>
      <c r="Q1024" s="3"/>
      <c r="R1024" s="3"/>
      <c r="S1024" s="3"/>
    </row>
    <row r="1025" spans="1:19" ht="15" x14ac:dyDescent="0.25">
      <c r="A1025" s="7" t="s">
        <v>16</v>
      </c>
      <c r="B1025" s="7" t="s">
        <v>372</v>
      </c>
      <c r="C1025" s="7" t="s">
        <v>373</v>
      </c>
      <c r="D1025" s="4">
        <v>15126437001549</v>
      </c>
      <c r="E1025" s="8" t="s">
        <v>1464</v>
      </c>
      <c r="F1025" s="8" t="s">
        <v>58</v>
      </c>
      <c r="G1025" s="7" t="s">
        <v>54</v>
      </c>
      <c r="H1025" s="47"/>
      <c r="I1025" s="47"/>
      <c r="J1025" s="6">
        <v>70</v>
      </c>
      <c r="K1025" s="8" t="s">
        <v>20</v>
      </c>
      <c r="L1025" s="1" t="s">
        <v>1464</v>
      </c>
      <c r="M1025" s="5">
        <v>1000</v>
      </c>
      <c r="Q1025" s="3"/>
      <c r="R1025" s="3"/>
      <c r="S1025" s="3"/>
    </row>
    <row r="1026" spans="1:19" ht="15" x14ac:dyDescent="0.25">
      <c r="A1026" s="7" t="s">
        <v>16</v>
      </c>
      <c r="B1026" s="7" t="s">
        <v>372</v>
      </c>
      <c r="C1026" s="7" t="s">
        <v>373</v>
      </c>
      <c r="D1026" s="4">
        <v>15126437002510</v>
      </c>
      <c r="E1026" s="8" t="s">
        <v>1465</v>
      </c>
      <c r="F1026" s="8" t="s">
        <v>88</v>
      </c>
      <c r="G1026" s="7" t="s">
        <v>54</v>
      </c>
      <c r="H1026" s="47"/>
      <c r="I1026" s="47"/>
      <c r="J1026" s="6">
        <v>70</v>
      </c>
      <c r="K1026" s="8" t="s">
        <v>20</v>
      </c>
      <c r="L1026" s="1" t="s">
        <v>1465</v>
      </c>
      <c r="M1026" s="5">
        <v>200</v>
      </c>
      <c r="Q1026" s="3"/>
      <c r="R1026" s="3"/>
      <c r="S1026" s="3"/>
    </row>
    <row r="1027" spans="1:19" ht="15" x14ac:dyDescent="0.25">
      <c r="A1027" s="7" t="s">
        <v>16</v>
      </c>
      <c r="B1027" s="7" t="s">
        <v>372</v>
      </c>
      <c r="C1027" s="7" t="s">
        <v>373</v>
      </c>
      <c r="D1027" s="4">
        <v>15178551000117</v>
      </c>
      <c r="E1027" s="8" t="s">
        <v>1466</v>
      </c>
      <c r="F1027" s="8" t="s">
        <v>75</v>
      </c>
      <c r="G1027" s="7" t="s">
        <v>74</v>
      </c>
      <c r="H1027" s="47"/>
      <c r="I1027" s="47"/>
      <c r="J1027" s="6">
        <v>70</v>
      </c>
      <c r="K1027" s="8" t="s">
        <v>20</v>
      </c>
      <c r="L1027" s="1" t="s">
        <v>1466</v>
      </c>
      <c r="M1027" s="5">
        <v>10</v>
      </c>
      <c r="Q1027" s="3"/>
      <c r="R1027" s="3"/>
      <c r="S1027" s="3"/>
    </row>
    <row r="1028" spans="1:19" ht="15" x14ac:dyDescent="0.25">
      <c r="A1028" s="7" t="s">
        <v>16</v>
      </c>
      <c r="B1028" s="7" t="s">
        <v>372</v>
      </c>
      <c r="C1028" s="7" t="s">
        <v>373</v>
      </c>
      <c r="D1028" s="4">
        <v>18770112000197</v>
      </c>
      <c r="E1028" s="8" t="s">
        <v>1467</v>
      </c>
      <c r="F1028" s="8" t="s">
        <v>83</v>
      </c>
      <c r="G1028" s="7" t="s">
        <v>67</v>
      </c>
      <c r="H1028" s="47"/>
      <c r="I1028" s="47"/>
      <c r="J1028" s="6">
        <v>70</v>
      </c>
      <c r="K1028" s="8" t="s">
        <v>20</v>
      </c>
      <c r="L1028" s="1" t="s">
        <v>1467</v>
      </c>
      <c r="M1028" s="5">
        <v>20</v>
      </c>
      <c r="Q1028" s="3"/>
      <c r="R1028" s="3"/>
      <c r="S1028" s="3"/>
    </row>
    <row r="1029" spans="1:19" ht="15" x14ac:dyDescent="0.25">
      <c r="A1029" s="7" t="s">
        <v>16</v>
      </c>
      <c r="B1029" s="7" t="s">
        <v>372</v>
      </c>
      <c r="C1029" s="7" t="s">
        <v>373</v>
      </c>
      <c r="D1029" s="4">
        <v>24449225000279</v>
      </c>
      <c r="E1029" s="8" t="s">
        <v>1468</v>
      </c>
      <c r="F1029" s="8" t="s">
        <v>1469</v>
      </c>
      <c r="G1029" s="7" t="s">
        <v>71</v>
      </c>
      <c r="H1029" s="47"/>
      <c r="I1029" s="47"/>
      <c r="J1029" s="6">
        <v>64</v>
      </c>
      <c r="K1029" s="8" t="s">
        <v>25</v>
      </c>
      <c r="L1029" s="1" t="s">
        <v>1468</v>
      </c>
      <c r="M1029" s="5">
        <v>1</v>
      </c>
      <c r="Q1029" s="3"/>
      <c r="R1029" s="3"/>
      <c r="S1029" s="3"/>
    </row>
    <row r="1030" spans="1:19" ht="15" x14ac:dyDescent="0.25">
      <c r="A1030" s="7" t="s">
        <v>16</v>
      </c>
      <c r="B1030" s="7" t="s">
        <v>372</v>
      </c>
      <c r="C1030" s="7" t="s">
        <v>373</v>
      </c>
      <c r="D1030" s="4">
        <v>26645426000196</v>
      </c>
      <c r="E1030" s="8" t="s">
        <v>1470</v>
      </c>
      <c r="F1030" s="8" t="s">
        <v>1471</v>
      </c>
      <c r="G1030" s="7" t="s">
        <v>54</v>
      </c>
      <c r="H1030" s="47"/>
      <c r="I1030" s="47"/>
      <c r="J1030" s="6">
        <v>70</v>
      </c>
      <c r="K1030" s="8" t="s">
        <v>20</v>
      </c>
      <c r="L1030" s="1" t="s">
        <v>1470</v>
      </c>
      <c r="M1030" s="5">
        <v>170</v>
      </c>
      <c r="Q1030" s="3"/>
      <c r="R1030" s="3"/>
      <c r="S1030" s="3"/>
    </row>
    <row r="1031" spans="1:19" ht="15" x14ac:dyDescent="0.25">
      <c r="A1031" s="7" t="s">
        <v>16</v>
      </c>
      <c r="B1031" s="7" t="s">
        <v>372</v>
      </c>
      <c r="C1031" s="7" t="s">
        <v>373</v>
      </c>
      <c r="D1031" s="4">
        <v>27080605000609</v>
      </c>
      <c r="E1031" s="8" t="s">
        <v>1472</v>
      </c>
      <c r="F1031" s="8" t="s">
        <v>1473</v>
      </c>
      <c r="G1031" s="7" t="s">
        <v>98</v>
      </c>
      <c r="H1031" s="47"/>
      <c r="I1031" s="47"/>
      <c r="J1031" s="6">
        <v>70</v>
      </c>
      <c r="K1031" s="8" t="s">
        <v>20</v>
      </c>
      <c r="L1031" s="1" t="s">
        <v>1472</v>
      </c>
      <c r="M1031" s="5">
        <v>100</v>
      </c>
      <c r="Q1031" s="3"/>
      <c r="R1031" s="3"/>
      <c r="S1031" s="3"/>
    </row>
    <row r="1032" spans="1:19" ht="15" x14ac:dyDescent="0.25">
      <c r="A1032" s="7" t="s">
        <v>16</v>
      </c>
      <c r="B1032" s="7" t="s">
        <v>372</v>
      </c>
      <c r="C1032" s="7" t="s">
        <v>373</v>
      </c>
      <c r="D1032" s="4">
        <v>27080605002059</v>
      </c>
      <c r="E1032" s="8" t="s">
        <v>1474</v>
      </c>
      <c r="F1032" s="8" t="s">
        <v>1157</v>
      </c>
      <c r="G1032" s="7" t="s">
        <v>98</v>
      </c>
      <c r="H1032" s="47"/>
      <c r="I1032" s="47"/>
      <c r="J1032" s="6">
        <v>70</v>
      </c>
      <c r="K1032" s="8" t="s">
        <v>20</v>
      </c>
      <c r="L1032" s="1" t="s">
        <v>1474</v>
      </c>
      <c r="M1032" s="5">
        <v>50</v>
      </c>
      <c r="Q1032" s="3"/>
      <c r="R1032" s="3"/>
      <c r="S1032" s="3"/>
    </row>
    <row r="1033" spans="1:19" ht="15" x14ac:dyDescent="0.25">
      <c r="A1033" s="7" t="s">
        <v>16</v>
      </c>
      <c r="B1033" s="7" t="s">
        <v>372</v>
      </c>
      <c r="C1033" s="7" t="s">
        <v>373</v>
      </c>
      <c r="D1033" s="4">
        <v>32972408000111</v>
      </c>
      <c r="E1033" s="8" t="s">
        <v>1475</v>
      </c>
      <c r="F1033" s="8" t="s">
        <v>907</v>
      </c>
      <c r="G1033" s="7" t="s">
        <v>69</v>
      </c>
      <c r="H1033" s="47"/>
      <c r="I1033" s="47"/>
      <c r="J1033" s="6">
        <v>70</v>
      </c>
      <c r="K1033" s="8" t="s">
        <v>20</v>
      </c>
      <c r="L1033" s="1" t="s">
        <v>1475</v>
      </c>
      <c r="M1033" s="5">
        <v>15</v>
      </c>
      <c r="Q1033" s="3"/>
      <c r="R1033" s="3"/>
      <c r="S1033" s="3"/>
    </row>
    <row r="1034" spans="1:19" ht="15" x14ac:dyDescent="0.25">
      <c r="A1034" s="7" t="s">
        <v>16</v>
      </c>
      <c r="B1034" s="7" t="s">
        <v>372</v>
      </c>
      <c r="C1034" s="7" t="s">
        <v>373</v>
      </c>
      <c r="D1034" s="4">
        <v>37436920000167</v>
      </c>
      <c r="E1034" s="8" t="s">
        <v>1478</v>
      </c>
      <c r="F1034" s="8" t="s">
        <v>1479</v>
      </c>
      <c r="G1034" s="7" t="s">
        <v>69</v>
      </c>
      <c r="H1034" s="47"/>
      <c r="I1034" s="47"/>
      <c r="J1034" s="6">
        <v>64</v>
      </c>
      <c r="K1034" s="8" t="s">
        <v>25</v>
      </c>
      <c r="L1034" s="1" t="s">
        <v>1478</v>
      </c>
      <c r="M1034" s="5">
        <v>2</v>
      </c>
      <c r="Q1034" s="3"/>
      <c r="R1034" s="3"/>
      <c r="S1034" s="3"/>
    </row>
    <row r="1035" spans="1:19" ht="15" x14ac:dyDescent="0.25">
      <c r="A1035" s="7" t="s">
        <v>16</v>
      </c>
      <c r="B1035" s="7" t="s">
        <v>372</v>
      </c>
      <c r="C1035" s="7" t="s">
        <v>373</v>
      </c>
      <c r="D1035" s="4">
        <v>41871989000277</v>
      </c>
      <c r="E1035" s="8" t="s">
        <v>1480</v>
      </c>
      <c r="F1035" s="8" t="s">
        <v>1481</v>
      </c>
      <c r="G1035" s="7" t="s">
        <v>54</v>
      </c>
      <c r="H1035" s="47"/>
      <c r="I1035" s="47"/>
      <c r="J1035" s="6">
        <v>73</v>
      </c>
      <c r="K1035" s="8" t="s">
        <v>26</v>
      </c>
      <c r="L1035" s="1" t="s">
        <v>1480</v>
      </c>
      <c r="M1035" s="5">
        <v>8</v>
      </c>
      <c r="Q1035" s="3"/>
      <c r="R1035" s="3"/>
      <c r="S1035" s="3"/>
    </row>
    <row r="1036" spans="1:19" ht="15" x14ac:dyDescent="0.25">
      <c r="A1036" s="7" t="s">
        <v>16</v>
      </c>
      <c r="B1036" s="7" t="s">
        <v>372</v>
      </c>
      <c r="C1036" s="7" t="s">
        <v>373</v>
      </c>
      <c r="D1036" s="4">
        <v>42043067000153</v>
      </c>
      <c r="E1036" s="8" t="s">
        <v>1482</v>
      </c>
      <c r="F1036" s="8" t="s">
        <v>1483</v>
      </c>
      <c r="G1036" s="7" t="s">
        <v>74</v>
      </c>
      <c r="H1036" s="47"/>
      <c r="I1036" s="47"/>
      <c r="J1036" s="6">
        <v>70</v>
      </c>
      <c r="K1036" s="8" t="s">
        <v>20</v>
      </c>
      <c r="L1036" s="1" t="s">
        <v>1482</v>
      </c>
      <c r="M1036" s="5">
        <v>125</v>
      </c>
      <c r="Q1036" s="3"/>
      <c r="R1036" s="3"/>
      <c r="S1036" s="3"/>
    </row>
    <row r="1037" spans="1:19" ht="15" x14ac:dyDescent="0.25">
      <c r="A1037" s="7" t="s">
        <v>16</v>
      </c>
      <c r="B1037" s="7" t="s">
        <v>372</v>
      </c>
      <c r="C1037" s="7" t="s">
        <v>373</v>
      </c>
      <c r="D1037" s="4">
        <v>42946061000196</v>
      </c>
      <c r="E1037" s="8" t="s">
        <v>1484</v>
      </c>
      <c r="F1037" s="8" t="s">
        <v>1485</v>
      </c>
      <c r="G1037" s="7" t="s">
        <v>54</v>
      </c>
      <c r="H1037" s="47"/>
      <c r="I1037" s="47"/>
      <c r="J1037" s="6">
        <v>70</v>
      </c>
      <c r="K1037" s="8" t="s">
        <v>20</v>
      </c>
      <c r="L1037" s="1" t="s">
        <v>1484</v>
      </c>
      <c r="M1037" s="5">
        <v>150</v>
      </c>
      <c r="Q1037" s="3"/>
      <c r="R1037" s="3"/>
      <c r="S1037" s="3"/>
    </row>
    <row r="1038" spans="1:19" ht="15" x14ac:dyDescent="0.25">
      <c r="A1038" s="7" t="s">
        <v>16</v>
      </c>
      <c r="B1038" s="7" t="s">
        <v>372</v>
      </c>
      <c r="C1038" s="7" t="s">
        <v>373</v>
      </c>
      <c r="D1038" s="4">
        <v>84942887000127</v>
      </c>
      <c r="E1038" s="8" t="s">
        <v>1502</v>
      </c>
      <c r="F1038" s="8" t="s">
        <v>1503</v>
      </c>
      <c r="G1038" s="7" t="s">
        <v>68</v>
      </c>
      <c r="H1038" s="47"/>
      <c r="I1038" s="47"/>
      <c r="J1038" s="6">
        <v>70</v>
      </c>
      <c r="K1038" s="8" t="s">
        <v>20</v>
      </c>
      <c r="L1038" s="1" t="s">
        <v>1502</v>
      </c>
      <c r="M1038" s="5">
        <v>150</v>
      </c>
      <c r="Q1038" s="3"/>
      <c r="R1038" s="3"/>
      <c r="S1038" s="3"/>
    </row>
    <row r="1039" spans="1:19" ht="15" x14ac:dyDescent="0.25">
      <c r="A1039" s="7" t="s">
        <v>16</v>
      </c>
      <c r="B1039" s="7" t="s">
        <v>372</v>
      </c>
      <c r="C1039" s="7" t="s">
        <v>373</v>
      </c>
      <c r="D1039" s="4">
        <v>84947167000154</v>
      </c>
      <c r="E1039" s="8" t="s">
        <v>1504</v>
      </c>
      <c r="F1039" s="8" t="s">
        <v>1503</v>
      </c>
      <c r="G1039" s="7" t="s">
        <v>68</v>
      </c>
      <c r="H1039" s="47"/>
      <c r="I1039" s="47"/>
      <c r="J1039" s="6">
        <v>70</v>
      </c>
      <c r="K1039" s="8" t="s">
        <v>20</v>
      </c>
      <c r="L1039" s="1" t="s">
        <v>1504</v>
      </c>
      <c r="M1039" s="5">
        <v>10</v>
      </c>
      <c r="Q1039" s="3"/>
      <c r="R1039" s="3"/>
      <c r="S1039" s="3"/>
    </row>
    <row r="1040" spans="1:19" ht="15" x14ac:dyDescent="0.25">
      <c r="A1040" s="7" t="s">
        <v>16</v>
      </c>
      <c r="B1040" s="7" t="s">
        <v>372</v>
      </c>
      <c r="C1040" s="7" t="s">
        <v>373</v>
      </c>
      <c r="D1040" s="4">
        <v>85307098000187</v>
      </c>
      <c r="E1040" s="8" t="s">
        <v>1505</v>
      </c>
      <c r="F1040" s="8" t="s">
        <v>930</v>
      </c>
      <c r="G1040" s="7" t="s">
        <v>68</v>
      </c>
      <c r="H1040" s="47"/>
      <c r="I1040" s="47"/>
      <c r="J1040" s="6">
        <v>70</v>
      </c>
      <c r="K1040" s="8" t="s">
        <v>20</v>
      </c>
      <c r="L1040" s="1" t="s">
        <v>1505</v>
      </c>
      <c r="M1040" s="5">
        <v>255</v>
      </c>
      <c r="Q1040" s="3"/>
      <c r="R1040" s="3"/>
      <c r="S1040" s="3"/>
    </row>
    <row r="1041" spans="1:19" ht="15" x14ac:dyDescent="0.25">
      <c r="A1041" s="7" t="s">
        <v>16</v>
      </c>
      <c r="B1041" s="7" t="s">
        <v>372</v>
      </c>
      <c r="C1041" s="7" t="s">
        <v>373</v>
      </c>
      <c r="D1041" s="4">
        <v>87647756000296</v>
      </c>
      <c r="E1041" s="8" t="s">
        <v>1506</v>
      </c>
      <c r="F1041" s="8" t="s">
        <v>1507</v>
      </c>
      <c r="G1041" s="7" t="s">
        <v>67</v>
      </c>
      <c r="H1041" s="47"/>
      <c r="I1041" s="47"/>
      <c r="J1041" s="6">
        <v>70</v>
      </c>
      <c r="K1041" s="8" t="s">
        <v>20</v>
      </c>
      <c r="L1041" s="1" t="s">
        <v>1506</v>
      </c>
      <c r="M1041" s="5">
        <v>75</v>
      </c>
      <c r="Q1041" s="3"/>
      <c r="R1041" s="3"/>
      <c r="S1041" s="3"/>
    </row>
    <row r="1042" spans="1:19" ht="15" x14ac:dyDescent="0.25">
      <c r="A1042" s="7" t="s">
        <v>16</v>
      </c>
      <c r="B1042" s="7" t="s">
        <v>17</v>
      </c>
      <c r="C1042" s="7" t="s">
        <v>18</v>
      </c>
      <c r="D1042" s="4">
        <v>12371009253</v>
      </c>
      <c r="E1042" s="8" t="s">
        <v>1128</v>
      </c>
      <c r="F1042" s="8" t="s">
        <v>1129</v>
      </c>
      <c r="G1042" s="7" t="s">
        <v>52</v>
      </c>
      <c r="H1042" s="47" t="s">
        <v>211</v>
      </c>
      <c r="I1042" s="47" t="s">
        <v>212</v>
      </c>
      <c r="J1042" s="6">
        <v>73</v>
      </c>
      <c r="K1042" s="8" t="s">
        <v>26</v>
      </c>
      <c r="L1042" s="1" t="s">
        <v>1128</v>
      </c>
      <c r="M1042" s="5">
        <v>24</v>
      </c>
      <c r="Q1042" s="3"/>
      <c r="R1042" s="3"/>
      <c r="S1042" s="3"/>
    </row>
    <row r="1043" spans="1:19" ht="15" x14ac:dyDescent="0.25">
      <c r="A1043" s="7" t="s">
        <v>16</v>
      </c>
      <c r="B1043" s="7" t="s">
        <v>21</v>
      </c>
      <c r="C1043" s="7" t="s">
        <v>18</v>
      </c>
      <c r="D1043" s="4">
        <v>700386513</v>
      </c>
      <c r="E1043" s="8" t="s">
        <v>735</v>
      </c>
      <c r="F1043" s="8" t="s">
        <v>736</v>
      </c>
      <c r="G1043" s="7" t="s">
        <v>85</v>
      </c>
      <c r="H1043" s="47" t="s">
        <v>211</v>
      </c>
      <c r="I1043" s="47" t="s">
        <v>212</v>
      </c>
      <c r="J1043" s="6">
        <v>66</v>
      </c>
      <c r="K1043" s="8" t="s">
        <v>28</v>
      </c>
      <c r="L1043" s="1" t="s">
        <v>735</v>
      </c>
      <c r="M1043" s="5">
        <v>4</v>
      </c>
      <c r="Q1043" s="3"/>
      <c r="R1043" s="3"/>
      <c r="S1043" s="3"/>
    </row>
    <row r="1044" spans="1:19" ht="15" x14ac:dyDescent="0.25">
      <c r="A1044" s="7" t="s">
        <v>16</v>
      </c>
      <c r="B1044" s="7" t="s">
        <v>17</v>
      </c>
      <c r="C1044" s="7" t="s">
        <v>18</v>
      </c>
      <c r="D1044" s="4">
        <v>83925694404</v>
      </c>
      <c r="E1044" s="8" t="s">
        <v>746</v>
      </c>
      <c r="F1044" s="8" t="s">
        <v>747</v>
      </c>
      <c r="G1044" s="7" t="s">
        <v>56</v>
      </c>
      <c r="H1044" s="47" t="s">
        <v>211</v>
      </c>
      <c r="I1044" s="47" t="s">
        <v>212</v>
      </c>
      <c r="J1044" s="6">
        <v>66</v>
      </c>
      <c r="K1044" s="8" t="s">
        <v>28</v>
      </c>
      <c r="L1044" s="1" t="s">
        <v>746</v>
      </c>
      <c r="M1044" s="5">
        <v>24</v>
      </c>
      <c r="Q1044" s="3"/>
      <c r="R1044" s="3"/>
      <c r="S1044" s="3"/>
    </row>
    <row r="1045" spans="1:19" ht="15" x14ac:dyDescent="0.25">
      <c r="A1045" s="7" t="s">
        <v>16</v>
      </c>
      <c r="B1045" s="7" t="s">
        <v>17</v>
      </c>
      <c r="C1045" s="7" t="s">
        <v>18</v>
      </c>
      <c r="D1045" s="4">
        <v>91777186234</v>
      </c>
      <c r="E1045" s="8" t="s">
        <v>1133</v>
      </c>
      <c r="F1045" s="8" t="s">
        <v>1129</v>
      </c>
      <c r="G1045" s="7" t="s">
        <v>52</v>
      </c>
      <c r="H1045" s="47" t="s">
        <v>211</v>
      </c>
      <c r="I1045" s="47" t="s">
        <v>212</v>
      </c>
      <c r="J1045" s="6">
        <v>73</v>
      </c>
      <c r="K1045" s="8" t="s">
        <v>26</v>
      </c>
      <c r="L1045" s="1" t="s">
        <v>1133</v>
      </c>
      <c r="M1045" s="5">
        <v>36</v>
      </c>
      <c r="Q1045" s="3"/>
      <c r="R1045" s="3"/>
      <c r="S1045" s="3"/>
    </row>
    <row r="1046" spans="1:19" ht="15" x14ac:dyDescent="0.25">
      <c r="A1046" s="7" t="s">
        <v>16</v>
      </c>
      <c r="B1046" s="7" t="s">
        <v>21</v>
      </c>
      <c r="C1046" s="7" t="s">
        <v>18</v>
      </c>
      <c r="D1046" s="4">
        <v>53629000108</v>
      </c>
      <c r="E1046" s="8" t="s">
        <v>744</v>
      </c>
      <c r="F1046" s="8" t="s">
        <v>745</v>
      </c>
      <c r="G1046" s="7" t="s">
        <v>59</v>
      </c>
      <c r="H1046" s="47" t="s">
        <v>211</v>
      </c>
      <c r="I1046" s="47" t="s">
        <v>212</v>
      </c>
      <c r="J1046" s="6">
        <v>70</v>
      </c>
      <c r="K1046" s="8" t="s">
        <v>20</v>
      </c>
      <c r="L1046" s="1" t="s">
        <v>744</v>
      </c>
      <c r="M1046" s="5">
        <v>0</v>
      </c>
      <c r="Q1046" s="3"/>
      <c r="R1046" s="3"/>
      <c r="S1046" s="3"/>
    </row>
    <row r="1047" spans="1:19" ht="15" x14ac:dyDescent="0.25">
      <c r="A1047" s="7" t="s">
        <v>16</v>
      </c>
      <c r="B1047" s="7" t="s">
        <v>17</v>
      </c>
      <c r="C1047" s="7" t="s">
        <v>18</v>
      </c>
      <c r="D1047" s="4">
        <v>418954000119</v>
      </c>
      <c r="E1047" s="8" t="s">
        <v>751</v>
      </c>
      <c r="F1047" s="8" t="s">
        <v>745</v>
      </c>
      <c r="G1047" s="7" t="s">
        <v>59</v>
      </c>
      <c r="H1047" s="47" t="s">
        <v>211</v>
      </c>
      <c r="I1047" s="47" t="s">
        <v>212</v>
      </c>
      <c r="J1047" s="6">
        <v>64</v>
      </c>
      <c r="K1047" s="8" t="s">
        <v>25</v>
      </c>
      <c r="L1047" s="1" t="s">
        <v>751</v>
      </c>
      <c r="M1047" s="5">
        <v>10</v>
      </c>
      <c r="Q1047" s="3"/>
      <c r="R1047" s="3"/>
      <c r="S1047" s="3"/>
    </row>
    <row r="1048" spans="1:19" ht="15" x14ac:dyDescent="0.25">
      <c r="A1048" s="7" t="s">
        <v>16</v>
      </c>
      <c r="B1048" s="7" t="s">
        <v>21</v>
      </c>
      <c r="C1048" s="7" t="s">
        <v>18</v>
      </c>
      <c r="D1048" s="4">
        <v>418954000119</v>
      </c>
      <c r="E1048" s="8" t="s">
        <v>751</v>
      </c>
      <c r="F1048" s="8" t="s">
        <v>745</v>
      </c>
      <c r="G1048" s="7" t="s">
        <v>59</v>
      </c>
      <c r="H1048" s="47" t="s">
        <v>211</v>
      </c>
      <c r="I1048" s="47" t="s">
        <v>212</v>
      </c>
      <c r="J1048" s="6">
        <v>64</v>
      </c>
      <c r="K1048" s="8" t="s">
        <v>25</v>
      </c>
      <c r="L1048" s="1" t="s">
        <v>751</v>
      </c>
      <c r="M1048" s="5">
        <v>10</v>
      </c>
      <c r="Q1048" s="3"/>
      <c r="R1048" s="3"/>
      <c r="S1048" s="3"/>
    </row>
    <row r="1049" spans="1:19" ht="15" x14ac:dyDescent="0.25">
      <c r="A1049" s="7" t="s">
        <v>16</v>
      </c>
      <c r="B1049" s="7" t="s">
        <v>17</v>
      </c>
      <c r="C1049" s="7" t="s">
        <v>18</v>
      </c>
      <c r="D1049" s="4">
        <v>820737000150</v>
      </c>
      <c r="E1049" s="8" t="s">
        <v>757</v>
      </c>
      <c r="F1049" s="8" t="s">
        <v>62</v>
      </c>
      <c r="G1049" s="7" t="s">
        <v>63</v>
      </c>
      <c r="H1049" s="47" t="s">
        <v>211</v>
      </c>
      <c r="I1049" s="47" t="s">
        <v>212</v>
      </c>
      <c r="J1049" s="6">
        <v>64</v>
      </c>
      <c r="K1049" s="8" t="s">
        <v>25</v>
      </c>
      <c r="L1049" s="1" t="s">
        <v>757</v>
      </c>
      <c r="M1049" s="5">
        <v>30</v>
      </c>
      <c r="Q1049" s="3"/>
      <c r="R1049" s="3"/>
      <c r="S1049" s="3"/>
    </row>
    <row r="1050" spans="1:19" ht="15" x14ac:dyDescent="0.25">
      <c r="A1050" s="7" t="s">
        <v>16</v>
      </c>
      <c r="B1050" s="7" t="s">
        <v>21</v>
      </c>
      <c r="C1050" s="7" t="s">
        <v>18</v>
      </c>
      <c r="D1050" s="4">
        <v>820737000150</v>
      </c>
      <c r="E1050" s="8" t="s">
        <v>757</v>
      </c>
      <c r="F1050" s="8" t="s">
        <v>62</v>
      </c>
      <c r="G1050" s="7" t="s">
        <v>63</v>
      </c>
      <c r="H1050" s="47" t="s">
        <v>211</v>
      </c>
      <c r="I1050" s="47" t="s">
        <v>212</v>
      </c>
      <c r="J1050" s="6">
        <v>64</v>
      </c>
      <c r="K1050" s="8" t="s">
        <v>25</v>
      </c>
      <c r="L1050" s="1" t="s">
        <v>757</v>
      </c>
      <c r="M1050" s="5">
        <v>173</v>
      </c>
      <c r="Q1050" s="3"/>
      <c r="R1050" s="3"/>
      <c r="S1050" s="3"/>
    </row>
    <row r="1051" spans="1:19" ht="15" x14ac:dyDescent="0.25">
      <c r="A1051" s="7" t="s">
        <v>16</v>
      </c>
      <c r="B1051" s="7" t="s">
        <v>17</v>
      </c>
      <c r="C1051" s="7" t="s">
        <v>18</v>
      </c>
      <c r="D1051" s="4">
        <v>860841000179</v>
      </c>
      <c r="E1051" s="8" t="s">
        <v>758</v>
      </c>
      <c r="F1051" s="8" t="s">
        <v>64</v>
      </c>
      <c r="G1051" s="7" t="s">
        <v>65</v>
      </c>
      <c r="H1051" s="47" t="s">
        <v>211</v>
      </c>
      <c r="I1051" s="47" t="s">
        <v>212</v>
      </c>
      <c r="J1051" s="6">
        <v>64</v>
      </c>
      <c r="K1051" s="8" t="s">
        <v>25</v>
      </c>
      <c r="L1051" s="1" t="s">
        <v>758</v>
      </c>
      <c r="M1051" s="5">
        <v>2</v>
      </c>
      <c r="Q1051" s="3"/>
      <c r="R1051" s="3"/>
      <c r="S1051" s="3"/>
    </row>
    <row r="1052" spans="1:19" ht="15" x14ac:dyDescent="0.25">
      <c r="A1052" s="7" t="s">
        <v>16</v>
      </c>
      <c r="B1052" s="7" t="s">
        <v>21</v>
      </c>
      <c r="C1052" s="7" t="s">
        <v>18</v>
      </c>
      <c r="D1052" s="4">
        <v>860841000179</v>
      </c>
      <c r="E1052" s="8" t="s">
        <v>758</v>
      </c>
      <c r="F1052" s="8" t="s">
        <v>64</v>
      </c>
      <c r="G1052" s="7" t="s">
        <v>65</v>
      </c>
      <c r="H1052" s="47" t="s">
        <v>211</v>
      </c>
      <c r="I1052" s="47" t="s">
        <v>212</v>
      </c>
      <c r="J1052" s="6">
        <v>64</v>
      </c>
      <c r="K1052" s="8" t="s">
        <v>25</v>
      </c>
      <c r="L1052" s="1" t="s">
        <v>758</v>
      </c>
      <c r="M1052" s="5">
        <v>-2</v>
      </c>
      <c r="Q1052" s="3"/>
      <c r="R1052" s="3"/>
      <c r="S1052" s="3"/>
    </row>
    <row r="1053" spans="1:19" ht="15" x14ac:dyDescent="0.25">
      <c r="A1053" s="7" t="s">
        <v>16</v>
      </c>
      <c r="B1053" s="7" t="s">
        <v>17</v>
      </c>
      <c r="C1053" s="7" t="s">
        <v>18</v>
      </c>
      <c r="D1053" s="4">
        <v>1011865000116</v>
      </c>
      <c r="E1053" s="8" t="s">
        <v>759</v>
      </c>
      <c r="F1053" s="8" t="s">
        <v>745</v>
      </c>
      <c r="G1053" s="7" t="s">
        <v>59</v>
      </c>
      <c r="H1053" s="47" t="s">
        <v>211</v>
      </c>
      <c r="I1053" s="47" t="s">
        <v>212</v>
      </c>
      <c r="J1053" s="6">
        <v>70</v>
      </c>
      <c r="K1053" s="8" t="s">
        <v>20</v>
      </c>
      <c r="L1053" s="1" t="s">
        <v>759</v>
      </c>
      <c r="M1053" s="5">
        <v>350</v>
      </c>
      <c r="Q1053" s="3"/>
      <c r="R1053" s="3"/>
      <c r="S1053" s="3"/>
    </row>
    <row r="1054" spans="1:19" ht="15" x14ac:dyDescent="0.25">
      <c r="A1054" s="7" t="s">
        <v>16</v>
      </c>
      <c r="B1054" s="7" t="s">
        <v>21</v>
      </c>
      <c r="C1054" s="7" t="s">
        <v>18</v>
      </c>
      <c r="D1054" s="4">
        <v>1011865000116</v>
      </c>
      <c r="E1054" s="8" t="s">
        <v>759</v>
      </c>
      <c r="F1054" s="8" t="s">
        <v>745</v>
      </c>
      <c r="G1054" s="7" t="s">
        <v>59</v>
      </c>
      <c r="H1054" s="47" t="s">
        <v>211</v>
      </c>
      <c r="I1054" s="47" t="s">
        <v>212</v>
      </c>
      <c r="J1054" s="6">
        <v>70</v>
      </c>
      <c r="K1054" s="8" t="s">
        <v>20</v>
      </c>
      <c r="L1054" s="1" t="s">
        <v>759</v>
      </c>
      <c r="M1054" s="5">
        <v>350</v>
      </c>
      <c r="Q1054" s="3"/>
      <c r="R1054" s="3"/>
      <c r="S1054" s="3"/>
    </row>
    <row r="1055" spans="1:19" ht="15" x14ac:dyDescent="0.25">
      <c r="A1055" s="7" t="s">
        <v>16</v>
      </c>
      <c r="B1055" s="7" t="s">
        <v>17</v>
      </c>
      <c r="C1055" s="7" t="s">
        <v>18</v>
      </c>
      <c r="D1055" s="4">
        <v>1326206000179</v>
      </c>
      <c r="E1055" s="8" t="s">
        <v>761</v>
      </c>
      <c r="F1055" s="8" t="s">
        <v>762</v>
      </c>
      <c r="G1055" s="7" t="s">
        <v>59</v>
      </c>
      <c r="H1055" s="47" t="s">
        <v>211</v>
      </c>
      <c r="I1055" s="47" t="s">
        <v>212</v>
      </c>
      <c r="J1055" s="6">
        <v>73</v>
      </c>
      <c r="K1055" s="8" t="s">
        <v>26</v>
      </c>
      <c r="L1055" s="1" t="s">
        <v>761</v>
      </c>
      <c r="M1055" s="5">
        <v>10</v>
      </c>
      <c r="Q1055" s="3"/>
      <c r="R1055" s="3"/>
      <c r="S1055" s="3"/>
    </row>
    <row r="1056" spans="1:19" ht="15" x14ac:dyDescent="0.25">
      <c r="A1056" s="7" t="s">
        <v>16</v>
      </c>
      <c r="B1056" s="7" t="s">
        <v>21</v>
      </c>
      <c r="C1056" s="7" t="s">
        <v>18</v>
      </c>
      <c r="D1056" s="4">
        <v>1326206000179</v>
      </c>
      <c r="E1056" s="8" t="s">
        <v>761</v>
      </c>
      <c r="F1056" s="8" t="s">
        <v>762</v>
      </c>
      <c r="G1056" s="7" t="s">
        <v>59</v>
      </c>
      <c r="H1056" s="47" t="s">
        <v>211</v>
      </c>
      <c r="I1056" s="47" t="s">
        <v>212</v>
      </c>
      <c r="J1056" s="6">
        <v>70</v>
      </c>
      <c r="K1056" s="8" t="s">
        <v>20</v>
      </c>
      <c r="L1056" s="1" t="s">
        <v>761</v>
      </c>
      <c r="M1056" s="5">
        <v>50</v>
      </c>
      <c r="Q1056" s="3"/>
      <c r="R1056" s="3"/>
      <c r="S1056" s="3"/>
    </row>
    <row r="1057" spans="1:19" ht="15" x14ac:dyDescent="0.25">
      <c r="A1057" s="7" t="s">
        <v>16</v>
      </c>
      <c r="B1057" s="7" t="s">
        <v>21</v>
      </c>
      <c r="C1057" s="7" t="s">
        <v>18</v>
      </c>
      <c r="D1057" s="4">
        <v>1326206000179</v>
      </c>
      <c r="E1057" s="8" t="s">
        <v>761</v>
      </c>
      <c r="F1057" s="8" t="s">
        <v>762</v>
      </c>
      <c r="G1057" s="7" t="s">
        <v>59</v>
      </c>
      <c r="H1057" s="47" t="s">
        <v>211</v>
      </c>
      <c r="I1057" s="47" t="s">
        <v>212</v>
      </c>
      <c r="J1057" s="6">
        <v>73</v>
      </c>
      <c r="K1057" s="8" t="s">
        <v>26</v>
      </c>
      <c r="L1057" s="1" t="s">
        <v>761</v>
      </c>
      <c r="M1057" s="5">
        <v>18</v>
      </c>
      <c r="Q1057" s="3"/>
      <c r="R1057" s="3"/>
      <c r="S1057" s="3"/>
    </row>
    <row r="1058" spans="1:19" ht="15" x14ac:dyDescent="0.25">
      <c r="A1058" s="7" t="s">
        <v>16</v>
      </c>
      <c r="B1058" s="7" t="s">
        <v>17</v>
      </c>
      <c r="C1058" s="7" t="s">
        <v>18</v>
      </c>
      <c r="D1058" s="4">
        <v>1383835000130</v>
      </c>
      <c r="E1058" s="8" t="s">
        <v>763</v>
      </c>
      <c r="F1058" s="8" t="s">
        <v>114</v>
      </c>
      <c r="G1058" s="7" t="s">
        <v>69</v>
      </c>
      <c r="H1058" s="47" t="s">
        <v>211</v>
      </c>
      <c r="I1058" s="47" t="s">
        <v>212</v>
      </c>
      <c r="J1058" s="6">
        <v>70</v>
      </c>
      <c r="K1058" s="8" t="s">
        <v>20</v>
      </c>
      <c r="L1058" s="1" t="s">
        <v>763</v>
      </c>
      <c r="M1058" s="5">
        <v>30</v>
      </c>
      <c r="Q1058" s="3"/>
      <c r="R1058" s="3"/>
      <c r="S1058" s="3"/>
    </row>
    <row r="1059" spans="1:19" ht="15" x14ac:dyDescent="0.25">
      <c r="A1059" s="7" t="s">
        <v>16</v>
      </c>
      <c r="B1059" s="7" t="s">
        <v>17</v>
      </c>
      <c r="C1059" s="7" t="s">
        <v>18</v>
      </c>
      <c r="D1059" s="4">
        <v>1454407000151</v>
      </c>
      <c r="E1059" s="8" t="s">
        <v>764</v>
      </c>
      <c r="F1059" s="8" t="s">
        <v>742</v>
      </c>
      <c r="G1059" s="7" t="s">
        <v>91</v>
      </c>
      <c r="H1059" s="47" t="s">
        <v>211</v>
      </c>
      <c r="I1059" s="47" t="s">
        <v>212</v>
      </c>
      <c r="J1059" s="6">
        <v>70</v>
      </c>
      <c r="K1059" s="8" t="s">
        <v>20</v>
      </c>
      <c r="L1059" s="1" t="s">
        <v>764</v>
      </c>
      <c r="M1059" s="5">
        <v>480</v>
      </c>
      <c r="Q1059" s="3"/>
      <c r="R1059" s="3"/>
      <c r="S1059" s="3"/>
    </row>
    <row r="1060" spans="1:19" ht="15" x14ac:dyDescent="0.25">
      <c r="A1060" s="7" t="s">
        <v>16</v>
      </c>
      <c r="B1060" s="7" t="s">
        <v>21</v>
      </c>
      <c r="C1060" s="7" t="s">
        <v>18</v>
      </c>
      <c r="D1060" s="4">
        <v>1454407000151</v>
      </c>
      <c r="E1060" s="8" t="s">
        <v>764</v>
      </c>
      <c r="F1060" s="8" t="s">
        <v>742</v>
      </c>
      <c r="G1060" s="7" t="s">
        <v>91</v>
      </c>
      <c r="H1060" s="47" t="s">
        <v>211</v>
      </c>
      <c r="I1060" s="47" t="s">
        <v>212</v>
      </c>
      <c r="J1060" s="6">
        <v>70</v>
      </c>
      <c r="K1060" s="8" t="s">
        <v>20</v>
      </c>
      <c r="L1060" s="1" t="s">
        <v>764</v>
      </c>
      <c r="M1060" s="5">
        <v>500</v>
      </c>
      <c r="Q1060" s="3"/>
      <c r="R1060" s="3"/>
      <c r="S1060" s="3"/>
    </row>
    <row r="1061" spans="1:19" ht="15" x14ac:dyDescent="0.25">
      <c r="A1061" s="7" t="s">
        <v>16</v>
      </c>
      <c r="B1061" s="7" t="s">
        <v>17</v>
      </c>
      <c r="C1061" s="7" t="s">
        <v>18</v>
      </c>
      <c r="D1061" s="4">
        <v>1507901000137</v>
      </c>
      <c r="E1061" s="8" t="s">
        <v>765</v>
      </c>
      <c r="F1061" s="8" t="s">
        <v>62</v>
      </c>
      <c r="G1061" s="7" t="s">
        <v>63</v>
      </c>
      <c r="H1061" s="47" t="s">
        <v>211</v>
      </c>
      <c r="I1061" s="47" t="s">
        <v>212</v>
      </c>
      <c r="J1061" s="6">
        <v>62</v>
      </c>
      <c r="K1061" s="8" t="s">
        <v>27</v>
      </c>
      <c r="L1061" s="1" t="s">
        <v>765</v>
      </c>
      <c r="M1061" s="5">
        <v>3</v>
      </c>
      <c r="Q1061" s="3"/>
      <c r="R1061" s="3"/>
      <c r="S1061" s="3"/>
    </row>
    <row r="1062" spans="1:19" ht="15" x14ac:dyDescent="0.25">
      <c r="A1062" s="7" t="s">
        <v>16</v>
      </c>
      <c r="B1062" s="7" t="s">
        <v>17</v>
      </c>
      <c r="C1062" s="7" t="s">
        <v>18</v>
      </c>
      <c r="D1062" s="4">
        <v>1507901000137</v>
      </c>
      <c r="E1062" s="8" t="s">
        <v>765</v>
      </c>
      <c r="F1062" s="8" t="s">
        <v>62</v>
      </c>
      <c r="G1062" s="7" t="s">
        <v>63</v>
      </c>
      <c r="H1062" s="47" t="s">
        <v>211</v>
      </c>
      <c r="I1062" s="47" t="s">
        <v>212</v>
      </c>
      <c r="J1062" s="6">
        <v>64</v>
      </c>
      <c r="K1062" s="8" t="s">
        <v>25</v>
      </c>
      <c r="L1062" s="1" t="s">
        <v>765</v>
      </c>
      <c r="M1062" s="5">
        <v>10</v>
      </c>
      <c r="Q1062" s="3"/>
      <c r="R1062" s="3"/>
      <c r="S1062" s="3"/>
    </row>
    <row r="1063" spans="1:19" ht="15" x14ac:dyDescent="0.25">
      <c r="A1063" s="7" t="s">
        <v>16</v>
      </c>
      <c r="B1063" s="7" t="s">
        <v>17</v>
      </c>
      <c r="C1063" s="7" t="s">
        <v>18</v>
      </c>
      <c r="D1063" s="4">
        <v>1757351000104</v>
      </c>
      <c r="E1063" s="8" t="s">
        <v>771</v>
      </c>
      <c r="F1063" s="8" t="s">
        <v>772</v>
      </c>
      <c r="G1063" s="7" t="s">
        <v>69</v>
      </c>
      <c r="H1063" s="47" t="s">
        <v>211</v>
      </c>
      <c r="I1063" s="47" t="s">
        <v>212</v>
      </c>
      <c r="J1063" s="6">
        <v>64</v>
      </c>
      <c r="K1063" s="8" t="s">
        <v>25</v>
      </c>
      <c r="L1063" s="1" t="s">
        <v>771</v>
      </c>
      <c r="M1063" s="5">
        <v>6</v>
      </c>
      <c r="Q1063" s="3"/>
      <c r="R1063" s="3"/>
      <c r="S1063" s="3"/>
    </row>
    <row r="1064" spans="1:19" ht="15" x14ac:dyDescent="0.25">
      <c r="A1064" s="7" t="s">
        <v>16</v>
      </c>
      <c r="B1064" s="7" t="s">
        <v>21</v>
      </c>
      <c r="C1064" s="7" t="s">
        <v>18</v>
      </c>
      <c r="D1064" s="4">
        <v>1757351000104</v>
      </c>
      <c r="E1064" s="8" t="s">
        <v>771</v>
      </c>
      <c r="F1064" s="8" t="s">
        <v>772</v>
      </c>
      <c r="G1064" s="7" t="s">
        <v>69</v>
      </c>
      <c r="H1064" s="47" t="s">
        <v>211</v>
      </c>
      <c r="I1064" s="47" t="s">
        <v>212</v>
      </c>
      <c r="J1064" s="6">
        <v>64</v>
      </c>
      <c r="K1064" s="8" t="s">
        <v>25</v>
      </c>
      <c r="L1064" s="1" t="s">
        <v>771</v>
      </c>
      <c r="M1064" s="5">
        <v>10</v>
      </c>
      <c r="Q1064" s="3"/>
      <c r="R1064" s="3"/>
      <c r="S1064" s="3"/>
    </row>
    <row r="1065" spans="1:19" ht="15" x14ac:dyDescent="0.25">
      <c r="A1065" s="7" t="s">
        <v>16</v>
      </c>
      <c r="B1065" s="7" t="s">
        <v>17</v>
      </c>
      <c r="C1065" s="7" t="s">
        <v>18</v>
      </c>
      <c r="D1065" s="4">
        <v>2284062000440</v>
      </c>
      <c r="E1065" s="8" t="s">
        <v>775</v>
      </c>
      <c r="F1065" s="8" t="s">
        <v>70</v>
      </c>
      <c r="G1065" s="7" t="s">
        <v>71</v>
      </c>
      <c r="H1065" s="47" t="s">
        <v>211</v>
      </c>
      <c r="I1065" s="47" t="s">
        <v>212</v>
      </c>
      <c r="J1065" s="6">
        <v>64</v>
      </c>
      <c r="K1065" s="8" t="s">
        <v>25</v>
      </c>
      <c r="L1065" s="1" t="s">
        <v>775</v>
      </c>
      <c r="M1065" s="5">
        <v>21</v>
      </c>
      <c r="Q1065" s="3"/>
      <c r="R1065" s="3"/>
      <c r="S1065" s="3"/>
    </row>
    <row r="1066" spans="1:19" ht="15" x14ac:dyDescent="0.25">
      <c r="A1066" s="7" t="s">
        <v>16</v>
      </c>
      <c r="B1066" s="7" t="s">
        <v>21</v>
      </c>
      <c r="C1066" s="7" t="s">
        <v>18</v>
      </c>
      <c r="D1066" s="4">
        <v>2284062000440</v>
      </c>
      <c r="E1066" s="8" t="s">
        <v>775</v>
      </c>
      <c r="F1066" s="8" t="s">
        <v>70</v>
      </c>
      <c r="G1066" s="7" t="s">
        <v>71</v>
      </c>
      <c r="H1066" s="47" t="s">
        <v>211</v>
      </c>
      <c r="I1066" s="47" t="s">
        <v>212</v>
      </c>
      <c r="J1066" s="6">
        <v>64</v>
      </c>
      <c r="K1066" s="8" t="s">
        <v>25</v>
      </c>
      <c r="L1066" s="1" t="s">
        <v>775</v>
      </c>
      <c r="M1066" s="5">
        <v>55</v>
      </c>
      <c r="Q1066" s="3"/>
      <c r="R1066" s="3"/>
      <c r="S1066" s="3"/>
    </row>
    <row r="1067" spans="1:19" ht="15" x14ac:dyDescent="0.25">
      <c r="A1067" s="7" t="s">
        <v>16</v>
      </c>
      <c r="B1067" s="7" t="s">
        <v>17</v>
      </c>
      <c r="C1067" s="7" t="s">
        <v>18</v>
      </c>
      <c r="D1067" s="4">
        <v>2284062001170</v>
      </c>
      <c r="E1067" s="8" t="s">
        <v>776</v>
      </c>
      <c r="F1067" s="8" t="s">
        <v>777</v>
      </c>
      <c r="G1067" s="7" t="s">
        <v>72</v>
      </c>
      <c r="H1067" s="47" t="s">
        <v>211</v>
      </c>
      <c r="I1067" s="47" t="s">
        <v>212</v>
      </c>
      <c r="J1067" s="6">
        <v>62</v>
      </c>
      <c r="K1067" s="8" t="s">
        <v>27</v>
      </c>
      <c r="L1067" s="1" t="s">
        <v>776</v>
      </c>
      <c r="M1067" s="5">
        <v>5</v>
      </c>
      <c r="Q1067" s="3"/>
      <c r="R1067" s="3"/>
      <c r="S1067" s="3"/>
    </row>
    <row r="1068" spans="1:19" ht="15" x14ac:dyDescent="0.25">
      <c r="A1068" s="7" t="s">
        <v>16</v>
      </c>
      <c r="B1068" s="7" t="s">
        <v>21</v>
      </c>
      <c r="C1068" s="7" t="s">
        <v>18</v>
      </c>
      <c r="D1068" s="4">
        <v>2284062001170</v>
      </c>
      <c r="E1068" s="8" t="s">
        <v>776</v>
      </c>
      <c r="F1068" s="8" t="s">
        <v>777</v>
      </c>
      <c r="G1068" s="7" t="s">
        <v>72</v>
      </c>
      <c r="H1068" s="47" t="s">
        <v>211</v>
      </c>
      <c r="I1068" s="47" t="s">
        <v>212</v>
      </c>
      <c r="J1068" s="6">
        <v>64</v>
      </c>
      <c r="K1068" s="8" t="s">
        <v>25</v>
      </c>
      <c r="L1068" s="1" t="s">
        <v>776</v>
      </c>
      <c r="M1068" s="5">
        <v>4</v>
      </c>
      <c r="Q1068" s="3"/>
      <c r="R1068" s="3"/>
      <c r="S1068" s="3"/>
    </row>
    <row r="1069" spans="1:19" ht="15" x14ac:dyDescent="0.25">
      <c r="A1069" s="7" t="s">
        <v>16</v>
      </c>
      <c r="B1069" s="7" t="s">
        <v>21</v>
      </c>
      <c r="C1069" s="7" t="s">
        <v>18</v>
      </c>
      <c r="D1069" s="4">
        <v>2284062001170</v>
      </c>
      <c r="E1069" s="8" t="s">
        <v>776</v>
      </c>
      <c r="F1069" s="8" t="s">
        <v>777</v>
      </c>
      <c r="G1069" s="7" t="s">
        <v>72</v>
      </c>
      <c r="H1069" s="47" t="s">
        <v>211</v>
      </c>
      <c r="I1069" s="47" t="s">
        <v>212</v>
      </c>
      <c r="J1069" s="6">
        <v>70</v>
      </c>
      <c r="K1069" s="8" t="s">
        <v>20</v>
      </c>
      <c r="L1069" s="1" t="s">
        <v>776</v>
      </c>
      <c r="M1069" s="5">
        <v>150</v>
      </c>
      <c r="Q1069" s="3"/>
      <c r="R1069" s="3"/>
      <c r="S1069" s="3"/>
    </row>
    <row r="1070" spans="1:19" ht="15" x14ac:dyDescent="0.25">
      <c r="A1070" s="7" t="s">
        <v>16</v>
      </c>
      <c r="B1070" s="7" t="s">
        <v>17</v>
      </c>
      <c r="C1070" s="7" t="s">
        <v>18</v>
      </c>
      <c r="D1070" s="4">
        <v>2476067000122</v>
      </c>
      <c r="E1070" s="8" t="s">
        <v>778</v>
      </c>
      <c r="F1070" s="8" t="s">
        <v>745</v>
      </c>
      <c r="G1070" s="7" t="s">
        <v>59</v>
      </c>
      <c r="H1070" s="47" t="s">
        <v>211</v>
      </c>
      <c r="I1070" s="47" t="s">
        <v>212</v>
      </c>
      <c r="J1070" s="6">
        <v>70</v>
      </c>
      <c r="K1070" s="8" t="s">
        <v>20</v>
      </c>
      <c r="L1070" s="1" t="s">
        <v>778</v>
      </c>
      <c r="M1070" s="5">
        <v>15</v>
      </c>
      <c r="Q1070" s="3"/>
      <c r="R1070" s="3"/>
      <c r="S1070" s="3"/>
    </row>
    <row r="1071" spans="1:19" ht="15" x14ac:dyDescent="0.25">
      <c r="A1071" s="7" t="s">
        <v>16</v>
      </c>
      <c r="B1071" s="7" t="s">
        <v>17</v>
      </c>
      <c r="C1071" s="7" t="s">
        <v>18</v>
      </c>
      <c r="D1071" s="4">
        <v>2476067000203</v>
      </c>
      <c r="E1071" s="8" t="s">
        <v>779</v>
      </c>
      <c r="F1071" s="8" t="s">
        <v>745</v>
      </c>
      <c r="G1071" s="7" t="s">
        <v>59</v>
      </c>
      <c r="H1071" s="47" t="s">
        <v>211</v>
      </c>
      <c r="I1071" s="47" t="s">
        <v>212</v>
      </c>
      <c r="J1071" s="6">
        <v>73</v>
      </c>
      <c r="K1071" s="8" t="s">
        <v>26</v>
      </c>
      <c r="L1071" s="1" t="s">
        <v>779</v>
      </c>
      <c r="M1071" s="5">
        <v>20</v>
      </c>
      <c r="Q1071" s="3"/>
      <c r="R1071" s="3"/>
      <c r="S1071" s="3"/>
    </row>
    <row r="1072" spans="1:19" ht="15" x14ac:dyDescent="0.25">
      <c r="A1072" s="7" t="s">
        <v>16</v>
      </c>
      <c r="B1072" s="7" t="s">
        <v>21</v>
      </c>
      <c r="C1072" s="7" t="s">
        <v>18</v>
      </c>
      <c r="D1072" s="4">
        <v>2476067000203</v>
      </c>
      <c r="E1072" s="8" t="s">
        <v>779</v>
      </c>
      <c r="F1072" s="8" t="s">
        <v>745</v>
      </c>
      <c r="G1072" s="7" t="s">
        <v>59</v>
      </c>
      <c r="H1072" s="47" t="s">
        <v>211</v>
      </c>
      <c r="I1072" s="47" t="s">
        <v>212</v>
      </c>
      <c r="J1072" s="6">
        <v>73</v>
      </c>
      <c r="K1072" s="8" t="s">
        <v>26</v>
      </c>
      <c r="L1072" s="1" t="s">
        <v>779</v>
      </c>
      <c r="M1072" s="5">
        <v>40</v>
      </c>
      <c r="Q1072" s="3"/>
      <c r="R1072" s="3"/>
      <c r="S1072" s="3"/>
    </row>
    <row r="1073" spans="1:19" ht="15" x14ac:dyDescent="0.25">
      <c r="A1073" s="7" t="s">
        <v>16</v>
      </c>
      <c r="B1073" s="7" t="s">
        <v>17</v>
      </c>
      <c r="C1073" s="7" t="s">
        <v>18</v>
      </c>
      <c r="D1073" s="4">
        <v>2476067000394</v>
      </c>
      <c r="E1073" s="8" t="s">
        <v>780</v>
      </c>
      <c r="F1073" s="8" t="s">
        <v>745</v>
      </c>
      <c r="G1073" s="7" t="s">
        <v>59</v>
      </c>
      <c r="H1073" s="47" t="s">
        <v>211</v>
      </c>
      <c r="I1073" s="47" t="s">
        <v>212</v>
      </c>
      <c r="J1073" s="6">
        <v>70</v>
      </c>
      <c r="K1073" s="8" t="s">
        <v>20</v>
      </c>
      <c r="L1073" s="1" t="s">
        <v>780</v>
      </c>
      <c r="M1073" s="5">
        <v>117.5</v>
      </c>
      <c r="Q1073" s="3"/>
      <c r="R1073" s="3"/>
      <c r="S1073" s="3"/>
    </row>
    <row r="1074" spans="1:19" ht="15" x14ac:dyDescent="0.25">
      <c r="A1074" s="7" t="s">
        <v>16</v>
      </c>
      <c r="B1074" s="7" t="s">
        <v>21</v>
      </c>
      <c r="C1074" s="7" t="s">
        <v>18</v>
      </c>
      <c r="D1074" s="4">
        <v>2476067000394</v>
      </c>
      <c r="E1074" s="8" t="s">
        <v>780</v>
      </c>
      <c r="F1074" s="8" t="s">
        <v>745</v>
      </c>
      <c r="G1074" s="7" t="s">
        <v>59</v>
      </c>
      <c r="H1074" s="47" t="s">
        <v>211</v>
      </c>
      <c r="I1074" s="47" t="s">
        <v>212</v>
      </c>
      <c r="J1074" s="6">
        <v>70</v>
      </c>
      <c r="K1074" s="8" t="s">
        <v>20</v>
      </c>
      <c r="L1074" s="1" t="s">
        <v>780</v>
      </c>
      <c r="M1074" s="5">
        <v>75</v>
      </c>
      <c r="Q1074" s="3"/>
      <c r="R1074" s="3"/>
      <c r="S1074" s="3"/>
    </row>
    <row r="1075" spans="1:19" ht="15" x14ac:dyDescent="0.25">
      <c r="A1075" s="7" t="s">
        <v>16</v>
      </c>
      <c r="B1075" s="7" t="s">
        <v>17</v>
      </c>
      <c r="C1075" s="7" t="s">
        <v>18</v>
      </c>
      <c r="D1075" s="4">
        <v>3533726000773</v>
      </c>
      <c r="E1075" s="8" t="s">
        <v>787</v>
      </c>
      <c r="F1075" s="8" t="s">
        <v>772</v>
      </c>
      <c r="G1075" s="7" t="s">
        <v>69</v>
      </c>
      <c r="H1075" s="47" t="s">
        <v>211</v>
      </c>
      <c r="I1075" s="47" t="s">
        <v>212</v>
      </c>
      <c r="J1075" s="6">
        <v>70</v>
      </c>
      <c r="K1075" s="8" t="s">
        <v>20</v>
      </c>
      <c r="L1075" s="1" t="s">
        <v>787</v>
      </c>
      <c r="M1075" s="5">
        <v>30</v>
      </c>
      <c r="Q1075" s="3"/>
      <c r="R1075" s="3"/>
      <c r="S1075" s="3"/>
    </row>
    <row r="1076" spans="1:19" ht="15" x14ac:dyDescent="0.25">
      <c r="A1076" s="7" t="s">
        <v>16</v>
      </c>
      <c r="B1076" s="7" t="s">
        <v>21</v>
      </c>
      <c r="C1076" s="7" t="s">
        <v>18</v>
      </c>
      <c r="D1076" s="4">
        <v>3533726000773</v>
      </c>
      <c r="E1076" s="8" t="s">
        <v>787</v>
      </c>
      <c r="F1076" s="8" t="s">
        <v>772</v>
      </c>
      <c r="G1076" s="7" t="s">
        <v>69</v>
      </c>
      <c r="H1076" s="47" t="s">
        <v>211</v>
      </c>
      <c r="I1076" s="47" t="s">
        <v>212</v>
      </c>
      <c r="J1076" s="6">
        <v>70</v>
      </c>
      <c r="K1076" s="8" t="s">
        <v>20</v>
      </c>
      <c r="L1076" s="1" t="s">
        <v>787</v>
      </c>
      <c r="M1076" s="5">
        <v>90</v>
      </c>
      <c r="Q1076" s="3"/>
      <c r="R1076" s="3"/>
      <c r="S1076" s="3"/>
    </row>
    <row r="1077" spans="1:19" ht="15" x14ac:dyDescent="0.25">
      <c r="A1077" s="7" t="s">
        <v>16</v>
      </c>
      <c r="B1077" s="7" t="s">
        <v>17</v>
      </c>
      <c r="C1077" s="7" t="s">
        <v>18</v>
      </c>
      <c r="D1077" s="4">
        <v>3533726001583</v>
      </c>
      <c r="E1077" s="8" t="s">
        <v>788</v>
      </c>
      <c r="F1077" s="8" t="s">
        <v>789</v>
      </c>
      <c r="G1077" s="7" t="s">
        <v>69</v>
      </c>
      <c r="H1077" s="47" t="s">
        <v>211</v>
      </c>
      <c r="I1077" s="47" t="s">
        <v>212</v>
      </c>
      <c r="J1077" s="6">
        <v>70</v>
      </c>
      <c r="K1077" s="8" t="s">
        <v>20</v>
      </c>
      <c r="L1077" s="1" t="s">
        <v>788</v>
      </c>
      <c r="M1077" s="5">
        <v>130</v>
      </c>
      <c r="Q1077" s="3"/>
      <c r="R1077" s="3"/>
      <c r="S1077" s="3"/>
    </row>
    <row r="1078" spans="1:19" ht="15" x14ac:dyDescent="0.25">
      <c r="A1078" s="7" t="s">
        <v>16</v>
      </c>
      <c r="B1078" s="7" t="s">
        <v>17</v>
      </c>
      <c r="C1078" s="7" t="s">
        <v>18</v>
      </c>
      <c r="D1078" s="4">
        <v>3533726001583</v>
      </c>
      <c r="E1078" s="8" t="s">
        <v>788</v>
      </c>
      <c r="F1078" s="8" t="s">
        <v>789</v>
      </c>
      <c r="G1078" s="7" t="s">
        <v>69</v>
      </c>
      <c r="H1078" s="47" t="s">
        <v>211</v>
      </c>
      <c r="I1078" s="47" t="s">
        <v>212</v>
      </c>
      <c r="J1078" s="6">
        <v>73</v>
      </c>
      <c r="K1078" s="8" t="s">
        <v>26</v>
      </c>
      <c r="L1078" s="1" t="s">
        <v>788</v>
      </c>
      <c r="M1078" s="5">
        <v>36</v>
      </c>
      <c r="Q1078" s="3"/>
      <c r="R1078" s="3"/>
      <c r="S1078" s="3"/>
    </row>
    <row r="1079" spans="1:19" ht="15" x14ac:dyDescent="0.25">
      <c r="A1079" s="7" t="s">
        <v>16</v>
      </c>
      <c r="B1079" s="7" t="s">
        <v>21</v>
      </c>
      <c r="C1079" s="7" t="s">
        <v>18</v>
      </c>
      <c r="D1079" s="4">
        <v>3533726001583</v>
      </c>
      <c r="E1079" s="8" t="s">
        <v>788</v>
      </c>
      <c r="F1079" s="8" t="s">
        <v>789</v>
      </c>
      <c r="G1079" s="7" t="s">
        <v>69</v>
      </c>
      <c r="H1079" s="47" t="s">
        <v>211</v>
      </c>
      <c r="I1079" s="47" t="s">
        <v>212</v>
      </c>
      <c r="J1079" s="6">
        <v>70</v>
      </c>
      <c r="K1079" s="8" t="s">
        <v>20</v>
      </c>
      <c r="L1079" s="1" t="s">
        <v>788</v>
      </c>
      <c r="M1079" s="5">
        <v>30</v>
      </c>
      <c r="Q1079" s="3"/>
      <c r="R1079" s="3"/>
      <c r="S1079" s="3"/>
    </row>
    <row r="1080" spans="1:19" ht="15" x14ac:dyDescent="0.25">
      <c r="A1080" s="7" t="s">
        <v>16</v>
      </c>
      <c r="B1080" s="7" t="s">
        <v>17</v>
      </c>
      <c r="C1080" s="7" t="s">
        <v>18</v>
      </c>
      <c r="D1080" s="4">
        <v>3858924000111</v>
      </c>
      <c r="E1080" s="8" t="s">
        <v>791</v>
      </c>
      <c r="F1080" s="8" t="s">
        <v>115</v>
      </c>
      <c r="G1080" s="7" t="s">
        <v>71</v>
      </c>
      <c r="H1080" s="47" t="s">
        <v>211</v>
      </c>
      <c r="I1080" s="47" t="s">
        <v>212</v>
      </c>
      <c r="J1080" s="6">
        <v>70</v>
      </c>
      <c r="K1080" s="8" t="s">
        <v>20</v>
      </c>
      <c r="L1080" s="1" t="s">
        <v>791</v>
      </c>
      <c r="M1080" s="5">
        <v>120</v>
      </c>
      <c r="Q1080" s="3"/>
      <c r="R1080" s="3"/>
      <c r="S1080" s="3"/>
    </row>
    <row r="1081" spans="1:19" ht="15" x14ac:dyDescent="0.25">
      <c r="A1081" s="7" t="s">
        <v>16</v>
      </c>
      <c r="B1081" s="7" t="s">
        <v>17</v>
      </c>
      <c r="C1081" s="7" t="s">
        <v>18</v>
      </c>
      <c r="D1081" s="4">
        <v>3925419000142</v>
      </c>
      <c r="E1081" s="8" t="s">
        <v>795</v>
      </c>
      <c r="F1081" s="8" t="s">
        <v>772</v>
      </c>
      <c r="G1081" s="7" t="s">
        <v>69</v>
      </c>
      <c r="H1081" s="47" t="s">
        <v>211</v>
      </c>
      <c r="I1081" s="47" t="s">
        <v>212</v>
      </c>
      <c r="J1081" s="6">
        <v>64</v>
      </c>
      <c r="K1081" s="8" t="s">
        <v>25</v>
      </c>
      <c r="L1081" s="1" t="s">
        <v>795</v>
      </c>
      <c r="M1081" s="5">
        <v>13</v>
      </c>
      <c r="Q1081" s="3"/>
      <c r="R1081" s="3"/>
      <c r="S1081" s="3"/>
    </row>
    <row r="1082" spans="1:19" ht="15" x14ac:dyDescent="0.25">
      <c r="A1082" s="7" t="s">
        <v>16</v>
      </c>
      <c r="B1082" s="7" t="s">
        <v>21</v>
      </c>
      <c r="C1082" s="7" t="s">
        <v>18</v>
      </c>
      <c r="D1082" s="4">
        <v>3925419000142</v>
      </c>
      <c r="E1082" s="8" t="s">
        <v>795</v>
      </c>
      <c r="F1082" s="8" t="s">
        <v>772</v>
      </c>
      <c r="G1082" s="7" t="s">
        <v>69</v>
      </c>
      <c r="H1082" s="47" t="s">
        <v>211</v>
      </c>
      <c r="I1082" s="47" t="s">
        <v>212</v>
      </c>
      <c r="J1082" s="6">
        <v>64</v>
      </c>
      <c r="K1082" s="8" t="s">
        <v>25</v>
      </c>
      <c r="L1082" s="1" t="s">
        <v>795</v>
      </c>
      <c r="M1082" s="5">
        <v>8</v>
      </c>
      <c r="Q1082" s="3"/>
      <c r="R1082" s="3"/>
      <c r="S1082" s="3"/>
    </row>
    <row r="1083" spans="1:19" ht="15" x14ac:dyDescent="0.25">
      <c r="A1083" s="7" t="s">
        <v>16</v>
      </c>
      <c r="B1083" s="7" t="s">
        <v>17</v>
      </c>
      <c r="C1083" s="7" t="s">
        <v>18</v>
      </c>
      <c r="D1083" s="4">
        <v>4201372001028</v>
      </c>
      <c r="E1083" s="8" t="s">
        <v>1145</v>
      </c>
      <c r="F1083" s="8" t="s">
        <v>1129</v>
      </c>
      <c r="G1083" s="7" t="s">
        <v>52</v>
      </c>
      <c r="H1083" s="47" t="s">
        <v>211</v>
      </c>
      <c r="I1083" s="47" t="s">
        <v>212</v>
      </c>
      <c r="J1083" s="6">
        <v>73</v>
      </c>
      <c r="K1083" s="8" t="s">
        <v>26</v>
      </c>
      <c r="L1083" s="1" t="s">
        <v>1145</v>
      </c>
      <c r="M1083" s="5">
        <v>40</v>
      </c>
      <c r="Q1083" s="3"/>
      <c r="R1083" s="3"/>
      <c r="S1083" s="3"/>
    </row>
    <row r="1084" spans="1:19" ht="15" x14ac:dyDescent="0.25">
      <c r="A1084" s="7" t="s">
        <v>16</v>
      </c>
      <c r="B1084" s="7" t="s">
        <v>21</v>
      </c>
      <c r="C1084" s="7" t="s">
        <v>18</v>
      </c>
      <c r="D1084" s="4">
        <v>4201372001028</v>
      </c>
      <c r="E1084" s="8" t="s">
        <v>1145</v>
      </c>
      <c r="F1084" s="8" t="s">
        <v>1129</v>
      </c>
      <c r="G1084" s="7" t="s">
        <v>52</v>
      </c>
      <c r="H1084" s="47" t="s">
        <v>211</v>
      </c>
      <c r="I1084" s="47" t="s">
        <v>212</v>
      </c>
      <c r="J1084" s="6">
        <v>73</v>
      </c>
      <c r="K1084" s="8" t="s">
        <v>26</v>
      </c>
      <c r="L1084" s="1" t="s">
        <v>1145</v>
      </c>
      <c r="M1084" s="5">
        <v>52</v>
      </c>
      <c r="Q1084" s="3"/>
      <c r="R1084" s="3"/>
      <c r="S1084" s="3"/>
    </row>
    <row r="1085" spans="1:19" ht="15" x14ac:dyDescent="0.25">
      <c r="A1085" s="7" t="s">
        <v>16</v>
      </c>
      <c r="B1085" s="7" t="s">
        <v>17</v>
      </c>
      <c r="C1085" s="7" t="s">
        <v>18</v>
      </c>
      <c r="D1085" s="4">
        <v>4602792000125</v>
      </c>
      <c r="E1085" s="8" t="s">
        <v>797</v>
      </c>
      <c r="F1085" s="8" t="s">
        <v>73</v>
      </c>
      <c r="G1085" s="7" t="s">
        <v>74</v>
      </c>
      <c r="H1085" s="47" t="s">
        <v>211</v>
      </c>
      <c r="I1085" s="47" t="s">
        <v>212</v>
      </c>
      <c r="J1085" s="6">
        <v>64</v>
      </c>
      <c r="K1085" s="8" t="s">
        <v>25</v>
      </c>
      <c r="L1085" s="1" t="s">
        <v>797</v>
      </c>
      <c r="M1085" s="5">
        <v>2</v>
      </c>
      <c r="Q1085" s="3"/>
      <c r="R1085" s="3"/>
      <c r="S1085" s="3"/>
    </row>
    <row r="1086" spans="1:19" ht="15" x14ac:dyDescent="0.25">
      <c r="A1086" s="7" t="s">
        <v>16</v>
      </c>
      <c r="B1086" s="7" t="s">
        <v>21</v>
      </c>
      <c r="C1086" s="7" t="s">
        <v>18</v>
      </c>
      <c r="D1086" s="4">
        <v>4602792000125</v>
      </c>
      <c r="E1086" s="8" t="s">
        <v>797</v>
      </c>
      <c r="F1086" s="8" t="s">
        <v>73</v>
      </c>
      <c r="G1086" s="7" t="s">
        <v>74</v>
      </c>
      <c r="H1086" s="47" t="s">
        <v>211</v>
      </c>
      <c r="I1086" s="47" t="s">
        <v>212</v>
      </c>
      <c r="J1086" s="6">
        <v>64</v>
      </c>
      <c r="K1086" s="8" t="s">
        <v>25</v>
      </c>
      <c r="L1086" s="1" t="s">
        <v>797</v>
      </c>
      <c r="M1086" s="5">
        <v>3</v>
      </c>
      <c r="Q1086" s="3"/>
      <c r="R1086" s="3"/>
      <c r="S1086" s="3"/>
    </row>
    <row r="1087" spans="1:19" ht="15" x14ac:dyDescent="0.25">
      <c r="A1087" s="7" t="s">
        <v>16</v>
      </c>
      <c r="B1087" s="7" t="s">
        <v>17</v>
      </c>
      <c r="C1087" s="7" t="s">
        <v>18</v>
      </c>
      <c r="D1087" s="4">
        <v>4966545000370</v>
      </c>
      <c r="E1087" s="8" t="s">
        <v>1148</v>
      </c>
      <c r="F1087" s="8" t="s">
        <v>1129</v>
      </c>
      <c r="G1087" s="7" t="s">
        <v>52</v>
      </c>
      <c r="H1087" s="47" t="s">
        <v>211</v>
      </c>
      <c r="I1087" s="47" t="s">
        <v>212</v>
      </c>
      <c r="J1087" s="6">
        <v>70</v>
      </c>
      <c r="K1087" s="8" t="s">
        <v>20</v>
      </c>
      <c r="L1087" s="1" t="s">
        <v>1148</v>
      </c>
      <c r="M1087" s="5">
        <v>80</v>
      </c>
      <c r="Q1087" s="3"/>
      <c r="R1087" s="3"/>
      <c r="S1087" s="3"/>
    </row>
    <row r="1088" spans="1:19" ht="15" x14ac:dyDescent="0.25">
      <c r="A1088" s="7" t="s">
        <v>16</v>
      </c>
      <c r="B1088" s="7" t="s">
        <v>21</v>
      </c>
      <c r="C1088" s="7" t="s">
        <v>18</v>
      </c>
      <c r="D1088" s="4">
        <v>2109397000180</v>
      </c>
      <c r="E1088" s="8" t="s">
        <v>773</v>
      </c>
      <c r="F1088" s="8" t="s">
        <v>62</v>
      </c>
      <c r="G1088" s="7" t="s">
        <v>63</v>
      </c>
      <c r="H1088" s="47" t="s">
        <v>211</v>
      </c>
      <c r="I1088" s="47" t="s">
        <v>212</v>
      </c>
      <c r="J1088" s="6">
        <v>64</v>
      </c>
      <c r="K1088" s="8" t="s">
        <v>25</v>
      </c>
      <c r="L1088" s="1" t="s">
        <v>773</v>
      </c>
      <c r="M1088" s="5">
        <v>30</v>
      </c>
      <c r="Q1088" s="3"/>
      <c r="R1088" s="3"/>
      <c r="S1088" s="3"/>
    </row>
    <row r="1089" spans="1:19" ht="15" x14ac:dyDescent="0.25">
      <c r="A1089" s="7" t="s">
        <v>16</v>
      </c>
      <c r="B1089" s="7" t="s">
        <v>21</v>
      </c>
      <c r="C1089" s="7" t="s">
        <v>18</v>
      </c>
      <c r="D1089" s="4">
        <v>2284062000106</v>
      </c>
      <c r="E1089" s="8" t="s">
        <v>774</v>
      </c>
      <c r="F1089" s="8" t="s">
        <v>70</v>
      </c>
      <c r="G1089" s="7" t="s">
        <v>71</v>
      </c>
      <c r="H1089" s="47" t="s">
        <v>211</v>
      </c>
      <c r="I1089" s="47" t="s">
        <v>212</v>
      </c>
      <c r="J1089" s="6">
        <v>62</v>
      </c>
      <c r="K1089" s="8" t="s">
        <v>27</v>
      </c>
      <c r="L1089" s="1" t="s">
        <v>774</v>
      </c>
      <c r="M1089" s="5">
        <v>4</v>
      </c>
      <c r="Q1089" s="3"/>
      <c r="R1089" s="3"/>
      <c r="S1089" s="3"/>
    </row>
    <row r="1090" spans="1:19" ht="15" x14ac:dyDescent="0.25">
      <c r="A1090" s="7" t="s">
        <v>16</v>
      </c>
      <c r="B1090" s="7" t="s">
        <v>21</v>
      </c>
      <c r="C1090" s="7" t="s">
        <v>18</v>
      </c>
      <c r="D1090" s="4">
        <v>2284062000106</v>
      </c>
      <c r="E1090" s="8" t="s">
        <v>774</v>
      </c>
      <c r="F1090" s="8" t="s">
        <v>70</v>
      </c>
      <c r="G1090" s="7" t="s">
        <v>71</v>
      </c>
      <c r="H1090" s="47" t="s">
        <v>211</v>
      </c>
      <c r="I1090" s="47" t="s">
        <v>212</v>
      </c>
      <c r="J1090" s="6">
        <v>64</v>
      </c>
      <c r="K1090" s="8" t="s">
        <v>25</v>
      </c>
      <c r="L1090" s="1" t="s">
        <v>774</v>
      </c>
      <c r="M1090" s="5">
        <v>6</v>
      </c>
      <c r="Q1090" s="3"/>
      <c r="R1090" s="3"/>
      <c r="S1090" s="3"/>
    </row>
    <row r="1091" spans="1:19" ht="15" x14ac:dyDescent="0.25">
      <c r="A1091" s="7" t="s">
        <v>16</v>
      </c>
      <c r="B1091" s="7" t="s">
        <v>17</v>
      </c>
      <c r="C1091" s="7" t="s">
        <v>18</v>
      </c>
      <c r="D1091" s="4">
        <v>6047087009276</v>
      </c>
      <c r="E1091" s="8" t="s">
        <v>812</v>
      </c>
      <c r="F1091" s="8" t="s">
        <v>70</v>
      </c>
      <c r="G1091" s="7" t="s">
        <v>71</v>
      </c>
      <c r="H1091" s="47" t="s">
        <v>211</v>
      </c>
      <c r="I1091" s="47" t="s">
        <v>212</v>
      </c>
      <c r="J1091" s="6">
        <v>70</v>
      </c>
      <c r="K1091" s="8" t="s">
        <v>20</v>
      </c>
      <c r="L1091" s="1" t="s">
        <v>812</v>
      </c>
      <c r="M1091" s="5">
        <v>300</v>
      </c>
      <c r="Q1091" s="3"/>
      <c r="R1091" s="3"/>
      <c r="S1091" s="3"/>
    </row>
    <row r="1092" spans="1:19" ht="15" x14ac:dyDescent="0.25">
      <c r="A1092" s="7" t="s">
        <v>16</v>
      </c>
      <c r="B1092" s="7" t="s">
        <v>21</v>
      </c>
      <c r="C1092" s="7" t="s">
        <v>18</v>
      </c>
      <c r="D1092" s="4">
        <v>6047087009276</v>
      </c>
      <c r="E1092" s="8" t="s">
        <v>812</v>
      </c>
      <c r="F1092" s="8" t="s">
        <v>70</v>
      </c>
      <c r="G1092" s="7" t="s">
        <v>71</v>
      </c>
      <c r="H1092" s="47" t="s">
        <v>211</v>
      </c>
      <c r="I1092" s="47" t="s">
        <v>212</v>
      </c>
      <c r="J1092" s="6">
        <v>62</v>
      </c>
      <c r="K1092" s="8" t="s">
        <v>27</v>
      </c>
      <c r="L1092" s="1" t="s">
        <v>812</v>
      </c>
      <c r="M1092" s="5">
        <v>2</v>
      </c>
      <c r="Q1092" s="3"/>
      <c r="R1092" s="3"/>
      <c r="S1092" s="3"/>
    </row>
    <row r="1093" spans="1:19" ht="15" x14ac:dyDescent="0.25">
      <c r="A1093" s="7" t="s">
        <v>16</v>
      </c>
      <c r="B1093" s="7" t="s">
        <v>17</v>
      </c>
      <c r="C1093" s="7" t="s">
        <v>18</v>
      </c>
      <c r="D1093" s="4">
        <v>6070425000153</v>
      </c>
      <c r="E1093" s="8" t="s">
        <v>1150</v>
      </c>
      <c r="F1093" s="8" t="s">
        <v>1151</v>
      </c>
      <c r="G1093" s="7" t="s">
        <v>79</v>
      </c>
      <c r="H1093" s="47" t="s">
        <v>211</v>
      </c>
      <c r="I1093" s="47" t="s">
        <v>212</v>
      </c>
      <c r="J1093" s="6">
        <v>73</v>
      </c>
      <c r="K1093" s="8" t="s">
        <v>26</v>
      </c>
      <c r="L1093" s="1" t="s">
        <v>1150</v>
      </c>
      <c r="M1093" s="5">
        <v>12</v>
      </c>
      <c r="Q1093" s="3"/>
      <c r="R1093" s="3"/>
      <c r="S1093" s="3"/>
    </row>
    <row r="1094" spans="1:19" ht="15" x14ac:dyDescent="0.25">
      <c r="A1094" s="7" t="s">
        <v>16</v>
      </c>
      <c r="B1094" s="7" t="s">
        <v>17</v>
      </c>
      <c r="C1094" s="7" t="s">
        <v>18</v>
      </c>
      <c r="D1094" s="4">
        <v>6190522000180</v>
      </c>
      <c r="E1094" s="8" t="s">
        <v>813</v>
      </c>
      <c r="F1094" s="8" t="s">
        <v>80</v>
      </c>
      <c r="G1094" s="7" t="s">
        <v>59</v>
      </c>
      <c r="H1094" s="47" t="s">
        <v>211</v>
      </c>
      <c r="I1094" s="47" t="s">
        <v>212</v>
      </c>
      <c r="J1094" s="6">
        <v>66</v>
      </c>
      <c r="K1094" s="8" t="s">
        <v>28</v>
      </c>
      <c r="L1094" s="1" t="s">
        <v>813</v>
      </c>
      <c r="M1094" s="5">
        <v>24</v>
      </c>
      <c r="Q1094" s="3"/>
      <c r="R1094" s="3"/>
      <c r="S1094" s="3"/>
    </row>
    <row r="1095" spans="1:19" ht="15" x14ac:dyDescent="0.25">
      <c r="A1095" s="7" t="s">
        <v>16</v>
      </c>
      <c r="B1095" s="7" t="s">
        <v>21</v>
      </c>
      <c r="C1095" s="7" t="s">
        <v>18</v>
      </c>
      <c r="D1095" s="4">
        <v>3091003000176</v>
      </c>
      <c r="E1095" s="8" t="s">
        <v>782</v>
      </c>
      <c r="F1095" s="8" t="s">
        <v>84</v>
      </c>
      <c r="G1095" s="7" t="s">
        <v>85</v>
      </c>
      <c r="H1095" s="47" t="s">
        <v>211</v>
      </c>
      <c r="I1095" s="47" t="s">
        <v>212</v>
      </c>
      <c r="J1095" s="6">
        <v>70</v>
      </c>
      <c r="K1095" s="8" t="s">
        <v>20</v>
      </c>
      <c r="L1095" s="1" t="s">
        <v>782</v>
      </c>
      <c r="M1095" s="5">
        <v>175</v>
      </c>
      <c r="Q1095" s="3"/>
      <c r="R1095" s="3"/>
      <c r="S1095" s="3"/>
    </row>
    <row r="1096" spans="1:19" ht="15" x14ac:dyDescent="0.25">
      <c r="A1096" s="7" t="s">
        <v>16</v>
      </c>
      <c r="B1096" s="7" t="s">
        <v>17</v>
      </c>
      <c r="C1096" s="7" t="s">
        <v>18</v>
      </c>
      <c r="D1096" s="4">
        <v>6555031000276</v>
      </c>
      <c r="E1096" s="8" t="s">
        <v>815</v>
      </c>
      <c r="F1096" s="8" t="s">
        <v>81</v>
      </c>
      <c r="G1096" s="7" t="s">
        <v>82</v>
      </c>
      <c r="H1096" s="47" t="s">
        <v>211</v>
      </c>
      <c r="I1096" s="47" t="s">
        <v>212</v>
      </c>
      <c r="J1096" s="6">
        <v>73</v>
      </c>
      <c r="K1096" s="8" t="s">
        <v>26</v>
      </c>
      <c r="L1096" s="1" t="s">
        <v>815</v>
      </c>
      <c r="M1096" s="5">
        <v>12</v>
      </c>
      <c r="Q1096" s="3"/>
      <c r="R1096" s="3"/>
      <c r="S1096" s="3"/>
    </row>
    <row r="1097" spans="1:19" ht="15" x14ac:dyDescent="0.25">
      <c r="A1097" s="7" t="s">
        <v>16</v>
      </c>
      <c r="B1097" s="7" t="s">
        <v>21</v>
      </c>
      <c r="C1097" s="7" t="s">
        <v>18</v>
      </c>
      <c r="D1097" s="4">
        <v>6555031000276</v>
      </c>
      <c r="E1097" s="8" t="s">
        <v>815</v>
      </c>
      <c r="F1097" s="8" t="s">
        <v>81</v>
      </c>
      <c r="G1097" s="7" t="s">
        <v>82</v>
      </c>
      <c r="H1097" s="47" t="s">
        <v>211</v>
      </c>
      <c r="I1097" s="47" t="s">
        <v>212</v>
      </c>
      <c r="J1097" s="6">
        <v>73</v>
      </c>
      <c r="K1097" s="8" t="s">
        <v>26</v>
      </c>
      <c r="L1097" s="1" t="s">
        <v>815</v>
      </c>
      <c r="M1097" s="5">
        <v>20</v>
      </c>
      <c r="Q1097" s="3"/>
      <c r="R1097" s="3"/>
      <c r="S1097" s="3"/>
    </row>
    <row r="1098" spans="1:19" ht="15" x14ac:dyDescent="0.25">
      <c r="A1098" s="7" t="s">
        <v>16</v>
      </c>
      <c r="B1098" s="7" t="s">
        <v>21</v>
      </c>
      <c r="C1098" s="7" t="s">
        <v>18</v>
      </c>
      <c r="D1098" s="4">
        <v>3210872000172</v>
      </c>
      <c r="E1098" s="8" t="s">
        <v>783</v>
      </c>
      <c r="F1098" s="8" t="s">
        <v>122</v>
      </c>
      <c r="G1098" s="7" t="s">
        <v>72</v>
      </c>
      <c r="H1098" s="47" t="s">
        <v>211</v>
      </c>
      <c r="I1098" s="47" t="s">
        <v>212</v>
      </c>
      <c r="J1098" s="6">
        <v>70</v>
      </c>
      <c r="K1098" s="8" t="s">
        <v>20</v>
      </c>
      <c r="L1098" s="1" t="s">
        <v>783</v>
      </c>
      <c r="M1098" s="5">
        <v>5</v>
      </c>
      <c r="Q1098" s="3"/>
      <c r="R1098" s="3"/>
      <c r="S1098" s="3"/>
    </row>
    <row r="1099" spans="1:19" ht="15" x14ac:dyDescent="0.25">
      <c r="A1099" s="7" t="s">
        <v>16</v>
      </c>
      <c r="B1099" s="7" t="s">
        <v>21</v>
      </c>
      <c r="C1099" s="7" t="s">
        <v>18</v>
      </c>
      <c r="D1099" s="4">
        <v>3866223000124</v>
      </c>
      <c r="E1099" s="8" t="s">
        <v>792</v>
      </c>
      <c r="F1099" s="8" t="s">
        <v>742</v>
      </c>
      <c r="G1099" s="7" t="s">
        <v>91</v>
      </c>
      <c r="H1099" s="47" t="s">
        <v>211</v>
      </c>
      <c r="I1099" s="47" t="s">
        <v>212</v>
      </c>
      <c r="J1099" s="6">
        <v>70</v>
      </c>
      <c r="K1099" s="8" t="s">
        <v>20</v>
      </c>
      <c r="L1099" s="1" t="s">
        <v>792</v>
      </c>
      <c r="M1099" s="5">
        <v>1740</v>
      </c>
      <c r="Q1099" s="3"/>
      <c r="R1099" s="3"/>
      <c r="S1099" s="3"/>
    </row>
    <row r="1100" spans="1:19" ht="15" x14ac:dyDescent="0.25">
      <c r="A1100" s="7" t="s">
        <v>16</v>
      </c>
      <c r="B1100" s="7" t="s">
        <v>17</v>
      </c>
      <c r="C1100" s="7" t="s">
        <v>18</v>
      </c>
      <c r="D1100" s="4">
        <v>8319329000121</v>
      </c>
      <c r="E1100" s="8" t="s">
        <v>823</v>
      </c>
      <c r="F1100" s="8" t="s">
        <v>62</v>
      </c>
      <c r="G1100" s="7" t="s">
        <v>63</v>
      </c>
      <c r="H1100" s="47" t="s">
        <v>211</v>
      </c>
      <c r="I1100" s="47" t="s">
        <v>212</v>
      </c>
      <c r="J1100" s="6">
        <v>64</v>
      </c>
      <c r="K1100" s="8" t="s">
        <v>25</v>
      </c>
      <c r="L1100" s="1" t="s">
        <v>823</v>
      </c>
      <c r="M1100" s="5">
        <v>4</v>
      </c>
      <c r="Q1100" s="3"/>
      <c r="R1100" s="3"/>
      <c r="S1100" s="3"/>
    </row>
    <row r="1101" spans="1:19" ht="15" x14ac:dyDescent="0.25">
      <c r="A1101" s="7" t="s">
        <v>16</v>
      </c>
      <c r="B1101" s="7" t="s">
        <v>21</v>
      </c>
      <c r="C1101" s="7" t="s">
        <v>18</v>
      </c>
      <c r="D1101" s="4">
        <v>8319329000121</v>
      </c>
      <c r="E1101" s="8" t="s">
        <v>823</v>
      </c>
      <c r="F1101" s="8" t="s">
        <v>62</v>
      </c>
      <c r="G1101" s="7" t="s">
        <v>63</v>
      </c>
      <c r="H1101" s="47" t="s">
        <v>211</v>
      </c>
      <c r="I1101" s="47" t="s">
        <v>212</v>
      </c>
      <c r="J1101" s="6">
        <v>64</v>
      </c>
      <c r="K1101" s="8" t="s">
        <v>25</v>
      </c>
      <c r="L1101" s="1" t="s">
        <v>823</v>
      </c>
      <c r="M1101" s="5">
        <v>26</v>
      </c>
      <c r="Q1101" s="3"/>
      <c r="R1101" s="3"/>
      <c r="S1101" s="3"/>
    </row>
    <row r="1102" spans="1:19" ht="15" x14ac:dyDescent="0.25">
      <c r="A1102" s="7" t="s">
        <v>16</v>
      </c>
      <c r="B1102" s="7" t="s">
        <v>17</v>
      </c>
      <c r="C1102" s="7" t="s">
        <v>18</v>
      </c>
      <c r="D1102" s="4">
        <v>8337586000196</v>
      </c>
      <c r="E1102" s="8" t="s">
        <v>824</v>
      </c>
      <c r="F1102" s="8" t="s">
        <v>62</v>
      </c>
      <c r="G1102" s="7" t="s">
        <v>63</v>
      </c>
      <c r="H1102" s="47" t="s">
        <v>211</v>
      </c>
      <c r="I1102" s="47" t="s">
        <v>212</v>
      </c>
      <c r="J1102" s="6">
        <v>64</v>
      </c>
      <c r="K1102" s="8" t="s">
        <v>25</v>
      </c>
      <c r="L1102" s="1" t="s">
        <v>824</v>
      </c>
      <c r="M1102" s="5">
        <v>1</v>
      </c>
      <c r="Q1102" s="3"/>
      <c r="R1102" s="3"/>
      <c r="S1102" s="3"/>
    </row>
    <row r="1103" spans="1:19" ht="15" x14ac:dyDescent="0.25">
      <c r="A1103" s="7" t="s">
        <v>16</v>
      </c>
      <c r="B1103" s="7" t="s">
        <v>17</v>
      </c>
      <c r="C1103" s="7" t="s">
        <v>18</v>
      </c>
      <c r="D1103" s="4">
        <v>8380701000610</v>
      </c>
      <c r="E1103" s="8" t="s">
        <v>825</v>
      </c>
      <c r="F1103" s="8" t="s">
        <v>62</v>
      </c>
      <c r="G1103" s="7" t="s">
        <v>63</v>
      </c>
      <c r="H1103" s="47" t="s">
        <v>211</v>
      </c>
      <c r="I1103" s="47" t="s">
        <v>212</v>
      </c>
      <c r="J1103" s="6">
        <v>70</v>
      </c>
      <c r="K1103" s="8" t="s">
        <v>20</v>
      </c>
      <c r="L1103" s="1" t="s">
        <v>825</v>
      </c>
      <c r="M1103" s="5">
        <v>250</v>
      </c>
      <c r="Q1103" s="3"/>
      <c r="R1103" s="3"/>
      <c r="S1103" s="3"/>
    </row>
    <row r="1104" spans="1:19" ht="15" x14ac:dyDescent="0.25">
      <c r="A1104" s="7" t="s">
        <v>16</v>
      </c>
      <c r="B1104" s="7" t="s">
        <v>17</v>
      </c>
      <c r="C1104" s="7" t="s">
        <v>18</v>
      </c>
      <c r="D1104" s="4">
        <v>8680639000681</v>
      </c>
      <c r="E1104" s="8" t="s">
        <v>827</v>
      </c>
      <c r="F1104" s="8" t="s">
        <v>747</v>
      </c>
      <c r="G1104" s="7" t="s">
        <v>56</v>
      </c>
      <c r="H1104" s="47" t="s">
        <v>211</v>
      </c>
      <c r="I1104" s="47" t="s">
        <v>212</v>
      </c>
      <c r="J1104" s="6">
        <v>70</v>
      </c>
      <c r="K1104" s="8" t="s">
        <v>20</v>
      </c>
      <c r="L1104" s="1" t="s">
        <v>827</v>
      </c>
      <c r="M1104" s="5">
        <v>80</v>
      </c>
      <c r="Q1104" s="3"/>
      <c r="R1104" s="3"/>
      <c r="S1104" s="3"/>
    </row>
    <row r="1105" spans="1:19" ht="15" x14ac:dyDescent="0.25">
      <c r="A1105" s="7" t="s">
        <v>16</v>
      </c>
      <c r="B1105" s="7" t="s">
        <v>17</v>
      </c>
      <c r="C1105" s="7" t="s">
        <v>18</v>
      </c>
      <c r="D1105" s="4">
        <v>8680639000681</v>
      </c>
      <c r="E1105" s="8" t="s">
        <v>827</v>
      </c>
      <c r="F1105" s="8" t="s">
        <v>747</v>
      </c>
      <c r="G1105" s="7" t="s">
        <v>56</v>
      </c>
      <c r="H1105" s="47" t="s">
        <v>211</v>
      </c>
      <c r="I1105" s="47" t="s">
        <v>212</v>
      </c>
      <c r="J1105" s="6">
        <v>73</v>
      </c>
      <c r="K1105" s="8" t="s">
        <v>26</v>
      </c>
      <c r="L1105" s="1" t="s">
        <v>827</v>
      </c>
      <c r="M1105" s="5">
        <v>36</v>
      </c>
      <c r="Q1105" s="3"/>
      <c r="R1105" s="3"/>
      <c r="S1105" s="3"/>
    </row>
    <row r="1106" spans="1:19" ht="15" x14ac:dyDescent="0.25">
      <c r="A1106" s="7" t="s">
        <v>16</v>
      </c>
      <c r="B1106" s="7" t="s">
        <v>21</v>
      </c>
      <c r="C1106" s="7" t="s">
        <v>18</v>
      </c>
      <c r="D1106" s="4">
        <v>8680639000681</v>
      </c>
      <c r="E1106" s="8" t="s">
        <v>827</v>
      </c>
      <c r="F1106" s="8" t="s">
        <v>747</v>
      </c>
      <c r="G1106" s="7" t="s">
        <v>56</v>
      </c>
      <c r="H1106" s="47" t="s">
        <v>211</v>
      </c>
      <c r="I1106" s="47" t="s">
        <v>212</v>
      </c>
      <c r="J1106" s="6">
        <v>70</v>
      </c>
      <c r="K1106" s="8" t="s">
        <v>20</v>
      </c>
      <c r="L1106" s="1" t="s">
        <v>827</v>
      </c>
      <c r="M1106" s="5">
        <v>155</v>
      </c>
      <c r="Q1106" s="3"/>
      <c r="R1106" s="3"/>
      <c r="S1106" s="3"/>
    </row>
    <row r="1107" spans="1:19" ht="15" x14ac:dyDescent="0.25">
      <c r="A1107" s="7" t="s">
        <v>16</v>
      </c>
      <c r="B1107" s="7" t="s">
        <v>21</v>
      </c>
      <c r="C1107" s="7" t="s">
        <v>18</v>
      </c>
      <c r="D1107" s="4">
        <v>8680639000681</v>
      </c>
      <c r="E1107" s="8" t="s">
        <v>827</v>
      </c>
      <c r="F1107" s="8" t="s">
        <v>747</v>
      </c>
      <c r="G1107" s="7" t="s">
        <v>56</v>
      </c>
      <c r="H1107" s="47" t="s">
        <v>211</v>
      </c>
      <c r="I1107" s="47" t="s">
        <v>212</v>
      </c>
      <c r="J1107" s="6">
        <v>73</v>
      </c>
      <c r="K1107" s="8" t="s">
        <v>26</v>
      </c>
      <c r="L1107" s="1" t="s">
        <v>827</v>
      </c>
      <c r="M1107" s="5">
        <v>68</v>
      </c>
      <c r="Q1107" s="3"/>
      <c r="R1107" s="3"/>
      <c r="S1107" s="3"/>
    </row>
    <row r="1108" spans="1:19" ht="15" x14ac:dyDescent="0.25">
      <c r="A1108" s="7" t="s">
        <v>16</v>
      </c>
      <c r="B1108" s="7" t="s">
        <v>21</v>
      </c>
      <c r="C1108" s="7" t="s">
        <v>18</v>
      </c>
      <c r="D1108" s="4">
        <v>5054929000117</v>
      </c>
      <c r="E1108" s="8" t="s">
        <v>1149</v>
      </c>
      <c r="F1108" s="8" t="s">
        <v>1129</v>
      </c>
      <c r="G1108" s="7" t="s">
        <v>52</v>
      </c>
      <c r="H1108" s="47" t="s">
        <v>211</v>
      </c>
      <c r="I1108" s="47" t="s">
        <v>212</v>
      </c>
      <c r="J1108" s="6">
        <v>73</v>
      </c>
      <c r="K1108" s="8" t="s">
        <v>26</v>
      </c>
      <c r="L1108" s="1" t="s">
        <v>1149</v>
      </c>
      <c r="M1108" s="5">
        <v>48</v>
      </c>
      <c r="Q1108" s="3"/>
      <c r="R1108" s="3"/>
      <c r="S1108" s="3"/>
    </row>
    <row r="1109" spans="1:19" ht="15" x14ac:dyDescent="0.25">
      <c r="A1109" s="7" t="s">
        <v>16</v>
      </c>
      <c r="B1109" s="7" t="s">
        <v>21</v>
      </c>
      <c r="C1109" s="7" t="s">
        <v>18</v>
      </c>
      <c r="D1109" s="4">
        <v>5652543000107</v>
      </c>
      <c r="E1109" s="8" t="s">
        <v>801</v>
      </c>
      <c r="F1109" s="8" t="s">
        <v>802</v>
      </c>
      <c r="G1109" s="7" t="s">
        <v>74</v>
      </c>
      <c r="H1109" s="47" t="s">
        <v>211</v>
      </c>
      <c r="I1109" s="47" t="s">
        <v>212</v>
      </c>
      <c r="J1109" s="6">
        <v>64</v>
      </c>
      <c r="K1109" s="8" t="s">
        <v>25</v>
      </c>
      <c r="L1109" s="1" t="s">
        <v>801</v>
      </c>
      <c r="M1109" s="5">
        <v>2</v>
      </c>
      <c r="Q1109" s="3"/>
      <c r="R1109" s="3"/>
      <c r="S1109" s="3"/>
    </row>
    <row r="1110" spans="1:19" ht="15" x14ac:dyDescent="0.25">
      <c r="A1110" s="7" t="s">
        <v>16</v>
      </c>
      <c r="B1110" s="7" t="s">
        <v>17</v>
      </c>
      <c r="C1110" s="7" t="s">
        <v>18</v>
      </c>
      <c r="D1110" s="4">
        <v>10572048000209</v>
      </c>
      <c r="E1110" s="8" t="s">
        <v>833</v>
      </c>
      <c r="F1110" s="8" t="s">
        <v>70</v>
      </c>
      <c r="G1110" s="7" t="s">
        <v>71</v>
      </c>
      <c r="H1110" s="47" t="s">
        <v>211</v>
      </c>
      <c r="I1110" s="47" t="s">
        <v>212</v>
      </c>
      <c r="J1110" s="6">
        <v>70</v>
      </c>
      <c r="K1110" s="8" t="s">
        <v>20</v>
      </c>
      <c r="L1110" s="1" t="s">
        <v>833</v>
      </c>
      <c r="M1110" s="5">
        <v>1535</v>
      </c>
      <c r="Q1110" s="3"/>
      <c r="R1110" s="3"/>
      <c r="S1110" s="3"/>
    </row>
    <row r="1111" spans="1:19" ht="15" x14ac:dyDescent="0.25">
      <c r="A1111" s="7" t="s">
        <v>16</v>
      </c>
      <c r="B1111" s="7" t="s">
        <v>17</v>
      </c>
      <c r="C1111" s="7" t="s">
        <v>18</v>
      </c>
      <c r="D1111" s="4">
        <v>10839561000132</v>
      </c>
      <c r="E1111" s="8" t="s">
        <v>834</v>
      </c>
      <c r="F1111" s="8" t="s">
        <v>70</v>
      </c>
      <c r="G1111" s="7" t="s">
        <v>71</v>
      </c>
      <c r="H1111" s="47" t="s">
        <v>211</v>
      </c>
      <c r="I1111" s="47" t="s">
        <v>212</v>
      </c>
      <c r="J1111" s="6">
        <v>73</v>
      </c>
      <c r="K1111" s="8" t="s">
        <v>26</v>
      </c>
      <c r="L1111" s="1" t="s">
        <v>834</v>
      </c>
      <c r="M1111" s="5">
        <v>60</v>
      </c>
      <c r="Q1111" s="3"/>
      <c r="R1111" s="3"/>
      <c r="S1111" s="3"/>
    </row>
    <row r="1112" spans="1:19" ht="15" x14ac:dyDescent="0.25">
      <c r="A1112" s="7" t="s">
        <v>16</v>
      </c>
      <c r="B1112" s="7" t="s">
        <v>21</v>
      </c>
      <c r="C1112" s="7" t="s">
        <v>18</v>
      </c>
      <c r="D1112" s="4">
        <v>10839561000132</v>
      </c>
      <c r="E1112" s="8" t="s">
        <v>834</v>
      </c>
      <c r="F1112" s="8" t="s">
        <v>70</v>
      </c>
      <c r="G1112" s="7" t="s">
        <v>71</v>
      </c>
      <c r="H1112" s="47" t="s">
        <v>211</v>
      </c>
      <c r="I1112" s="47" t="s">
        <v>212</v>
      </c>
      <c r="J1112" s="6">
        <v>70</v>
      </c>
      <c r="K1112" s="8" t="s">
        <v>20</v>
      </c>
      <c r="L1112" s="1" t="s">
        <v>834</v>
      </c>
      <c r="M1112" s="5">
        <v>420</v>
      </c>
      <c r="Q1112" s="3"/>
      <c r="R1112" s="3"/>
      <c r="S1112" s="3"/>
    </row>
    <row r="1113" spans="1:19" ht="15" x14ac:dyDescent="0.25">
      <c r="A1113" s="7" t="s">
        <v>16</v>
      </c>
      <c r="B1113" s="7" t="s">
        <v>21</v>
      </c>
      <c r="C1113" s="7" t="s">
        <v>18</v>
      </c>
      <c r="D1113" s="4">
        <v>10839561000132</v>
      </c>
      <c r="E1113" s="8" t="s">
        <v>834</v>
      </c>
      <c r="F1113" s="8" t="s">
        <v>70</v>
      </c>
      <c r="G1113" s="7" t="s">
        <v>71</v>
      </c>
      <c r="H1113" s="47" t="s">
        <v>211</v>
      </c>
      <c r="I1113" s="47" t="s">
        <v>212</v>
      </c>
      <c r="J1113" s="6">
        <v>73</v>
      </c>
      <c r="K1113" s="8" t="s">
        <v>26</v>
      </c>
      <c r="L1113" s="1" t="s">
        <v>834</v>
      </c>
      <c r="M1113" s="5">
        <v>32</v>
      </c>
      <c r="Q1113" s="3"/>
      <c r="R1113" s="3"/>
      <c r="S1113" s="3"/>
    </row>
    <row r="1114" spans="1:19" ht="15" x14ac:dyDescent="0.25">
      <c r="A1114" s="7" t="s">
        <v>16</v>
      </c>
      <c r="B1114" s="7" t="s">
        <v>17</v>
      </c>
      <c r="C1114" s="7" t="s">
        <v>18</v>
      </c>
      <c r="D1114" s="4">
        <v>10892164000124</v>
      </c>
      <c r="E1114" s="8" t="s">
        <v>835</v>
      </c>
      <c r="F1114" s="8" t="s">
        <v>70</v>
      </c>
      <c r="G1114" s="7" t="s">
        <v>71</v>
      </c>
      <c r="H1114" s="47" t="s">
        <v>211</v>
      </c>
      <c r="I1114" s="47" t="s">
        <v>212</v>
      </c>
      <c r="J1114" s="6">
        <v>62</v>
      </c>
      <c r="K1114" s="8" t="s">
        <v>27</v>
      </c>
      <c r="L1114" s="1" t="s">
        <v>835</v>
      </c>
      <c r="M1114" s="5">
        <v>17</v>
      </c>
      <c r="Q1114" s="3"/>
      <c r="R1114" s="3"/>
      <c r="S1114" s="3"/>
    </row>
    <row r="1115" spans="1:19" ht="15" x14ac:dyDescent="0.25">
      <c r="A1115" s="7" t="s">
        <v>16</v>
      </c>
      <c r="B1115" s="7" t="s">
        <v>17</v>
      </c>
      <c r="C1115" s="7" t="s">
        <v>18</v>
      </c>
      <c r="D1115" s="4">
        <v>10892164000124</v>
      </c>
      <c r="E1115" s="8" t="s">
        <v>835</v>
      </c>
      <c r="F1115" s="8" t="s">
        <v>70</v>
      </c>
      <c r="G1115" s="7" t="s">
        <v>71</v>
      </c>
      <c r="H1115" s="47" t="s">
        <v>211</v>
      </c>
      <c r="I1115" s="47" t="s">
        <v>212</v>
      </c>
      <c r="J1115" s="6">
        <v>64</v>
      </c>
      <c r="K1115" s="8" t="s">
        <v>25</v>
      </c>
      <c r="L1115" s="1" t="s">
        <v>835</v>
      </c>
      <c r="M1115" s="5">
        <v>45</v>
      </c>
      <c r="Q1115" s="3"/>
      <c r="R1115" s="3"/>
      <c r="S1115" s="3"/>
    </row>
    <row r="1116" spans="1:19" ht="15" x14ac:dyDescent="0.25">
      <c r="A1116" s="7" t="s">
        <v>16</v>
      </c>
      <c r="B1116" s="7" t="s">
        <v>17</v>
      </c>
      <c r="C1116" s="7" t="s">
        <v>18</v>
      </c>
      <c r="D1116" s="4">
        <v>10988301000129</v>
      </c>
      <c r="E1116" s="8" t="s">
        <v>837</v>
      </c>
      <c r="F1116" s="8" t="s">
        <v>70</v>
      </c>
      <c r="G1116" s="7" t="s">
        <v>71</v>
      </c>
      <c r="H1116" s="47" t="s">
        <v>211</v>
      </c>
      <c r="I1116" s="47" t="s">
        <v>212</v>
      </c>
      <c r="J1116" s="6">
        <v>64</v>
      </c>
      <c r="K1116" s="8" t="s">
        <v>25</v>
      </c>
      <c r="L1116" s="1" t="s">
        <v>837</v>
      </c>
      <c r="M1116" s="5">
        <v>10</v>
      </c>
      <c r="Q1116" s="3"/>
      <c r="R1116" s="3"/>
      <c r="S1116" s="3"/>
    </row>
    <row r="1117" spans="1:19" ht="15" x14ac:dyDescent="0.25">
      <c r="A1117" s="7" t="s">
        <v>16</v>
      </c>
      <c r="B1117" s="7" t="s">
        <v>17</v>
      </c>
      <c r="C1117" s="7" t="s">
        <v>18</v>
      </c>
      <c r="D1117" s="4">
        <v>11006293000130</v>
      </c>
      <c r="E1117" s="8" t="s">
        <v>838</v>
      </c>
      <c r="F1117" s="8" t="s">
        <v>777</v>
      </c>
      <c r="G1117" s="7" t="s">
        <v>72</v>
      </c>
      <c r="H1117" s="47" t="s">
        <v>211</v>
      </c>
      <c r="I1117" s="47" t="s">
        <v>212</v>
      </c>
      <c r="J1117" s="6">
        <v>70</v>
      </c>
      <c r="K1117" s="8" t="s">
        <v>20</v>
      </c>
      <c r="L1117" s="1" t="s">
        <v>838</v>
      </c>
      <c r="M1117" s="5">
        <v>500</v>
      </c>
      <c r="Q1117" s="3"/>
      <c r="R1117" s="3"/>
      <c r="S1117" s="3"/>
    </row>
    <row r="1118" spans="1:19" ht="15" x14ac:dyDescent="0.25">
      <c r="A1118" s="7" t="s">
        <v>16</v>
      </c>
      <c r="B1118" s="7" t="s">
        <v>17</v>
      </c>
      <c r="C1118" s="7" t="s">
        <v>18</v>
      </c>
      <c r="D1118" s="4">
        <v>11006293000130</v>
      </c>
      <c r="E1118" s="8" t="s">
        <v>838</v>
      </c>
      <c r="F1118" s="8" t="s">
        <v>777</v>
      </c>
      <c r="G1118" s="7" t="s">
        <v>72</v>
      </c>
      <c r="H1118" s="47" t="s">
        <v>211</v>
      </c>
      <c r="I1118" s="47" t="s">
        <v>212</v>
      </c>
      <c r="J1118" s="6">
        <v>73</v>
      </c>
      <c r="K1118" s="8" t="s">
        <v>26</v>
      </c>
      <c r="L1118" s="1" t="s">
        <v>838</v>
      </c>
      <c r="M1118" s="5">
        <v>40</v>
      </c>
      <c r="Q1118" s="3"/>
      <c r="R1118" s="3"/>
      <c r="S1118" s="3"/>
    </row>
    <row r="1119" spans="1:19" ht="15" x14ac:dyDescent="0.25">
      <c r="A1119" s="7" t="s">
        <v>16</v>
      </c>
      <c r="B1119" s="7" t="s">
        <v>21</v>
      </c>
      <c r="C1119" s="7" t="s">
        <v>18</v>
      </c>
      <c r="D1119" s="4">
        <v>11006293000130</v>
      </c>
      <c r="E1119" s="8" t="s">
        <v>838</v>
      </c>
      <c r="F1119" s="8" t="s">
        <v>777</v>
      </c>
      <c r="G1119" s="7" t="s">
        <v>72</v>
      </c>
      <c r="H1119" s="47" t="s">
        <v>211</v>
      </c>
      <c r="I1119" s="47" t="s">
        <v>212</v>
      </c>
      <c r="J1119" s="6">
        <v>70</v>
      </c>
      <c r="K1119" s="8" t="s">
        <v>20</v>
      </c>
      <c r="L1119" s="1" t="s">
        <v>838</v>
      </c>
      <c r="M1119" s="5">
        <v>500</v>
      </c>
      <c r="Q1119" s="3"/>
      <c r="R1119" s="3"/>
      <c r="S1119" s="3"/>
    </row>
    <row r="1120" spans="1:19" ht="15" x14ac:dyDescent="0.25">
      <c r="A1120" s="7" t="s">
        <v>16</v>
      </c>
      <c r="B1120" s="7" t="s">
        <v>17</v>
      </c>
      <c r="C1120" s="7" t="s">
        <v>18</v>
      </c>
      <c r="D1120" s="4">
        <v>11452240000143</v>
      </c>
      <c r="E1120" s="8" t="s">
        <v>844</v>
      </c>
      <c r="F1120" s="8" t="s">
        <v>70</v>
      </c>
      <c r="G1120" s="7" t="s">
        <v>71</v>
      </c>
      <c r="H1120" s="47" t="s">
        <v>211</v>
      </c>
      <c r="I1120" s="47" t="s">
        <v>212</v>
      </c>
      <c r="J1120" s="6">
        <v>62</v>
      </c>
      <c r="K1120" s="8" t="s">
        <v>27</v>
      </c>
      <c r="L1120" s="1" t="s">
        <v>844</v>
      </c>
      <c r="M1120" s="5">
        <v>6</v>
      </c>
      <c r="Q1120" s="3"/>
      <c r="R1120" s="3"/>
      <c r="S1120" s="3"/>
    </row>
    <row r="1121" spans="1:19" ht="15" x14ac:dyDescent="0.25">
      <c r="A1121" s="7" t="s">
        <v>16</v>
      </c>
      <c r="B1121" s="7" t="s">
        <v>21</v>
      </c>
      <c r="C1121" s="7" t="s">
        <v>18</v>
      </c>
      <c r="D1121" s="4">
        <v>11452240000143</v>
      </c>
      <c r="E1121" s="8" t="s">
        <v>844</v>
      </c>
      <c r="F1121" s="8" t="s">
        <v>70</v>
      </c>
      <c r="G1121" s="7" t="s">
        <v>71</v>
      </c>
      <c r="H1121" s="47" t="s">
        <v>211</v>
      </c>
      <c r="I1121" s="47" t="s">
        <v>212</v>
      </c>
      <c r="J1121" s="6">
        <v>62</v>
      </c>
      <c r="K1121" s="8" t="s">
        <v>27</v>
      </c>
      <c r="L1121" s="1" t="s">
        <v>844</v>
      </c>
      <c r="M1121" s="5">
        <v>1</v>
      </c>
      <c r="Q1121" s="3"/>
      <c r="R1121" s="3"/>
      <c r="S1121" s="3"/>
    </row>
    <row r="1122" spans="1:19" ht="15" x14ac:dyDescent="0.25">
      <c r="A1122" s="7" t="s">
        <v>16</v>
      </c>
      <c r="B1122" s="7" t="s">
        <v>21</v>
      </c>
      <c r="C1122" s="7" t="s">
        <v>18</v>
      </c>
      <c r="D1122" s="4">
        <v>11452240000143</v>
      </c>
      <c r="E1122" s="8" t="s">
        <v>844</v>
      </c>
      <c r="F1122" s="8" t="s">
        <v>70</v>
      </c>
      <c r="G1122" s="7" t="s">
        <v>71</v>
      </c>
      <c r="H1122" s="47" t="s">
        <v>211</v>
      </c>
      <c r="I1122" s="47" t="s">
        <v>212</v>
      </c>
      <c r="J1122" s="6">
        <v>70</v>
      </c>
      <c r="K1122" s="8" t="s">
        <v>20</v>
      </c>
      <c r="L1122" s="1" t="s">
        <v>844</v>
      </c>
      <c r="M1122" s="5">
        <v>635</v>
      </c>
      <c r="Q1122" s="3"/>
      <c r="R1122" s="3"/>
      <c r="S1122" s="3"/>
    </row>
    <row r="1123" spans="1:19" ht="15" x14ac:dyDescent="0.25">
      <c r="A1123" s="7" t="s">
        <v>16</v>
      </c>
      <c r="B1123" s="7" t="s">
        <v>17</v>
      </c>
      <c r="C1123" s="7" t="s">
        <v>18</v>
      </c>
      <c r="D1123" s="4">
        <v>12361267000517</v>
      </c>
      <c r="E1123" s="8" t="s">
        <v>849</v>
      </c>
      <c r="F1123" s="8" t="s">
        <v>84</v>
      </c>
      <c r="G1123" s="7" t="s">
        <v>85</v>
      </c>
      <c r="H1123" s="47" t="s">
        <v>211</v>
      </c>
      <c r="I1123" s="47" t="s">
        <v>212</v>
      </c>
      <c r="J1123" s="6">
        <v>70</v>
      </c>
      <c r="K1123" s="8" t="s">
        <v>20</v>
      </c>
      <c r="L1123" s="1" t="s">
        <v>849</v>
      </c>
      <c r="M1123" s="5">
        <v>20</v>
      </c>
      <c r="Q1123" s="3"/>
      <c r="R1123" s="3"/>
      <c r="S1123" s="3"/>
    </row>
    <row r="1124" spans="1:19" ht="15" x14ac:dyDescent="0.25">
      <c r="A1124" s="7" t="s">
        <v>16</v>
      </c>
      <c r="B1124" s="7" t="s">
        <v>21</v>
      </c>
      <c r="C1124" s="7" t="s">
        <v>18</v>
      </c>
      <c r="D1124" s="4">
        <v>12361267000517</v>
      </c>
      <c r="E1124" s="8" t="s">
        <v>849</v>
      </c>
      <c r="F1124" s="8" t="s">
        <v>84</v>
      </c>
      <c r="G1124" s="7" t="s">
        <v>85</v>
      </c>
      <c r="H1124" s="47" t="s">
        <v>211</v>
      </c>
      <c r="I1124" s="47" t="s">
        <v>212</v>
      </c>
      <c r="J1124" s="6">
        <v>70</v>
      </c>
      <c r="K1124" s="8" t="s">
        <v>20</v>
      </c>
      <c r="L1124" s="1" t="s">
        <v>849</v>
      </c>
      <c r="M1124" s="5">
        <v>85</v>
      </c>
      <c r="Q1124" s="3"/>
      <c r="R1124" s="3"/>
      <c r="S1124" s="3"/>
    </row>
    <row r="1125" spans="1:19" ht="15" x14ac:dyDescent="0.25">
      <c r="A1125" s="7" t="s">
        <v>16</v>
      </c>
      <c r="B1125" s="7" t="s">
        <v>17</v>
      </c>
      <c r="C1125" s="7" t="s">
        <v>18</v>
      </c>
      <c r="D1125" s="4">
        <v>12361267009140</v>
      </c>
      <c r="E1125" s="8" t="s">
        <v>858</v>
      </c>
      <c r="F1125" s="8" t="s">
        <v>859</v>
      </c>
      <c r="G1125" s="7" t="s">
        <v>63</v>
      </c>
      <c r="H1125" s="47" t="s">
        <v>211</v>
      </c>
      <c r="I1125" s="47" t="s">
        <v>212</v>
      </c>
      <c r="J1125" s="6">
        <v>70</v>
      </c>
      <c r="K1125" s="8" t="s">
        <v>20</v>
      </c>
      <c r="L1125" s="1" t="s">
        <v>858</v>
      </c>
      <c r="M1125" s="5">
        <v>10</v>
      </c>
      <c r="Q1125" s="3"/>
      <c r="R1125" s="3"/>
      <c r="S1125" s="3"/>
    </row>
    <row r="1126" spans="1:19" ht="15" x14ac:dyDescent="0.25">
      <c r="A1126" s="7" t="s">
        <v>16</v>
      </c>
      <c r="B1126" s="7" t="s">
        <v>21</v>
      </c>
      <c r="C1126" s="7" t="s">
        <v>18</v>
      </c>
      <c r="D1126" s="4">
        <v>12361267009140</v>
      </c>
      <c r="E1126" s="8" t="s">
        <v>858</v>
      </c>
      <c r="F1126" s="8" t="s">
        <v>859</v>
      </c>
      <c r="G1126" s="7" t="s">
        <v>63</v>
      </c>
      <c r="H1126" s="47" t="s">
        <v>211</v>
      </c>
      <c r="I1126" s="47" t="s">
        <v>212</v>
      </c>
      <c r="J1126" s="6">
        <v>70</v>
      </c>
      <c r="K1126" s="8" t="s">
        <v>20</v>
      </c>
      <c r="L1126" s="1" t="s">
        <v>858</v>
      </c>
      <c r="M1126" s="5">
        <v>5</v>
      </c>
      <c r="Q1126" s="3"/>
      <c r="R1126" s="3"/>
      <c r="S1126" s="3"/>
    </row>
    <row r="1127" spans="1:19" ht="15" x14ac:dyDescent="0.25">
      <c r="A1127" s="7" t="s">
        <v>16</v>
      </c>
      <c r="B1127" s="7" t="s">
        <v>17</v>
      </c>
      <c r="C1127" s="7" t="s">
        <v>18</v>
      </c>
      <c r="D1127" s="4">
        <v>12361267011632</v>
      </c>
      <c r="E1127" s="8" t="s">
        <v>1160</v>
      </c>
      <c r="F1127" s="8" t="s">
        <v>109</v>
      </c>
      <c r="G1127" s="7" t="s">
        <v>110</v>
      </c>
      <c r="H1127" s="47" t="s">
        <v>211</v>
      </c>
      <c r="I1127" s="47" t="s">
        <v>212</v>
      </c>
      <c r="J1127" s="6">
        <v>70</v>
      </c>
      <c r="K1127" s="8" t="s">
        <v>20</v>
      </c>
      <c r="L1127" s="1" t="s">
        <v>1160</v>
      </c>
      <c r="M1127" s="5">
        <v>125</v>
      </c>
      <c r="Q1127" s="3"/>
      <c r="R1127" s="3"/>
      <c r="S1127" s="3"/>
    </row>
    <row r="1128" spans="1:19" ht="15" x14ac:dyDescent="0.25">
      <c r="A1128" s="7" t="s">
        <v>16</v>
      </c>
      <c r="B1128" s="7" t="s">
        <v>17</v>
      </c>
      <c r="C1128" s="7" t="s">
        <v>18</v>
      </c>
      <c r="D1128" s="4">
        <v>12442737000496</v>
      </c>
      <c r="E1128" s="8" t="s">
        <v>865</v>
      </c>
      <c r="F1128" s="8" t="s">
        <v>742</v>
      </c>
      <c r="G1128" s="7" t="s">
        <v>91</v>
      </c>
      <c r="H1128" s="47" t="s">
        <v>211</v>
      </c>
      <c r="I1128" s="47" t="s">
        <v>212</v>
      </c>
      <c r="J1128" s="6">
        <v>70</v>
      </c>
      <c r="K1128" s="8" t="s">
        <v>20</v>
      </c>
      <c r="L1128" s="1" t="s">
        <v>865</v>
      </c>
      <c r="M1128" s="5">
        <v>400</v>
      </c>
      <c r="Q1128" s="3"/>
      <c r="R1128" s="3"/>
      <c r="S1128" s="3"/>
    </row>
    <row r="1129" spans="1:19" ht="15" x14ac:dyDescent="0.25">
      <c r="A1129" s="7" t="s">
        <v>16</v>
      </c>
      <c r="B1129" s="7" t="s">
        <v>21</v>
      </c>
      <c r="C1129" s="7" t="s">
        <v>18</v>
      </c>
      <c r="D1129" s="4">
        <v>12442737000496</v>
      </c>
      <c r="E1129" s="8" t="s">
        <v>865</v>
      </c>
      <c r="F1129" s="8" t="s">
        <v>742</v>
      </c>
      <c r="G1129" s="7" t="s">
        <v>91</v>
      </c>
      <c r="H1129" s="47" t="s">
        <v>211</v>
      </c>
      <c r="I1129" s="47" t="s">
        <v>212</v>
      </c>
      <c r="J1129" s="6">
        <v>62</v>
      </c>
      <c r="K1129" s="8" t="s">
        <v>27</v>
      </c>
      <c r="L1129" s="1" t="s">
        <v>865</v>
      </c>
      <c r="M1129" s="5">
        <v>2</v>
      </c>
      <c r="Q1129" s="3"/>
      <c r="R1129" s="3"/>
      <c r="S1129" s="3"/>
    </row>
    <row r="1130" spans="1:19" ht="15" x14ac:dyDescent="0.25">
      <c r="A1130" s="7" t="s">
        <v>16</v>
      </c>
      <c r="B1130" s="7" t="s">
        <v>21</v>
      </c>
      <c r="C1130" s="7" t="s">
        <v>18</v>
      </c>
      <c r="D1130" s="4">
        <v>12442737000496</v>
      </c>
      <c r="E1130" s="8" t="s">
        <v>865</v>
      </c>
      <c r="F1130" s="8" t="s">
        <v>742</v>
      </c>
      <c r="G1130" s="7" t="s">
        <v>91</v>
      </c>
      <c r="H1130" s="47" t="s">
        <v>211</v>
      </c>
      <c r="I1130" s="47" t="s">
        <v>212</v>
      </c>
      <c r="J1130" s="6">
        <v>64</v>
      </c>
      <c r="K1130" s="8" t="s">
        <v>25</v>
      </c>
      <c r="L1130" s="1" t="s">
        <v>865</v>
      </c>
      <c r="M1130" s="5">
        <v>3</v>
      </c>
      <c r="Q1130" s="3"/>
      <c r="R1130" s="3"/>
      <c r="S1130" s="3"/>
    </row>
    <row r="1131" spans="1:19" ht="15" x14ac:dyDescent="0.25">
      <c r="A1131" s="7" t="s">
        <v>16</v>
      </c>
      <c r="B1131" s="7" t="s">
        <v>21</v>
      </c>
      <c r="C1131" s="7" t="s">
        <v>18</v>
      </c>
      <c r="D1131" s="4">
        <v>12442737000496</v>
      </c>
      <c r="E1131" s="8" t="s">
        <v>865</v>
      </c>
      <c r="F1131" s="8" t="s">
        <v>742</v>
      </c>
      <c r="G1131" s="7" t="s">
        <v>91</v>
      </c>
      <c r="H1131" s="47" t="s">
        <v>211</v>
      </c>
      <c r="I1131" s="47" t="s">
        <v>212</v>
      </c>
      <c r="J1131" s="6">
        <v>70</v>
      </c>
      <c r="K1131" s="8" t="s">
        <v>20</v>
      </c>
      <c r="L1131" s="1" t="s">
        <v>865</v>
      </c>
      <c r="M1131" s="5">
        <v>400</v>
      </c>
      <c r="Q1131" s="3"/>
      <c r="R1131" s="3"/>
      <c r="S1131" s="3"/>
    </row>
    <row r="1132" spans="1:19" ht="15" x14ac:dyDescent="0.25">
      <c r="A1132" s="7" t="s">
        <v>16</v>
      </c>
      <c r="B1132" s="7" t="s">
        <v>17</v>
      </c>
      <c r="C1132" s="7" t="s">
        <v>18</v>
      </c>
      <c r="D1132" s="4">
        <v>13016332000106</v>
      </c>
      <c r="E1132" s="8" t="s">
        <v>868</v>
      </c>
      <c r="F1132" s="8" t="s">
        <v>84</v>
      </c>
      <c r="G1132" s="7" t="s">
        <v>85</v>
      </c>
      <c r="H1132" s="47" t="s">
        <v>211</v>
      </c>
      <c r="I1132" s="47" t="s">
        <v>212</v>
      </c>
      <c r="J1132" s="6">
        <v>62</v>
      </c>
      <c r="K1132" s="8" t="s">
        <v>27</v>
      </c>
      <c r="L1132" s="1" t="s">
        <v>868</v>
      </c>
      <c r="M1132" s="5">
        <v>3</v>
      </c>
      <c r="Q1132" s="3"/>
      <c r="R1132" s="3"/>
      <c r="S1132" s="3"/>
    </row>
    <row r="1133" spans="1:19" ht="15" x14ac:dyDescent="0.25">
      <c r="A1133" s="7" t="s">
        <v>16</v>
      </c>
      <c r="B1133" s="7" t="s">
        <v>17</v>
      </c>
      <c r="C1133" s="7" t="s">
        <v>18</v>
      </c>
      <c r="D1133" s="4">
        <v>13016332000106</v>
      </c>
      <c r="E1133" s="8" t="s">
        <v>868</v>
      </c>
      <c r="F1133" s="8" t="s">
        <v>84</v>
      </c>
      <c r="G1133" s="7" t="s">
        <v>85</v>
      </c>
      <c r="H1133" s="47" t="s">
        <v>211</v>
      </c>
      <c r="I1133" s="47" t="s">
        <v>212</v>
      </c>
      <c r="J1133" s="6">
        <v>70</v>
      </c>
      <c r="K1133" s="8" t="s">
        <v>20</v>
      </c>
      <c r="L1133" s="1" t="s">
        <v>868</v>
      </c>
      <c r="M1133" s="5">
        <v>15</v>
      </c>
      <c r="Q1133" s="3"/>
      <c r="R1133" s="3"/>
      <c r="S1133" s="3"/>
    </row>
    <row r="1134" spans="1:19" ht="15" x14ac:dyDescent="0.25">
      <c r="A1134" s="7" t="s">
        <v>16</v>
      </c>
      <c r="B1134" s="7" t="s">
        <v>21</v>
      </c>
      <c r="C1134" s="7" t="s">
        <v>18</v>
      </c>
      <c r="D1134" s="4">
        <v>13016332000106</v>
      </c>
      <c r="E1134" s="8" t="s">
        <v>868</v>
      </c>
      <c r="F1134" s="8" t="s">
        <v>84</v>
      </c>
      <c r="G1134" s="7" t="s">
        <v>85</v>
      </c>
      <c r="H1134" s="47" t="s">
        <v>211</v>
      </c>
      <c r="I1134" s="47" t="s">
        <v>212</v>
      </c>
      <c r="J1134" s="6">
        <v>62</v>
      </c>
      <c r="K1134" s="8" t="s">
        <v>27</v>
      </c>
      <c r="L1134" s="1" t="s">
        <v>868</v>
      </c>
      <c r="M1134" s="5">
        <v>6</v>
      </c>
      <c r="Q1134" s="3"/>
      <c r="R1134" s="3"/>
      <c r="S1134" s="3"/>
    </row>
    <row r="1135" spans="1:19" ht="15" x14ac:dyDescent="0.25">
      <c r="A1135" s="7" t="s">
        <v>16</v>
      </c>
      <c r="B1135" s="7" t="s">
        <v>17</v>
      </c>
      <c r="C1135" s="7" t="s">
        <v>18</v>
      </c>
      <c r="D1135" s="4">
        <v>13131370000100</v>
      </c>
      <c r="E1135" s="8" t="s">
        <v>870</v>
      </c>
      <c r="F1135" s="8" t="s">
        <v>84</v>
      </c>
      <c r="G1135" s="7" t="s">
        <v>85</v>
      </c>
      <c r="H1135" s="47" t="s">
        <v>211</v>
      </c>
      <c r="I1135" s="47" t="s">
        <v>212</v>
      </c>
      <c r="J1135" s="6">
        <v>70</v>
      </c>
      <c r="K1135" s="8" t="s">
        <v>20</v>
      </c>
      <c r="L1135" s="1" t="s">
        <v>870</v>
      </c>
      <c r="M1135" s="5">
        <v>550</v>
      </c>
      <c r="Q1135" s="3"/>
      <c r="R1135" s="3"/>
      <c r="S1135" s="3"/>
    </row>
    <row r="1136" spans="1:19" ht="15" x14ac:dyDescent="0.25">
      <c r="A1136" s="7" t="s">
        <v>16</v>
      </c>
      <c r="B1136" s="7" t="s">
        <v>17</v>
      </c>
      <c r="C1136" s="7" t="s">
        <v>18</v>
      </c>
      <c r="D1136" s="4">
        <v>13131370000100</v>
      </c>
      <c r="E1136" s="8" t="s">
        <v>870</v>
      </c>
      <c r="F1136" s="8" t="s">
        <v>84</v>
      </c>
      <c r="G1136" s="7" t="s">
        <v>85</v>
      </c>
      <c r="H1136" s="47" t="s">
        <v>211</v>
      </c>
      <c r="I1136" s="47" t="s">
        <v>212</v>
      </c>
      <c r="J1136" s="6">
        <v>73</v>
      </c>
      <c r="K1136" s="8" t="s">
        <v>26</v>
      </c>
      <c r="L1136" s="1" t="s">
        <v>870</v>
      </c>
      <c r="M1136" s="5">
        <v>60</v>
      </c>
      <c r="Q1136" s="3"/>
      <c r="R1136" s="3"/>
      <c r="S1136" s="3"/>
    </row>
    <row r="1137" spans="1:19" ht="15" x14ac:dyDescent="0.25">
      <c r="A1137" s="7" t="s">
        <v>16</v>
      </c>
      <c r="B1137" s="7" t="s">
        <v>21</v>
      </c>
      <c r="C1137" s="7" t="s">
        <v>18</v>
      </c>
      <c r="D1137" s="4">
        <v>13131370000100</v>
      </c>
      <c r="E1137" s="8" t="s">
        <v>870</v>
      </c>
      <c r="F1137" s="8" t="s">
        <v>84</v>
      </c>
      <c r="G1137" s="7" t="s">
        <v>85</v>
      </c>
      <c r="H1137" s="47" t="s">
        <v>211</v>
      </c>
      <c r="I1137" s="47" t="s">
        <v>212</v>
      </c>
      <c r="J1137" s="6">
        <v>62</v>
      </c>
      <c r="K1137" s="8" t="s">
        <v>27</v>
      </c>
      <c r="L1137" s="1" t="s">
        <v>870</v>
      </c>
      <c r="M1137" s="5">
        <v>6</v>
      </c>
      <c r="Q1137" s="3"/>
      <c r="R1137" s="3"/>
      <c r="S1137" s="3"/>
    </row>
    <row r="1138" spans="1:19" ht="15" x14ac:dyDescent="0.25">
      <c r="A1138" s="7" t="s">
        <v>16</v>
      </c>
      <c r="B1138" s="7" t="s">
        <v>21</v>
      </c>
      <c r="C1138" s="7" t="s">
        <v>18</v>
      </c>
      <c r="D1138" s="4">
        <v>13131370000100</v>
      </c>
      <c r="E1138" s="8" t="s">
        <v>870</v>
      </c>
      <c r="F1138" s="8" t="s">
        <v>84</v>
      </c>
      <c r="G1138" s="7" t="s">
        <v>85</v>
      </c>
      <c r="H1138" s="47" t="s">
        <v>211</v>
      </c>
      <c r="I1138" s="47" t="s">
        <v>212</v>
      </c>
      <c r="J1138" s="6">
        <v>70</v>
      </c>
      <c r="K1138" s="8" t="s">
        <v>20</v>
      </c>
      <c r="L1138" s="1" t="s">
        <v>870</v>
      </c>
      <c r="M1138" s="5">
        <v>400</v>
      </c>
      <c r="Q1138" s="3"/>
      <c r="R1138" s="3"/>
      <c r="S1138" s="3"/>
    </row>
    <row r="1139" spans="1:19" ht="15" x14ac:dyDescent="0.25">
      <c r="A1139" s="7" t="s">
        <v>16</v>
      </c>
      <c r="B1139" s="7" t="s">
        <v>21</v>
      </c>
      <c r="C1139" s="7" t="s">
        <v>18</v>
      </c>
      <c r="D1139" s="4">
        <v>13131370000100</v>
      </c>
      <c r="E1139" s="8" t="s">
        <v>870</v>
      </c>
      <c r="F1139" s="8" t="s">
        <v>84</v>
      </c>
      <c r="G1139" s="7" t="s">
        <v>85</v>
      </c>
      <c r="H1139" s="47" t="s">
        <v>211</v>
      </c>
      <c r="I1139" s="47" t="s">
        <v>212</v>
      </c>
      <c r="J1139" s="6">
        <v>73</v>
      </c>
      <c r="K1139" s="8" t="s">
        <v>26</v>
      </c>
      <c r="L1139" s="1" t="s">
        <v>870</v>
      </c>
      <c r="M1139" s="5">
        <v>44</v>
      </c>
      <c r="Q1139" s="3"/>
      <c r="R1139" s="3"/>
      <c r="S1139" s="3"/>
    </row>
    <row r="1140" spans="1:19" ht="15" x14ac:dyDescent="0.25">
      <c r="A1140" s="7" t="s">
        <v>16</v>
      </c>
      <c r="B1140" s="7" t="s">
        <v>17</v>
      </c>
      <c r="C1140" s="7" t="s">
        <v>18</v>
      </c>
      <c r="D1140" s="4">
        <v>13284872000170</v>
      </c>
      <c r="E1140" s="8" t="s">
        <v>872</v>
      </c>
      <c r="F1140" s="8" t="s">
        <v>873</v>
      </c>
      <c r="G1140" s="7" t="s">
        <v>74</v>
      </c>
      <c r="H1140" s="47" t="s">
        <v>211</v>
      </c>
      <c r="I1140" s="47" t="s">
        <v>212</v>
      </c>
      <c r="J1140" s="6">
        <v>70</v>
      </c>
      <c r="K1140" s="8" t="s">
        <v>20</v>
      </c>
      <c r="L1140" s="1" t="s">
        <v>872</v>
      </c>
      <c r="M1140" s="5">
        <v>5</v>
      </c>
      <c r="Q1140" s="3"/>
      <c r="R1140" s="3"/>
      <c r="S1140" s="3"/>
    </row>
    <row r="1141" spans="1:19" ht="15" x14ac:dyDescent="0.25">
      <c r="A1141" s="7" t="s">
        <v>16</v>
      </c>
      <c r="B1141" s="7" t="s">
        <v>21</v>
      </c>
      <c r="C1141" s="7" t="s">
        <v>18</v>
      </c>
      <c r="D1141" s="4">
        <v>13284872000170</v>
      </c>
      <c r="E1141" s="8" t="s">
        <v>872</v>
      </c>
      <c r="F1141" s="8" t="s">
        <v>873</v>
      </c>
      <c r="G1141" s="7" t="s">
        <v>74</v>
      </c>
      <c r="H1141" s="47" t="s">
        <v>211</v>
      </c>
      <c r="I1141" s="47" t="s">
        <v>212</v>
      </c>
      <c r="J1141" s="6">
        <v>70</v>
      </c>
      <c r="K1141" s="8" t="s">
        <v>20</v>
      </c>
      <c r="L1141" s="1" t="s">
        <v>872</v>
      </c>
      <c r="M1141" s="5">
        <v>30</v>
      </c>
      <c r="Q1141" s="3"/>
      <c r="R1141" s="3"/>
      <c r="S1141" s="3"/>
    </row>
    <row r="1142" spans="1:19" ht="15" x14ac:dyDescent="0.25">
      <c r="A1142" s="7" t="s">
        <v>16</v>
      </c>
      <c r="B1142" s="7" t="s">
        <v>17</v>
      </c>
      <c r="C1142" s="7" t="s">
        <v>18</v>
      </c>
      <c r="D1142" s="4">
        <v>13356779000124</v>
      </c>
      <c r="E1142" s="8" t="s">
        <v>874</v>
      </c>
      <c r="F1142" s="8" t="s">
        <v>84</v>
      </c>
      <c r="G1142" s="7" t="s">
        <v>85</v>
      </c>
      <c r="H1142" s="47" t="s">
        <v>211</v>
      </c>
      <c r="I1142" s="47" t="s">
        <v>212</v>
      </c>
      <c r="J1142" s="6">
        <v>62</v>
      </c>
      <c r="K1142" s="8" t="s">
        <v>27</v>
      </c>
      <c r="L1142" s="1" t="s">
        <v>874</v>
      </c>
      <c r="M1142" s="5">
        <v>4</v>
      </c>
      <c r="Q1142" s="3"/>
      <c r="R1142" s="3"/>
      <c r="S1142" s="3"/>
    </row>
    <row r="1143" spans="1:19" ht="15" x14ac:dyDescent="0.25">
      <c r="A1143" s="7" t="s">
        <v>16</v>
      </c>
      <c r="B1143" s="7" t="s">
        <v>17</v>
      </c>
      <c r="C1143" s="7" t="s">
        <v>18</v>
      </c>
      <c r="D1143" s="4">
        <v>14074546000100</v>
      </c>
      <c r="E1143" s="8" t="s">
        <v>876</v>
      </c>
      <c r="F1143" s="8" t="s">
        <v>86</v>
      </c>
      <c r="G1143" s="7" t="s">
        <v>74</v>
      </c>
      <c r="H1143" s="47" t="s">
        <v>211</v>
      </c>
      <c r="I1143" s="47" t="s">
        <v>212</v>
      </c>
      <c r="J1143" s="6">
        <v>64</v>
      </c>
      <c r="K1143" s="8" t="s">
        <v>25</v>
      </c>
      <c r="L1143" s="1" t="s">
        <v>876</v>
      </c>
      <c r="M1143" s="5">
        <v>1</v>
      </c>
      <c r="Q1143" s="3"/>
      <c r="R1143" s="3"/>
      <c r="S1143" s="3"/>
    </row>
    <row r="1144" spans="1:19" ht="15" x14ac:dyDescent="0.25">
      <c r="A1144" s="7" t="s">
        <v>16</v>
      </c>
      <c r="B1144" s="7" t="s">
        <v>17</v>
      </c>
      <c r="C1144" s="7" t="s">
        <v>18</v>
      </c>
      <c r="D1144" s="4">
        <v>15016827000160</v>
      </c>
      <c r="E1144" s="8" t="s">
        <v>877</v>
      </c>
      <c r="F1144" s="8" t="s">
        <v>772</v>
      </c>
      <c r="G1144" s="7" t="s">
        <v>69</v>
      </c>
      <c r="H1144" s="47" t="s">
        <v>211</v>
      </c>
      <c r="I1144" s="47" t="s">
        <v>212</v>
      </c>
      <c r="J1144" s="6">
        <v>62</v>
      </c>
      <c r="K1144" s="8" t="s">
        <v>27</v>
      </c>
      <c r="L1144" s="1" t="s">
        <v>877</v>
      </c>
      <c r="M1144" s="5">
        <v>4</v>
      </c>
      <c r="Q1144" s="3"/>
      <c r="R1144" s="3"/>
      <c r="S1144" s="3"/>
    </row>
    <row r="1145" spans="1:19" ht="15" x14ac:dyDescent="0.25">
      <c r="A1145" s="7" t="s">
        <v>16</v>
      </c>
      <c r="B1145" s="7" t="s">
        <v>17</v>
      </c>
      <c r="C1145" s="7" t="s">
        <v>18</v>
      </c>
      <c r="D1145" s="4">
        <v>15016827000160</v>
      </c>
      <c r="E1145" s="8" t="s">
        <v>877</v>
      </c>
      <c r="F1145" s="8" t="s">
        <v>772</v>
      </c>
      <c r="G1145" s="7" t="s">
        <v>69</v>
      </c>
      <c r="H1145" s="47" t="s">
        <v>211</v>
      </c>
      <c r="I1145" s="47" t="s">
        <v>212</v>
      </c>
      <c r="J1145" s="6">
        <v>64</v>
      </c>
      <c r="K1145" s="8" t="s">
        <v>25</v>
      </c>
      <c r="L1145" s="1" t="s">
        <v>877</v>
      </c>
      <c r="M1145" s="5">
        <v>10</v>
      </c>
      <c r="Q1145" s="3"/>
      <c r="R1145" s="3"/>
      <c r="S1145" s="3"/>
    </row>
    <row r="1146" spans="1:19" ht="15" x14ac:dyDescent="0.25">
      <c r="A1146" s="7" t="s">
        <v>16</v>
      </c>
      <c r="B1146" s="7" t="s">
        <v>17</v>
      </c>
      <c r="C1146" s="7" t="s">
        <v>18</v>
      </c>
      <c r="D1146" s="4">
        <v>15126437000224</v>
      </c>
      <c r="E1146" s="8" t="s">
        <v>878</v>
      </c>
      <c r="F1146" s="8" t="s">
        <v>81</v>
      </c>
      <c r="G1146" s="7" t="s">
        <v>82</v>
      </c>
      <c r="H1146" s="47" t="s">
        <v>211</v>
      </c>
      <c r="I1146" s="47" t="s">
        <v>212</v>
      </c>
      <c r="J1146" s="6">
        <v>64</v>
      </c>
      <c r="K1146" s="8" t="s">
        <v>25</v>
      </c>
      <c r="L1146" s="1" t="s">
        <v>878</v>
      </c>
      <c r="M1146" s="5">
        <v>5</v>
      </c>
      <c r="Q1146" s="3"/>
      <c r="R1146" s="3"/>
      <c r="S1146" s="3"/>
    </row>
    <row r="1147" spans="1:19" ht="15" x14ac:dyDescent="0.25">
      <c r="A1147" s="7" t="s">
        <v>16</v>
      </c>
      <c r="B1147" s="7" t="s">
        <v>17</v>
      </c>
      <c r="C1147" s="7" t="s">
        <v>18</v>
      </c>
      <c r="D1147" s="4">
        <v>15126437000496</v>
      </c>
      <c r="E1147" s="8" t="s">
        <v>880</v>
      </c>
      <c r="F1147" s="8" t="s">
        <v>777</v>
      </c>
      <c r="G1147" s="7" t="s">
        <v>72</v>
      </c>
      <c r="H1147" s="47" t="s">
        <v>211</v>
      </c>
      <c r="I1147" s="47" t="s">
        <v>212</v>
      </c>
      <c r="J1147" s="6">
        <v>62</v>
      </c>
      <c r="K1147" s="8" t="s">
        <v>27</v>
      </c>
      <c r="L1147" s="1" t="s">
        <v>880</v>
      </c>
      <c r="M1147" s="5">
        <v>1</v>
      </c>
      <c r="Q1147" s="3"/>
      <c r="R1147" s="3"/>
      <c r="S1147" s="3"/>
    </row>
    <row r="1148" spans="1:19" ht="15" x14ac:dyDescent="0.25">
      <c r="A1148" s="7" t="s">
        <v>16</v>
      </c>
      <c r="B1148" s="7" t="s">
        <v>21</v>
      </c>
      <c r="C1148" s="7" t="s">
        <v>18</v>
      </c>
      <c r="D1148" s="4">
        <v>15126437000496</v>
      </c>
      <c r="E1148" s="8" t="s">
        <v>880</v>
      </c>
      <c r="F1148" s="8" t="s">
        <v>777</v>
      </c>
      <c r="G1148" s="7" t="s">
        <v>72</v>
      </c>
      <c r="H1148" s="47" t="s">
        <v>211</v>
      </c>
      <c r="I1148" s="47" t="s">
        <v>212</v>
      </c>
      <c r="J1148" s="6">
        <v>62</v>
      </c>
      <c r="K1148" s="8" t="s">
        <v>27</v>
      </c>
      <c r="L1148" s="1" t="s">
        <v>880</v>
      </c>
      <c r="M1148" s="5">
        <v>9</v>
      </c>
      <c r="Q1148" s="3"/>
      <c r="R1148" s="3"/>
      <c r="S1148" s="3"/>
    </row>
    <row r="1149" spans="1:19" ht="15" x14ac:dyDescent="0.25">
      <c r="A1149" s="7" t="s">
        <v>16</v>
      </c>
      <c r="B1149" s="7" t="s">
        <v>21</v>
      </c>
      <c r="C1149" s="7" t="s">
        <v>18</v>
      </c>
      <c r="D1149" s="4">
        <v>15126437000496</v>
      </c>
      <c r="E1149" s="8" t="s">
        <v>880</v>
      </c>
      <c r="F1149" s="8" t="s">
        <v>777</v>
      </c>
      <c r="G1149" s="7" t="s">
        <v>72</v>
      </c>
      <c r="H1149" s="47" t="s">
        <v>211</v>
      </c>
      <c r="I1149" s="47" t="s">
        <v>212</v>
      </c>
      <c r="J1149" s="6">
        <v>64</v>
      </c>
      <c r="K1149" s="8" t="s">
        <v>25</v>
      </c>
      <c r="L1149" s="1" t="s">
        <v>880</v>
      </c>
      <c r="M1149" s="5">
        <v>4</v>
      </c>
      <c r="Q1149" s="3"/>
      <c r="R1149" s="3"/>
      <c r="S1149" s="3"/>
    </row>
    <row r="1150" spans="1:19" ht="15" x14ac:dyDescent="0.25">
      <c r="A1150" s="7" t="s">
        <v>16</v>
      </c>
      <c r="B1150" s="7" t="s">
        <v>17</v>
      </c>
      <c r="C1150" s="7" t="s">
        <v>18</v>
      </c>
      <c r="D1150" s="4">
        <v>15126437000739</v>
      </c>
      <c r="E1150" s="8" t="s">
        <v>881</v>
      </c>
      <c r="F1150" s="8" t="s">
        <v>62</v>
      </c>
      <c r="G1150" s="7" t="s">
        <v>63</v>
      </c>
      <c r="H1150" s="47" t="s">
        <v>211</v>
      </c>
      <c r="I1150" s="47" t="s">
        <v>212</v>
      </c>
      <c r="J1150" s="6">
        <v>64</v>
      </c>
      <c r="K1150" s="8" t="s">
        <v>25</v>
      </c>
      <c r="L1150" s="1" t="s">
        <v>881</v>
      </c>
      <c r="M1150" s="5">
        <v>100</v>
      </c>
      <c r="Q1150" s="3"/>
      <c r="R1150" s="3"/>
      <c r="S1150" s="3"/>
    </row>
    <row r="1151" spans="1:19" ht="15" x14ac:dyDescent="0.25">
      <c r="A1151" s="7" t="s">
        <v>16</v>
      </c>
      <c r="B1151" s="7" t="s">
        <v>21</v>
      </c>
      <c r="C1151" s="7" t="s">
        <v>18</v>
      </c>
      <c r="D1151" s="4">
        <v>7750144000104</v>
      </c>
      <c r="E1151" s="8" t="s">
        <v>819</v>
      </c>
      <c r="F1151" s="8" t="s">
        <v>777</v>
      </c>
      <c r="G1151" s="7" t="s">
        <v>72</v>
      </c>
      <c r="H1151" s="47" t="s">
        <v>211</v>
      </c>
      <c r="I1151" s="47" t="s">
        <v>212</v>
      </c>
      <c r="J1151" s="6">
        <v>70</v>
      </c>
      <c r="K1151" s="8" t="s">
        <v>20</v>
      </c>
      <c r="L1151" s="1" t="s">
        <v>819</v>
      </c>
      <c r="M1151" s="5">
        <v>20</v>
      </c>
      <c r="Q1151" s="3"/>
      <c r="R1151" s="3"/>
      <c r="S1151" s="3"/>
    </row>
    <row r="1152" spans="1:19" ht="15" x14ac:dyDescent="0.25">
      <c r="A1152" s="7" t="s">
        <v>16</v>
      </c>
      <c r="B1152" s="7" t="s">
        <v>21</v>
      </c>
      <c r="C1152" s="7" t="s">
        <v>18</v>
      </c>
      <c r="D1152" s="4">
        <v>7775847000278</v>
      </c>
      <c r="E1152" s="8" t="s">
        <v>820</v>
      </c>
      <c r="F1152" s="8" t="s">
        <v>123</v>
      </c>
      <c r="G1152" s="7" t="s">
        <v>65</v>
      </c>
      <c r="H1152" s="47" t="s">
        <v>211</v>
      </c>
      <c r="I1152" s="47" t="s">
        <v>212</v>
      </c>
      <c r="J1152" s="6">
        <v>70</v>
      </c>
      <c r="K1152" s="8" t="s">
        <v>20</v>
      </c>
      <c r="L1152" s="1" t="s">
        <v>820</v>
      </c>
      <c r="M1152" s="5">
        <v>335</v>
      </c>
      <c r="Q1152" s="3"/>
      <c r="R1152" s="3"/>
      <c r="S1152" s="3"/>
    </row>
    <row r="1153" spans="1:19" ht="15" x14ac:dyDescent="0.25">
      <c r="A1153" s="7" t="s">
        <v>16</v>
      </c>
      <c r="B1153" s="7" t="s">
        <v>17</v>
      </c>
      <c r="C1153" s="7" t="s">
        <v>18</v>
      </c>
      <c r="D1153" s="4">
        <v>15170723000530</v>
      </c>
      <c r="E1153" s="8" t="s">
        <v>891</v>
      </c>
      <c r="F1153" s="8" t="s">
        <v>86</v>
      </c>
      <c r="G1153" s="7" t="s">
        <v>74</v>
      </c>
      <c r="H1153" s="47" t="s">
        <v>211</v>
      </c>
      <c r="I1153" s="47" t="s">
        <v>212</v>
      </c>
      <c r="J1153" s="6">
        <v>64</v>
      </c>
      <c r="K1153" s="8" t="s">
        <v>25</v>
      </c>
      <c r="L1153" s="1" t="s">
        <v>891</v>
      </c>
      <c r="M1153" s="5">
        <v>1</v>
      </c>
      <c r="Q1153" s="3"/>
      <c r="R1153" s="3"/>
      <c r="S1153" s="3"/>
    </row>
    <row r="1154" spans="1:19" ht="15" x14ac:dyDescent="0.25">
      <c r="A1154" s="7" t="s">
        <v>16</v>
      </c>
      <c r="B1154" s="7" t="s">
        <v>17</v>
      </c>
      <c r="C1154" s="7" t="s">
        <v>18</v>
      </c>
      <c r="D1154" s="4">
        <v>15592785000106</v>
      </c>
      <c r="E1154" s="8" t="s">
        <v>897</v>
      </c>
      <c r="F1154" s="8" t="s">
        <v>84</v>
      </c>
      <c r="G1154" s="7" t="s">
        <v>85</v>
      </c>
      <c r="H1154" s="47" t="s">
        <v>211</v>
      </c>
      <c r="I1154" s="47" t="s">
        <v>212</v>
      </c>
      <c r="J1154" s="6">
        <v>70</v>
      </c>
      <c r="K1154" s="8" t="s">
        <v>20</v>
      </c>
      <c r="L1154" s="1" t="s">
        <v>897</v>
      </c>
      <c r="M1154" s="5">
        <v>100</v>
      </c>
      <c r="Q1154" s="3"/>
      <c r="R1154" s="3"/>
      <c r="S1154" s="3"/>
    </row>
    <row r="1155" spans="1:19" ht="15" x14ac:dyDescent="0.25">
      <c r="A1155" s="7" t="s">
        <v>16</v>
      </c>
      <c r="B1155" s="7" t="s">
        <v>21</v>
      </c>
      <c r="C1155" s="7" t="s">
        <v>18</v>
      </c>
      <c r="D1155" s="4">
        <v>15592785000106</v>
      </c>
      <c r="E1155" s="8" t="s">
        <v>897</v>
      </c>
      <c r="F1155" s="8" t="s">
        <v>84</v>
      </c>
      <c r="G1155" s="7" t="s">
        <v>85</v>
      </c>
      <c r="H1155" s="47" t="s">
        <v>211</v>
      </c>
      <c r="I1155" s="47" t="s">
        <v>212</v>
      </c>
      <c r="J1155" s="6">
        <v>70</v>
      </c>
      <c r="K1155" s="8" t="s">
        <v>20</v>
      </c>
      <c r="L1155" s="1" t="s">
        <v>897</v>
      </c>
      <c r="M1155" s="5">
        <v>25</v>
      </c>
      <c r="Q1155" s="3"/>
      <c r="R1155" s="3"/>
      <c r="S1155" s="3"/>
    </row>
    <row r="1156" spans="1:19" ht="15" x14ac:dyDescent="0.25">
      <c r="A1156" s="7" t="s">
        <v>16</v>
      </c>
      <c r="B1156" s="7" t="s">
        <v>21</v>
      </c>
      <c r="C1156" s="7" t="s">
        <v>18</v>
      </c>
      <c r="D1156" s="4">
        <v>8380701001772</v>
      </c>
      <c r="E1156" s="8" t="s">
        <v>826</v>
      </c>
      <c r="F1156" s="8" t="s">
        <v>62</v>
      </c>
      <c r="G1156" s="7" t="s">
        <v>63</v>
      </c>
      <c r="H1156" s="47" t="s">
        <v>211</v>
      </c>
      <c r="I1156" s="47" t="s">
        <v>212</v>
      </c>
      <c r="J1156" s="6">
        <v>64</v>
      </c>
      <c r="K1156" s="8" t="s">
        <v>25</v>
      </c>
      <c r="L1156" s="1" t="s">
        <v>826</v>
      </c>
      <c r="M1156" s="5">
        <v>50</v>
      </c>
      <c r="Q1156" s="3"/>
      <c r="R1156" s="3"/>
      <c r="S1156" s="3"/>
    </row>
    <row r="1157" spans="1:19" ht="15" x14ac:dyDescent="0.25">
      <c r="A1157" s="7" t="s">
        <v>16</v>
      </c>
      <c r="B1157" s="7" t="s">
        <v>21</v>
      </c>
      <c r="C1157" s="7" t="s">
        <v>18</v>
      </c>
      <c r="D1157" s="4">
        <v>9039744000275</v>
      </c>
      <c r="E1157" s="8" t="s">
        <v>829</v>
      </c>
      <c r="F1157" s="8" t="s">
        <v>99</v>
      </c>
      <c r="G1157" s="7" t="s">
        <v>71</v>
      </c>
      <c r="H1157" s="47" t="s">
        <v>211</v>
      </c>
      <c r="I1157" s="47" t="s">
        <v>212</v>
      </c>
      <c r="J1157" s="6">
        <v>64</v>
      </c>
      <c r="K1157" s="8" t="s">
        <v>25</v>
      </c>
      <c r="L1157" s="1" t="s">
        <v>829</v>
      </c>
      <c r="M1157" s="5">
        <v>1</v>
      </c>
      <c r="Q1157" s="3"/>
      <c r="R1157" s="3"/>
      <c r="S1157" s="3"/>
    </row>
    <row r="1158" spans="1:19" ht="15" x14ac:dyDescent="0.25">
      <c r="A1158" s="7" t="s">
        <v>16</v>
      </c>
      <c r="B1158" s="7" t="s">
        <v>17</v>
      </c>
      <c r="C1158" s="7" t="s">
        <v>18</v>
      </c>
      <c r="D1158" s="4">
        <v>24232886008303</v>
      </c>
      <c r="E1158" s="8" t="s">
        <v>1198</v>
      </c>
      <c r="F1158" s="8" t="s">
        <v>1199</v>
      </c>
      <c r="G1158" s="7" t="s">
        <v>52</v>
      </c>
      <c r="H1158" s="47" t="s">
        <v>211</v>
      </c>
      <c r="I1158" s="47" t="s">
        <v>212</v>
      </c>
      <c r="J1158" s="6">
        <v>62</v>
      </c>
      <c r="K1158" s="8" t="s">
        <v>27</v>
      </c>
      <c r="L1158" s="1" t="s">
        <v>1198</v>
      </c>
      <c r="M1158" s="5">
        <v>3</v>
      </c>
      <c r="Q1158" s="3"/>
      <c r="R1158" s="3"/>
      <c r="S1158" s="3"/>
    </row>
    <row r="1159" spans="1:19" ht="15" x14ac:dyDescent="0.25">
      <c r="A1159" s="7" t="s">
        <v>16</v>
      </c>
      <c r="B1159" s="7" t="s">
        <v>17</v>
      </c>
      <c r="C1159" s="7" t="s">
        <v>18</v>
      </c>
      <c r="D1159" s="4">
        <v>24232886008303</v>
      </c>
      <c r="E1159" s="8" t="s">
        <v>1198</v>
      </c>
      <c r="F1159" s="8" t="s">
        <v>1199</v>
      </c>
      <c r="G1159" s="7" t="s">
        <v>52</v>
      </c>
      <c r="H1159" s="47" t="s">
        <v>211</v>
      </c>
      <c r="I1159" s="47" t="s">
        <v>212</v>
      </c>
      <c r="J1159" s="6">
        <v>64</v>
      </c>
      <c r="K1159" s="8" t="s">
        <v>25</v>
      </c>
      <c r="L1159" s="1" t="s">
        <v>1198</v>
      </c>
      <c r="M1159" s="5">
        <v>3</v>
      </c>
      <c r="Q1159" s="3"/>
      <c r="R1159" s="3"/>
      <c r="S1159" s="3"/>
    </row>
    <row r="1160" spans="1:19" ht="15" x14ac:dyDescent="0.25">
      <c r="A1160" s="7" t="s">
        <v>16</v>
      </c>
      <c r="B1160" s="7" t="s">
        <v>21</v>
      </c>
      <c r="C1160" s="7" t="s">
        <v>18</v>
      </c>
      <c r="D1160" s="4">
        <v>24232886008303</v>
      </c>
      <c r="E1160" s="8" t="s">
        <v>1198</v>
      </c>
      <c r="F1160" s="8" t="s">
        <v>1199</v>
      </c>
      <c r="G1160" s="7" t="s">
        <v>52</v>
      </c>
      <c r="H1160" s="47" t="s">
        <v>211</v>
      </c>
      <c r="I1160" s="47" t="s">
        <v>212</v>
      </c>
      <c r="J1160" s="6">
        <v>64</v>
      </c>
      <c r="K1160" s="8" t="s">
        <v>25</v>
      </c>
      <c r="L1160" s="1" t="s">
        <v>1198</v>
      </c>
      <c r="M1160" s="5">
        <v>2</v>
      </c>
      <c r="Q1160" s="3"/>
      <c r="R1160" s="3"/>
      <c r="S1160" s="3"/>
    </row>
    <row r="1161" spans="1:19" ht="15" x14ac:dyDescent="0.25">
      <c r="A1161" s="7" t="s">
        <v>16</v>
      </c>
      <c r="B1161" s="7" t="s">
        <v>17</v>
      </c>
      <c r="C1161" s="7" t="s">
        <v>18</v>
      </c>
      <c r="D1161" s="4">
        <v>24464109000229</v>
      </c>
      <c r="E1161" s="8" t="s">
        <v>905</v>
      </c>
      <c r="F1161" s="8" t="s">
        <v>742</v>
      </c>
      <c r="G1161" s="7" t="s">
        <v>91</v>
      </c>
      <c r="H1161" s="47" t="s">
        <v>211</v>
      </c>
      <c r="I1161" s="47" t="s">
        <v>212</v>
      </c>
      <c r="J1161" s="6">
        <v>66</v>
      </c>
      <c r="K1161" s="8" t="s">
        <v>28</v>
      </c>
      <c r="L1161" s="1" t="s">
        <v>905</v>
      </c>
      <c r="M1161" s="5">
        <v>50</v>
      </c>
      <c r="Q1161" s="3"/>
      <c r="R1161" s="3"/>
      <c r="S1161" s="3"/>
    </row>
    <row r="1162" spans="1:19" ht="15" x14ac:dyDescent="0.25">
      <c r="A1162" s="7" t="s">
        <v>16</v>
      </c>
      <c r="B1162" s="7" t="s">
        <v>21</v>
      </c>
      <c r="C1162" s="7" t="s">
        <v>18</v>
      </c>
      <c r="D1162" s="4">
        <v>24464109000229</v>
      </c>
      <c r="E1162" s="8" t="s">
        <v>905</v>
      </c>
      <c r="F1162" s="8" t="s">
        <v>742</v>
      </c>
      <c r="G1162" s="7" t="s">
        <v>91</v>
      </c>
      <c r="H1162" s="47" t="s">
        <v>211</v>
      </c>
      <c r="I1162" s="47" t="s">
        <v>212</v>
      </c>
      <c r="J1162" s="6">
        <v>66</v>
      </c>
      <c r="K1162" s="8" t="s">
        <v>28</v>
      </c>
      <c r="L1162" s="1" t="s">
        <v>905</v>
      </c>
      <c r="M1162" s="5">
        <v>4</v>
      </c>
      <c r="Q1162" s="3"/>
      <c r="R1162" s="3"/>
      <c r="S1162" s="3"/>
    </row>
    <row r="1163" spans="1:19" ht="15" x14ac:dyDescent="0.25">
      <c r="A1163" s="7" t="s">
        <v>16</v>
      </c>
      <c r="B1163" s="7" t="s">
        <v>17</v>
      </c>
      <c r="C1163" s="7" t="s">
        <v>18</v>
      </c>
      <c r="D1163" s="4">
        <v>24676884000752</v>
      </c>
      <c r="E1163" s="8" t="s">
        <v>906</v>
      </c>
      <c r="F1163" s="8" t="s">
        <v>907</v>
      </c>
      <c r="G1163" s="7" t="s">
        <v>69</v>
      </c>
      <c r="H1163" s="47" t="s">
        <v>211</v>
      </c>
      <c r="I1163" s="47" t="s">
        <v>212</v>
      </c>
      <c r="J1163" s="6">
        <v>70</v>
      </c>
      <c r="K1163" s="8" t="s">
        <v>20</v>
      </c>
      <c r="L1163" s="1" t="s">
        <v>906</v>
      </c>
      <c r="M1163" s="5">
        <v>25</v>
      </c>
      <c r="Q1163" s="3"/>
      <c r="R1163" s="3"/>
      <c r="S1163" s="3"/>
    </row>
    <row r="1164" spans="1:19" ht="15" x14ac:dyDescent="0.25">
      <c r="A1164" s="7" t="s">
        <v>16</v>
      </c>
      <c r="B1164" s="7" t="s">
        <v>21</v>
      </c>
      <c r="C1164" s="7" t="s">
        <v>18</v>
      </c>
      <c r="D1164" s="4">
        <v>11022597001597</v>
      </c>
      <c r="E1164" s="8" t="s">
        <v>840</v>
      </c>
      <c r="F1164" s="8" t="s">
        <v>70</v>
      </c>
      <c r="G1164" s="7" t="s">
        <v>71</v>
      </c>
      <c r="H1164" s="47" t="s">
        <v>211</v>
      </c>
      <c r="I1164" s="47" t="s">
        <v>212</v>
      </c>
      <c r="J1164" s="6">
        <v>64</v>
      </c>
      <c r="K1164" s="8" t="s">
        <v>25</v>
      </c>
      <c r="L1164" s="1" t="s">
        <v>840</v>
      </c>
      <c r="M1164" s="5">
        <v>25</v>
      </c>
      <c r="Q1164" s="3"/>
      <c r="R1164" s="3"/>
      <c r="S1164" s="3"/>
    </row>
    <row r="1165" spans="1:19" ht="15" x14ac:dyDescent="0.25">
      <c r="A1165" s="7" t="s">
        <v>16</v>
      </c>
      <c r="B1165" s="7" t="s">
        <v>21</v>
      </c>
      <c r="C1165" s="7" t="s">
        <v>18</v>
      </c>
      <c r="D1165" s="4">
        <v>11214624000470</v>
      </c>
      <c r="E1165" s="8" t="s">
        <v>841</v>
      </c>
      <c r="F1165" s="8" t="s">
        <v>70</v>
      </c>
      <c r="G1165" s="7" t="s">
        <v>71</v>
      </c>
      <c r="H1165" s="47" t="s">
        <v>211</v>
      </c>
      <c r="I1165" s="47" t="s">
        <v>212</v>
      </c>
      <c r="J1165" s="6">
        <v>70</v>
      </c>
      <c r="K1165" s="8" t="s">
        <v>20</v>
      </c>
      <c r="L1165" s="1" t="s">
        <v>841</v>
      </c>
      <c r="M1165" s="5">
        <v>100</v>
      </c>
      <c r="Q1165" s="3"/>
      <c r="R1165" s="3"/>
      <c r="S1165" s="3"/>
    </row>
    <row r="1166" spans="1:19" ht="15" x14ac:dyDescent="0.25">
      <c r="A1166" s="7" t="s">
        <v>16</v>
      </c>
      <c r="B1166" s="7" t="s">
        <v>21</v>
      </c>
      <c r="C1166" s="7" t="s">
        <v>18</v>
      </c>
      <c r="D1166" s="4">
        <v>11273170000166</v>
      </c>
      <c r="E1166" s="8" t="s">
        <v>843</v>
      </c>
      <c r="F1166" s="8" t="s">
        <v>81</v>
      </c>
      <c r="G1166" s="7" t="s">
        <v>82</v>
      </c>
      <c r="H1166" s="47" t="s">
        <v>211</v>
      </c>
      <c r="I1166" s="47" t="s">
        <v>212</v>
      </c>
      <c r="J1166" s="6">
        <v>70</v>
      </c>
      <c r="K1166" s="8" t="s">
        <v>20</v>
      </c>
      <c r="L1166" s="1" t="s">
        <v>843</v>
      </c>
      <c r="M1166" s="5">
        <v>500</v>
      </c>
      <c r="Q1166" s="3"/>
      <c r="R1166" s="3"/>
      <c r="S1166" s="3"/>
    </row>
    <row r="1167" spans="1:19" ht="15" x14ac:dyDescent="0.25">
      <c r="A1167" s="7" t="s">
        <v>16</v>
      </c>
      <c r="B1167" s="7" t="s">
        <v>17</v>
      </c>
      <c r="C1167" s="7" t="s">
        <v>18</v>
      </c>
      <c r="D1167" s="4">
        <v>29435005009851</v>
      </c>
      <c r="E1167" s="8" t="s">
        <v>913</v>
      </c>
      <c r="F1167" s="8" t="s">
        <v>62</v>
      </c>
      <c r="G1167" s="7" t="s">
        <v>63</v>
      </c>
      <c r="H1167" s="47" t="s">
        <v>211</v>
      </c>
      <c r="I1167" s="47" t="s">
        <v>212</v>
      </c>
      <c r="J1167" s="6">
        <v>64</v>
      </c>
      <c r="K1167" s="8" t="s">
        <v>25</v>
      </c>
      <c r="L1167" s="1" t="s">
        <v>913</v>
      </c>
      <c r="M1167" s="5">
        <v>15</v>
      </c>
      <c r="Q1167" s="3"/>
      <c r="R1167" s="3"/>
      <c r="S1167" s="3"/>
    </row>
    <row r="1168" spans="1:19" ht="15" x14ac:dyDescent="0.25">
      <c r="A1168" s="7" t="s">
        <v>16</v>
      </c>
      <c r="B1168" s="7" t="s">
        <v>17</v>
      </c>
      <c r="C1168" s="7" t="s">
        <v>18</v>
      </c>
      <c r="D1168" s="4">
        <v>29435005009851</v>
      </c>
      <c r="E1168" s="8" t="s">
        <v>913</v>
      </c>
      <c r="F1168" s="8" t="s">
        <v>62</v>
      </c>
      <c r="G1168" s="7" t="s">
        <v>63</v>
      </c>
      <c r="H1168" s="47" t="s">
        <v>211</v>
      </c>
      <c r="I1168" s="47" t="s">
        <v>212</v>
      </c>
      <c r="J1168" s="6">
        <v>70</v>
      </c>
      <c r="K1168" s="8" t="s">
        <v>20</v>
      </c>
      <c r="L1168" s="1" t="s">
        <v>913</v>
      </c>
      <c r="M1168" s="5">
        <v>175</v>
      </c>
      <c r="Q1168" s="3"/>
      <c r="R1168" s="3"/>
      <c r="S1168" s="3"/>
    </row>
    <row r="1169" spans="1:19" ht="15" x14ac:dyDescent="0.25">
      <c r="A1169" s="7" t="s">
        <v>16</v>
      </c>
      <c r="B1169" s="7" t="s">
        <v>21</v>
      </c>
      <c r="C1169" s="7" t="s">
        <v>18</v>
      </c>
      <c r="D1169" s="4">
        <v>29435005009851</v>
      </c>
      <c r="E1169" s="8" t="s">
        <v>913</v>
      </c>
      <c r="F1169" s="8" t="s">
        <v>62</v>
      </c>
      <c r="G1169" s="7" t="s">
        <v>63</v>
      </c>
      <c r="H1169" s="47" t="s">
        <v>211</v>
      </c>
      <c r="I1169" s="47" t="s">
        <v>212</v>
      </c>
      <c r="J1169" s="6">
        <v>64</v>
      </c>
      <c r="K1169" s="8" t="s">
        <v>25</v>
      </c>
      <c r="L1169" s="1" t="s">
        <v>913</v>
      </c>
      <c r="M1169" s="5">
        <v>15</v>
      </c>
      <c r="Q1169" s="3"/>
      <c r="R1169" s="3"/>
      <c r="S1169" s="3"/>
    </row>
    <row r="1170" spans="1:19" ht="15" x14ac:dyDescent="0.25">
      <c r="A1170" s="7" t="s">
        <v>16</v>
      </c>
      <c r="B1170" s="7" t="s">
        <v>21</v>
      </c>
      <c r="C1170" s="7" t="s">
        <v>18</v>
      </c>
      <c r="D1170" s="4">
        <v>29435005009851</v>
      </c>
      <c r="E1170" s="8" t="s">
        <v>913</v>
      </c>
      <c r="F1170" s="8" t="s">
        <v>62</v>
      </c>
      <c r="G1170" s="7" t="s">
        <v>63</v>
      </c>
      <c r="H1170" s="47" t="s">
        <v>211</v>
      </c>
      <c r="I1170" s="47" t="s">
        <v>212</v>
      </c>
      <c r="J1170" s="6">
        <v>70</v>
      </c>
      <c r="K1170" s="8" t="s">
        <v>20</v>
      </c>
      <c r="L1170" s="1" t="s">
        <v>913</v>
      </c>
      <c r="M1170" s="5">
        <v>200</v>
      </c>
      <c r="Q1170" s="3"/>
      <c r="R1170" s="3"/>
      <c r="S1170" s="3"/>
    </row>
    <row r="1171" spans="1:19" ht="15" x14ac:dyDescent="0.25">
      <c r="A1171" s="7" t="s">
        <v>16</v>
      </c>
      <c r="B1171" s="7" t="s">
        <v>21</v>
      </c>
      <c r="C1171" s="7" t="s">
        <v>18</v>
      </c>
      <c r="D1171" s="4">
        <v>12361267000274</v>
      </c>
      <c r="E1171" s="8" t="s">
        <v>1159</v>
      </c>
      <c r="F1171" s="8" t="s">
        <v>1129</v>
      </c>
      <c r="G1171" s="7" t="s">
        <v>52</v>
      </c>
      <c r="H1171" s="47" t="s">
        <v>211</v>
      </c>
      <c r="I1171" s="47" t="s">
        <v>212</v>
      </c>
      <c r="J1171" s="6">
        <v>70</v>
      </c>
      <c r="K1171" s="8" t="s">
        <v>20</v>
      </c>
      <c r="L1171" s="1" t="s">
        <v>1159</v>
      </c>
      <c r="M1171" s="5">
        <v>150</v>
      </c>
      <c r="Q1171" s="3"/>
      <c r="R1171" s="3"/>
      <c r="S1171" s="3"/>
    </row>
    <row r="1172" spans="1:19" ht="15" x14ac:dyDescent="0.25">
      <c r="A1172" s="7" t="s">
        <v>16</v>
      </c>
      <c r="B1172" s="7" t="s">
        <v>21</v>
      </c>
      <c r="C1172" s="7" t="s">
        <v>18</v>
      </c>
      <c r="D1172" s="4">
        <v>12361267007287</v>
      </c>
      <c r="E1172" s="8" t="s">
        <v>853</v>
      </c>
      <c r="F1172" s="8" t="s">
        <v>70</v>
      </c>
      <c r="G1172" s="7" t="s">
        <v>71</v>
      </c>
      <c r="H1172" s="47" t="s">
        <v>211</v>
      </c>
      <c r="I1172" s="47" t="s">
        <v>212</v>
      </c>
      <c r="J1172" s="6">
        <v>70</v>
      </c>
      <c r="K1172" s="8" t="s">
        <v>20</v>
      </c>
      <c r="L1172" s="1" t="s">
        <v>853</v>
      </c>
      <c r="M1172" s="5">
        <v>150</v>
      </c>
      <c r="Q1172" s="3"/>
      <c r="R1172" s="3"/>
      <c r="S1172" s="3"/>
    </row>
    <row r="1173" spans="1:19" ht="15" x14ac:dyDescent="0.25">
      <c r="A1173" s="7" t="s">
        <v>16</v>
      </c>
      <c r="B1173" s="7" t="s">
        <v>21</v>
      </c>
      <c r="C1173" s="7" t="s">
        <v>18</v>
      </c>
      <c r="D1173" s="4">
        <v>12361267009654</v>
      </c>
      <c r="E1173" s="8" t="s">
        <v>860</v>
      </c>
      <c r="F1173" s="8" t="s">
        <v>62</v>
      </c>
      <c r="G1173" s="7" t="s">
        <v>63</v>
      </c>
      <c r="H1173" s="47" t="s">
        <v>211</v>
      </c>
      <c r="I1173" s="47" t="s">
        <v>212</v>
      </c>
      <c r="J1173" s="6">
        <v>70</v>
      </c>
      <c r="K1173" s="8" t="s">
        <v>20</v>
      </c>
      <c r="L1173" s="1" t="s">
        <v>860</v>
      </c>
      <c r="M1173" s="5">
        <v>125</v>
      </c>
      <c r="Q1173" s="3"/>
      <c r="R1173" s="3"/>
      <c r="S1173" s="3"/>
    </row>
    <row r="1174" spans="1:19" ht="15" x14ac:dyDescent="0.25">
      <c r="A1174" s="7" t="s">
        <v>16</v>
      </c>
      <c r="B1174" s="7" t="s">
        <v>21</v>
      </c>
      <c r="C1174" s="7" t="s">
        <v>18</v>
      </c>
      <c r="D1174" s="4">
        <v>12361267010407</v>
      </c>
      <c r="E1174" s="8" t="s">
        <v>862</v>
      </c>
      <c r="F1174" s="8" t="s">
        <v>86</v>
      </c>
      <c r="G1174" s="7" t="s">
        <v>74</v>
      </c>
      <c r="H1174" s="47" t="s">
        <v>211</v>
      </c>
      <c r="I1174" s="47" t="s">
        <v>212</v>
      </c>
      <c r="J1174" s="6">
        <v>70</v>
      </c>
      <c r="K1174" s="8" t="s">
        <v>20</v>
      </c>
      <c r="L1174" s="1" t="s">
        <v>862</v>
      </c>
      <c r="M1174" s="5">
        <v>130</v>
      </c>
      <c r="Q1174" s="3"/>
      <c r="R1174" s="3"/>
      <c r="S1174" s="3"/>
    </row>
    <row r="1175" spans="1:19" ht="15" x14ac:dyDescent="0.25">
      <c r="A1175" s="7" t="s">
        <v>16</v>
      </c>
      <c r="B1175" s="7" t="s">
        <v>21</v>
      </c>
      <c r="C1175" s="7" t="s">
        <v>18</v>
      </c>
      <c r="D1175" s="4">
        <v>13086053000119</v>
      </c>
      <c r="E1175" s="8" t="s">
        <v>869</v>
      </c>
      <c r="F1175" s="8" t="s">
        <v>84</v>
      </c>
      <c r="G1175" s="7" t="s">
        <v>85</v>
      </c>
      <c r="H1175" s="47" t="s">
        <v>211</v>
      </c>
      <c r="I1175" s="47" t="s">
        <v>212</v>
      </c>
      <c r="J1175" s="6">
        <v>70</v>
      </c>
      <c r="K1175" s="8" t="s">
        <v>20</v>
      </c>
      <c r="L1175" s="1" t="s">
        <v>869</v>
      </c>
      <c r="M1175" s="5">
        <v>5</v>
      </c>
      <c r="Q1175" s="3"/>
      <c r="R1175" s="3"/>
      <c r="S1175" s="3"/>
    </row>
    <row r="1176" spans="1:19" ht="15" x14ac:dyDescent="0.25">
      <c r="A1176" s="7" t="s">
        <v>16</v>
      </c>
      <c r="B1176" s="7" t="s">
        <v>21</v>
      </c>
      <c r="C1176" s="7" t="s">
        <v>18</v>
      </c>
      <c r="D1176" s="4">
        <v>13262578000168</v>
      </c>
      <c r="E1176" s="8" t="s">
        <v>871</v>
      </c>
      <c r="F1176" s="8" t="s">
        <v>62</v>
      </c>
      <c r="G1176" s="7" t="s">
        <v>63</v>
      </c>
      <c r="H1176" s="47" t="s">
        <v>211</v>
      </c>
      <c r="I1176" s="47" t="s">
        <v>212</v>
      </c>
      <c r="J1176" s="6">
        <v>66</v>
      </c>
      <c r="K1176" s="8" t="s">
        <v>28</v>
      </c>
      <c r="L1176" s="1" t="s">
        <v>871</v>
      </c>
      <c r="M1176" s="5">
        <v>6</v>
      </c>
      <c r="Q1176" s="3"/>
      <c r="R1176" s="3"/>
      <c r="S1176" s="3"/>
    </row>
    <row r="1177" spans="1:19" ht="15" x14ac:dyDescent="0.25">
      <c r="A1177" s="7" t="s">
        <v>16</v>
      </c>
      <c r="B1177" s="7" t="s">
        <v>21</v>
      </c>
      <c r="C1177" s="7" t="s">
        <v>18</v>
      </c>
      <c r="D1177" s="4">
        <v>14112023000100</v>
      </c>
      <c r="E1177" s="8" t="s">
        <v>1161</v>
      </c>
      <c r="F1177" s="8" t="s">
        <v>1162</v>
      </c>
      <c r="G1177" s="7" t="s">
        <v>52</v>
      </c>
      <c r="H1177" s="47" t="s">
        <v>211</v>
      </c>
      <c r="I1177" s="47" t="s">
        <v>212</v>
      </c>
      <c r="J1177" s="6">
        <v>70</v>
      </c>
      <c r="K1177" s="8" t="s">
        <v>20</v>
      </c>
      <c r="L1177" s="1" t="s">
        <v>1161</v>
      </c>
      <c r="M1177" s="5">
        <v>17.5</v>
      </c>
      <c r="Q1177" s="3"/>
      <c r="R1177" s="3"/>
      <c r="S1177" s="3"/>
    </row>
    <row r="1178" spans="1:19" ht="15" x14ac:dyDescent="0.25">
      <c r="A1178" s="7" t="s">
        <v>16</v>
      </c>
      <c r="B1178" s="7" t="s">
        <v>21</v>
      </c>
      <c r="C1178" s="7" t="s">
        <v>18</v>
      </c>
      <c r="D1178" s="4">
        <v>16064313000577</v>
      </c>
      <c r="E1178" s="8" t="s">
        <v>898</v>
      </c>
      <c r="F1178" s="8" t="s">
        <v>84</v>
      </c>
      <c r="G1178" s="7" t="s">
        <v>85</v>
      </c>
      <c r="H1178" s="47" t="s">
        <v>211</v>
      </c>
      <c r="I1178" s="47" t="s">
        <v>212</v>
      </c>
      <c r="J1178" s="6">
        <v>73</v>
      </c>
      <c r="K1178" s="8" t="s">
        <v>26</v>
      </c>
      <c r="L1178" s="1" t="s">
        <v>898</v>
      </c>
      <c r="M1178" s="5">
        <v>23</v>
      </c>
      <c r="Q1178" s="3"/>
      <c r="R1178" s="3"/>
      <c r="S1178" s="3"/>
    </row>
    <row r="1179" spans="1:19" ht="15" x14ac:dyDescent="0.25">
      <c r="A1179" s="7" t="s">
        <v>16</v>
      </c>
      <c r="B1179" s="7" t="s">
        <v>21</v>
      </c>
      <c r="C1179" s="7" t="s">
        <v>18</v>
      </c>
      <c r="D1179" s="4">
        <v>21155621000114</v>
      </c>
      <c r="E1179" s="8" t="s">
        <v>901</v>
      </c>
      <c r="F1179" s="8" t="s">
        <v>902</v>
      </c>
      <c r="G1179" s="7" t="s">
        <v>59</v>
      </c>
      <c r="H1179" s="47" t="s">
        <v>211</v>
      </c>
      <c r="I1179" s="47" t="s">
        <v>212</v>
      </c>
      <c r="J1179" s="6">
        <v>70</v>
      </c>
      <c r="K1179" s="8" t="s">
        <v>20</v>
      </c>
      <c r="L1179" s="1" t="s">
        <v>901</v>
      </c>
      <c r="M1179" s="5">
        <v>40</v>
      </c>
      <c r="Q1179" s="3"/>
      <c r="R1179" s="3"/>
      <c r="S1179" s="3"/>
    </row>
    <row r="1180" spans="1:19" ht="15" x14ac:dyDescent="0.25">
      <c r="A1180" s="7" t="s">
        <v>16</v>
      </c>
      <c r="B1180" s="7" t="s">
        <v>17</v>
      </c>
      <c r="C1180" s="7" t="s">
        <v>18</v>
      </c>
      <c r="D1180" s="4">
        <v>63326243000487</v>
      </c>
      <c r="E1180" s="8" t="s">
        <v>924</v>
      </c>
      <c r="F1180" s="8" t="s">
        <v>81</v>
      </c>
      <c r="G1180" s="7" t="s">
        <v>82</v>
      </c>
      <c r="H1180" s="47" t="s">
        <v>211</v>
      </c>
      <c r="I1180" s="47" t="s">
        <v>212</v>
      </c>
      <c r="J1180" s="6">
        <v>70</v>
      </c>
      <c r="K1180" s="8" t="s">
        <v>20</v>
      </c>
      <c r="L1180" s="1" t="s">
        <v>924</v>
      </c>
      <c r="M1180" s="5">
        <v>2.5</v>
      </c>
      <c r="Q1180" s="3"/>
      <c r="R1180" s="3"/>
      <c r="S1180" s="3"/>
    </row>
    <row r="1181" spans="1:19" ht="15" x14ac:dyDescent="0.25">
      <c r="A1181" s="7" t="s">
        <v>16</v>
      </c>
      <c r="B1181" s="7" t="s">
        <v>17</v>
      </c>
      <c r="C1181" s="7" t="s">
        <v>18</v>
      </c>
      <c r="D1181" s="4">
        <v>83367342000252</v>
      </c>
      <c r="E1181" s="8" t="s">
        <v>1237</v>
      </c>
      <c r="F1181" s="8" t="s">
        <v>1129</v>
      </c>
      <c r="G1181" s="7" t="s">
        <v>52</v>
      </c>
      <c r="H1181" s="47" t="s">
        <v>211</v>
      </c>
      <c r="I1181" s="47" t="s">
        <v>212</v>
      </c>
      <c r="J1181" s="6">
        <v>70</v>
      </c>
      <c r="K1181" s="8" t="s">
        <v>20</v>
      </c>
      <c r="L1181" s="1" t="s">
        <v>1237</v>
      </c>
      <c r="M1181" s="5">
        <v>25</v>
      </c>
      <c r="Q1181" s="3"/>
      <c r="R1181" s="3"/>
      <c r="S1181" s="3"/>
    </row>
    <row r="1182" spans="1:19" ht="15" x14ac:dyDescent="0.25">
      <c r="A1182" s="7" t="s">
        <v>16</v>
      </c>
      <c r="B1182" s="7" t="s">
        <v>21</v>
      </c>
      <c r="C1182" s="7" t="s">
        <v>18</v>
      </c>
      <c r="D1182" s="4">
        <v>33000167002155</v>
      </c>
      <c r="E1182" s="8" t="s">
        <v>915</v>
      </c>
      <c r="F1182" s="8" t="s">
        <v>128</v>
      </c>
      <c r="G1182" s="7" t="s">
        <v>59</v>
      </c>
      <c r="H1182" s="47" t="s">
        <v>211</v>
      </c>
      <c r="I1182" s="47" t="s">
        <v>212</v>
      </c>
      <c r="J1182" s="6">
        <v>70</v>
      </c>
      <c r="K1182" s="8" t="s">
        <v>20</v>
      </c>
      <c r="L1182" s="1" t="s">
        <v>915</v>
      </c>
      <c r="M1182" s="5">
        <v>120</v>
      </c>
      <c r="Q1182" s="3"/>
      <c r="R1182" s="3"/>
      <c r="S1182" s="3"/>
    </row>
    <row r="1183" spans="1:19" ht="15" x14ac:dyDescent="0.25">
      <c r="A1183" s="7" t="s">
        <v>16</v>
      </c>
      <c r="B1183" s="7" t="s">
        <v>22</v>
      </c>
      <c r="C1183" s="7" t="s">
        <v>18</v>
      </c>
      <c r="D1183" s="4">
        <v>12371009253</v>
      </c>
      <c r="E1183" s="8" t="s">
        <v>1128</v>
      </c>
      <c r="F1183" s="8" t="s">
        <v>1129</v>
      </c>
      <c r="G1183" s="7" t="s">
        <v>52</v>
      </c>
      <c r="H1183" s="47" t="s">
        <v>211</v>
      </c>
      <c r="I1183" s="47" t="s">
        <v>212</v>
      </c>
      <c r="J1183" s="6">
        <v>73</v>
      </c>
      <c r="K1183" s="8" t="s">
        <v>26</v>
      </c>
      <c r="L1183" s="1" t="s">
        <v>1128</v>
      </c>
      <c r="M1183" s="5">
        <v>12</v>
      </c>
      <c r="Q1183" s="3"/>
      <c r="R1183" s="3"/>
      <c r="S1183" s="3"/>
    </row>
    <row r="1184" spans="1:19" ht="15" x14ac:dyDescent="0.25">
      <c r="A1184" s="7" t="s">
        <v>16</v>
      </c>
      <c r="B1184" s="7" t="s">
        <v>22</v>
      </c>
      <c r="C1184" s="7" t="s">
        <v>18</v>
      </c>
      <c r="D1184" s="4">
        <v>44482299472</v>
      </c>
      <c r="E1184" s="8" t="s">
        <v>741</v>
      </c>
      <c r="F1184" s="8" t="s">
        <v>742</v>
      </c>
      <c r="G1184" s="7" t="s">
        <v>91</v>
      </c>
      <c r="H1184" s="47" t="s">
        <v>211</v>
      </c>
      <c r="I1184" s="47" t="s">
        <v>212</v>
      </c>
      <c r="J1184" s="6">
        <v>66</v>
      </c>
      <c r="K1184" s="8" t="s">
        <v>28</v>
      </c>
      <c r="L1184" s="1" t="s">
        <v>741</v>
      </c>
      <c r="M1184" s="5">
        <v>90</v>
      </c>
      <c r="Q1184" s="3"/>
      <c r="R1184" s="3"/>
      <c r="S1184" s="3"/>
    </row>
    <row r="1185" spans="1:19" ht="15" x14ac:dyDescent="0.25">
      <c r="A1185" s="7" t="s">
        <v>16</v>
      </c>
      <c r="B1185" s="7" t="s">
        <v>22</v>
      </c>
      <c r="C1185" s="7" t="s">
        <v>18</v>
      </c>
      <c r="D1185" s="4">
        <v>83925694404</v>
      </c>
      <c r="E1185" s="8" t="s">
        <v>746</v>
      </c>
      <c r="F1185" s="8" t="s">
        <v>747</v>
      </c>
      <c r="G1185" s="7" t="s">
        <v>56</v>
      </c>
      <c r="H1185" s="47" t="s">
        <v>211</v>
      </c>
      <c r="I1185" s="47" t="s">
        <v>212</v>
      </c>
      <c r="J1185" s="6">
        <v>66</v>
      </c>
      <c r="K1185" s="8" t="s">
        <v>28</v>
      </c>
      <c r="L1185" s="1" t="s">
        <v>746</v>
      </c>
      <c r="M1185" s="5">
        <v>26</v>
      </c>
      <c r="Q1185" s="3"/>
      <c r="R1185" s="3"/>
      <c r="S1185" s="3"/>
    </row>
    <row r="1186" spans="1:19" ht="15" x14ac:dyDescent="0.25">
      <c r="A1186" s="7" t="s">
        <v>16</v>
      </c>
      <c r="B1186" s="7" t="s">
        <v>22</v>
      </c>
      <c r="C1186" s="7" t="s">
        <v>18</v>
      </c>
      <c r="D1186" s="4">
        <v>93326645287</v>
      </c>
      <c r="E1186" s="8" t="s">
        <v>1134</v>
      </c>
      <c r="F1186" s="8" t="s">
        <v>1129</v>
      </c>
      <c r="G1186" s="7" t="s">
        <v>52</v>
      </c>
      <c r="H1186" s="47" t="s">
        <v>211</v>
      </c>
      <c r="I1186" s="47" t="s">
        <v>212</v>
      </c>
      <c r="J1186" s="6">
        <v>73</v>
      </c>
      <c r="K1186" s="8" t="s">
        <v>26</v>
      </c>
      <c r="L1186" s="1" t="s">
        <v>1134</v>
      </c>
      <c r="M1186" s="5">
        <v>16</v>
      </c>
      <c r="Q1186" s="3"/>
      <c r="R1186" s="3"/>
      <c r="S1186" s="3"/>
    </row>
    <row r="1187" spans="1:19" ht="15" x14ac:dyDescent="0.25">
      <c r="A1187" s="7" t="s">
        <v>16</v>
      </c>
      <c r="B1187" s="7" t="s">
        <v>22</v>
      </c>
      <c r="C1187" s="7" t="s">
        <v>18</v>
      </c>
      <c r="D1187" s="4">
        <v>418954000119</v>
      </c>
      <c r="E1187" s="8" t="s">
        <v>751</v>
      </c>
      <c r="F1187" s="8" t="s">
        <v>745</v>
      </c>
      <c r="G1187" s="7" t="s">
        <v>59</v>
      </c>
      <c r="H1187" s="47" t="s">
        <v>211</v>
      </c>
      <c r="I1187" s="47" t="s">
        <v>212</v>
      </c>
      <c r="J1187" s="6">
        <v>64</v>
      </c>
      <c r="K1187" s="8" t="s">
        <v>25</v>
      </c>
      <c r="L1187" s="1" t="s">
        <v>751</v>
      </c>
      <c r="M1187" s="5">
        <v>18</v>
      </c>
      <c r="Q1187" s="3"/>
      <c r="R1187" s="3"/>
      <c r="S1187" s="3"/>
    </row>
    <row r="1188" spans="1:19" ht="15" x14ac:dyDescent="0.25">
      <c r="A1188" s="7" t="s">
        <v>16</v>
      </c>
      <c r="B1188" s="7" t="s">
        <v>22</v>
      </c>
      <c r="C1188" s="7" t="s">
        <v>18</v>
      </c>
      <c r="D1188" s="4">
        <v>418954000704</v>
      </c>
      <c r="E1188" s="8" t="s">
        <v>752</v>
      </c>
      <c r="F1188" s="8" t="s">
        <v>753</v>
      </c>
      <c r="G1188" s="7" t="s">
        <v>59</v>
      </c>
      <c r="H1188" s="47" t="s">
        <v>211</v>
      </c>
      <c r="I1188" s="47" t="s">
        <v>212</v>
      </c>
      <c r="J1188" s="6">
        <v>64</v>
      </c>
      <c r="K1188" s="8" t="s">
        <v>25</v>
      </c>
      <c r="L1188" s="1" t="s">
        <v>752</v>
      </c>
      <c r="M1188" s="5">
        <v>20</v>
      </c>
      <c r="Q1188" s="3"/>
      <c r="R1188" s="3"/>
      <c r="S1188" s="3"/>
    </row>
    <row r="1189" spans="1:19" ht="15" x14ac:dyDescent="0.25">
      <c r="A1189" s="7" t="s">
        <v>16</v>
      </c>
      <c r="B1189" s="7" t="s">
        <v>22</v>
      </c>
      <c r="C1189" s="7" t="s">
        <v>18</v>
      </c>
      <c r="D1189" s="4">
        <v>820737000150</v>
      </c>
      <c r="E1189" s="8" t="s">
        <v>757</v>
      </c>
      <c r="F1189" s="8" t="s">
        <v>62</v>
      </c>
      <c r="G1189" s="7" t="s">
        <v>63</v>
      </c>
      <c r="H1189" s="47" t="s">
        <v>211</v>
      </c>
      <c r="I1189" s="47" t="s">
        <v>212</v>
      </c>
      <c r="J1189" s="6">
        <v>64</v>
      </c>
      <c r="K1189" s="8" t="s">
        <v>25</v>
      </c>
      <c r="L1189" s="1" t="s">
        <v>757</v>
      </c>
      <c r="M1189" s="5">
        <v>21</v>
      </c>
      <c r="Q1189" s="3"/>
      <c r="R1189" s="3"/>
      <c r="S1189" s="3"/>
    </row>
    <row r="1190" spans="1:19" ht="15" x14ac:dyDescent="0.25">
      <c r="A1190" s="7" t="s">
        <v>16</v>
      </c>
      <c r="B1190" s="7" t="s">
        <v>22</v>
      </c>
      <c r="C1190" s="7" t="s">
        <v>18</v>
      </c>
      <c r="D1190" s="4">
        <v>1011865000116</v>
      </c>
      <c r="E1190" s="8" t="s">
        <v>759</v>
      </c>
      <c r="F1190" s="8" t="s">
        <v>745</v>
      </c>
      <c r="G1190" s="7" t="s">
        <v>59</v>
      </c>
      <c r="H1190" s="47" t="s">
        <v>211</v>
      </c>
      <c r="I1190" s="47" t="s">
        <v>212</v>
      </c>
      <c r="J1190" s="6">
        <v>70</v>
      </c>
      <c r="K1190" s="8" t="s">
        <v>20</v>
      </c>
      <c r="L1190" s="1" t="s">
        <v>759</v>
      </c>
      <c r="M1190" s="5">
        <v>250</v>
      </c>
      <c r="Q1190" s="3"/>
      <c r="R1190" s="3"/>
      <c r="S1190" s="3"/>
    </row>
    <row r="1191" spans="1:19" ht="15" x14ac:dyDescent="0.25">
      <c r="A1191" s="7" t="s">
        <v>16</v>
      </c>
      <c r="B1191" s="7" t="s">
        <v>22</v>
      </c>
      <c r="C1191" s="7" t="s">
        <v>18</v>
      </c>
      <c r="D1191" s="4">
        <v>1277573000120</v>
      </c>
      <c r="E1191" s="8" t="s">
        <v>760</v>
      </c>
      <c r="F1191" s="8" t="s">
        <v>745</v>
      </c>
      <c r="G1191" s="7" t="s">
        <v>59</v>
      </c>
      <c r="H1191" s="47" t="s">
        <v>211</v>
      </c>
      <c r="I1191" s="47" t="s">
        <v>212</v>
      </c>
      <c r="J1191" s="6">
        <v>64</v>
      </c>
      <c r="K1191" s="8" t="s">
        <v>25</v>
      </c>
      <c r="L1191" s="1" t="s">
        <v>760</v>
      </c>
      <c r="M1191" s="5">
        <v>9</v>
      </c>
      <c r="Q1191" s="3"/>
      <c r="R1191" s="3"/>
      <c r="S1191" s="3"/>
    </row>
    <row r="1192" spans="1:19" ht="15" x14ac:dyDescent="0.25">
      <c r="A1192" s="7" t="s">
        <v>16</v>
      </c>
      <c r="B1192" s="7" t="s">
        <v>22</v>
      </c>
      <c r="C1192" s="7" t="s">
        <v>18</v>
      </c>
      <c r="D1192" s="4">
        <v>1326206000179</v>
      </c>
      <c r="E1192" s="8" t="s">
        <v>761</v>
      </c>
      <c r="F1192" s="8" t="s">
        <v>762</v>
      </c>
      <c r="G1192" s="7" t="s">
        <v>59</v>
      </c>
      <c r="H1192" s="47" t="s">
        <v>211</v>
      </c>
      <c r="I1192" s="47" t="s">
        <v>212</v>
      </c>
      <c r="J1192" s="6">
        <v>73</v>
      </c>
      <c r="K1192" s="8" t="s">
        <v>26</v>
      </c>
      <c r="L1192" s="1" t="s">
        <v>761</v>
      </c>
      <c r="M1192" s="5">
        <v>77</v>
      </c>
      <c r="Q1192" s="3"/>
      <c r="R1192" s="3"/>
      <c r="S1192" s="3"/>
    </row>
    <row r="1193" spans="1:19" ht="15" x14ac:dyDescent="0.25">
      <c r="A1193" s="7" t="s">
        <v>16</v>
      </c>
      <c r="B1193" s="7" t="s">
        <v>22</v>
      </c>
      <c r="C1193" s="7" t="s">
        <v>18</v>
      </c>
      <c r="D1193" s="4">
        <v>1454407000151</v>
      </c>
      <c r="E1193" s="8" t="s">
        <v>764</v>
      </c>
      <c r="F1193" s="8" t="s">
        <v>742</v>
      </c>
      <c r="G1193" s="7" t="s">
        <v>91</v>
      </c>
      <c r="H1193" s="47" t="s">
        <v>211</v>
      </c>
      <c r="I1193" s="47" t="s">
        <v>212</v>
      </c>
      <c r="J1193" s="6">
        <v>70</v>
      </c>
      <c r="K1193" s="8" t="s">
        <v>20</v>
      </c>
      <c r="L1193" s="1" t="s">
        <v>764</v>
      </c>
      <c r="M1193" s="5">
        <v>110</v>
      </c>
      <c r="Q1193" s="3"/>
      <c r="R1193" s="3"/>
      <c r="S1193" s="3"/>
    </row>
    <row r="1194" spans="1:19" ht="15" x14ac:dyDescent="0.25">
      <c r="A1194" s="7" t="s">
        <v>16</v>
      </c>
      <c r="B1194" s="7" t="s">
        <v>22</v>
      </c>
      <c r="C1194" s="7" t="s">
        <v>18</v>
      </c>
      <c r="D1194" s="4">
        <v>1507901000137</v>
      </c>
      <c r="E1194" s="8" t="s">
        <v>765</v>
      </c>
      <c r="F1194" s="8" t="s">
        <v>62</v>
      </c>
      <c r="G1194" s="7" t="s">
        <v>63</v>
      </c>
      <c r="H1194" s="47" t="s">
        <v>211</v>
      </c>
      <c r="I1194" s="47" t="s">
        <v>212</v>
      </c>
      <c r="J1194" s="6">
        <v>62</v>
      </c>
      <c r="K1194" s="8" t="s">
        <v>27</v>
      </c>
      <c r="L1194" s="1" t="s">
        <v>765</v>
      </c>
      <c r="M1194" s="5">
        <v>7</v>
      </c>
      <c r="Q1194" s="3"/>
      <c r="R1194" s="3"/>
      <c r="S1194" s="3"/>
    </row>
    <row r="1195" spans="1:19" ht="15" x14ac:dyDescent="0.25">
      <c r="A1195" s="7" t="s">
        <v>16</v>
      </c>
      <c r="B1195" s="7" t="s">
        <v>22</v>
      </c>
      <c r="C1195" s="7" t="s">
        <v>18</v>
      </c>
      <c r="D1195" s="4">
        <v>1507901000137</v>
      </c>
      <c r="E1195" s="8" t="s">
        <v>765</v>
      </c>
      <c r="F1195" s="8" t="s">
        <v>62</v>
      </c>
      <c r="G1195" s="7" t="s">
        <v>63</v>
      </c>
      <c r="H1195" s="47" t="s">
        <v>211</v>
      </c>
      <c r="I1195" s="47" t="s">
        <v>212</v>
      </c>
      <c r="J1195" s="6">
        <v>64</v>
      </c>
      <c r="K1195" s="8" t="s">
        <v>25</v>
      </c>
      <c r="L1195" s="1" t="s">
        <v>765</v>
      </c>
      <c r="M1195" s="5">
        <v>10</v>
      </c>
      <c r="Q1195" s="3"/>
      <c r="R1195" s="3"/>
      <c r="S1195" s="3"/>
    </row>
    <row r="1196" spans="1:19" ht="15" x14ac:dyDescent="0.25">
      <c r="A1196" s="7" t="s">
        <v>16</v>
      </c>
      <c r="B1196" s="7" t="s">
        <v>22</v>
      </c>
      <c r="C1196" s="7" t="s">
        <v>18</v>
      </c>
      <c r="D1196" s="4">
        <v>1570589000126</v>
      </c>
      <c r="E1196" s="8" t="s">
        <v>766</v>
      </c>
      <c r="F1196" s="8" t="s">
        <v>745</v>
      </c>
      <c r="G1196" s="7" t="s">
        <v>59</v>
      </c>
      <c r="H1196" s="47" t="s">
        <v>211</v>
      </c>
      <c r="I1196" s="47" t="s">
        <v>212</v>
      </c>
      <c r="J1196" s="6">
        <v>70</v>
      </c>
      <c r="K1196" s="8" t="s">
        <v>20</v>
      </c>
      <c r="L1196" s="1" t="s">
        <v>766</v>
      </c>
      <c r="M1196" s="5">
        <v>190</v>
      </c>
      <c r="Q1196" s="3"/>
      <c r="R1196" s="3"/>
      <c r="S1196" s="3"/>
    </row>
    <row r="1197" spans="1:19" ht="15" x14ac:dyDescent="0.25">
      <c r="A1197" s="7" t="s">
        <v>16</v>
      </c>
      <c r="B1197" s="7" t="s">
        <v>22</v>
      </c>
      <c r="C1197" s="7" t="s">
        <v>18</v>
      </c>
      <c r="D1197" s="4">
        <v>1656123000148</v>
      </c>
      <c r="E1197" s="8" t="s">
        <v>768</v>
      </c>
      <c r="F1197" s="8" t="s">
        <v>745</v>
      </c>
      <c r="G1197" s="7" t="s">
        <v>59</v>
      </c>
      <c r="H1197" s="47" t="s">
        <v>211</v>
      </c>
      <c r="I1197" s="47" t="s">
        <v>212</v>
      </c>
      <c r="J1197" s="6">
        <v>70</v>
      </c>
      <c r="K1197" s="8" t="s">
        <v>20</v>
      </c>
      <c r="L1197" s="1" t="s">
        <v>768</v>
      </c>
      <c r="M1197" s="5">
        <v>90</v>
      </c>
      <c r="Q1197" s="3"/>
      <c r="R1197" s="3"/>
      <c r="S1197" s="3"/>
    </row>
    <row r="1198" spans="1:19" ht="15" x14ac:dyDescent="0.25">
      <c r="A1198" s="7" t="s">
        <v>16</v>
      </c>
      <c r="B1198" s="7" t="s">
        <v>22</v>
      </c>
      <c r="C1198" s="7" t="s">
        <v>18</v>
      </c>
      <c r="D1198" s="4">
        <v>1722424000122</v>
      </c>
      <c r="E1198" s="8" t="s">
        <v>770</v>
      </c>
      <c r="F1198" s="8" t="s">
        <v>742</v>
      </c>
      <c r="G1198" s="7" t="s">
        <v>91</v>
      </c>
      <c r="H1198" s="47" t="s">
        <v>211</v>
      </c>
      <c r="I1198" s="47" t="s">
        <v>212</v>
      </c>
      <c r="J1198" s="6">
        <v>70</v>
      </c>
      <c r="K1198" s="8" t="s">
        <v>20</v>
      </c>
      <c r="L1198" s="1" t="s">
        <v>770</v>
      </c>
      <c r="M1198" s="5">
        <v>265</v>
      </c>
      <c r="Q1198" s="3"/>
      <c r="R1198" s="3"/>
      <c r="S1198" s="3"/>
    </row>
    <row r="1199" spans="1:19" ht="15" x14ac:dyDescent="0.25">
      <c r="A1199" s="7" t="s">
        <v>16</v>
      </c>
      <c r="B1199" s="7" t="s">
        <v>22</v>
      </c>
      <c r="C1199" s="7" t="s">
        <v>18</v>
      </c>
      <c r="D1199" s="4">
        <v>2109397000180</v>
      </c>
      <c r="E1199" s="8" t="s">
        <v>773</v>
      </c>
      <c r="F1199" s="8" t="s">
        <v>62</v>
      </c>
      <c r="G1199" s="7" t="s">
        <v>63</v>
      </c>
      <c r="H1199" s="47" t="s">
        <v>211</v>
      </c>
      <c r="I1199" s="47" t="s">
        <v>212</v>
      </c>
      <c r="J1199" s="6">
        <v>64</v>
      </c>
      <c r="K1199" s="8" t="s">
        <v>25</v>
      </c>
      <c r="L1199" s="1" t="s">
        <v>773</v>
      </c>
      <c r="M1199" s="5">
        <v>24</v>
      </c>
      <c r="Q1199" s="3"/>
      <c r="R1199" s="3"/>
      <c r="S1199" s="3"/>
    </row>
    <row r="1200" spans="1:19" ht="15" x14ac:dyDescent="0.25">
      <c r="A1200" s="7" t="s">
        <v>16</v>
      </c>
      <c r="B1200" s="7" t="s">
        <v>22</v>
      </c>
      <c r="C1200" s="7" t="s">
        <v>18</v>
      </c>
      <c r="D1200" s="4">
        <v>2284062000440</v>
      </c>
      <c r="E1200" s="8" t="s">
        <v>775</v>
      </c>
      <c r="F1200" s="8" t="s">
        <v>70</v>
      </c>
      <c r="G1200" s="7" t="s">
        <v>71</v>
      </c>
      <c r="H1200" s="47" t="s">
        <v>211</v>
      </c>
      <c r="I1200" s="47" t="s">
        <v>212</v>
      </c>
      <c r="J1200" s="6">
        <v>64</v>
      </c>
      <c r="K1200" s="8" t="s">
        <v>25</v>
      </c>
      <c r="L1200" s="1" t="s">
        <v>775</v>
      </c>
      <c r="M1200" s="5">
        <v>20</v>
      </c>
      <c r="Q1200" s="3"/>
      <c r="R1200" s="3"/>
      <c r="S1200" s="3"/>
    </row>
    <row r="1201" spans="1:19" ht="15" x14ac:dyDescent="0.25">
      <c r="A1201" s="7" t="s">
        <v>16</v>
      </c>
      <c r="B1201" s="7" t="s">
        <v>22</v>
      </c>
      <c r="C1201" s="7" t="s">
        <v>18</v>
      </c>
      <c r="D1201" s="4">
        <v>2476067000122</v>
      </c>
      <c r="E1201" s="8" t="s">
        <v>778</v>
      </c>
      <c r="F1201" s="8" t="s">
        <v>745</v>
      </c>
      <c r="G1201" s="7" t="s">
        <v>59</v>
      </c>
      <c r="H1201" s="47" t="s">
        <v>211</v>
      </c>
      <c r="I1201" s="47" t="s">
        <v>212</v>
      </c>
      <c r="J1201" s="6">
        <v>70</v>
      </c>
      <c r="K1201" s="8" t="s">
        <v>20</v>
      </c>
      <c r="L1201" s="1" t="s">
        <v>778</v>
      </c>
      <c r="M1201" s="5">
        <v>-15</v>
      </c>
      <c r="Q1201" s="3"/>
      <c r="R1201" s="3"/>
      <c r="S1201" s="3"/>
    </row>
    <row r="1202" spans="1:19" ht="15" x14ac:dyDescent="0.25">
      <c r="A1202" s="7" t="s">
        <v>16</v>
      </c>
      <c r="B1202" s="7" t="s">
        <v>22</v>
      </c>
      <c r="C1202" s="7" t="s">
        <v>18</v>
      </c>
      <c r="D1202" s="4">
        <v>2476067000203</v>
      </c>
      <c r="E1202" s="8" t="s">
        <v>779</v>
      </c>
      <c r="F1202" s="8" t="s">
        <v>745</v>
      </c>
      <c r="G1202" s="7" t="s">
        <v>59</v>
      </c>
      <c r="H1202" s="47" t="s">
        <v>211</v>
      </c>
      <c r="I1202" s="47" t="s">
        <v>212</v>
      </c>
      <c r="J1202" s="6">
        <v>73</v>
      </c>
      <c r="K1202" s="8" t="s">
        <v>26</v>
      </c>
      <c r="L1202" s="1" t="s">
        <v>779</v>
      </c>
      <c r="M1202" s="5">
        <v>20</v>
      </c>
      <c r="Q1202" s="3"/>
      <c r="R1202" s="3"/>
      <c r="S1202" s="3"/>
    </row>
    <row r="1203" spans="1:19" ht="15" x14ac:dyDescent="0.25">
      <c r="A1203" s="7" t="s">
        <v>16</v>
      </c>
      <c r="B1203" s="7" t="s">
        <v>22</v>
      </c>
      <c r="C1203" s="7" t="s">
        <v>18</v>
      </c>
      <c r="D1203" s="4">
        <v>2476067000394</v>
      </c>
      <c r="E1203" s="8" t="s">
        <v>780</v>
      </c>
      <c r="F1203" s="8" t="s">
        <v>745</v>
      </c>
      <c r="G1203" s="7" t="s">
        <v>59</v>
      </c>
      <c r="H1203" s="47" t="s">
        <v>211</v>
      </c>
      <c r="I1203" s="47" t="s">
        <v>212</v>
      </c>
      <c r="J1203" s="6">
        <v>70</v>
      </c>
      <c r="K1203" s="8" t="s">
        <v>20</v>
      </c>
      <c r="L1203" s="1" t="s">
        <v>780</v>
      </c>
      <c r="M1203" s="5">
        <v>70</v>
      </c>
      <c r="Q1203" s="3"/>
      <c r="R1203" s="3"/>
      <c r="S1203" s="3"/>
    </row>
    <row r="1204" spans="1:19" ht="15" x14ac:dyDescent="0.25">
      <c r="A1204" s="7" t="s">
        <v>16</v>
      </c>
      <c r="B1204" s="7" t="s">
        <v>22</v>
      </c>
      <c r="C1204" s="7" t="s">
        <v>18</v>
      </c>
      <c r="D1204" s="4">
        <v>3091003000176</v>
      </c>
      <c r="E1204" s="8" t="s">
        <v>782</v>
      </c>
      <c r="F1204" s="8" t="s">
        <v>84</v>
      </c>
      <c r="G1204" s="7" t="s">
        <v>85</v>
      </c>
      <c r="H1204" s="47" t="s">
        <v>211</v>
      </c>
      <c r="I1204" s="47" t="s">
        <v>212</v>
      </c>
      <c r="J1204" s="6">
        <v>70</v>
      </c>
      <c r="K1204" s="8" t="s">
        <v>20</v>
      </c>
      <c r="L1204" s="1" t="s">
        <v>782</v>
      </c>
      <c r="M1204" s="5">
        <v>175</v>
      </c>
      <c r="Q1204" s="3"/>
      <c r="R1204" s="3"/>
      <c r="S1204" s="3"/>
    </row>
    <row r="1205" spans="1:19" ht="15" x14ac:dyDescent="0.25">
      <c r="A1205" s="7" t="s">
        <v>16</v>
      </c>
      <c r="B1205" s="7" t="s">
        <v>22</v>
      </c>
      <c r="C1205" s="7" t="s">
        <v>18</v>
      </c>
      <c r="D1205" s="4">
        <v>3222051000156</v>
      </c>
      <c r="E1205" s="8" t="s">
        <v>784</v>
      </c>
      <c r="F1205" s="8" t="s">
        <v>84</v>
      </c>
      <c r="G1205" s="7" t="s">
        <v>85</v>
      </c>
      <c r="H1205" s="47" t="s">
        <v>211</v>
      </c>
      <c r="I1205" s="47" t="s">
        <v>212</v>
      </c>
      <c r="J1205" s="6">
        <v>62</v>
      </c>
      <c r="K1205" s="8" t="s">
        <v>27</v>
      </c>
      <c r="L1205" s="1" t="s">
        <v>784</v>
      </c>
      <c r="M1205" s="5">
        <v>2</v>
      </c>
      <c r="Q1205" s="3"/>
      <c r="R1205" s="3"/>
      <c r="S1205" s="3"/>
    </row>
    <row r="1206" spans="1:19" ht="15" x14ac:dyDescent="0.25">
      <c r="A1206" s="7" t="s">
        <v>16</v>
      </c>
      <c r="B1206" s="7" t="s">
        <v>22</v>
      </c>
      <c r="C1206" s="7" t="s">
        <v>18</v>
      </c>
      <c r="D1206" s="4">
        <v>3222051000156</v>
      </c>
      <c r="E1206" s="8" t="s">
        <v>784</v>
      </c>
      <c r="F1206" s="8" t="s">
        <v>84</v>
      </c>
      <c r="G1206" s="7" t="s">
        <v>85</v>
      </c>
      <c r="H1206" s="47" t="s">
        <v>211</v>
      </c>
      <c r="I1206" s="47" t="s">
        <v>212</v>
      </c>
      <c r="J1206" s="6">
        <v>64</v>
      </c>
      <c r="K1206" s="8" t="s">
        <v>25</v>
      </c>
      <c r="L1206" s="1" t="s">
        <v>784</v>
      </c>
      <c r="M1206" s="5">
        <v>2</v>
      </c>
      <c r="Q1206" s="3"/>
      <c r="R1206" s="3"/>
      <c r="S1206" s="3"/>
    </row>
    <row r="1207" spans="1:19" ht="15" x14ac:dyDescent="0.25">
      <c r="A1207" s="7" t="s">
        <v>16</v>
      </c>
      <c r="B1207" s="7" t="s">
        <v>22</v>
      </c>
      <c r="C1207" s="7" t="s">
        <v>18</v>
      </c>
      <c r="D1207" s="4">
        <v>3533726001583</v>
      </c>
      <c r="E1207" s="8" t="s">
        <v>788</v>
      </c>
      <c r="F1207" s="8" t="s">
        <v>789</v>
      </c>
      <c r="G1207" s="7" t="s">
        <v>69</v>
      </c>
      <c r="H1207" s="47" t="s">
        <v>211</v>
      </c>
      <c r="I1207" s="47" t="s">
        <v>212</v>
      </c>
      <c r="J1207" s="6">
        <v>70</v>
      </c>
      <c r="K1207" s="8" t="s">
        <v>20</v>
      </c>
      <c r="L1207" s="1" t="s">
        <v>788</v>
      </c>
      <c r="M1207" s="5">
        <v>55</v>
      </c>
      <c r="Q1207" s="3"/>
      <c r="R1207" s="3"/>
      <c r="S1207" s="3"/>
    </row>
    <row r="1208" spans="1:19" ht="15" x14ac:dyDescent="0.25">
      <c r="A1208" s="7" t="s">
        <v>16</v>
      </c>
      <c r="B1208" s="7" t="s">
        <v>22</v>
      </c>
      <c r="C1208" s="7" t="s">
        <v>18</v>
      </c>
      <c r="D1208" s="4">
        <v>3904395000145</v>
      </c>
      <c r="E1208" s="8" t="s">
        <v>793</v>
      </c>
      <c r="F1208" s="8" t="s">
        <v>794</v>
      </c>
      <c r="G1208" s="7" t="s">
        <v>71</v>
      </c>
      <c r="H1208" s="47" t="s">
        <v>211</v>
      </c>
      <c r="I1208" s="47" t="s">
        <v>212</v>
      </c>
      <c r="J1208" s="6">
        <v>66</v>
      </c>
      <c r="K1208" s="8" t="s">
        <v>28</v>
      </c>
      <c r="L1208" s="1" t="s">
        <v>793</v>
      </c>
      <c r="M1208" s="5">
        <v>24</v>
      </c>
      <c r="Q1208" s="3"/>
      <c r="R1208" s="3"/>
      <c r="S1208" s="3"/>
    </row>
    <row r="1209" spans="1:19" ht="15" x14ac:dyDescent="0.25">
      <c r="A1209" s="7" t="s">
        <v>16</v>
      </c>
      <c r="B1209" s="7" t="s">
        <v>22</v>
      </c>
      <c r="C1209" s="7" t="s">
        <v>18</v>
      </c>
      <c r="D1209" s="4">
        <v>3925419000142</v>
      </c>
      <c r="E1209" s="8" t="s">
        <v>795</v>
      </c>
      <c r="F1209" s="8" t="s">
        <v>772</v>
      </c>
      <c r="G1209" s="7" t="s">
        <v>69</v>
      </c>
      <c r="H1209" s="47" t="s">
        <v>211</v>
      </c>
      <c r="I1209" s="47" t="s">
        <v>212</v>
      </c>
      <c r="J1209" s="6">
        <v>64</v>
      </c>
      <c r="K1209" s="8" t="s">
        <v>25</v>
      </c>
      <c r="L1209" s="1" t="s">
        <v>795</v>
      </c>
      <c r="M1209" s="5">
        <v>4</v>
      </c>
      <c r="Q1209" s="3"/>
      <c r="R1209" s="3"/>
      <c r="S1209" s="3"/>
    </row>
    <row r="1210" spans="1:19" ht="15" x14ac:dyDescent="0.25">
      <c r="A1210" s="7" t="s">
        <v>16</v>
      </c>
      <c r="B1210" s="7" t="s">
        <v>22</v>
      </c>
      <c r="C1210" s="7" t="s">
        <v>18</v>
      </c>
      <c r="D1210" s="4">
        <v>4159778000107</v>
      </c>
      <c r="E1210" s="8" t="s">
        <v>1144</v>
      </c>
      <c r="F1210" s="8" t="s">
        <v>109</v>
      </c>
      <c r="G1210" s="7" t="s">
        <v>110</v>
      </c>
      <c r="H1210" s="47" t="s">
        <v>211</v>
      </c>
      <c r="I1210" s="47" t="s">
        <v>212</v>
      </c>
      <c r="J1210" s="6">
        <v>64</v>
      </c>
      <c r="K1210" s="8" t="s">
        <v>25</v>
      </c>
      <c r="L1210" s="1" t="s">
        <v>1144</v>
      </c>
      <c r="M1210" s="5">
        <v>3</v>
      </c>
      <c r="Q1210" s="3"/>
      <c r="R1210" s="3"/>
      <c r="S1210" s="3"/>
    </row>
    <row r="1211" spans="1:19" ht="15" x14ac:dyDescent="0.25">
      <c r="A1211" s="7" t="s">
        <v>16</v>
      </c>
      <c r="B1211" s="7" t="s">
        <v>22</v>
      </c>
      <c r="C1211" s="7" t="s">
        <v>18</v>
      </c>
      <c r="D1211" s="4">
        <v>4201372001028</v>
      </c>
      <c r="E1211" s="8" t="s">
        <v>1145</v>
      </c>
      <c r="F1211" s="8" t="s">
        <v>1129</v>
      </c>
      <c r="G1211" s="7" t="s">
        <v>52</v>
      </c>
      <c r="H1211" s="47" t="s">
        <v>211</v>
      </c>
      <c r="I1211" s="47" t="s">
        <v>212</v>
      </c>
      <c r="J1211" s="6">
        <v>73</v>
      </c>
      <c r="K1211" s="8" t="s">
        <v>26</v>
      </c>
      <c r="L1211" s="1" t="s">
        <v>1145</v>
      </c>
      <c r="M1211" s="5">
        <v>32</v>
      </c>
      <c r="Q1211" s="3"/>
      <c r="R1211" s="3"/>
      <c r="S1211" s="3"/>
    </row>
    <row r="1212" spans="1:19" ht="15" x14ac:dyDescent="0.25">
      <c r="A1212" s="7" t="s">
        <v>16</v>
      </c>
      <c r="B1212" s="7" t="s">
        <v>22</v>
      </c>
      <c r="C1212" s="7" t="s">
        <v>18</v>
      </c>
      <c r="D1212" s="4">
        <v>4966545000370</v>
      </c>
      <c r="E1212" s="8" t="s">
        <v>1148</v>
      </c>
      <c r="F1212" s="8" t="s">
        <v>1129</v>
      </c>
      <c r="G1212" s="7" t="s">
        <v>52</v>
      </c>
      <c r="H1212" s="47" t="s">
        <v>211</v>
      </c>
      <c r="I1212" s="47" t="s">
        <v>212</v>
      </c>
      <c r="J1212" s="6">
        <v>70</v>
      </c>
      <c r="K1212" s="8" t="s">
        <v>20</v>
      </c>
      <c r="L1212" s="1" t="s">
        <v>1148</v>
      </c>
      <c r="M1212" s="5">
        <v>40</v>
      </c>
      <c r="Q1212" s="3"/>
      <c r="R1212" s="3"/>
      <c r="S1212" s="3"/>
    </row>
    <row r="1213" spans="1:19" ht="15" x14ac:dyDescent="0.25">
      <c r="A1213" s="7" t="s">
        <v>16</v>
      </c>
      <c r="B1213" s="7" t="s">
        <v>22</v>
      </c>
      <c r="C1213" s="7" t="s">
        <v>18</v>
      </c>
      <c r="D1213" s="4">
        <v>5055128000257</v>
      </c>
      <c r="E1213" s="8" t="s">
        <v>798</v>
      </c>
      <c r="F1213" s="8" t="s">
        <v>130</v>
      </c>
      <c r="G1213" s="7" t="s">
        <v>56</v>
      </c>
      <c r="H1213" s="47" t="s">
        <v>211</v>
      </c>
      <c r="I1213" s="47" t="s">
        <v>212</v>
      </c>
      <c r="J1213" s="6">
        <v>70</v>
      </c>
      <c r="K1213" s="8" t="s">
        <v>20</v>
      </c>
      <c r="L1213" s="1" t="s">
        <v>798</v>
      </c>
      <c r="M1213" s="5">
        <v>75</v>
      </c>
      <c r="Q1213" s="3"/>
      <c r="R1213" s="3"/>
      <c r="S1213" s="3"/>
    </row>
    <row r="1214" spans="1:19" ht="15" x14ac:dyDescent="0.25">
      <c r="A1214" s="7" t="s">
        <v>16</v>
      </c>
      <c r="B1214" s="7" t="s">
        <v>22</v>
      </c>
      <c r="C1214" s="7" t="s">
        <v>18</v>
      </c>
      <c r="D1214" s="4">
        <v>5612725000154</v>
      </c>
      <c r="E1214" s="8" t="s">
        <v>800</v>
      </c>
      <c r="F1214" s="8" t="s">
        <v>742</v>
      </c>
      <c r="G1214" s="7" t="s">
        <v>91</v>
      </c>
      <c r="H1214" s="47" t="s">
        <v>211</v>
      </c>
      <c r="I1214" s="47" t="s">
        <v>212</v>
      </c>
      <c r="J1214" s="6">
        <v>70</v>
      </c>
      <c r="K1214" s="8" t="s">
        <v>20</v>
      </c>
      <c r="L1214" s="1" t="s">
        <v>800</v>
      </c>
      <c r="M1214" s="5">
        <v>30</v>
      </c>
      <c r="Q1214" s="3"/>
      <c r="R1214" s="3"/>
      <c r="S1214" s="3"/>
    </row>
    <row r="1215" spans="1:19" ht="15" x14ac:dyDescent="0.25">
      <c r="A1215" s="7" t="s">
        <v>16</v>
      </c>
      <c r="B1215" s="7" t="s">
        <v>22</v>
      </c>
      <c r="C1215" s="7" t="s">
        <v>18</v>
      </c>
      <c r="D1215" s="4">
        <v>5652543000107</v>
      </c>
      <c r="E1215" s="8" t="s">
        <v>801</v>
      </c>
      <c r="F1215" s="8" t="s">
        <v>802</v>
      </c>
      <c r="G1215" s="7" t="s">
        <v>74</v>
      </c>
      <c r="H1215" s="47" t="s">
        <v>211</v>
      </c>
      <c r="I1215" s="47" t="s">
        <v>212</v>
      </c>
      <c r="J1215" s="6">
        <v>64</v>
      </c>
      <c r="K1215" s="8" t="s">
        <v>25</v>
      </c>
      <c r="L1215" s="1" t="s">
        <v>801</v>
      </c>
      <c r="M1215" s="5">
        <v>30</v>
      </c>
      <c r="Q1215" s="3"/>
      <c r="R1215" s="3"/>
      <c r="S1215" s="3"/>
    </row>
    <row r="1216" spans="1:19" ht="15" x14ac:dyDescent="0.25">
      <c r="A1216" s="7" t="s">
        <v>16</v>
      </c>
      <c r="B1216" s="7" t="s">
        <v>22</v>
      </c>
      <c r="C1216" s="7" t="s">
        <v>18</v>
      </c>
      <c r="D1216" s="4">
        <v>5919720000179</v>
      </c>
      <c r="E1216" s="8" t="s">
        <v>808</v>
      </c>
      <c r="F1216" s="8" t="s">
        <v>745</v>
      </c>
      <c r="G1216" s="7" t="s">
        <v>59</v>
      </c>
      <c r="H1216" s="47" t="s">
        <v>211</v>
      </c>
      <c r="I1216" s="47" t="s">
        <v>212</v>
      </c>
      <c r="J1216" s="6">
        <v>70</v>
      </c>
      <c r="K1216" s="8" t="s">
        <v>20</v>
      </c>
      <c r="L1216" s="1" t="s">
        <v>808</v>
      </c>
      <c r="M1216" s="5">
        <v>25</v>
      </c>
      <c r="Q1216" s="3"/>
      <c r="R1216" s="3"/>
      <c r="S1216" s="3"/>
    </row>
    <row r="1217" spans="1:19" ht="15" x14ac:dyDescent="0.25">
      <c r="A1217" s="7" t="s">
        <v>16</v>
      </c>
      <c r="B1217" s="7" t="s">
        <v>22</v>
      </c>
      <c r="C1217" s="7" t="s">
        <v>18</v>
      </c>
      <c r="D1217" s="4">
        <v>6047087001291</v>
      </c>
      <c r="E1217" s="8" t="s">
        <v>809</v>
      </c>
      <c r="F1217" s="8" t="s">
        <v>107</v>
      </c>
      <c r="G1217" s="7" t="s">
        <v>71</v>
      </c>
      <c r="H1217" s="47" t="s">
        <v>211</v>
      </c>
      <c r="I1217" s="47" t="s">
        <v>212</v>
      </c>
      <c r="J1217" s="6">
        <v>64</v>
      </c>
      <c r="K1217" s="8" t="s">
        <v>25</v>
      </c>
      <c r="L1217" s="1" t="s">
        <v>809</v>
      </c>
      <c r="M1217" s="5">
        <v>8</v>
      </c>
      <c r="Q1217" s="3"/>
      <c r="R1217" s="3"/>
      <c r="S1217" s="3"/>
    </row>
    <row r="1218" spans="1:19" ht="15" x14ac:dyDescent="0.25">
      <c r="A1218" s="7" t="s">
        <v>16</v>
      </c>
      <c r="B1218" s="7" t="s">
        <v>22</v>
      </c>
      <c r="C1218" s="7" t="s">
        <v>18</v>
      </c>
      <c r="D1218" s="4">
        <v>6047087009276</v>
      </c>
      <c r="E1218" s="8" t="s">
        <v>812</v>
      </c>
      <c r="F1218" s="8" t="s">
        <v>70</v>
      </c>
      <c r="G1218" s="7" t="s">
        <v>71</v>
      </c>
      <c r="H1218" s="47" t="s">
        <v>211</v>
      </c>
      <c r="I1218" s="47" t="s">
        <v>212</v>
      </c>
      <c r="J1218" s="6">
        <v>64</v>
      </c>
      <c r="K1218" s="8" t="s">
        <v>25</v>
      </c>
      <c r="L1218" s="1" t="s">
        <v>812</v>
      </c>
      <c r="M1218" s="5">
        <v>30</v>
      </c>
      <c r="Q1218" s="3"/>
      <c r="R1218" s="3"/>
      <c r="S1218" s="3"/>
    </row>
    <row r="1219" spans="1:19" ht="15" x14ac:dyDescent="0.25">
      <c r="A1219" s="7" t="s">
        <v>16</v>
      </c>
      <c r="B1219" s="7" t="s">
        <v>22</v>
      </c>
      <c r="C1219" s="7" t="s">
        <v>18</v>
      </c>
      <c r="D1219" s="4">
        <v>6070425000153</v>
      </c>
      <c r="E1219" s="8" t="s">
        <v>1150</v>
      </c>
      <c r="F1219" s="8" t="s">
        <v>1151</v>
      </c>
      <c r="G1219" s="7" t="s">
        <v>79</v>
      </c>
      <c r="H1219" s="47" t="s">
        <v>211</v>
      </c>
      <c r="I1219" s="47" t="s">
        <v>212</v>
      </c>
      <c r="J1219" s="6">
        <v>73</v>
      </c>
      <c r="K1219" s="8" t="s">
        <v>26</v>
      </c>
      <c r="L1219" s="1" t="s">
        <v>1150</v>
      </c>
      <c r="M1219" s="5">
        <v>12</v>
      </c>
      <c r="Q1219" s="3"/>
      <c r="R1219" s="3"/>
      <c r="S1219" s="3"/>
    </row>
    <row r="1220" spans="1:19" ht="15" x14ac:dyDescent="0.25">
      <c r="A1220" s="7" t="s">
        <v>16</v>
      </c>
      <c r="B1220" s="7" t="s">
        <v>22</v>
      </c>
      <c r="C1220" s="7" t="s">
        <v>18</v>
      </c>
      <c r="D1220" s="4">
        <v>8319329000121</v>
      </c>
      <c r="E1220" s="8" t="s">
        <v>823</v>
      </c>
      <c r="F1220" s="8" t="s">
        <v>62</v>
      </c>
      <c r="G1220" s="7" t="s">
        <v>63</v>
      </c>
      <c r="H1220" s="47" t="s">
        <v>211</v>
      </c>
      <c r="I1220" s="47" t="s">
        <v>212</v>
      </c>
      <c r="J1220" s="6">
        <v>64</v>
      </c>
      <c r="K1220" s="8" t="s">
        <v>25</v>
      </c>
      <c r="L1220" s="1" t="s">
        <v>823</v>
      </c>
      <c r="M1220" s="5">
        <v>47</v>
      </c>
      <c r="Q1220" s="3"/>
      <c r="R1220" s="3"/>
      <c r="S1220" s="3"/>
    </row>
    <row r="1221" spans="1:19" ht="15" x14ac:dyDescent="0.25">
      <c r="A1221" s="7" t="s">
        <v>16</v>
      </c>
      <c r="B1221" s="7" t="s">
        <v>22</v>
      </c>
      <c r="C1221" s="7" t="s">
        <v>18</v>
      </c>
      <c r="D1221" s="4">
        <v>8337586000196</v>
      </c>
      <c r="E1221" s="8" t="s">
        <v>824</v>
      </c>
      <c r="F1221" s="8" t="s">
        <v>62</v>
      </c>
      <c r="G1221" s="7" t="s">
        <v>63</v>
      </c>
      <c r="H1221" s="47" t="s">
        <v>211</v>
      </c>
      <c r="I1221" s="47" t="s">
        <v>212</v>
      </c>
      <c r="J1221" s="6">
        <v>64</v>
      </c>
      <c r="K1221" s="8" t="s">
        <v>25</v>
      </c>
      <c r="L1221" s="1" t="s">
        <v>824</v>
      </c>
      <c r="M1221" s="5">
        <v>2</v>
      </c>
      <c r="Q1221" s="3"/>
      <c r="R1221" s="3"/>
      <c r="S1221" s="3"/>
    </row>
    <row r="1222" spans="1:19" ht="15" x14ac:dyDescent="0.25">
      <c r="A1222" s="7" t="s">
        <v>16</v>
      </c>
      <c r="B1222" s="7" t="s">
        <v>22</v>
      </c>
      <c r="C1222" s="7" t="s">
        <v>18</v>
      </c>
      <c r="D1222" s="4">
        <v>8680639000681</v>
      </c>
      <c r="E1222" s="8" t="s">
        <v>827</v>
      </c>
      <c r="F1222" s="8" t="s">
        <v>747</v>
      </c>
      <c r="G1222" s="7" t="s">
        <v>56</v>
      </c>
      <c r="H1222" s="47" t="s">
        <v>211</v>
      </c>
      <c r="I1222" s="47" t="s">
        <v>212</v>
      </c>
      <c r="J1222" s="6">
        <v>70</v>
      </c>
      <c r="K1222" s="8" t="s">
        <v>20</v>
      </c>
      <c r="L1222" s="1" t="s">
        <v>827</v>
      </c>
      <c r="M1222" s="5">
        <v>140</v>
      </c>
      <c r="Q1222" s="3"/>
      <c r="R1222" s="3"/>
      <c r="S1222" s="3"/>
    </row>
    <row r="1223" spans="1:19" ht="15" x14ac:dyDescent="0.25">
      <c r="A1223" s="7" t="s">
        <v>16</v>
      </c>
      <c r="B1223" s="7" t="s">
        <v>22</v>
      </c>
      <c r="C1223" s="7" t="s">
        <v>18</v>
      </c>
      <c r="D1223" s="4">
        <v>8680639000681</v>
      </c>
      <c r="E1223" s="8" t="s">
        <v>827</v>
      </c>
      <c r="F1223" s="8" t="s">
        <v>747</v>
      </c>
      <c r="G1223" s="7" t="s">
        <v>56</v>
      </c>
      <c r="H1223" s="47" t="s">
        <v>211</v>
      </c>
      <c r="I1223" s="47" t="s">
        <v>212</v>
      </c>
      <c r="J1223" s="6">
        <v>73</v>
      </c>
      <c r="K1223" s="8" t="s">
        <v>26</v>
      </c>
      <c r="L1223" s="1" t="s">
        <v>827</v>
      </c>
      <c r="M1223" s="5">
        <v>80</v>
      </c>
      <c r="Q1223" s="3"/>
      <c r="R1223" s="3"/>
      <c r="S1223" s="3"/>
    </row>
    <row r="1224" spans="1:19" ht="15" x14ac:dyDescent="0.25">
      <c r="A1224" s="7" t="s">
        <v>16</v>
      </c>
      <c r="B1224" s="7" t="s">
        <v>22</v>
      </c>
      <c r="C1224" s="7" t="s">
        <v>18</v>
      </c>
      <c r="D1224" s="4">
        <v>9039744000275</v>
      </c>
      <c r="E1224" s="8" t="s">
        <v>829</v>
      </c>
      <c r="F1224" s="8" t="s">
        <v>99</v>
      </c>
      <c r="G1224" s="7" t="s">
        <v>71</v>
      </c>
      <c r="H1224" s="47" t="s">
        <v>211</v>
      </c>
      <c r="I1224" s="47" t="s">
        <v>212</v>
      </c>
      <c r="J1224" s="6">
        <v>64</v>
      </c>
      <c r="K1224" s="8" t="s">
        <v>25</v>
      </c>
      <c r="L1224" s="1" t="s">
        <v>829</v>
      </c>
      <c r="M1224" s="5">
        <v>7</v>
      </c>
      <c r="Q1224" s="3"/>
      <c r="R1224" s="3"/>
      <c r="S1224" s="3"/>
    </row>
    <row r="1225" spans="1:19" ht="15" x14ac:dyDescent="0.25">
      <c r="A1225" s="7" t="s">
        <v>16</v>
      </c>
      <c r="B1225" s="7" t="s">
        <v>22</v>
      </c>
      <c r="C1225" s="7" t="s">
        <v>18</v>
      </c>
      <c r="D1225" s="4">
        <v>9192098000109</v>
      </c>
      <c r="E1225" s="8" t="s">
        <v>831</v>
      </c>
      <c r="F1225" s="8" t="s">
        <v>832</v>
      </c>
      <c r="G1225" s="7" t="s">
        <v>72</v>
      </c>
      <c r="H1225" s="47" t="s">
        <v>211</v>
      </c>
      <c r="I1225" s="47" t="s">
        <v>212</v>
      </c>
      <c r="J1225" s="6">
        <v>70</v>
      </c>
      <c r="K1225" s="8" t="s">
        <v>20</v>
      </c>
      <c r="L1225" s="1" t="s">
        <v>831</v>
      </c>
      <c r="M1225" s="5">
        <v>100</v>
      </c>
      <c r="Q1225" s="3"/>
      <c r="R1225" s="3"/>
      <c r="S1225" s="3"/>
    </row>
    <row r="1226" spans="1:19" ht="15" x14ac:dyDescent="0.25">
      <c r="A1226" s="7" t="s">
        <v>16</v>
      </c>
      <c r="B1226" s="7" t="s">
        <v>22</v>
      </c>
      <c r="C1226" s="7" t="s">
        <v>18</v>
      </c>
      <c r="D1226" s="4">
        <v>10839561000132</v>
      </c>
      <c r="E1226" s="8" t="s">
        <v>834</v>
      </c>
      <c r="F1226" s="8" t="s">
        <v>70</v>
      </c>
      <c r="G1226" s="7" t="s">
        <v>71</v>
      </c>
      <c r="H1226" s="47" t="s">
        <v>211</v>
      </c>
      <c r="I1226" s="47" t="s">
        <v>212</v>
      </c>
      <c r="J1226" s="6">
        <v>62</v>
      </c>
      <c r="K1226" s="8" t="s">
        <v>27</v>
      </c>
      <c r="L1226" s="1" t="s">
        <v>834</v>
      </c>
      <c r="M1226" s="5">
        <v>6</v>
      </c>
      <c r="Q1226" s="3"/>
      <c r="R1226" s="3"/>
      <c r="S1226" s="3"/>
    </row>
    <row r="1227" spans="1:19" ht="15" x14ac:dyDescent="0.25">
      <c r="A1227" s="7" t="s">
        <v>16</v>
      </c>
      <c r="B1227" s="7" t="s">
        <v>22</v>
      </c>
      <c r="C1227" s="7" t="s">
        <v>18</v>
      </c>
      <c r="D1227" s="4">
        <v>10839561000132</v>
      </c>
      <c r="E1227" s="8" t="s">
        <v>834</v>
      </c>
      <c r="F1227" s="8" t="s">
        <v>70</v>
      </c>
      <c r="G1227" s="7" t="s">
        <v>71</v>
      </c>
      <c r="H1227" s="47" t="s">
        <v>211</v>
      </c>
      <c r="I1227" s="47" t="s">
        <v>212</v>
      </c>
      <c r="J1227" s="6">
        <v>73</v>
      </c>
      <c r="K1227" s="8" t="s">
        <v>26</v>
      </c>
      <c r="L1227" s="1" t="s">
        <v>834</v>
      </c>
      <c r="M1227" s="5">
        <v>28</v>
      </c>
      <c r="Q1227" s="3"/>
      <c r="R1227" s="3"/>
      <c r="S1227" s="3"/>
    </row>
    <row r="1228" spans="1:19" ht="15" x14ac:dyDescent="0.25">
      <c r="A1228" s="7" t="s">
        <v>16</v>
      </c>
      <c r="B1228" s="7" t="s">
        <v>22</v>
      </c>
      <c r="C1228" s="7" t="s">
        <v>18</v>
      </c>
      <c r="D1228" s="4">
        <v>10892164000124</v>
      </c>
      <c r="E1228" s="8" t="s">
        <v>835</v>
      </c>
      <c r="F1228" s="8" t="s">
        <v>70</v>
      </c>
      <c r="G1228" s="7" t="s">
        <v>71</v>
      </c>
      <c r="H1228" s="47" t="s">
        <v>211</v>
      </c>
      <c r="I1228" s="47" t="s">
        <v>212</v>
      </c>
      <c r="J1228" s="6">
        <v>64</v>
      </c>
      <c r="K1228" s="8" t="s">
        <v>25</v>
      </c>
      <c r="L1228" s="1" t="s">
        <v>835</v>
      </c>
      <c r="M1228" s="5">
        <v>10</v>
      </c>
      <c r="Q1228" s="3"/>
      <c r="R1228" s="3"/>
      <c r="S1228" s="3"/>
    </row>
    <row r="1229" spans="1:19" ht="15" x14ac:dyDescent="0.25">
      <c r="A1229" s="7" t="s">
        <v>16</v>
      </c>
      <c r="B1229" s="7" t="s">
        <v>22</v>
      </c>
      <c r="C1229" s="7" t="s">
        <v>18</v>
      </c>
      <c r="D1229" s="4">
        <v>10892164000124</v>
      </c>
      <c r="E1229" s="8" t="s">
        <v>835</v>
      </c>
      <c r="F1229" s="8" t="s">
        <v>70</v>
      </c>
      <c r="G1229" s="7" t="s">
        <v>71</v>
      </c>
      <c r="H1229" s="47" t="s">
        <v>211</v>
      </c>
      <c r="I1229" s="47" t="s">
        <v>212</v>
      </c>
      <c r="J1229" s="6">
        <v>73</v>
      </c>
      <c r="K1229" s="8" t="s">
        <v>26</v>
      </c>
      <c r="L1229" s="1" t="s">
        <v>835</v>
      </c>
      <c r="M1229" s="5">
        <v>40</v>
      </c>
      <c r="Q1229" s="3"/>
      <c r="R1229" s="3"/>
      <c r="S1229" s="3"/>
    </row>
    <row r="1230" spans="1:19" ht="15" x14ac:dyDescent="0.25">
      <c r="A1230" s="7" t="s">
        <v>16</v>
      </c>
      <c r="B1230" s="7" t="s">
        <v>22</v>
      </c>
      <c r="C1230" s="7" t="s">
        <v>18</v>
      </c>
      <c r="D1230" s="4">
        <v>11006293000130</v>
      </c>
      <c r="E1230" s="8" t="s">
        <v>838</v>
      </c>
      <c r="F1230" s="8" t="s">
        <v>777</v>
      </c>
      <c r="G1230" s="7" t="s">
        <v>72</v>
      </c>
      <c r="H1230" s="47" t="s">
        <v>211</v>
      </c>
      <c r="I1230" s="47" t="s">
        <v>212</v>
      </c>
      <c r="J1230" s="6">
        <v>70</v>
      </c>
      <c r="K1230" s="8" t="s">
        <v>20</v>
      </c>
      <c r="L1230" s="1" t="s">
        <v>838</v>
      </c>
      <c r="M1230" s="5">
        <v>450</v>
      </c>
      <c r="Q1230" s="3"/>
      <c r="R1230" s="3"/>
      <c r="S1230" s="3"/>
    </row>
    <row r="1231" spans="1:19" ht="15" x14ac:dyDescent="0.25">
      <c r="A1231" s="7" t="s">
        <v>16</v>
      </c>
      <c r="B1231" s="7" t="s">
        <v>22</v>
      </c>
      <c r="C1231" s="7" t="s">
        <v>18</v>
      </c>
      <c r="D1231" s="4">
        <v>11022597001597</v>
      </c>
      <c r="E1231" s="8" t="s">
        <v>840</v>
      </c>
      <c r="F1231" s="8" t="s">
        <v>70</v>
      </c>
      <c r="G1231" s="7" t="s">
        <v>71</v>
      </c>
      <c r="H1231" s="47" t="s">
        <v>211</v>
      </c>
      <c r="I1231" s="47" t="s">
        <v>212</v>
      </c>
      <c r="J1231" s="6">
        <v>64</v>
      </c>
      <c r="K1231" s="8" t="s">
        <v>25</v>
      </c>
      <c r="L1231" s="1" t="s">
        <v>840</v>
      </c>
      <c r="M1231" s="5">
        <v>25</v>
      </c>
      <c r="Q1231" s="3"/>
      <c r="R1231" s="3"/>
      <c r="S1231" s="3"/>
    </row>
    <row r="1232" spans="1:19" ht="15" x14ac:dyDescent="0.25">
      <c r="A1232" s="7" t="s">
        <v>16</v>
      </c>
      <c r="B1232" s="7" t="s">
        <v>22</v>
      </c>
      <c r="C1232" s="7" t="s">
        <v>18</v>
      </c>
      <c r="D1232" s="4">
        <v>11214624000470</v>
      </c>
      <c r="E1232" s="8" t="s">
        <v>841</v>
      </c>
      <c r="F1232" s="8" t="s">
        <v>70</v>
      </c>
      <c r="G1232" s="7" t="s">
        <v>71</v>
      </c>
      <c r="H1232" s="47" t="s">
        <v>211</v>
      </c>
      <c r="I1232" s="47" t="s">
        <v>212</v>
      </c>
      <c r="J1232" s="6">
        <v>70</v>
      </c>
      <c r="K1232" s="8" t="s">
        <v>20</v>
      </c>
      <c r="L1232" s="1" t="s">
        <v>841</v>
      </c>
      <c r="M1232" s="5">
        <v>50</v>
      </c>
      <c r="Q1232" s="3"/>
      <c r="R1232" s="3"/>
      <c r="S1232" s="3"/>
    </row>
    <row r="1233" spans="1:19" ht="15" x14ac:dyDescent="0.25">
      <c r="A1233" s="7" t="s">
        <v>16</v>
      </c>
      <c r="B1233" s="7" t="s">
        <v>22</v>
      </c>
      <c r="C1233" s="7" t="s">
        <v>18</v>
      </c>
      <c r="D1233" s="4">
        <v>11214624001957</v>
      </c>
      <c r="E1233" s="8" t="s">
        <v>842</v>
      </c>
      <c r="F1233" s="8" t="s">
        <v>70</v>
      </c>
      <c r="G1233" s="7" t="s">
        <v>71</v>
      </c>
      <c r="H1233" s="47" t="s">
        <v>211</v>
      </c>
      <c r="I1233" s="47" t="s">
        <v>212</v>
      </c>
      <c r="J1233" s="6">
        <v>64</v>
      </c>
      <c r="K1233" s="8" t="s">
        <v>25</v>
      </c>
      <c r="L1233" s="1" t="s">
        <v>842</v>
      </c>
      <c r="M1233" s="5">
        <v>6</v>
      </c>
      <c r="Q1233" s="3"/>
      <c r="R1233" s="3"/>
      <c r="S1233" s="3"/>
    </row>
    <row r="1234" spans="1:19" ht="15" x14ac:dyDescent="0.25">
      <c r="A1234" s="7" t="s">
        <v>16</v>
      </c>
      <c r="B1234" s="7" t="s">
        <v>22</v>
      </c>
      <c r="C1234" s="7" t="s">
        <v>18</v>
      </c>
      <c r="D1234" s="4">
        <v>11452240000143</v>
      </c>
      <c r="E1234" s="8" t="s">
        <v>844</v>
      </c>
      <c r="F1234" s="8" t="s">
        <v>70</v>
      </c>
      <c r="G1234" s="7" t="s">
        <v>71</v>
      </c>
      <c r="H1234" s="47" t="s">
        <v>211</v>
      </c>
      <c r="I1234" s="47" t="s">
        <v>212</v>
      </c>
      <c r="J1234" s="6">
        <v>62</v>
      </c>
      <c r="K1234" s="8" t="s">
        <v>27</v>
      </c>
      <c r="L1234" s="1" t="s">
        <v>844</v>
      </c>
      <c r="M1234" s="5">
        <v>4</v>
      </c>
      <c r="Q1234" s="3"/>
      <c r="R1234" s="3"/>
      <c r="S1234" s="3"/>
    </row>
    <row r="1235" spans="1:19" ht="15" x14ac:dyDescent="0.25">
      <c r="A1235" s="7" t="s">
        <v>16</v>
      </c>
      <c r="B1235" s="7" t="s">
        <v>22</v>
      </c>
      <c r="C1235" s="7" t="s">
        <v>18</v>
      </c>
      <c r="D1235" s="4">
        <v>12361267000274</v>
      </c>
      <c r="E1235" s="8" t="s">
        <v>1159</v>
      </c>
      <c r="F1235" s="8" t="s">
        <v>1129</v>
      </c>
      <c r="G1235" s="7" t="s">
        <v>52</v>
      </c>
      <c r="H1235" s="47" t="s">
        <v>211</v>
      </c>
      <c r="I1235" s="47" t="s">
        <v>212</v>
      </c>
      <c r="J1235" s="6">
        <v>64</v>
      </c>
      <c r="K1235" s="8" t="s">
        <v>25</v>
      </c>
      <c r="L1235" s="1" t="s">
        <v>1159</v>
      </c>
      <c r="M1235" s="5">
        <v>4</v>
      </c>
      <c r="Q1235" s="3"/>
      <c r="R1235" s="3"/>
      <c r="S1235" s="3"/>
    </row>
    <row r="1236" spans="1:19" ht="15" x14ac:dyDescent="0.25">
      <c r="A1236" s="7" t="s">
        <v>16</v>
      </c>
      <c r="B1236" s="7" t="s">
        <v>22</v>
      </c>
      <c r="C1236" s="7" t="s">
        <v>18</v>
      </c>
      <c r="D1236" s="4">
        <v>12361267000517</v>
      </c>
      <c r="E1236" s="8" t="s">
        <v>849</v>
      </c>
      <c r="F1236" s="8" t="s">
        <v>84</v>
      </c>
      <c r="G1236" s="7" t="s">
        <v>85</v>
      </c>
      <c r="H1236" s="47" t="s">
        <v>211</v>
      </c>
      <c r="I1236" s="47" t="s">
        <v>212</v>
      </c>
      <c r="J1236" s="6">
        <v>64</v>
      </c>
      <c r="K1236" s="8" t="s">
        <v>25</v>
      </c>
      <c r="L1236" s="1" t="s">
        <v>849</v>
      </c>
      <c r="M1236" s="5">
        <v>2</v>
      </c>
      <c r="Q1236" s="3"/>
      <c r="R1236" s="3"/>
      <c r="S1236" s="3"/>
    </row>
    <row r="1237" spans="1:19" ht="15" x14ac:dyDescent="0.25">
      <c r="A1237" s="7" t="s">
        <v>16</v>
      </c>
      <c r="B1237" s="7" t="s">
        <v>22</v>
      </c>
      <c r="C1237" s="7" t="s">
        <v>18</v>
      </c>
      <c r="D1237" s="4">
        <v>12361267000789</v>
      </c>
      <c r="E1237" s="8" t="s">
        <v>850</v>
      </c>
      <c r="F1237" s="8" t="s">
        <v>777</v>
      </c>
      <c r="G1237" s="7" t="s">
        <v>72</v>
      </c>
      <c r="H1237" s="47" t="s">
        <v>211</v>
      </c>
      <c r="I1237" s="47" t="s">
        <v>212</v>
      </c>
      <c r="J1237" s="6">
        <v>64</v>
      </c>
      <c r="K1237" s="8" t="s">
        <v>25</v>
      </c>
      <c r="L1237" s="1" t="s">
        <v>850</v>
      </c>
      <c r="M1237" s="5">
        <v>2</v>
      </c>
      <c r="Q1237" s="3"/>
      <c r="R1237" s="3"/>
      <c r="S1237" s="3"/>
    </row>
    <row r="1238" spans="1:19" ht="15" x14ac:dyDescent="0.25">
      <c r="A1238" s="7" t="s">
        <v>16</v>
      </c>
      <c r="B1238" s="7" t="s">
        <v>22</v>
      </c>
      <c r="C1238" s="7" t="s">
        <v>18</v>
      </c>
      <c r="D1238" s="4">
        <v>12361267000860</v>
      </c>
      <c r="E1238" s="8" t="s">
        <v>851</v>
      </c>
      <c r="F1238" s="8" t="s">
        <v>742</v>
      </c>
      <c r="G1238" s="7" t="s">
        <v>91</v>
      </c>
      <c r="H1238" s="47" t="s">
        <v>211</v>
      </c>
      <c r="I1238" s="47" t="s">
        <v>212</v>
      </c>
      <c r="J1238" s="6">
        <v>64</v>
      </c>
      <c r="K1238" s="8" t="s">
        <v>25</v>
      </c>
      <c r="L1238" s="1" t="s">
        <v>851</v>
      </c>
      <c r="M1238" s="5">
        <v>2</v>
      </c>
      <c r="Q1238" s="3"/>
      <c r="R1238" s="3"/>
      <c r="S1238" s="3"/>
    </row>
    <row r="1239" spans="1:19" ht="15" x14ac:dyDescent="0.25">
      <c r="A1239" s="7" t="s">
        <v>16</v>
      </c>
      <c r="B1239" s="7" t="s">
        <v>22</v>
      </c>
      <c r="C1239" s="7" t="s">
        <v>18</v>
      </c>
      <c r="D1239" s="4">
        <v>12361267004008</v>
      </c>
      <c r="E1239" s="8" t="s">
        <v>852</v>
      </c>
      <c r="F1239" s="8" t="s">
        <v>81</v>
      </c>
      <c r="G1239" s="7" t="s">
        <v>82</v>
      </c>
      <c r="H1239" s="47" t="s">
        <v>211</v>
      </c>
      <c r="I1239" s="47" t="s">
        <v>212</v>
      </c>
      <c r="J1239" s="6">
        <v>64</v>
      </c>
      <c r="K1239" s="8" t="s">
        <v>25</v>
      </c>
      <c r="L1239" s="1" t="s">
        <v>852</v>
      </c>
      <c r="M1239" s="5">
        <v>2</v>
      </c>
      <c r="Q1239" s="3"/>
      <c r="R1239" s="3"/>
      <c r="S1239" s="3"/>
    </row>
    <row r="1240" spans="1:19" ht="15" x14ac:dyDescent="0.25">
      <c r="A1240" s="7" t="s">
        <v>16</v>
      </c>
      <c r="B1240" s="7" t="s">
        <v>22</v>
      </c>
      <c r="C1240" s="7" t="s">
        <v>18</v>
      </c>
      <c r="D1240" s="4">
        <v>12361267007287</v>
      </c>
      <c r="E1240" s="8" t="s">
        <v>853</v>
      </c>
      <c r="F1240" s="8" t="s">
        <v>70</v>
      </c>
      <c r="G1240" s="7" t="s">
        <v>71</v>
      </c>
      <c r="H1240" s="47" t="s">
        <v>211</v>
      </c>
      <c r="I1240" s="47" t="s">
        <v>212</v>
      </c>
      <c r="J1240" s="6">
        <v>62</v>
      </c>
      <c r="K1240" s="8" t="s">
        <v>27</v>
      </c>
      <c r="L1240" s="1" t="s">
        <v>853</v>
      </c>
      <c r="M1240" s="5">
        <v>16</v>
      </c>
      <c r="Q1240" s="3"/>
      <c r="R1240" s="3"/>
      <c r="S1240" s="3"/>
    </row>
    <row r="1241" spans="1:19" ht="15" x14ac:dyDescent="0.25">
      <c r="A1241" s="7" t="s">
        <v>16</v>
      </c>
      <c r="B1241" s="7" t="s">
        <v>22</v>
      </c>
      <c r="C1241" s="7" t="s">
        <v>18</v>
      </c>
      <c r="D1241" s="4">
        <v>12361267007287</v>
      </c>
      <c r="E1241" s="8" t="s">
        <v>853</v>
      </c>
      <c r="F1241" s="8" t="s">
        <v>70</v>
      </c>
      <c r="G1241" s="7" t="s">
        <v>71</v>
      </c>
      <c r="H1241" s="47" t="s">
        <v>211</v>
      </c>
      <c r="I1241" s="47" t="s">
        <v>212</v>
      </c>
      <c r="J1241" s="6">
        <v>64</v>
      </c>
      <c r="K1241" s="8" t="s">
        <v>25</v>
      </c>
      <c r="L1241" s="1" t="s">
        <v>853</v>
      </c>
      <c r="M1241" s="5">
        <v>8</v>
      </c>
      <c r="Q1241" s="3"/>
      <c r="R1241" s="3"/>
      <c r="S1241" s="3"/>
    </row>
    <row r="1242" spans="1:19" ht="15" x14ac:dyDescent="0.25">
      <c r="A1242" s="7" t="s">
        <v>16</v>
      </c>
      <c r="B1242" s="7" t="s">
        <v>22</v>
      </c>
      <c r="C1242" s="7" t="s">
        <v>18</v>
      </c>
      <c r="D1242" s="4">
        <v>12361267008410</v>
      </c>
      <c r="E1242" s="8" t="s">
        <v>854</v>
      </c>
      <c r="F1242" s="8" t="s">
        <v>855</v>
      </c>
      <c r="G1242" s="7" t="s">
        <v>77</v>
      </c>
      <c r="H1242" s="47" t="s">
        <v>211</v>
      </c>
      <c r="I1242" s="47" t="s">
        <v>212</v>
      </c>
      <c r="J1242" s="6">
        <v>64</v>
      </c>
      <c r="K1242" s="8" t="s">
        <v>25</v>
      </c>
      <c r="L1242" s="1" t="s">
        <v>854</v>
      </c>
      <c r="M1242" s="5">
        <v>2</v>
      </c>
      <c r="Q1242" s="3"/>
      <c r="R1242" s="3"/>
      <c r="S1242" s="3"/>
    </row>
    <row r="1243" spans="1:19" ht="15" x14ac:dyDescent="0.25">
      <c r="A1243" s="7" t="s">
        <v>16</v>
      </c>
      <c r="B1243" s="7" t="s">
        <v>22</v>
      </c>
      <c r="C1243" s="7" t="s">
        <v>18</v>
      </c>
      <c r="D1243" s="4">
        <v>12361267008844</v>
      </c>
      <c r="E1243" s="8" t="s">
        <v>856</v>
      </c>
      <c r="F1243" s="8" t="s">
        <v>857</v>
      </c>
      <c r="G1243" s="7" t="s">
        <v>56</v>
      </c>
      <c r="H1243" s="47" t="s">
        <v>211</v>
      </c>
      <c r="I1243" s="47" t="s">
        <v>212</v>
      </c>
      <c r="J1243" s="6">
        <v>62</v>
      </c>
      <c r="K1243" s="8" t="s">
        <v>27</v>
      </c>
      <c r="L1243" s="1" t="s">
        <v>856</v>
      </c>
      <c r="M1243" s="5">
        <v>2</v>
      </c>
      <c r="Q1243" s="3"/>
      <c r="R1243" s="3"/>
      <c r="S1243" s="3"/>
    </row>
    <row r="1244" spans="1:19" ht="15" x14ac:dyDescent="0.25">
      <c r="A1244" s="7" t="s">
        <v>16</v>
      </c>
      <c r="B1244" s="7" t="s">
        <v>22</v>
      </c>
      <c r="C1244" s="7" t="s">
        <v>18</v>
      </c>
      <c r="D1244" s="4">
        <v>12361267008844</v>
      </c>
      <c r="E1244" s="8" t="s">
        <v>856</v>
      </c>
      <c r="F1244" s="8" t="s">
        <v>857</v>
      </c>
      <c r="G1244" s="7" t="s">
        <v>56</v>
      </c>
      <c r="H1244" s="47" t="s">
        <v>211</v>
      </c>
      <c r="I1244" s="47" t="s">
        <v>212</v>
      </c>
      <c r="J1244" s="6">
        <v>64</v>
      </c>
      <c r="K1244" s="8" t="s">
        <v>25</v>
      </c>
      <c r="L1244" s="1" t="s">
        <v>856</v>
      </c>
      <c r="M1244" s="5">
        <v>2</v>
      </c>
      <c r="Q1244" s="3"/>
      <c r="R1244" s="3"/>
      <c r="S1244" s="3"/>
    </row>
    <row r="1245" spans="1:19" ht="15" x14ac:dyDescent="0.25">
      <c r="A1245" s="7" t="s">
        <v>16</v>
      </c>
      <c r="B1245" s="7" t="s">
        <v>22</v>
      </c>
      <c r="C1245" s="7" t="s">
        <v>18</v>
      </c>
      <c r="D1245" s="4">
        <v>12361267009140</v>
      </c>
      <c r="E1245" s="8" t="s">
        <v>858</v>
      </c>
      <c r="F1245" s="8" t="s">
        <v>859</v>
      </c>
      <c r="G1245" s="7" t="s">
        <v>63</v>
      </c>
      <c r="H1245" s="47" t="s">
        <v>211</v>
      </c>
      <c r="I1245" s="47" t="s">
        <v>212</v>
      </c>
      <c r="J1245" s="6">
        <v>70</v>
      </c>
      <c r="K1245" s="8" t="s">
        <v>20</v>
      </c>
      <c r="L1245" s="1" t="s">
        <v>858</v>
      </c>
      <c r="M1245" s="5">
        <v>5</v>
      </c>
      <c r="Q1245" s="3"/>
      <c r="R1245" s="3"/>
      <c r="S1245" s="3"/>
    </row>
    <row r="1246" spans="1:19" ht="15" x14ac:dyDescent="0.25">
      <c r="A1246" s="7" t="s">
        <v>16</v>
      </c>
      <c r="B1246" s="7" t="s">
        <v>22</v>
      </c>
      <c r="C1246" s="7" t="s">
        <v>18</v>
      </c>
      <c r="D1246" s="4">
        <v>12361267009654</v>
      </c>
      <c r="E1246" s="8" t="s">
        <v>860</v>
      </c>
      <c r="F1246" s="8" t="s">
        <v>62</v>
      </c>
      <c r="G1246" s="7" t="s">
        <v>63</v>
      </c>
      <c r="H1246" s="47" t="s">
        <v>211</v>
      </c>
      <c r="I1246" s="47" t="s">
        <v>212</v>
      </c>
      <c r="J1246" s="6">
        <v>62</v>
      </c>
      <c r="K1246" s="8" t="s">
        <v>27</v>
      </c>
      <c r="L1246" s="1" t="s">
        <v>860</v>
      </c>
      <c r="M1246" s="5">
        <v>2</v>
      </c>
      <c r="Q1246" s="3"/>
      <c r="R1246" s="3"/>
      <c r="S1246" s="3"/>
    </row>
    <row r="1247" spans="1:19" ht="15" x14ac:dyDescent="0.25">
      <c r="A1247" s="7" t="s">
        <v>16</v>
      </c>
      <c r="B1247" s="7" t="s">
        <v>22</v>
      </c>
      <c r="C1247" s="7" t="s">
        <v>18</v>
      </c>
      <c r="D1247" s="4">
        <v>12361267009654</v>
      </c>
      <c r="E1247" s="8" t="s">
        <v>860</v>
      </c>
      <c r="F1247" s="8" t="s">
        <v>62</v>
      </c>
      <c r="G1247" s="7" t="s">
        <v>63</v>
      </c>
      <c r="H1247" s="47" t="s">
        <v>211</v>
      </c>
      <c r="I1247" s="47" t="s">
        <v>212</v>
      </c>
      <c r="J1247" s="6">
        <v>64</v>
      </c>
      <c r="K1247" s="8" t="s">
        <v>25</v>
      </c>
      <c r="L1247" s="1" t="s">
        <v>860</v>
      </c>
      <c r="M1247" s="5">
        <v>2</v>
      </c>
      <c r="Q1247" s="3"/>
      <c r="R1247" s="3"/>
      <c r="S1247" s="3"/>
    </row>
    <row r="1248" spans="1:19" ht="15" x14ac:dyDescent="0.25">
      <c r="A1248" s="7" t="s">
        <v>16</v>
      </c>
      <c r="B1248" s="7" t="s">
        <v>22</v>
      </c>
      <c r="C1248" s="7" t="s">
        <v>18</v>
      </c>
      <c r="D1248" s="4">
        <v>12361267010407</v>
      </c>
      <c r="E1248" s="8" t="s">
        <v>862</v>
      </c>
      <c r="F1248" s="8" t="s">
        <v>86</v>
      </c>
      <c r="G1248" s="7" t="s">
        <v>74</v>
      </c>
      <c r="H1248" s="47" t="s">
        <v>211</v>
      </c>
      <c r="I1248" s="47" t="s">
        <v>212</v>
      </c>
      <c r="J1248" s="6">
        <v>64</v>
      </c>
      <c r="K1248" s="8" t="s">
        <v>25</v>
      </c>
      <c r="L1248" s="1" t="s">
        <v>862</v>
      </c>
      <c r="M1248" s="5">
        <v>2</v>
      </c>
      <c r="Q1248" s="3"/>
      <c r="R1248" s="3"/>
      <c r="S1248" s="3"/>
    </row>
    <row r="1249" spans="1:19" ht="15" x14ac:dyDescent="0.25">
      <c r="A1249" s="7" t="s">
        <v>16</v>
      </c>
      <c r="B1249" s="7" t="s">
        <v>22</v>
      </c>
      <c r="C1249" s="7" t="s">
        <v>18</v>
      </c>
      <c r="D1249" s="4">
        <v>12361267011632</v>
      </c>
      <c r="E1249" s="8" t="s">
        <v>1160</v>
      </c>
      <c r="F1249" s="8" t="s">
        <v>109</v>
      </c>
      <c r="G1249" s="7" t="s">
        <v>110</v>
      </c>
      <c r="H1249" s="47" t="s">
        <v>211</v>
      </c>
      <c r="I1249" s="47" t="s">
        <v>212</v>
      </c>
      <c r="J1249" s="6">
        <v>62</v>
      </c>
      <c r="K1249" s="8" t="s">
        <v>27</v>
      </c>
      <c r="L1249" s="1" t="s">
        <v>1160</v>
      </c>
      <c r="M1249" s="5">
        <v>4</v>
      </c>
      <c r="Q1249" s="3"/>
      <c r="R1249" s="3"/>
      <c r="S1249" s="3"/>
    </row>
    <row r="1250" spans="1:19" ht="15" x14ac:dyDescent="0.25">
      <c r="A1250" s="7" t="s">
        <v>16</v>
      </c>
      <c r="B1250" s="7" t="s">
        <v>22</v>
      </c>
      <c r="C1250" s="7" t="s">
        <v>18</v>
      </c>
      <c r="D1250" s="4">
        <v>12361267011632</v>
      </c>
      <c r="E1250" s="8" t="s">
        <v>1160</v>
      </c>
      <c r="F1250" s="8" t="s">
        <v>109</v>
      </c>
      <c r="G1250" s="7" t="s">
        <v>110</v>
      </c>
      <c r="H1250" s="47" t="s">
        <v>211</v>
      </c>
      <c r="I1250" s="47" t="s">
        <v>212</v>
      </c>
      <c r="J1250" s="6">
        <v>64</v>
      </c>
      <c r="K1250" s="8" t="s">
        <v>25</v>
      </c>
      <c r="L1250" s="1" t="s">
        <v>1160</v>
      </c>
      <c r="M1250" s="5">
        <v>2</v>
      </c>
      <c r="Q1250" s="3"/>
      <c r="R1250" s="3"/>
      <c r="S1250" s="3"/>
    </row>
    <row r="1251" spans="1:19" ht="15" x14ac:dyDescent="0.25">
      <c r="A1251" s="7" t="s">
        <v>16</v>
      </c>
      <c r="B1251" s="7" t="s">
        <v>22</v>
      </c>
      <c r="C1251" s="7" t="s">
        <v>18</v>
      </c>
      <c r="D1251" s="4">
        <v>12442737000496</v>
      </c>
      <c r="E1251" s="8" t="s">
        <v>865</v>
      </c>
      <c r="F1251" s="8" t="s">
        <v>742</v>
      </c>
      <c r="G1251" s="7" t="s">
        <v>91</v>
      </c>
      <c r="H1251" s="47" t="s">
        <v>211</v>
      </c>
      <c r="I1251" s="47" t="s">
        <v>212</v>
      </c>
      <c r="J1251" s="6">
        <v>62</v>
      </c>
      <c r="K1251" s="8" t="s">
        <v>27</v>
      </c>
      <c r="L1251" s="1" t="s">
        <v>865</v>
      </c>
      <c r="M1251" s="5">
        <v>2</v>
      </c>
      <c r="Q1251" s="3"/>
      <c r="R1251" s="3"/>
      <c r="S1251" s="3"/>
    </row>
    <row r="1252" spans="1:19" ht="15" x14ac:dyDescent="0.25">
      <c r="A1252" s="7" t="s">
        <v>16</v>
      </c>
      <c r="B1252" s="7" t="s">
        <v>22</v>
      </c>
      <c r="C1252" s="7" t="s">
        <v>18</v>
      </c>
      <c r="D1252" s="4">
        <v>13131370000100</v>
      </c>
      <c r="E1252" s="8" t="s">
        <v>870</v>
      </c>
      <c r="F1252" s="8" t="s">
        <v>84</v>
      </c>
      <c r="G1252" s="7" t="s">
        <v>85</v>
      </c>
      <c r="H1252" s="47" t="s">
        <v>211</v>
      </c>
      <c r="I1252" s="47" t="s">
        <v>212</v>
      </c>
      <c r="J1252" s="6">
        <v>70</v>
      </c>
      <c r="K1252" s="8" t="s">
        <v>20</v>
      </c>
      <c r="L1252" s="1" t="s">
        <v>870</v>
      </c>
      <c r="M1252" s="5">
        <v>300</v>
      </c>
      <c r="Q1252" s="3"/>
      <c r="R1252" s="3"/>
      <c r="S1252" s="3"/>
    </row>
    <row r="1253" spans="1:19" ht="15" x14ac:dyDescent="0.25">
      <c r="A1253" s="7" t="s">
        <v>16</v>
      </c>
      <c r="B1253" s="7" t="s">
        <v>22</v>
      </c>
      <c r="C1253" s="7" t="s">
        <v>18</v>
      </c>
      <c r="D1253" s="4">
        <v>13131370000100</v>
      </c>
      <c r="E1253" s="8" t="s">
        <v>870</v>
      </c>
      <c r="F1253" s="8" t="s">
        <v>84</v>
      </c>
      <c r="G1253" s="7" t="s">
        <v>85</v>
      </c>
      <c r="H1253" s="47" t="s">
        <v>211</v>
      </c>
      <c r="I1253" s="47" t="s">
        <v>212</v>
      </c>
      <c r="J1253" s="6">
        <v>73</v>
      </c>
      <c r="K1253" s="8" t="s">
        <v>26</v>
      </c>
      <c r="L1253" s="1" t="s">
        <v>870</v>
      </c>
      <c r="M1253" s="5">
        <v>38</v>
      </c>
      <c r="Q1253" s="3"/>
      <c r="R1253" s="3"/>
      <c r="S1253" s="3"/>
    </row>
    <row r="1254" spans="1:19" ht="15" x14ac:dyDescent="0.25">
      <c r="A1254" s="7" t="s">
        <v>16</v>
      </c>
      <c r="B1254" s="7" t="s">
        <v>22</v>
      </c>
      <c r="C1254" s="7" t="s">
        <v>18</v>
      </c>
      <c r="D1254" s="4">
        <v>15126437000496</v>
      </c>
      <c r="E1254" s="8" t="s">
        <v>880</v>
      </c>
      <c r="F1254" s="8" t="s">
        <v>777</v>
      </c>
      <c r="G1254" s="7" t="s">
        <v>72</v>
      </c>
      <c r="H1254" s="47" t="s">
        <v>211</v>
      </c>
      <c r="I1254" s="47" t="s">
        <v>212</v>
      </c>
      <c r="J1254" s="6">
        <v>70</v>
      </c>
      <c r="K1254" s="8" t="s">
        <v>20</v>
      </c>
      <c r="L1254" s="1" t="s">
        <v>880</v>
      </c>
      <c r="M1254" s="5">
        <v>500</v>
      </c>
      <c r="Q1254" s="3"/>
      <c r="R1254" s="3"/>
      <c r="S1254" s="3"/>
    </row>
    <row r="1255" spans="1:19" ht="15" x14ac:dyDescent="0.25">
      <c r="A1255" s="7" t="s">
        <v>16</v>
      </c>
      <c r="B1255" s="7" t="s">
        <v>22</v>
      </c>
      <c r="C1255" s="7" t="s">
        <v>18</v>
      </c>
      <c r="D1255" s="4">
        <v>15126437000739</v>
      </c>
      <c r="E1255" s="8" t="s">
        <v>881</v>
      </c>
      <c r="F1255" s="8" t="s">
        <v>62</v>
      </c>
      <c r="G1255" s="7" t="s">
        <v>63</v>
      </c>
      <c r="H1255" s="47" t="s">
        <v>211</v>
      </c>
      <c r="I1255" s="47" t="s">
        <v>212</v>
      </c>
      <c r="J1255" s="6">
        <v>64</v>
      </c>
      <c r="K1255" s="8" t="s">
        <v>25</v>
      </c>
      <c r="L1255" s="1" t="s">
        <v>881</v>
      </c>
      <c r="M1255" s="5">
        <v>50</v>
      </c>
      <c r="Q1255" s="3"/>
      <c r="R1255" s="3"/>
      <c r="S1255" s="3"/>
    </row>
    <row r="1256" spans="1:19" ht="15" x14ac:dyDescent="0.25">
      <c r="A1256" s="7" t="s">
        <v>16</v>
      </c>
      <c r="B1256" s="7" t="s">
        <v>22</v>
      </c>
      <c r="C1256" s="7" t="s">
        <v>18</v>
      </c>
      <c r="D1256" s="4">
        <v>15126437001204</v>
      </c>
      <c r="E1256" s="8" t="s">
        <v>882</v>
      </c>
      <c r="F1256" s="8" t="s">
        <v>772</v>
      </c>
      <c r="G1256" s="7" t="s">
        <v>69</v>
      </c>
      <c r="H1256" s="47" t="s">
        <v>211</v>
      </c>
      <c r="I1256" s="47" t="s">
        <v>212</v>
      </c>
      <c r="J1256" s="6">
        <v>70</v>
      </c>
      <c r="K1256" s="8" t="s">
        <v>20</v>
      </c>
      <c r="L1256" s="1" t="s">
        <v>882</v>
      </c>
      <c r="M1256" s="5">
        <v>750</v>
      </c>
      <c r="Q1256" s="3"/>
      <c r="R1256" s="3"/>
      <c r="S1256" s="3"/>
    </row>
    <row r="1257" spans="1:19" ht="15" x14ac:dyDescent="0.25">
      <c r="A1257" s="7" t="s">
        <v>16</v>
      </c>
      <c r="B1257" s="7" t="s">
        <v>22</v>
      </c>
      <c r="C1257" s="7" t="s">
        <v>18</v>
      </c>
      <c r="D1257" s="4">
        <v>15592785000106</v>
      </c>
      <c r="E1257" s="8" t="s">
        <v>897</v>
      </c>
      <c r="F1257" s="8" t="s">
        <v>84</v>
      </c>
      <c r="G1257" s="7" t="s">
        <v>85</v>
      </c>
      <c r="H1257" s="47" t="s">
        <v>211</v>
      </c>
      <c r="I1257" s="47" t="s">
        <v>212</v>
      </c>
      <c r="J1257" s="6">
        <v>70</v>
      </c>
      <c r="K1257" s="8" t="s">
        <v>20</v>
      </c>
      <c r="L1257" s="1" t="s">
        <v>897</v>
      </c>
      <c r="M1257" s="5">
        <v>30</v>
      </c>
      <c r="Q1257" s="3"/>
      <c r="R1257" s="3"/>
      <c r="S1257" s="3"/>
    </row>
    <row r="1258" spans="1:19" ht="15" x14ac:dyDescent="0.25">
      <c r="A1258" s="7" t="s">
        <v>16</v>
      </c>
      <c r="B1258" s="7" t="s">
        <v>22</v>
      </c>
      <c r="C1258" s="7" t="s">
        <v>18</v>
      </c>
      <c r="D1258" s="4">
        <v>29435005009851</v>
      </c>
      <c r="E1258" s="8" t="s">
        <v>913</v>
      </c>
      <c r="F1258" s="8" t="s">
        <v>62</v>
      </c>
      <c r="G1258" s="7" t="s">
        <v>63</v>
      </c>
      <c r="H1258" s="47" t="s">
        <v>211</v>
      </c>
      <c r="I1258" s="47" t="s">
        <v>212</v>
      </c>
      <c r="J1258" s="6">
        <v>64</v>
      </c>
      <c r="K1258" s="8" t="s">
        <v>25</v>
      </c>
      <c r="L1258" s="1" t="s">
        <v>913</v>
      </c>
      <c r="M1258" s="5">
        <v>70</v>
      </c>
      <c r="Q1258" s="3"/>
      <c r="R1258" s="3"/>
      <c r="S1258" s="3"/>
    </row>
    <row r="1259" spans="1:19" ht="15" x14ac:dyDescent="0.25">
      <c r="A1259" s="7" t="s">
        <v>16</v>
      </c>
      <c r="B1259" s="7" t="s">
        <v>22</v>
      </c>
      <c r="C1259" s="7" t="s">
        <v>18</v>
      </c>
      <c r="D1259" s="4">
        <v>29435005009851</v>
      </c>
      <c r="E1259" s="8" t="s">
        <v>913</v>
      </c>
      <c r="F1259" s="8" t="s">
        <v>62</v>
      </c>
      <c r="G1259" s="7" t="s">
        <v>63</v>
      </c>
      <c r="H1259" s="47" t="s">
        <v>211</v>
      </c>
      <c r="I1259" s="47" t="s">
        <v>212</v>
      </c>
      <c r="J1259" s="6">
        <v>70</v>
      </c>
      <c r="K1259" s="8" t="s">
        <v>20</v>
      </c>
      <c r="L1259" s="1" t="s">
        <v>913</v>
      </c>
      <c r="M1259" s="5">
        <v>125</v>
      </c>
      <c r="Q1259" s="3"/>
      <c r="R1259" s="3"/>
      <c r="S1259" s="3"/>
    </row>
    <row r="1260" spans="1:19" ht="15" x14ac:dyDescent="0.25">
      <c r="A1260" s="7" t="s">
        <v>16</v>
      </c>
      <c r="B1260" s="7" t="s">
        <v>22</v>
      </c>
      <c r="C1260" s="7" t="s">
        <v>18</v>
      </c>
      <c r="D1260" s="4">
        <v>33000167002155</v>
      </c>
      <c r="E1260" s="8" t="s">
        <v>915</v>
      </c>
      <c r="F1260" s="8" t="s">
        <v>128</v>
      </c>
      <c r="G1260" s="7" t="s">
        <v>59</v>
      </c>
      <c r="H1260" s="47" t="s">
        <v>211</v>
      </c>
      <c r="I1260" s="47" t="s">
        <v>212</v>
      </c>
      <c r="J1260" s="6">
        <v>70</v>
      </c>
      <c r="K1260" s="8" t="s">
        <v>20</v>
      </c>
      <c r="L1260" s="1" t="s">
        <v>915</v>
      </c>
      <c r="M1260" s="5">
        <v>25</v>
      </c>
      <c r="Q1260" s="3"/>
      <c r="R1260" s="3"/>
      <c r="S1260" s="3"/>
    </row>
    <row r="1261" spans="1:19" ht="15" x14ac:dyDescent="0.25">
      <c r="A1261" s="7" t="s">
        <v>16</v>
      </c>
      <c r="B1261" s="7" t="s">
        <v>22</v>
      </c>
      <c r="C1261" s="7" t="s">
        <v>18</v>
      </c>
      <c r="D1261" s="4">
        <v>83367342000252</v>
      </c>
      <c r="E1261" s="8" t="s">
        <v>1237</v>
      </c>
      <c r="F1261" s="8" t="s">
        <v>1129</v>
      </c>
      <c r="G1261" s="7" t="s">
        <v>52</v>
      </c>
      <c r="H1261" s="47" t="s">
        <v>211</v>
      </c>
      <c r="I1261" s="47" t="s">
        <v>212</v>
      </c>
      <c r="J1261" s="6">
        <v>70</v>
      </c>
      <c r="K1261" s="8" t="s">
        <v>20</v>
      </c>
      <c r="L1261" s="1" t="s">
        <v>1237</v>
      </c>
      <c r="M1261" s="5">
        <v>40</v>
      </c>
      <c r="Q1261" s="3"/>
      <c r="R1261" s="3"/>
      <c r="S1261" s="3"/>
    </row>
    <row r="1262" spans="1:19" ht="15" x14ac:dyDescent="0.25">
      <c r="A1262" s="7" t="s">
        <v>16</v>
      </c>
      <c r="B1262" s="7" t="s">
        <v>23</v>
      </c>
      <c r="C1262" s="7" t="s">
        <v>24</v>
      </c>
      <c r="D1262" s="4">
        <v>12371009253</v>
      </c>
      <c r="E1262" s="8" t="s">
        <v>1128</v>
      </c>
      <c r="F1262" s="8" t="s">
        <v>1129</v>
      </c>
      <c r="G1262" s="7" t="s">
        <v>52</v>
      </c>
      <c r="H1262" s="47" t="s">
        <v>211</v>
      </c>
      <c r="I1262" s="47" t="s">
        <v>212</v>
      </c>
      <c r="J1262" s="6">
        <v>73</v>
      </c>
      <c r="K1262" s="8" t="s">
        <v>26</v>
      </c>
      <c r="L1262" s="1" t="s">
        <v>1128</v>
      </c>
      <c r="M1262" s="5">
        <v>12</v>
      </c>
      <c r="Q1262" s="3"/>
      <c r="R1262" s="3"/>
      <c r="S1262" s="3"/>
    </row>
    <row r="1263" spans="1:19" ht="15" x14ac:dyDescent="0.25">
      <c r="A1263" s="7" t="s">
        <v>16</v>
      </c>
      <c r="B1263" s="7" t="s">
        <v>23</v>
      </c>
      <c r="C1263" s="7" t="s">
        <v>24</v>
      </c>
      <c r="D1263" s="4">
        <v>44482299472</v>
      </c>
      <c r="E1263" s="8" t="s">
        <v>741</v>
      </c>
      <c r="F1263" s="8" t="s">
        <v>742</v>
      </c>
      <c r="G1263" s="7" t="s">
        <v>91</v>
      </c>
      <c r="H1263" s="47" t="s">
        <v>211</v>
      </c>
      <c r="I1263" s="47" t="s">
        <v>212</v>
      </c>
      <c r="J1263" s="6">
        <v>66</v>
      </c>
      <c r="K1263" s="8" t="s">
        <v>28</v>
      </c>
      <c r="L1263" s="1" t="s">
        <v>741</v>
      </c>
      <c r="M1263" s="5">
        <v>30</v>
      </c>
      <c r="Q1263" s="3"/>
      <c r="R1263" s="3"/>
      <c r="S1263" s="3"/>
    </row>
    <row r="1264" spans="1:19" ht="15" x14ac:dyDescent="0.25">
      <c r="A1264" s="7" t="s">
        <v>16</v>
      </c>
      <c r="B1264" s="7" t="s">
        <v>23</v>
      </c>
      <c r="C1264" s="7" t="s">
        <v>24</v>
      </c>
      <c r="D1264" s="4">
        <v>394429019391</v>
      </c>
      <c r="E1264" s="8" t="s">
        <v>750</v>
      </c>
      <c r="F1264" s="8" t="s">
        <v>70</v>
      </c>
      <c r="G1264" s="7" t="s">
        <v>71</v>
      </c>
      <c r="H1264" s="47" t="s">
        <v>211</v>
      </c>
      <c r="I1264" s="47" t="s">
        <v>212</v>
      </c>
      <c r="J1264" s="6">
        <v>70</v>
      </c>
      <c r="K1264" s="8" t="s">
        <v>20</v>
      </c>
      <c r="L1264" s="1" t="s">
        <v>750</v>
      </c>
      <c r="M1264" s="5">
        <v>25</v>
      </c>
      <c r="Q1264" s="3"/>
      <c r="R1264" s="3"/>
      <c r="S1264" s="3"/>
    </row>
    <row r="1265" spans="1:19" ht="15" x14ac:dyDescent="0.25">
      <c r="A1265" s="7" t="s">
        <v>16</v>
      </c>
      <c r="B1265" s="7" t="s">
        <v>23</v>
      </c>
      <c r="C1265" s="7" t="s">
        <v>24</v>
      </c>
      <c r="D1265" s="4">
        <v>820737000150</v>
      </c>
      <c r="E1265" s="8" t="s">
        <v>757</v>
      </c>
      <c r="F1265" s="8" t="s">
        <v>62</v>
      </c>
      <c r="G1265" s="7" t="s">
        <v>63</v>
      </c>
      <c r="H1265" s="47" t="s">
        <v>211</v>
      </c>
      <c r="I1265" s="47" t="s">
        <v>212</v>
      </c>
      <c r="J1265" s="6">
        <v>64</v>
      </c>
      <c r="K1265" s="8" t="s">
        <v>25</v>
      </c>
      <c r="L1265" s="1" t="s">
        <v>757</v>
      </c>
      <c r="M1265" s="5">
        <v>21</v>
      </c>
      <c r="Q1265" s="3"/>
      <c r="R1265" s="3"/>
      <c r="S1265" s="3"/>
    </row>
    <row r="1266" spans="1:19" ht="15" x14ac:dyDescent="0.25">
      <c r="A1266" s="7" t="s">
        <v>16</v>
      </c>
      <c r="B1266" s="7" t="s">
        <v>23</v>
      </c>
      <c r="C1266" s="7" t="s">
        <v>24</v>
      </c>
      <c r="D1266" s="4">
        <v>1011865000116</v>
      </c>
      <c r="E1266" s="8" t="s">
        <v>759</v>
      </c>
      <c r="F1266" s="8" t="s">
        <v>745</v>
      </c>
      <c r="G1266" s="7" t="s">
        <v>59</v>
      </c>
      <c r="H1266" s="47" t="s">
        <v>211</v>
      </c>
      <c r="I1266" s="47" t="s">
        <v>212</v>
      </c>
      <c r="J1266" s="6">
        <v>70</v>
      </c>
      <c r="K1266" s="8" t="s">
        <v>20</v>
      </c>
      <c r="L1266" s="1" t="s">
        <v>759</v>
      </c>
      <c r="M1266" s="5">
        <v>800</v>
      </c>
      <c r="Q1266" s="3"/>
      <c r="R1266" s="3"/>
      <c r="S1266" s="3"/>
    </row>
    <row r="1267" spans="1:19" ht="15" x14ac:dyDescent="0.25">
      <c r="A1267" s="7" t="s">
        <v>16</v>
      </c>
      <c r="B1267" s="7" t="s">
        <v>23</v>
      </c>
      <c r="C1267" s="7" t="s">
        <v>24</v>
      </c>
      <c r="D1267" s="4">
        <v>1277573000120</v>
      </c>
      <c r="E1267" s="8" t="s">
        <v>760</v>
      </c>
      <c r="F1267" s="8" t="s">
        <v>745</v>
      </c>
      <c r="G1267" s="7" t="s">
        <v>59</v>
      </c>
      <c r="H1267" s="47" t="s">
        <v>211</v>
      </c>
      <c r="I1267" s="47" t="s">
        <v>212</v>
      </c>
      <c r="J1267" s="6">
        <v>64</v>
      </c>
      <c r="K1267" s="8" t="s">
        <v>25</v>
      </c>
      <c r="L1267" s="1" t="s">
        <v>760</v>
      </c>
      <c r="M1267" s="5">
        <v>6</v>
      </c>
      <c r="Q1267" s="3"/>
      <c r="R1267" s="3"/>
      <c r="S1267" s="3"/>
    </row>
    <row r="1268" spans="1:19" ht="15" x14ac:dyDescent="0.25">
      <c r="A1268" s="7" t="s">
        <v>16</v>
      </c>
      <c r="B1268" s="7" t="s">
        <v>23</v>
      </c>
      <c r="C1268" s="7" t="s">
        <v>24</v>
      </c>
      <c r="D1268" s="4">
        <v>1326206000179</v>
      </c>
      <c r="E1268" s="8" t="s">
        <v>761</v>
      </c>
      <c r="F1268" s="8" t="s">
        <v>762</v>
      </c>
      <c r="G1268" s="7" t="s">
        <v>59</v>
      </c>
      <c r="H1268" s="47" t="s">
        <v>211</v>
      </c>
      <c r="I1268" s="47" t="s">
        <v>212</v>
      </c>
      <c r="J1268" s="6">
        <v>73</v>
      </c>
      <c r="K1268" s="8" t="s">
        <v>26</v>
      </c>
      <c r="L1268" s="1" t="s">
        <v>761</v>
      </c>
      <c r="M1268" s="5">
        <v>30</v>
      </c>
      <c r="Q1268" s="3"/>
      <c r="R1268" s="3"/>
      <c r="S1268" s="3"/>
    </row>
    <row r="1269" spans="1:19" ht="15" x14ac:dyDescent="0.25">
      <c r="A1269" s="7" t="s">
        <v>16</v>
      </c>
      <c r="B1269" s="7" t="s">
        <v>23</v>
      </c>
      <c r="C1269" s="7" t="s">
        <v>24</v>
      </c>
      <c r="D1269" s="4">
        <v>1454407000151</v>
      </c>
      <c r="E1269" s="8" t="s">
        <v>764</v>
      </c>
      <c r="F1269" s="8" t="s">
        <v>742</v>
      </c>
      <c r="G1269" s="7" t="s">
        <v>91</v>
      </c>
      <c r="H1269" s="47" t="s">
        <v>211</v>
      </c>
      <c r="I1269" s="47" t="s">
        <v>212</v>
      </c>
      <c r="J1269" s="6">
        <v>70</v>
      </c>
      <c r="K1269" s="8" t="s">
        <v>20</v>
      </c>
      <c r="L1269" s="1" t="s">
        <v>764</v>
      </c>
      <c r="M1269" s="5">
        <v>260</v>
      </c>
      <c r="Q1269" s="3"/>
      <c r="R1269" s="3"/>
      <c r="S1269" s="3"/>
    </row>
    <row r="1270" spans="1:19" ht="15" x14ac:dyDescent="0.25">
      <c r="A1270" s="7" t="s">
        <v>16</v>
      </c>
      <c r="B1270" s="7" t="s">
        <v>23</v>
      </c>
      <c r="C1270" s="7" t="s">
        <v>24</v>
      </c>
      <c r="D1270" s="4">
        <v>1507901000137</v>
      </c>
      <c r="E1270" s="8" t="s">
        <v>765</v>
      </c>
      <c r="F1270" s="8" t="s">
        <v>62</v>
      </c>
      <c r="G1270" s="7" t="s">
        <v>63</v>
      </c>
      <c r="H1270" s="47" t="s">
        <v>211</v>
      </c>
      <c r="I1270" s="47" t="s">
        <v>212</v>
      </c>
      <c r="J1270" s="6">
        <v>64</v>
      </c>
      <c r="K1270" s="8" t="s">
        <v>25</v>
      </c>
      <c r="L1270" s="1" t="s">
        <v>765</v>
      </c>
      <c r="M1270" s="5">
        <v>10</v>
      </c>
      <c r="Q1270" s="3"/>
      <c r="R1270" s="3"/>
      <c r="S1270" s="3"/>
    </row>
    <row r="1271" spans="1:19" ht="15" x14ac:dyDescent="0.25">
      <c r="A1271" s="7" t="s">
        <v>16</v>
      </c>
      <c r="B1271" s="7" t="s">
        <v>23</v>
      </c>
      <c r="C1271" s="7" t="s">
        <v>24</v>
      </c>
      <c r="D1271" s="4">
        <v>1757351000104</v>
      </c>
      <c r="E1271" s="8" t="s">
        <v>771</v>
      </c>
      <c r="F1271" s="8" t="s">
        <v>772</v>
      </c>
      <c r="G1271" s="7" t="s">
        <v>69</v>
      </c>
      <c r="H1271" s="47" t="s">
        <v>211</v>
      </c>
      <c r="I1271" s="47" t="s">
        <v>212</v>
      </c>
      <c r="J1271" s="6">
        <v>64</v>
      </c>
      <c r="K1271" s="8" t="s">
        <v>25</v>
      </c>
      <c r="L1271" s="1" t="s">
        <v>771</v>
      </c>
      <c r="M1271" s="5">
        <v>3</v>
      </c>
      <c r="Q1271" s="3"/>
      <c r="R1271" s="3"/>
      <c r="S1271" s="3"/>
    </row>
    <row r="1272" spans="1:19" ht="15" x14ac:dyDescent="0.25">
      <c r="A1272" s="7" t="s">
        <v>16</v>
      </c>
      <c r="B1272" s="7" t="s">
        <v>23</v>
      </c>
      <c r="C1272" s="7" t="s">
        <v>24</v>
      </c>
      <c r="D1272" s="4">
        <v>2109397000180</v>
      </c>
      <c r="E1272" s="8" t="s">
        <v>773</v>
      </c>
      <c r="F1272" s="8" t="s">
        <v>62</v>
      </c>
      <c r="G1272" s="7" t="s">
        <v>63</v>
      </c>
      <c r="H1272" s="47" t="s">
        <v>211</v>
      </c>
      <c r="I1272" s="47" t="s">
        <v>212</v>
      </c>
      <c r="J1272" s="6">
        <v>62</v>
      </c>
      <c r="K1272" s="8" t="s">
        <v>27</v>
      </c>
      <c r="L1272" s="1" t="s">
        <v>773</v>
      </c>
      <c r="M1272" s="5">
        <v>3</v>
      </c>
      <c r="Q1272" s="3"/>
      <c r="R1272" s="3"/>
      <c r="S1272" s="3"/>
    </row>
    <row r="1273" spans="1:19" ht="15" x14ac:dyDescent="0.25">
      <c r="A1273" s="7" t="s">
        <v>16</v>
      </c>
      <c r="B1273" s="7" t="s">
        <v>23</v>
      </c>
      <c r="C1273" s="7" t="s">
        <v>24</v>
      </c>
      <c r="D1273" s="4">
        <v>2284062000440</v>
      </c>
      <c r="E1273" s="8" t="s">
        <v>775</v>
      </c>
      <c r="F1273" s="8" t="s">
        <v>70</v>
      </c>
      <c r="G1273" s="7" t="s">
        <v>71</v>
      </c>
      <c r="H1273" s="47" t="s">
        <v>211</v>
      </c>
      <c r="I1273" s="47" t="s">
        <v>212</v>
      </c>
      <c r="J1273" s="6">
        <v>64</v>
      </c>
      <c r="K1273" s="8" t="s">
        <v>25</v>
      </c>
      <c r="L1273" s="1" t="s">
        <v>775</v>
      </c>
      <c r="M1273" s="5">
        <v>5</v>
      </c>
      <c r="Q1273" s="3"/>
      <c r="R1273" s="3"/>
      <c r="S1273" s="3"/>
    </row>
    <row r="1274" spans="1:19" ht="15" x14ac:dyDescent="0.25">
      <c r="A1274" s="7" t="s">
        <v>16</v>
      </c>
      <c r="B1274" s="7" t="s">
        <v>23</v>
      </c>
      <c r="C1274" s="7" t="s">
        <v>24</v>
      </c>
      <c r="D1274" s="4">
        <v>2476067000203</v>
      </c>
      <c r="E1274" s="8" t="s">
        <v>779</v>
      </c>
      <c r="F1274" s="8" t="s">
        <v>745</v>
      </c>
      <c r="G1274" s="7" t="s">
        <v>59</v>
      </c>
      <c r="H1274" s="47" t="s">
        <v>211</v>
      </c>
      <c r="I1274" s="47" t="s">
        <v>212</v>
      </c>
      <c r="J1274" s="6">
        <v>73</v>
      </c>
      <c r="K1274" s="8" t="s">
        <v>26</v>
      </c>
      <c r="L1274" s="1" t="s">
        <v>779</v>
      </c>
      <c r="M1274" s="5">
        <v>76</v>
      </c>
      <c r="Q1274" s="3"/>
      <c r="R1274" s="3"/>
      <c r="S1274" s="3"/>
    </row>
    <row r="1275" spans="1:19" ht="15" x14ac:dyDescent="0.25">
      <c r="A1275" s="7" t="s">
        <v>16</v>
      </c>
      <c r="B1275" s="7" t="s">
        <v>23</v>
      </c>
      <c r="C1275" s="7" t="s">
        <v>24</v>
      </c>
      <c r="D1275" s="4">
        <v>2476067000394</v>
      </c>
      <c r="E1275" s="8" t="s">
        <v>780</v>
      </c>
      <c r="F1275" s="8" t="s">
        <v>745</v>
      </c>
      <c r="G1275" s="7" t="s">
        <v>59</v>
      </c>
      <c r="H1275" s="47" t="s">
        <v>211</v>
      </c>
      <c r="I1275" s="47" t="s">
        <v>212</v>
      </c>
      <c r="J1275" s="6">
        <v>70</v>
      </c>
      <c r="K1275" s="8" t="s">
        <v>20</v>
      </c>
      <c r="L1275" s="1" t="s">
        <v>780</v>
      </c>
      <c r="M1275" s="5">
        <v>45</v>
      </c>
      <c r="Q1275" s="3"/>
      <c r="R1275" s="3"/>
      <c r="S1275" s="3"/>
    </row>
    <row r="1276" spans="1:19" ht="15" x14ac:dyDescent="0.25">
      <c r="A1276" s="7" t="s">
        <v>16</v>
      </c>
      <c r="B1276" s="7" t="s">
        <v>23</v>
      </c>
      <c r="C1276" s="7" t="s">
        <v>24</v>
      </c>
      <c r="D1276" s="4">
        <v>3866223000124</v>
      </c>
      <c r="E1276" s="8" t="s">
        <v>792</v>
      </c>
      <c r="F1276" s="8" t="s">
        <v>742</v>
      </c>
      <c r="G1276" s="7" t="s">
        <v>91</v>
      </c>
      <c r="H1276" s="47" t="s">
        <v>211</v>
      </c>
      <c r="I1276" s="47" t="s">
        <v>212</v>
      </c>
      <c r="J1276" s="6">
        <v>70</v>
      </c>
      <c r="K1276" s="8" t="s">
        <v>20</v>
      </c>
      <c r="L1276" s="1" t="s">
        <v>792</v>
      </c>
      <c r="M1276" s="5">
        <v>615</v>
      </c>
      <c r="Q1276" s="3"/>
      <c r="R1276" s="3"/>
      <c r="S1276" s="3"/>
    </row>
    <row r="1277" spans="1:19" ht="15" x14ac:dyDescent="0.25">
      <c r="A1277" s="7" t="s">
        <v>16</v>
      </c>
      <c r="B1277" s="7" t="s">
        <v>23</v>
      </c>
      <c r="C1277" s="7" t="s">
        <v>24</v>
      </c>
      <c r="D1277" s="4">
        <v>3925419000142</v>
      </c>
      <c r="E1277" s="8" t="s">
        <v>795</v>
      </c>
      <c r="F1277" s="8" t="s">
        <v>772</v>
      </c>
      <c r="G1277" s="7" t="s">
        <v>69</v>
      </c>
      <c r="H1277" s="47" t="s">
        <v>211</v>
      </c>
      <c r="I1277" s="47" t="s">
        <v>212</v>
      </c>
      <c r="J1277" s="6">
        <v>64</v>
      </c>
      <c r="K1277" s="8" t="s">
        <v>25</v>
      </c>
      <c r="L1277" s="1" t="s">
        <v>795</v>
      </c>
      <c r="M1277" s="5">
        <v>4</v>
      </c>
      <c r="Q1277" s="3"/>
      <c r="R1277" s="3"/>
      <c r="S1277" s="3"/>
    </row>
    <row r="1278" spans="1:19" ht="15" x14ac:dyDescent="0.25">
      <c r="A1278" s="7" t="s">
        <v>16</v>
      </c>
      <c r="B1278" s="7" t="s">
        <v>23</v>
      </c>
      <c r="C1278" s="7" t="s">
        <v>24</v>
      </c>
      <c r="D1278" s="4">
        <v>4159778000107</v>
      </c>
      <c r="E1278" s="8" t="s">
        <v>1144</v>
      </c>
      <c r="F1278" s="8" t="s">
        <v>109</v>
      </c>
      <c r="G1278" s="7" t="s">
        <v>110</v>
      </c>
      <c r="H1278" s="47" t="s">
        <v>211</v>
      </c>
      <c r="I1278" s="47" t="s">
        <v>212</v>
      </c>
      <c r="J1278" s="6">
        <v>62</v>
      </c>
      <c r="K1278" s="8" t="s">
        <v>27</v>
      </c>
      <c r="L1278" s="1" t="s">
        <v>1144</v>
      </c>
      <c r="M1278" s="5">
        <v>10</v>
      </c>
      <c r="Q1278" s="3"/>
      <c r="R1278" s="3"/>
      <c r="S1278" s="3"/>
    </row>
    <row r="1279" spans="1:19" ht="15" x14ac:dyDescent="0.25">
      <c r="A1279" s="7" t="s">
        <v>16</v>
      </c>
      <c r="B1279" s="7" t="s">
        <v>23</v>
      </c>
      <c r="C1279" s="7" t="s">
        <v>24</v>
      </c>
      <c r="D1279" s="4">
        <v>4159778000107</v>
      </c>
      <c r="E1279" s="8" t="s">
        <v>1144</v>
      </c>
      <c r="F1279" s="8" t="s">
        <v>109</v>
      </c>
      <c r="G1279" s="7" t="s">
        <v>110</v>
      </c>
      <c r="H1279" s="47" t="s">
        <v>211</v>
      </c>
      <c r="I1279" s="47" t="s">
        <v>212</v>
      </c>
      <c r="J1279" s="6">
        <v>64</v>
      </c>
      <c r="K1279" s="8" t="s">
        <v>25</v>
      </c>
      <c r="L1279" s="1" t="s">
        <v>1144</v>
      </c>
      <c r="M1279" s="5">
        <v>3</v>
      </c>
      <c r="Q1279" s="3"/>
      <c r="R1279" s="3"/>
      <c r="S1279" s="3"/>
    </row>
    <row r="1280" spans="1:19" ht="15" x14ac:dyDescent="0.25">
      <c r="A1280" s="7" t="s">
        <v>16</v>
      </c>
      <c r="B1280" s="7" t="s">
        <v>23</v>
      </c>
      <c r="C1280" s="7" t="s">
        <v>24</v>
      </c>
      <c r="D1280" s="4">
        <v>4201372001028</v>
      </c>
      <c r="E1280" s="8" t="s">
        <v>1145</v>
      </c>
      <c r="F1280" s="8" t="s">
        <v>1129</v>
      </c>
      <c r="G1280" s="7" t="s">
        <v>52</v>
      </c>
      <c r="H1280" s="47" t="s">
        <v>211</v>
      </c>
      <c r="I1280" s="47" t="s">
        <v>212</v>
      </c>
      <c r="J1280" s="6">
        <v>73</v>
      </c>
      <c r="K1280" s="8" t="s">
        <v>26</v>
      </c>
      <c r="L1280" s="1" t="s">
        <v>1145</v>
      </c>
      <c r="M1280" s="5">
        <v>80</v>
      </c>
      <c r="Q1280" s="3"/>
      <c r="R1280" s="3"/>
      <c r="S1280" s="3"/>
    </row>
    <row r="1281" spans="1:19" ht="15" x14ac:dyDescent="0.25">
      <c r="A1281" s="7" t="s">
        <v>16</v>
      </c>
      <c r="B1281" s="7" t="s">
        <v>23</v>
      </c>
      <c r="C1281" s="7" t="s">
        <v>24</v>
      </c>
      <c r="D1281" s="4">
        <v>4966545000370</v>
      </c>
      <c r="E1281" s="8" t="s">
        <v>1148</v>
      </c>
      <c r="F1281" s="8" t="s">
        <v>1129</v>
      </c>
      <c r="G1281" s="7" t="s">
        <v>52</v>
      </c>
      <c r="H1281" s="47" t="s">
        <v>211</v>
      </c>
      <c r="I1281" s="47" t="s">
        <v>212</v>
      </c>
      <c r="J1281" s="6">
        <v>70</v>
      </c>
      <c r="K1281" s="8" t="s">
        <v>20</v>
      </c>
      <c r="L1281" s="1" t="s">
        <v>1148</v>
      </c>
      <c r="M1281" s="5">
        <v>40</v>
      </c>
      <c r="Q1281" s="3"/>
      <c r="R1281" s="3"/>
      <c r="S1281" s="3"/>
    </row>
    <row r="1282" spans="1:19" ht="15" x14ac:dyDescent="0.25">
      <c r="A1282" s="7" t="s">
        <v>16</v>
      </c>
      <c r="B1282" s="7" t="s">
        <v>23</v>
      </c>
      <c r="C1282" s="7" t="s">
        <v>24</v>
      </c>
      <c r="D1282" s="4">
        <v>5612725000154</v>
      </c>
      <c r="E1282" s="8" t="s">
        <v>800</v>
      </c>
      <c r="F1282" s="8" t="s">
        <v>742</v>
      </c>
      <c r="G1282" s="7" t="s">
        <v>91</v>
      </c>
      <c r="H1282" s="47" t="s">
        <v>211</v>
      </c>
      <c r="I1282" s="47" t="s">
        <v>212</v>
      </c>
      <c r="J1282" s="6">
        <v>70</v>
      </c>
      <c r="K1282" s="8" t="s">
        <v>20</v>
      </c>
      <c r="L1282" s="1" t="s">
        <v>800</v>
      </c>
      <c r="M1282" s="5">
        <v>30</v>
      </c>
      <c r="Q1282" s="3"/>
      <c r="R1282" s="3"/>
      <c r="S1282" s="3"/>
    </row>
    <row r="1283" spans="1:19" ht="15" x14ac:dyDescent="0.25">
      <c r="A1283" s="7" t="s">
        <v>16</v>
      </c>
      <c r="B1283" s="7" t="s">
        <v>23</v>
      </c>
      <c r="C1283" s="7" t="s">
        <v>24</v>
      </c>
      <c r="D1283" s="4">
        <v>5652543000107</v>
      </c>
      <c r="E1283" s="8" t="s">
        <v>801</v>
      </c>
      <c r="F1283" s="8" t="s">
        <v>802</v>
      </c>
      <c r="G1283" s="7" t="s">
        <v>74</v>
      </c>
      <c r="H1283" s="47" t="s">
        <v>211</v>
      </c>
      <c r="I1283" s="47" t="s">
        <v>212</v>
      </c>
      <c r="J1283" s="6">
        <v>64</v>
      </c>
      <c r="K1283" s="8" t="s">
        <v>25</v>
      </c>
      <c r="L1283" s="1" t="s">
        <v>801</v>
      </c>
      <c r="M1283" s="5">
        <v>22</v>
      </c>
      <c r="Q1283" s="3"/>
      <c r="R1283" s="3"/>
      <c r="S1283" s="3"/>
    </row>
    <row r="1284" spans="1:19" ht="15" x14ac:dyDescent="0.25">
      <c r="A1284" s="7" t="s">
        <v>16</v>
      </c>
      <c r="B1284" s="7" t="s">
        <v>23</v>
      </c>
      <c r="C1284" s="7" t="s">
        <v>24</v>
      </c>
      <c r="D1284" s="4">
        <v>6337035000105</v>
      </c>
      <c r="E1284" s="8" t="s">
        <v>814</v>
      </c>
      <c r="F1284" s="8" t="s">
        <v>745</v>
      </c>
      <c r="G1284" s="7" t="s">
        <v>59</v>
      </c>
      <c r="H1284" s="47" t="s">
        <v>211</v>
      </c>
      <c r="I1284" s="47" t="s">
        <v>212</v>
      </c>
      <c r="J1284" s="6">
        <v>70</v>
      </c>
      <c r="K1284" s="8" t="s">
        <v>20</v>
      </c>
      <c r="L1284" s="1" t="s">
        <v>814</v>
      </c>
      <c r="M1284" s="5">
        <v>50</v>
      </c>
      <c r="Q1284" s="3"/>
      <c r="R1284" s="3"/>
      <c r="S1284" s="3"/>
    </row>
    <row r="1285" spans="1:19" ht="15" x14ac:dyDescent="0.25">
      <c r="A1285" s="7" t="s">
        <v>16</v>
      </c>
      <c r="B1285" s="7" t="s">
        <v>23</v>
      </c>
      <c r="C1285" s="7" t="s">
        <v>24</v>
      </c>
      <c r="D1285" s="4">
        <v>6555031000276</v>
      </c>
      <c r="E1285" s="8" t="s">
        <v>815</v>
      </c>
      <c r="F1285" s="8" t="s">
        <v>81</v>
      </c>
      <c r="G1285" s="7" t="s">
        <v>82</v>
      </c>
      <c r="H1285" s="47" t="s">
        <v>211</v>
      </c>
      <c r="I1285" s="47" t="s">
        <v>212</v>
      </c>
      <c r="J1285" s="6">
        <v>73</v>
      </c>
      <c r="K1285" s="8" t="s">
        <v>26</v>
      </c>
      <c r="L1285" s="1" t="s">
        <v>815</v>
      </c>
      <c r="M1285" s="5">
        <v>48</v>
      </c>
      <c r="Q1285" s="3"/>
      <c r="R1285" s="3"/>
      <c r="S1285" s="3"/>
    </row>
    <row r="1286" spans="1:19" ht="15" x14ac:dyDescent="0.25">
      <c r="A1286" s="7" t="s">
        <v>16</v>
      </c>
      <c r="B1286" s="7" t="s">
        <v>23</v>
      </c>
      <c r="C1286" s="7" t="s">
        <v>24</v>
      </c>
      <c r="D1286" s="4">
        <v>8319329000121</v>
      </c>
      <c r="E1286" s="8" t="s">
        <v>823</v>
      </c>
      <c r="F1286" s="8" t="s">
        <v>62</v>
      </c>
      <c r="G1286" s="7" t="s">
        <v>63</v>
      </c>
      <c r="H1286" s="47" t="s">
        <v>211</v>
      </c>
      <c r="I1286" s="47" t="s">
        <v>212</v>
      </c>
      <c r="J1286" s="6">
        <v>64</v>
      </c>
      <c r="K1286" s="8" t="s">
        <v>25</v>
      </c>
      <c r="L1286" s="1" t="s">
        <v>823</v>
      </c>
      <c r="M1286" s="5">
        <v>61</v>
      </c>
      <c r="Q1286" s="3"/>
      <c r="R1286" s="3"/>
      <c r="S1286" s="3"/>
    </row>
    <row r="1287" spans="1:19" ht="15" x14ac:dyDescent="0.25">
      <c r="A1287" s="7" t="s">
        <v>16</v>
      </c>
      <c r="B1287" s="7" t="s">
        <v>23</v>
      </c>
      <c r="C1287" s="7" t="s">
        <v>24</v>
      </c>
      <c r="D1287" s="4">
        <v>8337586000196</v>
      </c>
      <c r="E1287" s="8" t="s">
        <v>824</v>
      </c>
      <c r="F1287" s="8" t="s">
        <v>62</v>
      </c>
      <c r="G1287" s="7" t="s">
        <v>63</v>
      </c>
      <c r="H1287" s="47" t="s">
        <v>211</v>
      </c>
      <c r="I1287" s="47" t="s">
        <v>212</v>
      </c>
      <c r="J1287" s="6">
        <v>64</v>
      </c>
      <c r="K1287" s="8" t="s">
        <v>25</v>
      </c>
      <c r="L1287" s="1" t="s">
        <v>824</v>
      </c>
      <c r="M1287" s="5">
        <v>1</v>
      </c>
      <c r="Q1287" s="3"/>
      <c r="R1287" s="3"/>
      <c r="S1287" s="3"/>
    </row>
    <row r="1288" spans="1:19" ht="15" x14ac:dyDescent="0.25">
      <c r="A1288" s="7" t="s">
        <v>16</v>
      </c>
      <c r="B1288" s="7" t="s">
        <v>23</v>
      </c>
      <c r="C1288" s="7" t="s">
        <v>24</v>
      </c>
      <c r="D1288" s="4">
        <v>8680639000681</v>
      </c>
      <c r="E1288" s="8" t="s">
        <v>827</v>
      </c>
      <c r="F1288" s="8" t="s">
        <v>747</v>
      </c>
      <c r="G1288" s="7" t="s">
        <v>56</v>
      </c>
      <c r="H1288" s="47" t="s">
        <v>211</v>
      </c>
      <c r="I1288" s="47" t="s">
        <v>212</v>
      </c>
      <c r="J1288" s="6">
        <v>70</v>
      </c>
      <c r="K1288" s="8" t="s">
        <v>20</v>
      </c>
      <c r="L1288" s="1" t="s">
        <v>827</v>
      </c>
      <c r="M1288" s="5">
        <v>200</v>
      </c>
      <c r="Q1288" s="3"/>
      <c r="R1288" s="3"/>
      <c r="S1288" s="3"/>
    </row>
    <row r="1289" spans="1:19" ht="15" x14ac:dyDescent="0.25">
      <c r="A1289" s="7" t="s">
        <v>16</v>
      </c>
      <c r="B1289" s="7" t="s">
        <v>23</v>
      </c>
      <c r="C1289" s="7" t="s">
        <v>24</v>
      </c>
      <c r="D1289" s="4">
        <v>10839561000132</v>
      </c>
      <c r="E1289" s="8" t="s">
        <v>834</v>
      </c>
      <c r="F1289" s="8" t="s">
        <v>70</v>
      </c>
      <c r="G1289" s="7" t="s">
        <v>71</v>
      </c>
      <c r="H1289" s="47" t="s">
        <v>211</v>
      </c>
      <c r="I1289" s="47" t="s">
        <v>212</v>
      </c>
      <c r="J1289" s="6">
        <v>62</v>
      </c>
      <c r="K1289" s="8" t="s">
        <v>27</v>
      </c>
      <c r="L1289" s="1" t="s">
        <v>834</v>
      </c>
      <c r="M1289" s="5">
        <v>26</v>
      </c>
      <c r="Q1289" s="3"/>
      <c r="R1289" s="3"/>
      <c r="S1289" s="3"/>
    </row>
    <row r="1290" spans="1:19" ht="15" x14ac:dyDescent="0.25">
      <c r="A1290" s="7" t="s">
        <v>16</v>
      </c>
      <c r="B1290" s="7" t="s">
        <v>23</v>
      </c>
      <c r="C1290" s="7" t="s">
        <v>24</v>
      </c>
      <c r="D1290" s="4">
        <v>10839561000132</v>
      </c>
      <c r="E1290" s="8" t="s">
        <v>834</v>
      </c>
      <c r="F1290" s="8" t="s">
        <v>70</v>
      </c>
      <c r="G1290" s="7" t="s">
        <v>71</v>
      </c>
      <c r="H1290" s="47" t="s">
        <v>211</v>
      </c>
      <c r="I1290" s="47" t="s">
        <v>212</v>
      </c>
      <c r="J1290" s="6">
        <v>70</v>
      </c>
      <c r="K1290" s="8" t="s">
        <v>20</v>
      </c>
      <c r="L1290" s="1" t="s">
        <v>834</v>
      </c>
      <c r="M1290" s="5">
        <v>175</v>
      </c>
      <c r="Q1290" s="3"/>
      <c r="R1290" s="3"/>
      <c r="S1290" s="3"/>
    </row>
    <row r="1291" spans="1:19" ht="15" x14ac:dyDescent="0.25">
      <c r="A1291" s="7" t="s">
        <v>16</v>
      </c>
      <c r="B1291" s="7" t="s">
        <v>23</v>
      </c>
      <c r="C1291" s="7" t="s">
        <v>24</v>
      </c>
      <c r="D1291" s="4">
        <v>10839561000132</v>
      </c>
      <c r="E1291" s="8" t="s">
        <v>834</v>
      </c>
      <c r="F1291" s="8" t="s">
        <v>70</v>
      </c>
      <c r="G1291" s="7" t="s">
        <v>71</v>
      </c>
      <c r="H1291" s="47" t="s">
        <v>211</v>
      </c>
      <c r="I1291" s="47" t="s">
        <v>212</v>
      </c>
      <c r="J1291" s="6">
        <v>73</v>
      </c>
      <c r="K1291" s="8" t="s">
        <v>26</v>
      </c>
      <c r="L1291" s="1" t="s">
        <v>834</v>
      </c>
      <c r="M1291" s="5">
        <v>64</v>
      </c>
      <c r="Q1291" s="3"/>
      <c r="R1291" s="3"/>
      <c r="S1291" s="3"/>
    </row>
    <row r="1292" spans="1:19" ht="15" x14ac:dyDescent="0.25">
      <c r="A1292" s="7" t="s">
        <v>16</v>
      </c>
      <c r="B1292" s="7" t="s">
        <v>23</v>
      </c>
      <c r="C1292" s="7" t="s">
        <v>24</v>
      </c>
      <c r="D1292" s="4">
        <v>10892164000124</v>
      </c>
      <c r="E1292" s="8" t="s">
        <v>835</v>
      </c>
      <c r="F1292" s="8" t="s">
        <v>70</v>
      </c>
      <c r="G1292" s="7" t="s">
        <v>71</v>
      </c>
      <c r="H1292" s="47" t="s">
        <v>211</v>
      </c>
      <c r="I1292" s="47" t="s">
        <v>212</v>
      </c>
      <c r="J1292" s="6">
        <v>64</v>
      </c>
      <c r="K1292" s="8" t="s">
        <v>25</v>
      </c>
      <c r="L1292" s="1" t="s">
        <v>835</v>
      </c>
      <c r="M1292" s="5">
        <v>10</v>
      </c>
      <c r="Q1292" s="3"/>
      <c r="R1292" s="3"/>
      <c r="S1292" s="3"/>
    </row>
    <row r="1293" spans="1:19" ht="15" x14ac:dyDescent="0.25">
      <c r="A1293" s="7" t="s">
        <v>16</v>
      </c>
      <c r="B1293" s="7" t="s">
        <v>23</v>
      </c>
      <c r="C1293" s="7" t="s">
        <v>24</v>
      </c>
      <c r="D1293" s="4">
        <v>10892164000124</v>
      </c>
      <c r="E1293" s="8" t="s">
        <v>835</v>
      </c>
      <c r="F1293" s="8" t="s">
        <v>70</v>
      </c>
      <c r="G1293" s="7" t="s">
        <v>71</v>
      </c>
      <c r="H1293" s="47" t="s">
        <v>211</v>
      </c>
      <c r="I1293" s="47" t="s">
        <v>212</v>
      </c>
      <c r="J1293" s="6">
        <v>73</v>
      </c>
      <c r="K1293" s="8" t="s">
        <v>26</v>
      </c>
      <c r="L1293" s="1" t="s">
        <v>835</v>
      </c>
      <c r="M1293" s="5">
        <v>40</v>
      </c>
      <c r="Q1293" s="3"/>
      <c r="R1293" s="3"/>
      <c r="S1293" s="3"/>
    </row>
    <row r="1294" spans="1:19" ht="15" x14ac:dyDescent="0.25">
      <c r="A1294" s="7" t="s">
        <v>16</v>
      </c>
      <c r="B1294" s="7" t="s">
        <v>23</v>
      </c>
      <c r="C1294" s="7" t="s">
        <v>24</v>
      </c>
      <c r="D1294" s="4">
        <v>10988301000129</v>
      </c>
      <c r="E1294" s="8" t="s">
        <v>837</v>
      </c>
      <c r="F1294" s="8" t="s">
        <v>70</v>
      </c>
      <c r="G1294" s="7" t="s">
        <v>71</v>
      </c>
      <c r="H1294" s="47" t="s">
        <v>211</v>
      </c>
      <c r="I1294" s="47" t="s">
        <v>212</v>
      </c>
      <c r="J1294" s="6">
        <v>64</v>
      </c>
      <c r="K1294" s="8" t="s">
        <v>25</v>
      </c>
      <c r="L1294" s="1" t="s">
        <v>837</v>
      </c>
      <c r="M1294" s="5">
        <v>15</v>
      </c>
      <c r="Q1294" s="3"/>
      <c r="R1294" s="3"/>
      <c r="S1294" s="3"/>
    </row>
    <row r="1295" spans="1:19" ht="15" x14ac:dyDescent="0.25">
      <c r="A1295" s="7" t="s">
        <v>16</v>
      </c>
      <c r="B1295" s="7" t="s">
        <v>23</v>
      </c>
      <c r="C1295" s="7" t="s">
        <v>24</v>
      </c>
      <c r="D1295" s="4">
        <v>11006293000130</v>
      </c>
      <c r="E1295" s="8" t="s">
        <v>838</v>
      </c>
      <c r="F1295" s="8" t="s">
        <v>777</v>
      </c>
      <c r="G1295" s="7" t="s">
        <v>72</v>
      </c>
      <c r="H1295" s="47" t="s">
        <v>211</v>
      </c>
      <c r="I1295" s="47" t="s">
        <v>212</v>
      </c>
      <c r="J1295" s="6">
        <v>70</v>
      </c>
      <c r="K1295" s="8" t="s">
        <v>20</v>
      </c>
      <c r="L1295" s="1" t="s">
        <v>838</v>
      </c>
      <c r="M1295" s="5">
        <v>550</v>
      </c>
      <c r="Q1295" s="3"/>
      <c r="R1295" s="3"/>
      <c r="S1295" s="3"/>
    </row>
    <row r="1296" spans="1:19" ht="15" x14ac:dyDescent="0.25">
      <c r="A1296" s="7" t="s">
        <v>16</v>
      </c>
      <c r="B1296" s="7" t="s">
        <v>23</v>
      </c>
      <c r="C1296" s="7" t="s">
        <v>24</v>
      </c>
      <c r="D1296" s="4">
        <v>11022597001325</v>
      </c>
      <c r="E1296" s="8" t="s">
        <v>839</v>
      </c>
      <c r="F1296" s="8" t="s">
        <v>70</v>
      </c>
      <c r="G1296" s="7" t="s">
        <v>71</v>
      </c>
      <c r="H1296" s="47" t="s">
        <v>211</v>
      </c>
      <c r="I1296" s="47" t="s">
        <v>212</v>
      </c>
      <c r="J1296" s="6">
        <v>64</v>
      </c>
      <c r="K1296" s="8" t="s">
        <v>25</v>
      </c>
      <c r="L1296" s="1" t="s">
        <v>839</v>
      </c>
      <c r="M1296" s="5">
        <v>60</v>
      </c>
      <c r="Q1296" s="3"/>
      <c r="R1296" s="3"/>
      <c r="S1296" s="3"/>
    </row>
    <row r="1297" spans="1:19" ht="15" x14ac:dyDescent="0.25">
      <c r="A1297" s="7" t="s">
        <v>16</v>
      </c>
      <c r="B1297" s="7" t="s">
        <v>23</v>
      </c>
      <c r="C1297" s="7" t="s">
        <v>24</v>
      </c>
      <c r="D1297" s="4">
        <v>11022597001325</v>
      </c>
      <c r="E1297" s="8" t="s">
        <v>839</v>
      </c>
      <c r="F1297" s="8" t="s">
        <v>70</v>
      </c>
      <c r="G1297" s="7" t="s">
        <v>71</v>
      </c>
      <c r="H1297" s="47" t="s">
        <v>211</v>
      </c>
      <c r="I1297" s="47" t="s">
        <v>212</v>
      </c>
      <c r="J1297" s="6">
        <v>70</v>
      </c>
      <c r="K1297" s="8" t="s">
        <v>20</v>
      </c>
      <c r="L1297" s="1" t="s">
        <v>839</v>
      </c>
      <c r="M1297" s="5">
        <v>750</v>
      </c>
      <c r="Q1297" s="3"/>
      <c r="R1297" s="3"/>
      <c r="S1297" s="3"/>
    </row>
    <row r="1298" spans="1:19" ht="15" x14ac:dyDescent="0.25">
      <c r="A1298" s="7" t="s">
        <v>16</v>
      </c>
      <c r="B1298" s="7" t="s">
        <v>23</v>
      </c>
      <c r="C1298" s="7" t="s">
        <v>24</v>
      </c>
      <c r="D1298" s="4">
        <v>11022597001597</v>
      </c>
      <c r="E1298" s="8" t="s">
        <v>840</v>
      </c>
      <c r="F1298" s="8" t="s">
        <v>70</v>
      </c>
      <c r="G1298" s="7" t="s">
        <v>71</v>
      </c>
      <c r="H1298" s="47" t="s">
        <v>211</v>
      </c>
      <c r="I1298" s="47" t="s">
        <v>212</v>
      </c>
      <c r="J1298" s="6">
        <v>64</v>
      </c>
      <c r="K1298" s="8" t="s">
        <v>25</v>
      </c>
      <c r="L1298" s="1" t="s">
        <v>840</v>
      </c>
      <c r="M1298" s="5">
        <v>25</v>
      </c>
      <c r="Q1298" s="3"/>
      <c r="R1298" s="3"/>
      <c r="S1298" s="3"/>
    </row>
    <row r="1299" spans="1:19" ht="15" x14ac:dyDescent="0.25">
      <c r="A1299" s="7" t="s">
        <v>16</v>
      </c>
      <c r="B1299" s="7" t="s">
        <v>23</v>
      </c>
      <c r="C1299" s="7" t="s">
        <v>24</v>
      </c>
      <c r="D1299" s="4">
        <v>11214624000470</v>
      </c>
      <c r="E1299" s="8" t="s">
        <v>841</v>
      </c>
      <c r="F1299" s="8" t="s">
        <v>70</v>
      </c>
      <c r="G1299" s="7" t="s">
        <v>71</v>
      </c>
      <c r="H1299" s="47" t="s">
        <v>211</v>
      </c>
      <c r="I1299" s="47" t="s">
        <v>212</v>
      </c>
      <c r="J1299" s="6">
        <v>73</v>
      </c>
      <c r="K1299" s="8" t="s">
        <v>26</v>
      </c>
      <c r="L1299" s="1" t="s">
        <v>841</v>
      </c>
      <c r="M1299" s="5">
        <v>96</v>
      </c>
      <c r="Q1299" s="3"/>
      <c r="R1299" s="3"/>
      <c r="S1299" s="3"/>
    </row>
    <row r="1300" spans="1:19" ht="15" x14ac:dyDescent="0.25">
      <c r="A1300" s="7" t="s">
        <v>16</v>
      </c>
      <c r="B1300" s="7" t="s">
        <v>23</v>
      </c>
      <c r="C1300" s="7" t="s">
        <v>24</v>
      </c>
      <c r="D1300" s="4">
        <v>11214624001957</v>
      </c>
      <c r="E1300" s="8" t="s">
        <v>842</v>
      </c>
      <c r="F1300" s="8" t="s">
        <v>70</v>
      </c>
      <c r="G1300" s="7" t="s">
        <v>71</v>
      </c>
      <c r="H1300" s="47" t="s">
        <v>211</v>
      </c>
      <c r="I1300" s="47" t="s">
        <v>212</v>
      </c>
      <c r="J1300" s="6">
        <v>70</v>
      </c>
      <c r="K1300" s="8" t="s">
        <v>20</v>
      </c>
      <c r="L1300" s="1" t="s">
        <v>842</v>
      </c>
      <c r="M1300" s="5">
        <v>50</v>
      </c>
      <c r="Q1300" s="3"/>
      <c r="R1300" s="3"/>
      <c r="S1300" s="3"/>
    </row>
    <row r="1301" spans="1:19" ht="15" x14ac:dyDescent="0.25">
      <c r="A1301" s="7" t="s">
        <v>16</v>
      </c>
      <c r="B1301" s="7" t="s">
        <v>23</v>
      </c>
      <c r="C1301" s="7" t="s">
        <v>24</v>
      </c>
      <c r="D1301" s="4">
        <v>12307187000150</v>
      </c>
      <c r="E1301" s="8" t="s">
        <v>848</v>
      </c>
      <c r="F1301" s="8" t="s">
        <v>742</v>
      </c>
      <c r="G1301" s="7" t="s">
        <v>91</v>
      </c>
      <c r="H1301" s="47" t="s">
        <v>211</v>
      </c>
      <c r="I1301" s="47" t="s">
        <v>212</v>
      </c>
      <c r="J1301" s="6">
        <v>70</v>
      </c>
      <c r="K1301" s="8" t="s">
        <v>20</v>
      </c>
      <c r="L1301" s="1" t="s">
        <v>848</v>
      </c>
      <c r="M1301" s="5">
        <v>210</v>
      </c>
      <c r="Q1301" s="3"/>
      <c r="R1301" s="3"/>
      <c r="S1301" s="3"/>
    </row>
    <row r="1302" spans="1:19" ht="15" x14ac:dyDescent="0.25">
      <c r="A1302" s="7" t="s">
        <v>16</v>
      </c>
      <c r="B1302" s="7" t="s">
        <v>23</v>
      </c>
      <c r="C1302" s="7" t="s">
        <v>24</v>
      </c>
      <c r="D1302" s="4">
        <v>12361267011632</v>
      </c>
      <c r="E1302" s="8" t="s">
        <v>1160</v>
      </c>
      <c r="F1302" s="8" t="s">
        <v>109</v>
      </c>
      <c r="G1302" s="7" t="s">
        <v>110</v>
      </c>
      <c r="H1302" s="47" t="s">
        <v>211</v>
      </c>
      <c r="I1302" s="47" t="s">
        <v>212</v>
      </c>
      <c r="J1302" s="6">
        <v>64</v>
      </c>
      <c r="K1302" s="8" t="s">
        <v>25</v>
      </c>
      <c r="L1302" s="1" t="s">
        <v>1160</v>
      </c>
      <c r="M1302" s="5">
        <v>1</v>
      </c>
      <c r="Q1302" s="3"/>
      <c r="R1302" s="3"/>
      <c r="S1302" s="3"/>
    </row>
    <row r="1303" spans="1:19" ht="15" x14ac:dyDescent="0.25">
      <c r="A1303" s="7" t="s">
        <v>16</v>
      </c>
      <c r="B1303" s="7" t="s">
        <v>23</v>
      </c>
      <c r="C1303" s="7" t="s">
        <v>24</v>
      </c>
      <c r="D1303" s="4">
        <v>12442737000496</v>
      </c>
      <c r="E1303" s="8" t="s">
        <v>865</v>
      </c>
      <c r="F1303" s="8" t="s">
        <v>742</v>
      </c>
      <c r="G1303" s="7" t="s">
        <v>91</v>
      </c>
      <c r="H1303" s="47" t="s">
        <v>211</v>
      </c>
      <c r="I1303" s="47" t="s">
        <v>212</v>
      </c>
      <c r="J1303" s="6">
        <v>70</v>
      </c>
      <c r="K1303" s="8" t="s">
        <v>20</v>
      </c>
      <c r="L1303" s="1" t="s">
        <v>865</v>
      </c>
      <c r="M1303" s="5">
        <v>420</v>
      </c>
      <c r="Q1303" s="3"/>
      <c r="R1303" s="3"/>
      <c r="S1303" s="3"/>
    </row>
    <row r="1304" spans="1:19" ht="15" x14ac:dyDescent="0.25">
      <c r="A1304" s="7" t="s">
        <v>16</v>
      </c>
      <c r="B1304" s="7" t="s">
        <v>23</v>
      </c>
      <c r="C1304" s="7" t="s">
        <v>24</v>
      </c>
      <c r="D1304" s="4">
        <v>13016332000106</v>
      </c>
      <c r="E1304" s="8" t="s">
        <v>868</v>
      </c>
      <c r="F1304" s="8" t="s">
        <v>84</v>
      </c>
      <c r="G1304" s="7" t="s">
        <v>85</v>
      </c>
      <c r="H1304" s="47" t="s">
        <v>211</v>
      </c>
      <c r="I1304" s="47" t="s">
        <v>212</v>
      </c>
      <c r="J1304" s="6">
        <v>62</v>
      </c>
      <c r="K1304" s="8" t="s">
        <v>27</v>
      </c>
      <c r="L1304" s="1" t="s">
        <v>868</v>
      </c>
      <c r="M1304" s="5">
        <v>6</v>
      </c>
      <c r="Q1304" s="3"/>
      <c r="R1304" s="3"/>
      <c r="S1304" s="3"/>
    </row>
    <row r="1305" spans="1:19" ht="15" x14ac:dyDescent="0.25">
      <c r="A1305" s="7" t="s">
        <v>16</v>
      </c>
      <c r="B1305" s="7" t="s">
        <v>23</v>
      </c>
      <c r="C1305" s="7" t="s">
        <v>24</v>
      </c>
      <c r="D1305" s="4">
        <v>13131370000100</v>
      </c>
      <c r="E1305" s="8" t="s">
        <v>870</v>
      </c>
      <c r="F1305" s="8" t="s">
        <v>84</v>
      </c>
      <c r="G1305" s="7" t="s">
        <v>85</v>
      </c>
      <c r="H1305" s="47" t="s">
        <v>211</v>
      </c>
      <c r="I1305" s="47" t="s">
        <v>212</v>
      </c>
      <c r="J1305" s="6">
        <v>70</v>
      </c>
      <c r="K1305" s="8" t="s">
        <v>20</v>
      </c>
      <c r="L1305" s="1" t="s">
        <v>870</v>
      </c>
      <c r="M1305" s="5">
        <v>250</v>
      </c>
      <c r="Q1305" s="3"/>
      <c r="R1305" s="3"/>
      <c r="S1305" s="3"/>
    </row>
    <row r="1306" spans="1:19" ht="15" x14ac:dyDescent="0.25">
      <c r="A1306" s="7" t="s">
        <v>16</v>
      </c>
      <c r="B1306" s="7" t="s">
        <v>23</v>
      </c>
      <c r="C1306" s="7" t="s">
        <v>24</v>
      </c>
      <c r="D1306" s="4">
        <v>13131370000100</v>
      </c>
      <c r="E1306" s="8" t="s">
        <v>870</v>
      </c>
      <c r="F1306" s="8" t="s">
        <v>84</v>
      </c>
      <c r="G1306" s="7" t="s">
        <v>85</v>
      </c>
      <c r="H1306" s="47" t="s">
        <v>211</v>
      </c>
      <c r="I1306" s="47" t="s">
        <v>212</v>
      </c>
      <c r="J1306" s="6">
        <v>73</v>
      </c>
      <c r="K1306" s="8" t="s">
        <v>26</v>
      </c>
      <c r="L1306" s="1" t="s">
        <v>870</v>
      </c>
      <c r="M1306" s="5">
        <v>46</v>
      </c>
      <c r="Q1306" s="3"/>
      <c r="R1306" s="3"/>
      <c r="S1306" s="3"/>
    </row>
    <row r="1307" spans="1:19" ht="15" x14ac:dyDescent="0.25">
      <c r="A1307" s="7" t="s">
        <v>16</v>
      </c>
      <c r="B1307" s="7" t="s">
        <v>23</v>
      </c>
      <c r="C1307" s="7" t="s">
        <v>24</v>
      </c>
      <c r="D1307" s="4">
        <v>15016827000160</v>
      </c>
      <c r="E1307" s="8" t="s">
        <v>877</v>
      </c>
      <c r="F1307" s="8" t="s">
        <v>772</v>
      </c>
      <c r="G1307" s="7" t="s">
        <v>69</v>
      </c>
      <c r="H1307" s="47" t="s">
        <v>211</v>
      </c>
      <c r="I1307" s="47" t="s">
        <v>212</v>
      </c>
      <c r="J1307" s="6">
        <v>64</v>
      </c>
      <c r="K1307" s="8" t="s">
        <v>25</v>
      </c>
      <c r="L1307" s="1" t="s">
        <v>877</v>
      </c>
      <c r="M1307" s="5">
        <v>1</v>
      </c>
      <c r="Q1307" s="3"/>
      <c r="R1307" s="3"/>
      <c r="S1307" s="3"/>
    </row>
    <row r="1308" spans="1:19" ht="15" x14ac:dyDescent="0.25">
      <c r="A1308" s="7" t="s">
        <v>16</v>
      </c>
      <c r="B1308" s="7" t="s">
        <v>23</v>
      </c>
      <c r="C1308" s="7" t="s">
        <v>24</v>
      </c>
      <c r="D1308" s="4">
        <v>15126437000224</v>
      </c>
      <c r="E1308" s="8" t="s">
        <v>878</v>
      </c>
      <c r="F1308" s="8" t="s">
        <v>81</v>
      </c>
      <c r="G1308" s="7" t="s">
        <v>82</v>
      </c>
      <c r="H1308" s="47" t="s">
        <v>211</v>
      </c>
      <c r="I1308" s="47" t="s">
        <v>212</v>
      </c>
      <c r="J1308" s="6">
        <v>64</v>
      </c>
      <c r="K1308" s="8" t="s">
        <v>25</v>
      </c>
      <c r="L1308" s="1" t="s">
        <v>878</v>
      </c>
      <c r="M1308" s="5">
        <v>10</v>
      </c>
      <c r="Q1308" s="3"/>
      <c r="R1308" s="3"/>
      <c r="S1308" s="3"/>
    </row>
    <row r="1309" spans="1:19" ht="15" x14ac:dyDescent="0.25">
      <c r="A1309" s="7" t="s">
        <v>16</v>
      </c>
      <c r="B1309" s="7" t="s">
        <v>23</v>
      </c>
      <c r="C1309" s="7" t="s">
        <v>24</v>
      </c>
      <c r="D1309" s="4">
        <v>15126437000739</v>
      </c>
      <c r="E1309" s="8" t="s">
        <v>881</v>
      </c>
      <c r="F1309" s="8" t="s">
        <v>62</v>
      </c>
      <c r="G1309" s="7" t="s">
        <v>63</v>
      </c>
      <c r="H1309" s="47" t="s">
        <v>211</v>
      </c>
      <c r="I1309" s="47" t="s">
        <v>212</v>
      </c>
      <c r="J1309" s="6">
        <v>64</v>
      </c>
      <c r="K1309" s="8" t="s">
        <v>25</v>
      </c>
      <c r="L1309" s="1" t="s">
        <v>881</v>
      </c>
      <c r="M1309" s="5">
        <v>60</v>
      </c>
      <c r="Q1309" s="3"/>
      <c r="R1309" s="3"/>
      <c r="S1309" s="3"/>
    </row>
    <row r="1310" spans="1:19" ht="15" x14ac:dyDescent="0.25">
      <c r="A1310" s="7" t="s">
        <v>16</v>
      </c>
      <c r="B1310" s="7" t="s">
        <v>23</v>
      </c>
      <c r="C1310" s="7" t="s">
        <v>24</v>
      </c>
      <c r="D1310" s="4">
        <v>15126437000739</v>
      </c>
      <c r="E1310" s="8" t="s">
        <v>881</v>
      </c>
      <c r="F1310" s="8" t="s">
        <v>62</v>
      </c>
      <c r="G1310" s="7" t="s">
        <v>63</v>
      </c>
      <c r="H1310" s="47" t="s">
        <v>211</v>
      </c>
      <c r="I1310" s="47" t="s">
        <v>212</v>
      </c>
      <c r="J1310" s="6">
        <v>70</v>
      </c>
      <c r="K1310" s="8" t="s">
        <v>20</v>
      </c>
      <c r="L1310" s="1" t="s">
        <v>881</v>
      </c>
      <c r="M1310" s="5">
        <v>400</v>
      </c>
      <c r="Q1310" s="3"/>
      <c r="R1310" s="3"/>
      <c r="S1310" s="3"/>
    </row>
    <row r="1311" spans="1:19" ht="15" x14ac:dyDescent="0.25">
      <c r="A1311" s="7" t="s">
        <v>16</v>
      </c>
      <c r="B1311" s="7" t="s">
        <v>23</v>
      </c>
      <c r="C1311" s="7" t="s">
        <v>24</v>
      </c>
      <c r="D1311" s="4">
        <v>15592785000106</v>
      </c>
      <c r="E1311" s="8" t="s">
        <v>897</v>
      </c>
      <c r="F1311" s="8" t="s">
        <v>84</v>
      </c>
      <c r="G1311" s="7" t="s">
        <v>85</v>
      </c>
      <c r="H1311" s="47" t="s">
        <v>211</v>
      </c>
      <c r="I1311" s="47" t="s">
        <v>212</v>
      </c>
      <c r="J1311" s="6">
        <v>70</v>
      </c>
      <c r="K1311" s="8" t="s">
        <v>20</v>
      </c>
      <c r="L1311" s="1" t="s">
        <v>897</v>
      </c>
      <c r="M1311" s="5">
        <v>35</v>
      </c>
      <c r="Q1311" s="3"/>
      <c r="R1311" s="3"/>
      <c r="S1311" s="3"/>
    </row>
    <row r="1312" spans="1:19" ht="15" x14ac:dyDescent="0.25">
      <c r="A1312" s="7" t="s">
        <v>16</v>
      </c>
      <c r="B1312" s="7" t="s">
        <v>23</v>
      </c>
      <c r="C1312" s="7" t="s">
        <v>24</v>
      </c>
      <c r="D1312" s="4">
        <v>16064313000577</v>
      </c>
      <c r="E1312" s="8" t="s">
        <v>898</v>
      </c>
      <c r="F1312" s="8" t="s">
        <v>84</v>
      </c>
      <c r="G1312" s="7" t="s">
        <v>85</v>
      </c>
      <c r="H1312" s="47" t="s">
        <v>211</v>
      </c>
      <c r="I1312" s="47" t="s">
        <v>212</v>
      </c>
      <c r="J1312" s="6">
        <v>73</v>
      </c>
      <c r="K1312" s="8" t="s">
        <v>26</v>
      </c>
      <c r="L1312" s="1" t="s">
        <v>898</v>
      </c>
      <c r="M1312" s="5">
        <v>38</v>
      </c>
      <c r="Q1312" s="3"/>
      <c r="R1312" s="3"/>
      <c r="S1312" s="3"/>
    </row>
    <row r="1313" spans="1:19" ht="15" x14ac:dyDescent="0.25">
      <c r="A1313" s="7" t="s">
        <v>16</v>
      </c>
      <c r="B1313" s="7" t="s">
        <v>23</v>
      </c>
      <c r="C1313" s="7" t="s">
        <v>24</v>
      </c>
      <c r="D1313" s="4">
        <v>23813270000117</v>
      </c>
      <c r="E1313" s="8" t="s">
        <v>904</v>
      </c>
      <c r="F1313" s="8" t="s">
        <v>777</v>
      </c>
      <c r="G1313" s="7" t="s">
        <v>72</v>
      </c>
      <c r="H1313" s="47" t="s">
        <v>211</v>
      </c>
      <c r="I1313" s="47" t="s">
        <v>212</v>
      </c>
      <c r="J1313" s="6">
        <v>70</v>
      </c>
      <c r="K1313" s="8" t="s">
        <v>20</v>
      </c>
      <c r="L1313" s="1" t="s">
        <v>904</v>
      </c>
      <c r="M1313" s="5">
        <v>35</v>
      </c>
      <c r="Q1313" s="3"/>
      <c r="R1313" s="3"/>
      <c r="S1313" s="3"/>
    </row>
    <row r="1314" spans="1:19" ht="15" x14ac:dyDescent="0.25">
      <c r="A1314" s="7" t="s">
        <v>16</v>
      </c>
      <c r="B1314" s="7" t="s">
        <v>23</v>
      </c>
      <c r="C1314" s="7" t="s">
        <v>24</v>
      </c>
      <c r="D1314" s="4">
        <v>29435005009851</v>
      </c>
      <c r="E1314" s="8" t="s">
        <v>913</v>
      </c>
      <c r="F1314" s="8" t="s">
        <v>62</v>
      </c>
      <c r="G1314" s="7" t="s">
        <v>63</v>
      </c>
      <c r="H1314" s="47" t="s">
        <v>211</v>
      </c>
      <c r="I1314" s="47" t="s">
        <v>212</v>
      </c>
      <c r="J1314" s="6">
        <v>70</v>
      </c>
      <c r="K1314" s="8" t="s">
        <v>20</v>
      </c>
      <c r="L1314" s="1" t="s">
        <v>913</v>
      </c>
      <c r="M1314" s="5">
        <v>100</v>
      </c>
      <c r="Q1314" s="3"/>
      <c r="R1314" s="3"/>
      <c r="S1314" s="3"/>
    </row>
    <row r="1315" spans="1:19" ht="15" x14ac:dyDescent="0.25">
      <c r="A1315" s="7" t="s">
        <v>16</v>
      </c>
      <c r="B1315" s="7" t="s">
        <v>23</v>
      </c>
      <c r="C1315" s="7" t="s">
        <v>24</v>
      </c>
      <c r="D1315" s="4">
        <v>33000167002155</v>
      </c>
      <c r="E1315" s="8" t="s">
        <v>915</v>
      </c>
      <c r="F1315" s="8" t="s">
        <v>128</v>
      </c>
      <c r="G1315" s="7" t="s">
        <v>59</v>
      </c>
      <c r="H1315" s="47" t="s">
        <v>211</v>
      </c>
      <c r="I1315" s="47" t="s">
        <v>212</v>
      </c>
      <c r="J1315" s="6">
        <v>70</v>
      </c>
      <c r="K1315" s="8" t="s">
        <v>20</v>
      </c>
      <c r="L1315" s="1" t="s">
        <v>915</v>
      </c>
      <c r="M1315" s="5">
        <v>225</v>
      </c>
      <c r="Q1315" s="3"/>
      <c r="R1315" s="3"/>
      <c r="S1315" s="3"/>
    </row>
    <row r="1316" spans="1:19" ht="15" x14ac:dyDescent="0.25">
      <c r="A1316" s="7" t="s">
        <v>16</v>
      </c>
      <c r="B1316" s="7" t="s">
        <v>23</v>
      </c>
      <c r="C1316" s="7" t="s">
        <v>24</v>
      </c>
      <c r="D1316" s="4">
        <v>70524145000177</v>
      </c>
      <c r="E1316" s="8" t="s">
        <v>925</v>
      </c>
      <c r="F1316" s="8" t="s">
        <v>772</v>
      </c>
      <c r="G1316" s="7" t="s">
        <v>69</v>
      </c>
      <c r="H1316" s="47" t="s">
        <v>211</v>
      </c>
      <c r="I1316" s="47" t="s">
        <v>212</v>
      </c>
      <c r="J1316" s="6">
        <v>64</v>
      </c>
      <c r="K1316" s="8" t="s">
        <v>25</v>
      </c>
      <c r="L1316" s="1" t="s">
        <v>925</v>
      </c>
      <c r="M1316" s="5">
        <v>2</v>
      </c>
      <c r="Q1316" s="3"/>
      <c r="R1316" s="3"/>
      <c r="S1316" s="3"/>
    </row>
    <row r="1317" spans="1:19" ht="15" x14ac:dyDescent="0.25">
      <c r="A1317" s="7" t="s">
        <v>16</v>
      </c>
      <c r="B1317" s="7" t="s">
        <v>23</v>
      </c>
      <c r="C1317" s="7" t="s">
        <v>24</v>
      </c>
      <c r="D1317" s="4">
        <v>84537141000138</v>
      </c>
      <c r="E1317" s="8" t="s">
        <v>1238</v>
      </c>
      <c r="F1317" s="8" t="s">
        <v>109</v>
      </c>
      <c r="G1317" s="7" t="s">
        <v>110</v>
      </c>
      <c r="H1317" s="47" t="s">
        <v>211</v>
      </c>
      <c r="I1317" s="47" t="s">
        <v>212</v>
      </c>
      <c r="J1317" s="6">
        <v>62</v>
      </c>
      <c r="K1317" s="8" t="s">
        <v>27</v>
      </c>
      <c r="L1317" s="1" t="s">
        <v>1238</v>
      </c>
      <c r="M1317" s="5">
        <v>6</v>
      </c>
      <c r="Q1317" s="3"/>
      <c r="R1317" s="3"/>
      <c r="S1317" s="3"/>
    </row>
    <row r="1318" spans="1:19" ht="15" x14ac:dyDescent="0.25">
      <c r="A1318" s="7" t="s">
        <v>16</v>
      </c>
      <c r="B1318" s="7" t="s">
        <v>229</v>
      </c>
      <c r="C1318" s="7" t="s">
        <v>24</v>
      </c>
      <c r="D1318" s="4">
        <v>12371009253</v>
      </c>
      <c r="E1318" s="8" t="s">
        <v>1128</v>
      </c>
      <c r="F1318" s="8" t="s">
        <v>1129</v>
      </c>
      <c r="G1318" s="7" t="s">
        <v>52</v>
      </c>
      <c r="H1318" s="47" t="s">
        <v>211</v>
      </c>
      <c r="I1318" s="47" t="s">
        <v>212</v>
      </c>
      <c r="J1318" s="6">
        <v>73</v>
      </c>
      <c r="K1318" s="8" t="s">
        <v>26</v>
      </c>
      <c r="L1318" s="1" t="s">
        <v>1128</v>
      </c>
      <c r="M1318" s="5">
        <v>24</v>
      </c>
      <c r="Q1318" s="3"/>
      <c r="R1318" s="3"/>
      <c r="S1318" s="3"/>
    </row>
    <row r="1319" spans="1:19" ht="15" x14ac:dyDescent="0.25">
      <c r="A1319" s="7" t="s">
        <v>16</v>
      </c>
      <c r="B1319" s="7" t="s">
        <v>229</v>
      </c>
      <c r="C1319" s="7" t="s">
        <v>24</v>
      </c>
      <c r="D1319" s="4">
        <v>83925694404</v>
      </c>
      <c r="E1319" s="8" t="s">
        <v>746</v>
      </c>
      <c r="F1319" s="8" t="s">
        <v>747</v>
      </c>
      <c r="G1319" s="7" t="s">
        <v>56</v>
      </c>
      <c r="H1319" s="47" t="s">
        <v>211</v>
      </c>
      <c r="I1319" s="47" t="s">
        <v>212</v>
      </c>
      <c r="J1319" s="6">
        <v>66</v>
      </c>
      <c r="K1319" s="8" t="s">
        <v>28</v>
      </c>
      <c r="L1319" s="1" t="s">
        <v>746</v>
      </c>
      <c r="M1319" s="5">
        <v>24</v>
      </c>
      <c r="Q1319" s="3"/>
      <c r="R1319" s="3"/>
      <c r="S1319" s="3"/>
    </row>
    <row r="1320" spans="1:19" ht="15" x14ac:dyDescent="0.25">
      <c r="A1320" s="7" t="s">
        <v>16</v>
      </c>
      <c r="B1320" s="7" t="s">
        <v>229</v>
      </c>
      <c r="C1320" s="7" t="s">
        <v>24</v>
      </c>
      <c r="D1320" s="4">
        <v>820737000150</v>
      </c>
      <c r="E1320" s="8" t="s">
        <v>757</v>
      </c>
      <c r="F1320" s="8" t="s">
        <v>62</v>
      </c>
      <c r="G1320" s="7" t="s">
        <v>63</v>
      </c>
      <c r="H1320" s="47" t="s">
        <v>211</v>
      </c>
      <c r="I1320" s="47" t="s">
        <v>212</v>
      </c>
      <c r="J1320" s="6">
        <v>62</v>
      </c>
      <c r="K1320" s="8" t="s">
        <v>27</v>
      </c>
      <c r="L1320" s="1" t="s">
        <v>757</v>
      </c>
      <c r="M1320" s="5">
        <v>9</v>
      </c>
      <c r="Q1320" s="3"/>
      <c r="R1320" s="3"/>
      <c r="S1320" s="3"/>
    </row>
    <row r="1321" spans="1:19" ht="15" x14ac:dyDescent="0.25">
      <c r="A1321" s="7" t="s">
        <v>16</v>
      </c>
      <c r="B1321" s="7" t="s">
        <v>229</v>
      </c>
      <c r="C1321" s="7" t="s">
        <v>24</v>
      </c>
      <c r="D1321" s="4">
        <v>820737000150</v>
      </c>
      <c r="E1321" s="8" t="s">
        <v>757</v>
      </c>
      <c r="F1321" s="8" t="s">
        <v>62</v>
      </c>
      <c r="G1321" s="7" t="s">
        <v>63</v>
      </c>
      <c r="H1321" s="47" t="s">
        <v>211</v>
      </c>
      <c r="I1321" s="47" t="s">
        <v>212</v>
      </c>
      <c r="J1321" s="6">
        <v>64</v>
      </c>
      <c r="K1321" s="8" t="s">
        <v>25</v>
      </c>
      <c r="L1321" s="1" t="s">
        <v>757</v>
      </c>
      <c r="M1321" s="5">
        <v>30</v>
      </c>
      <c r="Q1321" s="3"/>
      <c r="R1321" s="3"/>
      <c r="S1321" s="3"/>
    </row>
    <row r="1322" spans="1:19" ht="15" x14ac:dyDescent="0.25">
      <c r="A1322" s="7" t="s">
        <v>16</v>
      </c>
      <c r="B1322" s="7" t="s">
        <v>229</v>
      </c>
      <c r="C1322" s="7" t="s">
        <v>24</v>
      </c>
      <c r="D1322" s="4">
        <v>1011865000116</v>
      </c>
      <c r="E1322" s="8" t="s">
        <v>759</v>
      </c>
      <c r="F1322" s="8" t="s">
        <v>745</v>
      </c>
      <c r="G1322" s="7" t="s">
        <v>59</v>
      </c>
      <c r="H1322" s="47" t="s">
        <v>211</v>
      </c>
      <c r="I1322" s="47" t="s">
        <v>212</v>
      </c>
      <c r="J1322" s="6">
        <v>70</v>
      </c>
      <c r="K1322" s="8" t="s">
        <v>20</v>
      </c>
      <c r="L1322" s="1" t="s">
        <v>759</v>
      </c>
      <c r="M1322" s="5">
        <v>450</v>
      </c>
      <c r="Q1322" s="3"/>
      <c r="R1322" s="3"/>
      <c r="S1322" s="3"/>
    </row>
    <row r="1323" spans="1:19" ht="15" x14ac:dyDescent="0.25">
      <c r="A1323" s="7" t="s">
        <v>16</v>
      </c>
      <c r="B1323" s="7" t="s">
        <v>229</v>
      </c>
      <c r="C1323" s="7" t="s">
        <v>24</v>
      </c>
      <c r="D1323" s="4">
        <v>1277573000120</v>
      </c>
      <c r="E1323" s="8" t="s">
        <v>760</v>
      </c>
      <c r="F1323" s="8" t="s">
        <v>745</v>
      </c>
      <c r="G1323" s="7" t="s">
        <v>59</v>
      </c>
      <c r="H1323" s="47" t="s">
        <v>211</v>
      </c>
      <c r="I1323" s="47" t="s">
        <v>212</v>
      </c>
      <c r="J1323" s="6">
        <v>64</v>
      </c>
      <c r="K1323" s="8" t="s">
        <v>25</v>
      </c>
      <c r="L1323" s="1" t="s">
        <v>760</v>
      </c>
      <c r="M1323" s="5">
        <v>11</v>
      </c>
      <c r="Q1323" s="3"/>
      <c r="R1323" s="3"/>
      <c r="S1323" s="3"/>
    </row>
    <row r="1324" spans="1:19" ht="15" x14ac:dyDescent="0.25">
      <c r="A1324" s="7" t="s">
        <v>16</v>
      </c>
      <c r="B1324" s="7" t="s">
        <v>229</v>
      </c>
      <c r="C1324" s="7" t="s">
        <v>24</v>
      </c>
      <c r="D1324" s="4">
        <v>1326206000179</v>
      </c>
      <c r="E1324" s="8" t="s">
        <v>761</v>
      </c>
      <c r="F1324" s="8" t="s">
        <v>762</v>
      </c>
      <c r="G1324" s="7" t="s">
        <v>59</v>
      </c>
      <c r="H1324" s="47" t="s">
        <v>211</v>
      </c>
      <c r="I1324" s="47" t="s">
        <v>212</v>
      </c>
      <c r="J1324" s="6">
        <v>73</v>
      </c>
      <c r="K1324" s="8" t="s">
        <v>26</v>
      </c>
      <c r="L1324" s="1" t="s">
        <v>761</v>
      </c>
      <c r="M1324" s="5">
        <v>26</v>
      </c>
      <c r="Q1324" s="3"/>
      <c r="R1324" s="3"/>
      <c r="S1324" s="3"/>
    </row>
    <row r="1325" spans="1:19" ht="15" x14ac:dyDescent="0.25">
      <c r="A1325" s="7" t="s">
        <v>16</v>
      </c>
      <c r="B1325" s="7" t="s">
        <v>229</v>
      </c>
      <c r="C1325" s="7" t="s">
        <v>24</v>
      </c>
      <c r="D1325" s="4">
        <v>1454407000151</v>
      </c>
      <c r="E1325" s="8" t="s">
        <v>764</v>
      </c>
      <c r="F1325" s="8" t="s">
        <v>742</v>
      </c>
      <c r="G1325" s="7" t="s">
        <v>91</v>
      </c>
      <c r="H1325" s="47" t="s">
        <v>211</v>
      </c>
      <c r="I1325" s="47" t="s">
        <v>212</v>
      </c>
      <c r="J1325" s="6">
        <v>70</v>
      </c>
      <c r="K1325" s="8" t="s">
        <v>20</v>
      </c>
      <c r="L1325" s="1" t="s">
        <v>764</v>
      </c>
      <c r="M1325" s="5">
        <v>180</v>
      </c>
      <c r="Q1325" s="3"/>
      <c r="R1325" s="3"/>
      <c r="S1325" s="3"/>
    </row>
    <row r="1326" spans="1:19" ht="15" x14ac:dyDescent="0.25">
      <c r="A1326" s="7" t="s">
        <v>16</v>
      </c>
      <c r="B1326" s="7" t="s">
        <v>229</v>
      </c>
      <c r="C1326" s="7" t="s">
        <v>24</v>
      </c>
      <c r="D1326" s="4">
        <v>1757351000104</v>
      </c>
      <c r="E1326" s="8" t="s">
        <v>771</v>
      </c>
      <c r="F1326" s="8" t="s">
        <v>772</v>
      </c>
      <c r="G1326" s="7" t="s">
        <v>69</v>
      </c>
      <c r="H1326" s="47" t="s">
        <v>211</v>
      </c>
      <c r="I1326" s="47" t="s">
        <v>212</v>
      </c>
      <c r="J1326" s="6">
        <v>62</v>
      </c>
      <c r="K1326" s="8" t="s">
        <v>27</v>
      </c>
      <c r="L1326" s="1" t="s">
        <v>771</v>
      </c>
      <c r="M1326" s="5">
        <v>4</v>
      </c>
      <c r="Q1326" s="3"/>
      <c r="R1326" s="3"/>
      <c r="S1326" s="3"/>
    </row>
    <row r="1327" spans="1:19" ht="15" x14ac:dyDescent="0.25">
      <c r="A1327" s="7" t="s">
        <v>16</v>
      </c>
      <c r="B1327" s="7" t="s">
        <v>229</v>
      </c>
      <c r="C1327" s="7" t="s">
        <v>24</v>
      </c>
      <c r="D1327" s="4">
        <v>1757351000104</v>
      </c>
      <c r="E1327" s="8" t="s">
        <v>771</v>
      </c>
      <c r="F1327" s="8" t="s">
        <v>772</v>
      </c>
      <c r="G1327" s="7" t="s">
        <v>69</v>
      </c>
      <c r="H1327" s="47" t="s">
        <v>211</v>
      </c>
      <c r="I1327" s="47" t="s">
        <v>212</v>
      </c>
      <c r="J1327" s="6">
        <v>64</v>
      </c>
      <c r="K1327" s="8" t="s">
        <v>25</v>
      </c>
      <c r="L1327" s="1" t="s">
        <v>771</v>
      </c>
      <c r="M1327" s="5">
        <v>5</v>
      </c>
      <c r="Q1327" s="3"/>
      <c r="R1327" s="3"/>
      <c r="S1327" s="3"/>
    </row>
    <row r="1328" spans="1:19" ht="15" x14ac:dyDescent="0.25">
      <c r="A1328" s="7" t="s">
        <v>16</v>
      </c>
      <c r="B1328" s="7" t="s">
        <v>229</v>
      </c>
      <c r="C1328" s="7" t="s">
        <v>24</v>
      </c>
      <c r="D1328" s="4">
        <v>2284062001170</v>
      </c>
      <c r="E1328" s="8" t="s">
        <v>776</v>
      </c>
      <c r="F1328" s="8" t="s">
        <v>777</v>
      </c>
      <c r="G1328" s="7" t="s">
        <v>72</v>
      </c>
      <c r="H1328" s="47" t="s">
        <v>211</v>
      </c>
      <c r="I1328" s="47" t="s">
        <v>212</v>
      </c>
      <c r="J1328" s="6">
        <v>64</v>
      </c>
      <c r="K1328" s="8" t="s">
        <v>25</v>
      </c>
      <c r="L1328" s="1" t="s">
        <v>776</v>
      </c>
      <c r="M1328" s="5">
        <v>2</v>
      </c>
      <c r="Q1328" s="3"/>
      <c r="R1328" s="3"/>
      <c r="S1328" s="3"/>
    </row>
    <row r="1329" spans="1:19" ht="15" x14ac:dyDescent="0.25">
      <c r="A1329" s="7" t="s">
        <v>16</v>
      </c>
      <c r="B1329" s="7" t="s">
        <v>229</v>
      </c>
      <c r="C1329" s="7" t="s">
        <v>24</v>
      </c>
      <c r="D1329" s="4">
        <v>2476067000203</v>
      </c>
      <c r="E1329" s="8" t="s">
        <v>779</v>
      </c>
      <c r="F1329" s="8" t="s">
        <v>745</v>
      </c>
      <c r="G1329" s="7" t="s">
        <v>59</v>
      </c>
      <c r="H1329" s="47" t="s">
        <v>211</v>
      </c>
      <c r="I1329" s="47" t="s">
        <v>212</v>
      </c>
      <c r="J1329" s="6">
        <v>73</v>
      </c>
      <c r="K1329" s="8" t="s">
        <v>26</v>
      </c>
      <c r="L1329" s="1" t="s">
        <v>779</v>
      </c>
      <c r="M1329" s="5">
        <v>58</v>
      </c>
      <c r="Q1329" s="3"/>
      <c r="R1329" s="3"/>
      <c r="S1329" s="3"/>
    </row>
    <row r="1330" spans="1:19" ht="15" x14ac:dyDescent="0.25">
      <c r="A1330" s="7" t="s">
        <v>16</v>
      </c>
      <c r="B1330" s="7" t="s">
        <v>229</v>
      </c>
      <c r="C1330" s="7" t="s">
        <v>24</v>
      </c>
      <c r="D1330" s="4">
        <v>2476067000394</v>
      </c>
      <c r="E1330" s="8" t="s">
        <v>780</v>
      </c>
      <c r="F1330" s="8" t="s">
        <v>745</v>
      </c>
      <c r="G1330" s="7" t="s">
        <v>59</v>
      </c>
      <c r="H1330" s="47" t="s">
        <v>211</v>
      </c>
      <c r="I1330" s="47" t="s">
        <v>212</v>
      </c>
      <c r="J1330" s="6">
        <v>70</v>
      </c>
      <c r="K1330" s="8" t="s">
        <v>20</v>
      </c>
      <c r="L1330" s="1" t="s">
        <v>780</v>
      </c>
      <c r="M1330" s="5">
        <v>135</v>
      </c>
      <c r="Q1330" s="3"/>
      <c r="R1330" s="3"/>
      <c r="S1330" s="3"/>
    </row>
    <row r="1331" spans="1:19" ht="15" x14ac:dyDescent="0.25">
      <c r="A1331" s="7" t="s">
        <v>16</v>
      </c>
      <c r="B1331" s="7" t="s">
        <v>229</v>
      </c>
      <c r="C1331" s="7" t="s">
        <v>24</v>
      </c>
      <c r="D1331" s="4">
        <v>3091003000176</v>
      </c>
      <c r="E1331" s="8" t="s">
        <v>782</v>
      </c>
      <c r="F1331" s="8" t="s">
        <v>84</v>
      </c>
      <c r="G1331" s="7" t="s">
        <v>85</v>
      </c>
      <c r="H1331" s="47" t="s">
        <v>211</v>
      </c>
      <c r="I1331" s="47" t="s">
        <v>212</v>
      </c>
      <c r="J1331" s="6">
        <v>70</v>
      </c>
      <c r="K1331" s="8" t="s">
        <v>20</v>
      </c>
      <c r="L1331" s="1" t="s">
        <v>782</v>
      </c>
      <c r="M1331" s="5">
        <v>175</v>
      </c>
      <c r="Q1331" s="3"/>
      <c r="R1331" s="3"/>
      <c r="S1331" s="3"/>
    </row>
    <row r="1332" spans="1:19" ht="15" x14ac:dyDescent="0.25">
      <c r="A1332" s="7" t="s">
        <v>16</v>
      </c>
      <c r="B1332" s="7" t="s">
        <v>229</v>
      </c>
      <c r="C1332" s="7" t="s">
        <v>24</v>
      </c>
      <c r="D1332" s="4">
        <v>3315918000541</v>
      </c>
      <c r="E1332" s="8" t="s">
        <v>785</v>
      </c>
      <c r="F1332" s="8" t="s">
        <v>64</v>
      </c>
      <c r="G1332" s="7" t="s">
        <v>65</v>
      </c>
      <c r="H1332" s="47" t="s">
        <v>211</v>
      </c>
      <c r="I1332" s="47" t="s">
        <v>212</v>
      </c>
      <c r="J1332" s="6">
        <v>70</v>
      </c>
      <c r="K1332" s="8" t="s">
        <v>20</v>
      </c>
      <c r="L1332" s="1" t="s">
        <v>785</v>
      </c>
      <c r="M1332" s="5">
        <v>50</v>
      </c>
      <c r="Q1332" s="3"/>
      <c r="R1332" s="3"/>
      <c r="S1332" s="3"/>
    </row>
    <row r="1333" spans="1:19" ht="15" x14ac:dyDescent="0.25">
      <c r="A1333" s="7" t="s">
        <v>16</v>
      </c>
      <c r="B1333" s="7" t="s">
        <v>229</v>
      </c>
      <c r="C1333" s="7" t="s">
        <v>24</v>
      </c>
      <c r="D1333" s="4">
        <v>3866223000124</v>
      </c>
      <c r="E1333" s="8" t="s">
        <v>792</v>
      </c>
      <c r="F1333" s="8" t="s">
        <v>742</v>
      </c>
      <c r="G1333" s="7" t="s">
        <v>91</v>
      </c>
      <c r="H1333" s="47" t="s">
        <v>211</v>
      </c>
      <c r="I1333" s="47" t="s">
        <v>212</v>
      </c>
      <c r="J1333" s="6">
        <v>70</v>
      </c>
      <c r="K1333" s="8" t="s">
        <v>20</v>
      </c>
      <c r="L1333" s="1" t="s">
        <v>792</v>
      </c>
      <c r="M1333" s="5">
        <v>420</v>
      </c>
      <c r="Q1333" s="3"/>
      <c r="R1333" s="3"/>
      <c r="S1333" s="3"/>
    </row>
    <row r="1334" spans="1:19" ht="15" x14ac:dyDescent="0.25">
      <c r="A1334" s="7" t="s">
        <v>16</v>
      </c>
      <c r="B1334" s="7" t="s">
        <v>229</v>
      </c>
      <c r="C1334" s="7" t="s">
        <v>24</v>
      </c>
      <c r="D1334" s="4">
        <v>3925419000142</v>
      </c>
      <c r="E1334" s="8" t="s">
        <v>795</v>
      </c>
      <c r="F1334" s="8" t="s">
        <v>772</v>
      </c>
      <c r="G1334" s="7" t="s">
        <v>69</v>
      </c>
      <c r="H1334" s="47" t="s">
        <v>211</v>
      </c>
      <c r="I1334" s="47" t="s">
        <v>212</v>
      </c>
      <c r="J1334" s="6">
        <v>64</v>
      </c>
      <c r="K1334" s="8" t="s">
        <v>25</v>
      </c>
      <c r="L1334" s="1" t="s">
        <v>795</v>
      </c>
      <c r="M1334" s="5">
        <v>9</v>
      </c>
      <c r="Q1334" s="3"/>
      <c r="R1334" s="3"/>
      <c r="S1334" s="3"/>
    </row>
    <row r="1335" spans="1:19" ht="15" x14ac:dyDescent="0.25">
      <c r="A1335" s="7" t="s">
        <v>16</v>
      </c>
      <c r="B1335" s="7" t="s">
        <v>229</v>
      </c>
      <c r="C1335" s="7" t="s">
        <v>24</v>
      </c>
      <c r="D1335" s="4">
        <v>4201372001028</v>
      </c>
      <c r="E1335" s="8" t="s">
        <v>1145</v>
      </c>
      <c r="F1335" s="8" t="s">
        <v>1129</v>
      </c>
      <c r="G1335" s="7" t="s">
        <v>52</v>
      </c>
      <c r="H1335" s="47" t="s">
        <v>211</v>
      </c>
      <c r="I1335" s="47" t="s">
        <v>212</v>
      </c>
      <c r="J1335" s="6">
        <v>73</v>
      </c>
      <c r="K1335" s="8" t="s">
        <v>26</v>
      </c>
      <c r="L1335" s="1" t="s">
        <v>1145</v>
      </c>
      <c r="M1335" s="5">
        <v>48</v>
      </c>
      <c r="Q1335" s="3"/>
      <c r="R1335" s="3"/>
      <c r="S1335" s="3"/>
    </row>
    <row r="1336" spans="1:19" ht="15" x14ac:dyDescent="0.25">
      <c r="A1336" s="7" t="s">
        <v>16</v>
      </c>
      <c r="B1336" s="7" t="s">
        <v>229</v>
      </c>
      <c r="C1336" s="7" t="s">
        <v>24</v>
      </c>
      <c r="D1336" s="4">
        <v>4929345000185</v>
      </c>
      <c r="E1336" s="8" t="s">
        <v>1147</v>
      </c>
      <c r="F1336" s="8" t="s">
        <v>1129</v>
      </c>
      <c r="G1336" s="7" t="s">
        <v>52</v>
      </c>
      <c r="H1336" s="47" t="s">
        <v>211</v>
      </c>
      <c r="I1336" s="47" t="s">
        <v>212</v>
      </c>
      <c r="J1336" s="6">
        <v>62</v>
      </c>
      <c r="K1336" s="8" t="s">
        <v>27</v>
      </c>
      <c r="L1336" s="1" t="s">
        <v>1147</v>
      </c>
      <c r="M1336" s="5">
        <v>25</v>
      </c>
      <c r="Q1336" s="3"/>
      <c r="R1336" s="3"/>
      <c r="S1336" s="3"/>
    </row>
    <row r="1337" spans="1:19" ht="15" x14ac:dyDescent="0.25">
      <c r="A1337" s="7" t="s">
        <v>16</v>
      </c>
      <c r="B1337" s="7" t="s">
        <v>229</v>
      </c>
      <c r="C1337" s="7" t="s">
        <v>24</v>
      </c>
      <c r="D1337" s="4">
        <v>4929345000185</v>
      </c>
      <c r="E1337" s="8" t="s">
        <v>1147</v>
      </c>
      <c r="F1337" s="8" t="s">
        <v>1129</v>
      </c>
      <c r="G1337" s="7" t="s">
        <v>52</v>
      </c>
      <c r="H1337" s="47" t="s">
        <v>211</v>
      </c>
      <c r="I1337" s="47" t="s">
        <v>212</v>
      </c>
      <c r="J1337" s="6">
        <v>64</v>
      </c>
      <c r="K1337" s="8" t="s">
        <v>25</v>
      </c>
      <c r="L1337" s="1" t="s">
        <v>1147</v>
      </c>
      <c r="M1337" s="5">
        <v>25</v>
      </c>
      <c r="Q1337" s="3"/>
      <c r="R1337" s="3"/>
      <c r="S1337" s="3"/>
    </row>
    <row r="1338" spans="1:19" ht="15" x14ac:dyDescent="0.25">
      <c r="A1338" s="7" t="s">
        <v>16</v>
      </c>
      <c r="B1338" s="7" t="s">
        <v>229</v>
      </c>
      <c r="C1338" s="7" t="s">
        <v>24</v>
      </c>
      <c r="D1338" s="4">
        <v>4929345000185</v>
      </c>
      <c r="E1338" s="8" t="s">
        <v>1147</v>
      </c>
      <c r="F1338" s="8" t="s">
        <v>1129</v>
      </c>
      <c r="G1338" s="7" t="s">
        <v>52</v>
      </c>
      <c r="H1338" s="47" t="s">
        <v>211</v>
      </c>
      <c r="I1338" s="47" t="s">
        <v>212</v>
      </c>
      <c r="J1338" s="6">
        <v>70</v>
      </c>
      <c r="K1338" s="8" t="s">
        <v>20</v>
      </c>
      <c r="L1338" s="1" t="s">
        <v>1147</v>
      </c>
      <c r="M1338" s="5">
        <v>625</v>
      </c>
      <c r="Q1338" s="3"/>
      <c r="R1338" s="3"/>
      <c r="S1338" s="3"/>
    </row>
    <row r="1339" spans="1:19" ht="15" x14ac:dyDescent="0.25">
      <c r="A1339" s="7" t="s">
        <v>16</v>
      </c>
      <c r="B1339" s="7" t="s">
        <v>229</v>
      </c>
      <c r="C1339" s="7" t="s">
        <v>24</v>
      </c>
      <c r="D1339" s="4">
        <v>4929345000185</v>
      </c>
      <c r="E1339" s="8" t="s">
        <v>1147</v>
      </c>
      <c r="F1339" s="8" t="s">
        <v>1129</v>
      </c>
      <c r="G1339" s="7" t="s">
        <v>52</v>
      </c>
      <c r="H1339" s="47" t="s">
        <v>211</v>
      </c>
      <c r="I1339" s="47" t="s">
        <v>212</v>
      </c>
      <c r="J1339" s="6">
        <v>73</v>
      </c>
      <c r="K1339" s="8" t="s">
        <v>26</v>
      </c>
      <c r="L1339" s="1" t="s">
        <v>1147</v>
      </c>
      <c r="M1339" s="5">
        <v>50</v>
      </c>
      <c r="Q1339" s="3"/>
      <c r="R1339" s="3"/>
      <c r="S1339" s="3"/>
    </row>
    <row r="1340" spans="1:19" ht="15" x14ac:dyDescent="0.25">
      <c r="A1340" s="7" t="s">
        <v>16</v>
      </c>
      <c r="B1340" s="7" t="s">
        <v>229</v>
      </c>
      <c r="C1340" s="7" t="s">
        <v>24</v>
      </c>
      <c r="D1340" s="4">
        <v>5430118000173</v>
      </c>
      <c r="E1340" s="8" t="s">
        <v>1295</v>
      </c>
      <c r="F1340" s="8" t="s">
        <v>1296</v>
      </c>
      <c r="G1340" s="7" t="s">
        <v>74</v>
      </c>
      <c r="H1340" s="47" t="s">
        <v>211</v>
      </c>
      <c r="I1340" s="47" t="s">
        <v>212</v>
      </c>
      <c r="J1340" s="6">
        <v>73</v>
      </c>
      <c r="K1340" s="8" t="s">
        <v>26</v>
      </c>
      <c r="L1340" s="1" t="s">
        <v>1295</v>
      </c>
      <c r="M1340" s="5">
        <v>12</v>
      </c>
      <c r="Q1340" s="3"/>
      <c r="R1340" s="3"/>
      <c r="S1340" s="3"/>
    </row>
    <row r="1341" spans="1:19" ht="15" x14ac:dyDescent="0.25">
      <c r="A1341" s="7" t="s">
        <v>16</v>
      </c>
      <c r="B1341" s="7" t="s">
        <v>229</v>
      </c>
      <c r="C1341" s="7" t="s">
        <v>24</v>
      </c>
      <c r="D1341" s="4">
        <v>5612725000154</v>
      </c>
      <c r="E1341" s="8" t="s">
        <v>800</v>
      </c>
      <c r="F1341" s="8" t="s">
        <v>742</v>
      </c>
      <c r="G1341" s="7" t="s">
        <v>91</v>
      </c>
      <c r="H1341" s="47" t="s">
        <v>211</v>
      </c>
      <c r="I1341" s="47" t="s">
        <v>212</v>
      </c>
      <c r="J1341" s="6">
        <v>70</v>
      </c>
      <c r="K1341" s="8" t="s">
        <v>20</v>
      </c>
      <c r="L1341" s="1" t="s">
        <v>800</v>
      </c>
      <c r="M1341" s="5">
        <v>30</v>
      </c>
      <c r="Q1341" s="3"/>
      <c r="R1341" s="3"/>
      <c r="S1341" s="3"/>
    </row>
    <row r="1342" spans="1:19" ht="15" x14ac:dyDescent="0.25">
      <c r="A1342" s="7" t="s">
        <v>16</v>
      </c>
      <c r="B1342" s="7" t="s">
        <v>229</v>
      </c>
      <c r="C1342" s="7" t="s">
        <v>24</v>
      </c>
      <c r="D1342" s="4">
        <v>6553564000138</v>
      </c>
      <c r="E1342" s="8" t="s">
        <v>1152</v>
      </c>
      <c r="F1342" s="8" t="s">
        <v>81</v>
      </c>
      <c r="G1342" s="7" t="s">
        <v>82</v>
      </c>
      <c r="H1342" s="47" t="s">
        <v>211</v>
      </c>
      <c r="I1342" s="47" t="s">
        <v>212</v>
      </c>
      <c r="J1342" s="6">
        <v>70</v>
      </c>
      <c r="K1342" s="8" t="s">
        <v>20</v>
      </c>
      <c r="L1342" s="1" t="s">
        <v>1152</v>
      </c>
      <c r="M1342" s="5">
        <v>210</v>
      </c>
      <c r="Q1342" s="3"/>
      <c r="R1342" s="3"/>
      <c r="S1342" s="3"/>
    </row>
    <row r="1343" spans="1:19" ht="15" x14ac:dyDescent="0.25">
      <c r="A1343" s="7" t="s">
        <v>16</v>
      </c>
      <c r="B1343" s="7" t="s">
        <v>229</v>
      </c>
      <c r="C1343" s="7" t="s">
        <v>24</v>
      </c>
      <c r="D1343" s="4">
        <v>6555031000276</v>
      </c>
      <c r="E1343" s="8" t="s">
        <v>815</v>
      </c>
      <c r="F1343" s="8" t="s">
        <v>81</v>
      </c>
      <c r="G1343" s="7" t="s">
        <v>82</v>
      </c>
      <c r="H1343" s="47" t="s">
        <v>211</v>
      </c>
      <c r="I1343" s="47" t="s">
        <v>212</v>
      </c>
      <c r="J1343" s="6">
        <v>64</v>
      </c>
      <c r="K1343" s="8" t="s">
        <v>25</v>
      </c>
      <c r="L1343" s="1" t="s">
        <v>815</v>
      </c>
      <c r="M1343" s="5">
        <v>5</v>
      </c>
      <c r="Q1343" s="3"/>
      <c r="R1343" s="3"/>
      <c r="S1343" s="3"/>
    </row>
    <row r="1344" spans="1:19" ht="15" x14ac:dyDescent="0.25">
      <c r="A1344" s="7" t="s">
        <v>16</v>
      </c>
      <c r="B1344" s="7" t="s">
        <v>229</v>
      </c>
      <c r="C1344" s="7" t="s">
        <v>24</v>
      </c>
      <c r="D1344" s="4">
        <v>6555031000276</v>
      </c>
      <c r="E1344" s="8" t="s">
        <v>815</v>
      </c>
      <c r="F1344" s="8" t="s">
        <v>81</v>
      </c>
      <c r="G1344" s="7" t="s">
        <v>82</v>
      </c>
      <c r="H1344" s="47" t="s">
        <v>211</v>
      </c>
      <c r="I1344" s="47" t="s">
        <v>212</v>
      </c>
      <c r="J1344" s="6">
        <v>73</v>
      </c>
      <c r="K1344" s="8" t="s">
        <v>26</v>
      </c>
      <c r="L1344" s="1" t="s">
        <v>815</v>
      </c>
      <c r="M1344" s="5">
        <v>64</v>
      </c>
      <c r="Q1344" s="3"/>
      <c r="R1344" s="3"/>
      <c r="S1344" s="3"/>
    </row>
    <row r="1345" spans="1:19" ht="15" x14ac:dyDescent="0.25">
      <c r="A1345" s="7" t="s">
        <v>16</v>
      </c>
      <c r="B1345" s="7" t="s">
        <v>229</v>
      </c>
      <c r="C1345" s="7" t="s">
        <v>24</v>
      </c>
      <c r="D1345" s="4">
        <v>7775847000278</v>
      </c>
      <c r="E1345" s="8" t="s">
        <v>820</v>
      </c>
      <c r="F1345" s="8" t="s">
        <v>123</v>
      </c>
      <c r="G1345" s="7" t="s">
        <v>65</v>
      </c>
      <c r="H1345" s="47" t="s">
        <v>211</v>
      </c>
      <c r="I1345" s="47" t="s">
        <v>212</v>
      </c>
      <c r="J1345" s="6">
        <v>70</v>
      </c>
      <c r="K1345" s="8" t="s">
        <v>20</v>
      </c>
      <c r="L1345" s="1" t="s">
        <v>820</v>
      </c>
      <c r="M1345" s="5">
        <v>360</v>
      </c>
      <c r="Q1345" s="3"/>
      <c r="R1345" s="3"/>
      <c r="S1345" s="3"/>
    </row>
    <row r="1346" spans="1:19" ht="15" x14ac:dyDescent="0.25">
      <c r="A1346" s="7" t="s">
        <v>16</v>
      </c>
      <c r="B1346" s="7" t="s">
        <v>229</v>
      </c>
      <c r="C1346" s="7" t="s">
        <v>24</v>
      </c>
      <c r="D1346" s="4">
        <v>8680639000681</v>
      </c>
      <c r="E1346" s="8" t="s">
        <v>827</v>
      </c>
      <c r="F1346" s="8" t="s">
        <v>747</v>
      </c>
      <c r="G1346" s="7" t="s">
        <v>56</v>
      </c>
      <c r="H1346" s="47" t="s">
        <v>211</v>
      </c>
      <c r="I1346" s="47" t="s">
        <v>212</v>
      </c>
      <c r="J1346" s="6">
        <v>73</v>
      </c>
      <c r="K1346" s="8" t="s">
        <v>26</v>
      </c>
      <c r="L1346" s="1" t="s">
        <v>827</v>
      </c>
      <c r="M1346" s="5">
        <v>52</v>
      </c>
      <c r="Q1346" s="3"/>
      <c r="R1346" s="3"/>
      <c r="S1346" s="3"/>
    </row>
    <row r="1347" spans="1:19" ht="15" x14ac:dyDescent="0.25">
      <c r="A1347" s="7" t="s">
        <v>16</v>
      </c>
      <c r="B1347" s="7" t="s">
        <v>229</v>
      </c>
      <c r="C1347" s="7" t="s">
        <v>24</v>
      </c>
      <c r="D1347" s="4">
        <v>10839561000132</v>
      </c>
      <c r="E1347" s="8" t="s">
        <v>834</v>
      </c>
      <c r="F1347" s="8" t="s">
        <v>70</v>
      </c>
      <c r="G1347" s="7" t="s">
        <v>71</v>
      </c>
      <c r="H1347" s="47" t="s">
        <v>211</v>
      </c>
      <c r="I1347" s="47" t="s">
        <v>212</v>
      </c>
      <c r="J1347" s="6">
        <v>73</v>
      </c>
      <c r="K1347" s="8" t="s">
        <v>26</v>
      </c>
      <c r="L1347" s="1" t="s">
        <v>834</v>
      </c>
      <c r="M1347" s="5">
        <v>8</v>
      </c>
      <c r="Q1347" s="3"/>
      <c r="R1347" s="3"/>
      <c r="S1347" s="3"/>
    </row>
    <row r="1348" spans="1:19" ht="15" x14ac:dyDescent="0.25">
      <c r="A1348" s="7" t="s">
        <v>16</v>
      </c>
      <c r="B1348" s="7" t="s">
        <v>229</v>
      </c>
      <c r="C1348" s="7" t="s">
        <v>24</v>
      </c>
      <c r="D1348" s="4">
        <v>10892164000124</v>
      </c>
      <c r="E1348" s="8" t="s">
        <v>835</v>
      </c>
      <c r="F1348" s="8" t="s">
        <v>70</v>
      </c>
      <c r="G1348" s="7" t="s">
        <v>71</v>
      </c>
      <c r="H1348" s="47" t="s">
        <v>211</v>
      </c>
      <c r="I1348" s="47" t="s">
        <v>212</v>
      </c>
      <c r="J1348" s="6">
        <v>64</v>
      </c>
      <c r="K1348" s="8" t="s">
        <v>25</v>
      </c>
      <c r="L1348" s="1" t="s">
        <v>835</v>
      </c>
      <c r="M1348" s="5">
        <v>10</v>
      </c>
      <c r="Q1348" s="3"/>
      <c r="R1348" s="3"/>
      <c r="S1348" s="3"/>
    </row>
    <row r="1349" spans="1:19" ht="15" x14ac:dyDescent="0.25">
      <c r="A1349" s="7" t="s">
        <v>16</v>
      </c>
      <c r="B1349" s="7" t="s">
        <v>229</v>
      </c>
      <c r="C1349" s="7" t="s">
        <v>24</v>
      </c>
      <c r="D1349" s="4">
        <v>10892164000124</v>
      </c>
      <c r="E1349" s="8" t="s">
        <v>835</v>
      </c>
      <c r="F1349" s="8" t="s">
        <v>70</v>
      </c>
      <c r="G1349" s="7" t="s">
        <v>71</v>
      </c>
      <c r="H1349" s="47" t="s">
        <v>211</v>
      </c>
      <c r="I1349" s="47" t="s">
        <v>212</v>
      </c>
      <c r="J1349" s="6">
        <v>73</v>
      </c>
      <c r="K1349" s="8" t="s">
        <v>26</v>
      </c>
      <c r="L1349" s="1" t="s">
        <v>835</v>
      </c>
      <c r="M1349" s="5">
        <v>60</v>
      </c>
      <c r="Q1349" s="3"/>
      <c r="R1349" s="3"/>
      <c r="S1349" s="3"/>
    </row>
    <row r="1350" spans="1:19" ht="15" x14ac:dyDescent="0.25">
      <c r="A1350" s="7" t="s">
        <v>16</v>
      </c>
      <c r="B1350" s="7" t="s">
        <v>229</v>
      </c>
      <c r="C1350" s="7" t="s">
        <v>24</v>
      </c>
      <c r="D1350" s="4">
        <v>11006293000130</v>
      </c>
      <c r="E1350" s="8" t="s">
        <v>838</v>
      </c>
      <c r="F1350" s="8" t="s">
        <v>777</v>
      </c>
      <c r="G1350" s="7" t="s">
        <v>72</v>
      </c>
      <c r="H1350" s="47" t="s">
        <v>211</v>
      </c>
      <c r="I1350" s="47" t="s">
        <v>212</v>
      </c>
      <c r="J1350" s="6">
        <v>62</v>
      </c>
      <c r="K1350" s="8" t="s">
        <v>27</v>
      </c>
      <c r="L1350" s="1" t="s">
        <v>838</v>
      </c>
      <c r="M1350" s="5">
        <v>1</v>
      </c>
      <c r="Q1350" s="3"/>
      <c r="R1350" s="3"/>
      <c r="S1350" s="3"/>
    </row>
    <row r="1351" spans="1:19" ht="15" x14ac:dyDescent="0.25">
      <c r="A1351" s="7" t="s">
        <v>16</v>
      </c>
      <c r="B1351" s="7" t="s">
        <v>229</v>
      </c>
      <c r="C1351" s="7" t="s">
        <v>24</v>
      </c>
      <c r="D1351" s="4">
        <v>11006293000130</v>
      </c>
      <c r="E1351" s="8" t="s">
        <v>838</v>
      </c>
      <c r="F1351" s="8" t="s">
        <v>777</v>
      </c>
      <c r="G1351" s="7" t="s">
        <v>72</v>
      </c>
      <c r="H1351" s="47" t="s">
        <v>211</v>
      </c>
      <c r="I1351" s="47" t="s">
        <v>212</v>
      </c>
      <c r="J1351" s="6">
        <v>70</v>
      </c>
      <c r="K1351" s="8" t="s">
        <v>20</v>
      </c>
      <c r="L1351" s="1" t="s">
        <v>838</v>
      </c>
      <c r="M1351" s="5">
        <v>500</v>
      </c>
      <c r="Q1351" s="3"/>
      <c r="R1351" s="3"/>
      <c r="S1351" s="3"/>
    </row>
    <row r="1352" spans="1:19" ht="15" x14ac:dyDescent="0.25">
      <c r="A1352" s="7" t="s">
        <v>16</v>
      </c>
      <c r="B1352" s="7" t="s">
        <v>229</v>
      </c>
      <c r="C1352" s="7" t="s">
        <v>24</v>
      </c>
      <c r="D1352" s="4">
        <v>11214624000470</v>
      </c>
      <c r="E1352" s="8" t="s">
        <v>841</v>
      </c>
      <c r="F1352" s="8" t="s">
        <v>70</v>
      </c>
      <c r="G1352" s="7" t="s">
        <v>71</v>
      </c>
      <c r="H1352" s="47" t="s">
        <v>211</v>
      </c>
      <c r="I1352" s="47" t="s">
        <v>212</v>
      </c>
      <c r="J1352" s="6">
        <v>70</v>
      </c>
      <c r="K1352" s="8" t="s">
        <v>20</v>
      </c>
      <c r="L1352" s="1" t="s">
        <v>841</v>
      </c>
      <c r="M1352" s="5">
        <v>50</v>
      </c>
      <c r="Q1352" s="3"/>
      <c r="R1352" s="3"/>
      <c r="S1352" s="3"/>
    </row>
    <row r="1353" spans="1:19" ht="15" x14ac:dyDescent="0.25">
      <c r="A1353" s="7" t="s">
        <v>16</v>
      </c>
      <c r="B1353" s="7" t="s">
        <v>229</v>
      </c>
      <c r="C1353" s="7" t="s">
        <v>24</v>
      </c>
      <c r="D1353" s="4">
        <v>11836436000131</v>
      </c>
      <c r="E1353" s="8" t="s">
        <v>1297</v>
      </c>
      <c r="F1353" s="8" t="s">
        <v>907</v>
      </c>
      <c r="G1353" s="7" t="s">
        <v>69</v>
      </c>
      <c r="H1353" s="47" t="s">
        <v>211</v>
      </c>
      <c r="I1353" s="47" t="s">
        <v>212</v>
      </c>
      <c r="J1353" s="6">
        <v>70</v>
      </c>
      <c r="K1353" s="8" t="s">
        <v>20</v>
      </c>
      <c r="L1353" s="1" t="s">
        <v>1297</v>
      </c>
      <c r="M1353" s="5">
        <v>25</v>
      </c>
      <c r="Q1353" s="3"/>
      <c r="R1353" s="3"/>
      <c r="S1353" s="3"/>
    </row>
    <row r="1354" spans="1:19" ht="15" x14ac:dyDescent="0.25">
      <c r="A1354" s="7" t="s">
        <v>16</v>
      </c>
      <c r="B1354" s="7" t="s">
        <v>229</v>
      </c>
      <c r="C1354" s="7" t="s">
        <v>24</v>
      </c>
      <c r="D1354" s="4">
        <v>12361267000517</v>
      </c>
      <c r="E1354" s="8" t="s">
        <v>849</v>
      </c>
      <c r="F1354" s="8" t="s">
        <v>84</v>
      </c>
      <c r="G1354" s="7" t="s">
        <v>85</v>
      </c>
      <c r="H1354" s="47" t="s">
        <v>211</v>
      </c>
      <c r="I1354" s="47" t="s">
        <v>212</v>
      </c>
      <c r="J1354" s="6">
        <v>64</v>
      </c>
      <c r="K1354" s="8" t="s">
        <v>25</v>
      </c>
      <c r="L1354" s="1" t="s">
        <v>849</v>
      </c>
      <c r="M1354" s="5">
        <v>2</v>
      </c>
      <c r="Q1354" s="3"/>
      <c r="R1354" s="3"/>
      <c r="S1354" s="3"/>
    </row>
    <row r="1355" spans="1:19" ht="15" x14ac:dyDescent="0.25">
      <c r="A1355" s="7" t="s">
        <v>16</v>
      </c>
      <c r="B1355" s="7" t="s">
        <v>229</v>
      </c>
      <c r="C1355" s="7" t="s">
        <v>24</v>
      </c>
      <c r="D1355" s="4">
        <v>12361267000517</v>
      </c>
      <c r="E1355" s="8" t="s">
        <v>849</v>
      </c>
      <c r="F1355" s="8" t="s">
        <v>84</v>
      </c>
      <c r="G1355" s="7" t="s">
        <v>85</v>
      </c>
      <c r="H1355" s="47" t="s">
        <v>211</v>
      </c>
      <c r="I1355" s="47" t="s">
        <v>212</v>
      </c>
      <c r="J1355" s="6">
        <v>70</v>
      </c>
      <c r="K1355" s="8" t="s">
        <v>20</v>
      </c>
      <c r="L1355" s="1" t="s">
        <v>849</v>
      </c>
      <c r="M1355" s="5">
        <v>30</v>
      </c>
      <c r="Q1355" s="3"/>
      <c r="R1355" s="3"/>
      <c r="S1355" s="3"/>
    </row>
    <row r="1356" spans="1:19" ht="15" x14ac:dyDescent="0.25">
      <c r="A1356" s="7" t="s">
        <v>16</v>
      </c>
      <c r="B1356" s="7" t="s">
        <v>229</v>
      </c>
      <c r="C1356" s="7" t="s">
        <v>24</v>
      </c>
      <c r="D1356" s="4">
        <v>12361267000789</v>
      </c>
      <c r="E1356" s="8" t="s">
        <v>850</v>
      </c>
      <c r="F1356" s="8" t="s">
        <v>777</v>
      </c>
      <c r="G1356" s="7" t="s">
        <v>72</v>
      </c>
      <c r="H1356" s="47" t="s">
        <v>211</v>
      </c>
      <c r="I1356" s="47" t="s">
        <v>212</v>
      </c>
      <c r="J1356" s="6">
        <v>62</v>
      </c>
      <c r="K1356" s="8" t="s">
        <v>27</v>
      </c>
      <c r="L1356" s="1" t="s">
        <v>850</v>
      </c>
      <c r="M1356" s="5">
        <v>2</v>
      </c>
      <c r="Q1356" s="3"/>
      <c r="R1356" s="3"/>
      <c r="S1356" s="3"/>
    </row>
    <row r="1357" spans="1:19" ht="15" x14ac:dyDescent="0.25">
      <c r="A1357" s="7" t="s">
        <v>16</v>
      </c>
      <c r="B1357" s="7" t="s">
        <v>229</v>
      </c>
      <c r="C1357" s="7" t="s">
        <v>24</v>
      </c>
      <c r="D1357" s="4">
        <v>12361267000789</v>
      </c>
      <c r="E1357" s="8" t="s">
        <v>850</v>
      </c>
      <c r="F1357" s="8" t="s">
        <v>777</v>
      </c>
      <c r="G1357" s="7" t="s">
        <v>72</v>
      </c>
      <c r="H1357" s="47" t="s">
        <v>211</v>
      </c>
      <c r="I1357" s="47" t="s">
        <v>212</v>
      </c>
      <c r="J1357" s="6">
        <v>64</v>
      </c>
      <c r="K1357" s="8" t="s">
        <v>25</v>
      </c>
      <c r="L1357" s="1" t="s">
        <v>850</v>
      </c>
      <c r="M1357" s="5">
        <v>-2</v>
      </c>
      <c r="Q1357" s="3"/>
      <c r="R1357" s="3"/>
      <c r="S1357" s="3"/>
    </row>
    <row r="1358" spans="1:19" ht="15" x14ac:dyDescent="0.25">
      <c r="A1358" s="7" t="s">
        <v>16</v>
      </c>
      <c r="B1358" s="7" t="s">
        <v>229</v>
      </c>
      <c r="C1358" s="7" t="s">
        <v>24</v>
      </c>
      <c r="D1358" s="4">
        <v>12361267000789</v>
      </c>
      <c r="E1358" s="8" t="s">
        <v>850</v>
      </c>
      <c r="F1358" s="8" t="s">
        <v>777</v>
      </c>
      <c r="G1358" s="7" t="s">
        <v>72</v>
      </c>
      <c r="H1358" s="47" t="s">
        <v>211</v>
      </c>
      <c r="I1358" s="47" t="s">
        <v>212</v>
      </c>
      <c r="J1358" s="6">
        <v>70</v>
      </c>
      <c r="K1358" s="8" t="s">
        <v>20</v>
      </c>
      <c r="L1358" s="1" t="s">
        <v>850</v>
      </c>
      <c r="M1358" s="5">
        <v>20</v>
      </c>
      <c r="Q1358" s="3"/>
      <c r="R1358" s="3"/>
      <c r="S1358" s="3"/>
    </row>
    <row r="1359" spans="1:19" ht="15" x14ac:dyDescent="0.25">
      <c r="A1359" s="7" t="s">
        <v>16</v>
      </c>
      <c r="B1359" s="7" t="s">
        <v>229</v>
      </c>
      <c r="C1359" s="7" t="s">
        <v>24</v>
      </c>
      <c r="D1359" s="4">
        <v>12361267003370</v>
      </c>
      <c r="E1359" s="8" t="s">
        <v>1298</v>
      </c>
      <c r="F1359" s="8" t="s">
        <v>1129</v>
      </c>
      <c r="G1359" s="7" t="s">
        <v>52</v>
      </c>
      <c r="H1359" s="47" t="s">
        <v>211</v>
      </c>
      <c r="I1359" s="47" t="s">
        <v>212</v>
      </c>
      <c r="J1359" s="6">
        <v>62</v>
      </c>
      <c r="K1359" s="8" t="s">
        <v>27</v>
      </c>
      <c r="L1359" s="1" t="s">
        <v>1298</v>
      </c>
      <c r="M1359" s="5">
        <v>4</v>
      </c>
      <c r="Q1359" s="3"/>
      <c r="R1359" s="3"/>
      <c r="S1359" s="3"/>
    </row>
    <row r="1360" spans="1:19" ht="15" x14ac:dyDescent="0.25">
      <c r="A1360" s="7" t="s">
        <v>16</v>
      </c>
      <c r="B1360" s="7" t="s">
        <v>229</v>
      </c>
      <c r="C1360" s="7" t="s">
        <v>24</v>
      </c>
      <c r="D1360" s="4">
        <v>12361267003370</v>
      </c>
      <c r="E1360" s="8" t="s">
        <v>1298</v>
      </c>
      <c r="F1360" s="8" t="s">
        <v>1129</v>
      </c>
      <c r="G1360" s="7" t="s">
        <v>52</v>
      </c>
      <c r="H1360" s="47" t="s">
        <v>211</v>
      </c>
      <c r="I1360" s="47" t="s">
        <v>212</v>
      </c>
      <c r="J1360" s="6">
        <v>70</v>
      </c>
      <c r="K1360" s="8" t="s">
        <v>20</v>
      </c>
      <c r="L1360" s="1" t="s">
        <v>1298</v>
      </c>
      <c r="M1360" s="5">
        <v>305</v>
      </c>
      <c r="Q1360" s="3"/>
      <c r="R1360" s="3"/>
      <c r="S1360" s="3"/>
    </row>
    <row r="1361" spans="1:19" ht="15" x14ac:dyDescent="0.25">
      <c r="A1361" s="7" t="s">
        <v>16</v>
      </c>
      <c r="B1361" s="7" t="s">
        <v>229</v>
      </c>
      <c r="C1361" s="7" t="s">
        <v>24</v>
      </c>
      <c r="D1361" s="4">
        <v>12361267005748</v>
      </c>
      <c r="E1361" s="8" t="s">
        <v>1299</v>
      </c>
      <c r="F1361" s="8" t="s">
        <v>794</v>
      </c>
      <c r="G1361" s="7" t="s">
        <v>71</v>
      </c>
      <c r="H1361" s="47" t="s">
        <v>211</v>
      </c>
      <c r="I1361" s="47" t="s">
        <v>212</v>
      </c>
      <c r="J1361" s="6">
        <v>62</v>
      </c>
      <c r="K1361" s="8" t="s">
        <v>27</v>
      </c>
      <c r="L1361" s="1" t="s">
        <v>1299</v>
      </c>
      <c r="M1361" s="5">
        <v>4</v>
      </c>
      <c r="Q1361" s="3"/>
      <c r="R1361" s="3"/>
      <c r="S1361" s="3"/>
    </row>
    <row r="1362" spans="1:19" ht="15" x14ac:dyDescent="0.25">
      <c r="A1362" s="7" t="s">
        <v>16</v>
      </c>
      <c r="B1362" s="7" t="s">
        <v>229</v>
      </c>
      <c r="C1362" s="7" t="s">
        <v>24</v>
      </c>
      <c r="D1362" s="4">
        <v>12361267008410</v>
      </c>
      <c r="E1362" s="8" t="s">
        <v>854</v>
      </c>
      <c r="F1362" s="8" t="s">
        <v>855</v>
      </c>
      <c r="G1362" s="7" t="s">
        <v>77</v>
      </c>
      <c r="H1362" s="47" t="s">
        <v>211</v>
      </c>
      <c r="I1362" s="47" t="s">
        <v>212</v>
      </c>
      <c r="J1362" s="6">
        <v>62</v>
      </c>
      <c r="K1362" s="8" t="s">
        <v>27</v>
      </c>
      <c r="L1362" s="1" t="s">
        <v>854</v>
      </c>
      <c r="M1362" s="5">
        <v>2</v>
      </c>
      <c r="Q1362" s="3"/>
      <c r="R1362" s="3"/>
      <c r="S1362" s="3"/>
    </row>
    <row r="1363" spans="1:19" ht="15" x14ac:dyDescent="0.25">
      <c r="A1363" s="7" t="s">
        <v>16</v>
      </c>
      <c r="B1363" s="7" t="s">
        <v>229</v>
      </c>
      <c r="C1363" s="7" t="s">
        <v>24</v>
      </c>
      <c r="D1363" s="4">
        <v>12361267010407</v>
      </c>
      <c r="E1363" s="8" t="s">
        <v>862</v>
      </c>
      <c r="F1363" s="8" t="s">
        <v>86</v>
      </c>
      <c r="G1363" s="7" t="s">
        <v>74</v>
      </c>
      <c r="H1363" s="47" t="s">
        <v>211</v>
      </c>
      <c r="I1363" s="47" t="s">
        <v>212</v>
      </c>
      <c r="J1363" s="6">
        <v>62</v>
      </c>
      <c r="K1363" s="8" t="s">
        <v>27</v>
      </c>
      <c r="L1363" s="1" t="s">
        <v>862</v>
      </c>
      <c r="M1363" s="5">
        <v>2</v>
      </c>
      <c r="Q1363" s="3"/>
      <c r="R1363" s="3"/>
      <c r="S1363" s="3"/>
    </row>
    <row r="1364" spans="1:19" ht="15" x14ac:dyDescent="0.25">
      <c r="A1364" s="7" t="s">
        <v>16</v>
      </c>
      <c r="B1364" s="7" t="s">
        <v>229</v>
      </c>
      <c r="C1364" s="7" t="s">
        <v>24</v>
      </c>
      <c r="D1364" s="4">
        <v>12442737000496</v>
      </c>
      <c r="E1364" s="8" t="s">
        <v>865</v>
      </c>
      <c r="F1364" s="8" t="s">
        <v>742</v>
      </c>
      <c r="G1364" s="7" t="s">
        <v>91</v>
      </c>
      <c r="H1364" s="47" t="s">
        <v>211</v>
      </c>
      <c r="I1364" s="47" t="s">
        <v>212</v>
      </c>
      <c r="J1364" s="6">
        <v>70</v>
      </c>
      <c r="K1364" s="8" t="s">
        <v>20</v>
      </c>
      <c r="L1364" s="1" t="s">
        <v>865</v>
      </c>
      <c r="M1364" s="5">
        <v>1085</v>
      </c>
      <c r="Q1364" s="3"/>
      <c r="R1364" s="3"/>
      <c r="S1364" s="3"/>
    </row>
    <row r="1365" spans="1:19" ht="15" x14ac:dyDescent="0.25">
      <c r="A1365" s="7" t="s">
        <v>16</v>
      </c>
      <c r="B1365" s="7" t="s">
        <v>229</v>
      </c>
      <c r="C1365" s="7" t="s">
        <v>24</v>
      </c>
      <c r="D1365" s="4">
        <v>13016332000106</v>
      </c>
      <c r="E1365" s="8" t="s">
        <v>868</v>
      </c>
      <c r="F1365" s="8" t="s">
        <v>84</v>
      </c>
      <c r="G1365" s="7" t="s">
        <v>85</v>
      </c>
      <c r="H1365" s="47" t="s">
        <v>211</v>
      </c>
      <c r="I1365" s="47" t="s">
        <v>212</v>
      </c>
      <c r="J1365" s="6">
        <v>62</v>
      </c>
      <c r="K1365" s="8" t="s">
        <v>27</v>
      </c>
      <c r="L1365" s="1" t="s">
        <v>868</v>
      </c>
      <c r="M1365" s="5">
        <v>4</v>
      </c>
      <c r="Q1365" s="3"/>
      <c r="R1365" s="3"/>
      <c r="S1365" s="3"/>
    </row>
    <row r="1366" spans="1:19" ht="15" x14ac:dyDescent="0.25">
      <c r="A1366" s="7" t="s">
        <v>16</v>
      </c>
      <c r="B1366" s="7" t="s">
        <v>229</v>
      </c>
      <c r="C1366" s="7" t="s">
        <v>24</v>
      </c>
      <c r="D1366" s="4">
        <v>13131370000100</v>
      </c>
      <c r="E1366" s="8" t="s">
        <v>870</v>
      </c>
      <c r="F1366" s="8" t="s">
        <v>84</v>
      </c>
      <c r="G1366" s="7" t="s">
        <v>85</v>
      </c>
      <c r="H1366" s="47" t="s">
        <v>211</v>
      </c>
      <c r="I1366" s="47" t="s">
        <v>212</v>
      </c>
      <c r="J1366" s="6">
        <v>64</v>
      </c>
      <c r="K1366" s="8" t="s">
        <v>25</v>
      </c>
      <c r="L1366" s="1" t="s">
        <v>870</v>
      </c>
      <c r="M1366" s="5">
        <v>4</v>
      </c>
      <c r="Q1366" s="3"/>
      <c r="R1366" s="3"/>
      <c r="S1366" s="3"/>
    </row>
    <row r="1367" spans="1:19" ht="15" x14ac:dyDescent="0.25">
      <c r="A1367" s="7" t="s">
        <v>16</v>
      </c>
      <c r="B1367" s="7" t="s">
        <v>229</v>
      </c>
      <c r="C1367" s="7" t="s">
        <v>24</v>
      </c>
      <c r="D1367" s="4">
        <v>13131370000100</v>
      </c>
      <c r="E1367" s="8" t="s">
        <v>870</v>
      </c>
      <c r="F1367" s="8" t="s">
        <v>84</v>
      </c>
      <c r="G1367" s="7" t="s">
        <v>85</v>
      </c>
      <c r="H1367" s="47" t="s">
        <v>211</v>
      </c>
      <c r="I1367" s="47" t="s">
        <v>212</v>
      </c>
      <c r="J1367" s="6">
        <v>70</v>
      </c>
      <c r="K1367" s="8" t="s">
        <v>20</v>
      </c>
      <c r="L1367" s="1" t="s">
        <v>870</v>
      </c>
      <c r="M1367" s="5">
        <v>200</v>
      </c>
      <c r="Q1367" s="3"/>
      <c r="R1367" s="3"/>
      <c r="S1367" s="3"/>
    </row>
    <row r="1368" spans="1:19" ht="15" x14ac:dyDescent="0.25">
      <c r="A1368" s="7" t="s">
        <v>16</v>
      </c>
      <c r="B1368" s="7" t="s">
        <v>229</v>
      </c>
      <c r="C1368" s="7" t="s">
        <v>24</v>
      </c>
      <c r="D1368" s="4">
        <v>13131370000100</v>
      </c>
      <c r="E1368" s="8" t="s">
        <v>870</v>
      </c>
      <c r="F1368" s="8" t="s">
        <v>84</v>
      </c>
      <c r="G1368" s="7" t="s">
        <v>85</v>
      </c>
      <c r="H1368" s="47" t="s">
        <v>211</v>
      </c>
      <c r="I1368" s="47" t="s">
        <v>212</v>
      </c>
      <c r="J1368" s="6">
        <v>73</v>
      </c>
      <c r="K1368" s="8" t="s">
        <v>26</v>
      </c>
      <c r="L1368" s="1" t="s">
        <v>870</v>
      </c>
      <c r="M1368" s="5">
        <v>66</v>
      </c>
      <c r="Q1368" s="3"/>
      <c r="R1368" s="3"/>
      <c r="S1368" s="3"/>
    </row>
    <row r="1369" spans="1:19" ht="15" x14ac:dyDescent="0.25">
      <c r="A1369" s="7" t="s">
        <v>16</v>
      </c>
      <c r="B1369" s="7" t="s">
        <v>229</v>
      </c>
      <c r="C1369" s="7" t="s">
        <v>24</v>
      </c>
      <c r="D1369" s="4">
        <v>15016827000160</v>
      </c>
      <c r="E1369" s="8" t="s">
        <v>877</v>
      </c>
      <c r="F1369" s="8" t="s">
        <v>772</v>
      </c>
      <c r="G1369" s="7" t="s">
        <v>69</v>
      </c>
      <c r="H1369" s="47" t="s">
        <v>211</v>
      </c>
      <c r="I1369" s="47" t="s">
        <v>212</v>
      </c>
      <c r="J1369" s="6">
        <v>64</v>
      </c>
      <c r="K1369" s="8" t="s">
        <v>25</v>
      </c>
      <c r="L1369" s="1" t="s">
        <v>877</v>
      </c>
      <c r="M1369" s="5">
        <v>14</v>
      </c>
      <c r="Q1369" s="3"/>
      <c r="R1369" s="3"/>
      <c r="S1369" s="3"/>
    </row>
    <row r="1370" spans="1:19" ht="15" x14ac:dyDescent="0.25">
      <c r="A1370" s="7" t="s">
        <v>16</v>
      </c>
      <c r="B1370" s="7" t="s">
        <v>229</v>
      </c>
      <c r="C1370" s="7" t="s">
        <v>24</v>
      </c>
      <c r="D1370" s="4">
        <v>15126437000224</v>
      </c>
      <c r="E1370" s="8" t="s">
        <v>878</v>
      </c>
      <c r="F1370" s="8" t="s">
        <v>81</v>
      </c>
      <c r="G1370" s="7" t="s">
        <v>82</v>
      </c>
      <c r="H1370" s="47" t="s">
        <v>211</v>
      </c>
      <c r="I1370" s="47" t="s">
        <v>212</v>
      </c>
      <c r="J1370" s="6">
        <v>64</v>
      </c>
      <c r="K1370" s="8" t="s">
        <v>25</v>
      </c>
      <c r="L1370" s="1" t="s">
        <v>878</v>
      </c>
      <c r="M1370" s="5">
        <v>10</v>
      </c>
      <c r="Q1370" s="3"/>
      <c r="R1370" s="3"/>
      <c r="S1370" s="3"/>
    </row>
    <row r="1371" spans="1:19" ht="15" x14ac:dyDescent="0.25">
      <c r="A1371" s="7" t="s">
        <v>16</v>
      </c>
      <c r="B1371" s="7" t="s">
        <v>229</v>
      </c>
      <c r="C1371" s="7" t="s">
        <v>24</v>
      </c>
      <c r="D1371" s="4">
        <v>15126437000739</v>
      </c>
      <c r="E1371" s="8" t="s">
        <v>881</v>
      </c>
      <c r="F1371" s="8" t="s">
        <v>62</v>
      </c>
      <c r="G1371" s="7" t="s">
        <v>63</v>
      </c>
      <c r="H1371" s="47" t="s">
        <v>211</v>
      </c>
      <c r="I1371" s="47" t="s">
        <v>212</v>
      </c>
      <c r="J1371" s="6">
        <v>64</v>
      </c>
      <c r="K1371" s="8" t="s">
        <v>25</v>
      </c>
      <c r="L1371" s="1" t="s">
        <v>881</v>
      </c>
      <c r="M1371" s="5">
        <v>500</v>
      </c>
      <c r="Q1371" s="3"/>
      <c r="R1371" s="3"/>
      <c r="S1371" s="3"/>
    </row>
    <row r="1372" spans="1:19" ht="15" x14ac:dyDescent="0.25">
      <c r="A1372" s="7" t="s">
        <v>16</v>
      </c>
      <c r="B1372" s="7" t="s">
        <v>229</v>
      </c>
      <c r="C1372" s="7" t="s">
        <v>24</v>
      </c>
      <c r="D1372" s="4">
        <v>15126437003240</v>
      </c>
      <c r="E1372" s="8" t="s">
        <v>885</v>
      </c>
      <c r="F1372" s="8" t="s">
        <v>130</v>
      </c>
      <c r="G1372" s="7" t="s">
        <v>56</v>
      </c>
      <c r="H1372" s="47" t="s">
        <v>211</v>
      </c>
      <c r="I1372" s="47" t="s">
        <v>212</v>
      </c>
      <c r="J1372" s="6">
        <v>70</v>
      </c>
      <c r="K1372" s="8" t="s">
        <v>20</v>
      </c>
      <c r="L1372" s="1" t="s">
        <v>885</v>
      </c>
      <c r="M1372" s="5">
        <v>75</v>
      </c>
      <c r="Q1372" s="3"/>
      <c r="R1372" s="3"/>
      <c r="S1372" s="3"/>
    </row>
    <row r="1373" spans="1:19" ht="15" x14ac:dyDescent="0.25">
      <c r="A1373" s="7" t="s">
        <v>16</v>
      </c>
      <c r="B1373" s="7" t="s">
        <v>229</v>
      </c>
      <c r="C1373" s="7" t="s">
        <v>24</v>
      </c>
      <c r="D1373" s="4">
        <v>16064313000577</v>
      </c>
      <c r="E1373" s="8" t="s">
        <v>898</v>
      </c>
      <c r="F1373" s="8" t="s">
        <v>84</v>
      </c>
      <c r="G1373" s="7" t="s">
        <v>85</v>
      </c>
      <c r="H1373" s="47" t="s">
        <v>211</v>
      </c>
      <c r="I1373" s="47" t="s">
        <v>212</v>
      </c>
      <c r="J1373" s="6">
        <v>73</v>
      </c>
      <c r="K1373" s="8" t="s">
        <v>26</v>
      </c>
      <c r="L1373" s="1" t="s">
        <v>898</v>
      </c>
      <c r="M1373" s="5">
        <v>21</v>
      </c>
      <c r="Q1373" s="3"/>
      <c r="R1373" s="3"/>
      <c r="S1373" s="3"/>
    </row>
    <row r="1374" spans="1:19" ht="15" x14ac:dyDescent="0.25">
      <c r="A1374" s="7" t="s">
        <v>16</v>
      </c>
      <c r="B1374" s="7" t="s">
        <v>229</v>
      </c>
      <c r="C1374" s="7" t="s">
        <v>24</v>
      </c>
      <c r="D1374" s="4">
        <v>27456372000183</v>
      </c>
      <c r="E1374" s="8" t="s">
        <v>909</v>
      </c>
      <c r="F1374" s="8" t="s">
        <v>745</v>
      </c>
      <c r="G1374" s="7" t="s">
        <v>59</v>
      </c>
      <c r="H1374" s="47" t="s">
        <v>211</v>
      </c>
      <c r="I1374" s="47" t="s">
        <v>212</v>
      </c>
      <c r="J1374" s="6">
        <v>64</v>
      </c>
      <c r="K1374" s="8" t="s">
        <v>25</v>
      </c>
      <c r="L1374" s="1" t="s">
        <v>909</v>
      </c>
      <c r="M1374" s="5">
        <v>2</v>
      </c>
      <c r="Q1374" s="3"/>
      <c r="R1374" s="3"/>
      <c r="S1374" s="3"/>
    </row>
    <row r="1375" spans="1:19" ht="15" x14ac:dyDescent="0.25">
      <c r="A1375" s="7" t="s">
        <v>16</v>
      </c>
      <c r="B1375" s="7" t="s">
        <v>229</v>
      </c>
      <c r="C1375" s="7" t="s">
        <v>24</v>
      </c>
      <c r="D1375" s="4">
        <v>29435005009851</v>
      </c>
      <c r="E1375" s="8" t="s">
        <v>913</v>
      </c>
      <c r="F1375" s="8" t="s">
        <v>62</v>
      </c>
      <c r="G1375" s="7" t="s">
        <v>63</v>
      </c>
      <c r="H1375" s="47" t="s">
        <v>211</v>
      </c>
      <c r="I1375" s="47" t="s">
        <v>212</v>
      </c>
      <c r="J1375" s="6">
        <v>64</v>
      </c>
      <c r="K1375" s="8" t="s">
        <v>25</v>
      </c>
      <c r="L1375" s="1" t="s">
        <v>913</v>
      </c>
      <c r="M1375" s="5">
        <v>25</v>
      </c>
      <c r="Q1375" s="3"/>
      <c r="R1375" s="3"/>
      <c r="S1375" s="3"/>
    </row>
    <row r="1376" spans="1:19" ht="15" x14ac:dyDescent="0.25">
      <c r="A1376" s="7" t="s">
        <v>16</v>
      </c>
      <c r="B1376" s="7" t="s">
        <v>229</v>
      </c>
      <c r="C1376" s="7" t="s">
        <v>24</v>
      </c>
      <c r="D1376" s="4">
        <v>29435005009851</v>
      </c>
      <c r="E1376" s="8" t="s">
        <v>913</v>
      </c>
      <c r="F1376" s="8" t="s">
        <v>62</v>
      </c>
      <c r="G1376" s="7" t="s">
        <v>63</v>
      </c>
      <c r="H1376" s="47" t="s">
        <v>211</v>
      </c>
      <c r="I1376" s="47" t="s">
        <v>212</v>
      </c>
      <c r="J1376" s="6">
        <v>70</v>
      </c>
      <c r="K1376" s="8" t="s">
        <v>20</v>
      </c>
      <c r="L1376" s="1" t="s">
        <v>913</v>
      </c>
      <c r="M1376" s="5">
        <v>175</v>
      </c>
      <c r="Q1376" s="3"/>
      <c r="R1376" s="3"/>
      <c r="S1376" s="3"/>
    </row>
    <row r="1377" spans="1:19" ht="15" x14ac:dyDescent="0.25">
      <c r="A1377" s="7" t="s">
        <v>16</v>
      </c>
      <c r="B1377" s="7" t="s">
        <v>229</v>
      </c>
      <c r="C1377" s="7" t="s">
        <v>24</v>
      </c>
      <c r="D1377" s="4">
        <v>83367342000252</v>
      </c>
      <c r="E1377" s="8" t="s">
        <v>1237</v>
      </c>
      <c r="F1377" s="8" t="s">
        <v>1129</v>
      </c>
      <c r="G1377" s="7" t="s">
        <v>52</v>
      </c>
      <c r="H1377" s="47" t="s">
        <v>211</v>
      </c>
      <c r="I1377" s="47" t="s">
        <v>212</v>
      </c>
      <c r="J1377" s="6">
        <v>64</v>
      </c>
      <c r="K1377" s="8" t="s">
        <v>25</v>
      </c>
      <c r="L1377" s="1" t="s">
        <v>1237</v>
      </c>
      <c r="M1377" s="5">
        <v>10</v>
      </c>
      <c r="Q1377" s="3"/>
      <c r="R1377" s="3"/>
      <c r="S1377" s="3"/>
    </row>
    <row r="1378" spans="1:19" ht="15" x14ac:dyDescent="0.25">
      <c r="A1378" s="7" t="s">
        <v>16</v>
      </c>
      <c r="B1378" s="7" t="s">
        <v>229</v>
      </c>
      <c r="C1378" s="7" t="s">
        <v>24</v>
      </c>
      <c r="D1378" s="4">
        <v>83367342000252</v>
      </c>
      <c r="E1378" s="8" t="s">
        <v>1237</v>
      </c>
      <c r="F1378" s="8" t="s">
        <v>1129</v>
      </c>
      <c r="G1378" s="7" t="s">
        <v>52</v>
      </c>
      <c r="H1378" s="47" t="s">
        <v>211</v>
      </c>
      <c r="I1378" s="47" t="s">
        <v>212</v>
      </c>
      <c r="J1378" s="6">
        <v>70</v>
      </c>
      <c r="K1378" s="8" t="s">
        <v>20</v>
      </c>
      <c r="L1378" s="1" t="s">
        <v>1237</v>
      </c>
      <c r="M1378" s="5">
        <v>25</v>
      </c>
      <c r="Q1378" s="3"/>
      <c r="R1378" s="3"/>
      <c r="S1378" s="3"/>
    </row>
    <row r="1379" spans="1:19" ht="15" x14ac:dyDescent="0.25">
      <c r="A1379" s="7" t="s">
        <v>16</v>
      </c>
      <c r="B1379" s="7" t="s">
        <v>229</v>
      </c>
      <c r="C1379" s="7" t="s">
        <v>24</v>
      </c>
      <c r="D1379" s="4">
        <v>84537141000138</v>
      </c>
      <c r="E1379" s="8" t="s">
        <v>1238</v>
      </c>
      <c r="F1379" s="8" t="s">
        <v>109</v>
      </c>
      <c r="G1379" s="7" t="s">
        <v>110</v>
      </c>
      <c r="H1379" s="47" t="s">
        <v>211</v>
      </c>
      <c r="I1379" s="47" t="s">
        <v>212</v>
      </c>
      <c r="J1379" s="6">
        <v>64</v>
      </c>
      <c r="K1379" s="8" t="s">
        <v>25</v>
      </c>
      <c r="L1379" s="1" t="s">
        <v>1238</v>
      </c>
      <c r="M1379" s="5">
        <v>3</v>
      </c>
      <c r="Q1379" s="3"/>
      <c r="R1379" s="3"/>
      <c r="S1379" s="3"/>
    </row>
    <row r="1380" spans="1:19" ht="15" x14ac:dyDescent="0.25">
      <c r="A1380" s="7" t="s">
        <v>16</v>
      </c>
      <c r="B1380" s="7" t="s">
        <v>230</v>
      </c>
      <c r="C1380" s="7" t="s">
        <v>24</v>
      </c>
      <c r="D1380" s="4">
        <v>1325113204</v>
      </c>
      <c r="E1380" s="8" t="s">
        <v>1431</v>
      </c>
      <c r="F1380" s="8" t="s">
        <v>1432</v>
      </c>
      <c r="G1380" s="7" t="s">
        <v>52</v>
      </c>
      <c r="H1380" s="47" t="s">
        <v>211</v>
      </c>
      <c r="I1380" s="47" t="s">
        <v>212</v>
      </c>
      <c r="J1380" s="6">
        <v>73</v>
      </c>
      <c r="K1380" s="8" t="s">
        <v>26</v>
      </c>
      <c r="L1380" s="1" t="s">
        <v>1431</v>
      </c>
      <c r="M1380" s="5">
        <v>4</v>
      </c>
      <c r="Q1380" s="3"/>
      <c r="R1380" s="3"/>
      <c r="S1380" s="3"/>
    </row>
    <row r="1381" spans="1:19" ht="15" x14ac:dyDescent="0.25">
      <c r="A1381" s="7" t="s">
        <v>16</v>
      </c>
      <c r="B1381" s="7" t="s">
        <v>230</v>
      </c>
      <c r="C1381" s="7" t="s">
        <v>24</v>
      </c>
      <c r="D1381" s="4">
        <v>12371009253</v>
      </c>
      <c r="E1381" s="8" t="s">
        <v>1128</v>
      </c>
      <c r="F1381" s="8" t="s">
        <v>1129</v>
      </c>
      <c r="G1381" s="7" t="s">
        <v>52</v>
      </c>
      <c r="H1381" s="47" t="s">
        <v>211</v>
      </c>
      <c r="I1381" s="47" t="s">
        <v>212</v>
      </c>
      <c r="J1381" s="6">
        <v>73</v>
      </c>
      <c r="K1381" s="8" t="s">
        <v>26</v>
      </c>
      <c r="L1381" s="1" t="s">
        <v>1128</v>
      </c>
      <c r="M1381" s="5">
        <v>12</v>
      </c>
      <c r="Q1381" s="3"/>
      <c r="R1381" s="3"/>
      <c r="S1381" s="3"/>
    </row>
    <row r="1382" spans="1:19" ht="15" x14ac:dyDescent="0.25">
      <c r="A1382" s="7" t="s">
        <v>16</v>
      </c>
      <c r="B1382" s="7" t="s">
        <v>230</v>
      </c>
      <c r="C1382" s="7" t="s">
        <v>24</v>
      </c>
      <c r="D1382" s="4">
        <v>93326645287</v>
      </c>
      <c r="E1382" s="8" t="s">
        <v>1134</v>
      </c>
      <c r="F1382" s="8" t="s">
        <v>1129</v>
      </c>
      <c r="G1382" s="7" t="s">
        <v>52</v>
      </c>
      <c r="H1382" s="47" t="s">
        <v>211</v>
      </c>
      <c r="I1382" s="47" t="s">
        <v>212</v>
      </c>
      <c r="J1382" s="6">
        <v>73</v>
      </c>
      <c r="K1382" s="8" t="s">
        <v>26</v>
      </c>
      <c r="L1382" s="1" t="s">
        <v>1134</v>
      </c>
      <c r="M1382" s="5">
        <v>12</v>
      </c>
      <c r="Q1382" s="3"/>
      <c r="R1382" s="3"/>
      <c r="S1382" s="3"/>
    </row>
    <row r="1383" spans="1:19" ht="15" x14ac:dyDescent="0.25">
      <c r="A1383" s="7" t="s">
        <v>16</v>
      </c>
      <c r="B1383" s="7" t="s">
        <v>230</v>
      </c>
      <c r="C1383" s="7" t="s">
        <v>24</v>
      </c>
      <c r="D1383" s="4">
        <v>1011865000116</v>
      </c>
      <c r="E1383" s="8" t="s">
        <v>759</v>
      </c>
      <c r="F1383" s="8" t="s">
        <v>745</v>
      </c>
      <c r="G1383" s="7" t="s">
        <v>59</v>
      </c>
      <c r="H1383" s="47" t="s">
        <v>211</v>
      </c>
      <c r="I1383" s="47" t="s">
        <v>212</v>
      </c>
      <c r="J1383" s="6">
        <v>70</v>
      </c>
      <c r="K1383" s="8" t="s">
        <v>20</v>
      </c>
      <c r="L1383" s="1" t="s">
        <v>759</v>
      </c>
      <c r="M1383" s="5">
        <v>1150</v>
      </c>
      <c r="Q1383" s="3"/>
      <c r="R1383" s="3"/>
      <c r="S1383" s="3"/>
    </row>
    <row r="1384" spans="1:19" ht="15" x14ac:dyDescent="0.25">
      <c r="A1384" s="7" t="s">
        <v>16</v>
      </c>
      <c r="B1384" s="7" t="s">
        <v>230</v>
      </c>
      <c r="C1384" s="7" t="s">
        <v>24</v>
      </c>
      <c r="D1384" s="4">
        <v>1326206000179</v>
      </c>
      <c r="E1384" s="8" t="s">
        <v>761</v>
      </c>
      <c r="F1384" s="8" t="s">
        <v>762</v>
      </c>
      <c r="G1384" s="7" t="s">
        <v>59</v>
      </c>
      <c r="H1384" s="47" t="s">
        <v>211</v>
      </c>
      <c r="I1384" s="47" t="s">
        <v>212</v>
      </c>
      <c r="J1384" s="6">
        <v>73</v>
      </c>
      <c r="K1384" s="8" t="s">
        <v>26</v>
      </c>
      <c r="L1384" s="1" t="s">
        <v>761</v>
      </c>
      <c r="M1384" s="5">
        <v>44</v>
      </c>
      <c r="Q1384" s="3"/>
      <c r="R1384" s="3"/>
      <c r="S1384" s="3"/>
    </row>
    <row r="1385" spans="1:19" ht="15" x14ac:dyDescent="0.25">
      <c r="A1385" s="7" t="s">
        <v>16</v>
      </c>
      <c r="B1385" s="7" t="s">
        <v>230</v>
      </c>
      <c r="C1385" s="7" t="s">
        <v>24</v>
      </c>
      <c r="D1385" s="4">
        <v>1454407000151</v>
      </c>
      <c r="E1385" s="8" t="s">
        <v>764</v>
      </c>
      <c r="F1385" s="8" t="s">
        <v>742</v>
      </c>
      <c r="G1385" s="7" t="s">
        <v>91</v>
      </c>
      <c r="H1385" s="47" t="s">
        <v>211</v>
      </c>
      <c r="I1385" s="47" t="s">
        <v>212</v>
      </c>
      <c r="J1385" s="6">
        <v>70</v>
      </c>
      <c r="K1385" s="8" t="s">
        <v>20</v>
      </c>
      <c r="L1385" s="1" t="s">
        <v>764</v>
      </c>
      <c r="M1385" s="5">
        <v>100</v>
      </c>
      <c r="Q1385" s="3"/>
      <c r="R1385" s="3"/>
      <c r="S1385" s="3"/>
    </row>
    <row r="1386" spans="1:19" ht="15" x14ac:dyDescent="0.25">
      <c r="A1386" s="7" t="s">
        <v>16</v>
      </c>
      <c r="B1386" s="7" t="s">
        <v>230</v>
      </c>
      <c r="C1386" s="7" t="s">
        <v>24</v>
      </c>
      <c r="D1386" s="4">
        <v>1507901000137</v>
      </c>
      <c r="E1386" s="8" t="s">
        <v>765</v>
      </c>
      <c r="F1386" s="8" t="s">
        <v>62</v>
      </c>
      <c r="G1386" s="7" t="s">
        <v>63</v>
      </c>
      <c r="H1386" s="47" t="s">
        <v>211</v>
      </c>
      <c r="I1386" s="47" t="s">
        <v>212</v>
      </c>
      <c r="J1386" s="6">
        <v>70</v>
      </c>
      <c r="K1386" s="8" t="s">
        <v>20</v>
      </c>
      <c r="L1386" s="1" t="s">
        <v>765</v>
      </c>
      <c r="M1386" s="5">
        <v>75</v>
      </c>
      <c r="Q1386" s="3"/>
      <c r="R1386" s="3"/>
      <c r="S1386" s="3"/>
    </row>
    <row r="1387" spans="1:19" ht="15" x14ac:dyDescent="0.25">
      <c r="A1387" s="7" t="s">
        <v>16</v>
      </c>
      <c r="B1387" s="7" t="s">
        <v>230</v>
      </c>
      <c r="C1387" s="7" t="s">
        <v>24</v>
      </c>
      <c r="D1387" s="4">
        <v>1545649000150</v>
      </c>
      <c r="E1387" s="8" t="s">
        <v>1386</v>
      </c>
      <c r="F1387" s="8" t="s">
        <v>745</v>
      </c>
      <c r="G1387" s="7" t="s">
        <v>59</v>
      </c>
      <c r="H1387" s="47" t="s">
        <v>211</v>
      </c>
      <c r="I1387" s="47" t="s">
        <v>212</v>
      </c>
      <c r="J1387" s="6">
        <v>70</v>
      </c>
      <c r="K1387" s="8" t="s">
        <v>20</v>
      </c>
      <c r="L1387" s="1" t="s">
        <v>1386</v>
      </c>
      <c r="M1387" s="5">
        <v>80</v>
      </c>
      <c r="Q1387" s="3"/>
      <c r="R1387" s="3"/>
      <c r="S1387" s="3"/>
    </row>
    <row r="1388" spans="1:19" ht="15" x14ac:dyDescent="0.25">
      <c r="A1388" s="7" t="s">
        <v>16</v>
      </c>
      <c r="B1388" s="7" t="s">
        <v>230</v>
      </c>
      <c r="C1388" s="7" t="s">
        <v>24</v>
      </c>
      <c r="D1388" s="4">
        <v>2284062000106</v>
      </c>
      <c r="E1388" s="8" t="s">
        <v>774</v>
      </c>
      <c r="F1388" s="8" t="s">
        <v>70</v>
      </c>
      <c r="G1388" s="7" t="s">
        <v>71</v>
      </c>
      <c r="H1388" s="47" t="s">
        <v>211</v>
      </c>
      <c r="I1388" s="47" t="s">
        <v>212</v>
      </c>
      <c r="J1388" s="6">
        <v>64</v>
      </c>
      <c r="K1388" s="8" t="s">
        <v>25</v>
      </c>
      <c r="L1388" s="1" t="s">
        <v>774</v>
      </c>
      <c r="M1388" s="5">
        <v>2</v>
      </c>
      <c r="Q1388" s="3"/>
      <c r="R1388" s="3"/>
      <c r="S1388" s="3"/>
    </row>
    <row r="1389" spans="1:19" ht="15" x14ac:dyDescent="0.25">
      <c r="A1389" s="7" t="s">
        <v>16</v>
      </c>
      <c r="B1389" s="7" t="s">
        <v>230</v>
      </c>
      <c r="C1389" s="7" t="s">
        <v>24</v>
      </c>
      <c r="D1389" s="4">
        <v>2284062001170</v>
      </c>
      <c r="E1389" s="8" t="s">
        <v>776</v>
      </c>
      <c r="F1389" s="8" t="s">
        <v>777</v>
      </c>
      <c r="G1389" s="7" t="s">
        <v>72</v>
      </c>
      <c r="H1389" s="47" t="s">
        <v>211</v>
      </c>
      <c r="I1389" s="47" t="s">
        <v>212</v>
      </c>
      <c r="J1389" s="6">
        <v>64</v>
      </c>
      <c r="K1389" s="8" t="s">
        <v>25</v>
      </c>
      <c r="L1389" s="1" t="s">
        <v>776</v>
      </c>
      <c r="M1389" s="5">
        <v>3</v>
      </c>
      <c r="Q1389" s="3"/>
      <c r="R1389" s="3"/>
      <c r="S1389" s="3"/>
    </row>
    <row r="1390" spans="1:19" ht="15" x14ac:dyDescent="0.25">
      <c r="A1390" s="7" t="s">
        <v>16</v>
      </c>
      <c r="B1390" s="7" t="s">
        <v>230</v>
      </c>
      <c r="C1390" s="7" t="s">
        <v>24</v>
      </c>
      <c r="D1390" s="4">
        <v>2284062001170</v>
      </c>
      <c r="E1390" s="8" t="s">
        <v>776</v>
      </c>
      <c r="F1390" s="8" t="s">
        <v>777</v>
      </c>
      <c r="G1390" s="7" t="s">
        <v>72</v>
      </c>
      <c r="H1390" s="47" t="s">
        <v>211</v>
      </c>
      <c r="I1390" s="47" t="s">
        <v>212</v>
      </c>
      <c r="J1390" s="6">
        <v>70</v>
      </c>
      <c r="K1390" s="8" t="s">
        <v>20</v>
      </c>
      <c r="L1390" s="1" t="s">
        <v>776</v>
      </c>
      <c r="M1390" s="5">
        <v>75</v>
      </c>
      <c r="Q1390" s="3"/>
      <c r="R1390" s="3"/>
      <c r="S1390" s="3"/>
    </row>
    <row r="1391" spans="1:19" ht="15" x14ac:dyDescent="0.25">
      <c r="A1391" s="7" t="s">
        <v>16</v>
      </c>
      <c r="B1391" s="7" t="s">
        <v>230</v>
      </c>
      <c r="C1391" s="7" t="s">
        <v>24</v>
      </c>
      <c r="D1391" s="4">
        <v>2476067000203</v>
      </c>
      <c r="E1391" s="8" t="s">
        <v>779</v>
      </c>
      <c r="F1391" s="8" t="s">
        <v>745</v>
      </c>
      <c r="G1391" s="7" t="s">
        <v>59</v>
      </c>
      <c r="H1391" s="47" t="s">
        <v>211</v>
      </c>
      <c r="I1391" s="47" t="s">
        <v>212</v>
      </c>
      <c r="J1391" s="6">
        <v>73</v>
      </c>
      <c r="K1391" s="8" t="s">
        <v>26</v>
      </c>
      <c r="L1391" s="1" t="s">
        <v>779</v>
      </c>
      <c r="M1391" s="5">
        <v>110</v>
      </c>
      <c r="Q1391" s="3"/>
      <c r="R1391" s="3"/>
      <c r="S1391" s="3"/>
    </row>
    <row r="1392" spans="1:19" ht="15" x14ac:dyDescent="0.25">
      <c r="A1392" s="7" t="s">
        <v>16</v>
      </c>
      <c r="B1392" s="7" t="s">
        <v>230</v>
      </c>
      <c r="C1392" s="7" t="s">
        <v>24</v>
      </c>
      <c r="D1392" s="4">
        <v>2476067000394</v>
      </c>
      <c r="E1392" s="8" t="s">
        <v>780</v>
      </c>
      <c r="F1392" s="8" t="s">
        <v>745</v>
      </c>
      <c r="G1392" s="7" t="s">
        <v>59</v>
      </c>
      <c r="H1392" s="47" t="s">
        <v>211</v>
      </c>
      <c r="I1392" s="47" t="s">
        <v>212</v>
      </c>
      <c r="J1392" s="6">
        <v>70</v>
      </c>
      <c r="K1392" s="8" t="s">
        <v>20</v>
      </c>
      <c r="L1392" s="1" t="s">
        <v>780</v>
      </c>
      <c r="M1392" s="5">
        <v>135</v>
      </c>
      <c r="Q1392" s="3"/>
      <c r="R1392" s="3"/>
      <c r="S1392" s="3"/>
    </row>
    <row r="1393" spans="1:19" ht="15" x14ac:dyDescent="0.25">
      <c r="A1393" s="7" t="s">
        <v>16</v>
      </c>
      <c r="B1393" s="7" t="s">
        <v>230</v>
      </c>
      <c r="C1393" s="7" t="s">
        <v>24</v>
      </c>
      <c r="D1393" s="4">
        <v>3533726001583</v>
      </c>
      <c r="E1393" s="8" t="s">
        <v>788</v>
      </c>
      <c r="F1393" s="8" t="s">
        <v>789</v>
      </c>
      <c r="G1393" s="7" t="s">
        <v>69</v>
      </c>
      <c r="H1393" s="47" t="s">
        <v>211</v>
      </c>
      <c r="I1393" s="47" t="s">
        <v>212</v>
      </c>
      <c r="J1393" s="6">
        <v>70</v>
      </c>
      <c r="K1393" s="8" t="s">
        <v>20</v>
      </c>
      <c r="L1393" s="1" t="s">
        <v>788</v>
      </c>
      <c r="M1393" s="5">
        <v>155</v>
      </c>
      <c r="Q1393" s="3"/>
      <c r="R1393" s="3"/>
      <c r="S1393" s="3"/>
    </row>
    <row r="1394" spans="1:19" ht="15" x14ac:dyDescent="0.25">
      <c r="A1394" s="7" t="s">
        <v>16</v>
      </c>
      <c r="B1394" s="7" t="s">
        <v>230</v>
      </c>
      <c r="C1394" s="7" t="s">
        <v>24</v>
      </c>
      <c r="D1394" s="4">
        <v>3866223000124</v>
      </c>
      <c r="E1394" s="8" t="s">
        <v>792</v>
      </c>
      <c r="F1394" s="8" t="s">
        <v>742</v>
      </c>
      <c r="G1394" s="7" t="s">
        <v>91</v>
      </c>
      <c r="H1394" s="47" t="s">
        <v>211</v>
      </c>
      <c r="I1394" s="47" t="s">
        <v>212</v>
      </c>
      <c r="J1394" s="6">
        <v>70</v>
      </c>
      <c r="K1394" s="8" t="s">
        <v>20</v>
      </c>
      <c r="L1394" s="1" t="s">
        <v>792</v>
      </c>
      <c r="M1394" s="5">
        <v>1395</v>
      </c>
      <c r="Q1394" s="3"/>
      <c r="R1394" s="3"/>
      <c r="S1394" s="3"/>
    </row>
    <row r="1395" spans="1:19" ht="15" x14ac:dyDescent="0.25">
      <c r="A1395" s="7" t="s">
        <v>16</v>
      </c>
      <c r="B1395" s="7" t="s">
        <v>230</v>
      </c>
      <c r="C1395" s="7" t="s">
        <v>24</v>
      </c>
      <c r="D1395" s="4">
        <v>3925419000142</v>
      </c>
      <c r="E1395" s="8" t="s">
        <v>795</v>
      </c>
      <c r="F1395" s="8" t="s">
        <v>772</v>
      </c>
      <c r="G1395" s="7" t="s">
        <v>69</v>
      </c>
      <c r="H1395" s="47" t="s">
        <v>211</v>
      </c>
      <c r="I1395" s="47" t="s">
        <v>212</v>
      </c>
      <c r="J1395" s="6">
        <v>64</v>
      </c>
      <c r="K1395" s="8" t="s">
        <v>25</v>
      </c>
      <c r="L1395" s="1" t="s">
        <v>795</v>
      </c>
      <c r="M1395" s="5">
        <v>3</v>
      </c>
      <c r="Q1395" s="3"/>
      <c r="R1395" s="3"/>
      <c r="S1395" s="3"/>
    </row>
    <row r="1396" spans="1:19" ht="15" x14ac:dyDescent="0.25">
      <c r="A1396" s="7" t="s">
        <v>16</v>
      </c>
      <c r="B1396" s="7" t="s">
        <v>230</v>
      </c>
      <c r="C1396" s="7" t="s">
        <v>24</v>
      </c>
      <c r="D1396" s="4">
        <v>4201372001028</v>
      </c>
      <c r="E1396" s="8" t="s">
        <v>1145</v>
      </c>
      <c r="F1396" s="8" t="s">
        <v>1129</v>
      </c>
      <c r="G1396" s="7" t="s">
        <v>52</v>
      </c>
      <c r="H1396" s="47" t="s">
        <v>211</v>
      </c>
      <c r="I1396" s="47" t="s">
        <v>212</v>
      </c>
      <c r="J1396" s="6">
        <v>73</v>
      </c>
      <c r="K1396" s="8" t="s">
        <v>26</v>
      </c>
      <c r="L1396" s="1" t="s">
        <v>1145</v>
      </c>
      <c r="M1396" s="5">
        <v>72</v>
      </c>
      <c r="Q1396" s="3"/>
      <c r="R1396" s="3"/>
      <c r="S1396" s="3"/>
    </row>
    <row r="1397" spans="1:19" ht="15" x14ac:dyDescent="0.25">
      <c r="A1397" s="7" t="s">
        <v>16</v>
      </c>
      <c r="B1397" s="7" t="s">
        <v>230</v>
      </c>
      <c r="C1397" s="7" t="s">
        <v>24</v>
      </c>
      <c r="D1397" s="4">
        <v>4966545000370</v>
      </c>
      <c r="E1397" s="8" t="s">
        <v>1148</v>
      </c>
      <c r="F1397" s="8" t="s">
        <v>1129</v>
      </c>
      <c r="G1397" s="7" t="s">
        <v>52</v>
      </c>
      <c r="H1397" s="47" t="s">
        <v>211</v>
      </c>
      <c r="I1397" s="47" t="s">
        <v>212</v>
      </c>
      <c r="J1397" s="6">
        <v>70</v>
      </c>
      <c r="K1397" s="8" t="s">
        <v>20</v>
      </c>
      <c r="L1397" s="1" t="s">
        <v>1148</v>
      </c>
      <c r="M1397" s="5">
        <v>80</v>
      </c>
      <c r="Q1397" s="3"/>
      <c r="R1397" s="3"/>
      <c r="S1397" s="3"/>
    </row>
    <row r="1398" spans="1:19" ht="15" x14ac:dyDescent="0.25">
      <c r="A1398" s="7" t="s">
        <v>16</v>
      </c>
      <c r="B1398" s="7" t="s">
        <v>230</v>
      </c>
      <c r="C1398" s="7" t="s">
        <v>24</v>
      </c>
      <c r="D1398" s="4">
        <v>5562645000131</v>
      </c>
      <c r="E1398" s="8" t="s">
        <v>1388</v>
      </c>
      <c r="F1398" s="8" t="s">
        <v>745</v>
      </c>
      <c r="G1398" s="7" t="s">
        <v>59</v>
      </c>
      <c r="H1398" s="47" t="s">
        <v>211</v>
      </c>
      <c r="I1398" s="47" t="s">
        <v>212</v>
      </c>
      <c r="J1398" s="6">
        <v>70</v>
      </c>
      <c r="K1398" s="8" t="s">
        <v>20</v>
      </c>
      <c r="L1398" s="1" t="s">
        <v>1388</v>
      </c>
      <c r="M1398" s="5">
        <v>10</v>
      </c>
      <c r="Q1398" s="3"/>
      <c r="R1398" s="3"/>
      <c r="S1398" s="3"/>
    </row>
    <row r="1399" spans="1:19" ht="15" x14ac:dyDescent="0.25">
      <c r="A1399" s="7" t="s">
        <v>16</v>
      </c>
      <c r="B1399" s="7" t="s">
        <v>230</v>
      </c>
      <c r="C1399" s="7" t="s">
        <v>24</v>
      </c>
      <c r="D1399" s="4">
        <v>5612725000154</v>
      </c>
      <c r="E1399" s="8" t="s">
        <v>800</v>
      </c>
      <c r="F1399" s="8" t="s">
        <v>742</v>
      </c>
      <c r="G1399" s="7" t="s">
        <v>91</v>
      </c>
      <c r="H1399" s="47" t="s">
        <v>211</v>
      </c>
      <c r="I1399" s="47" t="s">
        <v>212</v>
      </c>
      <c r="J1399" s="6">
        <v>70</v>
      </c>
      <c r="K1399" s="8" t="s">
        <v>20</v>
      </c>
      <c r="L1399" s="1" t="s">
        <v>800</v>
      </c>
      <c r="M1399" s="5">
        <v>30</v>
      </c>
      <c r="Q1399" s="3"/>
      <c r="R1399" s="3"/>
      <c r="S1399" s="3"/>
    </row>
    <row r="1400" spans="1:19" ht="15" x14ac:dyDescent="0.25">
      <c r="A1400" s="7" t="s">
        <v>16</v>
      </c>
      <c r="B1400" s="7" t="s">
        <v>230</v>
      </c>
      <c r="C1400" s="7" t="s">
        <v>24</v>
      </c>
      <c r="D1400" s="4">
        <v>6047087009276</v>
      </c>
      <c r="E1400" s="8" t="s">
        <v>812</v>
      </c>
      <c r="F1400" s="8" t="s">
        <v>70</v>
      </c>
      <c r="G1400" s="7" t="s">
        <v>71</v>
      </c>
      <c r="H1400" s="47" t="s">
        <v>211</v>
      </c>
      <c r="I1400" s="47" t="s">
        <v>212</v>
      </c>
      <c r="J1400" s="6">
        <v>64</v>
      </c>
      <c r="K1400" s="8" t="s">
        <v>25</v>
      </c>
      <c r="L1400" s="1" t="s">
        <v>812</v>
      </c>
      <c r="M1400" s="5">
        <v>5</v>
      </c>
      <c r="Q1400" s="3"/>
      <c r="R1400" s="3"/>
      <c r="S1400" s="3"/>
    </row>
    <row r="1401" spans="1:19" ht="15" x14ac:dyDescent="0.25">
      <c r="A1401" s="7" t="s">
        <v>16</v>
      </c>
      <c r="B1401" s="7" t="s">
        <v>230</v>
      </c>
      <c r="C1401" s="7" t="s">
        <v>24</v>
      </c>
      <c r="D1401" s="4">
        <v>6337035000105</v>
      </c>
      <c r="E1401" s="8" t="s">
        <v>814</v>
      </c>
      <c r="F1401" s="8" t="s">
        <v>745</v>
      </c>
      <c r="G1401" s="7" t="s">
        <v>59</v>
      </c>
      <c r="H1401" s="47" t="s">
        <v>211</v>
      </c>
      <c r="I1401" s="47" t="s">
        <v>212</v>
      </c>
      <c r="J1401" s="6">
        <v>70</v>
      </c>
      <c r="K1401" s="8" t="s">
        <v>20</v>
      </c>
      <c r="L1401" s="1" t="s">
        <v>814</v>
      </c>
      <c r="M1401" s="5">
        <v>30</v>
      </c>
      <c r="Q1401" s="3"/>
      <c r="R1401" s="3"/>
      <c r="S1401" s="3"/>
    </row>
    <row r="1402" spans="1:19" ht="15" x14ac:dyDescent="0.25">
      <c r="A1402" s="7" t="s">
        <v>16</v>
      </c>
      <c r="B1402" s="7" t="s">
        <v>230</v>
      </c>
      <c r="C1402" s="7" t="s">
        <v>24</v>
      </c>
      <c r="D1402" s="4">
        <v>8680639000681</v>
      </c>
      <c r="E1402" s="8" t="s">
        <v>827</v>
      </c>
      <c r="F1402" s="8" t="s">
        <v>747</v>
      </c>
      <c r="G1402" s="7" t="s">
        <v>56</v>
      </c>
      <c r="H1402" s="47" t="s">
        <v>211</v>
      </c>
      <c r="I1402" s="47" t="s">
        <v>212</v>
      </c>
      <c r="J1402" s="6">
        <v>70</v>
      </c>
      <c r="K1402" s="8" t="s">
        <v>20</v>
      </c>
      <c r="L1402" s="1" t="s">
        <v>827</v>
      </c>
      <c r="M1402" s="5">
        <v>175</v>
      </c>
      <c r="Q1402" s="3"/>
      <c r="R1402" s="3"/>
      <c r="S1402" s="3"/>
    </row>
    <row r="1403" spans="1:19" ht="15" x14ac:dyDescent="0.25">
      <c r="A1403" s="7" t="s">
        <v>16</v>
      </c>
      <c r="B1403" s="7" t="s">
        <v>230</v>
      </c>
      <c r="C1403" s="7" t="s">
        <v>24</v>
      </c>
      <c r="D1403" s="4">
        <v>8680639000681</v>
      </c>
      <c r="E1403" s="8" t="s">
        <v>827</v>
      </c>
      <c r="F1403" s="8" t="s">
        <v>747</v>
      </c>
      <c r="G1403" s="7" t="s">
        <v>56</v>
      </c>
      <c r="H1403" s="47" t="s">
        <v>211</v>
      </c>
      <c r="I1403" s="47" t="s">
        <v>212</v>
      </c>
      <c r="J1403" s="6">
        <v>73</v>
      </c>
      <c r="K1403" s="8" t="s">
        <v>26</v>
      </c>
      <c r="L1403" s="1" t="s">
        <v>827</v>
      </c>
      <c r="M1403" s="5">
        <v>36</v>
      </c>
      <c r="Q1403" s="3"/>
      <c r="R1403" s="3"/>
      <c r="S1403" s="3"/>
    </row>
    <row r="1404" spans="1:19" ht="15" x14ac:dyDescent="0.25">
      <c r="A1404" s="7" t="s">
        <v>16</v>
      </c>
      <c r="B1404" s="7" t="s">
        <v>230</v>
      </c>
      <c r="C1404" s="7" t="s">
        <v>24</v>
      </c>
      <c r="D1404" s="4">
        <v>9577422000280</v>
      </c>
      <c r="E1404" s="8" t="s">
        <v>1390</v>
      </c>
      <c r="F1404" s="8" t="s">
        <v>70</v>
      </c>
      <c r="G1404" s="7" t="s">
        <v>71</v>
      </c>
      <c r="H1404" s="47" t="s">
        <v>211</v>
      </c>
      <c r="I1404" s="47" t="s">
        <v>212</v>
      </c>
      <c r="J1404" s="6">
        <v>70</v>
      </c>
      <c r="K1404" s="8" t="s">
        <v>20</v>
      </c>
      <c r="L1404" s="1" t="s">
        <v>1390</v>
      </c>
      <c r="M1404" s="5">
        <v>135</v>
      </c>
      <c r="Q1404" s="3"/>
      <c r="R1404" s="3"/>
      <c r="S1404" s="3"/>
    </row>
    <row r="1405" spans="1:19" ht="15" x14ac:dyDescent="0.25">
      <c r="A1405" s="7" t="s">
        <v>16</v>
      </c>
      <c r="B1405" s="7" t="s">
        <v>230</v>
      </c>
      <c r="C1405" s="7" t="s">
        <v>24</v>
      </c>
      <c r="D1405" s="4">
        <v>10572048000209</v>
      </c>
      <c r="E1405" s="8" t="s">
        <v>833</v>
      </c>
      <c r="F1405" s="8" t="s">
        <v>70</v>
      </c>
      <c r="G1405" s="7" t="s">
        <v>71</v>
      </c>
      <c r="H1405" s="47" t="s">
        <v>211</v>
      </c>
      <c r="I1405" s="47" t="s">
        <v>212</v>
      </c>
      <c r="J1405" s="6">
        <v>70</v>
      </c>
      <c r="K1405" s="8" t="s">
        <v>20</v>
      </c>
      <c r="L1405" s="1" t="s">
        <v>833</v>
      </c>
      <c r="M1405" s="5">
        <v>2000</v>
      </c>
      <c r="Q1405" s="3"/>
      <c r="R1405" s="3"/>
      <c r="S1405" s="3"/>
    </row>
    <row r="1406" spans="1:19" ht="15" x14ac:dyDescent="0.25">
      <c r="A1406" s="7" t="s">
        <v>16</v>
      </c>
      <c r="B1406" s="7" t="s">
        <v>230</v>
      </c>
      <c r="C1406" s="7" t="s">
        <v>24</v>
      </c>
      <c r="D1406" s="4">
        <v>10839561000132</v>
      </c>
      <c r="E1406" s="8" t="s">
        <v>834</v>
      </c>
      <c r="F1406" s="8" t="s">
        <v>70</v>
      </c>
      <c r="G1406" s="7" t="s">
        <v>71</v>
      </c>
      <c r="H1406" s="47" t="s">
        <v>211</v>
      </c>
      <c r="I1406" s="47" t="s">
        <v>212</v>
      </c>
      <c r="J1406" s="6">
        <v>70</v>
      </c>
      <c r="K1406" s="8" t="s">
        <v>20</v>
      </c>
      <c r="L1406" s="1" t="s">
        <v>834</v>
      </c>
      <c r="M1406" s="5">
        <v>350</v>
      </c>
      <c r="Q1406" s="3"/>
      <c r="R1406" s="3"/>
      <c r="S1406" s="3"/>
    </row>
    <row r="1407" spans="1:19" ht="15" x14ac:dyDescent="0.25">
      <c r="A1407" s="7" t="s">
        <v>16</v>
      </c>
      <c r="B1407" s="7" t="s">
        <v>230</v>
      </c>
      <c r="C1407" s="7" t="s">
        <v>24</v>
      </c>
      <c r="D1407" s="4">
        <v>10892164000124</v>
      </c>
      <c r="E1407" s="8" t="s">
        <v>835</v>
      </c>
      <c r="F1407" s="8" t="s">
        <v>70</v>
      </c>
      <c r="G1407" s="7" t="s">
        <v>71</v>
      </c>
      <c r="H1407" s="47" t="s">
        <v>211</v>
      </c>
      <c r="I1407" s="47" t="s">
        <v>212</v>
      </c>
      <c r="J1407" s="6">
        <v>62</v>
      </c>
      <c r="K1407" s="8" t="s">
        <v>27</v>
      </c>
      <c r="L1407" s="1" t="s">
        <v>835</v>
      </c>
      <c r="M1407" s="5">
        <v>5</v>
      </c>
      <c r="Q1407" s="3"/>
      <c r="R1407" s="3"/>
      <c r="S1407" s="3"/>
    </row>
    <row r="1408" spans="1:19" ht="15" x14ac:dyDescent="0.25">
      <c r="A1408" s="7" t="s">
        <v>16</v>
      </c>
      <c r="B1408" s="7" t="s">
        <v>230</v>
      </c>
      <c r="C1408" s="7" t="s">
        <v>24</v>
      </c>
      <c r="D1408" s="4">
        <v>10892164000124</v>
      </c>
      <c r="E1408" s="8" t="s">
        <v>835</v>
      </c>
      <c r="F1408" s="8" t="s">
        <v>70</v>
      </c>
      <c r="G1408" s="7" t="s">
        <v>71</v>
      </c>
      <c r="H1408" s="47" t="s">
        <v>211</v>
      </c>
      <c r="I1408" s="47" t="s">
        <v>212</v>
      </c>
      <c r="J1408" s="6">
        <v>73</v>
      </c>
      <c r="K1408" s="8" t="s">
        <v>26</v>
      </c>
      <c r="L1408" s="1" t="s">
        <v>835</v>
      </c>
      <c r="M1408" s="5">
        <v>60</v>
      </c>
      <c r="Q1408" s="3"/>
      <c r="R1408" s="3"/>
      <c r="S1408" s="3"/>
    </row>
    <row r="1409" spans="1:19" ht="15" x14ac:dyDescent="0.25">
      <c r="A1409" s="7" t="s">
        <v>16</v>
      </c>
      <c r="B1409" s="7" t="s">
        <v>230</v>
      </c>
      <c r="C1409" s="7" t="s">
        <v>24</v>
      </c>
      <c r="D1409" s="4">
        <v>11006293000130</v>
      </c>
      <c r="E1409" s="8" t="s">
        <v>838</v>
      </c>
      <c r="F1409" s="8" t="s">
        <v>777</v>
      </c>
      <c r="G1409" s="7" t="s">
        <v>72</v>
      </c>
      <c r="H1409" s="47" t="s">
        <v>211</v>
      </c>
      <c r="I1409" s="47" t="s">
        <v>212</v>
      </c>
      <c r="J1409" s="6">
        <v>70</v>
      </c>
      <c r="K1409" s="8" t="s">
        <v>20</v>
      </c>
      <c r="L1409" s="1" t="s">
        <v>838</v>
      </c>
      <c r="M1409" s="5">
        <v>990</v>
      </c>
      <c r="Q1409" s="3"/>
      <c r="R1409" s="3"/>
      <c r="S1409" s="3"/>
    </row>
    <row r="1410" spans="1:19" ht="15" x14ac:dyDescent="0.25">
      <c r="A1410" s="7" t="s">
        <v>16</v>
      </c>
      <c r="B1410" s="7" t="s">
        <v>230</v>
      </c>
      <c r="C1410" s="7" t="s">
        <v>24</v>
      </c>
      <c r="D1410" s="4">
        <v>11022597001325</v>
      </c>
      <c r="E1410" s="8" t="s">
        <v>839</v>
      </c>
      <c r="F1410" s="8" t="s">
        <v>70</v>
      </c>
      <c r="G1410" s="7" t="s">
        <v>71</v>
      </c>
      <c r="H1410" s="47" t="s">
        <v>211</v>
      </c>
      <c r="I1410" s="47" t="s">
        <v>212</v>
      </c>
      <c r="J1410" s="6">
        <v>62</v>
      </c>
      <c r="K1410" s="8" t="s">
        <v>27</v>
      </c>
      <c r="L1410" s="1" t="s">
        <v>839</v>
      </c>
      <c r="M1410" s="5">
        <v>4</v>
      </c>
      <c r="Q1410" s="3"/>
      <c r="R1410" s="3"/>
      <c r="S1410" s="3"/>
    </row>
    <row r="1411" spans="1:19" ht="15" x14ac:dyDescent="0.25">
      <c r="A1411" s="7" t="s">
        <v>16</v>
      </c>
      <c r="B1411" s="7" t="s">
        <v>230</v>
      </c>
      <c r="C1411" s="7" t="s">
        <v>24</v>
      </c>
      <c r="D1411" s="4">
        <v>11022597001325</v>
      </c>
      <c r="E1411" s="8" t="s">
        <v>839</v>
      </c>
      <c r="F1411" s="8" t="s">
        <v>70</v>
      </c>
      <c r="G1411" s="7" t="s">
        <v>71</v>
      </c>
      <c r="H1411" s="47" t="s">
        <v>211</v>
      </c>
      <c r="I1411" s="47" t="s">
        <v>212</v>
      </c>
      <c r="J1411" s="6">
        <v>64</v>
      </c>
      <c r="K1411" s="8" t="s">
        <v>25</v>
      </c>
      <c r="L1411" s="1" t="s">
        <v>839</v>
      </c>
      <c r="M1411" s="5">
        <v>36</v>
      </c>
      <c r="Q1411" s="3"/>
      <c r="R1411" s="3"/>
      <c r="S1411" s="3"/>
    </row>
    <row r="1412" spans="1:19" ht="15" x14ac:dyDescent="0.25">
      <c r="A1412" s="7" t="s">
        <v>16</v>
      </c>
      <c r="B1412" s="7" t="s">
        <v>230</v>
      </c>
      <c r="C1412" s="7" t="s">
        <v>24</v>
      </c>
      <c r="D1412" s="4">
        <v>11022597001325</v>
      </c>
      <c r="E1412" s="8" t="s">
        <v>839</v>
      </c>
      <c r="F1412" s="8" t="s">
        <v>70</v>
      </c>
      <c r="G1412" s="7" t="s">
        <v>71</v>
      </c>
      <c r="H1412" s="47" t="s">
        <v>211</v>
      </c>
      <c r="I1412" s="47" t="s">
        <v>212</v>
      </c>
      <c r="J1412" s="6">
        <v>70</v>
      </c>
      <c r="K1412" s="8" t="s">
        <v>20</v>
      </c>
      <c r="L1412" s="1" t="s">
        <v>839</v>
      </c>
      <c r="M1412" s="5">
        <v>1000</v>
      </c>
      <c r="Q1412" s="3"/>
      <c r="R1412" s="3"/>
      <c r="S1412" s="3"/>
    </row>
    <row r="1413" spans="1:19" ht="15" x14ac:dyDescent="0.25">
      <c r="A1413" s="7" t="s">
        <v>16</v>
      </c>
      <c r="B1413" s="7" t="s">
        <v>230</v>
      </c>
      <c r="C1413" s="7" t="s">
        <v>24</v>
      </c>
      <c r="D1413" s="4">
        <v>11022597001597</v>
      </c>
      <c r="E1413" s="8" t="s">
        <v>840</v>
      </c>
      <c r="F1413" s="8" t="s">
        <v>70</v>
      </c>
      <c r="G1413" s="7" t="s">
        <v>71</v>
      </c>
      <c r="H1413" s="47" t="s">
        <v>211</v>
      </c>
      <c r="I1413" s="47" t="s">
        <v>212</v>
      </c>
      <c r="J1413" s="6">
        <v>64</v>
      </c>
      <c r="K1413" s="8" t="s">
        <v>25</v>
      </c>
      <c r="L1413" s="1" t="s">
        <v>840</v>
      </c>
      <c r="M1413" s="5">
        <v>70</v>
      </c>
      <c r="Q1413" s="3"/>
      <c r="R1413" s="3"/>
      <c r="S1413" s="3"/>
    </row>
    <row r="1414" spans="1:19" ht="15" x14ac:dyDescent="0.25">
      <c r="A1414" s="7" t="s">
        <v>16</v>
      </c>
      <c r="B1414" s="7" t="s">
        <v>230</v>
      </c>
      <c r="C1414" s="7" t="s">
        <v>24</v>
      </c>
      <c r="D1414" s="4">
        <v>11214624001957</v>
      </c>
      <c r="E1414" s="8" t="s">
        <v>842</v>
      </c>
      <c r="F1414" s="8" t="s">
        <v>70</v>
      </c>
      <c r="G1414" s="7" t="s">
        <v>71</v>
      </c>
      <c r="H1414" s="47" t="s">
        <v>211</v>
      </c>
      <c r="I1414" s="47" t="s">
        <v>212</v>
      </c>
      <c r="J1414" s="6">
        <v>73</v>
      </c>
      <c r="K1414" s="8" t="s">
        <v>26</v>
      </c>
      <c r="L1414" s="1" t="s">
        <v>842</v>
      </c>
      <c r="M1414" s="5">
        <v>192</v>
      </c>
      <c r="Q1414" s="3"/>
      <c r="R1414" s="3"/>
      <c r="S1414" s="3"/>
    </row>
    <row r="1415" spans="1:19" ht="15" x14ac:dyDescent="0.25">
      <c r="A1415" s="7" t="s">
        <v>16</v>
      </c>
      <c r="B1415" s="7" t="s">
        <v>230</v>
      </c>
      <c r="C1415" s="7" t="s">
        <v>24</v>
      </c>
      <c r="D1415" s="4">
        <v>11452240000143</v>
      </c>
      <c r="E1415" s="8" t="s">
        <v>844</v>
      </c>
      <c r="F1415" s="8" t="s">
        <v>70</v>
      </c>
      <c r="G1415" s="7" t="s">
        <v>71</v>
      </c>
      <c r="H1415" s="47" t="s">
        <v>211</v>
      </c>
      <c r="I1415" s="47" t="s">
        <v>212</v>
      </c>
      <c r="J1415" s="6">
        <v>70</v>
      </c>
      <c r="K1415" s="8" t="s">
        <v>20</v>
      </c>
      <c r="L1415" s="1" t="s">
        <v>844</v>
      </c>
      <c r="M1415" s="5">
        <v>150</v>
      </c>
      <c r="Q1415" s="3"/>
      <c r="R1415" s="3"/>
      <c r="S1415" s="3"/>
    </row>
    <row r="1416" spans="1:19" ht="15" x14ac:dyDescent="0.25">
      <c r="A1416" s="7" t="s">
        <v>16</v>
      </c>
      <c r="B1416" s="7" t="s">
        <v>230</v>
      </c>
      <c r="C1416" s="7" t="s">
        <v>24</v>
      </c>
      <c r="D1416" s="4">
        <v>12282163000193</v>
      </c>
      <c r="E1416" s="8" t="s">
        <v>1391</v>
      </c>
      <c r="F1416" s="8" t="s">
        <v>84</v>
      </c>
      <c r="G1416" s="7" t="s">
        <v>85</v>
      </c>
      <c r="H1416" s="47" t="s">
        <v>211</v>
      </c>
      <c r="I1416" s="47" t="s">
        <v>212</v>
      </c>
      <c r="J1416" s="6">
        <v>70</v>
      </c>
      <c r="K1416" s="8" t="s">
        <v>20</v>
      </c>
      <c r="L1416" s="1" t="s">
        <v>1391</v>
      </c>
      <c r="M1416" s="5">
        <v>25</v>
      </c>
      <c r="Q1416" s="3"/>
      <c r="R1416" s="3"/>
      <c r="S1416" s="3"/>
    </row>
    <row r="1417" spans="1:19" ht="15" x14ac:dyDescent="0.25">
      <c r="A1417" s="7" t="s">
        <v>16</v>
      </c>
      <c r="B1417" s="7" t="s">
        <v>230</v>
      </c>
      <c r="C1417" s="7" t="s">
        <v>24</v>
      </c>
      <c r="D1417" s="4">
        <v>12361267000517</v>
      </c>
      <c r="E1417" s="8" t="s">
        <v>849</v>
      </c>
      <c r="F1417" s="8" t="s">
        <v>84</v>
      </c>
      <c r="G1417" s="7" t="s">
        <v>85</v>
      </c>
      <c r="H1417" s="47" t="s">
        <v>211</v>
      </c>
      <c r="I1417" s="47" t="s">
        <v>212</v>
      </c>
      <c r="J1417" s="6">
        <v>70</v>
      </c>
      <c r="K1417" s="8" t="s">
        <v>20</v>
      </c>
      <c r="L1417" s="1" t="s">
        <v>849</v>
      </c>
      <c r="M1417" s="5">
        <v>60</v>
      </c>
      <c r="Q1417" s="3"/>
      <c r="R1417" s="3"/>
      <c r="S1417" s="3"/>
    </row>
    <row r="1418" spans="1:19" ht="15" x14ac:dyDescent="0.25">
      <c r="A1418" s="7" t="s">
        <v>16</v>
      </c>
      <c r="B1418" s="7" t="s">
        <v>230</v>
      </c>
      <c r="C1418" s="7" t="s">
        <v>24</v>
      </c>
      <c r="D1418" s="4">
        <v>12361267000860</v>
      </c>
      <c r="E1418" s="8" t="s">
        <v>851</v>
      </c>
      <c r="F1418" s="8" t="s">
        <v>742</v>
      </c>
      <c r="G1418" s="7" t="s">
        <v>91</v>
      </c>
      <c r="H1418" s="47" t="s">
        <v>211</v>
      </c>
      <c r="I1418" s="47" t="s">
        <v>212</v>
      </c>
      <c r="J1418" s="6">
        <v>62</v>
      </c>
      <c r="K1418" s="8" t="s">
        <v>27</v>
      </c>
      <c r="L1418" s="1" t="s">
        <v>851</v>
      </c>
      <c r="M1418" s="5">
        <v>5</v>
      </c>
      <c r="Q1418" s="3"/>
      <c r="R1418" s="3"/>
      <c r="S1418" s="3"/>
    </row>
    <row r="1419" spans="1:19" ht="15" x14ac:dyDescent="0.25">
      <c r="A1419" s="7" t="s">
        <v>16</v>
      </c>
      <c r="B1419" s="7" t="s">
        <v>230</v>
      </c>
      <c r="C1419" s="7" t="s">
        <v>24</v>
      </c>
      <c r="D1419" s="4">
        <v>12361267003370</v>
      </c>
      <c r="E1419" s="8" t="s">
        <v>1298</v>
      </c>
      <c r="F1419" s="8" t="s">
        <v>1129</v>
      </c>
      <c r="G1419" s="7" t="s">
        <v>52</v>
      </c>
      <c r="H1419" s="47" t="s">
        <v>211</v>
      </c>
      <c r="I1419" s="47" t="s">
        <v>212</v>
      </c>
      <c r="J1419" s="6">
        <v>70</v>
      </c>
      <c r="K1419" s="8" t="s">
        <v>20</v>
      </c>
      <c r="L1419" s="1" t="s">
        <v>1298</v>
      </c>
      <c r="M1419" s="5">
        <v>220</v>
      </c>
      <c r="Q1419" s="3"/>
      <c r="R1419" s="3"/>
      <c r="S1419" s="3"/>
    </row>
    <row r="1420" spans="1:19" ht="15" x14ac:dyDescent="0.25">
      <c r="A1420" s="7" t="s">
        <v>16</v>
      </c>
      <c r="B1420" s="7" t="s">
        <v>230</v>
      </c>
      <c r="C1420" s="7" t="s">
        <v>24</v>
      </c>
      <c r="D1420" s="4">
        <v>12361267004008</v>
      </c>
      <c r="E1420" s="8" t="s">
        <v>852</v>
      </c>
      <c r="F1420" s="8" t="s">
        <v>81</v>
      </c>
      <c r="G1420" s="7" t="s">
        <v>82</v>
      </c>
      <c r="H1420" s="47" t="s">
        <v>211</v>
      </c>
      <c r="I1420" s="47" t="s">
        <v>212</v>
      </c>
      <c r="J1420" s="6">
        <v>62</v>
      </c>
      <c r="K1420" s="8" t="s">
        <v>27</v>
      </c>
      <c r="L1420" s="1" t="s">
        <v>852</v>
      </c>
      <c r="M1420" s="5">
        <v>2</v>
      </c>
      <c r="Q1420" s="3"/>
      <c r="R1420" s="3"/>
      <c r="S1420" s="3"/>
    </row>
    <row r="1421" spans="1:19" ht="15" x14ac:dyDescent="0.25">
      <c r="A1421" s="7" t="s">
        <v>16</v>
      </c>
      <c r="B1421" s="7" t="s">
        <v>230</v>
      </c>
      <c r="C1421" s="7" t="s">
        <v>24</v>
      </c>
      <c r="D1421" s="4">
        <v>12361267005748</v>
      </c>
      <c r="E1421" s="8" t="s">
        <v>1299</v>
      </c>
      <c r="F1421" s="8" t="s">
        <v>794</v>
      </c>
      <c r="G1421" s="7" t="s">
        <v>71</v>
      </c>
      <c r="H1421" s="47" t="s">
        <v>211</v>
      </c>
      <c r="I1421" s="47" t="s">
        <v>212</v>
      </c>
      <c r="J1421" s="6">
        <v>70</v>
      </c>
      <c r="K1421" s="8" t="s">
        <v>20</v>
      </c>
      <c r="L1421" s="1" t="s">
        <v>1299</v>
      </c>
      <c r="M1421" s="5">
        <v>125</v>
      </c>
      <c r="Q1421" s="3"/>
      <c r="R1421" s="3"/>
      <c r="S1421" s="3"/>
    </row>
    <row r="1422" spans="1:19" ht="15" x14ac:dyDescent="0.25">
      <c r="A1422" s="7" t="s">
        <v>16</v>
      </c>
      <c r="B1422" s="7" t="s">
        <v>230</v>
      </c>
      <c r="C1422" s="7" t="s">
        <v>24</v>
      </c>
      <c r="D1422" s="4">
        <v>12361267008844</v>
      </c>
      <c r="E1422" s="8" t="s">
        <v>856</v>
      </c>
      <c r="F1422" s="8" t="s">
        <v>857</v>
      </c>
      <c r="G1422" s="7" t="s">
        <v>56</v>
      </c>
      <c r="H1422" s="47" t="s">
        <v>211</v>
      </c>
      <c r="I1422" s="47" t="s">
        <v>212</v>
      </c>
      <c r="J1422" s="6">
        <v>62</v>
      </c>
      <c r="K1422" s="8" t="s">
        <v>27</v>
      </c>
      <c r="L1422" s="1" t="s">
        <v>856</v>
      </c>
      <c r="M1422" s="5">
        <v>2</v>
      </c>
      <c r="Q1422" s="3"/>
      <c r="R1422" s="3"/>
      <c r="S1422" s="3"/>
    </row>
    <row r="1423" spans="1:19" ht="15" x14ac:dyDescent="0.25">
      <c r="A1423" s="7" t="s">
        <v>16</v>
      </c>
      <c r="B1423" s="7" t="s">
        <v>230</v>
      </c>
      <c r="C1423" s="7" t="s">
        <v>24</v>
      </c>
      <c r="D1423" s="4">
        <v>12361267008844</v>
      </c>
      <c r="E1423" s="8" t="s">
        <v>856</v>
      </c>
      <c r="F1423" s="8" t="s">
        <v>857</v>
      </c>
      <c r="G1423" s="7" t="s">
        <v>56</v>
      </c>
      <c r="H1423" s="47" t="s">
        <v>211</v>
      </c>
      <c r="I1423" s="47" t="s">
        <v>212</v>
      </c>
      <c r="J1423" s="6">
        <v>70</v>
      </c>
      <c r="K1423" s="8" t="s">
        <v>20</v>
      </c>
      <c r="L1423" s="1" t="s">
        <v>856</v>
      </c>
      <c r="M1423" s="5">
        <v>75</v>
      </c>
      <c r="Q1423" s="3"/>
      <c r="R1423" s="3"/>
      <c r="S1423" s="3"/>
    </row>
    <row r="1424" spans="1:19" ht="15" x14ac:dyDescent="0.25">
      <c r="A1424" s="7" t="s">
        <v>16</v>
      </c>
      <c r="B1424" s="7" t="s">
        <v>230</v>
      </c>
      <c r="C1424" s="7" t="s">
        <v>24</v>
      </c>
      <c r="D1424" s="4">
        <v>12361267011632</v>
      </c>
      <c r="E1424" s="8" t="s">
        <v>1160</v>
      </c>
      <c r="F1424" s="8" t="s">
        <v>109</v>
      </c>
      <c r="G1424" s="7" t="s">
        <v>110</v>
      </c>
      <c r="H1424" s="47" t="s">
        <v>211</v>
      </c>
      <c r="I1424" s="47" t="s">
        <v>212</v>
      </c>
      <c r="J1424" s="6">
        <v>70</v>
      </c>
      <c r="K1424" s="8" t="s">
        <v>20</v>
      </c>
      <c r="L1424" s="1" t="s">
        <v>1160</v>
      </c>
      <c r="M1424" s="5">
        <v>35</v>
      </c>
      <c r="Q1424" s="3"/>
      <c r="R1424" s="3"/>
      <c r="S1424" s="3"/>
    </row>
    <row r="1425" spans="1:19" ht="15" x14ac:dyDescent="0.25">
      <c r="A1425" s="7" t="s">
        <v>16</v>
      </c>
      <c r="B1425" s="7" t="s">
        <v>230</v>
      </c>
      <c r="C1425" s="7" t="s">
        <v>24</v>
      </c>
      <c r="D1425" s="4">
        <v>12442737000496</v>
      </c>
      <c r="E1425" s="8" t="s">
        <v>865</v>
      </c>
      <c r="F1425" s="8" t="s">
        <v>742</v>
      </c>
      <c r="G1425" s="7" t="s">
        <v>91</v>
      </c>
      <c r="H1425" s="47" t="s">
        <v>211</v>
      </c>
      <c r="I1425" s="47" t="s">
        <v>212</v>
      </c>
      <c r="J1425" s="6">
        <v>70</v>
      </c>
      <c r="K1425" s="8" t="s">
        <v>20</v>
      </c>
      <c r="L1425" s="1" t="s">
        <v>865</v>
      </c>
      <c r="M1425" s="5">
        <v>1295</v>
      </c>
      <c r="Q1425" s="3"/>
      <c r="R1425" s="3"/>
      <c r="S1425" s="3"/>
    </row>
    <row r="1426" spans="1:19" ht="15" x14ac:dyDescent="0.25">
      <c r="A1426" s="7" t="s">
        <v>16</v>
      </c>
      <c r="B1426" s="7" t="s">
        <v>230</v>
      </c>
      <c r="C1426" s="7" t="s">
        <v>24</v>
      </c>
      <c r="D1426" s="4">
        <v>13016332000106</v>
      </c>
      <c r="E1426" s="8" t="s">
        <v>868</v>
      </c>
      <c r="F1426" s="8" t="s">
        <v>84</v>
      </c>
      <c r="G1426" s="7" t="s">
        <v>85</v>
      </c>
      <c r="H1426" s="47" t="s">
        <v>211</v>
      </c>
      <c r="I1426" s="47" t="s">
        <v>212</v>
      </c>
      <c r="J1426" s="6">
        <v>62</v>
      </c>
      <c r="K1426" s="8" t="s">
        <v>27</v>
      </c>
      <c r="L1426" s="1" t="s">
        <v>868</v>
      </c>
      <c r="M1426" s="5">
        <v>5</v>
      </c>
      <c r="Q1426" s="3"/>
      <c r="R1426" s="3"/>
      <c r="S1426" s="3"/>
    </row>
    <row r="1427" spans="1:19" ht="15" x14ac:dyDescent="0.25">
      <c r="A1427" s="7" t="s">
        <v>16</v>
      </c>
      <c r="B1427" s="7" t="s">
        <v>230</v>
      </c>
      <c r="C1427" s="7" t="s">
        <v>24</v>
      </c>
      <c r="D1427" s="4">
        <v>13131370000100</v>
      </c>
      <c r="E1427" s="8" t="s">
        <v>870</v>
      </c>
      <c r="F1427" s="8" t="s">
        <v>84</v>
      </c>
      <c r="G1427" s="7" t="s">
        <v>85</v>
      </c>
      <c r="H1427" s="47" t="s">
        <v>211</v>
      </c>
      <c r="I1427" s="47" t="s">
        <v>212</v>
      </c>
      <c r="J1427" s="6">
        <v>70</v>
      </c>
      <c r="K1427" s="8" t="s">
        <v>20</v>
      </c>
      <c r="L1427" s="1" t="s">
        <v>870</v>
      </c>
      <c r="M1427" s="5">
        <v>750</v>
      </c>
      <c r="Q1427" s="3"/>
      <c r="R1427" s="3"/>
      <c r="S1427" s="3"/>
    </row>
    <row r="1428" spans="1:19" ht="15" x14ac:dyDescent="0.25">
      <c r="A1428" s="7" t="s">
        <v>16</v>
      </c>
      <c r="B1428" s="7" t="s">
        <v>230</v>
      </c>
      <c r="C1428" s="7" t="s">
        <v>24</v>
      </c>
      <c r="D1428" s="4">
        <v>13131370000100</v>
      </c>
      <c r="E1428" s="8" t="s">
        <v>870</v>
      </c>
      <c r="F1428" s="8" t="s">
        <v>84</v>
      </c>
      <c r="G1428" s="7" t="s">
        <v>85</v>
      </c>
      <c r="H1428" s="47" t="s">
        <v>211</v>
      </c>
      <c r="I1428" s="47" t="s">
        <v>212</v>
      </c>
      <c r="J1428" s="6">
        <v>73</v>
      </c>
      <c r="K1428" s="8" t="s">
        <v>26</v>
      </c>
      <c r="L1428" s="1" t="s">
        <v>870</v>
      </c>
      <c r="M1428" s="5">
        <v>31</v>
      </c>
      <c r="Q1428" s="3"/>
      <c r="R1428" s="3"/>
      <c r="S1428" s="3"/>
    </row>
    <row r="1429" spans="1:19" ht="15" x14ac:dyDescent="0.25">
      <c r="A1429" s="7" t="s">
        <v>16</v>
      </c>
      <c r="B1429" s="7" t="s">
        <v>230</v>
      </c>
      <c r="C1429" s="7" t="s">
        <v>24</v>
      </c>
      <c r="D1429" s="4">
        <v>13969621000120</v>
      </c>
      <c r="E1429" s="8" t="s">
        <v>1393</v>
      </c>
      <c r="F1429" s="8" t="s">
        <v>86</v>
      </c>
      <c r="G1429" s="7" t="s">
        <v>74</v>
      </c>
      <c r="H1429" s="47" t="s">
        <v>211</v>
      </c>
      <c r="I1429" s="47" t="s">
        <v>212</v>
      </c>
      <c r="J1429" s="6">
        <v>70</v>
      </c>
      <c r="K1429" s="8" t="s">
        <v>20</v>
      </c>
      <c r="L1429" s="1" t="s">
        <v>1393</v>
      </c>
      <c r="M1429" s="5">
        <v>35</v>
      </c>
      <c r="Q1429" s="3"/>
      <c r="R1429" s="3"/>
      <c r="S1429" s="3"/>
    </row>
    <row r="1430" spans="1:19" ht="15" x14ac:dyDescent="0.25">
      <c r="A1430" s="7" t="s">
        <v>16</v>
      </c>
      <c r="B1430" s="7" t="s">
        <v>230</v>
      </c>
      <c r="C1430" s="7" t="s">
        <v>24</v>
      </c>
      <c r="D1430" s="4">
        <v>14074546000100</v>
      </c>
      <c r="E1430" s="8" t="s">
        <v>876</v>
      </c>
      <c r="F1430" s="8" t="s">
        <v>86</v>
      </c>
      <c r="G1430" s="7" t="s">
        <v>74</v>
      </c>
      <c r="H1430" s="47" t="s">
        <v>211</v>
      </c>
      <c r="I1430" s="47" t="s">
        <v>212</v>
      </c>
      <c r="J1430" s="6">
        <v>64</v>
      </c>
      <c r="K1430" s="8" t="s">
        <v>25</v>
      </c>
      <c r="L1430" s="1" t="s">
        <v>876</v>
      </c>
      <c r="M1430" s="5">
        <v>1</v>
      </c>
      <c r="Q1430" s="3"/>
      <c r="R1430" s="3"/>
      <c r="S1430" s="3"/>
    </row>
    <row r="1431" spans="1:19" ht="15" x14ac:dyDescent="0.25">
      <c r="A1431" s="7" t="s">
        <v>16</v>
      </c>
      <c r="B1431" s="7" t="s">
        <v>230</v>
      </c>
      <c r="C1431" s="7" t="s">
        <v>24</v>
      </c>
      <c r="D1431" s="4">
        <v>15592785000106</v>
      </c>
      <c r="E1431" s="8" t="s">
        <v>897</v>
      </c>
      <c r="F1431" s="8" t="s">
        <v>84</v>
      </c>
      <c r="G1431" s="7" t="s">
        <v>85</v>
      </c>
      <c r="H1431" s="47" t="s">
        <v>211</v>
      </c>
      <c r="I1431" s="47" t="s">
        <v>212</v>
      </c>
      <c r="J1431" s="6">
        <v>70</v>
      </c>
      <c r="K1431" s="8" t="s">
        <v>20</v>
      </c>
      <c r="L1431" s="1" t="s">
        <v>897</v>
      </c>
      <c r="M1431" s="5">
        <v>165</v>
      </c>
      <c r="Q1431" s="3"/>
      <c r="R1431" s="3"/>
      <c r="S1431" s="3"/>
    </row>
    <row r="1432" spans="1:19" ht="15" x14ac:dyDescent="0.25">
      <c r="A1432" s="7" t="s">
        <v>16</v>
      </c>
      <c r="B1432" s="7" t="s">
        <v>230</v>
      </c>
      <c r="C1432" s="7" t="s">
        <v>24</v>
      </c>
      <c r="D1432" s="4">
        <v>16064313000577</v>
      </c>
      <c r="E1432" s="8" t="s">
        <v>898</v>
      </c>
      <c r="F1432" s="8" t="s">
        <v>84</v>
      </c>
      <c r="G1432" s="7" t="s">
        <v>85</v>
      </c>
      <c r="H1432" s="47" t="s">
        <v>211</v>
      </c>
      <c r="I1432" s="47" t="s">
        <v>212</v>
      </c>
      <c r="J1432" s="6">
        <v>73</v>
      </c>
      <c r="K1432" s="8" t="s">
        <v>26</v>
      </c>
      <c r="L1432" s="1" t="s">
        <v>898</v>
      </c>
      <c r="M1432" s="5">
        <v>22</v>
      </c>
      <c r="Q1432" s="3"/>
      <c r="R1432" s="3"/>
      <c r="S1432" s="3"/>
    </row>
    <row r="1433" spans="1:19" ht="15" x14ac:dyDescent="0.25">
      <c r="A1433" s="7" t="s">
        <v>16</v>
      </c>
      <c r="B1433" s="7" t="s">
        <v>230</v>
      </c>
      <c r="C1433" s="7" t="s">
        <v>24</v>
      </c>
      <c r="D1433" s="4">
        <v>17239624000169</v>
      </c>
      <c r="E1433" s="8" t="s">
        <v>1394</v>
      </c>
      <c r="F1433" s="8" t="s">
        <v>1395</v>
      </c>
      <c r="G1433" s="7" t="s">
        <v>59</v>
      </c>
      <c r="H1433" s="47" t="s">
        <v>211</v>
      </c>
      <c r="I1433" s="47" t="s">
        <v>212</v>
      </c>
      <c r="J1433" s="6">
        <v>64</v>
      </c>
      <c r="K1433" s="8" t="s">
        <v>25</v>
      </c>
      <c r="L1433" s="1" t="s">
        <v>1394</v>
      </c>
      <c r="M1433" s="5">
        <v>2</v>
      </c>
      <c r="Q1433" s="3"/>
      <c r="R1433" s="3"/>
      <c r="S1433" s="3"/>
    </row>
    <row r="1434" spans="1:19" ht="15" x14ac:dyDescent="0.25">
      <c r="A1434" s="7" t="s">
        <v>16</v>
      </c>
      <c r="B1434" s="7" t="s">
        <v>230</v>
      </c>
      <c r="C1434" s="7" t="s">
        <v>24</v>
      </c>
      <c r="D1434" s="4">
        <v>18034143000180</v>
      </c>
      <c r="E1434" s="8" t="s">
        <v>1396</v>
      </c>
      <c r="F1434" s="8" t="s">
        <v>753</v>
      </c>
      <c r="G1434" s="7" t="s">
        <v>59</v>
      </c>
      <c r="H1434" s="47" t="s">
        <v>211</v>
      </c>
      <c r="I1434" s="47" t="s">
        <v>212</v>
      </c>
      <c r="J1434" s="6">
        <v>70</v>
      </c>
      <c r="K1434" s="8" t="s">
        <v>20</v>
      </c>
      <c r="L1434" s="1" t="s">
        <v>1396</v>
      </c>
      <c r="M1434" s="5">
        <v>65</v>
      </c>
      <c r="Q1434" s="3"/>
      <c r="R1434" s="3"/>
      <c r="S1434" s="3"/>
    </row>
    <row r="1435" spans="1:19" ht="15" x14ac:dyDescent="0.25">
      <c r="A1435" s="7" t="s">
        <v>16</v>
      </c>
      <c r="B1435" s="7" t="s">
        <v>230</v>
      </c>
      <c r="C1435" s="7" t="s">
        <v>24</v>
      </c>
      <c r="D1435" s="4">
        <v>24232886008303</v>
      </c>
      <c r="E1435" s="8" t="s">
        <v>1198</v>
      </c>
      <c r="F1435" s="8" t="s">
        <v>1199</v>
      </c>
      <c r="G1435" s="7" t="s">
        <v>52</v>
      </c>
      <c r="H1435" s="47" t="s">
        <v>211</v>
      </c>
      <c r="I1435" s="47" t="s">
        <v>212</v>
      </c>
      <c r="J1435" s="6">
        <v>62</v>
      </c>
      <c r="K1435" s="8" t="s">
        <v>27</v>
      </c>
      <c r="L1435" s="1" t="s">
        <v>1198</v>
      </c>
      <c r="M1435" s="5">
        <v>6</v>
      </c>
      <c r="Q1435" s="3"/>
      <c r="R1435" s="3"/>
      <c r="S1435" s="3"/>
    </row>
    <row r="1436" spans="1:19" ht="15" x14ac:dyDescent="0.25">
      <c r="A1436" s="7" t="s">
        <v>16</v>
      </c>
      <c r="B1436" s="7" t="s">
        <v>230</v>
      </c>
      <c r="C1436" s="7" t="s">
        <v>24</v>
      </c>
      <c r="D1436" s="4">
        <v>24232886008303</v>
      </c>
      <c r="E1436" s="8" t="s">
        <v>1198</v>
      </c>
      <c r="F1436" s="8" t="s">
        <v>1199</v>
      </c>
      <c r="G1436" s="7" t="s">
        <v>52</v>
      </c>
      <c r="H1436" s="47" t="s">
        <v>211</v>
      </c>
      <c r="I1436" s="47" t="s">
        <v>212</v>
      </c>
      <c r="J1436" s="6">
        <v>64</v>
      </c>
      <c r="K1436" s="8" t="s">
        <v>25</v>
      </c>
      <c r="L1436" s="1" t="s">
        <v>1198</v>
      </c>
      <c r="M1436" s="5">
        <v>8</v>
      </c>
      <c r="Q1436" s="3"/>
      <c r="R1436" s="3"/>
      <c r="S1436" s="3"/>
    </row>
    <row r="1437" spans="1:19" ht="15" x14ac:dyDescent="0.25">
      <c r="A1437" s="7" t="s">
        <v>16</v>
      </c>
      <c r="B1437" s="7" t="s">
        <v>230</v>
      </c>
      <c r="C1437" s="7" t="s">
        <v>24</v>
      </c>
      <c r="D1437" s="4">
        <v>24464109000229</v>
      </c>
      <c r="E1437" s="8" t="s">
        <v>905</v>
      </c>
      <c r="F1437" s="8" t="s">
        <v>742</v>
      </c>
      <c r="G1437" s="7" t="s">
        <v>91</v>
      </c>
      <c r="H1437" s="47" t="s">
        <v>211</v>
      </c>
      <c r="I1437" s="47" t="s">
        <v>212</v>
      </c>
      <c r="J1437" s="6">
        <v>66</v>
      </c>
      <c r="K1437" s="8" t="s">
        <v>28</v>
      </c>
      <c r="L1437" s="1" t="s">
        <v>905</v>
      </c>
      <c r="M1437" s="5">
        <v>24</v>
      </c>
      <c r="Q1437" s="3"/>
      <c r="R1437" s="3"/>
      <c r="S1437" s="3"/>
    </row>
    <row r="1438" spans="1:19" ht="15" x14ac:dyDescent="0.25">
      <c r="A1438" s="7" t="s">
        <v>16</v>
      </c>
      <c r="B1438" s="7" t="s">
        <v>230</v>
      </c>
      <c r="C1438" s="7" t="s">
        <v>24</v>
      </c>
      <c r="D1438" s="4">
        <v>33000167002155</v>
      </c>
      <c r="E1438" s="8" t="s">
        <v>915</v>
      </c>
      <c r="F1438" s="8" t="s">
        <v>128</v>
      </c>
      <c r="G1438" s="7" t="s">
        <v>59</v>
      </c>
      <c r="H1438" s="47" t="s">
        <v>211</v>
      </c>
      <c r="I1438" s="47" t="s">
        <v>212</v>
      </c>
      <c r="J1438" s="6">
        <v>70</v>
      </c>
      <c r="K1438" s="8" t="s">
        <v>20</v>
      </c>
      <c r="L1438" s="1" t="s">
        <v>915</v>
      </c>
      <c r="M1438" s="5">
        <v>145</v>
      </c>
      <c r="Q1438" s="3"/>
      <c r="R1438" s="3"/>
      <c r="S1438" s="3"/>
    </row>
    <row r="1439" spans="1:19" ht="15" x14ac:dyDescent="0.25">
      <c r="A1439" s="7" t="s">
        <v>16</v>
      </c>
      <c r="B1439" s="7" t="s">
        <v>230</v>
      </c>
      <c r="C1439" s="7" t="s">
        <v>24</v>
      </c>
      <c r="D1439" s="4">
        <v>84112481000117</v>
      </c>
      <c r="E1439" s="8" t="s">
        <v>1501</v>
      </c>
      <c r="F1439" s="8" t="s">
        <v>109</v>
      </c>
      <c r="G1439" s="7" t="s">
        <v>110</v>
      </c>
      <c r="H1439" s="47" t="s">
        <v>211</v>
      </c>
      <c r="I1439" s="47" t="s">
        <v>212</v>
      </c>
      <c r="J1439" s="6">
        <v>73</v>
      </c>
      <c r="K1439" s="8" t="s">
        <v>26</v>
      </c>
      <c r="L1439" s="1" t="s">
        <v>1501</v>
      </c>
      <c r="M1439" s="5">
        <v>18</v>
      </c>
      <c r="Q1439" s="3"/>
      <c r="R1439" s="3"/>
      <c r="S1439" s="3"/>
    </row>
    <row r="1440" spans="1:19" ht="15" x14ac:dyDescent="0.25">
      <c r="A1440" s="7" t="s">
        <v>16</v>
      </c>
      <c r="B1440" s="7" t="s">
        <v>372</v>
      </c>
      <c r="C1440" s="7" t="s">
        <v>373</v>
      </c>
      <c r="D1440" s="4">
        <v>83925694404</v>
      </c>
      <c r="E1440" s="8" t="s">
        <v>746</v>
      </c>
      <c r="F1440" s="8" t="s">
        <v>747</v>
      </c>
      <c r="G1440" s="7" t="s">
        <v>56</v>
      </c>
      <c r="H1440" s="47" t="s">
        <v>211</v>
      </c>
      <c r="I1440" s="47" t="s">
        <v>212</v>
      </c>
      <c r="J1440" s="6">
        <v>66</v>
      </c>
      <c r="K1440" s="8" t="s">
        <v>28</v>
      </c>
      <c r="L1440" s="1" t="s">
        <v>746</v>
      </c>
      <c r="M1440" s="5">
        <v>16</v>
      </c>
      <c r="Q1440" s="3"/>
      <c r="R1440" s="3"/>
      <c r="S1440" s="3"/>
    </row>
    <row r="1441" spans="1:19" ht="15" x14ac:dyDescent="0.25">
      <c r="A1441" s="7" t="s">
        <v>16</v>
      </c>
      <c r="B1441" s="7" t="s">
        <v>372</v>
      </c>
      <c r="C1441" s="7" t="s">
        <v>373</v>
      </c>
      <c r="D1441" s="4">
        <v>418954000119</v>
      </c>
      <c r="E1441" s="8" t="s">
        <v>751</v>
      </c>
      <c r="F1441" s="8" t="s">
        <v>745</v>
      </c>
      <c r="G1441" s="7" t="s">
        <v>59</v>
      </c>
      <c r="H1441" s="47" t="s">
        <v>211</v>
      </c>
      <c r="I1441" s="47" t="s">
        <v>212</v>
      </c>
      <c r="J1441" s="6">
        <v>70</v>
      </c>
      <c r="K1441" s="8" t="s">
        <v>20</v>
      </c>
      <c r="L1441" s="1" t="s">
        <v>751</v>
      </c>
      <c r="M1441" s="5">
        <v>150</v>
      </c>
      <c r="Q1441" s="3"/>
      <c r="R1441" s="3"/>
      <c r="S1441" s="3"/>
    </row>
    <row r="1442" spans="1:19" ht="15" x14ac:dyDescent="0.25">
      <c r="A1442" s="7" t="s">
        <v>16</v>
      </c>
      <c r="B1442" s="7" t="s">
        <v>372</v>
      </c>
      <c r="C1442" s="7" t="s">
        <v>373</v>
      </c>
      <c r="D1442" s="4">
        <v>820737000150</v>
      </c>
      <c r="E1442" s="8" t="s">
        <v>757</v>
      </c>
      <c r="F1442" s="8" t="s">
        <v>62</v>
      </c>
      <c r="G1442" s="7" t="s">
        <v>63</v>
      </c>
      <c r="H1442" s="47" t="s">
        <v>211</v>
      </c>
      <c r="I1442" s="47" t="s">
        <v>212</v>
      </c>
      <c r="J1442" s="6">
        <v>64</v>
      </c>
      <c r="K1442" s="8" t="s">
        <v>25</v>
      </c>
      <c r="L1442" s="1" t="s">
        <v>757</v>
      </c>
      <c r="M1442" s="5">
        <v>20</v>
      </c>
      <c r="Q1442" s="3"/>
      <c r="R1442" s="3"/>
      <c r="S1442" s="3"/>
    </row>
    <row r="1443" spans="1:19" ht="15" x14ac:dyDescent="0.25">
      <c r="A1443" s="7" t="s">
        <v>16</v>
      </c>
      <c r="B1443" s="7" t="s">
        <v>372</v>
      </c>
      <c r="C1443" s="7" t="s">
        <v>373</v>
      </c>
      <c r="D1443" s="4">
        <v>1011865000116</v>
      </c>
      <c r="E1443" s="8" t="s">
        <v>759</v>
      </c>
      <c r="F1443" s="8" t="s">
        <v>745</v>
      </c>
      <c r="G1443" s="7" t="s">
        <v>59</v>
      </c>
      <c r="H1443" s="47" t="s">
        <v>211</v>
      </c>
      <c r="I1443" s="47" t="s">
        <v>212</v>
      </c>
      <c r="J1443" s="6">
        <v>70</v>
      </c>
      <c r="K1443" s="8" t="s">
        <v>20</v>
      </c>
      <c r="L1443" s="1" t="s">
        <v>759</v>
      </c>
      <c r="M1443" s="5">
        <v>650</v>
      </c>
      <c r="Q1443" s="3"/>
      <c r="R1443" s="3"/>
      <c r="S1443" s="3"/>
    </row>
    <row r="1444" spans="1:19" ht="15" x14ac:dyDescent="0.25">
      <c r="A1444" s="7" t="s">
        <v>16</v>
      </c>
      <c r="B1444" s="7" t="s">
        <v>372</v>
      </c>
      <c r="C1444" s="7" t="s">
        <v>373</v>
      </c>
      <c r="D1444" s="4">
        <v>1277573000120</v>
      </c>
      <c r="E1444" s="8" t="s">
        <v>760</v>
      </c>
      <c r="F1444" s="8" t="s">
        <v>745</v>
      </c>
      <c r="G1444" s="7" t="s">
        <v>59</v>
      </c>
      <c r="H1444" s="47" t="s">
        <v>211</v>
      </c>
      <c r="I1444" s="47" t="s">
        <v>212</v>
      </c>
      <c r="J1444" s="6">
        <v>70</v>
      </c>
      <c r="K1444" s="8" t="s">
        <v>20</v>
      </c>
      <c r="L1444" s="1" t="s">
        <v>760</v>
      </c>
      <c r="M1444" s="5">
        <v>40</v>
      </c>
      <c r="Q1444" s="3"/>
      <c r="R1444" s="3"/>
      <c r="S1444" s="3"/>
    </row>
    <row r="1445" spans="1:19" ht="15" x14ac:dyDescent="0.25">
      <c r="A1445" s="7" t="s">
        <v>16</v>
      </c>
      <c r="B1445" s="7" t="s">
        <v>372</v>
      </c>
      <c r="C1445" s="7" t="s">
        <v>373</v>
      </c>
      <c r="D1445" s="4">
        <v>1326206000179</v>
      </c>
      <c r="E1445" s="8" t="s">
        <v>761</v>
      </c>
      <c r="F1445" s="8" t="s">
        <v>762</v>
      </c>
      <c r="G1445" s="7" t="s">
        <v>59</v>
      </c>
      <c r="H1445" s="47" t="s">
        <v>211</v>
      </c>
      <c r="I1445" s="47" t="s">
        <v>212</v>
      </c>
      <c r="J1445" s="6">
        <v>73</v>
      </c>
      <c r="K1445" s="8" t="s">
        <v>26</v>
      </c>
      <c r="L1445" s="1" t="s">
        <v>761</v>
      </c>
      <c r="M1445" s="5">
        <v>44</v>
      </c>
      <c r="Q1445" s="3"/>
      <c r="R1445" s="3"/>
      <c r="S1445" s="3"/>
    </row>
    <row r="1446" spans="1:19" ht="15" x14ac:dyDescent="0.25">
      <c r="A1446" s="7" t="s">
        <v>16</v>
      </c>
      <c r="B1446" s="7" t="s">
        <v>372</v>
      </c>
      <c r="C1446" s="7" t="s">
        <v>373</v>
      </c>
      <c r="D1446" s="4">
        <v>1570589000126</v>
      </c>
      <c r="E1446" s="8" t="s">
        <v>766</v>
      </c>
      <c r="F1446" s="8" t="s">
        <v>745</v>
      </c>
      <c r="G1446" s="7" t="s">
        <v>59</v>
      </c>
      <c r="H1446" s="47" t="s">
        <v>211</v>
      </c>
      <c r="I1446" s="47" t="s">
        <v>212</v>
      </c>
      <c r="J1446" s="6">
        <v>70</v>
      </c>
      <c r="K1446" s="8" t="s">
        <v>20</v>
      </c>
      <c r="L1446" s="1" t="s">
        <v>766</v>
      </c>
      <c r="M1446" s="5">
        <v>300</v>
      </c>
      <c r="Q1446" s="3"/>
      <c r="R1446" s="3"/>
      <c r="S1446" s="3"/>
    </row>
    <row r="1447" spans="1:19" ht="15" x14ac:dyDescent="0.25">
      <c r="A1447" s="7" t="s">
        <v>16</v>
      </c>
      <c r="B1447" s="7" t="s">
        <v>372</v>
      </c>
      <c r="C1447" s="7" t="s">
        <v>373</v>
      </c>
      <c r="D1447" s="4">
        <v>2284062000106</v>
      </c>
      <c r="E1447" s="8" t="s">
        <v>774</v>
      </c>
      <c r="F1447" s="8" t="s">
        <v>70</v>
      </c>
      <c r="G1447" s="7" t="s">
        <v>71</v>
      </c>
      <c r="H1447" s="47" t="s">
        <v>211</v>
      </c>
      <c r="I1447" s="47" t="s">
        <v>212</v>
      </c>
      <c r="J1447" s="6">
        <v>64</v>
      </c>
      <c r="K1447" s="8" t="s">
        <v>25</v>
      </c>
      <c r="L1447" s="1" t="s">
        <v>774</v>
      </c>
      <c r="M1447" s="5">
        <v>1</v>
      </c>
      <c r="Q1447" s="3"/>
      <c r="R1447" s="3"/>
      <c r="S1447" s="3"/>
    </row>
    <row r="1448" spans="1:19" ht="15" x14ac:dyDescent="0.25">
      <c r="A1448" s="7" t="s">
        <v>16</v>
      </c>
      <c r="B1448" s="7" t="s">
        <v>372</v>
      </c>
      <c r="C1448" s="7" t="s">
        <v>373</v>
      </c>
      <c r="D1448" s="4">
        <v>2284062000440</v>
      </c>
      <c r="E1448" s="8" t="s">
        <v>775</v>
      </c>
      <c r="F1448" s="8" t="s">
        <v>70</v>
      </c>
      <c r="G1448" s="7" t="s">
        <v>71</v>
      </c>
      <c r="H1448" s="47" t="s">
        <v>211</v>
      </c>
      <c r="I1448" s="47" t="s">
        <v>212</v>
      </c>
      <c r="J1448" s="6">
        <v>64</v>
      </c>
      <c r="K1448" s="8" t="s">
        <v>25</v>
      </c>
      <c r="L1448" s="1" t="s">
        <v>775</v>
      </c>
      <c r="M1448" s="5">
        <v>42</v>
      </c>
      <c r="Q1448" s="3"/>
      <c r="R1448" s="3"/>
      <c r="S1448" s="3"/>
    </row>
    <row r="1449" spans="1:19" ht="15" x14ac:dyDescent="0.25">
      <c r="A1449" s="7" t="s">
        <v>16</v>
      </c>
      <c r="B1449" s="7" t="s">
        <v>372</v>
      </c>
      <c r="C1449" s="7" t="s">
        <v>373</v>
      </c>
      <c r="D1449" s="4">
        <v>2284062001170</v>
      </c>
      <c r="E1449" s="8" t="s">
        <v>776</v>
      </c>
      <c r="F1449" s="8" t="s">
        <v>777</v>
      </c>
      <c r="G1449" s="7" t="s">
        <v>72</v>
      </c>
      <c r="H1449" s="47" t="s">
        <v>211</v>
      </c>
      <c r="I1449" s="47" t="s">
        <v>212</v>
      </c>
      <c r="J1449" s="6">
        <v>64</v>
      </c>
      <c r="K1449" s="8" t="s">
        <v>25</v>
      </c>
      <c r="L1449" s="1" t="s">
        <v>776</v>
      </c>
      <c r="M1449" s="5">
        <v>10</v>
      </c>
      <c r="Q1449" s="3"/>
      <c r="R1449" s="3"/>
      <c r="S1449" s="3"/>
    </row>
    <row r="1450" spans="1:19" ht="15" x14ac:dyDescent="0.25">
      <c r="A1450" s="7" t="s">
        <v>16</v>
      </c>
      <c r="B1450" s="7" t="s">
        <v>372</v>
      </c>
      <c r="C1450" s="7" t="s">
        <v>373</v>
      </c>
      <c r="D1450" s="4">
        <v>2284062001170</v>
      </c>
      <c r="E1450" s="8" t="s">
        <v>776</v>
      </c>
      <c r="F1450" s="8" t="s">
        <v>777</v>
      </c>
      <c r="G1450" s="7" t="s">
        <v>72</v>
      </c>
      <c r="H1450" s="47" t="s">
        <v>211</v>
      </c>
      <c r="I1450" s="47" t="s">
        <v>212</v>
      </c>
      <c r="J1450" s="6">
        <v>70</v>
      </c>
      <c r="K1450" s="8" t="s">
        <v>20</v>
      </c>
      <c r="L1450" s="1" t="s">
        <v>776</v>
      </c>
      <c r="M1450" s="5">
        <v>200</v>
      </c>
      <c r="Q1450" s="3"/>
      <c r="R1450" s="3"/>
      <c r="S1450" s="3"/>
    </row>
    <row r="1451" spans="1:19" ht="15" x14ac:dyDescent="0.25">
      <c r="A1451" s="7" t="s">
        <v>16</v>
      </c>
      <c r="B1451" s="7" t="s">
        <v>372</v>
      </c>
      <c r="C1451" s="7" t="s">
        <v>373</v>
      </c>
      <c r="D1451" s="4">
        <v>2476067000203</v>
      </c>
      <c r="E1451" s="8" t="s">
        <v>779</v>
      </c>
      <c r="F1451" s="8" t="s">
        <v>745</v>
      </c>
      <c r="G1451" s="7" t="s">
        <v>59</v>
      </c>
      <c r="H1451" s="47" t="s">
        <v>211</v>
      </c>
      <c r="I1451" s="47" t="s">
        <v>212</v>
      </c>
      <c r="J1451" s="6">
        <v>73</v>
      </c>
      <c r="K1451" s="8" t="s">
        <v>26</v>
      </c>
      <c r="L1451" s="1" t="s">
        <v>779</v>
      </c>
      <c r="M1451" s="5">
        <v>17</v>
      </c>
      <c r="Q1451" s="3"/>
      <c r="R1451" s="3"/>
      <c r="S1451" s="3"/>
    </row>
    <row r="1452" spans="1:19" ht="15" x14ac:dyDescent="0.25">
      <c r="A1452" s="7" t="s">
        <v>16</v>
      </c>
      <c r="B1452" s="7" t="s">
        <v>372</v>
      </c>
      <c r="C1452" s="7" t="s">
        <v>373</v>
      </c>
      <c r="D1452" s="4">
        <v>2476067000394</v>
      </c>
      <c r="E1452" s="8" t="s">
        <v>780</v>
      </c>
      <c r="F1452" s="8" t="s">
        <v>745</v>
      </c>
      <c r="G1452" s="7" t="s">
        <v>59</v>
      </c>
      <c r="H1452" s="47" t="s">
        <v>211</v>
      </c>
      <c r="I1452" s="47" t="s">
        <v>212</v>
      </c>
      <c r="J1452" s="6">
        <v>70</v>
      </c>
      <c r="K1452" s="8" t="s">
        <v>20</v>
      </c>
      <c r="L1452" s="1" t="s">
        <v>780</v>
      </c>
      <c r="M1452" s="5">
        <v>660</v>
      </c>
      <c r="Q1452" s="3"/>
      <c r="R1452" s="3"/>
      <c r="S1452" s="3"/>
    </row>
    <row r="1453" spans="1:19" ht="15" x14ac:dyDescent="0.25">
      <c r="A1453" s="7" t="s">
        <v>16</v>
      </c>
      <c r="B1453" s="7" t="s">
        <v>372</v>
      </c>
      <c r="C1453" s="7" t="s">
        <v>373</v>
      </c>
      <c r="D1453" s="4">
        <v>3315918000541</v>
      </c>
      <c r="E1453" s="8" t="s">
        <v>785</v>
      </c>
      <c r="F1453" s="8" t="s">
        <v>64</v>
      </c>
      <c r="G1453" s="7" t="s">
        <v>65</v>
      </c>
      <c r="H1453" s="47" t="s">
        <v>211</v>
      </c>
      <c r="I1453" s="47" t="s">
        <v>212</v>
      </c>
      <c r="J1453" s="6">
        <v>70</v>
      </c>
      <c r="K1453" s="8" t="s">
        <v>20</v>
      </c>
      <c r="L1453" s="1" t="s">
        <v>785</v>
      </c>
      <c r="M1453" s="5">
        <v>50</v>
      </c>
      <c r="Q1453" s="3"/>
      <c r="R1453" s="3"/>
      <c r="S1453" s="3"/>
    </row>
    <row r="1454" spans="1:19" ht="15" x14ac:dyDescent="0.25">
      <c r="A1454" s="7" t="s">
        <v>16</v>
      </c>
      <c r="B1454" s="7" t="s">
        <v>372</v>
      </c>
      <c r="C1454" s="7" t="s">
        <v>373</v>
      </c>
      <c r="D1454" s="4">
        <v>3533726001583</v>
      </c>
      <c r="E1454" s="8" t="s">
        <v>788</v>
      </c>
      <c r="F1454" s="8" t="s">
        <v>789</v>
      </c>
      <c r="G1454" s="7" t="s">
        <v>69</v>
      </c>
      <c r="H1454" s="47" t="s">
        <v>211</v>
      </c>
      <c r="I1454" s="47" t="s">
        <v>212</v>
      </c>
      <c r="J1454" s="6">
        <v>70</v>
      </c>
      <c r="K1454" s="8" t="s">
        <v>20</v>
      </c>
      <c r="L1454" s="1" t="s">
        <v>788</v>
      </c>
      <c r="M1454" s="5">
        <v>55</v>
      </c>
      <c r="Q1454" s="3"/>
      <c r="R1454" s="3"/>
      <c r="S1454" s="3"/>
    </row>
    <row r="1455" spans="1:19" ht="15" x14ac:dyDescent="0.25">
      <c r="A1455" s="7" t="s">
        <v>16</v>
      </c>
      <c r="B1455" s="7" t="s">
        <v>372</v>
      </c>
      <c r="C1455" s="7" t="s">
        <v>373</v>
      </c>
      <c r="D1455" s="4">
        <v>3866223000124</v>
      </c>
      <c r="E1455" s="8" t="s">
        <v>792</v>
      </c>
      <c r="F1455" s="8" t="s">
        <v>742</v>
      </c>
      <c r="G1455" s="7" t="s">
        <v>91</v>
      </c>
      <c r="H1455" s="47" t="s">
        <v>211</v>
      </c>
      <c r="I1455" s="47" t="s">
        <v>212</v>
      </c>
      <c r="J1455" s="6">
        <v>70</v>
      </c>
      <c r="K1455" s="8" t="s">
        <v>20</v>
      </c>
      <c r="L1455" s="1" t="s">
        <v>792</v>
      </c>
      <c r="M1455" s="5">
        <v>900</v>
      </c>
      <c r="Q1455" s="3"/>
      <c r="R1455" s="3"/>
      <c r="S1455" s="3"/>
    </row>
    <row r="1456" spans="1:19" ht="15" x14ac:dyDescent="0.25">
      <c r="A1456" s="7" t="s">
        <v>16</v>
      </c>
      <c r="B1456" s="7" t="s">
        <v>372</v>
      </c>
      <c r="C1456" s="7" t="s">
        <v>373</v>
      </c>
      <c r="D1456" s="4">
        <v>3925419000142</v>
      </c>
      <c r="E1456" s="8" t="s">
        <v>795</v>
      </c>
      <c r="F1456" s="8" t="s">
        <v>772</v>
      </c>
      <c r="G1456" s="7" t="s">
        <v>69</v>
      </c>
      <c r="H1456" s="47" t="s">
        <v>211</v>
      </c>
      <c r="I1456" s="47" t="s">
        <v>212</v>
      </c>
      <c r="J1456" s="6">
        <v>64</v>
      </c>
      <c r="K1456" s="8" t="s">
        <v>25</v>
      </c>
      <c r="L1456" s="1" t="s">
        <v>795</v>
      </c>
      <c r="M1456" s="5">
        <v>3</v>
      </c>
      <c r="Q1456" s="3"/>
      <c r="R1456" s="3"/>
      <c r="S1456" s="3"/>
    </row>
    <row r="1457" spans="1:19" ht="15" x14ac:dyDescent="0.25">
      <c r="A1457" s="7" t="s">
        <v>16</v>
      </c>
      <c r="B1457" s="7" t="s">
        <v>372</v>
      </c>
      <c r="C1457" s="7" t="s">
        <v>373</v>
      </c>
      <c r="D1457" s="4">
        <v>4159778000107</v>
      </c>
      <c r="E1457" s="8" t="s">
        <v>1144</v>
      </c>
      <c r="F1457" s="8" t="s">
        <v>109</v>
      </c>
      <c r="G1457" s="7" t="s">
        <v>110</v>
      </c>
      <c r="H1457" s="47" t="s">
        <v>211</v>
      </c>
      <c r="I1457" s="47" t="s">
        <v>212</v>
      </c>
      <c r="J1457" s="6">
        <v>62</v>
      </c>
      <c r="K1457" s="8" t="s">
        <v>27</v>
      </c>
      <c r="L1457" s="1" t="s">
        <v>1144</v>
      </c>
      <c r="M1457" s="5">
        <v>3</v>
      </c>
      <c r="Q1457" s="3"/>
      <c r="R1457" s="3"/>
      <c r="S1457" s="3"/>
    </row>
    <row r="1458" spans="1:19" ht="15" x14ac:dyDescent="0.25">
      <c r="A1458" s="7" t="s">
        <v>16</v>
      </c>
      <c r="B1458" s="7" t="s">
        <v>372</v>
      </c>
      <c r="C1458" s="7" t="s">
        <v>373</v>
      </c>
      <c r="D1458" s="4">
        <v>4159778000107</v>
      </c>
      <c r="E1458" s="8" t="s">
        <v>1144</v>
      </c>
      <c r="F1458" s="8" t="s">
        <v>109</v>
      </c>
      <c r="G1458" s="7" t="s">
        <v>110</v>
      </c>
      <c r="H1458" s="47" t="s">
        <v>211</v>
      </c>
      <c r="I1458" s="47" t="s">
        <v>212</v>
      </c>
      <c r="J1458" s="6">
        <v>64</v>
      </c>
      <c r="K1458" s="8" t="s">
        <v>25</v>
      </c>
      <c r="L1458" s="1" t="s">
        <v>1144</v>
      </c>
      <c r="M1458" s="5">
        <v>3</v>
      </c>
      <c r="Q1458" s="3"/>
      <c r="R1458" s="3"/>
      <c r="S1458" s="3"/>
    </row>
    <row r="1459" spans="1:19" ht="15" x14ac:dyDescent="0.25">
      <c r="A1459" s="7" t="s">
        <v>16</v>
      </c>
      <c r="B1459" s="7" t="s">
        <v>372</v>
      </c>
      <c r="C1459" s="7" t="s">
        <v>373</v>
      </c>
      <c r="D1459" s="4">
        <v>4159778000107</v>
      </c>
      <c r="E1459" s="8" t="s">
        <v>1144</v>
      </c>
      <c r="F1459" s="8" t="s">
        <v>109</v>
      </c>
      <c r="G1459" s="7" t="s">
        <v>110</v>
      </c>
      <c r="H1459" s="47" t="s">
        <v>211</v>
      </c>
      <c r="I1459" s="47" t="s">
        <v>212</v>
      </c>
      <c r="J1459" s="6">
        <v>70</v>
      </c>
      <c r="K1459" s="8" t="s">
        <v>20</v>
      </c>
      <c r="L1459" s="1" t="s">
        <v>1144</v>
      </c>
      <c r="M1459" s="5">
        <v>25</v>
      </c>
      <c r="Q1459" s="3"/>
      <c r="R1459" s="3"/>
      <c r="S1459" s="3"/>
    </row>
    <row r="1460" spans="1:19" ht="15" x14ac:dyDescent="0.25">
      <c r="A1460" s="7" t="s">
        <v>16</v>
      </c>
      <c r="B1460" s="7" t="s">
        <v>372</v>
      </c>
      <c r="C1460" s="7" t="s">
        <v>373</v>
      </c>
      <c r="D1460" s="4">
        <v>6047087009276</v>
      </c>
      <c r="E1460" s="8" t="s">
        <v>812</v>
      </c>
      <c r="F1460" s="8" t="s">
        <v>70</v>
      </c>
      <c r="G1460" s="7" t="s">
        <v>71</v>
      </c>
      <c r="H1460" s="47" t="s">
        <v>211</v>
      </c>
      <c r="I1460" s="47" t="s">
        <v>212</v>
      </c>
      <c r="J1460" s="6">
        <v>64</v>
      </c>
      <c r="K1460" s="8" t="s">
        <v>25</v>
      </c>
      <c r="L1460" s="1" t="s">
        <v>812</v>
      </c>
      <c r="M1460" s="5">
        <v>30</v>
      </c>
      <c r="Q1460" s="3"/>
      <c r="R1460" s="3"/>
      <c r="S1460" s="3"/>
    </row>
    <row r="1461" spans="1:19" ht="15" x14ac:dyDescent="0.25">
      <c r="A1461" s="7" t="s">
        <v>16</v>
      </c>
      <c r="B1461" s="7" t="s">
        <v>372</v>
      </c>
      <c r="C1461" s="7" t="s">
        <v>373</v>
      </c>
      <c r="D1461" s="4">
        <v>6337035000105</v>
      </c>
      <c r="E1461" s="8" t="s">
        <v>814</v>
      </c>
      <c r="F1461" s="8" t="s">
        <v>745</v>
      </c>
      <c r="G1461" s="7" t="s">
        <v>59</v>
      </c>
      <c r="H1461" s="47" t="s">
        <v>211</v>
      </c>
      <c r="I1461" s="47" t="s">
        <v>212</v>
      </c>
      <c r="J1461" s="6">
        <v>70</v>
      </c>
      <c r="K1461" s="8" t="s">
        <v>20</v>
      </c>
      <c r="L1461" s="1" t="s">
        <v>814</v>
      </c>
      <c r="M1461" s="5">
        <v>50</v>
      </c>
      <c r="Q1461" s="3"/>
      <c r="R1461" s="3"/>
      <c r="S1461" s="3"/>
    </row>
    <row r="1462" spans="1:19" ht="15" x14ac:dyDescent="0.25">
      <c r="A1462" s="7" t="s">
        <v>16</v>
      </c>
      <c r="B1462" s="7" t="s">
        <v>372</v>
      </c>
      <c r="C1462" s="7" t="s">
        <v>373</v>
      </c>
      <c r="D1462" s="4">
        <v>6553564000138</v>
      </c>
      <c r="E1462" s="8" t="s">
        <v>1152</v>
      </c>
      <c r="F1462" s="8" t="s">
        <v>81</v>
      </c>
      <c r="G1462" s="7" t="s">
        <v>82</v>
      </c>
      <c r="H1462" s="47" t="s">
        <v>211</v>
      </c>
      <c r="I1462" s="47" t="s">
        <v>212</v>
      </c>
      <c r="J1462" s="6">
        <v>70</v>
      </c>
      <c r="K1462" s="8" t="s">
        <v>20</v>
      </c>
      <c r="L1462" s="1" t="s">
        <v>1152</v>
      </c>
      <c r="M1462" s="5">
        <v>105</v>
      </c>
      <c r="Q1462" s="3"/>
      <c r="R1462" s="3"/>
      <c r="S1462" s="3"/>
    </row>
    <row r="1463" spans="1:19" ht="15" x14ac:dyDescent="0.25">
      <c r="A1463" s="7" t="s">
        <v>16</v>
      </c>
      <c r="B1463" s="7" t="s">
        <v>372</v>
      </c>
      <c r="C1463" s="7" t="s">
        <v>373</v>
      </c>
      <c r="D1463" s="4">
        <v>6555031000276</v>
      </c>
      <c r="E1463" s="8" t="s">
        <v>815</v>
      </c>
      <c r="F1463" s="8" t="s">
        <v>81</v>
      </c>
      <c r="G1463" s="7" t="s">
        <v>82</v>
      </c>
      <c r="H1463" s="47" t="s">
        <v>211</v>
      </c>
      <c r="I1463" s="47" t="s">
        <v>212</v>
      </c>
      <c r="J1463" s="6">
        <v>73</v>
      </c>
      <c r="K1463" s="8" t="s">
        <v>26</v>
      </c>
      <c r="L1463" s="1" t="s">
        <v>815</v>
      </c>
      <c r="M1463" s="5">
        <v>64</v>
      </c>
      <c r="Q1463" s="3"/>
      <c r="R1463" s="3"/>
      <c r="S1463" s="3"/>
    </row>
    <row r="1464" spans="1:19" ht="15" x14ac:dyDescent="0.25">
      <c r="A1464" s="7" t="s">
        <v>16</v>
      </c>
      <c r="B1464" s="7" t="s">
        <v>372</v>
      </c>
      <c r="C1464" s="7" t="s">
        <v>373</v>
      </c>
      <c r="D1464" s="4">
        <v>6833917000153</v>
      </c>
      <c r="E1464" s="8" t="s">
        <v>1389</v>
      </c>
      <c r="F1464" s="8" t="s">
        <v>81</v>
      </c>
      <c r="G1464" s="7" t="s">
        <v>82</v>
      </c>
      <c r="H1464" s="47" t="s">
        <v>211</v>
      </c>
      <c r="I1464" s="47" t="s">
        <v>212</v>
      </c>
      <c r="J1464" s="6">
        <v>70</v>
      </c>
      <c r="K1464" s="8" t="s">
        <v>20</v>
      </c>
      <c r="L1464" s="1" t="s">
        <v>1389</v>
      </c>
      <c r="M1464" s="5">
        <v>150</v>
      </c>
      <c r="Q1464" s="3"/>
      <c r="R1464" s="3"/>
      <c r="S1464" s="3"/>
    </row>
    <row r="1465" spans="1:19" ht="15" x14ac:dyDescent="0.25">
      <c r="A1465" s="7" t="s">
        <v>16</v>
      </c>
      <c r="B1465" s="7" t="s">
        <v>372</v>
      </c>
      <c r="C1465" s="7" t="s">
        <v>373</v>
      </c>
      <c r="D1465" s="4">
        <v>8319329000121</v>
      </c>
      <c r="E1465" s="8" t="s">
        <v>823</v>
      </c>
      <c r="F1465" s="8" t="s">
        <v>62</v>
      </c>
      <c r="G1465" s="7" t="s">
        <v>63</v>
      </c>
      <c r="H1465" s="47" t="s">
        <v>211</v>
      </c>
      <c r="I1465" s="47" t="s">
        <v>212</v>
      </c>
      <c r="J1465" s="6">
        <v>64</v>
      </c>
      <c r="K1465" s="8" t="s">
        <v>25</v>
      </c>
      <c r="L1465" s="1" t="s">
        <v>823</v>
      </c>
      <c r="M1465" s="5">
        <v>36</v>
      </c>
      <c r="Q1465" s="3"/>
      <c r="R1465" s="3"/>
      <c r="S1465" s="3"/>
    </row>
    <row r="1466" spans="1:19" ht="15" x14ac:dyDescent="0.25">
      <c r="A1466" s="7" t="s">
        <v>16</v>
      </c>
      <c r="B1466" s="7" t="s">
        <v>372</v>
      </c>
      <c r="C1466" s="7" t="s">
        <v>373</v>
      </c>
      <c r="D1466" s="4">
        <v>8680639000681</v>
      </c>
      <c r="E1466" s="8" t="s">
        <v>827</v>
      </c>
      <c r="F1466" s="8" t="s">
        <v>747</v>
      </c>
      <c r="G1466" s="7" t="s">
        <v>56</v>
      </c>
      <c r="H1466" s="47" t="s">
        <v>211</v>
      </c>
      <c r="I1466" s="47" t="s">
        <v>212</v>
      </c>
      <c r="J1466" s="6">
        <v>70</v>
      </c>
      <c r="K1466" s="8" t="s">
        <v>20</v>
      </c>
      <c r="L1466" s="1" t="s">
        <v>827</v>
      </c>
      <c r="M1466" s="5">
        <v>50</v>
      </c>
      <c r="Q1466" s="3"/>
      <c r="R1466" s="3"/>
      <c r="S1466" s="3"/>
    </row>
    <row r="1467" spans="1:19" ht="15" x14ac:dyDescent="0.25">
      <c r="A1467" s="7" t="s">
        <v>16</v>
      </c>
      <c r="B1467" s="7" t="s">
        <v>372</v>
      </c>
      <c r="C1467" s="7" t="s">
        <v>373</v>
      </c>
      <c r="D1467" s="4">
        <v>8680639000681</v>
      </c>
      <c r="E1467" s="8" t="s">
        <v>827</v>
      </c>
      <c r="F1467" s="8" t="s">
        <v>747</v>
      </c>
      <c r="G1467" s="7" t="s">
        <v>56</v>
      </c>
      <c r="H1467" s="47" t="s">
        <v>211</v>
      </c>
      <c r="I1467" s="47" t="s">
        <v>212</v>
      </c>
      <c r="J1467" s="6">
        <v>73</v>
      </c>
      <c r="K1467" s="8" t="s">
        <v>26</v>
      </c>
      <c r="L1467" s="1" t="s">
        <v>827</v>
      </c>
      <c r="M1467" s="5">
        <v>60</v>
      </c>
      <c r="Q1467" s="3"/>
      <c r="R1467" s="3"/>
      <c r="S1467" s="3"/>
    </row>
    <row r="1468" spans="1:19" ht="15" x14ac:dyDescent="0.25">
      <c r="A1468" s="7" t="s">
        <v>16</v>
      </c>
      <c r="B1468" s="7" t="s">
        <v>372</v>
      </c>
      <c r="C1468" s="7" t="s">
        <v>373</v>
      </c>
      <c r="D1468" s="4">
        <v>9577422000280</v>
      </c>
      <c r="E1468" s="8" t="s">
        <v>1390</v>
      </c>
      <c r="F1468" s="8" t="s">
        <v>70</v>
      </c>
      <c r="G1468" s="7" t="s">
        <v>71</v>
      </c>
      <c r="H1468" s="47" t="s">
        <v>211</v>
      </c>
      <c r="I1468" s="47" t="s">
        <v>212</v>
      </c>
      <c r="J1468" s="6">
        <v>70</v>
      </c>
      <c r="K1468" s="8" t="s">
        <v>20</v>
      </c>
      <c r="L1468" s="1" t="s">
        <v>1390</v>
      </c>
      <c r="M1468" s="5">
        <v>150</v>
      </c>
      <c r="Q1468" s="3"/>
      <c r="R1468" s="3"/>
      <c r="S1468" s="3"/>
    </row>
    <row r="1469" spans="1:19" ht="15" x14ac:dyDescent="0.25">
      <c r="A1469" s="7" t="s">
        <v>16</v>
      </c>
      <c r="B1469" s="7" t="s">
        <v>372</v>
      </c>
      <c r="C1469" s="7" t="s">
        <v>373</v>
      </c>
      <c r="D1469" s="4">
        <v>10839561000132</v>
      </c>
      <c r="E1469" s="8" t="s">
        <v>834</v>
      </c>
      <c r="F1469" s="8" t="s">
        <v>70</v>
      </c>
      <c r="G1469" s="7" t="s">
        <v>71</v>
      </c>
      <c r="H1469" s="47" t="s">
        <v>211</v>
      </c>
      <c r="I1469" s="47" t="s">
        <v>212</v>
      </c>
      <c r="J1469" s="6">
        <v>70</v>
      </c>
      <c r="K1469" s="8" t="s">
        <v>20</v>
      </c>
      <c r="L1469" s="1" t="s">
        <v>834</v>
      </c>
      <c r="M1469" s="5">
        <v>460</v>
      </c>
      <c r="Q1469" s="3"/>
      <c r="R1469" s="3"/>
      <c r="S1469" s="3"/>
    </row>
    <row r="1470" spans="1:19" ht="15" x14ac:dyDescent="0.25">
      <c r="A1470" s="7" t="s">
        <v>16</v>
      </c>
      <c r="B1470" s="7" t="s">
        <v>372</v>
      </c>
      <c r="C1470" s="7" t="s">
        <v>373</v>
      </c>
      <c r="D1470" s="4">
        <v>10839561000132</v>
      </c>
      <c r="E1470" s="8" t="s">
        <v>834</v>
      </c>
      <c r="F1470" s="8" t="s">
        <v>70</v>
      </c>
      <c r="G1470" s="7" t="s">
        <v>71</v>
      </c>
      <c r="H1470" s="47" t="s">
        <v>211</v>
      </c>
      <c r="I1470" s="47" t="s">
        <v>212</v>
      </c>
      <c r="J1470" s="6">
        <v>73</v>
      </c>
      <c r="K1470" s="8" t="s">
        <v>26</v>
      </c>
      <c r="L1470" s="1" t="s">
        <v>834</v>
      </c>
      <c r="M1470" s="5">
        <v>36</v>
      </c>
      <c r="Q1470" s="3"/>
      <c r="R1470" s="3"/>
      <c r="S1470" s="3"/>
    </row>
    <row r="1471" spans="1:19" ht="15" x14ac:dyDescent="0.25">
      <c r="A1471" s="7" t="s">
        <v>16</v>
      </c>
      <c r="B1471" s="7" t="s">
        <v>372</v>
      </c>
      <c r="C1471" s="7" t="s">
        <v>373</v>
      </c>
      <c r="D1471" s="4">
        <v>10892164000124</v>
      </c>
      <c r="E1471" s="8" t="s">
        <v>835</v>
      </c>
      <c r="F1471" s="8" t="s">
        <v>70</v>
      </c>
      <c r="G1471" s="7" t="s">
        <v>71</v>
      </c>
      <c r="H1471" s="47" t="s">
        <v>211</v>
      </c>
      <c r="I1471" s="47" t="s">
        <v>212</v>
      </c>
      <c r="J1471" s="6">
        <v>64</v>
      </c>
      <c r="K1471" s="8" t="s">
        <v>25</v>
      </c>
      <c r="L1471" s="1" t="s">
        <v>835</v>
      </c>
      <c r="M1471" s="5">
        <v>10</v>
      </c>
      <c r="Q1471" s="3"/>
      <c r="R1471" s="3"/>
      <c r="S1471" s="3"/>
    </row>
    <row r="1472" spans="1:19" ht="15" x14ac:dyDescent="0.25">
      <c r="A1472" s="7" t="s">
        <v>16</v>
      </c>
      <c r="B1472" s="7" t="s">
        <v>372</v>
      </c>
      <c r="C1472" s="7" t="s">
        <v>373</v>
      </c>
      <c r="D1472" s="4">
        <v>11006293000130</v>
      </c>
      <c r="E1472" s="8" t="s">
        <v>838</v>
      </c>
      <c r="F1472" s="8" t="s">
        <v>777</v>
      </c>
      <c r="G1472" s="7" t="s">
        <v>72</v>
      </c>
      <c r="H1472" s="47" t="s">
        <v>211</v>
      </c>
      <c r="I1472" s="47" t="s">
        <v>212</v>
      </c>
      <c r="J1472" s="6">
        <v>70</v>
      </c>
      <c r="K1472" s="8" t="s">
        <v>20</v>
      </c>
      <c r="L1472" s="1" t="s">
        <v>838</v>
      </c>
      <c r="M1472" s="5">
        <v>610</v>
      </c>
      <c r="Q1472" s="3"/>
      <c r="R1472" s="3"/>
      <c r="S1472" s="3"/>
    </row>
    <row r="1473" spans="1:19" ht="15" x14ac:dyDescent="0.25">
      <c r="A1473" s="7" t="s">
        <v>16</v>
      </c>
      <c r="B1473" s="7" t="s">
        <v>372</v>
      </c>
      <c r="C1473" s="7" t="s">
        <v>373</v>
      </c>
      <c r="D1473" s="4">
        <v>11214624000470</v>
      </c>
      <c r="E1473" s="8" t="s">
        <v>841</v>
      </c>
      <c r="F1473" s="8" t="s">
        <v>70</v>
      </c>
      <c r="G1473" s="7" t="s">
        <v>71</v>
      </c>
      <c r="H1473" s="47" t="s">
        <v>211</v>
      </c>
      <c r="I1473" s="47" t="s">
        <v>212</v>
      </c>
      <c r="J1473" s="6">
        <v>70</v>
      </c>
      <c r="K1473" s="8" t="s">
        <v>20</v>
      </c>
      <c r="L1473" s="1" t="s">
        <v>841</v>
      </c>
      <c r="M1473" s="5">
        <v>100</v>
      </c>
      <c r="Q1473" s="3"/>
      <c r="R1473" s="3"/>
      <c r="S1473" s="3"/>
    </row>
    <row r="1474" spans="1:19" ht="15" x14ac:dyDescent="0.25">
      <c r="A1474" s="7" t="s">
        <v>16</v>
      </c>
      <c r="B1474" s="7" t="s">
        <v>372</v>
      </c>
      <c r="C1474" s="7" t="s">
        <v>373</v>
      </c>
      <c r="D1474" s="4">
        <v>11214624000470</v>
      </c>
      <c r="E1474" s="8" t="s">
        <v>841</v>
      </c>
      <c r="F1474" s="8" t="s">
        <v>70</v>
      </c>
      <c r="G1474" s="7" t="s">
        <v>71</v>
      </c>
      <c r="H1474" s="47" t="s">
        <v>211</v>
      </c>
      <c r="I1474" s="47" t="s">
        <v>212</v>
      </c>
      <c r="J1474" s="6">
        <v>73</v>
      </c>
      <c r="K1474" s="8" t="s">
        <v>26</v>
      </c>
      <c r="L1474" s="1" t="s">
        <v>841</v>
      </c>
      <c r="M1474" s="5">
        <v>192</v>
      </c>
      <c r="Q1474" s="3"/>
      <c r="R1474" s="3"/>
      <c r="S1474" s="3"/>
    </row>
    <row r="1475" spans="1:19" ht="15" x14ac:dyDescent="0.25">
      <c r="A1475" s="7" t="s">
        <v>16</v>
      </c>
      <c r="B1475" s="7" t="s">
        <v>372</v>
      </c>
      <c r="C1475" s="7" t="s">
        <v>373</v>
      </c>
      <c r="D1475" s="4">
        <v>11452240000143</v>
      </c>
      <c r="E1475" s="8" t="s">
        <v>844</v>
      </c>
      <c r="F1475" s="8" t="s">
        <v>70</v>
      </c>
      <c r="G1475" s="7" t="s">
        <v>71</v>
      </c>
      <c r="H1475" s="47" t="s">
        <v>211</v>
      </c>
      <c r="I1475" s="47" t="s">
        <v>212</v>
      </c>
      <c r="J1475" s="6">
        <v>70</v>
      </c>
      <c r="K1475" s="8" t="s">
        <v>20</v>
      </c>
      <c r="L1475" s="1" t="s">
        <v>844</v>
      </c>
      <c r="M1475" s="5">
        <v>100</v>
      </c>
      <c r="Q1475" s="3"/>
      <c r="R1475" s="3"/>
      <c r="S1475" s="3"/>
    </row>
    <row r="1476" spans="1:19" ht="15" x14ac:dyDescent="0.25">
      <c r="A1476" s="7" t="s">
        <v>16</v>
      </c>
      <c r="B1476" s="7" t="s">
        <v>372</v>
      </c>
      <c r="C1476" s="7" t="s">
        <v>373</v>
      </c>
      <c r="D1476" s="4">
        <v>11836436000131</v>
      </c>
      <c r="E1476" s="8" t="s">
        <v>1297</v>
      </c>
      <c r="F1476" s="8" t="s">
        <v>907</v>
      </c>
      <c r="G1476" s="7" t="s">
        <v>69</v>
      </c>
      <c r="H1476" s="47" t="s">
        <v>211</v>
      </c>
      <c r="I1476" s="47" t="s">
        <v>212</v>
      </c>
      <c r="J1476" s="6">
        <v>70</v>
      </c>
      <c r="K1476" s="8" t="s">
        <v>20</v>
      </c>
      <c r="L1476" s="1" t="s">
        <v>1297</v>
      </c>
      <c r="M1476" s="5">
        <v>25</v>
      </c>
      <c r="Q1476" s="3"/>
      <c r="R1476" s="3"/>
      <c r="S1476" s="3"/>
    </row>
    <row r="1477" spans="1:19" ht="15" x14ac:dyDescent="0.25">
      <c r="A1477" s="7" t="s">
        <v>16</v>
      </c>
      <c r="B1477" s="7" t="s">
        <v>372</v>
      </c>
      <c r="C1477" s="7" t="s">
        <v>373</v>
      </c>
      <c r="D1477" s="4">
        <v>12442737000496</v>
      </c>
      <c r="E1477" s="8" t="s">
        <v>865</v>
      </c>
      <c r="F1477" s="8" t="s">
        <v>742</v>
      </c>
      <c r="G1477" s="7" t="s">
        <v>91</v>
      </c>
      <c r="H1477" s="47" t="s">
        <v>211</v>
      </c>
      <c r="I1477" s="47" t="s">
        <v>212</v>
      </c>
      <c r="J1477" s="6">
        <v>70</v>
      </c>
      <c r="K1477" s="8" t="s">
        <v>20</v>
      </c>
      <c r="L1477" s="1" t="s">
        <v>865</v>
      </c>
      <c r="M1477" s="5">
        <v>350</v>
      </c>
      <c r="Q1477" s="3"/>
      <c r="R1477" s="3"/>
      <c r="S1477" s="3"/>
    </row>
    <row r="1478" spans="1:19" ht="15" x14ac:dyDescent="0.25">
      <c r="A1478" s="7" t="s">
        <v>16</v>
      </c>
      <c r="B1478" s="7" t="s">
        <v>372</v>
      </c>
      <c r="C1478" s="7" t="s">
        <v>373</v>
      </c>
      <c r="D1478" s="4">
        <v>13131370000100</v>
      </c>
      <c r="E1478" s="8" t="s">
        <v>870</v>
      </c>
      <c r="F1478" s="8" t="s">
        <v>84</v>
      </c>
      <c r="G1478" s="7" t="s">
        <v>85</v>
      </c>
      <c r="H1478" s="47" t="s">
        <v>211</v>
      </c>
      <c r="I1478" s="47" t="s">
        <v>212</v>
      </c>
      <c r="J1478" s="6">
        <v>73</v>
      </c>
      <c r="K1478" s="8" t="s">
        <v>26</v>
      </c>
      <c r="L1478" s="1" t="s">
        <v>870</v>
      </c>
      <c r="M1478" s="5">
        <v>150</v>
      </c>
      <c r="Q1478" s="3"/>
      <c r="R1478" s="3"/>
      <c r="S1478" s="3"/>
    </row>
    <row r="1479" spans="1:19" ht="15" x14ac:dyDescent="0.25">
      <c r="A1479" s="7" t="s">
        <v>16</v>
      </c>
      <c r="B1479" s="7" t="s">
        <v>372</v>
      </c>
      <c r="C1479" s="7" t="s">
        <v>373</v>
      </c>
      <c r="D1479" s="4">
        <v>13284872000170</v>
      </c>
      <c r="E1479" s="8" t="s">
        <v>872</v>
      </c>
      <c r="F1479" s="8" t="s">
        <v>873</v>
      </c>
      <c r="G1479" s="7" t="s">
        <v>74</v>
      </c>
      <c r="H1479" s="47" t="s">
        <v>211</v>
      </c>
      <c r="I1479" s="47" t="s">
        <v>212</v>
      </c>
      <c r="J1479" s="6">
        <v>70</v>
      </c>
      <c r="K1479" s="8" t="s">
        <v>20</v>
      </c>
      <c r="L1479" s="1" t="s">
        <v>872</v>
      </c>
      <c r="M1479" s="5">
        <v>50</v>
      </c>
      <c r="Q1479" s="3"/>
      <c r="R1479" s="3"/>
      <c r="S1479" s="3"/>
    </row>
    <row r="1480" spans="1:19" ht="15" x14ac:dyDescent="0.25">
      <c r="A1480" s="7" t="s">
        <v>16</v>
      </c>
      <c r="B1480" s="7" t="s">
        <v>372</v>
      </c>
      <c r="C1480" s="7" t="s">
        <v>373</v>
      </c>
      <c r="D1480" s="4">
        <v>15016827000160</v>
      </c>
      <c r="E1480" s="8" t="s">
        <v>877</v>
      </c>
      <c r="F1480" s="8" t="s">
        <v>772</v>
      </c>
      <c r="G1480" s="7" t="s">
        <v>69</v>
      </c>
      <c r="H1480" s="47" t="s">
        <v>211</v>
      </c>
      <c r="I1480" s="47" t="s">
        <v>212</v>
      </c>
      <c r="J1480" s="6">
        <v>64</v>
      </c>
      <c r="K1480" s="8" t="s">
        <v>25</v>
      </c>
      <c r="L1480" s="1" t="s">
        <v>877</v>
      </c>
      <c r="M1480" s="5">
        <v>13</v>
      </c>
      <c r="Q1480" s="3"/>
      <c r="R1480" s="3"/>
      <c r="S1480" s="3"/>
    </row>
    <row r="1481" spans="1:19" ht="15" x14ac:dyDescent="0.25">
      <c r="A1481" s="7" t="s">
        <v>16</v>
      </c>
      <c r="B1481" s="7" t="s">
        <v>372</v>
      </c>
      <c r="C1481" s="7" t="s">
        <v>373</v>
      </c>
      <c r="D1481" s="4">
        <v>15126437003240</v>
      </c>
      <c r="E1481" s="8" t="s">
        <v>885</v>
      </c>
      <c r="F1481" s="8" t="s">
        <v>130</v>
      </c>
      <c r="G1481" s="7" t="s">
        <v>56</v>
      </c>
      <c r="H1481" s="47" t="s">
        <v>211</v>
      </c>
      <c r="I1481" s="47" t="s">
        <v>212</v>
      </c>
      <c r="J1481" s="6">
        <v>70</v>
      </c>
      <c r="K1481" s="8" t="s">
        <v>20</v>
      </c>
      <c r="L1481" s="1" t="s">
        <v>885</v>
      </c>
      <c r="M1481" s="5">
        <v>125</v>
      </c>
      <c r="Q1481" s="3"/>
      <c r="R1481" s="3"/>
      <c r="S1481" s="3"/>
    </row>
    <row r="1482" spans="1:19" ht="15" x14ac:dyDescent="0.25">
      <c r="A1482" s="7" t="s">
        <v>16</v>
      </c>
      <c r="B1482" s="7" t="s">
        <v>372</v>
      </c>
      <c r="C1482" s="7" t="s">
        <v>373</v>
      </c>
      <c r="D1482" s="4">
        <v>16064313000577</v>
      </c>
      <c r="E1482" s="8" t="s">
        <v>898</v>
      </c>
      <c r="F1482" s="8" t="s">
        <v>84</v>
      </c>
      <c r="G1482" s="7" t="s">
        <v>85</v>
      </c>
      <c r="H1482" s="47" t="s">
        <v>211</v>
      </c>
      <c r="I1482" s="47" t="s">
        <v>212</v>
      </c>
      <c r="J1482" s="6">
        <v>73</v>
      </c>
      <c r="K1482" s="8" t="s">
        <v>26</v>
      </c>
      <c r="L1482" s="1" t="s">
        <v>898</v>
      </c>
      <c r="M1482" s="5">
        <v>42</v>
      </c>
      <c r="Q1482" s="3"/>
      <c r="R1482" s="3"/>
      <c r="S1482" s="3"/>
    </row>
    <row r="1483" spans="1:19" ht="15" x14ac:dyDescent="0.25">
      <c r="A1483" s="7" t="s">
        <v>16</v>
      </c>
      <c r="B1483" s="7" t="s">
        <v>372</v>
      </c>
      <c r="C1483" s="7" t="s">
        <v>373</v>
      </c>
      <c r="D1483" s="4">
        <v>17239624000169</v>
      </c>
      <c r="E1483" s="8" t="s">
        <v>1394</v>
      </c>
      <c r="F1483" s="8" t="s">
        <v>1395</v>
      </c>
      <c r="G1483" s="7" t="s">
        <v>59</v>
      </c>
      <c r="H1483" s="47" t="s">
        <v>211</v>
      </c>
      <c r="I1483" s="47" t="s">
        <v>212</v>
      </c>
      <c r="J1483" s="6">
        <v>64</v>
      </c>
      <c r="K1483" s="8" t="s">
        <v>25</v>
      </c>
      <c r="L1483" s="1" t="s">
        <v>1394</v>
      </c>
      <c r="M1483" s="5">
        <v>29</v>
      </c>
      <c r="Q1483" s="3"/>
      <c r="R1483" s="3"/>
      <c r="S1483" s="3"/>
    </row>
    <row r="1484" spans="1:19" ht="15" x14ac:dyDescent="0.25">
      <c r="A1484" s="7" t="s">
        <v>16</v>
      </c>
      <c r="B1484" s="7" t="s">
        <v>372</v>
      </c>
      <c r="C1484" s="7" t="s">
        <v>373</v>
      </c>
      <c r="D1484" s="4">
        <v>18034143000180</v>
      </c>
      <c r="E1484" s="8" t="s">
        <v>1396</v>
      </c>
      <c r="F1484" s="8" t="s">
        <v>753</v>
      </c>
      <c r="G1484" s="7" t="s">
        <v>59</v>
      </c>
      <c r="H1484" s="47" t="s">
        <v>211</v>
      </c>
      <c r="I1484" s="47" t="s">
        <v>212</v>
      </c>
      <c r="J1484" s="6">
        <v>70</v>
      </c>
      <c r="K1484" s="8" t="s">
        <v>20</v>
      </c>
      <c r="L1484" s="1" t="s">
        <v>1396</v>
      </c>
      <c r="M1484" s="5">
        <v>255</v>
      </c>
      <c r="Q1484" s="3"/>
      <c r="R1484" s="3"/>
      <c r="S1484" s="3"/>
    </row>
    <row r="1485" spans="1:19" ht="15" x14ac:dyDescent="0.25">
      <c r="A1485" s="7" t="s">
        <v>16</v>
      </c>
      <c r="B1485" s="7" t="s">
        <v>372</v>
      </c>
      <c r="C1485" s="7" t="s">
        <v>373</v>
      </c>
      <c r="D1485" s="4">
        <v>29435005009851</v>
      </c>
      <c r="E1485" s="8" t="s">
        <v>913</v>
      </c>
      <c r="F1485" s="8" t="s">
        <v>62</v>
      </c>
      <c r="G1485" s="7" t="s">
        <v>63</v>
      </c>
      <c r="H1485" s="47" t="s">
        <v>211</v>
      </c>
      <c r="I1485" s="47" t="s">
        <v>212</v>
      </c>
      <c r="J1485" s="6">
        <v>62</v>
      </c>
      <c r="K1485" s="8" t="s">
        <v>27</v>
      </c>
      <c r="L1485" s="1" t="s">
        <v>913</v>
      </c>
      <c r="M1485" s="5">
        <v>8</v>
      </c>
      <c r="Q1485" s="3"/>
      <c r="R1485" s="3"/>
      <c r="S1485" s="3"/>
    </row>
    <row r="1486" spans="1:19" ht="15" x14ac:dyDescent="0.25">
      <c r="A1486" s="7" t="s">
        <v>16</v>
      </c>
      <c r="B1486" s="7" t="s">
        <v>17</v>
      </c>
      <c r="C1486" s="7" t="s">
        <v>18</v>
      </c>
      <c r="D1486" s="4">
        <v>5867015000175</v>
      </c>
      <c r="E1486" s="8" t="s">
        <v>804</v>
      </c>
      <c r="F1486" s="8" t="s">
        <v>76</v>
      </c>
      <c r="G1486" s="7" t="s">
        <v>77</v>
      </c>
      <c r="H1486" s="47" t="s">
        <v>211</v>
      </c>
      <c r="I1486" s="47" t="s">
        <v>212</v>
      </c>
      <c r="J1486" s="6">
        <v>73</v>
      </c>
      <c r="K1486" s="8" t="s">
        <v>26</v>
      </c>
      <c r="L1486" s="1" t="s">
        <v>804</v>
      </c>
      <c r="M1486" s="5">
        <v>8</v>
      </c>
      <c r="Q1486" s="3"/>
      <c r="R1486" s="3"/>
      <c r="S1486" s="3"/>
    </row>
    <row r="1487" spans="1:19" ht="15" x14ac:dyDescent="0.25">
      <c r="A1487" s="7" t="s">
        <v>16</v>
      </c>
      <c r="B1487" s="7" t="s">
        <v>21</v>
      </c>
      <c r="C1487" s="7" t="s">
        <v>18</v>
      </c>
      <c r="D1487" s="4">
        <v>5867015000175</v>
      </c>
      <c r="E1487" s="8" t="s">
        <v>804</v>
      </c>
      <c r="F1487" s="8" t="s">
        <v>76</v>
      </c>
      <c r="G1487" s="7" t="s">
        <v>77</v>
      </c>
      <c r="H1487" s="47" t="s">
        <v>211</v>
      </c>
      <c r="I1487" s="47" t="s">
        <v>212</v>
      </c>
      <c r="J1487" s="6">
        <v>73</v>
      </c>
      <c r="K1487" s="8" t="s">
        <v>26</v>
      </c>
      <c r="L1487" s="1" t="s">
        <v>804</v>
      </c>
      <c r="M1487" s="5">
        <v>12</v>
      </c>
      <c r="Q1487" s="3"/>
      <c r="R1487" s="3"/>
      <c r="S1487" s="3"/>
    </row>
    <row r="1488" spans="1:19" ht="15" x14ac:dyDescent="0.25">
      <c r="A1488" s="7" t="s">
        <v>16</v>
      </c>
      <c r="B1488" s="7" t="s">
        <v>17</v>
      </c>
      <c r="C1488" s="7" t="s">
        <v>18</v>
      </c>
      <c r="D1488" s="4">
        <v>5868278000280</v>
      </c>
      <c r="E1488" s="8" t="s">
        <v>805</v>
      </c>
      <c r="F1488" s="8" t="s">
        <v>76</v>
      </c>
      <c r="G1488" s="7" t="s">
        <v>77</v>
      </c>
      <c r="H1488" s="47" t="s">
        <v>211</v>
      </c>
      <c r="I1488" s="47" t="s">
        <v>212</v>
      </c>
      <c r="J1488" s="6">
        <v>64</v>
      </c>
      <c r="K1488" s="8" t="s">
        <v>25</v>
      </c>
      <c r="L1488" s="1" t="s">
        <v>805</v>
      </c>
      <c r="M1488" s="5">
        <v>20</v>
      </c>
      <c r="Q1488" s="3"/>
      <c r="R1488" s="3"/>
      <c r="S1488" s="3"/>
    </row>
    <row r="1489" spans="1:82" ht="15" x14ac:dyDescent="0.25">
      <c r="A1489" s="7" t="s">
        <v>16</v>
      </c>
      <c r="B1489" s="7" t="s">
        <v>17</v>
      </c>
      <c r="C1489" s="7" t="s">
        <v>18</v>
      </c>
      <c r="D1489" s="4">
        <v>5868278000280</v>
      </c>
      <c r="E1489" s="8" t="s">
        <v>805</v>
      </c>
      <c r="F1489" s="8" t="s">
        <v>76</v>
      </c>
      <c r="G1489" s="7" t="s">
        <v>77</v>
      </c>
      <c r="H1489" s="47" t="s">
        <v>211</v>
      </c>
      <c r="I1489" s="47" t="s">
        <v>212</v>
      </c>
      <c r="J1489" s="6">
        <v>70</v>
      </c>
      <c r="K1489" s="8" t="s">
        <v>20</v>
      </c>
      <c r="L1489" s="1" t="s">
        <v>805</v>
      </c>
      <c r="M1489" s="5">
        <v>80</v>
      </c>
    </row>
    <row r="1490" spans="1:82" ht="15" x14ac:dyDescent="0.25">
      <c r="A1490" s="7" t="s">
        <v>16</v>
      </c>
      <c r="B1490" s="7" t="s">
        <v>17</v>
      </c>
      <c r="C1490" s="7" t="s">
        <v>18</v>
      </c>
      <c r="D1490" s="4">
        <v>5868278000280</v>
      </c>
      <c r="E1490" s="8" t="s">
        <v>805</v>
      </c>
      <c r="F1490" s="8" t="s">
        <v>76</v>
      </c>
      <c r="G1490" s="7" t="s">
        <v>77</v>
      </c>
      <c r="H1490" s="47" t="s">
        <v>211</v>
      </c>
      <c r="I1490" s="47" t="s">
        <v>212</v>
      </c>
      <c r="J1490" s="6">
        <v>73</v>
      </c>
      <c r="K1490" s="8" t="s">
        <v>26</v>
      </c>
      <c r="L1490" s="1" t="s">
        <v>805</v>
      </c>
      <c r="M1490" s="5">
        <v>16</v>
      </c>
    </row>
    <row r="1491" spans="1:82" ht="15" x14ac:dyDescent="0.25">
      <c r="A1491" s="7" t="s">
        <v>16</v>
      </c>
      <c r="B1491" s="7" t="s">
        <v>21</v>
      </c>
      <c r="C1491" s="7" t="s">
        <v>18</v>
      </c>
      <c r="D1491" s="4">
        <v>5868278000280</v>
      </c>
      <c r="E1491" s="8" t="s">
        <v>805</v>
      </c>
      <c r="F1491" s="8" t="s">
        <v>76</v>
      </c>
      <c r="G1491" s="7" t="s">
        <v>77</v>
      </c>
      <c r="H1491" s="47" t="s">
        <v>211</v>
      </c>
      <c r="I1491" s="47" t="s">
        <v>212</v>
      </c>
      <c r="J1491" s="6">
        <v>62</v>
      </c>
      <c r="K1491" s="8" t="s">
        <v>27</v>
      </c>
      <c r="L1491" s="1" t="s">
        <v>805</v>
      </c>
      <c r="M1491" s="5">
        <v>10</v>
      </c>
    </row>
    <row r="1492" spans="1:82" ht="15" x14ac:dyDescent="0.25">
      <c r="A1492" s="7" t="s">
        <v>16</v>
      </c>
      <c r="B1492" s="7" t="s">
        <v>21</v>
      </c>
      <c r="C1492" s="7" t="s">
        <v>18</v>
      </c>
      <c r="D1492" s="4">
        <v>5868278000280</v>
      </c>
      <c r="E1492" s="8" t="s">
        <v>805</v>
      </c>
      <c r="F1492" s="8" t="s">
        <v>76</v>
      </c>
      <c r="G1492" s="7" t="s">
        <v>77</v>
      </c>
      <c r="H1492" s="47" t="s">
        <v>211</v>
      </c>
      <c r="I1492" s="47" t="s">
        <v>212</v>
      </c>
      <c r="J1492" s="6">
        <v>70</v>
      </c>
      <c r="K1492" s="8" t="s">
        <v>20</v>
      </c>
      <c r="L1492" s="1" t="s">
        <v>805</v>
      </c>
      <c r="M1492" s="5">
        <v>220</v>
      </c>
    </row>
    <row r="1493" spans="1:82" ht="15" x14ac:dyDescent="0.25">
      <c r="A1493" s="7" t="s">
        <v>16</v>
      </c>
      <c r="B1493" s="7" t="s">
        <v>21</v>
      </c>
      <c r="C1493" s="7" t="s">
        <v>18</v>
      </c>
      <c r="D1493" s="4">
        <v>5868278000280</v>
      </c>
      <c r="E1493" s="8" t="s">
        <v>805</v>
      </c>
      <c r="F1493" s="8" t="s">
        <v>76</v>
      </c>
      <c r="G1493" s="7" t="s">
        <v>77</v>
      </c>
      <c r="H1493" s="47" t="s">
        <v>211</v>
      </c>
      <c r="I1493" s="47" t="s">
        <v>212</v>
      </c>
      <c r="J1493" s="6">
        <v>73</v>
      </c>
      <c r="K1493" s="8" t="s">
        <v>26</v>
      </c>
      <c r="L1493" s="1" t="s">
        <v>805</v>
      </c>
      <c r="M1493" s="5">
        <v>46</v>
      </c>
    </row>
    <row r="1494" spans="1:82" ht="15" x14ac:dyDescent="0.25">
      <c r="A1494" s="7" t="s">
        <v>16</v>
      </c>
      <c r="B1494" s="7" t="s">
        <v>17</v>
      </c>
      <c r="C1494" s="7" t="s">
        <v>18</v>
      </c>
      <c r="D1494" s="4">
        <v>5874946000109</v>
      </c>
      <c r="E1494" s="8" t="s">
        <v>806</v>
      </c>
      <c r="F1494" s="8" t="s">
        <v>76</v>
      </c>
      <c r="G1494" s="7" t="s">
        <v>77</v>
      </c>
      <c r="H1494" s="47" t="s">
        <v>211</v>
      </c>
      <c r="I1494" s="47" t="s">
        <v>212</v>
      </c>
      <c r="J1494" s="6">
        <v>62</v>
      </c>
      <c r="K1494" s="8" t="s">
        <v>27</v>
      </c>
      <c r="L1494" s="1" t="s">
        <v>806</v>
      </c>
      <c r="M1494" s="5">
        <v>6</v>
      </c>
    </row>
    <row r="1495" spans="1:82" ht="15" x14ac:dyDescent="0.25">
      <c r="A1495" s="7" t="s">
        <v>16</v>
      </c>
      <c r="B1495" s="7" t="s">
        <v>17</v>
      </c>
      <c r="C1495" s="7" t="s">
        <v>18</v>
      </c>
      <c r="D1495" s="4">
        <v>5874946000109</v>
      </c>
      <c r="E1495" s="8" t="s">
        <v>806</v>
      </c>
      <c r="F1495" s="8" t="s">
        <v>76</v>
      </c>
      <c r="G1495" s="7" t="s">
        <v>77</v>
      </c>
      <c r="H1495" s="47" t="s">
        <v>211</v>
      </c>
      <c r="I1495" s="47" t="s">
        <v>212</v>
      </c>
      <c r="J1495" s="6">
        <v>64</v>
      </c>
      <c r="K1495" s="8" t="s">
        <v>25</v>
      </c>
      <c r="L1495" s="1" t="s">
        <v>806</v>
      </c>
      <c r="M1495" s="5">
        <v>2</v>
      </c>
      <c r="N1495" s="15"/>
      <c r="O1495" s="15"/>
      <c r="P1495" s="15"/>
      <c r="Q1495" s="15"/>
      <c r="R1495" s="15"/>
      <c r="S1495" s="15"/>
    </row>
    <row r="1496" spans="1:82" ht="15" x14ac:dyDescent="0.25">
      <c r="A1496" s="7" t="s">
        <v>16</v>
      </c>
      <c r="B1496" s="7" t="s">
        <v>17</v>
      </c>
      <c r="C1496" s="7" t="s">
        <v>18</v>
      </c>
      <c r="D1496" s="4">
        <v>7272404000183</v>
      </c>
      <c r="E1496" s="8" t="s">
        <v>817</v>
      </c>
      <c r="F1496" s="8" t="s">
        <v>76</v>
      </c>
      <c r="G1496" s="7" t="s">
        <v>77</v>
      </c>
      <c r="H1496" s="47" t="s">
        <v>211</v>
      </c>
      <c r="I1496" s="47" t="s">
        <v>212</v>
      </c>
      <c r="J1496" s="6">
        <v>70</v>
      </c>
      <c r="K1496" s="8" t="s">
        <v>20</v>
      </c>
      <c r="L1496" s="1" t="s">
        <v>817</v>
      </c>
      <c r="M1496" s="5">
        <v>120</v>
      </c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  <c r="AN1496" s="15"/>
      <c r="AO1496" s="15"/>
      <c r="AP1496" s="15"/>
      <c r="AQ1496" s="15"/>
      <c r="AR1496" s="15"/>
      <c r="AS1496" s="15"/>
      <c r="AT1496" s="15"/>
      <c r="AU1496" s="15"/>
      <c r="AV1496" s="15"/>
      <c r="AW1496" s="15"/>
      <c r="AX1496" s="15"/>
      <c r="AY1496" s="15"/>
      <c r="AZ1496" s="15"/>
      <c r="BA1496" s="15"/>
      <c r="BB1496" s="15"/>
      <c r="BC1496" s="15"/>
      <c r="BD1496" s="15"/>
      <c r="BE1496" s="15"/>
      <c r="BF1496" s="15"/>
      <c r="BG1496" s="15"/>
      <c r="BH1496" s="15"/>
      <c r="BI1496" s="15"/>
      <c r="BJ1496" s="15"/>
      <c r="BK1496" s="15"/>
      <c r="BL1496" s="15"/>
      <c r="BM1496" s="15"/>
      <c r="BN1496" s="15"/>
      <c r="BO1496" s="15"/>
      <c r="BP1496" s="15"/>
      <c r="BQ1496" s="15"/>
      <c r="BR1496" s="15"/>
      <c r="BS1496" s="15"/>
      <c r="BT1496" s="15"/>
      <c r="BU1496" s="15"/>
      <c r="BV1496" s="15"/>
      <c r="BW1496" s="15"/>
      <c r="BX1496" s="15"/>
      <c r="BY1496" s="15"/>
      <c r="BZ1496" s="15"/>
      <c r="CA1496" s="15"/>
      <c r="CB1496" s="15"/>
      <c r="CC1496" s="15"/>
      <c r="CD1496" s="15"/>
    </row>
    <row r="1497" spans="1:82" ht="15" x14ac:dyDescent="0.25">
      <c r="A1497" s="7" t="s">
        <v>16</v>
      </c>
      <c r="B1497" s="7" t="s">
        <v>17</v>
      </c>
      <c r="C1497" s="7" t="s">
        <v>18</v>
      </c>
      <c r="D1497" s="4">
        <v>7272636000212</v>
      </c>
      <c r="E1497" s="8" t="s">
        <v>818</v>
      </c>
      <c r="F1497" s="8" t="s">
        <v>76</v>
      </c>
      <c r="G1497" s="7" t="s">
        <v>77</v>
      </c>
      <c r="H1497" s="47" t="s">
        <v>211</v>
      </c>
      <c r="I1497" s="47" t="s">
        <v>212</v>
      </c>
      <c r="J1497" s="6">
        <v>62</v>
      </c>
      <c r="K1497" s="8" t="s">
        <v>27</v>
      </c>
      <c r="L1497" s="1" t="s">
        <v>818</v>
      </c>
      <c r="M1497" s="5">
        <v>30</v>
      </c>
      <c r="Q1497" s="3"/>
      <c r="R1497" s="3"/>
      <c r="S1497" s="3"/>
    </row>
    <row r="1498" spans="1:82" ht="15" x14ac:dyDescent="0.25">
      <c r="A1498" s="7" t="s">
        <v>16</v>
      </c>
      <c r="B1498" s="7" t="s">
        <v>17</v>
      </c>
      <c r="C1498" s="7" t="s">
        <v>18</v>
      </c>
      <c r="D1498" s="4">
        <v>7835044000180</v>
      </c>
      <c r="E1498" s="8" t="s">
        <v>822</v>
      </c>
      <c r="F1498" s="8" t="s">
        <v>76</v>
      </c>
      <c r="G1498" s="7" t="s">
        <v>77</v>
      </c>
      <c r="H1498" s="47" t="s">
        <v>211</v>
      </c>
      <c r="I1498" s="47" t="s">
        <v>212</v>
      </c>
      <c r="J1498" s="6">
        <v>62</v>
      </c>
      <c r="K1498" s="8" t="s">
        <v>27</v>
      </c>
      <c r="L1498" s="1" t="s">
        <v>822</v>
      </c>
      <c r="M1498" s="5">
        <v>10</v>
      </c>
      <c r="AU1498" s="4"/>
      <c r="AW1498" s="4"/>
    </row>
    <row r="1499" spans="1:82" ht="15" x14ac:dyDescent="0.25">
      <c r="A1499" s="7" t="s">
        <v>16</v>
      </c>
      <c r="B1499" s="7" t="s">
        <v>21</v>
      </c>
      <c r="C1499" s="7" t="s">
        <v>18</v>
      </c>
      <c r="D1499" s="4">
        <v>5874946000281</v>
      </c>
      <c r="E1499" s="8" t="s">
        <v>807</v>
      </c>
      <c r="F1499" s="8" t="s">
        <v>76</v>
      </c>
      <c r="G1499" s="7" t="s">
        <v>77</v>
      </c>
      <c r="H1499" s="47" t="s">
        <v>211</v>
      </c>
      <c r="I1499" s="47" t="s">
        <v>212</v>
      </c>
      <c r="J1499" s="6">
        <v>62</v>
      </c>
      <c r="K1499" s="8" t="s">
        <v>27</v>
      </c>
      <c r="L1499" s="1" t="s">
        <v>807</v>
      </c>
      <c r="M1499" s="5">
        <v>5</v>
      </c>
    </row>
    <row r="1500" spans="1:82" ht="15" x14ac:dyDescent="0.25">
      <c r="A1500" s="7" t="s">
        <v>16</v>
      </c>
      <c r="B1500" s="7" t="s">
        <v>21</v>
      </c>
      <c r="C1500" s="7" t="s">
        <v>18</v>
      </c>
      <c r="D1500" s="4">
        <v>5874946000281</v>
      </c>
      <c r="E1500" s="8" t="s">
        <v>807</v>
      </c>
      <c r="F1500" s="8" t="s">
        <v>76</v>
      </c>
      <c r="G1500" s="7" t="s">
        <v>77</v>
      </c>
      <c r="H1500" s="47" t="s">
        <v>211</v>
      </c>
      <c r="I1500" s="47" t="s">
        <v>212</v>
      </c>
      <c r="J1500" s="6">
        <v>64</v>
      </c>
      <c r="K1500" s="8" t="s">
        <v>25</v>
      </c>
      <c r="L1500" s="1" t="s">
        <v>807</v>
      </c>
      <c r="M1500" s="5">
        <v>11</v>
      </c>
    </row>
    <row r="1501" spans="1:82" ht="15" x14ac:dyDescent="0.25">
      <c r="A1501" s="7" t="s">
        <v>16</v>
      </c>
      <c r="B1501" s="7" t="s">
        <v>17</v>
      </c>
      <c r="C1501" s="7" t="s">
        <v>18</v>
      </c>
      <c r="D1501" s="4">
        <v>12361267011802</v>
      </c>
      <c r="E1501" s="8" t="s">
        <v>863</v>
      </c>
      <c r="F1501" s="8" t="s">
        <v>76</v>
      </c>
      <c r="G1501" s="7" t="s">
        <v>77</v>
      </c>
      <c r="H1501" s="47" t="s">
        <v>211</v>
      </c>
      <c r="I1501" s="47" t="s">
        <v>212</v>
      </c>
      <c r="J1501" s="6">
        <v>62</v>
      </c>
      <c r="K1501" s="8" t="s">
        <v>27</v>
      </c>
      <c r="L1501" s="1" t="s">
        <v>863</v>
      </c>
      <c r="M1501" s="5">
        <v>6</v>
      </c>
    </row>
    <row r="1502" spans="1:82" ht="15" x14ac:dyDescent="0.25">
      <c r="A1502" s="7" t="s">
        <v>16</v>
      </c>
      <c r="B1502" s="7" t="s">
        <v>17</v>
      </c>
      <c r="C1502" s="7" t="s">
        <v>18</v>
      </c>
      <c r="D1502" s="4">
        <v>12361267011802</v>
      </c>
      <c r="E1502" s="8" t="s">
        <v>863</v>
      </c>
      <c r="F1502" s="8" t="s">
        <v>76</v>
      </c>
      <c r="G1502" s="7" t="s">
        <v>77</v>
      </c>
      <c r="H1502" s="47" t="s">
        <v>211</v>
      </c>
      <c r="I1502" s="47" t="s">
        <v>212</v>
      </c>
      <c r="J1502" s="6">
        <v>64</v>
      </c>
      <c r="K1502" s="8" t="s">
        <v>25</v>
      </c>
      <c r="L1502" s="1" t="s">
        <v>863</v>
      </c>
      <c r="M1502" s="5">
        <v>4</v>
      </c>
    </row>
    <row r="1503" spans="1:82" ht="15" x14ac:dyDescent="0.25">
      <c r="A1503" s="7" t="s">
        <v>16</v>
      </c>
      <c r="B1503" s="7" t="s">
        <v>17</v>
      </c>
      <c r="C1503" s="7" t="s">
        <v>18</v>
      </c>
      <c r="D1503" s="4">
        <v>12568570000161</v>
      </c>
      <c r="E1503" s="8" t="s">
        <v>866</v>
      </c>
      <c r="F1503" s="8" t="s">
        <v>76</v>
      </c>
      <c r="G1503" s="7" t="s">
        <v>77</v>
      </c>
      <c r="H1503" s="47" t="s">
        <v>211</v>
      </c>
      <c r="I1503" s="47" t="s">
        <v>212</v>
      </c>
      <c r="J1503" s="6">
        <v>70</v>
      </c>
      <c r="K1503" s="8" t="s">
        <v>20</v>
      </c>
      <c r="L1503" s="1" t="s">
        <v>866</v>
      </c>
      <c r="M1503" s="5">
        <v>130</v>
      </c>
    </row>
    <row r="1504" spans="1:82" ht="15" x14ac:dyDescent="0.25">
      <c r="A1504" s="7" t="s">
        <v>16</v>
      </c>
      <c r="B1504" s="7" t="s">
        <v>21</v>
      </c>
      <c r="C1504" s="7" t="s">
        <v>18</v>
      </c>
      <c r="D1504" s="4">
        <v>12568570000161</v>
      </c>
      <c r="E1504" s="8" t="s">
        <v>866</v>
      </c>
      <c r="F1504" s="8" t="s">
        <v>76</v>
      </c>
      <c r="G1504" s="7" t="s">
        <v>77</v>
      </c>
      <c r="H1504" s="47" t="s">
        <v>211</v>
      </c>
      <c r="I1504" s="47" t="s">
        <v>212</v>
      </c>
      <c r="J1504" s="6">
        <v>70</v>
      </c>
      <c r="K1504" s="8" t="s">
        <v>20</v>
      </c>
      <c r="L1504" s="1" t="s">
        <v>866</v>
      </c>
      <c r="M1504" s="5">
        <v>225</v>
      </c>
    </row>
    <row r="1505" spans="1:13" ht="15" x14ac:dyDescent="0.25">
      <c r="A1505" s="7" t="s">
        <v>16</v>
      </c>
      <c r="B1505" s="7" t="s">
        <v>21</v>
      </c>
      <c r="C1505" s="7" t="s">
        <v>18</v>
      </c>
      <c r="D1505" s="4">
        <v>7245269000187</v>
      </c>
      <c r="E1505" s="8" t="s">
        <v>816</v>
      </c>
      <c r="F1505" s="8" t="s">
        <v>76</v>
      </c>
      <c r="G1505" s="7" t="s">
        <v>77</v>
      </c>
      <c r="H1505" s="47" t="s">
        <v>211</v>
      </c>
      <c r="I1505" s="47" t="s">
        <v>212</v>
      </c>
      <c r="J1505" s="6">
        <v>64</v>
      </c>
      <c r="K1505" s="8" t="s">
        <v>25</v>
      </c>
      <c r="L1505" s="1" t="s">
        <v>816</v>
      </c>
      <c r="M1505" s="5">
        <v>7</v>
      </c>
    </row>
    <row r="1506" spans="1:13" ht="15" x14ac:dyDescent="0.25">
      <c r="A1506" s="7" t="s">
        <v>16</v>
      </c>
      <c r="B1506" s="7" t="s">
        <v>17</v>
      </c>
      <c r="C1506" s="7" t="s">
        <v>18</v>
      </c>
      <c r="D1506" s="4">
        <v>29435005007484</v>
      </c>
      <c r="E1506" s="8" t="s">
        <v>912</v>
      </c>
      <c r="F1506" s="8" t="s">
        <v>76</v>
      </c>
      <c r="G1506" s="7" t="s">
        <v>77</v>
      </c>
      <c r="H1506" s="47" t="s">
        <v>211</v>
      </c>
      <c r="I1506" s="47" t="s">
        <v>212</v>
      </c>
      <c r="J1506" s="6">
        <v>62</v>
      </c>
      <c r="K1506" s="8" t="s">
        <v>27</v>
      </c>
      <c r="L1506" s="1" t="s">
        <v>912</v>
      </c>
      <c r="M1506" s="5">
        <v>7</v>
      </c>
    </row>
    <row r="1507" spans="1:13" ht="15" x14ac:dyDescent="0.25">
      <c r="A1507" s="7" t="s">
        <v>16</v>
      </c>
      <c r="B1507" s="7" t="s">
        <v>17</v>
      </c>
      <c r="C1507" s="7" t="s">
        <v>18</v>
      </c>
      <c r="D1507" s="4">
        <v>29435005007484</v>
      </c>
      <c r="E1507" s="8" t="s">
        <v>912</v>
      </c>
      <c r="F1507" s="8" t="s">
        <v>76</v>
      </c>
      <c r="G1507" s="7" t="s">
        <v>77</v>
      </c>
      <c r="H1507" s="47" t="s">
        <v>211</v>
      </c>
      <c r="I1507" s="47" t="s">
        <v>212</v>
      </c>
      <c r="J1507" s="6">
        <v>64</v>
      </c>
      <c r="K1507" s="8" t="s">
        <v>25</v>
      </c>
      <c r="L1507" s="1" t="s">
        <v>912</v>
      </c>
      <c r="M1507" s="5">
        <v>36</v>
      </c>
    </row>
    <row r="1508" spans="1:13" ht="15" x14ac:dyDescent="0.25">
      <c r="A1508" s="7" t="s">
        <v>16</v>
      </c>
      <c r="B1508" s="7" t="s">
        <v>17</v>
      </c>
      <c r="C1508" s="7" t="s">
        <v>18</v>
      </c>
      <c r="D1508" s="4">
        <v>29435005007484</v>
      </c>
      <c r="E1508" s="8" t="s">
        <v>912</v>
      </c>
      <c r="F1508" s="8" t="s">
        <v>76</v>
      </c>
      <c r="G1508" s="7" t="s">
        <v>77</v>
      </c>
      <c r="H1508" s="47" t="s">
        <v>211</v>
      </c>
      <c r="I1508" s="47" t="s">
        <v>212</v>
      </c>
      <c r="J1508" s="6">
        <v>70</v>
      </c>
      <c r="K1508" s="8" t="s">
        <v>20</v>
      </c>
      <c r="L1508" s="1" t="s">
        <v>912</v>
      </c>
      <c r="M1508" s="5">
        <v>15</v>
      </c>
    </row>
    <row r="1509" spans="1:13" ht="15" x14ac:dyDescent="0.25">
      <c r="A1509" s="7" t="s">
        <v>16</v>
      </c>
      <c r="B1509" s="7" t="s">
        <v>21</v>
      </c>
      <c r="C1509" s="7" t="s">
        <v>18</v>
      </c>
      <c r="D1509" s="4">
        <v>29435005007484</v>
      </c>
      <c r="E1509" s="8" t="s">
        <v>912</v>
      </c>
      <c r="F1509" s="8" t="s">
        <v>76</v>
      </c>
      <c r="G1509" s="7" t="s">
        <v>77</v>
      </c>
      <c r="H1509" s="47" t="s">
        <v>211</v>
      </c>
      <c r="I1509" s="47" t="s">
        <v>212</v>
      </c>
      <c r="J1509" s="6">
        <v>70</v>
      </c>
      <c r="K1509" s="8" t="s">
        <v>20</v>
      </c>
      <c r="L1509" s="1" t="s">
        <v>912</v>
      </c>
      <c r="M1509" s="5">
        <v>100</v>
      </c>
    </row>
    <row r="1510" spans="1:13" ht="15" x14ac:dyDescent="0.25">
      <c r="A1510" s="7" t="s">
        <v>16</v>
      </c>
      <c r="B1510" s="7" t="s">
        <v>21</v>
      </c>
      <c r="C1510" s="7" t="s">
        <v>18</v>
      </c>
      <c r="D1510" s="4">
        <v>11794674000121</v>
      </c>
      <c r="E1510" s="8" t="s">
        <v>845</v>
      </c>
      <c r="F1510" s="8" t="s">
        <v>76</v>
      </c>
      <c r="G1510" s="7" t="s">
        <v>77</v>
      </c>
      <c r="H1510" s="47" t="s">
        <v>211</v>
      </c>
      <c r="I1510" s="47" t="s">
        <v>212</v>
      </c>
      <c r="J1510" s="6">
        <v>64</v>
      </c>
      <c r="K1510" s="8" t="s">
        <v>25</v>
      </c>
      <c r="L1510" s="1" t="s">
        <v>845</v>
      </c>
      <c r="M1510" s="5">
        <v>50</v>
      </c>
    </row>
    <row r="1511" spans="1:13" ht="15" x14ac:dyDescent="0.25">
      <c r="A1511" s="7" t="s">
        <v>16</v>
      </c>
      <c r="B1511" s="7" t="s">
        <v>21</v>
      </c>
      <c r="C1511" s="7" t="s">
        <v>18</v>
      </c>
      <c r="D1511" s="4">
        <v>15126437001468</v>
      </c>
      <c r="E1511" s="8" t="s">
        <v>883</v>
      </c>
      <c r="F1511" s="8" t="s">
        <v>76</v>
      </c>
      <c r="G1511" s="7" t="s">
        <v>77</v>
      </c>
      <c r="H1511" s="47" t="s">
        <v>211</v>
      </c>
      <c r="I1511" s="47" t="s">
        <v>212</v>
      </c>
      <c r="J1511" s="6">
        <v>64</v>
      </c>
      <c r="K1511" s="8" t="s">
        <v>25</v>
      </c>
      <c r="L1511" s="1" t="s">
        <v>883</v>
      </c>
      <c r="M1511" s="5">
        <v>20</v>
      </c>
    </row>
    <row r="1512" spans="1:13" ht="15" x14ac:dyDescent="0.25">
      <c r="A1512" s="7" t="s">
        <v>16</v>
      </c>
      <c r="B1512" s="7" t="s">
        <v>17</v>
      </c>
      <c r="C1512" s="7" t="s">
        <v>18</v>
      </c>
      <c r="D1512" s="4">
        <v>60975737003509</v>
      </c>
      <c r="E1512" s="8" t="s">
        <v>921</v>
      </c>
      <c r="F1512" s="8" t="s">
        <v>76</v>
      </c>
      <c r="G1512" s="7" t="s">
        <v>77</v>
      </c>
      <c r="H1512" s="47" t="s">
        <v>211</v>
      </c>
      <c r="I1512" s="47" t="s">
        <v>212</v>
      </c>
      <c r="J1512" s="6">
        <v>62</v>
      </c>
      <c r="K1512" s="8" t="s">
        <v>27</v>
      </c>
      <c r="L1512" s="1" t="s">
        <v>921</v>
      </c>
      <c r="M1512" s="5">
        <v>12</v>
      </c>
    </row>
    <row r="1513" spans="1:13" ht="15" x14ac:dyDescent="0.25">
      <c r="A1513" s="7" t="s">
        <v>16</v>
      </c>
      <c r="B1513" s="7" t="s">
        <v>17</v>
      </c>
      <c r="C1513" s="7" t="s">
        <v>18</v>
      </c>
      <c r="D1513" s="4">
        <v>60975737003509</v>
      </c>
      <c r="E1513" s="8" t="s">
        <v>921</v>
      </c>
      <c r="F1513" s="8" t="s">
        <v>76</v>
      </c>
      <c r="G1513" s="7" t="s">
        <v>77</v>
      </c>
      <c r="H1513" s="47" t="s">
        <v>211</v>
      </c>
      <c r="I1513" s="47" t="s">
        <v>212</v>
      </c>
      <c r="J1513" s="6">
        <v>64</v>
      </c>
      <c r="K1513" s="8" t="s">
        <v>25</v>
      </c>
      <c r="L1513" s="1" t="s">
        <v>921</v>
      </c>
      <c r="M1513" s="5">
        <v>4</v>
      </c>
    </row>
    <row r="1514" spans="1:13" ht="15" x14ac:dyDescent="0.25">
      <c r="A1514" s="7" t="s">
        <v>16</v>
      </c>
      <c r="B1514" s="7" t="s">
        <v>17</v>
      </c>
      <c r="C1514" s="7" t="s">
        <v>18</v>
      </c>
      <c r="D1514" s="4">
        <v>74031865000151</v>
      </c>
      <c r="E1514" s="8" t="s">
        <v>926</v>
      </c>
      <c r="F1514" s="8" t="s">
        <v>76</v>
      </c>
      <c r="G1514" s="7" t="s">
        <v>77</v>
      </c>
      <c r="H1514" s="47" t="s">
        <v>211</v>
      </c>
      <c r="I1514" s="47" t="s">
        <v>212</v>
      </c>
      <c r="J1514" s="6">
        <v>62</v>
      </c>
      <c r="K1514" s="8" t="s">
        <v>27</v>
      </c>
      <c r="L1514" s="1" t="s">
        <v>926</v>
      </c>
      <c r="M1514" s="5">
        <v>420</v>
      </c>
    </row>
    <row r="1515" spans="1:13" ht="15" x14ac:dyDescent="0.25">
      <c r="A1515" s="7" t="s">
        <v>16</v>
      </c>
      <c r="B1515" s="7" t="s">
        <v>17</v>
      </c>
      <c r="C1515" s="7" t="s">
        <v>18</v>
      </c>
      <c r="D1515" s="4">
        <v>74031865000151</v>
      </c>
      <c r="E1515" s="8" t="s">
        <v>926</v>
      </c>
      <c r="F1515" s="8" t="s">
        <v>76</v>
      </c>
      <c r="G1515" s="7" t="s">
        <v>77</v>
      </c>
      <c r="H1515" s="47" t="s">
        <v>211</v>
      </c>
      <c r="I1515" s="47" t="s">
        <v>212</v>
      </c>
      <c r="J1515" s="6">
        <v>64</v>
      </c>
      <c r="K1515" s="8" t="s">
        <v>25</v>
      </c>
      <c r="L1515" s="1" t="s">
        <v>926</v>
      </c>
      <c r="M1515" s="5">
        <v>100</v>
      </c>
    </row>
    <row r="1516" spans="1:13" ht="15" x14ac:dyDescent="0.25">
      <c r="A1516" s="7" t="s">
        <v>16</v>
      </c>
      <c r="B1516" s="7" t="s">
        <v>21</v>
      </c>
      <c r="C1516" s="7" t="s">
        <v>18</v>
      </c>
      <c r="D1516" s="4">
        <v>41580077000165</v>
      </c>
      <c r="E1516" s="8" t="s">
        <v>918</v>
      </c>
      <c r="F1516" s="8" t="s">
        <v>76</v>
      </c>
      <c r="G1516" s="7" t="s">
        <v>77</v>
      </c>
      <c r="H1516" s="47" t="s">
        <v>211</v>
      </c>
      <c r="I1516" s="47" t="s">
        <v>212</v>
      </c>
      <c r="J1516" s="6">
        <v>70</v>
      </c>
      <c r="K1516" s="8" t="s">
        <v>20</v>
      </c>
      <c r="L1516" s="1" t="s">
        <v>918</v>
      </c>
      <c r="M1516" s="5">
        <v>75</v>
      </c>
    </row>
    <row r="1517" spans="1:13" ht="15" x14ac:dyDescent="0.25">
      <c r="A1517" s="7" t="s">
        <v>16</v>
      </c>
      <c r="B1517" s="7" t="s">
        <v>21</v>
      </c>
      <c r="C1517" s="7" t="s">
        <v>18</v>
      </c>
      <c r="D1517" s="4">
        <v>60975737003509</v>
      </c>
      <c r="E1517" s="8" t="s">
        <v>921</v>
      </c>
      <c r="F1517" s="8" t="s">
        <v>76</v>
      </c>
      <c r="G1517" s="7" t="s">
        <v>77</v>
      </c>
      <c r="H1517" s="47" t="s">
        <v>211</v>
      </c>
      <c r="I1517" s="47" t="s">
        <v>212</v>
      </c>
      <c r="J1517" s="6">
        <v>62</v>
      </c>
      <c r="K1517" s="8" t="s">
        <v>27</v>
      </c>
      <c r="L1517" s="1" t="s">
        <v>921</v>
      </c>
      <c r="M1517" s="5">
        <v>4</v>
      </c>
    </row>
    <row r="1518" spans="1:13" ht="15" x14ac:dyDescent="0.25">
      <c r="A1518" s="7" t="s">
        <v>16</v>
      </c>
      <c r="B1518" s="7" t="s">
        <v>21</v>
      </c>
      <c r="C1518" s="7" t="s">
        <v>18</v>
      </c>
      <c r="D1518" s="4">
        <v>60975737003509</v>
      </c>
      <c r="E1518" s="8" t="s">
        <v>921</v>
      </c>
      <c r="F1518" s="8" t="s">
        <v>76</v>
      </c>
      <c r="G1518" s="7" t="s">
        <v>77</v>
      </c>
      <c r="H1518" s="47" t="s">
        <v>211</v>
      </c>
      <c r="I1518" s="47" t="s">
        <v>212</v>
      </c>
      <c r="J1518" s="6">
        <v>64</v>
      </c>
      <c r="K1518" s="8" t="s">
        <v>25</v>
      </c>
      <c r="L1518" s="1" t="s">
        <v>921</v>
      </c>
      <c r="M1518" s="5">
        <v>6</v>
      </c>
    </row>
    <row r="1519" spans="1:13" ht="15" x14ac:dyDescent="0.25">
      <c r="A1519" s="7" t="s">
        <v>16</v>
      </c>
      <c r="B1519" s="7" t="s">
        <v>21</v>
      </c>
      <c r="C1519" s="7" t="s">
        <v>18</v>
      </c>
      <c r="D1519" s="4">
        <v>74031865000151</v>
      </c>
      <c r="E1519" s="8" t="s">
        <v>926</v>
      </c>
      <c r="F1519" s="8" t="s">
        <v>76</v>
      </c>
      <c r="G1519" s="7" t="s">
        <v>77</v>
      </c>
      <c r="H1519" s="47" t="s">
        <v>211</v>
      </c>
      <c r="I1519" s="47" t="s">
        <v>212</v>
      </c>
      <c r="J1519" s="6">
        <v>64</v>
      </c>
      <c r="K1519" s="8" t="s">
        <v>25</v>
      </c>
      <c r="L1519" s="1" t="s">
        <v>926</v>
      </c>
      <c r="M1519" s="5">
        <v>800</v>
      </c>
    </row>
    <row r="1520" spans="1:13" ht="15" x14ac:dyDescent="0.25">
      <c r="A1520" s="7" t="s">
        <v>16</v>
      </c>
      <c r="B1520" s="7" t="s">
        <v>22</v>
      </c>
      <c r="C1520" s="7" t="s">
        <v>18</v>
      </c>
      <c r="D1520" s="4">
        <v>5867015000175</v>
      </c>
      <c r="E1520" s="8" t="s">
        <v>804</v>
      </c>
      <c r="F1520" s="8" t="s">
        <v>76</v>
      </c>
      <c r="G1520" s="7" t="s">
        <v>77</v>
      </c>
      <c r="H1520" s="47" t="s">
        <v>211</v>
      </c>
      <c r="I1520" s="47" t="s">
        <v>212</v>
      </c>
      <c r="J1520" s="6">
        <v>73</v>
      </c>
      <c r="K1520" s="8" t="s">
        <v>26</v>
      </c>
      <c r="L1520" s="1" t="s">
        <v>804</v>
      </c>
      <c r="M1520" s="5">
        <v>8</v>
      </c>
    </row>
    <row r="1521" spans="1:13" ht="15" x14ac:dyDescent="0.25">
      <c r="A1521" s="7" t="s">
        <v>16</v>
      </c>
      <c r="B1521" s="7" t="s">
        <v>22</v>
      </c>
      <c r="C1521" s="7" t="s">
        <v>18</v>
      </c>
      <c r="D1521" s="4">
        <v>5868278000280</v>
      </c>
      <c r="E1521" s="8" t="s">
        <v>805</v>
      </c>
      <c r="F1521" s="8" t="s">
        <v>76</v>
      </c>
      <c r="G1521" s="7" t="s">
        <v>77</v>
      </c>
      <c r="H1521" s="47" t="s">
        <v>211</v>
      </c>
      <c r="I1521" s="47" t="s">
        <v>212</v>
      </c>
      <c r="J1521" s="6">
        <v>62</v>
      </c>
      <c r="K1521" s="8" t="s">
        <v>27</v>
      </c>
      <c r="L1521" s="1" t="s">
        <v>805</v>
      </c>
      <c r="M1521" s="5">
        <v>8</v>
      </c>
    </row>
    <row r="1522" spans="1:13" ht="15" x14ac:dyDescent="0.25">
      <c r="A1522" s="7" t="s">
        <v>16</v>
      </c>
      <c r="B1522" s="7" t="s">
        <v>22</v>
      </c>
      <c r="C1522" s="7" t="s">
        <v>18</v>
      </c>
      <c r="D1522" s="4">
        <v>5868278000280</v>
      </c>
      <c r="E1522" s="8" t="s">
        <v>805</v>
      </c>
      <c r="F1522" s="8" t="s">
        <v>76</v>
      </c>
      <c r="G1522" s="7" t="s">
        <v>77</v>
      </c>
      <c r="H1522" s="47" t="s">
        <v>211</v>
      </c>
      <c r="I1522" s="47" t="s">
        <v>212</v>
      </c>
      <c r="J1522" s="6">
        <v>64</v>
      </c>
      <c r="K1522" s="8" t="s">
        <v>25</v>
      </c>
      <c r="L1522" s="1" t="s">
        <v>805</v>
      </c>
      <c r="M1522" s="5">
        <v>13</v>
      </c>
    </row>
    <row r="1523" spans="1:13" ht="15" x14ac:dyDescent="0.25">
      <c r="A1523" s="7" t="s">
        <v>16</v>
      </c>
      <c r="B1523" s="7" t="s">
        <v>22</v>
      </c>
      <c r="C1523" s="7" t="s">
        <v>18</v>
      </c>
      <c r="D1523" s="4">
        <v>5868278000280</v>
      </c>
      <c r="E1523" s="8" t="s">
        <v>805</v>
      </c>
      <c r="F1523" s="8" t="s">
        <v>76</v>
      </c>
      <c r="G1523" s="7" t="s">
        <v>77</v>
      </c>
      <c r="H1523" s="47" t="s">
        <v>211</v>
      </c>
      <c r="I1523" s="47" t="s">
        <v>212</v>
      </c>
      <c r="J1523" s="6">
        <v>73</v>
      </c>
      <c r="K1523" s="8" t="s">
        <v>26</v>
      </c>
      <c r="L1523" s="1" t="s">
        <v>805</v>
      </c>
      <c r="M1523" s="5">
        <v>26</v>
      </c>
    </row>
    <row r="1524" spans="1:13" ht="15" x14ac:dyDescent="0.25">
      <c r="A1524" s="7" t="s">
        <v>16</v>
      </c>
      <c r="B1524" s="7" t="s">
        <v>22</v>
      </c>
      <c r="C1524" s="7" t="s">
        <v>18</v>
      </c>
      <c r="D1524" s="4">
        <v>5874946000281</v>
      </c>
      <c r="E1524" s="8" t="s">
        <v>807</v>
      </c>
      <c r="F1524" s="8" t="s">
        <v>76</v>
      </c>
      <c r="G1524" s="7" t="s">
        <v>77</v>
      </c>
      <c r="H1524" s="47" t="s">
        <v>211</v>
      </c>
      <c r="I1524" s="47" t="s">
        <v>212</v>
      </c>
      <c r="J1524" s="6">
        <v>62</v>
      </c>
      <c r="K1524" s="8" t="s">
        <v>27</v>
      </c>
      <c r="L1524" s="1" t="s">
        <v>807</v>
      </c>
      <c r="M1524" s="5">
        <v>5</v>
      </c>
    </row>
    <row r="1525" spans="1:13" ht="15" x14ac:dyDescent="0.25">
      <c r="A1525" s="7" t="s">
        <v>16</v>
      </c>
      <c r="B1525" s="7" t="s">
        <v>22</v>
      </c>
      <c r="C1525" s="7" t="s">
        <v>18</v>
      </c>
      <c r="D1525" s="4">
        <v>5874946000281</v>
      </c>
      <c r="E1525" s="8" t="s">
        <v>807</v>
      </c>
      <c r="F1525" s="8" t="s">
        <v>76</v>
      </c>
      <c r="G1525" s="7" t="s">
        <v>77</v>
      </c>
      <c r="H1525" s="47" t="s">
        <v>211</v>
      </c>
      <c r="I1525" s="47" t="s">
        <v>212</v>
      </c>
      <c r="J1525" s="6">
        <v>64</v>
      </c>
      <c r="K1525" s="8" t="s">
        <v>25</v>
      </c>
      <c r="L1525" s="1" t="s">
        <v>807</v>
      </c>
      <c r="M1525" s="5">
        <v>7</v>
      </c>
    </row>
    <row r="1526" spans="1:13" ht="15" x14ac:dyDescent="0.25">
      <c r="A1526" s="7" t="s">
        <v>16</v>
      </c>
      <c r="B1526" s="7" t="s">
        <v>22</v>
      </c>
      <c r="C1526" s="7" t="s">
        <v>18</v>
      </c>
      <c r="D1526" s="4">
        <v>7245269000187</v>
      </c>
      <c r="E1526" s="8" t="s">
        <v>816</v>
      </c>
      <c r="F1526" s="8" t="s">
        <v>76</v>
      </c>
      <c r="G1526" s="7" t="s">
        <v>77</v>
      </c>
      <c r="H1526" s="47" t="s">
        <v>211</v>
      </c>
      <c r="I1526" s="47" t="s">
        <v>212</v>
      </c>
      <c r="J1526" s="6">
        <v>64</v>
      </c>
      <c r="K1526" s="8" t="s">
        <v>25</v>
      </c>
      <c r="L1526" s="1" t="s">
        <v>816</v>
      </c>
      <c r="M1526" s="5">
        <v>7</v>
      </c>
    </row>
    <row r="1527" spans="1:13" ht="15" x14ac:dyDescent="0.25">
      <c r="A1527" s="7" t="s">
        <v>16</v>
      </c>
      <c r="B1527" s="7" t="s">
        <v>22</v>
      </c>
      <c r="C1527" s="7" t="s">
        <v>18</v>
      </c>
      <c r="D1527" s="4">
        <v>7272636000212</v>
      </c>
      <c r="E1527" s="8" t="s">
        <v>818</v>
      </c>
      <c r="F1527" s="8" t="s">
        <v>76</v>
      </c>
      <c r="G1527" s="7" t="s">
        <v>77</v>
      </c>
      <c r="H1527" s="47" t="s">
        <v>211</v>
      </c>
      <c r="I1527" s="47" t="s">
        <v>212</v>
      </c>
      <c r="J1527" s="6">
        <v>62</v>
      </c>
      <c r="K1527" s="8" t="s">
        <v>27</v>
      </c>
      <c r="L1527" s="1" t="s">
        <v>818</v>
      </c>
      <c r="M1527" s="5">
        <v>30</v>
      </c>
    </row>
    <row r="1528" spans="1:13" ht="15" x14ac:dyDescent="0.25">
      <c r="A1528" s="7" t="s">
        <v>16</v>
      </c>
      <c r="B1528" s="7" t="s">
        <v>22</v>
      </c>
      <c r="C1528" s="7" t="s">
        <v>18</v>
      </c>
      <c r="D1528" s="4">
        <v>7272636000212</v>
      </c>
      <c r="E1528" s="8" t="s">
        <v>818</v>
      </c>
      <c r="F1528" s="8" t="s">
        <v>76</v>
      </c>
      <c r="G1528" s="7" t="s">
        <v>77</v>
      </c>
      <c r="H1528" s="47" t="s">
        <v>211</v>
      </c>
      <c r="I1528" s="47" t="s">
        <v>212</v>
      </c>
      <c r="J1528" s="6">
        <v>70</v>
      </c>
      <c r="K1528" s="8" t="s">
        <v>20</v>
      </c>
      <c r="L1528" s="1" t="s">
        <v>818</v>
      </c>
      <c r="M1528" s="5">
        <v>600</v>
      </c>
    </row>
    <row r="1529" spans="1:13" ht="15" x14ac:dyDescent="0.25">
      <c r="A1529" s="7" t="s">
        <v>16</v>
      </c>
      <c r="B1529" s="7" t="s">
        <v>22</v>
      </c>
      <c r="C1529" s="7" t="s">
        <v>18</v>
      </c>
      <c r="D1529" s="4">
        <v>11794674000121</v>
      </c>
      <c r="E1529" s="8" t="s">
        <v>845</v>
      </c>
      <c r="F1529" s="8" t="s">
        <v>76</v>
      </c>
      <c r="G1529" s="7" t="s">
        <v>77</v>
      </c>
      <c r="H1529" s="47" t="s">
        <v>211</v>
      </c>
      <c r="I1529" s="47" t="s">
        <v>212</v>
      </c>
      <c r="J1529" s="6">
        <v>62</v>
      </c>
      <c r="K1529" s="8" t="s">
        <v>27</v>
      </c>
      <c r="L1529" s="1" t="s">
        <v>845</v>
      </c>
      <c r="M1529" s="5">
        <v>4</v>
      </c>
    </row>
    <row r="1530" spans="1:13" ht="15" x14ac:dyDescent="0.25">
      <c r="A1530" s="7" t="s">
        <v>16</v>
      </c>
      <c r="B1530" s="7" t="s">
        <v>22</v>
      </c>
      <c r="C1530" s="7" t="s">
        <v>18</v>
      </c>
      <c r="D1530" s="4">
        <v>11794674000121</v>
      </c>
      <c r="E1530" s="8" t="s">
        <v>845</v>
      </c>
      <c r="F1530" s="8" t="s">
        <v>76</v>
      </c>
      <c r="G1530" s="7" t="s">
        <v>77</v>
      </c>
      <c r="H1530" s="47" t="s">
        <v>211</v>
      </c>
      <c r="I1530" s="47" t="s">
        <v>212</v>
      </c>
      <c r="J1530" s="6">
        <v>70</v>
      </c>
      <c r="K1530" s="8" t="s">
        <v>20</v>
      </c>
      <c r="L1530" s="1" t="s">
        <v>845</v>
      </c>
      <c r="M1530" s="5">
        <v>180</v>
      </c>
    </row>
    <row r="1531" spans="1:13" ht="15" x14ac:dyDescent="0.25">
      <c r="A1531" s="7" t="s">
        <v>16</v>
      </c>
      <c r="B1531" s="7" t="s">
        <v>22</v>
      </c>
      <c r="C1531" s="7" t="s">
        <v>18</v>
      </c>
      <c r="D1531" s="4">
        <v>12361267011802</v>
      </c>
      <c r="E1531" s="8" t="s">
        <v>863</v>
      </c>
      <c r="F1531" s="8" t="s">
        <v>76</v>
      </c>
      <c r="G1531" s="7" t="s">
        <v>77</v>
      </c>
      <c r="H1531" s="47" t="s">
        <v>211</v>
      </c>
      <c r="I1531" s="47" t="s">
        <v>212</v>
      </c>
      <c r="J1531" s="6">
        <v>62</v>
      </c>
      <c r="K1531" s="8" t="s">
        <v>27</v>
      </c>
      <c r="L1531" s="1" t="s">
        <v>863</v>
      </c>
      <c r="M1531" s="5">
        <v>2</v>
      </c>
    </row>
    <row r="1532" spans="1:13" ht="15" x14ac:dyDescent="0.25">
      <c r="A1532" s="7" t="s">
        <v>16</v>
      </c>
      <c r="B1532" s="7" t="s">
        <v>22</v>
      </c>
      <c r="C1532" s="7" t="s">
        <v>18</v>
      </c>
      <c r="D1532" s="4">
        <v>12361267011802</v>
      </c>
      <c r="E1532" s="8" t="s">
        <v>863</v>
      </c>
      <c r="F1532" s="8" t="s">
        <v>76</v>
      </c>
      <c r="G1532" s="7" t="s">
        <v>77</v>
      </c>
      <c r="H1532" s="47" t="s">
        <v>211</v>
      </c>
      <c r="I1532" s="47" t="s">
        <v>212</v>
      </c>
      <c r="J1532" s="6">
        <v>64</v>
      </c>
      <c r="K1532" s="8" t="s">
        <v>25</v>
      </c>
      <c r="L1532" s="1" t="s">
        <v>863</v>
      </c>
      <c r="M1532" s="5">
        <v>4</v>
      </c>
    </row>
    <row r="1533" spans="1:13" ht="15" x14ac:dyDescent="0.25">
      <c r="A1533" s="7" t="s">
        <v>16</v>
      </c>
      <c r="B1533" s="7" t="s">
        <v>22</v>
      </c>
      <c r="C1533" s="7" t="s">
        <v>18</v>
      </c>
      <c r="D1533" s="4">
        <v>12568570000161</v>
      </c>
      <c r="E1533" s="8" t="s">
        <v>866</v>
      </c>
      <c r="F1533" s="8" t="s">
        <v>76</v>
      </c>
      <c r="G1533" s="7" t="s">
        <v>77</v>
      </c>
      <c r="H1533" s="47" t="s">
        <v>211</v>
      </c>
      <c r="I1533" s="47" t="s">
        <v>212</v>
      </c>
      <c r="J1533" s="6">
        <v>70</v>
      </c>
      <c r="K1533" s="8" t="s">
        <v>20</v>
      </c>
      <c r="L1533" s="1" t="s">
        <v>866</v>
      </c>
      <c r="M1533" s="5">
        <v>-5</v>
      </c>
    </row>
    <row r="1534" spans="1:13" ht="15" x14ac:dyDescent="0.25">
      <c r="A1534" s="7" t="s">
        <v>16</v>
      </c>
      <c r="B1534" s="7" t="s">
        <v>22</v>
      </c>
      <c r="C1534" s="7" t="s">
        <v>18</v>
      </c>
      <c r="D1534" s="4">
        <v>29435005007484</v>
      </c>
      <c r="E1534" s="8" t="s">
        <v>912</v>
      </c>
      <c r="F1534" s="8" t="s">
        <v>76</v>
      </c>
      <c r="G1534" s="7" t="s">
        <v>77</v>
      </c>
      <c r="H1534" s="47" t="s">
        <v>211</v>
      </c>
      <c r="I1534" s="47" t="s">
        <v>212</v>
      </c>
      <c r="J1534" s="6">
        <v>62</v>
      </c>
      <c r="K1534" s="8" t="s">
        <v>27</v>
      </c>
      <c r="L1534" s="1" t="s">
        <v>912</v>
      </c>
      <c r="M1534" s="5">
        <v>5</v>
      </c>
    </row>
    <row r="1535" spans="1:13" ht="15" x14ac:dyDescent="0.25">
      <c r="A1535" s="7" t="s">
        <v>16</v>
      </c>
      <c r="B1535" s="7" t="s">
        <v>22</v>
      </c>
      <c r="C1535" s="7" t="s">
        <v>18</v>
      </c>
      <c r="D1535" s="4">
        <v>29435005007484</v>
      </c>
      <c r="E1535" s="8" t="s">
        <v>912</v>
      </c>
      <c r="F1535" s="8" t="s">
        <v>76</v>
      </c>
      <c r="G1535" s="7" t="s">
        <v>77</v>
      </c>
      <c r="H1535" s="47" t="s">
        <v>211</v>
      </c>
      <c r="I1535" s="47" t="s">
        <v>212</v>
      </c>
      <c r="J1535" s="6">
        <v>64</v>
      </c>
      <c r="K1535" s="8" t="s">
        <v>25</v>
      </c>
      <c r="L1535" s="1" t="s">
        <v>912</v>
      </c>
      <c r="M1535" s="5">
        <v>13</v>
      </c>
    </row>
    <row r="1536" spans="1:13" ht="15" x14ac:dyDescent="0.25">
      <c r="A1536" s="7" t="s">
        <v>16</v>
      </c>
      <c r="B1536" s="7" t="s">
        <v>22</v>
      </c>
      <c r="C1536" s="7" t="s">
        <v>18</v>
      </c>
      <c r="D1536" s="4">
        <v>29435005007484</v>
      </c>
      <c r="E1536" s="8" t="s">
        <v>912</v>
      </c>
      <c r="F1536" s="8" t="s">
        <v>76</v>
      </c>
      <c r="G1536" s="7" t="s">
        <v>77</v>
      </c>
      <c r="H1536" s="47" t="s">
        <v>211</v>
      </c>
      <c r="I1536" s="47" t="s">
        <v>212</v>
      </c>
      <c r="J1536" s="6">
        <v>70</v>
      </c>
      <c r="K1536" s="8" t="s">
        <v>20</v>
      </c>
      <c r="L1536" s="1" t="s">
        <v>912</v>
      </c>
      <c r="M1536" s="5">
        <v>200</v>
      </c>
    </row>
    <row r="1537" spans="1:13" ht="15" x14ac:dyDescent="0.25">
      <c r="A1537" s="7" t="s">
        <v>16</v>
      </c>
      <c r="B1537" s="7" t="s">
        <v>22</v>
      </c>
      <c r="C1537" s="7" t="s">
        <v>18</v>
      </c>
      <c r="D1537" s="4">
        <v>41580077000165</v>
      </c>
      <c r="E1537" s="8" t="s">
        <v>918</v>
      </c>
      <c r="F1537" s="8" t="s">
        <v>76</v>
      </c>
      <c r="G1537" s="7" t="s">
        <v>77</v>
      </c>
      <c r="H1537" s="47" t="s">
        <v>211</v>
      </c>
      <c r="I1537" s="47" t="s">
        <v>212</v>
      </c>
      <c r="J1537" s="6">
        <v>62</v>
      </c>
      <c r="K1537" s="8" t="s">
        <v>27</v>
      </c>
      <c r="L1537" s="1" t="s">
        <v>918</v>
      </c>
      <c r="M1537" s="5">
        <v>3</v>
      </c>
    </row>
    <row r="1538" spans="1:13" ht="15" x14ac:dyDescent="0.25">
      <c r="A1538" s="7" t="s">
        <v>16</v>
      </c>
      <c r="B1538" s="7" t="s">
        <v>22</v>
      </c>
      <c r="C1538" s="7" t="s">
        <v>18</v>
      </c>
      <c r="D1538" s="4">
        <v>60975737003509</v>
      </c>
      <c r="E1538" s="8" t="s">
        <v>921</v>
      </c>
      <c r="F1538" s="8" t="s">
        <v>76</v>
      </c>
      <c r="G1538" s="7" t="s">
        <v>77</v>
      </c>
      <c r="H1538" s="47" t="s">
        <v>211</v>
      </c>
      <c r="I1538" s="47" t="s">
        <v>212</v>
      </c>
      <c r="J1538" s="6">
        <v>62</v>
      </c>
      <c r="K1538" s="8" t="s">
        <v>27</v>
      </c>
      <c r="L1538" s="1" t="s">
        <v>921</v>
      </c>
      <c r="M1538" s="5">
        <v>19</v>
      </c>
    </row>
    <row r="1539" spans="1:13" ht="15" x14ac:dyDescent="0.25">
      <c r="A1539" s="7" t="s">
        <v>16</v>
      </c>
      <c r="B1539" s="7" t="s">
        <v>22</v>
      </c>
      <c r="C1539" s="7" t="s">
        <v>18</v>
      </c>
      <c r="D1539" s="4">
        <v>60975737003509</v>
      </c>
      <c r="E1539" s="8" t="s">
        <v>921</v>
      </c>
      <c r="F1539" s="8" t="s">
        <v>76</v>
      </c>
      <c r="G1539" s="7" t="s">
        <v>77</v>
      </c>
      <c r="H1539" s="47" t="s">
        <v>211</v>
      </c>
      <c r="I1539" s="47" t="s">
        <v>212</v>
      </c>
      <c r="J1539" s="6">
        <v>64</v>
      </c>
      <c r="K1539" s="8" t="s">
        <v>25</v>
      </c>
      <c r="L1539" s="1" t="s">
        <v>921</v>
      </c>
      <c r="M1539" s="5">
        <v>10</v>
      </c>
    </row>
    <row r="1540" spans="1:13" ht="15" x14ac:dyDescent="0.25">
      <c r="A1540" s="7" t="s">
        <v>16</v>
      </c>
      <c r="B1540" s="7" t="s">
        <v>22</v>
      </c>
      <c r="C1540" s="7" t="s">
        <v>18</v>
      </c>
      <c r="D1540" s="4">
        <v>74031865000151</v>
      </c>
      <c r="E1540" s="8" t="s">
        <v>926</v>
      </c>
      <c r="F1540" s="8" t="s">
        <v>76</v>
      </c>
      <c r="G1540" s="7" t="s">
        <v>77</v>
      </c>
      <c r="H1540" s="47" t="s">
        <v>211</v>
      </c>
      <c r="I1540" s="47" t="s">
        <v>212</v>
      </c>
      <c r="J1540" s="6">
        <v>62</v>
      </c>
      <c r="K1540" s="8" t="s">
        <v>27</v>
      </c>
      <c r="L1540" s="1" t="s">
        <v>926</v>
      </c>
      <c r="M1540" s="5">
        <v>140</v>
      </c>
    </row>
    <row r="1541" spans="1:13" ht="15" x14ac:dyDescent="0.25">
      <c r="A1541" s="7" t="s">
        <v>16</v>
      </c>
      <c r="B1541" s="7" t="s">
        <v>22</v>
      </c>
      <c r="C1541" s="7" t="s">
        <v>18</v>
      </c>
      <c r="D1541" s="4">
        <v>74031865000151</v>
      </c>
      <c r="E1541" s="8" t="s">
        <v>926</v>
      </c>
      <c r="F1541" s="8" t="s">
        <v>76</v>
      </c>
      <c r="G1541" s="7" t="s">
        <v>77</v>
      </c>
      <c r="H1541" s="47" t="s">
        <v>211</v>
      </c>
      <c r="I1541" s="47" t="s">
        <v>212</v>
      </c>
      <c r="J1541" s="6">
        <v>66</v>
      </c>
      <c r="K1541" s="8" t="s">
        <v>28</v>
      </c>
      <c r="L1541" s="1" t="s">
        <v>926</v>
      </c>
      <c r="M1541" s="5">
        <v>192</v>
      </c>
    </row>
    <row r="1542" spans="1:13" ht="15" x14ac:dyDescent="0.25">
      <c r="A1542" s="7" t="s">
        <v>16</v>
      </c>
      <c r="B1542" s="7" t="s">
        <v>23</v>
      </c>
      <c r="C1542" s="7" t="s">
        <v>24</v>
      </c>
      <c r="D1542" s="4">
        <v>5867015000175</v>
      </c>
      <c r="E1542" s="8" t="s">
        <v>804</v>
      </c>
      <c r="F1542" s="8" t="s">
        <v>76</v>
      </c>
      <c r="G1542" s="7" t="s">
        <v>77</v>
      </c>
      <c r="H1542" s="47" t="s">
        <v>211</v>
      </c>
      <c r="I1542" s="47" t="s">
        <v>212</v>
      </c>
      <c r="J1542" s="6">
        <v>73</v>
      </c>
      <c r="K1542" s="8" t="s">
        <v>26</v>
      </c>
      <c r="L1542" s="1" t="s">
        <v>804</v>
      </c>
      <c r="M1542" s="5">
        <v>8</v>
      </c>
    </row>
    <row r="1543" spans="1:13" ht="15" x14ac:dyDescent="0.25">
      <c r="A1543" s="7" t="s">
        <v>16</v>
      </c>
      <c r="B1543" s="7" t="s">
        <v>23</v>
      </c>
      <c r="C1543" s="7" t="s">
        <v>24</v>
      </c>
      <c r="D1543" s="4">
        <v>5868278000280</v>
      </c>
      <c r="E1543" s="8" t="s">
        <v>805</v>
      </c>
      <c r="F1543" s="8" t="s">
        <v>76</v>
      </c>
      <c r="G1543" s="7" t="s">
        <v>77</v>
      </c>
      <c r="H1543" s="47" t="s">
        <v>211</v>
      </c>
      <c r="I1543" s="47" t="s">
        <v>212</v>
      </c>
      <c r="J1543" s="6">
        <v>62</v>
      </c>
      <c r="K1543" s="8" t="s">
        <v>27</v>
      </c>
      <c r="L1543" s="1" t="s">
        <v>805</v>
      </c>
      <c r="M1543" s="5">
        <v>40</v>
      </c>
    </row>
    <row r="1544" spans="1:13" ht="15" x14ac:dyDescent="0.25">
      <c r="A1544" s="7" t="s">
        <v>16</v>
      </c>
      <c r="B1544" s="7" t="s">
        <v>23</v>
      </c>
      <c r="C1544" s="7" t="s">
        <v>24</v>
      </c>
      <c r="D1544" s="4">
        <v>5868278000280</v>
      </c>
      <c r="E1544" s="8" t="s">
        <v>805</v>
      </c>
      <c r="F1544" s="8" t="s">
        <v>76</v>
      </c>
      <c r="G1544" s="7" t="s">
        <v>77</v>
      </c>
      <c r="H1544" s="47" t="s">
        <v>211</v>
      </c>
      <c r="I1544" s="47" t="s">
        <v>212</v>
      </c>
      <c r="J1544" s="6">
        <v>64</v>
      </c>
      <c r="K1544" s="8" t="s">
        <v>25</v>
      </c>
      <c r="L1544" s="1" t="s">
        <v>805</v>
      </c>
      <c r="M1544" s="5">
        <v>6</v>
      </c>
    </row>
    <row r="1545" spans="1:13" ht="15" x14ac:dyDescent="0.25">
      <c r="A1545" s="7" t="s">
        <v>16</v>
      </c>
      <c r="B1545" s="7" t="s">
        <v>23</v>
      </c>
      <c r="C1545" s="7" t="s">
        <v>24</v>
      </c>
      <c r="D1545" s="4">
        <v>5868278000280</v>
      </c>
      <c r="E1545" s="8" t="s">
        <v>805</v>
      </c>
      <c r="F1545" s="8" t="s">
        <v>76</v>
      </c>
      <c r="G1545" s="7" t="s">
        <v>77</v>
      </c>
      <c r="H1545" s="47" t="s">
        <v>211</v>
      </c>
      <c r="I1545" s="47" t="s">
        <v>212</v>
      </c>
      <c r="J1545" s="6">
        <v>73</v>
      </c>
      <c r="K1545" s="8" t="s">
        <v>26</v>
      </c>
      <c r="L1545" s="1" t="s">
        <v>805</v>
      </c>
      <c r="M1545" s="5">
        <v>128</v>
      </c>
    </row>
    <row r="1546" spans="1:13" ht="15" x14ac:dyDescent="0.25">
      <c r="A1546" s="7" t="s">
        <v>16</v>
      </c>
      <c r="B1546" s="7" t="s">
        <v>23</v>
      </c>
      <c r="C1546" s="7" t="s">
        <v>24</v>
      </c>
      <c r="D1546" s="4">
        <v>5874946000281</v>
      </c>
      <c r="E1546" s="8" t="s">
        <v>807</v>
      </c>
      <c r="F1546" s="8" t="s">
        <v>76</v>
      </c>
      <c r="G1546" s="7" t="s">
        <v>77</v>
      </c>
      <c r="H1546" s="47" t="s">
        <v>211</v>
      </c>
      <c r="I1546" s="47" t="s">
        <v>212</v>
      </c>
      <c r="J1546" s="6">
        <v>62</v>
      </c>
      <c r="K1546" s="8" t="s">
        <v>27</v>
      </c>
      <c r="L1546" s="1" t="s">
        <v>807</v>
      </c>
      <c r="M1546" s="5">
        <v>5</v>
      </c>
    </row>
    <row r="1547" spans="1:13" ht="15" x14ac:dyDescent="0.25">
      <c r="A1547" s="7" t="s">
        <v>16</v>
      </c>
      <c r="B1547" s="7" t="s">
        <v>23</v>
      </c>
      <c r="C1547" s="7" t="s">
        <v>24</v>
      </c>
      <c r="D1547" s="4">
        <v>7272636000212</v>
      </c>
      <c r="E1547" s="8" t="s">
        <v>818</v>
      </c>
      <c r="F1547" s="8" t="s">
        <v>76</v>
      </c>
      <c r="G1547" s="7" t="s">
        <v>77</v>
      </c>
      <c r="H1547" s="47" t="s">
        <v>211</v>
      </c>
      <c r="I1547" s="47" t="s">
        <v>212</v>
      </c>
      <c r="J1547" s="6">
        <v>62</v>
      </c>
      <c r="K1547" s="8" t="s">
        <v>27</v>
      </c>
      <c r="L1547" s="1" t="s">
        <v>818</v>
      </c>
      <c r="M1547" s="5">
        <v>25</v>
      </c>
    </row>
    <row r="1548" spans="1:13" ht="15" x14ac:dyDescent="0.25">
      <c r="A1548" s="7" t="s">
        <v>16</v>
      </c>
      <c r="B1548" s="7" t="s">
        <v>23</v>
      </c>
      <c r="C1548" s="7" t="s">
        <v>24</v>
      </c>
      <c r="D1548" s="4">
        <v>7272636000212</v>
      </c>
      <c r="E1548" s="8" t="s">
        <v>818</v>
      </c>
      <c r="F1548" s="8" t="s">
        <v>76</v>
      </c>
      <c r="G1548" s="7" t="s">
        <v>77</v>
      </c>
      <c r="H1548" s="47" t="s">
        <v>211</v>
      </c>
      <c r="I1548" s="47" t="s">
        <v>212</v>
      </c>
      <c r="J1548" s="6">
        <v>64</v>
      </c>
      <c r="K1548" s="8" t="s">
        <v>25</v>
      </c>
      <c r="L1548" s="1" t="s">
        <v>818</v>
      </c>
      <c r="M1548" s="5">
        <v>20</v>
      </c>
    </row>
    <row r="1549" spans="1:13" ht="15" x14ac:dyDescent="0.25">
      <c r="A1549" s="7" t="s">
        <v>16</v>
      </c>
      <c r="B1549" s="7" t="s">
        <v>23</v>
      </c>
      <c r="C1549" s="7" t="s">
        <v>24</v>
      </c>
      <c r="D1549" s="4">
        <v>7272636000212</v>
      </c>
      <c r="E1549" s="8" t="s">
        <v>818</v>
      </c>
      <c r="F1549" s="8" t="s">
        <v>76</v>
      </c>
      <c r="G1549" s="7" t="s">
        <v>77</v>
      </c>
      <c r="H1549" s="47" t="s">
        <v>211</v>
      </c>
      <c r="I1549" s="47" t="s">
        <v>212</v>
      </c>
      <c r="J1549" s="6">
        <v>70</v>
      </c>
      <c r="K1549" s="8" t="s">
        <v>20</v>
      </c>
      <c r="L1549" s="1" t="s">
        <v>818</v>
      </c>
      <c r="M1549" s="5">
        <v>2400</v>
      </c>
    </row>
    <row r="1550" spans="1:13" ht="15" x14ac:dyDescent="0.25">
      <c r="A1550" s="7" t="s">
        <v>16</v>
      </c>
      <c r="B1550" s="7" t="s">
        <v>23</v>
      </c>
      <c r="C1550" s="7" t="s">
        <v>24</v>
      </c>
      <c r="D1550" s="4">
        <v>8711085000128</v>
      </c>
      <c r="E1550" s="8" t="s">
        <v>828</v>
      </c>
      <c r="F1550" s="8" t="s">
        <v>76</v>
      </c>
      <c r="G1550" s="7" t="s">
        <v>77</v>
      </c>
      <c r="H1550" s="47" t="s">
        <v>211</v>
      </c>
      <c r="I1550" s="47" t="s">
        <v>212</v>
      </c>
      <c r="J1550" s="6">
        <v>62</v>
      </c>
      <c r="K1550" s="8" t="s">
        <v>27</v>
      </c>
      <c r="L1550" s="1" t="s">
        <v>828</v>
      </c>
      <c r="M1550" s="5">
        <v>3</v>
      </c>
    </row>
    <row r="1551" spans="1:13" ht="15" x14ac:dyDescent="0.25">
      <c r="A1551" s="7" t="s">
        <v>16</v>
      </c>
      <c r="B1551" s="7" t="s">
        <v>23</v>
      </c>
      <c r="C1551" s="7" t="s">
        <v>24</v>
      </c>
      <c r="D1551" s="4">
        <v>8711085000128</v>
      </c>
      <c r="E1551" s="8" t="s">
        <v>828</v>
      </c>
      <c r="F1551" s="8" t="s">
        <v>76</v>
      </c>
      <c r="G1551" s="7" t="s">
        <v>77</v>
      </c>
      <c r="H1551" s="47" t="s">
        <v>211</v>
      </c>
      <c r="I1551" s="47" t="s">
        <v>212</v>
      </c>
      <c r="J1551" s="6">
        <v>64</v>
      </c>
      <c r="K1551" s="8" t="s">
        <v>25</v>
      </c>
      <c r="L1551" s="1" t="s">
        <v>828</v>
      </c>
      <c r="M1551" s="5">
        <v>1</v>
      </c>
    </row>
    <row r="1552" spans="1:13" ht="15" x14ac:dyDescent="0.25">
      <c r="A1552" s="7" t="s">
        <v>16</v>
      </c>
      <c r="B1552" s="7" t="s">
        <v>23</v>
      </c>
      <c r="C1552" s="7" t="s">
        <v>24</v>
      </c>
      <c r="D1552" s="4">
        <v>11794674000121</v>
      </c>
      <c r="E1552" s="8" t="s">
        <v>845</v>
      </c>
      <c r="F1552" s="8" t="s">
        <v>76</v>
      </c>
      <c r="G1552" s="7" t="s">
        <v>77</v>
      </c>
      <c r="H1552" s="47" t="s">
        <v>211</v>
      </c>
      <c r="I1552" s="47" t="s">
        <v>212</v>
      </c>
      <c r="J1552" s="6">
        <v>62</v>
      </c>
      <c r="K1552" s="8" t="s">
        <v>27</v>
      </c>
      <c r="L1552" s="1" t="s">
        <v>845</v>
      </c>
      <c r="M1552" s="5">
        <v>7</v>
      </c>
    </row>
    <row r="1553" spans="1:13" ht="15" x14ac:dyDescent="0.25">
      <c r="A1553" s="7" t="s">
        <v>16</v>
      </c>
      <c r="B1553" s="7" t="s">
        <v>23</v>
      </c>
      <c r="C1553" s="7" t="s">
        <v>24</v>
      </c>
      <c r="D1553" s="4">
        <v>11794674000121</v>
      </c>
      <c r="E1553" s="8" t="s">
        <v>845</v>
      </c>
      <c r="F1553" s="8" t="s">
        <v>76</v>
      </c>
      <c r="G1553" s="7" t="s">
        <v>77</v>
      </c>
      <c r="H1553" s="47" t="s">
        <v>211</v>
      </c>
      <c r="I1553" s="47" t="s">
        <v>212</v>
      </c>
      <c r="J1553" s="6">
        <v>64</v>
      </c>
      <c r="K1553" s="8" t="s">
        <v>25</v>
      </c>
      <c r="L1553" s="1" t="s">
        <v>845</v>
      </c>
      <c r="M1553" s="5">
        <v>4</v>
      </c>
    </row>
    <row r="1554" spans="1:13" ht="15" x14ac:dyDescent="0.25">
      <c r="A1554" s="7" t="s">
        <v>16</v>
      </c>
      <c r="B1554" s="7" t="s">
        <v>23</v>
      </c>
      <c r="C1554" s="7" t="s">
        <v>24</v>
      </c>
      <c r="D1554" s="4">
        <v>23443518000103</v>
      </c>
      <c r="E1554" s="8" t="s">
        <v>903</v>
      </c>
      <c r="F1554" s="8" t="s">
        <v>76</v>
      </c>
      <c r="G1554" s="7" t="s">
        <v>77</v>
      </c>
      <c r="H1554" s="47" t="s">
        <v>211</v>
      </c>
      <c r="I1554" s="47" t="s">
        <v>212</v>
      </c>
      <c r="J1554" s="6">
        <v>64</v>
      </c>
      <c r="K1554" s="8" t="s">
        <v>25</v>
      </c>
      <c r="L1554" s="1" t="s">
        <v>903</v>
      </c>
      <c r="M1554" s="5">
        <v>2</v>
      </c>
    </row>
    <row r="1555" spans="1:13" ht="15" x14ac:dyDescent="0.25">
      <c r="A1555" s="7" t="s">
        <v>16</v>
      </c>
      <c r="B1555" s="7" t="s">
        <v>23</v>
      </c>
      <c r="C1555" s="7" t="s">
        <v>24</v>
      </c>
      <c r="D1555" s="4">
        <v>29435005007484</v>
      </c>
      <c r="E1555" s="8" t="s">
        <v>912</v>
      </c>
      <c r="F1555" s="8" t="s">
        <v>76</v>
      </c>
      <c r="G1555" s="7" t="s">
        <v>77</v>
      </c>
      <c r="H1555" s="47" t="s">
        <v>211</v>
      </c>
      <c r="I1555" s="47" t="s">
        <v>212</v>
      </c>
      <c r="J1555" s="6">
        <v>62</v>
      </c>
      <c r="K1555" s="8" t="s">
        <v>27</v>
      </c>
      <c r="L1555" s="1" t="s">
        <v>912</v>
      </c>
      <c r="M1555" s="5">
        <v>17</v>
      </c>
    </row>
    <row r="1556" spans="1:13" ht="15" x14ac:dyDescent="0.25">
      <c r="A1556" s="7" t="s">
        <v>16</v>
      </c>
      <c r="B1556" s="7" t="s">
        <v>23</v>
      </c>
      <c r="C1556" s="7" t="s">
        <v>24</v>
      </c>
      <c r="D1556" s="4">
        <v>29435005007484</v>
      </c>
      <c r="E1556" s="8" t="s">
        <v>912</v>
      </c>
      <c r="F1556" s="8" t="s">
        <v>76</v>
      </c>
      <c r="G1556" s="7" t="s">
        <v>77</v>
      </c>
      <c r="H1556" s="47" t="s">
        <v>211</v>
      </c>
      <c r="I1556" s="47" t="s">
        <v>212</v>
      </c>
      <c r="J1556" s="6">
        <v>64</v>
      </c>
      <c r="K1556" s="8" t="s">
        <v>25</v>
      </c>
      <c r="L1556" s="1" t="s">
        <v>912</v>
      </c>
      <c r="M1556" s="5">
        <v>20</v>
      </c>
    </row>
    <row r="1557" spans="1:13" ht="15" x14ac:dyDescent="0.25">
      <c r="A1557" s="7" t="s">
        <v>16</v>
      </c>
      <c r="B1557" s="7" t="s">
        <v>23</v>
      </c>
      <c r="C1557" s="7" t="s">
        <v>24</v>
      </c>
      <c r="D1557" s="4">
        <v>29435005007484</v>
      </c>
      <c r="E1557" s="8" t="s">
        <v>912</v>
      </c>
      <c r="F1557" s="8" t="s">
        <v>76</v>
      </c>
      <c r="G1557" s="7" t="s">
        <v>77</v>
      </c>
      <c r="H1557" s="47" t="s">
        <v>211</v>
      </c>
      <c r="I1557" s="47" t="s">
        <v>212</v>
      </c>
      <c r="J1557" s="6">
        <v>70</v>
      </c>
      <c r="K1557" s="8" t="s">
        <v>20</v>
      </c>
      <c r="L1557" s="1" t="s">
        <v>912</v>
      </c>
      <c r="M1557" s="5">
        <v>105</v>
      </c>
    </row>
    <row r="1558" spans="1:13" ht="15" x14ac:dyDescent="0.25">
      <c r="A1558" s="7" t="s">
        <v>16</v>
      </c>
      <c r="B1558" s="7" t="s">
        <v>23</v>
      </c>
      <c r="C1558" s="7" t="s">
        <v>24</v>
      </c>
      <c r="D1558" s="4">
        <v>74031865000151</v>
      </c>
      <c r="E1558" s="8" t="s">
        <v>926</v>
      </c>
      <c r="F1558" s="8" t="s">
        <v>76</v>
      </c>
      <c r="G1558" s="7" t="s">
        <v>77</v>
      </c>
      <c r="H1558" s="47" t="s">
        <v>211</v>
      </c>
      <c r="I1558" s="47" t="s">
        <v>212</v>
      </c>
      <c r="J1558" s="6">
        <v>62</v>
      </c>
      <c r="K1558" s="8" t="s">
        <v>27</v>
      </c>
      <c r="L1558" s="1" t="s">
        <v>926</v>
      </c>
      <c r="M1558" s="5">
        <v>428</v>
      </c>
    </row>
    <row r="1559" spans="1:13" ht="15" x14ac:dyDescent="0.25">
      <c r="A1559" s="7" t="s">
        <v>16</v>
      </c>
      <c r="B1559" s="7" t="s">
        <v>229</v>
      </c>
      <c r="C1559" s="7" t="s">
        <v>24</v>
      </c>
      <c r="D1559" s="4">
        <v>5867015000175</v>
      </c>
      <c r="E1559" s="8" t="s">
        <v>804</v>
      </c>
      <c r="F1559" s="8" t="s">
        <v>76</v>
      </c>
      <c r="G1559" s="7" t="s">
        <v>77</v>
      </c>
      <c r="H1559" s="47" t="s">
        <v>211</v>
      </c>
      <c r="I1559" s="47" t="s">
        <v>212</v>
      </c>
      <c r="J1559" s="6">
        <v>73</v>
      </c>
      <c r="K1559" s="8" t="s">
        <v>26</v>
      </c>
      <c r="L1559" s="1" t="s">
        <v>804</v>
      </c>
      <c r="M1559" s="5">
        <v>8</v>
      </c>
    </row>
    <row r="1560" spans="1:13" ht="15" x14ac:dyDescent="0.25">
      <c r="A1560" s="7" t="s">
        <v>16</v>
      </c>
      <c r="B1560" s="7" t="s">
        <v>229</v>
      </c>
      <c r="C1560" s="7" t="s">
        <v>24</v>
      </c>
      <c r="D1560" s="4">
        <v>5868278000280</v>
      </c>
      <c r="E1560" s="8" t="s">
        <v>805</v>
      </c>
      <c r="F1560" s="8" t="s">
        <v>76</v>
      </c>
      <c r="G1560" s="7" t="s">
        <v>77</v>
      </c>
      <c r="H1560" s="47" t="s">
        <v>211</v>
      </c>
      <c r="I1560" s="47" t="s">
        <v>212</v>
      </c>
      <c r="J1560" s="6">
        <v>62</v>
      </c>
      <c r="K1560" s="8" t="s">
        <v>27</v>
      </c>
      <c r="L1560" s="1" t="s">
        <v>805</v>
      </c>
      <c r="M1560" s="5">
        <v>24</v>
      </c>
    </row>
    <row r="1561" spans="1:13" ht="15" x14ac:dyDescent="0.25">
      <c r="A1561" s="7" t="s">
        <v>16</v>
      </c>
      <c r="B1561" s="7" t="s">
        <v>229</v>
      </c>
      <c r="C1561" s="7" t="s">
        <v>24</v>
      </c>
      <c r="D1561" s="4">
        <v>5868278000280</v>
      </c>
      <c r="E1561" s="8" t="s">
        <v>805</v>
      </c>
      <c r="F1561" s="8" t="s">
        <v>76</v>
      </c>
      <c r="G1561" s="7" t="s">
        <v>77</v>
      </c>
      <c r="H1561" s="47" t="s">
        <v>211</v>
      </c>
      <c r="I1561" s="47" t="s">
        <v>212</v>
      </c>
      <c r="J1561" s="6">
        <v>64</v>
      </c>
      <c r="K1561" s="8" t="s">
        <v>25</v>
      </c>
      <c r="L1561" s="1" t="s">
        <v>805</v>
      </c>
      <c r="M1561" s="5">
        <v>16</v>
      </c>
    </row>
    <row r="1562" spans="1:13" ht="15" x14ac:dyDescent="0.25">
      <c r="A1562" s="7" t="s">
        <v>16</v>
      </c>
      <c r="B1562" s="7" t="s">
        <v>229</v>
      </c>
      <c r="C1562" s="7" t="s">
        <v>24</v>
      </c>
      <c r="D1562" s="4">
        <v>5868278000280</v>
      </c>
      <c r="E1562" s="8" t="s">
        <v>805</v>
      </c>
      <c r="F1562" s="8" t="s">
        <v>76</v>
      </c>
      <c r="G1562" s="7" t="s">
        <v>77</v>
      </c>
      <c r="H1562" s="47" t="s">
        <v>211</v>
      </c>
      <c r="I1562" s="47" t="s">
        <v>212</v>
      </c>
      <c r="J1562" s="6">
        <v>70</v>
      </c>
      <c r="K1562" s="8" t="s">
        <v>20</v>
      </c>
      <c r="L1562" s="1" t="s">
        <v>805</v>
      </c>
      <c r="M1562" s="5">
        <v>585</v>
      </c>
    </row>
    <row r="1563" spans="1:13" ht="15" x14ac:dyDescent="0.25">
      <c r="A1563" s="7" t="s">
        <v>16</v>
      </c>
      <c r="B1563" s="7" t="s">
        <v>229</v>
      </c>
      <c r="C1563" s="7" t="s">
        <v>24</v>
      </c>
      <c r="D1563" s="4">
        <v>5868278000280</v>
      </c>
      <c r="E1563" s="8" t="s">
        <v>805</v>
      </c>
      <c r="F1563" s="8" t="s">
        <v>76</v>
      </c>
      <c r="G1563" s="7" t="s">
        <v>77</v>
      </c>
      <c r="H1563" s="47" t="s">
        <v>211</v>
      </c>
      <c r="I1563" s="47" t="s">
        <v>212</v>
      </c>
      <c r="J1563" s="6">
        <v>73</v>
      </c>
      <c r="K1563" s="8" t="s">
        <v>26</v>
      </c>
      <c r="L1563" s="1" t="s">
        <v>805</v>
      </c>
      <c r="M1563" s="5">
        <v>154</v>
      </c>
    </row>
    <row r="1564" spans="1:13" ht="15" x14ac:dyDescent="0.25">
      <c r="A1564" s="7" t="s">
        <v>16</v>
      </c>
      <c r="B1564" s="7" t="s">
        <v>229</v>
      </c>
      <c r="C1564" s="7" t="s">
        <v>24</v>
      </c>
      <c r="D1564" s="4">
        <v>5874946000281</v>
      </c>
      <c r="E1564" s="8" t="s">
        <v>807</v>
      </c>
      <c r="F1564" s="8" t="s">
        <v>76</v>
      </c>
      <c r="G1564" s="7" t="s">
        <v>77</v>
      </c>
      <c r="H1564" s="47" t="s">
        <v>211</v>
      </c>
      <c r="I1564" s="47" t="s">
        <v>212</v>
      </c>
      <c r="J1564" s="6">
        <v>70</v>
      </c>
      <c r="K1564" s="8" t="s">
        <v>20</v>
      </c>
      <c r="L1564" s="1" t="s">
        <v>807</v>
      </c>
      <c r="M1564" s="5">
        <v>225</v>
      </c>
    </row>
    <row r="1565" spans="1:13" ht="15" x14ac:dyDescent="0.25">
      <c r="A1565" s="7" t="s">
        <v>16</v>
      </c>
      <c r="B1565" s="7" t="s">
        <v>229</v>
      </c>
      <c r="C1565" s="7" t="s">
        <v>24</v>
      </c>
      <c r="D1565" s="4">
        <v>12361267011802</v>
      </c>
      <c r="E1565" s="8" t="s">
        <v>863</v>
      </c>
      <c r="F1565" s="8" t="s">
        <v>76</v>
      </c>
      <c r="G1565" s="7" t="s">
        <v>77</v>
      </c>
      <c r="H1565" s="47" t="s">
        <v>211</v>
      </c>
      <c r="I1565" s="47" t="s">
        <v>212</v>
      </c>
      <c r="J1565" s="6">
        <v>62</v>
      </c>
      <c r="K1565" s="8" t="s">
        <v>27</v>
      </c>
      <c r="L1565" s="1" t="s">
        <v>863</v>
      </c>
      <c r="M1565" s="5">
        <v>2</v>
      </c>
    </row>
    <row r="1566" spans="1:13" ht="15" x14ac:dyDescent="0.25">
      <c r="A1566" s="7" t="s">
        <v>16</v>
      </c>
      <c r="B1566" s="7" t="s">
        <v>229</v>
      </c>
      <c r="C1566" s="7" t="s">
        <v>24</v>
      </c>
      <c r="D1566" s="4">
        <v>12361267011802</v>
      </c>
      <c r="E1566" s="8" t="s">
        <v>863</v>
      </c>
      <c r="F1566" s="8" t="s">
        <v>76</v>
      </c>
      <c r="G1566" s="7" t="s">
        <v>77</v>
      </c>
      <c r="H1566" s="47" t="s">
        <v>211</v>
      </c>
      <c r="I1566" s="47" t="s">
        <v>212</v>
      </c>
      <c r="J1566" s="6">
        <v>64</v>
      </c>
      <c r="K1566" s="8" t="s">
        <v>25</v>
      </c>
      <c r="L1566" s="1" t="s">
        <v>863</v>
      </c>
      <c r="M1566" s="5">
        <v>3</v>
      </c>
    </row>
    <row r="1567" spans="1:13" ht="15" x14ac:dyDescent="0.25">
      <c r="A1567" s="7" t="s">
        <v>16</v>
      </c>
      <c r="B1567" s="7" t="s">
        <v>229</v>
      </c>
      <c r="C1567" s="7" t="s">
        <v>24</v>
      </c>
      <c r="D1567" s="4">
        <v>12568570000161</v>
      </c>
      <c r="E1567" s="8" t="s">
        <v>866</v>
      </c>
      <c r="F1567" s="8" t="s">
        <v>76</v>
      </c>
      <c r="G1567" s="7" t="s">
        <v>77</v>
      </c>
      <c r="H1567" s="47" t="s">
        <v>211</v>
      </c>
      <c r="I1567" s="47" t="s">
        <v>212</v>
      </c>
      <c r="J1567" s="6">
        <v>70</v>
      </c>
      <c r="K1567" s="8" t="s">
        <v>20</v>
      </c>
      <c r="L1567" s="1" t="s">
        <v>866</v>
      </c>
      <c r="M1567" s="5">
        <v>5</v>
      </c>
    </row>
    <row r="1568" spans="1:13" ht="15" x14ac:dyDescent="0.25">
      <c r="A1568" s="7" t="s">
        <v>16</v>
      </c>
      <c r="B1568" s="7" t="s">
        <v>229</v>
      </c>
      <c r="C1568" s="7" t="s">
        <v>24</v>
      </c>
      <c r="D1568" s="4">
        <v>15126437001468</v>
      </c>
      <c r="E1568" s="8" t="s">
        <v>883</v>
      </c>
      <c r="F1568" s="8" t="s">
        <v>76</v>
      </c>
      <c r="G1568" s="7" t="s">
        <v>77</v>
      </c>
      <c r="H1568" s="47" t="s">
        <v>211</v>
      </c>
      <c r="I1568" s="47" t="s">
        <v>212</v>
      </c>
      <c r="J1568" s="6">
        <v>64</v>
      </c>
      <c r="K1568" s="8" t="s">
        <v>25</v>
      </c>
      <c r="L1568" s="1" t="s">
        <v>883</v>
      </c>
      <c r="M1568" s="5">
        <v>50</v>
      </c>
    </row>
    <row r="1569" spans="1:13" ht="15" x14ac:dyDescent="0.25">
      <c r="A1569" s="7" t="s">
        <v>16</v>
      </c>
      <c r="B1569" s="7" t="s">
        <v>229</v>
      </c>
      <c r="C1569" s="7" t="s">
        <v>24</v>
      </c>
      <c r="D1569" s="4">
        <v>23443518000103</v>
      </c>
      <c r="E1569" s="8" t="s">
        <v>903</v>
      </c>
      <c r="F1569" s="8" t="s">
        <v>76</v>
      </c>
      <c r="G1569" s="7" t="s">
        <v>77</v>
      </c>
      <c r="H1569" s="47" t="s">
        <v>211</v>
      </c>
      <c r="I1569" s="47" t="s">
        <v>212</v>
      </c>
      <c r="J1569" s="6">
        <v>64</v>
      </c>
      <c r="K1569" s="8" t="s">
        <v>25</v>
      </c>
      <c r="L1569" s="1" t="s">
        <v>903</v>
      </c>
      <c r="M1569" s="5">
        <v>3</v>
      </c>
    </row>
    <row r="1570" spans="1:13" ht="15" x14ac:dyDescent="0.25">
      <c r="A1570" s="7" t="s">
        <v>16</v>
      </c>
      <c r="B1570" s="7" t="s">
        <v>229</v>
      </c>
      <c r="C1570" s="7" t="s">
        <v>24</v>
      </c>
      <c r="D1570" s="4">
        <v>28102490000156</v>
      </c>
      <c r="E1570" s="8" t="s">
        <v>1209</v>
      </c>
      <c r="F1570" s="8" t="s">
        <v>76</v>
      </c>
      <c r="G1570" s="7" t="s">
        <v>77</v>
      </c>
      <c r="H1570" s="47" t="s">
        <v>211</v>
      </c>
      <c r="I1570" s="47" t="s">
        <v>212</v>
      </c>
      <c r="J1570" s="6">
        <v>73</v>
      </c>
      <c r="K1570" s="8" t="s">
        <v>26</v>
      </c>
      <c r="L1570" s="1" t="s">
        <v>1209</v>
      </c>
      <c r="M1570" s="5">
        <v>30</v>
      </c>
    </row>
    <row r="1571" spans="1:13" ht="15" x14ac:dyDescent="0.25">
      <c r="A1571" s="7" t="s">
        <v>16</v>
      </c>
      <c r="B1571" s="7" t="s">
        <v>229</v>
      </c>
      <c r="C1571" s="7" t="s">
        <v>24</v>
      </c>
      <c r="D1571" s="4">
        <v>29435005007484</v>
      </c>
      <c r="E1571" s="8" t="s">
        <v>912</v>
      </c>
      <c r="F1571" s="8" t="s">
        <v>76</v>
      </c>
      <c r="G1571" s="7" t="s">
        <v>77</v>
      </c>
      <c r="H1571" s="47" t="s">
        <v>211</v>
      </c>
      <c r="I1571" s="47" t="s">
        <v>212</v>
      </c>
      <c r="J1571" s="6">
        <v>62</v>
      </c>
      <c r="K1571" s="8" t="s">
        <v>27</v>
      </c>
      <c r="L1571" s="1" t="s">
        <v>912</v>
      </c>
      <c r="M1571" s="5">
        <v>6</v>
      </c>
    </row>
    <row r="1572" spans="1:13" ht="15" x14ac:dyDescent="0.25">
      <c r="A1572" s="7" t="s">
        <v>16</v>
      </c>
      <c r="B1572" s="7" t="s">
        <v>229</v>
      </c>
      <c r="C1572" s="7" t="s">
        <v>24</v>
      </c>
      <c r="D1572" s="4">
        <v>29435005007484</v>
      </c>
      <c r="E1572" s="8" t="s">
        <v>912</v>
      </c>
      <c r="F1572" s="8" t="s">
        <v>76</v>
      </c>
      <c r="G1572" s="7" t="s">
        <v>77</v>
      </c>
      <c r="H1572" s="47" t="s">
        <v>211</v>
      </c>
      <c r="I1572" s="47" t="s">
        <v>212</v>
      </c>
      <c r="J1572" s="6">
        <v>64</v>
      </c>
      <c r="K1572" s="8" t="s">
        <v>25</v>
      </c>
      <c r="L1572" s="1" t="s">
        <v>912</v>
      </c>
      <c r="M1572" s="5">
        <v>20</v>
      </c>
    </row>
    <row r="1573" spans="1:13" ht="15" x14ac:dyDescent="0.25">
      <c r="A1573" s="7" t="s">
        <v>16</v>
      </c>
      <c r="B1573" s="7" t="s">
        <v>229</v>
      </c>
      <c r="C1573" s="7" t="s">
        <v>24</v>
      </c>
      <c r="D1573" s="4">
        <v>60975737003509</v>
      </c>
      <c r="E1573" s="8" t="s">
        <v>921</v>
      </c>
      <c r="F1573" s="8" t="s">
        <v>76</v>
      </c>
      <c r="G1573" s="7" t="s">
        <v>77</v>
      </c>
      <c r="H1573" s="47" t="s">
        <v>211</v>
      </c>
      <c r="I1573" s="47" t="s">
        <v>212</v>
      </c>
      <c r="J1573" s="6">
        <v>62</v>
      </c>
      <c r="K1573" s="8" t="s">
        <v>27</v>
      </c>
      <c r="L1573" s="1" t="s">
        <v>921</v>
      </c>
      <c r="M1573" s="5">
        <v>12</v>
      </c>
    </row>
    <row r="1574" spans="1:13" ht="15" x14ac:dyDescent="0.25">
      <c r="A1574" s="7" t="s">
        <v>16</v>
      </c>
      <c r="B1574" s="7" t="s">
        <v>229</v>
      </c>
      <c r="C1574" s="7" t="s">
        <v>24</v>
      </c>
      <c r="D1574" s="4">
        <v>60975737003509</v>
      </c>
      <c r="E1574" s="8" t="s">
        <v>921</v>
      </c>
      <c r="F1574" s="8" t="s">
        <v>76</v>
      </c>
      <c r="G1574" s="7" t="s">
        <v>77</v>
      </c>
      <c r="H1574" s="47" t="s">
        <v>211</v>
      </c>
      <c r="I1574" s="47" t="s">
        <v>212</v>
      </c>
      <c r="J1574" s="6">
        <v>64</v>
      </c>
      <c r="K1574" s="8" t="s">
        <v>25</v>
      </c>
      <c r="L1574" s="1" t="s">
        <v>921</v>
      </c>
      <c r="M1574" s="5">
        <v>17</v>
      </c>
    </row>
    <row r="1575" spans="1:13" ht="15" x14ac:dyDescent="0.25">
      <c r="A1575" s="7" t="s">
        <v>16</v>
      </c>
      <c r="B1575" s="7" t="s">
        <v>229</v>
      </c>
      <c r="C1575" s="7" t="s">
        <v>24</v>
      </c>
      <c r="D1575" s="4">
        <v>60975737003509</v>
      </c>
      <c r="E1575" s="8" t="s">
        <v>921</v>
      </c>
      <c r="F1575" s="8" t="s">
        <v>76</v>
      </c>
      <c r="G1575" s="7" t="s">
        <v>77</v>
      </c>
      <c r="H1575" s="47" t="s">
        <v>211</v>
      </c>
      <c r="I1575" s="47" t="s">
        <v>212</v>
      </c>
      <c r="J1575" s="6">
        <v>73</v>
      </c>
      <c r="K1575" s="8" t="s">
        <v>26</v>
      </c>
      <c r="L1575" s="1" t="s">
        <v>921</v>
      </c>
      <c r="M1575" s="5">
        <v>3</v>
      </c>
    </row>
    <row r="1576" spans="1:13" ht="15" x14ac:dyDescent="0.25">
      <c r="A1576" s="7" t="s">
        <v>16</v>
      </c>
      <c r="B1576" s="7" t="s">
        <v>229</v>
      </c>
      <c r="C1576" s="7" t="s">
        <v>24</v>
      </c>
      <c r="D1576" s="4">
        <v>74031865000151</v>
      </c>
      <c r="E1576" s="8" t="s">
        <v>926</v>
      </c>
      <c r="F1576" s="8" t="s">
        <v>76</v>
      </c>
      <c r="G1576" s="7" t="s">
        <v>77</v>
      </c>
      <c r="H1576" s="47" t="s">
        <v>211</v>
      </c>
      <c r="I1576" s="47" t="s">
        <v>212</v>
      </c>
      <c r="J1576" s="6">
        <v>62</v>
      </c>
      <c r="K1576" s="8" t="s">
        <v>27</v>
      </c>
      <c r="L1576" s="1" t="s">
        <v>926</v>
      </c>
      <c r="M1576" s="5">
        <v>390</v>
      </c>
    </row>
    <row r="1577" spans="1:13" ht="15" x14ac:dyDescent="0.25">
      <c r="A1577" s="7" t="s">
        <v>16</v>
      </c>
      <c r="B1577" s="7" t="s">
        <v>230</v>
      </c>
      <c r="C1577" s="7" t="s">
        <v>24</v>
      </c>
      <c r="D1577" s="4">
        <v>5867015000175</v>
      </c>
      <c r="E1577" s="8" t="s">
        <v>804</v>
      </c>
      <c r="F1577" s="8" t="s">
        <v>76</v>
      </c>
      <c r="G1577" s="7" t="s">
        <v>77</v>
      </c>
      <c r="H1577" s="47" t="s">
        <v>211</v>
      </c>
      <c r="I1577" s="47" t="s">
        <v>212</v>
      </c>
      <c r="J1577" s="6">
        <v>73</v>
      </c>
      <c r="K1577" s="8" t="s">
        <v>26</v>
      </c>
      <c r="L1577" s="1" t="s">
        <v>804</v>
      </c>
      <c r="M1577" s="5">
        <v>8</v>
      </c>
    </row>
    <row r="1578" spans="1:13" ht="15" x14ac:dyDescent="0.25">
      <c r="A1578" s="7" t="s">
        <v>16</v>
      </c>
      <c r="B1578" s="7" t="s">
        <v>230</v>
      </c>
      <c r="C1578" s="7" t="s">
        <v>24</v>
      </c>
      <c r="D1578" s="4">
        <v>5868278000280</v>
      </c>
      <c r="E1578" s="8" t="s">
        <v>805</v>
      </c>
      <c r="F1578" s="8" t="s">
        <v>76</v>
      </c>
      <c r="G1578" s="7" t="s">
        <v>77</v>
      </c>
      <c r="H1578" s="47" t="s">
        <v>211</v>
      </c>
      <c r="I1578" s="47" t="s">
        <v>212</v>
      </c>
      <c r="J1578" s="6">
        <v>62</v>
      </c>
      <c r="K1578" s="8" t="s">
        <v>27</v>
      </c>
      <c r="L1578" s="1" t="s">
        <v>805</v>
      </c>
      <c r="M1578" s="5">
        <v>38</v>
      </c>
    </row>
    <row r="1579" spans="1:13" ht="15" x14ac:dyDescent="0.25">
      <c r="A1579" s="7" t="s">
        <v>16</v>
      </c>
      <c r="B1579" s="7" t="s">
        <v>230</v>
      </c>
      <c r="C1579" s="7" t="s">
        <v>24</v>
      </c>
      <c r="D1579" s="4">
        <v>5868278000280</v>
      </c>
      <c r="E1579" s="8" t="s">
        <v>805</v>
      </c>
      <c r="F1579" s="8" t="s">
        <v>76</v>
      </c>
      <c r="G1579" s="7" t="s">
        <v>77</v>
      </c>
      <c r="H1579" s="47" t="s">
        <v>211</v>
      </c>
      <c r="I1579" s="47" t="s">
        <v>212</v>
      </c>
      <c r="J1579" s="6">
        <v>64</v>
      </c>
      <c r="K1579" s="8" t="s">
        <v>25</v>
      </c>
      <c r="L1579" s="1" t="s">
        <v>805</v>
      </c>
      <c r="M1579" s="5">
        <v>22</v>
      </c>
    </row>
    <row r="1580" spans="1:13" ht="15" x14ac:dyDescent="0.25">
      <c r="A1580" s="7" t="s">
        <v>16</v>
      </c>
      <c r="B1580" s="7" t="s">
        <v>230</v>
      </c>
      <c r="C1580" s="7" t="s">
        <v>24</v>
      </c>
      <c r="D1580" s="4">
        <v>5868278000280</v>
      </c>
      <c r="E1580" s="8" t="s">
        <v>805</v>
      </c>
      <c r="F1580" s="8" t="s">
        <v>76</v>
      </c>
      <c r="G1580" s="7" t="s">
        <v>77</v>
      </c>
      <c r="H1580" s="47" t="s">
        <v>211</v>
      </c>
      <c r="I1580" s="47" t="s">
        <v>212</v>
      </c>
      <c r="J1580" s="6">
        <v>73</v>
      </c>
      <c r="K1580" s="8" t="s">
        <v>26</v>
      </c>
      <c r="L1580" s="1" t="s">
        <v>805</v>
      </c>
      <c r="M1580" s="5">
        <v>40</v>
      </c>
    </row>
    <row r="1581" spans="1:13" ht="15" x14ac:dyDescent="0.25">
      <c r="A1581" s="7" t="s">
        <v>16</v>
      </c>
      <c r="B1581" s="7" t="s">
        <v>230</v>
      </c>
      <c r="C1581" s="7" t="s">
        <v>24</v>
      </c>
      <c r="D1581" s="4">
        <v>5874946000281</v>
      </c>
      <c r="E1581" s="8" t="s">
        <v>807</v>
      </c>
      <c r="F1581" s="8" t="s">
        <v>76</v>
      </c>
      <c r="G1581" s="7" t="s">
        <v>77</v>
      </c>
      <c r="H1581" s="47" t="s">
        <v>211</v>
      </c>
      <c r="I1581" s="47" t="s">
        <v>212</v>
      </c>
      <c r="J1581" s="6">
        <v>70</v>
      </c>
      <c r="K1581" s="8" t="s">
        <v>20</v>
      </c>
      <c r="L1581" s="1" t="s">
        <v>807</v>
      </c>
      <c r="M1581" s="5">
        <v>25</v>
      </c>
    </row>
    <row r="1582" spans="1:13" ht="15" x14ac:dyDescent="0.25">
      <c r="A1582" s="7" t="s">
        <v>16</v>
      </c>
      <c r="B1582" s="7" t="s">
        <v>230</v>
      </c>
      <c r="C1582" s="7" t="s">
        <v>24</v>
      </c>
      <c r="D1582" s="4">
        <v>7272636000212</v>
      </c>
      <c r="E1582" s="8" t="s">
        <v>818</v>
      </c>
      <c r="F1582" s="8" t="s">
        <v>76</v>
      </c>
      <c r="G1582" s="7" t="s">
        <v>77</v>
      </c>
      <c r="H1582" s="47" t="s">
        <v>211</v>
      </c>
      <c r="I1582" s="47" t="s">
        <v>212</v>
      </c>
      <c r="J1582" s="6">
        <v>62</v>
      </c>
      <c r="K1582" s="8" t="s">
        <v>27</v>
      </c>
      <c r="L1582" s="1" t="s">
        <v>818</v>
      </c>
      <c r="M1582" s="5">
        <v>30</v>
      </c>
    </row>
    <row r="1583" spans="1:13" ht="15" x14ac:dyDescent="0.25">
      <c r="A1583" s="7" t="s">
        <v>16</v>
      </c>
      <c r="B1583" s="7" t="s">
        <v>230</v>
      </c>
      <c r="C1583" s="7" t="s">
        <v>24</v>
      </c>
      <c r="D1583" s="4">
        <v>11794674000121</v>
      </c>
      <c r="E1583" s="8" t="s">
        <v>845</v>
      </c>
      <c r="F1583" s="8" t="s">
        <v>76</v>
      </c>
      <c r="G1583" s="7" t="s">
        <v>77</v>
      </c>
      <c r="H1583" s="47" t="s">
        <v>211</v>
      </c>
      <c r="I1583" s="47" t="s">
        <v>212</v>
      </c>
      <c r="J1583" s="6">
        <v>64</v>
      </c>
      <c r="K1583" s="8" t="s">
        <v>25</v>
      </c>
      <c r="L1583" s="1" t="s">
        <v>845</v>
      </c>
      <c r="M1583" s="5">
        <v>18</v>
      </c>
    </row>
    <row r="1584" spans="1:13" ht="15" x14ac:dyDescent="0.25">
      <c r="A1584" s="7" t="s">
        <v>16</v>
      </c>
      <c r="B1584" s="7" t="s">
        <v>230</v>
      </c>
      <c r="C1584" s="7" t="s">
        <v>24</v>
      </c>
      <c r="D1584" s="4">
        <v>11794674000121</v>
      </c>
      <c r="E1584" s="8" t="s">
        <v>845</v>
      </c>
      <c r="F1584" s="8" t="s">
        <v>76</v>
      </c>
      <c r="G1584" s="7" t="s">
        <v>77</v>
      </c>
      <c r="H1584" s="47" t="s">
        <v>211</v>
      </c>
      <c r="I1584" s="47" t="s">
        <v>212</v>
      </c>
      <c r="J1584" s="6">
        <v>70</v>
      </c>
      <c r="K1584" s="8" t="s">
        <v>20</v>
      </c>
      <c r="L1584" s="1" t="s">
        <v>845</v>
      </c>
      <c r="M1584" s="5">
        <v>250</v>
      </c>
    </row>
    <row r="1585" spans="1:13" ht="15" x14ac:dyDescent="0.25">
      <c r="A1585" s="7" t="s">
        <v>16</v>
      </c>
      <c r="B1585" s="7" t="s">
        <v>230</v>
      </c>
      <c r="C1585" s="7" t="s">
        <v>24</v>
      </c>
      <c r="D1585" s="4">
        <v>23443518000103</v>
      </c>
      <c r="E1585" s="8" t="s">
        <v>903</v>
      </c>
      <c r="F1585" s="8" t="s">
        <v>76</v>
      </c>
      <c r="G1585" s="7" t="s">
        <v>77</v>
      </c>
      <c r="H1585" s="47" t="s">
        <v>211</v>
      </c>
      <c r="I1585" s="47" t="s">
        <v>212</v>
      </c>
      <c r="J1585" s="6">
        <v>62</v>
      </c>
      <c r="K1585" s="8" t="s">
        <v>27</v>
      </c>
      <c r="L1585" s="1" t="s">
        <v>903</v>
      </c>
      <c r="M1585" s="5">
        <v>6</v>
      </c>
    </row>
    <row r="1586" spans="1:13" ht="15" x14ac:dyDescent="0.25">
      <c r="A1586" s="7" t="s">
        <v>16</v>
      </c>
      <c r="B1586" s="7" t="s">
        <v>230</v>
      </c>
      <c r="C1586" s="7" t="s">
        <v>24</v>
      </c>
      <c r="D1586" s="4">
        <v>60975737003509</v>
      </c>
      <c r="E1586" s="8" t="s">
        <v>921</v>
      </c>
      <c r="F1586" s="8" t="s">
        <v>76</v>
      </c>
      <c r="G1586" s="7" t="s">
        <v>77</v>
      </c>
      <c r="H1586" s="47" t="s">
        <v>211</v>
      </c>
      <c r="I1586" s="47" t="s">
        <v>212</v>
      </c>
      <c r="J1586" s="6">
        <v>62</v>
      </c>
      <c r="K1586" s="8" t="s">
        <v>27</v>
      </c>
      <c r="L1586" s="1" t="s">
        <v>921</v>
      </c>
      <c r="M1586" s="5">
        <v>9</v>
      </c>
    </row>
    <row r="1587" spans="1:13" ht="15" x14ac:dyDescent="0.25">
      <c r="A1587" s="7" t="s">
        <v>16</v>
      </c>
      <c r="B1587" s="7" t="s">
        <v>230</v>
      </c>
      <c r="C1587" s="7" t="s">
        <v>24</v>
      </c>
      <c r="D1587" s="4">
        <v>60975737003509</v>
      </c>
      <c r="E1587" s="8" t="s">
        <v>921</v>
      </c>
      <c r="F1587" s="8" t="s">
        <v>76</v>
      </c>
      <c r="G1587" s="7" t="s">
        <v>77</v>
      </c>
      <c r="H1587" s="47" t="s">
        <v>211</v>
      </c>
      <c r="I1587" s="47" t="s">
        <v>212</v>
      </c>
      <c r="J1587" s="6">
        <v>64</v>
      </c>
      <c r="K1587" s="8" t="s">
        <v>25</v>
      </c>
      <c r="L1587" s="1" t="s">
        <v>921</v>
      </c>
      <c r="M1587" s="5">
        <v>2</v>
      </c>
    </row>
    <row r="1588" spans="1:13" ht="15" x14ac:dyDescent="0.25">
      <c r="A1588" s="7" t="s">
        <v>16</v>
      </c>
      <c r="B1588" s="7" t="s">
        <v>230</v>
      </c>
      <c r="C1588" s="7" t="s">
        <v>24</v>
      </c>
      <c r="D1588" s="4">
        <v>60975737003509</v>
      </c>
      <c r="E1588" s="8" t="s">
        <v>921</v>
      </c>
      <c r="F1588" s="8" t="s">
        <v>76</v>
      </c>
      <c r="G1588" s="7" t="s">
        <v>77</v>
      </c>
      <c r="H1588" s="47" t="s">
        <v>211</v>
      </c>
      <c r="I1588" s="47" t="s">
        <v>212</v>
      </c>
      <c r="J1588" s="6">
        <v>73</v>
      </c>
      <c r="K1588" s="8" t="s">
        <v>26</v>
      </c>
      <c r="L1588" s="1" t="s">
        <v>921</v>
      </c>
      <c r="M1588" s="5">
        <v>3</v>
      </c>
    </row>
    <row r="1589" spans="1:13" ht="15" x14ac:dyDescent="0.25">
      <c r="A1589" s="7" t="s">
        <v>16</v>
      </c>
      <c r="B1589" s="7" t="s">
        <v>372</v>
      </c>
      <c r="C1589" s="7" t="s">
        <v>373</v>
      </c>
      <c r="D1589" s="4">
        <v>5867015000175</v>
      </c>
      <c r="E1589" s="8" t="s">
        <v>804</v>
      </c>
      <c r="F1589" s="8" t="s">
        <v>76</v>
      </c>
      <c r="G1589" s="7" t="s">
        <v>77</v>
      </c>
      <c r="H1589" s="47" t="s">
        <v>211</v>
      </c>
      <c r="I1589" s="47" t="s">
        <v>212</v>
      </c>
      <c r="J1589" s="6">
        <v>73</v>
      </c>
      <c r="K1589" s="8" t="s">
        <v>26</v>
      </c>
      <c r="L1589" s="1" t="s">
        <v>804</v>
      </c>
      <c r="M1589" s="5">
        <v>8</v>
      </c>
    </row>
    <row r="1590" spans="1:13" ht="15" x14ac:dyDescent="0.25">
      <c r="A1590" s="7" t="s">
        <v>16</v>
      </c>
      <c r="B1590" s="7" t="s">
        <v>372</v>
      </c>
      <c r="C1590" s="7" t="s">
        <v>373</v>
      </c>
      <c r="D1590" s="4">
        <v>5868278000280</v>
      </c>
      <c r="E1590" s="8" t="s">
        <v>805</v>
      </c>
      <c r="F1590" s="8" t="s">
        <v>76</v>
      </c>
      <c r="G1590" s="7" t="s">
        <v>77</v>
      </c>
      <c r="H1590" s="47" t="s">
        <v>211</v>
      </c>
      <c r="I1590" s="47" t="s">
        <v>212</v>
      </c>
      <c r="J1590" s="6">
        <v>73</v>
      </c>
      <c r="K1590" s="8" t="s">
        <v>26</v>
      </c>
      <c r="L1590" s="1" t="s">
        <v>805</v>
      </c>
      <c r="M1590" s="5">
        <v>84</v>
      </c>
    </row>
    <row r="1591" spans="1:13" ht="15" x14ac:dyDescent="0.25">
      <c r="A1591" s="7" t="s">
        <v>16</v>
      </c>
      <c r="B1591" s="7" t="s">
        <v>372</v>
      </c>
      <c r="C1591" s="7" t="s">
        <v>373</v>
      </c>
      <c r="D1591" s="4">
        <v>7272636000212</v>
      </c>
      <c r="E1591" s="8" t="s">
        <v>818</v>
      </c>
      <c r="F1591" s="8" t="s">
        <v>76</v>
      </c>
      <c r="G1591" s="7" t="s">
        <v>77</v>
      </c>
      <c r="H1591" s="47" t="s">
        <v>211</v>
      </c>
      <c r="I1591" s="47" t="s">
        <v>212</v>
      </c>
      <c r="J1591" s="6">
        <v>62</v>
      </c>
      <c r="K1591" s="8" t="s">
        <v>27</v>
      </c>
      <c r="L1591" s="1" t="s">
        <v>818</v>
      </c>
      <c r="M1591" s="5">
        <v>40</v>
      </c>
    </row>
    <row r="1592" spans="1:13" ht="15" x14ac:dyDescent="0.25">
      <c r="A1592" s="7" t="s">
        <v>16</v>
      </c>
      <c r="B1592" s="7" t="s">
        <v>372</v>
      </c>
      <c r="C1592" s="7" t="s">
        <v>373</v>
      </c>
      <c r="D1592" s="4">
        <v>7835044000180</v>
      </c>
      <c r="E1592" s="8" t="s">
        <v>822</v>
      </c>
      <c r="F1592" s="8" t="s">
        <v>76</v>
      </c>
      <c r="G1592" s="7" t="s">
        <v>77</v>
      </c>
      <c r="H1592" s="47" t="s">
        <v>211</v>
      </c>
      <c r="I1592" s="47" t="s">
        <v>212</v>
      </c>
      <c r="J1592" s="6">
        <v>62</v>
      </c>
      <c r="K1592" s="8" t="s">
        <v>27</v>
      </c>
      <c r="L1592" s="1" t="s">
        <v>822</v>
      </c>
      <c r="M1592" s="5">
        <v>15</v>
      </c>
    </row>
    <row r="1593" spans="1:13" ht="15" x14ac:dyDescent="0.25">
      <c r="A1593" s="7" t="s">
        <v>16</v>
      </c>
      <c r="B1593" s="7" t="s">
        <v>372</v>
      </c>
      <c r="C1593" s="7" t="s">
        <v>373</v>
      </c>
      <c r="D1593" s="4">
        <v>11794674000121</v>
      </c>
      <c r="E1593" s="8" t="s">
        <v>845</v>
      </c>
      <c r="F1593" s="8" t="s">
        <v>76</v>
      </c>
      <c r="G1593" s="7" t="s">
        <v>77</v>
      </c>
      <c r="H1593" s="47" t="s">
        <v>211</v>
      </c>
      <c r="I1593" s="47" t="s">
        <v>212</v>
      </c>
      <c r="J1593" s="6">
        <v>62</v>
      </c>
      <c r="K1593" s="8" t="s">
        <v>27</v>
      </c>
      <c r="L1593" s="1" t="s">
        <v>845</v>
      </c>
      <c r="M1593" s="5">
        <v>6</v>
      </c>
    </row>
    <row r="1594" spans="1:13" ht="15" x14ac:dyDescent="0.25">
      <c r="A1594" s="7" t="s">
        <v>16</v>
      </c>
      <c r="B1594" s="7" t="s">
        <v>372</v>
      </c>
      <c r="C1594" s="7" t="s">
        <v>373</v>
      </c>
      <c r="D1594" s="4">
        <v>11794674000121</v>
      </c>
      <c r="E1594" s="8" t="s">
        <v>845</v>
      </c>
      <c r="F1594" s="8" t="s">
        <v>76</v>
      </c>
      <c r="G1594" s="7" t="s">
        <v>77</v>
      </c>
      <c r="H1594" s="47" t="s">
        <v>211</v>
      </c>
      <c r="I1594" s="47" t="s">
        <v>212</v>
      </c>
      <c r="J1594" s="6">
        <v>64</v>
      </c>
      <c r="K1594" s="8" t="s">
        <v>25</v>
      </c>
      <c r="L1594" s="1" t="s">
        <v>845</v>
      </c>
      <c r="M1594" s="5">
        <v>4</v>
      </c>
    </row>
    <row r="1595" spans="1:13" ht="15" x14ac:dyDescent="0.25">
      <c r="A1595" s="7" t="s">
        <v>16</v>
      </c>
      <c r="B1595" s="7" t="s">
        <v>372</v>
      </c>
      <c r="C1595" s="7" t="s">
        <v>373</v>
      </c>
      <c r="D1595" s="4">
        <v>11794674000121</v>
      </c>
      <c r="E1595" s="8" t="s">
        <v>845</v>
      </c>
      <c r="F1595" s="8" t="s">
        <v>76</v>
      </c>
      <c r="G1595" s="7" t="s">
        <v>77</v>
      </c>
      <c r="H1595" s="47" t="s">
        <v>211</v>
      </c>
      <c r="I1595" s="47" t="s">
        <v>212</v>
      </c>
      <c r="J1595" s="6">
        <v>70</v>
      </c>
      <c r="K1595" s="8" t="s">
        <v>20</v>
      </c>
      <c r="L1595" s="1" t="s">
        <v>845</v>
      </c>
      <c r="M1595" s="5">
        <v>50</v>
      </c>
    </row>
    <row r="1596" spans="1:13" ht="15" x14ac:dyDescent="0.25">
      <c r="A1596" s="7" t="s">
        <v>16</v>
      </c>
      <c r="B1596" s="7" t="s">
        <v>372</v>
      </c>
      <c r="C1596" s="7" t="s">
        <v>373</v>
      </c>
      <c r="D1596" s="4">
        <v>29435005007484</v>
      </c>
      <c r="E1596" s="8" t="s">
        <v>912</v>
      </c>
      <c r="F1596" s="8" t="s">
        <v>76</v>
      </c>
      <c r="G1596" s="7" t="s">
        <v>77</v>
      </c>
      <c r="H1596" s="47" t="s">
        <v>211</v>
      </c>
      <c r="I1596" s="47" t="s">
        <v>212</v>
      </c>
      <c r="J1596" s="6">
        <v>62</v>
      </c>
      <c r="K1596" s="8" t="s">
        <v>27</v>
      </c>
      <c r="L1596" s="1" t="s">
        <v>912</v>
      </c>
      <c r="M1596" s="5">
        <v>7</v>
      </c>
    </row>
    <row r="1597" spans="1:13" ht="15" x14ac:dyDescent="0.25">
      <c r="A1597" s="7" t="s">
        <v>16</v>
      </c>
      <c r="B1597" s="7" t="s">
        <v>372</v>
      </c>
      <c r="C1597" s="7" t="s">
        <v>373</v>
      </c>
      <c r="D1597" s="4">
        <v>29435005007484</v>
      </c>
      <c r="E1597" s="8" t="s">
        <v>912</v>
      </c>
      <c r="F1597" s="8" t="s">
        <v>76</v>
      </c>
      <c r="G1597" s="7" t="s">
        <v>77</v>
      </c>
      <c r="H1597" s="47" t="s">
        <v>211</v>
      </c>
      <c r="I1597" s="47" t="s">
        <v>212</v>
      </c>
      <c r="J1597" s="6">
        <v>64</v>
      </c>
      <c r="K1597" s="8" t="s">
        <v>25</v>
      </c>
      <c r="L1597" s="1" t="s">
        <v>912</v>
      </c>
      <c r="M1597" s="5">
        <v>4</v>
      </c>
    </row>
    <row r="1598" spans="1:13" ht="15" x14ac:dyDescent="0.25">
      <c r="A1598" s="7" t="s">
        <v>16</v>
      </c>
      <c r="B1598" s="7" t="s">
        <v>372</v>
      </c>
      <c r="C1598" s="7" t="s">
        <v>373</v>
      </c>
      <c r="D1598" s="4">
        <v>60975737003509</v>
      </c>
      <c r="E1598" s="8" t="s">
        <v>921</v>
      </c>
      <c r="F1598" s="8" t="s">
        <v>76</v>
      </c>
      <c r="G1598" s="7" t="s">
        <v>77</v>
      </c>
      <c r="H1598" s="47" t="s">
        <v>211</v>
      </c>
      <c r="I1598" s="47" t="s">
        <v>212</v>
      </c>
      <c r="J1598" s="6">
        <v>62</v>
      </c>
      <c r="K1598" s="8" t="s">
        <v>27</v>
      </c>
      <c r="L1598" s="1" t="s">
        <v>921</v>
      </c>
      <c r="M1598" s="5">
        <v>3</v>
      </c>
    </row>
    <row r="1599" spans="1:13" ht="15" x14ac:dyDescent="0.25">
      <c r="A1599" s="7" t="s">
        <v>16</v>
      </c>
      <c r="B1599" s="7" t="s">
        <v>372</v>
      </c>
      <c r="C1599" s="7" t="s">
        <v>373</v>
      </c>
      <c r="D1599" s="4">
        <v>60975737003509</v>
      </c>
      <c r="E1599" s="8" t="s">
        <v>921</v>
      </c>
      <c r="F1599" s="8" t="s">
        <v>76</v>
      </c>
      <c r="G1599" s="7" t="s">
        <v>77</v>
      </c>
      <c r="H1599" s="47" t="s">
        <v>211</v>
      </c>
      <c r="I1599" s="47" t="s">
        <v>212</v>
      </c>
      <c r="J1599" s="6">
        <v>64</v>
      </c>
      <c r="K1599" s="8" t="s">
        <v>25</v>
      </c>
      <c r="L1599" s="1" t="s">
        <v>921</v>
      </c>
      <c r="M1599" s="5">
        <v>57</v>
      </c>
    </row>
    <row r="1600" spans="1:13" ht="15" x14ac:dyDescent="0.25">
      <c r="A1600" s="7" t="s">
        <v>16</v>
      </c>
      <c r="B1600" s="7" t="s">
        <v>372</v>
      </c>
      <c r="C1600" s="7" t="s">
        <v>373</v>
      </c>
      <c r="D1600" s="4">
        <v>60975737003509</v>
      </c>
      <c r="E1600" s="8" t="s">
        <v>921</v>
      </c>
      <c r="F1600" s="8" t="s">
        <v>76</v>
      </c>
      <c r="G1600" s="7" t="s">
        <v>77</v>
      </c>
      <c r="H1600" s="47" t="s">
        <v>211</v>
      </c>
      <c r="I1600" s="47" t="s">
        <v>212</v>
      </c>
      <c r="J1600" s="6">
        <v>73</v>
      </c>
      <c r="K1600" s="8" t="s">
        <v>26</v>
      </c>
      <c r="L1600" s="1" t="s">
        <v>921</v>
      </c>
      <c r="M1600" s="5">
        <v>6</v>
      </c>
    </row>
    <row r="1601" spans="1:13" ht="15" x14ac:dyDescent="0.25">
      <c r="A1601" s="7" t="s">
        <v>16</v>
      </c>
      <c r="B1601" s="7" t="s">
        <v>372</v>
      </c>
      <c r="C1601" s="7" t="s">
        <v>373</v>
      </c>
      <c r="D1601" s="4">
        <v>74031865000151</v>
      </c>
      <c r="E1601" s="8" t="s">
        <v>926</v>
      </c>
      <c r="F1601" s="8" t="s">
        <v>76</v>
      </c>
      <c r="G1601" s="7" t="s">
        <v>77</v>
      </c>
      <c r="H1601" s="47" t="s">
        <v>211</v>
      </c>
      <c r="I1601" s="47" t="s">
        <v>212</v>
      </c>
      <c r="J1601" s="6">
        <v>62</v>
      </c>
      <c r="K1601" s="8" t="s">
        <v>27</v>
      </c>
      <c r="L1601" s="1" t="s">
        <v>926</v>
      </c>
      <c r="M1601" s="5">
        <v>80</v>
      </c>
    </row>
    <row r="1602" spans="1:13" ht="15" x14ac:dyDescent="0.25">
      <c r="A1602" s="7" t="s">
        <v>16</v>
      </c>
      <c r="B1602" s="7" t="s">
        <v>17</v>
      </c>
      <c r="C1602" s="7" t="s">
        <v>18</v>
      </c>
      <c r="D1602" s="4">
        <v>5469172000122</v>
      </c>
      <c r="E1602" s="8" t="s">
        <v>799</v>
      </c>
      <c r="F1602" s="8" t="s">
        <v>75</v>
      </c>
      <c r="G1602" s="7" t="s">
        <v>74</v>
      </c>
      <c r="H1602" s="47" t="s">
        <v>211</v>
      </c>
      <c r="I1602" s="47" t="s">
        <v>212</v>
      </c>
      <c r="J1602" s="6">
        <v>64</v>
      </c>
      <c r="K1602" s="8" t="s">
        <v>25</v>
      </c>
      <c r="L1602" s="1" t="s">
        <v>799</v>
      </c>
      <c r="M1602" s="5">
        <v>6</v>
      </c>
    </row>
    <row r="1603" spans="1:13" ht="15" x14ac:dyDescent="0.25">
      <c r="A1603" s="7" t="s">
        <v>16</v>
      </c>
      <c r="B1603" s="7" t="s">
        <v>21</v>
      </c>
      <c r="C1603" s="7" t="s">
        <v>18</v>
      </c>
      <c r="D1603" s="4">
        <v>5469172000122</v>
      </c>
      <c r="E1603" s="8" t="s">
        <v>799</v>
      </c>
      <c r="F1603" s="8" t="s">
        <v>75</v>
      </c>
      <c r="G1603" s="7" t="s">
        <v>74</v>
      </c>
      <c r="H1603" s="47" t="s">
        <v>211</v>
      </c>
      <c r="I1603" s="47" t="s">
        <v>212</v>
      </c>
      <c r="J1603" s="6">
        <v>62</v>
      </c>
      <c r="K1603" s="8" t="s">
        <v>27</v>
      </c>
      <c r="L1603" s="1" t="s">
        <v>799</v>
      </c>
      <c r="M1603" s="5">
        <v>7</v>
      </c>
    </row>
    <row r="1604" spans="1:13" ht="15" x14ac:dyDescent="0.25">
      <c r="A1604" s="7" t="s">
        <v>16</v>
      </c>
      <c r="B1604" s="7" t="s">
        <v>21</v>
      </c>
      <c r="C1604" s="7" t="s">
        <v>18</v>
      </c>
      <c r="D1604" s="4">
        <v>5469172000122</v>
      </c>
      <c r="E1604" s="8" t="s">
        <v>799</v>
      </c>
      <c r="F1604" s="8" t="s">
        <v>75</v>
      </c>
      <c r="G1604" s="7" t="s">
        <v>74</v>
      </c>
      <c r="H1604" s="47" t="s">
        <v>211</v>
      </c>
      <c r="I1604" s="47" t="s">
        <v>212</v>
      </c>
      <c r="J1604" s="6">
        <v>64</v>
      </c>
      <c r="K1604" s="8" t="s">
        <v>25</v>
      </c>
      <c r="L1604" s="1" t="s">
        <v>799</v>
      </c>
      <c r="M1604" s="5">
        <v>11</v>
      </c>
    </row>
    <row r="1605" spans="1:13" ht="15" x14ac:dyDescent="0.25">
      <c r="A1605" s="7" t="s">
        <v>16</v>
      </c>
      <c r="B1605" s="7" t="s">
        <v>17</v>
      </c>
      <c r="C1605" s="7" t="s">
        <v>18</v>
      </c>
      <c r="D1605" s="4">
        <v>5816630000152</v>
      </c>
      <c r="E1605" s="8" t="s">
        <v>803</v>
      </c>
      <c r="F1605" s="8" t="s">
        <v>75</v>
      </c>
      <c r="G1605" s="7" t="s">
        <v>74</v>
      </c>
      <c r="H1605" s="47" t="s">
        <v>211</v>
      </c>
      <c r="I1605" s="47" t="s">
        <v>212</v>
      </c>
      <c r="J1605" s="6">
        <v>64</v>
      </c>
      <c r="K1605" s="8" t="s">
        <v>25</v>
      </c>
      <c r="L1605" s="1" t="s">
        <v>803</v>
      </c>
      <c r="M1605" s="5">
        <v>18</v>
      </c>
    </row>
    <row r="1606" spans="1:13" ht="15" x14ac:dyDescent="0.25">
      <c r="A1606" s="7" t="s">
        <v>16</v>
      </c>
      <c r="B1606" s="7" t="s">
        <v>17</v>
      </c>
      <c r="C1606" s="7" t="s">
        <v>18</v>
      </c>
      <c r="D1606" s="4">
        <v>5816630000152</v>
      </c>
      <c r="E1606" s="8" t="s">
        <v>803</v>
      </c>
      <c r="F1606" s="8" t="s">
        <v>75</v>
      </c>
      <c r="G1606" s="7" t="s">
        <v>74</v>
      </c>
      <c r="H1606" s="47" t="s">
        <v>211</v>
      </c>
      <c r="I1606" s="47" t="s">
        <v>212</v>
      </c>
      <c r="J1606" s="6">
        <v>70</v>
      </c>
      <c r="K1606" s="8" t="s">
        <v>20</v>
      </c>
      <c r="L1606" s="1" t="s">
        <v>803</v>
      </c>
      <c r="M1606" s="5">
        <v>150</v>
      </c>
    </row>
    <row r="1607" spans="1:13" ht="15" x14ac:dyDescent="0.25">
      <c r="A1607" s="7" t="s">
        <v>16</v>
      </c>
      <c r="B1607" s="7" t="s">
        <v>21</v>
      </c>
      <c r="C1607" s="7" t="s">
        <v>18</v>
      </c>
      <c r="D1607" s="4">
        <v>5816630000152</v>
      </c>
      <c r="E1607" s="8" t="s">
        <v>803</v>
      </c>
      <c r="F1607" s="8" t="s">
        <v>75</v>
      </c>
      <c r="G1607" s="7" t="s">
        <v>74</v>
      </c>
      <c r="H1607" s="47" t="s">
        <v>211</v>
      </c>
      <c r="I1607" s="47" t="s">
        <v>212</v>
      </c>
      <c r="J1607" s="6">
        <v>62</v>
      </c>
      <c r="K1607" s="8" t="s">
        <v>27</v>
      </c>
      <c r="L1607" s="1" t="s">
        <v>803</v>
      </c>
      <c r="M1607" s="5">
        <v>5</v>
      </c>
    </row>
    <row r="1608" spans="1:13" ht="15" x14ac:dyDescent="0.25">
      <c r="A1608" s="7" t="s">
        <v>16</v>
      </c>
      <c r="B1608" s="7" t="s">
        <v>21</v>
      </c>
      <c r="C1608" s="7" t="s">
        <v>18</v>
      </c>
      <c r="D1608" s="4">
        <v>5816630000152</v>
      </c>
      <c r="E1608" s="8" t="s">
        <v>803</v>
      </c>
      <c r="F1608" s="8" t="s">
        <v>75</v>
      </c>
      <c r="G1608" s="7" t="s">
        <v>74</v>
      </c>
      <c r="H1608" s="47" t="s">
        <v>211</v>
      </c>
      <c r="I1608" s="47" t="s">
        <v>212</v>
      </c>
      <c r="J1608" s="6">
        <v>64</v>
      </c>
      <c r="K1608" s="8" t="s">
        <v>25</v>
      </c>
      <c r="L1608" s="1" t="s">
        <v>803</v>
      </c>
      <c r="M1608" s="5">
        <v>15</v>
      </c>
    </row>
    <row r="1609" spans="1:13" ht="15" x14ac:dyDescent="0.25">
      <c r="A1609" s="7" t="s">
        <v>16</v>
      </c>
      <c r="B1609" s="7" t="s">
        <v>21</v>
      </c>
      <c r="C1609" s="7" t="s">
        <v>18</v>
      </c>
      <c r="D1609" s="4">
        <v>5816630000152</v>
      </c>
      <c r="E1609" s="8" t="s">
        <v>803</v>
      </c>
      <c r="F1609" s="8" t="s">
        <v>75</v>
      </c>
      <c r="G1609" s="7" t="s">
        <v>74</v>
      </c>
      <c r="H1609" s="47" t="s">
        <v>211</v>
      </c>
      <c r="I1609" s="47" t="s">
        <v>212</v>
      </c>
      <c r="J1609" s="6">
        <v>70</v>
      </c>
      <c r="K1609" s="8" t="s">
        <v>20</v>
      </c>
      <c r="L1609" s="1" t="s">
        <v>803</v>
      </c>
      <c r="M1609" s="5">
        <v>2960</v>
      </c>
    </row>
    <row r="1610" spans="1:13" ht="15" x14ac:dyDescent="0.25">
      <c r="A1610" s="7" t="s">
        <v>16</v>
      </c>
      <c r="B1610" s="7" t="s">
        <v>21</v>
      </c>
      <c r="C1610" s="7" t="s">
        <v>18</v>
      </c>
      <c r="D1610" s="4">
        <v>3376102000102</v>
      </c>
      <c r="E1610" s="8" t="s">
        <v>786</v>
      </c>
      <c r="F1610" s="8" t="s">
        <v>75</v>
      </c>
      <c r="G1610" s="7" t="s">
        <v>74</v>
      </c>
      <c r="H1610" s="47" t="s">
        <v>211</v>
      </c>
      <c r="I1610" s="47" t="s">
        <v>212</v>
      </c>
      <c r="J1610" s="6">
        <v>62</v>
      </c>
      <c r="K1610" s="8" t="s">
        <v>27</v>
      </c>
      <c r="L1610" s="1" t="s">
        <v>786</v>
      </c>
      <c r="M1610" s="5">
        <v>3</v>
      </c>
    </row>
    <row r="1611" spans="1:13" ht="15" x14ac:dyDescent="0.25">
      <c r="A1611" s="7" t="s">
        <v>16</v>
      </c>
      <c r="B1611" s="7" t="s">
        <v>17</v>
      </c>
      <c r="C1611" s="7" t="s">
        <v>18</v>
      </c>
      <c r="D1611" s="4">
        <v>12361267010318</v>
      </c>
      <c r="E1611" s="8" t="s">
        <v>861</v>
      </c>
      <c r="F1611" s="8" t="s">
        <v>75</v>
      </c>
      <c r="G1611" s="7" t="s">
        <v>74</v>
      </c>
      <c r="H1611" s="47" t="s">
        <v>211</v>
      </c>
      <c r="I1611" s="47" t="s">
        <v>212</v>
      </c>
      <c r="J1611" s="6">
        <v>64</v>
      </c>
      <c r="K1611" s="8" t="s">
        <v>25</v>
      </c>
      <c r="L1611" s="1" t="s">
        <v>861</v>
      </c>
      <c r="M1611" s="5">
        <v>7</v>
      </c>
    </row>
    <row r="1612" spans="1:13" ht="15" x14ac:dyDescent="0.25">
      <c r="A1612" s="7" t="s">
        <v>16</v>
      </c>
      <c r="B1612" s="7" t="s">
        <v>17</v>
      </c>
      <c r="C1612" s="7" t="s">
        <v>18</v>
      </c>
      <c r="D1612" s="4">
        <v>12361267010318</v>
      </c>
      <c r="E1612" s="8" t="s">
        <v>861</v>
      </c>
      <c r="F1612" s="8" t="s">
        <v>75</v>
      </c>
      <c r="G1612" s="7" t="s">
        <v>74</v>
      </c>
      <c r="H1612" s="47" t="s">
        <v>211</v>
      </c>
      <c r="I1612" s="47" t="s">
        <v>212</v>
      </c>
      <c r="J1612" s="6">
        <v>70</v>
      </c>
      <c r="K1612" s="8" t="s">
        <v>20</v>
      </c>
      <c r="L1612" s="1" t="s">
        <v>861</v>
      </c>
      <c r="M1612" s="5">
        <v>290</v>
      </c>
    </row>
    <row r="1613" spans="1:13" ht="15" x14ac:dyDescent="0.25">
      <c r="A1613" s="7" t="s">
        <v>16</v>
      </c>
      <c r="B1613" s="7" t="s">
        <v>21</v>
      </c>
      <c r="C1613" s="7" t="s">
        <v>18</v>
      </c>
      <c r="D1613" s="4">
        <v>12361267010318</v>
      </c>
      <c r="E1613" s="8" t="s">
        <v>861</v>
      </c>
      <c r="F1613" s="8" t="s">
        <v>75</v>
      </c>
      <c r="G1613" s="7" t="s">
        <v>74</v>
      </c>
      <c r="H1613" s="47" t="s">
        <v>211</v>
      </c>
      <c r="I1613" s="47" t="s">
        <v>212</v>
      </c>
      <c r="J1613" s="6">
        <v>62</v>
      </c>
      <c r="K1613" s="8" t="s">
        <v>27</v>
      </c>
      <c r="L1613" s="1" t="s">
        <v>861</v>
      </c>
      <c r="M1613" s="5">
        <v>5</v>
      </c>
    </row>
    <row r="1614" spans="1:13" ht="15" x14ac:dyDescent="0.25">
      <c r="A1614" s="7" t="s">
        <v>16</v>
      </c>
      <c r="B1614" s="7" t="s">
        <v>21</v>
      </c>
      <c r="C1614" s="7" t="s">
        <v>18</v>
      </c>
      <c r="D1614" s="4">
        <v>12361267010318</v>
      </c>
      <c r="E1614" s="8" t="s">
        <v>861</v>
      </c>
      <c r="F1614" s="8" t="s">
        <v>75</v>
      </c>
      <c r="G1614" s="7" t="s">
        <v>74</v>
      </c>
      <c r="H1614" s="47" t="s">
        <v>211</v>
      </c>
      <c r="I1614" s="47" t="s">
        <v>212</v>
      </c>
      <c r="J1614" s="6">
        <v>64</v>
      </c>
      <c r="K1614" s="8" t="s">
        <v>25</v>
      </c>
      <c r="L1614" s="1" t="s">
        <v>861</v>
      </c>
      <c r="M1614" s="5">
        <v>11</v>
      </c>
    </row>
    <row r="1615" spans="1:13" ht="15" x14ac:dyDescent="0.25">
      <c r="A1615" s="7" t="s">
        <v>16</v>
      </c>
      <c r="B1615" s="7" t="s">
        <v>21</v>
      </c>
      <c r="C1615" s="7" t="s">
        <v>18</v>
      </c>
      <c r="D1615" s="4">
        <v>12361267010318</v>
      </c>
      <c r="E1615" s="8" t="s">
        <v>861</v>
      </c>
      <c r="F1615" s="8" t="s">
        <v>75</v>
      </c>
      <c r="G1615" s="7" t="s">
        <v>74</v>
      </c>
      <c r="H1615" s="47" t="s">
        <v>211</v>
      </c>
      <c r="I1615" s="47" t="s">
        <v>212</v>
      </c>
      <c r="J1615" s="6">
        <v>70</v>
      </c>
      <c r="K1615" s="8" t="s">
        <v>20</v>
      </c>
      <c r="L1615" s="1" t="s">
        <v>861</v>
      </c>
      <c r="M1615" s="5">
        <v>275</v>
      </c>
    </row>
    <row r="1616" spans="1:13" ht="15" x14ac:dyDescent="0.25">
      <c r="A1616" s="7" t="s">
        <v>16</v>
      </c>
      <c r="B1616" s="7" t="s">
        <v>17</v>
      </c>
      <c r="C1616" s="7" t="s">
        <v>18</v>
      </c>
      <c r="D1616" s="4">
        <v>13016092000140</v>
      </c>
      <c r="E1616" s="8" t="s">
        <v>867</v>
      </c>
      <c r="F1616" s="8" t="s">
        <v>75</v>
      </c>
      <c r="G1616" s="7" t="s">
        <v>74</v>
      </c>
      <c r="H1616" s="47" t="s">
        <v>211</v>
      </c>
      <c r="I1616" s="47" t="s">
        <v>212</v>
      </c>
      <c r="J1616" s="6">
        <v>64</v>
      </c>
      <c r="K1616" s="8" t="s">
        <v>25</v>
      </c>
      <c r="L1616" s="1" t="s">
        <v>867</v>
      </c>
      <c r="M1616" s="5">
        <v>10</v>
      </c>
    </row>
    <row r="1617" spans="1:13" ht="15" x14ac:dyDescent="0.25">
      <c r="A1617" s="7" t="s">
        <v>16</v>
      </c>
      <c r="B1617" s="7" t="s">
        <v>21</v>
      </c>
      <c r="C1617" s="7" t="s">
        <v>18</v>
      </c>
      <c r="D1617" s="4">
        <v>13016092000140</v>
      </c>
      <c r="E1617" s="8" t="s">
        <v>867</v>
      </c>
      <c r="F1617" s="8" t="s">
        <v>75</v>
      </c>
      <c r="G1617" s="7" t="s">
        <v>74</v>
      </c>
      <c r="H1617" s="47" t="s">
        <v>211</v>
      </c>
      <c r="I1617" s="47" t="s">
        <v>212</v>
      </c>
      <c r="J1617" s="6">
        <v>64</v>
      </c>
      <c r="K1617" s="8" t="s">
        <v>25</v>
      </c>
      <c r="L1617" s="1" t="s">
        <v>867</v>
      </c>
      <c r="M1617" s="5">
        <v>10</v>
      </c>
    </row>
    <row r="1618" spans="1:13" ht="15" x14ac:dyDescent="0.25">
      <c r="A1618" s="7" t="s">
        <v>16</v>
      </c>
      <c r="B1618" s="7" t="s">
        <v>17</v>
      </c>
      <c r="C1618" s="7" t="s">
        <v>18</v>
      </c>
      <c r="D1618" s="4">
        <v>13952064000134</v>
      </c>
      <c r="E1618" s="8" t="s">
        <v>875</v>
      </c>
      <c r="F1618" s="8" t="s">
        <v>75</v>
      </c>
      <c r="G1618" s="7" t="s">
        <v>74</v>
      </c>
      <c r="H1618" s="47" t="s">
        <v>211</v>
      </c>
      <c r="I1618" s="47" t="s">
        <v>212</v>
      </c>
      <c r="J1618" s="6">
        <v>62</v>
      </c>
      <c r="K1618" s="8" t="s">
        <v>27</v>
      </c>
      <c r="L1618" s="1" t="s">
        <v>875</v>
      </c>
      <c r="M1618" s="5">
        <v>3</v>
      </c>
    </row>
    <row r="1619" spans="1:13" ht="15" x14ac:dyDescent="0.25">
      <c r="A1619" s="7" t="s">
        <v>16</v>
      </c>
      <c r="B1619" s="7" t="s">
        <v>21</v>
      </c>
      <c r="C1619" s="7" t="s">
        <v>18</v>
      </c>
      <c r="D1619" s="4">
        <v>13952064000134</v>
      </c>
      <c r="E1619" s="8" t="s">
        <v>875</v>
      </c>
      <c r="F1619" s="8" t="s">
        <v>75</v>
      </c>
      <c r="G1619" s="7" t="s">
        <v>74</v>
      </c>
      <c r="H1619" s="47" t="s">
        <v>211</v>
      </c>
      <c r="I1619" s="47" t="s">
        <v>212</v>
      </c>
      <c r="J1619" s="6">
        <v>64</v>
      </c>
      <c r="K1619" s="8" t="s">
        <v>25</v>
      </c>
      <c r="L1619" s="1" t="s">
        <v>875</v>
      </c>
      <c r="M1619" s="5">
        <v>8</v>
      </c>
    </row>
    <row r="1620" spans="1:13" ht="15" x14ac:dyDescent="0.25">
      <c r="A1620" s="7" t="s">
        <v>16</v>
      </c>
      <c r="B1620" s="7" t="s">
        <v>17</v>
      </c>
      <c r="C1620" s="7" t="s">
        <v>18</v>
      </c>
      <c r="D1620" s="4">
        <v>15153745000249</v>
      </c>
      <c r="E1620" s="8" t="s">
        <v>887</v>
      </c>
      <c r="F1620" s="8" t="s">
        <v>75</v>
      </c>
      <c r="G1620" s="7" t="s">
        <v>74</v>
      </c>
      <c r="H1620" s="47" t="s">
        <v>211</v>
      </c>
      <c r="I1620" s="47" t="s">
        <v>212</v>
      </c>
      <c r="J1620" s="6">
        <v>62</v>
      </c>
      <c r="K1620" s="8" t="s">
        <v>27</v>
      </c>
      <c r="L1620" s="1" t="s">
        <v>887</v>
      </c>
      <c r="M1620" s="5">
        <v>2</v>
      </c>
    </row>
    <row r="1621" spans="1:13" ht="15" x14ac:dyDescent="0.25">
      <c r="A1621" s="7" t="s">
        <v>16</v>
      </c>
      <c r="B1621" s="7" t="s">
        <v>17</v>
      </c>
      <c r="C1621" s="7" t="s">
        <v>18</v>
      </c>
      <c r="D1621" s="4">
        <v>15153745002705</v>
      </c>
      <c r="E1621" s="8" t="s">
        <v>888</v>
      </c>
      <c r="F1621" s="8" t="s">
        <v>75</v>
      </c>
      <c r="G1621" s="7" t="s">
        <v>74</v>
      </c>
      <c r="H1621" s="47" t="s">
        <v>211</v>
      </c>
      <c r="I1621" s="47" t="s">
        <v>212</v>
      </c>
      <c r="J1621" s="6">
        <v>64</v>
      </c>
      <c r="K1621" s="8" t="s">
        <v>25</v>
      </c>
      <c r="L1621" s="1" t="s">
        <v>888</v>
      </c>
      <c r="M1621" s="5">
        <v>11</v>
      </c>
    </row>
    <row r="1622" spans="1:13" ht="15" x14ac:dyDescent="0.25">
      <c r="A1622" s="7" t="s">
        <v>16</v>
      </c>
      <c r="B1622" s="7" t="s">
        <v>21</v>
      </c>
      <c r="C1622" s="7" t="s">
        <v>18</v>
      </c>
      <c r="D1622" s="4">
        <v>15153745002705</v>
      </c>
      <c r="E1622" s="8" t="s">
        <v>888</v>
      </c>
      <c r="F1622" s="8" t="s">
        <v>75</v>
      </c>
      <c r="G1622" s="7" t="s">
        <v>74</v>
      </c>
      <c r="H1622" s="47" t="s">
        <v>211</v>
      </c>
      <c r="I1622" s="47" t="s">
        <v>212</v>
      </c>
      <c r="J1622" s="6">
        <v>64</v>
      </c>
      <c r="K1622" s="8" t="s">
        <v>25</v>
      </c>
      <c r="L1622" s="1" t="s">
        <v>888</v>
      </c>
      <c r="M1622" s="5">
        <v>10</v>
      </c>
    </row>
    <row r="1623" spans="1:13" ht="15" x14ac:dyDescent="0.25">
      <c r="A1623" s="7" t="s">
        <v>16</v>
      </c>
      <c r="B1623" s="7" t="s">
        <v>17</v>
      </c>
      <c r="C1623" s="7" t="s">
        <v>18</v>
      </c>
      <c r="D1623" s="4">
        <v>15166416000151</v>
      </c>
      <c r="E1623" s="8" t="s">
        <v>889</v>
      </c>
      <c r="F1623" s="8" t="s">
        <v>75</v>
      </c>
      <c r="G1623" s="7" t="s">
        <v>74</v>
      </c>
      <c r="H1623" s="47" t="s">
        <v>211</v>
      </c>
      <c r="I1623" s="47" t="s">
        <v>212</v>
      </c>
      <c r="J1623" s="6">
        <v>62</v>
      </c>
      <c r="K1623" s="8" t="s">
        <v>27</v>
      </c>
      <c r="L1623" s="1" t="s">
        <v>889</v>
      </c>
      <c r="M1623" s="5">
        <v>11</v>
      </c>
    </row>
    <row r="1624" spans="1:13" ht="15" x14ac:dyDescent="0.25">
      <c r="A1624" s="7" t="s">
        <v>16</v>
      </c>
      <c r="B1624" s="7" t="s">
        <v>17</v>
      </c>
      <c r="C1624" s="7" t="s">
        <v>18</v>
      </c>
      <c r="D1624" s="4">
        <v>15166416000151</v>
      </c>
      <c r="E1624" s="8" t="s">
        <v>889</v>
      </c>
      <c r="F1624" s="8" t="s">
        <v>75</v>
      </c>
      <c r="G1624" s="7" t="s">
        <v>74</v>
      </c>
      <c r="H1624" s="47" t="s">
        <v>211</v>
      </c>
      <c r="I1624" s="47" t="s">
        <v>212</v>
      </c>
      <c r="J1624" s="6">
        <v>64</v>
      </c>
      <c r="K1624" s="8" t="s">
        <v>25</v>
      </c>
      <c r="L1624" s="1" t="s">
        <v>889</v>
      </c>
      <c r="M1624" s="5">
        <v>17</v>
      </c>
    </row>
    <row r="1625" spans="1:13" ht="15" x14ac:dyDescent="0.25">
      <c r="A1625" s="7" t="s">
        <v>16</v>
      </c>
      <c r="B1625" s="7" t="s">
        <v>21</v>
      </c>
      <c r="C1625" s="7" t="s">
        <v>18</v>
      </c>
      <c r="D1625" s="4">
        <v>15166416000151</v>
      </c>
      <c r="E1625" s="8" t="s">
        <v>889</v>
      </c>
      <c r="F1625" s="8" t="s">
        <v>75</v>
      </c>
      <c r="G1625" s="7" t="s">
        <v>74</v>
      </c>
      <c r="H1625" s="47" t="s">
        <v>211</v>
      </c>
      <c r="I1625" s="47" t="s">
        <v>212</v>
      </c>
      <c r="J1625" s="6">
        <v>62</v>
      </c>
      <c r="K1625" s="8" t="s">
        <v>27</v>
      </c>
      <c r="L1625" s="1" t="s">
        <v>889</v>
      </c>
      <c r="M1625" s="5">
        <v>8</v>
      </c>
    </row>
    <row r="1626" spans="1:13" ht="15" x14ac:dyDescent="0.25">
      <c r="A1626" s="7" t="s">
        <v>16</v>
      </c>
      <c r="B1626" s="7" t="s">
        <v>21</v>
      </c>
      <c r="C1626" s="7" t="s">
        <v>18</v>
      </c>
      <c r="D1626" s="4">
        <v>15166416000151</v>
      </c>
      <c r="E1626" s="8" t="s">
        <v>889</v>
      </c>
      <c r="F1626" s="8" t="s">
        <v>75</v>
      </c>
      <c r="G1626" s="7" t="s">
        <v>74</v>
      </c>
      <c r="H1626" s="47" t="s">
        <v>211</v>
      </c>
      <c r="I1626" s="47" t="s">
        <v>212</v>
      </c>
      <c r="J1626" s="6">
        <v>64</v>
      </c>
      <c r="K1626" s="8" t="s">
        <v>25</v>
      </c>
      <c r="L1626" s="1" t="s">
        <v>889</v>
      </c>
      <c r="M1626" s="5">
        <v>29</v>
      </c>
    </row>
    <row r="1627" spans="1:13" ht="15" x14ac:dyDescent="0.25">
      <c r="A1627" s="7" t="s">
        <v>16</v>
      </c>
      <c r="B1627" s="7" t="s">
        <v>17</v>
      </c>
      <c r="C1627" s="7" t="s">
        <v>18</v>
      </c>
      <c r="D1627" s="4">
        <v>15170723000106</v>
      </c>
      <c r="E1627" s="8" t="s">
        <v>890</v>
      </c>
      <c r="F1627" s="8" t="s">
        <v>75</v>
      </c>
      <c r="G1627" s="7" t="s">
        <v>74</v>
      </c>
      <c r="H1627" s="47" t="s">
        <v>211</v>
      </c>
      <c r="I1627" s="47" t="s">
        <v>212</v>
      </c>
      <c r="J1627" s="6">
        <v>62</v>
      </c>
      <c r="K1627" s="8" t="s">
        <v>27</v>
      </c>
      <c r="L1627" s="1" t="s">
        <v>890</v>
      </c>
      <c r="M1627" s="5">
        <v>1</v>
      </c>
    </row>
    <row r="1628" spans="1:13" ht="15" x14ac:dyDescent="0.25">
      <c r="A1628" s="7" t="s">
        <v>16</v>
      </c>
      <c r="B1628" s="7" t="s">
        <v>17</v>
      </c>
      <c r="C1628" s="7" t="s">
        <v>18</v>
      </c>
      <c r="D1628" s="4">
        <v>15170723000106</v>
      </c>
      <c r="E1628" s="8" t="s">
        <v>890</v>
      </c>
      <c r="F1628" s="8" t="s">
        <v>75</v>
      </c>
      <c r="G1628" s="7" t="s">
        <v>74</v>
      </c>
      <c r="H1628" s="47" t="s">
        <v>211</v>
      </c>
      <c r="I1628" s="47" t="s">
        <v>212</v>
      </c>
      <c r="J1628" s="6">
        <v>64</v>
      </c>
      <c r="K1628" s="8" t="s">
        <v>25</v>
      </c>
      <c r="L1628" s="1" t="s">
        <v>890</v>
      </c>
      <c r="M1628" s="5">
        <v>11</v>
      </c>
    </row>
    <row r="1629" spans="1:13" ht="15" x14ac:dyDescent="0.25">
      <c r="A1629" s="7" t="s">
        <v>16</v>
      </c>
      <c r="B1629" s="7" t="s">
        <v>17</v>
      </c>
      <c r="C1629" s="7" t="s">
        <v>18</v>
      </c>
      <c r="D1629" s="4">
        <v>15170723000106</v>
      </c>
      <c r="E1629" s="8" t="s">
        <v>890</v>
      </c>
      <c r="F1629" s="8" t="s">
        <v>75</v>
      </c>
      <c r="G1629" s="7" t="s">
        <v>74</v>
      </c>
      <c r="H1629" s="47" t="s">
        <v>211</v>
      </c>
      <c r="I1629" s="47" t="s">
        <v>212</v>
      </c>
      <c r="J1629" s="6">
        <v>70</v>
      </c>
      <c r="K1629" s="8" t="s">
        <v>20</v>
      </c>
      <c r="L1629" s="1" t="s">
        <v>890</v>
      </c>
      <c r="M1629" s="5">
        <v>300</v>
      </c>
    </row>
    <row r="1630" spans="1:13" ht="15" x14ac:dyDescent="0.25">
      <c r="A1630" s="7" t="s">
        <v>16</v>
      </c>
      <c r="B1630" s="7" t="s">
        <v>17</v>
      </c>
      <c r="C1630" s="7" t="s">
        <v>18</v>
      </c>
      <c r="D1630" s="4">
        <v>15180714000368</v>
      </c>
      <c r="E1630" s="8" t="s">
        <v>893</v>
      </c>
      <c r="F1630" s="8" t="s">
        <v>75</v>
      </c>
      <c r="G1630" s="7" t="s">
        <v>74</v>
      </c>
      <c r="H1630" s="47" t="s">
        <v>211</v>
      </c>
      <c r="I1630" s="47" t="s">
        <v>212</v>
      </c>
      <c r="J1630" s="6">
        <v>64</v>
      </c>
      <c r="K1630" s="8" t="s">
        <v>25</v>
      </c>
      <c r="L1630" s="1" t="s">
        <v>893</v>
      </c>
      <c r="M1630" s="5">
        <v>12</v>
      </c>
    </row>
    <row r="1631" spans="1:13" ht="15" x14ac:dyDescent="0.25">
      <c r="A1631" s="7" t="s">
        <v>16</v>
      </c>
      <c r="B1631" s="7" t="s">
        <v>17</v>
      </c>
      <c r="C1631" s="7" t="s">
        <v>18</v>
      </c>
      <c r="D1631" s="4">
        <v>15180714000520</v>
      </c>
      <c r="E1631" s="8" t="s">
        <v>894</v>
      </c>
      <c r="F1631" s="8" t="s">
        <v>75</v>
      </c>
      <c r="G1631" s="7" t="s">
        <v>74</v>
      </c>
      <c r="H1631" s="47" t="s">
        <v>211</v>
      </c>
      <c r="I1631" s="47" t="s">
        <v>212</v>
      </c>
      <c r="J1631" s="6">
        <v>62</v>
      </c>
      <c r="K1631" s="8" t="s">
        <v>27</v>
      </c>
      <c r="L1631" s="1" t="s">
        <v>894</v>
      </c>
      <c r="M1631" s="5">
        <v>5</v>
      </c>
    </row>
    <row r="1632" spans="1:13" ht="15" x14ac:dyDescent="0.25">
      <c r="A1632" s="7" t="s">
        <v>16</v>
      </c>
      <c r="B1632" s="7" t="s">
        <v>17</v>
      </c>
      <c r="C1632" s="7" t="s">
        <v>18</v>
      </c>
      <c r="D1632" s="4">
        <v>15194004000125</v>
      </c>
      <c r="E1632" s="8" t="s">
        <v>895</v>
      </c>
      <c r="F1632" s="8" t="s">
        <v>75</v>
      </c>
      <c r="G1632" s="7" t="s">
        <v>74</v>
      </c>
      <c r="H1632" s="47" t="s">
        <v>211</v>
      </c>
      <c r="I1632" s="47" t="s">
        <v>212</v>
      </c>
      <c r="J1632" s="6">
        <v>64</v>
      </c>
      <c r="K1632" s="8" t="s">
        <v>25</v>
      </c>
      <c r="L1632" s="1" t="s">
        <v>895</v>
      </c>
      <c r="M1632" s="5">
        <v>2</v>
      </c>
    </row>
    <row r="1633" spans="1:13" ht="15" x14ac:dyDescent="0.25">
      <c r="A1633" s="7" t="s">
        <v>16</v>
      </c>
      <c r="B1633" s="7" t="s">
        <v>21</v>
      </c>
      <c r="C1633" s="7" t="s">
        <v>18</v>
      </c>
      <c r="D1633" s="4">
        <v>15194004000125</v>
      </c>
      <c r="E1633" s="8" t="s">
        <v>895</v>
      </c>
      <c r="F1633" s="8" t="s">
        <v>75</v>
      </c>
      <c r="G1633" s="7" t="s">
        <v>74</v>
      </c>
      <c r="H1633" s="47" t="s">
        <v>211</v>
      </c>
      <c r="I1633" s="47" t="s">
        <v>212</v>
      </c>
      <c r="J1633" s="6">
        <v>64</v>
      </c>
      <c r="K1633" s="8" t="s">
        <v>25</v>
      </c>
      <c r="L1633" s="1" t="s">
        <v>895</v>
      </c>
      <c r="M1633" s="5">
        <v>5</v>
      </c>
    </row>
    <row r="1634" spans="1:13" ht="15" x14ac:dyDescent="0.25">
      <c r="A1634" s="7" t="s">
        <v>16</v>
      </c>
      <c r="B1634" s="7" t="s">
        <v>17</v>
      </c>
      <c r="C1634" s="7" t="s">
        <v>18</v>
      </c>
      <c r="D1634" s="4">
        <v>15242761000127</v>
      </c>
      <c r="E1634" s="8" t="s">
        <v>896</v>
      </c>
      <c r="F1634" s="8" t="s">
        <v>75</v>
      </c>
      <c r="G1634" s="7" t="s">
        <v>74</v>
      </c>
      <c r="H1634" s="47" t="s">
        <v>211</v>
      </c>
      <c r="I1634" s="47" t="s">
        <v>212</v>
      </c>
      <c r="J1634" s="6">
        <v>70</v>
      </c>
      <c r="K1634" s="8" t="s">
        <v>20</v>
      </c>
      <c r="L1634" s="1" t="s">
        <v>896</v>
      </c>
      <c r="M1634" s="5">
        <v>100</v>
      </c>
    </row>
    <row r="1635" spans="1:13" ht="15" x14ac:dyDescent="0.25">
      <c r="A1635" s="7" t="s">
        <v>16</v>
      </c>
      <c r="B1635" s="7" t="s">
        <v>17</v>
      </c>
      <c r="C1635" s="7" t="s">
        <v>18</v>
      </c>
      <c r="D1635" s="4">
        <v>15242761000127</v>
      </c>
      <c r="E1635" s="8" t="s">
        <v>896</v>
      </c>
      <c r="F1635" s="8" t="s">
        <v>75</v>
      </c>
      <c r="G1635" s="7" t="s">
        <v>74</v>
      </c>
      <c r="H1635" s="47" t="s">
        <v>211</v>
      </c>
      <c r="I1635" s="47" t="s">
        <v>212</v>
      </c>
      <c r="J1635" s="6">
        <v>73</v>
      </c>
      <c r="K1635" s="8" t="s">
        <v>26</v>
      </c>
      <c r="L1635" s="1" t="s">
        <v>896</v>
      </c>
      <c r="M1635" s="5">
        <v>114</v>
      </c>
    </row>
    <row r="1636" spans="1:13" ht="15" x14ac:dyDescent="0.25">
      <c r="A1636" s="7" t="s">
        <v>16</v>
      </c>
      <c r="B1636" s="7" t="s">
        <v>17</v>
      </c>
      <c r="C1636" s="7" t="s">
        <v>18</v>
      </c>
      <c r="D1636" s="4">
        <v>27372066000169</v>
      </c>
      <c r="E1636" s="8" t="s">
        <v>908</v>
      </c>
      <c r="F1636" s="8" t="s">
        <v>75</v>
      </c>
      <c r="G1636" s="7" t="s">
        <v>74</v>
      </c>
      <c r="H1636" s="47" t="s">
        <v>211</v>
      </c>
      <c r="I1636" s="47" t="s">
        <v>212</v>
      </c>
      <c r="J1636" s="6">
        <v>64</v>
      </c>
      <c r="K1636" s="8" t="s">
        <v>25</v>
      </c>
      <c r="L1636" s="1" t="s">
        <v>908</v>
      </c>
      <c r="M1636" s="5">
        <v>17</v>
      </c>
    </row>
    <row r="1637" spans="1:13" ht="15" x14ac:dyDescent="0.25">
      <c r="A1637" s="7" t="s">
        <v>16</v>
      </c>
      <c r="B1637" s="7" t="s">
        <v>21</v>
      </c>
      <c r="C1637" s="7" t="s">
        <v>18</v>
      </c>
      <c r="D1637" s="4">
        <v>27372066000169</v>
      </c>
      <c r="E1637" s="8" t="s">
        <v>908</v>
      </c>
      <c r="F1637" s="8" t="s">
        <v>75</v>
      </c>
      <c r="G1637" s="7" t="s">
        <v>74</v>
      </c>
      <c r="H1637" s="47" t="s">
        <v>211</v>
      </c>
      <c r="I1637" s="47" t="s">
        <v>212</v>
      </c>
      <c r="J1637" s="6">
        <v>64</v>
      </c>
      <c r="K1637" s="8" t="s">
        <v>25</v>
      </c>
      <c r="L1637" s="1" t="s">
        <v>908</v>
      </c>
      <c r="M1637" s="5">
        <v>4</v>
      </c>
    </row>
    <row r="1638" spans="1:13" ht="15" x14ac:dyDescent="0.25">
      <c r="A1638" s="7" t="s">
        <v>16</v>
      </c>
      <c r="B1638" s="7" t="s">
        <v>21</v>
      </c>
      <c r="C1638" s="7" t="s">
        <v>18</v>
      </c>
      <c r="D1638" s="4">
        <v>11943553000102</v>
      </c>
      <c r="E1638" s="8" t="s">
        <v>847</v>
      </c>
      <c r="F1638" s="8" t="s">
        <v>75</v>
      </c>
      <c r="G1638" s="7" t="s">
        <v>74</v>
      </c>
      <c r="H1638" s="47" t="s">
        <v>211</v>
      </c>
      <c r="I1638" s="47" t="s">
        <v>212</v>
      </c>
      <c r="J1638" s="6">
        <v>64</v>
      </c>
      <c r="K1638" s="8" t="s">
        <v>25</v>
      </c>
      <c r="L1638" s="1" t="s">
        <v>847</v>
      </c>
      <c r="M1638" s="5">
        <v>2</v>
      </c>
    </row>
    <row r="1639" spans="1:13" ht="15" x14ac:dyDescent="0.25">
      <c r="A1639" s="7" t="s">
        <v>16</v>
      </c>
      <c r="B1639" s="7" t="s">
        <v>21</v>
      </c>
      <c r="C1639" s="7" t="s">
        <v>18</v>
      </c>
      <c r="D1639" s="4">
        <v>15140254000182</v>
      </c>
      <c r="E1639" s="8" t="s">
        <v>886</v>
      </c>
      <c r="F1639" s="8" t="s">
        <v>75</v>
      </c>
      <c r="G1639" s="7" t="s">
        <v>74</v>
      </c>
      <c r="H1639" s="47" t="s">
        <v>211</v>
      </c>
      <c r="I1639" s="47" t="s">
        <v>212</v>
      </c>
      <c r="J1639" s="6">
        <v>73</v>
      </c>
      <c r="K1639" s="8" t="s">
        <v>26</v>
      </c>
      <c r="L1639" s="1" t="s">
        <v>886</v>
      </c>
      <c r="M1639" s="5">
        <v>2</v>
      </c>
    </row>
    <row r="1640" spans="1:13" ht="15" x14ac:dyDescent="0.25">
      <c r="A1640" s="7" t="s">
        <v>16</v>
      </c>
      <c r="B1640" s="7" t="s">
        <v>21</v>
      </c>
      <c r="C1640" s="7" t="s">
        <v>18</v>
      </c>
      <c r="D1640" s="4">
        <v>16475154000250</v>
      </c>
      <c r="E1640" s="8" t="s">
        <v>899</v>
      </c>
      <c r="F1640" s="8" t="s">
        <v>75</v>
      </c>
      <c r="G1640" s="7" t="s">
        <v>74</v>
      </c>
      <c r="H1640" s="47" t="s">
        <v>211</v>
      </c>
      <c r="I1640" s="47" t="s">
        <v>212</v>
      </c>
      <c r="J1640" s="6">
        <v>64</v>
      </c>
      <c r="K1640" s="8" t="s">
        <v>25</v>
      </c>
      <c r="L1640" s="1" t="s">
        <v>899</v>
      </c>
      <c r="M1640" s="5">
        <v>3</v>
      </c>
    </row>
    <row r="1641" spans="1:13" ht="15" x14ac:dyDescent="0.25">
      <c r="A1641" s="7" t="s">
        <v>16</v>
      </c>
      <c r="B1641" s="7" t="s">
        <v>22</v>
      </c>
      <c r="C1641" s="7" t="s">
        <v>18</v>
      </c>
      <c r="D1641" s="4">
        <v>9324322559</v>
      </c>
      <c r="E1641" s="8" t="s">
        <v>737</v>
      </c>
      <c r="F1641" s="8" t="s">
        <v>75</v>
      </c>
      <c r="G1641" s="7" t="s">
        <v>74</v>
      </c>
      <c r="H1641" s="47" t="s">
        <v>211</v>
      </c>
      <c r="I1641" s="47" t="s">
        <v>212</v>
      </c>
      <c r="J1641" s="6">
        <v>73</v>
      </c>
      <c r="K1641" s="8" t="s">
        <v>26</v>
      </c>
      <c r="L1641" s="1" t="s">
        <v>737</v>
      </c>
      <c r="M1641" s="5">
        <v>5</v>
      </c>
    </row>
    <row r="1642" spans="1:13" ht="15" x14ac:dyDescent="0.25">
      <c r="A1642" s="7" t="s">
        <v>16</v>
      </c>
      <c r="B1642" s="7" t="s">
        <v>22</v>
      </c>
      <c r="C1642" s="7" t="s">
        <v>18</v>
      </c>
      <c r="D1642" s="4">
        <v>5469172000122</v>
      </c>
      <c r="E1642" s="8" t="s">
        <v>799</v>
      </c>
      <c r="F1642" s="8" t="s">
        <v>75</v>
      </c>
      <c r="G1642" s="7" t="s">
        <v>74</v>
      </c>
      <c r="H1642" s="47" t="s">
        <v>211</v>
      </c>
      <c r="I1642" s="47" t="s">
        <v>212</v>
      </c>
      <c r="J1642" s="6">
        <v>62</v>
      </c>
      <c r="K1642" s="8" t="s">
        <v>27</v>
      </c>
      <c r="L1642" s="1" t="s">
        <v>799</v>
      </c>
      <c r="M1642" s="5">
        <v>4</v>
      </c>
    </row>
    <row r="1643" spans="1:13" ht="15" x14ac:dyDescent="0.25">
      <c r="A1643" s="7" t="s">
        <v>16</v>
      </c>
      <c r="B1643" s="7" t="s">
        <v>22</v>
      </c>
      <c r="C1643" s="7" t="s">
        <v>18</v>
      </c>
      <c r="D1643" s="4">
        <v>5816630000152</v>
      </c>
      <c r="E1643" s="8" t="s">
        <v>803</v>
      </c>
      <c r="F1643" s="8" t="s">
        <v>75</v>
      </c>
      <c r="G1643" s="7" t="s">
        <v>74</v>
      </c>
      <c r="H1643" s="47" t="s">
        <v>211</v>
      </c>
      <c r="I1643" s="47" t="s">
        <v>212</v>
      </c>
      <c r="J1643" s="6">
        <v>64</v>
      </c>
      <c r="K1643" s="8" t="s">
        <v>25</v>
      </c>
      <c r="L1643" s="1" t="s">
        <v>803</v>
      </c>
      <c r="M1643" s="5">
        <v>15</v>
      </c>
    </row>
    <row r="1644" spans="1:13" ht="15" x14ac:dyDescent="0.25">
      <c r="A1644" s="7" t="s">
        <v>16</v>
      </c>
      <c r="B1644" s="7" t="s">
        <v>22</v>
      </c>
      <c r="C1644" s="7" t="s">
        <v>18</v>
      </c>
      <c r="D1644" s="4">
        <v>5816630000152</v>
      </c>
      <c r="E1644" s="8" t="s">
        <v>803</v>
      </c>
      <c r="F1644" s="8" t="s">
        <v>75</v>
      </c>
      <c r="G1644" s="7" t="s">
        <v>74</v>
      </c>
      <c r="H1644" s="47" t="s">
        <v>211</v>
      </c>
      <c r="I1644" s="47" t="s">
        <v>212</v>
      </c>
      <c r="J1644" s="6">
        <v>70</v>
      </c>
      <c r="K1644" s="8" t="s">
        <v>20</v>
      </c>
      <c r="L1644" s="1" t="s">
        <v>803</v>
      </c>
      <c r="M1644" s="5">
        <v>650</v>
      </c>
    </row>
    <row r="1645" spans="1:13" ht="15" x14ac:dyDescent="0.25">
      <c r="A1645" s="7" t="s">
        <v>16</v>
      </c>
      <c r="B1645" s="7" t="s">
        <v>22</v>
      </c>
      <c r="C1645" s="7" t="s">
        <v>18</v>
      </c>
      <c r="D1645" s="4">
        <v>12361267010318</v>
      </c>
      <c r="E1645" s="8" t="s">
        <v>861</v>
      </c>
      <c r="F1645" s="8" t="s">
        <v>75</v>
      </c>
      <c r="G1645" s="7" t="s">
        <v>74</v>
      </c>
      <c r="H1645" s="47" t="s">
        <v>211</v>
      </c>
      <c r="I1645" s="47" t="s">
        <v>212</v>
      </c>
      <c r="J1645" s="6">
        <v>62</v>
      </c>
      <c r="K1645" s="8" t="s">
        <v>27</v>
      </c>
      <c r="L1645" s="1" t="s">
        <v>861</v>
      </c>
      <c r="M1645" s="5">
        <v>5</v>
      </c>
    </row>
    <row r="1646" spans="1:13" ht="15" x14ac:dyDescent="0.25">
      <c r="A1646" s="7" t="s">
        <v>16</v>
      </c>
      <c r="B1646" s="7" t="s">
        <v>22</v>
      </c>
      <c r="C1646" s="7" t="s">
        <v>18</v>
      </c>
      <c r="D1646" s="4">
        <v>12361267010318</v>
      </c>
      <c r="E1646" s="8" t="s">
        <v>861</v>
      </c>
      <c r="F1646" s="8" t="s">
        <v>75</v>
      </c>
      <c r="G1646" s="7" t="s">
        <v>74</v>
      </c>
      <c r="H1646" s="47" t="s">
        <v>211</v>
      </c>
      <c r="I1646" s="47" t="s">
        <v>212</v>
      </c>
      <c r="J1646" s="6">
        <v>64</v>
      </c>
      <c r="K1646" s="8" t="s">
        <v>25</v>
      </c>
      <c r="L1646" s="1" t="s">
        <v>861</v>
      </c>
      <c r="M1646" s="5">
        <v>2</v>
      </c>
    </row>
    <row r="1647" spans="1:13" ht="15" x14ac:dyDescent="0.25">
      <c r="A1647" s="7" t="s">
        <v>16</v>
      </c>
      <c r="B1647" s="7" t="s">
        <v>22</v>
      </c>
      <c r="C1647" s="7" t="s">
        <v>18</v>
      </c>
      <c r="D1647" s="4">
        <v>12361267014739</v>
      </c>
      <c r="E1647" s="8" t="s">
        <v>864</v>
      </c>
      <c r="F1647" s="8" t="s">
        <v>75</v>
      </c>
      <c r="G1647" s="7" t="s">
        <v>74</v>
      </c>
      <c r="H1647" s="47" t="s">
        <v>211</v>
      </c>
      <c r="I1647" s="47" t="s">
        <v>212</v>
      </c>
      <c r="J1647" s="6">
        <v>64</v>
      </c>
      <c r="K1647" s="8" t="s">
        <v>25</v>
      </c>
      <c r="L1647" s="1" t="s">
        <v>864</v>
      </c>
      <c r="M1647" s="5">
        <v>3</v>
      </c>
    </row>
    <row r="1648" spans="1:13" ht="15" x14ac:dyDescent="0.25">
      <c r="A1648" s="7" t="s">
        <v>16</v>
      </c>
      <c r="B1648" s="7" t="s">
        <v>22</v>
      </c>
      <c r="C1648" s="7" t="s">
        <v>18</v>
      </c>
      <c r="D1648" s="4">
        <v>13952064000134</v>
      </c>
      <c r="E1648" s="8" t="s">
        <v>875</v>
      </c>
      <c r="F1648" s="8" t="s">
        <v>75</v>
      </c>
      <c r="G1648" s="7" t="s">
        <v>74</v>
      </c>
      <c r="H1648" s="47" t="s">
        <v>211</v>
      </c>
      <c r="I1648" s="47" t="s">
        <v>212</v>
      </c>
      <c r="J1648" s="6">
        <v>62</v>
      </c>
      <c r="K1648" s="8" t="s">
        <v>27</v>
      </c>
      <c r="L1648" s="1" t="s">
        <v>875</v>
      </c>
      <c r="M1648" s="5">
        <v>8</v>
      </c>
    </row>
    <row r="1649" spans="1:13" ht="15" x14ac:dyDescent="0.25">
      <c r="A1649" s="7" t="s">
        <v>16</v>
      </c>
      <c r="B1649" s="7" t="s">
        <v>22</v>
      </c>
      <c r="C1649" s="7" t="s">
        <v>18</v>
      </c>
      <c r="D1649" s="4">
        <v>13952064000134</v>
      </c>
      <c r="E1649" s="8" t="s">
        <v>875</v>
      </c>
      <c r="F1649" s="8" t="s">
        <v>75</v>
      </c>
      <c r="G1649" s="7" t="s">
        <v>74</v>
      </c>
      <c r="H1649" s="47" t="s">
        <v>211</v>
      </c>
      <c r="I1649" s="47" t="s">
        <v>212</v>
      </c>
      <c r="J1649" s="6">
        <v>64</v>
      </c>
      <c r="K1649" s="8" t="s">
        <v>25</v>
      </c>
      <c r="L1649" s="1" t="s">
        <v>875</v>
      </c>
      <c r="M1649" s="5">
        <v>6</v>
      </c>
    </row>
    <row r="1650" spans="1:13" ht="15" x14ac:dyDescent="0.25">
      <c r="A1650" s="7" t="s">
        <v>16</v>
      </c>
      <c r="B1650" s="7" t="s">
        <v>22</v>
      </c>
      <c r="C1650" s="7" t="s">
        <v>18</v>
      </c>
      <c r="D1650" s="4">
        <v>15153745000249</v>
      </c>
      <c r="E1650" s="8" t="s">
        <v>887</v>
      </c>
      <c r="F1650" s="8" t="s">
        <v>75</v>
      </c>
      <c r="G1650" s="7" t="s">
        <v>74</v>
      </c>
      <c r="H1650" s="47" t="s">
        <v>211</v>
      </c>
      <c r="I1650" s="47" t="s">
        <v>212</v>
      </c>
      <c r="J1650" s="6">
        <v>62</v>
      </c>
      <c r="K1650" s="8" t="s">
        <v>27</v>
      </c>
      <c r="L1650" s="1" t="s">
        <v>887</v>
      </c>
      <c r="M1650" s="5">
        <v>8</v>
      </c>
    </row>
    <row r="1651" spans="1:13" ht="15" x14ac:dyDescent="0.25">
      <c r="A1651" s="7" t="s">
        <v>16</v>
      </c>
      <c r="B1651" s="7" t="s">
        <v>22</v>
      </c>
      <c r="C1651" s="7" t="s">
        <v>18</v>
      </c>
      <c r="D1651" s="4">
        <v>15153745000249</v>
      </c>
      <c r="E1651" s="8" t="s">
        <v>887</v>
      </c>
      <c r="F1651" s="8" t="s">
        <v>75</v>
      </c>
      <c r="G1651" s="7" t="s">
        <v>74</v>
      </c>
      <c r="H1651" s="47" t="s">
        <v>211</v>
      </c>
      <c r="I1651" s="47" t="s">
        <v>212</v>
      </c>
      <c r="J1651" s="6">
        <v>64</v>
      </c>
      <c r="K1651" s="8" t="s">
        <v>25</v>
      </c>
      <c r="L1651" s="1" t="s">
        <v>887</v>
      </c>
      <c r="M1651" s="5">
        <v>13</v>
      </c>
    </row>
    <row r="1652" spans="1:13" ht="15" x14ac:dyDescent="0.25">
      <c r="A1652" s="7" t="s">
        <v>16</v>
      </c>
      <c r="B1652" s="7" t="s">
        <v>22</v>
      </c>
      <c r="C1652" s="7" t="s">
        <v>18</v>
      </c>
      <c r="D1652" s="4">
        <v>15166416000151</v>
      </c>
      <c r="E1652" s="8" t="s">
        <v>889</v>
      </c>
      <c r="F1652" s="8" t="s">
        <v>75</v>
      </c>
      <c r="G1652" s="7" t="s">
        <v>74</v>
      </c>
      <c r="H1652" s="47" t="s">
        <v>211</v>
      </c>
      <c r="I1652" s="47" t="s">
        <v>212</v>
      </c>
      <c r="J1652" s="6">
        <v>62</v>
      </c>
      <c r="K1652" s="8" t="s">
        <v>27</v>
      </c>
      <c r="L1652" s="1" t="s">
        <v>889</v>
      </c>
      <c r="M1652" s="5">
        <v>10</v>
      </c>
    </row>
    <row r="1653" spans="1:13" ht="15" x14ac:dyDescent="0.25">
      <c r="A1653" s="7" t="s">
        <v>16</v>
      </c>
      <c r="B1653" s="7" t="s">
        <v>22</v>
      </c>
      <c r="C1653" s="7" t="s">
        <v>18</v>
      </c>
      <c r="D1653" s="4">
        <v>15166416000151</v>
      </c>
      <c r="E1653" s="8" t="s">
        <v>889</v>
      </c>
      <c r="F1653" s="8" t="s">
        <v>75</v>
      </c>
      <c r="G1653" s="7" t="s">
        <v>74</v>
      </c>
      <c r="H1653" s="47" t="s">
        <v>211</v>
      </c>
      <c r="I1653" s="47" t="s">
        <v>212</v>
      </c>
      <c r="J1653" s="6">
        <v>64</v>
      </c>
      <c r="K1653" s="8" t="s">
        <v>25</v>
      </c>
      <c r="L1653" s="1" t="s">
        <v>889</v>
      </c>
      <c r="M1653" s="5">
        <v>10</v>
      </c>
    </row>
    <row r="1654" spans="1:13" ht="15" x14ac:dyDescent="0.25">
      <c r="A1654" s="7" t="s">
        <v>16</v>
      </c>
      <c r="B1654" s="7" t="s">
        <v>22</v>
      </c>
      <c r="C1654" s="7" t="s">
        <v>18</v>
      </c>
      <c r="D1654" s="4">
        <v>15180714000520</v>
      </c>
      <c r="E1654" s="8" t="s">
        <v>894</v>
      </c>
      <c r="F1654" s="8" t="s">
        <v>75</v>
      </c>
      <c r="G1654" s="7" t="s">
        <v>74</v>
      </c>
      <c r="H1654" s="47" t="s">
        <v>211</v>
      </c>
      <c r="I1654" s="47" t="s">
        <v>212</v>
      </c>
      <c r="J1654" s="6">
        <v>62</v>
      </c>
      <c r="K1654" s="8" t="s">
        <v>27</v>
      </c>
      <c r="L1654" s="1" t="s">
        <v>894</v>
      </c>
      <c r="M1654" s="5">
        <v>20</v>
      </c>
    </row>
    <row r="1655" spans="1:13" ht="15" x14ac:dyDescent="0.25">
      <c r="A1655" s="7" t="s">
        <v>16</v>
      </c>
      <c r="B1655" s="7" t="s">
        <v>22</v>
      </c>
      <c r="C1655" s="7" t="s">
        <v>18</v>
      </c>
      <c r="D1655" s="4">
        <v>15194004000125</v>
      </c>
      <c r="E1655" s="8" t="s">
        <v>895</v>
      </c>
      <c r="F1655" s="8" t="s">
        <v>75</v>
      </c>
      <c r="G1655" s="7" t="s">
        <v>74</v>
      </c>
      <c r="H1655" s="47" t="s">
        <v>211</v>
      </c>
      <c r="I1655" s="47" t="s">
        <v>212</v>
      </c>
      <c r="J1655" s="6">
        <v>64</v>
      </c>
      <c r="K1655" s="8" t="s">
        <v>25</v>
      </c>
      <c r="L1655" s="1" t="s">
        <v>895</v>
      </c>
      <c r="M1655" s="5">
        <v>24</v>
      </c>
    </row>
    <row r="1656" spans="1:13" ht="15" x14ac:dyDescent="0.25">
      <c r="A1656" s="7" t="s">
        <v>16</v>
      </c>
      <c r="B1656" s="7" t="s">
        <v>22</v>
      </c>
      <c r="C1656" s="7" t="s">
        <v>18</v>
      </c>
      <c r="D1656" s="4">
        <v>15242761000127</v>
      </c>
      <c r="E1656" s="8" t="s">
        <v>896</v>
      </c>
      <c r="F1656" s="8" t="s">
        <v>75</v>
      </c>
      <c r="G1656" s="7" t="s">
        <v>74</v>
      </c>
      <c r="H1656" s="47" t="s">
        <v>211</v>
      </c>
      <c r="I1656" s="47" t="s">
        <v>212</v>
      </c>
      <c r="J1656" s="6">
        <v>70</v>
      </c>
      <c r="K1656" s="8" t="s">
        <v>20</v>
      </c>
      <c r="L1656" s="1" t="s">
        <v>896</v>
      </c>
      <c r="M1656" s="5">
        <v>100</v>
      </c>
    </row>
    <row r="1657" spans="1:13" ht="15" x14ac:dyDescent="0.25">
      <c r="A1657" s="7" t="s">
        <v>16</v>
      </c>
      <c r="B1657" s="7" t="s">
        <v>22</v>
      </c>
      <c r="C1657" s="7" t="s">
        <v>18</v>
      </c>
      <c r="D1657" s="4">
        <v>15242761000127</v>
      </c>
      <c r="E1657" s="8" t="s">
        <v>896</v>
      </c>
      <c r="F1657" s="8" t="s">
        <v>75</v>
      </c>
      <c r="G1657" s="7" t="s">
        <v>74</v>
      </c>
      <c r="H1657" s="47" t="s">
        <v>211</v>
      </c>
      <c r="I1657" s="47" t="s">
        <v>212</v>
      </c>
      <c r="J1657" s="6">
        <v>73</v>
      </c>
      <c r="K1657" s="8" t="s">
        <v>26</v>
      </c>
      <c r="L1657" s="1" t="s">
        <v>896</v>
      </c>
      <c r="M1657" s="5">
        <v>112</v>
      </c>
    </row>
    <row r="1658" spans="1:13" ht="15" x14ac:dyDescent="0.25">
      <c r="A1658" s="7" t="s">
        <v>16</v>
      </c>
      <c r="B1658" s="7" t="s">
        <v>22</v>
      </c>
      <c r="C1658" s="7" t="s">
        <v>18</v>
      </c>
      <c r="D1658" s="4">
        <v>27372066000169</v>
      </c>
      <c r="E1658" s="8" t="s">
        <v>908</v>
      </c>
      <c r="F1658" s="8" t="s">
        <v>75</v>
      </c>
      <c r="G1658" s="7" t="s">
        <v>74</v>
      </c>
      <c r="H1658" s="47" t="s">
        <v>211</v>
      </c>
      <c r="I1658" s="47" t="s">
        <v>212</v>
      </c>
      <c r="J1658" s="6">
        <v>62</v>
      </c>
      <c r="K1658" s="8" t="s">
        <v>27</v>
      </c>
      <c r="L1658" s="1" t="s">
        <v>908</v>
      </c>
      <c r="M1658" s="5">
        <v>5</v>
      </c>
    </row>
    <row r="1659" spans="1:13" ht="15" x14ac:dyDescent="0.25">
      <c r="A1659" s="7" t="s">
        <v>16</v>
      </c>
      <c r="B1659" s="7" t="s">
        <v>22</v>
      </c>
      <c r="C1659" s="7" t="s">
        <v>18</v>
      </c>
      <c r="D1659" s="4">
        <v>27372066000169</v>
      </c>
      <c r="E1659" s="8" t="s">
        <v>908</v>
      </c>
      <c r="F1659" s="8" t="s">
        <v>75</v>
      </c>
      <c r="G1659" s="7" t="s">
        <v>74</v>
      </c>
      <c r="H1659" s="47" t="s">
        <v>211</v>
      </c>
      <c r="I1659" s="47" t="s">
        <v>212</v>
      </c>
      <c r="J1659" s="6">
        <v>64</v>
      </c>
      <c r="K1659" s="8" t="s">
        <v>25</v>
      </c>
      <c r="L1659" s="1" t="s">
        <v>908</v>
      </c>
      <c r="M1659" s="5">
        <v>8</v>
      </c>
    </row>
    <row r="1660" spans="1:13" ht="15" x14ac:dyDescent="0.25">
      <c r="A1660" s="7" t="s">
        <v>16</v>
      </c>
      <c r="B1660" s="7" t="s">
        <v>22</v>
      </c>
      <c r="C1660" s="7" t="s">
        <v>18</v>
      </c>
      <c r="D1660" s="4">
        <v>97397848000138</v>
      </c>
      <c r="E1660" s="8" t="s">
        <v>928</v>
      </c>
      <c r="F1660" s="8" t="s">
        <v>75</v>
      </c>
      <c r="G1660" s="7" t="s">
        <v>74</v>
      </c>
      <c r="H1660" s="47" t="s">
        <v>211</v>
      </c>
      <c r="I1660" s="47" t="s">
        <v>212</v>
      </c>
      <c r="J1660" s="6">
        <v>64</v>
      </c>
      <c r="K1660" s="8" t="s">
        <v>25</v>
      </c>
      <c r="L1660" s="1" t="s">
        <v>928</v>
      </c>
      <c r="M1660" s="5">
        <v>4</v>
      </c>
    </row>
    <row r="1661" spans="1:13" ht="15" x14ac:dyDescent="0.25">
      <c r="A1661" s="7" t="s">
        <v>16</v>
      </c>
      <c r="B1661" s="7" t="s">
        <v>23</v>
      </c>
      <c r="C1661" s="7" t="s">
        <v>24</v>
      </c>
      <c r="D1661" s="4">
        <v>5469172000122</v>
      </c>
      <c r="E1661" s="8" t="s">
        <v>799</v>
      </c>
      <c r="F1661" s="8" t="s">
        <v>75</v>
      </c>
      <c r="G1661" s="7" t="s">
        <v>74</v>
      </c>
      <c r="H1661" s="47" t="s">
        <v>211</v>
      </c>
      <c r="I1661" s="47" t="s">
        <v>212</v>
      </c>
      <c r="J1661" s="6">
        <v>62</v>
      </c>
      <c r="K1661" s="8" t="s">
        <v>27</v>
      </c>
      <c r="L1661" s="1" t="s">
        <v>799</v>
      </c>
      <c r="M1661" s="5">
        <v>5</v>
      </c>
    </row>
    <row r="1662" spans="1:13" ht="15" x14ac:dyDescent="0.25">
      <c r="A1662" s="7" t="s">
        <v>16</v>
      </c>
      <c r="B1662" s="7" t="s">
        <v>23</v>
      </c>
      <c r="C1662" s="7" t="s">
        <v>24</v>
      </c>
      <c r="D1662" s="4">
        <v>5469172000122</v>
      </c>
      <c r="E1662" s="8" t="s">
        <v>799</v>
      </c>
      <c r="F1662" s="8" t="s">
        <v>75</v>
      </c>
      <c r="G1662" s="7" t="s">
        <v>74</v>
      </c>
      <c r="H1662" s="47" t="s">
        <v>211</v>
      </c>
      <c r="I1662" s="47" t="s">
        <v>212</v>
      </c>
      <c r="J1662" s="6">
        <v>64</v>
      </c>
      <c r="K1662" s="8" t="s">
        <v>25</v>
      </c>
      <c r="L1662" s="1" t="s">
        <v>799</v>
      </c>
      <c r="M1662" s="5">
        <v>18</v>
      </c>
    </row>
    <row r="1663" spans="1:13" ht="15" x14ac:dyDescent="0.25">
      <c r="A1663" s="7" t="s">
        <v>16</v>
      </c>
      <c r="B1663" s="7" t="s">
        <v>23</v>
      </c>
      <c r="C1663" s="7" t="s">
        <v>24</v>
      </c>
      <c r="D1663" s="4">
        <v>5816630000152</v>
      </c>
      <c r="E1663" s="8" t="s">
        <v>803</v>
      </c>
      <c r="F1663" s="8" t="s">
        <v>75</v>
      </c>
      <c r="G1663" s="7" t="s">
        <v>74</v>
      </c>
      <c r="H1663" s="47" t="s">
        <v>211</v>
      </c>
      <c r="I1663" s="47" t="s">
        <v>212</v>
      </c>
      <c r="J1663" s="6">
        <v>62</v>
      </c>
      <c r="K1663" s="8" t="s">
        <v>27</v>
      </c>
      <c r="L1663" s="1" t="s">
        <v>803</v>
      </c>
      <c r="M1663" s="5">
        <v>30</v>
      </c>
    </row>
    <row r="1664" spans="1:13" ht="15" x14ac:dyDescent="0.25">
      <c r="A1664" s="7" t="s">
        <v>16</v>
      </c>
      <c r="B1664" s="7" t="s">
        <v>23</v>
      </c>
      <c r="C1664" s="7" t="s">
        <v>24</v>
      </c>
      <c r="D1664" s="4">
        <v>5816630000152</v>
      </c>
      <c r="E1664" s="8" t="s">
        <v>803</v>
      </c>
      <c r="F1664" s="8" t="s">
        <v>75</v>
      </c>
      <c r="G1664" s="7" t="s">
        <v>74</v>
      </c>
      <c r="H1664" s="47" t="s">
        <v>211</v>
      </c>
      <c r="I1664" s="47" t="s">
        <v>212</v>
      </c>
      <c r="J1664" s="6">
        <v>64</v>
      </c>
      <c r="K1664" s="8" t="s">
        <v>25</v>
      </c>
      <c r="L1664" s="1" t="s">
        <v>803</v>
      </c>
      <c r="M1664" s="5">
        <v>40</v>
      </c>
    </row>
    <row r="1665" spans="1:13" ht="15" x14ac:dyDescent="0.25">
      <c r="A1665" s="7" t="s">
        <v>16</v>
      </c>
      <c r="B1665" s="7" t="s">
        <v>23</v>
      </c>
      <c r="C1665" s="7" t="s">
        <v>24</v>
      </c>
      <c r="D1665" s="4">
        <v>5816630000152</v>
      </c>
      <c r="E1665" s="8" t="s">
        <v>803</v>
      </c>
      <c r="F1665" s="8" t="s">
        <v>75</v>
      </c>
      <c r="G1665" s="7" t="s">
        <v>74</v>
      </c>
      <c r="H1665" s="47" t="s">
        <v>211</v>
      </c>
      <c r="I1665" s="47" t="s">
        <v>212</v>
      </c>
      <c r="J1665" s="6">
        <v>70</v>
      </c>
      <c r="K1665" s="8" t="s">
        <v>20</v>
      </c>
      <c r="L1665" s="1" t="s">
        <v>803</v>
      </c>
      <c r="M1665" s="5">
        <v>515</v>
      </c>
    </row>
    <row r="1666" spans="1:13" ht="15" x14ac:dyDescent="0.25">
      <c r="A1666" s="7" t="s">
        <v>16</v>
      </c>
      <c r="B1666" s="7" t="s">
        <v>23</v>
      </c>
      <c r="C1666" s="7" t="s">
        <v>24</v>
      </c>
      <c r="D1666" s="4">
        <v>12361267014739</v>
      </c>
      <c r="E1666" s="8" t="s">
        <v>864</v>
      </c>
      <c r="F1666" s="8" t="s">
        <v>75</v>
      </c>
      <c r="G1666" s="7" t="s">
        <v>74</v>
      </c>
      <c r="H1666" s="47" t="s">
        <v>211</v>
      </c>
      <c r="I1666" s="47" t="s">
        <v>212</v>
      </c>
      <c r="J1666" s="6">
        <v>62</v>
      </c>
      <c r="K1666" s="8" t="s">
        <v>27</v>
      </c>
      <c r="L1666" s="1" t="s">
        <v>864</v>
      </c>
      <c r="M1666" s="5">
        <v>4</v>
      </c>
    </row>
    <row r="1667" spans="1:13" ht="15" x14ac:dyDescent="0.25">
      <c r="A1667" s="7" t="s">
        <v>16</v>
      </c>
      <c r="B1667" s="7" t="s">
        <v>23</v>
      </c>
      <c r="C1667" s="7" t="s">
        <v>24</v>
      </c>
      <c r="D1667" s="4">
        <v>12361267014739</v>
      </c>
      <c r="E1667" s="8" t="s">
        <v>864</v>
      </c>
      <c r="F1667" s="8" t="s">
        <v>75</v>
      </c>
      <c r="G1667" s="7" t="s">
        <v>74</v>
      </c>
      <c r="H1667" s="47" t="s">
        <v>211</v>
      </c>
      <c r="I1667" s="47" t="s">
        <v>212</v>
      </c>
      <c r="J1667" s="6">
        <v>64</v>
      </c>
      <c r="K1667" s="8" t="s">
        <v>25</v>
      </c>
      <c r="L1667" s="1" t="s">
        <v>864</v>
      </c>
      <c r="M1667" s="5">
        <v>5</v>
      </c>
    </row>
    <row r="1668" spans="1:13" ht="15" x14ac:dyDescent="0.25">
      <c r="A1668" s="7" t="s">
        <v>16</v>
      </c>
      <c r="B1668" s="7" t="s">
        <v>23</v>
      </c>
      <c r="C1668" s="7" t="s">
        <v>24</v>
      </c>
      <c r="D1668" s="4">
        <v>13016092000140</v>
      </c>
      <c r="E1668" s="8" t="s">
        <v>867</v>
      </c>
      <c r="F1668" s="8" t="s">
        <v>75</v>
      </c>
      <c r="G1668" s="7" t="s">
        <v>74</v>
      </c>
      <c r="H1668" s="47" t="s">
        <v>211</v>
      </c>
      <c r="I1668" s="47" t="s">
        <v>212</v>
      </c>
      <c r="J1668" s="6">
        <v>64</v>
      </c>
      <c r="K1668" s="8" t="s">
        <v>25</v>
      </c>
      <c r="L1668" s="1" t="s">
        <v>867</v>
      </c>
      <c r="M1668" s="5">
        <v>6</v>
      </c>
    </row>
    <row r="1669" spans="1:13" ht="15" x14ac:dyDescent="0.25">
      <c r="A1669" s="7" t="s">
        <v>16</v>
      </c>
      <c r="B1669" s="7" t="s">
        <v>23</v>
      </c>
      <c r="C1669" s="7" t="s">
        <v>24</v>
      </c>
      <c r="D1669" s="4">
        <v>13952064000134</v>
      </c>
      <c r="E1669" s="8" t="s">
        <v>875</v>
      </c>
      <c r="F1669" s="8" t="s">
        <v>75</v>
      </c>
      <c r="G1669" s="7" t="s">
        <v>74</v>
      </c>
      <c r="H1669" s="47" t="s">
        <v>211</v>
      </c>
      <c r="I1669" s="47" t="s">
        <v>212</v>
      </c>
      <c r="J1669" s="6">
        <v>62</v>
      </c>
      <c r="K1669" s="8" t="s">
        <v>27</v>
      </c>
      <c r="L1669" s="1" t="s">
        <v>875</v>
      </c>
      <c r="M1669" s="5">
        <v>4</v>
      </c>
    </row>
    <row r="1670" spans="1:13" ht="15" x14ac:dyDescent="0.25">
      <c r="A1670" s="7" t="s">
        <v>16</v>
      </c>
      <c r="B1670" s="7" t="s">
        <v>23</v>
      </c>
      <c r="C1670" s="7" t="s">
        <v>24</v>
      </c>
      <c r="D1670" s="4">
        <v>13952064000134</v>
      </c>
      <c r="E1670" s="8" t="s">
        <v>875</v>
      </c>
      <c r="F1670" s="8" t="s">
        <v>75</v>
      </c>
      <c r="G1670" s="7" t="s">
        <v>74</v>
      </c>
      <c r="H1670" s="47" t="s">
        <v>211</v>
      </c>
      <c r="I1670" s="47" t="s">
        <v>212</v>
      </c>
      <c r="J1670" s="6">
        <v>64</v>
      </c>
      <c r="K1670" s="8" t="s">
        <v>25</v>
      </c>
      <c r="L1670" s="1" t="s">
        <v>875</v>
      </c>
      <c r="M1670" s="5">
        <v>4</v>
      </c>
    </row>
    <row r="1671" spans="1:13" ht="15" x14ac:dyDescent="0.25">
      <c r="A1671" s="7" t="s">
        <v>16</v>
      </c>
      <c r="B1671" s="7" t="s">
        <v>23</v>
      </c>
      <c r="C1671" s="7" t="s">
        <v>24</v>
      </c>
      <c r="D1671" s="4">
        <v>15153745000249</v>
      </c>
      <c r="E1671" s="8" t="s">
        <v>887</v>
      </c>
      <c r="F1671" s="8" t="s">
        <v>75</v>
      </c>
      <c r="G1671" s="7" t="s">
        <v>74</v>
      </c>
      <c r="H1671" s="47" t="s">
        <v>211</v>
      </c>
      <c r="I1671" s="47" t="s">
        <v>212</v>
      </c>
      <c r="J1671" s="6">
        <v>64</v>
      </c>
      <c r="K1671" s="8" t="s">
        <v>25</v>
      </c>
      <c r="L1671" s="1" t="s">
        <v>887</v>
      </c>
      <c r="M1671" s="5">
        <v>14</v>
      </c>
    </row>
    <row r="1672" spans="1:13" ht="15" x14ac:dyDescent="0.25">
      <c r="A1672" s="7" t="s">
        <v>16</v>
      </c>
      <c r="B1672" s="7" t="s">
        <v>23</v>
      </c>
      <c r="C1672" s="7" t="s">
        <v>24</v>
      </c>
      <c r="D1672" s="4">
        <v>15166416000151</v>
      </c>
      <c r="E1672" s="8" t="s">
        <v>889</v>
      </c>
      <c r="F1672" s="8" t="s">
        <v>75</v>
      </c>
      <c r="G1672" s="7" t="s">
        <v>74</v>
      </c>
      <c r="H1672" s="47" t="s">
        <v>211</v>
      </c>
      <c r="I1672" s="47" t="s">
        <v>212</v>
      </c>
      <c r="J1672" s="6">
        <v>62</v>
      </c>
      <c r="K1672" s="8" t="s">
        <v>27</v>
      </c>
      <c r="L1672" s="1" t="s">
        <v>889</v>
      </c>
      <c r="M1672" s="5">
        <v>13</v>
      </c>
    </row>
    <row r="1673" spans="1:13" ht="15" x14ac:dyDescent="0.25">
      <c r="A1673" s="7" t="s">
        <v>16</v>
      </c>
      <c r="B1673" s="7" t="s">
        <v>23</v>
      </c>
      <c r="C1673" s="7" t="s">
        <v>24</v>
      </c>
      <c r="D1673" s="4">
        <v>15166416000151</v>
      </c>
      <c r="E1673" s="8" t="s">
        <v>889</v>
      </c>
      <c r="F1673" s="8" t="s">
        <v>75</v>
      </c>
      <c r="G1673" s="7" t="s">
        <v>74</v>
      </c>
      <c r="H1673" s="47" t="s">
        <v>211</v>
      </c>
      <c r="I1673" s="47" t="s">
        <v>212</v>
      </c>
      <c r="J1673" s="6">
        <v>64</v>
      </c>
      <c r="K1673" s="8" t="s">
        <v>25</v>
      </c>
      <c r="L1673" s="1" t="s">
        <v>889</v>
      </c>
      <c r="M1673" s="5">
        <v>37</v>
      </c>
    </row>
    <row r="1674" spans="1:13" ht="15" x14ac:dyDescent="0.25">
      <c r="A1674" s="7" t="s">
        <v>16</v>
      </c>
      <c r="B1674" s="7" t="s">
        <v>23</v>
      </c>
      <c r="C1674" s="7" t="s">
        <v>24</v>
      </c>
      <c r="D1674" s="4">
        <v>15194004000125</v>
      </c>
      <c r="E1674" s="8" t="s">
        <v>895</v>
      </c>
      <c r="F1674" s="8" t="s">
        <v>75</v>
      </c>
      <c r="G1674" s="7" t="s">
        <v>74</v>
      </c>
      <c r="H1674" s="47" t="s">
        <v>211</v>
      </c>
      <c r="I1674" s="47" t="s">
        <v>212</v>
      </c>
      <c r="J1674" s="6">
        <v>64</v>
      </c>
      <c r="K1674" s="8" t="s">
        <v>25</v>
      </c>
      <c r="L1674" s="1" t="s">
        <v>895</v>
      </c>
      <c r="M1674" s="5">
        <v>7</v>
      </c>
    </row>
    <row r="1675" spans="1:13" ht="15" x14ac:dyDescent="0.25">
      <c r="A1675" s="7" t="s">
        <v>16</v>
      </c>
      <c r="B1675" s="7" t="s">
        <v>23</v>
      </c>
      <c r="C1675" s="7" t="s">
        <v>24</v>
      </c>
      <c r="D1675" s="4">
        <v>15242761000127</v>
      </c>
      <c r="E1675" s="8" t="s">
        <v>896</v>
      </c>
      <c r="F1675" s="8" t="s">
        <v>75</v>
      </c>
      <c r="G1675" s="7" t="s">
        <v>74</v>
      </c>
      <c r="H1675" s="47" t="s">
        <v>211</v>
      </c>
      <c r="I1675" s="47" t="s">
        <v>212</v>
      </c>
      <c r="J1675" s="6">
        <v>70</v>
      </c>
      <c r="K1675" s="8" t="s">
        <v>20</v>
      </c>
      <c r="L1675" s="1" t="s">
        <v>896</v>
      </c>
      <c r="M1675" s="5">
        <v>100</v>
      </c>
    </row>
    <row r="1676" spans="1:13" ht="15" x14ac:dyDescent="0.25">
      <c r="A1676" s="7" t="s">
        <v>16</v>
      </c>
      <c r="B1676" s="7" t="s">
        <v>23</v>
      </c>
      <c r="C1676" s="7" t="s">
        <v>24</v>
      </c>
      <c r="D1676" s="4">
        <v>15242761000127</v>
      </c>
      <c r="E1676" s="8" t="s">
        <v>896</v>
      </c>
      <c r="F1676" s="8" t="s">
        <v>75</v>
      </c>
      <c r="G1676" s="7" t="s">
        <v>74</v>
      </c>
      <c r="H1676" s="47" t="s">
        <v>211</v>
      </c>
      <c r="I1676" s="47" t="s">
        <v>212</v>
      </c>
      <c r="J1676" s="6">
        <v>73</v>
      </c>
      <c r="K1676" s="8" t="s">
        <v>26</v>
      </c>
      <c r="L1676" s="1" t="s">
        <v>896</v>
      </c>
      <c r="M1676" s="5">
        <v>56</v>
      </c>
    </row>
    <row r="1677" spans="1:13" ht="15" x14ac:dyDescent="0.25">
      <c r="A1677" s="7" t="s">
        <v>16</v>
      </c>
      <c r="B1677" s="7" t="s">
        <v>23</v>
      </c>
      <c r="C1677" s="7" t="s">
        <v>24</v>
      </c>
      <c r="D1677" s="4">
        <v>16475154000250</v>
      </c>
      <c r="E1677" s="8" t="s">
        <v>899</v>
      </c>
      <c r="F1677" s="8" t="s">
        <v>75</v>
      </c>
      <c r="G1677" s="7" t="s">
        <v>74</v>
      </c>
      <c r="H1677" s="47" t="s">
        <v>211</v>
      </c>
      <c r="I1677" s="47" t="s">
        <v>212</v>
      </c>
      <c r="J1677" s="6">
        <v>64</v>
      </c>
      <c r="K1677" s="8" t="s">
        <v>25</v>
      </c>
      <c r="L1677" s="1" t="s">
        <v>899</v>
      </c>
      <c r="M1677" s="5">
        <v>4</v>
      </c>
    </row>
    <row r="1678" spans="1:13" ht="15" x14ac:dyDescent="0.25">
      <c r="A1678" s="7" t="s">
        <v>16</v>
      </c>
      <c r="B1678" s="7" t="s">
        <v>23</v>
      </c>
      <c r="C1678" s="7" t="s">
        <v>24</v>
      </c>
      <c r="D1678" s="4">
        <v>27372066000169</v>
      </c>
      <c r="E1678" s="8" t="s">
        <v>908</v>
      </c>
      <c r="F1678" s="8" t="s">
        <v>75</v>
      </c>
      <c r="G1678" s="7" t="s">
        <v>74</v>
      </c>
      <c r="H1678" s="47" t="s">
        <v>211</v>
      </c>
      <c r="I1678" s="47" t="s">
        <v>212</v>
      </c>
      <c r="J1678" s="6">
        <v>62</v>
      </c>
      <c r="K1678" s="8" t="s">
        <v>27</v>
      </c>
      <c r="L1678" s="1" t="s">
        <v>908</v>
      </c>
      <c r="M1678" s="5">
        <v>14</v>
      </c>
    </row>
    <row r="1679" spans="1:13" ht="15" x14ac:dyDescent="0.25">
      <c r="A1679" s="7" t="s">
        <v>16</v>
      </c>
      <c r="B1679" s="7" t="s">
        <v>23</v>
      </c>
      <c r="C1679" s="7" t="s">
        <v>24</v>
      </c>
      <c r="D1679" s="4">
        <v>27372066000169</v>
      </c>
      <c r="E1679" s="8" t="s">
        <v>908</v>
      </c>
      <c r="F1679" s="8" t="s">
        <v>75</v>
      </c>
      <c r="G1679" s="7" t="s">
        <v>74</v>
      </c>
      <c r="H1679" s="47" t="s">
        <v>211</v>
      </c>
      <c r="I1679" s="47" t="s">
        <v>212</v>
      </c>
      <c r="J1679" s="6">
        <v>64</v>
      </c>
      <c r="K1679" s="8" t="s">
        <v>25</v>
      </c>
      <c r="L1679" s="1" t="s">
        <v>908</v>
      </c>
      <c r="M1679" s="5">
        <v>5</v>
      </c>
    </row>
    <row r="1680" spans="1:13" ht="15" x14ac:dyDescent="0.25">
      <c r="A1680" s="7" t="s">
        <v>16</v>
      </c>
      <c r="B1680" s="7" t="s">
        <v>229</v>
      </c>
      <c r="C1680" s="7" t="s">
        <v>24</v>
      </c>
      <c r="D1680" s="4">
        <v>9324322559</v>
      </c>
      <c r="E1680" s="8" t="s">
        <v>737</v>
      </c>
      <c r="F1680" s="8" t="s">
        <v>75</v>
      </c>
      <c r="G1680" s="7" t="s">
        <v>74</v>
      </c>
      <c r="H1680" s="47" t="s">
        <v>211</v>
      </c>
      <c r="I1680" s="47" t="s">
        <v>212</v>
      </c>
      <c r="J1680" s="6">
        <v>73</v>
      </c>
      <c r="K1680" s="8" t="s">
        <v>26</v>
      </c>
      <c r="L1680" s="1" t="s">
        <v>737</v>
      </c>
      <c r="M1680" s="5">
        <v>5</v>
      </c>
    </row>
    <row r="1681" spans="1:13" ht="15" x14ac:dyDescent="0.25">
      <c r="A1681" s="7" t="s">
        <v>16</v>
      </c>
      <c r="B1681" s="7" t="s">
        <v>229</v>
      </c>
      <c r="C1681" s="7" t="s">
        <v>24</v>
      </c>
      <c r="D1681" s="4">
        <v>5469172000122</v>
      </c>
      <c r="E1681" s="8" t="s">
        <v>799</v>
      </c>
      <c r="F1681" s="8" t="s">
        <v>75</v>
      </c>
      <c r="G1681" s="7" t="s">
        <v>74</v>
      </c>
      <c r="H1681" s="47" t="s">
        <v>211</v>
      </c>
      <c r="I1681" s="47" t="s">
        <v>212</v>
      </c>
      <c r="J1681" s="6">
        <v>62</v>
      </c>
      <c r="K1681" s="8" t="s">
        <v>27</v>
      </c>
      <c r="L1681" s="1" t="s">
        <v>799</v>
      </c>
      <c r="M1681" s="5">
        <v>10</v>
      </c>
    </row>
    <row r="1682" spans="1:13" ht="15" x14ac:dyDescent="0.25">
      <c r="A1682" s="7" t="s">
        <v>16</v>
      </c>
      <c r="B1682" s="7" t="s">
        <v>229</v>
      </c>
      <c r="C1682" s="7" t="s">
        <v>24</v>
      </c>
      <c r="D1682" s="4">
        <v>5469172000122</v>
      </c>
      <c r="E1682" s="8" t="s">
        <v>799</v>
      </c>
      <c r="F1682" s="8" t="s">
        <v>75</v>
      </c>
      <c r="G1682" s="7" t="s">
        <v>74</v>
      </c>
      <c r="H1682" s="47" t="s">
        <v>211</v>
      </c>
      <c r="I1682" s="47" t="s">
        <v>212</v>
      </c>
      <c r="J1682" s="6">
        <v>64</v>
      </c>
      <c r="K1682" s="8" t="s">
        <v>25</v>
      </c>
      <c r="L1682" s="1" t="s">
        <v>799</v>
      </c>
      <c r="M1682" s="5">
        <v>31</v>
      </c>
    </row>
    <row r="1683" spans="1:13" ht="15" x14ac:dyDescent="0.25">
      <c r="A1683" s="7" t="s">
        <v>16</v>
      </c>
      <c r="B1683" s="7" t="s">
        <v>229</v>
      </c>
      <c r="C1683" s="7" t="s">
        <v>24</v>
      </c>
      <c r="D1683" s="4">
        <v>5816630000152</v>
      </c>
      <c r="E1683" s="8" t="s">
        <v>803</v>
      </c>
      <c r="F1683" s="8" t="s">
        <v>75</v>
      </c>
      <c r="G1683" s="7" t="s">
        <v>74</v>
      </c>
      <c r="H1683" s="47" t="s">
        <v>211</v>
      </c>
      <c r="I1683" s="47" t="s">
        <v>212</v>
      </c>
      <c r="J1683" s="6">
        <v>70</v>
      </c>
      <c r="K1683" s="8" t="s">
        <v>20</v>
      </c>
      <c r="L1683" s="1" t="s">
        <v>803</v>
      </c>
      <c r="M1683" s="5">
        <v>3455</v>
      </c>
    </row>
    <row r="1684" spans="1:13" ht="15" x14ac:dyDescent="0.25">
      <c r="A1684" s="7" t="s">
        <v>16</v>
      </c>
      <c r="B1684" s="7" t="s">
        <v>229</v>
      </c>
      <c r="C1684" s="7" t="s">
        <v>24</v>
      </c>
      <c r="D1684" s="4">
        <v>12361267014739</v>
      </c>
      <c r="E1684" s="8" t="s">
        <v>864</v>
      </c>
      <c r="F1684" s="8" t="s">
        <v>75</v>
      </c>
      <c r="G1684" s="7" t="s">
        <v>74</v>
      </c>
      <c r="H1684" s="47" t="s">
        <v>211</v>
      </c>
      <c r="I1684" s="47" t="s">
        <v>212</v>
      </c>
      <c r="J1684" s="6">
        <v>62</v>
      </c>
      <c r="K1684" s="8" t="s">
        <v>27</v>
      </c>
      <c r="L1684" s="1" t="s">
        <v>864</v>
      </c>
      <c r="M1684" s="5">
        <v>10</v>
      </c>
    </row>
    <row r="1685" spans="1:13" ht="15" x14ac:dyDescent="0.25">
      <c r="A1685" s="7" t="s">
        <v>16</v>
      </c>
      <c r="B1685" s="7" t="s">
        <v>229</v>
      </c>
      <c r="C1685" s="7" t="s">
        <v>24</v>
      </c>
      <c r="D1685" s="4">
        <v>12361267014739</v>
      </c>
      <c r="E1685" s="8" t="s">
        <v>864</v>
      </c>
      <c r="F1685" s="8" t="s">
        <v>75</v>
      </c>
      <c r="G1685" s="7" t="s">
        <v>74</v>
      </c>
      <c r="H1685" s="47" t="s">
        <v>211</v>
      </c>
      <c r="I1685" s="47" t="s">
        <v>212</v>
      </c>
      <c r="J1685" s="6">
        <v>70</v>
      </c>
      <c r="K1685" s="8" t="s">
        <v>20</v>
      </c>
      <c r="L1685" s="1" t="s">
        <v>864</v>
      </c>
      <c r="M1685" s="5">
        <v>220</v>
      </c>
    </row>
    <row r="1686" spans="1:13" ht="15" x14ac:dyDescent="0.25">
      <c r="A1686" s="7" t="s">
        <v>16</v>
      </c>
      <c r="B1686" s="7" t="s">
        <v>229</v>
      </c>
      <c r="C1686" s="7" t="s">
        <v>24</v>
      </c>
      <c r="D1686" s="4">
        <v>15126437002863</v>
      </c>
      <c r="E1686" s="8" t="s">
        <v>884</v>
      </c>
      <c r="F1686" s="8" t="s">
        <v>75</v>
      </c>
      <c r="G1686" s="7" t="s">
        <v>74</v>
      </c>
      <c r="H1686" s="47" t="s">
        <v>211</v>
      </c>
      <c r="I1686" s="47" t="s">
        <v>212</v>
      </c>
      <c r="J1686" s="6">
        <v>64</v>
      </c>
      <c r="K1686" s="8" t="s">
        <v>25</v>
      </c>
      <c r="L1686" s="1" t="s">
        <v>884</v>
      </c>
      <c r="M1686" s="5">
        <v>12</v>
      </c>
    </row>
    <row r="1687" spans="1:13" ht="15" x14ac:dyDescent="0.25">
      <c r="A1687" s="7" t="s">
        <v>16</v>
      </c>
      <c r="B1687" s="7" t="s">
        <v>229</v>
      </c>
      <c r="C1687" s="7" t="s">
        <v>24</v>
      </c>
      <c r="D1687" s="4">
        <v>15153745000249</v>
      </c>
      <c r="E1687" s="8" t="s">
        <v>887</v>
      </c>
      <c r="F1687" s="8" t="s">
        <v>75</v>
      </c>
      <c r="G1687" s="7" t="s">
        <v>74</v>
      </c>
      <c r="H1687" s="47" t="s">
        <v>211</v>
      </c>
      <c r="I1687" s="47" t="s">
        <v>212</v>
      </c>
      <c r="J1687" s="6">
        <v>62</v>
      </c>
      <c r="K1687" s="8" t="s">
        <v>27</v>
      </c>
      <c r="L1687" s="1" t="s">
        <v>887</v>
      </c>
      <c r="M1687" s="5">
        <v>4</v>
      </c>
    </row>
    <row r="1688" spans="1:13" ht="15" x14ac:dyDescent="0.25">
      <c r="A1688" s="7" t="s">
        <v>16</v>
      </c>
      <c r="B1688" s="7" t="s">
        <v>229</v>
      </c>
      <c r="C1688" s="7" t="s">
        <v>24</v>
      </c>
      <c r="D1688" s="4">
        <v>15153745000249</v>
      </c>
      <c r="E1688" s="8" t="s">
        <v>887</v>
      </c>
      <c r="F1688" s="8" t="s">
        <v>75</v>
      </c>
      <c r="G1688" s="7" t="s">
        <v>74</v>
      </c>
      <c r="H1688" s="47" t="s">
        <v>211</v>
      </c>
      <c r="I1688" s="47" t="s">
        <v>212</v>
      </c>
      <c r="J1688" s="6">
        <v>64</v>
      </c>
      <c r="K1688" s="8" t="s">
        <v>25</v>
      </c>
      <c r="L1688" s="1" t="s">
        <v>887</v>
      </c>
      <c r="M1688" s="5">
        <v>7</v>
      </c>
    </row>
    <row r="1689" spans="1:13" ht="15" x14ac:dyDescent="0.25">
      <c r="A1689" s="7" t="s">
        <v>16</v>
      </c>
      <c r="B1689" s="7" t="s">
        <v>229</v>
      </c>
      <c r="C1689" s="7" t="s">
        <v>24</v>
      </c>
      <c r="D1689" s="4">
        <v>15166416000151</v>
      </c>
      <c r="E1689" s="8" t="s">
        <v>889</v>
      </c>
      <c r="F1689" s="8" t="s">
        <v>75</v>
      </c>
      <c r="G1689" s="7" t="s">
        <v>74</v>
      </c>
      <c r="H1689" s="47" t="s">
        <v>211</v>
      </c>
      <c r="I1689" s="47" t="s">
        <v>212</v>
      </c>
      <c r="J1689" s="6">
        <v>62</v>
      </c>
      <c r="K1689" s="8" t="s">
        <v>27</v>
      </c>
      <c r="L1689" s="1" t="s">
        <v>889</v>
      </c>
      <c r="M1689" s="5">
        <v>2</v>
      </c>
    </row>
    <row r="1690" spans="1:13" ht="15" x14ac:dyDescent="0.25">
      <c r="A1690" s="7" t="s">
        <v>16</v>
      </c>
      <c r="B1690" s="7" t="s">
        <v>229</v>
      </c>
      <c r="C1690" s="7" t="s">
        <v>24</v>
      </c>
      <c r="D1690" s="4">
        <v>15166416000151</v>
      </c>
      <c r="E1690" s="8" t="s">
        <v>889</v>
      </c>
      <c r="F1690" s="8" t="s">
        <v>75</v>
      </c>
      <c r="G1690" s="7" t="s">
        <v>74</v>
      </c>
      <c r="H1690" s="47" t="s">
        <v>211</v>
      </c>
      <c r="I1690" s="47" t="s">
        <v>212</v>
      </c>
      <c r="J1690" s="6">
        <v>64</v>
      </c>
      <c r="K1690" s="8" t="s">
        <v>25</v>
      </c>
      <c r="L1690" s="1" t="s">
        <v>889</v>
      </c>
      <c r="M1690" s="5">
        <v>2</v>
      </c>
    </row>
    <row r="1691" spans="1:13" ht="15" x14ac:dyDescent="0.25">
      <c r="A1691" s="7" t="s">
        <v>16</v>
      </c>
      <c r="B1691" s="7" t="s">
        <v>229</v>
      </c>
      <c r="C1691" s="7" t="s">
        <v>24</v>
      </c>
      <c r="D1691" s="4">
        <v>15170723000106</v>
      </c>
      <c r="E1691" s="8" t="s">
        <v>890</v>
      </c>
      <c r="F1691" s="8" t="s">
        <v>75</v>
      </c>
      <c r="G1691" s="7" t="s">
        <v>74</v>
      </c>
      <c r="H1691" s="47" t="s">
        <v>211</v>
      </c>
      <c r="I1691" s="47" t="s">
        <v>212</v>
      </c>
      <c r="J1691" s="6">
        <v>64</v>
      </c>
      <c r="K1691" s="8" t="s">
        <v>25</v>
      </c>
      <c r="L1691" s="1" t="s">
        <v>890</v>
      </c>
      <c r="M1691" s="5">
        <v>7</v>
      </c>
    </row>
    <row r="1692" spans="1:13" ht="15" x14ac:dyDescent="0.25">
      <c r="A1692" s="7" t="s">
        <v>16</v>
      </c>
      <c r="B1692" s="7" t="s">
        <v>229</v>
      </c>
      <c r="C1692" s="7" t="s">
        <v>24</v>
      </c>
      <c r="D1692" s="4">
        <v>15180714000287</v>
      </c>
      <c r="E1692" s="8" t="s">
        <v>892</v>
      </c>
      <c r="F1692" s="8" t="s">
        <v>75</v>
      </c>
      <c r="G1692" s="7" t="s">
        <v>74</v>
      </c>
      <c r="H1692" s="47" t="s">
        <v>211</v>
      </c>
      <c r="I1692" s="47" t="s">
        <v>212</v>
      </c>
      <c r="J1692" s="6">
        <v>70</v>
      </c>
      <c r="K1692" s="8" t="s">
        <v>20</v>
      </c>
      <c r="L1692" s="1" t="s">
        <v>892</v>
      </c>
      <c r="M1692" s="5">
        <v>400</v>
      </c>
    </row>
    <row r="1693" spans="1:13" ht="15" x14ac:dyDescent="0.25">
      <c r="A1693" s="7" t="s">
        <v>16</v>
      </c>
      <c r="B1693" s="7" t="s">
        <v>229</v>
      </c>
      <c r="C1693" s="7" t="s">
        <v>24</v>
      </c>
      <c r="D1693" s="4">
        <v>15194004000125</v>
      </c>
      <c r="E1693" s="8" t="s">
        <v>895</v>
      </c>
      <c r="F1693" s="8" t="s">
        <v>75</v>
      </c>
      <c r="G1693" s="7" t="s">
        <v>74</v>
      </c>
      <c r="H1693" s="47" t="s">
        <v>211</v>
      </c>
      <c r="I1693" s="47" t="s">
        <v>212</v>
      </c>
      <c r="J1693" s="6">
        <v>64</v>
      </c>
      <c r="K1693" s="8" t="s">
        <v>25</v>
      </c>
      <c r="L1693" s="1" t="s">
        <v>895</v>
      </c>
      <c r="M1693" s="5">
        <v>2</v>
      </c>
    </row>
    <row r="1694" spans="1:13" ht="15" x14ac:dyDescent="0.25">
      <c r="A1694" s="7" t="s">
        <v>16</v>
      </c>
      <c r="B1694" s="7" t="s">
        <v>229</v>
      </c>
      <c r="C1694" s="7" t="s">
        <v>24</v>
      </c>
      <c r="D1694" s="4">
        <v>15242761000127</v>
      </c>
      <c r="E1694" s="8" t="s">
        <v>896</v>
      </c>
      <c r="F1694" s="8" t="s">
        <v>75</v>
      </c>
      <c r="G1694" s="7" t="s">
        <v>74</v>
      </c>
      <c r="H1694" s="47" t="s">
        <v>211</v>
      </c>
      <c r="I1694" s="47" t="s">
        <v>212</v>
      </c>
      <c r="J1694" s="6">
        <v>73</v>
      </c>
      <c r="K1694" s="8" t="s">
        <v>26</v>
      </c>
      <c r="L1694" s="1" t="s">
        <v>896</v>
      </c>
      <c r="M1694" s="5">
        <v>54</v>
      </c>
    </row>
    <row r="1695" spans="1:13" ht="15" x14ac:dyDescent="0.25">
      <c r="A1695" s="7" t="s">
        <v>16</v>
      </c>
      <c r="B1695" s="7" t="s">
        <v>229</v>
      </c>
      <c r="C1695" s="7" t="s">
        <v>24</v>
      </c>
      <c r="D1695" s="4">
        <v>27372066000169</v>
      </c>
      <c r="E1695" s="8" t="s">
        <v>908</v>
      </c>
      <c r="F1695" s="8" t="s">
        <v>75</v>
      </c>
      <c r="G1695" s="7" t="s">
        <v>74</v>
      </c>
      <c r="H1695" s="47" t="s">
        <v>211</v>
      </c>
      <c r="I1695" s="47" t="s">
        <v>212</v>
      </c>
      <c r="J1695" s="6">
        <v>62</v>
      </c>
      <c r="K1695" s="8" t="s">
        <v>27</v>
      </c>
      <c r="L1695" s="1" t="s">
        <v>908</v>
      </c>
      <c r="M1695" s="5">
        <v>5</v>
      </c>
    </row>
    <row r="1696" spans="1:13" ht="15" x14ac:dyDescent="0.25">
      <c r="A1696" s="7" t="s">
        <v>16</v>
      </c>
      <c r="B1696" s="7" t="s">
        <v>229</v>
      </c>
      <c r="C1696" s="7" t="s">
        <v>24</v>
      </c>
      <c r="D1696" s="4">
        <v>27372066000169</v>
      </c>
      <c r="E1696" s="8" t="s">
        <v>908</v>
      </c>
      <c r="F1696" s="8" t="s">
        <v>75</v>
      </c>
      <c r="G1696" s="7" t="s">
        <v>74</v>
      </c>
      <c r="H1696" s="47" t="s">
        <v>211</v>
      </c>
      <c r="I1696" s="47" t="s">
        <v>212</v>
      </c>
      <c r="J1696" s="6">
        <v>64</v>
      </c>
      <c r="K1696" s="8" t="s">
        <v>25</v>
      </c>
      <c r="L1696" s="1" t="s">
        <v>908</v>
      </c>
      <c r="M1696" s="5">
        <v>17</v>
      </c>
    </row>
    <row r="1697" spans="1:13" ht="15" x14ac:dyDescent="0.25">
      <c r="A1697" s="7" t="s">
        <v>16</v>
      </c>
      <c r="B1697" s="7" t="s">
        <v>230</v>
      </c>
      <c r="C1697" s="7" t="s">
        <v>24</v>
      </c>
      <c r="D1697" s="4">
        <v>394502006770</v>
      </c>
      <c r="E1697" s="8" t="s">
        <v>1385</v>
      </c>
      <c r="F1697" s="8" t="s">
        <v>75</v>
      </c>
      <c r="G1697" s="7" t="s">
        <v>74</v>
      </c>
      <c r="H1697" s="47" t="s">
        <v>211</v>
      </c>
      <c r="I1697" s="47" t="s">
        <v>212</v>
      </c>
      <c r="J1697" s="6">
        <v>70</v>
      </c>
      <c r="K1697" s="8" t="s">
        <v>20</v>
      </c>
      <c r="L1697" s="1" t="s">
        <v>1385</v>
      </c>
      <c r="M1697" s="5">
        <v>200</v>
      </c>
    </row>
    <row r="1698" spans="1:13" ht="15" x14ac:dyDescent="0.25">
      <c r="A1698" s="7" t="s">
        <v>16</v>
      </c>
      <c r="B1698" s="7" t="s">
        <v>230</v>
      </c>
      <c r="C1698" s="7" t="s">
        <v>24</v>
      </c>
      <c r="D1698" s="4">
        <v>1837492000137</v>
      </c>
      <c r="E1698" s="8" t="s">
        <v>1387</v>
      </c>
      <c r="F1698" s="8" t="s">
        <v>75</v>
      </c>
      <c r="G1698" s="7" t="s">
        <v>74</v>
      </c>
      <c r="H1698" s="47" t="s">
        <v>211</v>
      </c>
      <c r="I1698" s="47" t="s">
        <v>212</v>
      </c>
      <c r="J1698" s="6">
        <v>70</v>
      </c>
      <c r="K1698" s="8" t="s">
        <v>20</v>
      </c>
      <c r="L1698" s="1" t="s">
        <v>1387</v>
      </c>
      <c r="M1698" s="5">
        <v>120</v>
      </c>
    </row>
    <row r="1699" spans="1:13" ht="15" x14ac:dyDescent="0.25">
      <c r="A1699" s="7" t="s">
        <v>16</v>
      </c>
      <c r="B1699" s="7" t="s">
        <v>230</v>
      </c>
      <c r="C1699" s="7" t="s">
        <v>24</v>
      </c>
      <c r="D1699" s="4">
        <v>5469172000122</v>
      </c>
      <c r="E1699" s="8" t="s">
        <v>799</v>
      </c>
      <c r="F1699" s="8" t="s">
        <v>75</v>
      </c>
      <c r="G1699" s="7" t="s">
        <v>74</v>
      </c>
      <c r="H1699" s="47" t="s">
        <v>211</v>
      </c>
      <c r="I1699" s="47" t="s">
        <v>212</v>
      </c>
      <c r="J1699" s="6">
        <v>62</v>
      </c>
      <c r="K1699" s="8" t="s">
        <v>27</v>
      </c>
      <c r="L1699" s="1" t="s">
        <v>799</v>
      </c>
      <c r="M1699" s="5">
        <v>2</v>
      </c>
    </row>
    <row r="1700" spans="1:13" ht="15" x14ac:dyDescent="0.25">
      <c r="A1700" s="7" t="s">
        <v>16</v>
      </c>
      <c r="B1700" s="7" t="s">
        <v>230</v>
      </c>
      <c r="C1700" s="7" t="s">
        <v>24</v>
      </c>
      <c r="D1700" s="4">
        <v>5469172000122</v>
      </c>
      <c r="E1700" s="8" t="s">
        <v>799</v>
      </c>
      <c r="F1700" s="8" t="s">
        <v>75</v>
      </c>
      <c r="G1700" s="7" t="s">
        <v>74</v>
      </c>
      <c r="H1700" s="47" t="s">
        <v>211</v>
      </c>
      <c r="I1700" s="47" t="s">
        <v>212</v>
      </c>
      <c r="J1700" s="6">
        <v>64</v>
      </c>
      <c r="K1700" s="8" t="s">
        <v>25</v>
      </c>
      <c r="L1700" s="1" t="s">
        <v>799</v>
      </c>
      <c r="M1700" s="5">
        <v>8</v>
      </c>
    </row>
    <row r="1701" spans="1:13" ht="15" x14ac:dyDescent="0.25">
      <c r="A1701" s="7" t="s">
        <v>16</v>
      </c>
      <c r="B1701" s="7" t="s">
        <v>230</v>
      </c>
      <c r="C1701" s="7" t="s">
        <v>24</v>
      </c>
      <c r="D1701" s="4">
        <v>5816630000152</v>
      </c>
      <c r="E1701" s="8" t="s">
        <v>803</v>
      </c>
      <c r="F1701" s="8" t="s">
        <v>75</v>
      </c>
      <c r="G1701" s="7" t="s">
        <v>74</v>
      </c>
      <c r="H1701" s="47" t="s">
        <v>211</v>
      </c>
      <c r="I1701" s="47" t="s">
        <v>212</v>
      </c>
      <c r="J1701" s="6">
        <v>64</v>
      </c>
      <c r="K1701" s="8" t="s">
        <v>25</v>
      </c>
      <c r="L1701" s="1" t="s">
        <v>803</v>
      </c>
      <c r="M1701" s="5">
        <v>50</v>
      </c>
    </row>
    <row r="1702" spans="1:13" ht="15" x14ac:dyDescent="0.25">
      <c r="A1702" s="7" t="s">
        <v>16</v>
      </c>
      <c r="B1702" s="7" t="s">
        <v>230</v>
      </c>
      <c r="C1702" s="7" t="s">
        <v>24</v>
      </c>
      <c r="D1702" s="4">
        <v>5816630000152</v>
      </c>
      <c r="E1702" s="8" t="s">
        <v>803</v>
      </c>
      <c r="F1702" s="8" t="s">
        <v>75</v>
      </c>
      <c r="G1702" s="7" t="s">
        <v>74</v>
      </c>
      <c r="H1702" s="47" t="s">
        <v>211</v>
      </c>
      <c r="I1702" s="47" t="s">
        <v>212</v>
      </c>
      <c r="J1702" s="6">
        <v>70</v>
      </c>
      <c r="K1702" s="8" t="s">
        <v>20</v>
      </c>
      <c r="L1702" s="1" t="s">
        <v>803</v>
      </c>
      <c r="M1702" s="5">
        <v>790</v>
      </c>
    </row>
    <row r="1703" spans="1:13" ht="15" x14ac:dyDescent="0.25">
      <c r="A1703" s="7" t="s">
        <v>16</v>
      </c>
      <c r="B1703" s="7" t="s">
        <v>230</v>
      </c>
      <c r="C1703" s="7" t="s">
        <v>24</v>
      </c>
      <c r="D1703" s="4">
        <v>13016092000140</v>
      </c>
      <c r="E1703" s="8" t="s">
        <v>867</v>
      </c>
      <c r="F1703" s="8" t="s">
        <v>75</v>
      </c>
      <c r="G1703" s="7" t="s">
        <v>74</v>
      </c>
      <c r="H1703" s="47" t="s">
        <v>211</v>
      </c>
      <c r="I1703" s="47" t="s">
        <v>212</v>
      </c>
      <c r="J1703" s="6">
        <v>64</v>
      </c>
      <c r="K1703" s="8" t="s">
        <v>25</v>
      </c>
      <c r="L1703" s="1" t="s">
        <v>867</v>
      </c>
      <c r="M1703" s="5">
        <v>5</v>
      </c>
    </row>
    <row r="1704" spans="1:13" ht="15" x14ac:dyDescent="0.25">
      <c r="A1704" s="7" t="s">
        <v>16</v>
      </c>
      <c r="B1704" s="7" t="s">
        <v>230</v>
      </c>
      <c r="C1704" s="7" t="s">
        <v>24</v>
      </c>
      <c r="D1704" s="4">
        <v>15153745000249</v>
      </c>
      <c r="E1704" s="8" t="s">
        <v>887</v>
      </c>
      <c r="F1704" s="8" t="s">
        <v>75</v>
      </c>
      <c r="G1704" s="7" t="s">
        <v>74</v>
      </c>
      <c r="H1704" s="47" t="s">
        <v>211</v>
      </c>
      <c r="I1704" s="47" t="s">
        <v>212</v>
      </c>
      <c r="J1704" s="6">
        <v>64</v>
      </c>
      <c r="K1704" s="8" t="s">
        <v>25</v>
      </c>
      <c r="L1704" s="1" t="s">
        <v>887</v>
      </c>
      <c r="M1704" s="5">
        <v>8</v>
      </c>
    </row>
    <row r="1705" spans="1:13" ht="15" x14ac:dyDescent="0.25">
      <c r="A1705" s="7" t="s">
        <v>16</v>
      </c>
      <c r="B1705" s="7" t="s">
        <v>230</v>
      </c>
      <c r="C1705" s="7" t="s">
        <v>24</v>
      </c>
      <c r="D1705" s="4">
        <v>15166416000151</v>
      </c>
      <c r="E1705" s="8" t="s">
        <v>889</v>
      </c>
      <c r="F1705" s="8" t="s">
        <v>75</v>
      </c>
      <c r="G1705" s="7" t="s">
        <v>74</v>
      </c>
      <c r="H1705" s="47" t="s">
        <v>211</v>
      </c>
      <c r="I1705" s="47" t="s">
        <v>212</v>
      </c>
      <c r="J1705" s="6">
        <v>62</v>
      </c>
      <c r="K1705" s="8" t="s">
        <v>27</v>
      </c>
      <c r="L1705" s="1" t="s">
        <v>889</v>
      </c>
      <c r="M1705" s="5">
        <v>10</v>
      </c>
    </row>
    <row r="1706" spans="1:13" ht="15" x14ac:dyDescent="0.25">
      <c r="A1706" s="7" t="s">
        <v>16</v>
      </c>
      <c r="B1706" s="7" t="s">
        <v>230</v>
      </c>
      <c r="C1706" s="7" t="s">
        <v>24</v>
      </c>
      <c r="D1706" s="4">
        <v>15166416000151</v>
      </c>
      <c r="E1706" s="8" t="s">
        <v>889</v>
      </c>
      <c r="F1706" s="8" t="s">
        <v>75</v>
      </c>
      <c r="G1706" s="7" t="s">
        <v>74</v>
      </c>
      <c r="H1706" s="47" t="s">
        <v>211</v>
      </c>
      <c r="I1706" s="47" t="s">
        <v>212</v>
      </c>
      <c r="J1706" s="6">
        <v>64</v>
      </c>
      <c r="K1706" s="8" t="s">
        <v>25</v>
      </c>
      <c r="L1706" s="1" t="s">
        <v>889</v>
      </c>
      <c r="M1706" s="5">
        <v>60</v>
      </c>
    </row>
    <row r="1707" spans="1:13" ht="15" x14ac:dyDescent="0.25">
      <c r="A1707" s="7" t="s">
        <v>16</v>
      </c>
      <c r="B1707" s="7" t="s">
        <v>230</v>
      </c>
      <c r="C1707" s="7" t="s">
        <v>24</v>
      </c>
      <c r="D1707" s="4">
        <v>15170723000106</v>
      </c>
      <c r="E1707" s="8" t="s">
        <v>890</v>
      </c>
      <c r="F1707" s="8" t="s">
        <v>75</v>
      </c>
      <c r="G1707" s="7" t="s">
        <v>74</v>
      </c>
      <c r="H1707" s="47" t="s">
        <v>211</v>
      </c>
      <c r="I1707" s="47" t="s">
        <v>212</v>
      </c>
      <c r="J1707" s="6">
        <v>70</v>
      </c>
      <c r="K1707" s="8" t="s">
        <v>20</v>
      </c>
      <c r="L1707" s="1" t="s">
        <v>890</v>
      </c>
      <c r="M1707" s="5">
        <v>75</v>
      </c>
    </row>
    <row r="1708" spans="1:13" ht="15" x14ac:dyDescent="0.25">
      <c r="A1708" s="7" t="s">
        <v>16</v>
      </c>
      <c r="B1708" s="7" t="s">
        <v>230</v>
      </c>
      <c r="C1708" s="7" t="s">
        <v>24</v>
      </c>
      <c r="D1708" s="4">
        <v>15194004000125</v>
      </c>
      <c r="E1708" s="8" t="s">
        <v>895</v>
      </c>
      <c r="F1708" s="8" t="s">
        <v>75</v>
      </c>
      <c r="G1708" s="7" t="s">
        <v>74</v>
      </c>
      <c r="H1708" s="47" t="s">
        <v>211</v>
      </c>
      <c r="I1708" s="47" t="s">
        <v>212</v>
      </c>
      <c r="J1708" s="6">
        <v>64</v>
      </c>
      <c r="K1708" s="8" t="s">
        <v>25</v>
      </c>
      <c r="L1708" s="1" t="s">
        <v>895</v>
      </c>
      <c r="M1708" s="5">
        <v>1</v>
      </c>
    </row>
    <row r="1709" spans="1:13" ht="15" x14ac:dyDescent="0.25">
      <c r="A1709" s="7" t="s">
        <v>16</v>
      </c>
      <c r="B1709" s="7" t="s">
        <v>230</v>
      </c>
      <c r="C1709" s="7" t="s">
        <v>24</v>
      </c>
      <c r="D1709" s="4">
        <v>27372066000169</v>
      </c>
      <c r="E1709" s="8" t="s">
        <v>908</v>
      </c>
      <c r="F1709" s="8" t="s">
        <v>75</v>
      </c>
      <c r="G1709" s="7" t="s">
        <v>74</v>
      </c>
      <c r="H1709" s="47" t="s">
        <v>211</v>
      </c>
      <c r="I1709" s="47" t="s">
        <v>212</v>
      </c>
      <c r="J1709" s="6">
        <v>62</v>
      </c>
      <c r="K1709" s="8" t="s">
        <v>27</v>
      </c>
      <c r="L1709" s="1" t="s">
        <v>908</v>
      </c>
      <c r="M1709" s="5">
        <v>15</v>
      </c>
    </row>
    <row r="1710" spans="1:13" ht="15" x14ac:dyDescent="0.25">
      <c r="A1710" s="7" t="s">
        <v>16</v>
      </c>
      <c r="B1710" s="7" t="s">
        <v>230</v>
      </c>
      <c r="C1710" s="7" t="s">
        <v>24</v>
      </c>
      <c r="D1710" s="4">
        <v>27372066000169</v>
      </c>
      <c r="E1710" s="8" t="s">
        <v>908</v>
      </c>
      <c r="F1710" s="8" t="s">
        <v>75</v>
      </c>
      <c r="G1710" s="7" t="s">
        <v>74</v>
      </c>
      <c r="H1710" s="47" t="s">
        <v>211</v>
      </c>
      <c r="I1710" s="47" t="s">
        <v>212</v>
      </c>
      <c r="J1710" s="6">
        <v>64</v>
      </c>
      <c r="K1710" s="8" t="s">
        <v>25</v>
      </c>
      <c r="L1710" s="1" t="s">
        <v>908</v>
      </c>
      <c r="M1710" s="5">
        <v>10</v>
      </c>
    </row>
    <row r="1711" spans="1:13" ht="15" x14ac:dyDescent="0.25">
      <c r="A1711" s="7" t="s">
        <v>16</v>
      </c>
      <c r="B1711" s="7" t="s">
        <v>372</v>
      </c>
      <c r="C1711" s="7" t="s">
        <v>373</v>
      </c>
      <c r="D1711" s="4">
        <v>5469172000122</v>
      </c>
      <c r="E1711" s="8" t="s">
        <v>799</v>
      </c>
      <c r="F1711" s="8" t="s">
        <v>75</v>
      </c>
      <c r="G1711" s="7" t="s">
        <v>74</v>
      </c>
      <c r="H1711" s="47" t="s">
        <v>211</v>
      </c>
      <c r="I1711" s="47" t="s">
        <v>212</v>
      </c>
      <c r="J1711" s="6">
        <v>62</v>
      </c>
      <c r="K1711" s="8" t="s">
        <v>27</v>
      </c>
      <c r="L1711" s="1" t="s">
        <v>799</v>
      </c>
      <c r="M1711" s="5">
        <v>6</v>
      </c>
    </row>
    <row r="1712" spans="1:13" ht="15" x14ac:dyDescent="0.25">
      <c r="A1712" s="7" t="s">
        <v>16</v>
      </c>
      <c r="B1712" s="7" t="s">
        <v>372</v>
      </c>
      <c r="C1712" s="7" t="s">
        <v>373</v>
      </c>
      <c r="D1712" s="4">
        <v>5469172000122</v>
      </c>
      <c r="E1712" s="8" t="s">
        <v>799</v>
      </c>
      <c r="F1712" s="8" t="s">
        <v>75</v>
      </c>
      <c r="G1712" s="7" t="s">
        <v>74</v>
      </c>
      <c r="H1712" s="47" t="s">
        <v>211</v>
      </c>
      <c r="I1712" s="47" t="s">
        <v>212</v>
      </c>
      <c r="J1712" s="6">
        <v>64</v>
      </c>
      <c r="K1712" s="8" t="s">
        <v>25</v>
      </c>
      <c r="L1712" s="1" t="s">
        <v>799</v>
      </c>
      <c r="M1712" s="5">
        <v>4</v>
      </c>
    </row>
    <row r="1713" spans="1:13" ht="15" x14ac:dyDescent="0.25">
      <c r="A1713" s="7" t="s">
        <v>16</v>
      </c>
      <c r="B1713" s="7" t="s">
        <v>372</v>
      </c>
      <c r="C1713" s="7" t="s">
        <v>373</v>
      </c>
      <c r="D1713" s="4">
        <v>13016092000140</v>
      </c>
      <c r="E1713" s="8" t="s">
        <v>867</v>
      </c>
      <c r="F1713" s="8" t="s">
        <v>75</v>
      </c>
      <c r="G1713" s="7" t="s">
        <v>74</v>
      </c>
      <c r="H1713" s="47" t="s">
        <v>211</v>
      </c>
      <c r="I1713" s="47" t="s">
        <v>212</v>
      </c>
      <c r="J1713" s="6">
        <v>62</v>
      </c>
      <c r="K1713" s="8" t="s">
        <v>27</v>
      </c>
      <c r="L1713" s="1" t="s">
        <v>867</v>
      </c>
      <c r="M1713" s="5">
        <v>7</v>
      </c>
    </row>
    <row r="1714" spans="1:13" ht="15" x14ac:dyDescent="0.25">
      <c r="A1714" s="7" t="s">
        <v>16</v>
      </c>
      <c r="B1714" s="7" t="s">
        <v>372</v>
      </c>
      <c r="C1714" s="7" t="s">
        <v>373</v>
      </c>
      <c r="D1714" s="4">
        <v>13016092000140</v>
      </c>
      <c r="E1714" s="8" t="s">
        <v>867</v>
      </c>
      <c r="F1714" s="8" t="s">
        <v>75</v>
      </c>
      <c r="G1714" s="7" t="s">
        <v>74</v>
      </c>
      <c r="H1714" s="47" t="s">
        <v>211</v>
      </c>
      <c r="I1714" s="47" t="s">
        <v>212</v>
      </c>
      <c r="J1714" s="6">
        <v>64</v>
      </c>
      <c r="K1714" s="8" t="s">
        <v>25</v>
      </c>
      <c r="L1714" s="1" t="s">
        <v>867</v>
      </c>
      <c r="M1714" s="5">
        <v>21</v>
      </c>
    </row>
    <row r="1715" spans="1:13" ht="15" x14ac:dyDescent="0.25">
      <c r="A1715" s="7" t="s">
        <v>16</v>
      </c>
      <c r="B1715" s="7" t="s">
        <v>372</v>
      </c>
      <c r="C1715" s="7" t="s">
        <v>373</v>
      </c>
      <c r="D1715" s="4">
        <v>13808803000119</v>
      </c>
      <c r="E1715" s="8" t="s">
        <v>1392</v>
      </c>
      <c r="F1715" s="8" t="s">
        <v>75</v>
      </c>
      <c r="G1715" s="7" t="s">
        <v>74</v>
      </c>
      <c r="H1715" s="47" t="s">
        <v>211</v>
      </c>
      <c r="I1715" s="47" t="s">
        <v>212</v>
      </c>
      <c r="J1715" s="6">
        <v>62</v>
      </c>
      <c r="K1715" s="8" t="s">
        <v>27</v>
      </c>
      <c r="L1715" s="1" t="s">
        <v>1392</v>
      </c>
      <c r="M1715" s="5">
        <v>1</v>
      </c>
    </row>
    <row r="1716" spans="1:13" ht="15" x14ac:dyDescent="0.25">
      <c r="A1716" s="7" t="s">
        <v>16</v>
      </c>
      <c r="B1716" s="7" t="s">
        <v>372</v>
      </c>
      <c r="C1716" s="7" t="s">
        <v>373</v>
      </c>
      <c r="D1716" s="4">
        <v>13952064000134</v>
      </c>
      <c r="E1716" s="8" t="s">
        <v>875</v>
      </c>
      <c r="F1716" s="8" t="s">
        <v>75</v>
      </c>
      <c r="G1716" s="7" t="s">
        <v>74</v>
      </c>
      <c r="H1716" s="47" t="s">
        <v>211</v>
      </c>
      <c r="I1716" s="47" t="s">
        <v>212</v>
      </c>
      <c r="J1716" s="6">
        <v>62</v>
      </c>
      <c r="K1716" s="8" t="s">
        <v>27</v>
      </c>
      <c r="L1716" s="1" t="s">
        <v>875</v>
      </c>
      <c r="M1716" s="5">
        <v>10</v>
      </c>
    </row>
    <row r="1717" spans="1:13" ht="15" x14ac:dyDescent="0.25">
      <c r="A1717" s="7" t="s">
        <v>16</v>
      </c>
      <c r="B1717" s="7" t="s">
        <v>372</v>
      </c>
      <c r="C1717" s="7" t="s">
        <v>373</v>
      </c>
      <c r="D1717" s="4">
        <v>13952064000134</v>
      </c>
      <c r="E1717" s="8" t="s">
        <v>875</v>
      </c>
      <c r="F1717" s="8" t="s">
        <v>75</v>
      </c>
      <c r="G1717" s="7" t="s">
        <v>74</v>
      </c>
      <c r="H1717" s="47" t="s">
        <v>211</v>
      </c>
      <c r="I1717" s="47" t="s">
        <v>212</v>
      </c>
      <c r="J1717" s="6">
        <v>64</v>
      </c>
      <c r="K1717" s="8" t="s">
        <v>25</v>
      </c>
      <c r="L1717" s="1" t="s">
        <v>875</v>
      </c>
      <c r="M1717" s="5">
        <v>22</v>
      </c>
    </row>
    <row r="1718" spans="1:13" ht="15" x14ac:dyDescent="0.25">
      <c r="A1718" s="7" t="s">
        <v>16</v>
      </c>
      <c r="B1718" s="7" t="s">
        <v>372</v>
      </c>
      <c r="C1718" s="7" t="s">
        <v>373</v>
      </c>
      <c r="D1718" s="4">
        <v>15153745000249</v>
      </c>
      <c r="E1718" s="8" t="s">
        <v>887</v>
      </c>
      <c r="F1718" s="8" t="s">
        <v>75</v>
      </c>
      <c r="G1718" s="7" t="s">
        <v>74</v>
      </c>
      <c r="H1718" s="47" t="s">
        <v>211</v>
      </c>
      <c r="I1718" s="47" t="s">
        <v>212</v>
      </c>
      <c r="J1718" s="6">
        <v>62</v>
      </c>
      <c r="K1718" s="8" t="s">
        <v>27</v>
      </c>
      <c r="L1718" s="1" t="s">
        <v>887</v>
      </c>
      <c r="M1718" s="5">
        <v>3</v>
      </c>
    </row>
    <row r="1719" spans="1:13" ht="15" x14ac:dyDescent="0.25">
      <c r="A1719" s="7" t="s">
        <v>16</v>
      </c>
      <c r="B1719" s="7" t="s">
        <v>372</v>
      </c>
      <c r="C1719" s="7" t="s">
        <v>373</v>
      </c>
      <c r="D1719" s="4">
        <v>15166416000151</v>
      </c>
      <c r="E1719" s="8" t="s">
        <v>889</v>
      </c>
      <c r="F1719" s="8" t="s">
        <v>75</v>
      </c>
      <c r="G1719" s="7" t="s">
        <v>74</v>
      </c>
      <c r="H1719" s="47" t="s">
        <v>211</v>
      </c>
      <c r="I1719" s="47" t="s">
        <v>212</v>
      </c>
      <c r="J1719" s="6">
        <v>62</v>
      </c>
      <c r="K1719" s="8" t="s">
        <v>27</v>
      </c>
      <c r="L1719" s="1" t="s">
        <v>889</v>
      </c>
      <c r="M1719" s="5">
        <v>34</v>
      </c>
    </row>
    <row r="1720" spans="1:13" ht="15" x14ac:dyDescent="0.25">
      <c r="A1720" s="7" t="s">
        <v>16</v>
      </c>
      <c r="B1720" s="7" t="s">
        <v>372</v>
      </c>
      <c r="C1720" s="7" t="s">
        <v>373</v>
      </c>
      <c r="D1720" s="4">
        <v>15166416000151</v>
      </c>
      <c r="E1720" s="8" t="s">
        <v>889</v>
      </c>
      <c r="F1720" s="8" t="s">
        <v>75</v>
      </c>
      <c r="G1720" s="7" t="s">
        <v>74</v>
      </c>
      <c r="H1720" s="47" t="s">
        <v>211</v>
      </c>
      <c r="I1720" s="47" t="s">
        <v>212</v>
      </c>
      <c r="J1720" s="6">
        <v>64</v>
      </c>
      <c r="K1720" s="8" t="s">
        <v>25</v>
      </c>
      <c r="L1720" s="1" t="s">
        <v>889</v>
      </c>
      <c r="M1720" s="5">
        <v>20</v>
      </c>
    </row>
    <row r="1721" spans="1:13" ht="15" x14ac:dyDescent="0.25">
      <c r="A1721" s="7" t="s">
        <v>16</v>
      </c>
      <c r="B1721" s="7" t="s">
        <v>372</v>
      </c>
      <c r="C1721" s="7" t="s">
        <v>373</v>
      </c>
      <c r="D1721" s="4">
        <v>15170723000106</v>
      </c>
      <c r="E1721" s="8" t="s">
        <v>890</v>
      </c>
      <c r="F1721" s="8" t="s">
        <v>75</v>
      </c>
      <c r="G1721" s="7" t="s">
        <v>74</v>
      </c>
      <c r="H1721" s="47" t="s">
        <v>211</v>
      </c>
      <c r="I1721" s="47" t="s">
        <v>212</v>
      </c>
      <c r="J1721" s="6">
        <v>64</v>
      </c>
      <c r="K1721" s="8" t="s">
        <v>25</v>
      </c>
      <c r="L1721" s="1" t="s">
        <v>890</v>
      </c>
      <c r="M1721" s="5">
        <v>4</v>
      </c>
    </row>
    <row r="1722" spans="1:13" ht="15" x14ac:dyDescent="0.25">
      <c r="A1722" s="7" t="s">
        <v>16</v>
      </c>
      <c r="B1722" s="7" t="s">
        <v>372</v>
      </c>
      <c r="C1722" s="7" t="s">
        <v>373</v>
      </c>
      <c r="D1722" s="4">
        <v>15180714000287</v>
      </c>
      <c r="E1722" s="8" t="s">
        <v>892</v>
      </c>
      <c r="F1722" s="8" t="s">
        <v>75</v>
      </c>
      <c r="G1722" s="7" t="s">
        <v>74</v>
      </c>
      <c r="H1722" s="47" t="s">
        <v>211</v>
      </c>
      <c r="I1722" s="47" t="s">
        <v>212</v>
      </c>
      <c r="J1722" s="6">
        <v>62</v>
      </c>
      <c r="K1722" s="8" t="s">
        <v>27</v>
      </c>
      <c r="L1722" s="1" t="s">
        <v>892</v>
      </c>
      <c r="M1722" s="5">
        <v>25</v>
      </c>
    </row>
    <row r="1723" spans="1:13" ht="15" x14ac:dyDescent="0.25">
      <c r="A1723" s="7" t="s">
        <v>16</v>
      </c>
      <c r="B1723" s="7" t="s">
        <v>372</v>
      </c>
      <c r="C1723" s="7" t="s">
        <v>373</v>
      </c>
      <c r="D1723" s="4">
        <v>15180714000287</v>
      </c>
      <c r="E1723" s="8" t="s">
        <v>892</v>
      </c>
      <c r="F1723" s="8" t="s">
        <v>75</v>
      </c>
      <c r="G1723" s="7" t="s">
        <v>74</v>
      </c>
      <c r="H1723" s="47" t="s">
        <v>211</v>
      </c>
      <c r="I1723" s="47" t="s">
        <v>212</v>
      </c>
      <c r="J1723" s="6">
        <v>64</v>
      </c>
      <c r="K1723" s="8" t="s">
        <v>25</v>
      </c>
      <c r="L1723" s="1" t="s">
        <v>892</v>
      </c>
      <c r="M1723" s="5">
        <v>75</v>
      </c>
    </row>
    <row r="1724" spans="1:13" ht="15" x14ac:dyDescent="0.25">
      <c r="A1724" s="7" t="s">
        <v>16</v>
      </c>
      <c r="B1724" s="7" t="s">
        <v>372</v>
      </c>
      <c r="C1724" s="7" t="s">
        <v>373</v>
      </c>
      <c r="D1724" s="4">
        <v>15180714000287</v>
      </c>
      <c r="E1724" s="8" t="s">
        <v>892</v>
      </c>
      <c r="F1724" s="8" t="s">
        <v>75</v>
      </c>
      <c r="G1724" s="7" t="s">
        <v>74</v>
      </c>
      <c r="H1724" s="47" t="s">
        <v>211</v>
      </c>
      <c r="I1724" s="47" t="s">
        <v>212</v>
      </c>
      <c r="J1724" s="6">
        <v>70</v>
      </c>
      <c r="K1724" s="8" t="s">
        <v>20</v>
      </c>
      <c r="L1724" s="1" t="s">
        <v>892</v>
      </c>
      <c r="M1724" s="5">
        <v>850</v>
      </c>
    </row>
    <row r="1725" spans="1:13" ht="15" x14ac:dyDescent="0.25">
      <c r="A1725" s="7" t="s">
        <v>16</v>
      </c>
      <c r="B1725" s="7" t="s">
        <v>372</v>
      </c>
      <c r="C1725" s="7" t="s">
        <v>373</v>
      </c>
      <c r="D1725" s="4">
        <v>15194004000125</v>
      </c>
      <c r="E1725" s="8" t="s">
        <v>895</v>
      </c>
      <c r="F1725" s="8" t="s">
        <v>75</v>
      </c>
      <c r="G1725" s="7" t="s">
        <v>74</v>
      </c>
      <c r="H1725" s="47" t="s">
        <v>211</v>
      </c>
      <c r="I1725" s="47" t="s">
        <v>212</v>
      </c>
      <c r="J1725" s="6">
        <v>64</v>
      </c>
      <c r="K1725" s="8" t="s">
        <v>25</v>
      </c>
      <c r="L1725" s="1" t="s">
        <v>895</v>
      </c>
      <c r="M1725" s="5">
        <v>3</v>
      </c>
    </row>
    <row r="1726" spans="1:13" ht="15" x14ac:dyDescent="0.25">
      <c r="A1726" s="7" t="s">
        <v>16</v>
      </c>
      <c r="B1726" s="7" t="s">
        <v>372</v>
      </c>
      <c r="C1726" s="7" t="s">
        <v>373</v>
      </c>
      <c r="D1726" s="4">
        <v>16475154000250</v>
      </c>
      <c r="E1726" s="8" t="s">
        <v>899</v>
      </c>
      <c r="F1726" s="8" t="s">
        <v>75</v>
      </c>
      <c r="G1726" s="7" t="s">
        <v>74</v>
      </c>
      <c r="H1726" s="47" t="s">
        <v>211</v>
      </c>
      <c r="I1726" s="47" t="s">
        <v>212</v>
      </c>
      <c r="J1726" s="6">
        <v>64</v>
      </c>
      <c r="K1726" s="8" t="s">
        <v>25</v>
      </c>
      <c r="L1726" s="1" t="s">
        <v>899</v>
      </c>
      <c r="M1726" s="5">
        <v>5</v>
      </c>
    </row>
    <row r="1727" spans="1:13" ht="15" x14ac:dyDescent="0.25">
      <c r="A1727" s="7" t="s">
        <v>16</v>
      </c>
      <c r="B1727" s="7" t="s">
        <v>372</v>
      </c>
      <c r="C1727" s="7" t="s">
        <v>373</v>
      </c>
      <c r="D1727" s="4">
        <v>27372066000169</v>
      </c>
      <c r="E1727" s="8" t="s">
        <v>908</v>
      </c>
      <c r="F1727" s="8" t="s">
        <v>75</v>
      </c>
      <c r="G1727" s="7" t="s">
        <v>74</v>
      </c>
      <c r="H1727" s="47" t="s">
        <v>211</v>
      </c>
      <c r="I1727" s="47" t="s">
        <v>212</v>
      </c>
      <c r="J1727" s="6">
        <v>62</v>
      </c>
      <c r="K1727" s="8" t="s">
        <v>27</v>
      </c>
      <c r="L1727" s="1" t="s">
        <v>908</v>
      </c>
      <c r="M1727" s="5">
        <v>18</v>
      </c>
    </row>
    <row r="1728" spans="1:13" ht="15" x14ac:dyDescent="0.25">
      <c r="A1728" s="7" t="s">
        <v>16</v>
      </c>
      <c r="B1728" s="7" t="s">
        <v>372</v>
      </c>
      <c r="C1728" s="7" t="s">
        <v>373</v>
      </c>
      <c r="D1728" s="4">
        <v>27372066000169</v>
      </c>
      <c r="E1728" s="8" t="s">
        <v>908</v>
      </c>
      <c r="F1728" s="8" t="s">
        <v>75</v>
      </c>
      <c r="G1728" s="7" t="s">
        <v>74</v>
      </c>
      <c r="H1728" s="47" t="s">
        <v>211</v>
      </c>
      <c r="I1728" s="47" t="s">
        <v>212</v>
      </c>
      <c r="J1728" s="6">
        <v>64</v>
      </c>
      <c r="K1728" s="8" t="s">
        <v>25</v>
      </c>
      <c r="L1728" s="1" t="s">
        <v>908</v>
      </c>
      <c r="M1728" s="5">
        <v>39</v>
      </c>
    </row>
    <row r="1729" spans="1:13" ht="15" x14ac:dyDescent="0.25">
      <c r="A1729" s="7" t="s">
        <v>16</v>
      </c>
      <c r="B1729" s="7" t="s">
        <v>17</v>
      </c>
      <c r="C1729" s="7" t="s">
        <v>18</v>
      </c>
      <c r="D1729" s="4">
        <v>49791000144</v>
      </c>
      <c r="E1729" s="8" t="s">
        <v>743</v>
      </c>
      <c r="F1729" s="8" t="s">
        <v>739</v>
      </c>
      <c r="G1729" s="7" t="s">
        <v>55</v>
      </c>
      <c r="H1729" s="47" t="s">
        <v>211</v>
      </c>
      <c r="I1729" s="47" t="s">
        <v>212</v>
      </c>
      <c r="J1729" s="6">
        <v>62</v>
      </c>
      <c r="K1729" s="8" t="s">
        <v>27</v>
      </c>
      <c r="L1729" s="1" t="s">
        <v>743</v>
      </c>
      <c r="M1729" s="5">
        <v>4</v>
      </c>
    </row>
    <row r="1730" spans="1:13" ht="15" x14ac:dyDescent="0.25">
      <c r="A1730" s="7" t="s">
        <v>16</v>
      </c>
      <c r="B1730" s="7" t="s">
        <v>17</v>
      </c>
      <c r="C1730" s="7" t="s">
        <v>18</v>
      </c>
      <c r="D1730" s="4">
        <v>49791000144</v>
      </c>
      <c r="E1730" s="8" t="s">
        <v>743</v>
      </c>
      <c r="F1730" s="8" t="s">
        <v>739</v>
      </c>
      <c r="G1730" s="7" t="s">
        <v>55</v>
      </c>
      <c r="H1730" s="47" t="s">
        <v>211</v>
      </c>
      <c r="I1730" s="47" t="s">
        <v>212</v>
      </c>
      <c r="J1730" s="6">
        <v>64</v>
      </c>
      <c r="K1730" s="8" t="s">
        <v>25</v>
      </c>
      <c r="L1730" s="1" t="s">
        <v>743</v>
      </c>
      <c r="M1730" s="5">
        <v>13</v>
      </c>
    </row>
    <row r="1731" spans="1:13" ht="15" x14ac:dyDescent="0.25">
      <c r="A1731" s="7" t="s">
        <v>16</v>
      </c>
      <c r="B1731" s="7" t="s">
        <v>21</v>
      </c>
      <c r="C1731" s="7" t="s">
        <v>18</v>
      </c>
      <c r="D1731" s="4">
        <v>49791000144</v>
      </c>
      <c r="E1731" s="8" t="s">
        <v>743</v>
      </c>
      <c r="F1731" s="8" t="s">
        <v>739</v>
      </c>
      <c r="G1731" s="7" t="s">
        <v>55</v>
      </c>
      <c r="H1731" s="47" t="s">
        <v>211</v>
      </c>
      <c r="I1731" s="47" t="s">
        <v>212</v>
      </c>
      <c r="J1731" s="6">
        <v>62</v>
      </c>
      <c r="K1731" s="8" t="s">
        <v>27</v>
      </c>
      <c r="L1731" s="1" t="s">
        <v>743</v>
      </c>
      <c r="M1731" s="5">
        <v>4</v>
      </c>
    </row>
    <row r="1732" spans="1:13" ht="15" x14ac:dyDescent="0.25">
      <c r="A1732" s="7" t="s">
        <v>16</v>
      </c>
      <c r="B1732" s="7" t="s">
        <v>21</v>
      </c>
      <c r="C1732" s="7" t="s">
        <v>18</v>
      </c>
      <c r="D1732" s="4">
        <v>49791000144</v>
      </c>
      <c r="E1732" s="8" t="s">
        <v>743</v>
      </c>
      <c r="F1732" s="8" t="s">
        <v>739</v>
      </c>
      <c r="G1732" s="7" t="s">
        <v>55</v>
      </c>
      <c r="H1732" s="47" t="s">
        <v>211</v>
      </c>
      <c r="I1732" s="47" t="s">
        <v>212</v>
      </c>
      <c r="J1732" s="6">
        <v>64</v>
      </c>
      <c r="K1732" s="8" t="s">
        <v>25</v>
      </c>
      <c r="L1732" s="1" t="s">
        <v>743</v>
      </c>
      <c r="M1732" s="5">
        <v>9</v>
      </c>
    </row>
    <row r="1733" spans="1:13" ht="15" x14ac:dyDescent="0.25">
      <c r="A1733" s="7" t="s">
        <v>16</v>
      </c>
      <c r="B1733" s="7" t="s">
        <v>21</v>
      </c>
      <c r="C1733" s="7" t="s">
        <v>18</v>
      </c>
      <c r="D1733" s="4">
        <v>25841000153</v>
      </c>
      <c r="E1733" s="8" t="s">
        <v>738</v>
      </c>
      <c r="F1733" s="8" t="s">
        <v>739</v>
      </c>
      <c r="G1733" s="7" t="s">
        <v>55</v>
      </c>
      <c r="H1733" s="47" t="s">
        <v>211</v>
      </c>
      <c r="I1733" s="47" t="s">
        <v>212</v>
      </c>
      <c r="J1733" s="6">
        <v>70</v>
      </c>
      <c r="K1733" s="8" t="s">
        <v>20</v>
      </c>
      <c r="L1733" s="1" t="s">
        <v>738</v>
      </c>
      <c r="M1733" s="5">
        <v>120</v>
      </c>
    </row>
    <row r="1734" spans="1:13" ht="15" x14ac:dyDescent="0.25">
      <c r="A1734" s="7" t="s">
        <v>16</v>
      </c>
      <c r="B1734" s="7" t="s">
        <v>17</v>
      </c>
      <c r="C1734" s="7" t="s">
        <v>18</v>
      </c>
      <c r="D1734" s="4">
        <v>511816000180</v>
      </c>
      <c r="E1734" s="8" t="s">
        <v>754</v>
      </c>
      <c r="F1734" s="8" t="s">
        <v>739</v>
      </c>
      <c r="G1734" s="7" t="s">
        <v>55</v>
      </c>
      <c r="H1734" s="47" t="s">
        <v>211</v>
      </c>
      <c r="I1734" s="47" t="s">
        <v>212</v>
      </c>
      <c r="J1734" s="6">
        <v>64</v>
      </c>
      <c r="K1734" s="8" t="s">
        <v>25</v>
      </c>
      <c r="L1734" s="1" t="s">
        <v>754</v>
      </c>
      <c r="M1734" s="5">
        <v>8</v>
      </c>
    </row>
    <row r="1735" spans="1:13" ht="15" x14ac:dyDescent="0.25">
      <c r="A1735" s="7" t="s">
        <v>16</v>
      </c>
      <c r="B1735" s="7" t="s">
        <v>21</v>
      </c>
      <c r="C1735" s="7" t="s">
        <v>18</v>
      </c>
      <c r="D1735" s="4">
        <v>511816000180</v>
      </c>
      <c r="E1735" s="8" t="s">
        <v>754</v>
      </c>
      <c r="F1735" s="8" t="s">
        <v>739</v>
      </c>
      <c r="G1735" s="7" t="s">
        <v>55</v>
      </c>
      <c r="H1735" s="47" t="s">
        <v>211</v>
      </c>
      <c r="I1735" s="47" t="s">
        <v>212</v>
      </c>
      <c r="J1735" s="6">
        <v>62</v>
      </c>
      <c r="K1735" s="8" t="s">
        <v>27</v>
      </c>
      <c r="L1735" s="1" t="s">
        <v>754</v>
      </c>
      <c r="M1735" s="5">
        <v>4</v>
      </c>
    </row>
    <row r="1736" spans="1:13" ht="15" x14ac:dyDescent="0.25">
      <c r="A1736" s="7" t="s">
        <v>16</v>
      </c>
      <c r="B1736" s="7" t="s">
        <v>17</v>
      </c>
      <c r="C1736" s="7" t="s">
        <v>18</v>
      </c>
      <c r="D1736" s="4">
        <v>520237000101</v>
      </c>
      <c r="E1736" s="8" t="s">
        <v>755</v>
      </c>
      <c r="F1736" s="8" t="s">
        <v>739</v>
      </c>
      <c r="G1736" s="7" t="s">
        <v>55</v>
      </c>
      <c r="H1736" s="47" t="s">
        <v>211</v>
      </c>
      <c r="I1736" s="47" t="s">
        <v>212</v>
      </c>
      <c r="J1736" s="6">
        <v>70</v>
      </c>
      <c r="K1736" s="8" t="s">
        <v>20</v>
      </c>
      <c r="L1736" s="1" t="s">
        <v>755</v>
      </c>
      <c r="M1736" s="5">
        <v>35</v>
      </c>
    </row>
    <row r="1737" spans="1:13" ht="15" x14ac:dyDescent="0.25">
      <c r="A1737" s="7" t="s">
        <v>16</v>
      </c>
      <c r="B1737" s="7" t="s">
        <v>17</v>
      </c>
      <c r="C1737" s="7" t="s">
        <v>18</v>
      </c>
      <c r="D1737" s="4">
        <v>520237000101</v>
      </c>
      <c r="E1737" s="8" t="s">
        <v>755</v>
      </c>
      <c r="F1737" s="8" t="s">
        <v>739</v>
      </c>
      <c r="G1737" s="7" t="s">
        <v>55</v>
      </c>
      <c r="H1737" s="47" t="s">
        <v>211</v>
      </c>
      <c r="I1737" s="47" t="s">
        <v>212</v>
      </c>
      <c r="J1737" s="6">
        <v>73</v>
      </c>
      <c r="K1737" s="8" t="s">
        <v>26</v>
      </c>
      <c r="L1737" s="1" t="s">
        <v>755</v>
      </c>
      <c r="M1737" s="5">
        <v>102</v>
      </c>
    </row>
    <row r="1738" spans="1:13" ht="15" x14ac:dyDescent="0.25">
      <c r="A1738" s="7" t="s">
        <v>16</v>
      </c>
      <c r="B1738" s="7" t="s">
        <v>21</v>
      </c>
      <c r="C1738" s="7" t="s">
        <v>18</v>
      </c>
      <c r="D1738" s="4">
        <v>520237000101</v>
      </c>
      <c r="E1738" s="8" t="s">
        <v>755</v>
      </c>
      <c r="F1738" s="8" t="s">
        <v>739</v>
      </c>
      <c r="G1738" s="7" t="s">
        <v>55</v>
      </c>
      <c r="H1738" s="47" t="s">
        <v>211</v>
      </c>
      <c r="I1738" s="47" t="s">
        <v>212</v>
      </c>
      <c r="J1738" s="6">
        <v>70</v>
      </c>
      <c r="K1738" s="8" t="s">
        <v>20</v>
      </c>
      <c r="L1738" s="1" t="s">
        <v>755</v>
      </c>
      <c r="M1738" s="5">
        <v>800</v>
      </c>
    </row>
    <row r="1739" spans="1:13" ht="15" x14ac:dyDescent="0.25">
      <c r="A1739" s="7" t="s">
        <v>16</v>
      </c>
      <c r="B1739" s="7" t="s">
        <v>21</v>
      </c>
      <c r="C1739" s="7" t="s">
        <v>18</v>
      </c>
      <c r="D1739" s="4">
        <v>520237000101</v>
      </c>
      <c r="E1739" s="8" t="s">
        <v>755</v>
      </c>
      <c r="F1739" s="8" t="s">
        <v>739</v>
      </c>
      <c r="G1739" s="7" t="s">
        <v>55</v>
      </c>
      <c r="H1739" s="47" t="s">
        <v>211</v>
      </c>
      <c r="I1739" s="47" t="s">
        <v>212</v>
      </c>
      <c r="J1739" s="6">
        <v>73</v>
      </c>
      <c r="K1739" s="8" t="s">
        <v>26</v>
      </c>
      <c r="L1739" s="1" t="s">
        <v>755</v>
      </c>
      <c r="M1739" s="5">
        <v>259</v>
      </c>
    </row>
    <row r="1740" spans="1:13" ht="15" x14ac:dyDescent="0.25">
      <c r="A1740" s="7" t="s">
        <v>16</v>
      </c>
      <c r="B1740" s="7" t="s">
        <v>17</v>
      </c>
      <c r="C1740" s="7" t="s">
        <v>18</v>
      </c>
      <c r="D1740" s="4">
        <v>610980000144</v>
      </c>
      <c r="E1740" s="8" t="s">
        <v>756</v>
      </c>
      <c r="F1740" s="8" t="s">
        <v>739</v>
      </c>
      <c r="G1740" s="7" t="s">
        <v>55</v>
      </c>
      <c r="H1740" s="47" t="s">
        <v>211</v>
      </c>
      <c r="I1740" s="47" t="s">
        <v>212</v>
      </c>
      <c r="J1740" s="6">
        <v>64</v>
      </c>
      <c r="K1740" s="8" t="s">
        <v>25</v>
      </c>
      <c r="L1740" s="1" t="s">
        <v>756</v>
      </c>
      <c r="M1740" s="5">
        <v>24</v>
      </c>
    </row>
    <row r="1741" spans="1:13" ht="15" x14ac:dyDescent="0.25">
      <c r="A1741" s="7" t="s">
        <v>16</v>
      </c>
      <c r="B1741" s="7" t="s">
        <v>21</v>
      </c>
      <c r="C1741" s="7" t="s">
        <v>18</v>
      </c>
      <c r="D1741" s="4">
        <v>610980000144</v>
      </c>
      <c r="E1741" s="8" t="s">
        <v>756</v>
      </c>
      <c r="F1741" s="8" t="s">
        <v>739</v>
      </c>
      <c r="G1741" s="7" t="s">
        <v>55</v>
      </c>
      <c r="H1741" s="47" t="s">
        <v>211</v>
      </c>
      <c r="I1741" s="47" t="s">
        <v>212</v>
      </c>
      <c r="J1741" s="6">
        <v>64</v>
      </c>
      <c r="K1741" s="8" t="s">
        <v>25</v>
      </c>
      <c r="L1741" s="1" t="s">
        <v>756</v>
      </c>
      <c r="M1741" s="5">
        <v>5</v>
      </c>
    </row>
    <row r="1742" spans="1:13" ht="15" x14ac:dyDescent="0.25">
      <c r="A1742" s="7" t="s">
        <v>16</v>
      </c>
      <c r="B1742" s="7" t="s">
        <v>21</v>
      </c>
      <c r="C1742" s="7" t="s">
        <v>18</v>
      </c>
      <c r="D1742" s="4">
        <v>610980000144</v>
      </c>
      <c r="E1742" s="8" t="s">
        <v>756</v>
      </c>
      <c r="F1742" s="8" t="s">
        <v>739</v>
      </c>
      <c r="G1742" s="7" t="s">
        <v>55</v>
      </c>
      <c r="H1742" s="47" t="s">
        <v>211</v>
      </c>
      <c r="I1742" s="47" t="s">
        <v>212</v>
      </c>
      <c r="J1742" s="6">
        <v>70</v>
      </c>
      <c r="K1742" s="8" t="s">
        <v>20</v>
      </c>
      <c r="L1742" s="1" t="s">
        <v>756</v>
      </c>
      <c r="M1742" s="5">
        <v>150</v>
      </c>
    </row>
    <row r="1743" spans="1:13" ht="15" x14ac:dyDescent="0.25">
      <c r="A1743" s="7" t="s">
        <v>16</v>
      </c>
      <c r="B1743" s="7" t="s">
        <v>17</v>
      </c>
      <c r="C1743" s="7" t="s">
        <v>18</v>
      </c>
      <c r="D1743" s="4">
        <v>1682668000129</v>
      </c>
      <c r="E1743" s="8" t="s">
        <v>769</v>
      </c>
      <c r="F1743" s="8" t="s">
        <v>739</v>
      </c>
      <c r="G1743" s="7" t="s">
        <v>55</v>
      </c>
      <c r="H1743" s="47" t="s">
        <v>211</v>
      </c>
      <c r="I1743" s="47" t="s">
        <v>212</v>
      </c>
      <c r="J1743" s="6">
        <v>70</v>
      </c>
      <c r="K1743" s="8" t="s">
        <v>20</v>
      </c>
      <c r="L1743" s="1" t="s">
        <v>769</v>
      </c>
      <c r="M1743" s="5">
        <v>50</v>
      </c>
    </row>
    <row r="1744" spans="1:13" ht="15" x14ac:dyDescent="0.25">
      <c r="A1744" s="7" t="s">
        <v>16</v>
      </c>
      <c r="B1744" s="7" t="s">
        <v>21</v>
      </c>
      <c r="C1744" s="7" t="s">
        <v>18</v>
      </c>
      <c r="D1744" s="4">
        <v>1682668000129</v>
      </c>
      <c r="E1744" s="8" t="s">
        <v>769</v>
      </c>
      <c r="F1744" s="8" t="s">
        <v>739</v>
      </c>
      <c r="G1744" s="7" t="s">
        <v>55</v>
      </c>
      <c r="H1744" s="47" t="s">
        <v>211</v>
      </c>
      <c r="I1744" s="47" t="s">
        <v>212</v>
      </c>
      <c r="J1744" s="6">
        <v>70</v>
      </c>
      <c r="K1744" s="8" t="s">
        <v>20</v>
      </c>
      <c r="L1744" s="1" t="s">
        <v>769</v>
      </c>
      <c r="M1744" s="5">
        <v>25</v>
      </c>
    </row>
    <row r="1745" spans="1:13" ht="15" x14ac:dyDescent="0.25">
      <c r="A1745" s="7" t="s">
        <v>16</v>
      </c>
      <c r="B1745" s="7" t="s">
        <v>17</v>
      </c>
      <c r="C1745" s="7" t="s">
        <v>18</v>
      </c>
      <c r="D1745" s="4">
        <v>2560878000107</v>
      </c>
      <c r="E1745" s="8" t="s">
        <v>781</v>
      </c>
      <c r="F1745" s="8" t="s">
        <v>739</v>
      </c>
      <c r="G1745" s="7" t="s">
        <v>55</v>
      </c>
      <c r="H1745" s="47" t="s">
        <v>211</v>
      </c>
      <c r="I1745" s="47" t="s">
        <v>212</v>
      </c>
      <c r="J1745" s="6">
        <v>62</v>
      </c>
      <c r="K1745" s="8" t="s">
        <v>27</v>
      </c>
      <c r="L1745" s="1" t="s">
        <v>781</v>
      </c>
      <c r="M1745" s="5">
        <v>1</v>
      </c>
    </row>
    <row r="1746" spans="1:13" ht="15" x14ac:dyDescent="0.25">
      <c r="A1746" s="7" t="s">
        <v>16</v>
      </c>
      <c r="B1746" s="7" t="s">
        <v>17</v>
      </c>
      <c r="C1746" s="7" t="s">
        <v>18</v>
      </c>
      <c r="D1746" s="4">
        <v>2560878000107</v>
      </c>
      <c r="E1746" s="8" t="s">
        <v>781</v>
      </c>
      <c r="F1746" s="8" t="s">
        <v>739</v>
      </c>
      <c r="G1746" s="7" t="s">
        <v>55</v>
      </c>
      <c r="H1746" s="47" t="s">
        <v>211</v>
      </c>
      <c r="I1746" s="47" t="s">
        <v>212</v>
      </c>
      <c r="J1746" s="6">
        <v>64</v>
      </c>
      <c r="K1746" s="8" t="s">
        <v>25</v>
      </c>
      <c r="L1746" s="1" t="s">
        <v>781</v>
      </c>
      <c r="M1746" s="5">
        <v>7</v>
      </c>
    </row>
    <row r="1747" spans="1:13" ht="15" x14ac:dyDescent="0.25">
      <c r="A1747" s="7" t="s">
        <v>16</v>
      </c>
      <c r="B1747" s="7" t="s">
        <v>17</v>
      </c>
      <c r="C1747" s="7" t="s">
        <v>18</v>
      </c>
      <c r="D1747" s="4">
        <v>2560878000107</v>
      </c>
      <c r="E1747" s="8" t="s">
        <v>781</v>
      </c>
      <c r="F1747" s="8" t="s">
        <v>739</v>
      </c>
      <c r="G1747" s="7" t="s">
        <v>55</v>
      </c>
      <c r="H1747" s="47" t="s">
        <v>211</v>
      </c>
      <c r="I1747" s="47" t="s">
        <v>212</v>
      </c>
      <c r="J1747" s="6">
        <v>70</v>
      </c>
      <c r="K1747" s="8" t="s">
        <v>20</v>
      </c>
      <c r="L1747" s="1" t="s">
        <v>781</v>
      </c>
      <c r="M1747" s="5">
        <v>275</v>
      </c>
    </row>
    <row r="1748" spans="1:13" ht="15" x14ac:dyDescent="0.25">
      <c r="A1748" s="7" t="s">
        <v>16</v>
      </c>
      <c r="B1748" s="7" t="s">
        <v>21</v>
      </c>
      <c r="C1748" s="7" t="s">
        <v>18</v>
      </c>
      <c r="D1748" s="4">
        <v>2560878000107</v>
      </c>
      <c r="E1748" s="8" t="s">
        <v>781</v>
      </c>
      <c r="F1748" s="8" t="s">
        <v>739</v>
      </c>
      <c r="G1748" s="7" t="s">
        <v>55</v>
      </c>
      <c r="H1748" s="47" t="s">
        <v>211</v>
      </c>
      <c r="I1748" s="47" t="s">
        <v>212</v>
      </c>
      <c r="J1748" s="6">
        <v>70</v>
      </c>
      <c r="K1748" s="8" t="s">
        <v>20</v>
      </c>
      <c r="L1748" s="1" t="s">
        <v>781</v>
      </c>
      <c r="M1748" s="5">
        <v>30</v>
      </c>
    </row>
    <row r="1749" spans="1:13" ht="15" x14ac:dyDescent="0.25">
      <c r="A1749" s="7" t="s">
        <v>16</v>
      </c>
      <c r="B1749" s="7" t="s">
        <v>21</v>
      </c>
      <c r="C1749" s="7" t="s">
        <v>18</v>
      </c>
      <c r="D1749" s="4">
        <v>2560878000107</v>
      </c>
      <c r="E1749" s="8" t="s">
        <v>781</v>
      </c>
      <c r="F1749" s="8" t="s">
        <v>739</v>
      </c>
      <c r="G1749" s="7" t="s">
        <v>55</v>
      </c>
      <c r="H1749" s="47" t="s">
        <v>211</v>
      </c>
      <c r="I1749" s="47" t="s">
        <v>212</v>
      </c>
      <c r="J1749" s="6">
        <v>73</v>
      </c>
      <c r="K1749" s="8" t="s">
        <v>26</v>
      </c>
      <c r="L1749" s="1" t="s">
        <v>781</v>
      </c>
      <c r="M1749" s="5">
        <v>1</v>
      </c>
    </row>
    <row r="1750" spans="1:13" ht="15" x14ac:dyDescent="0.25">
      <c r="A1750" s="7" t="s">
        <v>16</v>
      </c>
      <c r="B1750" s="7" t="s">
        <v>17</v>
      </c>
      <c r="C1750" s="7" t="s">
        <v>18</v>
      </c>
      <c r="D1750" s="4">
        <v>3989821000190</v>
      </c>
      <c r="E1750" s="8" t="s">
        <v>796</v>
      </c>
      <c r="F1750" s="8" t="s">
        <v>739</v>
      </c>
      <c r="G1750" s="7" t="s">
        <v>55</v>
      </c>
      <c r="H1750" s="47" t="s">
        <v>211</v>
      </c>
      <c r="I1750" s="47" t="s">
        <v>212</v>
      </c>
      <c r="J1750" s="6">
        <v>70</v>
      </c>
      <c r="K1750" s="8" t="s">
        <v>20</v>
      </c>
      <c r="L1750" s="1" t="s">
        <v>796</v>
      </c>
      <c r="M1750" s="5">
        <v>245</v>
      </c>
    </row>
    <row r="1751" spans="1:13" ht="15" x14ac:dyDescent="0.25">
      <c r="A1751" s="7" t="s">
        <v>16</v>
      </c>
      <c r="B1751" s="7" t="s">
        <v>21</v>
      </c>
      <c r="C1751" s="7" t="s">
        <v>18</v>
      </c>
      <c r="D1751" s="4">
        <v>3989821000190</v>
      </c>
      <c r="E1751" s="8" t="s">
        <v>796</v>
      </c>
      <c r="F1751" s="8" t="s">
        <v>739</v>
      </c>
      <c r="G1751" s="7" t="s">
        <v>55</v>
      </c>
      <c r="H1751" s="47" t="s">
        <v>211</v>
      </c>
      <c r="I1751" s="47" t="s">
        <v>212</v>
      </c>
      <c r="J1751" s="6">
        <v>70</v>
      </c>
      <c r="K1751" s="8" t="s">
        <v>20</v>
      </c>
      <c r="L1751" s="1" t="s">
        <v>796</v>
      </c>
      <c r="M1751" s="5">
        <v>360</v>
      </c>
    </row>
    <row r="1752" spans="1:13" ht="15" x14ac:dyDescent="0.25">
      <c r="A1752" s="7" t="s">
        <v>16</v>
      </c>
      <c r="B1752" s="7" t="s">
        <v>21</v>
      </c>
      <c r="C1752" s="7" t="s">
        <v>18</v>
      </c>
      <c r="D1752" s="4">
        <v>1602408000104</v>
      </c>
      <c r="E1752" s="8" t="s">
        <v>767</v>
      </c>
      <c r="F1752" s="8" t="s">
        <v>739</v>
      </c>
      <c r="G1752" s="7" t="s">
        <v>55</v>
      </c>
      <c r="H1752" s="47" t="s">
        <v>211</v>
      </c>
      <c r="I1752" s="47" t="s">
        <v>212</v>
      </c>
      <c r="J1752" s="6">
        <v>70</v>
      </c>
      <c r="K1752" s="8" t="s">
        <v>20</v>
      </c>
      <c r="L1752" s="1" t="s">
        <v>767</v>
      </c>
      <c r="M1752" s="5">
        <v>250</v>
      </c>
    </row>
    <row r="1753" spans="1:13" ht="15" x14ac:dyDescent="0.25">
      <c r="A1753" s="7" t="s">
        <v>16</v>
      </c>
      <c r="B1753" s="7" t="s">
        <v>17</v>
      </c>
      <c r="C1753" s="7" t="s">
        <v>18</v>
      </c>
      <c r="D1753" s="4">
        <v>6047087004126</v>
      </c>
      <c r="E1753" s="8" t="s">
        <v>810</v>
      </c>
      <c r="F1753" s="8" t="s">
        <v>739</v>
      </c>
      <c r="G1753" s="7" t="s">
        <v>55</v>
      </c>
      <c r="H1753" s="47" t="s">
        <v>211</v>
      </c>
      <c r="I1753" s="47" t="s">
        <v>212</v>
      </c>
      <c r="J1753" s="6">
        <v>64</v>
      </c>
      <c r="K1753" s="8" t="s">
        <v>25</v>
      </c>
      <c r="L1753" s="1" t="s">
        <v>810</v>
      </c>
      <c r="M1753" s="5">
        <v>3</v>
      </c>
    </row>
    <row r="1754" spans="1:13" ht="15" x14ac:dyDescent="0.25">
      <c r="A1754" s="7" t="s">
        <v>16</v>
      </c>
      <c r="B1754" s="7" t="s">
        <v>21</v>
      </c>
      <c r="C1754" s="7" t="s">
        <v>18</v>
      </c>
      <c r="D1754" s="4">
        <v>6047087004126</v>
      </c>
      <c r="E1754" s="8" t="s">
        <v>810</v>
      </c>
      <c r="F1754" s="8" t="s">
        <v>739</v>
      </c>
      <c r="G1754" s="7" t="s">
        <v>55</v>
      </c>
      <c r="H1754" s="47" t="s">
        <v>211</v>
      </c>
      <c r="I1754" s="47" t="s">
        <v>212</v>
      </c>
      <c r="J1754" s="6">
        <v>64</v>
      </c>
      <c r="K1754" s="8" t="s">
        <v>25</v>
      </c>
      <c r="L1754" s="1" t="s">
        <v>810</v>
      </c>
      <c r="M1754" s="5">
        <v>7</v>
      </c>
    </row>
    <row r="1755" spans="1:13" ht="15" x14ac:dyDescent="0.25">
      <c r="A1755" s="7" t="s">
        <v>16</v>
      </c>
      <c r="B1755" s="7" t="s">
        <v>21</v>
      </c>
      <c r="C1755" s="7" t="s">
        <v>18</v>
      </c>
      <c r="D1755" s="4">
        <v>6047087004126</v>
      </c>
      <c r="E1755" s="8" t="s">
        <v>810</v>
      </c>
      <c r="F1755" s="8" t="s">
        <v>739</v>
      </c>
      <c r="G1755" s="7" t="s">
        <v>55</v>
      </c>
      <c r="H1755" s="47" t="s">
        <v>211</v>
      </c>
      <c r="I1755" s="47" t="s">
        <v>212</v>
      </c>
      <c r="J1755" s="6">
        <v>70</v>
      </c>
      <c r="K1755" s="8" t="s">
        <v>20</v>
      </c>
      <c r="L1755" s="1" t="s">
        <v>810</v>
      </c>
      <c r="M1755" s="5">
        <v>400</v>
      </c>
    </row>
    <row r="1756" spans="1:13" ht="15" x14ac:dyDescent="0.25">
      <c r="A1756" s="7" t="s">
        <v>16</v>
      </c>
      <c r="B1756" s="7" t="s">
        <v>17</v>
      </c>
      <c r="C1756" s="7" t="s">
        <v>18</v>
      </c>
      <c r="D1756" s="4">
        <v>6047087004207</v>
      </c>
      <c r="E1756" s="8" t="s">
        <v>811</v>
      </c>
      <c r="F1756" s="8" t="s">
        <v>739</v>
      </c>
      <c r="G1756" s="7" t="s">
        <v>55</v>
      </c>
      <c r="H1756" s="47" t="s">
        <v>211</v>
      </c>
      <c r="I1756" s="47" t="s">
        <v>212</v>
      </c>
      <c r="J1756" s="6">
        <v>64</v>
      </c>
      <c r="K1756" s="8" t="s">
        <v>25</v>
      </c>
      <c r="L1756" s="1" t="s">
        <v>811</v>
      </c>
      <c r="M1756" s="5">
        <v>45</v>
      </c>
    </row>
    <row r="1757" spans="1:13" ht="15" x14ac:dyDescent="0.25">
      <c r="A1757" s="7" t="s">
        <v>16</v>
      </c>
      <c r="B1757" s="7" t="s">
        <v>21</v>
      </c>
      <c r="C1757" s="7" t="s">
        <v>18</v>
      </c>
      <c r="D1757" s="4">
        <v>6047087004207</v>
      </c>
      <c r="E1757" s="8" t="s">
        <v>811</v>
      </c>
      <c r="F1757" s="8" t="s">
        <v>739</v>
      </c>
      <c r="G1757" s="7" t="s">
        <v>55</v>
      </c>
      <c r="H1757" s="47" t="s">
        <v>211</v>
      </c>
      <c r="I1757" s="47" t="s">
        <v>212</v>
      </c>
      <c r="J1757" s="6">
        <v>64</v>
      </c>
      <c r="K1757" s="8" t="s">
        <v>25</v>
      </c>
      <c r="L1757" s="1" t="s">
        <v>811</v>
      </c>
      <c r="M1757" s="5">
        <v>8</v>
      </c>
    </row>
    <row r="1758" spans="1:13" ht="15" x14ac:dyDescent="0.25">
      <c r="A1758" s="7" t="s">
        <v>16</v>
      </c>
      <c r="B1758" s="7" t="s">
        <v>17</v>
      </c>
      <c r="C1758" s="7" t="s">
        <v>18</v>
      </c>
      <c r="D1758" s="4">
        <v>7794623005191</v>
      </c>
      <c r="E1758" s="8" t="s">
        <v>821</v>
      </c>
      <c r="F1758" s="8" t="s">
        <v>739</v>
      </c>
      <c r="G1758" s="7" t="s">
        <v>55</v>
      </c>
      <c r="H1758" s="47" t="s">
        <v>211</v>
      </c>
      <c r="I1758" s="47" t="s">
        <v>212</v>
      </c>
      <c r="J1758" s="6">
        <v>70</v>
      </c>
      <c r="K1758" s="8" t="s">
        <v>20</v>
      </c>
      <c r="L1758" s="1" t="s">
        <v>821</v>
      </c>
      <c r="M1758" s="5">
        <v>25</v>
      </c>
    </row>
    <row r="1759" spans="1:13" ht="15" x14ac:dyDescent="0.25">
      <c r="A1759" s="7" t="s">
        <v>16</v>
      </c>
      <c r="B1759" s="7" t="s">
        <v>17</v>
      </c>
      <c r="C1759" s="7" t="s">
        <v>18</v>
      </c>
      <c r="D1759" s="4">
        <v>9104513000974</v>
      </c>
      <c r="E1759" s="8" t="s">
        <v>830</v>
      </c>
      <c r="F1759" s="8" t="s">
        <v>739</v>
      </c>
      <c r="G1759" s="7" t="s">
        <v>55</v>
      </c>
      <c r="H1759" s="47" t="s">
        <v>211</v>
      </c>
      <c r="I1759" s="47" t="s">
        <v>212</v>
      </c>
      <c r="J1759" s="6">
        <v>70</v>
      </c>
      <c r="K1759" s="8" t="s">
        <v>20</v>
      </c>
      <c r="L1759" s="1" t="s">
        <v>830</v>
      </c>
      <c r="M1759" s="5">
        <v>505</v>
      </c>
    </row>
    <row r="1760" spans="1:13" ht="15" x14ac:dyDescent="0.25">
      <c r="A1760" s="7" t="s">
        <v>16</v>
      </c>
      <c r="B1760" s="7" t="s">
        <v>21</v>
      </c>
      <c r="C1760" s="7" t="s">
        <v>18</v>
      </c>
      <c r="D1760" s="4">
        <v>9104513000974</v>
      </c>
      <c r="E1760" s="8" t="s">
        <v>830</v>
      </c>
      <c r="F1760" s="8" t="s">
        <v>739</v>
      </c>
      <c r="G1760" s="7" t="s">
        <v>55</v>
      </c>
      <c r="H1760" s="47" t="s">
        <v>211</v>
      </c>
      <c r="I1760" s="47" t="s">
        <v>212</v>
      </c>
      <c r="J1760" s="6">
        <v>70</v>
      </c>
      <c r="K1760" s="8" t="s">
        <v>20</v>
      </c>
      <c r="L1760" s="1" t="s">
        <v>830</v>
      </c>
      <c r="M1760" s="5">
        <v>170</v>
      </c>
    </row>
    <row r="1761" spans="1:13" ht="15" x14ac:dyDescent="0.25">
      <c r="A1761" s="7" t="s">
        <v>16</v>
      </c>
      <c r="B1761" s="7" t="s">
        <v>17</v>
      </c>
      <c r="C1761" s="7" t="s">
        <v>18</v>
      </c>
      <c r="D1761" s="4">
        <v>11859927000106</v>
      </c>
      <c r="E1761" s="8" t="s">
        <v>846</v>
      </c>
      <c r="F1761" s="8" t="s">
        <v>739</v>
      </c>
      <c r="G1761" s="7" t="s">
        <v>55</v>
      </c>
      <c r="H1761" s="47" t="s">
        <v>211</v>
      </c>
      <c r="I1761" s="47" t="s">
        <v>212</v>
      </c>
      <c r="J1761" s="6">
        <v>73</v>
      </c>
      <c r="K1761" s="8" t="s">
        <v>26</v>
      </c>
      <c r="L1761" s="1" t="s">
        <v>846</v>
      </c>
      <c r="M1761" s="5">
        <v>44</v>
      </c>
    </row>
    <row r="1762" spans="1:13" ht="15" x14ac:dyDescent="0.25">
      <c r="A1762" s="7" t="s">
        <v>16</v>
      </c>
      <c r="B1762" s="7" t="s">
        <v>21</v>
      </c>
      <c r="C1762" s="7" t="s">
        <v>18</v>
      </c>
      <c r="D1762" s="4">
        <v>11859927000106</v>
      </c>
      <c r="E1762" s="8" t="s">
        <v>846</v>
      </c>
      <c r="F1762" s="8" t="s">
        <v>739</v>
      </c>
      <c r="G1762" s="7" t="s">
        <v>55</v>
      </c>
      <c r="H1762" s="47" t="s">
        <v>211</v>
      </c>
      <c r="I1762" s="47" t="s">
        <v>212</v>
      </c>
      <c r="J1762" s="6">
        <v>70</v>
      </c>
      <c r="K1762" s="8" t="s">
        <v>20</v>
      </c>
      <c r="L1762" s="1" t="s">
        <v>846</v>
      </c>
      <c r="M1762" s="5">
        <v>30</v>
      </c>
    </row>
    <row r="1763" spans="1:13" ht="15" x14ac:dyDescent="0.25">
      <c r="A1763" s="7" t="s">
        <v>16</v>
      </c>
      <c r="B1763" s="7" t="s">
        <v>21</v>
      </c>
      <c r="C1763" s="7" t="s">
        <v>18</v>
      </c>
      <c r="D1763" s="4">
        <v>11859927000106</v>
      </c>
      <c r="E1763" s="8" t="s">
        <v>846</v>
      </c>
      <c r="F1763" s="8" t="s">
        <v>739</v>
      </c>
      <c r="G1763" s="7" t="s">
        <v>55</v>
      </c>
      <c r="H1763" s="47" t="s">
        <v>211</v>
      </c>
      <c r="I1763" s="47" t="s">
        <v>212</v>
      </c>
      <c r="J1763" s="6">
        <v>73</v>
      </c>
      <c r="K1763" s="8" t="s">
        <v>26</v>
      </c>
      <c r="L1763" s="1" t="s">
        <v>846</v>
      </c>
      <c r="M1763" s="5">
        <v>49</v>
      </c>
    </row>
    <row r="1764" spans="1:13" ht="15" x14ac:dyDescent="0.25">
      <c r="A1764" s="7" t="s">
        <v>16</v>
      </c>
      <c r="B1764" s="7" t="s">
        <v>17</v>
      </c>
      <c r="C1764" s="7" t="s">
        <v>18</v>
      </c>
      <c r="D1764" s="4">
        <v>16739984000167</v>
      </c>
      <c r="E1764" s="8" t="s">
        <v>900</v>
      </c>
      <c r="F1764" s="8" t="s">
        <v>739</v>
      </c>
      <c r="G1764" s="7" t="s">
        <v>55</v>
      </c>
      <c r="H1764" s="47" t="s">
        <v>211</v>
      </c>
      <c r="I1764" s="47" t="s">
        <v>212</v>
      </c>
      <c r="J1764" s="6">
        <v>73</v>
      </c>
      <c r="K1764" s="8" t="s">
        <v>26</v>
      </c>
      <c r="L1764" s="1" t="s">
        <v>900</v>
      </c>
      <c r="M1764" s="5">
        <v>41</v>
      </c>
    </row>
    <row r="1765" spans="1:13" ht="15" x14ac:dyDescent="0.25">
      <c r="A1765" s="7" t="s">
        <v>16</v>
      </c>
      <c r="B1765" s="7" t="s">
        <v>21</v>
      </c>
      <c r="C1765" s="7" t="s">
        <v>18</v>
      </c>
      <c r="D1765" s="4">
        <v>16739984000167</v>
      </c>
      <c r="E1765" s="8" t="s">
        <v>900</v>
      </c>
      <c r="F1765" s="8" t="s">
        <v>739</v>
      </c>
      <c r="G1765" s="7" t="s">
        <v>55</v>
      </c>
      <c r="H1765" s="47" t="s">
        <v>211</v>
      </c>
      <c r="I1765" s="47" t="s">
        <v>212</v>
      </c>
      <c r="J1765" s="6">
        <v>73</v>
      </c>
      <c r="K1765" s="8" t="s">
        <v>26</v>
      </c>
      <c r="L1765" s="1" t="s">
        <v>900</v>
      </c>
      <c r="M1765" s="5">
        <v>36</v>
      </c>
    </row>
    <row r="1766" spans="1:13" ht="15" x14ac:dyDescent="0.25">
      <c r="A1766" s="7" t="s">
        <v>16</v>
      </c>
      <c r="B1766" s="7" t="s">
        <v>17</v>
      </c>
      <c r="C1766" s="7" t="s">
        <v>18</v>
      </c>
      <c r="D1766" s="4">
        <v>28481233000172</v>
      </c>
      <c r="E1766" s="8" t="s">
        <v>910</v>
      </c>
      <c r="F1766" s="8" t="s">
        <v>739</v>
      </c>
      <c r="G1766" s="7" t="s">
        <v>55</v>
      </c>
      <c r="H1766" s="47" t="s">
        <v>211</v>
      </c>
      <c r="I1766" s="47" t="s">
        <v>212</v>
      </c>
      <c r="J1766" s="6">
        <v>64</v>
      </c>
      <c r="K1766" s="8" t="s">
        <v>25</v>
      </c>
      <c r="L1766" s="1" t="s">
        <v>910</v>
      </c>
      <c r="M1766" s="5">
        <v>130</v>
      </c>
    </row>
    <row r="1767" spans="1:13" ht="15" x14ac:dyDescent="0.25">
      <c r="A1767" s="7" t="s">
        <v>16</v>
      </c>
      <c r="B1767" s="7" t="s">
        <v>17</v>
      </c>
      <c r="C1767" s="7" t="s">
        <v>18</v>
      </c>
      <c r="D1767" s="4">
        <v>29435005004620</v>
      </c>
      <c r="E1767" s="8" t="s">
        <v>911</v>
      </c>
      <c r="F1767" s="8" t="s">
        <v>739</v>
      </c>
      <c r="G1767" s="7" t="s">
        <v>55</v>
      </c>
      <c r="H1767" s="47" t="s">
        <v>211</v>
      </c>
      <c r="I1767" s="47" t="s">
        <v>212</v>
      </c>
      <c r="J1767" s="6">
        <v>62</v>
      </c>
      <c r="K1767" s="8" t="s">
        <v>27</v>
      </c>
      <c r="L1767" s="1" t="s">
        <v>911</v>
      </c>
      <c r="M1767" s="5">
        <v>5</v>
      </c>
    </row>
    <row r="1768" spans="1:13" ht="15" x14ac:dyDescent="0.25">
      <c r="A1768" s="7" t="s">
        <v>16</v>
      </c>
      <c r="B1768" s="7" t="s">
        <v>17</v>
      </c>
      <c r="C1768" s="7" t="s">
        <v>18</v>
      </c>
      <c r="D1768" s="4">
        <v>29435005004620</v>
      </c>
      <c r="E1768" s="8" t="s">
        <v>911</v>
      </c>
      <c r="F1768" s="8" t="s">
        <v>739</v>
      </c>
      <c r="G1768" s="7" t="s">
        <v>55</v>
      </c>
      <c r="H1768" s="47" t="s">
        <v>211</v>
      </c>
      <c r="I1768" s="47" t="s">
        <v>212</v>
      </c>
      <c r="J1768" s="6">
        <v>64</v>
      </c>
      <c r="K1768" s="8" t="s">
        <v>25</v>
      </c>
      <c r="L1768" s="1" t="s">
        <v>911</v>
      </c>
      <c r="M1768" s="5">
        <v>10</v>
      </c>
    </row>
    <row r="1769" spans="1:13" ht="15" x14ac:dyDescent="0.25">
      <c r="A1769" s="7" t="s">
        <v>16</v>
      </c>
      <c r="B1769" s="7" t="s">
        <v>21</v>
      </c>
      <c r="C1769" s="7" t="s">
        <v>18</v>
      </c>
      <c r="D1769" s="4">
        <v>29435005004620</v>
      </c>
      <c r="E1769" s="8" t="s">
        <v>911</v>
      </c>
      <c r="F1769" s="8" t="s">
        <v>739</v>
      </c>
      <c r="G1769" s="7" t="s">
        <v>55</v>
      </c>
      <c r="H1769" s="47" t="s">
        <v>211</v>
      </c>
      <c r="I1769" s="47" t="s">
        <v>212</v>
      </c>
      <c r="J1769" s="6">
        <v>64</v>
      </c>
      <c r="K1769" s="8" t="s">
        <v>25</v>
      </c>
      <c r="L1769" s="1" t="s">
        <v>911</v>
      </c>
      <c r="M1769" s="5">
        <v>30</v>
      </c>
    </row>
    <row r="1770" spans="1:13" ht="15" x14ac:dyDescent="0.25">
      <c r="A1770" s="7" t="s">
        <v>16</v>
      </c>
      <c r="B1770" s="7" t="s">
        <v>21</v>
      </c>
      <c r="C1770" s="7" t="s">
        <v>18</v>
      </c>
      <c r="D1770" s="4">
        <v>10942995000163</v>
      </c>
      <c r="E1770" s="8" t="s">
        <v>836</v>
      </c>
      <c r="F1770" s="8" t="s">
        <v>739</v>
      </c>
      <c r="G1770" s="7" t="s">
        <v>55</v>
      </c>
      <c r="H1770" s="47" t="s">
        <v>211</v>
      </c>
      <c r="I1770" s="47" t="s">
        <v>212</v>
      </c>
      <c r="J1770" s="6">
        <v>70</v>
      </c>
      <c r="K1770" s="8" t="s">
        <v>20</v>
      </c>
      <c r="L1770" s="1" t="s">
        <v>836</v>
      </c>
      <c r="M1770" s="5">
        <v>300</v>
      </c>
    </row>
    <row r="1771" spans="1:13" ht="15" x14ac:dyDescent="0.25">
      <c r="A1771" s="7" t="s">
        <v>16</v>
      </c>
      <c r="B1771" s="7" t="s">
        <v>21</v>
      </c>
      <c r="C1771" s="7" t="s">
        <v>18</v>
      </c>
      <c r="D1771" s="4">
        <v>10942995000163</v>
      </c>
      <c r="E1771" s="8" t="s">
        <v>836</v>
      </c>
      <c r="F1771" s="8" t="s">
        <v>739</v>
      </c>
      <c r="G1771" s="7" t="s">
        <v>55</v>
      </c>
      <c r="H1771" s="47" t="s">
        <v>211</v>
      </c>
      <c r="I1771" s="47" t="s">
        <v>212</v>
      </c>
      <c r="J1771" s="6">
        <v>73</v>
      </c>
      <c r="K1771" s="8" t="s">
        <v>26</v>
      </c>
      <c r="L1771" s="1" t="s">
        <v>836</v>
      </c>
      <c r="M1771" s="5">
        <v>40</v>
      </c>
    </row>
    <row r="1772" spans="1:13" ht="15" x14ac:dyDescent="0.25">
      <c r="A1772" s="7" t="s">
        <v>16</v>
      </c>
      <c r="B1772" s="7" t="s">
        <v>17</v>
      </c>
      <c r="C1772" s="7" t="s">
        <v>18</v>
      </c>
      <c r="D1772" s="4">
        <v>37108388000159</v>
      </c>
      <c r="E1772" s="8" t="s">
        <v>916</v>
      </c>
      <c r="F1772" s="8" t="s">
        <v>739</v>
      </c>
      <c r="G1772" s="7" t="s">
        <v>55</v>
      </c>
      <c r="H1772" s="47" t="s">
        <v>211</v>
      </c>
      <c r="I1772" s="47" t="s">
        <v>212</v>
      </c>
      <c r="J1772" s="6">
        <v>62</v>
      </c>
      <c r="K1772" s="8" t="s">
        <v>27</v>
      </c>
      <c r="L1772" s="1" t="s">
        <v>916</v>
      </c>
      <c r="M1772" s="5">
        <v>15</v>
      </c>
    </row>
    <row r="1773" spans="1:13" ht="15" x14ac:dyDescent="0.25">
      <c r="A1773" s="7" t="s">
        <v>16</v>
      </c>
      <c r="B1773" s="7" t="s">
        <v>17</v>
      </c>
      <c r="C1773" s="7" t="s">
        <v>18</v>
      </c>
      <c r="D1773" s="4">
        <v>37108388000159</v>
      </c>
      <c r="E1773" s="8" t="s">
        <v>916</v>
      </c>
      <c r="F1773" s="8" t="s">
        <v>739</v>
      </c>
      <c r="G1773" s="7" t="s">
        <v>55</v>
      </c>
      <c r="H1773" s="47" t="s">
        <v>211</v>
      </c>
      <c r="I1773" s="47" t="s">
        <v>212</v>
      </c>
      <c r="J1773" s="6">
        <v>64</v>
      </c>
      <c r="K1773" s="8" t="s">
        <v>25</v>
      </c>
      <c r="L1773" s="1" t="s">
        <v>916</v>
      </c>
      <c r="M1773" s="5">
        <v>37</v>
      </c>
    </row>
    <row r="1774" spans="1:13" ht="15" x14ac:dyDescent="0.25">
      <c r="A1774" s="7" t="s">
        <v>16</v>
      </c>
      <c r="B1774" s="7" t="s">
        <v>17</v>
      </c>
      <c r="C1774" s="7" t="s">
        <v>18</v>
      </c>
      <c r="D1774" s="4">
        <v>38000485000196</v>
      </c>
      <c r="E1774" s="8" t="s">
        <v>917</v>
      </c>
      <c r="F1774" s="8" t="s">
        <v>739</v>
      </c>
      <c r="G1774" s="7" t="s">
        <v>55</v>
      </c>
      <c r="H1774" s="47" t="s">
        <v>211</v>
      </c>
      <c r="I1774" s="47" t="s">
        <v>212</v>
      </c>
      <c r="J1774" s="6">
        <v>64</v>
      </c>
      <c r="K1774" s="8" t="s">
        <v>25</v>
      </c>
      <c r="L1774" s="1" t="s">
        <v>917</v>
      </c>
      <c r="M1774" s="5">
        <v>3</v>
      </c>
    </row>
    <row r="1775" spans="1:13" ht="15" x14ac:dyDescent="0.25">
      <c r="A1775" s="7" t="s">
        <v>16</v>
      </c>
      <c r="B1775" s="7" t="s">
        <v>21</v>
      </c>
      <c r="C1775" s="7" t="s">
        <v>18</v>
      </c>
      <c r="D1775" s="4">
        <v>15126437000305</v>
      </c>
      <c r="E1775" s="8" t="s">
        <v>879</v>
      </c>
      <c r="F1775" s="8" t="s">
        <v>739</v>
      </c>
      <c r="G1775" s="7" t="s">
        <v>55</v>
      </c>
      <c r="H1775" s="47" t="s">
        <v>211</v>
      </c>
      <c r="I1775" s="47" t="s">
        <v>212</v>
      </c>
      <c r="J1775" s="6">
        <v>70</v>
      </c>
      <c r="K1775" s="8" t="s">
        <v>20</v>
      </c>
      <c r="L1775" s="1" t="s">
        <v>879</v>
      </c>
      <c r="M1775" s="5">
        <v>550</v>
      </c>
    </row>
    <row r="1776" spans="1:13" ht="15" x14ac:dyDescent="0.25">
      <c r="A1776" s="7" t="s">
        <v>16</v>
      </c>
      <c r="B1776" s="7" t="s">
        <v>17</v>
      </c>
      <c r="C1776" s="7" t="s">
        <v>18</v>
      </c>
      <c r="D1776" s="4">
        <v>60884855002289</v>
      </c>
      <c r="E1776" s="8" t="s">
        <v>920</v>
      </c>
      <c r="F1776" s="8" t="s">
        <v>739</v>
      </c>
      <c r="G1776" s="7" t="s">
        <v>55</v>
      </c>
      <c r="H1776" s="47" t="s">
        <v>211</v>
      </c>
      <c r="I1776" s="47" t="s">
        <v>212</v>
      </c>
      <c r="J1776" s="6">
        <v>62</v>
      </c>
      <c r="K1776" s="8" t="s">
        <v>27</v>
      </c>
      <c r="L1776" s="1" t="s">
        <v>920</v>
      </c>
      <c r="M1776" s="5">
        <v>11</v>
      </c>
    </row>
    <row r="1777" spans="1:13" ht="15" x14ac:dyDescent="0.25">
      <c r="A1777" s="7" t="s">
        <v>16</v>
      </c>
      <c r="B1777" s="7" t="s">
        <v>17</v>
      </c>
      <c r="C1777" s="7" t="s">
        <v>18</v>
      </c>
      <c r="D1777" s="4">
        <v>60884855002289</v>
      </c>
      <c r="E1777" s="8" t="s">
        <v>920</v>
      </c>
      <c r="F1777" s="8" t="s">
        <v>739</v>
      </c>
      <c r="G1777" s="7" t="s">
        <v>55</v>
      </c>
      <c r="H1777" s="47" t="s">
        <v>211</v>
      </c>
      <c r="I1777" s="47" t="s">
        <v>212</v>
      </c>
      <c r="J1777" s="6">
        <v>64</v>
      </c>
      <c r="K1777" s="8" t="s">
        <v>25</v>
      </c>
      <c r="L1777" s="1" t="s">
        <v>920</v>
      </c>
      <c r="M1777" s="5">
        <v>90</v>
      </c>
    </row>
    <row r="1778" spans="1:13" ht="15" x14ac:dyDescent="0.25">
      <c r="A1778" s="7" t="s">
        <v>16</v>
      </c>
      <c r="B1778" s="7" t="s">
        <v>17</v>
      </c>
      <c r="C1778" s="7" t="s">
        <v>18</v>
      </c>
      <c r="D1778" s="4">
        <v>60884855002289</v>
      </c>
      <c r="E1778" s="8" t="s">
        <v>920</v>
      </c>
      <c r="F1778" s="8" t="s">
        <v>739</v>
      </c>
      <c r="G1778" s="7" t="s">
        <v>55</v>
      </c>
      <c r="H1778" s="47" t="s">
        <v>211</v>
      </c>
      <c r="I1778" s="47" t="s">
        <v>212</v>
      </c>
      <c r="J1778" s="6">
        <v>70</v>
      </c>
      <c r="K1778" s="8" t="s">
        <v>20</v>
      </c>
      <c r="L1778" s="1" t="s">
        <v>920</v>
      </c>
      <c r="M1778" s="5">
        <v>370</v>
      </c>
    </row>
    <row r="1779" spans="1:13" ht="15" x14ac:dyDescent="0.25">
      <c r="A1779" s="7" t="s">
        <v>16</v>
      </c>
      <c r="B1779" s="7" t="s">
        <v>17</v>
      </c>
      <c r="C1779" s="7" t="s">
        <v>18</v>
      </c>
      <c r="D1779" s="4">
        <v>61590410000558</v>
      </c>
      <c r="E1779" s="8" t="s">
        <v>922</v>
      </c>
      <c r="F1779" s="8" t="s">
        <v>739</v>
      </c>
      <c r="G1779" s="7" t="s">
        <v>55</v>
      </c>
      <c r="H1779" s="47" t="s">
        <v>211</v>
      </c>
      <c r="I1779" s="47" t="s">
        <v>212</v>
      </c>
      <c r="J1779" s="6">
        <v>73</v>
      </c>
      <c r="K1779" s="8" t="s">
        <v>26</v>
      </c>
      <c r="L1779" s="1" t="s">
        <v>922</v>
      </c>
      <c r="M1779" s="5">
        <v>16</v>
      </c>
    </row>
    <row r="1780" spans="1:13" ht="15" x14ac:dyDescent="0.25">
      <c r="A1780" s="7" t="s">
        <v>16</v>
      </c>
      <c r="B1780" s="7" t="s">
        <v>17</v>
      </c>
      <c r="C1780" s="7" t="s">
        <v>18</v>
      </c>
      <c r="D1780" s="4">
        <v>61590410001287</v>
      </c>
      <c r="E1780" s="8" t="s">
        <v>923</v>
      </c>
      <c r="F1780" s="8" t="s">
        <v>739</v>
      </c>
      <c r="G1780" s="7" t="s">
        <v>55</v>
      </c>
      <c r="H1780" s="47" t="s">
        <v>211</v>
      </c>
      <c r="I1780" s="47" t="s">
        <v>212</v>
      </c>
      <c r="J1780" s="6">
        <v>70</v>
      </c>
      <c r="K1780" s="8" t="s">
        <v>20</v>
      </c>
      <c r="L1780" s="1" t="s">
        <v>923</v>
      </c>
      <c r="M1780" s="5">
        <v>610</v>
      </c>
    </row>
    <row r="1781" spans="1:13" ht="15" x14ac:dyDescent="0.25">
      <c r="A1781" s="7" t="s">
        <v>16</v>
      </c>
      <c r="B1781" s="7" t="s">
        <v>17</v>
      </c>
      <c r="C1781" s="7" t="s">
        <v>18</v>
      </c>
      <c r="D1781" s="4">
        <v>92898550000600</v>
      </c>
      <c r="E1781" s="8" t="s">
        <v>927</v>
      </c>
      <c r="F1781" s="8" t="s">
        <v>739</v>
      </c>
      <c r="G1781" s="7" t="s">
        <v>55</v>
      </c>
      <c r="H1781" s="47" t="s">
        <v>211</v>
      </c>
      <c r="I1781" s="47" t="s">
        <v>212</v>
      </c>
      <c r="J1781" s="6">
        <v>64</v>
      </c>
      <c r="K1781" s="8" t="s">
        <v>25</v>
      </c>
      <c r="L1781" s="1" t="s">
        <v>927</v>
      </c>
      <c r="M1781" s="5">
        <v>4</v>
      </c>
    </row>
    <row r="1782" spans="1:13" ht="15" x14ac:dyDescent="0.25">
      <c r="A1782" s="7" t="s">
        <v>16</v>
      </c>
      <c r="B1782" s="7" t="s">
        <v>21</v>
      </c>
      <c r="C1782" s="7" t="s">
        <v>18</v>
      </c>
      <c r="D1782" s="4">
        <v>30135335000188</v>
      </c>
      <c r="E1782" s="8" t="s">
        <v>914</v>
      </c>
      <c r="F1782" s="8" t="s">
        <v>739</v>
      </c>
      <c r="G1782" s="7" t="s">
        <v>55</v>
      </c>
      <c r="H1782" s="47" t="s">
        <v>211</v>
      </c>
      <c r="I1782" s="47" t="s">
        <v>212</v>
      </c>
      <c r="J1782" s="6">
        <v>70</v>
      </c>
      <c r="K1782" s="8" t="s">
        <v>20</v>
      </c>
      <c r="L1782" s="1" t="s">
        <v>914</v>
      </c>
      <c r="M1782" s="5">
        <v>550</v>
      </c>
    </row>
    <row r="1783" spans="1:13" ht="15" x14ac:dyDescent="0.25">
      <c r="A1783" s="7" t="s">
        <v>16</v>
      </c>
      <c r="B1783" s="7" t="s">
        <v>21</v>
      </c>
      <c r="C1783" s="7" t="s">
        <v>18</v>
      </c>
      <c r="D1783" s="4">
        <v>37108388000159</v>
      </c>
      <c r="E1783" s="8" t="s">
        <v>916</v>
      </c>
      <c r="F1783" s="8" t="s">
        <v>739</v>
      </c>
      <c r="G1783" s="7" t="s">
        <v>55</v>
      </c>
      <c r="H1783" s="47" t="s">
        <v>211</v>
      </c>
      <c r="I1783" s="47" t="s">
        <v>212</v>
      </c>
      <c r="J1783" s="6">
        <v>64</v>
      </c>
      <c r="K1783" s="8" t="s">
        <v>25</v>
      </c>
      <c r="L1783" s="1" t="s">
        <v>916</v>
      </c>
      <c r="M1783" s="5">
        <v>30</v>
      </c>
    </row>
    <row r="1784" spans="1:13" ht="15" x14ac:dyDescent="0.25">
      <c r="A1784" s="7" t="s">
        <v>16</v>
      </c>
      <c r="B1784" s="7" t="s">
        <v>21</v>
      </c>
      <c r="C1784" s="7" t="s">
        <v>18</v>
      </c>
      <c r="D1784" s="4">
        <v>60884855002289</v>
      </c>
      <c r="E1784" s="8" t="s">
        <v>920</v>
      </c>
      <c r="F1784" s="8" t="s">
        <v>739</v>
      </c>
      <c r="G1784" s="7" t="s">
        <v>55</v>
      </c>
      <c r="H1784" s="47" t="s">
        <v>211</v>
      </c>
      <c r="I1784" s="47" t="s">
        <v>212</v>
      </c>
      <c r="J1784" s="6">
        <v>62</v>
      </c>
      <c r="K1784" s="8" t="s">
        <v>27</v>
      </c>
      <c r="L1784" s="1" t="s">
        <v>920</v>
      </c>
      <c r="M1784" s="5">
        <v>7</v>
      </c>
    </row>
    <row r="1785" spans="1:13" ht="15" x14ac:dyDescent="0.25">
      <c r="A1785" s="7" t="s">
        <v>16</v>
      </c>
      <c r="B1785" s="7" t="s">
        <v>21</v>
      </c>
      <c r="C1785" s="7" t="s">
        <v>18</v>
      </c>
      <c r="D1785" s="4">
        <v>60884855002289</v>
      </c>
      <c r="E1785" s="8" t="s">
        <v>920</v>
      </c>
      <c r="F1785" s="8" t="s">
        <v>739</v>
      </c>
      <c r="G1785" s="7" t="s">
        <v>55</v>
      </c>
      <c r="H1785" s="47" t="s">
        <v>211</v>
      </c>
      <c r="I1785" s="47" t="s">
        <v>212</v>
      </c>
      <c r="J1785" s="6">
        <v>64</v>
      </c>
      <c r="K1785" s="8" t="s">
        <v>25</v>
      </c>
      <c r="L1785" s="1" t="s">
        <v>920</v>
      </c>
      <c r="M1785" s="5">
        <v>24</v>
      </c>
    </row>
    <row r="1786" spans="1:13" ht="15" x14ac:dyDescent="0.25">
      <c r="A1786" s="7" t="s">
        <v>16</v>
      </c>
      <c r="B1786" s="7" t="s">
        <v>21</v>
      </c>
      <c r="C1786" s="7" t="s">
        <v>18</v>
      </c>
      <c r="D1786" s="4">
        <v>60884855002289</v>
      </c>
      <c r="E1786" s="8" t="s">
        <v>920</v>
      </c>
      <c r="F1786" s="8" t="s">
        <v>739</v>
      </c>
      <c r="G1786" s="7" t="s">
        <v>55</v>
      </c>
      <c r="H1786" s="47" t="s">
        <v>211</v>
      </c>
      <c r="I1786" s="47" t="s">
        <v>212</v>
      </c>
      <c r="J1786" s="6">
        <v>70</v>
      </c>
      <c r="K1786" s="8" t="s">
        <v>20</v>
      </c>
      <c r="L1786" s="1" t="s">
        <v>920</v>
      </c>
      <c r="M1786" s="5">
        <v>300</v>
      </c>
    </row>
    <row r="1787" spans="1:13" ht="15" x14ac:dyDescent="0.25">
      <c r="A1787" s="7" t="s">
        <v>16</v>
      </c>
      <c r="B1787" s="7" t="s">
        <v>21</v>
      </c>
      <c r="C1787" s="7" t="s">
        <v>18</v>
      </c>
      <c r="D1787" s="4">
        <v>61590410000558</v>
      </c>
      <c r="E1787" s="8" t="s">
        <v>922</v>
      </c>
      <c r="F1787" s="8" t="s">
        <v>739</v>
      </c>
      <c r="G1787" s="7" t="s">
        <v>55</v>
      </c>
      <c r="H1787" s="47" t="s">
        <v>211</v>
      </c>
      <c r="I1787" s="47" t="s">
        <v>212</v>
      </c>
      <c r="J1787" s="6">
        <v>73</v>
      </c>
      <c r="K1787" s="8" t="s">
        <v>26</v>
      </c>
      <c r="L1787" s="1" t="s">
        <v>922</v>
      </c>
      <c r="M1787" s="5">
        <v>16</v>
      </c>
    </row>
    <row r="1788" spans="1:13" ht="15" x14ac:dyDescent="0.25">
      <c r="A1788" s="7" t="s">
        <v>16</v>
      </c>
      <c r="B1788" s="7" t="s">
        <v>21</v>
      </c>
      <c r="C1788" s="7" t="s">
        <v>18</v>
      </c>
      <c r="D1788" s="4">
        <v>61590410001287</v>
      </c>
      <c r="E1788" s="8" t="s">
        <v>923</v>
      </c>
      <c r="F1788" s="8" t="s">
        <v>739</v>
      </c>
      <c r="G1788" s="7" t="s">
        <v>55</v>
      </c>
      <c r="H1788" s="47" t="s">
        <v>211</v>
      </c>
      <c r="I1788" s="47" t="s">
        <v>212</v>
      </c>
      <c r="J1788" s="6">
        <v>70</v>
      </c>
      <c r="K1788" s="8" t="s">
        <v>20</v>
      </c>
      <c r="L1788" s="1" t="s">
        <v>923</v>
      </c>
      <c r="M1788" s="5">
        <v>2250</v>
      </c>
    </row>
    <row r="1789" spans="1:13" ht="15" x14ac:dyDescent="0.25">
      <c r="A1789" s="7" t="s">
        <v>16</v>
      </c>
      <c r="B1789" s="7" t="s">
        <v>22</v>
      </c>
      <c r="C1789" s="7" t="s">
        <v>18</v>
      </c>
      <c r="D1789" s="4">
        <v>25841000153</v>
      </c>
      <c r="E1789" s="8" t="s">
        <v>738</v>
      </c>
      <c r="F1789" s="8" t="s">
        <v>739</v>
      </c>
      <c r="G1789" s="7" t="s">
        <v>55</v>
      </c>
      <c r="H1789" s="47" t="s">
        <v>211</v>
      </c>
      <c r="I1789" s="47" t="s">
        <v>212</v>
      </c>
      <c r="J1789" s="6">
        <v>62</v>
      </c>
      <c r="K1789" s="8" t="s">
        <v>27</v>
      </c>
      <c r="L1789" s="1" t="s">
        <v>738</v>
      </c>
      <c r="M1789" s="5">
        <v>4</v>
      </c>
    </row>
    <row r="1790" spans="1:13" ht="15" x14ac:dyDescent="0.25">
      <c r="A1790" s="7" t="s">
        <v>16</v>
      </c>
      <c r="B1790" s="7" t="s">
        <v>22</v>
      </c>
      <c r="C1790" s="7" t="s">
        <v>18</v>
      </c>
      <c r="D1790" s="4">
        <v>49791000144</v>
      </c>
      <c r="E1790" s="8" t="s">
        <v>743</v>
      </c>
      <c r="F1790" s="8" t="s">
        <v>739</v>
      </c>
      <c r="G1790" s="7" t="s">
        <v>55</v>
      </c>
      <c r="H1790" s="47" t="s">
        <v>211</v>
      </c>
      <c r="I1790" s="47" t="s">
        <v>212</v>
      </c>
      <c r="J1790" s="6">
        <v>64</v>
      </c>
      <c r="K1790" s="8" t="s">
        <v>25</v>
      </c>
      <c r="L1790" s="1" t="s">
        <v>743</v>
      </c>
      <c r="M1790" s="5">
        <v>1</v>
      </c>
    </row>
    <row r="1791" spans="1:13" ht="15" x14ac:dyDescent="0.25">
      <c r="A1791" s="7" t="s">
        <v>16</v>
      </c>
      <c r="B1791" s="7" t="s">
        <v>22</v>
      </c>
      <c r="C1791" s="7" t="s">
        <v>18</v>
      </c>
      <c r="D1791" s="4">
        <v>85465526149</v>
      </c>
      <c r="E1791" s="8" t="s">
        <v>748</v>
      </c>
      <c r="F1791" s="8" t="s">
        <v>739</v>
      </c>
      <c r="G1791" s="7" t="s">
        <v>55</v>
      </c>
      <c r="H1791" s="47" t="s">
        <v>211</v>
      </c>
      <c r="I1791" s="47" t="s">
        <v>212</v>
      </c>
      <c r="J1791" s="6">
        <v>66</v>
      </c>
      <c r="K1791" s="8" t="s">
        <v>28</v>
      </c>
      <c r="L1791" s="1" t="s">
        <v>748</v>
      </c>
      <c r="M1791" s="5">
        <v>3</v>
      </c>
    </row>
    <row r="1792" spans="1:13" ht="15" x14ac:dyDescent="0.25">
      <c r="A1792" s="7" t="s">
        <v>16</v>
      </c>
      <c r="B1792" s="7" t="s">
        <v>22</v>
      </c>
      <c r="C1792" s="7" t="s">
        <v>18</v>
      </c>
      <c r="D1792" s="4">
        <v>520237000101</v>
      </c>
      <c r="E1792" s="8" t="s">
        <v>755</v>
      </c>
      <c r="F1792" s="8" t="s">
        <v>739</v>
      </c>
      <c r="G1792" s="7" t="s">
        <v>55</v>
      </c>
      <c r="H1792" s="47" t="s">
        <v>211</v>
      </c>
      <c r="I1792" s="47" t="s">
        <v>212</v>
      </c>
      <c r="J1792" s="6">
        <v>70</v>
      </c>
      <c r="K1792" s="8" t="s">
        <v>20</v>
      </c>
      <c r="L1792" s="1" t="s">
        <v>755</v>
      </c>
      <c r="M1792" s="5">
        <v>150</v>
      </c>
    </row>
    <row r="1793" spans="1:13" ht="15" x14ac:dyDescent="0.25">
      <c r="A1793" s="7" t="s">
        <v>16</v>
      </c>
      <c r="B1793" s="7" t="s">
        <v>22</v>
      </c>
      <c r="C1793" s="7" t="s">
        <v>18</v>
      </c>
      <c r="D1793" s="4">
        <v>520237000101</v>
      </c>
      <c r="E1793" s="8" t="s">
        <v>755</v>
      </c>
      <c r="F1793" s="8" t="s">
        <v>739</v>
      </c>
      <c r="G1793" s="7" t="s">
        <v>55</v>
      </c>
      <c r="H1793" s="47" t="s">
        <v>211</v>
      </c>
      <c r="I1793" s="47" t="s">
        <v>212</v>
      </c>
      <c r="J1793" s="6">
        <v>73</v>
      </c>
      <c r="K1793" s="8" t="s">
        <v>26</v>
      </c>
      <c r="L1793" s="1" t="s">
        <v>755</v>
      </c>
      <c r="M1793" s="5">
        <v>155</v>
      </c>
    </row>
    <row r="1794" spans="1:13" ht="15" x14ac:dyDescent="0.25">
      <c r="A1794" s="7" t="s">
        <v>16</v>
      </c>
      <c r="B1794" s="7" t="s">
        <v>22</v>
      </c>
      <c r="C1794" s="7" t="s">
        <v>18</v>
      </c>
      <c r="D1794" s="4">
        <v>610980000144</v>
      </c>
      <c r="E1794" s="8" t="s">
        <v>756</v>
      </c>
      <c r="F1794" s="8" t="s">
        <v>739</v>
      </c>
      <c r="G1794" s="7" t="s">
        <v>55</v>
      </c>
      <c r="H1794" s="47" t="s">
        <v>211</v>
      </c>
      <c r="I1794" s="47" t="s">
        <v>212</v>
      </c>
      <c r="J1794" s="6">
        <v>64</v>
      </c>
      <c r="K1794" s="8" t="s">
        <v>25</v>
      </c>
      <c r="L1794" s="1" t="s">
        <v>756</v>
      </c>
      <c r="M1794" s="5">
        <v>12</v>
      </c>
    </row>
    <row r="1795" spans="1:13" ht="15" x14ac:dyDescent="0.25">
      <c r="A1795" s="7" t="s">
        <v>16</v>
      </c>
      <c r="B1795" s="7" t="s">
        <v>22</v>
      </c>
      <c r="C1795" s="7" t="s">
        <v>18</v>
      </c>
      <c r="D1795" s="4">
        <v>610980000144</v>
      </c>
      <c r="E1795" s="8" t="s">
        <v>756</v>
      </c>
      <c r="F1795" s="8" t="s">
        <v>739</v>
      </c>
      <c r="G1795" s="7" t="s">
        <v>55</v>
      </c>
      <c r="H1795" s="47" t="s">
        <v>211</v>
      </c>
      <c r="I1795" s="47" t="s">
        <v>212</v>
      </c>
      <c r="J1795" s="6">
        <v>70</v>
      </c>
      <c r="K1795" s="8" t="s">
        <v>20</v>
      </c>
      <c r="L1795" s="1" t="s">
        <v>756</v>
      </c>
      <c r="M1795" s="5">
        <v>400</v>
      </c>
    </row>
    <row r="1796" spans="1:13" ht="15" x14ac:dyDescent="0.25">
      <c r="A1796" s="7" t="s">
        <v>16</v>
      </c>
      <c r="B1796" s="7" t="s">
        <v>22</v>
      </c>
      <c r="C1796" s="7" t="s">
        <v>18</v>
      </c>
      <c r="D1796" s="4">
        <v>2560878000107</v>
      </c>
      <c r="E1796" s="8" t="s">
        <v>781</v>
      </c>
      <c r="F1796" s="8" t="s">
        <v>739</v>
      </c>
      <c r="G1796" s="7" t="s">
        <v>55</v>
      </c>
      <c r="H1796" s="47" t="s">
        <v>211</v>
      </c>
      <c r="I1796" s="47" t="s">
        <v>212</v>
      </c>
      <c r="J1796" s="6">
        <v>64</v>
      </c>
      <c r="K1796" s="8" t="s">
        <v>25</v>
      </c>
      <c r="L1796" s="1" t="s">
        <v>781</v>
      </c>
      <c r="M1796" s="5">
        <v>4</v>
      </c>
    </row>
    <row r="1797" spans="1:13" ht="15" x14ac:dyDescent="0.25">
      <c r="A1797" s="7" t="s">
        <v>16</v>
      </c>
      <c r="B1797" s="7" t="s">
        <v>22</v>
      </c>
      <c r="C1797" s="7" t="s">
        <v>18</v>
      </c>
      <c r="D1797" s="4">
        <v>2560878000107</v>
      </c>
      <c r="E1797" s="8" t="s">
        <v>781</v>
      </c>
      <c r="F1797" s="8" t="s">
        <v>739</v>
      </c>
      <c r="G1797" s="7" t="s">
        <v>55</v>
      </c>
      <c r="H1797" s="47" t="s">
        <v>211</v>
      </c>
      <c r="I1797" s="47" t="s">
        <v>212</v>
      </c>
      <c r="J1797" s="6">
        <v>70</v>
      </c>
      <c r="K1797" s="8" t="s">
        <v>20</v>
      </c>
      <c r="L1797" s="1" t="s">
        <v>781</v>
      </c>
      <c r="M1797" s="5">
        <v>135</v>
      </c>
    </row>
    <row r="1798" spans="1:13" ht="15" x14ac:dyDescent="0.25">
      <c r="A1798" s="7" t="s">
        <v>16</v>
      </c>
      <c r="B1798" s="7" t="s">
        <v>22</v>
      </c>
      <c r="C1798" s="7" t="s">
        <v>18</v>
      </c>
      <c r="D1798" s="4">
        <v>3989821000190</v>
      </c>
      <c r="E1798" s="8" t="s">
        <v>796</v>
      </c>
      <c r="F1798" s="8" t="s">
        <v>739</v>
      </c>
      <c r="G1798" s="7" t="s">
        <v>55</v>
      </c>
      <c r="H1798" s="47" t="s">
        <v>211</v>
      </c>
      <c r="I1798" s="47" t="s">
        <v>212</v>
      </c>
      <c r="J1798" s="6">
        <v>70</v>
      </c>
      <c r="K1798" s="8" t="s">
        <v>20</v>
      </c>
      <c r="L1798" s="1" t="s">
        <v>796</v>
      </c>
      <c r="M1798" s="5">
        <v>45</v>
      </c>
    </row>
    <row r="1799" spans="1:13" ht="15" x14ac:dyDescent="0.25">
      <c r="A1799" s="7" t="s">
        <v>16</v>
      </c>
      <c r="B1799" s="7" t="s">
        <v>22</v>
      </c>
      <c r="C1799" s="7" t="s">
        <v>18</v>
      </c>
      <c r="D1799" s="4">
        <v>6047087004126</v>
      </c>
      <c r="E1799" s="8" t="s">
        <v>810</v>
      </c>
      <c r="F1799" s="8" t="s">
        <v>739</v>
      </c>
      <c r="G1799" s="7" t="s">
        <v>55</v>
      </c>
      <c r="H1799" s="47" t="s">
        <v>211</v>
      </c>
      <c r="I1799" s="47" t="s">
        <v>212</v>
      </c>
      <c r="J1799" s="6">
        <v>64</v>
      </c>
      <c r="K1799" s="8" t="s">
        <v>25</v>
      </c>
      <c r="L1799" s="1" t="s">
        <v>810</v>
      </c>
      <c r="M1799" s="5">
        <v>3</v>
      </c>
    </row>
    <row r="1800" spans="1:13" ht="15" x14ac:dyDescent="0.25">
      <c r="A1800" s="7" t="s">
        <v>16</v>
      </c>
      <c r="B1800" s="7" t="s">
        <v>22</v>
      </c>
      <c r="C1800" s="7" t="s">
        <v>18</v>
      </c>
      <c r="D1800" s="4">
        <v>6047087004207</v>
      </c>
      <c r="E1800" s="8" t="s">
        <v>811</v>
      </c>
      <c r="F1800" s="8" t="s">
        <v>739</v>
      </c>
      <c r="G1800" s="7" t="s">
        <v>55</v>
      </c>
      <c r="H1800" s="47" t="s">
        <v>211</v>
      </c>
      <c r="I1800" s="47" t="s">
        <v>212</v>
      </c>
      <c r="J1800" s="6">
        <v>62</v>
      </c>
      <c r="K1800" s="8" t="s">
        <v>27</v>
      </c>
      <c r="L1800" s="1" t="s">
        <v>811</v>
      </c>
      <c r="M1800" s="5">
        <v>18</v>
      </c>
    </row>
    <row r="1801" spans="1:13" ht="15" x14ac:dyDescent="0.25">
      <c r="A1801" s="7" t="s">
        <v>16</v>
      </c>
      <c r="B1801" s="7" t="s">
        <v>22</v>
      </c>
      <c r="C1801" s="7" t="s">
        <v>18</v>
      </c>
      <c r="D1801" s="4">
        <v>6047087004207</v>
      </c>
      <c r="E1801" s="8" t="s">
        <v>811</v>
      </c>
      <c r="F1801" s="8" t="s">
        <v>739</v>
      </c>
      <c r="G1801" s="7" t="s">
        <v>55</v>
      </c>
      <c r="H1801" s="47" t="s">
        <v>211</v>
      </c>
      <c r="I1801" s="47" t="s">
        <v>212</v>
      </c>
      <c r="J1801" s="6">
        <v>64</v>
      </c>
      <c r="K1801" s="8" t="s">
        <v>25</v>
      </c>
      <c r="L1801" s="1" t="s">
        <v>811</v>
      </c>
      <c r="M1801" s="5">
        <v>28</v>
      </c>
    </row>
    <row r="1802" spans="1:13" ht="15" x14ac:dyDescent="0.25">
      <c r="A1802" s="7" t="s">
        <v>16</v>
      </c>
      <c r="B1802" s="7" t="s">
        <v>22</v>
      </c>
      <c r="C1802" s="7" t="s">
        <v>18</v>
      </c>
      <c r="D1802" s="4">
        <v>9104513000974</v>
      </c>
      <c r="E1802" s="8" t="s">
        <v>830</v>
      </c>
      <c r="F1802" s="8" t="s">
        <v>739</v>
      </c>
      <c r="G1802" s="7" t="s">
        <v>55</v>
      </c>
      <c r="H1802" s="47" t="s">
        <v>211</v>
      </c>
      <c r="I1802" s="47" t="s">
        <v>212</v>
      </c>
      <c r="J1802" s="6">
        <v>70</v>
      </c>
      <c r="K1802" s="8" t="s">
        <v>20</v>
      </c>
      <c r="L1802" s="1" t="s">
        <v>830</v>
      </c>
      <c r="M1802" s="5">
        <v>515</v>
      </c>
    </row>
    <row r="1803" spans="1:13" ht="15" x14ac:dyDescent="0.25">
      <c r="A1803" s="7" t="s">
        <v>16</v>
      </c>
      <c r="B1803" s="7" t="s">
        <v>22</v>
      </c>
      <c r="C1803" s="7" t="s">
        <v>18</v>
      </c>
      <c r="D1803" s="4">
        <v>10942995000163</v>
      </c>
      <c r="E1803" s="8" t="s">
        <v>836</v>
      </c>
      <c r="F1803" s="8" t="s">
        <v>739</v>
      </c>
      <c r="G1803" s="7" t="s">
        <v>55</v>
      </c>
      <c r="H1803" s="47" t="s">
        <v>211</v>
      </c>
      <c r="I1803" s="47" t="s">
        <v>212</v>
      </c>
      <c r="J1803" s="6">
        <v>70</v>
      </c>
      <c r="K1803" s="8" t="s">
        <v>20</v>
      </c>
      <c r="L1803" s="1" t="s">
        <v>836</v>
      </c>
      <c r="M1803" s="5">
        <v>500</v>
      </c>
    </row>
    <row r="1804" spans="1:13" ht="15" x14ac:dyDescent="0.25">
      <c r="A1804" s="7" t="s">
        <v>16</v>
      </c>
      <c r="B1804" s="7" t="s">
        <v>22</v>
      </c>
      <c r="C1804" s="7" t="s">
        <v>18</v>
      </c>
      <c r="D1804" s="4">
        <v>10942995000163</v>
      </c>
      <c r="E1804" s="8" t="s">
        <v>836</v>
      </c>
      <c r="F1804" s="8" t="s">
        <v>739</v>
      </c>
      <c r="G1804" s="7" t="s">
        <v>55</v>
      </c>
      <c r="H1804" s="47" t="s">
        <v>211</v>
      </c>
      <c r="I1804" s="47" t="s">
        <v>212</v>
      </c>
      <c r="J1804" s="6">
        <v>73</v>
      </c>
      <c r="K1804" s="8" t="s">
        <v>26</v>
      </c>
      <c r="L1804" s="1" t="s">
        <v>836</v>
      </c>
      <c r="M1804" s="5">
        <v>160</v>
      </c>
    </row>
    <row r="1805" spans="1:13" ht="15" x14ac:dyDescent="0.25">
      <c r="A1805" s="7" t="s">
        <v>16</v>
      </c>
      <c r="B1805" s="7" t="s">
        <v>22</v>
      </c>
      <c r="C1805" s="7" t="s">
        <v>18</v>
      </c>
      <c r="D1805" s="4">
        <v>11859927000106</v>
      </c>
      <c r="E1805" s="8" t="s">
        <v>846</v>
      </c>
      <c r="F1805" s="8" t="s">
        <v>739</v>
      </c>
      <c r="G1805" s="7" t="s">
        <v>55</v>
      </c>
      <c r="H1805" s="47" t="s">
        <v>211</v>
      </c>
      <c r="I1805" s="47" t="s">
        <v>212</v>
      </c>
      <c r="J1805" s="6">
        <v>73</v>
      </c>
      <c r="K1805" s="8" t="s">
        <v>26</v>
      </c>
      <c r="L1805" s="1" t="s">
        <v>846</v>
      </c>
      <c r="M1805" s="5">
        <v>45</v>
      </c>
    </row>
    <row r="1806" spans="1:13" ht="15" x14ac:dyDescent="0.25">
      <c r="A1806" s="7" t="s">
        <v>16</v>
      </c>
      <c r="B1806" s="7" t="s">
        <v>22</v>
      </c>
      <c r="C1806" s="7" t="s">
        <v>18</v>
      </c>
      <c r="D1806" s="4">
        <v>16739984000167</v>
      </c>
      <c r="E1806" s="8" t="s">
        <v>900</v>
      </c>
      <c r="F1806" s="8" t="s">
        <v>739</v>
      </c>
      <c r="G1806" s="7" t="s">
        <v>55</v>
      </c>
      <c r="H1806" s="47" t="s">
        <v>211</v>
      </c>
      <c r="I1806" s="47" t="s">
        <v>212</v>
      </c>
      <c r="J1806" s="6">
        <v>73</v>
      </c>
      <c r="K1806" s="8" t="s">
        <v>26</v>
      </c>
      <c r="L1806" s="1" t="s">
        <v>900</v>
      </c>
      <c r="M1806" s="5">
        <v>36</v>
      </c>
    </row>
    <row r="1807" spans="1:13" ht="15" x14ac:dyDescent="0.25">
      <c r="A1807" s="7" t="s">
        <v>16</v>
      </c>
      <c r="B1807" s="7" t="s">
        <v>22</v>
      </c>
      <c r="C1807" s="7" t="s">
        <v>18</v>
      </c>
      <c r="D1807" s="4">
        <v>29435005004620</v>
      </c>
      <c r="E1807" s="8" t="s">
        <v>911</v>
      </c>
      <c r="F1807" s="8" t="s">
        <v>739</v>
      </c>
      <c r="G1807" s="7" t="s">
        <v>55</v>
      </c>
      <c r="H1807" s="47" t="s">
        <v>211</v>
      </c>
      <c r="I1807" s="47" t="s">
        <v>212</v>
      </c>
      <c r="J1807" s="6">
        <v>62</v>
      </c>
      <c r="K1807" s="8" t="s">
        <v>27</v>
      </c>
      <c r="L1807" s="1" t="s">
        <v>911</v>
      </c>
      <c r="M1807" s="5">
        <v>1</v>
      </c>
    </row>
    <row r="1808" spans="1:13" ht="15" x14ac:dyDescent="0.25">
      <c r="A1808" s="7" t="s">
        <v>16</v>
      </c>
      <c r="B1808" s="7" t="s">
        <v>22</v>
      </c>
      <c r="C1808" s="7" t="s">
        <v>18</v>
      </c>
      <c r="D1808" s="4">
        <v>29435005004620</v>
      </c>
      <c r="E1808" s="8" t="s">
        <v>911</v>
      </c>
      <c r="F1808" s="8" t="s">
        <v>739</v>
      </c>
      <c r="G1808" s="7" t="s">
        <v>55</v>
      </c>
      <c r="H1808" s="47" t="s">
        <v>211</v>
      </c>
      <c r="I1808" s="47" t="s">
        <v>212</v>
      </c>
      <c r="J1808" s="6">
        <v>64</v>
      </c>
      <c r="K1808" s="8" t="s">
        <v>25</v>
      </c>
      <c r="L1808" s="1" t="s">
        <v>911</v>
      </c>
      <c r="M1808" s="5">
        <v>15</v>
      </c>
    </row>
    <row r="1809" spans="1:13" ht="15" x14ac:dyDescent="0.25">
      <c r="A1809" s="7" t="s">
        <v>16</v>
      </c>
      <c r="B1809" s="7" t="s">
        <v>22</v>
      </c>
      <c r="C1809" s="7" t="s">
        <v>18</v>
      </c>
      <c r="D1809" s="4">
        <v>29435005004620</v>
      </c>
      <c r="E1809" s="8" t="s">
        <v>911</v>
      </c>
      <c r="F1809" s="8" t="s">
        <v>739</v>
      </c>
      <c r="G1809" s="7" t="s">
        <v>55</v>
      </c>
      <c r="H1809" s="47" t="s">
        <v>211</v>
      </c>
      <c r="I1809" s="47" t="s">
        <v>212</v>
      </c>
      <c r="J1809" s="6">
        <v>70</v>
      </c>
      <c r="K1809" s="8" t="s">
        <v>20</v>
      </c>
      <c r="L1809" s="1" t="s">
        <v>911</v>
      </c>
      <c r="M1809" s="5">
        <v>145</v>
      </c>
    </row>
    <row r="1810" spans="1:13" ht="15" x14ac:dyDescent="0.25">
      <c r="A1810" s="7" t="s">
        <v>16</v>
      </c>
      <c r="B1810" s="7" t="s">
        <v>22</v>
      </c>
      <c r="C1810" s="7" t="s">
        <v>18</v>
      </c>
      <c r="D1810" s="4">
        <v>30135335000188</v>
      </c>
      <c r="E1810" s="8" t="s">
        <v>914</v>
      </c>
      <c r="F1810" s="8" t="s">
        <v>739</v>
      </c>
      <c r="G1810" s="7" t="s">
        <v>55</v>
      </c>
      <c r="H1810" s="47" t="s">
        <v>211</v>
      </c>
      <c r="I1810" s="47" t="s">
        <v>212</v>
      </c>
      <c r="J1810" s="6">
        <v>70</v>
      </c>
      <c r="K1810" s="8" t="s">
        <v>20</v>
      </c>
      <c r="L1810" s="1" t="s">
        <v>914</v>
      </c>
      <c r="M1810" s="5">
        <v>455</v>
      </c>
    </row>
    <row r="1811" spans="1:13" ht="15" x14ac:dyDescent="0.25">
      <c r="A1811" s="7" t="s">
        <v>16</v>
      </c>
      <c r="B1811" s="7" t="s">
        <v>22</v>
      </c>
      <c r="C1811" s="7" t="s">
        <v>18</v>
      </c>
      <c r="D1811" s="4">
        <v>37108388000159</v>
      </c>
      <c r="E1811" s="8" t="s">
        <v>916</v>
      </c>
      <c r="F1811" s="8" t="s">
        <v>739</v>
      </c>
      <c r="G1811" s="7" t="s">
        <v>55</v>
      </c>
      <c r="H1811" s="47" t="s">
        <v>211</v>
      </c>
      <c r="I1811" s="47" t="s">
        <v>212</v>
      </c>
      <c r="J1811" s="6">
        <v>62</v>
      </c>
      <c r="K1811" s="8" t="s">
        <v>27</v>
      </c>
      <c r="L1811" s="1" t="s">
        <v>916</v>
      </c>
      <c r="M1811" s="5">
        <v>15</v>
      </c>
    </row>
    <row r="1812" spans="1:13" ht="15" x14ac:dyDescent="0.25">
      <c r="A1812" s="7" t="s">
        <v>16</v>
      </c>
      <c r="B1812" s="7" t="s">
        <v>22</v>
      </c>
      <c r="C1812" s="7" t="s">
        <v>18</v>
      </c>
      <c r="D1812" s="4">
        <v>37108388000159</v>
      </c>
      <c r="E1812" s="8" t="s">
        <v>916</v>
      </c>
      <c r="F1812" s="8" t="s">
        <v>739</v>
      </c>
      <c r="G1812" s="7" t="s">
        <v>55</v>
      </c>
      <c r="H1812" s="47" t="s">
        <v>211</v>
      </c>
      <c r="I1812" s="47" t="s">
        <v>212</v>
      </c>
      <c r="J1812" s="6">
        <v>64</v>
      </c>
      <c r="K1812" s="8" t="s">
        <v>25</v>
      </c>
      <c r="L1812" s="1" t="s">
        <v>916</v>
      </c>
      <c r="M1812" s="5">
        <v>30</v>
      </c>
    </row>
    <row r="1813" spans="1:13" ht="15" x14ac:dyDescent="0.25">
      <c r="A1813" s="7" t="s">
        <v>16</v>
      </c>
      <c r="B1813" s="7" t="s">
        <v>22</v>
      </c>
      <c r="C1813" s="7" t="s">
        <v>18</v>
      </c>
      <c r="D1813" s="4">
        <v>38000485000196</v>
      </c>
      <c r="E1813" s="8" t="s">
        <v>917</v>
      </c>
      <c r="F1813" s="8" t="s">
        <v>739</v>
      </c>
      <c r="G1813" s="7" t="s">
        <v>55</v>
      </c>
      <c r="H1813" s="47" t="s">
        <v>211</v>
      </c>
      <c r="I1813" s="47" t="s">
        <v>212</v>
      </c>
      <c r="J1813" s="6">
        <v>62</v>
      </c>
      <c r="K1813" s="8" t="s">
        <v>27</v>
      </c>
      <c r="L1813" s="1" t="s">
        <v>917</v>
      </c>
      <c r="M1813" s="5">
        <v>9</v>
      </c>
    </row>
    <row r="1814" spans="1:13" ht="15" x14ac:dyDescent="0.25">
      <c r="A1814" s="7" t="s">
        <v>16</v>
      </c>
      <c r="B1814" s="7" t="s">
        <v>22</v>
      </c>
      <c r="C1814" s="7" t="s">
        <v>18</v>
      </c>
      <c r="D1814" s="4">
        <v>60884855001983</v>
      </c>
      <c r="E1814" s="8" t="s">
        <v>919</v>
      </c>
      <c r="F1814" s="8" t="s">
        <v>739</v>
      </c>
      <c r="G1814" s="7" t="s">
        <v>55</v>
      </c>
      <c r="H1814" s="47" t="s">
        <v>211</v>
      </c>
      <c r="I1814" s="47" t="s">
        <v>212</v>
      </c>
      <c r="J1814" s="6">
        <v>62</v>
      </c>
      <c r="K1814" s="8" t="s">
        <v>27</v>
      </c>
      <c r="L1814" s="1" t="s">
        <v>919</v>
      </c>
      <c r="M1814" s="5">
        <v>1</v>
      </c>
    </row>
    <row r="1815" spans="1:13" ht="15" x14ac:dyDescent="0.25">
      <c r="A1815" s="7" t="s">
        <v>16</v>
      </c>
      <c r="B1815" s="7" t="s">
        <v>22</v>
      </c>
      <c r="C1815" s="7" t="s">
        <v>18</v>
      </c>
      <c r="D1815" s="4">
        <v>60884855002289</v>
      </c>
      <c r="E1815" s="8" t="s">
        <v>920</v>
      </c>
      <c r="F1815" s="8" t="s">
        <v>739</v>
      </c>
      <c r="G1815" s="7" t="s">
        <v>55</v>
      </c>
      <c r="H1815" s="47" t="s">
        <v>211</v>
      </c>
      <c r="I1815" s="47" t="s">
        <v>212</v>
      </c>
      <c r="J1815" s="6">
        <v>62</v>
      </c>
      <c r="K1815" s="8" t="s">
        <v>27</v>
      </c>
      <c r="L1815" s="1" t="s">
        <v>920</v>
      </c>
      <c r="M1815" s="5">
        <v>38</v>
      </c>
    </row>
    <row r="1816" spans="1:13" ht="15" x14ac:dyDescent="0.25">
      <c r="A1816" s="7" t="s">
        <v>16</v>
      </c>
      <c r="B1816" s="7" t="s">
        <v>22</v>
      </c>
      <c r="C1816" s="7" t="s">
        <v>18</v>
      </c>
      <c r="D1816" s="4">
        <v>60884855002289</v>
      </c>
      <c r="E1816" s="8" t="s">
        <v>920</v>
      </c>
      <c r="F1816" s="8" t="s">
        <v>739</v>
      </c>
      <c r="G1816" s="7" t="s">
        <v>55</v>
      </c>
      <c r="H1816" s="47" t="s">
        <v>211</v>
      </c>
      <c r="I1816" s="47" t="s">
        <v>212</v>
      </c>
      <c r="J1816" s="6">
        <v>64</v>
      </c>
      <c r="K1816" s="8" t="s">
        <v>25</v>
      </c>
      <c r="L1816" s="1" t="s">
        <v>920</v>
      </c>
      <c r="M1816" s="5">
        <v>61</v>
      </c>
    </row>
    <row r="1817" spans="1:13" ht="15" x14ac:dyDescent="0.25">
      <c r="A1817" s="7" t="s">
        <v>16</v>
      </c>
      <c r="B1817" s="7" t="s">
        <v>22</v>
      </c>
      <c r="C1817" s="7" t="s">
        <v>18</v>
      </c>
      <c r="D1817" s="4">
        <v>60884855002289</v>
      </c>
      <c r="E1817" s="8" t="s">
        <v>920</v>
      </c>
      <c r="F1817" s="8" t="s">
        <v>739</v>
      </c>
      <c r="G1817" s="7" t="s">
        <v>55</v>
      </c>
      <c r="H1817" s="47" t="s">
        <v>211</v>
      </c>
      <c r="I1817" s="47" t="s">
        <v>212</v>
      </c>
      <c r="J1817" s="6">
        <v>70</v>
      </c>
      <c r="K1817" s="8" t="s">
        <v>20</v>
      </c>
      <c r="L1817" s="1" t="s">
        <v>920</v>
      </c>
      <c r="M1817" s="5">
        <v>650</v>
      </c>
    </row>
    <row r="1818" spans="1:13" ht="15" x14ac:dyDescent="0.25">
      <c r="A1818" s="7" t="s">
        <v>16</v>
      </c>
      <c r="B1818" s="7" t="s">
        <v>22</v>
      </c>
      <c r="C1818" s="7" t="s">
        <v>18</v>
      </c>
      <c r="D1818" s="4">
        <v>61590410001287</v>
      </c>
      <c r="E1818" s="8" t="s">
        <v>923</v>
      </c>
      <c r="F1818" s="8" t="s">
        <v>739</v>
      </c>
      <c r="G1818" s="7" t="s">
        <v>55</v>
      </c>
      <c r="H1818" s="47" t="s">
        <v>211</v>
      </c>
      <c r="I1818" s="47" t="s">
        <v>212</v>
      </c>
      <c r="J1818" s="6">
        <v>70</v>
      </c>
      <c r="K1818" s="8" t="s">
        <v>20</v>
      </c>
      <c r="L1818" s="1" t="s">
        <v>923</v>
      </c>
      <c r="M1818" s="5">
        <v>170</v>
      </c>
    </row>
    <row r="1819" spans="1:13" ht="15" x14ac:dyDescent="0.25">
      <c r="A1819" s="7" t="s">
        <v>16</v>
      </c>
      <c r="B1819" s="7" t="s">
        <v>23</v>
      </c>
      <c r="C1819" s="7" t="s">
        <v>24</v>
      </c>
      <c r="D1819" s="4">
        <v>25841000153</v>
      </c>
      <c r="E1819" s="8" t="s">
        <v>738</v>
      </c>
      <c r="F1819" s="8" t="s">
        <v>739</v>
      </c>
      <c r="G1819" s="7" t="s">
        <v>55</v>
      </c>
      <c r="H1819" s="47" t="s">
        <v>211</v>
      </c>
      <c r="I1819" s="47" t="s">
        <v>212</v>
      </c>
      <c r="J1819" s="6">
        <v>62</v>
      </c>
      <c r="K1819" s="8" t="s">
        <v>27</v>
      </c>
      <c r="L1819" s="1" t="s">
        <v>738</v>
      </c>
      <c r="M1819" s="5">
        <v>9</v>
      </c>
    </row>
    <row r="1820" spans="1:13" ht="15" x14ac:dyDescent="0.25">
      <c r="A1820" s="7" t="s">
        <v>16</v>
      </c>
      <c r="B1820" s="7" t="s">
        <v>23</v>
      </c>
      <c r="C1820" s="7" t="s">
        <v>24</v>
      </c>
      <c r="D1820" s="4">
        <v>25841000153</v>
      </c>
      <c r="E1820" s="8" t="s">
        <v>738</v>
      </c>
      <c r="F1820" s="8" t="s">
        <v>739</v>
      </c>
      <c r="G1820" s="7" t="s">
        <v>55</v>
      </c>
      <c r="H1820" s="47" t="s">
        <v>211</v>
      </c>
      <c r="I1820" s="47" t="s">
        <v>212</v>
      </c>
      <c r="J1820" s="6">
        <v>64</v>
      </c>
      <c r="K1820" s="8" t="s">
        <v>25</v>
      </c>
      <c r="L1820" s="1" t="s">
        <v>738</v>
      </c>
      <c r="M1820" s="5">
        <v>5</v>
      </c>
    </row>
    <row r="1821" spans="1:13" ht="15" x14ac:dyDescent="0.25">
      <c r="A1821" s="7" t="s">
        <v>16</v>
      </c>
      <c r="B1821" s="7" t="s">
        <v>23</v>
      </c>
      <c r="C1821" s="7" t="s">
        <v>24</v>
      </c>
      <c r="D1821" s="4">
        <v>49791000144</v>
      </c>
      <c r="E1821" s="8" t="s">
        <v>743</v>
      </c>
      <c r="F1821" s="8" t="s">
        <v>739</v>
      </c>
      <c r="G1821" s="7" t="s">
        <v>55</v>
      </c>
      <c r="H1821" s="47" t="s">
        <v>211</v>
      </c>
      <c r="I1821" s="47" t="s">
        <v>212</v>
      </c>
      <c r="J1821" s="6">
        <v>64</v>
      </c>
      <c r="K1821" s="8" t="s">
        <v>25</v>
      </c>
      <c r="L1821" s="1" t="s">
        <v>743</v>
      </c>
      <c r="M1821" s="5">
        <v>3</v>
      </c>
    </row>
    <row r="1822" spans="1:13" ht="15" x14ac:dyDescent="0.25">
      <c r="A1822" s="7" t="s">
        <v>16</v>
      </c>
      <c r="B1822" s="7" t="s">
        <v>23</v>
      </c>
      <c r="C1822" s="7" t="s">
        <v>24</v>
      </c>
      <c r="D1822" s="4">
        <v>382069000127</v>
      </c>
      <c r="E1822" s="8" t="s">
        <v>749</v>
      </c>
      <c r="F1822" s="8" t="s">
        <v>739</v>
      </c>
      <c r="G1822" s="7" t="s">
        <v>55</v>
      </c>
      <c r="H1822" s="47" t="s">
        <v>211</v>
      </c>
      <c r="I1822" s="47" t="s">
        <v>212</v>
      </c>
      <c r="J1822" s="6">
        <v>62</v>
      </c>
      <c r="K1822" s="8" t="s">
        <v>27</v>
      </c>
      <c r="L1822" s="1" t="s">
        <v>749</v>
      </c>
      <c r="M1822" s="5">
        <v>2</v>
      </c>
    </row>
    <row r="1823" spans="1:13" ht="15" x14ac:dyDescent="0.25">
      <c r="A1823" s="7" t="s">
        <v>16</v>
      </c>
      <c r="B1823" s="7" t="s">
        <v>23</v>
      </c>
      <c r="C1823" s="7" t="s">
        <v>24</v>
      </c>
      <c r="D1823" s="4">
        <v>382069000127</v>
      </c>
      <c r="E1823" s="8" t="s">
        <v>749</v>
      </c>
      <c r="F1823" s="8" t="s">
        <v>739</v>
      </c>
      <c r="G1823" s="7" t="s">
        <v>55</v>
      </c>
      <c r="H1823" s="47" t="s">
        <v>211</v>
      </c>
      <c r="I1823" s="47" t="s">
        <v>212</v>
      </c>
      <c r="J1823" s="6">
        <v>64</v>
      </c>
      <c r="K1823" s="8" t="s">
        <v>25</v>
      </c>
      <c r="L1823" s="1" t="s">
        <v>749</v>
      </c>
      <c r="M1823" s="5">
        <v>4</v>
      </c>
    </row>
    <row r="1824" spans="1:13" ht="15" x14ac:dyDescent="0.25">
      <c r="A1824" s="7" t="s">
        <v>16</v>
      </c>
      <c r="B1824" s="7" t="s">
        <v>23</v>
      </c>
      <c r="C1824" s="7" t="s">
        <v>24</v>
      </c>
      <c r="D1824" s="4">
        <v>382069000127</v>
      </c>
      <c r="E1824" s="8" t="s">
        <v>749</v>
      </c>
      <c r="F1824" s="8" t="s">
        <v>739</v>
      </c>
      <c r="G1824" s="7" t="s">
        <v>55</v>
      </c>
      <c r="H1824" s="47" t="s">
        <v>211</v>
      </c>
      <c r="I1824" s="47" t="s">
        <v>212</v>
      </c>
      <c r="J1824" s="6">
        <v>70</v>
      </c>
      <c r="K1824" s="8" t="s">
        <v>20</v>
      </c>
      <c r="L1824" s="1" t="s">
        <v>749</v>
      </c>
      <c r="M1824" s="5">
        <v>0</v>
      </c>
    </row>
    <row r="1825" spans="1:13" ht="15" x14ac:dyDescent="0.25">
      <c r="A1825" s="7" t="s">
        <v>16</v>
      </c>
      <c r="B1825" s="7" t="s">
        <v>23</v>
      </c>
      <c r="C1825" s="7" t="s">
        <v>24</v>
      </c>
      <c r="D1825" s="4">
        <v>520237000101</v>
      </c>
      <c r="E1825" s="8" t="s">
        <v>755</v>
      </c>
      <c r="F1825" s="8" t="s">
        <v>739</v>
      </c>
      <c r="G1825" s="7" t="s">
        <v>55</v>
      </c>
      <c r="H1825" s="47" t="s">
        <v>211</v>
      </c>
      <c r="I1825" s="47" t="s">
        <v>212</v>
      </c>
      <c r="J1825" s="6">
        <v>70</v>
      </c>
      <c r="K1825" s="8" t="s">
        <v>20</v>
      </c>
      <c r="L1825" s="1" t="s">
        <v>755</v>
      </c>
      <c r="M1825" s="5">
        <v>450</v>
      </c>
    </row>
    <row r="1826" spans="1:13" ht="15" x14ac:dyDescent="0.25">
      <c r="A1826" s="7" t="s">
        <v>16</v>
      </c>
      <c r="B1826" s="7" t="s">
        <v>23</v>
      </c>
      <c r="C1826" s="7" t="s">
        <v>24</v>
      </c>
      <c r="D1826" s="4">
        <v>520237000101</v>
      </c>
      <c r="E1826" s="8" t="s">
        <v>755</v>
      </c>
      <c r="F1826" s="8" t="s">
        <v>739</v>
      </c>
      <c r="G1826" s="7" t="s">
        <v>55</v>
      </c>
      <c r="H1826" s="47" t="s">
        <v>211</v>
      </c>
      <c r="I1826" s="47" t="s">
        <v>212</v>
      </c>
      <c r="J1826" s="6">
        <v>73</v>
      </c>
      <c r="K1826" s="8" t="s">
        <v>26</v>
      </c>
      <c r="L1826" s="1" t="s">
        <v>755</v>
      </c>
      <c r="M1826" s="5">
        <v>240</v>
      </c>
    </row>
    <row r="1827" spans="1:13" ht="15" x14ac:dyDescent="0.25">
      <c r="A1827" s="7" t="s">
        <v>16</v>
      </c>
      <c r="B1827" s="7" t="s">
        <v>23</v>
      </c>
      <c r="C1827" s="7" t="s">
        <v>24</v>
      </c>
      <c r="D1827" s="4">
        <v>610980000144</v>
      </c>
      <c r="E1827" s="8" t="s">
        <v>756</v>
      </c>
      <c r="F1827" s="8" t="s">
        <v>739</v>
      </c>
      <c r="G1827" s="7" t="s">
        <v>55</v>
      </c>
      <c r="H1827" s="47" t="s">
        <v>211</v>
      </c>
      <c r="I1827" s="47" t="s">
        <v>212</v>
      </c>
      <c r="J1827" s="6">
        <v>64</v>
      </c>
      <c r="K1827" s="8" t="s">
        <v>25</v>
      </c>
      <c r="L1827" s="1" t="s">
        <v>756</v>
      </c>
      <c r="M1827" s="5">
        <v>22</v>
      </c>
    </row>
    <row r="1828" spans="1:13" ht="15" x14ac:dyDescent="0.25">
      <c r="A1828" s="7" t="s">
        <v>16</v>
      </c>
      <c r="B1828" s="7" t="s">
        <v>23</v>
      </c>
      <c r="C1828" s="7" t="s">
        <v>24</v>
      </c>
      <c r="D1828" s="4">
        <v>610980000144</v>
      </c>
      <c r="E1828" s="8" t="s">
        <v>756</v>
      </c>
      <c r="F1828" s="8" t="s">
        <v>739</v>
      </c>
      <c r="G1828" s="7" t="s">
        <v>55</v>
      </c>
      <c r="H1828" s="47" t="s">
        <v>211</v>
      </c>
      <c r="I1828" s="47" t="s">
        <v>212</v>
      </c>
      <c r="J1828" s="6">
        <v>70</v>
      </c>
      <c r="K1828" s="8" t="s">
        <v>20</v>
      </c>
      <c r="L1828" s="1" t="s">
        <v>756</v>
      </c>
      <c r="M1828" s="5">
        <v>50</v>
      </c>
    </row>
    <row r="1829" spans="1:13" ht="15" x14ac:dyDescent="0.25">
      <c r="A1829" s="7" t="s">
        <v>16</v>
      </c>
      <c r="B1829" s="7" t="s">
        <v>23</v>
      </c>
      <c r="C1829" s="7" t="s">
        <v>24</v>
      </c>
      <c r="D1829" s="4">
        <v>2560878000107</v>
      </c>
      <c r="E1829" s="8" t="s">
        <v>781</v>
      </c>
      <c r="F1829" s="8" t="s">
        <v>739</v>
      </c>
      <c r="G1829" s="7" t="s">
        <v>55</v>
      </c>
      <c r="H1829" s="47" t="s">
        <v>211</v>
      </c>
      <c r="I1829" s="47" t="s">
        <v>212</v>
      </c>
      <c r="J1829" s="6">
        <v>64</v>
      </c>
      <c r="K1829" s="8" t="s">
        <v>25</v>
      </c>
      <c r="L1829" s="1" t="s">
        <v>781</v>
      </c>
      <c r="M1829" s="5">
        <v>9</v>
      </c>
    </row>
    <row r="1830" spans="1:13" ht="15" x14ac:dyDescent="0.25">
      <c r="A1830" s="7" t="s">
        <v>16</v>
      </c>
      <c r="B1830" s="7" t="s">
        <v>23</v>
      </c>
      <c r="C1830" s="7" t="s">
        <v>24</v>
      </c>
      <c r="D1830" s="4">
        <v>2560878000107</v>
      </c>
      <c r="E1830" s="8" t="s">
        <v>781</v>
      </c>
      <c r="F1830" s="8" t="s">
        <v>739</v>
      </c>
      <c r="G1830" s="7" t="s">
        <v>55</v>
      </c>
      <c r="H1830" s="47" t="s">
        <v>211</v>
      </c>
      <c r="I1830" s="47" t="s">
        <v>212</v>
      </c>
      <c r="J1830" s="6">
        <v>70</v>
      </c>
      <c r="K1830" s="8" t="s">
        <v>20</v>
      </c>
      <c r="L1830" s="1" t="s">
        <v>781</v>
      </c>
      <c r="M1830" s="5">
        <v>65</v>
      </c>
    </row>
    <row r="1831" spans="1:13" ht="15" x14ac:dyDescent="0.25">
      <c r="A1831" s="7" t="s">
        <v>16</v>
      </c>
      <c r="B1831" s="7" t="s">
        <v>23</v>
      </c>
      <c r="C1831" s="7" t="s">
        <v>24</v>
      </c>
      <c r="D1831" s="4">
        <v>3568867000136</v>
      </c>
      <c r="E1831" s="8" t="s">
        <v>790</v>
      </c>
      <c r="F1831" s="8" t="s">
        <v>739</v>
      </c>
      <c r="G1831" s="7" t="s">
        <v>55</v>
      </c>
      <c r="H1831" s="47" t="s">
        <v>211</v>
      </c>
      <c r="I1831" s="47" t="s">
        <v>212</v>
      </c>
      <c r="J1831" s="6">
        <v>70</v>
      </c>
      <c r="K1831" s="8" t="s">
        <v>20</v>
      </c>
      <c r="L1831" s="1" t="s">
        <v>790</v>
      </c>
      <c r="M1831" s="5">
        <v>430</v>
      </c>
    </row>
    <row r="1832" spans="1:13" ht="15" x14ac:dyDescent="0.25">
      <c r="A1832" s="7" t="s">
        <v>16</v>
      </c>
      <c r="B1832" s="7" t="s">
        <v>23</v>
      </c>
      <c r="C1832" s="7" t="s">
        <v>24</v>
      </c>
      <c r="D1832" s="4">
        <v>6047087004126</v>
      </c>
      <c r="E1832" s="8" t="s">
        <v>810</v>
      </c>
      <c r="F1832" s="8" t="s">
        <v>739</v>
      </c>
      <c r="G1832" s="7" t="s">
        <v>55</v>
      </c>
      <c r="H1832" s="47" t="s">
        <v>211</v>
      </c>
      <c r="I1832" s="47" t="s">
        <v>212</v>
      </c>
      <c r="J1832" s="6">
        <v>64</v>
      </c>
      <c r="K1832" s="8" t="s">
        <v>25</v>
      </c>
      <c r="L1832" s="1" t="s">
        <v>810</v>
      </c>
      <c r="M1832" s="5">
        <v>6</v>
      </c>
    </row>
    <row r="1833" spans="1:13" ht="15" x14ac:dyDescent="0.25">
      <c r="A1833" s="7" t="s">
        <v>16</v>
      </c>
      <c r="B1833" s="7" t="s">
        <v>23</v>
      </c>
      <c r="C1833" s="7" t="s">
        <v>24</v>
      </c>
      <c r="D1833" s="4">
        <v>6047087004207</v>
      </c>
      <c r="E1833" s="8" t="s">
        <v>811</v>
      </c>
      <c r="F1833" s="8" t="s">
        <v>739</v>
      </c>
      <c r="G1833" s="7" t="s">
        <v>55</v>
      </c>
      <c r="H1833" s="47" t="s">
        <v>211</v>
      </c>
      <c r="I1833" s="47" t="s">
        <v>212</v>
      </c>
      <c r="J1833" s="6">
        <v>62</v>
      </c>
      <c r="K1833" s="8" t="s">
        <v>27</v>
      </c>
      <c r="L1833" s="1" t="s">
        <v>811</v>
      </c>
      <c r="M1833" s="5">
        <v>5</v>
      </c>
    </row>
    <row r="1834" spans="1:13" ht="15" x14ac:dyDescent="0.25">
      <c r="A1834" s="7" t="s">
        <v>16</v>
      </c>
      <c r="B1834" s="7" t="s">
        <v>23</v>
      </c>
      <c r="C1834" s="7" t="s">
        <v>24</v>
      </c>
      <c r="D1834" s="4">
        <v>6047087004207</v>
      </c>
      <c r="E1834" s="8" t="s">
        <v>811</v>
      </c>
      <c r="F1834" s="8" t="s">
        <v>739</v>
      </c>
      <c r="G1834" s="7" t="s">
        <v>55</v>
      </c>
      <c r="H1834" s="47" t="s">
        <v>211</v>
      </c>
      <c r="I1834" s="47" t="s">
        <v>212</v>
      </c>
      <c r="J1834" s="6">
        <v>64</v>
      </c>
      <c r="K1834" s="8" t="s">
        <v>25</v>
      </c>
      <c r="L1834" s="1" t="s">
        <v>811</v>
      </c>
      <c r="M1834" s="5">
        <v>17</v>
      </c>
    </row>
    <row r="1835" spans="1:13" ht="15" x14ac:dyDescent="0.25">
      <c r="A1835" s="7" t="s">
        <v>16</v>
      </c>
      <c r="B1835" s="7" t="s">
        <v>23</v>
      </c>
      <c r="C1835" s="7" t="s">
        <v>24</v>
      </c>
      <c r="D1835" s="4">
        <v>9104513000974</v>
      </c>
      <c r="E1835" s="8" t="s">
        <v>830</v>
      </c>
      <c r="F1835" s="8" t="s">
        <v>739</v>
      </c>
      <c r="G1835" s="7" t="s">
        <v>55</v>
      </c>
      <c r="H1835" s="47" t="s">
        <v>211</v>
      </c>
      <c r="I1835" s="47" t="s">
        <v>212</v>
      </c>
      <c r="J1835" s="6">
        <v>70</v>
      </c>
      <c r="K1835" s="8" t="s">
        <v>20</v>
      </c>
      <c r="L1835" s="1" t="s">
        <v>830</v>
      </c>
      <c r="M1835" s="5">
        <v>365</v>
      </c>
    </row>
    <row r="1836" spans="1:13" ht="15" x14ac:dyDescent="0.25">
      <c r="A1836" s="7" t="s">
        <v>16</v>
      </c>
      <c r="B1836" s="7" t="s">
        <v>23</v>
      </c>
      <c r="C1836" s="7" t="s">
        <v>24</v>
      </c>
      <c r="D1836" s="4">
        <v>10942995000163</v>
      </c>
      <c r="E1836" s="8" t="s">
        <v>836</v>
      </c>
      <c r="F1836" s="8" t="s">
        <v>739</v>
      </c>
      <c r="G1836" s="7" t="s">
        <v>55</v>
      </c>
      <c r="H1836" s="47" t="s">
        <v>211</v>
      </c>
      <c r="I1836" s="47" t="s">
        <v>212</v>
      </c>
      <c r="J1836" s="6">
        <v>70</v>
      </c>
      <c r="K1836" s="8" t="s">
        <v>20</v>
      </c>
      <c r="L1836" s="1" t="s">
        <v>836</v>
      </c>
      <c r="M1836" s="5">
        <v>350</v>
      </c>
    </row>
    <row r="1837" spans="1:13" ht="15" x14ac:dyDescent="0.25">
      <c r="A1837" s="7" t="s">
        <v>16</v>
      </c>
      <c r="B1837" s="7" t="s">
        <v>23</v>
      </c>
      <c r="C1837" s="7" t="s">
        <v>24</v>
      </c>
      <c r="D1837" s="4">
        <v>10942995000163</v>
      </c>
      <c r="E1837" s="8" t="s">
        <v>836</v>
      </c>
      <c r="F1837" s="8" t="s">
        <v>739</v>
      </c>
      <c r="G1837" s="7" t="s">
        <v>55</v>
      </c>
      <c r="H1837" s="47" t="s">
        <v>211</v>
      </c>
      <c r="I1837" s="47" t="s">
        <v>212</v>
      </c>
      <c r="J1837" s="6">
        <v>73</v>
      </c>
      <c r="K1837" s="8" t="s">
        <v>26</v>
      </c>
      <c r="L1837" s="1" t="s">
        <v>836</v>
      </c>
      <c r="M1837" s="5">
        <v>120</v>
      </c>
    </row>
    <row r="1838" spans="1:13" ht="15" x14ac:dyDescent="0.25">
      <c r="A1838" s="7" t="s">
        <v>16</v>
      </c>
      <c r="B1838" s="7" t="s">
        <v>23</v>
      </c>
      <c r="C1838" s="7" t="s">
        <v>24</v>
      </c>
      <c r="D1838" s="4">
        <v>11859927000106</v>
      </c>
      <c r="E1838" s="8" t="s">
        <v>846</v>
      </c>
      <c r="F1838" s="8" t="s">
        <v>739</v>
      </c>
      <c r="G1838" s="7" t="s">
        <v>55</v>
      </c>
      <c r="H1838" s="47" t="s">
        <v>211</v>
      </c>
      <c r="I1838" s="47" t="s">
        <v>212</v>
      </c>
      <c r="J1838" s="6">
        <v>73</v>
      </c>
      <c r="K1838" s="8" t="s">
        <v>26</v>
      </c>
      <c r="L1838" s="1" t="s">
        <v>846</v>
      </c>
      <c r="M1838" s="5">
        <v>48</v>
      </c>
    </row>
    <row r="1839" spans="1:13" ht="15" x14ac:dyDescent="0.25">
      <c r="A1839" s="7" t="s">
        <v>16</v>
      </c>
      <c r="B1839" s="7" t="s">
        <v>23</v>
      </c>
      <c r="C1839" s="7" t="s">
        <v>24</v>
      </c>
      <c r="D1839" s="4">
        <v>16739984000167</v>
      </c>
      <c r="E1839" s="8" t="s">
        <v>900</v>
      </c>
      <c r="F1839" s="8" t="s">
        <v>739</v>
      </c>
      <c r="G1839" s="7" t="s">
        <v>55</v>
      </c>
      <c r="H1839" s="47" t="s">
        <v>211</v>
      </c>
      <c r="I1839" s="47" t="s">
        <v>212</v>
      </c>
      <c r="J1839" s="6">
        <v>73</v>
      </c>
      <c r="K1839" s="8" t="s">
        <v>26</v>
      </c>
      <c r="L1839" s="1" t="s">
        <v>900</v>
      </c>
      <c r="M1839" s="5">
        <v>42</v>
      </c>
    </row>
    <row r="1840" spans="1:13" ht="15" x14ac:dyDescent="0.25">
      <c r="A1840" s="7" t="s">
        <v>16</v>
      </c>
      <c r="B1840" s="7" t="s">
        <v>23</v>
      </c>
      <c r="C1840" s="7" t="s">
        <v>24</v>
      </c>
      <c r="D1840" s="4">
        <v>29435005004620</v>
      </c>
      <c r="E1840" s="8" t="s">
        <v>911</v>
      </c>
      <c r="F1840" s="8" t="s">
        <v>739</v>
      </c>
      <c r="G1840" s="7" t="s">
        <v>55</v>
      </c>
      <c r="H1840" s="47" t="s">
        <v>211</v>
      </c>
      <c r="I1840" s="47" t="s">
        <v>212</v>
      </c>
      <c r="J1840" s="6">
        <v>62</v>
      </c>
      <c r="K1840" s="8" t="s">
        <v>27</v>
      </c>
      <c r="L1840" s="1" t="s">
        <v>911</v>
      </c>
      <c r="M1840" s="5">
        <v>2</v>
      </c>
    </row>
    <row r="1841" spans="1:13" ht="15" x14ac:dyDescent="0.25">
      <c r="A1841" s="7" t="s">
        <v>16</v>
      </c>
      <c r="B1841" s="7" t="s">
        <v>23</v>
      </c>
      <c r="C1841" s="7" t="s">
        <v>24</v>
      </c>
      <c r="D1841" s="4">
        <v>37108388000159</v>
      </c>
      <c r="E1841" s="8" t="s">
        <v>916</v>
      </c>
      <c r="F1841" s="8" t="s">
        <v>739</v>
      </c>
      <c r="G1841" s="7" t="s">
        <v>55</v>
      </c>
      <c r="H1841" s="47" t="s">
        <v>211</v>
      </c>
      <c r="I1841" s="47" t="s">
        <v>212</v>
      </c>
      <c r="J1841" s="6">
        <v>64</v>
      </c>
      <c r="K1841" s="8" t="s">
        <v>25</v>
      </c>
      <c r="L1841" s="1" t="s">
        <v>916</v>
      </c>
      <c r="M1841" s="5">
        <v>20</v>
      </c>
    </row>
    <row r="1842" spans="1:13" ht="15" x14ac:dyDescent="0.25">
      <c r="A1842" s="7" t="s">
        <v>16</v>
      </c>
      <c r="B1842" s="7" t="s">
        <v>23</v>
      </c>
      <c r="C1842" s="7" t="s">
        <v>24</v>
      </c>
      <c r="D1842" s="4">
        <v>38000485000196</v>
      </c>
      <c r="E1842" s="8" t="s">
        <v>917</v>
      </c>
      <c r="F1842" s="8" t="s">
        <v>739</v>
      </c>
      <c r="G1842" s="7" t="s">
        <v>55</v>
      </c>
      <c r="H1842" s="47" t="s">
        <v>211</v>
      </c>
      <c r="I1842" s="47" t="s">
        <v>212</v>
      </c>
      <c r="J1842" s="6">
        <v>64</v>
      </c>
      <c r="K1842" s="8" t="s">
        <v>25</v>
      </c>
      <c r="L1842" s="1" t="s">
        <v>917</v>
      </c>
      <c r="M1842" s="5">
        <v>5</v>
      </c>
    </row>
    <row r="1843" spans="1:13" ht="15" x14ac:dyDescent="0.25">
      <c r="A1843" s="7" t="s">
        <v>16</v>
      </c>
      <c r="B1843" s="7" t="s">
        <v>23</v>
      </c>
      <c r="C1843" s="7" t="s">
        <v>24</v>
      </c>
      <c r="D1843" s="4">
        <v>60884855002289</v>
      </c>
      <c r="E1843" s="8" t="s">
        <v>920</v>
      </c>
      <c r="F1843" s="8" t="s">
        <v>739</v>
      </c>
      <c r="G1843" s="7" t="s">
        <v>55</v>
      </c>
      <c r="H1843" s="47" t="s">
        <v>211</v>
      </c>
      <c r="I1843" s="47" t="s">
        <v>212</v>
      </c>
      <c r="J1843" s="6">
        <v>62</v>
      </c>
      <c r="K1843" s="8" t="s">
        <v>27</v>
      </c>
      <c r="L1843" s="1" t="s">
        <v>920</v>
      </c>
      <c r="M1843" s="5">
        <v>20</v>
      </c>
    </row>
    <row r="1844" spans="1:13" ht="15" x14ac:dyDescent="0.25">
      <c r="A1844" s="7" t="s">
        <v>16</v>
      </c>
      <c r="B1844" s="7" t="s">
        <v>23</v>
      </c>
      <c r="C1844" s="7" t="s">
        <v>24</v>
      </c>
      <c r="D1844" s="4">
        <v>60884855002289</v>
      </c>
      <c r="E1844" s="8" t="s">
        <v>920</v>
      </c>
      <c r="F1844" s="8" t="s">
        <v>739</v>
      </c>
      <c r="G1844" s="7" t="s">
        <v>55</v>
      </c>
      <c r="H1844" s="47" t="s">
        <v>211</v>
      </c>
      <c r="I1844" s="47" t="s">
        <v>212</v>
      </c>
      <c r="J1844" s="6">
        <v>64</v>
      </c>
      <c r="K1844" s="8" t="s">
        <v>25</v>
      </c>
      <c r="L1844" s="1" t="s">
        <v>920</v>
      </c>
      <c r="M1844" s="5">
        <v>21</v>
      </c>
    </row>
    <row r="1845" spans="1:13" ht="15" x14ac:dyDescent="0.25">
      <c r="A1845" s="7" t="s">
        <v>16</v>
      </c>
      <c r="B1845" s="7" t="s">
        <v>23</v>
      </c>
      <c r="C1845" s="7" t="s">
        <v>24</v>
      </c>
      <c r="D1845" s="4">
        <v>60884855002289</v>
      </c>
      <c r="E1845" s="8" t="s">
        <v>920</v>
      </c>
      <c r="F1845" s="8" t="s">
        <v>739</v>
      </c>
      <c r="G1845" s="7" t="s">
        <v>55</v>
      </c>
      <c r="H1845" s="47" t="s">
        <v>211</v>
      </c>
      <c r="I1845" s="47" t="s">
        <v>212</v>
      </c>
      <c r="J1845" s="6">
        <v>70</v>
      </c>
      <c r="K1845" s="8" t="s">
        <v>20</v>
      </c>
      <c r="L1845" s="1" t="s">
        <v>920</v>
      </c>
      <c r="M1845" s="5">
        <v>675</v>
      </c>
    </row>
    <row r="1846" spans="1:13" ht="15" x14ac:dyDescent="0.25">
      <c r="A1846" s="7" t="s">
        <v>16</v>
      </c>
      <c r="B1846" s="7" t="s">
        <v>23</v>
      </c>
      <c r="C1846" s="7" t="s">
        <v>24</v>
      </c>
      <c r="D1846" s="4">
        <v>61590410000558</v>
      </c>
      <c r="E1846" s="8" t="s">
        <v>922</v>
      </c>
      <c r="F1846" s="8" t="s">
        <v>739</v>
      </c>
      <c r="G1846" s="7" t="s">
        <v>55</v>
      </c>
      <c r="H1846" s="47" t="s">
        <v>211</v>
      </c>
      <c r="I1846" s="47" t="s">
        <v>212</v>
      </c>
      <c r="J1846" s="6">
        <v>73</v>
      </c>
      <c r="K1846" s="8" t="s">
        <v>26</v>
      </c>
      <c r="L1846" s="1" t="s">
        <v>922</v>
      </c>
      <c r="M1846" s="5">
        <v>16</v>
      </c>
    </row>
    <row r="1847" spans="1:13" ht="15" x14ac:dyDescent="0.25">
      <c r="A1847" s="7" t="s">
        <v>16</v>
      </c>
      <c r="B1847" s="7" t="s">
        <v>229</v>
      </c>
      <c r="C1847" s="7" t="s">
        <v>24</v>
      </c>
      <c r="D1847" s="4">
        <v>382069000127</v>
      </c>
      <c r="E1847" s="8" t="s">
        <v>749</v>
      </c>
      <c r="F1847" s="8" t="s">
        <v>739</v>
      </c>
      <c r="G1847" s="7" t="s">
        <v>55</v>
      </c>
      <c r="H1847" s="47" t="s">
        <v>211</v>
      </c>
      <c r="I1847" s="47" t="s">
        <v>212</v>
      </c>
      <c r="J1847" s="6">
        <v>62</v>
      </c>
      <c r="K1847" s="8" t="s">
        <v>27</v>
      </c>
      <c r="L1847" s="1" t="s">
        <v>749</v>
      </c>
      <c r="M1847" s="5">
        <v>6</v>
      </c>
    </row>
    <row r="1848" spans="1:13" ht="15" x14ac:dyDescent="0.25">
      <c r="A1848" s="7" t="s">
        <v>16</v>
      </c>
      <c r="B1848" s="7" t="s">
        <v>229</v>
      </c>
      <c r="C1848" s="7" t="s">
        <v>24</v>
      </c>
      <c r="D1848" s="4">
        <v>382069000127</v>
      </c>
      <c r="E1848" s="8" t="s">
        <v>749</v>
      </c>
      <c r="F1848" s="8" t="s">
        <v>739</v>
      </c>
      <c r="G1848" s="7" t="s">
        <v>55</v>
      </c>
      <c r="H1848" s="47" t="s">
        <v>211</v>
      </c>
      <c r="I1848" s="47" t="s">
        <v>212</v>
      </c>
      <c r="J1848" s="6">
        <v>64</v>
      </c>
      <c r="K1848" s="8" t="s">
        <v>25</v>
      </c>
      <c r="L1848" s="1" t="s">
        <v>749</v>
      </c>
      <c r="M1848" s="5">
        <v>9</v>
      </c>
    </row>
    <row r="1849" spans="1:13" ht="15" x14ac:dyDescent="0.25">
      <c r="A1849" s="7" t="s">
        <v>16</v>
      </c>
      <c r="B1849" s="7" t="s">
        <v>229</v>
      </c>
      <c r="C1849" s="7" t="s">
        <v>24</v>
      </c>
      <c r="D1849" s="4">
        <v>382069000127</v>
      </c>
      <c r="E1849" s="8" t="s">
        <v>749</v>
      </c>
      <c r="F1849" s="8" t="s">
        <v>739</v>
      </c>
      <c r="G1849" s="7" t="s">
        <v>55</v>
      </c>
      <c r="H1849" s="47" t="s">
        <v>211</v>
      </c>
      <c r="I1849" s="47" t="s">
        <v>212</v>
      </c>
      <c r="J1849" s="6">
        <v>70</v>
      </c>
      <c r="K1849" s="8" t="s">
        <v>20</v>
      </c>
      <c r="L1849" s="1" t="s">
        <v>749</v>
      </c>
      <c r="M1849" s="5">
        <v>100</v>
      </c>
    </row>
    <row r="1850" spans="1:13" ht="15" x14ac:dyDescent="0.25">
      <c r="A1850" s="7" t="s">
        <v>16</v>
      </c>
      <c r="B1850" s="7" t="s">
        <v>229</v>
      </c>
      <c r="C1850" s="7" t="s">
        <v>24</v>
      </c>
      <c r="D1850" s="4">
        <v>511816000180</v>
      </c>
      <c r="E1850" s="8" t="s">
        <v>754</v>
      </c>
      <c r="F1850" s="8" t="s">
        <v>739</v>
      </c>
      <c r="G1850" s="7" t="s">
        <v>55</v>
      </c>
      <c r="H1850" s="47" t="s">
        <v>211</v>
      </c>
      <c r="I1850" s="47" t="s">
        <v>212</v>
      </c>
      <c r="J1850" s="6">
        <v>64</v>
      </c>
      <c r="K1850" s="8" t="s">
        <v>25</v>
      </c>
      <c r="L1850" s="1" t="s">
        <v>754</v>
      </c>
      <c r="M1850" s="5">
        <v>4</v>
      </c>
    </row>
    <row r="1851" spans="1:13" ht="15" x14ac:dyDescent="0.25">
      <c r="A1851" s="7" t="s">
        <v>16</v>
      </c>
      <c r="B1851" s="7" t="s">
        <v>229</v>
      </c>
      <c r="C1851" s="7" t="s">
        <v>24</v>
      </c>
      <c r="D1851" s="4">
        <v>520237000101</v>
      </c>
      <c r="E1851" s="8" t="s">
        <v>755</v>
      </c>
      <c r="F1851" s="8" t="s">
        <v>739</v>
      </c>
      <c r="G1851" s="7" t="s">
        <v>55</v>
      </c>
      <c r="H1851" s="47" t="s">
        <v>211</v>
      </c>
      <c r="I1851" s="47" t="s">
        <v>212</v>
      </c>
      <c r="J1851" s="6">
        <v>70</v>
      </c>
      <c r="K1851" s="8" t="s">
        <v>20</v>
      </c>
      <c r="L1851" s="1" t="s">
        <v>755</v>
      </c>
      <c r="M1851" s="5">
        <v>550</v>
      </c>
    </row>
    <row r="1852" spans="1:13" ht="15" x14ac:dyDescent="0.25">
      <c r="A1852" s="7" t="s">
        <v>16</v>
      </c>
      <c r="B1852" s="7" t="s">
        <v>229</v>
      </c>
      <c r="C1852" s="7" t="s">
        <v>24</v>
      </c>
      <c r="D1852" s="4">
        <v>520237000101</v>
      </c>
      <c r="E1852" s="8" t="s">
        <v>755</v>
      </c>
      <c r="F1852" s="8" t="s">
        <v>739</v>
      </c>
      <c r="G1852" s="7" t="s">
        <v>55</v>
      </c>
      <c r="H1852" s="47" t="s">
        <v>211</v>
      </c>
      <c r="I1852" s="47" t="s">
        <v>212</v>
      </c>
      <c r="J1852" s="6">
        <v>73</v>
      </c>
      <c r="K1852" s="8" t="s">
        <v>26</v>
      </c>
      <c r="L1852" s="1" t="s">
        <v>755</v>
      </c>
      <c r="M1852" s="5">
        <v>86</v>
      </c>
    </row>
    <row r="1853" spans="1:13" ht="15" x14ac:dyDescent="0.25">
      <c r="A1853" s="7" t="s">
        <v>16</v>
      </c>
      <c r="B1853" s="7" t="s">
        <v>229</v>
      </c>
      <c r="C1853" s="7" t="s">
        <v>24</v>
      </c>
      <c r="D1853" s="4">
        <v>610980000144</v>
      </c>
      <c r="E1853" s="8" t="s">
        <v>756</v>
      </c>
      <c r="F1853" s="8" t="s">
        <v>739</v>
      </c>
      <c r="G1853" s="7" t="s">
        <v>55</v>
      </c>
      <c r="H1853" s="47" t="s">
        <v>211</v>
      </c>
      <c r="I1853" s="47" t="s">
        <v>212</v>
      </c>
      <c r="J1853" s="6">
        <v>62</v>
      </c>
      <c r="K1853" s="8" t="s">
        <v>27</v>
      </c>
      <c r="L1853" s="1" t="s">
        <v>756</v>
      </c>
      <c r="M1853" s="5">
        <v>2</v>
      </c>
    </row>
    <row r="1854" spans="1:13" ht="15" x14ac:dyDescent="0.25">
      <c r="A1854" s="7" t="s">
        <v>16</v>
      </c>
      <c r="B1854" s="7" t="s">
        <v>229</v>
      </c>
      <c r="C1854" s="7" t="s">
        <v>24</v>
      </c>
      <c r="D1854" s="4">
        <v>610980000144</v>
      </c>
      <c r="E1854" s="8" t="s">
        <v>756</v>
      </c>
      <c r="F1854" s="8" t="s">
        <v>739</v>
      </c>
      <c r="G1854" s="7" t="s">
        <v>55</v>
      </c>
      <c r="H1854" s="47" t="s">
        <v>211</v>
      </c>
      <c r="I1854" s="47" t="s">
        <v>212</v>
      </c>
      <c r="J1854" s="6">
        <v>64</v>
      </c>
      <c r="K1854" s="8" t="s">
        <v>25</v>
      </c>
      <c r="L1854" s="1" t="s">
        <v>756</v>
      </c>
      <c r="M1854" s="5">
        <v>7</v>
      </c>
    </row>
    <row r="1855" spans="1:13" ht="15" x14ac:dyDescent="0.25">
      <c r="A1855" s="7" t="s">
        <v>16</v>
      </c>
      <c r="B1855" s="7" t="s">
        <v>229</v>
      </c>
      <c r="C1855" s="7" t="s">
        <v>24</v>
      </c>
      <c r="D1855" s="4">
        <v>610980000144</v>
      </c>
      <c r="E1855" s="8" t="s">
        <v>756</v>
      </c>
      <c r="F1855" s="8" t="s">
        <v>739</v>
      </c>
      <c r="G1855" s="7" t="s">
        <v>55</v>
      </c>
      <c r="H1855" s="47" t="s">
        <v>211</v>
      </c>
      <c r="I1855" s="47" t="s">
        <v>212</v>
      </c>
      <c r="J1855" s="6">
        <v>70</v>
      </c>
      <c r="K1855" s="8" t="s">
        <v>20</v>
      </c>
      <c r="L1855" s="1" t="s">
        <v>756</v>
      </c>
      <c r="M1855" s="5">
        <v>50</v>
      </c>
    </row>
    <row r="1856" spans="1:13" ht="15" x14ac:dyDescent="0.25">
      <c r="A1856" s="7" t="s">
        <v>16</v>
      </c>
      <c r="B1856" s="7" t="s">
        <v>229</v>
      </c>
      <c r="C1856" s="7" t="s">
        <v>24</v>
      </c>
      <c r="D1856" s="4">
        <v>1682668000129</v>
      </c>
      <c r="E1856" s="8" t="s">
        <v>769</v>
      </c>
      <c r="F1856" s="8" t="s">
        <v>739</v>
      </c>
      <c r="G1856" s="7" t="s">
        <v>55</v>
      </c>
      <c r="H1856" s="47" t="s">
        <v>211</v>
      </c>
      <c r="I1856" s="47" t="s">
        <v>212</v>
      </c>
      <c r="J1856" s="6">
        <v>70</v>
      </c>
      <c r="K1856" s="8" t="s">
        <v>20</v>
      </c>
      <c r="L1856" s="1" t="s">
        <v>769</v>
      </c>
      <c r="M1856" s="5">
        <v>25</v>
      </c>
    </row>
    <row r="1857" spans="1:13" ht="15" x14ac:dyDescent="0.25">
      <c r="A1857" s="7" t="s">
        <v>16</v>
      </c>
      <c r="B1857" s="7" t="s">
        <v>229</v>
      </c>
      <c r="C1857" s="7" t="s">
        <v>24</v>
      </c>
      <c r="D1857" s="4">
        <v>2560878000107</v>
      </c>
      <c r="E1857" s="8" t="s">
        <v>781</v>
      </c>
      <c r="F1857" s="8" t="s">
        <v>739</v>
      </c>
      <c r="G1857" s="7" t="s">
        <v>55</v>
      </c>
      <c r="H1857" s="47" t="s">
        <v>211</v>
      </c>
      <c r="I1857" s="47" t="s">
        <v>212</v>
      </c>
      <c r="J1857" s="6">
        <v>62</v>
      </c>
      <c r="K1857" s="8" t="s">
        <v>27</v>
      </c>
      <c r="L1857" s="1" t="s">
        <v>781</v>
      </c>
      <c r="M1857" s="5">
        <v>6</v>
      </c>
    </row>
    <row r="1858" spans="1:13" ht="15" x14ac:dyDescent="0.25">
      <c r="A1858" s="7" t="s">
        <v>16</v>
      </c>
      <c r="B1858" s="7" t="s">
        <v>229</v>
      </c>
      <c r="C1858" s="7" t="s">
        <v>24</v>
      </c>
      <c r="D1858" s="4">
        <v>2560878000107</v>
      </c>
      <c r="E1858" s="8" t="s">
        <v>781</v>
      </c>
      <c r="F1858" s="8" t="s">
        <v>739</v>
      </c>
      <c r="G1858" s="7" t="s">
        <v>55</v>
      </c>
      <c r="H1858" s="47" t="s">
        <v>211</v>
      </c>
      <c r="I1858" s="47" t="s">
        <v>212</v>
      </c>
      <c r="J1858" s="6">
        <v>64</v>
      </c>
      <c r="K1858" s="8" t="s">
        <v>25</v>
      </c>
      <c r="L1858" s="1" t="s">
        <v>781</v>
      </c>
      <c r="M1858" s="5">
        <v>12</v>
      </c>
    </row>
    <row r="1859" spans="1:13" ht="15" x14ac:dyDescent="0.25">
      <c r="A1859" s="7" t="s">
        <v>16</v>
      </c>
      <c r="B1859" s="7" t="s">
        <v>229</v>
      </c>
      <c r="C1859" s="7" t="s">
        <v>24</v>
      </c>
      <c r="D1859" s="4">
        <v>2560878000107</v>
      </c>
      <c r="E1859" s="8" t="s">
        <v>781</v>
      </c>
      <c r="F1859" s="8" t="s">
        <v>739</v>
      </c>
      <c r="G1859" s="7" t="s">
        <v>55</v>
      </c>
      <c r="H1859" s="47" t="s">
        <v>211</v>
      </c>
      <c r="I1859" s="47" t="s">
        <v>212</v>
      </c>
      <c r="J1859" s="6">
        <v>70</v>
      </c>
      <c r="K1859" s="8" t="s">
        <v>20</v>
      </c>
      <c r="L1859" s="1" t="s">
        <v>781</v>
      </c>
      <c r="M1859" s="5">
        <v>55</v>
      </c>
    </row>
    <row r="1860" spans="1:13" ht="15" x14ac:dyDescent="0.25">
      <c r="A1860" s="7" t="s">
        <v>16</v>
      </c>
      <c r="B1860" s="7" t="s">
        <v>229</v>
      </c>
      <c r="C1860" s="7" t="s">
        <v>24</v>
      </c>
      <c r="D1860" s="4">
        <v>6047087004207</v>
      </c>
      <c r="E1860" s="8" t="s">
        <v>811</v>
      </c>
      <c r="F1860" s="8" t="s">
        <v>739</v>
      </c>
      <c r="G1860" s="7" t="s">
        <v>55</v>
      </c>
      <c r="H1860" s="47" t="s">
        <v>211</v>
      </c>
      <c r="I1860" s="47" t="s">
        <v>212</v>
      </c>
      <c r="J1860" s="6">
        <v>64</v>
      </c>
      <c r="K1860" s="8" t="s">
        <v>25</v>
      </c>
      <c r="L1860" s="1" t="s">
        <v>811</v>
      </c>
      <c r="M1860" s="5">
        <v>4</v>
      </c>
    </row>
    <row r="1861" spans="1:13" ht="15" x14ac:dyDescent="0.25">
      <c r="A1861" s="7" t="s">
        <v>16</v>
      </c>
      <c r="B1861" s="7" t="s">
        <v>229</v>
      </c>
      <c r="C1861" s="7" t="s">
        <v>24</v>
      </c>
      <c r="D1861" s="4">
        <v>9104513000974</v>
      </c>
      <c r="E1861" s="8" t="s">
        <v>830</v>
      </c>
      <c r="F1861" s="8" t="s">
        <v>739</v>
      </c>
      <c r="G1861" s="7" t="s">
        <v>55</v>
      </c>
      <c r="H1861" s="47" t="s">
        <v>211</v>
      </c>
      <c r="I1861" s="47" t="s">
        <v>212</v>
      </c>
      <c r="J1861" s="6">
        <v>70</v>
      </c>
      <c r="K1861" s="8" t="s">
        <v>20</v>
      </c>
      <c r="L1861" s="1" t="s">
        <v>830</v>
      </c>
      <c r="M1861" s="5">
        <v>570</v>
      </c>
    </row>
    <row r="1862" spans="1:13" ht="15" x14ac:dyDescent="0.25">
      <c r="A1862" s="7" t="s">
        <v>16</v>
      </c>
      <c r="B1862" s="7" t="s">
        <v>229</v>
      </c>
      <c r="C1862" s="7" t="s">
        <v>24</v>
      </c>
      <c r="D1862" s="4">
        <v>10942995000163</v>
      </c>
      <c r="E1862" s="8" t="s">
        <v>836</v>
      </c>
      <c r="F1862" s="8" t="s">
        <v>739</v>
      </c>
      <c r="G1862" s="7" t="s">
        <v>55</v>
      </c>
      <c r="H1862" s="47" t="s">
        <v>211</v>
      </c>
      <c r="I1862" s="47" t="s">
        <v>212</v>
      </c>
      <c r="J1862" s="6">
        <v>70</v>
      </c>
      <c r="K1862" s="8" t="s">
        <v>20</v>
      </c>
      <c r="L1862" s="1" t="s">
        <v>836</v>
      </c>
      <c r="M1862" s="5">
        <v>850</v>
      </c>
    </row>
    <row r="1863" spans="1:13" ht="15" x14ac:dyDescent="0.25">
      <c r="A1863" s="7" t="s">
        <v>16</v>
      </c>
      <c r="B1863" s="7" t="s">
        <v>229</v>
      </c>
      <c r="C1863" s="7" t="s">
        <v>24</v>
      </c>
      <c r="D1863" s="4">
        <v>10942995000163</v>
      </c>
      <c r="E1863" s="8" t="s">
        <v>836</v>
      </c>
      <c r="F1863" s="8" t="s">
        <v>739</v>
      </c>
      <c r="G1863" s="7" t="s">
        <v>55</v>
      </c>
      <c r="H1863" s="47" t="s">
        <v>211</v>
      </c>
      <c r="I1863" s="47" t="s">
        <v>212</v>
      </c>
      <c r="J1863" s="6">
        <v>73</v>
      </c>
      <c r="K1863" s="8" t="s">
        <v>26</v>
      </c>
      <c r="L1863" s="1" t="s">
        <v>836</v>
      </c>
      <c r="M1863" s="5">
        <v>200</v>
      </c>
    </row>
    <row r="1864" spans="1:13" ht="15" x14ac:dyDescent="0.25">
      <c r="A1864" s="7" t="s">
        <v>16</v>
      </c>
      <c r="B1864" s="7" t="s">
        <v>229</v>
      </c>
      <c r="C1864" s="7" t="s">
        <v>24</v>
      </c>
      <c r="D1864" s="4">
        <v>11859927000106</v>
      </c>
      <c r="E1864" s="8" t="s">
        <v>846</v>
      </c>
      <c r="F1864" s="8" t="s">
        <v>739</v>
      </c>
      <c r="G1864" s="7" t="s">
        <v>55</v>
      </c>
      <c r="H1864" s="47" t="s">
        <v>211</v>
      </c>
      <c r="I1864" s="47" t="s">
        <v>212</v>
      </c>
      <c r="J1864" s="6">
        <v>73</v>
      </c>
      <c r="K1864" s="8" t="s">
        <v>26</v>
      </c>
      <c r="L1864" s="1" t="s">
        <v>846</v>
      </c>
      <c r="M1864" s="5">
        <v>34</v>
      </c>
    </row>
    <row r="1865" spans="1:13" ht="15" x14ac:dyDescent="0.25">
      <c r="A1865" s="7" t="s">
        <v>16</v>
      </c>
      <c r="B1865" s="7" t="s">
        <v>229</v>
      </c>
      <c r="C1865" s="7" t="s">
        <v>24</v>
      </c>
      <c r="D1865" s="4">
        <v>16739984000167</v>
      </c>
      <c r="E1865" s="8" t="s">
        <v>900</v>
      </c>
      <c r="F1865" s="8" t="s">
        <v>739</v>
      </c>
      <c r="G1865" s="7" t="s">
        <v>55</v>
      </c>
      <c r="H1865" s="47" t="s">
        <v>211</v>
      </c>
      <c r="I1865" s="47" t="s">
        <v>212</v>
      </c>
      <c r="J1865" s="6">
        <v>73</v>
      </c>
      <c r="K1865" s="8" t="s">
        <v>26</v>
      </c>
      <c r="L1865" s="1" t="s">
        <v>900</v>
      </c>
      <c r="M1865" s="5">
        <v>18</v>
      </c>
    </row>
    <row r="1866" spans="1:13" ht="15" x14ac:dyDescent="0.25">
      <c r="A1866" s="7" t="s">
        <v>16</v>
      </c>
      <c r="B1866" s="7" t="s">
        <v>229</v>
      </c>
      <c r="C1866" s="7" t="s">
        <v>24</v>
      </c>
      <c r="D1866" s="4">
        <v>30135335000188</v>
      </c>
      <c r="E1866" s="8" t="s">
        <v>914</v>
      </c>
      <c r="F1866" s="8" t="s">
        <v>739</v>
      </c>
      <c r="G1866" s="7" t="s">
        <v>55</v>
      </c>
      <c r="H1866" s="47" t="s">
        <v>211</v>
      </c>
      <c r="I1866" s="47" t="s">
        <v>212</v>
      </c>
      <c r="J1866" s="6">
        <v>70</v>
      </c>
      <c r="K1866" s="8" t="s">
        <v>20</v>
      </c>
      <c r="L1866" s="1" t="s">
        <v>914</v>
      </c>
      <c r="M1866" s="5">
        <v>745</v>
      </c>
    </row>
    <row r="1867" spans="1:13" ht="15" x14ac:dyDescent="0.25">
      <c r="A1867" s="7" t="s">
        <v>16</v>
      </c>
      <c r="B1867" s="7" t="s">
        <v>229</v>
      </c>
      <c r="C1867" s="7" t="s">
        <v>24</v>
      </c>
      <c r="D1867" s="4">
        <v>60884855002289</v>
      </c>
      <c r="E1867" s="8" t="s">
        <v>920</v>
      </c>
      <c r="F1867" s="8" t="s">
        <v>739</v>
      </c>
      <c r="G1867" s="7" t="s">
        <v>55</v>
      </c>
      <c r="H1867" s="47" t="s">
        <v>211</v>
      </c>
      <c r="I1867" s="47" t="s">
        <v>212</v>
      </c>
      <c r="J1867" s="6">
        <v>62</v>
      </c>
      <c r="K1867" s="8" t="s">
        <v>27</v>
      </c>
      <c r="L1867" s="1" t="s">
        <v>920</v>
      </c>
      <c r="M1867" s="5">
        <v>19</v>
      </c>
    </row>
    <row r="1868" spans="1:13" ht="15" x14ac:dyDescent="0.25">
      <c r="A1868" s="7" t="s">
        <v>16</v>
      </c>
      <c r="B1868" s="7" t="s">
        <v>229</v>
      </c>
      <c r="C1868" s="7" t="s">
        <v>24</v>
      </c>
      <c r="D1868" s="4">
        <v>60884855002289</v>
      </c>
      <c r="E1868" s="8" t="s">
        <v>920</v>
      </c>
      <c r="F1868" s="8" t="s">
        <v>739</v>
      </c>
      <c r="G1868" s="7" t="s">
        <v>55</v>
      </c>
      <c r="H1868" s="47" t="s">
        <v>211</v>
      </c>
      <c r="I1868" s="47" t="s">
        <v>212</v>
      </c>
      <c r="J1868" s="6">
        <v>64</v>
      </c>
      <c r="K1868" s="8" t="s">
        <v>25</v>
      </c>
      <c r="L1868" s="1" t="s">
        <v>920</v>
      </c>
      <c r="M1868" s="5">
        <v>28</v>
      </c>
    </row>
    <row r="1869" spans="1:13" ht="15" x14ac:dyDescent="0.25">
      <c r="A1869" s="7" t="s">
        <v>16</v>
      </c>
      <c r="B1869" s="7" t="s">
        <v>229</v>
      </c>
      <c r="C1869" s="7" t="s">
        <v>24</v>
      </c>
      <c r="D1869" s="4">
        <v>60884855002289</v>
      </c>
      <c r="E1869" s="8" t="s">
        <v>920</v>
      </c>
      <c r="F1869" s="8" t="s">
        <v>739</v>
      </c>
      <c r="G1869" s="7" t="s">
        <v>55</v>
      </c>
      <c r="H1869" s="47" t="s">
        <v>211</v>
      </c>
      <c r="I1869" s="47" t="s">
        <v>212</v>
      </c>
      <c r="J1869" s="6">
        <v>70</v>
      </c>
      <c r="K1869" s="8" t="s">
        <v>20</v>
      </c>
      <c r="L1869" s="1" t="s">
        <v>920</v>
      </c>
      <c r="M1869" s="5">
        <v>75</v>
      </c>
    </row>
    <row r="1870" spans="1:13" ht="15" x14ac:dyDescent="0.25">
      <c r="A1870" s="7" t="s">
        <v>16</v>
      </c>
      <c r="B1870" s="7" t="s">
        <v>229</v>
      </c>
      <c r="C1870" s="7" t="s">
        <v>24</v>
      </c>
      <c r="D1870" s="4">
        <v>72576143000157</v>
      </c>
      <c r="E1870" s="8" t="s">
        <v>1235</v>
      </c>
      <c r="F1870" s="8" t="s">
        <v>739</v>
      </c>
      <c r="G1870" s="7" t="s">
        <v>55</v>
      </c>
      <c r="H1870" s="47" t="s">
        <v>211</v>
      </c>
      <c r="I1870" s="47" t="s">
        <v>212</v>
      </c>
      <c r="J1870" s="6">
        <v>64</v>
      </c>
      <c r="K1870" s="8" t="s">
        <v>25</v>
      </c>
      <c r="L1870" s="1" t="s">
        <v>1235</v>
      </c>
      <c r="M1870" s="5">
        <v>20</v>
      </c>
    </row>
    <row r="1871" spans="1:13" ht="15" x14ac:dyDescent="0.25">
      <c r="A1871" s="7" t="s">
        <v>16</v>
      </c>
      <c r="B1871" s="7" t="s">
        <v>230</v>
      </c>
      <c r="C1871" s="7" t="s">
        <v>24</v>
      </c>
      <c r="D1871" s="4">
        <v>25841000153</v>
      </c>
      <c r="E1871" s="8" t="s">
        <v>738</v>
      </c>
      <c r="F1871" s="8" t="s">
        <v>739</v>
      </c>
      <c r="G1871" s="7" t="s">
        <v>55</v>
      </c>
      <c r="H1871" s="47" t="s">
        <v>211</v>
      </c>
      <c r="I1871" s="47" t="s">
        <v>212</v>
      </c>
      <c r="J1871" s="6">
        <v>64</v>
      </c>
      <c r="K1871" s="8" t="s">
        <v>25</v>
      </c>
      <c r="L1871" s="1" t="s">
        <v>738</v>
      </c>
      <c r="M1871" s="5">
        <v>24</v>
      </c>
    </row>
    <row r="1872" spans="1:13" ht="15" x14ac:dyDescent="0.25">
      <c r="A1872" s="7" t="s">
        <v>16</v>
      </c>
      <c r="B1872" s="7" t="s">
        <v>230</v>
      </c>
      <c r="C1872" s="7" t="s">
        <v>24</v>
      </c>
      <c r="D1872" s="4">
        <v>511816000180</v>
      </c>
      <c r="E1872" s="8" t="s">
        <v>754</v>
      </c>
      <c r="F1872" s="8" t="s">
        <v>739</v>
      </c>
      <c r="G1872" s="7" t="s">
        <v>55</v>
      </c>
      <c r="H1872" s="47" t="s">
        <v>211</v>
      </c>
      <c r="I1872" s="47" t="s">
        <v>212</v>
      </c>
      <c r="J1872" s="6">
        <v>64</v>
      </c>
      <c r="K1872" s="8" t="s">
        <v>25</v>
      </c>
      <c r="L1872" s="1" t="s">
        <v>754</v>
      </c>
      <c r="M1872" s="5">
        <v>3</v>
      </c>
    </row>
    <row r="1873" spans="1:13" ht="15" x14ac:dyDescent="0.25">
      <c r="A1873" s="7" t="s">
        <v>16</v>
      </c>
      <c r="B1873" s="7" t="s">
        <v>230</v>
      </c>
      <c r="C1873" s="7" t="s">
        <v>24</v>
      </c>
      <c r="D1873" s="4">
        <v>520237000101</v>
      </c>
      <c r="E1873" s="8" t="s">
        <v>755</v>
      </c>
      <c r="F1873" s="8" t="s">
        <v>739</v>
      </c>
      <c r="G1873" s="7" t="s">
        <v>55</v>
      </c>
      <c r="H1873" s="47" t="s">
        <v>211</v>
      </c>
      <c r="I1873" s="47" t="s">
        <v>212</v>
      </c>
      <c r="J1873" s="6">
        <v>70</v>
      </c>
      <c r="K1873" s="8" t="s">
        <v>20</v>
      </c>
      <c r="L1873" s="1" t="s">
        <v>755</v>
      </c>
      <c r="M1873" s="5">
        <v>660</v>
      </c>
    </row>
    <row r="1874" spans="1:13" ht="15" x14ac:dyDescent="0.25">
      <c r="A1874" s="7" t="s">
        <v>16</v>
      </c>
      <c r="B1874" s="7" t="s">
        <v>230</v>
      </c>
      <c r="C1874" s="7" t="s">
        <v>24</v>
      </c>
      <c r="D1874" s="4">
        <v>520237000101</v>
      </c>
      <c r="E1874" s="8" t="s">
        <v>755</v>
      </c>
      <c r="F1874" s="8" t="s">
        <v>739</v>
      </c>
      <c r="G1874" s="7" t="s">
        <v>55</v>
      </c>
      <c r="H1874" s="47" t="s">
        <v>211</v>
      </c>
      <c r="I1874" s="47" t="s">
        <v>212</v>
      </c>
      <c r="J1874" s="6">
        <v>73</v>
      </c>
      <c r="K1874" s="8" t="s">
        <v>26</v>
      </c>
      <c r="L1874" s="1" t="s">
        <v>755</v>
      </c>
      <c r="M1874" s="5">
        <v>167</v>
      </c>
    </row>
    <row r="1875" spans="1:13" ht="15" x14ac:dyDescent="0.25">
      <c r="A1875" s="7" t="s">
        <v>16</v>
      </c>
      <c r="B1875" s="7" t="s">
        <v>230</v>
      </c>
      <c r="C1875" s="7" t="s">
        <v>24</v>
      </c>
      <c r="D1875" s="4">
        <v>2560878000107</v>
      </c>
      <c r="E1875" s="8" t="s">
        <v>781</v>
      </c>
      <c r="F1875" s="8" t="s">
        <v>739</v>
      </c>
      <c r="G1875" s="7" t="s">
        <v>55</v>
      </c>
      <c r="H1875" s="47" t="s">
        <v>211</v>
      </c>
      <c r="I1875" s="47" t="s">
        <v>212</v>
      </c>
      <c r="J1875" s="6">
        <v>62</v>
      </c>
      <c r="K1875" s="8" t="s">
        <v>27</v>
      </c>
      <c r="L1875" s="1" t="s">
        <v>781</v>
      </c>
      <c r="M1875" s="5">
        <v>10</v>
      </c>
    </row>
    <row r="1876" spans="1:13" ht="15" x14ac:dyDescent="0.25">
      <c r="A1876" s="7" t="s">
        <v>16</v>
      </c>
      <c r="B1876" s="7" t="s">
        <v>230</v>
      </c>
      <c r="C1876" s="7" t="s">
        <v>24</v>
      </c>
      <c r="D1876" s="4">
        <v>2560878000107</v>
      </c>
      <c r="E1876" s="8" t="s">
        <v>781</v>
      </c>
      <c r="F1876" s="8" t="s">
        <v>739</v>
      </c>
      <c r="G1876" s="7" t="s">
        <v>55</v>
      </c>
      <c r="H1876" s="47" t="s">
        <v>211</v>
      </c>
      <c r="I1876" s="47" t="s">
        <v>212</v>
      </c>
      <c r="J1876" s="6">
        <v>64</v>
      </c>
      <c r="K1876" s="8" t="s">
        <v>25</v>
      </c>
      <c r="L1876" s="1" t="s">
        <v>781</v>
      </c>
      <c r="M1876" s="5">
        <v>18</v>
      </c>
    </row>
    <row r="1877" spans="1:13" ht="15" x14ac:dyDescent="0.25">
      <c r="A1877" s="7" t="s">
        <v>16</v>
      </c>
      <c r="B1877" s="7" t="s">
        <v>230</v>
      </c>
      <c r="C1877" s="7" t="s">
        <v>24</v>
      </c>
      <c r="D1877" s="4">
        <v>2560878000107</v>
      </c>
      <c r="E1877" s="8" t="s">
        <v>781</v>
      </c>
      <c r="F1877" s="8" t="s">
        <v>739</v>
      </c>
      <c r="G1877" s="7" t="s">
        <v>55</v>
      </c>
      <c r="H1877" s="47" t="s">
        <v>211</v>
      </c>
      <c r="I1877" s="47" t="s">
        <v>212</v>
      </c>
      <c r="J1877" s="6">
        <v>70</v>
      </c>
      <c r="K1877" s="8" t="s">
        <v>20</v>
      </c>
      <c r="L1877" s="1" t="s">
        <v>781</v>
      </c>
      <c r="M1877" s="5">
        <v>175</v>
      </c>
    </row>
    <row r="1878" spans="1:13" ht="15" x14ac:dyDescent="0.25">
      <c r="A1878" s="7" t="s">
        <v>16</v>
      </c>
      <c r="B1878" s="7" t="s">
        <v>230</v>
      </c>
      <c r="C1878" s="7" t="s">
        <v>24</v>
      </c>
      <c r="D1878" s="4">
        <v>3989821000190</v>
      </c>
      <c r="E1878" s="8" t="s">
        <v>796</v>
      </c>
      <c r="F1878" s="8" t="s">
        <v>739</v>
      </c>
      <c r="G1878" s="7" t="s">
        <v>55</v>
      </c>
      <c r="H1878" s="47" t="s">
        <v>211</v>
      </c>
      <c r="I1878" s="47" t="s">
        <v>212</v>
      </c>
      <c r="J1878" s="6">
        <v>70</v>
      </c>
      <c r="K1878" s="8" t="s">
        <v>20</v>
      </c>
      <c r="L1878" s="1" t="s">
        <v>796</v>
      </c>
      <c r="M1878" s="5">
        <v>45</v>
      </c>
    </row>
    <row r="1879" spans="1:13" ht="15" x14ac:dyDescent="0.25">
      <c r="A1879" s="7" t="s">
        <v>16</v>
      </c>
      <c r="B1879" s="7" t="s">
        <v>230</v>
      </c>
      <c r="C1879" s="7" t="s">
        <v>24</v>
      </c>
      <c r="D1879" s="4">
        <v>6047087004207</v>
      </c>
      <c r="E1879" s="8" t="s">
        <v>811</v>
      </c>
      <c r="F1879" s="8" t="s">
        <v>739</v>
      </c>
      <c r="G1879" s="7" t="s">
        <v>55</v>
      </c>
      <c r="H1879" s="47" t="s">
        <v>211</v>
      </c>
      <c r="I1879" s="47" t="s">
        <v>212</v>
      </c>
      <c r="J1879" s="6">
        <v>62</v>
      </c>
      <c r="K1879" s="8" t="s">
        <v>27</v>
      </c>
      <c r="L1879" s="1" t="s">
        <v>811</v>
      </c>
      <c r="M1879" s="5">
        <v>11</v>
      </c>
    </row>
    <row r="1880" spans="1:13" ht="15" x14ac:dyDescent="0.25">
      <c r="A1880" s="7" t="s">
        <v>16</v>
      </c>
      <c r="B1880" s="7" t="s">
        <v>230</v>
      </c>
      <c r="C1880" s="7" t="s">
        <v>24</v>
      </c>
      <c r="D1880" s="4">
        <v>6047087004207</v>
      </c>
      <c r="E1880" s="8" t="s">
        <v>811</v>
      </c>
      <c r="F1880" s="8" t="s">
        <v>739</v>
      </c>
      <c r="G1880" s="7" t="s">
        <v>55</v>
      </c>
      <c r="H1880" s="47" t="s">
        <v>211</v>
      </c>
      <c r="I1880" s="47" t="s">
        <v>212</v>
      </c>
      <c r="J1880" s="6">
        <v>64</v>
      </c>
      <c r="K1880" s="8" t="s">
        <v>25</v>
      </c>
      <c r="L1880" s="1" t="s">
        <v>811</v>
      </c>
      <c r="M1880" s="5">
        <v>34</v>
      </c>
    </row>
    <row r="1881" spans="1:13" ht="15" x14ac:dyDescent="0.25">
      <c r="A1881" s="7" t="s">
        <v>16</v>
      </c>
      <c r="B1881" s="7" t="s">
        <v>230</v>
      </c>
      <c r="C1881" s="7" t="s">
        <v>24</v>
      </c>
      <c r="D1881" s="4">
        <v>9104513000974</v>
      </c>
      <c r="E1881" s="8" t="s">
        <v>830</v>
      </c>
      <c r="F1881" s="8" t="s">
        <v>739</v>
      </c>
      <c r="G1881" s="7" t="s">
        <v>55</v>
      </c>
      <c r="H1881" s="47" t="s">
        <v>211</v>
      </c>
      <c r="I1881" s="47" t="s">
        <v>212</v>
      </c>
      <c r="J1881" s="6">
        <v>70</v>
      </c>
      <c r="K1881" s="8" t="s">
        <v>20</v>
      </c>
      <c r="L1881" s="1" t="s">
        <v>830</v>
      </c>
      <c r="M1881" s="5">
        <v>610</v>
      </c>
    </row>
    <row r="1882" spans="1:13" ht="15" x14ac:dyDescent="0.25">
      <c r="A1882" s="7" t="s">
        <v>16</v>
      </c>
      <c r="B1882" s="7" t="s">
        <v>230</v>
      </c>
      <c r="C1882" s="7" t="s">
        <v>24</v>
      </c>
      <c r="D1882" s="4">
        <v>9104513000974</v>
      </c>
      <c r="E1882" s="8" t="s">
        <v>830</v>
      </c>
      <c r="F1882" s="8" t="s">
        <v>739</v>
      </c>
      <c r="G1882" s="7" t="s">
        <v>55</v>
      </c>
      <c r="H1882" s="47" t="s">
        <v>211</v>
      </c>
      <c r="I1882" s="47" t="s">
        <v>212</v>
      </c>
      <c r="J1882" s="6">
        <v>73</v>
      </c>
      <c r="K1882" s="8" t="s">
        <v>26</v>
      </c>
      <c r="L1882" s="1" t="s">
        <v>830</v>
      </c>
      <c r="M1882" s="5">
        <v>2</v>
      </c>
    </row>
    <row r="1883" spans="1:13" ht="15" x14ac:dyDescent="0.25">
      <c r="A1883" s="7" t="s">
        <v>16</v>
      </c>
      <c r="B1883" s="7" t="s">
        <v>230</v>
      </c>
      <c r="C1883" s="7" t="s">
        <v>24</v>
      </c>
      <c r="D1883" s="4">
        <v>10942995000163</v>
      </c>
      <c r="E1883" s="8" t="s">
        <v>836</v>
      </c>
      <c r="F1883" s="8" t="s">
        <v>739</v>
      </c>
      <c r="G1883" s="7" t="s">
        <v>55</v>
      </c>
      <c r="H1883" s="47" t="s">
        <v>211</v>
      </c>
      <c r="I1883" s="47" t="s">
        <v>212</v>
      </c>
      <c r="J1883" s="6">
        <v>70</v>
      </c>
      <c r="K1883" s="8" t="s">
        <v>20</v>
      </c>
      <c r="L1883" s="1" t="s">
        <v>836</v>
      </c>
      <c r="M1883" s="5">
        <v>500</v>
      </c>
    </row>
    <row r="1884" spans="1:13" ht="15" x14ac:dyDescent="0.25">
      <c r="A1884" s="7" t="s">
        <v>16</v>
      </c>
      <c r="B1884" s="7" t="s">
        <v>230</v>
      </c>
      <c r="C1884" s="7" t="s">
        <v>24</v>
      </c>
      <c r="D1884" s="4">
        <v>10942995000163</v>
      </c>
      <c r="E1884" s="8" t="s">
        <v>836</v>
      </c>
      <c r="F1884" s="8" t="s">
        <v>739</v>
      </c>
      <c r="G1884" s="7" t="s">
        <v>55</v>
      </c>
      <c r="H1884" s="47" t="s">
        <v>211</v>
      </c>
      <c r="I1884" s="47" t="s">
        <v>212</v>
      </c>
      <c r="J1884" s="6">
        <v>73</v>
      </c>
      <c r="K1884" s="8" t="s">
        <v>26</v>
      </c>
      <c r="L1884" s="1" t="s">
        <v>836</v>
      </c>
      <c r="M1884" s="5">
        <v>80</v>
      </c>
    </row>
    <row r="1885" spans="1:13" ht="15" x14ac:dyDescent="0.25">
      <c r="A1885" s="7" t="s">
        <v>16</v>
      </c>
      <c r="B1885" s="7" t="s">
        <v>230</v>
      </c>
      <c r="C1885" s="7" t="s">
        <v>24</v>
      </c>
      <c r="D1885" s="4">
        <v>11859927000106</v>
      </c>
      <c r="E1885" s="8" t="s">
        <v>846</v>
      </c>
      <c r="F1885" s="8" t="s">
        <v>739</v>
      </c>
      <c r="G1885" s="7" t="s">
        <v>55</v>
      </c>
      <c r="H1885" s="47" t="s">
        <v>211</v>
      </c>
      <c r="I1885" s="47" t="s">
        <v>212</v>
      </c>
      <c r="J1885" s="6">
        <v>73</v>
      </c>
      <c r="K1885" s="8" t="s">
        <v>26</v>
      </c>
      <c r="L1885" s="1" t="s">
        <v>846</v>
      </c>
      <c r="M1885" s="5">
        <v>43</v>
      </c>
    </row>
    <row r="1886" spans="1:13" ht="15" x14ac:dyDescent="0.25">
      <c r="A1886" s="7" t="s">
        <v>16</v>
      </c>
      <c r="B1886" s="7" t="s">
        <v>230</v>
      </c>
      <c r="C1886" s="7" t="s">
        <v>24</v>
      </c>
      <c r="D1886" s="4">
        <v>16739984000167</v>
      </c>
      <c r="E1886" s="8" t="s">
        <v>900</v>
      </c>
      <c r="F1886" s="8" t="s">
        <v>739</v>
      </c>
      <c r="G1886" s="7" t="s">
        <v>55</v>
      </c>
      <c r="H1886" s="47" t="s">
        <v>211</v>
      </c>
      <c r="I1886" s="47" t="s">
        <v>212</v>
      </c>
      <c r="J1886" s="6">
        <v>73</v>
      </c>
      <c r="K1886" s="8" t="s">
        <v>26</v>
      </c>
      <c r="L1886" s="1" t="s">
        <v>900</v>
      </c>
      <c r="M1886" s="5">
        <v>48</v>
      </c>
    </row>
    <row r="1887" spans="1:13" ht="15" x14ac:dyDescent="0.25">
      <c r="A1887" s="7" t="s">
        <v>16</v>
      </c>
      <c r="B1887" s="7" t="s">
        <v>230</v>
      </c>
      <c r="C1887" s="7" t="s">
        <v>24</v>
      </c>
      <c r="D1887" s="4">
        <v>29435005004620</v>
      </c>
      <c r="E1887" s="8" t="s">
        <v>911</v>
      </c>
      <c r="F1887" s="8" t="s">
        <v>739</v>
      </c>
      <c r="G1887" s="7" t="s">
        <v>55</v>
      </c>
      <c r="H1887" s="47" t="s">
        <v>211</v>
      </c>
      <c r="I1887" s="47" t="s">
        <v>212</v>
      </c>
      <c r="J1887" s="6">
        <v>62</v>
      </c>
      <c r="K1887" s="8" t="s">
        <v>27</v>
      </c>
      <c r="L1887" s="1" t="s">
        <v>911</v>
      </c>
      <c r="M1887" s="5">
        <v>3</v>
      </c>
    </row>
    <row r="1888" spans="1:13" ht="15" x14ac:dyDescent="0.25">
      <c r="A1888" s="7" t="s">
        <v>16</v>
      </c>
      <c r="B1888" s="7" t="s">
        <v>230</v>
      </c>
      <c r="C1888" s="7" t="s">
        <v>24</v>
      </c>
      <c r="D1888" s="4">
        <v>30135335000188</v>
      </c>
      <c r="E1888" s="8" t="s">
        <v>914</v>
      </c>
      <c r="F1888" s="8" t="s">
        <v>739</v>
      </c>
      <c r="G1888" s="7" t="s">
        <v>55</v>
      </c>
      <c r="H1888" s="47" t="s">
        <v>211</v>
      </c>
      <c r="I1888" s="47" t="s">
        <v>212</v>
      </c>
      <c r="J1888" s="6">
        <v>70</v>
      </c>
      <c r="K1888" s="8" t="s">
        <v>20</v>
      </c>
      <c r="L1888" s="1" t="s">
        <v>914</v>
      </c>
      <c r="M1888" s="5">
        <v>100</v>
      </c>
    </row>
    <row r="1889" spans="1:13" ht="15" x14ac:dyDescent="0.25">
      <c r="A1889" s="7" t="s">
        <v>16</v>
      </c>
      <c r="B1889" s="7" t="s">
        <v>230</v>
      </c>
      <c r="C1889" s="7" t="s">
        <v>24</v>
      </c>
      <c r="D1889" s="4">
        <v>37108388000159</v>
      </c>
      <c r="E1889" s="8" t="s">
        <v>916</v>
      </c>
      <c r="F1889" s="8" t="s">
        <v>739</v>
      </c>
      <c r="G1889" s="7" t="s">
        <v>55</v>
      </c>
      <c r="H1889" s="47" t="s">
        <v>211</v>
      </c>
      <c r="I1889" s="47" t="s">
        <v>212</v>
      </c>
      <c r="J1889" s="6">
        <v>62</v>
      </c>
      <c r="K1889" s="8" t="s">
        <v>27</v>
      </c>
      <c r="L1889" s="1" t="s">
        <v>916</v>
      </c>
      <c r="M1889" s="5">
        <v>4</v>
      </c>
    </row>
    <row r="1890" spans="1:13" ht="15" x14ac:dyDescent="0.25">
      <c r="A1890" s="7" t="s">
        <v>16</v>
      </c>
      <c r="B1890" s="7" t="s">
        <v>230</v>
      </c>
      <c r="C1890" s="7" t="s">
        <v>24</v>
      </c>
      <c r="D1890" s="4">
        <v>37108388000159</v>
      </c>
      <c r="E1890" s="8" t="s">
        <v>916</v>
      </c>
      <c r="F1890" s="8" t="s">
        <v>739</v>
      </c>
      <c r="G1890" s="7" t="s">
        <v>55</v>
      </c>
      <c r="H1890" s="47" t="s">
        <v>211</v>
      </c>
      <c r="I1890" s="47" t="s">
        <v>212</v>
      </c>
      <c r="J1890" s="6">
        <v>64</v>
      </c>
      <c r="K1890" s="8" t="s">
        <v>25</v>
      </c>
      <c r="L1890" s="1" t="s">
        <v>916</v>
      </c>
      <c r="M1890" s="5">
        <v>17</v>
      </c>
    </row>
    <row r="1891" spans="1:13" ht="15" x14ac:dyDescent="0.25">
      <c r="A1891" s="7" t="s">
        <v>16</v>
      </c>
      <c r="B1891" s="7" t="s">
        <v>230</v>
      </c>
      <c r="C1891" s="7" t="s">
        <v>24</v>
      </c>
      <c r="D1891" s="4">
        <v>38000485000196</v>
      </c>
      <c r="E1891" s="8" t="s">
        <v>917</v>
      </c>
      <c r="F1891" s="8" t="s">
        <v>739</v>
      </c>
      <c r="G1891" s="7" t="s">
        <v>55</v>
      </c>
      <c r="H1891" s="47" t="s">
        <v>211</v>
      </c>
      <c r="I1891" s="47" t="s">
        <v>212</v>
      </c>
      <c r="J1891" s="6">
        <v>64</v>
      </c>
      <c r="K1891" s="8" t="s">
        <v>25</v>
      </c>
      <c r="L1891" s="1" t="s">
        <v>917</v>
      </c>
      <c r="M1891" s="5">
        <v>7</v>
      </c>
    </row>
    <row r="1892" spans="1:13" ht="15" x14ac:dyDescent="0.25">
      <c r="A1892" s="7" t="s">
        <v>16</v>
      </c>
      <c r="B1892" s="7" t="s">
        <v>230</v>
      </c>
      <c r="C1892" s="7" t="s">
        <v>24</v>
      </c>
      <c r="D1892" s="4">
        <v>60884855002289</v>
      </c>
      <c r="E1892" s="8" t="s">
        <v>920</v>
      </c>
      <c r="F1892" s="8" t="s">
        <v>739</v>
      </c>
      <c r="G1892" s="7" t="s">
        <v>55</v>
      </c>
      <c r="H1892" s="47" t="s">
        <v>211</v>
      </c>
      <c r="I1892" s="47" t="s">
        <v>212</v>
      </c>
      <c r="J1892" s="6">
        <v>62</v>
      </c>
      <c r="K1892" s="8" t="s">
        <v>27</v>
      </c>
      <c r="L1892" s="1" t="s">
        <v>920</v>
      </c>
      <c r="M1892" s="5">
        <v>10</v>
      </c>
    </row>
    <row r="1893" spans="1:13" ht="15" x14ac:dyDescent="0.25">
      <c r="A1893" s="7" t="s">
        <v>16</v>
      </c>
      <c r="B1893" s="7" t="s">
        <v>230</v>
      </c>
      <c r="C1893" s="7" t="s">
        <v>24</v>
      </c>
      <c r="D1893" s="4">
        <v>60884855002289</v>
      </c>
      <c r="E1893" s="8" t="s">
        <v>920</v>
      </c>
      <c r="F1893" s="8" t="s">
        <v>739</v>
      </c>
      <c r="G1893" s="7" t="s">
        <v>55</v>
      </c>
      <c r="H1893" s="47" t="s">
        <v>211</v>
      </c>
      <c r="I1893" s="47" t="s">
        <v>212</v>
      </c>
      <c r="J1893" s="6">
        <v>64</v>
      </c>
      <c r="K1893" s="8" t="s">
        <v>25</v>
      </c>
      <c r="L1893" s="1" t="s">
        <v>920</v>
      </c>
      <c r="M1893" s="5">
        <v>5</v>
      </c>
    </row>
    <row r="1894" spans="1:13" ht="15" x14ac:dyDescent="0.25">
      <c r="A1894" s="7" t="s">
        <v>16</v>
      </c>
      <c r="B1894" s="7" t="s">
        <v>230</v>
      </c>
      <c r="C1894" s="7" t="s">
        <v>24</v>
      </c>
      <c r="D1894" s="4">
        <v>60884855002289</v>
      </c>
      <c r="E1894" s="8" t="s">
        <v>920</v>
      </c>
      <c r="F1894" s="8" t="s">
        <v>739</v>
      </c>
      <c r="G1894" s="7" t="s">
        <v>55</v>
      </c>
      <c r="H1894" s="47" t="s">
        <v>211</v>
      </c>
      <c r="I1894" s="47" t="s">
        <v>212</v>
      </c>
      <c r="J1894" s="6">
        <v>70</v>
      </c>
      <c r="K1894" s="8" t="s">
        <v>20</v>
      </c>
      <c r="L1894" s="1" t="s">
        <v>920</v>
      </c>
      <c r="M1894" s="5">
        <v>370</v>
      </c>
    </row>
    <row r="1895" spans="1:13" ht="15" x14ac:dyDescent="0.25">
      <c r="A1895" s="7" t="s">
        <v>16</v>
      </c>
      <c r="B1895" s="7" t="s">
        <v>230</v>
      </c>
      <c r="C1895" s="7" t="s">
        <v>24</v>
      </c>
      <c r="D1895" s="4">
        <v>61590410000558</v>
      </c>
      <c r="E1895" s="8" t="s">
        <v>922</v>
      </c>
      <c r="F1895" s="8" t="s">
        <v>739</v>
      </c>
      <c r="G1895" s="7" t="s">
        <v>55</v>
      </c>
      <c r="H1895" s="47" t="s">
        <v>211</v>
      </c>
      <c r="I1895" s="47" t="s">
        <v>212</v>
      </c>
      <c r="J1895" s="6">
        <v>73</v>
      </c>
      <c r="K1895" s="8" t="s">
        <v>26</v>
      </c>
      <c r="L1895" s="1" t="s">
        <v>922</v>
      </c>
      <c r="M1895" s="5">
        <v>16</v>
      </c>
    </row>
    <row r="1896" spans="1:13" ht="15" x14ac:dyDescent="0.25">
      <c r="A1896" s="7" t="s">
        <v>16</v>
      </c>
      <c r="B1896" s="7" t="s">
        <v>230</v>
      </c>
      <c r="C1896" s="7" t="s">
        <v>24</v>
      </c>
      <c r="D1896" s="4">
        <v>61590410001287</v>
      </c>
      <c r="E1896" s="8" t="s">
        <v>923</v>
      </c>
      <c r="F1896" s="8" t="s">
        <v>739</v>
      </c>
      <c r="G1896" s="7" t="s">
        <v>55</v>
      </c>
      <c r="H1896" s="47" t="s">
        <v>211</v>
      </c>
      <c r="I1896" s="47" t="s">
        <v>212</v>
      </c>
      <c r="J1896" s="6">
        <v>62</v>
      </c>
      <c r="K1896" s="8" t="s">
        <v>27</v>
      </c>
      <c r="L1896" s="1" t="s">
        <v>923</v>
      </c>
      <c r="M1896" s="5">
        <v>3</v>
      </c>
    </row>
    <row r="1897" spans="1:13" ht="15" x14ac:dyDescent="0.25">
      <c r="A1897" s="7" t="s">
        <v>16</v>
      </c>
      <c r="B1897" s="7" t="s">
        <v>230</v>
      </c>
      <c r="C1897" s="7" t="s">
        <v>24</v>
      </c>
      <c r="D1897" s="4">
        <v>61590410001287</v>
      </c>
      <c r="E1897" s="8" t="s">
        <v>923</v>
      </c>
      <c r="F1897" s="8" t="s">
        <v>739</v>
      </c>
      <c r="G1897" s="7" t="s">
        <v>55</v>
      </c>
      <c r="H1897" s="47" t="s">
        <v>211</v>
      </c>
      <c r="I1897" s="47" t="s">
        <v>212</v>
      </c>
      <c r="J1897" s="6">
        <v>70</v>
      </c>
      <c r="K1897" s="8" t="s">
        <v>20</v>
      </c>
      <c r="L1897" s="1" t="s">
        <v>923</v>
      </c>
      <c r="M1897" s="5">
        <v>1300</v>
      </c>
    </row>
    <row r="1898" spans="1:13" ht="15" x14ac:dyDescent="0.25">
      <c r="A1898" s="7" t="s">
        <v>16</v>
      </c>
      <c r="B1898" s="7" t="s">
        <v>230</v>
      </c>
      <c r="C1898" s="7" t="s">
        <v>24</v>
      </c>
      <c r="D1898" s="4">
        <v>72576143000157</v>
      </c>
      <c r="E1898" s="8" t="s">
        <v>1235</v>
      </c>
      <c r="F1898" s="8" t="s">
        <v>739</v>
      </c>
      <c r="G1898" s="7" t="s">
        <v>55</v>
      </c>
      <c r="H1898" s="47" t="s">
        <v>211</v>
      </c>
      <c r="I1898" s="47" t="s">
        <v>212</v>
      </c>
      <c r="J1898" s="6">
        <v>64</v>
      </c>
      <c r="K1898" s="8" t="s">
        <v>25</v>
      </c>
      <c r="L1898" s="1" t="s">
        <v>1235</v>
      </c>
      <c r="M1898" s="5">
        <v>5</v>
      </c>
    </row>
    <row r="1899" spans="1:13" ht="15" x14ac:dyDescent="0.25">
      <c r="A1899" s="7" t="s">
        <v>16</v>
      </c>
      <c r="B1899" s="7" t="s">
        <v>372</v>
      </c>
      <c r="C1899" s="7" t="s">
        <v>373</v>
      </c>
      <c r="D1899" s="4">
        <v>25841000153</v>
      </c>
      <c r="E1899" s="8" t="s">
        <v>738</v>
      </c>
      <c r="F1899" s="8" t="s">
        <v>739</v>
      </c>
      <c r="G1899" s="7" t="s">
        <v>55</v>
      </c>
      <c r="H1899" s="47" t="s">
        <v>211</v>
      </c>
      <c r="I1899" s="47" t="s">
        <v>212</v>
      </c>
      <c r="J1899" s="6">
        <v>70</v>
      </c>
      <c r="K1899" s="8" t="s">
        <v>20</v>
      </c>
      <c r="L1899" s="1" t="s">
        <v>738</v>
      </c>
      <c r="M1899" s="5">
        <v>120</v>
      </c>
    </row>
    <row r="1900" spans="1:13" ht="15" x14ac:dyDescent="0.25">
      <c r="A1900" s="7" t="s">
        <v>16</v>
      </c>
      <c r="B1900" s="7" t="s">
        <v>372</v>
      </c>
      <c r="C1900" s="7" t="s">
        <v>373</v>
      </c>
      <c r="D1900" s="4">
        <v>49791000144</v>
      </c>
      <c r="E1900" s="8" t="s">
        <v>743</v>
      </c>
      <c r="F1900" s="8" t="s">
        <v>739</v>
      </c>
      <c r="G1900" s="7" t="s">
        <v>55</v>
      </c>
      <c r="H1900" s="47" t="s">
        <v>211</v>
      </c>
      <c r="I1900" s="47" t="s">
        <v>212</v>
      </c>
      <c r="J1900" s="6">
        <v>62</v>
      </c>
      <c r="K1900" s="8" t="s">
        <v>27</v>
      </c>
      <c r="L1900" s="1" t="s">
        <v>743</v>
      </c>
      <c r="M1900" s="5">
        <v>3</v>
      </c>
    </row>
    <row r="1901" spans="1:13" ht="15" x14ac:dyDescent="0.25">
      <c r="A1901" s="7" t="s">
        <v>16</v>
      </c>
      <c r="B1901" s="7" t="s">
        <v>372</v>
      </c>
      <c r="C1901" s="7" t="s">
        <v>373</v>
      </c>
      <c r="D1901" s="4">
        <v>49791000144</v>
      </c>
      <c r="E1901" s="8" t="s">
        <v>743</v>
      </c>
      <c r="F1901" s="8" t="s">
        <v>739</v>
      </c>
      <c r="G1901" s="7" t="s">
        <v>55</v>
      </c>
      <c r="H1901" s="47" t="s">
        <v>211</v>
      </c>
      <c r="I1901" s="47" t="s">
        <v>212</v>
      </c>
      <c r="J1901" s="6">
        <v>64</v>
      </c>
      <c r="K1901" s="8" t="s">
        <v>25</v>
      </c>
      <c r="L1901" s="1" t="s">
        <v>743</v>
      </c>
      <c r="M1901" s="5">
        <v>3</v>
      </c>
    </row>
    <row r="1902" spans="1:13" ht="15" x14ac:dyDescent="0.25">
      <c r="A1902" s="7" t="s">
        <v>16</v>
      </c>
      <c r="B1902" s="7" t="s">
        <v>372</v>
      </c>
      <c r="C1902" s="7" t="s">
        <v>373</v>
      </c>
      <c r="D1902" s="4">
        <v>520237000101</v>
      </c>
      <c r="E1902" s="8" t="s">
        <v>755</v>
      </c>
      <c r="F1902" s="8" t="s">
        <v>739</v>
      </c>
      <c r="G1902" s="7" t="s">
        <v>55</v>
      </c>
      <c r="H1902" s="47" t="s">
        <v>211</v>
      </c>
      <c r="I1902" s="47" t="s">
        <v>212</v>
      </c>
      <c r="J1902" s="6">
        <v>70</v>
      </c>
      <c r="K1902" s="8" t="s">
        <v>20</v>
      </c>
      <c r="L1902" s="1" t="s">
        <v>755</v>
      </c>
      <c r="M1902" s="5">
        <v>800</v>
      </c>
    </row>
    <row r="1903" spans="1:13" ht="15" x14ac:dyDescent="0.25">
      <c r="A1903" s="7" t="s">
        <v>16</v>
      </c>
      <c r="B1903" s="7" t="s">
        <v>372</v>
      </c>
      <c r="C1903" s="7" t="s">
        <v>373</v>
      </c>
      <c r="D1903" s="4">
        <v>520237000101</v>
      </c>
      <c r="E1903" s="8" t="s">
        <v>755</v>
      </c>
      <c r="F1903" s="8" t="s">
        <v>739</v>
      </c>
      <c r="G1903" s="7" t="s">
        <v>55</v>
      </c>
      <c r="H1903" s="47" t="s">
        <v>211</v>
      </c>
      <c r="I1903" s="47" t="s">
        <v>212</v>
      </c>
      <c r="J1903" s="6">
        <v>73</v>
      </c>
      <c r="K1903" s="8" t="s">
        <v>26</v>
      </c>
      <c r="L1903" s="1" t="s">
        <v>755</v>
      </c>
      <c r="M1903" s="5">
        <v>163</v>
      </c>
    </row>
    <row r="1904" spans="1:13" ht="15" x14ac:dyDescent="0.25">
      <c r="A1904" s="7" t="s">
        <v>16</v>
      </c>
      <c r="B1904" s="7" t="s">
        <v>372</v>
      </c>
      <c r="C1904" s="7" t="s">
        <v>373</v>
      </c>
      <c r="D1904" s="4">
        <v>610980000144</v>
      </c>
      <c r="E1904" s="8" t="s">
        <v>756</v>
      </c>
      <c r="F1904" s="8" t="s">
        <v>739</v>
      </c>
      <c r="G1904" s="7" t="s">
        <v>55</v>
      </c>
      <c r="H1904" s="47" t="s">
        <v>211</v>
      </c>
      <c r="I1904" s="47" t="s">
        <v>212</v>
      </c>
      <c r="J1904" s="6">
        <v>70</v>
      </c>
      <c r="K1904" s="8" t="s">
        <v>20</v>
      </c>
      <c r="L1904" s="1" t="s">
        <v>756</v>
      </c>
      <c r="M1904" s="5">
        <v>300</v>
      </c>
    </row>
    <row r="1905" spans="1:13" ht="15" x14ac:dyDescent="0.25">
      <c r="A1905" s="7" t="s">
        <v>16</v>
      </c>
      <c r="B1905" s="7" t="s">
        <v>372</v>
      </c>
      <c r="C1905" s="7" t="s">
        <v>373</v>
      </c>
      <c r="D1905" s="4">
        <v>2560878000107</v>
      </c>
      <c r="E1905" s="8" t="s">
        <v>781</v>
      </c>
      <c r="F1905" s="8" t="s">
        <v>739</v>
      </c>
      <c r="G1905" s="7" t="s">
        <v>55</v>
      </c>
      <c r="H1905" s="47" t="s">
        <v>211</v>
      </c>
      <c r="I1905" s="47" t="s">
        <v>212</v>
      </c>
      <c r="J1905" s="6">
        <v>64</v>
      </c>
      <c r="K1905" s="8" t="s">
        <v>25</v>
      </c>
      <c r="L1905" s="1" t="s">
        <v>781</v>
      </c>
      <c r="M1905" s="5">
        <v>5</v>
      </c>
    </row>
    <row r="1906" spans="1:13" ht="15" x14ac:dyDescent="0.25">
      <c r="A1906" s="7" t="s">
        <v>16</v>
      </c>
      <c r="B1906" s="7" t="s">
        <v>372</v>
      </c>
      <c r="C1906" s="7" t="s">
        <v>373</v>
      </c>
      <c r="D1906" s="4">
        <v>2560878000107</v>
      </c>
      <c r="E1906" s="8" t="s">
        <v>781</v>
      </c>
      <c r="F1906" s="8" t="s">
        <v>739</v>
      </c>
      <c r="G1906" s="7" t="s">
        <v>55</v>
      </c>
      <c r="H1906" s="47" t="s">
        <v>211</v>
      </c>
      <c r="I1906" s="47" t="s">
        <v>212</v>
      </c>
      <c r="J1906" s="6">
        <v>70</v>
      </c>
      <c r="K1906" s="8" t="s">
        <v>20</v>
      </c>
      <c r="L1906" s="1" t="s">
        <v>781</v>
      </c>
      <c r="M1906" s="5">
        <v>790</v>
      </c>
    </row>
    <row r="1907" spans="1:13" ht="15" x14ac:dyDescent="0.25">
      <c r="A1907" s="7" t="s">
        <v>16</v>
      </c>
      <c r="B1907" s="7" t="s">
        <v>372</v>
      </c>
      <c r="C1907" s="7" t="s">
        <v>373</v>
      </c>
      <c r="D1907" s="4">
        <v>3989821000190</v>
      </c>
      <c r="E1907" s="8" t="s">
        <v>796</v>
      </c>
      <c r="F1907" s="8" t="s">
        <v>739</v>
      </c>
      <c r="G1907" s="7" t="s">
        <v>55</v>
      </c>
      <c r="H1907" s="47" t="s">
        <v>211</v>
      </c>
      <c r="I1907" s="47" t="s">
        <v>212</v>
      </c>
      <c r="J1907" s="6">
        <v>70</v>
      </c>
      <c r="K1907" s="8" t="s">
        <v>20</v>
      </c>
      <c r="L1907" s="1" t="s">
        <v>796</v>
      </c>
      <c r="M1907" s="5">
        <v>75</v>
      </c>
    </row>
    <row r="1908" spans="1:13" ht="15" x14ac:dyDescent="0.25">
      <c r="A1908" s="7" t="s">
        <v>16</v>
      </c>
      <c r="B1908" s="7" t="s">
        <v>372</v>
      </c>
      <c r="C1908" s="7" t="s">
        <v>373</v>
      </c>
      <c r="D1908" s="4">
        <v>6047087004207</v>
      </c>
      <c r="E1908" s="8" t="s">
        <v>811</v>
      </c>
      <c r="F1908" s="8" t="s">
        <v>739</v>
      </c>
      <c r="G1908" s="7" t="s">
        <v>55</v>
      </c>
      <c r="H1908" s="47" t="s">
        <v>211</v>
      </c>
      <c r="I1908" s="47" t="s">
        <v>212</v>
      </c>
      <c r="J1908" s="6">
        <v>62</v>
      </c>
      <c r="K1908" s="8" t="s">
        <v>27</v>
      </c>
      <c r="L1908" s="1" t="s">
        <v>811</v>
      </c>
      <c r="M1908" s="5">
        <v>4</v>
      </c>
    </row>
    <row r="1909" spans="1:13" ht="15" x14ac:dyDescent="0.25">
      <c r="A1909" s="7" t="s">
        <v>16</v>
      </c>
      <c r="B1909" s="7" t="s">
        <v>372</v>
      </c>
      <c r="C1909" s="7" t="s">
        <v>373</v>
      </c>
      <c r="D1909" s="4">
        <v>6047087004207</v>
      </c>
      <c r="E1909" s="8" t="s">
        <v>811</v>
      </c>
      <c r="F1909" s="8" t="s">
        <v>739</v>
      </c>
      <c r="G1909" s="7" t="s">
        <v>55</v>
      </c>
      <c r="H1909" s="47" t="s">
        <v>211</v>
      </c>
      <c r="I1909" s="47" t="s">
        <v>212</v>
      </c>
      <c r="J1909" s="6">
        <v>64</v>
      </c>
      <c r="K1909" s="8" t="s">
        <v>25</v>
      </c>
      <c r="L1909" s="1" t="s">
        <v>811</v>
      </c>
      <c r="M1909" s="5">
        <v>18</v>
      </c>
    </row>
    <row r="1910" spans="1:13" ht="15" x14ac:dyDescent="0.25">
      <c r="A1910" s="7" t="s">
        <v>16</v>
      </c>
      <c r="B1910" s="7" t="s">
        <v>372</v>
      </c>
      <c r="C1910" s="7" t="s">
        <v>373</v>
      </c>
      <c r="D1910" s="4">
        <v>9104513000974</v>
      </c>
      <c r="E1910" s="8" t="s">
        <v>830</v>
      </c>
      <c r="F1910" s="8" t="s">
        <v>739</v>
      </c>
      <c r="G1910" s="7" t="s">
        <v>55</v>
      </c>
      <c r="H1910" s="47" t="s">
        <v>211</v>
      </c>
      <c r="I1910" s="47" t="s">
        <v>212</v>
      </c>
      <c r="J1910" s="6">
        <v>70</v>
      </c>
      <c r="K1910" s="8" t="s">
        <v>20</v>
      </c>
      <c r="L1910" s="1" t="s">
        <v>830</v>
      </c>
      <c r="M1910" s="5">
        <v>765</v>
      </c>
    </row>
    <row r="1911" spans="1:13" ht="15" x14ac:dyDescent="0.25">
      <c r="A1911" s="7" t="s">
        <v>16</v>
      </c>
      <c r="B1911" s="7" t="s">
        <v>372</v>
      </c>
      <c r="C1911" s="7" t="s">
        <v>373</v>
      </c>
      <c r="D1911" s="4">
        <v>10942995000163</v>
      </c>
      <c r="E1911" s="8" t="s">
        <v>836</v>
      </c>
      <c r="F1911" s="8" t="s">
        <v>739</v>
      </c>
      <c r="G1911" s="7" t="s">
        <v>55</v>
      </c>
      <c r="H1911" s="47" t="s">
        <v>211</v>
      </c>
      <c r="I1911" s="47" t="s">
        <v>212</v>
      </c>
      <c r="J1911" s="6">
        <v>70</v>
      </c>
      <c r="K1911" s="8" t="s">
        <v>20</v>
      </c>
      <c r="L1911" s="1" t="s">
        <v>836</v>
      </c>
      <c r="M1911" s="5">
        <v>1215</v>
      </c>
    </row>
    <row r="1912" spans="1:13" ht="15" x14ac:dyDescent="0.25">
      <c r="A1912" s="7" t="s">
        <v>16</v>
      </c>
      <c r="B1912" s="7" t="s">
        <v>372</v>
      </c>
      <c r="C1912" s="7" t="s">
        <v>373</v>
      </c>
      <c r="D1912" s="4">
        <v>11859927000106</v>
      </c>
      <c r="E1912" s="8" t="s">
        <v>846</v>
      </c>
      <c r="F1912" s="8" t="s">
        <v>739</v>
      </c>
      <c r="G1912" s="7" t="s">
        <v>55</v>
      </c>
      <c r="H1912" s="47" t="s">
        <v>211</v>
      </c>
      <c r="I1912" s="47" t="s">
        <v>212</v>
      </c>
      <c r="J1912" s="6">
        <v>73</v>
      </c>
      <c r="K1912" s="8" t="s">
        <v>26</v>
      </c>
      <c r="L1912" s="1" t="s">
        <v>846</v>
      </c>
      <c r="M1912" s="5">
        <v>49</v>
      </c>
    </row>
    <row r="1913" spans="1:13" ht="15" x14ac:dyDescent="0.25">
      <c r="A1913" s="7" t="s">
        <v>16</v>
      </c>
      <c r="B1913" s="7" t="s">
        <v>372</v>
      </c>
      <c r="C1913" s="7" t="s">
        <v>373</v>
      </c>
      <c r="D1913" s="4">
        <v>16739984000167</v>
      </c>
      <c r="E1913" s="8" t="s">
        <v>900</v>
      </c>
      <c r="F1913" s="8" t="s">
        <v>739</v>
      </c>
      <c r="G1913" s="7" t="s">
        <v>55</v>
      </c>
      <c r="H1913" s="47" t="s">
        <v>211</v>
      </c>
      <c r="I1913" s="47" t="s">
        <v>212</v>
      </c>
      <c r="J1913" s="6">
        <v>73</v>
      </c>
      <c r="K1913" s="8" t="s">
        <v>26</v>
      </c>
      <c r="L1913" s="1" t="s">
        <v>900</v>
      </c>
      <c r="M1913" s="5">
        <v>36</v>
      </c>
    </row>
    <row r="1914" spans="1:13" ht="15" x14ac:dyDescent="0.25">
      <c r="A1914" s="7" t="s">
        <v>16</v>
      </c>
      <c r="B1914" s="7" t="s">
        <v>372</v>
      </c>
      <c r="C1914" s="7" t="s">
        <v>373</v>
      </c>
      <c r="D1914" s="4">
        <v>29435005004620</v>
      </c>
      <c r="E1914" s="8" t="s">
        <v>911</v>
      </c>
      <c r="F1914" s="8" t="s">
        <v>739</v>
      </c>
      <c r="G1914" s="7" t="s">
        <v>55</v>
      </c>
      <c r="H1914" s="47" t="s">
        <v>211</v>
      </c>
      <c r="I1914" s="47" t="s">
        <v>212</v>
      </c>
      <c r="J1914" s="6">
        <v>64</v>
      </c>
      <c r="K1914" s="8" t="s">
        <v>25</v>
      </c>
      <c r="L1914" s="1" t="s">
        <v>911</v>
      </c>
      <c r="M1914" s="5">
        <v>20</v>
      </c>
    </row>
    <row r="1915" spans="1:13" ht="15" x14ac:dyDescent="0.25">
      <c r="A1915" s="7" t="s">
        <v>16</v>
      </c>
      <c r="B1915" s="7" t="s">
        <v>372</v>
      </c>
      <c r="C1915" s="7" t="s">
        <v>373</v>
      </c>
      <c r="D1915" s="4">
        <v>30135335000188</v>
      </c>
      <c r="E1915" s="8" t="s">
        <v>914</v>
      </c>
      <c r="F1915" s="8" t="s">
        <v>739</v>
      </c>
      <c r="G1915" s="7" t="s">
        <v>55</v>
      </c>
      <c r="H1915" s="47" t="s">
        <v>211</v>
      </c>
      <c r="I1915" s="47" t="s">
        <v>212</v>
      </c>
      <c r="J1915" s="6">
        <v>70</v>
      </c>
      <c r="K1915" s="8" t="s">
        <v>20</v>
      </c>
      <c r="L1915" s="1" t="s">
        <v>914</v>
      </c>
      <c r="M1915" s="5">
        <v>425</v>
      </c>
    </row>
    <row r="1916" spans="1:13" ht="15" x14ac:dyDescent="0.25">
      <c r="A1916" s="7" t="s">
        <v>16</v>
      </c>
      <c r="B1916" s="7" t="s">
        <v>372</v>
      </c>
      <c r="C1916" s="7" t="s">
        <v>373</v>
      </c>
      <c r="D1916" s="4">
        <v>37108388000159</v>
      </c>
      <c r="E1916" s="8" t="s">
        <v>916</v>
      </c>
      <c r="F1916" s="8" t="s">
        <v>739</v>
      </c>
      <c r="G1916" s="7" t="s">
        <v>55</v>
      </c>
      <c r="H1916" s="47" t="s">
        <v>211</v>
      </c>
      <c r="I1916" s="47" t="s">
        <v>212</v>
      </c>
      <c r="J1916" s="6">
        <v>62</v>
      </c>
      <c r="K1916" s="8" t="s">
        <v>27</v>
      </c>
      <c r="L1916" s="1" t="s">
        <v>916</v>
      </c>
      <c r="M1916" s="5">
        <v>6</v>
      </c>
    </row>
    <row r="1917" spans="1:13" ht="15" x14ac:dyDescent="0.25">
      <c r="A1917" s="7" t="s">
        <v>16</v>
      </c>
      <c r="B1917" s="7" t="s">
        <v>372</v>
      </c>
      <c r="C1917" s="7" t="s">
        <v>373</v>
      </c>
      <c r="D1917" s="4">
        <v>37108388000159</v>
      </c>
      <c r="E1917" s="8" t="s">
        <v>916</v>
      </c>
      <c r="F1917" s="8" t="s">
        <v>739</v>
      </c>
      <c r="G1917" s="7" t="s">
        <v>55</v>
      </c>
      <c r="H1917" s="47" t="s">
        <v>211</v>
      </c>
      <c r="I1917" s="47" t="s">
        <v>212</v>
      </c>
      <c r="J1917" s="6">
        <v>70</v>
      </c>
      <c r="K1917" s="8" t="s">
        <v>20</v>
      </c>
      <c r="L1917" s="1" t="s">
        <v>916</v>
      </c>
      <c r="M1917" s="5">
        <v>30</v>
      </c>
    </row>
    <row r="1918" spans="1:13" ht="15" x14ac:dyDescent="0.25">
      <c r="A1918" s="7" t="s">
        <v>16</v>
      </c>
      <c r="B1918" s="7" t="s">
        <v>372</v>
      </c>
      <c r="C1918" s="7" t="s">
        <v>373</v>
      </c>
      <c r="D1918" s="4">
        <v>60884855001983</v>
      </c>
      <c r="E1918" s="8" t="s">
        <v>919</v>
      </c>
      <c r="F1918" s="8" t="s">
        <v>739</v>
      </c>
      <c r="G1918" s="7" t="s">
        <v>55</v>
      </c>
      <c r="H1918" s="47" t="s">
        <v>211</v>
      </c>
      <c r="I1918" s="47" t="s">
        <v>212</v>
      </c>
      <c r="J1918" s="6">
        <v>62</v>
      </c>
      <c r="K1918" s="8" t="s">
        <v>27</v>
      </c>
      <c r="L1918" s="1" t="s">
        <v>919</v>
      </c>
      <c r="M1918" s="5">
        <v>3</v>
      </c>
    </row>
    <row r="1919" spans="1:13" ht="15" x14ac:dyDescent="0.25">
      <c r="A1919" s="7" t="s">
        <v>16</v>
      </c>
      <c r="B1919" s="7" t="s">
        <v>372</v>
      </c>
      <c r="C1919" s="7" t="s">
        <v>373</v>
      </c>
      <c r="D1919" s="4">
        <v>60884855001983</v>
      </c>
      <c r="E1919" s="8" t="s">
        <v>919</v>
      </c>
      <c r="F1919" s="8" t="s">
        <v>739</v>
      </c>
      <c r="G1919" s="7" t="s">
        <v>55</v>
      </c>
      <c r="H1919" s="47" t="s">
        <v>211</v>
      </c>
      <c r="I1919" s="47" t="s">
        <v>212</v>
      </c>
      <c r="J1919" s="6">
        <v>64</v>
      </c>
      <c r="K1919" s="8" t="s">
        <v>25</v>
      </c>
      <c r="L1919" s="1" t="s">
        <v>919</v>
      </c>
      <c r="M1919" s="5">
        <v>2</v>
      </c>
    </row>
    <row r="1920" spans="1:13" ht="15" x14ac:dyDescent="0.25">
      <c r="A1920" s="7" t="s">
        <v>16</v>
      </c>
      <c r="B1920" s="7" t="s">
        <v>372</v>
      </c>
      <c r="C1920" s="7" t="s">
        <v>373</v>
      </c>
      <c r="D1920" s="4">
        <v>60884855002289</v>
      </c>
      <c r="E1920" s="8" t="s">
        <v>920</v>
      </c>
      <c r="F1920" s="8" t="s">
        <v>739</v>
      </c>
      <c r="G1920" s="7" t="s">
        <v>55</v>
      </c>
      <c r="H1920" s="47" t="s">
        <v>211</v>
      </c>
      <c r="I1920" s="47" t="s">
        <v>212</v>
      </c>
      <c r="J1920" s="6">
        <v>62</v>
      </c>
      <c r="K1920" s="8" t="s">
        <v>27</v>
      </c>
      <c r="L1920" s="1" t="s">
        <v>920</v>
      </c>
      <c r="M1920" s="5">
        <v>8</v>
      </c>
    </row>
    <row r="1921" spans="1:13" ht="15" x14ac:dyDescent="0.25">
      <c r="A1921" s="7" t="s">
        <v>16</v>
      </c>
      <c r="B1921" s="7" t="s">
        <v>372</v>
      </c>
      <c r="C1921" s="7" t="s">
        <v>373</v>
      </c>
      <c r="D1921" s="4">
        <v>60884855002289</v>
      </c>
      <c r="E1921" s="8" t="s">
        <v>920</v>
      </c>
      <c r="F1921" s="8" t="s">
        <v>739</v>
      </c>
      <c r="G1921" s="7" t="s">
        <v>55</v>
      </c>
      <c r="H1921" s="47" t="s">
        <v>211</v>
      </c>
      <c r="I1921" s="47" t="s">
        <v>212</v>
      </c>
      <c r="J1921" s="6">
        <v>64</v>
      </c>
      <c r="K1921" s="8" t="s">
        <v>25</v>
      </c>
      <c r="L1921" s="1" t="s">
        <v>920</v>
      </c>
      <c r="M1921" s="5">
        <v>65</v>
      </c>
    </row>
    <row r="1922" spans="1:13" ht="15" x14ac:dyDescent="0.25">
      <c r="A1922" s="7" t="s">
        <v>16</v>
      </c>
      <c r="B1922" s="7" t="s">
        <v>372</v>
      </c>
      <c r="C1922" s="7" t="s">
        <v>373</v>
      </c>
      <c r="D1922" s="4">
        <v>60884855002289</v>
      </c>
      <c r="E1922" s="8" t="s">
        <v>920</v>
      </c>
      <c r="F1922" s="8" t="s">
        <v>739</v>
      </c>
      <c r="G1922" s="7" t="s">
        <v>55</v>
      </c>
      <c r="H1922" s="47" t="s">
        <v>211</v>
      </c>
      <c r="I1922" s="47" t="s">
        <v>212</v>
      </c>
      <c r="J1922" s="6">
        <v>70</v>
      </c>
      <c r="K1922" s="8" t="s">
        <v>20</v>
      </c>
      <c r="L1922" s="1" t="s">
        <v>920</v>
      </c>
      <c r="M1922" s="5">
        <v>500</v>
      </c>
    </row>
    <row r="1923" spans="1:13" ht="15" x14ac:dyDescent="0.25">
      <c r="A1923" s="7" t="s">
        <v>16</v>
      </c>
      <c r="B1923" s="7" t="s">
        <v>372</v>
      </c>
      <c r="C1923" s="7" t="s">
        <v>373</v>
      </c>
      <c r="D1923" s="4">
        <v>61590410001287</v>
      </c>
      <c r="E1923" s="8" t="s">
        <v>923</v>
      </c>
      <c r="F1923" s="8" t="s">
        <v>739</v>
      </c>
      <c r="G1923" s="7" t="s">
        <v>55</v>
      </c>
      <c r="H1923" s="47" t="s">
        <v>211</v>
      </c>
      <c r="I1923" s="47" t="s">
        <v>212</v>
      </c>
      <c r="J1923" s="6">
        <v>62</v>
      </c>
      <c r="K1923" s="8" t="s">
        <v>27</v>
      </c>
      <c r="L1923" s="1" t="s">
        <v>923</v>
      </c>
      <c r="M1923" s="5">
        <v>8</v>
      </c>
    </row>
    <row r="1924" spans="1:13" ht="15" x14ac:dyDescent="0.25">
      <c r="A1924" s="7" t="s">
        <v>16</v>
      </c>
      <c r="B1924" s="7" t="s">
        <v>21</v>
      </c>
      <c r="C1924" s="7" t="s">
        <v>18</v>
      </c>
      <c r="D1924" s="4">
        <v>82854246004</v>
      </c>
      <c r="E1924" s="8" t="s">
        <v>931</v>
      </c>
      <c r="F1924" s="8" t="s">
        <v>83</v>
      </c>
      <c r="G1924" s="7" t="s">
        <v>67</v>
      </c>
      <c r="H1924" s="47" t="s">
        <v>205</v>
      </c>
      <c r="I1924" s="47" t="s">
        <v>206</v>
      </c>
      <c r="J1924" s="6">
        <v>73</v>
      </c>
      <c r="K1924" s="8" t="s">
        <v>26</v>
      </c>
      <c r="L1924" s="1" t="s">
        <v>931</v>
      </c>
      <c r="M1924" s="5">
        <v>64</v>
      </c>
    </row>
    <row r="1925" spans="1:13" ht="15" x14ac:dyDescent="0.25">
      <c r="A1925" s="7" t="s">
        <v>16</v>
      </c>
      <c r="B1925" s="7" t="s">
        <v>17</v>
      </c>
      <c r="C1925" s="7" t="s">
        <v>18</v>
      </c>
      <c r="D1925" s="4">
        <v>9087150000230</v>
      </c>
      <c r="E1925" s="8" t="s">
        <v>958</v>
      </c>
      <c r="F1925" s="8" t="s">
        <v>83</v>
      </c>
      <c r="G1925" s="7" t="s">
        <v>67</v>
      </c>
      <c r="H1925" s="47" t="s">
        <v>205</v>
      </c>
      <c r="I1925" s="47" t="s">
        <v>206</v>
      </c>
      <c r="J1925" s="6">
        <v>73</v>
      </c>
      <c r="K1925" s="8" t="s">
        <v>26</v>
      </c>
      <c r="L1925" s="1" t="s">
        <v>958</v>
      </c>
      <c r="M1925" s="5">
        <v>8</v>
      </c>
    </row>
    <row r="1926" spans="1:13" ht="15" x14ac:dyDescent="0.25">
      <c r="A1926" s="7" t="s">
        <v>16</v>
      </c>
      <c r="B1926" s="7" t="s">
        <v>21</v>
      </c>
      <c r="C1926" s="7" t="s">
        <v>18</v>
      </c>
      <c r="D1926" s="4">
        <v>9087150000230</v>
      </c>
      <c r="E1926" s="8" t="s">
        <v>958</v>
      </c>
      <c r="F1926" s="8" t="s">
        <v>83</v>
      </c>
      <c r="G1926" s="7" t="s">
        <v>67</v>
      </c>
      <c r="H1926" s="47" t="s">
        <v>205</v>
      </c>
      <c r="I1926" s="47" t="s">
        <v>206</v>
      </c>
      <c r="J1926" s="6">
        <v>73</v>
      </c>
      <c r="K1926" s="8" t="s">
        <v>26</v>
      </c>
      <c r="L1926" s="1" t="s">
        <v>958</v>
      </c>
      <c r="M1926" s="5">
        <v>10</v>
      </c>
    </row>
    <row r="1927" spans="1:13" ht="15" x14ac:dyDescent="0.25">
      <c r="A1927" s="7" t="s">
        <v>16</v>
      </c>
      <c r="B1927" s="7" t="s">
        <v>17</v>
      </c>
      <c r="C1927" s="7" t="s">
        <v>18</v>
      </c>
      <c r="D1927" s="4">
        <v>26947257000149</v>
      </c>
      <c r="E1927" s="8" t="s">
        <v>973</v>
      </c>
      <c r="F1927" s="8" t="s">
        <v>83</v>
      </c>
      <c r="G1927" s="7" t="s">
        <v>67</v>
      </c>
      <c r="H1927" s="47" t="s">
        <v>205</v>
      </c>
      <c r="I1927" s="47" t="s">
        <v>206</v>
      </c>
      <c r="J1927" s="6">
        <v>62</v>
      </c>
      <c r="K1927" s="8" t="s">
        <v>27</v>
      </c>
      <c r="L1927" s="1" t="s">
        <v>973</v>
      </c>
      <c r="M1927" s="5">
        <v>6</v>
      </c>
    </row>
    <row r="1928" spans="1:13" ht="15" x14ac:dyDescent="0.25">
      <c r="A1928" s="7" t="s">
        <v>16</v>
      </c>
      <c r="B1928" s="7" t="s">
        <v>17</v>
      </c>
      <c r="C1928" s="7" t="s">
        <v>18</v>
      </c>
      <c r="D1928" s="4">
        <v>87020517000120</v>
      </c>
      <c r="E1928" s="8" t="s">
        <v>1013</v>
      </c>
      <c r="F1928" s="8" t="s">
        <v>83</v>
      </c>
      <c r="G1928" s="7" t="s">
        <v>67</v>
      </c>
      <c r="H1928" s="47" t="s">
        <v>205</v>
      </c>
      <c r="I1928" s="47" t="s">
        <v>206</v>
      </c>
      <c r="J1928" s="6">
        <v>62</v>
      </c>
      <c r="K1928" s="8" t="s">
        <v>27</v>
      </c>
      <c r="L1928" s="1" t="s">
        <v>1013</v>
      </c>
      <c r="M1928" s="5">
        <v>25</v>
      </c>
    </row>
    <row r="1929" spans="1:13" ht="15" x14ac:dyDescent="0.25">
      <c r="A1929" s="7" t="s">
        <v>16</v>
      </c>
      <c r="B1929" s="7" t="s">
        <v>17</v>
      </c>
      <c r="C1929" s="7" t="s">
        <v>18</v>
      </c>
      <c r="D1929" s="4">
        <v>87020517000120</v>
      </c>
      <c r="E1929" s="8" t="s">
        <v>1013</v>
      </c>
      <c r="F1929" s="8" t="s">
        <v>83</v>
      </c>
      <c r="G1929" s="7" t="s">
        <v>67</v>
      </c>
      <c r="H1929" s="47" t="s">
        <v>205</v>
      </c>
      <c r="I1929" s="47" t="s">
        <v>206</v>
      </c>
      <c r="J1929" s="6">
        <v>64</v>
      </c>
      <c r="K1929" s="8" t="s">
        <v>25</v>
      </c>
      <c r="L1929" s="1" t="s">
        <v>1013</v>
      </c>
      <c r="M1929" s="5">
        <v>10</v>
      </c>
    </row>
    <row r="1930" spans="1:13" ht="15" x14ac:dyDescent="0.25">
      <c r="A1930" s="7" t="s">
        <v>16</v>
      </c>
      <c r="B1930" s="7" t="s">
        <v>17</v>
      </c>
      <c r="C1930" s="7" t="s">
        <v>18</v>
      </c>
      <c r="D1930" s="4">
        <v>87958625000149</v>
      </c>
      <c r="E1930" s="8" t="s">
        <v>1022</v>
      </c>
      <c r="F1930" s="8" t="s">
        <v>83</v>
      </c>
      <c r="G1930" s="7" t="s">
        <v>67</v>
      </c>
      <c r="H1930" s="47" t="s">
        <v>205</v>
      </c>
      <c r="I1930" s="47" t="s">
        <v>206</v>
      </c>
      <c r="J1930" s="6">
        <v>66</v>
      </c>
      <c r="K1930" s="8" t="s">
        <v>28</v>
      </c>
      <c r="L1930" s="1" t="s">
        <v>1022</v>
      </c>
      <c r="M1930" s="5">
        <v>12</v>
      </c>
    </row>
    <row r="1931" spans="1:13" ht="15" x14ac:dyDescent="0.25">
      <c r="A1931" s="7" t="s">
        <v>16</v>
      </c>
      <c r="B1931" s="7" t="s">
        <v>17</v>
      </c>
      <c r="C1931" s="7" t="s">
        <v>18</v>
      </c>
      <c r="D1931" s="4">
        <v>88625686002443</v>
      </c>
      <c r="E1931" s="8" t="s">
        <v>1023</v>
      </c>
      <c r="F1931" s="8" t="s">
        <v>83</v>
      </c>
      <c r="G1931" s="7" t="s">
        <v>67</v>
      </c>
      <c r="H1931" s="47" t="s">
        <v>205</v>
      </c>
      <c r="I1931" s="47" t="s">
        <v>206</v>
      </c>
      <c r="J1931" s="6">
        <v>62</v>
      </c>
      <c r="K1931" s="8" t="s">
        <v>27</v>
      </c>
      <c r="L1931" s="1" t="s">
        <v>1023</v>
      </c>
      <c r="M1931" s="5">
        <v>5</v>
      </c>
    </row>
    <row r="1932" spans="1:13" ht="15" x14ac:dyDescent="0.25">
      <c r="A1932" s="7" t="s">
        <v>16</v>
      </c>
      <c r="B1932" s="7" t="s">
        <v>17</v>
      </c>
      <c r="C1932" s="7" t="s">
        <v>18</v>
      </c>
      <c r="D1932" s="4">
        <v>88625686002443</v>
      </c>
      <c r="E1932" s="8" t="s">
        <v>1023</v>
      </c>
      <c r="F1932" s="8" t="s">
        <v>83</v>
      </c>
      <c r="G1932" s="7" t="s">
        <v>67</v>
      </c>
      <c r="H1932" s="47" t="s">
        <v>205</v>
      </c>
      <c r="I1932" s="47" t="s">
        <v>206</v>
      </c>
      <c r="J1932" s="6">
        <v>64</v>
      </c>
      <c r="K1932" s="8" t="s">
        <v>25</v>
      </c>
      <c r="L1932" s="1" t="s">
        <v>1023</v>
      </c>
      <c r="M1932" s="5">
        <v>24</v>
      </c>
    </row>
    <row r="1933" spans="1:13" ht="15" x14ac:dyDescent="0.25">
      <c r="A1933" s="7" t="s">
        <v>16</v>
      </c>
      <c r="B1933" s="7" t="s">
        <v>17</v>
      </c>
      <c r="C1933" s="7" t="s">
        <v>18</v>
      </c>
      <c r="D1933" s="4">
        <v>88630413000796</v>
      </c>
      <c r="E1933" s="8" t="s">
        <v>1024</v>
      </c>
      <c r="F1933" s="8" t="s">
        <v>83</v>
      </c>
      <c r="G1933" s="7" t="s">
        <v>67</v>
      </c>
      <c r="H1933" s="47" t="s">
        <v>205</v>
      </c>
      <c r="I1933" s="47" t="s">
        <v>206</v>
      </c>
      <c r="J1933" s="6">
        <v>62</v>
      </c>
      <c r="K1933" s="8" t="s">
        <v>27</v>
      </c>
      <c r="L1933" s="1" t="s">
        <v>1024</v>
      </c>
      <c r="M1933" s="5">
        <v>14</v>
      </c>
    </row>
    <row r="1934" spans="1:13" ht="15" x14ac:dyDescent="0.25">
      <c r="A1934" s="7" t="s">
        <v>16</v>
      </c>
      <c r="B1934" s="7" t="s">
        <v>17</v>
      </c>
      <c r="C1934" s="7" t="s">
        <v>18</v>
      </c>
      <c r="D1934" s="4">
        <v>88630413000796</v>
      </c>
      <c r="E1934" s="8" t="s">
        <v>1024</v>
      </c>
      <c r="F1934" s="8" t="s">
        <v>83</v>
      </c>
      <c r="G1934" s="7" t="s">
        <v>67</v>
      </c>
      <c r="H1934" s="47" t="s">
        <v>205</v>
      </c>
      <c r="I1934" s="47" t="s">
        <v>206</v>
      </c>
      <c r="J1934" s="6">
        <v>64</v>
      </c>
      <c r="K1934" s="8" t="s">
        <v>25</v>
      </c>
      <c r="L1934" s="1" t="s">
        <v>1024</v>
      </c>
      <c r="M1934" s="5">
        <v>6</v>
      </c>
    </row>
    <row r="1935" spans="1:13" ht="15" x14ac:dyDescent="0.25">
      <c r="A1935" s="7" t="s">
        <v>16</v>
      </c>
      <c r="B1935" s="7" t="s">
        <v>17</v>
      </c>
      <c r="C1935" s="7" t="s">
        <v>18</v>
      </c>
      <c r="D1935" s="4">
        <v>92685833000151</v>
      </c>
      <c r="E1935" s="8" t="s">
        <v>1029</v>
      </c>
      <c r="F1935" s="8" t="s">
        <v>83</v>
      </c>
      <c r="G1935" s="7" t="s">
        <v>67</v>
      </c>
      <c r="H1935" s="47" t="s">
        <v>205</v>
      </c>
      <c r="I1935" s="47" t="s">
        <v>206</v>
      </c>
      <c r="J1935" s="6">
        <v>62</v>
      </c>
      <c r="K1935" s="8" t="s">
        <v>27</v>
      </c>
      <c r="L1935" s="1" t="s">
        <v>1029</v>
      </c>
      <c r="M1935" s="5">
        <v>40</v>
      </c>
    </row>
    <row r="1936" spans="1:13" ht="15" x14ac:dyDescent="0.25">
      <c r="A1936" s="7" t="s">
        <v>16</v>
      </c>
      <c r="B1936" s="7" t="s">
        <v>17</v>
      </c>
      <c r="C1936" s="7" t="s">
        <v>18</v>
      </c>
      <c r="D1936" s="4">
        <v>92685833000151</v>
      </c>
      <c r="E1936" s="8" t="s">
        <v>1029</v>
      </c>
      <c r="F1936" s="8" t="s">
        <v>83</v>
      </c>
      <c r="G1936" s="7" t="s">
        <v>67</v>
      </c>
      <c r="H1936" s="47" t="s">
        <v>205</v>
      </c>
      <c r="I1936" s="47" t="s">
        <v>206</v>
      </c>
      <c r="J1936" s="6">
        <v>64</v>
      </c>
      <c r="K1936" s="8" t="s">
        <v>25</v>
      </c>
      <c r="L1936" s="1" t="s">
        <v>1029</v>
      </c>
      <c r="M1936" s="5">
        <v>16</v>
      </c>
    </row>
    <row r="1937" spans="1:13" ht="15" x14ac:dyDescent="0.25">
      <c r="A1937" s="7" t="s">
        <v>16</v>
      </c>
      <c r="B1937" s="7" t="s">
        <v>17</v>
      </c>
      <c r="C1937" s="7" t="s">
        <v>18</v>
      </c>
      <c r="D1937" s="4">
        <v>92685833000151</v>
      </c>
      <c r="E1937" s="8" t="s">
        <v>1029</v>
      </c>
      <c r="F1937" s="8" t="s">
        <v>83</v>
      </c>
      <c r="G1937" s="7" t="s">
        <v>67</v>
      </c>
      <c r="H1937" s="47" t="s">
        <v>205</v>
      </c>
      <c r="I1937" s="47" t="s">
        <v>206</v>
      </c>
      <c r="J1937" s="6">
        <v>73</v>
      </c>
      <c r="K1937" s="8" t="s">
        <v>26</v>
      </c>
      <c r="L1937" s="1" t="s">
        <v>1029</v>
      </c>
      <c r="M1937" s="5">
        <v>4</v>
      </c>
    </row>
    <row r="1938" spans="1:13" ht="15" x14ac:dyDescent="0.25">
      <c r="A1938" s="7" t="s">
        <v>16</v>
      </c>
      <c r="B1938" s="7" t="s">
        <v>17</v>
      </c>
      <c r="C1938" s="7" t="s">
        <v>18</v>
      </c>
      <c r="D1938" s="4">
        <v>92741016000254</v>
      </c>
      <c r="E1938" s="8" t="s">
        <v>1030</v>
      </c>
      <c r="F1938" s="8" t="s">
        <v>83</v>
      </c>
      <c r="G1938" s="7" t="s">
        <v>67</v>
      </c>
      <c r="H1938" s="47" t="s">
        <v>205</v>
      </c>
      <c r="I1938" s="47" t="s">
        <v>206</v>
      </c>
      <c r="J1938" s="6">
        <v>64</v>
      </c>
      <c r="K1938" s="8" t="s">
        <v>25</v>
      </c>
      <c r="L1938" s="1" t="s">
        <v>1030</v>
      </c>
      <c r="M1938" s="5">
        <v>5</v>
      </c>
    </row>
    <row r="1939" spans="1:13" ht="15" x14ac:dyDescent="0.25">
      <c r="A1939" s="7" t="s">
        <v>16</v>
      </c>
      <c r="B1939" s="7" t="s">
        <v>17</v>
      </c>
      <c r="C1939" s="7" t="s">
        <v>18</v>
      </c>
      <c r="D1939" s="4">
        <v>92787118000391</v>
      </c>
      <c r="E1939" s="8" t="s">
        <v>1032</v>
      </c>
      <c r="F1939" s="8" t="s">
        <v>83</v>
      </c>
      <c r="G1939" s="7" t="s">
        <v>67</v>
      </c>
      <c r="H1939" s="47" t="s">
        <v>205</v>
      </c>
      <c r="I1939" s="47" t="s">
        <v>206</v>
      </c>
      <c r="J1939" s="6">
        <v>64</v>
      </c>
      <c r="K1939" s="8" t="s">
        <v>25</v>
      </c>
      <c r="L1939" s="1" t="s">
        <v>1032</v>
      </c>
      <c r="M1939" s="5">
        <v>12</v>
      </c>
    </row>
    <row r="1940" spans="1:13" ht="15" x14ac:dyDescent="0.25">
      <c r="A1940" s="7" t="s">
        <v>16</v>
      </c>
      <c r="B1940" s="7" t="s">
        <v>17</v>
      </c>
      <c r="C1940" s="7" t="s">
        <v>18</v>
      </c>
      <c r="D1940" s="4">
        <v>92815000000168</v>
      </c>
      <c r="E1940" s="8" t="s">
        <v>1033</v>
      </c>
      <c r="F1940" s="8" t="s">
        <v>83</v>
      </c>
      <c r="G1940" s="7" t="s">
        <v>67</v>
      </c>
      <c r="H1940" s="47" t="s">
        <v>205</v>
      </c>
      <c r="I1940" s="47" t="s">
        <v>206</v>
      </c>
      <c r="J1940" s="6">
        <v>62</v>
      </c>
      <c r="K1940" s="8" t="s">
        <v>27</v>
      </c>
      <c r="L1940" s="1" t="s">
        <v>1033</v>
      </c>
      <c r="M1940" s="5">
        <v>62</v>
      </c>
    </row>
    <row r="1941" spans="1:13" ht="15" x14ac:dyDescent="0.25">
      <c r="A1941" s="7" t="s">
        <v>16</v>
      </c>
      <c r="B1941" s="7" t="s">
        <v>17</v>
      </c>
      <c r="C1941" s="7" t="s">
        <v>18</v>
      </c>
      <c r="D1941" s="4">
        <v>92815000000168</v>
      </c>
      <c r="E1941" s="8" t="s">
        <v>1033</v>
      </c>
      <c r="F1941" s="8" t="s">
        <v>83</v>
      </c>
      <c r="G1941" s="7" t="s">
        <v>67</v>
      </c>
      <c r="H1941" s="47" t="s">
        <v>205</v>
      </c>
      <c r="I1941" s="47" t="s">
        <v>206</v>
      </c>
      <c r="J1941" s="6">
        <v>64</v>
      </c>
      <c r="K1941" s="8" t="s">
        <v>25</v>
      </c>
      <c r="L1941" s="1" t="s">
        <v>1033</v>
      </c>
      <c r="M1941" s="5">
        <v>8</v>
      </c>
    </row>
    <row r="1942" spans="1:13" ht="15" x14ac:dyDescent="0.25">
      <c r="A1942" s="7" t="s">
        <v>16</v>
      </c>
      <c r="B1942" s="7" t="s">
        <v>17</v>
      </c>
      <c r="C1942" s="7" t="s">
        <v>18</v>
      </c>
      <c r="D1942" s="4">
        <v>92815000000168</v>
      </c>
      <c r="E1942" s="8" t="s">
        <v>1033</v>
      </c>
      <c r="F1942" s="8" t="s">
        <v>83</v>
      </c>
      <c r="G1942" s="7" t="s">
        <v>67</v>
      </c>
      <c r="H1942" s="47" t="s">
        <v>205</v>
      </c>
      <c r="I1942" s="47" t="s">
        <v>206</v>
      </c>
      <c r="J1942" s="6">
        <v>73</v>
      </c>
      <c r="K1942" s="8" t="s">
        <v>26</v>
      </c>
      <c r="L1942" s="1" t="s">
        <v>1033</v>
      </c>
      <c r="M1942" s="5">
        <v>38</v>
      </c>
    </row>
    <row r="1943" spans="1:13" ht="15" x14ac:dyDescent="0.25">
      <c r="A1943" s="7" t="s">
        <v>16</v>
      </c>
      <c r="B1943" s="7" t="s">
        <v>17</v>
      </c>
      <c r="C1943" s="7" t="s">
        <v>18</v>
      </c>
      <c r="D1943" s="4">
        <v>92898550000198</v>
      </c>
      <c r="E1943" s="8" t="s">
        <v>1034</v>
      </c>
      <c r="F1943" s="8" t="s">
        <v>83</v>
      </c>
      <c r="G1943" s="7" t="s">
        <v>67</v>
      </c>
      <c r="H1943" s="47" t="s">
        <v>205</v>
      </c>
      <c r="I1943" s="47" t="s">
        <v>206</v>
      </c>
      <c r="J1943" s="6">
        <v>64</v>
      </c>
      <c r="K1943" s="8" t="s">
        <v>25</v>
      </c>
      <c r="L1943" s="1" t="s">
        <v>1034</v>
      </c>
      <c r="M1943" s="5">
        <v>14</v>
      </c>
    </row>
    <row r="1944" spans="1:13" ht="15" x14ac:dyDescent="0.25">
      <c r="A1944" s="7" t="s">
        <v>16</v>
      </c>
      <c r="B1944" s="7" t="s">
        <v>21</v>
      </c>
      <c r="C1944" s="7" t="s">
        <v>18</v>
      </c>
      <c r="D1944" s="4">
        <v>87020517000120</v>
      </c>
      <c r="E1944" s="8" t="s">
        <v>1013</v>
      </c>
      <c r="F1944" s="8" t="s">
        <v>83</v>
      </c>
      <c r="G1944" s="7" t="s">
        <v>67</v>
      </c>
      <c r="H1944" s="47" t="s">
        <v>205</v>
      </c>
      <c r="I1944" s="47" t="s">
        <v>206</v>
      </c>
      <c r="J1944" s="6">
        <v>62</v>
      </c>
      <c r="K1944" s="8" t="s">
        <v>27</v>
      </c>
      <c r="L1944" s="1" t="s">
        <v>1013</v>
      </c>
      <c r="M1944" s="5">
        <v>30</v>
      </c>
    </row>
    <row r="1945" spans="1:13" ht="15" x14ac:dyDescent="0.25">
      <c r="A1945" s="7" t="s">
        <v>16</v>
      </c>
      <c r="B1945" s="7" t="s">
        <v>21</v>
      </c>
      <c r="C1945" s="7" t="s">
        <v>18</v>
      </c>
      <c r="D1945" s="4">
        <v>87020517000120</v>
      </c>
      <c r="E1945" s="8" t="s">
        <v>1013</v>
      </c>
      <c r="F1945" s="8" t="s">
        <v>83</v>
      </c>
      <c r="G1945" s="7" t="s">
        <v>67</v>
      </c>
      <c r="H1945" s="47" t="s">
        <v>205</v>
      </c>
      <c r="I1945" s="47" t="s">
        <v>206</v>
      </c>
      <c r="J1945" s="6">
        <v>64</v>
      </c>
      <c r="K1945" s="8" t="s">
        <v>25</v>
      </c>
      <c r="L1945" s="1" t="s">
        <v>1013</v>
      </c>
      <c r="M1945" s="5">
        <v>8</v>
      </c>
    </row>
    <row r="1946" spans="1:13" ht="15" x14ac:dyDescent="0.25">
      <c r="A1946" s="7" t="s">
        <v>16</v>
      </c>
      <c r="B1946" s="7" t="s">
        <v>21</v>
      </c>
      <c r="C1946" s="7" t="s">
        <v>18</v>
      </c>
      <c r="D1946" s="4">
        <v>87317764001084</v>
      </c>
      <c r="E1946" s="8" t="s">
        <v>1015</v>
      </c>
      <c r="F1946" s="8" t="s">
        <v>83</v>
      </c>
      <c r="G1946" s="7" t="s">
        <v>67</v>
      </c>
      <c r="H1946" s="47" t="s">
        <v>205</v>
      </c>
      <c r="I1946" s="47" t="s">
        <v>206</v>
      </c>
      <c r="J1946" s="6">
        <v>62</v>
      </c>
      <c r="K1946" s="8" t="s">
        <v>27</v>
      </c>
      <c r="L1946" s="1" t="s">
        <v>1015</v>
      </c>
      <c r="M1946" s="5">
        <v>4</v>
      </c>
    </row>
    <row r="1947" spans="1:13" ht="15" x14ac:dyDescent="0.25">
      <c r="A1947" s="7" t="s">
        <v>16</v>
      </c>
      <c r="B1947" s="7" t="s">
        <v>21</v>
      </c>
      <c r="C1947" s="7" t="s">
        <v>18</v>
      </c>
      <c r="D1947" s="4">
        <v>88625686002443</v>
      </c>
      <c r="E1947" s="8" t="s">
        <v>1023</v>
      </c>
      <c r="F1947" s="8" t="s">
        <v>83</v>
      </c>
      <c r="G1947" s="7" t="s">
        <v>67</v>
      </c>
      <c r="H1947" s="47" t="s">
        <v>205</v>
      </c>
      <c r="I1947" s="47" t="s">
        <v>206</v>
      </c>
      <c r="J1947" s="6">
        <v>64</v>
      </c>
      <c r="K1947" s="8" t="s">
        <v>25</v>
      </c>
      <c r="L1947" s="1" t="s">
        <v>1023</v>
      </c>
      <c r="M1947" s="5">
        <v>10</v>
      </c>
    </row>
    <row r="1948" spans="1:13" ht="15" x14ac:dyDescent="0.25">
      <c r="A1948" s="7" t="s">
        <v>16</v>
      </c>
      <c r="B1948" s="7" t="s">
        <v>21</v>
      </c>
      <c r="C1948" s="7" t="s">
        <v>18</v>
      </c>
      <c r="D1948" s="4">
        <v>88630413000796</v>
      </c>
      <c r="E1948" s="8" t="s">
        <v>1024</v>
      </c>
      <c r="F1948" s="8" t="s">
        <v>83</v>
      </c>
      <c r="G1948" s="7" t="s">
        <v>67</v>
      </c>
      <c r="H1948" s="47" t="s">
        <v>205</v>
      </c>
      <c r="I1948" s="47" t="s">
        <v>206</v>
      </c>
      <c r="J1948" s="6">
        <v>62</v>
      </c>
      <c r="K1948" s="8" t="s">
        <v>27</v>
      </c>
      <c r="L1948" s="1" t="s">
        <v>1024</v>
      </c>
      <c r="M1948" s="5">
        <v>3</v>
      </c>
    </row>
    <row r="1949" spans="1:13" ht="15" x14ac:dyDescent="0.25">
      <c r="A1949" s="7" t="s">
        <v>16</v>
      </c>
      <c r="B1949" s="7" t="s">
        <v>21</v>
      </c>
      <c r="C1949" s="7" t="s">
        <v>18</v>
      </c>
      <c r="D1949" s="4">
        <v>92685833000151</v>
      </c>
      <c r="E1949" s="8" t="s">
        <v>1029</v>
      </c>
      <c r="F1949" s="8" t="s">
        <v>83</v>
      </c>
      <c r="G1949" s="7" t="s">
        <v>67</v>
      </c>
      <c r="H1949" s="47" t="s">
        <v>205</v>
      </c>
      <c r="I1949" s="47" t="s">
        <v>206</v>
      </c>
      <c r="J1949" s="6">
        <v>64</v>
      </c>
      <c r="K1949" s="8" t="s">
        <v>25</v>
      </c>
      <c r="L1949" s="1" t="s">
        <v>1029</v>
      </c>
      <c r="M1949" s="5">
        <v>14</v>
      </c>
    </row>
    <row r="1950" spans="1:13" ht="15" x14ac:dyDescent="0.25">
      <c r="A1950" s="7" t="s">
        <v>16</v>
      </c>
      <c r="B1950" s="7" t="s">
        <v>21</v>
      </c>
      <c r="C1950" s="7" t="s">
        <v>18</v>
      </c>
      <c r="D1950" s="4">
        <v>92685833000151</v>
      </c>
      <c r="E1950" s="8" t="s">
        <v>1029</v>
      </c>
      <c r="F1950" s="8" t="s">
        <v>83</v>
      </c>
      <c r="G1950" s="7" t="s">
        <v>67</v>
      </c>
      <c r="H1950" s="47" t="s">
        <v>205</v>
      </c>
      <c r="I1950" s="47" t="s">
        <v>206</v>
      </c>
      <c r="J1950" s="6">
        <v>73</v>
      </c>
      <c r="K1950" s="8" t="s">
        <v>26</v>
      </c>
      <c r="L1950" s="1" t="s">
        <v>1029</v>
      </c>
      <c r="M1950" s="5">
        <v>8</v>
      </c>
    </row>
    <row r="1951" spans="1:13" ht="15" x14ac:dyDescent="0.25">
      <c r="A1951" s="7" t="s">
        <v>16</v>
      </c>
      <c r="B1951" s="7" t="s">
        <v>21</v>
      </c>
      <c r="C1951" s="7" t="s">
        <v>18</v>
      </c>
      <c r="D1951" s="4">
        <v>92741016000254</v>
      </c>
      <c r="E1951" s="8" t="s">
        <v>1030</v>
      </c>
      <c r="F1951" s="8" t="s">
        <v>83</v>
      </c>
      <c r="G1951" s="7" t="s">
        <v>67</v>
      </c>
      <c r="H1951" s="47" t="s">
        <v>205</v>
      </c>
      <c r="I1951" s="47" t="s">
        <v>206</v>
      </c>
      <c r="J1951" s="6">
        <v>62</v>
      </c>
      <c r="K1951" s="8" t="s">
        <v>27</v>
      </c>
      <c r="L1951" s="1" t="s">
        <v>1030</v>
      </c>
      <c r="M1951" s="5">
        <v>3</v>
      </c>
    </row>
    <row r="1952" spans="1:13" ht="15" x14ac:dyDescent="0.25">
      <c r="A1952" s="7" t="s">
        <v>16</v>
      </c>
      <c r="B1952" s="7" t="s">
        <v>21</v>
      </c>
      <c r="C1952" s="7" t="s">
        <v>18</v>
      </c>
      <c r="D1952" s="4">
        <v>92741016000254</v>
      </c>
      <c r="E1952" s="8" t="s">
        <v>1030</v>
      </c>
      <c r="F1952" s="8" t="s">
        <v>83</v>
      </c>
      <c r="G1952" s="7" t="s">
        <v>67</v>
      </c>
      <c r="H1952" s="47" t="s">
        <v>205</v>
      </c>
      <c r="I1952" s="47" t="s">
        <v>206</v>
      </c>
      <c r="J1952" s="6">
        <v>64</v>
      </c>
      <c r="K1952" s="8" t="s">
        <v>25</v>
      </c>
      <c r="L1952" s="1" t="s">
        <v>1030</v>
      </c>
      <c r="M1952" s="5">
        <v>11</v>
      </c>
    </row>
    <row r="1953" spans="1:13" ht="15" x14ac:dyDescent="0.25">
      <c r="A1953" s="7" t="s">
        <v>16</v>
      </c>
      <c r="B1953" s="7" t="s">
        <v>21</v>
      </c>
      <c r="C1953" s="7" t="s">
        <v>18</v>
      </c>
      <c r="D1953" s="4">
        <v>92815000000168</v>
      </c>
      <c r="E1953" s="8" t="s">
        <v>1033</v>
      </c>
      <c r="F1953" s="8" t="s">
        <v>83</v>
      </c>
      <c r="G1953" s="7" t="s">
        <v>67</v>
      </c>
      <c r="H1953" s="47" t="s">
        <v>205</v>
      </c>
      <c r="I1953" s="47" t="s">
        <v>206</v>
      </c>
      <c r="J1953" s="6">
        <v>62</v>
      </c>
      <c r="K1953" s="8" t="s">
        <v>27</v>
      </c>
      <c r="L1953" s="1" t="s">
        <v>1033</v>
      </c>
      <c r="M1953" s="5">
        <v>56</v>
      </c>
    </row>
    <row r="1954" spans="1:13" ht="15" x14ac:dyDescent="0.25">
      <c r="A1954" s="7" t="s">
        <v>16</v>
      </c>
      <c r="B1954" s="7" t="s">
        <v>21</v>
      </c>
      <c r="C1954" s="7" t="s">
        <v>18</v>
      </c>
      <c r="D1954" s="4">
        <v>92815000000168</v>
      </c>
      <c r="E1954" s="8" t="s">
        <v>1033</v>
      </c>
      <c r="F1954" s="8" t="s">
        <v>83</v>
      </c>
      <c r="G1954" s="7" t="s">
        <v>67</v>
      </c>
      <c r="H1954" s="47" t="s">
        <v>205</v>
      </c>
      <c r="I1954" s="47" t="s">
        <v>206</v>
      </c>
      <c r="J1954" s="6">
        <v>64</v>
      </c>
      <c r="K1954" s="8" t="s">
        <v>25</v>
      </c>
      <c r="L1954" s="1" t="s">
        <v>1033</v>
      </c>
      <c r="M1954" s="5">
        <v>23</v>
      </c>
    </row>
    <row r="1955" spans="1:13" ht="15" x14ac:dyDescent="0.25">
      <c r="A1955" s="7" t="s">
        <v>16</v>
      </c>
      <c r="B1955" s="7" t="s">
        <v>21</v>
      </c>
      <c r="C1955" s="7" t="s">
        <v>18</v>
      </c>
      <c r="D1955" s="4">
        <v>92815000000168</v>
      </c>
      <c r="E1955" s="8" t="s">
        <v>1033</v>
      </c>
      <c r="F1955" s="8" t="s">
        <v>83</v>
      </c>
      <c r="G1955" s="7" t="s">
        <v>67</v>
      </c>
      <c r="H1955" s="47" t="s">
        <v>205</v>
      </c>
      <c r="I1955" s="47" t="s">
        <v>206</v>
      </c>
      <c r="J1955" s="6">
        <v>73</v>
      </c>
      <c r="K1955" s="8" t="s">
        <v>26</v>
      </c>
      <c r="L1955" s="1" t="s">
        <v>1033</v>
      </c>
      <c r="M1955" s="5">
        <v>54</v>
      </c>
    </row>
    <row r="1956" spans="1:13" ht="15" x14ac:dyDescent="0.25">
      <c r="A1956" s="7" t="s">
        <v>16</v>
      </c>
      <c r="B1956" s="7" t="s">
        <v>21</v>
      </c>
      <c r="C1956" s="7" t="s">
        <v>18</v>
      </c>
      <c r="D1956" s="4">
        <v>92898550000198</v>
      </c>
      <c r="E1956" s="8" t="s">
        <v>1034</v>
      </c>
      <c r="F1956" s="8" t="s">
        <v>83</v>
      </c>
      <c r="G1956" s="7" t="s">
        <v>67</v>
      </c>
      <c r="H1956" s="47" t="s">
        <v>205</v>
      </c>
      <c r="I1956" s="47" t="s">
        <v>206</v>
      </c>
      <c r="J1956" s="6">
        <v>62</v>
      </c>
      <c r="K1956" s="8" t="s">
        <v>27</v>
      </c>
      <c r="L1956" s="1" t="s">
        <v>1034</v>
      </c>
      <c r="M1956" s="5">
        <v>2</v>
      </c>
    </row>
    <row r="1957" spans="1:13" ht="15" x14ac:dyDescent="0.25">
      <c r="A1957" s="7" t="s">
        <v>16</v>
      </c>
      <c r="B1957" s="7" t="s">
        <v>21</v>
      </c>
      <c r="C1957" s="7" t="s">
        <v>18</v>
      </c>
      <c r="D1957" s="4">
        <v>92963560000160</v>
      </c>
      <c r="E1957" s="8" t="s">
        <v>1035</v>
      </c>
      <c r="F1957" s="8" t="s">
        <v>83</v>
      </c>
      <c r="G1957" s="7" t="s">
        <v>67</v>
      </c>
      <c r="H1957" s="47" t="s">
        <v>205</v>
      </c>
      <c r="I1957" s="47" t="s">
        <v>206</v>
      </c>
      <c r="J1957" s="6">
        <v>64</v>
      </c>
      <c r="K1957" s="8" t="s">
        <v>25</v>
      </c>
      <c r="L1957" s="1" t="s">
        <v>1035</v>
      </c>
      <c r="M1957" s="5">
        <v>20</v>
      </c>
    </row>
    <row r="1958" spans="1:13" ht="15" x14ac:dyDescent="0.25">
      <c r="A1958" s="7" t="s">
        <v>16</v>
      </c>
      <c r="B1958" s="7" t="s">
        <v>22</v>
      </c>
      <c r="C1958" s="7" t="s">
        <v>18</v>
      </c>
      <c r="D1958" s="4">
        <v>9087150000230</v>
      </c>
      <c r="E1958" s="8" t="s">
        <v>958</v>
      </c>
      <c r="F1958" s="8" t="s">
        <v>83</v>
      </c>
      <c r="G1958" s="7" t="s">
        <v>67</v>
      </c>
      <c r="H1958" s="47" t="s">
        <v>205</v>
      </c>
      <c r="I1958" s="47" t="s">
        <v>206</v>
      </c>
      <c r="J1958" s="6">
        <v>73</v>
      </c>
      <c r="K1958" s="8" t="s">
        <v>26</v>
      </c>
      <c r="L1958" s="1" t="s">
        <v>958</v>
      </c>
      <c r="M1958" s="5">
        <v>8</v>
      </c>
    </row>
    <row r="1959" spans="1:13" ht="15" x14ac:dyDescent="0.25">
      <c r="A1959" s="7" t="s">
        <v>16</v>
      </c>
      <c r="B1959" s="7" t="s">
        <v>22</v>
      </c>
      <c r="C1959" s="7" t="s">
        <v>18</v>
      </c>
      <c r="D1959" s="4">
        <v>87020517000120</v>
      </c>
      <c r="E1959" s="8" t="s">
        <v>1013</v>
      </c>
      <c r="F1959" s="8" t="s">
        <v>83</v>
      </c>
      <c r="G1959" s="7" t="s">
        <v>67</v>
      </c>
      <c r="H1959" s="47" t="s">
        <v>205</v>
      </c>
      <c r="I1959" s="47" t="s">
        <v>206</v>
      </c>
      <c r="J1959" s="6">
        <v>62</v>
      </c>
      <c r="K1959" s="8" t="s">
        <v>27</v>
      </c>
      <c r="L1959" s="1" t="s">
        <v>1013</v>
      </c>
      <c r="M1959" s="5">
        <v>15</v>
      </c>
    </row>
    <row r="1960" spans="1:13" ht="15" x14ac:dyDescent="0.25">
      <c r="A1960" s="7" t="s">
        <v>16</v>
      </c>
      <c r="B1960" s="7" t="s">
        <v>22</v>
      </c>
      <c r="C1960" s="7" t="s">
        <v>18</v>
      </c>
      <c r="D1960" s="4">
        <v>87020517000120</v>
      </c>
      <c r="E1960" s="8" t="s">
        <v>1013</v>
      </c>
      <c r="F1960" s="8" t="s">
        <v>83</v>
      </c>
      <c r="G1960" s="7" t="s">
        <v>67</v>
      </c>
      <c r="H1960" s="47" t="s">
        <v>205</v>
      </c>
      <c r="I1960" s="47" t="s">
        <v>206</v>
      </c>
      <c r="J1960" s="6">
        <v>64</v>
      </c>
      <c r="K1960" s="8" t="s">
        <v>25</v>
      </c>
      <c r="L1960" s="1" t="s">
        <v>1013</v>
      </c>
      <c r="M1960" s="5">
        <v>12</v>
      </c>
    </row>
    <row r="1961" spans="1:13" ht="15" x14ac:dyDescent="0.25">
      <c r="A1961" s="7" t="s">
        <v>16</v>
      </c>
      <c r="B1961" s="7" t="s">
        <v>22</v>
      </c>
      <c r="C1961" s="7" t="s">
        <v>18</v>
      </c>
      <c r="D1961" s="4">
        <v>88625686002443</v>
      </c>
      <c r="E1961" s="8" t="s">
        <v>1023</v>
      </c>
      <c r="F1961" s="8" t="s">
        <v>83</v>
      </c>
      <c r="G1961" s="7" t="s">
        <v>67</v>
      </c>
      <c r="H1961" s="47" t="s">
        <v>205</v>
      </c>
      <c r="I1961" s="47" t="s">
        <v>206</v>
      </c>
      <c r="J1961" s="6">
        <v>62</v>
      </c>
      <c r="K1961" s="8" t="s">
        <v>27</v>
      </c>
      <c r="L1961" s="1" t="s">
        <v>1023</v>
      </c>
      <c r="M1961" s="5">
        <v>2</v>
      </c>
    </row>
    <row r="1962" spans="1:13" ht="15" x14ac:dyDescent="0.25">
      <c r="A1962" s="7" t="s">
        <v>16</v>
      </c>
      <c r="B1962" s="7" t="s">
        <v>22</v>
      </c>
      <c r="C1962" s="7" t="s">
        <v>18</v>
      </c>
      <c r="D1962" s="4">
        <v>88625686002443</v>
      </c>
      <c r="E1962" s="8" t="s">
        <v>1023</v>
      </c>
      <c r="F1962" s="8" t="s">
        <v>83</v>
      </c>
      <c r="G1962" s="7" t="s">
        <v>67</v>
      </c>
      <c r="H1962" s="47" t="s">
        <v>205</v>
      </c>
      <c r="I1962" s="47" t="s">
        <v>206</v>
      </c>
      <c r="J1962" s="6">
        <v>64</v>
      </c>
      <c r="K1962" s="8" t="s">
        <v>25</v>
      </c>
      <c r="L1962" s="1" t="s">
        <v>1023</v>
      </c>
      <c r="M1962" s="5">
        <v>19</v>
      </c>
    </row>
    <row r="1963" spans="1:13" ht="15" x14ac:dyDescent="0.25">
      <c r="A1963" s="7" t="s">
        <v>16</v>
      </c>
      <c r="B1963" s="7" t="s">
        <v>22</v>
      </c>
      <c r="C1963" s="7" t="s">
        <v>18</v>
      </c>
      <c r="D1963" s="4">
        <v>92685833000151</v>
      </c>
      <c r="E1963" s="8" t="s">
        <v>1029</v>
      </c>
      <c r="F1963" s="8" t="s">
        <v>83</v>
      </c>
      <c r="G1963" s="7" t="s">
        <v>67</v>
      </c>
      <c r="H1963" s="47" t="s">
        <v>205</v>
      </c>
      <c r="I1963" s="47" t="s">
        <v>206</v>
      </c>
      <c r="J1963" s="6">
        <v>64</v>
      </c>
      <c r="K1963" s="8" t="s">
        <v>25</v>
      </c>
      <c r="L1963" s="1" t="s">
        <v>1029</v>
      </c>
      <c r="M1963" s="5">
        <v>32</v>
      </c>
    </row>
    <row r="1964" spans="1:13" ht="15" x14ac:dyDescent="0.25">
      <c r="A1964" s="7" t="s">
        <v>16</v>
      </c>
      <c r="B1964" s="7" t="s">
        <v>22</v>
      </c>
      <c r="C1964" s="7" t="s">
        <v>18</v>
      </c>
      <c r="D1964" s="4">
        <v>92685833000151</v>
      </c>
      <c r="E1964" s="8" t="s">
        <v>1029</v>
      </c>
      <c r="F1964" s="8" t="s">
        <v>83</v>
      </c>
      <c r="G1964" s="7" t="s">
        <v>67</v>
      </c>
      <c r="H1964" s="47" t="s">
        <v>205</v>
      </c>
      <c r="I1964" s="47" t="s">
        <v>206</v>
      </c>
      <c r="J1964" s="6">
        <v>73</v>
      </c>
      <c r="K1964" s="8" t="s">
        <v>26</v>
      </c>
      <c r="L1964" s="1" t="s">
        <v>1029</v>
      </c>
      <c r="M1964" s="5">
        <v>8</v>
      </c>
    </row>
    <row r="1965" spans="1:13" ht="15" x14ac:dyDescent="0.25">
      <c r="A1965" s="7" t="s">
        <v>16</v>
      </c>
      <c r="B1965" s="7" t="s">
        <v>22</v>
      </c>
      <c r="C1965" s="7" t="s">
        <v>18</v>
      </c>
      <c r="D1965" s="4">
        <v>92741016000254</v>
      </c>
      <c r="E1965" s="8" t="s">
        <v>1030</v>
      </c>
      <c r="F1965" s="8" t="s">
        <v>83</v>
      </c>
      <c r="G1965" s="7" t="s">
        <v>67</v>
      </c>
      <c r="H1965" s="47" t="s">
        <v>205</v>
      </c>
      <c r="I1965" s="47" t="s">
        <v>206</v>
      </c>
      <c r="J1965" s="6">
        <v>62</v>
      </c>
      <c r="K1965" s="8" t="s">
        <v>27</v>
      </c>
      <c r="L1965" s="1" t="s">
        <v>1030</v>
      </c>
      <c r="M1965" s="5">
        <v>2</v>
      </c>
    </row>
    <row r="1966" spans="1:13" ht="15" x14ac:dyDescent="0.25">
      <c r="A1966" s="7" t="s">
        <v>16</v>
      </c>
      <c r="B1966" s="7" t="s">
        <v>22</v>
      </c>
      <c r="C1966" s="7" t="s">
        <v>18</v>
      </c>
      <c r="D1966" s="4">
        <v>92741016000254</v>
      </c>
      <c r="E1966" s="8" t="s">
        <v>1030</v>
      </c>
      <c r="F1966" s="8" t="s">
        <v>83</v>
      </c>
      <c r="G1966" s="7" t="s">
        <v>67</v>
      </c>
      <c r="H1966" s="47" t="s">
        <v>205</v>
      </c>
      <c r="I1966" s="47" t="s">
        <v>206</v>
      </c>
      <c r="J1966" s="6">
        <v>64</v>
      </c>
      <c r="K1966" s="8" t="s">
        <v>25</v>
      </c>
      <c r="L1966" s="1" t="s">
        <v>1030</v>
      </c>
      <c r="M1966" s="5">
        <v>9</v>
      </c>
    </row>
    <row r="1967" spans="1:13" ht="15" x14ac:dyDescent="0.25">
      <c r="A1967" s="7" t="s">
        <v>16</v>
      </c>
      <c r="B1967" s="7" t="s">
        <v>22</v>
      </c>
      <c r="C1967" s="7" t="s">
        <v>18</v>
      </c>
      <c r="D1967" s="4">
        <v>92815000000168</v>
      </c>
      <c r="E1967" s="8" t="s">
        <v>1033</v>
      </c>
      <c r="F1967" s="8" t="s">
        <v>83</v>
      </c>
      <c r="G1967" s="7" t="s">
        <v>67</v>
      </c>
      <c r="H1967" s="47" t="s">
        <v>205</v>
      </c>
      <c r="I1967" s="47" t="s">
        <v>206</v>
      </c>
      <c r="J1967" s="6">
        <v>62</v>
      </c>
      <c r="K1967" s="8" t="s">
        <v>27</v>
      </c>
      <c r="L1967" s="1" t="s">
        <v>1033</v>
      </c>
      <c r="M1967" s="5">
        <v>61</v>
      </c>
    </row>
    <row r="1968" spans="1:13" ht="15" x14ac:dyDescent="0.25">
      <c r="A1968" s="7" t="s">
        <v>16</v>
      </c>
      <c r="B1968" s="7" t="s">
        <v>22</v>
      </c>
      <c r="C1968" s="7" t="s">
        <v>18</v>
      </c>
      <c r="D1968" s="4">
        <v>92815000000168</v>
      </c>
      <c r="E1968" s="8" t="s">
        <v>1033</v>
      </c>
      <c r="F1968" s="8" t="s">
        <v>83</v>
      </c>
      <c r="G1968" s="7" t="s">
        <v>67</v>
      </c>
      <c r="H1968" s="47" t="s">
        <v>205</v>
      </c>
      <c r="I1968" s="47" t="s">
        <v>206</v>
      </c>
      <c r="J1968" s="6">
        <v>64</v>
      </c>
      <c r="K1968" s="8" t="s">
        <v>25</v>
      </c>
      <c r="L1968" s="1" t="s">
        <v>1033</v>
      </c>
      <c r="M1968" s="5">
        <v>25</v>
      </c>
    </row>
    <row r="1969" spans="1:13" ht="15" x14ac:dyDescent="0.25">
      <c r="A1969" s="7" t="s">
        <v>16</v>
      </c>
      <c r="B1969" s="7" t="s">
        <v>22</v>
      </c>
      <c r="C1969" s="7" t="s">
        <v>18</v>
      </c>
      <c r="D1969" s="4">
        <v>92815000000168</v>
      </c>
      <c r="E1969" s="8" t="s">
        <v>1033</v>
      </c>
      <c r="F1969" s="8" t="s">
        <v>83</v>
      </c>
      <c r="G1969" s="7" t="s">
        <v>67</v>
      </c>
      <c r="H1969" s="47" t="s">
        <v>205</v>
      </c>
      <c r="I1969" s="47" t="s">
        <v>206</v>
      </c>
      <c r="J1969" s="6">
        <v>73</v>
      </c>
      <c r="K1969" s="8" t="s">
        <v>26</v>
      </c>
      <c r="L1969" s="1" t="s">
        <v>1033</v>
      </c>
      <c r="M1969" s="5">
        <v>28</v>
      </c>
    </row>
    <row r="1970" spans="1:13" ht="15" x14ac:dyDescent="0.25">
      <c r="A1970" s="7" t="s">
        <v>16</v>
      </c>
      <c r="B1970" s="7" t="s">
        <v>22</v>
      </c>
      <c r="C1970" s="7" t="s">
        <v>18</v>
      </c>
      <c r="D1970" s="4">
        <v>92963560000160</v>
      </c>
      <c r="E1970" s="8" t="s">
        <v>1035</v>
      </c>
      <c r="F1970" s="8" t="s">
        <v>83</v>
      </c>
      <c r="G1970" s="7" t="s">
        <v>67</v>
      </c>
      <c r="H1970" s="47" t="s">
        <v>205</v>
      </c>
      <c r="I1970" s="47" t="s">
        <v>206</v>
      </c>
      <c r="J1970" s="6">
        <v>62</v>
      </c>
      <c r="K1970" s="8" t="s">
        <v>27</v>
      </c>
      <c r="L1970" s="1" t="s">
        <v>1035</v>
      </c>
      <c r="M1970" s="5">
        <v>15</v>
      </c>
    </row>
    <row r="1971" spans="1:13" ht="15" x14ac:dyDescent="0.25">
      <c r="A1971" s="7" t="s">
        <v>16</v>
      </c>
      <c r="B1971" s="7" t="s">
        <v>23</v>
      </c>
      <c r="C1971" s="7" t="s">
        <v>24</v>
      </c>
      <c r="D1971" s="4">
        <v>9087150000230</v>
      </c>
      <c r="E1971" s="8" t="s">
        <v>958</v>
      </c>
      <c r="F1971" s="8" t="s">
        <v>83</v>
      </c>
      <c r="G1971" s="7" t="s">
        <v>67</v>
      </c>
      <c r="H1971" s="47" t="s">
        <v>205</v>
      </c>
      <c r="I1971" s="47" t="s">
        <v>206</v>
      </c>
      <c r="J1971" s="6">
        <v>73</v>
      </c>
      <c r="K1971" s="8" t="s">
        <v>26</v>
      </c>
      <c r="L1971" s="1" t="s">
        <v>958</v>
      </c>
      <c r="M1971" s="5">
        <v>10</v>
      </c>
    </row>
    <row r="1972" spans="1:13" ht="15" x14ac:dyDescent="0.25">
      <c r="A1972" s="7" t="s">
        <v>16</v>
      </c>
      <c r="B1972" s="7" t="s">
        <v>23</v>
      </c>
      <c r="C1972" s="7" t="s">
        <v>24</v>
      </c>
      <c r="D1972" s="4">
        <v>87020517000120</v>
      </c>
      <c r="E1972" s="8" t="s">
        <v>1013</v>
      </c>
      <c r="F1972" s="8" t="s">
        <v>83</v>
      </c>
      <c r="G1972" s="7" t="s">
        <v>67</v>
      </c>
      <c r="H1972" s="47" t="s">
        <v>205</v>
      </c>
      <c r="I1972" s="47" t="s">
        <v>206</v>
      </c>
      <c r="J1972" s="6">
        <v>62</v>
      </c>
      <c r="K1972" s="8" t="s">
        <v>27</v>
      </c>
      <c r="L1972" s="1" t="s">
        <v>1013</v>
      </c>
      <c r="M1972" s="5">
        <v>20</v>
      </c>
    </row>
    <row r="1973" spans="1:13" ht="15" x14ac:dyDescent="0.25">
      <c r="A1973" s="7" t="s">
        <v>16</v>
      </c>
      <c r="B1973" s="7" t="s">
        <v>23</v>
      </c>
      <c r="C1973" s="7" t="s">
        <v>24</v>
      </c>
      <c r="D1973" s="4">
        <v>87020517000120</v>
      </c>
      <c r="E1973" s="8" t="s">
        <v>1013</v>
      </c>
      <c r="F1973" s="8" t="s">
        <v>83</v>
      </c>
      <c r="G1973" s="7" t="s">
        <v>67</v>
      </c>
      <c r="H1973" s="47" t="s">
        <v>205</v>
      </c>
      <c r="I1973" s="47" t="s">
        <v>206</v>
      </c>
      <c r="J1973" s="6">
        <v>64</v>
      </c>
      <c r="K1973" s="8" t="s">
        <v>25</v>
      </c>
      <c r="L1973" s="1" t="s">
        <v>1013</v>
      </c>
      <c r="M1973" s="5">
        <v>15</v>
      </c>
    </row>
    <row r="1974" spans="1:13" ht="15" x14ac:dyDescent="0.25">
      <c r="A1974" s="7" t="s">
        <v>16</v>
      </c>
      <c r="B1974" s="7" t="s">
        <v>23</v>
      </c>
      <c r="C1974" s="7" t="s">
        <v>24</v>
      </c>
      <c r="D1974" s="4">
        <v>88625686002443</v>
      </c>
      <c r="E1974" s="8" t="s">
        <v>1023</v>
      </c>
      <c r="F1974" s="8" t="s">
        <v>83</v>
      </c>
      <c r="G1974" s="7" t="s">
        <v>67</v>
      </c>
      <c r="H1974" s="47" t="s">
        <v>205</v>
      </c>
      <c r="I1974" s="47" t="s">
        <v>206</v>
      </c>
      <c r="J1974" s="6">
        <v>62</v>
      </c>
      <c r="K1974" s="8" t="s">
        <v>27</v>
      </c>
      <c r="L1974" s="1" t="s">
        <v>1023</v>
      </c>
      <c r="M1974" s="5">
        <v>8</v>
      </c>
    </row>
    <row r="1975" spans="1:13" ht="15" x14ac:dyDescent="0.25">
      <c r="A1975" s="7" t="s">
        <v>16</v>
      </c>
      <c r="B1975" s="7" t="s">
        <v>23</v>
      </c>
      <c r="C1975" s="7" t="s">
        <v>24</v>
      </c>
      <c r="D1975" s="4">
        <v>88625686002443</v>
      </c>
      <c r="E1975" s="8" t="s">
        <v>1023</v>
      </c>
      <c r="F1975" s="8" t="s">
        <v>83</v>
      </c>
      <c r="G1975" s="7" t="s">
        <v>67</v>
      </c>
      <c r="H1975" s="47" t="s">
        <v>205</v>
      </c>
      <c r="I1975" s="47" t="s">
        <v>206</v>
      </c>
      <c r="J1975" s="6">
        <v>64</v>
      </c>
      <c r="K1975" s="8" t="s">
        <v>25</v>
      </c>
      <c r="L1975" s="1" t="s">
        <v>1023</v>
      </c>
      <c r="M1975" s="5">
        <v>21</v>
      </c>
    </row>
    <row r="1976" spans="1:13" ht="15" x14ac:dyDescent="0.25">
      <c r="A1976" s="7" t="s">
        <v>16</v>
      </c>
      <c r="B1976" s="7" t="s">
        <v>23</v>
      </c>
      <c r="C1976" s="7" t="s">
        <v>24</v>
      </c>
      <c r="D1976" s="4">
        <v>92685833000151</v>
      </c>
      <c r="E1976" s="8" t="s">
        <v>1029</v>
      </c>
      <c r="F1976" s="8" t="s">
        <v>83</v>
      </c>
      <c r="G1976" s="7" t="s">
        <v>67</v>
      </c>
      <c r="H1976" s="47" t="s">
        <v>205</v>
      </c>
      <c r="I1976" s="47" t="s">
        <v>206</v>
      </c>
      <c r="J1976" s="6">
        <v>62</v>
      </c>
      <c r="K1976" s="8" t="s">
        <v>27</v>
      </c>
      <c r="L1976" s="1" t="s">
        <v>1029</v>
      </c>
      <c r="M1976" s="5">
        <v>10</v>
      </c>
    </row>
    <row r="1977" spans="1:13" ht="15" x14ac:dyDescent="0.25">
      <c r="A1977" s="7" t="s">
        <v>16</v>
      </c>
      <c r="B1977" s="7" t="s">
        <v>23</v>
      </c>
      <c r="C1977" s="7" t="s">
        <v>24</v>
      </c>
      <c r="D1977" s="4">
        <v>92685833000151</v>
      </c>
      <c r="E1977" s="8" t="s">
        <v>1029</v>
      </c>
      <c r="F1977" s="8" t="s">
        <v>83</v>
      </c>
      <c r="G1977" s="7" t="s">
        <v>67</v>
      </c>
      <c r="H1977" s="47" t="s">
        <v>205</v>
      </c>
      <c r="I1977" s="47" t="s">
        <v>206</v>
      </c>
      <c r="J1977" s="6">
        <v>64</v>
      </c>
      <c r="K1977" s="8" t="s">
        <v>25</v>
      </c>
      <c r="L1977" s="1" t="s">
        <v>1029</v>
      </c>
      <c r="M1977" s="5">
        <v>28</v>
      </c>
    </row>
    <row r="1978" spans="1:13" ht="15" x14ac:dyDescent="0.25">
      <c r="A1978" s="7" t="s">
        <v>16</v>
      </c>
      <c r="B1978" s="7" t="s">
        <v>23</v>
      </c>
      <c r="C1978" s="7" t="s">
        <v>24</v>
      </c>
      <c r="D1978" s="4">
        <v>92685833000151</v>
      </c>
      <c r="E1978" s="8" t="s">
        <v>1029</v>
      </c>
      <c r="F1978" s="8" t="s">
        <v>83</v>
      </c>
      <c r="G1978" s="7" t="s">
        <v>67</v>
      </c>
      <c r="H1978" s="47" t="s">
        <v>205</v>
      </c>
      <c r="I1978" s="47" t="s">
        <v>206</v>
      </c>
      <c r="J1978" s="6">
        <v>73</v>
      </c>
      <c r="K1978" s="8" t="s">
        <v>26</v>
      </c>
      <c r="L1978" s="1" t="s">
        <v>1029</v>
      </c>
      <c r="M1978" s="5">
        <v>20</v>
      </c>
    </row>
    <row r="1979" spans="1:13" ht="15" x14ac:dyDescent="0.25">
      <c r="A1979" s="7" t="s">
        <v>16</v>
      </c>
      <c r="B1979" s="7" t="s">
        <v>23</v>
      </c>
      <c r="C1979" s="7" t="s">
        <v>24</v>
      </c>
      <c r="D1979" s="4">
        <v>92741016000254</v>
      </c>
      <c r="E1979" s="8" t="s">
        <v>1030</v>
      </c>
      <c r="F1979" s="8" t="s">
        <v>83</v>
      </c>
      <c r="G1979" s="7" t="s">
        <v>67</v>
      </c>
      <c r="H1979" s="47" t="s">
        <v>205</v>
      </c>
      <c r="I1979" s="47" t="s">
        <v>206</v>
      </c>
      <c r="J1979" s="6">
        <v>64</v>
      </c>
      <c r="K1979" s="8" t="s">
        <v>25</v>
      </c>
      <c r="L1979" s="1" t="s">
        <v>1030</v>
      </c>
      <c r="M1979" s="5">
        <v>12</v>
      </c>
    </row>
    <row r="1980" spans="1:13" ht="15" x14ac:dyDescent="0.25">
      <c r="A1980" s="7" t="s">
        <v>16</v>
      </c>
      <c r="B1980" s="7" t="s">
        <v>23</v>
      </c>
      <c r="C1980" s="7" t="s">
        <v>24</v>
      </c>
      <c r="D1980" s="4">
        <v>92787118000120</v>
      </c>
      <c r="E1980" s="8" t="s">
        <v>1031</v>
      </c>
      <c r="F1980" s="8" t="s">
        <v>83</v>
      </c>
      <c r="G1980" s="7" t="s">
        <v>67</v>
      </c>
      <c r="H1980" s="47" t="s">
        <v>205</v>
      </c>
      <c r="I1980" s="47" t="s">
        <v>206</v>
      </c>
      <c r="J1980" s="6">
        <v>62</v>
      </c>
      <c r="K1980" s="8" t="s">
        <v>27</v>
      </c>
      <c r="L1980" s="1" t="s">
        <v>1031</v>
      </c>
      <c r="M1980" s="5">
        <v>2</v>
      </c>
    </row>
    <row r="1981" spans="1:13" ht="15" x14ac:dyDescent="0.25">
      <c r="A1981" s="7" t="s">
        <v>16</v>
      </c>
      <c r="B1981" s="7" t="s">
        <v>23</v>
      </c>
      <c r="C1981" s="7" t="s">
        <v>24</v>
      </c>
      <c r="D1981" s="4">
        <v>92815000000168</v>
      </c>
      <c r="E1981" s="8" t="s">
        <v>1033</v>
      </c>
      <c r="F1981" s="8" t="s">
        <v>83</v>
      </c>
      <c r="G1981" s="7" t="s">
        <v>67</v>
      </c>
      <c r="H1981" s="47" t="s">
        <v>205</v>
      </c>
      <c r="I1981" s="47" t="s">
        <v>206</v>
      </c>
      <c r="J1981" s="6">
        <v>62</v>
      </c>
      <c r="K1981" s="8" t="s">
        <v>27</v>
      </c>
      <c r="L1981" s="1" t="s">
        <v>1033</v>
      </c>
      <c r="M1981" s="5">
        <v>62</v>
      </c>
    </row>
    <row r="1982" spans="1:13" ht="15" x14ac:dyDescent="0.25">
      <c r="A1982" s="7" t="s">
        <v>16</v>
      </c>
      <c r="B1982" s="7" t="s">
        <v>23</v>
      </c>
      <c r="C1982" s="7" t="s">
        <v>24</v>
      </c>
      <c r="D1982" s="4">
        <v>92815000000168</v>
      </c>
      <c r="E1982" s="8" t="s">
        <v>1033</v>
      </c>
      <c r="F1982" s="8" t="s">
        <v>83</v>
      </c>
      <c r="G1982" s="7" t="s">
        <v>67</v>
      </c>
      <c r="H1982" s="47" t="s">
        <v>205</v>
      </c>
      <c r="I1982" s="47" t="s">
        <v>206</v>
      </c>
      <c r="J1982" s="6">
        <v>64</v>
      </c>
      <c r="K1982" s="8" t="s">
        <v>25</v>
      </c>
      <c r="L1982" s="1" t="s">
        <v>1033</v>
      </c>
      <c r="M1982" s="5">
        <v>20</v>
      </c>
    </row>
    <row r="1983" spans="1:13" ht="15" x14ac:dyDescent="0.25">
      <c r="A1983" s="7" t="s">
        <v>16</v>
      </c>
      <c r="B1983" s="7" t="s">
        <v>23</v>
      </c>
      <c r="C1983" s="7" t="s">
        <v>24</v>
      </c>
      <c r="D1983" s="4">
        <v>92815000000168</v>
      </c>
      <c r="E1983" s="8" t="s">
        <v>1033</v>
      </c>
      <c r="F1983" s="8" t="s">
        <v>83</v>
      </c>
      <c r="G1983" s="7" t="s">
        <v>67</v>
      </c>
      <c r="H1983" s="47" t="s">
        <v>205</v>
      </c>
      <c r="I1983" s="47" t="s">
        <v>206</v>
      </c>
      <c r="J1983" s="6">
        <v>73</v>
      </c>
      <c r="K1983" s="8" t="s">
        <v>26</v>
      </c>
      <c r="L1983" s="1" t="s">
        <v>1033</v>
      </c>
      <c r="M1983" s="5">
        <v>45</v>
      </c>
    </row>
    <row r="1984" spans="1:13" ht="15" x14ac:dyDescent="0.25">
      <c r="A1984" s="7" t="s">
        <v>16</v>
      </c>
      <c r="B1984" s="7" t="s">
        <v>23</v>
      </c>
      <c r="C1984" s="7" t="s">
        <v>24</v>
      </c>
      <c r="D1984" s="4">
        <v>92898550000198</v>
      </c>
      <c r="E1984" s="8" t="s">
        <v>1034</v>
      </c>
      <c r="F1984" s="8" t="s">
        <v>83</v>
      </c>
      <c r="G1984" s="7" t="s">
        <v>67</v>
      </c>
      <c r="H1984" s="47" t="s">
        <v>205</v>
      </c>
      <c r="I1984" s="47" t="s">
        <v>206</v>
      </c>
      <c r="J1984" s="6">
        <v>62</v>
      </c>
      <c r="K1984" s="8" t="s">
        <v>27</v>
      </c>
      <c r="L1984" s="1" t="s">
        <v>1034</v>
      </c>
      <c r="M1984" s="5">
        <v>3</v>
      </c>
    </row>
    <row r="1985" spans="1:13" ht="15" x14ac:dyDescent="0.25">
      <c r="A1985" s="7" t="s">
        <v>16</v>
      </c>
      <c r="B1985" s="7" t="s">
        <v>23</v>
      </c>
      <c r="C1985" s="7" t="s">
        <v>24</v>
      </c>
      <c r="D1985" s="4">
        <v>92963560000160</v>
      </c>
      <c r="E1985" s="8" t="s">
        <v>1035</v>
      </c>
      <c r="F1985" s="8" t="s">
        <v>83</v>
      </c>
      <c r="G1985" s="7" t="s">
        <v>67</v>
      </c>
      <c r="H1985" s="47" t="s">
        <v>205</v>
      </c>
      <c r="I1985" s="47" t="s">
        <v>206</v>
      </c>
      <c r="J1985" s="6">
        <v>62</v>
      </c>
      <c r="K1985" s="8" t="s">
        <v>27</v>
      </c>
      <c r="L1985" s="1" t="s">
        <v>1035</v>
      </c>
      <c r="M1985" s="5">
        <v>30</v>
      </c>
    </row>
    <row r="1986" spans="1:13" ht="15" x14ac:dyDescent="0.25">
      <c r="A1986" s="7" t="s">
        <v>16</v>
      </c>
      <c r="B1986" s="7" t="s">
        <v>23</v>
      </c>
      <c r="C1986" s="7" t="s">
        <v>24</v>
      </c>
      <c r="D1986" s="4">
        <v>92963560000160</v>
      </c>
      <c r="E1986" s="8" t="s">
        <v>1035</v>
      </c>
      <c r="F1986" s="8" t="s">
        <v>83</v>
      </c>
      <c r="G1986" s="7" t="s">
        <v>67</v>
      </c>
      <c r="H1986" s="47" t="s">
        <v>205</v>
      </c>
      <c r="I1986" s="47" t="s">
        <v>206</v>
      </c>
      <c r="J1986" s="6">
        <v>64</v>
      </c>
      <c r="K1986" s="8" t="s">
        <v>25</v>
      </c>
      <c r="L1986" s="1" t="s">
        <v>1035</v>
      </c>
      <c r="M1986" s="5">
        <v>20</v>
      </c>
    </row>
    <row r="1987" spans="1:13" ht="15" x14ac:dyDescent="0.25">
      <c r="A1987" s="7" t="s">
        <v>16</v>
      </c>
      <c r="B1987" s="7" t="s">
        <v>229</v>
      </c>
      <c r="C1987" s="7" t="s">
        <v>24</v>
      </c>
      <c r="D1987" s="4">
        <v>9087150000230</v>
      </c>
      <c r="E1987" s="8" t="s">
        <v>958</v>
      </c>
      <c r="F1987" s="8" t="s">
        <v>83</v>
      </c>
      <c r="G1987" s="7" t="s">
        <v>67</v>
      </c>
      <c r="H1987" s="47" t="s">
        <v>205</v>
      </c>
      <c r="I1987" s="47" t="s">
        <v>206</v>
      </c>
      <c r="J1987" s="6">
        <v>73</v>
      </c>
      <c r="K1987" s="8" t="s">
        <v>26</v>
      </c>
      <c r="L1987" s="1" t="s">
        <v>958</v>
      </c>
      <c r="M1987" s="5">
        <v>8</v>
      </c>
    </row>
    <row r="1988" spans="1:13" ht="15" x14ac:dyDescent="0.25">
      <c r="A1988" s="7" t="s">
        <v>16</v>
      </c>
      <c r="B1988" s="7" t="s">
        <v>229</v>
      </c>
      <c r="C1988" s="7" t="s">
        <v>24</v>
      </c>
      <c r="D1988" s="4">
        <v>87317764001084</v>
      </c>
      <c r="E1988" s="8" t="s">
        <v>1015</v>
      </c>
      <c r="F1988" s="8" t="s">
        <v>83</v>
      </c>
      <c r="G1988" s="7" t="s">
        <v>67</v>
      </c>
      <c r="H1988" s="47" t="s">
        <v>205</v>
      </c>
      <c r="I1988" s="47" t="s">
        <v>206</v>
      </c>
      <c r="J1988" s="6">
        <v>64</v>
      </c>
      <c r="K1988" s="8" t="s">
        <v>25</v>
      </c>
      <c r="L1988" s="1" t="s">
        <v>1015</v>
      </c>
      <c r="M1988" s="5">
        <v>1</v>
      </c>
    </row>
    <row r="1989" spans="1:13" ht="15" x14ac:dyDescent="0.25">
      <c r="A1989" s="7" t="s">
        <v>16</v>
      </c>
      <c r="B1989" s="7" t="s">
        <v>229</v>
      </c>
      <c r="C1989" s="7" t="s">
        <v>24</v>
      </c>
      <c r="D1989" s="4">
        <v>88625686002443</v>
      </c>
      <c r="E1989" s="8" t="s">
        <v>1023</v>
      </c>
      <c r="F1989" s="8" t="s">
        <v>83</v>
      </c>
      <c r="G1989" s="7" t="s">
        <v>67</v>
      </c>
      <c r="H1989" s="47" t="s">
        <v>205</v>
      </c>
      <c r="I1989" s="47" t="s">
        <v>206</v>
      </c>
      <c r="J1989" s="6">
        <v>64</v>
      </c>
      <c r="K1989" s="8" t="s">
        <v>25</v>
      </c>
      <c r="L1989" s="1" t="s">
        <v>1023</v>
      </c>
      <c r="M1989" s="5">
        <v>17</v>
      </c>
    </row>
    <row r="1990" spans="1:13" ht="15" x14ac:dyDescent="0.25">
      <c r="A1990" s="7" t="s">
        <v>16</v>
      </c>
      <c r="B1990" s="7" t="s">
        <v>229</v>
      </c>
      <c r="C1990" s="7" t="s">
        <v>24</v>
      </c>
      <c r="D1990" s="4">
        <v>88630413000796</v>
      </c>
      <c r="E1990" s="8" t="s">
        <v>1024</v>
      </c>
      <c r="F1990" s="8" t="s">
        <v>83</v>
      </c>
      <c r="G1990" s="7" t="s">
        <v>67</v>
      </c>
      <c r="H1990" s="47" t="s">
        <v>205</v>
      </c>
      <c r="I1990" s="47" t="s">
        <v>206</v>
      </c>
      <c r="J1990" s="6">
        <v>64</v>
      </c>
      <c r="K1990" s="8" t="s">
        <v>25</v>
      </c>
      <c r="L1990" s="1" t="s">
        <v>1024</v>
      </c>
      <c r="M1990" s="5">
        <v>14</v>
      </c>
    </row>
    <row r="1991" spans="1:13" ht="15" x14ac:dyDescent="0.25">
      <c r="A1991" s="7" t="s">
        <v>16</v>
      </c>
      <c r="B1991" s="7" t="s">
        <v>229</v>
      </c>
      <c r="C1991" s="7" t="s">
        <v>24</v>
      </c>
      <c r="D1991" s="4">
        <v>92685833000151</v>
      </c>
      <c r="E1991" s="8" t="s">
        <v>1029</v>
      </c>
      <c r="F1991" s="8" t="s">
        <v>83</v>
      </c>
      <c r="G1991" s="7" t="s">
        <v>67</v>
      </c>
      <c r="H1991" s="47" t="s">
        <v>205</v>
      </c>
      <c r="I1991" s="47" t="s">
        <v>206</v>
      </c>
      <c r="J1991" s="6">
        <v>62</v>
      </c>
      <c r="K1991" s="8" t="s">
        <v>27</v>
      </c>
      <c r="L1991" s="1" t="s">
        <v>1029</v>
      </c>
      <c r="M1991" s="5">
        <v>14</v>
      </c>
    </row>
    <row r="1992" spans="1:13" ht="15" x14ac:dyDescent="0.25">
      <c r="A1992" s="7" t="s">
        <v>16</v>
      </c>
      <c r="B1992" s="7" t="s">
        <v>229</v>
      </c>
      <c r="C1992" s="7" t="s">
        <v>24</v>
      </c>
      <c r="D1992" s="4">
        <v>92685833000151</v>
      </c>
      <c r="E1992" s="8" t="s">
        <v>1029</v>
      </c>
      <c r="F1992" s="8" t="s">
        <v>83</v>
      </c>
      <c r="G1992" s="7" t="s">
        <v>67</v>
      </c>
      <c r="H1992" s="47" t="s">
        <v>205</v>
      </c>
      <c r="I1992" s="47" t="s">
        <v>206</v>
      </c>
      <c r="J1992" s="6">
        <v>64</v>
      </c>
      <c r="K1992" s="8" t="s">
        <v>25</v>
      </c>
      <c r="L1992" s="1" t="s">
        <v>1029</v>
      </c>
      <c r="M1992" s="5">
        <v>6</v>
      </c>
    </row>
    <row r="1993" spans="1:13" ht="15" x14ac:dyDescent="0.25">
      <c r="A1993" s="7" t="s">
        <v>16</v>
      </c>
      <c r="B1993" s="7" t="s">
        <v>229</v>
      </c>
      <c r="C1993" s="7" t="s">
        <v>24</v>
      </c>
      <c r="D1993" s="4">
        <v>92685833000151</v>
      </c>
      <c r="E1993" s="8" t="s">
        <v>1029</v>
      </c>
      <c r="F1993" s="8" t="s">
        <v>83</v>
      </c>
      <c r="G1993" s="7" t="s">
        <v>67</v>
      </c>
      <c r="H1993" s="47" t="s">
        <v>205</v>
      </c>
      <c r="I1993" s="47" t="s">
        <v>206</v>
      </c>
      <c r="J1993" s="6">
        <v>73</v>
      </c>
      <c r="K1993" s="8" t="s">
        <v>26</v>
      </c>
      <c r="L1993" s="1" t="s">
        <v>1029</v>
      </c>
      <c r="M1993" s="5">
        <v>26</v>
      </c>
    </row>
    <row r="1994" spans="1:13" ht="15" x14ac:dyDescent="0.25">
      <c r="A1994" s="7" t="s">
        <v>16</v>
      </c>
      <c r="B1994" s="7" t="s">
        <v>229</v>
      </c>
      <c r="C1994" s="7" t="s">
        <v>24</v>
      </c>
      <c r="D1994" s="4">
        <v>92741016000254</v>
      </c>
      <c r="E1994" s="8" t="s">
        <v>1030</v>
      </c>
      <c r="F1994" s="8" t="s">
        <v>83</v>
      </c>
      <c r="G1994" s="7" t="s">
        <v>67</v>
      </c>
      <c r="H1994" s="47" t="s">
        <v>205</v>
      </c>
      <c r="I1994" s="47" t="s">
        <v>206</v>
      </c>
      <c r="J1994" s="6">
        <v>64</v>
      </c>
      <c r="K1994" s="8" t="s">
        <v>25</v>
      </c>
      <c r="L1994" s="1" t="s">
        <v>1030</v>
      </c>
      <c r="M1994" s="5">
        <v>10</v>
      </c>
    </row>
    <row r="1995" spans="1:13" ht="15" x14ac:dyDescent="0.25">
      <c r="A1995" s="7" t="s">
        <v>16</v>
      </c>
      <c r="B1995" s="7" t="s">
        <v>229</v>
      </c>
      <c r="C1995" s="7" t="s">
        <v>24</v>
      </c>
      <c r="D1995" s="4">
        <v>92787118000391</v>
      </c>
      <c r="E1995" s="8" t="s">
        <v>1032</v>
      </c>
      <c r="F1995" s="8" t="s">
        <v>83</v>
      </c>
      <c r="G1995" s="7" t="s">
        <v>67</v>
      </c>
      <c r="H1995" s="47" t="s">
        <v>205</v>
      </c>
      <c r="I1995" s="47" t="s">
        <v>206</v>
      </c>
      <c r="J1995" s="6">
        <v>62</v>
      </c>
      <c r="K1995" s="8" t="s">
        <v>27</v>
      </c>
      <c r="L1995" s="1" t="s">
        <v>1032</v>
      </c>
      <c r="M1995" s="5">
        <v>1</v>
      </c>
    </row>
    <row r="1996" spans="1:13" ht="15" x14ac:dyDescent="0.25">
      <c r="A1996" s="7" t="s">
        <v>16</v>
      </c>
      <c r="B1996" s="7" t="s">
        <v>229</v>
      </c>
      <c r="C1996" s="7" t="s">
        <v>24</v>
      </c>
      <c r="D1996" s="4">
        <v>92815000000168</v>
      </c>
      <c r="E1996" s="8" t="s">
        <v>1033</v>
      </c>
      <c r="F1996" s="8" t="s">
        <v>83</v>
      </c>
      <c r="G1996" s="7" t="s">
        <v>67</v>
      </c>
      <c r="H1996" s="47" t="s">
        <v>205</v>
      </c>
      <c r="I1996" s="47" t="s">
        <v>206</v>
      </c>
      <c r="J1996" s="6">
        <v>62</v>
      </c>
      <c r="K1996" s="8" t="s">
        <v>27</v>
      </c>
      <c r="L1996" s="1" t="s">
        <v>1033</v>
      </c>
      <c r="M1996" s="5">
        <v>93</v>
      </c>
    </row>
    <row r="1997" spans="1:13" ht="15" x14ac:dyDescent="0.25">
      <c r="A1997" s="7" t="s">
        <v>16</v>
      </c>
      <c r="B1997" s="7" t="s">
        <v>229</v>
      </c>
      <c r="C1997" s="7" t="s">
        <v>24</v>
      </c>
      <c r="D1997" s="4">
        <v>92815000000168</v>
      </c>
      <c r="E1997" s="8" t="s">
        <v>1033</v>
      </c>
      <c r="F1997" s="8" t="s">
        <v>83</v>
      </c>
      <c r="G1997" s="7" t="s">
        <v>67</v>
      </c>
      <c r="H1997" s="47" t="s">
        <v>205</v>
      </c>
      <c r="I1997" s="47" t="s">
        <v>206</v>
      </c>
      <c r="J1997" s="6">
        <v>64</v>
      </c>
      <c r="K1997" s="8" t="s">
        <v>25</v>
      </c>
      <c r="L1997" s="1" t="s">
        <v>1033</v>
      </c>
      <c r="M1997" s="5">
        <v>20</v>
      </c>
    </row>
    <row r="1998" spans="1:13" ht="15" x14ac:dyDescent="0.25">
      <c r="A1998" s="7" t="s">
        <v>16</v>
      </c>
      <c r="B1998" s="7" t="s">
        <v>229</v>
      </c>
      <c r="C1998" s="7" t="s">
        <v>24</v>
      </c>
      <c r="D1998" s="4">
        <v>92815000000168</v>
      </c>
      <c r="E1998" s="8" t="s">
        <v>1033</v>
      </c>
      <c r="F1998" s="8" t="s">
        <v>83</v>
      </c>
      <c r="G1998" s="7" t="s">
        <v>67</v>
      </c>
      <c r="H1998" s="47" t="s">
        <v>205</v>
      </c>
      <c r="I1998" s="47" t="s">
        <v>206</v>
      </c>
      <c r="J1998" s="6">
        <v>73</v>
      </c>
      <c r="K1998" s="8" t="s">
        <v>26</v>
      </c>
      <c r="L1998" s="1" t="s">
        <v>1033</v>
      </c>
      <c r="M1998" s="5">
        <v>36</v>
      </c>
    </row>
    <row r="1999" spans="1:13" ht="15" x14ac:dyDescent="0.25">
      <c r="A1999" s="7" t="s">
        <v>16</v>
      </c>
      <c r="B1999" s="7" t="s">
        <v>229</v>
      </c>
      <c r="C1999" s="7" t="s">
        <v>24</v>
      </c>
      <c r="D1999" s="4">
        <v>92898550000198</v>
      </c>
      <c r="E1999" s="8" t="s">
        <v>1034</v>
      </c>
      <c r="F1999" s="8" t="s">
        <v>83</v>
      </c>
      <c r="G1999" s="7" t="s">
        <v>67</v>
      </c>
      <c r="H1999" s="47" t="s">
        <v>205</v>
      </c>
      <c r="I1999" s="47" t="s">
        <v>206</v>
      </c>
      <c r="J1999" s="6">
        <v>62</v>
      </c>
      <c r="K1999" s="8" t="s">
        <v>27</v>
      </c>
      <c r="L1999" s="1" t="s">
        <v>1034</v>
      </c>
      <c r="M1999" s="5">
        <v>1</v>
      </c>
    </row>
    <row r="2000" spans="1:13" ht="15" x14ac:dyDescent="0.25">
      <c r="A2000" s="7" t="s">
        <v>16</v>
      </c>
      <c r="B2000" s="7" t="s">
        <v>229</v>
      </c>
      <c r="C2000" s="7" t="s">
        <v>24</v>
      </c>
      <c r="D2000" s="4">
        <v>92898550000198</v>
      </c>
      <c r="E2000" s="8" t="s">
        <v>1034</v>
      </c>
      <c r="F2000" s="8" t="s">
        <v>83</v>
      </c>
      <c r="G2000" s="7" t="s">
        <v>67</v>
      </c>
      <c r="H2000" s="47" t="s">
        <v>205</v>
      </c>
      <c r="I2000" s="47" t="s">
        <v>206</v>
      </c>
      <c r="J2000" s="6">
        <v>64</v>
      </c>
      <c r="K2000" s="8" t="s">
        <v>25</v>
      </c>
      <c r="L2000" s="1" t="s">
        <v>1034</v>
      </c>
      <c r="M2000" s="5">
        <v>2</v>
      </c>
    </row>
    <row r="2001" spans="1:13" ht="15" x14ac:dyDescent="0.25">
      <c r="A2001" s="7" t="s">
        <v>16</v>
      </c>
      <c r="B2001" s="7" t="s">
        <v>230</v>
      </c>
      <c r="C2001" s="7" t="s">
        <v>24</v>
      </c>
      <c r="D2001" s="4">
        <v>773639000100</v>
      </c>
      <c r="E2001" s="8" t="s">
        <v>1397</v>
      </c>
      <c r="F2001" s="8" t="s">
        <v>83</v>
      </c>
      <c r="G2001" s="7" t="s">
        <v>67</v>
      </c>
      <c r="H2001" s="47" t="s">
        <v>205</v>
      </c>
      <c r="I2001" s="47" t="s">
        <v>206</v>
      </c>
      <c r="J2001" s="6">
        <v>73</v>
      </c>
      <c r="K2001" s="8" t="s">
        <v>26</v>
      </c>
      <c r="L2001" s="1" t="s">
        <v>1397</v>
      </c>
      <c r="M2001" s="5">
        <v>8</v>
      </c>
    </row>
    <row r="2002" spans="1:13" ht="15" x14ac:dyDescent="0.25">
      <c r="A2002" s="7" t="s">
        <v>16</v>
      </c>
      <c r="B2002" s="7" t="s">
        <v>230</v>
      </c>
      <c r="C2002" s="7" t="s">
        <v>24</v>
      </c>
      <c r="D2002" s="4">
        <v>87020517000120</v>
      </c>
      <c r="E2002" s="8" t="s">
        <v>1013</v>
      </c>
      <c r="F2002" s="8" t="s">
        <v>83</v>
      </c>
      <c r="G2002" s="7" t="s">
        <v>67</v>
      </c>
      <c r="H2002" s="47" t="s">
        <v>205</v>
      </c>
      <c r="I2002" s="47" t="s">
        <v>206</v>
      </c>
      <c r="J2002" s="6">
        <v>62</v>
      </c>
      <c r="K2002" s="8" t="s">
        <v>27</v>
      </c>
      <c r="L2002" s="1" t="s">
        <v>1013</v>
      </c>
      <c r="M2002" s="5">
        <v>30</v>
      </c>
    </row>
    <row r="2003" spans="1:13" ht="15" x14ac:dyDescent="0.25">
      <c r="A2003" s="7" t="s">
        <v>16</v>
      </c>
      <c r="B2003" s="7" t="s">
        <v>230</v>
      </c>
      <c r="C2003" s="7" t="s">
        <v>24</v>
      </c>
      <c r="D2003" s="4">
        <v>87096616003101</v>
      </c>
      <c r="E2003" s="8" t="s">
        <v>1014</v>
      </c>
      <c r="F2003" s="8" t="s">
        <v>83</v>
      </c>
      <c r="G2003" s="7" t="s">
        <v>67</v>
      </c>
      <c r="H2003" s="47" t="s">
        <v>205</v>
      </c>
      <c r="I2003" s="47" t="s">
        <v>206</v>
      </c>
      <c r="J2003" s="6">
        <v>73</v>
      </c>
      <c r="K2003" s="8" t="s">
        <v>26</v>
      </c>
      <c r="L2003" s="1" t="s">
        <v>1014</v>
      </c>
      <c r="M2003" s="5">
        <v>80</v>
      </c>
    </row>
    <row r="2004" spans="1:13" ht="15" x14ac:dyDescent="0.25">
      <c r="A2004" s="7" t="s">
        <v>16</v>
      </c>
      <c r="B2004" s="7" t="s">
        <v>230</v>
      </c>
      <c r="C2004" s="7" t="s">
        <v>24</v>
      </c>
      <c r="D2004" s="4">
        <v>88625686002443</v>
      </c>
      <c r="E2004" s="8" t="s">
        <v>1023</v>
      </c>
      <c r="F2004" s="8" t="s">
        <v>83</v>
      </c>
      <c r="G2004" s="7" t="s">
        <v>67</v>
      </c>
      <c r="H2004" s="47" t="s">
        <v>205</v>
      </c>
      <c r="I2004" s="47" t="s">
        <v>206</v>
      </c>
      <c r="J2004" s="6">
        <v>62</v>
      </c>
      <c r="K2004" s="8" t="s">
        <v>27</v>
      </c>
      <c r="L2004" s="1" t="s">
        <v>1023</v>
      </c>
      <c r="M2004" s="5">
        <v>9</v>
      </c>
    </row>
    <row r="2005" spans="1:13" ht="15" x14ac:dyDescent="0.25">
      <c r="A2005" s="7" t="s">
        <v>16</v>
      </c>
      <c r="B2005" s="7" t="s">
        <v>230</v>
      </c>
      <c r="C2005" s="7" t="s">
        <v>24</v>
      </c>
      <c r="D2005" s="4">
        <v>88625686002443</v>
      </c>
      <c r="E2005" s="8" t="s">
        <v>1023</v>
      </c>
      <c r="F2005" s="8" t="s">
        <v>83</v>
      </c>
      <c r="G2005" s="7" t="s">
        <v>67</v>
      </c>
      <c r="H2005" s="47" t="s">
        <v>205</v>
      </c>
      <c r="I2005" s="47" t="s">
        <v>206</v>
      </c>
      <c r="J2005" s="6">
        <v>64</v>
      </c>
      <c r="K2005" s="8" t="s">
        <v>25</v>
      </c>
      <c r="L2005" s="1" t="s">
        <v>1023</v>
      </c>
      <c r="M2005" s="5">
        <v>5</v>
      </c>
    </row>
    <row r="2006" spans="1:13" ht="15" x14ac:dyDescent="0.25">
      <c r="A2006" s="7" t="s">
        <v>16</v>
      </c>
      <c r="B2006" s="7" t="s">
        <v>230</v>
      </c>
      <c r="C2006" s="7" t="s">
        <v>24</v>
      </c>
      <c r="D2006" s="4">
        <v>88630413000796</v>
      </c>
      <c r="E2006" s="8" t="s">
        <v>1024</v>
      </c>
      <c r="F2006" s="8" t="s">
        <v>83</v>
      </c>
      <c r="G2006" s="7" t="s">
        <v>67</v>
      </c>
      <c r="H2006" s="47" t="s">
        <v>205</v>
      </c>
      <c r="I2006" s="47" t="s">
        <v>206</v>
      </c>
      <c r="J2006" s="6">
        <v>62</v>
      </c>
      <c r="K2006" s="8" t="s">
        <v>27</v>
      </c>
      <c r="L2006" s="1" t="s">
        <v>1024</v>
      </c>
      <c r="M2006" s="5">
        <v>15</v>
      </c>
    </row>
    <row r="2007" spans="1:13" ht="15" x14ac:dyDescent="0.25">
      <c r="A2007" s="7" t="s">
        <v>16</v>
      </c>
      <c r="B2007" s="7" t="s">
        <v>230</v>
      </c>
      <c r="C2007" s="7" t="s">
        <v>24</v>
      </c>
      <c r="D2007" s="4">
        <v>88630413000796</v>
      </c>
      <c r="E2007" s="8" t="s">
        <v>1024</v>
      </c>
      <c r="F2007" s="8" t="s">
        <v>83</v>
      </c>
      <c r="G2007" s="7" t="s">
        <v>67</v>
      </c>
      <c r="H2007" s="47" t="s">
        <v>205</v>
      </c>
      <c r="I2007" s="47" t="s">
        <v>206</v>
      </c>
      <c r="J2007" s="6">
        <v>64</v>
      </c>
      <c r="K2007" s="8" t="s">
        <v>25</v>
      </c>
      <c r="L2007" s="1" t="s">
        <v>1024</v>
      </c>
      <c r="M2007" s="5">
        <v>8</v>
      </c>
    </row>
    <row r="2008" spans="1:13" ht="15" x14ac:dyDescent="0.25">
      <c r="A2008" s="7" t="s">
        <v>16</v>
      </c>
      <c r="B2008" s="7" t="s">
        <v>230</v>
      </c>
      <c r="C2008" s="7" t="s">
        <v>24</v>
      </c>
      <c r="D2008" s="4">
        <v>92685833000151</v>
      </c>
      <c r="E2008" s="8" t="s">
        <v>1029</v>
      </c>
      <c r="F2008" s="8" t="s">
        <v>83</v>
      </c>
      <c r="G2008" s="7" t="s">
        <v>67</v>
      </c>
      <c r="H2008" s="47" t="s">
        <v>205</v>
      </c>
      <c r="I2008" s="47" t="s">
        <v>206</v>
      </c>
      <c r="J2008" s="6">
        <v>62</v>
      </c>
      <c r="K2008" s="8" t="s">
        <v>27</v>
      </c>
      <c r="L2008" s="1" t="s">
        <v>1029</v>
      </c>
      <c r="M2008" s="5">
        <v>96</v>
      </c>
    </row>
    <row r="2009" spans="1:13" ht="15" x14ac:dyDescent="0.25">
      <c r="A2009" s="7" t="s">
        <v>16</v>
      </c>
      <c r="B2009" s="7" t="s">
        <v>230</v>
      </c>
      <c r="C2009" s="7" t="s">
        <v>24</v>
      </c>
      <c r="D2009" s="4">
        <v>92685833000151</v>
      </c>
      <c r="E2009" s="8" t="s">
        <v>1029</v>
      </c>
      <c r="F2009" s="8" t="s">
        <v>83</v>
      </c>
      <c r="G2009" s="7" t="s">
        <v>67</v>
      </c>
      <c r="H2009" s="47" t="s">
        <v>205</v>
      </c>
      <c r="I2009" s="47" t="s">
        <v>206</v>
      </c>
      <c r="J2009" s="6">
        <v>73</v>
      </c>
      <c r="K2009" s="8" t="s">
        <v>26</v>
      </c>
      <c r="L2009" s="1" t="s">
        <v>1029</v>
      </c>
      <c r="M2009" s="5">
        <v>32</v>
      </c>
    </row>
    <row r="2010" spans="1:13" ht="15" x14ac:dyDescent="0.25">
      <c r="A2010" s="7" t="s">
        <v>16</v>
      </c>
      <c r="B2010" s="7" t="s">
        <v>230</v>
      </c>
      <c r="C2010" s="7" t="s">
        <v>24</v>
      </c>
      <c r="D2010" s="4">
        <v>92741016000254</v>
      </c>
      <c r="E2010" s="8" t="s">
        <v>1030</v>
      </c>
      <c r="F2010" s="8" t="s">
        <v>83</v>
      </c>
      <c r="G2010" s="7" t="s">
        <v>67</v>
      </c>
      <c r="H2010" s="47" t="s">
        <v>205</v>
      </c>
      <c r="I2010" s="47" t="s">
        <v>206</v>
      </c>
      <c r="J2010" s="6">
        <v>62</v>
      </c>
      <c r="K2010" s="8" t="s">
        <v>27</v>
      </c>
      <c r="L2010" s="1" t="s">
        <v>1030</v>
      </c>
      <c r="M2010" s="5">
        <v>10</v>
      </c>
    </row>
    <row r="2011" spans="1:13" ht="15" x14ac:dyDescent="0.25">
      <c r="A2011" s="7" t="s">
        <v>16</v>
      </c>
      <c r="B2011" s="7" t="s">
        <v>230</v>
      </c>
      <c r="C2011" s="7" t="s">
        <v>24</v>
      </c>
      <c r="D2011" s="4">
        <v>92741016000254</v>
      </c>
      <c r="E2011" s="8" t="s">
        <v>1030</v>
      </c>
      <c r="F2011" s="8" t="s">
        <v>83</v>
      </c>
      <c r="G2011" s="7" t="s">
        <v>67</v>
      </c>
      <c r="H2011" s="47" t="s">
        <v>205</v>
      </c>
      <c r="I2011" s="47" t="s">
        <v>206</v>
      </c>
      <c r="J2011" s="6">
        <v>64</v>
      </c>
      <c r="K2011" s="8" t="s">
        <v>25</v>
      </c>
      <c r="L2011" s="1" t="s">
        <v>1030</v>
      </c>
      <c r="M2011" s="5">
        <v>29</v>
      </c>
    </row>
    <row r="2012" spans="1:13" ht="15" x14ac:dyDescent="0.25">
      <c r="A2012" s="7" t="s">
        <v>16</v>
      </c>
      <c r="B2012" s="7" t="s">
        <v>230</v>
      </c>
      <c r="C2012" s="7" t="s">
        <v>24</v>
      </c>
      <c r="D2012" s="4">
        <v>92815000000168</v>
      </c>
      <c r="E2012" s="8" t="s">
        <v>1033</v>
      </c>
      <c r="F2012" s="8" t="s">
        <v>83</v>
      </c>
      <c r="G2012" s="7" t="s">
        <v>67</v>
      </c>
      <c r="H2012" s="47" t="s">
        <v>205</v>
      </c>
      <c r="I2012" s="47" t="s">
        <v>206</v>
      </c>
      <c r="J2012" s="6">
        <v>62</v>
      </c>
      <c r="K2012" s="8" t="s">
        <v>27</v>
      </c>
      <c r="L2012" s="1" t="s">
        <v>1033</v>
      </c>
      <c r="M2012" s="5">
        <v>91</v>
      </c>
    </row>
    <row r="2013" spans="1:13" ht="15" x14ac:dyDescent="0.25">
      <c r="A2013" s="7" t="s">
        <v>16</v>
      </c>
      <c r="B2013" s="7" t="s">
        <v>230</v>
      </c>
      <c r="C2013" s="7" t="s">
        <v>24</v>
      </c>
      <c r="D2013" s="4">
        <v>92815000000168</v>
      </c>
      <c r="E2013" s="8" t="s">
        <v>1033</v>
      </c>
      <c r="F2013" s="8" t="s">
        <v>83</v>
      </c>
      <c r="G2013" s="7" t="s">
        <v>67</v>
      </c>
      <c r="H2013" s="47" t="s">
        <v>205</v>
      </c>
      <c r="I2013" s="47" t="s">
        <v>206</v>
      </c>
      <c r="J2013" s="6">
        <v>64</v>
      </c>
      <c r="K2013" s="8" t="s">
        <v>25</v>
      </c>
      <c r="L2013" s="1" t="s">
        <v>1033</v>
      </c>
      <c r="M2013" s="5">
        <v>21</v>
      </c>
    </row>
    <row r="2014" spans="1:13" ht="15" x14ac:dyDescent="0.25">
      <c r="A2014" s="7" t="s">
        <v>16</v>
      </c>
      <c r="B2014" s="7" t="s">
        <v>230</v>
      </c>
      <c r="C2014" s="7" t="s">
        <v>24</v>
      </c>
      <c r="D2014" s="4">
        <v>92815000000168</v>
      </c>
      <c r="E2014" s="8" t="s">
        <v>1033</v>
      </c>
      <c r="F2014" s="8" t="s">
        <v>83</v>
      </c>
      <c r="G2014" s="7" t="s">
        <v>67</v>
      </c>
      <c r="H2014" s="47" t="s">
        <v>205</v>
      </c>
      <c r="I2014" s="47" t="s">
        <v>206</v>
      </c>
      <c r="J2014" s="6">
        <v>73</v>
      </c>
      <c r="K2014" s="8" t="s">
        <v>26</v>
      </c>
      <c r="L2014" s="1" t="s">
        <v>1033</v>
      </c>
      <c r="M2014" s="5">
        <v>35</v>
      </c>
    </row>
    <row r="2015" spans="1:13" ht="15" x14ac:dyDescent="0.25">
      <c r="A2015" s="7" t="s">
        <v>16</v>
      </c>
      <c r="B2015" s="7" t="s">
        <v>230</v>
      </c>
      <c r="C2015" s="7" t="s">
        <v>24</v>
      </c>
      <c r="D2015" s="4">
        <v>92898550000198</v>
      </c>
      <c r="E2015" s="8" t="s">
        <v>1034</v>
      </c>
      <c r="F2015" s="8" t="s">
        <v>83</v>
      </c>
      <c r="G2015" s="7" t="s">
        <v>67</v>
      </c>
      <c r="H2015" s="47" t="s">
        <v>205</v>
      </c>
      <c r="I2015" s="47" t="s">
        <v>206</v>
      </c>
      <c r="J2015" s="6">
        <v>62</v>
      </c>
      <c r="K2015" s="8" t="s">
        <v>27</v>
      </c>
      <c r="L2015" s="1" t="s">
        <v>1034</v>
      </c>
      <c r="M2015" s="5">
        <v>4</v>
      </c>
    </row>
    <row r="2016" spans="1:13" ht="15" x14ac:dyDescent="0.25">
      <c r="A2016" s="7" t="s">
        <v>16</v>
      </c>
      <c r="B2016" s="7" t="s">
        <v>230</v>
      </c>
      <c r="C2016" s="7" t="s">
        <v>24</v>
      </c>
      <c r="D2016" s="4">
        <v>92898550000198</v>
      </c>
      <c r="E2016" s="8" t="s">
        <v>1034</v>
      </c>
      <c r="F2016" s="8" t="s">
        <v>83</v>
      </c>
      <c r="G2016" s="7" t="s">
        <v>67</v>
      </c>
      <c r="H2016" s="47" t="s">
        <v>205</v>
      </c>
      <c r="I2016" s="47" t="s">
        <v>206</v>
      </c>
      <c r="J2016" s="6">
        <v>64</v>
      </c>
      <c r="K2016" s="8" t="s">
        <v>25</v>
      </c>
      <c r="L2016" s="1" t="s">
        <v>1034</v>
      </c>
      <c r="M2016" s="5">
        <v>3</v>
      </c>
    </row>
    <row r="2017" spans="1:13" ht="15" x14ac:dyDescent="0.25">
      <c r="A2017" s="7" t="s">
        <v>16</v>
      </c>
      <c r="B2017" s="7" t="s">
        <v>230</v>
      </c>
      <c r="C2017" s="7" t="s">
        <v>24</v>
      </c>
      <c r="D2017" s="4">
        <v>92963560000160</v>
      </c>
      <c r="E2017" s="8" t="s">
        <v>1035</v>
      </c>
      <c r="F2017" s="8" t="s">
        <v>83</v>
      </c>
      <c r="G2017" s="7" t="s">
        <v>67</v>
      </c>
      <c r="H2017" s="47" t="s">
        <v>205</v>
      </c>
      <c r="I2017" s="47" t="s">
        <v>206</v>
      </c>
      <c r="J2017" s="6">
        <v>62</v>
      </c>
      <c r="K2017" s="8" t="s">
        <v>27</v>
      </c>
      <c r="L2017" s="1" t="s">
        <v>1035</v>
      </c>
      <c r="M2017" s="5">
        <v>60</v>
      </c>
    </row>
    <row r="2018" spans="1:13" ht="15" x14ac:dyDescent="0.25">
      <c r="A2018" s="7" t="s">
        <v>16</v>
      </c>
      <c r="B2018" s="7" t="s">
        <v>230</v>
      </c>
      <c r="C2018" s="7" t="s">
        <v>24</v>
      </c>
      <c r="D2018" s="4">
        <v>92963560000160</v>
      </c>
      <c r="E2018" s="8" t="s">
        <v>1035</v>
      </c>
      <c r="F2018" s="8" t="s">
        <v>83</v>
      </c>
      <c r="G2018" s="7" t="s">
        <v>67</v>
      </c>
      <c r="H2018" s="47" t="s">
        <v>205</v>
      </c>
      <c r="I2018" s="47" t="s">
        <v>206</v>
      </c>
      <c r="J2018" s="6">
        <v>64</v>
      </c>
      <c r="K2018" s="8" t="s">
        <v>25</v>
      </c>
      <c r="L2018" s="1" t="s">
        <v>1035</v>
      </c>
      <c r="M2018" s="5">
        <v>40</v>
      </c>
    </row>
    <row r="2019" spans="1:13" ht="15" x14ac:dyDescent="0.25">
      <c r="A2019" s="7" t="s">
        <v>16</v>
      </c>
      <c r="B2019" s="7" t="s">
        <v>372</v>
      </c>
      <c r="C2019" s="7" t="s">
        <v>373</v>
      </c>
      <c r="D2019" s="4">
        <v>9087150000230</v>
      </c>
      <c r="E2019" s="8" t="s">
        <v>958</v>
      </c>
      <c r="F2019" s="8" t="s">
        <v>83</v>
      </c>
      <c r="G2019" s="7" t="s">
        <v>67</v>
      </c>
      <c r="H2019" s="47" t="s">
        <v>205</v>
      </c>
      <c r="I2019" s="47" t="s">
        <v>206</v>
      </c>
      <c r="J2019" s="6">
        <v>73</v>
      </c>
      <c r="K2019" s="8" t="s">
        <v>26</v>
      </c>
      <c r="L2019" s="1" t="s">
        <v>958</v>
      </c>
      <c r="M2019" s="5">
        <v>8</v>
      </c>
    </row>
    <row r="2020" spans="1:13" ht="15" x14ac:dyDescent="0.25">
      <c r="A2020" s="7" t="s">
        <v>16</v>
      </c>
      <c r="B2020" s="7" t="s">
        <v>372</v>
      </c>
      <c r="C2020" s="7" t="s">
        <v>373</v>
      </c>
      <c r="D2020" s="4">
        <v>87020517000120</v>
      </c>
      <c r="E2020" s="8" t="s">
        <v>1013</v>
      </c>
      <c r="F2020" s="8" t="s">
        <v>83</v>
      </c>
      <c r="G2020" s="7" t="s">
        <v>67</v>
      </c>
      <c r="H2020" s="47" t="s">
        <v>205</v>
      </c>
      <c r="I2020" s="47" t="s">
        <v>206</v>
      </c>
      <c r="J2020" s="6">
        <v>62</v>
      </c>
      <c r="K2020" s="8" t="s">
        <v>27</v>
      </c>
      <c r="L2020" s="1" t="s">
        <v>1013</v>
      </c>
      <c r="M2020" s="5">
        <v>4</v>
      </c>
    </row>
    <row r="2021" spans="1:13" ht="15" x14ac:dyDescent="0.25">
      <c r="A2021" s="7" t="s">
        <v>16</v>
      </c>
      <c r="B2021" s="7" t="s">
        <v>372</v>
      </c>
      <c r="C2021" s="7" t="s">
        <v>373</v>
      </c>
      <c r="D2021" s="4">
        <v>87020517000120</v>
      </c>
      <c r="E2021" s="8" t="s">
        <v>1013</v>
      </c>
      <c r="F2021" s="8" t="s">
        <v>83</v>
      </c>
      <c r="G2021" s="7" t="s">
        <v>67</v>
      </c>
      <c r="H2021" s="47" t="s">
        <v>205</v>
      </c>
      <c r="I2021" s="47" t="s">
        <v>206</v>
      </c>
      <c r="J2021" s="6">
        <v>64</v>
      </c>
      <c r="K2021" s="8" t="s">
        <v>25</v>
      </c>
      <c r="L2021" s="1" t="s">
        <v>1013</v>
      </c>
      <c r="M2021" s="5">
        <v>33</v>
      </c>
    </row>
    <row r="2022" spans="1:13" ht="15" x14ac:dyDescent="0.25">
      <c r="A2022" s="7" t="s">
        <v>16</v>
      </c>
      <c r="B2022" s="7" t="s">
        <v>372</v>
      </c>
      <c r="C2022" s="7" t="s">
        <v>373</v>
      </c>
      <c r="D2022" s="4">
        <v>87096616003101</v>
      </c>
      <c r="E2022" s="8" t="s">
        <v>1014</v>
      </c>
      <c r="F2022" s="8" t="s">
        <v>83</v>
      </c>
      <c r="G2022" s="7" t="s">
        <v>67</v>
      </c>
      <c r="H2022" s="47" t="s">
        <v>205</v>
      </c>
      <c r="I2022" s="47" t="s">
        <v>206</v>
      </c>
      <c r="J2022" s="6">
        <v>73</v>
      </c>
      <c r="K2022" s="8" t="s">
        <v>26</v>
      </c>
      <c r="L2022" s="1" t="s">
        <v>1014</v>
      </c>
      <c r="M2022" s="5">
        <v>200</v>
      </c>
    </row>
    <row r="2023" spans="1:13" ht="15" x14ac:dyDescent="0.25">
      <c r="A2023" s="7" t="s">
        <v>16</v>
      </c>
      <c r="B2023" s="7" t="s">
        <v>372</v>
      </c>
      <c r="C2023" s="7" t="s">
        <v>373</v>
      </c>
      <c r="D2023" s="4">
        <v>88625686002443</v>
      </c>
      <c r="E2023" s="8" t="s">
        <v>1023</v>
      </c>
      <c r="F2023" s="8" t="s">
        <v>83</v>
      </c>
      <c r="G2023" s="7" t="s">
        <v>67</v>
      </c>
      <c r="H2023" s="47" t="s">
        <v>205</v>
      </c>
      <c r="I2023" s="47" t="s">
        <v>206</v>
      </c>
      <c r="J2023" s="6">
        <v>64</v>
      </c>
      <c r="K2023" s="8" t="s">
        <v>25</v>
      </c>
      <c r="L2023" s="1" t="s">
        <v>1023</v>
      </c>
      <c r="M2023" s="5">
        <v>14</v>
      </c>
    </row>
    <row r="2024" spans="1:13" ht="15" x14ac:dyDescent="0.25">
      <c r="A2024" s="7" t="s">
        <v>16</v>
      </c>
      <c r="B2024" s="7" t="s">
        <v>372</v>
      </c>
      <c r="C2024" s="7" t="s">
        <v>373</v>
      </c>
      <c r="D2024" s="4">
        <v>88630413000796</v>
      </c>
      <c r="E2024" s="8" t="s">
        <v>1024</v>
      </c>
      <c r="F2024" s="8" t="s">
        <v>83</v>
      </c>
      <c r="G2024" s="7" t="s">
        <v>67</v>
      </c>
      <c r="H2024" s="47" t="s">
        <v>205</v>
      </c>
      <c r="I2024" s="47" t="s">
        <v>206</v>
      </c>
      <c r="J2024" s="6">
        <v>64</v>
      </c>
      <c r="K2024" s="8" t="s">
        <v>25</v>
      </c>
      <c r="L2024" s="1" t="s">
        <v>1024</v>
      </c>
      <c r="M2024" s="5">
        <v>5</v>
      </c>
    </row>
    <row r="2025" spans="1:13" ht="15" x14ac:dyDescent="0.25">
      <c r="A2025" s="7" t="s">
        <v>16</v>
      </c>
      <c r="B2025" s="7" t="s">
        <v>372</v>
      </c>
      <c r="C2025" s="7" t="s">
        <v>373</v>
      </c>
      <c r="D2025" s="4">
        <v>92815000000168</v>
      </c>
      <c r="E2025" s="8" t="s">
        <v>1033</v>
      </c>
      <c r="F2025" s="8" t="s">
        <v>83</v>
      </c>
      <c r="G2025" s="7" t="s">
        <v>67</v>
      </c>
      <c r="H2025" s="47" t="s">
        <v>205</v>
      </c>
      <c r="I2025" s="47" t="s">
        <v>206</v>
      </c>
      <c r="J2025" s="6">
        <v>62</v>
      </c>
      <c r="K2025" s="8" t="s">
        <v>27</v>
      </c>
      <c r="L2025" s="1" t="s">
        <v>1033</v>
      </c>
      <c r="M2025" s="5">
        <v>21</v>
      </c>
    </row>
    <row r="2026" spans="1:13" ht="15" x14ac:dyDescent="0.25">
      <c r="A2026" s="7" t="s">
        <v>16</v>
      </c>
      <c r="B2026" s="7" t="s">
        <v>372</v>
      </c>
      <c r="C2026" s="7" t="s">
        <v>373</v>
      </c>
      <c r="D2026" s="4">
        <v>92815000000168</v>
      </c>
      <c r="E2026" s="8" t="s">
        <v>1033</v>
      </c>
      <c r="F2026" s="8" t="s">
        <v>83</v>
      </c>
      <c r="G2026" s="7" t="s">
        <v>67</v>
      </c>
      <c r="H2026" s="47" t="s">
        <v>205</v>
      </c>
      <c r="I2026" s="47" t="s">
        <v>206</v>
      </c>
      <c r="J2026" s="6">
        <v>73</v>
      </c>
      <c r="K2026" s="8" t="s">
        <v>26</v>
      </c>
      <c r="L2026" s="1" t="s">
        <v>1033</v>
      </c>
      <c r="M2026" s="5">
        <v>25</v>
      </c>
    </row>
    <row r="2027" spans="1:13" ht="15" x14ac:dyDescent="0.25">
      <c r="A2027" s="7" t="s">
        <v>16</v>
      </c>
      <c r="B2027" s="7" t="s">
        <v>17</v>
      </c>
      <c r="C2027" s="7" t="s">
        <v>18</v>
      </c>
      <c r="D2027" s="4">
        <v>17376968601</v>
      </c>
      <c r="E2027" s="8" t="s">
        <v>1130</v>
      </c>
      <c r="F2027" s="8" t="s">
        <v>53</v>
      </c>
      <c r="G2027" s="7" t="s">
        <v>54</v>
      </c>
      <c r="H2027" s="47" t="s">
        <v>205</v>
      </c>
      <c r="I2027" s="47" t="s">
        <v>206</v>
      </c>
      <c r="J2027" s="6">
        <v>66</v>
      </c>
      <c r="K2027" s="8" t="s">
        <v>28</v>
      </c>
      <c r="L2027" s="1" t="s">
        <v>1130</v>
      </c>
      <c r="M2027" s="5">
        <v>24</v>
      </c>
    </row>
    <row r="2028" spans="1:13" ht="15" x14ac:dyDescent="0.25">
      <c r="A2028" s="7" t="s">
        <v>16</v>
      </c>
      <c r="B2028" s="7" t="s">
        <v>17</v>
      </c>
      <c r="C2028" s="7" t="s">
        <v>18</v>
      </c>
      <c r="D2028" s="4">
        <v>304148000110</v>
      </c>
      <c r="E2028" s="8" t="s">
        <v>932</v>
      </c>
      <c r="F2028" s="8" t="s">
        <v>933</v>
      </c>
      <c r="G2028" s="7" t="s">
        <v>57</v>
      </c>
      <c r="H2028" s="47" t="s">
        <v>205</v>
      </c>
      <c r="I2028" s="47" t="s">
        <v>206</v>
      </c>
      <c r="J2028" s="6">
        <v>73</v>
      </c>
      <c r="K2028" s="8" t="s">
        <v>26</v>
      </c>
      <c r="L2028" s="1" t="s">
        <v>932</v>
      </c>
      <c r="M2028" s="5">
        <v>48</v>
      </c>
    </row>
    <row r="2029" spans="1:13" ht="15" x14ac:dyDescent="0.25">
      <c r="A2029" s="7" t="s">
        <v>16</v>
      </c>
      <c r="B2029" s="7" t="s">
        <v>17</v>
      </c>
      <c r="C2029" s="7" t="s">
        <v>18</v>
      </c>
      <c r="D2029" s="4">
        <v>410960000120</v>
      </c>
      <c r="E2029" s="8" t="s">
        <v>1137</v>
      </c>
      <c r="F2029" s="8" t="s">
        <v>58</v>
      </c>
      <c r="G2029" s="7" t="s">
        <v>54</v>
      </c>
      <c r="H2029" s="47" t="s">
        <v>205</v>
      </c>
      <c r="I2029" s="47" t="s">
        <v>206</v>
      </c>
      <c r="J2029" s="6">
        <v>73</v>
      </c>
      <c r="K2029" s="8" t="s">
        <v>26</v>
      </c>
      <c r="L2029" s="1" t="s">
        <v>1137</v>
      </c>
      <c r="M2029" s="5">
        <v>36</v>
      </c>
    </row>
    <row r="2030" spans="1:13" ht="15" x14ac:dyDescent="0.25">
      <c r="A2030" s="7" t="s">
        <v>16</v>
      </c>
      <c r="B2030" s="7" t="s">
        <v>21</v>
      </c>
      <c r="C2030" s="7" t="s">
        <v>18</v>
      </c>
      <c r="D2030" s="4">
        <v>410960000120</v>
      </c>
      <c r="E2030" s="8" t="s">
        <v>1137</v>
      </c>
      <c r="F2030" s="8" t="s">
        <v>58</v>
      </c>
      <c r="G2030" s="7" t="s">
        <v>54</v>
      </c>
      <c r="H2030" s="47" t="s">
        <v>205</v>
      </c>
      <c r="I2030" s="47" t="s">
        <v>206</v>
      </c>
      <c r="J2030" s="6">
        <v>73</v>
      </c>
      <c r="K2030" s="8" t="s">
        <v>26</v>
      </c>
      <c r="L2030" s="1" t="s">
        <v>1137</v>
      </c>
      <c r="M2030" s="5">
        <v>64</v>
      </c>
    </row>
    <row r="2031" spans="1:13" ht="15" x14ac:dyDescent="0.25">
      <c r="A2031" s="7" t="s">
        <v>16</v>
      </c>
      <c r="B2031" s="7" t="s">
        <v>21</v>
      </c>
      <c r="C2031" s="7" t="s">
        <v>18</v>
      </c>
      <c r="D2031" s="4">
        <v>70306453673</v>
      </c>
      <c r="E2031" s="8" t="s">
        <v>1131</v>
      </c>
      <c r="F2031" s="8" t="s">
        <v>1132</v>
      </c>
      <c r="G2031" s="7" t="s">
        <v>54</v>
      </c>
      <c r="H2031" s="47" t="s">
        <v>205</v>
      </c>
      <c r="I2031" s="47" t="s">
        <v>206</v>
      </c>
      <c r="J2031" s="6">
        <v>66</v>
      </c>
      <c r="K2031" s="8" t="s">
        <v>28</v>
      </c>
      <c r="L2031" s="1" t="s">
        <v>1131</v>
      </c>
      <c r="M2031" s="5">
        <v>20</v>
      </c>
    </row>
    <row r="2032" spans="1:13" ht="15" x14ac:dyDescent="0.25">
      <c r="A2032" s="7" t="s">
        <v>16</v>
      </c>
      <c r="B2032" s="7" t="s">
        <v>17</v>
      </c>
      <c r="C2032" s="7" t="s">
        <v>18</v>
      </c>
      <c r="D2032" s="4">
        <v>437007000175</v>
      </c>
      <c r="E2032" s="8" t="s">
        <v>1038</v>
      </c>
      <c r="F2032" s="8" t="s">
        <v>1039</v>
      </c>
      <c r="G2032" s="7" t="s">
        <v>61</v>
      </c>
      <c r="H2032" s="47" t="s">
        <v>205</v>
      </c>
      <c r="I2032" s="47" t="s">
        <v>206</v>
      </c>
      <c r="J2032" s="6">
        <v>73</v>
      </c>
      <c r="K2032" s="8" t="s">
        <v>26</v>
      </c>
      <c r="L2032" s="1" t="s">
        <v>1038</v>
      </c>
      <c r="M2032" s="5">
        <v>358</v>
      </c>
    </row>
    <row r="2033" spans="1:13" ht="15" x14ac:dyDescent="0.25">
      <c r="A2033" s="7" t="s">
        <v>16</v>
      </c>
      <c r="B2033" s="7" t="s">
        <v>21</v>
      </c>
      <c r="C2033" s="7" t="s">
        <v>18</v>
      </c>
      <c r="D2033" s="4">
        <v>437007000175</v>
      </c>
      <c r="E2033" s="8" t="s">
        <v>1038</v>
      </c>
      <c r="F2033" s="8" t="s">
        <v>1039</v>
      </c>
      <c r="G2033" s="7" t="s">
        <v>61</v>
      </c>
      <c r="H2033" s="47" t="s">
        <v>205</v>
      </c>
      <c r="I2033" s="47" t="s">
        <v>206</v>
      </c>
      <c r="J2033" s="6">
        <v>73</v>
      </c>
      <c r="K2033" s="8" t="s">
        <v>26</v>
      </c>
      <c r="L2033" s="1" t="s">
        <v>1038</v>
      </c>
      <c r="M2033" s="5">
        <v>228</v>
      </c>
    </row>
    <row r="2034" spans="1:13" ht="15" x14ac:dyDescent="0.25">
      <c r="A2034" s="7" t="s">
        <v>16</v>
      </c>
      <c r="B2034" s="7" t="s">
        <v>17</v>
      </c>
      <c r="C2034" s="7" t="s">
        <v>18</v>
      </c>
      <c r="D2034" s="4">
        <v>1140803000104</v>
      </c>
      <c r="E2034" s="8" t="s">
        <v>936</v>
      </c>
      <c r="F2034" s="8" t="s">
        <v>66</v>
      </c>
      <c r="G2034" s="7" t="s">
        <v>67</v>
      </c>
      <c r="H2034" s="47" t="s">
        <v>205</v>
      </c>
      <c r="I2034" s="47" t="s">
        <v>206</v>
      </c>
      <c r="J2034" s="6">
        <v>73</v>
      </c>
      <c r="K2034" s="8" t="s">
        <v>26</v>
      </c>
      <c r="L2034" s="1" t="s">
        <v>936</v>
      </c>
      <c r="M2034" s="5">
        <v>32</v>
      </c>
    </row>
    <row r="2035" spans="1:13" ht="15" x14ac:dyDescent="0.25">
      <c r="A2035" s="7" t="s">
        <v>16</v>
      </c>
      <c r="B2035" s="7" t="s">
        <v>17</v>
      </c>
      <c r="C2035" s="7" t="s">
        <v>18</v>
      </c>
      <c r="D2035" s="4">
        <v>1517626000132</v>
      </c>
      <c r="E2035" s="8" t="s">
        <v>937</v>
      </c>
      <c r="F2035" s="8" t="s">
        <v>938</v>
      </c>
      <c r="G2035" s="7" t="s">
        <v>68</v>
      </c>
      <c r="H2035" s="47" t="s">
        <v>205</v>
      </c>
      <c r="I2035" s="47" t="s">
        <v>206</v>
      </c>
      <c r="J2035" s="6">
        <v>73</v>
      </c>
      <c r="K2035" s="8" t="s">
        <v>26</v>
      </c>
      <c r="L2035" s="1" t="s">
        <v>937</v>
      </c>
      <c r="M2035" s="5">
        <v>12</v>
      </c>
    </row>
    <row r="2036" spans="1:13" ht="15" x14ac:dyDescent="0.25">
      <c r="A2036" s="7" t="s">
        <v>16</v>
      </c>
      <c r="B2036" s="7" t="s">
        <v>17</v>
      </c>
      <c r="C2036" s="7" t="s">
        <v>18</v>
      </c>
      <c r="D2036" s="4">
        <v>6047087001372</v>
      </c>
      <c r="E2036" s="8" t="s">
        <v>1041</v>
      </c>
      <c r="F2036" s="8" t="s">
        <v>78</v>
      </c>
      <c r="G2036" s="7" t="s">
        <v>61</v>
      </c>
      <c r="H2036" s="47" t="s">
        <v>205</v>
      </c>
      <c r="I2036" s="47" t="s">
        <v>206</v>
      </c>
      <c r="J2036" s="6">
        <v>62</v>
      </c>
      <c r="K2036" s="8" t="s">
        <v>27</v>
      </c>
      <c r="L2036" s="1" t="s">
        <v>1041</v>
      </c>
      <c r="M2036" s="5">
        <v>12</v>
      </c>
    </row>
    <row r="2037" spans="1:13" ht="15" x14ac:dyDescent="0.25">
      <c r="A2037" s="7" t="s">
        <v>16</v>
      </c>
      <c r="B2037" s="7" t="s">
        <v>21</v>
      </c>
      <c r="C2037" s="7" t="s">
        <v>18</v>
      </c>
      <c r="D2037" s="4">
        <v>6047087001372</v>
      </c>
      <c r="E2037" s="8" t="s">
        <v>1041</v>
      </c>
      <c r="F2037" s="8" t="s">
        <v>78</v>
      </c>
      <c r="G2037" s="7" t="s">
        <v>61</v>
      </c>
      <c r="H2037" s="47" t="s">
        <v>205</v>
      </c>
      <c r="I2037" s="47" t="s">
        <v>206</v>
      </c>
      <c r="J2037" s="6">
        <v>62</v>
      </c>
      <c r="K2037" s="8" t="s">
        <v>27</v>
      </c>
      <c r="L2037" s="1" t="s">
        <v>1041</v>
      </c>
      <c r="M2037" s="5">
        <v>4</v>
      </c>
    </row>
    <row r="2038" spans="1:13" ht="15" x14ac:dyDescent="0.25">
      <c r="A2038" s="7" t="s">
        <v>16</v>
      </c>
      <c r="B2038" s="7" t="s">
        <v>21</v>
      </c>
      <c r="C2038" s="7" t="s">
        <v>18</v>
      </c>
      <c r="D2038" s="4">
        <v>6047087001372</v>
      </c>
      <c r="E2038" s="8" t="s">
        <v>1041</v>
      </c>
      <c r="F2038" s="8" t="s">
        <v>78</v>
      </c>
      <c r="G2038" s="7" t="s">
        <v>61</v>
      </c>
      <c r="H2038" s="47" t="s">
        <v>205</v>
      </c>
      <c r="I2038" s="47" t="s">
        <v>206</v>
      </c>
      <c r="J2038" s="6">
        <v>64</v>
      </c>
      <c r="K2038" s="8" t="s">
        <v>25</v>
      </c>
      <c r="L2038" s="1" t="s">
        <v>1041</v>
      </c>
      <c r="M2038" s="5">
        <v>3</v>
      </c>
    </row>
    <row r="2039" spans="1:13" ht="15" x14ac:dyDescent="0.25">
      <c r="A2039" s="7" t="s">
        <v>16</v>
      </c>
      <c r="B2039" s="7" t="s">
        <v>21</v>
      </c>
      <c r="C2039" s="7" t="s">
        <v>18</v>
      </c>
      <c r="D2039" s="4">
        <v>7734165000136</v>
      </c>
      <c r="E2039" s="8" t="s">
        <v>954</v>
      </c>
      <c r="F2039" s="8" t="s">
        <v>94</v>
      </c>
      <c r="G2039" s="7" t="s">
        <v>57</v>
      </c>
      <c r="H2039" s="47" t="s">
        <v>205</v>
      </c>
      <c r="I2039" s="47" t="s">
        <v>206</v>
      </c>
      <c r="J2039" s="6">
        <v>73</v>
      </c>
      <c r="K2039" s="8" t="s">
        <v>26</v>
      </c>
      <c r="L2039" s="1" t="s">
        <v>954</v>
      </c>
      <c r="M2039" s="5">
        <v>120</v>
      </c>
    </row>
    <row r="2040" spans="1:13" ht="15" x14ac:dyDescent="0.25">
      <c r="A2040" s="7" t="s">
        <v>16</v>
      </c>
      <c r="B2040" s="7" t="s">
        <v>17</v>
      </c>
      <c r="C2040" s="7" t="s">
        <v>18</v>
      </c>
      <c r="D2040" s="4">
        <v>7794623001528</v>
      </c>
      <c r="E2040" s="8" t="s">
        <v>1042</v>
      </c>
      <c r="F2040" s="8" t="s">
        <v>1043</v>
      </c>
      <c r="G2040" s="7" t="s">
        <v>61</v>
      </c>
      <c r="H2040" s="47" t="s">
        <v>205</v>
      </c>
      <c r="I2040" s="47" t="s">
        <v>206</v>
      </c>
      <c r="J2040" s="6">
        <v>73</v>
      </c>
      <c r="K2040" s="8" t="s">
        <v>26</v>
      </c>
      <c r="L2040" s="1" t="s">
        <v>1042</v>
      </c>
      <c r="M2040" s="5">
        <v>28</v>
      </c>
    </row>
    <row r="2041" spans="1:13" ht="15" x14ac:dyDescent="0.25">
      <c r="A2041" s="7" t="s">
        <v>16</v>
      </c>
      <c r="B2041" s="7" t="s">
        <v>21</v>
      </c>
      <c r="C2041" s="7" t="s">
        <v>18</v>
      </c>
      <c r="D2041" s="4">
        <v>7794623001528</v>
      </c>
      <c r="E2041" s="8" t="s">
        <v>1042</v>
      </c>
      <c r="F2041" s="8" t="s">
        <v>1043</v>
      </c>
      <c r="G2041" s="7" t="s">
        <v>61</v>
      </c>
      <c r="H2041" s="47" t="s">
        <v>205</v>
      </c>
      <c r="I2041" s="47" t="s">
        <v>206</v>
      </c>
      <c r="J2041" s="6">
        <v>73</v>
      </c>
      <c r="K2041" s="8" t="s">
        <v>26</v>
      </c>
      <c r="L2041" s="1" t="s">
        <v>1042</v>
      </c>
      <c r="M2041" s="5">
        <v>28</v>
      </c>
    </row>
    <row r="2042" spans="1:13" ht="15" x14ac:dyDescent="0.25">
      <c r="A2042" s="7" t="s">
        <v>16</v>
      </c>
      <c r="B2042" s="7" t="s">
        <v>21</v>
      </c>
      <c r="C2042" s="7" t="s">
        <v>18</v>
      </c>
      <c r="D2042" s="4">
        <v>8597121000174</v>
      </c>
      <c r="E2042" s="8" t="s">
        <v>957</v>
      </c>
      <c r="F2042" s="8" t="s">
        <v>94</v>
      </c>
      <c r="G2042" s="7" t="s">
        <v>57</v>
      </c>
      <c r="H2042" s="47" t="s">
        <v>205</v>
      </c>
      <c r="I2042" s="47" t="s">
        <v>206</v>
      </c>
      <c r="J2042" s="6">
        <v>66</v>
      </c>
      <c r="K2042" s="8" t="s">
        <v>28</v>
      </c>
      <c r="L2042" s="1" t="s">
        <v>957</v>
      </c>
      <c r="M2042" s="5">
        <v>80</v>
      </c>
    </row>
    <row r="2043" spans="1:13" ht="15" x14ac:dyDescent="0.25">
      <c r="A2043" s="7" t="s">
        <v>16</v>
      </c>
      <c r="B2043" s="7" t="s">
        <v>21</v>
      </c>
      <c r="C2043" s="7" t="s">
        <v>18</v>
      </c>
      <c r="D2043" s="4">
        <v>4786490000154</v>
      </c>
      <c r="E2043" s="8" t="s">
        <v>1146</v>
      </c>
      <c r="F2043" s="8" t="s">
        <v>97</v>
      </c>
      <c r="G2043" s="7" t="s">
        <v>98</v>
      </c>
      <c r="H2043" s="47" t="s">
        <v>205</v>
      </c>
      <c r="I2043" s="47" t="s">
        <v>206</v>
      </c>
      <c r="J2043" s="6">
        <v>73</v>
      </c>
      <c r="K2043" s="8" t="s">
        <v>26</v>
      </c>
      <c r="L2043" s="1" t="s">
        <v>1146</v>
      </c>
      <c r="M2043" s="5">
        <v>14</v>
      </c>
    </row>
    <row r="2044" spans="1:13" ht="15" x14ac:dyDescent="0.25">
      <c r="A2044" s="7" t="s">
        <v>16</v>
      </c>
      <c r="B2044" s="7" t="s">
        <v>17</v>
      </c>
      <c r="C2044" s="7" t="s">
        <v>18</v>
      </c>
      <c r="D2044" s="4">
        <v>14408631000159</v>
      </c>
      <c r="E2044" s="8" t="s">
        <v>1163</v>
      </c>
      <c r="F2044" s="8" t="s">
        <v>1164</v>
      </c>
      <c r="G2044" s="7" t="s">
        <v>54</v>
      </c>
      <c r="H2044" s="47" t="s">
        <v>205</v>
      </c>
      <c r="I2044" s="47" t="s">
        <v>206</v>
      </c>
      <c r="J2044" s="6">
        <v>73</v>
      </c>
      <c r="K2044" s="8" t="s">
        <v>26</v>
      </c>
      <c r="L2044" s="1" t="s">
        <v>1163</v>
      </c>
      <c r="M2044" s="5">
        <v>8</v>
      </c>
    </row>
    <row r="2045" spans="1:13" ht="15" x14ac:dyDescent="0.25">
      <c r="A2045" s="7" t="s">
        <v>16</v>
      </c>
      <c r="B2045" s="7" t="s">
        <v>21</v>
      </c>
      <c r="C2045" s="7" t="s">
        <v>18</v>
      </c>
      <c r="D2045" s="4">
        <v>14408631000159</v>
      </c>
      <c r="E2045" s="8" t="s">
        <v>1163</v>
      </c>
      <c r="F2045" s="8" t="s">
        <v>1164</v>
      </c>
      <c r="G2045" s="7" t="s">
        <v>54</v>
      </c>
      <c r="H2045" s="47" t="s">
        <v>205</v>
      </c>
      <c r="I2045" s="47" t="s">
        <v>206</v>
      </c>
      <c r="J2045" s="6">
        <v>73</v>
      </c>
      <c r="K2045" s="8" t="s">
        <v>26</v>
      </c>
      <c r="L2045" s="1" t="s">
        <v>1163</v>
      </c>
      <c r="M2045" s="5">
        <v>8</v>
      </c>
    </row>
    <row r="2046" spans="1:13" ht="15" x14ac:dyDescent="0.25">
      <c r="A2046" s="7" t="s">
        <v>16</v>
      </c>
      <c r="B2046" s="7" t="s">
        <v>17</v>
      </c>
      <c r="C2046" s="7" t="s">
        <v>18</v>
      </c>
      <c r="D2046" s="4">
        <v>15126437001972</v>
      </c>
      <c r="E2046" s="8" t="s">
        <v>966</v>
      </c>
      <c r="F2046" s="8" t="s">
        <v>87</v>
      </c>
      <c r="G2046" s="7" t="s">
        <v>67</v>
      </c>
      <c r="H2046" s="47" t="s">
        <v>205</v>
      </c>
      <c r="I2046" s="47" t="s">
        <v>206</v>
      </c>
      <c r="J2046" s="6">
        <v>64</v>
      </c>
      <c r="K2046" s="8" t="s">
        <v>25</v>
      </c>
      <c r="L2046" s="1" t="s">
        <v>966</v>
      </c>
      <c r="M2046" s="5">
        <v>15</v>
      </c>
    </row>
    <row r="2047" spans="1:13" ht="15" x14ac:dyDescent="0.25">
      <c r="A2047" s="7" t="s">
        <v>16</v>
      </c>
      <c r="B2047" s="7" t="s">
        <v>21</v>
      </c>
      <c r="C2047" s="7" t="s">
        <v>18</v>
      </c>
      <c r="D2047" s="4">
        <v>15126437001972</v>
      </c>
      <c r="E2047" s="8" t="s">
        <v>966</v>
      </c>
      <c r="F2047" s="8" t="s">
        <v>87</v>
      </c>
      <c r="G2047" s="7" t="s">
        <v>67</v>
      </c>
      <c r="H2047" s="47" t="s">
        <v>205</v>
      </c>
      <c r="I2047" s="47" t="s">
        <v>206</v>
      </c>
      <c r="J2047" s="6">
        <v>62</v>
      </c>
      <c r="K2047" s="8" t="s">
        <v>27</v>
      </c>
      <c r="L2047" s="1" t="s">
        <v>966</v>
      </c>
      <c r="M2047" s="5">
        <v>15</v>
      </c>
    </row>
    <row r="2048" spans="1:13" ht="15" x14ac:dyDescent="0.25">
      <c r="A2048" s="7" t="s">
        <v>16</v>
      </c>
      <c r="B2048" s="7" t="s">
        <v>17</v>
      </c>
      <c r="C2048" s="7" t="s">
        <v>18</v>
      </c>
      <c r="D2048" s="4">
        <v>16676520000159</v>
      </c>
      <c r="E2048" s="8" t="s">
        <v>1168</v>
      </c>
      <c r="F2048" s="8" t="s">
        <v>58</v>
      </c>
      <c r="G2048" s="7" t="s">
        <v>54</v>
      </c>
      <c r="H2048" s="47" t="s">
        <v>205</v>
      </c>
      <c r="I2048" s="47" t="s">
        <v>206</v>
      </c>
      <c r="J2048" s="6">
        <v>66</v>
      </c>
      <c r="K2048" s="8" t="s">
        <v>28</v>
      </c>
      <c r="L2048" s="1" t="s">
        <v>1168</v>
      </c>
      <c r="M2048" s="5">
        <v>2</v>
      </c>
    </row>
    <row r="2049" spans="1:13" ht="15" x14ac:dyDescent="0.25">
      <c r="A2049" s="7" t="s">
        <v>16</v>
      </c>
      <c r="B2049" s="7" t="s">
        <v>17</v>
      </c>
      <c r="C2049" s="7" t="s">
        <v>18</v>
      </c>
      <c r="D2049" s="4">
        <v>17034086000176</v>
      </c>
      <c r="E2049" s="8" t="s">
        <v>968</v>
      </c>
      <c r="F2049" s="8" t="s">
        <v>969</v>
      </c>
      <c r="G2049" s="7" t="s">
        <v>68</v>
      </c>
      <c r="H2049" s="47" t="s">
        <v>205</v>
      </c>
      <c r="I2049" s="47" t="s">
        <v>206</v>
      </c>
      <c r="J2049" s="6">
        <v>64</v>
      </c>
      <c r="K2049" s="8" t="s">
        <v>25</v>
      </c>
      <c r="L2049" s="1" t="s">
        <v>968</v>
      </c>
      <c r="M2049" s="5">
        <v>5</v>
      </c>
    </row>
    <row r="2050" spans="1:13" ht="15" x14ac:dyDescent="0.25">
      <c r="A2050" s="7" t="s">
        <v>16</v>
      </c>
      <c r="B2050" s="7" t="s">
        <v>17</v>
      </c>
      <c r="C2050" s="7" t="s">
        <v>18</v>
      </c>
      <c r="D2050" s="4">
        <v>17087591000189</v>
      </c>
      <c r="E2050" s="8" t="s">
        <v>1170</v>
      </c>
      <c r="F2050" s="8" t="s">
        <v>1171</v>
      </c>
      <c r="G2050" s="7" t="s">
        <v>54</v>
      </c>
      <c r="H2050" s="47" t="s">
        <v>205</v>
      </c>
      <c r="I2050" s="47" t="s">
        <v>206</v>
      </c>
      <c r="J2050" s="6">
        <v>62</v>
      </c>
      <c r="K2050" s="8" t="s">
        <v>27</v>
      </c>
      <c r="L2050" s="1" t="s">
        <v>1170</v>
      </c>
      <c r="M2050" s="5">
        <v>7</v>
      </c>
    </row>
    <row r="2051" spans="1:13" ht="15" x14ac:dyDescent="0.25">
      <c r="A2051" s="7" t="s">
        <v>16</v>
      </c>
      <c r="B2051" s="7" t="s">
        <v>17</v>
      </c>
      <c r="C2051" s="7" t="s">
        <v>18</v>
      </c>
      <c r="D2051" s="4">
        <v>17214149000176</v>
      </c>
      <c r="E2051" s="8" t="s">
        <v>1172</v>
      </c>
      <c r="F2051" s="8" t="s">
        <v>58</v>
      </c>
      <c r="G2051" s="7" t="s">
        <v>54</v>
      </c>
      <c r="H2051" s="47" t="s">
        <v>205</v>
      </c>
      <c r="I2051" s="47" t="s">
        <v>206</v>
      </c>
      <c r="J2051" s="6">
        <v>62</v>
      </c>
      <c r="K2051" s="8" t="s">
        <v>27</v>
      </c>
      <c r="L2051" s="1" t="s">
        <v>1172</v>
      </c>
      <c r="M2051" s="5">
        <v>10</v>
      </c>
    </row>
    <row r="2052" spans="1:13" ht="15" x14ac:dyDescent="0.25">
      <c r="A2052" s="7" t="s">
        <v>16</v>
      </c>
      <c r="B2052" s="7" t="s">
        <v>21</v>
      </c>
      <c r="C2052" s="7" t="s">
        <v>18</v>
      </c>
      <c r="D2052" s="4">
        <v>17214149000176</v>
      </c>
      <c r="E2052" s="8" t="s">
        <v>1172</v>
      </c>
      <c r="F2052" s="8" t="s">
        <v>58</v>
      </c>
      <c r="G2052" s="7" t="s">
        <v>54</v>
      </c>
      <c r="H2052" s="47" t="s">
        <v>205</v>
      </c>
      <c r="I2052" s="47" t="s">
        <v>206</v>
      </c>
      <c r="J2052" s="6">
        <v>62</v>
      </c>
      <c r="K2052" s="8" t="s">
        <v>27</v>
      </c>
      <c r="L2052" s="1" t="s">
        <v>1172</v>
      </c>
      <c r="M2052" s="5">
        <v>18</v>
      </c>
    </row>
    <row r="2053" spans="1:13" ht="15" x14ac:dyDescent="0.25">
      <c r="A2053" s="7" t="s">
        <v>16</v>
      </c>
      <c r="B2053" s="7" t="s">
        <v>17</v>
      </c>
      <c r="C2053" s="7" t="s">
        <v>18</v>
      </c>
      <c r="D2053" s="4">
        <v>17689407000928</v>
      </c>
      <c r="E2053" s="8" t="s">
        <v>1174</v>
      </c>
      <c r="F2053" s="8" t="s">
        <v>88</v>
      </c>
      <c r="G2053" s="7" t="s">
        <v>54</v>
      </c>
      <c r="H2053" s="47" t="s">
        <v>205</v>
      </c>
      <c r="I2053" s="47" t="s">
        <v>206</v>
      </c>
      <c r="J2053" s="6">
        <v>73</v>
      </c>
      <c r="K2053" s="8" t="s">
        <v>26</v>
      </c>
      <c r="L2053" s="1" t="s">
        <v>1174</v>
      </c>
      <c r="M2053" s="5">
        <v>4</v>
      </c>
    </row>
    <row r="2054" spans="1:13" ht="15" x14ac:dyDescent="0.25">
      <c r="A2054" s="7" t="s">
        <v>16</v>
      </c>
      <c r="B2054" s="7" t="s">
        <v>21</v>
      </c>
      <c r="C2054" s="7" t="s">
        <v>18</v>
      </c>
      <c r="D2054" s="4">
        <v>17689407000928</v>
      </c>
      <c r="E2054" s="8" t="s">
        <v>1174</v>
      </c>
      <c r="F2054" s="8" t="s">
        <v>88</v>
      </c>
      <c r="G2054" s="7" t="s">
        <v>54</v>
      </c>
      <c r="H2054" s="47" t="s">
        <v>205</v>
      </c>
      <c r="I2054" s="47" t="s">
        <v>206</v>
      </c>
      <c r="J2054" s="6">
        <v>73</v>
      </c>
      <c r="K2054" s="8" t="s">
        <v>26</v>
      </c>
      <c r="L2054" s="1" t="s">
        <v>1174</v>
      </c>
      <c r="M2054" s="5">
        <v>6</v>
      </c>
    </row>
    <row r="2055" spans="1:13" ht="15" x14ac:dyDescent="0.25">
      <c r="A2055" s="7" t="s">
        <v>16</v>
      </c>
      <c r="B2055" s="7" t="s">
        <v>21</v>
      </c>
      <c r="C2055" s="7" t="s">
        <v>18</v>
      </c>
      <c r="D2055" s="4">
        <v>8562523000133</v>
      </c>
      <c r="E2055" s="8" t="s">
        <v>1044</v>
      </c>
      <c r="F2055" s="8" t="s">
        <v>78</v>
      </c>
      <c r="G2055" s="7" t="s">
        <v>61</v>
      </c>
      <c r="H2055" s="47" t="s">
        <v>205</v>
      </c>
      <c r="I2055" s="47" t="s">
        <v>206</v>
      </c>
      <c r="J2055" s="6">
        <v>62</v>
      </c>
      <c r="K2055" s="8" t="s">
        <v>27</v>
      </c>
      <c r="L2055" s="1" t="s">
        <v>1044</v>
      </c>
      <c r="M2055" s="5">
        <v>2</v>
      </c>
    </row>
    <row r="2056" spans="1:13" ht="15" x14ac:dyDescent="0.25">
      <c r="A2056" s="7" t="s">
        <v>16</v>
      </c>
      <c r="B2056" s="7" t="s">
        <v>21</v>
      </c>
      <c r="C2056" s="7" t="s">
        <v>18</v>
      </c>
      <c r="D2056" s="4">
        <v>8562523000133</v>
      </c>
      <c r="E2056" s="8" t="s">
        <v>1044</v>
      </c>
      <c r="F2056" s="8" t="s">
        <v>78</v>
      </c>
      <c r="G2056" s="7" t="s">
        <v>61</v>
      </c>
      <c r="H2056" s="47" t="s">
        <v>205</v>
      </c>
      <c r="I2056" s="47" t="s">
        <v>206</v>
      </c>
      <c r="J2056" s="6">
        <v>64</v>
      </c>
      <c r="K2056" s="8" t="s">
        <v>25</v>
      </c>
      <c r="L2056" s="1" t="s">
        <v>1044</v>
      </c>
      <c r="M2056" s="5">
        <v>5</v>
      </c>
    </row>
    <row r="2057" spans="1:13" ht="15" x14ac:dyDescent="0.25">
      <c r="A2057" s="7" t="s">
        <v>16</v>
      </c>
      <c r="B2057" s="7" t="s">
        <v>17</v>
      </c>
      <c r="C2057" s="7" t="s">
        <v>18</v>
      </c>
      <c r="D2057" s="4">
        <v>18484378000173</v>
      </c>
      <c r="E2057" s="8" t="s">
        <v>1176</v>
      </c>
      <c r="F2057" s="8" t="s">
        <v>1171</v>
      </c>
      <c r="G2057" s="7" t="s">
        <v>54</v>
      </c>
      <c r="H2057" s="47" t="s">
        <v>205</v>
      </c>
      <c r="I2057" s="47" t="s">
        <v>206</v>
      </c>
      <c r="J2057" s="6">
        <v>62</v>
      </c>
      <c r="K2057" s="8" t="s">
        <v>27</v>
      </c>
      <c r="L2057" s="1" t="s">
        <v>1176</v>
      </c>
      <c r="M2057" s="5">
        <v>3</v>
      </c>
    </row>
    <row r="2058" spans="1:13" ht="15" x14ac:dyDescent="0.25">
      <c r="A2058" s="7" t="s">
        <v>16</v>
      </c>
      <c r="B2058" s="7" t="s">
        <v>21</v>
      </c>
      <c r="C2058" s="7" t="s">
        <v>18</v>
      </c>
      <c r="D2058" s="4">
        <v>18484378000173</v>
      </c>
      <c r="E2058" s="8" t="s">
        <v>1176</v>
      </c>
      <c r="F2058" s="8" t="s">
        <v>1171</v>
      </c>
      <c r="G2058" s="7" t="s">
        <v>54</v>
      </c>
      <c r="H2058" s="47" t="s">
        <v>205</v>
      </c>
      <c r="I2058" s="47" t="s">
        <v>206</v>
      </c>
      <c r="J2058" s="6">
        <v>62</v>
      </c>
      <c r="K2058" s="8" t="s">
        <v>27</v>
      </c>
      <c r="L2058" s="1" t="s">
        <v>1176</v>
      </c>
      <c r="M2058" s="5">
        <v>2</v>
      </c>
    </row>
    <row r="2059" spans="1:13" ht="15" x14ac:dyDescent="0.25">
      <c r="A2059" s="7" t="s">
        <v>16</v>
      </c>
      <c r="B2059" s="7" t="s">
        <v>17</v>
      </c>
      <c r="C2059" s="7" t="s">
        <v>18</v>
      </c>
      <c r="D2059" s="4">
        <v>19878404000100</v>
      </c>
      <c r="E2059" s="8" t="s">
        <v>1184</v>
      </c>
      <c r="F2059" s="8" t="s">
        <v>89</v>
      </c>
      <c r="G2059" s="7" t="s">
        <v>54</v>
      </c>
      <c r="H2059" s="47" t="s">
        <v>205</v>
      </c>
      <c r="I2059" s="47" t="s">
        <v>206</v>
      </c>
      <c r="J2059" s="6">
        <v>73</v>
      </c>
      <c r="K2059" s="8" t="s">
        <v>26</v>
      </c>
      <c r="L2059" s="1" t="s">
        <v>1184</v>
      </c>
      <c r="M2059" s="5">
        <v>120</v>
      </c>
    </row>
    <row r="2060" spans="1:13" ht="15" x14ac:dyDescent="0.25">
      <c r="A2060" s="7" t="s">
        <v>16</v>
      </c>
      <c r="B2060" s="7" t="s">
        <v>21</v>
      </c>
      <c r="C2060" s="7" t="s">
        <v>18</v>
      </c>
      <c r="D2060" s="4">
        <v>19878404000100</v>
      </c>
      <c r="E2060" s="8" t="s">
        <v>1184</v>
      </c>
      <c r="F2060" s="8" t="s">
        <v>89</v>
      </c>
      <c r="G2060" s="7" t="s">
        <v>54</v>
      </c>
      <c r="H2060" s="47" t="s">
        <v>205</v>
      </c>
      <c r="I2060" s="47" t="s">
        <v>206</v>
      </c>
      <c r="J2060" s="6">
        <v>73</v>
      </c>
      <c r="K2060" s="8" t="s">
        <v>26</v>
      </c>
      <c r="L2060" s="1" t="s">
        <v>1184</v>
      </c>
      <c r="M2060" s="5">
        <v>80</v>
      </c>
    </row>
    <row r="2061" spans="1:13" ht="15" x14ac:dyDescent="0.25">
      <c r="A2061" s="7" t="s">
        <v>16</v>
      </c>
      <c r="B2061" s="7" t="s">
        <v>17</v>
      </c>
      <c r="C2061" s="7" t="s">
        <v>18</v>
      </c>
      <c r="D2061" s="4">
        <v>20150900000122</v>
      </c>
      <c r="E2061" s="8" t="s">
        <v>1185</v>
      </c>
      <c r="F2061" s="8" t="s">
        <v>1171</v>
      </c>
      <c r="G2061" s="7" t="s">
        <v>54</v>
      </c>
      <c r="H2061" s="47" t="s">
        <v>205</v>
      </c>
      <c r="I2061" s="47" t="s">
        <v>206</v>
      </c>
      <c r="J2061" s="6">
        <v>73</v>
      </c>
      <c r="K2061" s="8" t="s">
        <v>26</v>
      </c>
      <c r="L2061" s="1" t="s">
        <v>1185</v>
      </c>
      <c r="M2061" s="5">
        <v>6</v>
      </c>
    </row>
    <row r="2062" spans="1:13" ht="15" x14ac:dyDescent="0.25">
      <c r="A2062" s="7" t="s">
        <v>16</v>
      </c>
      <c r="B2062" s="7" t="s">
        <v>17</v>
      </c>
      <c r="C2062" s="7" t="s">
        <v>18</v>
      </c>
      <c r="D2062" s="4">
        <v>21040696000311</v>
      </c>
      <c r="E2062" s="8" t="s">
        <v>1190</v>
      </c>
      <c r="F2062" s="8" t="s">
        <v>1191</v>
      </c>
      <c r="G2062" s="7" t="s">
        <v>54</v>
      </c>
      <c r="H2062" s="47" t="s">
        <v>205</v>
      </c>
      <c r="I2062" s="47" t="s">
        <v>206</v>
      </c>
      <c r="J2062" s="6">
        <v>62</v>
      </c>
      <c r="K2062" s="8" t="s">
        <v>27</v>
      </c>
      <c r="L2062" s="1" t="s">
        <v>1190</v>
      </c>
      <c r="M2062" s="5">
        <v>2</v>
      </c>
    </row>
    <row r="2063" spans="1:13" ht="15" x14ac:dyDescent="0.25">
      <c r="A2063" s="7" t="s">
        <v>16</v>
      </c>
      <c r="B2063" s="7" t="s">
        <v>21</v>
      </c>
      <c r="C2063" s="7" t="s">
        <v>18</v>
      </c>
      <c r="D2063" s="4">
        <v>21040696000311</v>
      </c>
      <c r="E2063" s="8" t="s">
        <v>1190</v>
      </c>
      <c r="F2063" s="8" t="s">
        <v>1191</v>
      </c>
      <c r="G2063" s="7" t="s">
        <v>54</v>
      </c>
      <c r="H2063" s="47" t="s">
        <v>205</v>
      </c>
      <c r="I2063" s="47" t="s">
        <v>206</v>
      </c>
      <c r="J2063" s="6">
        <v>62</v>
      </c>
      <c r="K2063" s="8" t="s">
        <v>27</v>
      </c>
      <c r="L2063" s="1" t="s">
        <v>1190</v>
      </c>
      <c r="M2063" s="5">
        <v>5</v>
      </c>
    </row>
    <row r="2064" spans="1:13" ht="15" x14ac:dyDescent="0.25">
      <c r="A2064" s="7" t="s">
        <v>16</v>
      </c>
      <c r="B2064" s="7" t="s">
        <v>21</v>
      </c>
      <c r="C2064" s="7" t="s">
        <v>18</v>
      </c>
      <c r="D2064" s="4">
        <v>21040696000311</v>
      </c>
      <c r="E2064" s="8" t="s">
        <v>1190</v>
      </c>
      <c r="F2064" s="8" t="s">
        <v>1191</v>
      </c>
      <c r="G2064" s="7" t="s">
        <v>54</v>
      </c>
      <c r="H2064" s="47" t="s">
        <v>205</v>
      </c>
      <c r="I2064" s="47" t="s">
        <v>206</v>
      </c>
      <c r="J2064" s="6">
        <v>64</v>
      </c>
      <c r="K2064" s="8" t="s">
        <v>25</v>
      </c>
      <c r="L2064" s="1" t="s">
        <v>1190</v>
      </c>
      <c r="M2064" s="5">
        <v>4</v>
      </c>
    </row>
    <row r="2065" spans="1:13" ht="15" x14ac:dyDescent="0.25">
      <c r="A2065" s="7" t="s">
        <v>16</v>
      </c>
      <c r="B2065" s="7" t="s">
        <v>17</v>
      </c>
      <c r="C2065" s="7" t="s">
        <v>18</v>
      </c>
      <c r="D2065" s="4">
        <v>23338387000196</v>
      </c>
      <c r="E2065" s="8" t="s">
        <v>1195</v>
      </c>
      <c r="F2065" s="8" t="s">
        <v>90</v>
      </c>
      <c r="G2065" s="7" t="s">
        <v>54</v>
      </c>
      <c r="H2065" s="47" t="s">
        <v>205</v>
      </c>
      <c r="I2065" s="47" t="s">
        <v>206</v>
      </c>
      <c r="J2065" s="6">
        <v>73</v>
      </c>
      <c r="K2065" s="8" t="s">
        <v>26</v>
      </c>
      <c r="L2065" s="1" t="s">
        <v>1195</v>
      </c>
      <c r="M2065" s="5">
        <v>10</v>
      </c>
    </row>
    <row r="2066" spans="1:13" ht="15" x14ac:dyDescent="0.25">
      <c r="A2066" s="7" t="s">
        <v>16</v>
      </c>
      <c r="B2066" s="7" t="s">
        <v>21</v>
      </c>
      <c r="C2066" s="7" t="s">
        <v>18</v>
      </c>
      <c r="D2066" s="4">
        <v>9549061000268</v>
      </c>
      <c r="E2066" s="8" t="s">
        <v>959</v>
      </c>
      <c r="F2066" s="8" t="s">
        <v>100</v>
      </c>
      <c r="G2066" s="7" t="s">
        <v>67</v>
      </c>
      <c r="H2066" s="47" t="s">
        <v>205</v>
      </c>
      <c r="I2066" s="47" t="s">
        <v>206</v>
      </c>
      <c r="J2066" s="6">
        <v>64</v>
      </c>
      <c r="K2066" s="8" t="s">
        <v>25</v>
      </c>
      <c r="L2066" s="1" t="s">
        <v>959</v>
      </c>
      <c r="M2066" s="5">
        <v>3</v>
      </c>
    </row>
    <row r="2067" spans="1:13" ht="15" x14ac:dyDescent="0.25">
      <c r="A2067" s="7" t="s">
        <v>16</v>
      </c>
      <c r="B2067" s="7" t="s">
        <v>17</v>
      </c>
      <c r="C2067" s="7" t="s">
        <v>18</v>
      </c>
      <c r="D2067" s="4">
        <v>28806545000532</v>
      </c>
      <c r="E2067" s="8" t="s">
        <v>1050</v>
      </c>
      <c r="F2067" s="8" t="s">
        <v>1051</v>
      </c>
      <c r="G2067" s="7" t="s">
        <v>61</v>
      </c>
      <c r="H2067" s="47" t="s">
        <v>205</v>
      </c>
      <c r="I2067" s="47" t="s">
        <v>206</v>
      </c>
      <c r="J2067" s="6">
        <v>73</v>
      </c>
      <c r="K2067" s="8" t="s">
        <v>26</v>
      </c>
      <c r="L2067" s="1" t="s">
        <v>1050</v>
      </c>
      <c r="M2067" s="5">
        <v>128</v>
      </c>
    </row>
    <row r="2068" spans="1:13" ht="15" x14ac:dyDescent="0.25">
      <c r="A2068" s="7" t="s">
        <v>16</v>
      </c>
      <c r="B2068" s="7" t="s">
        <v>21</v>
      </c>
      <c r="C2068" s="7" t="s">
        <v>18</v>
      </c>
      <c r="D2068" s="4">
        <v>28806545000532</v>
      </c>
      <c r="E2068" s="8" t="s">
        <v>1050</v>
      </c>
      <c r="F2068" s="8" t="s">
        <v>1051</v>
      </c>
      <c r="G2068" s="7" t="s">
        <v>61</v>
      </c>
      <c r="H2068" s="47" t="s">
        <v>205</v>
      </c>
      <c r="I2068" s="47" t="s">
        <v>206</v>
      </c>
      <c r="J2068" s="6">
        <v>73</v>
      </c>
      <c r="K2068" s="8" t="s">
        <v>26</v>
      </c>
      <c r="L2068" s="1" t="s">
        <v>1050</v>
      </c>
      <c r="M2068" s="5">
        <v>96</v>
      </c>
    </row>
    <row r="2069" spans="1:13" ht="15" x14ac:dyDescent="0.25">
      <c r="A2069" s="7" t="s">
        <v>16</v>
      </c>
      <c r="B2069" s="7" t="s">
        <v>17</v>
      </c>
      <c r="C2069" s="7" t="s">
        <v>18</v>
      </c>
      <c r="D2069" s="4">
        <v>29072642000188</v>
      </c>
      <c r="E2069" s="8" t="s">
        <v>1052</v>
      </c>
      <c r="F2069" s="8" t="s">
        <v>92</v>
      </c>
      <c r="G2069" s="7" t="s">
        <v>61</v>
      </c>
      <c r="H2069" s="47" t="s">
        <v>205</v>
      </c>
      <c r="I2069" s="47" t="s">
        <v>206</v>
      </c>
      <c r="J2069" s="6">
        <v>64</v>
      </c>
      <c r="K2069" s="8" t="s">
        <v>25</v>
      </c>
      <c r="L2069" s="1" t="s">
        <v>1052</v>
      </c>
      <c r="M2069" s="5">
        <v>2</v>
      </c>
    </row>
    <row r="2070" spans="1:13" ht="15" x14ac:dyDescent="0.25">
      <c r="A2070" s="7" t="s">
        <v>16</v>
      </c>
      <c r="B2070" s="7" t="s">
        <v>17</v>
      </c>
      <c r="C2070" s="7" t="s">
        <v>18</v>
      </c>
      <c r="D2070" s="4">
        <v>35830868000446</v>
      </c>
      <c r="E2070" s="8" t="s">
        <v>1060</v>
      </c>
      <c r="F2070" s="8" t="s">
        <v>1061</v>
      </c>
      <c r="G2070" s="7" t="s">
        <v>61</v>
      </c>
      <c r="H2070" s="47" t="s">
        <v>205</v>
      </c>
      <c r="I2070" s="47" t="s">
        <v>206</v>
      </c>
      <c r="J2070" s="6">
        <v>64</v>
      </c>
      <c r="K2070" s="8" t="s">
        <v>25</v>
      </c>
      <c r="L2070" s="1" t="s">
        <v>1060</v>
      </c>
      <c r="M2070" s="5">
        <v>3</v>
      </c>
    </row>
    <row r="2071" spans="1:13" ht="15" x14ac:dyDescent="0.25">
      <c r="A2071" s="7" t="s">
        <v>16</v>
      </c>
      <c r="B2071" s="7" t="s">
        <v>17</v>
      </c>
      <c r="C2071" s="7" t="s">
        <v>18</v>
      </c>
      <c r="D2071" s="4">
        <v>60884855001207</v>
      </c>
      <c r="E2071" s="8" t="s">
        <v>1065</v>
      </c>
      <c r="F2071" s="8" t="s">
        <v>1039</v>
      </c>
      <c r="G2071" s="7" t="s">
        <v>61</v>
      </c>
      <c r="H2071" s="47" t="s">
        <v>205</v>
      </c>
      <c r="I2071" s="47" t="s">
        <v>206</v>
      </c>
      <c r="J2071" s="6">
        <v>62</v>
      </c>
      <c r="K2071" s="8" t="s">
        <v>27</v>
      </c>
      <c r="L2071" s="1" t="s">
        <v>1065</v>
      </c>
      <c r="M2071" s="5">
        <v>24</v>
      </c>
    </row>
    <row r="2072" spans="1:13" ht="15" x14ac:dyDescent="0.25">
      <c r="A2072" s="7" t="s">
        <v>16</v>
      </c>
      <c r="B2072" s="7" t="s">
        <v>17</v>
      </c>
      <c r="C2072" s="7" t="s">
        <v>18</v>
      </c>
      <c r="D2072" s="4">
        <v>60884855001207</v>
      </c>
      <c r="E2072" s="8" t="s">
        <v>1065</v>
      </c>
      <c r="F2072" s="8" t="s">
        <v>1039</v>
      </c>
      <c r="G2072" s="7" t="s">
        <v>61</v>
      </c>
      <c r="H2072" s="47" t="s">
        <v>205</v>
      </c>
      <c r="I2072" s="47" t="s">
        <v>206</v>
      </c>
      <c r="J2072" s="6">
        <v>64</v>
      </c>
      <c r="K2072" s="8" t="s">
        <v>25</v>
      </c>
      <c r="L2072" s="1" t="s">
        <v>1065</v>
      </c>
      <c r="M2072" s="5">
        <v>83</v>
      </c>
    </row>
    <row r="2073" spans="1:13" ht="15" x14ac:dyDescent="0.25">
      <c r="A2073" s="7" t="s">
        <v>16</v>
      </c>
      <c r="B2073" s="7" t="s">
        <v>17</v>
      </c>
      <c r="C2073" s="7" t="s">
        <v>18</v>
      </c>
      <c r="D2073" s="4">
        <v>60884855001207</v>
      </c>
      <c r="E2073" s="8" t="s">
        <v>1065</v>
      </c>
      <c r="F2073" s="8" t="s">
        <v>1039</v>
      </c>
      <c r="G2073" s="7" t="s">
        <v>61</v>
      </c>
      <c r="H2073" s="47" t="s">
        <v>205</v>
      </c>
      <c r="I2073" s="47" t="s">
        <v>206</v>
      </c>
      <c r="J2073" s="6">
        <v>73</v>
      </c>
      <c r="K2073" s="8" t="s">
        <v>26</v>
      </c>
      <c r="L2073" s="1" t="s">
        <v>1065</v>
      </c>
      <c r="M2073" s="5">
        <v>18</v>
      </c>
    </row>
    <row r="2074" spans="1:13" ht="15" x14ac:dyDescent="0.25">
      <c r="A2074" s="7" t="s">
        <v>16</v>
      </c>
      <c r="B2074" s="7" t="s">
        <v>17</v>
      </c>
      <c r="C2074" s="7" t="s">
        <v>18</v>
      </c>
      <c r="D2074" s="4">
        <v>60922168005226</v>
      </c>
      <c r="E2074" s="8" t="s">
        <v>977</v>
      </c>
      <c r="F2074" s="8" t="s">
        <v>93</v>
      </c>
      <c r="G2074" s="7" t="s">
        <v>68</v>
      </c>
      <c r="H2074" s="47" t="s">
        <v>205</v>
      </c>
      <c r="I2074" s="47" t="s">
        <v>206</v>
      </c>
      <c r="J2074" s="6">
        <v>64</v>
      </c>
      <c r="K2074" s="8" t="s">
        <v>25</v>
      </c>
      <c r="L2074" s="1" t="s">
        <v>977</v>
      </c>
      <c r="M2074" s="5">
        <v>1</v>
      </c>
    </row>
    <row r="2075" spans="1:13" ht="15" x14ac:dyDescent="0.25">
      <c r="A2075" s="7" t="s">
        <v>16</v>
      </c>
      <c r="B2075" s="7" t="s">
        <v>21</v>
      </c>
      <c r="C2075" s="7" t="s">
        <v>18</v>
      </c>
      <c r="D2075" s="4">
        <v>20909271000171</v>
      </c>
      <c r="E2075" s="8" t="s">
        <v>1189</v>
      </c>
      <c r="F2075" s="8" t="s">
        <v>101</v>
      </c>
      <c r="G2075" s="7" t="s">
        <v>54</v>
      </c>
      <c r="H2075" s="47" t="s">
        <v>205</v>
      </c>
      <c r="I2075" s="47" t="s">
        <v>206</v>
      </c>
      <c r="J2075" s="6">
        <v>73</v>
      </c>
      <c r="K2075" s="8" t="s">
        <v>26</v>
      </c>
      <c r="L2075" s="1" t="s">
        <v>1189</v>
      </c>
      <c r="M2075" s="5">
        <v>51</v>
      </c>
    </row>
    <row r="2076" spans="1:13" ht="15" x14ac:dyDescent="0.25">
      <c r="A2076" s="7" t="s">
        <v>16</v>
      </c>
      <c r="B2076" s="7" t="s">
        <v>21</v>
      </c>
      <c r="C2076" s="7" t="s">
        <v>18</v>
      </c>
      <c r="D2076" s="4">
        <v>21299615000130</v>
      </c>
      <c r="E2076" s="8" t="s">
        <v>1192</v>
      </c>
      <c r="F2076" s="8" t="s">
        <v>102</v>
      </c>
      <c r="G2076" s="7" t="s">
        <v>54</v>
      </c>
      <c r="H2076" s="47" t="s">
        <v>205</v>
      </c>
      <c r="I2076" s="47" t="s">
        <v>206</v>
      </c>
      <c r="J2076" s="6">
        <v>66</v>
      </c>
      <c r="K2076" s="8" t="s">
        <v>28</v>
      </c>
      <c r="L2076" s="1" t="s">
        <v>1192</v>
      </c>
      <c r="M2076" s="5">
        <v>6</v>
      </c>
    </row>
    <row r="2077" spans="1:13" ht="15" x14ac:dyDescent="0.25">
      <c r="A2077" s="7" t="s">
        <v>16</v>
      </c>
      <c r="B2077" s="7" t="s">
        <v>21</v>
      </c>
      <c r="C2077" s="7" t="s">
        <v>18</v>
      </c>
      <c r="D2077" s="4">
        <v>23406564000124</v>
      </c>
      <c r="E2077" s="8" t="s">
        <v>1196</v>
      </c>
      <c r="F2077" s="8" t="s">
        <v>1197</v>
      </c>
      <c r="G2077" s="7" t="s">
        <v>54</v>
      </c>
      <c r="H2077" s="47" t="s">
        <v>205</v>
      </c>
      <c r="I2077" s="47" t="s">
        <v>206</v>
      </c>
      <c r="J2077" s="6">
        <v>66</v>
      </c>
      <c r="K2077" s="8" t="s">
        <v>28</v>
      </c>
      <c r="L2077" s="1" t="s">
        <v>1196</v>
      </c>
      <c r="M2077" s="5">
        <v>6</v>
      </c>
    </row>
    <row r="2078" spans="1:13" ht="15" x14ac:dyDescent="0.25">
      <c r="A2078" s="7" t="s">
        <v>16</v>
      </c>
      <c r="B2078" s="7" t="s">
        <v>17</v>
      </c>
      <c r="C2078" s="7" t="s">
        <v>18</v>
      </c>
      <c r="D2078" s="4">
        <v>76555069000143</v>
      </c>
      <c r="E2078" s="8" t="s">
        <v>983</v>
      </c>
      <c r="F2078" s="8" t="s">
        <v>94</v>
      </c>
      <c r="G2078" s="7" t="s">
        <v>57</v>
      </c>
      <c r="H2078" s="47" t="s">
        <v>205</v>
      </c>
      <c r="I2078" s="47" t="s">
        <v>206</v>
      </c>
      <c r="J2078" s="6">
        <v>62</v>
      </c>
      <c r="K2078" s="8" t="s">
        <v>27</v>
      </c>
      <c r="L2078" s="1" t="s">
        <v>983</v>
      </c>
      <c r="M2078" s="5">
        <v>2</v>
      </c>
    </row>
    <row r="2079" spans="1:13" ht="15" x14ac:dyDescent="0.25">
      <c r="A2079" s="7" t="s">
        <v>16</v>
      </c>
      <c r="B2079" s="7" t="s">
        <v>17</v>
      </c>
      <c r="C2079" s="7" t="s">
        <v>18</v>
      </c>
      <c r="D2079" s="4">
        <v>76591569000130</v>
      </c>
      <c r="E2079" s="8" t="s">
        <v>985</v>
      </c>
      <c r="F2079" s="8" t="s">
        <v>94</v>
      </c>
      <c r="G2079" s="7" t="s">
        <v>57</v>
      </c>
      <c r="H2079" s="47" t="s">
        <v>205</v>
      </c>
      <c r="I2079" s="47" t="s">
        <v>206</v>
      </c>
      <c r="J2079" s="6">
        <v>73</v>
      </c>
      <c r="K2079" s="8" t="s">
        <v>26</v>
      </c>
      <c r="L2079" s="1" t="s">
        <v>985</v>
      </c>
      <c r="M2079" s="5">
        <v>24</v>
      </c>
    </row>
    <row r="2080" spans="1:13" ht="15" x14ac:dyDescent="0.25">
      <c r="A2080" s="7" t="s">
        <v>16</v>
      </c>
      <c r="B2080" s="7" t="s">
        <v>17</v>
      </c>
      <c r="C2080" s="7" t="s">
        <v>18</v>
      </c>
      <c r="D2080" s="4">
        <v>80673411000187</v>
      </c>
      <c r="E2080" s="8" t="s">
        <v>999</v>
      </c>
      <c r="F2080" s="8" t="s">
        <v>930</v>
      </c>
      <c r="G2080" s="7" t="s">
        <v>68</v>
      </c>
      <c r="H2080" s="47" t="s">
        <v>205</v>
      </c>
      <c r="I2080" s="47" t="s">
        <v>206</v>
      </c>
      <c r="J2080" s="6">
        <v>66</v>
      </c>
      <c r="K2080" s="8" t="s">
        <v>28</v>
      </c>
      <c r="L2080" s="1" t="s">
        <v>999</v>
      </c>
      <c r="M2080" s="5">
        <v>74</v>
      </c>
    </row>
    <row r="2081" spans="1:13" ht="15" x14ac:dyDescent="0.25">
      <c r="A2081" s="7" t="s">
        <v>16</v>
      </c>
      <c r="B2081" s="7" t="s">
        <v>21</v>
      </c>
      <c r="C2081" s="7" t="s">
        <v>18</v>
      </c>
      <c r="D2081" s="4">
        <v>25415993000193</v>
      </c>
      <c r="E2081" s="8" t="s">
        <v>1200</v>
      </c>
      <c r="F2081" s="8" t="s">
        <v>88</v>
      </c>
      <c r="G2081" s="7" t="s">
        <v>54</v>
      </c>
      <c r="H2081" s="47" t="s">
        <v>205</v>
      </c>
      <c r="I2081" s="47" t="s">
        <v>206</v>
      </c>
      <c r="J2081" s="6">
        <v>62</v>
      </c>
      <c r="K2081" s="8" t="s">
        <v>27</v>
      </c>
      <c r="L2081" s="1" t="s">
        <v>1200</v>
      </c>
      <c r="M2081" s="5">
        <v>3</v>
      </c>
    </row>
    <row r="2082" spans="1:13" ht="15" x14ac:dyDescent="0.25">
      <c r="A2082" s="7" t="s">
        <v>16</v>
      </c>
      <c r="B2082" s="7" t="s">
        <v>17</v>
      </c>
      <c r="C2082" s="7" t="s">
        <v>18</v>
      </c>
      <c r="D2082" s="4">
        <v>83899526000425</v>
      </c>
      <c r="E2082" s="8" t="s">
        <v>1010</v>
      </c>
      <c r="F2082" s="8" t="s">
        <v>930</v>
      </c>
      <c r="G2082" s="7" t="s">
        <v>68</v>
      </c>
      <c r="H2082" s="47" t="s">
        <v>205</v>
      </c>
      <c r="I2082" s="47" t="s">
        <v>206</v>
      </c>
      <c r="J2082" s="6">
        <v>62</v>
      </c>
      <c r="K2082" s="8" t="s">
        <v>27</v>
      </c>
      <c r="L2082" s="1" t="s">
        <v>1010</v>
      </c>
      <c r="M2082" s="5">
        <v>17</v>
      </c>
    </row>
    <row r="2083" spans="1:13" ht="15" x14ac:dyDescent="0.25">
      <c r="A2083" s="7" t="s">
        <v>16</v>
      </c>
      <c r="B2083" s="7" t="s">
        <v>21</v>
      </c>
      <c r="C2083" s="7" t="s">
        <v>18</v>
      </c>
      <c r="D2083" s="4">
        <v>25761040000187</v>
      </c>
      <c r="E2083" s="8" t="s">
        <v>1202</v>
      </c>
      <c r="F2083" s="8" t="s">
        <v>1171</v>
      </c>
      <c r="G2083" s="7" t="s">
        <v>54</v>
      </c>
      <c r="H2083" s="47" t="s">
        <v>205</v>
      </c>
      <c r="I2083" s="47" t="s">
        <v>206</v>
      </c>
      <c r="J2083" s="6">
        <v>62</v>
      </c>
      <c r="K2083" s="8" t="s">
        <v>27</v>
      </c>
      <c r="L2083" s="1" t="s">
        <v>1202</v>
      </c>
      <c r="M2083" s="5">
        <v>2</v>
      </c>
    </row>
    <row r="2084" spans="1:13" ht="15" x14ac:dyDescent="0.25">
      <c r="A2084" s="7" t="s">
        <v>16</v>
      </c>
      <c r="B2084" s="7" t="s">
        <v>17</v>
      </c>
      <c r="C2084" s="7" t="s">
        <v>18</v>
      </c>
      <c r="D2084" s="4">
        <v>85377174000392</v>
      </c>
      <c r="E2084" s="8" t="s">
        <v>1012</v>
      </c>
      <c r="F2084" s="8" t="s">
        <v>938</v>
      </c>
      <c r="G2084" s="7" t="s">
        <v>68</v>
      </c>
      <c r="H2084" s="47" t="s">
        <v>205</v>
      </c>
      <c r="I2084" s="47" t="s">
        <v>206</v>
      </c>
      <c r="J2084" s="6">
        <v>73</v>
      </c>
      <c r="K2084" s="8" t="s">
        <v>26</v>
      </c>
      <c r="L2084" s="1" t="s">
        <v>1012</v>
      </c>
      <c r="M2084" s="5">
        <v>15</v>
      </c>
    </row>
    <row r="2085" spans="1:13" ht="15" x14ac:dyDescent="0.25">
      <c r="A2085" s="7" t="s">
        <v>16</v>
      </c>
      <c r="B2085" s="7" t="s">
        <v>17</v>
      </c>
      <c r="C2085" s="7" t="s">
        <v>18</v>
      </c>
      <c r="D2085" s="4">
        <v>87547444000120</v>
      </c>
      <c r="E2085" s="8" t="s">
        <v>1017</v>
      </c>
      <c r="F2085" s="8" t="s">
        <v>1018</v>
      </c>
      <c r="G2085" s="7" t="s">
        <v>67</v>
      </c>
      <c r="H2085" s="47" t="s">
        <v>205</v>
      </c>
      <c r="I2085" s="47" t="s">
        <v>206</v>
      </c>
      <c r="J2085" s="6">
        <v>64</v>
      </c>
      <c r="K2085" s="8" t="s">
        <v>25</v>
      </c>
      <c r="L2085" s="1" t="s">
        <v>1017</v>
      </c>
      <c r="M2085" s="5">
        <v>2</v>
      </c>
    </row>
    <row r="2086" spans="1:13" ht="15" x14ac:dyDescent="0.25">
      <c r="A2086" s="7" t="s">
        <v>16</v>
      </c>
      <c r="B2086" s="7" t="s">
        <v>17</v>
      </c>
      <c r="C2086" s="7" t="s">
        <v>18</v>
      </c>
      <c r="D2086" s="4">
        <v>87827689002405</v>
      </c>
      <c r="E2086" s="8" t="s">
        <v>1021</v>
      </c>
      <c r="F2086" s="8" t="s">
        <v>66</v>
      </c>
      <c r="G2086" s="7" t="s">
        <v>67</v>
      </c>
      <c r="H2086" s="47" t="s">
        <v>205</v>
      </c>
      <c r="I2086" s="47" t="s">
        <v>206</v>
      </c>
      <c r="J2086" s="6">
        <v>73</v>
      </c>
      <c r="K2086" s="8" t="s">
        <v>26</v>
      </c>
      <c r="L2086" s="1" t="s">
        <v>1021</v>
      </c>
      <c r="M2086" s="5">
        <v>38</v>
      </c>
    </row>
    <row r="2087" spans="1:13" ht="15" x14ac:dyDescent="0.25">
      <c r="A2087" s="7" t="s">
        <v>16</v>
      </c>
      <c r="B2087" s="7" t="s">
        <v>21</v>
      </c>
      <c r="C2087" s="7" t="s">
        <v>18</v>
      </c>
      <c r="D2087" s="4">
        <v>27578434001525</v>
      </c>
      <c r="E2087" s="8" t="s">
        <v>1208</v>
      </c>
      <c r="F2087" s="8" t="s">
        <v>1157</v>
      </c>
      <c r="G2087" s="7" t="s">
        <v>98</v>
      </c>
      <c r="H2087" s="47" t="s">
        <v>205</v>
      </c>
      <c r="I2087" s="47" t="s">
        <v>206</v>
      </c>
      <c r="J2087" s="6">
        <v>66</v>
      </c>
      <c r="K2087" s="8" t="s">
        <v>28</v>
      </c>
      <c r="L2087" s="1" t="s">
        <v>1208</v>
      </c>
      <c r="M2087" s="5">
        <v>4</v>
      </c>
    </row>
    <row r="2088" spans="1:13" ht="15" x14ac:dyDescent="0.25">
      <c r="A2088" s="7" t="s">
        <v>16</v>
      </c>
      <c r="B2088" s="7" t="s">
        <v>17</v>
      </c>
      <c r="C2088" s="7" t="s">
        <v>18</v>
      </c>
      <c r="D2088" s="4">
        <v>92021062000360</v>
      </c>
      <c r="E2088" s="8" t="s">
        <v>1027</v>
      </c>
      <c r="F2088" s="8" t="s">
        <v>96</v>
      </c>
      <c r="G2088" s="7" t="s">
        <v>67</v>
      </c>
      <c r="H2088" s="47" t="s">
        <v>205</v>
      </c>
      <c r="I2088" s="47" t="s">
        <v>206</v>
      </c>
      <c r="J2088" s="6">
        <v>73</v>
      </c>
      <c r="K2088" s="8" t="s">
        <v>26</v>
      </c>
      <c r="L2088" s="1" t="s">
        <v>1027</v>
      </c>
      <c r="M2088" s="5">
        <v>144</v>
      </c>
    </row>
    <row r="2089" spans="1:13" ht="15" x14ac:dyDescent="0.25">
      <c r="A2089" s="7" t="s">
        <v>16</v>
      </c>
      <c r="B2089" s="7" t="s">
        <v>17</v>
      </c>
      <c r="C2089" s="7" t="s">
        <v>18</v>
      </c>
      <c r="D2089" s="4">
        <v>95610887000146</v>
      </c>
      <c r="E2089" s="8" t="s">
        <v>1037</v>
      </c>
      <c r="F2089" s="8" t="s">
        <v>87</v>
      </c>
      <c r="G2089" s="7" t="s">
        <v>67</v>
      </c>
      <c r="H2089" s="47" t="s">
        <v>205</v>
      </c>
      <c r="I2089" s="47" t="s">
        <v>206</v>
      </c>
      <c r="J2089" s="6">
        <v>62</v>
      </c>
      <c r="K2089" s="8" t="s">
        <v>27</v>
      </c>
      <c r="L2089" s="1" t="s">
        <v>1037</v>
      </c>
      <c r="M2089" s="5">
        <v>4</v>
      </c>
    </row>
    <row r="2090" spans="1:13" ht="15" x14ac:dyDescent="0.25">
      <c r="A2090" s="7" t="s">
        <v>16</v>
      </c>
      <c r="B2090" s="7" t="s">
        <v>21</v>
      </c>
      <c r="C2090" s="7" t="s">
        <v>18</v>
      </c>
      <c r="D2090" s="4">
        <v>29640612000120</v>
      </c>
      <c r="E2090" s="8" t="s">
        <v>1055</v>
      </c>
      <c r="F2090" s="8" t="s">
        <v>103</v>
      </c>
      <c r="G2090" s="7" t="s">
        <v>61</v>
      </c>
      <c r="H2090" s="47" t="s">
        <v>205</v>
      </c>
      <c r="I2090" s="47" t="s">
        <v>206</v>
      </c>
      <c r="J2090" s="6">
        <v>62</v>
      </c>
      <c r="K2090" s="8" t="s">
        <v>27</v>
      </c>
      <c r="L2090" s="1" t="s">
        <v>1055</v>
      </c>
      <c r="M2090" s="5">
        <v>1</v>
      </c>
    </row>
    <row r="2091" spans="1:13" ht="15" x14ac:dyDescent="0.25">
      <c r="A2091" s="7" t="s">
        <v>16</v>
      </c>
      <c r="B2091" s="7" t="s">
        <v>21</v>
      </c>
      <c r="C2091" s="7" t="s">
        <v>18</v>
      </c>
      <c r="D2091" s="4">
        <v>29908956000178</v>
      </c>
      <c r="E2091" s="8" t="s">
        <v>975</v>
      </c>
      <c r="F2091" s="8" t="s">
        <v>104</v>
      </c>
      <c r="G2091" s="7" t="s">
        <v>67</v>
      </c>
      <c r="H2091" s="47" t="s">
        <v>205</v>
      </c>
      <c r="I2091" s="47" t="s">
        <v>206</v>
      </c>
      <c r="J2091" s="6">
        <v>66</v>
      </c>
      <c r="K2091" s="8" t="s">
        <v>28</v>
      </c>
      <c r="L2091" s="1" t="s">
        <v>975</v>
      </c>
      <c r="M2091" s="5">
        <v>4</v>
      </c>
    </row>
    <row r="2092" spans="1:13" ht="15" x14ac:dyDescent="0.25">
      <c r="A2092" s="7" t="s">
        <v>16</v>
      </c>
      <c r="B2092" s="7" t="s">
        <v>21</v>
      </c>
      <c r="C2092" s="7" t="s">
        <v>18</v>
      </c>
      <c r="D2092" s="4">
        <v>30079461000162</v>
      </c>
      <c r="E2092" s="8" t="s">
        <v>1056</v>
      </c>
      <c r="F2092" s="8" t="s">
        <v>1039</v>
      </c>
      <c r="G2092" s="7" t="s">
        <v>61</v>
      </c>
      <c r="H2092" s="47" t="s">
        <v>205</v>
      </c>
      <c r="I2092" s="47" t="s">
        <v>206</v>
      </c>
      <c r="J2092" s="6">
        <v>62</v>
      </c>
      <c r="K2092" s="8" t="s">
        <v>27</v>
      </c>
      <c r="L2092" s="1" t="s">
        <v>1056</v>
      </c>
      <c r="M2092" s="5">
        <v>2</v>
      </c>
    </row>
    <row r="2093" spans="1:13" ht="15" x14ac:dyDescent="0.25">
      <c r="A2093" s="7" t="s">
        <v>16</v>
      </c>
      <c r="B2093" s="7" t="s">
        <v>21</v>
      </c>
      <c r="C2093" s="7" t="s">
        <v>18</v>
      </c>
      <c r="D2093" s="4">
        <v>30079461000162</v>
      </c>
      <c r="E2093" s="8" t="s">
        <v>1056</v>
      </c>
      <c r="F2093" s="8" t="s">
        <v>1039</v>
      </c>
      <c r="G2093" s="7" t="s">
        <v>61</v>
      </c>
      <c r="H2093" s="47" t="s">
        <v>205</v>
      </c>
      <c r="I2093" s="47" t="s">
        <v>206</v>
      </c>
      <c r="J2093" s="6">
        <v>64</v>
      </c>
      <c r="K2093" s="8" t="s">
        <v>25</v>
      </c>
      <c r="L2093" s="1" t="s">
        <v>1056</v>
      </c>
      <c r="M2093" s="5">
        <v>16</v>
      </c>
    </row>
    <row r="2094" spans="1:13" ht="15" x14ac:dyDescent="0.25">
      <c r="A2094" s="7" t="s">
        <v>16</v>
      </c>
      <c r="B2094" s="7" t="s">
        <v>21</v>
      </c>
      <c r="C2094" s="7" t="s">
        <v>18</v>
      </c>
      <c r="D2094" s="4">
        <v>35917970000726</v>
      </c>
      <c r="E2094" s="8" t="s">
        <v>1062</v>
      </c>
      <c r="F2094" s="8" t="s">
        <v>105</v>
      </c>
      <c r="G2094" s="7" t="s">
        <v>61</v>
      </c>
      <c r="H2094" s="47" t="s">
        <v>205</v>
      </c>
      <c r="I2094" s="47" t="s">
        <v>206</v>
      </c>
      <c r="J2094" s="6">
        <v>73</v>
      </c>
      <c r="K2094" s="8" t="s">
        <v>26</v>
      </c>
      <c r="L2094" s="1" t="s">
        <v>1062</v>
      </c>
      <c r="M2094" s="5">
        <v>15</v>
      </c>
    </row>
    <row r="2095" spans="1:13" ht="15" x14ac:dyDescent="0.25">
      <c r="A2095" s="7" t="s">
        <v>16</v>
      </c>
      <c r="B2095" s="7" t="s">
        <v>21</v>
      </c>
      <c r="C2095" s="7" t="s">
        <v>18</v>
      </c>
      <c r="D2095" s="4">
        <v>60884855001207</v>
      </c>
      <c r="E2095" s="8" t="s">
        <v>1065</v>
      </c>
      <c r="F2095" s="8" t="s">
        <v>1039</v>
      </c>
      <c r="G2095" s="7" t="s">
        <v>61</v>
      </c>
      <c r="H2095" s="47" t="s">
        <v>205</v>
      </c>
      <c r="I2095" s="47" t="s">
        <v>206</v>
      </c>
      <c r="J2095" s="6">
        <v>62</v>
      </c>
      <c r="K2095" s="8" t="s">
        <v>27</v>
      </c>
      <c r="L2095" s="1" t="s">
        <v>1065</v>
      </c>
      <c r="M2095" s="5">
        <v>6</v>
      </c>
    </row>
    <row r="2096" spans="1:13" ht="15" x14ac:dyDescent="0.25">
      <c r="A2096" s="7" t="s">
        <v>16</v>
      </c>
      <c r="B2096" s="7" t="s">
        <v>21</v>
      </c>
      <c r="C2096" s="7" t="s">
        <v>18</v>
      </c>
      <c r="D2096" s="4">
        <v>60884855001207</v>
      </c>
      <c r="E2096" s="8" t="s">
        <v>1065</v>
      </c>
      <c r="F2096" s="8" t="s">
        <v>1039</v>
      </c>
      <c r="G2096" s="7" t="s">
        <v>61</v>
      </c>
      <c r="H2096" s="47" t="s">
        <v>205</v>
      </c>
      <c r="I2096" s="47" t="s">
        <v>206</v>
      </c>
      <c r="J2096" s="6">
        <v>64</v>
      </c>
      <c r="K2096" s="8" t="s">
        <v>25</v>
      </c>
      <c r="L2096" s="1" t="s">
        <v>1065</v>
      </c>
      <c r="M2096" s="5">
        <v>17</v>
      </c>
    </row>
    <row r="2097" spans="1:13" ht="15" x14ac:dyDescent="0.25">
      <c r="A2097" s="7" t="s">
        <v>16</v>
      </c>
      <c r="B2097" s="7" t="s">
        <v>21</v>
      </c>
      <c r="C2097" s="7" t="s">
        <v>18</v>
      </c>
      <c r="D2097" s="4">
        <v>60884855001207</v>
      </c>
      <c r="E2097" s="8" t="s">
        <v>1065</v>
      </c>
      <c r="F2097" s="8" t="s">
        <v>1039</v>
      </c>
      <c r="G2097" s="7" t="s">
        <v>61</v>
      </c>
      <c r="H2097" s="47" t="s">
        <v>205</v>
      </c>
      <c r="I2097" s="47" t="s">
        <v>206</v>
      </c>
      <c r="J2097" s="6">
        <v>73</v>
      </c>
      <c r="K2097" s="8" t="s">
        <v>26</v>
      </c>
      <c r="L2097" s="1" t="s">
        <v>1065</v>
      </c>
      <c r="M2097" s="5">
        <v>18</v>
      </c>
    </row>
    <row r="2098" spans="1:13" ht="15" x14ac:dyDescent="0.25">
      <c r="A2098" s="7" t="s">
        <v>16</v>
      </c>
      <c r="B2098" s="7" t="s">
        <v>21</v>
      </c>
      <c r="C2098" s="7" t="s">
        <v>18</v>
      </c>
      <c r="D2098" s="4">
        <v>60922168005226</v>
      </c>
      <c r="E2098" s="8" t="s">
        <v>977</v>
      </c>
      <c r="F2098" s="8" t="s">
        <v>93</v>
      </c>
      <c r="G2098" s="7" t="s">
        <v>68</v>
      </c>
      <c r="H2098" s="47" t="s">
        <v>205</v>
      </c>
      <c r="I2098" s="47" t="s">
        <v>206</v>
      </c>
      <c r="J2098" s="6">
        <v>62</v>
      </c>
      <c r="K2098" s="8" t="s">
        <v>27</v>
      </c>
      <c r="L2098" s="1" t="s">
        <v>977</v>
      </c>
      <c r="M2098" s="5">
        <v>7</v>
      </c>
    </row>
    <row r="2099" spans="1:13" ht="15" x14ac:dyDescent="0.25">
      <c r="A2099" s="7" t="s">
        <v>16</v>
      </c>
      <c r="B2099" s="7" t="s">
        <v>21</v>
      </c>
      <c r="C2099" s="7" t="s">
        <v>18</v>
      </c>
      <c r="D2099" s="4">
        <v>60922168005226</v>
      </c>
      <c r="E2099" s="8" t="s">
        <v>977</v>
      </c>
      <c r="F2099" s="8" t="s">
        <v>93</v>
      </c>
      <c r="G2099" s="7" t="s">
        <v>68</v>
      </c>
      <c r="H2099" s="47" t="s">
        <v>205</v>
      </c>
      <c r="I2099" s="47" t="s">
        <v>206</v>
      </c>
      <c r="J2099" s="6">
        <v>64</v>
      </c>
      <c r="K2099" s="8" t="s">
        <v>25</v>
      </c>
      <c r="L2099" s="1" t="s">
        <v>977</v>
      </c>
      <c r="M2099" s="5">
        <v>2</v>
      </c>
    </row>
    <row r="2100" spans="1:13" ht="15" x14ac:dyDescent="0.25">
      <c r="A2100" s="7" t="s">
        <v>16</v>
      </c>
      <c r="B2100" s="7" t="s">
        <v>21</v>
      </c>
      <c r="C2100" s="7" t="s">
        <v>18</v>
      </c>
      <c r="D2100" s="4">
        <v>68709211000212</v>
      </c>
      <c r="E2100" s="8" t="s">
        <v>1066</v>
      </c>
      <c r="F2100" s="8" t="s">
        <v>92</v>
      </c>
      <c r="G2100" s="7" t="s">
        <v>61</v>
      </c>
      <c r="H2100" s="47" t="s">
        <v>205</v>
      </c>
      <c r="I2100" s="47" t="s">
        <v>206</v>
      </c>
      <c r="J2100" s="6">
        <v>64</v>
      </c>
      <c r="K2100" s="8" t="s">
        <v>25</v>
      </c>
      <c r="L2100" s="1" t="s">
        <v>1066</v>
      </c>
      <c r="M2100" s="5">
        <v>1</v>
      </c>
    </row>
    <row r="2101" spans="1:13" ht="15" x14ac:dyDescent="0.25">
      <c r="A2101" s="7" t="s">
        <v>16</v>
      </c>
      <c r="B2101" s="7" t="s">
        <v>21</v>
      </c>
      <c r="C2101" s="7" t="s">
        <v>18</v>
      </c>
      <c r="D2101" s="4">
        <v>77858611001414</v>
      </c>
      <c r="E2101" s="8" t="s">
        <v>991</v>
      </c>
      <c r="F2101" s="8" t="s">
        <v>969</v>
      </c>
      <c r="G2101" s="7" t="s">
        <v>68</v>
      </c>
      <c r="H2101" s="47" t="s">
        <v>205</v>
      </c>
      <c r="I2101" s="47" t="s">
        <v>206</v>
      </c>
      <c r="J2101" s="6">
        <v>64</v>
      </c>
      <c r="K2101" s="8" t="s">
        <v>25</v>
      </c>
      <c r="L2101" s="1" t="s">
        <v>991</v>
      </c>
      <c r="M2101" s="5">
        <v>5</v>
      </c>
    </row>
    <row r="2102" spans="1:13" ht="15" x14ac:dyDescent="0.25">
      <c r="A2102" s="7" t="s">
        <v>16</v>
      </c>
      <c r="B2102" s="7" t="s">
        <v>21</v>
      </c>
      <c r="C2102" s="7" t="s">
        <v>18</v>
      </c>
      <c r="D2102" s="4">
        <v>80673411000187</v>
      </c>
      <c r="E2102" s="8" t="s">
        <v>999</v>
      </c>
      <c r="F2102" s="8" t="s">
        <v>930</v>
      </c>
      <c r="G2102" s="7" t="s">
        <v>68</v>
      </c>
      <c r="H2102" s="47" t="s">
        <v>205</v>
      </c>
      <c r="I2102" s="47" t="s">
        <v>206</v>
      </c>
      <c r="J2102" s="6">
        <v>73</v>
      </c>
      <c r="K2102" s="8" t="s">
        <v>26</v>
      </c>
      <c r="L2102" s="1" t="s">
        <v>999</v>
      </c>
      <c r="M2102" s="5">
        <v>48</v>
      </c>
    </row>
    <row r="2103" spans="1:13" ht="15" x14ac:dyDescent="0.25">
      <c r="A2103" s="7" t="s">
        <v>16</v>
      </c>
      <c r="B2103" s="7" t="s">
        <v>21</v>
      </c>
      <c r="C2103" s="7" t="s">
        <v>18</v>
      </c>
      <c r="D2103" s="4">
        <v>83899526000425</v>
      </c>
      <c r="E2103" s="8" t="s">
        <v>1010</v>
      </c>
      <c r="F2103" s="8" t="s">
        <v>930</v>
      </c>
      <c r="G2103" s="7" t="s">
        <v>68</v>
      </c>
      <c r="H2103" s="47" t="s">
        <v>205</v>
      </c>
      <c r="I2103" s="47" t="s">
        <v>206</v>
      </c>
      <c r="J2103" s="6">
        <v>62</v>
      </c>
      <c r="K2103" s="8" t="s">
        <v>27</v>
      </c>
      <c r="L2103" s="1" t="s">
        <v>1010</v>
      </c>
      <c r="M2103" s="5">
        <v>3</v>
      </c>
    </row>
    <row r="2104" spans="1:13" ht="15" x14ac:dyDescent="0.25">
      <c r="A2104" s="7" t="s">
        <v>16</v>
      </c>
      <c r="B2104" s="7" t="s">
        <v>21</v>
      </c>
      <c r="C2104" s="7" t="s">
        <v>18</v>
      </c>
      <c r="D2104" s="4">
        <v>85377174000392</v>
      </c>
      <c r="E2104" s="8" t="s">
        <v>1012</v>
      </c>
      <c r="F2104" s="8" t="s">
        <v>938</v>
      </c>
      <c r="G2104" s="7" t="s">
        <v>68</v>
      </c>
      <c r="H2104" s="47" t="s">
        <v>205</v>
      </c>
      <c r="I2104" s="47" t="s">
        <v>206</v>
      </c>
      <c r="J2104" s="6">
        <v>73</v>
      </c>
      <c r="K2104" s="8" t="s">
        <v>26</v>
      </c>
      <c r="L2104" s="1" t="s">
        <v>1012</v>
      </c>
      <c r="M2104" s="5">
        <v>12</v>
      </c>
    </row>
    <row r="2105" spans="1:13" ht="15" x14ac:dyDescent="0.25">
      <c r="A2105" s="7" t="s">
        <v>16</v>
      </c>
      <c r="B2105" s="7" t="s">
        <v>21</v>
      </c>
      <c r="C2105" s="7" t="s">
        <v>18</v>
      </c>
      <c r="D2105" s="4">
        <v>87547444000120</v>
      </c>
      <c r="E2105" s="8" t="s">
        <v>1017</v>
      </c>
      <c r="F2105" s="8" t="s">
        <v>1018</v>
      </c>
      <c r="G2105" s="7" t="s">
        <v>67</v>
      </c>
      <c r="H2105" s="47" t="s">
        <v>205</v>
      </c>
      <c r="I2105" s="47" t="s">
        <v>206</v>
      </c>
      <c r="J2105" s="6">
        <v>64</v>
      </c>
      <c r="K2105" s="8" t="s">
        <v>25</v>
      </c>
      <c r="L2105" s="1" t="s">
        <v>1017</v>
      </c>
      <c r="M2105" s="5">
        <v>5</v>
      </c>
    </row>
    <row r="2106" spans="1:13" ht="15" x14ac:dyDescent="0.25">
      <c r="A2106" s="7" t="s">
        <v>16</v>
      </c>
      <c r="B2106" s="7" t="s">
        <v>21</v>
      </c>
      <c r="C2106" s="7" t="s">
        <v>18</v>
      </c>
      <c r="D2106" s="4">
        <v>87827689002405</v>
      </c>
      <c r="E2106" s="8" t="s">
        <v>1021</v>
      </c>
      <c r="F2106" s="8" t="s">
        <v>66</v>
      </c>
      <c r="G2106" s="7" t="s">
        <v>67</v>
      </c>
      <c r="H2106" s="47" t="s">
        <v>205</v>
      </c>
      <c r="I2106" s="47" t="s">
        <v>206</v>
      </c>
      <c r="J2106" s="6">
        <v>73</v>
      </c>
      <c r="K2106" s="8" t="s">
        <v>26</v>
      </c>
      <c r="L2106" s="1" t="s">
        <v>1021</v>
      </c>
      <c r="M2106" s="5">
        <v>274</v>
      </c>
    </row>
    <row r="2107" spans="1:13" ht="15" x14ac:dyDescent="0.25">
      <c r="A2107" s="7" t="s">
        <v>16</v>
      </c>
      <c r="B2107" s="7" t="s">
        <v>21</v>
      </c>
      <c r="C2107" s="7" t="s">
        <v>18</v>
      </c>
      <c r="D2107" s="4">
        <v>88645403001372</v>
      </c>
      <c r="E2107" s="8" t="s">
        <v>1025</v>
      </c>
      <c r="F2107" s="8" t="s">
        <v>66</v>
      </c>
      <c r="G2107" s="7" t="s">
        <v>67</v>
      </c>
      <c r="H2107" s="47" t="s">
        <v>205</v>
      </c>
      <c r="I2107" s="47" t="s">
        <v>206</v>
      </c>
      <c r="J2107" s="6">
        <v>73</v>
      </c>
      <c r="K2107" s="8" t="s">
        <v>26</v>
      </c>
      <c r="L2107" s="1" t="s">
        <v>1025</v>
      </c>
      <c r="M2107" s="5">
        <v>32</v>
      </c>
    </row>
    <row r="2108" spans="1:13" ht="15" x14ac:dyDescent="0.25">
      <c r="A2108" s="7" t="s">
        <v>16</v>
      </c>
      <c r="B2108" s="7" t="s">
        <v>21</v>
      </c>
      <c r="C2108" s="7" t="s">
        <v>18</v>
      </c>
      <c r="D2108" s="4">
        <v>92404789000164</v>
      </c>
      <c r="E2108" s="8" t="s">
        <v>1028</v>
      </c>
      <c r="F2108" s="8" t="s">
        <v>106</v>
      </c>
      <c r="G2108" s="7" t="s">
        <v>67</v>
      </c>
      <c r="H2108" s="47" t="s">
        <v>205</v>
      </c>
      <c r="I2108" s="47" t="s">
        <v>206</v>
      </c>
      <c r="J2108" s="6">
        <v>73</v>
      </c>
      <c r="K2108" s="8" t="s">
        <v>26</v>
      </c>
      <c r="L2108" s="1" t="s">
        <v>1028</v>
      </c>
      <c r="M2108" s="5">
        <v>8</v>
      </c>
    </row>
    <row r="2109" spans="1:13" ht="15" x14ac:dyDescent="0.25">
      <c r="A2109" s="7" t="s">
        <v>16</v>
      </c>
      <c r="B2109" s="7" t="s">
        <v>21</v>
      </c>
      <c r="C2109" s="7" t="s">
        <v>18</v>
      </c>
      <c r="D2109" s="4">
        <v>95610887000146</v>
      </c>
      <c r="E2109" s="8" t="s">
        <v>1037</v>
      </c>
      <c r="F2109" s="8" t="s">
        <v>87</v>
      </c>
      <c r="G2109" s="7" t="s">
        <v>67</v>
      </c>
      <c r="H2109" s="47" t="s">
        <v>205</v>
      </c>
      <c r="I2109" s="47" t="s">
        <v>206</v>
      </c>
      <c r="J2109" s="6">
        <v>62</v>
      </c>
      <c r="K2109" s="8" t="s">
        <v>27</v>
      </c>
      <c r="L2109" s="1" t="s">
        <v>1037</v>
      </c>
      <c r="M2109" s="5">
        <v>9</v>
      </c>
    </row>
    <row r="2110" spans="1:13" ht="15" x14ac:dyDescent="0.25">
      <c r="A2110" s="7" t="s">
        <v>16</v>
      </c>
      <c r="B2110" s="7" t="s">
        <v>21</v>
      </c>
      <c r="C2110" s="7" t="s">
        <v>18</v>
      </c>
      <c r="D2110" s="4">
        <v>95610887000146</v>
      </c>
      <c r="E2110" s="8" t="s">
        <v>1037</v>
      </c>
      <c r="F2110" s="8" t="s">
        <v>87</v>
      </c>
      <c r="G2110" s="7" t="s">
        <v>67</v>
      </c>
      <c r="H2110" s="47" t="s">
        <v>205</v>
      </c>
      <c r="I2110" s="47" t="s">
        <v>206</v>
      </c>
      <c r="J2110" s="6">
        <v>64</v>
      </c>
      <c r="K2110" s="8" t="s">
        <v>25</v>
      </c>
      <c r="L2110" s="1" t="s">
        <v>1037</v>
      </c>
      <c r="M2110" s="5">
        <v>9</v>
      </c>
    </row>
    <row r="2111" spans="1:13" ht="15" x14ac:dyDescent="0.25">
      <c r="A2111" s="7" t="s">
        <v>16</v>
      </c>
      <c r="B2111" s="7" t="s">
        <v>22</v>
      </c>
      <c r="C2111" s="7" t="s">
        <v>18</v>
      </c>
      <c r="D2111" s="4">
        <v>48063983904</v>
      </c>
      <c r="E2111" s="8" t="s">
        <v>929</v>
      </c>
      <c r="F2111" s="8" t="s">
        <v>930</v>
      </c>
      <c r="G2111" s="7" t="s">
        <v>68</v>
      </c>
      <c r="H2111" s="47" t="s">
        <v>205</v>
      </c>
      <c r="I2111" s="47" t="s">
        <v>206</v>
      </c>
      <c r="J2111" s="6">
        <v>66</v>
      </c>
      <c r="K2111" s="8" t="s">
        <v>28</v>
      </c>
      <c r="L2111" s="1" t="s">
        <v>929</v>
      </c>
      <c r="M2111" s="5">
        <v>59</v>
      </c>
    </row>
    <row r="2112" spans="1:13" ht="15" x14ac:dyDescent="0.25">
      <c r="A2112" s="7" t="s">
        <v>16</v>
      </c>
      <c r="B2112" s="7" t="s">
        <v>22</v>
      </c>
      <c r="C2112" s="7" t="s">
        <v>18</v>
      </c>
      <c r="D2112" s="4">
        <v>410960000120</v>
      </c>
      <c r="E2112" s="8" t="s">
        <v>1137</v>
      </c>
      <c r="F2112" s="8" t="s">
        <v>58</v>
      </c>
      <c r="G2112" s="7" t="s">
        <v>54</v>
      </c>
      <c r="H2112" s="47" t="s">
        <v>205</v>
      </c>
      <c r="I2112" s="47" t="s">
        <v>206</v>
      </c>
      <c r="J2112" s="6">
        <v>73</v>
      </c>
      <c r="K2112" s="8" t="s">
        <v>26</v>
      </c>
      <c r="L2112" s="1" t="s">
        <v>1137</v>
      </c>
      <c r="M2112" s="5">
        <v>46</v>
      </c>
    </row>
    <row r="2113" spans="1:13" ht="15" x14ac:dyDescent="0.25">
      <c r="A2113" s="7" t="s">
        <v>16</v>
      </c>
      <c r="B2113" s="7" t="s">
        <v>22</v>
      </c>
      <c r="C2113" s="7" t="s">
        <v>18</v>
      </c>
      <c r="D2113" s="4">
        <v>437007000175</v>
      </c>
      <c r="E2113" s="8" t="s">
        <v>1038</v>
      </c>
      <c r="F2113" s="8" t="s">
        <v>1039</v>
      </c>
      <c r="G2113" s="7" t="s">
        <v>61</v>
      </c>
      <c r="H2113" s="47" t="s">
        <v>205</v>
      </c>
      <c r="I2113" s="47" t="s">
        <v>206</v>
      </c>
      <c r="J2113" s="6">
        <v>73</v>
      </c>
      <c r="K2113" s="8" t="s">
        <v>26</v>
      </c>
      <c r="L2113" s="1" t="s">
        <v>1038</v>
      </c>
      <c r="M2113" s="5">
        <v>298</v>
      </c>
    </row>
    <row r="2114" spans="1:13" ht="15" x14ac:dyDescent="0.25">
      <c r="A2114" s="7" t="s">
        <v>16</v>
      </c>
      <c r="B2114" s="7" t="s">
        <v>22</v>
      </c>
      <c r="C2114" s="7" t="s">
        <v>18</v>
      </c>
      <c r="D2114" s="4">
        <v>1517626000132</v>
      </c>
      <c r="E2114" s="8" t="s">
        <v>937</v>
      </c>
      <c r="F2114" s="8" t="s">
        <v>938</v>
      </c>
      <c r="G2114" s="7" t="s">
        <v>68</v>
      </c>
      <c r="H2114" s="47" t="s">
        <v>205</v>
      </c>
      <c r="I2114" s="47" t="s">
        <v>206</v>
      </c>
      <c r="J2114" s="6">
        <v>73</v>
      </c>
      <c r="K2114" s="8" t="s">
        <v>26</v>
      </c>
      <c r="L2114" s="1" t="s">
        <v>937</v>
      </c>
      <c r="M2114" s="5">
        <v>12</v>
      </c>
    </row>
    <row r="2115" spans="1:13" ht="15" x14ac:dyDescent="0.25">
      <c r="A2115" s="7" t="s">
        <v>16</v>
      </c>
      <c r="B2115" s="7" t="s">
        <v>22</v>
      </c>
      <c r="C2115" s="7" t="s">
        <v>18</v>
      </c>
      <c r="D2115" s="4">
        <v>6047087001372</v>
      </c>
      <c r="E2115" s="8" t="s">
        <v>1041</v>
      </c>
      <c r="F2115" s="8" t="s">
        <v>78</v>
      </c>
      <c r="G2115" s="7" t="s">
        <v>61</v>
      </c>
      <c r="H2115" s="47" t="s">
        <v>205</v>
      </c>
      <c r="I2115" s="47" t="s">
        <v>206</v>
      </c>
      <c r="J2115" s="6">
        <v>64</v>
      </c>
      <c r="K2115" s="8" t="s">
        <v>25</v>
      </c>
      <c r="L2115" s="1" t="s">
        <v>1041</v>
      </c>
      <c r="M2115" s="5">
        <v>2</v>
      </c>
    </row>
    <row r="2116" spans="1:13" ht="15" x14ac:dyDescent="0.25">
      <c r="A2116" s="7" t="s">
        <v>16</v>
      </c>
      <c r="B2116" s="7" t="s">
        <v>22</v>
      </c>
      <c r="C2116" s="7" t="s">
        <v>18</v>
      </c>
      <c r="D2116" s="4">
        <v>7734165000136</v>
      </c>
      <c r="E2116" s="8" t="s">
        <v>954</v>
      </c>
      <c r="F2116" s="8" t="s">
        <v>94</v>
      </c>
      <c r="G2116" s="7" t="s">
        <v>57</v>
      </c>
      <c r="H2116" s="47" t="s">
        <v>205</v>
      </c>
      <c r="I2116" s="47" t="s">
        <v>206</v>
      </c>
      <c r="J2116" s="6">
        <v>73</v>
      </c>
      <c r="K2116" s="8" t="s">
        <v>26</v>
      </c>
      <c r="L2116" s="1" t="s">
        <v>954</v>
      </c>
      <c r="M2116" s="5">
        <v>96</v>
      </c>
    </row>
    <row r="2117" spans="1:13" ht="15" x14ac:dyDescent="0.25">
      <c r="A2117" s="7" t="s">
        <v>16</v>
      </c>
      <c r="B2117" s="7" t="s">
        <v>22</v>
      </c>
      <c r="C2117" s="7" t="s">
        <v>18</v>
      </c>
      <c r="D2117" s="4">
        <v>7794623001528</v>
      </c>
      <c r="E2117" s="8" t="s">
        <v>1042</v>
      </c>
      <c r="F2117" s="8" t="s">
        <v>1043</v>
      </c>
      <c r="G2117" s="7" t="s">
        <v>61</v>
      </c>
      <c r="H2117" s="47" t="s">
        <v>205</v>
      </c>
      <c r="I2117" s="47" t="s">
        <v>206</v>
      </c>
      <c r="J2117" s="6">
        <v>73</v>
      </c>
      <c r="K2117" s="8" t="s">
        <v>26</v>
      </c>
      <c r="L2117" s="1" t="s">
        <v>1042</v>
      </c>
      <c r="M2117" s="5">
        <v>28</v>
      </c>
    </row>
    <row r="2118" spans="1:13" ht="15" x14ac:dyDescent="0.25">
      <c r="A2118" s="7" t="s">
        <v>16</v>
      </c>
      <c r="B2118" s="7" t="s">
        <v>22</v>
      </c>
      <c r="C2118" s="7" t="s">
        <v>18</v>
      </c>
      <c r="D2118" s="4">
        <v>10558548000105</v>
      </c>
      <c r="E2118" s="8" t="s">
        <v>1045</v>
      </c>
      <c r="F2118" s="8" t="s">
        <v>108</v>
      </c>
      <c r="G2118" s="7" t="s">
        <v>61</v>
      </c>
      <c r="H2118" s="47" t="s">
        <v>205</v>
      </c>
      <c r="I2118" s="47" t="s">
        <v>206</v>
      </c>
      <c r="J2118" s="6">
        <v>66</v>
      </c>
      <c r="K2118" s="8" t="s">
        <v>28</v>
      </c>
      <c r="L2118" s="1" t="s">
        <v>1045</v>
      </c>
      <c r="M2118" s="5">
        <v>3</v>
      </c>
    </row>
    <row r="2119" spans="1:13" ht="15" x14ac:dyDescent="0.25">
      <c r="A2119" s="7" t="s">
        <v>16</v>
      </c>
      <c r="B2119" s="7" t="s">
        <v>22</v>
      </c>
      <c r="C2119" s="7" t="s">
        <v>18</v>
      </c>
      <c r="D2119" s="4">
        <v>10586940000168</v>
      </c>
      <c r="E2119" s="8" t="s">
        <v>1156</v>
      </c>
      <c r="F2119" s="8" t="s">
        <v>1157</v>
      </c>
      <c r="G2119" s="7" t="s">
        <v>98</v>
      </c>
      <c r="H2119" s="47" t="s">
        <v>205</v>
      </c>
      <c r="I2119" s="47" t="s">
        <v>206</v>
      </c>
      <c r="J2119" s="6">
        <v>62</v>
      </c>
      <c r="K2119" s="8" t="s">
        <v>27</v>
      </c>
      <c r="L2119" s="1" t="s">
        <v>1156</v>
      </c>
      <c r="M2119" s="5">
        <v>10</v>
      </c>
    </row>
    <row r="2120" spans="1:13" ht="15" x14ac:dyDescent="0.25">
      <c r="A2120" s="7" t="s">
        <v>16</v>
      </c>
      <c r="B2120" s="7" t="s">
        <v>22</v>
      </c>
      <c r="C2120" s="7" t="s">
        <v>18</v>
      </c>
      <c r="D2120" s="4">
        <v>10586940000168</v>
      </c>
      <c r="E2120" s="8" t="s">
        <v>1156</v>
      </c>
      <c r="F2120" s="8" t="s">
        <v>1157</v>
      </c>
      <c r="G2120" s="7" t="s">
        <v>98</v>
      </c>
      <c r="H2120" s="47" t="s">
        <v>205</v>
      </c>
      <c r="I2120" s="47" t="s">
        <v>206</v>
      </c>
      <c r="J2120" s="6">
        <v>64</v>
      </c>
      <c r="K2120" s="8" t="s">
        <v>25</v>
      </c>
      <c r="L2120" s="1" t="s">
        <v>1156</v>
      </c>
      <c r="M2120" s="5">
        <v>25</v>
      </c>
    </row>
    <row r="2121" spans="1:13" ht="15" x14ac:dyDescent="0.25">
      <c r="A2121" s="7" t="s">
        <v>16</v>
      </c>
      <c r="B2121" s="7" t="s">
        <v>22</v>
      </c>
      <c r="C2121" s="7" t="s">
        <v>18</v>
      </c>
      <c r="D2121" s="4">
        <v>10586940000168</v>
      </c>
      <c r="E2121" s="8" t="s">
        <v>1156</v>
      </c>
      <c r="F2121" s="8" t="s">
        <v>1157</v>
      </c>
      <c r="G2121" s="7" t="s">
        <v>98</v>
      </c>
      <c r="H2121" s="47" t="s">
        <v>205</v>
      </c>
      <c r="I2121" s="47" t="s">
        <v>206</v>
      </c>
      <c r="J2121" s="6">
        <v>73</v>
      </c>
      <c r="K2121" s="8" t="s">
        <v>26</v>
      </c>
      <c r="L2121" s="1" t="s">
        <v>1156</v>
      </c>
      <c r="M2121" s="5">
        <v>98</v>
      </c>
    </row>
    <row r="2122" spans="1:13" ht="15" x14ac:dyDescent="0.25">
      <c r="A2122" s="7" t="s">
        <v>16</v>
      </c>
      <c r="B2122" s="7" t="s">
        <v>22</v>
      </c>
      <c r="C2122" s="7" t="s">
        <v>18</v>
      </c>
      <c r="D2122" s="4">
        <v>14408631000159</v>
      </c>
      <c r="E2122" s="8" t="s">
        <v>1163</v>
      </c>
      <c r="F2122" s="8" t="s">
        <v>1164</v>
      </c>
      <c r="G2122" s="7" t="s">
        <v>54</v>
      </c>
      <c r="H2122" s="47" t="s">
        <v>205</v>
      </c>
      <c r="I2122" s="47" t="s">
        <v>206</v>
      </c>
      <c r="J2122" s="6">
        <v>73</v>
      </c>
      <c r="K2122" s="8" t="s">
        <v>26</v>
      </c>
      <c r="L2122" s="1" t="s">
        <v>1163</v>
      </c>
      <c r="M2122" s="5">
        <v>8</v>
      </c>
    </row>
    <row r="2123" spans="1:13" ht="15" x14ac:dyDescent="0.25">
      <c r="A2123" s="7" t="s">
        <v>16</v>
      </c>
      <c r="B2123" s="7" t="s">
        <v>22</v>
      </c>
      <c r="C2123" s="7" t="s">
        <v>18</v>
      </c>
      <c r="D2123" s="4">
        <v>16676520000582</v>
      </c>
      <c r="E2123" s="8" t="s">
        <v>1169</v>
      </c>
      <c r="F2123" s="8" t="s">
        <v>58</v>
      </c>
      <c r="G2123" s="7" t="s">
        <v>54</v>
      </c>
      <c r="H2123" s="47" t="s">
        <v>205</v>
      </c>
      <c r="I2123" s="47" t="s">
        <v>206</v>
      </c>
      <c r="J2123" s="6">
        <v>62</v>
      </c>
      <c r="K2123" s="8" t="s">
        <v>27</v>
      </c>
      <c r="L2123" s="1" t="s">
        <v>1169</v>
      </c>
      <c r="M2123" s="5">
        <v>2</v>
      </c>
    </row>
    <row r="2124" spans="1:13" ht="15" x14ac:dyDescent="0.25">
      <c r="A2124" s="7" t="s">
        <v>16</v>
      </c>
      <c r="B2124" s="7" t="s">
        <v>22</v>
      </c>
      <c r="C2124" s="7" t="s">
        <v>18</v>
      </c>
      <c r="D2124" s="4">
        <v>17087591000189</v>
      </c>
      <c r="E2124" s="8" t="s">
        <v>1170</v>
      </c>
      <c r="F2124" s="8" t="s">
        <v>1171</v>
      </c>
      <c r="G2124" s="7" t="s">
        <v>54</v>
      </c>
      <c r="H2124" s="47" t="s">
        <v>205</v>
      </c>
      <c r="I2124" s="47" t="s">
        <v>206</v>
      </c>
      <c r="J2124" s="6">
        <v>62</v>
      </c>
      <c r="K2124" s="8" t="s">
        <v>27</v>
      </c>
      <c r="L2124" s="1" t="s">
        <v>1170</v>
      </c>
      <c r="M2124" s="5">
        <v>2</v>
      </c>
    </row>
    <row r="2125" spans="1:13" ht="15" x14ac:dyDescent="0.25">
      <c r="A2125" s="7" t="s">
        <v>16</v>
      </c>
      <c r="B2125" s="7" t="s">
        <v>22</v>
      </c>
      <c r="C2125" s="7" t="s">
        <v>18</v>
      </c>
      <c r="D2125" s="4">
        <v>17214149000176</v>
      </c>
      <c r="E2125" s="8" t="s">
        <v>1172</v>
      </c>
      <c r="F2125" s="8" t="s">
        <v>58</v>
      </c>
      <c r="G2125" s="7" t="s">
        <v>54</v>
      </c>
      <c r="H2125" s="47" t="s">
        <v>205</v>
      </c>
      <c r="I2125" s="47" t="s">
        <v>206</v>
      </c>
      <c r="J2125" s="6">
        <v>62</v>
      </c>
      <c r="K2125" s="8" t="s">
        <v>27</v>
      </c>
      <c r="L2125" s="1" t="s">
        <v>1172</v>
      </c>
      <c r="M2125" s="5">
        <v>8</v>
      </c>
    </row>
    <row r="2126" spans="1:13" ht="15" x14ac:dyDescent="0.25">
      <c r="A2126" s="7" t="s">
        <v>16</v>
      </c>
      <c r="B2126" s="7" t="s">
        <v>22</v>
      </c>
      <c r="C2126" s="7" t="s">
        <v>18</v>
      </c>
      <c r="D2126" s="4">
        <v>17689407000928</v>
      </c>
      <c r="E2126" s="8" t="s">
        <v>1174</v>
      </c>
      <c r="F2126" s="8" t="s">
        <v>88</v>
      </c>
      <c r="G2126" s="7" t="s">
        <v>54</v>
      </c>
      <c r="H2126" s="47" t="s">
        <v>205</v>
      </c>
      <c r="I2126" s="47" t="s">
        <v>206</v>
      </c>
      <c r="J2126" s="6">
        <v>73</v>
      </c>
      <c r="K2126" s="8" t="s">
        <v>26</v>
      </c>
      <c r="L2126" s="1" t="s">
        <v>1174</v>
      </c>
      <c r="M2126" s="5">
        <v>6</v>
      </c>
    </row>
    <row r="2127" spans="1:13" ht="15" x14ac:dyDescent="0.25">
      <c r="A2127" s="7" t="s">
        <v>16</v>
      </c>
      <c r="B2127" s="7" t="s">
        <v>22</v>
      </c>
      <c r="C2127" s="7" t="s">
        <v>18</v>
      </c>
      <c r="D2127" s="4">
        <v>18836965000184</v>
      </c>
      <c r="E2127" s="8" t="s">
        <v>1177</v>
      </c>
      <c r="F2127" s="8" t="s">
        <v>111</v>
      </c>
      <c r="G2127" s="7" t="s">
        <v>54</v>
      </c>
      <c r="H2127" s="47" t="s">
        <v>205</v>
      </c>
      <c r="I2127" s="47" t="s">
        <v>206</v>
      </c>
      <c r="J2127" s="6">
        <v>73</v>
      </c>
      <c r="K2127" s="8" t="s">
        <v>26</v>
      </c>
      <c r="L2127" s="1" t="s">
        <v>1177</v>
      </c>
      <c r="M2127" s="5">
        <v>20</v>
      </c>
    </row>
    <row r="2128" spans="1:13" ht="15" x14ac:dyDescent="0.25">
      <c r="A2128" s="7" t="s">
        <v>16</v>
      </c>
      <c r="B2128" s="7" t="s">
        <v>22</v>
      </c>
      <c r="C2128" s="7" t="s">
        <v>18</v>
      </c>
      <c r="D2128" s="4">
        <v>19878404000100</v>
      </c>
      <c r="E2128" s="8" t="s">
        <v>1184</v>
      </c>
      <c r="F2128" s="8" t="s">
        <v>89</v>
      </c>
      <c r="G2128" s="7" t="s">
        <v>54</v>
      </c>
      <c r="H2128" s="47" t="s">
        <v>205</v>
      </c>
      <c r="I2128" s="47" t="s">
        <v>206</v>
      </c>
      <c r="J2128" s="6">
        <v>73</v>
      </c>
      <c r="K2128" s="8" t="s">
        <v>26</v>
      </c>
      <c r="L2128" s="1" t="s">
        <v>1184</v>
      </c>
      <c r="M2128" s="5">
        <v>52</v>
      </c>
    </row>
    <row r="2129" spans="1:13" ht="15" x14ac:dyDescent="0.25">
      <c r="A2129" s="7" t="s">
        <v>16</v>
      </c>
      <c r="B2129" s="7" t="s">
        <v>22</v>
      </c>
      <c r="C2129" s="7" t="s">
        <v>18</v>
      </c>
      <c r="D2129" s="4">
        <v>20150900000122</v>
      </c>
      <c r="E2129" s="8" t="s">
        <v>1185</v>
      </c>
      <c r="F2129" s="8" t="s">
        <v>1171</v>
      </c>
      <c r="G2129" s="7" t="s">
        <v>54</v>
      </c>
      <c r="H2129" s="47" t="s">
        <v>205</v>
      </c>
      <c r="I2129" s="47" t="s">
        <v>206</v>
      </c>
      <c r="J2129" s="6">
        <v>73</v>
      </c>
      <c r="K2129" s="8" t="s">
        <v>26</v>
      </c>
      <c r="L2129" s="1" t="s">
        <v>1185</v>
      </c>
      <c r="M2129" s="5">
        <v>18</v>
      </c>
    </row>
    <row r="2130" spans="1:13" ht="15" x14ac:dyDescent="0.25">
      <c r="A2130" s="7" t="s">
        <v>16</v>
      </c>
      <c r="B2130" s="7" t="s">
        <v>22</v>
      </c>
      <c r="C2130" s="7" t="s">
        <v>18</v>
      </c>
      <c r="D2130" s="4">
        <v>20909271000171</v>
      </c>
      <c r="E2130" s="8" t="s">
        <v>1189</v>
      </c>
      <c r="F2130" s="8" t="s">
        <v>101</v>
      </c>
      <c r="G2130" s="7" t="s">
        <v>54</v>
      </c>
      <c r="H2130" s="47" t="s">
        <v>205</v>
      </c>
      <c r="I2130" s="47" t="s">
        <v>206</v>
      </c>
      <c r="J2130" s="6">
        <v>73</v>
      </c>
      <c r="K2130" s="8" t="s">
        <v>26</v>
      </c>
      <c r="L2130" s="1" t="s">
        <v>1189</v>
      </c>
      <c r="M2130" s="5">
        <v>70</v>
      </c>
    </row>
    <row r="2131" spans="1:13" ht="15" x14ac:dyDescent="0.25">
      <c r="A2131" s="7" t="s">
        <v>16</v>
      </c>
      <c r="B2131" s="7" t="s">
        <v>22</v>
      </c>
      <c r="C2131" s="7" t="s">
        <v>18</v>
      </c>
      <c r="D2131" s="4">
        <v>25308058000128</v>
      </c>
      <c r="E2131" s="8" t="s">
        <v>1047</v>
      </c>
      <c r="F2131" s="8" t="s">
        <v>1048</v>
      </c>
      <c r="G2131" s="7" t="s">
        <v>61</v>
      </c>
      <c r="H2131" s="47" t="s">
        <v>205</v>
      </c>
      <c r="I2131" s="47" t="s">
        <v>206</v>
      </c>
      <c r="J2131" s="6">
        <v>64</v>
      </c>
      <c r="K2131" s="8" t="s">
        <v>25</v>
      </c>
      <c r="L2131" s="1" t="s">
        <v>1047</v>
      </c>
      <c r="M2131" s="5">
        <v>2</v>
      </c>
    </row>
    <row r="2132" spans="1:13" ht="15" x14ac:dyDescent="0.25">
      <c r="A2132" s="7" t="s">
        <v>16</v>
      </c>
      <c r="B2132" s="7" t="s">
        <v>22</v>
      </c>
      <c r="C2132" s="7" t="s">
        <v>18</v>
      </c>
      <c r="D2132" s="4">
        <v>25761040000187</v>
      </c>
      <c r="E2132" s="8" t="s">
        <v>1202</v>
      </c>
      <c r="F2132" s="8" t="s">
        <v>1171</v>
      </c>
      <c r="G2132" s="7" t="s">
        <v>54</v>
      </c>
      <c r="H2132" s="47" t="s">
        <v>205</v>
      </c>
      <c r="I2132" s="47" t="s">
        <v>206</v>
      </c>
      <c r="J2132" s="6">
        <v>62</v>
      </c>
      <c r="K2132" s="8" t="s">
        <v>27</v>
      </c>
      <c r="L2132" s="1" t="s">
        <v>1202</v>
      </c>
      <c r="M2132" s="5">
        <v>6</v>
      </c>
    </row>
    <row r="2133" spans="1:13" ht="15" x14ac:dyDescent="0.25">
      <c r="A2133" s="7" t="s">
        <v>16</v>
      </c>
      <c r="B2133" s="7" t="s">
        <v>22</v>
      </c>
      <c r="C2133" s="7" t="s">
        <v>18</v>
      </c>
      <c r="D2133" s="4">
        <v>28806545000532</v>
      </c>
      <c r="E2133" s="8" t="s">
        <v>1050</v>
      </c>
      <c r="F2133" s="8" t="s">
        <v>1051</v>
      </c>
      <c r="G2133" s="7" t="s">
        <v>61</v>
      </c>
      <c r="H2133" s="47" t="s">
        <v>205</v>
      </c>
      <c r="I2133" s="47" t="s">
        <v>206</v>
      </c>
      <c r="J2133" s="6">
        <v>73</v>
      </c>
      <c r="K2133" s="8" t="s">
        <v>26</v>
      </c>
      <c r="L2133" s="1" t="s">
        <v>1050</v>
      </c>
      <c r="M2133" s="5">
        <v>96</v>
      </c>
    </row>
    <row r="2134" spans="1:13" ht="15" x14ac:dyDescent="0.25">
      <c r="A2134" s="7" t="s">
        <v>16</v>
      </c>
      <c r="B2134" s="7" t="s">
        <v>22</v>
      </c>
      <c r="C2134" s="7" t="s">
        <v>18</v>
      </c>
      <c r="D2134" s="4">
        <v>29072642000188</v>
      </c>
      <c r="E2134" s="8" t="s">
        <v>1052</v>
      </c>
      <c r="F2134" s="8" t="s">
        <v>92</v>
      </c>
      <c r="G2134" s="7" t="s">
        <v>61</v>
      </c>
      <c r="H2134" s="47" t="s">
        <v>205</v>
      </c>
      <c r="I2134" s="47" t="s">
        <v>206</v>
      </c>
      <c r="J2134" s="6">
        <v>64</v>
      </c>
      <c r="K2134" s="8" t="s">
        <v>25</v>
      </c>
      <c r="L2134" s="1" t="s">
        <v>1052</v>
      </c>
      <c r="M2134" s="5">
        <v>10</v>
      </c>
    </row>
    <row r="2135" spans="1:13" ht="15" x14ac:dyDescent="0.25">
      <c r="A2135" s="7" t="s">
        <v>16</v>
      </c>
      <c r="B2135" s="7" t="s">
        <v>22</v>
      </c>
      <c r="C2135" s="7" t="s">
        <v>18</v>
      </c>
      <c r="D2135" s="4">
        <v>35917970000726</v>
      </c>
      <c r="E2135" s="8" t="s">
        <v>1062</v>
      </c>
      <c r="F2135" s="8" t="s">
        <v>105</v>
      </c>
      <c r="G2135" s="7" t="s">
        <v>61</v>
      </c>
      <c r="H2135" s="47" t="s">
        <v>205</v>
      </c>
      <c r="I2135" s="47" t="s">
        <v>206</v>
      </c>
      <c r="J2135" s="6">
        <v>73</v>
      </c>
      <c r="K2135" s="8" t="s">
        <v>26</v>
      </c>
      <c r="L2135" s="1" t="s">
        <v>1062</v>
      </c>
      <c r="M2135" s="5">
        <v>30</v>
      </c>
    </row>
    <row r="2136" spans="1:13" ht="15" x14ac:dyDescent="0.25">
      <c r="A2136" s="7" t="s">
        <v>16</v>
      </c>
      <c r="B2136" s="7" t="s">
        <v>22</v>
      </c>
      <c r="C2136" s="7" t="s">
        <v>18</v>
      </c>
      <c r="D2136" s="4">
        <v>36238913000198</v>
      </c>
      <c r="E2136" s="8" t="s">
        <v>1063</v>
      </c>
      <c r="F2136" s="8" t="s">
        <v>1064</v>
      </c>
      <c r="G2136" s="7" t="s">
        <v>61</v>
      </c>
      <c r="H2136" s="47" t="s">
        <v>205</v>
      </c>
      <c r="I2136" s="47" t="s">
        <v>206</v>
      </c>
      <c r="J2136" s="6">
        <v>73</v>
      </c>
      <c r="K2136" s="8" t="s">
        <v>26</v>
      </c>
      <c r="L2136" s="1" t="s">
        <v>1063</v>
      </c>
      <c r="M2136" s="5">
        <v>200</v>
      </c>
    </row>
    <row r="2137" spans="1:13" ht="15" x14ac:dyDescent="0.25">
      <c r="A2137" s="7" t="s">
        <v>16</v>
      </c>
      <c r="B2137" s="7" t="s">
        <v>22</v>
      </c>
      <c r="C2137" s="7" t="s">
        <v>18</v>
      </c>
      <c r="D2137" s="4">
        <v>60194990000844</v>
      </c>
      <c r="E2137" s="8" t="s">
        <v>1231</v>
      </c>
      <c r="F2137" s="8" t="s">
        <v>58</v>
      </c>
      <c r="G2137" s="7" t="s">
        <v>54</v>
      </c>
      <c r="H2137" s="47" t="s">
        <v>205</v>
      </c>
      <c r="I2137" s="47" t="s">
        <v>206</v>
      </c>
      <c r="J2137" s="6">
        <v>62</v>
      </c>
      <c r="K2137" s="8" t="s">
        <v>27</v>
      </c>
      <c r="L2137" s="1" t="s">
        <v>1231</v>
      </c>
      <c r="M2137" s="5">
        <v>3</v>
      </c>
    </row>
    <row r="2138" spans="1:13" ht="15" x14ac:dyDescent="0.25">
      <c r="A2138" s="7" t="s">
        <v>16</v>
      </c>
      <c r="B2138" s="7" t="s">
        <v>22</v>
      </c>
      <c r="C2138" s="7" t="s">
        <v>18</v>
      </c>
      <c r="D2138" s="4">
        <v>60884855001207</v>
      </c>
      <c r="E2138" s="8" t="s">
        <v>1065</v>
      </c>
      <c r="F2138" s="8" t="s">
        <v>1039</v>
      </c>
      <c r="G2138" s="7" t="s">
        <v>61</v>
      </c>
      <c r="H2138" s="47" t="s">
        <v>205</v>
      </c>
      <c r="I2138" s="47" t="s">
        <v>206</v>
      </c>
      <c r="J2138" s="6">
        <v>62</v>
      </c>
      <c r="K2138" s="8" t="s">
        <v>27</v>
      </c>
      <c r="L2138" s="1" t="s">
        <v>1065</v>
      </c>
      <c r="M2138" s="5">
        <v>13</v>
      </c>
    </row>
    <row r="2139" spans="1:13" ht="15" x14ac:dyDescent="0.25">
      <c r="A2139" s="7" t="s">
        <v>16</v>
      </c>
      <c r="B2139" s="7" t="s">
        <v>22</v>
      </c>
      <c r="C2139" s="7" t="s">
        <v>18</v>
      </c>
      <c r="D2139" s="4">
        <v>60884855001207</v>
      </c>
      <c r="E2139" s="8" t="s">
        <v>1065</v>
      </c>
      <c r="F2139" s="8" t="s">
        <v>1039</v>
      </c>
      <c r="G2139" s="7" t="s">
        <v>61</v>
      </c>
      <c r="H2139" s="47" t="s">
        <v>205</v>
      </c>
      <c r="I2139" s="47" t="s">
        <v>206</v>
      </c>
      <c r="J2139" s="6">
        <v>73</v>
      </c>
      <c r="K2139" s="8" t="s">
        <v>26</v>
      </c>
      <c r="L2139" s="1" t="s">
        <v>1065</v>
      </c>
      <c r="M2139" s="5">
        <v>40</v>
      </c>
    </row>
    <row r="2140" spans="1:13" ht="15" x14ac:dyDescent="0.25">
      <c r="A2140" s="7" t="s">
        <v>16</v>
      </c>
      <c r="B2140" s="7" t="s">
        <v>22</v>
      </c>
      <c r="C2140" s="7" t="s">
        <v>18</v>
      </c>
      <c r="D2140" s="4">
        <v>60922168005226</v>
      </c>
      <c r="E2140" s="8" t="s">
        <v>977</v>
      </c>
      <c r="F2140" s="8" t="s">
        <v>93</v>
      </c>
      <c r="G2140" s="7" t="s">
        <v>68</v>
      </c>
      <c r="H2140" s="47" t="s">
        <v>205</v>
      </c>
      <c r="I2140" s="47" t="s">
        <v>206</v>
      </c>
      <c r="J2140" s="6">
        <v>64</v>
      </c>
      <c r="K2140" s="8" t="s">
        <v>25</v>
      </c>
      <c r="L2140" s="1" t="s">
        <v>977</v>
      </c>
      <c r="M2140" s="5">
        <v>1</v>
      </c>
    </row>
    <row r="2141" spans="1:13" ht="15" x14ac:dyDescent="0.25">
      <c r="A2141" s="7" t="s">
        <v>16</v>
      </c>
      <c r="B2141" s="7" t="s">
        <v>22</v>
      </c>
      <c r="C2141" s="7" t="s">
        <v>18</v>
      </c>
      <c r="D2141" s="4">
        <v>76555069000143</v>
      </c>
      <c r="E2141" s="8" t="s">
        <v>983</v>
      </c>
      <c r="F2141" s="8" t="s">
        <v>94</v>
      </c>
      <c r="G2141" s="7" t="s">
        <v>57</v>
      </c>
      <c r="H2141" s="47" t="s">
        <v>205</v>
      </c>
      <c r="I2141" s="47" t="s">
        <v>206</v>
      </c>
      <c r="J2141" s="6">
        <v>62</v>
      </c>
      <c r="K2141" s="8" t="s">
        <v>27</v>
      </c>
      <c r="L2141" s="1" t="s">
        <v>983</v>
      </c>
      <c r="M2141" s="5">
        <v>2</v>
      </c>
    </row>
    <row r="2142" spans="1:13" ht="15" x14ac:dyDescent="0.25">
      <c r="A2142" s="7" t="s">
        <v>16</v>
      </c>
      <c r="B2142" s="7" t="s">
        <v>22</v>
      </c>
      <c r="C2142" s="7" t="s">
        <v>18</v>
      </c>
      <c r="D2142" s="4">
        <v>76591569000130</v>
      </c>
      <c r="E2142" s="8" t="s">
        <v>985</v>
      </c>
      <c r="F2142" s="8" t="s">
        <v>94</v>
      </c>
      <c r="G2142" s="7" t="s">
        <v>57</v>
      </c>
      <c r="H2142" s="47" t="s">
        <v>205</v>
      </c>
      <c r="I2142" s="47" t="s">
        <v>206</v>
      </c>
      <c r="J2142" s="6">
        <v>73</v>
      </c>
      <c r="K2142" s="8" t="s">
        <v>26</v>
      </c>
      <c r="L2142" s="1" t="s">
        <v>985</v>
      </c>
      <c r="M2142" s="5">
        <v>12</v>
      </c>
    </row>
    <row r="2143" spans="1:13" ht="15" x14ac:dyDescent="0.25">
      <c r="A2143" s="7" t="s">
        <v>16</v>
      </c>
      <c r="B2143" s="7" t="s">
        <v>22</v>
      </c>
      <c r="C2143" s="7" t="s">
        <v>18</v>
      </c>
      <c r="D2143" s="4">
        <v>80673411000187</v>
      </c>
      <c r="E2143" s="8" t="s">
        <v>999</v>
      </c>
      <c r="F2143" s="8" t="s">
        <v>930</v>
      </c>
      <c r="G2143" s="7" t="s">
        <v>68</v>
      </c>
      <c r="H2143" s="47" t="s">
        <v>205</v>
      </c>
      <c r="I2143" s="47" t="s">
        <v>206</v>
      </c>
      <c r="J2143" s="6">
        <v>66</v>
      </c>
      <c r="K2143" s="8" t="s">
        <v>28</v>
      </c>
      <c r="L2143" s="1" t="s">
        <v>999</v>
      </c>
      <c r="M2143" s="5">
        <v>76</v>
      </c>
    </row>
    <row r="2144" spans="1:13" ht="15" x14ac:dyDescent="0.25">
      <c r="A2144" s="7" t="s">
        <v>16</v>
      </c>
      <c r="B2144" s="7" t="s">
        <v>22</v>
      </c>
      <c r="C2144" s="7" t="s">
        <v>18</v>
      </c>
      <c r="D2144" s="4">
        <v>81270548000153</v>
      </c>
      <c r="E2144" s="8" t="s">
        <v>1002</v>
      </c>
      <c r="F2144" s="8" t="s">
        <v>112</v>
      </c>
      <c r="G2144" s="7" t="s">
        <v>57</v>
      </c>
      <c r="H2144" s="47" t="s">
        <v>205</v>
      </c>
      <c r="I2144" s="47" t="s">
        <v>206</v>
      </c>
      <c r="J2144" s="6">
        <v>62</v>
      </c>
      <c r="K2144" s="8" t="s">
        <v>27</v>
      </c>
      <c r="L2144" s="1" t="s">
        <v>1002</v>
      </c>
      <c r="M2144" s="5">
        <v>3</v>
      </c>
    </row>
    <row r="2145" spans="1:13" ht="15" x14ac:dyDescent="0.25">
      <c r="A2145" s="7" t="s">
        <v>16</v>
      </c>
      <c r="B2145" s="7" t="s">
        <v>22</v>
      </c>
      <c r="C2145" s="7" t="s">
        <v>18</v>
      </c>
      <c r="D2145" s="4">
        <v>83899526000425</v>
      </c>
      <c r="E2145" s="8" t="s">
        <v>1010</v>
      </c>
      <c r="F2145" s="8" t="s">
        <v>930</v>
      </c>
      <c r="G2145" s="7" t="s">
        <v>68</v>
      </c>
      <c r="H2145" s="47" t="s">
        <v>205</v>
      </c>
      <c r="I2145" s="47" t="s">
        <v>206</v>
      </c>
      <c r="J2145" s="6">
        <v>62</v>
      </c>
      <c r="K2145" s="8" t="s">
        <v>27</v>
      </c>
      <c r="L2145" s="1" t="s">
        <v>1010</v>
      </c>
      <c r="M2145" s="5">
        <v>6</v>
      </c>
    </row>
    <row r="2146" spans="1:13" ht="15" x14ac:dyDescent="0.25">
      <c r="A2146" s="7" t="s">
        <v>16</v>
      </c>
      <c r="B2146" s="7" t="s">
        <v>22</v>
      </c>
      <c r="C2146" s="7" t="s">
        <v>18</v>
      </c>
      <c r="D2146" s="4">
        <v>85377174000392</v>
      </c>
      <c r="E2146" s="8" t="s">
        <v>1012</v>
      </c>
      <c r="F2146" s="8" t="s">
        <v>938</v>
      </c>
      <c r="G2146" s="7" t="s">
        <v>68</v>
      </c>
      <c r="H2146" s="47" t="s">
        <v>205</v>
      </c>
      <c r="I2146" s="47" t="s">
        <v>206</v>
      </c>
      <c r="J2146" s="6">
        <v>73</v>
      </c>
      <c r="K2146" s="8" t="s">
        <v>26</v>
      </c>
      <c r="L2146" s="1" t="s">
        <v>1012</v>
      </c>
      <c r="M2146" s="5">
        <v>18</v>
      </c>
    </row>
    <row r="2147" spans="1:13" ht="15" x14ac:dyDescent="0.25">
      <c r="A2147" s="7" t="s">
        <v>16</v>
      </c>
      <c r="B2147" s="7" t="s">
        <v>22</v>
      </c>
      <c r="C2147" s="7" t="s">
        <v>18</v>
      </c>
      <c r="D2147" s="4">
        <v>87827689002405</v>
      </c>
      <c r="E2147" s="8" t="s">
        <v>1021</v>
      </c>
      <c r="F2147" s="8" t="s">
        <v>66</v>
      </c>
      <c r="G2147" s="7" t="s">
        <v>67</v>
      </c>
      <c r="H2147" s="47" t="s">
        <v>205</v>
      </c>
      <c r="I2147" s="47" t="s">
        <v>206</v>
      </c>
      <c r="J2147" s="6">
        <v>73</v>
      </c>
      <c r="K2147" s="8" t="s">
        <v>26</v>
      </c>
      <c r="L2147" s="1" t="s">
        <v>1021</v>
      </c>
      <c r="M2147" s="5">
        <v>209</v>
      </c>
    </row>
    <row r="2148" spans="1:13" ht="15" x14ac:dyDescent="0.25">
      <c r="A2148" s="7" t="s">
        <v>16</v>
      </c>
      <c r="B2148" s="7" t="s">
        <v>22</v>
      </c>
      <c r="C2148" s="7" t="s">
        <v>18</v>
      </c>
      <c r="D2148" s="4">
        <v>88645403001372</v>
      </c>
      <c r="E2148" s="8" t="s">
        <v>1025</v>
      </c>
      <c r="F2148" s="8" t="s">
        <v>66</v>
      </c>
      <c r="G2148" s="7" t="s">
        <v>67</v>
      </c>
      <c r="H2148" s="47" t="s">
        <v>205</v>
      </c>
      <c r="I2148" s="47" t="s">
        <v>206</v>
      </c>
      <c r="J2148" s="6">
        <v>73</v>
      </c>
      <c r="K2148" s="8" t="s">
        <v>26</v>
      </c>
      <c r="L2148" s="1" t="s">
        <v>1025</v>
      </c>
      <c r="M2148" s="5">
        <v>32</v>
      </c>
    </row>
    <row r="2149" spans="1:13" ht="15" x14ac:dyDescent="0.25">
      <c r="A2149" s="7" t="s">
        <v>16</v>
      </c>
      <c r="B2149" s="7" t="s">
        <v>22</v>
      </c>
      <c r="C2149" s="7" t="s">
        <v>18</v>
      </c>
      <c r="D2149" s="4">
        <v>92404789000164</v>
      </c>
      <c r="E2149" s="8" t="s">
        <v>1028</v>
      </c>
      <c r="F2149" s="8" t="s">
        <v>106</v>
      </c>
      <c r="G2149" s="7" t="s">
        <v>67</v>
      </c>
      <c r="H2149" s="47" t="s">
        <v>205</v>
      </c>
      <c r="I2149" s="47" t="s">
        <v>206</v>
      </c>
      <c r="J2149" s="6">
        <v>73</v>
      </c>
      <c r="K2149" s="8" t="s">
        <v>26</v>
      </c>
      <c r="L2149" s="1" t="s">
        <v>1028</v>
      </c>
      <c r="M2149" s="5">
        <v>16</v>
      </c>
    </row>
    <row r="2150" spans="1:13" ht="15" x14ac:dyDescent="0.25">
      <c r="A2150" s="7" t="s">
        <v>16</v>
      </c>
      <c r="B2150" s="7" t="s">
        <v>22</v>
      </c>
      <c r="C2150" s="7" t="s">
        <v>18</v>
      </c>
      <c r="D2150" s="4">
        <v>95610887000146</v>
      </c>
      <c r="E2150" s="8" t="s">
        <v>1037</v>
      </c>
      <c r="F2150" s="8" t="s">
        <v>87</v>
      </c>
      <c r="G2150" s="7" t="s">
        <v>67</v>
      </c>
      <c r="H2150" s="47" t="s">
        <v>205</v>
      </c>
      <c r="I2150" s="47" t="s">
        <v>206</v>
      </c>
      <c r="J2150" s="6">
        <v>62</v>
      </c>
      <c r="K2150" s="8" t="s">
        <v>27</v>
      </c>
      <c r="L2150" s="1" t="s">
        <v>1037</v>
      </c>
      <c r="M2150" s="5">
        <v>3</v>
      </c>
    </row>
    <row r="2151" spans="1:13" ht="15" x14ac:dyDescent="0.25">
      <c r="A2151" s="7" t="s">
        <v>16</v>
      </c>
      <c r="B2151" s="7" t="s">
        <v>23</v>
      </c>
      <c r="C2151" s="7" t="s">
        <v>24</v>
      </c>
      <c r="D2151" s="4">
        <v>304148000110</v>
      </c>
      <c r="E2151" s="8" t="s">
        <v>932</v>
      </c>
      <c r="F2151" s="8" t="s">
        <v>933</v>
      </c>
      <c r="G2151" s="7" t="s">
        <v>57</v>
      </c>
      <c r="H2151" s="47" t="s">
        <v>205</v>
      </c>
      <c r="I2151" s="47" t="s">
        <v>206</v>
      </c>
      <c r="J2151" s="6">
        <v>73</v>
      </c>
      <c r="K2151" s="8" t="s">
        <v>26</v>
      </c>
      <c r="L2151" s="1" t="s">
        <v>932</v>
      </c>
      <c r="M2151" s="5">
        <v>16</v>
      </c>
    </row>
    <row r="2152" spans="1:13" ht="15" x14ac:dyDescent="0.25">
      <c r="A2152" s="7" t="s">
        <v>16</v>
      </c>
      <c r="B2152" s="7" t="s">
        <v>23</v>
      </c>
      <c r="C2152" s="7" t="s">
        <v>24</v>
      </c>
      <c r="D2152" s="4">
        <v>410960000120</v>
      </c>
      <c r="E2152" s="8" t="s">
        <v>1137</v>
      </c>
      <c r="F2152" s="8" t="s">
        <v>58</v>
      </c>
      <c r="G2152" s="7" t="s">
        <v>54</v>
      </c>
      <c r="H2152" s="47" t="s">
        <v>205</v>
      </c>
      <c r="I2152" s="47" t="s">
        <v>206</v>
      </c>
      <c r="J2152" s="6">
        <v>73</v>
      </c>
      <c r="K2152" s="8" t="s">
        <v>26</v>
      </c>
      <c r="L2152" s="1" t="s">
        <v>1137</v>
      </c>
      <c r="M2152" s="5">
        <v>58</v>
      </c>
    </row>
    <row r="2153" spans="1:13" ht="15" x14ac:dyDescent="0.25">
      <c r="A2153" s="7" t="s">
        <v>16</v>
      </c>
      <c r="B2153" s="7" t="s">
        <v>23</v>
      </c>
      <c r="C2153" s="7" t="s">
        <v>24</v>
      </c>
      <c r="D2153" s="4">
        <v>437007000175</v>
      </c>
      <c r="E2153" s="8" t="s">
        <v>1038</v>
      </c>
      <c r="F2153" s="8" t="s">
        <v>1039</v>
      </c>
      <c r="G2153" s="7" t="s">
        <v>61</v>
      </c>
      <c r="H2153" s="47" t="s">
        <v>205</v>
      </c>
      <c r="I2153" s="47" t="s">
        <v>206</v>
      </c>
      <c r="J2153" s="6">
        <v>73</v>
      </c>
      <c r="K2153" s="8" t="s">
        <v>26</v>
      </c>
      <c r="L2153" s="1" t="s">
        <v>1038</v>
      </c>
      <c r="M2153" s="5">
        <v>369</v>
      </c>
    </row>
    <row r="2154" spans="1:13" ht="15" x14ac:dyDescent="0.25">
      <c r="A2154" s="7" t="s">
        <v>16</v>
      </c>
      <c r="B2154" s="7" t="s">
        <v>23</v>
      </c>
      <c r="C2154" s="7" t="s">
        <v>24</v>
      </c>
      <c r="D2154" s="4">
        <v>3123393000208</v>
      </c>
      <c r="E2154" s="8" t="s">
        <v>943</v>
      </c>
      <c r="F2154" s="8" t="s">
        <v>541</v>
      </c>
      <c r="G2154" s="7" t="s">
        <v>67</v>
      </c>
      <c r="H2154" s="47" t="s">
        <v>205</v>
      </c>
      <c r="I2154" s="47" t="s">
        <v>206</v>
      </c>
      <c r="J2154" s="6">
        <v>73</v>
      </c>
      <c r="K2154" s="8" t="s">
        <v>26</v>
      </c>
      <c r="L2154" s="1" t="s">
        <v>943</v>
      </c>
      <c r="M2154" s="5">
        <v>3</v>
      </c>
    </row>
    <row r="2155" spans="1:13" ht="15" x14ac:dyDescent="0.25">
      <c r="A2155" s="7" t="s">
        <v>16</v>
      </c>
      <c r="B2155" s="7" t="s">
        <v>23</v>
      </c>
      <c r="C2155" s="7" t="s">
        <v>24</v>
      </c>
      <c r="D2155" s="4">
        <v>6047087001372</v>
      </c>
      <c r="E2155" s="8" t="s">
        <v>1041</v>
      </c>
      <c r="F2155" s="8" t="s">
        <v>78</v>
      </c>
      <c r="G2155" s="7" t="s">
        <v>61</v>
      </c>
      <c r="H2155" s="47" t="s">
        <v>205</v>
      </c>
      <c r="I2155" s="47" t="s">
        <v>206</v>
      </c>
      <c r="J2155" s="6">
        <v>64</v>
      </c>
      <c r="K2155" s="8" t="s">
        <v>25</v>
      </c>
      <c r="L2155" s="1" t="s">
        <v>1041</v>
      </c>
      <c r="M2155" s="5">
        <v>9</v>
      </c>
    </row>
    <row r="2156" spans="1:13" ht="15" x14ac:dyDescent="0.25">
      <c r="A2156" s="7" t="s">
        <v>16</v>
      </c>
      <c r="B2156" s="7" t="s">
        <v>23</v>
      </c>
      <c r="C2156" s="7" t="s">
        <v>24</v>
      </c>
      <c r="D2156" s="4">
        <v>14408631000159</v>
      </c>
      <c r="E2156" s="8" t="s">
        <v>1163</v>
      </c>
      <c r="F2156" s="8" t="s">
        <v>1164</v>
      </c>
      <c r="G2156" s="7" t="s">
        <v>54</v>
      </c>
      <c r="H2156" s="47" t="s">
        <v>205</v>
      </c>
      <c r="I2156" s="47" t="s">
        <v>206</v>
      </c>
      <c r="J2156" s="6">
        <v>73</v>
      </c>
      <c r="K2156" s="8" t="s">
        <v>26</v>
      </c>
      <c r="L2156" s="1" t="s">
        <v>1163</v>
      </c>
      <c r="M2156" s="5">
        <v>12</v>
      </c>
    </row>
    <row r="2157" spans="1:13" ht="15" x14ac:dyDescent="0.25">
      <c r="A2157" s="7" t="s">
        <v>16</v>
      </c>
      <c r="B2157" s="7" t="s">
        <v>23</v>
      </c>
      <c r="C2157" s="7" t="s">
        <v>24</v>
      </c>
      <c r="D2157" s="4">
        <v>15126437001972</v>
      </c>
      <c r="E2157" s="8" t="s">
        <v>966</v>
      </c>
      <c r="F2157" s="8" t="s">
        <v>87</v>
      </c>
      <c r="G2157" s="7" t="s">
        <v>67</v>
      </c>
      <c r="H2157" s="47" t="s">
        <v>205</v>
      </c>
      <c r="I2157" s="47" t="s">
        <v>206</v>
      </c>
      <c r="J2157" s="6">
        <v>64</v>
      </c>
      <c r="K2157" s="8" t="s">
        <v>25</v>
      </c>
      <c r="L2157" s="1" t="s">
        <v>966</v>
      </c>
      <c r="M2157" s="5">
        <v>10</v>
      </c>
    </row>
    <row r="2158" spans="1:13" ht="15" x14ac:dyDescent="0.25">
      <c r="A2158" s="7" t="s">
        <v>16</v>
      </c>
      <c r="B2158" s="7" t="s">
        <v>23</v>
      </c>
      <c r="C2158" s="7" t="s">
        <v>24</v>
      </c>
      <c r="D2158" s="4">
        <v>16676520000159</v>
      </c>
      <c r="E2158" s="8" t="s">
        <v>1168</v>
      </c>
      <c r="F2158" s="8" t="s">
        <v>58</v>
      </c>
      <c r="G2158" s="7" t="s">
        <v>54</v>
      </c>
      <c r="H2158" s="47" t="s">
        <v>205</v>
      </c>
      <c r="I2158" s="47" t="s">
        <v>206</v>
      </c>
      <c r="J2158" s="6">
        <v>62</v>
      </c>
      <c r="K2158" s="8" t="s">
        <v>27</v>
      </c>
      <c r="L2158" s="1" t="s">
        <v>1168</v>
      </c>
      <c r="M2158" s="5">
        <v>4</v>
      </c>
    </row>
    <row r="2159" spans="1:13" ht="15" x14ac:dyDescent="0.25">
      <c r="A2159" s="7" t="s">
        <v>16</v>
      </c>
      <c r="B2159" s="7" t="s">
        <v>23</v>
      </c>
      <c r="C2159" s="7" t="s">
        <v>24</v>
      </c>
      <c r="D2159" s="4">
        <v>17087591000189</v>
      </c>
      <c r="E2159" s="8" t="s">
        <v>1170</v>
      </c>
      <c r="F2159" s="8" t="s">
        <v>1171</v>
      </c>
      <c r="G2159" s="7" t="s">
        <v>54</v>
      </c>
      <c r="H2159" s="47" t="s">
        <v>205</v>
      </c>
      <c r="I2159" s="47" t="s">
        <v>206</v>
      </c>
      <c r="J2159" s="6">
        <v>62</v>
      </c>
      <c r="K2159" s="8" t="s">
        <v>27</v>
      </c>
      <c r="L2159" s="1" t="s">
        <v>1170</v>
      </c>
      <c r="M2159" s="5">
        <v>3</v>
      </c>
    </row>
    <row r="2160" spans="1:13" ht="15" x14ac:dyDescent="0.25">
      <c r="A2160" s="7" t="s">
        <v>16</v>
      </c>
      <c r="B2160" s="7" t="s">
        <v>23</v>
      </c>
      <c r="C2160" s="7" t="s">
        <v>24</v>
      </c>
      <c r="D2160" s="4">
        <v>17214149000176</v>
      </c>
      <c r="E2160" s="8" t="s">
        <v>1172</v>
      </c>
      <c r="F2160" s="8" t="s">
        <v>58</v>
      </c>
      <c r="G2160" s="7" t="s">
        <v>54</v>
      </c>
      <c r="H2160" s="47" t="s">
        <v>205</v>
      </c>
      <c r="I2160" s="47" t="s">
        <v>206</v>
      </c>
      <c r="J2160" s="6">
        <v>62</v>
      </c>
      <c r="K2160" s="8" t="s">
        <v>27</v>
      </c>
      <c r="L2160" s="1" t="s">
        <v>1172</v>
      </c>
      <c r="M2160" s="5">
        <v>56</v>
      </c>
    </row>
    <row r="2161" spans="1:13" ht="15" x14ac:dyDescent="0.25">
      <c r="A2161" s="7" t="s">
        <v>16</v>
      </c>
      <c r="B2161" s="7" t="s">
        <v>23</v>
      </c>
      <c r="C2161" s="7" t="s">
        <v>24</v>
      </c>
      <c r="D2161" s="4">
        <v>17217332003906</v>
      </c>
      <c r="E2161" s="8" t="s">
        <v>1173</v>
      </c>
      <c r="F2161" s="8" t="s">
        <v>58</v>
      </c>
      <c r="G2161" s="7" t="s">
        <v>54</v>
      </c>
      <c r="H2161" s="47" t="s">
        <v>205</v>
      </c>
      <c r="I2161" s="47" t="s">
        <v>206</v>
      </c>
      <c r="J2161" s="6">
        <v>73</v>
      </c>
      <c r="K2161" s="8" t="s">
        <v>26</v>
      </c>
      <c r="L2161" s="1" t="s">
        <v>1173</v>
      </c>
      <c r="M2161" s="5">
        <v>220</v>
      </c>
    </row>
    <row r="2162" spans="1:13" ht="15" x14ac:dyDescent="0.25">
      <c r="A2162" s="7" t="s">
        <v>16</v>
      </c>
      <c r="B2162" s="7" t="s">
        <v>23</v>
      </c>
      <c r="C2162" s="7" t="s">
        <v>24</v>
      </c>
      <c r="D2162" s="4">
        <v>17689407000928</v>
      </c>
      <c r="E2162" s="8" t="s">
        <v>1174</v>
      </c>
      <c r="F2162" s="8" t="s">
        <v>88</v>
      </c>
      <c r="G2162" s="7" t="s">
        <v>54</v>
      </c>
      <c r="H2162" s="47" t="s">
        <v>205</v>
      </c>
      <c r="I2162" s="47" t="s">
        <v>206</v>
      </c>
      <c r="J2162" s="6">
        <v>73</v>
      </c>
      <c r="K2162" s="8" t="s">
        <v>26</v>
      </c>
      <c r="L2162" s="1" t="s">
        <v>1174</v>
      </c>
      <c r="M2162" s="5">
        <v>11</v>
      </c>
    </row>
    <row r="2163" spans="1:13" ht="15" x14ac:dyDescent="0.25">
      <c r="A2163" s="7" t="s">
        <v>16</v>
      </c>
      <c r="B2163" s="7" t="s">
        <v>23</v>
      </c>
      <c r="C2163" s="7" t="s">
        <v>24</v>
      </c>
      <c r="D2163" s="4">
        <v>19843929001506</v>
      </c>
      <c r="E2163" s="8" t="s">
        <v>1181</v>
      </c>
      <c r="F2163" s="8" t="s">
        <v>58</v>
      </c>
      <c r="G2163" s="7" t="s">
        <v>54</v>
      </c>
      <c r="H2163" s="47" t="s">
        <v>205</v>
      </c>
      <c r="I2163" s="47" t="s">
        <v>206</v>
      </c>
      <c r="J2163" s="6">
        <v>73</v>
      </c>
      <c r="K2163" s="8" t="s">
        <v>26</v>
      </c>
      <c r="L2163" s="1" t="s">
        <v>1181</v>
      </c>
      <c r="M2163" s="5">
        <v>85</v>
      </c>
    </row>
    <row r="2164" spans="1:13" ht="15" x14ac:dyDescent="0.25">
      <c r="A2164" s="7" t="s">
        <v>16</v>
      </c>
      <c r="B2164" s="7" t="s">
        <v>23</v>
      </c>
      <c r="C2164" s="7" t="s">
        <v>24</v>
      </c>
      <c r="D2164" s="4">
        <v>20150900000122</v>
      </c>
      <c r="E2164" s="8" t="s">
        <v>1185</v>
      </c>
      <c r="F2164" s="8" t="s">
        <v>1171</v>
      </c>
      <c r="G2164" s="7" t="s">
        <v>54</v>
      </c>
      <c r="H2164" s="47" t="s">
        <v>205</v>
      </c>
      <c r="I2164" s="47" t="s">
        <v>206</v>
      </c>
      <c r="J2164" s="6">
        <v>73</v>
      </c>
      <c r="K2164" s="8" t="s">
        <v>26</v>
      </c>
      <c r="L2164" s="1" t="s">
        <v>1185</v>
      </c>
      <c r="M2164" s="5">
        <v>12</v>
      </c>
    </row>
    <row r="2165" spans="1:13" ht="15" x14ac:dyDescent="0.25">
      <c r="A2165" s="7" t="s">
        <v>16</v>
      </c>
      <c r="B2165" s="7" t="s">
        <v>23</v>
      </c>
      <c r="C2165" s="7" t="s">
        <v>24</v>
      </c>
      <c r="D2165" s="4">
        <v>21040696000311</v>
      </c>
      <c r="E2165" s="8" t="s">
        <v>1190</v>
      </c>
      <c r="F2165" s="8" t="s">
        <v>1191</v>
      </c>
      <c r="G2165" s="7" t="s">
        <v>54</v>
      </c>
      <c r="H2165" s="47" t="s">
        <v>205</v>
      </c>
      <c r="I2165" s="47" t="s">
        <v>206</v>
      </c>
      <c r="J2165" s="6">
        <v>64</v>
      </c>
      <c r="K2165" s="8" t="s">
        <v>25</v>
      </c>
      <c r="L2165" s="1" t="s">
        <v>1190</v>
      </c>
      <c r="M2165" s="5">
        <v>2</v>
      </c>
    </row>
    <row r="2166" spans="1:13" ht="15" x14ac:dyDescent="0.25">
      <c r="A2166" s="7" t="s">
        <v>16</v>
      </c>
      <c r="B2166" s="7" t="s">
        <v>23</v>
      </c>
      <c r="C2166" s="7" t="s">
        <v>24</v>
      </c>
      <c r="D2166" s="4">
        <v>23338387000196</v>
      </c>
      <c r="E2166" s="8" t="s">
        <v>1195</v>
      </c>
      <c r="F2166" s="8" t="s">
        <v>90</v>
      </c>
      <c r="G2166" s="7" t="s">
        <v>54</v>
      </c>
      <c r="H2166" s="47" t="s">
        <v>205</v>
      </c>
      <c r="I2166" s="47" t="s">
        <v>206</v>
      </c>
      <c r="J2166" s="6">
        <v>73</v>
      </c>
      <c r="K2166" s="8" t="s">
        <v>26</v>
      </c>
      <c r="L2166" s="1" t="s">
        <v>1195</v>
      </c>
      <c r="M2166" s="5">
        <v>10</v>
      </c>
    </row>
    <row r="2167" spans="1:13" ht="15" x14ac:dyDescent="0.25">
      <c r="A2167" s="7" t="s">
        <v>16</v>
      </c>
      <c r="B2167" s="7" t="s">
        <v>23</v>
      </c>
      <c r="C2167" s="7" t="s">
        <v>24</v>
      </c>
      <c r="D2167" s="4">
        <v>25761040000187</v>
      </c>
      <c r="E2167" s="8" t="s">
        <v>1202</v>
      </c>
      <c r="F2167" s="8" t="s">
        <v>1171</v>
      </c>
      <c r="G2167" s="7" t="s">
        <v>54</v>
      </c>
      <c r="H2167" s="47" t="s">
        <v>205</v>
      </c>
      <c r="I2167" s="47" t="s">
        <v>206</v>
      </c>
      <c r="J2167" s="6">
        <v>62</v>
      </c>
      <c r="K2167" s="8" t="s">
        <v>27</v>
      </c>
      <c r="L2167" s="1" t="s">
        <v>1202</v>
      </c>
      <c r="M2167" s="5">
        <v>2</v>
      </c>
    </row>
    <row r="2168" spans="1:13" ht="15" x14ac:dyDescent="0.25">
      <c r="A2168" s="7" t="s">
        <v>16</v>
      </c>
      <c r="B2168" s="7" t="s">
        <v>23</v>
      </c>
      <c r="C2168" s="7" t="s">
        <v>24</v>
      </c>
      <c r="D2168" s="4">
        <v>28806545000532</v>
      </c>
      <c r="E2168" s="8" t="s">
        <v>1050</v>
      </c>
      <c r="F2168" s="8" t="s">
        <v>1051</v>
      </c>
      <c r="G2168" s="7" t="s">
        <v>61</v>
      </c>
      <c r="H2168" s="47" t="s">
        <v>205</v>
      </c>
      <c r="I2168" s="47" t="s">
        <v>206</v>
      </c>
      <c r="J2168" s="6">
        <v>73</v>
      </c>
      <c r="K2168" s="8" t="s">
        <v>26</v>
      </c>
      <c r="L2168" s="1" t="s">
        <v>1050</v>
      </c>
      <c r="M2168" s="5">
        <v>72</v>
      </c>
    </row>
    <row r="2169" spans="1:13" ht="15" x14ac:dyDescent="0.25">
      <c r="A2169" s="7" t="s">
        <v>16</v>
      </c>
      <c r="B2169" s="7" t="s">
        <v>23</v>
      </c>
      <c r="C2169" s="7" t="s">
        <v>24</v>
      </c>
      <c r="D2169" s="4">
        <v>29072642000188</v>
      </c>
      <c r="E2169" s="8" t="s">
        <v>1052</v>
      </c>
      <c r="F2169" s="8" t="s">
        <v>92</v>
      </c>
      <c r="G2169" s="7" t="s">
        <v>61</v>
      </c>
      <c r="H2169" s="47" t="s">
        <v>205</v>
      </c>
      <c r="I2169" s="47" t="s">
        <v>206</v>
      </c>
      <c r="J2169" s="6">
        <v>64</v>
      </c>
      <c r="K2169" s="8" t="s">
        <v>25</v>
      </c>
      <c r="L2169" s="1" t="s">
        <v>1052</v>
      </c>
      <c r="M2169" s="5">
        <v>8</v>
      </c>
    </row>
    <row r="2170" spans="1:13" ht="15" x14ac:dyDescent="0.25">
      <c r="A2170" s="7" t="s">
        <v>16</v>
      </c>
      <c r="B2170" s="7" t="s">
        <v>23</v>
      </c>
      <c r="C2170" s="7" t="s">
        <v>24</v>
      </c>
      <c r="D2170" s="4">
        <v>29435005003497</v>
      </c>
      <c r="E2170" s="8" t="s">
        <v>1054</v>
      </c>
      <c r="F2170" s="8" t="s">
        <v>78</v>
      </c>
      <c r="G2170" s="7" t="s">
        <v>61</v>
      </c>
      <c r="H2170" s="47" t="s">
        <v>205</v>
      </c>
      <c r="I2170" s="47" t="s">
        <v>206</v>
      </c>
      <c r="J2170" s="6">
        <v>62</v>
      </c>
      <c r="K2170" s="8" t="s">
        <v>27</v>
      </c>
      <c r="L2170" s="1" t="s">
        <v>1054</v>
      </c>
      <c r="M2170" s="5">
        <v>3</v>
      </c>
    </row>
    <row r="2171" spans="1:13" ht="15" x14ac:dyDescent="0.25">
      <c r="A2171" s="7" t="s">
        <v>16</v>
      </c>
      <c r="B2171" s="7" t="s">
        <v>23</v>
      </c>
      <c r="C2171" s="7" t="s">
        <v>24</v>
      </c>
      <c r="D2171" s="4">
        <v>29435005003497</v>
      </c>
      <c r="E2171" s="8" t="s">
        <v>1054</v>
      </c>
      <c r="F2171" s="8" t="s">
        <v>78</v>
      </c>
      <c r="G2171" s="7" t="s">
        <v>61</v>
      </c>
      <c r="H2171" s="47" t="s">
        <v>205</v>
      </c>
      <c r="I2171" s="47" t="s">
        <v>206</v>
      </c>
      <c r="J2171" s="6">
        <v>64</v>
      </c>
      <c r="K2171" s="8" t="s">
        <v>25</v>
      </c>
      <c r="L2171" s="1" t="s">
        <v>1054</v>
      </c>
      <c r="M2171" s="5">
        <v>14</v>
      </c>
    </row>
    <row r="2172" spans="1:13" ht="15" x14ac:dyDescent="0.25">
      <c r="A2172" s="7" t="s">
        <v>16</v>
      </c>
      <c r="B2172" s="7" t="s">
        <v>23</v>
      </c>
      <c r="C2172" s="7" t="s">
        <v>24</v>
      </c>
      <c r="D2172" s="4">
        <v>30145502000171</v>
      </c>
      <c r="E2172" s="8" t="s">
        <v>1057</v>
      </c>
      <c r="F2172" s="8" t="s">
        <v>1039</v>
      </c>
      <c r="G2172" s="7" t="s">
        <v>61</v>
      </c>
      <c r="H2172" s="47" t="s">
        <v>205</v>
      </c>
      <c r="I2172" s="47" t="s">
        <v>206</v>
      </c>
      <c r="J2172" s="6">
        <v>64</v>
      </c>
      <c r="K2172" s="8" t="s">
        <v>25</v>
      </c>
      <c r="L2172" s="1" t="s">
        <v>1057</v>
      </c>
      <c r="M2172" s="5">
        <v>10</v>
      </c>
    </row>
    <row r="2173" spans="1:13" ht="15" x14ac:dyDescent="0.25">
      <c r="A2173" s="7" t="s">
        <v>16</v>
      </c>
      <c r="B2173" s="7" t="s">
        <v>23</v>
      </c>
      <c r="C2173" s="7" t="s">
        <v>24</v>
      </c>
      <c r="D2173" s="4">
        <v>35917970000726</v>
      </c>
      <c r="E2173" s="8" t="s">
        <v>1062</v>
      </c>
      <c r="F2173" s="8" t="s">
        <v>105</v>
      </c>
      <c r="G2173" s="7" t="s">
        <v>61</v>
      </c>
      <c r="H2173" s="47" t="s">
        <v>205</v>
      </c>
      <c r="I2173" s="47" t="s">
        <v>206</v>
      </c>
      <c r="J2173" s="6">
        <v>73</v>
      </c>
      <c r="K2173" s="8" t="s">
        <v>26</v>
      </c>
      <c r="L2173" s="1" t="s">
        <v>1062</v>
      </c>
      <c r="M2173" s="5">
        <v>30</v>
      </c>
    </row>
    <row r="2174" spans="1:13" ht="15" x14ac:dyDescent="0.25">
      <c r="A2174" s="7" t="s">
        <v>16</v>
      </c>
      <c r="B2174" s="7" t="s">
        <v>23</v>
      </c>
      <c r="C2174" s="7" t="s">
        <v>24</v>
      </c>
      <c r="D2174" s="4">
        <v>36238913000198</v>
      </c>
      <c r="E2174" s="8" t="s">
        <v>1063</v>
      </c>
      <c r="F2174" s="8" t="s">
        <v>1064</v>
      </c>
      <c r="G2174" s="7" t="s">
        <v>61</v>
      </c>
      <c r="H2174" s="47" t="s">
        <v>205</v>
      </c>
      <c r="I2174" s="47" t="s">
        <v>206</v>
      </c>
      <c r="J2174" s="6">
        <v>73</v>
      </c>
      <c r="K2174" s="8" t="s">
        <v>26</v>
      </c>
      <c r="L2174" s="1" t="s">
        <v>1063</v>
      </c>
      <c r="M2174" s="5">
        <v>68</v>
      </c>
    </row>
    <row r="2175" spans="1:13" ht="15" x14ac:dyDescent="0.25">
      <c r="A2175" s="7" t="s">
        <v>16</v>
      </c>
      <c r="B2175" s="7" t="s">
        <v>23</v>
      </c>
      <c r="C2175" s="7" t="s">
        <v>24</v>
      </c>
      <c r="D2175" s="4">
        <v>60884855001207</v>
      </c>
      <c r="E2175" s="8" t="s">
        <v>1065</v>
      </c>
      <c r="F2175" s="8" t="s">
        <v>1039</v>
      </c>
      <c r="G2175" s="7" t="s">
        <v>61</v>
      </c>
      <c r="H2175" s="47" t="s">
        <v>205</v>
      </c>
      <c r="I2175" s="47" t="s">
        <v>206</v>
      </c>
      <c r="J2175" s="6">
        <v>62</v>
      </c>
      <c r="K2175" s="8" t="s">
        <v>27</v>
      </c>
      <c r="L2175" s="1" t="s">
        <v>1065</v>
      </c>
      <c r="M2175" s="5">
        <v>2</v>
      </c>
    </row>
    <row r="2176" spans="1:13" ht="15" x14ac:dyDescent="0.25">
      <c r="A2176" s="7" t="s">
        <v>16</v>
      </c>
      <c r="B2176" s="7" t="s">
        <v>23</v>
      </c>
      <c r="C2176" s="7" t="s">
        <v>24</v>
      </c>
      <c r="D2176" s="4">
        <v>60884855001207</v>
      </c>
      <c r="E2176" s="8" t="s">
        <v>1065</v>
      </c>
      <c r="F2176" s="8" t="s">
        <v>1039</v>
      </c>
      <c r="G2176" s="7" t="s">
        <v>61</v>
      </c>
      <c r="H2176" s="47" t="s">
        <v>205</v>
      </c>
      <c r="I2176" s="47" t="s">
        <v>206</v>
      </c>
      <c r="J2176" s="6">
        <v>64</v>
      </c>
      <c r="K2176" s="8" t="s">
        <v>25</v>
      </c>
      <c r="L2176" s="1" t="s">
        <v>1065</v>
      </c>
      <c r="M2176" s="5">
        <v>12</v>
      </c>
    </row>
    <row r="2177" spans="1:13" ht="15" x14ac:dyDescent="0.25">
      <c r="A2177" s="7" t="s">
        <v>16</v>
      </c>
      <c r="B2177" s="7" t="s">
        <v>23</v>
      </c>
      <c r="C2177" s="7" t="s">
        <v>24</v>
      </c>
      <c r="D2177" s="4">
        <v>60884855001207</v>
      </c>
      <c r="E2177" s="8" t="s">
        <v>1065</v>
      </c>
      <c r="F2177" s="8" t="s">
        <v>1039</v>
      </c>
      <c r="G2177" s="7" t="s">
        <v>61</v>
      </c>
      <c r="H2177" s="47" t="s">
        <v>205</v>
      </c>
      <c r="I2177" s="47" t="s">
        <v>206</v>
      </c>
      <c r="J2177" s="6">
        <v>73</v>
      </c>
      <c r="K2177" s="8" t="s">
        <v>26</v>
      </c>
      <c r="L2177" s="1" t="s">
        <v>1065</v>
      </c>
      <c r="M2177" s="5">
        <v>50</v>
      </c>
    </row>
    <row r="2178" spans="1:13" ht="15" x14ac:dyDescent="0.25">
      <c r="A2178" s="7" t="s">
        <v>16</v>
      </c>
      <c r="B2178" s="7" t="s">
        <v>23</v>
      </c>
      <c r="C2178" s="7" t="s">
        <v>24</v>
      </c>
      <c r="D2178" s="4">
        <v>60922168005226</v>
      </c>
      <c r="E2178" s="8" t="s">
        <v>977</v>
      </c>
      <c r="F2178" s="8" t="s">
        <v>93</v>
      </c>
      <c r="G2178" s="7" t="s">
        <v>68</v>
      </c>
      <c r="H2178" s="47" t="s">
        <v>205</v>
      </c>
      <c r="I2178" s="47" t="s">
        <v>206</v>
      </c>
      <c r="J2178" s="6">
        <v>62</v>
      </c>
      <c r="K2178" s="8" t="s">
        <v>27</v>
      </c>
      <c r="L2178" s="1" t="s">
        <v>977</v>
      </c>
      <c r="M2178" s="5">
        <v>2</v>
      </c>
    </row>
    <row r="2179" spans="1:13" ht="15" x14ac:dyDescent="0.25">
      <c r="A2179" s="7" t="s">
        <v>16</v>
      </c>
      <c r="B2179" s="7" t="s">
        <v>23</v>
      </c>
      <c r="C2179" s="7" t="s">
        <v>24</v>
      </c>
      <c r="D2179" s="4">
        <v>75055772002254</v>
      </c>
      <c r="E2179" s="8" t="s">
        <v>979</v>
      </c>
      <c r="F2179" s="8" t="s">
        <v>94</v>
      </c>
      <c r="G2179" s="7" t="s">
        <v>57</v>
      </c>
      <c r="H2179" s="47" t="s">
        <v>205</v>
      </c>
      <c r="I2179" s="47" t="s">
        <v>206</v>
      </c>
      <c r="J2179" s="6">
        <v>73</v>
      </c>
      <c r="K2179" s="8" t="s">
        <v>26</v>
      </c>
      <c r="L2179" s="1" t="s">
        <v>979</v>
      </c>
      <c r="M2179" s="5">
        <v>7</v>
      </c>
    </row>
    <row r="2180" spans="1:13" ht="15" x14ac:dyDescent="0.25">
      <c r="A2180" s="7" t="s">
        <v>16</v>
      </c>
      <c r="B2180" s="7" t="s">
        <v>23</v>
      </c>
      <c r="C2180" s="7" t="s">
        <v>24</v>
      </c>
      <c r="D2180" s="4">
        <v>75095679000220</v>
      </c>
      <c r="E2180" s="8" t="s">
        <v>980</v>
      </c>
      <c r="F2180" s="8" t="s">
        <v>94</v>
      </c>
      <c r="G2180" s="7" t="s">
        <v>57</v>
      </c>
      <c r="H2180" s="47" t="s">
        <v>205</v>
      </c>
      <c r="I2180" s="47" t="s">
        <v>206</v>
      </c>
      <c r="J2180" s="6">
        <v>66</v>
      </c>
      <c r="K2180" s="8" t="s">
        <v>28</v>
      </c>
      <c r="L2180" s="1" t="s">
        <v>980</v>
      </c>
      <c r="M2180" s="5">
        <v>48</v>
      </c>
    </row>
    <row r="2181" spans="1:13" ht="15" x14ac:dyDescent="0.25">
      <c r="A2181" s="7" t="s">
        <v>16</v>
      </c>
      <c r="B2181" s="7" t="s">
        <v>23</v>
      </c>
      <c r="C2181" s="7" t="s">
        <v>24</v>
      </c>
      <c r="D2181" s="4">
        <v>76555069000143</v>
      </c>
      <c r="E2181" s="8" t="s">
        <v>983</v>
      </c>
      <c r="F2181" s="8" t="s">
        <v>94</v>
      </c>
      <c r="G2181" s="7" t="s">
        <v>57</v>
      </c>
      <c r="H2181" s="47" t="s">
        <v>205</v>
      </c>
      <c r="I2181" s="47" t="s">
        <v>206</v>
      </c>
      <c r="J2181" s="6">
        <v>62</v>
      </c>
      <c r="K2181" s="8" t="s">
        <v>27</v>
      </c>
      <c r="L2181" s="1" t="s">
        <v>983</v>
      </c>
      <c r="M2181" s="5">
        <v>3</v>
      </c>
    </row>
    <row r="2182" spans="1:13" ht="15" x14ac:dyDescent="0.25">
      <c r="A2182" s="7" t="s">
        <v>16</v>
      </c>
      <c r="B2182" s="7" t="s">
        <v>23</v>
      </c>
      <c r="C2182" s="7" t="s">
        <v>24</v>
      </c>
      <c r="D2182" s="4">
        <v>76555069000143</v>
      </c>
      <c r="E2182" s="8" t="s">
        <v>983</v>
      </c>
      <c r="F2182" s="8" t="s">
        <v>94</v>
      </c>
      <c r="G2182" s="7" t="s">
        <v>57</v>
      </c>
      <c r="H2182" s="47" t="s">
        <v>205</v>
      </c>
      <c r="I2182" s="47" t="s">
        <v>206</v>
      </c>
      <c r="J2182" s="6">
        <v>64</v>
      </c>
      <c r="K2182" s="8" t="s">
        <v>25</v>
      </c>
      <c r="L2182" s="1" t="s">
        <v>983</v>
      </c>
      <c r="M2182" s="5">
        <v>2</v>
      </c>
    </row>
    <row r="2183" spans="1:13" ht="15" x14ac:dyDescent="0.25">
      <c r="A2183" s="7" t="s">
        <v>16</v>
      </c>
      <c r="B2183" s="7" t="s">
        <v>23</v>
      </c>
      <c r="C2183" s="7" t="s">
        <v>24</v>
      </c>
      <c r="D2183" s="4">
        <v>80673411000187</v>
      </c>
      <c r="E2183" s="8" t="s">
        <v>999</v>
      </c>
      <c r="F2183" s="8" t="s">
        <v>930</v>
      </c>
      <c r="G2183" s="7" t="s">
        <v>68</v>
      </c>
      <c r="H2183" s="47" t="s">
        <v>205</v>
      </c>
      <c r="I2183" s="47" t="s">
        <v>206</v>
      </c>
      <c r="J2183" s="6">
        <v>66</v>
      </c>
      <c r="K2183" s="8" t="s">
        <v>28</v>
      </c>
      <c r="L2183" s="1" t="s">
        <v>999</v>
      </c>
      <c r="M2183" s="5">
        <v>80</v>
      </c>
    </row>
    <row r="2184" spans="1:13" ht="15" x14ac:dyDescent="0.25">
      <c r="A2184" s="7" t="s">
        <v>16</v>
      </c>
      <c r="B2184" s="7" t="s">
        <v>23</v>
      </c>
      <c r="C2184" s="7" t="s">
        <v>24</v>
      </c>
      <c r="D2184" s="4">
        <v>83884999000106</v>
      </c>
      <c r="E2184" s="8" t="s">
        <v>1009</v>
      </c>
      <c r="F2184" s="8" t="s">
        <v>930</v>
      </c>
      <c r="G2184" s="7" t="s">
        <v>68</v>
      </c>
      <c r="H2184" s="47" t="s">
        <v>205</v>
      </c>
      <c r="I2184" s="47" t="s">
        <v>206</v>
      </c>
      <c r="J2184" s="6">
        <v>64</v>
      </c>
      <c r="K2184" s="8" t="s">
        <v>25</v>
      </c>
      <c r="L2184" s="1" t="s">
        <v>1009</v>
      </c>
      <c r="M2184" s="5">
        <v>6</v>
      </c>
    </row>
    <row r="2185" spans="1:13" ht="15" x14ac:dyDescent="0.25">
      <c r="A2185" s="7" t="s">
        <v>16</v>
      </c>
      <c r="B2185" s="7" t="s">
        <v>23</v>
      </c>
      <c r="C2185" s="7" t="s">
        <v>24</v>
      </c>
      <c r="D2185" s="4">
        <v>83899526000425</v>
      </c>
      <c r="E2185" s="8" t="s">
        <v>1010</v>
      </c>
      <c r="F2185" s="8" t="s">
        <v>930</v>
      </c>
      <c r="G2185" s="7" t="s">
        <v>68</v>
      </c>
      <c r="H2185" s="47" t="s">
        <v>205</v>
      </c>
      <c r="I2185" s="47" t="s">
        <v>206</v>
      </c>
      <c r="J2185" s="6">
        <v>62</v>
      </c>
      <c r="K2185" s="8" t="s">
        <v>27</v>
      </c>
      <c r="L2185" s="1" t="s">
        <v>1010</v>
      </c>
      <c r="M2185" s="5">
        <v>11</v>
      </c>
    </row>
    <row r="2186" spans="1:13" ht="15" x14ac:dyDescent="0.25">
      <c r="A2186" s="7" t="s">
        <v>16</v>
      </c>
      <c r="B2186" s="7" t="s">
        <v>23</v>
      </c>
      <c r="C2186" s="7" t="s">
        <v>24</v>
      </c>
      <c r="D2186" s="4">
        <v>85377174000392</v>
      </c>
      <c r="E2186" s="8" t="s">
        <v>1012</v>
      </c>
      <c r="F2186" s="8" t="s">
        <v>938</v>
      </c>
      <c r="G2186" s="7" t="s">
        <v>68</v>
      </c>
      <c r="H2186" s="47" t="s">
        <v>205</v>
      </c>
      <c r="I2186" s="47" t="s">
        <v>206</v>
      </c>
      <c r="J2186" s="6">
        <v>73</v>
      </c>
      <c r="K2186" s="8" t="s">
        <v>26</v>
      </c>
      <c r="L2186" s="1" t="s">
        <v>1012</v>
      </c>
      <c r="M2186" s="5">
        <v>42</v>
      </c>
    </row>
    <row r="2187" spans="1:13" ht="15" x14ac:dyDescent="0.25">
      <c r="A2187" s="7" t="s">
        <v>16</v>
      </c>
      <c r="B2187" s="7" t="s">
        <v>23</v>
      </c>
      <c r="C2187" s="7" t="s">
        <v>24</v>
      </c>
      <c r="D2187" s="4">
        <v>87317764001165</v>
      </c>
      <c r="E2187" s="8" t="s">
        <v>1016</v>
      </c>
      <c r="F2187" s="8" t="s">
        <v>541</v>
      </c>
      <c r="G2187" s="7" t="s">
        <v>67</v>
      </c>
      <c r="H2187" s="47" t="s">
        <v>205</v>
      </c>
      <c r="I2187" s="47" t="s">
        <v>206</v>
      </c>
      <c r="J2187" s="6">
        <v>73</v>
      </c>
      <c r="K2187" s="8" t="s">
        <v>26</v>
      </c>
      <c r="L2187" s="1" t="s">
        <v>1016</v>
      </c>
      <c r="M2187" s="5">
        <v>3</v>
      </c>
    </row>
    <row r="2188" spans="1:13" ht="15" x14ac:dyDescent="0.25">
      <c r="A2188" s="7" t="s">
        <v>16</v>
      </c>
      <c r="B2188" s="7" t="s">
        <v>23</v>
      </c>
      <c r="C2188" s="7" t="s">
        <v>24</v>
      </c>
      <c r="D2188" s="4">
        <v>87827689002405</v>
      </c>
      <c r="E2188" s="8" t="s">
        <v>1021</v>
      </c>
      <c r="F2188" s="8" t="s">
        <v>66</v>
      </c>
      <c r="G2188" s="7" t="s">
        <v>67</v>
      </c>
      <c r="H2188" s="47" t="s">
        <v>205</v>
      </c>
      <c r="I2188" s="47" t="s">
        <v>206</v>
      </c>
      <c r="J2188" s="6">
        <v>73</v>
      </c>
      <c r="K2188" s="8" t="s">
        <v>26</v>
      </c>
      <c r="L2188" s="1" t="s">
        <v>1021</v>
      </c>
      <c r="M2188" s="5">
        <v>226</v>
      </c>
    </row>
    <row r="2189" spans="1:13" ht="15" x14ac:dyDescent="0.25">
      <c r="A2189" s="7" t="s">
        <v>16</v>
      </c>
      <c r="B2189" s="7" t="s">
        <v>23</v>
      </c>
      <c r="C2189" s="7" t="s">
        <v>24</v>
      </c>
      <c r="D2189" s="4">
        <v>88645403001372</v>
      </c>
      <c r="E2189" s="8" t="s">
        <v>1025</v>
      </c>
      <c r="F2189" s="8" t="s">
        <v>66</v>
      </c>
      <c r="G2189" s="7" t="s">
        <v>67</v>
      </c>
      <c r="H2189" s="47" t="s">
        <v>205</v>
      </c>
      <c r="I2189" s="47" t="s">
        <v>206</v>
      </c>
      <c r="J2189" s="6">
        <v>73</v>
      </c>
      <c r="K2189" s="8" t="s">
        <v>26</v>
      </c>
      <c r="L2189" s="1" t="s">
        <v>1025</v>
      </c>
      <c r="M2189" s="5">
        <v>32</v>
      </c>
    </row>
    <row r="2190" spans="1:13" ht="15" x14ac:dyDescent="0.25">
      <c r="A2190" s="7" t="s">
        <v>16</v>
      </c>
      <c r="B2190" s="7" t="s">
        <v>23</v>
      </c>
      <c r="C2190" s="7" t="s">
        <v>24</v>
      </c>
      <c r="D2190" s="4">
        <v>92404789000164</v>
      </c>
      <c r="E2190" s="8" t="s">
        <v>1028</v>
      </c>
      <c r="F2190" s="8" t="s">
        <v>106</v>
      </c>
      <c r="G2190" s="7" t="s">
        <v>67</v>
      </c>
      <c r="H2190" s="47" t="s">
        <v>205</v>
      </c>
      <c r="I2190" s="47" t="s">
        <v>206</v>
      </c>
      <c r="J2190" s="6">
        <v>73</v>
      </c>
      <c r="K2190" s="8" t="s">
        <v>26</v>
      </c>
      <c r="L2190" s="1" t="s">
        <v>1028</v>
      </c>
      <c r="M2190" s="5">
        <v>24</v>
      </c>
    </row>
    <row r="2191" spans="1:13" ht="15" x14ac:dyDescent="0.25">
      <c r="A2191" s="7" t="s">
        <v>16</v>
      </c>
      <c r="B2191" s="7" t="s">
        <v>23</v>
      </c>
      <c r="C2191" s="7" t="s">
        <v>24</v>
      </c>
      <c r="D2191" s="4">
        <v>95610887000146</v>
      </c>
      <c r="E2191" s="8" t="s">
        <v>1037</v>
      </c>
      <c r="F2191" s="8" t="s">
        <v>87</v>
      </c>
      <c r="G2191" s="7" t="s">
        <v>67</v>
      </c>
      <c r="H2191" s="47" t="s">
        <v>205</v>
      </c>
      <c r="I2191" s="47" t="s">
        <v>206</v>
      </c>
      <c r="J2191" s="6">
        <v>62</v>
      </c>
      <c r="K2191" s="8" t="s">
        <v>27</v>
      </c>
      <c r="L2191" s="1" t="s">
        <v>1037</v>
      </c>
      <c r="M2191" s="5">
        <v>8</v>
      </c>
    </row>
    <row r="2192" spans="1:13" ht="15" x14ac:dyDescent="0.25">
      <c r="A2192" s="7" t="s">
        <v>16</v>
      </c>
      <c r="B2192" s="7" t="s">
        <v>23</v>
      </c>
      <c r="C2192" s="7" t="s">
        <v>24</v>
      </c>
      <c r="D2192" s="4">
        <v>95610887000146</v>
      </c>
      <c r="E2192" s="8" t="s">
        <v>1037</v>
      </c>
      <c r="F2192" s="8" t="s">
        <v>87</v>
      </c>
      <c r="G2192" s="7" t="s">
        <v>67</v>
      </c>
      <c r="H2192" s="47" t="s">
        <v>205</v>
      </c>
      <c r="I2192" s="47" t="s">
        <v>206</v>
      </c>
      <c r="J2192" s="6">
        <v>73</v>
      </c>
      <c r="K2192" s="8" t="s">
        <v>26</v>
      </c>
      <c r="L2192" s="1" t="s">
        <v>1037</v>
      </c>
      <c r="M2192" s="5">
        <v>10</v>
      </c>
    </row>
    <row r="2193" spans="1:13" ht="15" x14ac:dyDescent="0.25">
      <c r="A2193" s="7" t="s">
        <v>16</v>
      </c>
      <c r="B2193" s="7" t="s">
        <v>229</v>
      </c>
      <c r="C2193" s="7" t="s">
        <v>24</v>
      </c>
      <c r="D2193" s="4">
        <v>304148000110</v>
      </c>
      <c r="E2193" s="8" t="s">
        <v>932</v>
      </c>
      <c r="F2193" s="8" t="s">
        <v>933</v>
      </c>
      <c r="G2193" s="7" t="s">
        <v>57</v>
      </c>
      <c r="H2193" s="47" t="s">
        <v>205</v>
      </c>
      <c r="I2193" s="47" t="s">
        <v>206</v>
      </c>
      <c r="J2193" s="6">
        <v>73</v>
      </c>
      <c r="K2193" s="8" t="s">
        <v>26</v>
      </c>
      <c r="L2193" s="1" t="s">
        <v>932</v>
      </c>
      <c r="M2193" s="5">
        <v>4</v>
      </c>
    </row>
    <row r="2194" spans="1:13" ht="15" x14ac:dyDescent="0.25">
      <c r="A2194" s="7" t="s">
        <v>16</v>
      </c>
      <c r="B2194" s="7" t="s">
        <v>229</v>
      </c>
      <c r="C2194" s="7" t="s">
        <v>24</v>
      </c>
      <c r="D2194" s="4">
        <v>410960000120</v>
      </c>
      <c r="E2194" s="8" t="s">
        <v>1137</v>
      </c>
      <c r="F2194" s="8" t="s">
        <v>58</v>
      </c>
      <c r="G2194" s="7" t="s">
        <v>54</v>
      </c>
      <c r="H2194" s="47" t="s">
        <v>205</v>
      </c>
      <c r="I2194" s="47" t="s">
        <v>206</v>
      </c>
      <c r="J2194" s="6">
        <v>73</v>
      </c>
      <c r="K2194" s="8" t="s">
        <v>26</v>
      </c>
      <c r="L2194" s="1" t="s">
        <v>1137</v>
      </c>
      <c r="M2194" s="5">
        <v>32</v>
      </c>
    </row>
    <row r="2195" spans="1:13" ht="15" x14ac:dyDescent="0.25">
      <c r="A2195" s="7" t="s">
        <v>16</v>
      </c>
      <c r="B2195" s="7" t="s">
        <v>229</v>
      </c>
      <c r="C2195" s="7" t="s">
        <v>24</v>
      </c>
      <c r="D2195" s="4">
        <v>437007000175</v>
      </c>
      <c r="E2195" s="8" t="s">
        <v>1038</v>
      </c>
      <c r="F2195" s="8" t="s">
        <v>1039</v>
      </c>
      <c r="G2195" s="7" t="s">
        <v>61</v>
      </c>
      <c r="H2195" s="47" t="s">
        <v>205</v>
      </c>
      <c r="I2195" s="47" t="s">
        <v>206</v>
      </c>
      <c r="J2195" s="6">
        <v>73</v>
      </c>
      <c r="K2195" s="8" t="s">
        <v>26</v>
      </c>
      <c r="L2195" s="1" t="s">
        <v>1038</v>
      </c>
      <c r="M2195" s="5">
        <v>206</v>
      </c>
    </row>
    <row r="2196" spans="1:13" ht="15" x14ac:dyDescent="0.25">
      <c r="A2196" s="7" t="s">
        <v>16</v>
      </c>
      <c r="B2196" s="7" t="s">
        <v>229</v>
      </c>
      <c r="C2196" s="7" t="s">
        <v>24</v>
      </c>
      <c r="D2196" s="4">
        <v>1517626000132</v>
      </c>
      <c r="E2196" s="8" t="s">
        <v>937</v>
      </c>
      <c r="F2196" s="8" t="s">
        <v>938</v>
      </c>
      <c r="G2196" s="7" t="s">
        <v>68</v>
      </c>
      <c r="H2196" s="47" t="s">
        <v>205</v>
      </c>
      <c r="I2196" s="47" t="s">
        <v>206</v>
      </c>
      <c r="J2196" s="6">
        <v>73</v>
      </c>
      <c r="K2196" s="8" t="s">
        <v>26</v>
      </c>
      <c r="L2196" s="1" t="s">
        <v>937</v>
      </c>
      <c r="M2196" s="5">
        <v>12</v>
      </c>
    </row>
    <row r="2197" spans="1:13" ht="15" x14ac:dyDescent="0.25">
      <c r="A2197" s="7" t="s">
        <v>16</v>
      </c>
      <c r="B2197" s="7" t="s">
        <v>229</v>
      </c>
      <c r="C2197" s="7" t="s">
        <v>24</v>
      </c>
      <c r="D2197" s="4">
        <v>5503803000182</v>
      </c>
      <c r="E2197" s="8" t="s">
        <v>1400</v>
      </c>
      <c r="F2197" s="8" t="s">
        <v>94</v>
      </c>
      <c r="G2197" s="7" t="s">
        <v>57</v>
      </c>
      <c r="H2197" s="47" t="s">
        <v>205</v>
      </c>
      <c r="I2197" s="47" t="s">
        <v>206</v>
      </c>
      <c r="J2197" s="6">
        <v>73</v>
      </c>
      <c r="K2197" s="8" t="s">
        <v>26</v>
      </c>
      <c r="L2197" s="1" t="s">
        <v>1400</v>
      </c>
      <c r="M2197" s="5">
        <v>12</v>
      </c>
    </row>
    <row r="2198" spans="1:13" ht="15" x14ac:dyDescent="0.25">
      <c r="A2198" s="7" t="s">
        <v>16</v>
      </c>
      <c r="B2198" s="7" t="s">
        <v>229</v>
      </c>
      <c r="C2198" s="7" t="s">
        <v>24</v>
      </c>
      <c r="D2198" s="4">
        <v>6047087001372</v>
      </c>
      <c r="E2198" s="8" t="s">
        <v>1041</v>
      </c>
      <c r="F2198" s="8" t="s">
        <v>78</v>
      </c>
      <c r="G2198" s="7" t="s">
        <v>61</v>
      </c>
      <c r="H2198" s="47" t="s">
        <v>205</v>
      </c>
      <c r="I2198" s="47" t="s">
        <v>206</v>
      </c>
      <c r="J2198" s="6">
        <v>64</v>
      </c>
      <c r="K2198" s="8" t="s">
        <v>25</v>
      </c>
      <c r="L2198" s="1" t="s">
        <v>1041</v>
      </c>
      <c r="M2198" s="5">
        <v>7</v>
      </c>
    </row>
    <row r="2199" spans="1:13" ht="15" x14ac:dyDescent="0.25">
      <c r="A2199" s="7" t="s">
        <v>16</v>
      </c>
      <c r="B2199" s="7" t="s">
        <v>229</v>
      </c>
      <c r="C2199" s="7" t="s">
        <v>24</v>
      </c>
      <c r="D2199" s="4">
        <v>7734165000136</v>
      </c>
      <c r="E2199" s="8" t="s">
        <v>954</v>
      </c>
      <c r="F2199" s="8" t="s">
        <v>94</v>
      </c>
      <c r="G2199" s="7" t="s">
        <v>57</v>
      </c>
      <c r="H2199" s="47" t="s">
        <v>205</v>
      </c>
      <c r="I2199" s="47" t="s">
        <v>206</v>
      </c>
      <c r="J2199" s="6">
        <v>73</v>
      </c>
      <c r="K2199" s="8" t="s">
        <v>26</v>
      </c>
      <c r="L2199" s="1" t="s">
        <v>954</v>
      </c>
      <c r="M2199" s="5">
        <v>64</v>
      </c>
    </row>
    <row r="2200" spans="1:13" ht="15" x14ac:dyDescent="0.25">
      <c r="A2200" s="7" t="s">
        <v>16</v>
      </c>
      <c r="B2200" s="7" t="s">
        <v>229</v>
      </c>
      <c r="C2200" s="7" t="s">
        <v>24</v>
      </c>
      <c r="D2200" s="4">
        <v>7794623001528</v>
      </c>
      <c r="E2200" s="8" t="s">
        <v>1042</v>
      </c>
      <c r="F2200" s="8" t="s">
        <v>1043</v>
      </c>
      <c r="G2200" s="7" t="s">
        <v>61</v>
      </c>
      <c r="H2200" s="47" t="s">
        <v>205</v>
      </c>
      <c r="I2200" s="47" t="s">
        <v>206</v>
      </c>
      <c r="J2200" s="6">
        <v>73</v>
      </c>
      <c r="K2200" s="8" t="s">
        <v>26</v>
      </c>
      <c r="L2200" s="1" t="s">
        <v>1042</v>
      </c>
      <c r="M2200" s="5">
        <v>14</v>
      </c>
    </row>
    <row r="2201" spans="1:13" ht="15" x14ac:dyDescent="0.25">
      <c r="A2201" s="7" t="s">
        <v>16</v>
      </c>
      <c r="B2201" s="7" t="s">
        <v>229</v>
      </c>
      <c r="C2201" s="7" t="s">
        <v>24</v>
      </c>
      <c r="D2201" s="4">
        <v>10586940000168</v>
      </c>
      <c r="E2201" s="8" t="s">
        <v>1156</v>
      </c>
      <c r="F2201" s="8" t="s">
        <v>1157</v>
      </c>
      <c r="G2201" s="7" t="s">
        <v>98</v>
      </c>
      <c r="H2201" s="47" t="s">
        <v>205</v>
      </c>
      <c r="I2201" s="47" t="s">
        <v>206</v>
      </c>
      <c r="J2201" s="6">
        <v>64</v>
      </c>
      <c r="K2201" s="8" t="s">
        <v>25</v>
      </c>
      <c r="L2201" s="1" t="s">
        <v>1156</v>
      </c>
      <c r="M2201" s="5">
        <v>30</v>
      </c>
    </row>
    <row r="2202" spans="1:13" ht="15" x14ac:dyDescent="0.25">
      <c r="A2202" s="7" t="s">
        <v>16</v>
      </c>
      <c r="B2202" s="7" t="s">
        <v>229</v>
      </c>
      <c r="C2202" s="7" t="s">
        <v>24</v>
      </c>
      <c r="D2202" s="4">
        <v>10586940000168</v>
      </c>
      <c r="E2202" s="8" t="s">
        <v>1156</v>
      </c>
      <c r="F2202" s="8" t="s">
        <v>1157</v>
      </c>
      <c r="G2202" s="7" t="s">
        <v>98</v>
      </c>
      <c r="H2202" s="47" t="s">
        <v>205</v>
      </c>
      <c r="I2202" s="47" t="s">
        <v>206</v>
      </c>
      <c r="J2202" s="6">
        <v>73</v>
      </c>
      <c r="K2202" s="8" t="s">
        <v>26</v>
      </c>
      <c r="L2202" s="1" t="s">
        <v>1156</v>
      </c>
      <c r="M2202" s="5">
        <v>80</v>
      </c>
    </row>
    <row r="2203" spans="1:13" ht="15" x14ac:dyDescent="0.25">
      <c r="A2203" s="7" t="s">
        <v>16</v>
      </c>
      <c r="B2203" s="7" t="s">
        <v>229</v>
      </c>
      <c r="C2203" s="7" t="s">
        <v>24</v>
      </c>
      <c r="D2203" s="4">
        <v>14408631000159</v>
      </c>
      <c r="E2203" s="8" t="s">
        <v>1163</v>
      </c>
      <c r="F2203" s="8" t="s">
        <v>1164</v>
      </c>
      <c r="G2203" s="7" t="s">
        <v>54</v>
      </c>
      <c r="H2203" s="47" t="s">
        <v>205</v>
      </c>
      <c r="I2203" s="47" t="s">
        <v>206</v>
      </c>
      <c r="J2203" s="6">
        <v>73</v>
      </c>
      <c r="K2203" s="8" t="s">
        <v>26</v>
      </c>
      <c r="L2203" s="1" t="s">
        <v>1163</v>
      </c>
      <c r="M2203" s="5">
        <v>4</v>
      </c>
    </row>
    <row r="2204" spans="1:13" ht="15" x14ac:dyDescent="0.25">
      <c r="A2204" s="7" t="s">
        <v>16</v>
      </c>
      <c r="B2204" s="7" t="s">
        <v>229</v>
      </c>
      <c r="C2204" s="7" t="s">
        <v>24</v>
      </c>
      <c r="D2204" s="4">
        <v>15126437001972</v>
      </c>
      <c r="E2204" s="8" t="s">
        <v>966</v>
      </c>
      <c r="F2204" s="8" t="s">
        <v>87</v>
      </c>
      <c r="G2204" s="7" t="s">
        <v>67</v>
      </c>
      <c r="H2204" s="47" t="s">
        <v>205</v>
      </c>
      <c r="I2204" s="47" t="s">
        <v>206</v>
      </c>
      <c r="J2204" s="6">
        <v>62</v>
      </c>
      <c r="K2204" s="8" t="s">
        <v>27</v>
      </c>
      <c r="L2204" s="1" t="s">
        <v>966</v>
      </c>
      <c r="M2204" s="5">
        <v>10</v>
      </c>
    </row>
    <row r="2205" spans="1:13" ht="15" x14ac:dyDescent="0.25">
      <c r="A2205" s="7" t="s">
        <v>16</v>
      </c>
      <c r="B2205" s="7" t="s">
        <v>229</v>
      </c>
      <c r="C2205" s="7" t="s">
        <v>24</v>
      </c>
      <c r="D2205" s="4">
        <v>15126437003401</v>
      </c>
      <c r="E2205" s="8" t="s">
        <v>967</v>
      </c>
      <c r="F2205" s="8" t="s">
        <v>95</v>
      </c>
      <c r="G2205" s="7" t="s">
        <v>68</v>
      </c>
      <c r="H2205" s="47" t="s">
        <v>205</v>
      </c>
      <c r="I2205" s="47" t="s">
        <v>206</v>
      </c>
      <c r="J2205" s="6">
        <v>62</v>
      </c>
      <c r="K2205" s="8" t="s">
        <v>27</v>
      </c>
      <c r="L2205" s="1" t="s">
        <v>967</v>
      </c>
      <c r="M2205" s="5">
        <v>8</v>
      </c>
    </row>
    <row r="2206" spans="1:13" ht="15" x14ac:dyDescent="0.25">
      <c r="A2206" s="7" t="s">
        <v>16</v>
      </c>
      <c r="B2206" s="7" t="s">
        <v>229</v>
      </c>
      <c r="C2206" s="7" t="s">
        <v>24</v>
      </c>
      <c r="D2206" s="4">
        <v>15126437003673</v>
      </c>
      <c r="E2206" s="8" t="s">
        <v>1166</v>
      </c>
      <c r="F2206" s="8" t="s">
        <v>60</v>
      </c>
      <c r="G2206" s="7" t="s">
        <v>61</v>
      </c>
      <c r="H2206" s="47" t="s">
        <v>205</v>
      </c>
      <c r="I2206" s="47" t="s">
        <v>206</v>
      </c>
      <c r="J2206" s="6">
        <v>64</v>
      </c>
      <c r="K2206" s="8" t="s">
        <v>25</v>
      </c>
      <c r="L2206" s="1" t="s">
        <v>1166</v>
      </c>
      <c r="M2206" s="5">
        <v>5</v>
      </c>
    </row>
    <row r="2207" spans="1:13" ht="15" x14ac:dyDescent="0.25">
      <c r="A2207" s="7" t="s">
        <v>16</v>
      </c>
      <c r="B2207" s="7" t="s">
        <v>229</v>
      </c>
      <c r="C2207" s="7" t="s">
        <v>24</v>
      </c>
      <c r="D2207" s="4">
        <v>17214149000176</v>
      </c>
      <c r="E2207" s="8" t="s">
        <v>1172</v>
      </c>
      <c r="F2207" s="8" t="s">
        <v>58</v>
      </c>
      <c r="G2207" s="7" t="s">
        <v>54</v>
      </c>
      <c r="H2207" s="47" t="s">
        <v>205</v>
      </c>
      <c r="I2207" s="47" t="s">
        <v>206</v>
      </c>
      <c r="J2207" s="6">
        <v>62</v>
      </c>
      <c r="K2207" s="8" t="s">
        <v>27</v>
      </c>
      <c r="L2207" s="1" t="s">
        <v>1172</v>
      </c>
      <c r="M2207" s="5">
        <v>22</v>
      </c>
    </row>
    <row r="2208" spans="1:13" ht="15" x14ac:dyDescent="0.25">
      <c r="A2208" s="7" t="s">
        <v>16</v>
      </c>
      <c r="B2208" s="7" t="s">
        <v>229</v>
      </c>
      <c r="C2208" s="7" t="s">
        <v>24</v>
      </c>
      <c r="D2208" s="4">
        <v>17689407000928</v>
      </c>
      <c r="E2208" s="8" t="s">
        <v>1174</v>
      </c>
      <c r="F2208" s="8" t="s">
        <v>88</v>
      </c>
      <c r="G2208" s="7" t="s">
        <v>54</v>
      </c>
      <c r="H2208" s="47" t="s">
        <v>205</v>
      </c>
      <c r="I2208" s="47" t="s">
        <v>206</v>
      </c>
      <c r="J2208" s="6">
        <v>73</v>
      </c>
      <c r="K2208" s="8" t="s">
        <v>26</v>
      </c>
      <c r="L2208" s="1" t="s">
        <v>1174</v>
      </c>
      <c r="M2208" s="5">
        <v>10</v>
      </c>
    </row>
    <row r="2209" spans="1:13" ht="15" x14ac:dyDescent="0.25">
      <c r="A2209" s="7" t="s">
        <v>16</v>
      </c>
      <c r="B2209" s="7" t="s">
        <v>229</v>
      </c>
      <c r="C2209" s="7" t="s">
        <v>24</v>
      </c>
      <c r="D2209" s="4">
        <v>17774738000613</v>
      </c>
      <c r="E2209" s="8" t="s">
        <v>1175</v>
      </c>
      <c r="F2209" s="8" t="s">
        <v>126</v>
      </c>
      <c r="G2209" s="7" t="s">
        <v>54</v>
      </c>
      <c r="H2209" s="47" t="s">
        <v>205</v>
      </c>
      <c r="I2209" s="47" t="s">
        <v>206</v>
      </c>
      <c r="J2209" s="6">
        <v>73</v>
      </c>
      <c r="K2209" s="8" t="s">
        <v>26</v>
      </c>
      <c r="L2209" s="1" t="s">
        <v>1175</v>
      </c>
      <c r="M2209" s="5">
        <v>8</v>
      </c>
    </row>
    <row r="2210" spans="1:13" ht="15" x14ac:dyDescent="0.25">
      <c r="A2210" s="7" t="s">
        <v>16</v>
      </c>
      <c r="B2210" s="7" t="s">
        <v>229</v>
      </c>
      <c r="C2210" s="7" t="s">
        <v>24</v>
      </c>
      <c r="D2210" s="4">
        <v>18836965000184</v>
      </c>
      <c r="E2210" s="8" t="s">
        <v>1177</v>
      </c>
      <c r="F2210" s="8" t="s">
        <v>111</v>
      </c>
      <c r="G2210" s="7" t="s">
        <v>54</v>
      </c>
      <c r="H2210" s="47" t="s">
        <v>205</v>
      </c>
      <c r="I2210" s="47" t="s">
        <v>206</v>
      </c>
      <c r="J2210" s="6">
        <v>73</v>
      </c>
      <c r="K2210" s="8" t="s">
        <v>26</v>
      </c>
      <c r="L2210" s="1" t="s">
        <v>1177</v>
      </c>
      <c r="M2210" s="5">
        <v>20</v>
      </c>
    </row>
    <row r="2211" spans="1:13" ht="15" x14ac:dyDescent="0.25">
      <c r="A2211" s="7" t="s">
        <v>16</v>
      </c>
      <c r="B2211" s="7" t="s">
        <v>229</v>
      </c>
      <c r="C2211" s="7" t="s">
        <v>24</v>
      </c>
      <c r="D2211" s="4">
        <v>19878404000100</v>
      </c>
      <c r="E2211" s="8" t="s">
        <v>1184</v>
      </c>
      <c r="F2211" s="8" t="s">
        <v>89</v>
      </c>
      <c r="G2211" s="7" t="s">
        <v>54</v>
      </c>
      <c r="H2211" s="47" t="s">
        <v>205</v>
      </c>
      <c r="I2211" s="47" t="s">
        <v>206</v>
      </c>
      <c r="J2211" s="6">
        <v>73</v>
      </c>
      <c r="K2211" s="8" t="s">
        <v>26</v>
      </c>
      <c r="L2211" s="1" t="s">
        <v>1184</v>
      </c>
      <c r="M2211" s="5">
        <v>96</v>
      </c>
    </row>
    <row r="2212" spans="1:13" ht="15" x14ac:dyDescent="0.25">
      <c r="A2212" s="7" t="s">
        <v>16</v>
      </c>
      <c r="B2212" s="7" t="s">
        <v>229</v>
      </c>
      <c r="C2212" s="7" t="s">
        <v>24</v>
      </c>
      <c r="D2212" s="4">
        <v>20150900000122</v>
      </c>
      <c r="E2212" s="8" t="s">
        <v>1185</v>
      </c>
      <c r="F2212" s="8" t="s">
        <v>1171</v>
      </c>
      <c r="G2212" s="7" t="s">
        <v>54</v>
      </c>
      <c r="H2212" s="47" t="s">
        <v>205</v>
      </c>
      <c r="I2212" s="47" t="s">
        <v>206</v>
      </c>
      <c r="J2212" s="6">
        <v>73</v>
      </c>
      <c r="K2212" s="8" t="s">
        <v>26</v>
      </c>
      <c r="L2212" s="1" t="s">
        <v>1185</v>
      </c>
      <c r="M2212" s="5">
        <v>12</v>
      </c>
    </row>
    <row r="2213" spans="1:13" ht="15" x14ac:dyDescent="0.25">
      <c r="A2213" s="7" t="s">
        <v>16</v>
      </c>
      <c r="B2213" s="7" t="s">
        <v>229</v>
      </c>
      <c r="C2213" s="7" t="s">
        <v>24</v>
      </c>
      <c r="D2213" s="4">
        <v>20909271000171</v>
      </c>
      <c r="E2213" s="8" t="s">
        <v>1189</v>
      </c>
      <c r="F2213" s="8" t="s">
        <v>101</v>
      </c>
      <c r="G2213" s="7" t="s">
        <v>54</v>
      </c>
      <c r="H2213" s="47" t="s">
        <v>205</v>
      </c>
      <c r="I2213" s="47" t="s">
        <v>206</v>
      </c>
      <c r="J2213" s="6">
        <v>73</v>
      </c>
      <c r="K2213" s="8" t="s">
        <v>26</v>
      </c>
      <c r="L2213" s="1" t="s">
        <v>1189</v>
      </c>
      <c r="M2213" s="5">
        <v>40</v>
      </c>
    </row>
    <row r="2214" spans="1:13" ht="15" x14ac:dyDescent="0.25">
      <c r="A2214" s="7" t="s">
        <v>16</v>
      </c>
      <c r="B2214" s="7" t="s">
        <v>229</v>
      </c>
      <c r="C2214" s="7" t="s">
        <v>24</v>
      </c>
      <c r="D2214" s="4">
        <v>23338387000196</v>
      </c>
      <c r="E2214" s="8" t="s">
        <v>1195</v>
      </c>
      <c r="F2214" s="8" t="s">
        <v>90</v>
      </c>
      <c r="G2214" s="7" t="s">
        <v>54</v>
      </c>
      <c r="H2214" s="47" t="s">
        <v>205</v>
      </c>
      <c r="I2214" s="47" t="s">
        <v>206</v>
      </c>
      <c r="J2214" s="6">
        <v>73</v>
      </c>
      <c r="K2214" s="8" t="s">
        <v>26</v>
      </c>
      <c r="L2214" s="1" t="s">
        <v>1195</v>
      </c>
      <c r="M2214" s="5">
        <v>10</v>
      </c>
    </row>
    <row r="2215" spans="1:13" ht="15" x14ac:dyDescent="0.25">
      <c r="A2215" s="7" t="s">
        <v>16</v>
      </c>
      <c r="B2215" s="7" t="s">
        <v>229</v>
      </c>
      <c r="C2215" s="7" t="s">
        <v>24</v>
      </c>
      <c r="D2215" s="4">
        <v>28806545000532</v>
      </c>
      <c r="E2215" s="8" t="s">
        <v>1050</v>
      </c>
      <c r="F2215" s="8" t="s">
        <v>1051</v>
      </c>
      <c r="G2215" s="7" t="s">
        <v>61</v>
      </c>
      <c r="H2215" s="47" t="s">
        <v>205</v>
      </c>
      <c r="I2215" s="47" t="s">
        <v>206</v>
      </c>
      <c r="J2215" s="6">
        <v>73</v>
      </c>
      <c r="K2215" s="8" t="s">
        <v>26</v>
      </c>
      <c r="L2215" s="1" t="s">
        <v>1050</v>
      </c>
      <c r="M2215" s="5">
        <v>72</v>
      </c>
    </row>
    <row r="2216" spans="1:13" ht="15" x14ac:dyDescent="0.25">
      <c r="A2216" s="7" t="s">
        <v>16</v>
      </c>
      <c r="B2216" s="7" t="s">
        <v>229</v>
      </c>
      <c r="C2216" s="7" t="s">
        <v>24</v>
      </c>
      <c r="D2216" s="4">
        <v>29072642000188</v>
      </c>
      <c r="E2216" s="8" t="s">
        <v>1052</v>
      </c>
      <c r="F2216" s="8" t="s">
        <v>92</v>
      </c>
      <c r="G2216" s="7" t="s">
        <v>61</v>
      </c>
      <c r="H2216" s="47" t="s">
        <v>205</v>
      </c>
      <c r="I2216" s="47" t="s">
        <v>206</v>
      </c>
      <c r="J2216" s="6">
        <v>64</v>
      </c>
      <c r="K2216" s="8" t="s">
        <v>25</v>
      </c>
      <c r="L2216" s="1" t="s">
        <v>1052</v>
      </c>
      <c r="M2216" s="5">
        <v>6</v>
      </c>
    </row>
    <row r="2217" spans="1:13" ht="15" x14ac:dyDescent="0.25">
      <c r="A2217" s="7" t="s">
        <v>16</v>
      </c>
      <c r="B2217" s="7" t="s">
        <v>229</v>
      </c>
      <c r="C2217" s="7" t="s">
        <v>24</v>
      </c>
      <c r="D2217" s="4">
        <v>29640612000120</v>
      </c>
      <c r="E2217" s="8" t="s">
        <v>1055</v>
      </c>
      <c r="F2217" s="8" t="s">
        <v>103</v>
      </c>
      <c r="G2217" s="7" t="s">
        <v>61</v>
      </c>
      <c r="H2217" s="47" t="s">
        <v>205</v>
      </c>
      <c r="I2217" s="47" t="s">
        <v>206</v>
      </c>
      <c r="J2217" s="6">
        <v>64</v>
      </c>
      <c r="K2217" s="8" t="s">
        <v>25</v>
      </c>
      <c r="L2217" s="1" t="s">
        <v>1055</v>
      </c>
      <c r="M2217" s="5">
        <v>4</v>
      </c>
    </row>
    <row r="2218" spans="1:13" ht="15" x14ac:dyDescent="0.25">
      <c r="A2218" s="7" t="s">
        <v>16</v>
      </c>
      <c r="B2218" s="7" t="s">
        <v>229</v>
      </c>
      <c r="C2218" s="7" t="s">
        <v>24</v>
      </c>
      <c r="D2218" s="4">
        <v>31671480000146</v>
      </c>
      <c r="E2218" s="8" t="s">
        <v>1214</v>
      </c>
      <c r="F2218" s="8" t="s">
        <v>1215</v>
      </c>
      <c r="G2218" s="7" t="s">
        <v>61</v>
      </c>
      <c r="H2218" s="47" t="s">
        <v>205</v>
      </c>
      <c r="I2218" s="47" t="s">
        <v>206</v>
      </c>
      <c r="J2218" s="6">
        <v>64</v>
      </c>
      <c r="K2218" s="8" t="s">
        <v>25</v>
      </c>
      <c r="L2218" s="1" t="s">
        <v>1214</v>
      </c>
      <c r="M2218" s="5">
        <v>10</v>
      </c>
    </row>
    <row r="2219" spans="1:13" ht="15" x14ac:dyDescent="0.25">
      <c r="A2219" s="7" t="s">
        <v>16</v>
      </c>
      <c r="B2219" s="7" t="s">
        <v>229</v>
      </c>
      <c r="C2219" s="7" t="s">
        <v>24</v>
      </c>
      <c r="D2219" s="4">
        <v>31671480000308</v>
      </c>
      <c r="E2219" s="8" t="s">
        <v>1216</v>
      </c>
      <c r="F2219" s="8" t="s">
        <v>1039</v>
      </c>
      <c r="G2219" s="7" t="s">
        <v>61</v>
      </c>
      <c r="H2219" s="47" t="s">
        <v>205</v>
      </c>
      <c r="I2219" s="47" t="s">
        <v>206</v>
      </c>
      <c r="J2219" s="6">
        <v>64</v>
      </c>
      <c r="K2219" s="8" t="s">
        <v>25</v>
      </c>
      <c r="L2219" s="1" t="s">
        <v>1216</v>
      </c>
      <c r="M2219" s="5">
        <v>10</v>
      </c>
    </row>
    <row r="2220" spans="1:13" ht="15" x14ac:dyDescent="0.25">
      <c r="A2220" s="7" t="s">
        <v>16</v>
      </c>
      <c r="B2220" s="7" t="s">
        <v>229</v>
      </c>
      <c r="C2220" s="7" t="s">
        <v>24</v>
      </c>
      <c r="D2220" s="4">
        <v>35917970000726</v>
      </c>
      <c r="E2220" s="8" t="s">
        <v>1062</v>
      </c>
      <c r="F2220" s="8" t="s">
        <v>105</v>
      </c>
      <c r="G2220" s="7" t="s">
        <v>61</v>
      </c>
      <c r="H2220" s="47" t="s">
        <v>205</v>
      </c>
      <c r="I2220" s="47" t="s">
        <v>206</v>
      </c>
      <c r="J2220" s="6">
        <v>73</v>
      </c>
      <c r="K2220" s="8" t="s">
        <v>26</v>
      </c>
      <c r="L2220" s="1" t="s">
        <v>1062</v>
      </c>
      <c r="M2220" s="5">
        <v>12</v>
      </c>
    </row>
    <row r="2221" spans="1:13" ht="15" x14ac:dyDescent="0.25">
      <c r="A2221" s="7" t="s">
        <v>16</v>
      </c>
      <c r="B2221" s="7" t="s">
        <v>229</v>
      </c>
      <c r="C2221" s="7" t="s">
        <v>24</v>
      </c>
      <c r="D2221" s="4">
        <v>36238913000198</v>
      </c>
      <c r="E2221" s="8" t="s">
        <v>1063</v>
      </c>
      <c r="F2221" s="8" t="s">
        <v>1064</v>
      </c>
      <c r="G2221" s="7" t="s">
        <v>61</v>
      </c>
      <c r="H2221" s="47" t="s">
        <v>205</v>
      </c>
      <c r="I2221" s="47" t="s">
        <v>206</v>
      </c>
      <c r="J2221" s="6">
        <v>73</v>
      </c>
      <c r="K2221" s="8" t="s">
        <v>26</v>
      </c>
      <c r="L2221" s="1" t="s">
        <v>1063</v>
      </c>
      <c r="M2221" s="5">
        <v>112</v>
      </c>
    </row>
    <row r="2222" spans="1:13" ht="15" x14ac:dyDescent="0.25">
      <c r="A2222" s="7" t="s">
        <v>16</v>
      </c>
      <c r="B2222" s="7" t="s">
        <v>229</v>
      </c>
      <c r="C2222" s="7" t="s">
        <v>24</v>
      </c>
      <c r="D2222" s="4">
        <v>42855999000362</v>
      </c>
      <c r="E2222" s="8" t="s">
        <v>1222</v>
      </c>
      <c r="F2222" s="8" t="s">
        <v>1223</v>
      </c>
      <c r="G2222" s="7" t="s">
        <v>54</v>
      </c>
      <c r="H2222" s="47" t="s">
        <v>205</v>
      </c>
      <c r="I2222" s="47" t="s">
        <v>206</v>
      </c>
      <c r="J2222" s="6">
        <v>73</v>
      </c>
      <c r="K2222" s="8" t="s">
        <v>26</v>
      </c>
      <c r="L2222" s="1" t="s">
        <v>1222</v>
      </c>
      <c r="M2222" s="5">
        <v>9</v>
      </c>
    </row>
    <row r="2223" spans="1:13" ht="15" x14ac:dyDescent="0.25">
      <c r="A2223" s="7" t="s">
        <v>16</v>
      </c>
      <c r="B2223" s="7" t="s">
        <v>229</v>
      </c>
      <c r="C2223" s="7" t="s">
        <v>24</v>
      </c>
      <c r="D2223" s="4">
        <v>60194990000844</v>
      </c>
      <c r="E2223" s="8" t="s">
        <v>1231</v>
      </c>
      <c r="F2223" s="8" t="s">
        <v>58</v>
      </c>
      <c r="G2223" s="7" t="s">
        <v>54</v>
      </c>
      <c r="H2223" s="47" t="s">
        <v>205</v>
      </c>
      <c r="I2223" s="47" t="s">
        <v>206</v>
      </c>
      <c r="J2223" s="6">
        <v>62</v>
      </c>
      <c r="K2223" s="8" t="s">
        <v>27</v>
      </c>
      <c r="L2223" s="1" t="s">
        <v>1231</v>
      </c>
      <c r="M2223" s="5">
        <v>6</v>
      </c>
    </row>
    <row r="2224" spans="1:13" ht="15" x14ac:dyDescent="0.25">
      <c r="A2224" s="7" t="s">
        <v>16</v>
      </c>
      <c r="B2224" s="7" t="s">
        <v>229</v>
      </c>
      <c r="C2224" s="7" t="s">
        <v>24</v>
      </c>
      <c r="D2224" s="4">
        <v>60884855001207</v>
      </c>
      <c r="E2224" s="8" t="s">
        <v>1065</v>
      </c>
      <c r="F2224" s="8" t="s">
        <v>1039</v>
      </c>
      <c r="G2224" s="7" t="s">
        <v>61</v>
      </c>
      <c r="H2224" s="47" t="s">
        <v>205</v>
      </c>
      <c r="I2224" s="47" t="s">
        <v>206</v>
      </c>
      <c r="J2224" s="6">
        <v>62</v>
      </c>
      <c r="K2224" s="8" t="s">
        <v>27</v>
      </c>
      <c r="L2224" s="1" t="s">
        <v>1065</v>
      </c>
      <c r="M2224" s="5">
        <v>28</v>
      </c>
    </row>
    <row r="2225" spans="1:13" ht="15" x14ac:dyDescent="0.25">
      <c r="A2225" s="7" t="s">
        <v>16</v>
      </c>
      <c r="B2225" s="7" t="s">
        <v>229</v>
      </c>
      <c r="C2225" s="7" t="s">
        <v>24</v>
      </c>
      <c r="D2225" s="4">
        <v>60884855001207</v>
      </c>
      <c r="E2225" s="8" t="s">
        <v>1065</v>
      </c>
      <c r="F2225" s="8" t="s">
        <v>1039</v>
      </c>
      <c r="G2225" s="7" t="s">
        <v>61</v>
      </c>
      <c r="H2225" s="47" t="s">
        <v>205</v>
      </c>
      <c r="I2225" s="47" t="s">
        <v>206</v>
      </c>
      <c r="J2225" s="6">
        <v>64</v>
      </c>
      <c r="K2225" s="8" t="s">
        <v>25</v>
      </c>
      <c r="L2225" s="1" t="s">
        <v>1065</v>
      </c>
      <c r="M2225" s="5">
        <v>53</v>
      </c>
    </row>
    <row r="2226" spans="1:13" ht="15" x14ac:dyDescent="0.25">
      <c r="A2226" s="7" t="s">
        <v>16</v>
      </c>
      <c r="B2226" s="7" t="s">
        <v>229</v>
      </c>
      <c r="C2226" s="7" t="s">
        <v>24</v>
      </c>
      <c r="D2226" s="4">
        <v>60922168005226</v>
      </c>
      <c r="E2226" s="8" t="s">
        <v>977</v>
      </c>
      <c r="F2226" s="8" t="s">
        <v>93</v>
      </c>
      <c r="G2226" s="7" t="s">
        <v>68</v>
      </c>
      <c r="H2226" s="47" t="s">
        <v>205</v>
      </c>
      <c r="I2226" s="47" t="s">
        <v>206</v>
      </c>
      <c r="J2226" s="6">
        <v>62</v>
      </c>
      <c r="K2226" s="8" t="s">
        <v>27</v>
      </c>
      <c r="L2226" s="1" t="s">
        <v>977</v>
      </c>
      <c r="M2226" s="5">
        <v>7</v>
      </c>
    </row>
    <row r="2227" spans="1:13" ht="15" x14ac:dyDescent="0.25">
      <c r="A2227" s="7" t="s">
        <v>16</v>
      </c>
      <c r="B2227" s="7" t="s">
        <v>229</v>
      </c>
      <c r="C2227" s="7" t="s">
        <v>24</v>
      </c>
      <c r="D2227" s="4">
        <v>60922168005226</v>
      </c>
      <c r="E2227" s="8" t="s">
        <v>977</v>
      </c>
      <c r="F2227" s="8" t="s">
        <v>93</v>
      </c>
      <c r="G2227" s="7" t="s">
        <v>68</v>
      </c>
      <c r="H2227" s="47" t="s">
        <v>205</v>
      </c>
      <c r="I2227" s="47" t="s">
        <v>206</v>
      </c>
      <c r="J2227" s="6">
        <v>64</v>
      </c>
      <c r="K2227" s="8" t="s">
        <v>25</v>
      </c>
      <c r="L2227" s="1" t="s">
        <v>977</v>
      </c>
      <c r="M2227" s="5">
        <v>2</v>
      </c>
    </row>
    <row r="2228" spans="1:13" ht="15" x14ac:dyDescent="0.25">
      <c r="A2228" s="7" t="s">
        <v>16</v>
      </c>
      <c r="B2228" s="7" t="s">
        <v>229</v>
      </c>
      <c r="C2228" s="7" t="s">
        <v>24</v>
      </c>
      <c r="D2228" s="4">
        <v>80673411000187</v>
      </c>
      <c r="E2228" s="8" t="s">
        <v>999</v>
      </c>
      <c r="F2228" s="8" t="s">
        <v>930</v>
      </c>
      <c r="G2228" s="7" t="s">
        <v>68</v>
      </c>
      <c r="H2228" s="47" t="s">
        <v>205</v>
      </c>
      <c r="I2228" s="47" t="s">
        <v>206</v>
      </c>
      <c r="J2228" s="6">
        <v>73</v>
      </c>
      <c r="K2228" s="8" t="s">
        <v>26</v>
      </c>
      <c r="L2228" s="1" t="s">
        <v>999</v>
      </c>
      <c r="M2228" s="5">
        <v>64</v>
      </c>
    </row>
    <row r="2229" spans="1:13" ht="15" x14ac:dyDescent="0.25">
      <c r="A2229" s="7" t="s">
        <v>16</v>
      </c>
      <c r="B2229" s="7" t="s">
        <v>229</v>
      </c>
      <c r="C2229" s="7" t="s">
        <v>24</v>
      </c>
      <c r="D2229" s="4">
        <v>81170003000256</v>
      </c>
      <c r="E2229" s="8" t="s">
        <v>1000</v>
      </c>
      <c r="F2229" s="8" t="s">
        <v>112</v>
      </c>
      <c r="G2229" s="7" t="s">
        <v>57</v>
      </c>
      <c r="H2229" s="47" t="s">
        <v>205</v>
      </c>
      <c r="I2229" s="47" t="s">
        <v>206</v>
      </c>
      <c r="J2229" s="6">
        <v>66</v>
      </c>
      <c r="K2229" s="8" t="s">
        <v>28</v>
      </c>
      <c r="L2229" s="1" t="s">
        <v>1000</v>
      </c>
      <c r="M2229" s="5">
        <v>1</v>
      </c>
    </row>
    <row r="2230" spans="1:13" ht="15" x14ac:dyDescent="0.25">
      <c r="A2230" s="7" t="s">
        <v>16</v>
      </c>
      <c r="B2230" s="7" t="s">
        <v>229</v>
      </c>
      <c r="C2230" s="7" t="s">
        <v>24</v>
      </c>
      <c r="D2230" s="4">
        <v>81270548000153</v>
      </c>
      <c r="E2230" s="8" t="s">
        <v>1002</v>
      </c>
      <c r="F2230" s="8" t="s">
        <v>112</v>
      </c>
      <c r="G2230" s="7" t="s">
        <v>57</v>
      </c>
      <c r="H2230" s="47" t="s">
        <v>205</v>
      </c>
      <c r="I2230" s="47" t="s">
        <v>206</v>
      </c>
      <c r="J2230" s="6">
        <v>62</v>
      </c>
      <c r="K2230" s="8" t="s">
        <v>27</v>
      </c>
      <c r="L2230" s="1" t="s">
        <v>1002</v>
      </c>
      <c r="M2230" s="5">
        <v>5</v>
      </c>
    </row>
    <row r="2231" spans="1:13" ht="15" x14ac:dyDescent="0.25">
      <c r="A2231" s="7" t="s">
        <v>16</v>
      </c>
      <c r="B2231" s="7" t="s">
        <v>229</v>
      </c>
      <c r="C2231" s="7" t="s">
        <v>24</v>
      </c>
      <c r="D2231" s="4">
        <v>82602327000360</v>
      </c>
      <c r="E2231" s="8" t="s">
        <v>1236</v>
      </c>
      <c r="F2231" s="8" t="s">
        <v>125</v>
      </c>
      <c r="G2231" s="7" t="s">
        <v>68</v>
      </c>
      <c r="H2231" s="47" t="s">
        <v>205</v>
      </c>
      <c r="I2231" s="47" t="s">
        <v>206</v>
      </c>
      <c r="J2231" s="6">
        <v>64</v>
      </c>
      <c r="K2231" s="8" t="s">
        <v>25</v>
      </c>
      <c r="L2231" s="1" t="s">
        <v>1236</v>
      </c>
      <c r="M2231" s="5">
        <v>6</v>
      </c>
    </row>
    <row r="2232" spans="1:13" ht="15" x14ac:dyDescent="0.25">
      <c r="A2232" s="7" t="s">
        <v>16</v>
      </c>
      <c r="B2232" s="7" t="s">
        <v>229</v>
      </c>
      <c r="C2232" s="7" t="s">
        <v>24</v>
      </c>
      <c r="D2232" s="4">
        <v>85377174000392</v>
      </c>
      <c r="E2232" s="8" t="s">
        <v>1012</v>
      </c>
      <c r="F2232" s="8" t="s">
        <v>938</v>
      </c>
      <c r="G2232" s="7" t="s">
        <v>68</v>
      </c>
      <c r="H2232" s="47" t="s">
        <v>205</v>
      </c>
      <c r="I2232" s="47" t="s">
        <v>206</v>
      </c>
      <c r="J2232" s="6">
        <v>73</v>
      </c>
      <c r="K2232" s="8" t="s">
        <v>26</v>
      </c>
      <c r="L2232" s="1" t="s">
        <v>1012</v>
      </c>
      <c r="M2232" s="5">
        <v>13</v>
      </c>
    </row>
    <row r="2233" spans="1:13" ht="15" x14ac:dyDescent="0.25">
      <c r="A2233" s="7" t="s">
        <v>16</v>
      </c>
      <c r="B2233" s="7" t="s">
        <v>229</v>
      </c>
      <c r="C2233" s="7" t="s">
        <v>24</v>
      </c>
      <c r="D2233" s="4">
        <v>87827689002405</v>
      </c>
      <c r="E2233" s="8" t="s">
        <v>1021</v>
      </c>
      <c r="F2233" s="8" t="s">
        <v>66</v>
      </c>
      <c r="G2233" s="7" t="s">
        <v>67</v>
      </c>
      <c r="H2233" s="47" t="s">
        <v>205</v>
      </c>
      <c r="I2233" s="47" t="s">
        <v>206</v>
      </c>
      <c r="J2233" s="6">
        <v>73</v>
      </c>
      <c r="K2233" s="8" t="s">
        <v>26</v>
      </c>
      <c r="L2233" s="1" t="s">
        <v>1021</v>
      </c>
      <c r="M2233" s="5">
        <v>186</v>
      </c>
    </row>
    <row r="2234" spans="1:13" ht="15" x14ac:dyDescent="0.25">
      <c r="A2234" s="7" t="s">
        <v>16</v>
      </c>
      <c r="B2234" s="7" t="s">
        <v>229</v>
      </c>
      <c r="C2234" s="7" t="s">
        <v>24</v>
      </c>
      <c r="D2234" s="4">
        <v>88645403001372</v>
      </c>
      <c r="E2234" s="8" t="s">
        <v>1025</v>
      </c>
      <c r="F2234" s="8" t="s">
        <v>66</v>
      </c>
      <c r="G2234" s="7" t="s">
        <v>67</v>
      </c>
      <c r="H2234" s="47" t="s">
        <v>205</v>
      </c>
      <c r="I2234" s="47" t="s">
        <v>206</v>
      </c>
      <c r="J2234" s="6">
        <v>73</v>
      </c>
      <c r="K2234" s="8" t="s">
        <v>26</v>
      </c>
      <c r="L2234" s="1" t="s">
        <v>1025</v>
      </c>
      <c r="M2234" s="5">
        <v>32</v>
      </c>
    </row>
    <row r="2235" spans="1:13" ht="15" x14ac:dyDescent="0.25">
      <c r="A2235" s="7" t="s">
        <v>16</v>
      </c>
      <c r="B2235" s="7" t="s">
        <v>229</v>
      </c>
      <c r="C2235" s="7" t="s">
        <v>24</v>
      </c>
      <c r="D2235" s="4">
        <v>92404789000164</v>
      </c>
      <c r="E2235" s="8" t="s">
        <v>1028</v>
      </c>
      <c r="F2235" s="8" t="s">
        <v>106</v>
      </c>
      <c r="G2235" s="7" t="s">
        <v>67</v>
      </c>
      <c r="H2235" s="47" t="s">
        <v>205</v>
      </c>
      <c r="I2235" s="47" t="s">
        <v>206</v>
      </c>
      <c r="J2235" s="6">
        <v>73</v>
      </c>
      <c r="K2235" s="8" t="s">
        <v>26</v>
      </c>
      <c r="L2235" s="1" t="s">
        <v>1028</v>
      </c>
      <c r="M2235" s="5">
        <v>16</v>
      </c>
    </row>
    <row r="2236" spans="1:13" ht="15" x14ac:dyDescent="0.25">
      <c r="A2236" s="7" t="s">
        <v>16</v>
      </c>
      <c r="B2236" s="7" t="s">
        <v>229</v>
      </c>
      <c r="C2236" s="7" t="s">
        <v>24</v>
      </c>
      <c r="D2236" s="4">
        <v>95610887000146</v>
      </c>
      <c r="E2236" s="8" t="s">
        <v>1037</v>
      </c>
      <c r="F2236" s="8" t="s">
        <v>87</v>
      </c>
      <c r="G2236" s="7" t="s">
        <v>67</v>
      </c>
      <c r="H2236" s="47" t="s">
        <v>205</v>
      </c>
      <c r="I2236" s="47" t="s">
        <v>206</v>
      </c>
      <c r="J2236" s="6">
        <v>62</v>
      </c>
      <c r="K2236" s="8" t="s">
        <v>27</v>
      </c>
      <c r="L2236" s="1" t="s">
        <v>1037</v>
      </c>
      <c r="M2236" s="5">
        <v>13</v>
      </c>
    </row>
    <row r="2237" spans="1:13" ht="15" x14ac:dyDescent="0.25">
      <c r="A2237" s="7" t="s">
        <v>16</v>
      </c>
      <c r="B2237" s="7" t="s">
        <v>229</v>
      </c>
      <c r="C2237" s="7" t="s">
        <v>24</v>
      </c>
      <c r="D2237" s="4">
        <v>95610887000146</v>
      </c>
      <c r="E2237" s="8" t="s">
        <v>1037</v>
      </c>
      <c r="F2237" s="8" t="s">
        <v>87</v>
      </c>
      <c r="G2237" s="7" t="s">
        <v>67</v>
      </c>
      <c r="H2237" s="47" t="s">
        <v>205</v>
      </c>
      <c r="I2237" s="47" t="s">
        <v>206</v>
      </c>
      <c r="J2237" s="6">
        <v>73</v>
      </c>
      <c r="K2237" s="8" t="s">
        <v>26</v>
      </c>
      <c r="L2237" s="1" t="s">
        <v>1037</v>
      </c>
      <c r="M2237" s="5">
        <v>20</v>
      </c>
    </row>
    <row r="2238" spans="1:13" ht="15" x14ac:dyDescent="0.25">
      <c r="A2238" s="7" t="s">
        <v>16</v>
      </c>
      <c r="B2238" s="7" t="s">
        <v>230</v>
      </c>
      <c r="C2238" s="7" t="s">
        <v>24</v>
      </c>
      <c r="D2238" s="4">
        <v>10364254602</v>
      </c>
      <c r="E2238" s="8" t="s">
        <v>1414</v>
      </c>
      <c r="F2238" s="8" t="s">
        <v>58</v>
      </c>
      <c r="G2238" s="7" t="s">
        <v>54</v>
      </c>
      <c r="H2238" s="47" t="s">
        <v>205</v>
      </c>
      <c r="I2238" s="47" t="s">
        <v>206</v>
      </c>
      <c r="J2238" s="6">
        <v>66</v>
      </c>
      <c r="K2238" s="8" t="s">
        <v>28</v>
      </c>
      <c r="L2238" s="1" t="s">
        <v>1414</v>
      </c>
      <c r="M2238" s="5">
        <v>29</v>
      </c>
    </row>
    <row r="2239" spans="1:13" ht="15" x14ac:dyDescent="0.25">
      <c r="A2239" s="7" t="s">
        <v>16</v>
      </c>
      <c r="B2239" s="7" t="s">
        <v>230</v>
      </c>
      <c r="C2239" s="7" t="s">
        <v>24</v>
      </c>
      <c r="D2239" s="4">
        <v>304148000110</v>
      </c>
      <c r="E2239" s="8" t="s">
        <v>932</v>
      </c>
      <c r="F2239" s="8" t="s">
        <v>933</v>
      </c>
      <c r="G2239" s="7" t="s">
        <v>57</v>
      </c>
      <c r="H2239" s="47" t="s">
        <v>205</v>
      </c>
      <c r="I2239" s="47" t="s">
        <v>206</v>
      </c>
      <c r="J2239" s="6">
        <v>73</v>
      </c>
      <c r="K2239" s="8" t="s">
        <v>26</v>
      </c>
      <c r="L2239" s="1" t="s">
        <v>932</v>
      </c>
      <c r="M2239" s="5">
        <v>6</v>
      </c>
    </row>
    <row r="2240" spans="1:13" ht="15" x14ac:dyDescent="0.25">
      <c r="A2240" s="7" t="s">
        <v>16</v>
      </c>
      <c r="B2240" s="7" t="s">
        <v>230</v>
      </c>
      <c r="C2240" s="7" t="s">
        <v>24</v>
      </c>
      <c r="D2240" s="4">
        <v>410960000120</v>
      </c>
      <c r="E2240" s="8" t="s">
        <v>1137</v>
      </c>
      <c r="F2240" s="8" t="s">
        <v>58</v>
      </c>
      <c r="G2240" s="7" t="s">
        <v>54</v>
      </c>
      <c r="H2240" s="47" t="s">
        <v>205</v>
      </c>
      <c r="I2240" s="47" t="s">
        <v>206</v>
      </c>
      <c r="J2240" s="6">
        <v>73</v>
      </c>
      <c r="K2240" s="8" t="s">
        <v>26</v>
      </c>
      <c r="L2240" s="1" t="s">
        <v>1137</v>
      </c>
      <c r="M2240" s="5">
        <v>32</v>
      </c>
    </row>
    <row r="2241" spans="1:13" ht="15" x14ac:dyDescent="0.25">
      <c r="A2241" s="7" t="s">
        <v>16</v>
      </c>
      <c r="B2241" s="7" t="s">
        <v>230</v>
      </c>
      <c r="C2241" s="7" t="s">
        <v>24</v>
      </c>
      <c r="D2241" s="4">
        <v>437007000175</v>
      </c>
      <c r="E2241" s="8" t="s">
        <v>1038</v>
      </c>
      <c r="F2241" s="8" t="s">
        <v>1039</v>
      </c>
      <c r="G2241" s="7" t="s">
        <v>61</v>
      </c>
      <c r="H2241" s="47" t="s">
        <v>205</v>
      </c>
      <c r="I2241" s="47" t="s">
        <v>206</v>
      </c>
      <c r="J2241" s="6">
        <v>73</v>
      </c>
      <c r="K2241" s="8" t="s">
        <v>26</v>
      </c>
      <c r="L2241" s="1" t="s">
        <v>1038</v>
      </c>
      <c r="M2241" s="5">
        <v>478</v>
      </c>
    </row>
    <row r="2242" spans="1:13" ht="15" x14ac:dyDescent="0.25">
      <c r="A2242" s="7" t="s">
        <v>16</v>
      </c>
      <c r="B2242" s="7" t="s">
        <v>230</v>
      </c>
      <c r="C2242" s="7" t="s">
        <v>24</v>
      </c>
      <c r="D2242" s="4">
        <v>1880344000103</v>
      </c>
      <c r="E2242" s="8" t="s">
        <v>941</v>
      </c>
      <c r="F2242" s="8" t="s">
        <v>93</v>
      </c>
      <c r="G2242" s="7" t="s">
        <v>68</v>
      </c>
      <c r="H2242" s="47" t="s">
        <v>205</v>
      </c>
      <c r="I2242" s="47" t="s">
        <v>206</v>
      </c>
      <c r="J2242" s="6">
        <v>64</v>
      </c>
      <c r="K2242" s="8" t="s">
        <v>25</v>
      </c>
      <c r="L2242" s="1" t="s">
        <v>941</v>
      </c>
      <c r="M2242" s="5">
        <v>3</v>
      </c>
    </row>
    <row r="2243" spans="1:13" ht="15" x14ac:dyDescent="0.25">
      <c r="A2243" s="7" t="s">
        <v>16</v>
      </c>
      <c r="B2243" s="7" t="s">
        <v>230</v>
      </c>
      <c r="C2243" s="7" t="s">
        <v>24</v>
      </c>
      <c r="D2243" s="4">
        <v>5503803000182</v>
      </c>
      <c r="E2243" s="8" t="s">
        <v>1400</v>
      </c>
      <c r="F2243" s="8" t="s">
        <v>94</v>
      </c>
      <c r="G2243" s="7" t="s">
        <v>57</v>
      </c>
      <c r="H2243" s="47" t="s">
        <v>205</v>
      </c>
      <c r="I2243" s="47" t="s">
        <v>206</v>
      </c>
      <c r="J2243" s="6">
        <v>73</v>
      </c>
      <c r="K2243" s="8" t="s">
        <v>26</v>
      </c>
      <c r="L2243" s="1" t="s">
        <v>1400</v>
      </c>
      <c r="M2243" s="5">
        <v>8</v>
      </c>
    </row>
    <row r="2244" spans="1:13" ht="15" x14ac:dyDescent="0.25">
      <c r="A2244" s="7" t="s">
        <v>16</v>
      </c>
      <c r="B2244" s="7" t="s">
        <v>230</v>
      </c>
      <c r="C2244" s="7" t="s">
        <v>24</v>
      </c>
      <c r="D2244" s="4">
        <v>7734165000136</v>
      </c>
      <c r="E2244" s="8" t="s">
        <v>954</v>
      </c>
      <c r="F2244" s="8" t="s">
        <v>94</v>
      </c>
      <c r="G2244" s="7" t="s">
        <v>57</v>
      </c>
      <c r="H2244" s="47" t="s">
        <v>205</v>
      </c>
      <c r="I2244" s="47" t="s">
        <v>206</v>
      </c>
      <c r="J2244" s="6">
        <v>73</v>
      </c>
      <c r="K2244" s="8" t="s">
        <v>26</v>
      </c>
      <c r="L2244" s="1" t="s">
        <v>954</v>
      </c>
      <c r="M2244" s="5">
        <v>200</v>
      </c>
    </row>
    <row r="2245" spans="1:13" ht="15" x14ac:dyDescent="0.25">
      <c r="A2245" s="7" t="s">
        <v>16</v>
      </c>
      <c r="B2245" s="7" t="s">
        <v>230</v>
      </c>
      <c r="C2245" s="7" t="s">
        <v>24</v>
      </c>
      <c r="D2245" s="4">
        <v>7794623001528</v>
      </c>
      <c r="E2245" s="8" t="s">
        <v>1042</v>
      </c>
      <c r="F2245" s="8" t="s">
        <v>1043</v>
      </c>
      <c r="G2245" s="7" t="s">
        <v>61</v>
      </c>
      <c r="H2245" s="47" t="s">
        <v>205</v>
      </c>
      <c r="I2245" s="47" t="s">
        <v>206</v>
      </c>
      <c r="J2245" s="6">
        <v>73</v>
      </c>
      <c r="K2245" s="8" t="s">
        <v>26</v>
      </c>
      <c r="L2245" s="1" t="s">
        <v>1042</v>
      </c>
      <c r="M2245" s="5">
        <v>28</v>
      </c>
    </row>
    <row r="2246" spans="1:13" ht="15" x14ac:dyDescent="0.25">
      <c r="A2246" s="7" t="s">
        <v>16</v>
      </c>
      <c r="B2246" s="7" t="s">
        <v>230</v>
      </c>
      <c r="C2246" s="7" t="s">
        <v>24</v>
      </c>
      <c r="D2246" s="4">
        <v>8579164000127</v>
      </c>
      <c r="E2246" s="8" t="s">
        <v>1401</v>
      </c>
      <c r="F2246" s="8" t="s">
        <v>1402</v>
      </c>
      <c r="G2246" s="7" t="s">
        <v>67</v>
      </c>
      <c r="H2246" s="47" t="s">
        <v>205</v>
      </c>
      <c r="I2246" s="47" t="s">
        <v>206</v>
      </c>
      <c r="J2246" s="6">
        <v>64</v>
      </c>
      <c r="K2246" s="8" t="s">
        <v>25</v>
      </c>
      <c r="L2246" s="1" t="s">
        <v>1401</v>
      </c>
      <c r="M2246" s="5">
        <v>2</v>
      </c>
    </row>
    <row r="2247" spans="1:13" ht="15" x14ac:dyDescent="0.25">
      <c r="A2247" s="7" t="s">
        <v>16</v>
      </c>
      <c r="B2247" s="7" t="s">
        <v>230</v>
      </c>
      <c r="C2247" s="7" t="s">
        <v>24</v>
      </c>
      <c r="D2247" s="4">
        <v>10586940000168</v>
      </c>
      <c r="E2247" s="8" t="s">
        <v>1156</v>
      </c>
      <c r="F2247" s="8" t="s">
        <v>1157</v>
      </c>
      <c r="G2247" s="7" t="s">
        <v>98</v>
      </c>
      <c r="H2247" s="47" t="s">
        <v>205</v>
      </c>
      <c r="I2247" s="47" t="s">
        <v>206</v>
      </c>
      <c r="J2247" s="6">
        <v>62</v>
      </c>
      <c r="K2247" s="8" t="s">
        <v>27</v>
      </c>
      <c r="L2247" s="1" t="s">
        <v>1156</v>
      </c>
      <c r="M2247" s="5">
        <v>5</v>
      </c>
    </row>
    <row r="2248" spans="1:13" ht="15" x14ac:dyDescent="0.25">
      <c r="A2248" s="7" t="s">
        <v>16</v>
      </c>
      <c r="B2248" s="7" t="s">
        <v>230</v>
      </c>
      <c r="C2248" s="7" t="s">
        <v>24</v>
      </c>
      <c r="D2248" s="4">
        <v>10586940000168</v>
      </c>
      <c r="E2248" s="8" t="s">
        <v>1156</v>
      </c>
      <c r="F2248" s="8" t="s">
        <v>1157</v>
      </c>
      <c r="G2248" s="7" t="s">
        <v>98</v>
      </c>
      <c r="H2248" s="47" t="s">
        <v>205</v>
      </c>
      <c r="I2248" s="47" t="s">
        <v>206</v>
      </c>
      <c r="J2248" s="6">
        <v>73</v>
      </c>
      <c r="K2248" s="8" t="s">
        <v>26</v>
      </c>
      <c r="L2248" s="1" t="s">
        <v>1156</v>
      </c>
      <c r="M2248" s="5">
        <v>24</v>
      </c>
    </row>
    <row r="2249" spans="1:13" ht="15" x14ac:dyDescent="0.25">
      <c r="A2249" s="7" t="s">
        <v>16</v>
      </c>
      <c r="B2249" s="7" t="s">
        <v>230</v>
      </c>
      <c r="C2249" s="7" t="s">
        <v>24</v>
      </c>
      <c r="D2249" s="4">
        <v>14408631000159</v>
      </c>
      <c r="E2249" s="8" t="s">
        <v>1163</v>
      </c>
      <c r="F2249" s="8" t="s">
        <v>1164</v>
      </c>
      <c r="G2249" s="7" t="s">
        <v>54</v>
      </c>
      <c r="H2249" s="47" t="s">
        <v>205</v>
      </c>
      <c r="I2249" s="47" t="s">
        <v>206</v>
      </c>
      <c r="J2249" s="6">
        <v>73</v>
      </c>
      <c r="K2249" s="8" t="s">
        <v>26</v>
      </c>
      <c r="L2249" s="1" t="s">
        <v>1163</v>
      </c>
      <c r="M2249" s="5">
        <v>8</v>
      </c>
    </row>
    <row r="2250" spans="1:13" ht="15" x14ac:dyDescent="0.25">
      <c r="A2250" s="7" t="s">
        <v>16</v>
      </c>
      <c r="B2250" s="7" t="s">
        <v>230</v>
      </c>
      <c r="C2250" s="7" t="s">
        <v>24</v>
      </c>
      <c r="D2250" s="4">
        <v>15126437001972</v>
      </c>
      <c r="E2250" s="8" t="s">
        <v>966</v>
      </c>
      <c r="F2250" s="8" t="s">
        <v>87</v>
      </c>
      <c r="G2250" s="7" t="s">
        <v>67</v>
      </c>
      <c r="H2250" s="47" t="s">
        <v>205</v>
      </c>
      <c r="I2250" s="47" t="s">
        <v>206</v>
      </c>
      <c r="J2250" s="6">
        <v>62</v>
      </c>
      <c r="K2250" s="8" t="s">
        <v>27</v>
      </c>
      <c r="L2250" s="1" t="s">
        <v>966</v>
      </c>
      <c r="M2250" s="5">
        <v>33</v>
      </c>
    </row>
    <row r="2251" spans="1:13" ht="15" x14ac:dyDescent="0.25">
      <c r="A2251" s="7" t="s">
        <v>16</v>
      </c>
      <c r="B2251" s="7" t="s">
        <v>230</v>
      </c>
      <c r="C2251" s="7" t="s">
        <v>24</v>
      </c>
      <c r="D2251" s="4">
        <v>15126437001972</v>
      </c>
      <c r="E2251" s="8" t="s">
        <v>966</v>
      </c>
      <c r="F2251" s="8" t="s">
        <v>87</v>
      </c>
      <c r="G2251" s="7" t="s">
        <v>67</v>
      </c>
      <c r="H2251" s="47" t="s">
        <v>205</v>
      </c>
      <c r="I2251" s="47" t="s">
        <v>206</v>
      </c>
      <c r="J2251" s="6">
        <v>64</v>
      </c>
      <c r="K2251" s="8" t="s">
        <v>25</v>
      </c>
      <c r="L2251" s="1" t="s">
        <v>966</v>
      </c>
      <c r="M2251" s="5">
        <v>25</v>
      </c>
    </row>
    <row r="2252" spans="1:13" ht="15" x14ac:dyDescent="0.25">
      <c r="A2252" s="7" t="s">
        <v>16</v>
      </c>
      <c r="B2252" s="7" t="s">
        <v>230</v>
      </c>
      <c r="C2252" s="7" t="s">
        <v>24</v>
      </c>
      <c r="D2252" s="4">
        <v>15126437003401</v>
      </c>
      <c r="E2252" s="8" t="s">
        <v>967</v>
      </c>
      <c r="F2252" s="8" t="s">
        <v>95</v>
      </c>
      <c r="G2252" s="7" t="s">
        <v>68</v>
      </c>
      <c r="H2252" s="47" t="s">
        <v>205</v>
      </c>
      <c r="I2252" s="47" t="s">
        <v>206</v>
      </c>
      <c r="J2252" s="6">
        <v>62</v>
      </c>
      <c r="K2252" s="8" t="s">
        <v>27</v>
      </c>
      <c r="L2252" s="1" t="s">
        <v>967</v>
      </c>
      <c r="M2252" s="5">
        <v>10</v>
      </c>
    </row>
    <row r="2253" spans="1:13" ht="15" x14ac:dyDescent="0.25">
      <c r="A2253" s="7" t="s">
        <v>16</v>
      </c>
      <c r="B2253" s="7" t="s">
        <v>230</v>
      </c>
      <c r="C2253" s="7" t="s">
        <v>24</v>
      </c>
      <c r="D2253" s="4">
        <v>17087591000189</v>
      </c>
      <c r="E2253" s="8" t="s">
        <v>1170</v>
      </c>
      <c r="F2253" s="8" t="s">
        <v>1171</v>
      </c>
      <c r="G2253" s="7" t="s">
        <v>54</v>
      </c>
      <c r="H2253" s="47" t="s">
        <v>205</v>
      </c>
      <c r="I2253" s="47" t="s">
        <v>206</v>
      </c>
      <c r="J2253" s="6">
        <v>62</v>
      </c>
      <c r="K2253" s="8" t="s">
        <v>27</v>
      </c>
      <c r="L2253" s="1" t="s">
        <v>1170</v>
      </c>
      <c r="M2253" s="5">
        <v>3</v>
      </c>
    </row>
    <row r="2254" spans="1:13" ht="15" x14ac:dyDescent="0.25">
      <c r="A2254" s="7" t="s">
        <v>16</v>
      </c>
      <c r="B2254" s="7" t="s">
        <v>230</v>
      </c>
      <c r="C2254" s="7" t="s">
        <v>24</v>
      </c>
      <c r="D2254" s="4">
        <v>17214149000176</v>
      </c>
      <c r="E2254" s="8" t="s">
        <v>1172</v>
      </c>
      <c r="F2254" s="8" t="s">
        <v>58</v>
      </c>
      <c r="G2254" s="7" t="s">
        <v>54</v>
      </c>
      <c r="H2254" s="47" t="s">
        <v>205</v>
      </c>
      <c r="I2254" s="47" t="s">
        <v>206</v>
      </c>
      <c r="J2254" s="6">
        <v>62</v>
      </c>
      <c r="K2254" s="8" t="s">
        <v>27</v>
      </c>
      <c r="L2254" s="1" t="s">
        <v>1172</v>
      </c>
      <c r="M2254" s="5">
        <v>27</v>
      </c>
    </row>
    <row r="2255" spans="1:13" ht="15" x14ac:dyDescent="0.25">
      <c r="A2255" s="7" t="s">
        <v>16</v>
      </c>
      <c r="B2255" s="7" t="s">
        <v>230</v>
      </c>
      <c r="C2255" s="7" t="s">
        <v>24</v>
      </c>
      <c r="D2255" s="4">
        <v>17689407000928</v>
      </c>
      <c r="E2255" s="8" t="s">
        <v>1174</v>
      </c>
      <c r="F2255" s="8" t="s">
        <v>88</v>
      </c>
      <c r="G2255" s="7" t="s">
        <v>54</v>
      </c>
      <c r="H2255" s="47" t="s">
        <v>205</v>
      </c>
      <c r="I2255" s="47" t="s">
        <v>206</v>
      </c>
      <c r="J2255" s="6">
        <v>73</v>
      </c>
      <c r="K2255" s="8" t="s">
        <v>26</v>
      </c>
      <c r="L2255" s="1" t="s">
        <v>1174</v>
      </c>
      <c r="M2255" s="5">
        <v>10</v>
      </c>
    </row>
    <row r="2256" spans="1:13" ht="15" x14ac:dyDescent="0.25">
      <c r="A2256" s="7" t="s">
        <v>16</v>
      </c>
      <c r="B2256" s="7" t="s">
        <v>230</v>
      </c>
      <c r="C2256" s="7" t="s">
        <v>24</v>
      </c>
      <c r="D2256" s="4">
        <v>17774738000613</v>
      </c>
      <c r="E2256" s="8" t="s">
        <v>1175</v>
      </c>
      <c r="F2256" s="8" t="s">
        <v>126</v>
      </c>
      <c r="G2256" s="7" t="s">
        <v>54</v>
      </c>
      <c r="H2256" s="47" t="s">
        <v>205</v>
      </c>
      <c r="I2256" s="47" t="s">
        <v>206</v>
      </c>
      <c r="J2256" s="6">
        <v>73</v>
      </c>
      <c r="K2256" s="8" t="s">
        <v>26</v>
      </c>
      <c r="L2256" s="1" t="s">
        <v>1175</v>
      </c>
      <c r="M2256" s="5">
        <v>28</v>
      </c>
    </row>
    <row r="2257" spans="1:13" ht="15" x14ac:dyDescent="0.25">
      <c r="A2257" s="7" t="s">
        <v>16</v>
      </c>
      <c r="B2257" s="7" t="s">
        <v>230</v>
      </c>
      <c r="C2257" s="7" t="s">
        <v>24</v>
      </c>
      <c r="D2257" s="4">
        <v>18484378000173</v>
      </c>
      <c r="E2257" s="8" t="s">
        <v>1176</v>
      </c>
      <c r="F2257" s="8" t="s">
        <v>1171</v>
      </c>
      <c r="G2257" s="7" t="s">
        <v>54</v>
      </c>
      <c r="H2257" s="47" t="s">
        <v>205</v>
      </c>
      <c r="I2257" s="47" t="s">
        <v>206</v>
      </c>
      <c r="J2257" s="6">
        <v>62</v>
      </c>
      <c r="K2257" s="8" t="s">
        <v>27</v>
      </c>
      <c r="L2257" s="1" t="s">
        <v>1176</v>
      </c>
      <c r="M2257" s="5">
        <v>3</v>
      </c>
    </row>
    <row r="2258" spans="1:13" ht="15" x14ac:dyDescent="0.25">
      <c r="A2258" s="7" t="s">
        <v>16</v>
      </c>
      <c r="B2258" s="7" t="s">
        <v>230</v>
      </c>
      <c r="C2258" s="7" t="s">
        <v>24</v>
      </c>
      <c r="D2258" s="4">
        <v>20150900000122</v>
      </c>
      <c r="E2258" s="8" t="s">
        <v>1185</v>
      </c>
      <c r="F2258" s="8" t="s">
        <v>1171</v>
      </c>
      <c r="G2258" s="7" t="s">
        <v>54</v>
      </c>
      <c r="H2258" s="47" t="s">
        <v>205</v>
      </c>
      <c r="I2258" s="47" t="s">
        <v>206</v>
      </c>
      <c r="J2258" s="6">
        <v>73</v>
      </c>
      <c r="K2258" s="8" t="s">
        <v>26</v>
      </c>
      <c r="L2258" s="1" t="s">
        <v>1185</v>
      </c>
      <c r="M2258" s="5">
        <v>12</v>
      </c>
    </row>
    <row r="2259" spans="1:13" ht="15" x14ac:dyDescent="0.25">
      <c r="A2259" s="7" t="s">
        <v>16</v>
      </c>
      <c r="B2259" s="7" t="s">
        <v>230</v>
      </c>
      <c r="C2259" s="7" t="s">
        <v>24</v>
      </c>
      <c r="D2259" s="4">
        <v>20909271000171</v>
      </c>
      <c r="E2259" s="8" t="s">
        <v>1189</v>
      </c>
      <c r="F2259" s="8" t="s">
        <v>101</v>
      </c>
      <c r="G2259" s="7" t="s">
        <v>54</v>
      </c>
      <c r="H2259" s="47" t="s">
        <v>205</v>
      </c>
      <c r="I2259" s="47" t="s">
        <v>206</v>
      </c>
      <c r="J2259" s="6">
        <v>73</v>
      </c>
      <c r="K2259" s="8" t="s">
        <v>26</v>
      </c>
      <c r="L2259" s="1" t="s">
        <v>1189</v>
      </c>
      <c r="M2259" s="5">
        <v>40</v>
      </c>
    </row>
    <row r="2260" spans="1:13" ht="15" x14ac:dyDescent="0.25">
      <c r="A2260" s="7" t="s">
        <v>16</v>
      </c>
      <c r="B2260" s="7" t="s">
        <v>230</v>
      </c>
      <c r="C2260" s="7" t="s">
        <v>24</v>
      </c>
      <c r="D2260" s="4">
        <v>23982118000168</v>
      </c>
      <c r="E2260" s="8" t="s">
        <v>972</v>
      </c>
      <c r="F2260" s="8" t="s">
        <v>930</v>
      </c>
      <c r="G2260" s="7" t="s">
        <v>68</v>
      </c>
      <c r="H2260" s="47" t="s">
        <v>205</v>
      </c>
      <c r="I2260" s="47" t="s">
        <v>206</v>
      </c>
      <c r="J2260" s="6">
        <v>73</v>
      </c>
      <c r="K2260" s="8" t="s">
        <v>26</v>
      </c>
      <c r="L2260" s="1" t="s">
        <v>972</v>
      </c>
      <c r="M2260" s="5">
        <v>32</v>
      </c>
    </row>
    <row r="2261" spans="1:13" ht="15" x14ac:dyDescent="0.25">
      <c r="A2261" s="7" t="s">
        <v>16</v>
      </c>
      <c r="B2261" s="7" t="s">
        <v>230</v>
      </c>
      <c r="C2261" s="7" t="s">
        <v>24</v>
      </c>
      <c r="D2261" s="4">
        <v>27193705000129</v>
      </c>
      <c r="E2261" s="8" t="s">
        <v>1428</v>
      </c>
      <c r="F2261" s="8" t="s">
        <v>1429</v>
      </c>
      <c r="G2261" s="7" t="s">
        <v>98</v>
      </c>
      <c r="H2261" s="47" t="s">
        <v>205</v>
      </c>
      <c r="I2261" s="47" t="s">
        <v>206</v>
      </c>
      <c r="J2261" s="6">
        <v>64</v>
      </c>
      <c r="K2261" s="8" t="s">
        <v>25</v>
      </c>
      <c r="L2261" s="1" t="s">
        <v>1428</v>
      </c>
      <c r="M2261" s="5">
        <v>10</v>
      </c>
    </row>
    <row r="2262" spans="1:13" ht="15" x14ac:dyDescent="0.25">
      <c r="A2262" s="7" t="s">
        <v>16</v>
      </c>
      <c r="B2262" s="7" t="s">
        <v>230</v>
      </c>
      <c r="C2262" s="7" t="s">
        <v>24</v>
      </c>
      <c r="D2262" s="4">
        <v>28806545000532</v>
      </c>
      <c r="E2262" s="8" t="s">
        <v>1050</v>
      </c>
      <c r="F2262" s="8" t="s">
        <v>1051</v>
      </c>
      <c r="G2262" s="7" t="s">
        <v>61</v>
      </c>
      <c r="H2262" s="47" t="s">
        <v>205</v>
      </c>
      <c r="I2262" s="47" t="s">
        <v>206</v>
      </c>
      <c r="J2262" s="6">
        <v>73</v>
      </c>
      <c r="K2262" s="8" t="s">
        <v>26</v>
      </c>
      <c r="L2262" s="1" t="s">
        <v>1050</v>
      </c>
      <c r="M2262" s="5">
        <v>96</v>
      </c>
    </row>
    <row r="2263" spans="1:13" ht="15" x14ac:dyDescent="0.25">
      <c r="A2263" s="7" t="s">
        <v>16</v>
      </c>
      <c r="B2263" s="7" t="s">
        <v>230</v>
      </c>
      <c r="C2263" s="7" t="s">
        <v>24</v>
      </c>
      <c r="D2263" s="4">
        <v>29072642000188</v>
      </c>
      <c r="E2263" s="8" t="s">
        <v>1052</v>
      </c>
      <c r="F2263" s="8" t="s">
        <v>92</v>
      </c>
      <c r="G2263" s="7" t="s">
        <v>61</v>
      </c>
      <c r="H2263" s="47" t="s">
        <v>205</v>
      </c>
      <c r="I2263" s="47" t="s">
        <v>206</v>
      </c>
      <c r="J2263" s="6">
        <v>64</v>
      </c>
      <c r="K2263" s="8" t="s">
        <v>25</v>
      </c>
      <c r="L2263" s="1" t="s">
        <v>1052</v>
      </c>
      <c r="M2263" s="5">
        <v>3</v>
      </c>
    </row>
    <row r="2264" spans="1:13" ht="15" x14ac:dyDescent="0.25">
      <c r="A2264" s="7" t="s">
        <v>16</v>
      </c>
      <c r="B2264" s="7" t="s">
        <v>230</v>
      </c>
      <c r="C2264" s="7" t="s">
        <v>24</v>
      </c>
      <c r="D2264" s="4">
        <v>30079461000162</v>
      </c>
      <c r="E2264" s="8" t="s">
        <v>1056</v>
      </c>
      <c r="F2264" s="8" t="s">
        <v>1039</v>
      </c>
      <c r="G2264" s="7" t="s">
        <v>61</v>
      </c>
      <c r="H2264" s="47" t="s">
        <v>205</v>
      </c>
      <c r="I2264" s="47" t="s">
        <v>206</v>
      </c>
      <c r="J2264" s="6">
        <v>62</v>
      </c>
      <c r="K2264" s="8" t="s">
        <v>27</v>
      </c>
      <c r="L2264" s="1" t="s">
        <v>1056</v>
      </c>
      <c r="M2264" s="5">
        <v>3</v>
      </c>
    </row>
    <row r="2265" spans="1:13" ht="15" x14ac:dyDescent="0.25">
      <c r="A2265" s="7" t="s">
        <v>16</v>
      </c>
      <c r="B2265" s="7" t="s">
        <v>230</v>
      </c>
      <c r="C2265" s="7" t="s">
        <v>24</v>
      </c>
      <c r="D2265" s="4">
        <v>33092116000157</v>
      </c>
      <c r="E2265" s="8" t="s">
        <v>1409</v>
      </c>
      <c r="F2265" s="8" t="s">
        <v>78</v>
      </c>
      <c r="G2265" s="7" t="s">
        <v>61</v>
      </c>
      <c r="H2265" s="47" t="s">
        <v>205</v>
      </c>
      <c r="I2265" s="47" t="s">
        <v>206</v>
      </c>
      <c r="J2265" s="6">
        <v>62</v>
      </c>
      <c r="K2265" s="8" t="s">
        <v>27</v>
      </c>
      <c r="L2265" s="1" t="s">
        <v>1409</v>
      </c>
      <c r="M2265" s="5">
        <v>4</v>
      </c>
    </row>
    <row r="2266" spans="1:13" ht="15" x14ac:dyDescent="0.25">
      <c r="A2266" s="7" t="s">
        <v>16</v>
      </c>
      <c r="B2266" s="7" t="s">
        <v>230</v>
      </c>
      <c r="C2266" s="7" t="s">
        <v>24</v>
      </c>
      <c r="D2266" s="4">
        <v>35917970000726</v>
      </c>
      <c r="E2266" s="8" t="s">
        <v>1062</v>
      </c>
      <c r="F2266" s="8" t="s">
        <v>105</v>
      </c>
      <c r="G2266" s="7" t="s">
        <v>61</v>
      </c>
      <c r="H2266" s="47" t="s">
        <v>205</v>
      </c>
      <c r="I2266" s="47" t="s">
        <v>206</v>
      </c>
      <c r="J2266" s="6">
        <v>73</v>
      </c>
      <c r="K2266" s="8" t="s">
        <v>26</v>
      </c>
      <c r="L2266" s="1" t="s">
        <v>1062</v>
      </c>
      <c r="M2266" s="5">
        <v>3</v>
      </c>
    </row>
    <row r="2267" spans="1:13" ht="15" x14ac:dyDescent="0.25">
      <c r="A2267" s="7" t="s">
        <v>16</v>
      </c>
      <c r="B2267" s="7" t="s">
        <v>230</v>
      </c>
      <c r="C2267" s="7" t="s">
        <v>24</v>
      </c>
      <c r="D2267" s="4">
        <v>36238913000198</v>
      </c>
      <c r="E2267" s="8" t="s">
        <v>1063</v>
      </c>
      <c r="F2267" s="8" t="s">
        <v>1064</v>
      </c>
      <c r="G2267" s="7" t="s">
        <v>61</v>
      </c>
      <c r="H2267" s="47" t="s">
        <v>205</v>
      </c>
      <c r="I2267" s="47" t="s">
        <v>206</v>
      </c>
      <c r="J2267" s="6">
        <v>73</v>
      </c>
      <c r="K2267" s="8" t="s">
        <v>26</v>
      </c>
      <c r="L2267" s="1" t="s">
        <v>1063</v>
      </c>
      <c r="M2267" s="5">
        <v>64</v>
      </c>
    </row>
    <row r="2268" spans="1:13" ht="15" x14ac:dyDescent="0.25">
      <c r="A2268" s="7" t="s">
        <v>16</v>
      </c>
      <c r="B2268" s="7" t="s">
        <v>230</v>
      </c>
      <c r="C2268" s="7" t="s">
        <v>24</v>
      </c>
      <c r="D2268" s="4">
        <v>60884855001207</v>
      </c>
      <c r="E2268" s="8" t="s">
        <v>1065</v>
      </c>
      <c r="F2268" s="8" t="s">
        <v>1039</v>
      </c>
      <c r="G2268" s="7" t="s">
        <v>61</v>
      </c>
      <c r="H2268" s="47" t="s">
        <v>205</v>
      </c>
      <c r="I2268" s="47" t="s">
        <v>206</v>
      </c>
      <c r="J2268" s="6">
        <v>62</v>
      </c>
      <c r="K2268" s="8" t="s">
        <v>27</v>
      </c>
      <c r="L2268" s="1" t="s">
        <v>1065</v>
      </c>
      <c r="M2268" s="5">
        <v>15</v>
      </c>
    </row>
    <row r="2269" spans="1:13" ht="15" x14ac:dyDescent="0.25">
      <c r="A2269" s="7" t="s">
        <v>16</v>
      </c>
      <c r="B2269" s="7" t="s">
        <v>230</v>
      </c>
      <c r="C2269" s="7" t="s">
        <v>24</v>
      </c>
      <c r="D2269" s="4">
        <v>60884855001207</v>
      </c>
      <c r="E2269" s="8" t="s">
        <v>1065</v>
      </c>
      <c r="F2269" s="8" t="s">
        <v>1039</v>
      </c>
      <c r="G2269" s="7" t="s">
        <v>61</v>
      </c>
      <c r="H2269" s="47" t="s">
        <v>205</v>
      </c>
      <c r="I2269" s="47" t="s">
        <v>206</v>
      </c>
      <c r="J2269" s="6">
        <v>64</v>
      </c>
      <c r="K2269" s="8" t="s">
        <v>25</v>
      </c>
      <c r="L2269" s="1" t="s">
        <v>1065</v>
      </c>
      <c r="M2269" s="5">
        <v>44</v>
      </c>
    </row>
    <row r="2270" spans="1:13" ht="15" x14ac:dyDescent="0.25">
      <c r="A2270" s="7" t="s">
        <v>16</v>
      </c>
      <c r="B2270" s="7" t="s">
        <v>230</v>
      </c>
      <c r="C2270" s="7" t="s">
        <v>24</v>
      </c>
      <c r="D2270" s="4">
        <v>60884855001207</v>
      </c>
      <c r="E2270" s="8" t="s">
        <v>1065</v>
      </c>
      <c r="F2270" s="8" t="s">
        <v>1039</v>
      </c>
      <c r="G2270" s="7" t="s">
        <v>61</v>
      </c>
      <c r="H2270" s="47" t="s">
        <v>205</v>
      </c>
      <c r="I2270" s="47" t="s">
        <v>206</v>
      </c>
      <c r="J2270" s="6">
        <v>73</v>
      </c>
      <c r="K2270" s="8" t="s">
        <v>26</v>
      </c>
      <c r="L2270" s="1" t="s">
        <v>1065</v>
      </c>
      <c r="M2270" s="5">
        <v>50</v>
      </c>
    </row>
    <row r="2271" spans="1:13" ht="15" x14ac:dyDescent="0.25">
      <c r="A2271" s="7" t="s">
        <v>16</v>
      </c>
      <c r="B2271" s="7" t="s">
        <v>230</v>
      </c>
      <c r="C2271" s="7" t="s">
        <v>24</v>
      </c>
      <c r="D2271" s="4">
        <v>76081892000164</v>
      </c>
      <c r="E2271" s="8" t="s">
        <v>1347</v>
      </c>
      <c r="F2271" s="8" t="s">
        <v>112</v>
      </c>
      <c r="G2271" s="7" t="s">
        <v>57</v>
      </c>
      <c r="H2271" s="47" t="s">
        <v>205</v>
      </c>
      <c r="I2271" s="47" t="s">
        <v>206</v>
      </c>
      <c r="J2271" s="6">
        <v>62</v>
      </c>
      <c r="K2271" s="8" t="s">
        <v>27</v>
      </c>
      <c r="L2271" s="1" t="s">
        <v>1347</v>
      </c>
      <c r="M2271" s="5">
        <v>2</v>
      </c>
    </row>
    <row r="2272" spans="1:13" ht="15" x14ac:dyDescent="0.25">
      <c r="A2272" s="7" t="s">
        <v>16</v>
      </c>
      <c r="B2272" s="7" t="s">
        <v>230</v>
      </c>
      <c r="C2272" s="7" t="s">
        <v>24</v>
      </c>
      <c r="D2272" s="4">
        <v>76555069000143</v>
      </c>
      <c r="E2272" s="8" t="s">
        <v>983</v>
      </c>
      <c r="F2272" s="8" t="s">
        <v>94</v>
      </c>
      <c r="G2272" s="7" t="s">
        <v>57</v>
      </c>
      <c r="H2272" s="47" t="s">
        <v>205</v>
      </c>
      <c r="I2272" s="47" t="s">
        <v>206</v>
      </c>
      <c r="J2272" s="6">
        <v>62</v>
      </c>
      <c r="K2272" s="8" t="s">
        <v>27</v>
      </c>
      <c r="L2272" s="1" t="s">
        <v>983</v>
      </c>
      <c r="M2272" s="5">
        <v>2</v>
      </c>
    </row>
    <row r="2273" spans="1:13" ht="15" x14ac:dyDescent="0.25">
      <c r="A2273" s="7" t="s">
        <v>16</v>
      </c>
      <c r="B2273" s="7" t="s">
        <v>230</v>
      </c>
      <c r="C2273" s="7" t="s">
        <v>24</v>
      </c>
      <c r="D2273" s="4">
        <v>76591569000130</v>
      </c>
      <c r="E2273" s="8" t="s">
        <v>985</v>
      </c>
      <c r="F2273" s="8" t="s">
        <v>94</v>
      </c>
      <c r="G2273" s="7" t="s">
        <v>57</v>
      </c>
      <c r="H2273" s="47" t="s">
        <v>205</v>
      </c>
      <c r="I2273" s="47" t="s">
        <v>206</v>
      </c>
      <c r="J2273" s="6">
        <v>73</v>
      </c>
      <c r="K2273" s="8" t="s">
        <v>26</v>
      </c>
      <c r="L2273" s="1" t="s">
        <v>985</v>
      </c>
      <c r="M2273" s="5">
        <v>14</v>
      </c>
    </row>
    <row r="2274" spans="1:13" ht="15" x14ac:dyDescent="0.25">
      <c r="A2274" s="7" t="s">
        <v>16</v>
      </c>
      <c r="B2274" s="7" t="s">
        <v>230</v>
      </c>
      <c r="C2274" s="7" t="s">
        <v>24</v>
      </c>
      <c r="D2274" s="4">
        <v>77781706000243</v>
      </c>
      <c r="E2274" s="8" t="s">
        <v>989</v>
      </c>
      <c r="F2274" s="8" t="s">
        <v>990</v>
      </c>
      <c r="G2274" s="7" t="s">
        <v>57</v>
      </c>
      <c r="H2274" s="47" t="s">
        <v>205</v>
      </c>
      <c r="I2274" s="47" t="s">
        <v>206</v>
      </c>
      <c r="J2274" s="6">
        <v>73</v>
      </c>
      <c r="K2274" s="8" t="s">
        <v>26</v>
      </c>
      <c r="L2274" s="1" t="s">
        <v>989</v>
      </c>
      <c r="M2274" s="5">
        <v>10</v>
      </c>
    </row>
    <row r="2275" spans="1:13" ht="15" x14ac:dyDescent="0.25">
      <c r="A2275" s="7" t="s">
        <v>16</v>
      </c>
      <c r="B2275" s="7" t="s">
        <v>230</v>
      </c>
      <c r="C2275" s="7" t="s">
        <v>24</v>
      </c>
      <c r="D2275" s="4">
        <v>80673411000187</v>
      </c>
      <c r="E2275" s="8" t="s">
        <v>999</v>
      </c>
      <c r="F2275" s="8" t="s">
        <v>930</v>
      </c>
      <c r="G2275" s="7" t="s">
        <v>68</v>
      </c>
      <c r="H2275" s="47" t="s">
        <v>205</v>
      </c>
      <c r="I2275" s="47" t="s">
        <v>206</v>
      </c>
      <c r="J2275" s="6">
        <v>66</v>
      </c>
      <c r="K2275" s="8" t="s">
        <v>28</v>
      </c>
      <c r="L2275" s="1" t="s">
        <v>999</v>
      </c>
      <c r="M2275" s="5">
        <v>106</v>
      </c>
    </row>
    <row r="2276" spans="1:13" ht="15" x14ac:dyDescent="0.25">
      <c r="A2276" s="7" t="s">
        <v>16</v>
      </c>
      <c r="B2276" s="7" t="s">
        <v>230</v>
      </c>
      <c r="C2276" s="7" t="s">
        <v>24</v>
      </c>
      <c r="D2276" s="4">
        <v>81170003000256</v>
      </c>
      <c r="E2276" s="8" t="s">
        <v>1000</v>
      </c>
      <c r="F2276" s="8" t="s">
        <v>112</v>
      </c>
      <c r="G2276" s="7" t="s">
        <v>57</v>
      </c>
      <c r="H2276" s="47" t="s">
        <v>205</v>
      </c>
      <c r="I2276" s="47" t="s">
        <v>206</v>
      </c>
      <c r="J2276" s="6">
        <v>66</v>
      </c>
      <c r="K2276" s="8" t="s">
        <v>28</v>
      </c>
      <c r="L2276" s="1" t="s">
        <v>1000</v>
      </c>
      <c r="M2276" s="5">
        <v>1</v>
      </c>
    </row>
    <row r="2277" spans="1:13" ht="15" x14ac:dyDescent="0.25">
      <c r="A2277" s="7" t="s">
        <v>16</v>
      </c>
      <c r="B2277" s="7" t="s">
        <v>230</v>
      </c>
      <c r="C2277" s="7" t="s">
        <v>24</v>
      </c>
      <c r="D2277" s="4">
        <v>81270548000153</v>
      </c>
      <c r="E2277" s="8" t="s">
        <v>1002</v>
      </c>
      <c r="F2277" s="8" t="s">
        <v>112</v>
      </c>
      <c r="G2277" s="7" t="s">
        <v>57</v>
      </c>
      <c r="H2277" s="47" t="s">
        <v>205</v>
      </c>
      <c r="I2277" s="47" t="s">
        <v>206</v>
      </c>
      <c r="J2277" s="6">
        <v>62</v>
      </c>
      <c r="K2277" s="8" t="s">
        <v>27</v>
      </c>
      <c r="L2277" s="1" t="s">
        <v>1002</v>
      </c>
      <c r="M2277" s="5">
        <v>3</v>
      </c>
    </row>
    <row r="2278" spans="1:13" ht="15" x14ac:dyDescent="0.25">
      <c r="A2278" s="7" t="s">
        <v>16</v>
      </c>
      <c r="B2278" s="7" t="s">
        <v>230</v>
      </c>
      <c r="C2278" s="7" t="s">
        <v>24</v>
      </c>
      <c r="D2278" s="4">
        <v>83884999000106</v>
      </c>
      <c r="E2278" s="8" t="s">
        <v>1009</v>
      </c>
      <c r="F2278" s="8" t="s">
        <v>930</v>
      </c>
      <c r="G2278" s="7" t="s">
        <v>68</v>
      </c>
      <c r="H2278" s="47" t="s">
        <v>205</v>
      </c>
      <c r="I2278" s="47" t="s">
        <v>206</v>
      </c>
      <c r="J2278" s="6">
        <v>64</v>
      </c>
      <c r="K2278" s="8" t="s">
        <v>25</v>
      </c>
      <c r="L2278" s="1" t="s">
        <v>1009</v>
      </c>
      <c r="M2278" s="5">
        <v>4</v>
      </c>
    </row>
    <row r="2279" spans="1:13" ht="15" x14ac:dyDescent="0.25">
      <c r="A2279" s="7" t="s">
        <v>16</v>
      </c>
      <c r="B2279" s="7" t="s">
        <v>230</v>
      </c>
      <c r="C2279" s="7" t="s">
        <v>24</v>
      </c>
      <c r="D2279" s="4">
        <v>85377174000392</v>
      </c>
      <c r="E2279" s="8" t="s">
        <v>1012</v>
      </c>
      <c r="F2279" s="8" t="s">
        <v>938</v>
      </c>
      <c r="G2279" s="7" t="s">
        <v>68</v>
      </c>
      <c r="H2279" s="47" t="s">
        <v>205</v>
      </c>
      <c r="I2279" s="47" t="s">
        <v>206</v>
      </c>
      <c r="J2279" s="6">
        <v>73</v>
      </c>
      <c r="K2279" s="8" t="s">
        <v>26</v>
      </c>
      <c r="L2279" s="1" t="s">
        <v>1012</v>
      </c>
      <c r="M2279" s="5">
        <v>34</v>
      </c>
    </row>
    <row r="2280" spans="1:13" ht="15" x14ac:dyDescent="0.25">
      <c r="A2280" s="7" t="s">
        <v>16</v>
      </c>
      <c r="B2280" s="7" t="s">
        <v>230</v>
      </c>
      <c r="C2280" s="7" t="s">
        <v>24</v>
      </c>
      <c r="D2280" s="4">
        <v>87827689002405</v>
      </c>
      <c r="E2280" s="8" t="s">
        <v>1021</v>
      </c>
      <c r="F2280" s="8" t="s">
        <v>66</v>
      </c>
      <c r="G2280" s="7" t="s">
        <v>67</v>
      </c>
      <c r="H2280" s="47" t="s">
        <v>205</v>
      </c>
      <c r="I2280" s="47" t="s">
        <v>206</v>
      </c>
      <c r="J2280" s="6">
        <v>73</v>
      </c>
      <c r="K2280" s="8" t="s">
        <v>26</v>
      </c>
      <c r="L2280" s="1" t="s">
        <v>1021</v>
      </c>
      <c r="M2280" s="5">
        <v>274</v>
      </c>
    </row>
    <row r="2281" spans="1:13" ht="15" x14ac:dyDescent="0.25">
      <c r="A2281" s="7" t="s">
        <v>16</v>
      </c>
      <c r="B2281" s="7" t="s">
        <v>230</v>
      </c>
      <c r="C2281" s="7" t="s">
        <v>24</v>
      </c>
      <c r="D2281" s="4">
        <v>88645403001372</v>
      </c>
      <c r="E2281" s="8" t="s">
        <v>1025</v>
      </c>
      <c r="F2281" s="8" t="s">
        <v>66</v>
      </c>
      <c r="G2281" s="7" t="s">
        <v>67</v>
      </c>
      <c r="H2281" s="47" t="s">
        <v>205</v>
      </c>
      <c r="I2281" s="47" t="s">
        <v>206</v>
      </c>
      <c r="J2281" s="6">
        <v>73</v>
      </c>
      <c r="K2281" s="8" t="s">
        <v>26</v>
      </c>
      <c r="L2281" s="1" t="s">
        <v>1025</v>
      </c>
      <c r="M2281" s="5">
        <v>64</v>
      </c>
    </row>
    <row r="2282" spans="1:13" ht="15" x14ac:dyDescent="0.25">
      <c r="A2282" s="7" t="s">
        <v>16</v>
      </c>
      <c r="B2282" s="7" t="s">
        <v>230</v>
      </c>
      <c r="C2282" s="7" t="s">
        <v>24</v>
      </c>
      <c r="D2282" s="4">
        <v>92404789000164</v>
      </c>
      <c r="E2282" s="8" t="s">
        <v>1028</v>
      </c>
      <c r="F2282" s="8" t="s">
        <v>106</v>
      </c>
      <c r="G2282" s="7" t="s">
        <v>67</v>
      </c>
      <c r="H2282" s="47" t="s">
        <v>205</v>
      </c>
      <c r="I2282" s="47" t="s">
        <v>206</v>
      </c>
      <c r="J2282" s="6">
        <v>73</v>
      </c>
      <c r="K2282" s="8" t="s">
        <v>26</v>
      </c>
      <c r="L2282" s="1" t="s">
        <v>1028</v>
      </c>
      <c r="M2282" s="5">
        <v>24</v>
      </c>
    </row>
    <row r="2283" spans="1:13" ht="15" x14ac:dyDescent="0.25">
      <c r="A2283" s="7" t="s">
        <v>16</v>
      </c>
      <c r="B2283" s="7" t="s">
        <v>230</v>
      </c>
      <c r="C2283" s="7" t="s">
        <v>24</v>
      </c>
      <c r="D2283" s="4">
        <v>95610887000146</v>
      </c>
      <c r="E2283" s="8" t="s">
        <v>1037</v>
      </c>
      <c r="F2283" s="8" t="s">
        <v>87</v>
      </c>
      <c r="G2283" s="7" t="s">
        <v>67</v>
      </c>
      <c r="H2283" s="47" t="s">
        <v>205</v>
      </c>
      <c r="I2283" s="47" t="s">
        <v>206</v>
      </c>
      <c r="J2283" s="6">
        <v>62</v>
      </c>
      <c r="K2283" s="8" t="s">
        <v>27</v>
      </c>
      <c r="L2283" s="1" t="s">
        <v>1037</v>
      </c>
      <c r="M2283" s="5">
        <v>10</v>
      </c>
    </row>
    <row r="2284" spans="1:13" ht="15" x14ac:dyDescent="0.25">
      <c r="A2284" s="7" t="s">
        <v>16</v>
      </c>
      <c r="B2284" s="7" t="s">
        <v>230</v>
      </c>
      <c r="C2284" s="7" t="s">
        <v>24</v>
      </c>
      <c r="D2284" s="4">
        <v>95610887000146</v>
      </c>
      <c r="E2284" s="8" t="s">
        <v>1037</v>
      </c>
      <c r="F2284" s="8" t="s">
        <v>87</v>
      </c>
      <c r="G2284" s="7" t="s">
        <v>67</v>
      </c>
      <c r="H2284" s="47" t="s">
        <v>205</v>
      </c>
      <c r="I2284" s="47" t="s">
        <v>206</v>
      </c>
      <c r="J2284" s="6">
        <v>73</v>
      </c>
      <c r="K2284" s="8" t="s">
        <v>26</v>
      </c>
      <c r="L2284" s="1" t="s">
        <v>1037</v>
      </c>
      <c r="M2284" s="5">
        <v>20</v>
      </c>
    </row>
    <row r="2285" spans="1:13" ht="15" x14ac:dyDescent="0.25">
      <c r="A2285" s="7" t="s">
        <v>16</v>
      </c>
      <c r="B2285" s="7" t="s">
        <v>372</v>
      </c>
      <c r="C2285" s="7" t="s">
        <v>373</v>
      </c>
      <c r="D2285" s="4">
        <v>304148000110</v>
      </c>
      <c r="E2285" s="8" t="s">
        <v>932</v>
      </c>
      <c r="F2285" s="8" t="s">
        <v>933</v>
      </c>
      <c r="G2285" s="7" t="s">
        <v>57</v>
      </c>
      <c r="H2285" s="47" t="s">
        <v>205</v>
      </c>
      <c r="I2285" s="47" t="s">
        <v>206</v>
      </c>
      <c r="J2285" s="6">
        <v>73</v>
      </c>
      <c r="K2285" s="8" t="s">
        <v>26</v>
      </c>
      <c r="L2285" s="1" t="s">
        <v>932</v>
      </c>
      <c r="M2285" s="5">
        <v>28</v>
      </c>
    </row>
    <row r="2286" spans="1:13" ht="15" x14ac:dyDescent="0.25">
      <c r="A2286" s="7" t="s">
        <v>16</v>
      </c>
      <c r="B2286" s="7" t="s">
        <v>372</v>
      </c>
      <c r="C2286" s="7" t="s">
        <v>373</v>
      </c>
      <c r="D2286" s="4">
        <v>410960000120</v>
      </c>
      <c r="E2286" s="8" t="s">
        <v>1137</v>
      </c>
      <c r="F2286" s="8" t="s">
        <v>58</v>
      </c>
      <c r="G2286" s="7" t="s">
        <v>54</v>
      </c>
      <c r="H2286" s="47" t="s">
        <v>205</v>
      </c>
      <c r="I2286" s="47" t="s">
        <v>206</v>
      </c>
      <c r="J2286" s="6">
        <v>73</v>
      </c>
      <c r="K2286" s="8" t="s">
        <v>26</v>
      </c>
      <c r="L2286" s="1" t="s">
        <v>1137</v>
      </c>
      <c r="M2286" s="5">
        <v>32</v>
      </c>
    </row>
    <row r="2287" spans="1:13" ht="15" x14ac:dyDescent="0.25">
      <c r="A2287" s="7" t="s">
        <v>16</v>
      </c>
      <c r="B2287" s="7" t="s">
        <v>372</v>
      </c>
      <c r="C2287" s="7" t="s">
        <v>373</v>
      </c>
      <c r="D2287" s="4">
        <v>437007000175</v>
      </c>
      <c r="E2287" s="8" t="s">
        <v>1038</v>
      </c>
      <c r="F2287" s="8" t="s">
        <v>1039</v>
      </c>
      <c r="G2287" s="7" t="s">
        <v>61</v>
      </c>
      <c r="H2287" s="47" t="s">
        <v>205</v>
      </c>
      <c r="I2287" s="47" t="s">
        <v>206</v>
      </c>
      <c r="J2287" s="6">
        <v>73</v>
      </c>
      <c r="K2287" s="8" t="s">
        <v>26</v>
      </c>
      <c r="L2287" s="1" t="s">
        <v>1038</v>
      </c>
      <c r="M2287" s="5">
        <v>176</v>
      </c>
    </row>
    <row r="2288" spans="1:13" ht="15" x14ac:dyDescent="0.25">
      <c r="A2288" s="7" t="s">
        <v>16</v>
      </c>
      <c r="B2288" s="7" t="s">
        <v>372</v>
      </c>
      <c r="C2288" s="7" t="s">
        <v>373</v>
      </c>
      <c r="D2288" s="4">
        <v>5503803000182</v>
      </c>
      <c r="E2288" s="8" t="s">
        <v>1400</v>
      </c>
      <c r="F2288" s="8" t="s">
        <v>94</v>
      </c>
      <c r="G2288" s="7" t="s">
        <v>57</v>
      </c>
      <c r="H2288" s="47" t="s">
        <v>205</v>
      </c>
      <c r="I2288" s="47" t="s">
        <v>206</v>
      </c>
      <c r="J2288" s="6">
        <v>73</v>
      </c>
      <c r="K2288" s="8" t="s">
        <v>26</v>
      </c>
      <c r="L2288" s="1" t="s">
        <v>1400</v>
      </c>
      <c r="M2288" s="5">
        <v>20</v>
      </c>
    </row>
    <row r="2289" spans="1:13" ht="15" x14ac:dyDescent="0.25">
      <c r="A2289" s="7" t="s">
        <v>16</v>
      </c>
      <c r="B2289" s="7" t="s">
        <v>372</v>
      </c>
      <c r="C2289" s="7" t="s">
        <v>373</v>
      </c>
      <c r="D2289" s="4">
        <v>6047087001372</v>
      </c>
      <c r="E2289" s="8" t="s">
        <v>1041</v>
      </c>
      <c r="F2289" s="8" t="s">
        <v>78</v>
      </c>
      <c r="G2289" s="7" t="s">
        <v>61</v>
      </c>
      <c r="H2289" s="47" t="s">
        <v>205</v>
      </c>
      <c r="I2289" s="47" t="s">
        <v>206</v>
      </c>
      <c r="J2289" s="6">
        <v>62</v>
      </c>
      <c r="K2289" s="8" t="s">
        <v>27</v>
      </c>
      <c r="L2289" s="1" t="s">
        <v>1041</v>
      </c>
      <c r="M2289" s="5">
        <v>2</v>
      </c>
    </row>
    <row r="2290" spans="1:13" ht="15" x14ac:dyDescent="0.25">
      <c r="A2290" s="7" t="s">
        <v>16</v>
      </c>
      <c r="B2290" s="7" t="s">
        <v>372</v>
      </c>
      <c r="C2290" s="7" t="s">
        <v>373</v>
      </c>
      <c r="D2290" s="4">
        <v>6047087001372</v>
      </c>
      <c r="E2290" s="8" t="s">
        <v>1041</v>
      </c>
      <c r="F2290" s="8" t="s">
        <v>78</v>
      </c>
      <c r="G2290" s="7" t="s">
        <v>61</v>
      </c>
      <c r="H2290" s="47" t="s">
        <v>205</v>
      </c>
      <c r="I2290" s="47" t="s">
        <v>206</v>
      </c>
      <c r="J2290" s="6">
        <v>64</v>
      </c>
      <c r="K2290" s="8" t="s">
        <v>25</v>
      </c>
      <c r="L2290" s="1" t="s">
        <v>1041</v>
      </c>
      <c r="M2290" s="5">
        <v>8</v>
      </c>
    </row>
    <row r="2291" spans="1:13" ht="15" x14ac:dyDescent="0.25">
      <c r="A2291" s="7" t="s">
        <v>16</v>
      </c>
      <c r="B2291" s="7" t="s">
        <v>372</v>
      </c>
      <c r="C2291" s="7" t="s">
        <v>373</v>
      </c>
      <c r="D2291" s="4">
        <v>7734165000136</v>
      </c>
      <c r="E2291" s="8" t="s">
        <v>954</v>
      </c>
      <c r="F2291" s="8" t="s">
        <v>94</v>
      </c>
      <c r="G2291" s="7" t="s">
        <v>57</v>
      </c>
      <c r="H2291" s="47" t="s">
        <v>205</v>
      </c>
      <c r="I2291" s="47" t="s">
        <v>206</v>
      </c>
      <c r="J2291" s="6">
        <v>73</v>
      </c>
      <c r="K2291" s="8" t="s">
        <v>26</v>
      </c>
      <c r="L2291" s="1" t="s">
        <v>954</v>
      </c>
      <c r="M2291" s="5">
        <v>88</v>
      </c>
    </row>
    <row r="2292" spans="1:13" ht="15" x14ac:dyDescent="0.25">
      <c r="A2292" s="7" t="s">
        <v>16</v>
      </c>
      <c r="B2292" s="7" t="s">
        <v>372</v>
      </c>
      <c r="C2292" s="7" t="s">
        <v>373</v>
      </c>
      <c r="D2292" s="4">
        <v>7794623001528</v>
      </c>
      <c r="E2292" s="8" t="s">
        <v>1042</v>
      </c>
      <c r="F2292" s="8" t="s">
        <v>1043</v>
      </c>
      <c r="G2292" s="7" t="s">
        <v>61</v>
      </c>
      <c r="H2292" s="47" t="s">
        <v>205</v>
      </c>
      <c r="I2292" s="47" t="s">
        <v>206</v>
      </c>
      <c r="J2292" s="6">
        <v>73</v>
      </c>
      <c r="K2292" s="8" t="s">
        <v>26</v>
      </c>
      <c r="L2292" s="1" t="s">
        <v>1042</v>
      </c>
      <c r="M2292" s="5">
        <v>14</v>
      </c>
    </row>
    <row r="2293" spans="1:13" ht="15" x14ac:dyDescent="0.25">
      <c r="A2293" s="7" t="s">
        <v>16</v>
      </c>
      <c r="B2293" s="7" t="s">
        <v>372</v>
      </c>
      <c r="C2293" s="7" t="s">
        <v>373</v>
      </c>
      <c r="D2293" s="4">
        <v>14408631000159</v>
      </c>
      <c r="E2293" s="8" t="s">
        <v>1163</v>
      </c>
      <c r="F2293" s="8" t="s">
        <v>1164</v>
      </c>
      <c r="G2293" s="7" t="s">
        <v>54</v>
      </c>
      <c r="H2293" s="47" t="s">
        <v>205</v>
      </c>
      <c r="I2293" s="47" t="s">
        <v>206</v>
      </c>
      <c r="J2293" s="6">
        <v>73</v>
      </c>
      <c r="K2293" s="8" t="s">
        <v>26</v>
      </c>
      <c r="L2293" s="1" t="s">
        <v>1163</v>
      </c>
      <c r="M2293" s="5">
        <v>4</v>
      </c>
    </row>
    <row r="2294" spans="1:13" ht="15" x14ac:dyDescent="0.25">
      <c r="A2294" s="7" t="s">
        <v>16</v>
      </c>
      <c r="B2294" s="7" t="s">
        <v>372</v>
      </c>
      <c r="C2294" s="7" t="s">
        <v>373</v>
      </c>
      <c r="D2294" s="4">
        <v>15126437001972</v>
      </c>
      <c r="E2294" s="8" t="s">
        <v>966</v>
      </c>
      <c r="F2294" s="8" t="s">
        <v>87</v>
      </c>
      <c r="G2294" s="7" t="s">
        <v>67</v>
      </c>
      <c r="H2294" s="47" t="s">
        <v>205</v>
      </c>
      <c r="I2294" s="47" t="s">
        <v>206</v>
      </c>
      <c r="J2294" s="6">
        <v>64</v>
      </c>
      <c r="K2294" s="8" t="s">
        <v>25</v>
      </c>
      <c r="L2294" s="1" t="s">
        <v>966</v>
      </c>
      <c r="M2294" s="5">
        <v>10</v>
      </c>
    </row>
    <row r="2295" spans="1:13" ht="15" x14ac:dyDescent="0.25">
      <c r="A2295" s="7" t="s">
        <v>16</v>
      </c>
      <c r="B2295" s="7" t="s">
        <v>372</v>
      </c>
      <c r="C2295" s="7" t="s">
        <v>373</v>
      </c>
      <c r="D2295" s="4">
        <v>17087591000189</v>
      </c>
      <c r="E2295" s="8" t="s">
        <v>1170</v>
      </c>
      <c r="F2295" s="8" t="s">
        <v>1171</v>
      </c>
      <c r="G2295" s="7" t="s">
        <v>54</v>
      </c>
      <c r="H2295" s="47" t="s">
        <v>205</v>
      </c>
      <c r="I2295" s="47" t="s">
        <v>206</v>
      </c>
      <c r="J2295" s="6">
        <v>62</v>
      </c>
      <c r="K2295" s="8" t="s">
        <v>27</v>
      </c>
      <c r="L2295" s="1" t="s">
        <v>1170</v>
      </c>
      <c r="M2295" s="5">
        <v>7</v>
      </c>
    </row>
    <row r="2296" spans="1:13" ht="15" x14ac:dyDescent="0.25">
      <c r="A2296" s="7" t="s">
        <v>16</v>
      </c>
      <c r="B2296" s="7" t="s">
        <v>372</v>
      </c>
      <c r="C2296" s="7" t="s">
        <v>373</v>
      </c>
      <c r="D2296" s="4">
        <v>17689407000928</v>
      </c>
      <c r="E2296" s="8" t="s">
        <v>1174</v>
      </c>
      <c r="F2296" s="8" t="s">
        <v>88</v>
      </c>
      <c r="G2296" s="7" t="s">
        <v>54</v>
      </c>
      <c r="H2296" s="47" t="s">
        <v>205</v>
      </c>
      <c r="I2296" s="47" t="s">
        <v>206</v>
      </c>
      <c r="J2296" s="6">
        <v>73</v>
      </c>
      <c r="K2296" s="8" t="s">
        <v>26</v>
      </c>
      <c r="L2296" s="1" t="s">
        <v>1174</v>
      </c>
      <c r="M2296" s="5">
        <v>10</v>
      </c>
    </row>
    <row r="2297" spans="1:13" ht="15" x14ac:dyDescent="0.25">
      <c r="A2297" s="7" t="s">
        <v>16</v>
      </c>
      <c r="B2297" s="7" t="s">
        <v>372</v>
      </c>
      <c r="C2297" s="7" t="s">
        <v>373</v>
      </c>
      <c r="D2297" s="4">
        <v>18484378000173</v>
      </c>
      <c r="E2297" s="8" t="s">
        <v>1176</v>
      </c>
      <c r="F2297" s="8" t="s">
        <v>1171</v>
      </c>
      <c r="G2297" s="7" t="s">
        <v>54</v>
      </c>
      <c r="H2297" s="47" t="s">
        <v>205</v>
      </c>
      <c r="I2297" s="47" t="s">
        <v>206</v>
      </c>
      <c r="J2297" s="6">
        <v>62</v>
      </c>
      <c r="K2297" s="8" t="s">
        <v>27</v>
      </c>
      <c r="L2297" s="1" t="s">
        <v>1176</v>
      </c>
      <c r="M2297" s="5">
        <v>4</v>
      </c>
    </row>
    <row r="2298" spans="1:13" ht="15" x14ac:dyDescent="0.25">
      <c r="A2298" s="7" t="s">
        <v>16</v>
      </c>
      <c r="B2298" s="7" t="s">
        <v>372</v>
      </c>
      <c r="C2298" s="7" t="s">
        <v>373</v>
      </c>
      <c r="D2298" s="4">
        <v>20150900000122</v>
      </c>
      <c r="E2298" s="8" t="s">
        <v>1185</v>
      </c>
      <c r="F2298" s="8" t="s">
        <v>1171</v>
      </c>
      <c r="G2298" s="7" t="s">
        <v>54</v>
      </c>
      <c r="H2298" s="47" t="s">
        <v>205</v>
      </c>
      <c r="I2298" s="47" t="s">
        <v>206</v>
      </c>
      <c r="J2298" s="6">
        <v>73</v>
      </c>
      <c r="K2298" s="8" t="s">
        <v>26</v>
      </c>
      <c r="L2298" s="1" t="s">
        <v>1185</v>
      </c>
      <c r="M2298" s="5">
        <v>14</v>
      </c>
    </row>
    <row r="2299" spans="1:13" ht="15" x14ac:dyDescent="0.25">
      <c r="A2299" s="7" t="s">
        <v>16</v>
      </c>
      <c r="B2299" s="7" t="s">
        <v>372</v>
      </c>
      <c r="C2299" s="7" t="s">
        <v>373</v>
      </c>
      <c r="D2299" s="4">
        <v>23982118000168</v>
      </c>
      <c r="E2299" s="8" t="s">
        <v>972</v>
      </c>
      <c r="F2299" s="8" t="s">
        <v>930</v>
      </c>
      <c r="G2299" s="7" t="s">
        <v>68</v>
      </c>
      <c r="H2299" s="47" t="s">
        <v>205</v>
      </c>
      <c r="I2299" s="47" t="s">
        <v>206</v>
      </c>
      <c r="J2299" s="6">
        <v>73</v>
      </c>
      <c r="K2299" s="8" t="s">
        <v>26</v>
      </c>
      <c r="L2299" s="1" t="s">
        <v>972</v>
      </c>
      <c r="M2299" s="5">
        <v>32</v>
      </c>
    </row>
    <row r="2300" spans="1:13" ht="15" x14ac:dyDescent="0.25">
      <c r="A2300" s="7" t="s">
        <v>16</v>
      </c>
      <c r="B2300" s="7" t="s">
        <v>372</v>
      </c>
      <c r="C2300" s="7" t="s">
        <v>373</v>
      </c>
      <c r="D2300" s="4">
        <v>25415993000193</v>
      </c>
      <c r="E2300" s="8" t="s">
        <v>1200</v>
      </c>
      <c r="F2300" s="8" t="s">
        <v>88</v>
      </c>
      <c r="G2300" s="7" t="s">
        <v>54</v>
      </c>
      <c r="H2300" s="47" t="s">
        <v>205</v>
      </c>
      <c r="I2300" s="47" t="s">
        <v>206</v>
      </c>
      <c r="J2300" s="6">
        <v>62</v>
      </c>
      <c r="K2300" s="8" t="s">
        <v>27</v>
      </c>
      <c r="L2300" s="1" t="s">
        <v>1200</v>
      </c>
      <c r="M2300" s="5">
        <v>4</v>
      </c>
    </row>
    <row r="2301" spans="1:13" ht="15" x14ac:dyDescent="0.25">
      <c r="A2301" s="7" t="s">
        <v>16</v>
      </c>
      <c r="B2301" s="7" t="s">
        <v>372</v>
      </c>
      <c r="C2301" s="7" t="s">
        <v>373</v>
      </c>
      <c r="D2301" s="4">
        <v>25761040000187</v>
      </c>
      <c r="E2301" s="8" t="s">
        <v>1202</v>
      </c>
      <c r="F2301" s="8" t="s">
        <v>1171</v>
      </c>
      <c r="G2301" s="7" t="s">
        <v>54</v>
      </c>
      <c r="H2301" s="47" t="s">
        <v>205</v>
      </c>
      <c r="I2301" s="47" t="s">
        <v>206</v>
      </c>
      <c r="J2301" s="6">
        <v>62</v>
      </c>
      <c r="K2301" s="8" t="s">
        <v>27</v>
      </c>
      <c r="L2301" s="1" t="s">
        <v>1202</v>
      </c>
      <c r="M2301" s="5">
        <v>3</v>
      </c>
    </row>
    <row r="2302" spans="1:13" ht="15" x14ac:dyDescent="0.25">
      <c r="A2302" s="7" t="s">
        <v>16</v>
      </c>
      <c r="B2302" s="7" t="s">
        <v>372</v>
      </c>
      <c r="C2302" s="7" t="s">
        <v>373</v>
      </c>
      <c r="D2302" s="4">
        <v>28806545000532</v>
      </c>
      <c r="E2302" s="8" t="s">
        <v>1050</v>
      </c>
      <c r="F2302" s="8" t="s">
        <v>1051</v>
      </c>
      <c r="G2302" s="7" t="s">
        <v>61</v>
      </c>
      <c r="H2302" s="47" t="s">
        <v>205</v>
      </c>
      <c r="I2302" s="47" t="s">
        <v>206</v>
      </c>
      <c r="J2302" s="6">
        <v>73</v>
      </c>
      <c r="K2302" s="8" t="s">
        <v>26</v>
      </c>
      <c r="L2302" s="1" t="s">
        <v>1050</v>
      </c>
      <c r="M2302" s="5">
        <v>36</v>
      </c>
    </row>
    <row r="2303" spans="1:13" ht="15" x14ac:dyDescent="0.25">
      <c r="A2303" s="7" t="s">
        <v>16</v>
      </c>
      <c r="B2303" s="7" t="s">
        <v>372</v>
      </c>
      <c r="C2303" s="7" t="s">
        <v>373</v>
      </c>
      <c r="D2303" s="4">
        <v>29640612000120</v>
      </c>
      <c r="E2303" s="8" t="s">
        <v>1055</v>
      </c>
      <c r="F2303" s="8" t="s">
        <v>103</v>
      </c>
      <c r="G2303" s="7" t="s">
        <v>61</v>
      </c>
      <c r="H2303" s="47" t="s">
        <v>205</v>
      </c>
      <c r="I2303" s="47" t="s">
        <v>206</v>
      </c>
      <c r="J2303" s="6">
        <v>64</v>
      </c>
      <c r="K2303" s="8" t="s">
        <v>25</v>
      </c>
      <c r="L2303" s="1" t="s">
        <v>1055</v>
      </c>
      <c r="M2303" s="5">
        <v>4</v>
      </c>
    </row>
    <row r="2304" spans="1:13" ht="15" x14ac:dyDescent="0.25">
      <c r="A2304" s="7" t="s">
        <v>16</v>
      </c>
      <c r="B2304" s="7" t="s">
        <v>372</v>
      </c>
      <c r="C2304" s="7" t="s">
        <v>373</v>
      </c>
      <c r="D2304" s="4">
        <v>30145502000171</v>
      </c>
      <c r="E2304" s="8" t="s">
        <v>1057</v>
      </c>
      <c r="F2304" s="8" t="s">
        <v>1039</v>
      </c>
      <c r="G2304" s="7" t="s">
        <v>61</v>
      </c>
      <c r="H2304" s="47" t="s">
        <v>205</v>
      </c>
      <c r="I2304" s="47" t="s">
        <v>206</v>
      </c>
      <c r="J2304" s="6">
        <v>64</v>
      </c>
      <c r="K2304" s="8" t="s">
        <v>25</v>
      </c>
      <c r="L2304" s="1" t="s">
        <v>1057</v>
      </c>
      <c r="M2304" s="5">
        <v>6</v>
      </c>
    </row>
    <row r="2305" spans="1:13" ht="15" x14ac:dyDescent="0.25">
      <c r="A2305" s="7" t="s">
        <v>16</v>
      </c>
      <c r="B2305" s="7" t="s">
        <v>372</v>
      </c>
      <c r="C2305" s="7" t="s">
        <v>373</v>
      </c>
      <c r="D2305" s="4">
        <v>30325856000106</v>
      </c>
      <c r="E2305" s="8" t="s">
        <v>1406</v>
      </c>
      <c r="F2305" s="8" t="s">
        <v>1064</v>
      </c>
      <c r="G2305" s="7" t="s">
        <v>61</v>
      </c>
      <c r="H2305" s="47" t="s">
        <v>205</v>
      </c>
      <c r="I2305" s="47" t="s">
        <v>206</v>
      </c>
      <c r="J2305" s="6">
        <v>64</v>
      </c>
      <c r="K2305" s="8" t="s">
        <v>25</v>
      </c>
      <c r="L2305" s="1" t="s">
        <v>1406</v>
      </c>
      <c r="M2305" s="5">
        <v>2</v>
      </c>
    </row>
    <row r="2306" spans="1:13" ht="15" x14ac:dyDescent="0.25">
      <c r="A2306" s="7" t="s">
        <v>16</v>
      </c>
      <c r="B2306" s="7" t="s">
        <v>372</v>
      </c>
      <c r="C2306" s="7" t="s">
        <v>373</v>
      </c>
      <c r="D2306" s="4">
        <v>60194990000844</v>
      </c>
      <c r="E2306" s="8" t="s">
        <v>1231</v>
      </c>
      <c r="F2306" s="8" t="s">
        <v>58</v>
      </c>
      <c r="G2306" s="7" t="s">
        <v>54</v>
      </c>
      <c r="H2306" s="47" t="s">
        <v>205</v>
      </c>
      <c r="I2306" s="47" t="s">
        <v>206</v>
      </c>
      <c r="J2306" s="6">
        <v>62</v>
      </c>
      <c r="K2306" s="8" t="s">
        <v>27</v>
      </c>
      <c r="L2306" s="1" t="s">
        <v>1231</v>
      </c>
      <c r="M2306" s="5">
        <v>3</v>
      </c>
    </row>
    <row r="2307" spans="1:13" ht="15" x14ac:dyDescent="0.25">
      <c r="A2307" s="7" t="s">
        <v>16</v>
      </c>
      <c r="B2307" s="7" t="s">
        <v>372</v>
      </c>
      <c r="C2307" s="7" t="s">
        <v>373</v>
      </c>
      <c r="D2307" s="4">
        <v>60884855001207</v>
      </c>
      <c r="E2307" s="8" t="s">
        <v>1065</v>
      </c>
      <c r="F2307" s="8" t="s">
        <v>1039</v>
      </c>
      <c r="G2307" s="7" t="s">
        <v>61</v>
      </c>
      <c r="H2307" s="47" t="s">
        <v>205</v>
      </c>
      <c r="I2307" s="47" t="s">
        <v>206</v>
      </c>
      <c r="J2307" s="6">
        <v>62</v>
      </c>
      <c r="K2307" s="8" t="s">
        <v>27</v>
      </c>
      <c r="L2307" s="1" t="s">
        <v>1065</v>
      </c>
      <c r="M2307" s="5">
        <v>5</v>
      </c>
    </row>
    <row r="2308" spans="1:13" ht="15" x14ac:dyDescent="0.25">
      <c r="A2308" s="7" t="s">
        <v>16</v>
      </c>
      <c r="B2308" s="7" t="s">
        <v>372</v>
      </c>
      <c r="C2308" s="7" t="s">
        <v>373</v>
      </c>
      <c r="D2308" s="4">
        <v>60884855001207</v>
      </c>
      <c r="E2308" s="8" t="s">
        <v>1065</v>
      </c>
      <c r="F2308" s="8" t="s">
        <v>1039</v>
      </c>
      <c r="G2308" s="7" t="s">
        <v>61</v>
      </c>
      <c r="H2308" s="47" t="s">
        <v>205</v>
      </c>
      <c r="I2308" s="47" t="s">
        <v>206</v>
      </c>
      <c r="J2308" s="6">
        <v>64</v>
      </c>
      <c r="K2308" s="8" t="s">
        <v>25</v>
      </c>
      <c r="L2308" s="1" t="s">
        <v>1065</v>
      </c>
      <c r="M2308" s="5">
        <v>70</v>
      </c>
    </row>
    <row r="2309" spans="1:13" ht="15" x14ac:dyDescent="0.25">
      <c r="A2309" s="7" t="s">
        <v>16</v>
      </c>
      <c r="B2309" s="7" t="s">
        <v>372</v>
      </c>
      <c r="C2309" s="7" t="s">
        <v>373</v>
      </c>
      <c r="D2309" s="4">
        <v>60884855001207</v>
      </c>
      <c r="E2309" s="8" t="s">
        <v>1065</v>
      </c>
      <c r="F2309" s="8" t="s">
        <v>1039</v>
      </c>
      <c r="G2309" s="7" t="s">
        <v>61</v>
      </c>
      <c r="H2309" s="47" t="s">
        <v>205</v>
      </c>
      <c r="I2309" s="47" t="s">
        <v>206</v>
      </c>
      <c r="J2309" s="6">
        <v>73</v>
      </c>
      <c r="K2309" s="8" t="s">
        <v>26</v>
      </c>
      <c r="L2309" s="1" t="s">
        <v>1065</v>
      </c>
      <c r="M2309" s="5">
        <v>42</v>
      </c>
    </row>
    <row r="2310" spans="1:13" ht="15" x14ac:dyDescent="0.25">
      <c r="A2310" s="7" t="s">
        <v>16</v>
      </c>
      <c r="B2310" s="7" t="s">
        <v>372</v>
      </c>
      <c r="C2310" s="7" t="s">
        <v>373</v>
      </c>
      <c r="D2310" s="4">
        <v>60922168005226</v>
      </c>
      <c r="E2310" s="8" t="s">
        <v>977</v>
      </c>
      <c r="F2310" s="8" t="s">
        <v>93</v>
      </c>
      <c r="G2310" s="7" t="s">
        <v>68</v>
      </c>
      <c r="H2310" s="47" t="s">
        <v>205</v>
      </c>
      <c r="I2310" s="47" t="s">
        <v>206</v>
      </c>
      <c r="J2310" s="6">
        <v>62</v>
      </c>
      <c r="K2310" s="8" t="s">
        <v>27</v>
      </c>
      <c r="L2310" s="1" t="s">
        <v>977</v>
      </c>
      <c r="M2310" s="5">
        <v>4</v>
      </c>
    </row>
    <row r="2311" spans="1:13" ht="15" x14ac:dyDescent="0.25">
      <c r="A2311" s="7" t="s">
        <v>16</v>
      </c>
      <c r="B2311" s="7" t="s">
        <v>372</v>
      </c>
      <c r="C2311" s="7" t="s">
        <v>373</v>
      </c>
      <c r="D2311" s="4">
        <v>60922168005226</v>
      </c>
      <c r="E2311" s="8" t="s">
        <v>977</v>
      </c>
      <c r="F2311" s="8" t="s">
        <v>93</v>
      </c>
      <c r="G2311" s="7" t="s">
        <v>68</v>
      </c>
      <c r="H2311" s="47" t="s">
        <v>205</v>
      </c>
      <c r="I2311" s="47" t="s">
        <v>206</v>
      </c>
      <c r="J2311" s="6">
        <v>64</v>
      </c>
      <c r="K2311" s="8" t="s">
        <v>25</v>
      </c>
      <c r="L2311" s="1" t="s">
        <v>977</v>
      </c>
      <c r="M2311" s="5">
        <v>18</v>
      </c>
    </row>
    <row r="2312" spans="1:13" ht="15" x14ac:dyDescent="0.25">
      <c r="A2312" s="7" t="s">
        <v>16</v>
      </c>
      <c r="B2312" s="7" t="s">
        <v>372</v>
      </c>
      <c r="C2312" s="7" t="s">
        <v>373</v>
      </c>
      <c r="D2312" s="4">
        <v>77781706000243</v>
      </c>
      <c r="E2312" s="8" t="s">
        <v>989</v>
      </c>
      <c r="F2312" s="8" t="s">
        <v>990</v>
      </c>
      <c r="G2312" s="7" t="s">
        <v>57</v>
      </c>
      <c r="H2312" s="47" t="s">
        <v>205</v>
      </c>
      <c r="I2312" s="47" t="s">
        <v>206</v>
      </c>
      <c r="J2312" s="6">
        <v>73</v>
      </c>
      <c r="K2312" s="8" t="s">
        <v>26</v>
      </c>
      <c r="L2312" s="1" t="s">
        <v>989</v>
      </c>
      <c r="M2312" s="5">
        <v>2</v>
      </c>
    </row>
    <row r="2313" spans="1:13" ht="15" x14ac:dyDescent="0.25">
      <c r="A2313" s="7" t="s">
        <v>16</v>
      </c>
      <c r="B2313" s="7" t="s">
        <v>372</v>
      </c>
      <c r="C2313" s="7" t="s">
        <v>373</v>
      </c>
      <c r="D2313" s="4">
        <v>80673411000187</v>
      </c>
      <c r="E2313" s="8" t="s">
        <v>999</v>
      </c>
      <c r="F2313" s="8" t="s">
        <v>930</v>
      </c>
      <c r="G2313" s="7" t="s">
        <v>68</v>
      </c>
      <c r="H2313" s="47" t="s">
        <v>205</v>
      </c>
      <c r="I2313" s="47" t="s">
        <v>206</v>
      </c>
      <c r="J2313" s="6">
        <v>73</v>
      </c>
      <c r="K2313" s="8" t="s">
        <v>26</v>
      </c>
      <c r="L2313" s="1" t="s">
        <v>999</v>
      </c>
      <c r="M2313" s="5">
        <v>64</v>
      </c>
    </row>
    <row r="2314" spans="1:13" ht="15" x14ac:dyDescent="0.25">
      <c r="A2314" s="7" t="s">
        <v>16</v>
      </c>
      <c r="B2314" s="7" t="s">
        <v>372</v>
      </c>
      <c r="C2314" s="7" t="s">
        <v>373</v>
      </c>
      <c r="D2314" s="4">
        <v>81270548000153</v>
      </c>
      <c r="E2314" s="8" t="s">
        <v>1002</v>
      </c>
      <c r="F2314" s="8" t="s">
        <v>112</v>
      </c>
      <c r="G2314" s="7" t="s">
        <v>57</v>
      </c>
      <c r="H2314" s="47" t="s">
        <v>205</v>
      </c>
      <c r="I2314" s="47" t="s">
        <v>206</v>
      </c>
      <c r="J2314" s="6">
        <v>62</v>
      </c>
      <c r="K2314" s="8" t="s">
        <v>27</v>
      </c>
      <c r="L2314" s="1" t="s">
        <v>1002</v>
      </c>
      <c r="M2314" s="5">
        <v>5</v>
      </c>
    </row>
    <row r="2315" spans="1:13" ht="15" x14ac:dyDescent="0.25">
      <c r="A2315" s="7" t="s">
        <v>16</v>
      </c>
      <c r="B2315" s="7" t="s">
        <v>372</v>
      </c>
      <c r="C2315" s="7" t="s">
        <v>373</v>
      </c>
      <c r="D2315" s="4">
        <v>85377174000392</v>
      </c>
      <c r="E2315" s="8" t="s">
        <v>1012</v>
      </c>
      <c r="F2315" s="8" t="s">
        <v>938</v>
      </c>
      <c r="G2315" s="7" t="s">
        <v>68</v>
      </c>
      <c r="H2315" s="47" t="s">
        <v>205</v>
      </c>
      <c r="I2315" s="47" t="s">
        <v>206</v>
      </c>
      <c r="J2315" s="6">
        <v>73</v>
      </c>
      <c r="K2315" s="8" t="s">
        <v>26</v>
      </c>
      <c r="L2315" s="1" t="s">
        <v>1012</v>
      </c>
      <c r="M2315" s="5">
        <v>6</v>
      </c>
    </row>
    <row r="2316" spans="1:13" ht="15" x14ac:dyDescent="0.25">
      <c r="A2316" s="7" t="s">
        <v>16</v>
      </c>
      <c r="B2316" s="7" t="s">
        <v>372</v>
      </c>
      <c r="C2316" s="7" t="s">
        <v>373</v>
      </c>
      <c r="D2316" s="4">
        <v>87827689002405</v>
      </c>
      <c r="E2316" s="8" t="s">
        <v>1021</v>
      </c>
      <c r="F2316" s="8" t="s">
        <v>66</v>
      </c>
      <c r="G2316" s="7" t="s">
        <v>67</v>
      </c>
      <c r="H2316" s="47" t="s">
        <v>205</v>
      </c>
      <c r="I2316" s="47" t="s">
        <v>206</v>
      </c>
      <c r="J2316" s="6">
        <v>73</v>
      </c>
      <c r="K2316" s="8" t="s">
        <v>26</v>
      </c>
      <c r="L2316" s="1" t="s">
        <v>1021</v>
      </c>
      <c r="M2316" s="5">
        <v>26</v>
      </c>
    </row>
    <row r="2317" spans="1:13" ht="15" x14ac:dyDescent="0.25">
      <c r="A2317" s="7" t="s">
        <v>16</v>
      </c>
      <c r="B2317" s="7" t="s">
        <v>372</v>
      </c>
      <c r="C2317" s="7" t="s">
        <v>373</v>
      </c>
      <c r="D2317" s="4">
        <v>88645403001372</v>
      </c>
      <c r="E2317" s="8" t="s">
        <v>1025</v>
      </c>
      <c r="F2317" s="8" t="s">
        <v>66</v>
      </c>
      <c r="G2317" s="7" t="s">
        <v>67</v>
      </c>
      <c r="H2317" s="47" t="s">
        <v>205</v>
      </c>
      <c r="I2317" s="47" t="s">
        <v>206</v>
      </c>
      <c r="J2317" s="6">
        <v>73</v>
      </c>
      <c r="K2317" s="8" t="s">
        <v>26</v>
      </c>
      <c r="L2317" s="1" t="s">
        <v>1025</v>
      </c>
      <c r="M2317" s="5">
        <v>20</v>
      </c>
    </row>
    <row r="2318" spans="1:13" ht="15" x14ac:dyDescent="0.25">
      <c r="A2318" s="7" t="s">
        <v>16</v>
      </c>
      <c r="B2318" s="7" t="s">
        <v>372</v>
      </c>
      <c r="C2318" s="7" t="s">
        <v>373</v>
      </c>
      <c r="D2318" s="4">
        <v>95610887000146</v>
      </c>
      <c r="E2318" s="8" t="s">
        <v>1037</v>
      </c>
      <c r="F2318" s="8" t="s">
        <v>87</v>
      </c>
      <c r="G2318" s="7" t="s">
        <v>67</v>
      </c>
      <c r="H2318" s="47" t="s">
        <v>205</v>
      </c>
      <c r="I2318" s="47" t="s">
        <v>206</v>
      </c>
      <c r="J2318" s="6">
        <v>73</v>
      </c>
      <c r="K2318" s="8" t="s">
        <v>26</v>
      </c>
      <c r="L2318" s="1" t="s">
        <v>1037</v>
      </c>
      <c r="M2318" s="5">
        <v>30</v>
      </c>
    </row>
    <row r="2319" spans="1:13" ht="15" x14ac:dyDescent="0.25">
      <c r="A2319" s="7" t="s">
        <v>16</v>
      </c>
      <c r="B2319" s="7" t="s">
        <v>17</v>
      </c>
      <c r="C2319" s="7" t="s">
        <v>18</v>
      </c>
      <c r="D2319" s="4">
        <v>437007000175</v>
      </c>
      <c r="E2319" s="8" t="s">
        <v>1038</v>
      </c>
      <c r="F2319" s="8" t="s">
        <v>1039</v>
      </c>
      <c r="G2319" s="7" t="s">
        <v>61</v>
      </c>
      <c r="H2319" s="47" t="s">
        <v>205</v>
      </c>
      <c r="I2319" s="47" t="s">
        <v>206</v>
      </c>
      <c r="J2319" s="6">
        <v>70</v>
      </c>
      <c r="K2319" s="8" t="s">
        <v>20</v>
      </c>
      <c r="L2319" s="1" t="s">
        <v>1038</v>
      </c>
      <c r="M2319" s="5">
        <v>420</v>
      </c>
    </row>
    <row r="2320" spans="1:13" ht="15" x14ac:dyDescent="0.25">
      <c r="A2320" s="7" t="s">
        <v>16</v>
      </c>
      <c r="B2320" s="7" t="s">
        <v>21</v>
      </c>
      <c r="C2320" s="7" t="s">
        <v>18</v>
      </c>
      <c r="D2320" s="4">
        <v>437007000175</v>
      </c>
      <c r="E2320" s="8" t="s">
        <v>1038</v>
      </c>
      <c r="F2320" s="8" t="s">
        <v>1039</v>
      </c>
      <c r="G2320" s="7" t="s">
        <v>61</v>
      </c>
      <c r="H2320" s="47" t="s">
        <v>205</v>
      </c>
      <c r="I2320" s="47" t="s">
        <v>206</v>
      </c>
      <c r="J2320" s="6">
        <v>70</v>
      </c>
      <c r="K2320" s="8" t="s">
        <v>20</v>
      </c>
      <c r="L2320" s="1" t="s">
        <v>1038</v>
      </c>
      <c r="M2320" s="5">
        <v>505</v>
      </c>
    </row>
    <row r="2321" spans="1:13" ht="15" x14ac:dyDescent="0.25">
      <c r="A2321" s="7" t="s">
        <v>16</v>
      </c>
      <c r="B2321" s="7" t="s">
        <v>17</v>
      </c>
      <c r="C2321" s="7" t="s">
        <v>18</v>
      </c>
      <c r="D2321" s="4">
        <v>521197000104</v>
      </c>
      <c r="E2321" s="8" t="s">
        <v>1040</v>
      </c>
      <c r="F2321" s="8" t="s">
        <v>1039</v>
      </c>
      <c r="G2321" s="7" t="s">
        <v>61</v>
      </c>
      <c r="H2321" s="47" t="s">
        <v>205</v>
      </c>
      <c r="I2321" s="47" t="s">
        <v>206</v>
      </c>
      <c r="J2321" s="6">
        <v>70</v>
      </c>
      <c r="K2321" s="8" t="s">
        <v>20</v>
      </c>
      <c r="L2321" s="1" t="s">
        <v>1040</v>
      </c>
      <c r="M2321" s="5">
        <v>237.5</v>
      </c>
    </row>
    <row r="2322" spans="1:13" ht="15" x14ac:dyDescent="0.25">
      <c r="A2322" s="7" t="s">
        <v>16</v>
      </c>
      <c r="B2322" s="7" t="s">
        <v>21</v>
      </c>
      <c r="C2322" s="7" t="s">
        <v>18</v>
      </c>
      <c r="D2322" s="4">
        <v>521197000104</v>
      </c>
      <c r="E2322" s="8" t="s">
        <v>1040</v>
      </c>
      <c r="F2322" s="8" t="s">
        <v>1039</v>
      </c>
      <c r="G2322" s="7" t="s">
        <v>61</v>
      </c>
      <c r="H2322" s="47" t="s">
        <v>205</v>
      </c>
      <c r="I2322" s="47" t="s">
        <v>206</v>
      </c>
      <c r="J2322" s="6">
        <v>70</v>
      </c>
      <c r="K2322" s="8" t="s">
        <v>20</v>
      </c>
      <c r="L2322" s="1" t="s">
        <v>1040</v>
      </c>
      <c r="M2322" s="5">
        <v>637.5</v>
      </c>
    </row>
    <row r="2323" spans="1:13" ht="15" x14ac:dyDescent="0.25">
      <c r="A2323" s="7" t="s">
        <v>16</v>
      </c>
      <c r="B2323" s="7" t="s">
        <v>17</v>
      </c>
      <c r="C2323" s="7" t="s">
        <v>18</v>
      </c>
      <c r="D2323" s="4">
        <v>1396804000114</v>
      </c>
      <c r="E2323" s="8" t="s">
        <v>1140</v>
      </c>
      <c r="F2323" s="8" t="s">
        <v>97</v>
      </c>
      <c r="G2323" s="7" t="s">
        <v>98</v>
      </c>
      <c r="H2323" s="47" t="s">
        <v>205</v>
      </c>
      <c r="I2323" s="47" t="s">
        <v>206</v>
      </c>
      <c r="J2323" s="6">
        <v>70</v>
      </c>
      <c r="K2323" s="8" t="s">
        <v>20</v>
      </c>
      <c r="L2323" s="1" t="s">
        <v>1140</v>
      </c>
      <c r="M2323" s="5">
        <v>40</v>
      </c>
    </row>
    <row r="2324" spans="1:13" ht="15" x14ac:dyDescent="0.25">
      <c r="A2324" s="7" t="s">
        <v>16</v>
      </c>
      <c r="B2324" s="7" t="s">
        <v>21</v>
      </c>
      <c r="C2324" s="7" t="s">
        <v>18</v>
      </c>
      <c r="D2324" s="4">
        <v>1396804000114</v>
      </c>
      <c r="E2324" s="8" t="s">
        <v>1140</v>
      </c>
      <c r="F2324" s="8" t="s">
        <v>97</v>
      </c>
      <c r="G2324" s="7" t="s">
        <v>98</v>
      </c>
      <c r="H2324" s="47" t="s">
        <v>205</v>
      </c>
      <c r="I2324" s="47" t="s">
        <v>206</v>
      </c>
      <c r="J2324" s="6">
        <v>70</v>
      </c>
      <c r="K2324" s="8" t="s">
        <v>20</v>
      </c>
      <c r="L2324" s="1" t="s">
        <v>1140</v>
      </c>
      <c r="M2324" s="5">
        <v>25</v>
      </c>
    </row>
    <row r="2325" spans="1:13" ht="15" x14ac:dyDescent="0.25">
      <c r="A2325" s="7" t="s">
        <v>16</v>
      </c>
      <c r="B2325" s="7" t="s">
        <v>17</v>
      </c>
      <c r="C2325" s="7" t="s">
        <v>18</v>
      </c>
      <c r="D2325" s="4">
        <v>7039651000134</v>
      </c>
      <c r="E2325" s="8" t="s">
        <v>1153</v>
      </c>
      <c r="F2325" s="8" t="s">
        <v>116</v>
      </c>
      <c r="G2325" s="7" t="s">
        <v>98</v>
      </c>
      <c r="H2325" s="47" t="s">
        <v>205</v>
      </c>
      <c r="I2325" s="47" t="s">
        <v>206</v>
      </c>
      <c r="J2325" s="6">
        <v>70</v>
      </c>
      <c r="K2325" s="8" t="s">
        <v>20</v>
      </c>
      <c r="L2325" s="1" t="s">
        <v>1153</v>
      </c>
      <c r="M2325" s="5">
        <v>15</v>
      </c>
    </row>
    <row r="2326" spans="1:13" ht="15" x14ac:dyDescent="0.25">
      <c r="A2326" s="7" t="s">
        <v>16</v>
      </c>
      <c r="B2326" s="7" t="s">
        <v>17</v>
      </c>
      <c r="C2326" s="7" t="s">
        <v>18</v>
      </c>
      <c r="D2326" s="4">
        <v>9572216000287</v>
      </c>
      <c r="E2326" s="8" t="s">
        <v>960</v>
      </c>
      <c r="F2326" s="8" t="s">
        <v>118</v>
      </c>
      <c r="G2326" s="7" t="s">
        <v>67</v>
      </c>
      <c r="H2326" s="47" t="s">
        <v>205</v>
      </c>
      <c r="I2326" s="47" t="s">
        <v>206</v>
      </c>
      <c r="J2326" s="6">
        <v>70</v>
      </c>
      <c r="K2326" s="8" t="s">
        <v>20</v>
      </c>
      <c r="L2326" s="1" t="s">
        <v>960</v>
      </c>
      <c r="M2326" s="5">
        <v>90</v>
      </c>
    </row>
    <row r="2327" spans="1:13" ht="15" x14ac:dyDescent="0.25">
      <c r="A2327" s="7" t="s">
        <v>16</v>
      </c>
      <c r="B2327" s="7" t="s">
        <v>17</v>
      </c>
      <c r="C2327" s="7" t="s">
        <v>18</v>
      </c>
      <c r="D2327" s="4">
        <v>9605231000284</v>
      </c>
      <c r="E2327" s="8" t="s">
        <v>962</v>
      </c>
      <c r="F2327" s="8" t="s">
        <v>87</v>
      </c>
      <c r="G2327" s="7" t="s">
        <v>67</v>
      </c>
      <c r="H2327" s="47" t="s">
        <v>205</v>
      </c>
      <c r="I2327" s="47" t="s">
        <v>206</v>
      </c>
      <c r="J2327" s="6">
        <v>70</v>
      </c>
      <c r="K2327" s="8" t="s">
        <v>20</v>
      </c>
      <c r="L2327" s="1" t="s">
        <v>962</v>
      </c>
      <c r="M2327" s="5">
        <v>100</v>
      </c>
    </row>
    <row r="2328" spans="1:13" ht="15" x14ac:dyDescent="0.25">
      <c r="A2328" s="7" t="s">
        <v>16</v>
      </c>
      <c r="B2328" s="7" t="s">
        <v>17</v>
      </c>
      <c r="C2328" s="7" t="s">
        <v>18</v>
      </c>
      <c r="D2328" s="4">
        <v>27080605001591</v>
      </c>
      <c r="E2328" s="8" t="s">
        <v>1207</v>
      </c>
      <c r="F2328" s="8" t="s">
        <v>97</v>
      </c>
      <c r="G2328" s="7" t="s">
        <v>98</v>
      </c>
      <c r="H2328" s="47" t="s">
        <v>205</v>
      </c>
      <c r="I2328" s="47" t="s">
        <v>206</v>
      </c>
      <c r="J2328" s="6">
        <v>70</v>
      </c>
      <c r="K2328" s="8" t="s">
        <v>20</v>
      </c>
      <c r="L2328" s="1" t="s">
        <v>1207</v>
      </c>
      <c r="M2328" s="5">
        <v>1000</v>
      </c>
    </row>
    <row r="2329" spans="1:13" ht="15" x14ac:dyDescent="0.25">
      <c r="A2329" s="7" t="s">
        <v>16</v>
      </c>
      <c r="B2329" s="7" t="s">
        <v>17</v>
      </c>
      <c r="C2329" s="7" t="s">
        <v>18</v>
      </c>
      <c r="D2329" s="4">
        <v>28137925000106</v>
      </c>
      <c r="E2329" s="8" t="s">
        <v>1210</v>
      </c>
      <c r="F2329" s="8" t="s">
        <v>1157</v>
      </c>
      <c r="G2329" s="7" t="s">
        <v>98</v>
      </c>
      <c r="H2329" s="47" t="s">
        <v>205</v>
      </c>
      <c r="I2329" s="47" t="s">
        <v>206</v>
      </c>
      <c r="J2329" s="6">
        <v>70</v>
      </c>
      <c r="K2329" s="8" t="s">
        <v>20</v>
      </c>
      <c r="L2329" s="1" t="s">
        <v>1210</v>
      </c>
      <c r="M2329" s="5">
        <v>100</v>
      </c>
    </row>
    <row r="2330" spans="1:13" ht="15" x14ac:dyDescent="0.25">
      <c r="A2330" s="7" t="s">
        <v>16</v>
      </c>
      <c r="B2330" s="7" t="s">
        <v>17</v>
      </c>
      <c r="C2330" s="7" t="s">
        <v>18</v>
      </c>
      <c r="D2330" s="4">
        <v>29135795000208</v>
      </c>
      <c r="E2330" s="8" t="s">
        <v>1053</v>
      </c>
      <c r="F2330" s="8" t="s">
        <v>120</v>
      </c>
      <c r="G2330" s="7" t="s">
        <v>61</v>
      </c>
      <c r="H2330" s="47" t="s">
        <v>205</v>
      </c>
      <c r="I2330" s="47" t="s">
        <v>206</v>
      </c>
      <c r="J2330" s="6">
        <v>70</v>
      </c>
      <c r="K2330" s="8" t="s">
        <v>20</v>
      </c>
      <c r="L2330" s="1" t="s">
        <v>1053</v>
      </c>
      <c r="M2330" s="5">
        <v>100</v>
      </c>
    </row>
    <row r="2331" spans="1:13" ht="15" x14ac:dyDescent="0.25">
      <c r="A2331" s="7" t="s">
        <v>16</v>
      </c>
      <c r="B2331" s="7" t="s">
        <v>21</v>
      </c>
      <c r="C2331" s="7" t="s">
        <v>18</v>
      </c>
      <c r="D2331" s="4">
        <v>29135795000208</v>
      </c>
      <c r="E2331" s="8" t="s">
        <v>1053</v>
      </c>
      <c r="F2331" s="8" t="s">
        <v>120</v>
      </c>
      <c r="G2331" s="7" t="s">
        <v>61</v>
      </c>
      <c r="H2331" s="47" t="s">
        <v>205</v>
      </c>
      <c r="I2331" s="47" t="s">
        <v>206</v>
      </c>
      <c r="J2331" s="6">
        <v>70</v>
      </c>
      <c r="K2331" s="8" t="s">
        <v>20</v>
      </c>
      <c r="L2331" s="1" t="s">
        <v>1053</v>
      </c>
      <c r="M2331" s="5">
        <v>275</v>
      </c>
    </row>
    <row r="2332" spans="1:13" ht="15" x14ac:dyDescent="0.25">
      <c r="A2332" s="7" t="s">
        <v>16</v>
      </c>
      <c r="B2332" s="7" t="s">
        <v>21</v>
      </c>
      <c r="C2332" s="7" t="s">
        <v>18</v>
      </c>
      <c r="D2332" s="4">
        <v>11055682000156</v>
      </c>
      <c r="E2332" s="8" t="s">
        <v>963</v>
      </c>
      <c r="F2332" s="8" t="s">
        <v>124</v>
      </c>
      <c r="G2332" s="7" t="s">
        <v>67</v>
      </c>
      <c r="H2332" s="47" t="s">
        <v>205</v>
      </c>
      <c r="I2332" s="47" t="s">
        <v>206</v>
      </c>
      <c r="J2332" s="6">
        <v>70</v>
      </c>
      <c r="K2332" s="8" t="s">
        <v>20</v>
      </c>
      <c r="L2332" s="1" t="s">
        <v>963</v>
      </c>
      <c r="M2332" s="5">
        <v>225</v>
      </c>
    </row>
    <row r="2333" spans="1:13" ht="15" x14ac:dyDescent="0.25">
      <c r="A2333" s="7" t="s">
        <v>16</v>
      </c>
      <c r="B2333" s="7" t="s">
        <v>17</v>
      </c>
      <c r="C2333" s="7" t="s">
        <v>18</v>
      </c>
      <c r="D2333" s="4">
        <v>39387477000107</v>
      </c>
      <c r="E2333" s="8" t="s">
        <v>1218</v>
      </c>
      <c r="F2333" s="8" t="s">
        <v>1157</v>
      </c>
      <c r="G2333" s="7" t="s">
        <v>98</v>
      </c>
      <c r="H2333" s="47" t="s">
        <v>205</v>
      </c>
      <c r="I2333" s="47" t="s">
        <v>206</v>
      </c>
      <c r="J2333" s="6">
        <v>70</v>
      </c>
      <c r="K2333" s="8" t="s">
        <v>20</v>
      </c>
      <c r="L2333" s="1" t="s">
        <v>1218</v>
      </c>
      <c r="M2333" s="5">
        <v>180</v>
      </c>
    </row>
    <row r="2334" spans="1:13" ht="15" x14ac:dyDescent="0.25">
      <c r="A2334" s="7" t="s">
        <v>16</v>
      </c>
      <c r="B2334" s="7" t="s">
        <v>21</v>
      </c>
      <c r="C2334" s="7" t="s">
        <v>18</v>
      </c>
      <c r="D2334" s="4">
        <v>12508728000108</v>
      </c>
      <c r="E2334" s="8" t="s">
        <v>965</v>
      </c>
      <c r="F2334" s="8" t="s">
        <v>87</v>
      </c>
      <c r="G2334" s="7" t="s">
        <v>67</v>
      </c>
      <c r="H2334" s="47" t="s">
        <v>205</v>
      </c>
      <c r="I2334" s="47" t="s">
        <v>206</v>
      </c>
      <c r="J2334" s="6">
        <v>70</v>
      </c>
      <c r="K2334" s="8" t="s">
        <v>20</v>
      </c>
      <c r="L2334" s="1" t="s">
        <v>965</v>
      </c>
      <c r="M2334" s="5">
        <v>40</v>
      </c>
    </row>
    <row r="2335" spans="1:13" ht="15" x14ac:dyDescent="0.25">
      <c r="A2335" s="7" t="s">
        <v>16</v>
      </c>
      <c r="B2335" s="7" t="s">
        <v>17</v>
      </c>
      <c r="C2335" s="7" t="s">
        <v>18</v>
      </c>
      <c r="D2335" s="4">
        <v>60884855001207</v>
      </c>
      <c r="E2335" s="8" t="s">
        <v>1065</v>
      </c>
      <c r="F2335" s="8" t="s">
        <v>1039</v>
      </c>
      <c r="G2335" s="7" t="s">
        <v>61</v>
      </c>
      <c r="H2335" s="47" t="s">
        <v>205</v>
      </c>
      <c r="I2335" s="47" t="s">
        <v>206</v>
      </c>
      <c r="J2335" s="6">
        <v>70</v>
      </c>
      <c r="K2335" s="8" t="s">
        <v>20</v>
      </c>
      <c r="L2335" s="1" t="s">
        <v>1065</v>
      </c>
      <c r="M2335" s="5">
        <v>440</v>
      </c>
    </row>
    <row r="2336" spans="1:13" ht="15" x14ac:dyDescent="0.25">
      <c r="A2336" s="7" t="s">
        <v>16</v>
      </c>
      <c r="B2336" s="7" t="s">
        <v>17</v>
      </c>
      <c r="C2336" s="7" t="s">
        <v>18</v>
      </c>
      <c r="D2336" s="4">
        <v>68709211000212</v>
      </c>
      <c r="E2336" s="8" t="s">
        <v>1066</v>
      </c>
      <c r="F2336" s="8" t="s">
        <v>92</v>
      </c>
      <c r="G2336" s="7" t="s">
        <v>61</v>
      </c>
      <c r="H2336" s="47" t="s">
        <v>205</v>
      </c>
      <c r="I2336" s="47" t="s">
        <v>206</v>
      </c>
      <c r="J2336" s="6">
        <v>70</v>
      </c>
      <c r="K2336" s="8" t="s">
        <v>20</v>
      </c>
      <c r="L2336" s="1" t="s">
        <v>1066</v>
      </c>
      <c r="M2336" s="5">
        <v>300</v>
      </c>
    </row>
    <row r="2337" spans="1:13" ht="15" x14ac:dyDescent="0.25">
      <c r="A2337" s="7" t="s">
        <v>16</v>
      </c>
      <c r="B2337" s="7" t="s">
        <v>17</v>
      </c>
      <c r="C2337" s="7" t="s">
        <v>18</v>
      </c>
      <c r="D2337" s="4">
        <v>87317764001084</v>
      </c>
      <c r="E2337" s="8" t="s">
        <v>1015</v>
      </c>
      <c r="F2337" s="8" t="s">
        <v>83</v>
      </c>
      <c r="G2337" s="7" t="s">
        <v>67</v>
      </c>
      <c r="H2337" s="47" t="s">
        <v>205</v>
      </c>
      <c r="I2337" s="47" t="s">
        <v>206</v>
      </c>
      <c r="J2337" s="6">
        <v>70</v>
      </c>
      <c r="K2337" s="8" t="s">
        <v>20</v>
      </c>
      <c r="L2337" s="1" t="s">
        <v>1015</v>
      </c>
      <c r="M2337" s="5">
        <v>330</v>
      </c>
    </row>
    <row r="2338" spans="1:13" ht="15" x14ac:dyDescent="0.25">
      <c r="A2338" s="7" t="s">
        <v>16</v>
      </c>
      <c r="B2338" s="7" t="s">
        <v>21</v>
      </c>
      <c r="C2338" s="7" t="s">
        <v>18</v>
      </c>
      <c r="D2338" s="4">
        <v>27080605000358</v>
      </c>
      <c r="E2338" s="8" t="s">
        <v>1205</v>
      </c>
      <c r="F2338" s="8" t="s">
        <v>1206</v>
      </c>
      <c r="G2338" s="7" t="s">
        <v>98</v>
      </c>
      <c r="H2338" s="47" t="s">
        <v>205</v>
      </c>
      <c r="I2338" s="47" t="s">
        <v>206</v>
      </c>
      <c r="J2338" s="6">
        <v>70</v>
      </c>
      <c r="K2338" s="8" t="s">
        <v>20</v>
      </c>
      <c r="L2338" s="1" t="s">
        <v>1205</v>
      </c>
      <c r="M2338" s="5">
        <v>300</v>
      </c>
    </row>
    <row r="2339" spans="1:13" ht="15" x14ac:dyDescent="0.25">
      <c r="A2339" s="7" t="s">
        <v>16</v>
      </c>
      <c r="B2339" s="7" t="s">
        <v>17</v>
      </c>
      <c r="C2339" s="7" t="s">
        <v>18</v>
      </c>
      <c r="D2339" s="4">
        <v>87607149000626</v>
      </c>
      <c r="E2339" s="8" t="s">
        <v>1019</v>
      </c>
      <c r="F2339" s="8" t="s">
        <v>96</v>
      </c>
      <c r="G2339" s="7" t="s">
        <v>67</v>
      </c>
      <c r="H2339" s="47" t="s">
        <v>205</v>
      </c>
      <c r="I2339" s="47" t="s">
        <v>206</v>
      </c>
      <c r="J2339" s="6">
        <v>70</v>
      </c>
      <c r="K2339" s="8" t="s">
        <v>20</v>
      </c>
      <c r="L2339" s="1" t="s">
        <v>1019</v>
      </c>
      <c r="M2339" s="5">
        <v>240</v>
      </c>
    </row>
    <row r="2340" spans="1:13" ht="15" x14ac:dyDescent="0.25">
      <c r="A2340" s="7" t="s">
        <v>16</v>
      </c>
      <c r="B2340" s="7" t="s">
        <v>17</v>
      </c>
      <c r="C2340" s="7" t="s">
        <v>18</v>
      </c>
      <c r="D2340" s="4">
        <v>87827689002405</v>
      </c>
      <c r="E2340" s="8" t="s">
        <v>1021</v>
      </c>
      <c r="F2340" s="8" t="s">
        <v>66</v>
      </c>
      <c r="G2340" s="7" t="s">
        <v>67</v>
      </c>
      <c r="H2340" s="47" t="s">
        <v>205</v>
      </c>
      <c r="I2340" s="47" t="s">
        <v>206</v>
      </c>
      <c r="J2340" s="6">
        <v>70</v>
      </c>
      <c r="K2340" s="8" t="s">
        <v>20</v>
      </c>
      <c r="L2340" s="1" t="s">
        <v>1021</v>
      </c>
      <c r="M2340" s="5">
        <v>90</v>
      </c>
    </row>
    <row r="2341" spans="1:13" ht="15" x14ac:dyDescent="0.25">
      <c r="A2341" s="7" t="s">
        <v>16</v>
      </c>
      <c r="B2341" s="7" t="s">
        <v>21</v>
      </c>
      <c r="C2341" s="7" t="s">
        <v>18</v>
      </c>
      <c r="D2341" s="4">
        <v>27578434001525</v>
      </c>
      <c r="E2341" s="8" t="s">
        <v>1208</v>
      </c>
      <c r="F2341" s="8" t="s">
        <v>1157</v>
      </c>
      <c r="G2341" s="7" t="s">
        <v>98</v>
      </c>
      <c r="H2341" s="47" t="s">
        <v>205</v>
      </c>
      <c r="I2341" s="47" t="s">
        <v>206</v>
      </c>
      <c r="J2341" s="6">
        <v>70</v>
      </c>
      <c r="K2341" s="8" t="s">
        <v>20</v>
      </c>
      <c r="L2341" s="1" t="s">
        <v>1208</v>
      </c>
      <c r="M2341" s="5">
        <v>1500</v>
      </c>
    </row>
    <row r="2342" spans="1:13" ht="15" x14ac:dyDescent="0.25">
      <c r="A2342" s="7" t="s">
        <v>16</v>
      </c>
      <c r="B2342" s="7" t="s">
        <v>17</v>
      </c>
      <c r="C2342" s="7" t="s">
        <v>18</v>
      </c>
      <c r="D2342" s="4">
        <v>94831294000147</v>
      </c>
      <c r="E2342" s="8" t="s">
        <v>1036</v>
      </c>
      <c r="F2342" s="8" t="s">
        <v>83</v>
      </c>
      <c r="G2342" s="7" t="s">
        <v>67</v>
      </c>
      <c r="H2342" s="47" t="s">
        <v>205</v>
      </c>
      <c r="I2342" s="47" t="s">
        <v>206</v>
      </c>
      <c r="J2342" s="6">
        <v>70</v>
      </c>
      <c r="K2342" s="8" t="s">
        <v>20</v>
      </c>
      <c r="L2342" s="1" t="s">
        <v>1036</v>
      </c>
      <c r="M2342" s="5">
        <v>30</v>
      </c>
    </row>
    <row r="2343" spans="1:13" ht="15" x14ac:dyDescent="0.25">
      <c r="A2343" s="7" t="s">
        <v>16</v>
      </c>
      <c r="B2343" s="7" t="s">
        <v>17</v>
      </c>
      <c r="C2343" s="7" t="s">
        <v>18</v>
      </c>
      <c r="D2343" s="4">
        <v>95610887000146</v>
      </c>
      <c r="E2343" s="8" t="s">
        <v>1037</v>
      </c>
      <c r="F2343" s="8" t="s">
        <v>87</v>
      </c>
      <c r="G2343" s="7" t="s">
        <v>67</v>
      </c>
      <c r="H2343" s="47" t="s">
        <v>205</v>
      </c>
      <c r="I2343" s="47" t="s">
        <v>206</v>
      </c>
      <c r="J2343" s="6">
        <v>70</v>
      </c>
      <c r="K2343" s="8" t="s">
        <v>20</v>
      </c>
      <c r="L2343" s="1" t="s">
        <v>1037</v>
      </c>
      <c r="M2343" s="5">
        <v>300</v>
      </c>
    </row>
    <row r="2344" spans="1:13" ht="15" x14ac:dyDescent="0.25">
      <c r="A2344" s="7" t="s">
        <v>16</v>
      </c>
      <c r="B2344" s="7" t="s">
        <v>21</v>
      </c>
      <c r="C2344" s="7" t="s">
        <v>18</v>
      </c>
      <c r="D2344" s="4">
        <v>29435005003497</v>
      </c>
      <c r="E2344" s="8" t="s">
        <v>1054</v>
      </c>
      <c r="F2344" s="8" t="s">
        <v>78</v>
      </c>
      <c r="G2344" s="7" t="s">
        <v>61</v>
      </c>
      <c r="H2344" s="47" t="s">
        <v>205</v>
      </c>
      <c r="I2344" s="47" t="s">
        <v>206</v>
      </c>
      <c r="J2344" s="6">
        <v>70</v>
      </c>
      <c r="K2344" s="8" t="s">
        <v>20</v>
      </c>
      <c r="L2344" s="1" t="s">
        <v>1054</v>
      </c>
      <c r="M2344" s="5">
        <v>150</v>
      </c>
    </row>
    <row r="2345" spans="1:13" ht="15" x14ac:dyDescent="0.25">
      <c r="A2345" s="7" t="s">
        <v>16</v>
      </c>
      <c r="B2345" s="7" t="s">
        <v>21</v>
      </c>
      <c r="C2345" s="7" t="s">
        <v>18</v>
      </c>
      <c r="D2345" s="4">
        <v>30537740000122</v>
      </c>
      <c r="E2345" s="8" t="s">
        <v>1058</v>
      </c>
      <c r="F2345" s="8" t="s">
        <v>120</v>
      </c>
      <c r="G2345" s="7" t="s">
        <v>61</v>
      </c>
      <c r="H2345" s="47" t="s">
        <v>205</v>
      </c>
      <c r="I2345" s="47" t="s">
        <v>206</v>
      </c>
      <c r="J2345" s="6">
        <v>70</v>
      </c>
      <c r="K2345" s="8" t="s">
        <v>20</v>
      </c>
      <c r="L2345" s="1" t="s">
        <v>1058</v>
      </c>
      <c r="M2345" s="5">
        <v>215</v>
      </c>
    </row>
    <row r="2346" spans="1:13" ht="15" x14ac:dyDescent="0.25">
      <c r="A2346" s="7" t="s">
        <v>16</v>
      </c>
      <c r="B2346" s="7" t="s">
        <v>21</v>
      </c>
      <c r="C2346" s="7" t="s">
        <v>18</v>
      </c>
      <c r="D2346" s="4">
        <v>36238913000198</v>
      </c>
      <c r="E2346" s="8" t="s">
        <v>1063</v>
      </c>
      <c r="F2346" s="8" t="s">
        <v>1064</v>
      </c>
      <c r="G2346" s="7" t="s">
        <v>61</v>
      </c>
      <c r="H2346" s="47" t="s">
        <v>205</v>
      </c>
      <c r="I2346" s="47" t="s">
        <v>206</v>
      </c>
      <c r="J2346" s="6">
        <v>70</v>
      </c>
      <c r="K2346" s="8" t="s">
        <v>20</v>
      </c>
      <c r="L2346" s="1" t="s">
        <v>1063</v>
      </c>
      <c r="M2346" s="5">
        <v>125</v>
      </c>
    </row>
    <row r="2347" spans="1:13" ht="15" x14ac:dyDescent="0.25">
      <c r="A2347" s="7" t="s">
        <v>16</v>
      </c>
      <c r="B2347" s="7" t="s">
        <v>21</v>
      </c>
      <c r="C2347" s="7" t="s">
        <v>18</v>
      </c>
      <c r="D2347" s="4">
        <v>39387477000107</v>
      </c>
      <c r="E2347" s="8" t="s">
        <v>1218</v>
      </c>
      <c r="F2347" s="8" t="s">
        <v>1157</v>
      </c>
      <c r="G2347" s="7" t="s">
        <v>98</v>
      </c>
      <c r="H2347" s="47" t="s">
        <v>205</v>
      </c>
      <c r="I2347" s="47" t="s">
        <v>206</v>
      </c>
      <c r="J2347" s="6">
        <v>70</v>
      </c>
      <c r="K2347" s="8" t="s">
        <v>20</v>
      </c>
      <c r="L2347" s="1" t="s">
        <v>1218</v>
      </c>
      <c r="M2347" s="5">
        <v>75</v>
      </c>
    </row>
    <row r="2348" spans="1:13" ht="15" x14ac:dyDescent="0.25">
      <c r="A2348" s="7" t="s">
        <v>16</v>
      </c>
      <c r="B2348" s="7" t="s">
        <v>21</v>
      </c>
      <c r="C2348" s="7" t="s">
        <v>18</v>
      </c>
      <c r="D2348" s="4">
        <v>60884855001207</v>
      </c>
      <c r="E2348" s="8" t="s">
        <v>1065</v>
      </c>
      <c r="F2348" s="8" t="s">
        <v>1039</v>
      </c>
      <c r="G2348" s="7" t="s">
        <v>61</v>
      </c>
      <c r="H2348" s="47" t="s">
        <v>205</v>
      </c>
      <c r="I2348" s="47" t="s">
        <v>206</v>
      </c>
      <c r="J2348" s="6">
        <v>70</v>
      </c>
      <c r="K2348" s="8" t="s">
        <v>20</v>
      </c>
      <c r="L2348" s="1" t="s">
        <v>1065</v>
      </c>
      <c r="M2348" s="5">
        <v>985</v>
      </c>
    </row>
    <row r="2349" spans="1:13" ht="15" x14ac:dyDescent="0.25">
      <c r="A2349" s="7" t="s">
        <v>16</v>
      </c>
      <c r="B2349" s="7" t="s">
        <v>21</v>
      </c>
      <c r="C2349" s="7" t="s">
        <v>18</v>
      </c>
      <c r="D2349" s="4">
        <v>68709211000212</v>
      </c>
      <c r="E2349" s="8" t="s">
        <v>1066</v>
      </c>
      <c r="F2349" s="8" t="s">
        <v>92</v>
      </c>
      <c r="G2349" s="7" t="s">
        <v>61</v>
      </c>
      <c r="H2349" s="47" t="s">
        <v>205</v>
      </c>
      <c r="I2349" s="47" t="s">
        <v>206</v>
      </c>
      <c r="J2349" s="6">
        <v>70</v>
      </c>
      <c r="K2349" s="8" t="s">
        <v>20</v>
      </c>
      <c r="L2349" s="1" t="s">
        <v>1066</v>
      </c>
      <c r="M2349" s="5">
        <v>200</v>
      </c>
    </row>
    <row r="2350" spans="1:13" ht="15" x14ac:dyDescent="0.25">
      <c r="A2350" s="7" t="s">
        <v>16</v>
      </c>
      <c r="B2350" s="7" t="s">
        <v>21</v>
      </c>
      <c r="C2350" s="7" t="s">
        <v>18</v>
      </c>
      <c r="D2350" s="4">
        <v>87096616003101</v>
      </c>
      <c r="E2350" s="8" t="s">
        <v>1014</v>
      </c>
      <c r="F2350" s="8" t="s">
        <v>83</v>
      </c>
      <c r="G2350" s="7" t="s">
        <v>67</v>
      </c>
      <c r="H2350" s="47" t="s">
        <v>205</v>
      </c>
      <c r="I2350" s="47" t="s">
        <v>206</v>
      </c>
      <c r="J2350" s="6">
        <v>70</v>
      </c>
      <c r="K2350" s="8" t="s">
        <v>20</v>
      </c>
      <c r="L2350" s="1" t="s">
        <v>1014</v>
      </c>
      <c r="M2350" s="5">
        <v>1500</v>
      </c>
    </row>
    <row r="2351" spans="1:13" ht="15" x14ac:dyDescent="0.25">
      <c r="A2351" s="7" t="s">
        <v>16</v>
      </c>
      <c r="B2351" s="7" t="s">
        <v>21</v>
      </c>
      <c r="C2351" s="7" t="s">
        <v>18</v>
      </c>
      <c r="D2351" s="4">
        <v>87317764001084</v>
      </c>
      <c r="E2351" s="8" t="s">
        <v>1015</v>
      </c>
      <c r="F2351" s="8" t="s">
        <v>83</v>
      </c>
      <c r="G2351" s="7" t="s">
        <v>67</v>
      </c>
      <c r="H2351" s="47" t="s">
        <v>205</v>
      </c>
      <c r="I2351" s="47" t="s">
        <v>206</v>
      </c>
      <c r="J2351" s="6">
        <v>70</v>
      </c>
      <c r="K2351" s="8" t="s">
        <v>20</v>
      </c>
      <c r="L2351" s="1" t="s">
        <v>1015</v>
      </c>
      <c r="M2351" s="5">
        <v>240</v>
      </c>
    </row>
    <row r="2352" spans="1:13" ht="15" x14ac:dyDescent="0.25">
      <c r="A2352" s="7" t="s">
        <v>16</v>
      </c>
      <c r="B2352" s="7" t="s">
        <v>21</v>
      </c>
      <c r="C2352" s="7" t="s">
        <v>18</v>
      </c>
      <c r="D2352" s="4">
        <v>87607149000626</v>
      </c>
      <c r="E2352" s="8" t="s">
        <v>1019</v>
      </c>
      <c r="F2352" s="8" t="s">
        <v>96</v>
      </c>
      <c r="G2352" s="7" t="s">
        <v>67</v>
      </c>
      <c r="H2352" s="47" t="s">
        <v>205</v>
      </c>
      <c r="I2352" s="47" t="s">
        <v>206</v>
      </c>
      <c r="J2352" s="6">
        <v>70</v>
      </c>
      <c r="K2352" s="8" t="s">
        <v>20</v>
      </c>
      <c r="L2352" s="1" t="s">
        <v>1019</v>
      </c>
      <c r="M2352" s="5">
        <v>235</v>
      </c>
    </row>
    <row r="2353" spans="1:13" ht="15" x14ac:dyDescent="0.25">
      <c r="A2353" s="7" t="s">
        <v>16</v>
      </c>
      <c r="B2353" s="7" t="s">
        <v>21</v>
      </c>
      <c r="C2353" s="7" t="s">
        <v>18</v>
      </c>
      <c r="D2353" s="4">
        <v>87638334000505</v>
      </c>
      <c r="E2353" s="8" t="s">
        <v>1020</v>
      </c>
      <c r="F2353" s="8" t="s">
        <v>129</v>
      </c>
      <c r="G2353" s="7" t="s">
        <v>67</v>
      </c>
      <c r="H2353" s="47" t="s">
        <v>205</v>
      </c>
      <c r="I2353" s="47" t="s">
        <v>206</v>
      </c>
      <c r="J2353" s="6">
        <v>70</v>
      </c>
      <c r="K2353" s="8" t="s">
        <v>20</v>
      </c>
      <c r="L2353" s="1" t="s">
        <v>1020</v>
      </c>
      <c r="M2353" s="5">
        <v>10</v>
      </c>
    </row>
    <row r="2354" spans="1:13" ht="15" x14ac:dyDescent="0.25">
      <c r="A2354" s="7" t="s">
        <v>16</v>
      </c>
      <c r="B2354" s="7" t="s">
        <v>21</v>
      </c>
      <c r="C2354" s="7" t="s">
        <v>18</v>
      </c>
      <c r="D2354" s="4">
        <v>87827689002405</v>
      </c>
      <c r="E2354" s="8" t="s">
        <v>1021</v>
      </c>
      <c r="F2354" s="8" t="s">
        <v>66</v>
      </c>
      <c r="G2354" s="7" t="s">
        <v>67</v>
      </c>
      <c r="H2354" s="47" t="s">
        <v>205</v>
      </c>
      <c r="I2354" s="47" t="s">
        <v>206</v>
      </c>
      <c r="J2354" s="6">
        <v>70</v>
      </c>
      <c r="K2354" s="8" t="s">
        <v>20</v>
      </c>
      <c r="L2354" s="1" t="s">
        <v>1021</v>
      </c>
      <c r="M2354" s="5">
        <v>90</v>
      </c>
    </row>
    <row r="2355" spans="1:13" ht="15" x14ac:dyDescent="0.25">
      <c r="A2355" s="7" t="s">
        <v>16</v>
      </c>
      <c r="B2355" s="7" t="s">
        <v>21</v>
      </c>
      <c r="C2355" s="7" t="s">
        <v>18</v>
      </c>
      <c r="D2355" s="4">
        <v>88625686002443</v>
      </c>
      <c r="E2355" s="8" t="s">
        <v>1023</v>
      </c>
      <c r="F2355" s="8" t="s">
        <v>83</v>
      </c>
      <c r="G2355" s="7" t="s">
        <v>67</v>
      </c>
      <c r="H2355" s="47" t="s">
        <v>205</v>
      </c>
      <c r="I2355" s="47" t="s">
        <v>206</v>
      </c>
      <c r="J2355" s="6">
        <v>70</v>
      </c>
      <c r="K2355" s="8" t="s">
        <v>20</v>
      </c>
      <c r="L2355" s="1" t="s">
        <v>1023</v>
      </c>
      <c r="M2355" s="5">
        <v>240</v>
      </c>
    </row>
    <row r="2356" spans="1:13" ht="15" x14ac:dyDescent="0.25">
      <c r="A2356" s="7" t="s">
        <v>16</v>
      </c>
      <c r="B2356" s="7" t="s">
        <v>21</v>
      </c>
      <c r="C2356" s="7" t="s">
        <v>18</v>
      </c>
      <c r="D2356" s="4">
        <v>88830609000139</v>
      </c>
      <c r="E2356" s="8" t="s">
        <v>1026</v>
      </c>
      <c r="F2356" s="8" t="s">
        <v>66</v>
      </c>
      <c r="G2356" s="7" t="s">
        <v>67</v>
      </c>
      <c r="H2356" s="47" t="s">
        <v>205</v>
      </c>
      <c r="I2356" s="47" t="s">
        <v>206</v>
      </c>
      <c r="J2356" s="6">
        <v>70</v>
      </c>
      <c r="K2356" s="8" t="s">
        <v>20</v>
      </c>
      <c r="L2356" s="1" t="s">
        <v>1026</v>
      </c>
      <c r="M2356" s="5">
        <v>140</v>
      </c>
    </row>
    <row r="2357" spans="1:13" ht="15" x14ac:dyDescent="0.25">
      <c r="A2357" s="7" t="s">
        <v>16</v>
      </c>
      <c r="B2357" s="7" t="s">
        <v>21</v>
      </c>
      <c r="C2357" s="7" t="s">
        <v>18</v>
      </c>
      <c r="D2357" s="4">
        <v>92815000000168</v>
      </c>
      <c r="E2357" s="8" t="s">
        <v>1033</v>
      </c>
      <c r="F2357" s="8" t="s">
        <v>83</v>
      </c>
      <c r="G2357" s="7" t="s">
        <v>67</v>
      </c>
      <c r="H2357" s="47" t="s">
        <v>205</v>
      </c>
      <c r="I2357" s="47" t="s">
        <v>206</v>
      </c>
      <c r="J2357" s="6">
        <v>70</v>
      </c>
      <c r="K2357" s="8" t="s">
        <v>20</v>
      </c>
      <c r="L2357" s="1" t="s">
        <v>1033</v>
      </c>
      <c r="M2357" s="5">
        <v>90</v>
      </c>
    </row>
    <row r="2358" spans="1:13" ht="15" x14ac:dyDescent="0.25">
      <c r="A2358" s="7" t="s">
        <v>16</v>
      </c>
      <c r="B2358" s="7" t="s">
        <v>21</v>
      </c>
      <c r="C2358" s="7" t="s">
        <v>18</v>
      </c>
      <c r="D2358" s="4">
        <v>92963560000160</v>
      </c>
      <c r="E2358" s="8" t="s">
        <v>1035</v>
      </c>
      <c r="F2358" s="8" t="s">
        <v>83</v>
      </c>
      <c r="G2358" s="7" t="s">
        <v>67</v>
      </c>
      <c r="H2358" s="47" t="s">
        <v>205</v>
      </c>
      <c r="I2358" s="47" t="s">
        <v>206</v>
      </c>
      <c r="J2358" s="6">
        <v>70</v>
      </c>
      <c r="K2358" s="8" t="s">
        <v>20</v>
      </c>
      <c r="L2358" s="1" t="s">
        <v>1035</v>
      </c>
      <c r="M2358" s="5">
        <v>100</v>
      </c>
    </row>
    <row r="2359" spans="1:13" ht="15" x14ac:dyDescent="0.25">
      <c r="A2359" s="7" t="s">
        <v>16</v>
      </c>
      <c r="B2359" s="7" t="s">
        <v>21</v>
      </c>
      <c r="C2359" s="7" t="s">
        <v>18</v>
      </c>
      <c r="D2359" s="4">
        <v>94831294000147</v>
      </c>
      <c r="E2359" s="8" t="s">
        <v>1036</v>
      </c>
      <c r="F2359" s="8" t="s">
        <v>83</v>
      </c>
      <c r="G2359" s="7" t="s">
        <v>67</v>
      </c>
      <c r="H2359" s="47" t="s">
        <v>205</v>
      </c>
      <c r="I2359" s="47" t="s">
        <v>206</v>
      </c>
      <c r="J2359" s="6">
        <v>70</v>
      </c>
      <c r="K2359" s="8" t="s">
        <v>20</v>
      </c>
      <c r="L2359" s="1" t="s">
        <v>1036</v>
      </c>
      <c r="M2359" s="5">
        <v>30</v>
      </c>
    </row>
    <row r="2360" spans="1:13" ht="15" x14ac:dyDescent="0.25">
      <c r="A2360" s="7" t="s">
        <v>16</v>
      </c>
      <c r="B2360" s="7" t="s">
        <v>21</v>
      </c>
      <c r="C2360" s="7" t="s">
        <v>18</v>
      </c>
      <c r="D2360" s="4">
        <v>95610887000146</v>
      </c>
      <c r="E2360" s="8" t="s">
        <v>1037</v>
      </c>
      <c r="F2360" s="8" t="s">
        <v>87</v>
      </c>
      <c r="G2360" s="7" t="s">
        <v>67</v>
      </c>
      <c r="H2360" s="47" t="s">
        <v>205</v>
      </c>
      <c r="I2360" s="47" t="s">
        <v>206</v>
      </c>
      <c r="J2360" s="6">
        <v>70</v>
      </c>
      <c r="K2360" s="8" t="s">
        <v>20</v>
      </c>
      <c r="L2360" s="1" t="s">
        <v>1037</v>
      </c>
      <c r="M2360" s="5">
        <v>100</v>
      </c>
    </row>
    <row r="2361" spans="1:13" ht="15" x14ac:dyDescent="0.25">
      <c r="A2361" s="7" t="s">
        <v>16</v>
      </c>
      <c r="B2361" s="7" t="s">
        <v>22</v>
      </c>
      <c r="C2361" s="7" t="s">
        <v>18</v>
      </c>
      <c r="D2361" s="4">
        <v>437007000175</v>
      </c>
      <c r="E2361" s="8" t="s">
        <v>1038</v>
      </c>
      <c r="F2361" s="8" t="s">
        <v>1039</v>
      </c>
      <c r="G2361" s="7" t="s">
        <v>61</v>
      </c>
      <c r="H2361" s="47" t="s">
        <v>205</v>
      </c>
      <c r="I2361" s="47" t="s">
        <v>206</v>
      </c>
      <c r="J2361" s="6">
        <v>70</v>
      </c>
      <c r="K2361" s="8" t="s">
        <v>20</v>
      </c>
      <c r="L2361" s="1" t="s">
        <v>1038</v>
      </c>
      <c r="M2361" s="5">
        <v>500</v>
      </c>
    </row>
    <row r="2362" spans="1:13" ht="15" x14ac:dyDescent="0.25">
      <c r="A2362" s="7" t="s">
        <v>16</v>
      </c>
      <c r="B2362" s="7" t="s">
        <v>22</v>
      </c>
      <c r="C2362" s="7" t="s">
        <v>18</v>
      </c>
      <c r="D2362" s="4">
        <v>521197000104</v>
      </c>
      <c r="E2362" s="8" t="s">
        <v>1040</v>
      </c>
      <c r="F2362" s="8" t="s">
        <v>1039</v>
      </c>
      <c r="G2362" s="7" t="s">
        <v>61</v>
      </c>
      <c r="H2362" s="47" t="s">
        <v>205</v>
      </c>
      <c r="I2362" s="47" t="s">
        <v>206</v>
      </c>
      <c r="J2362" s="6">
        <v>70</v>
      </c>
      <c r="K2362" s="8" t="s">
        <v>20</v>
      </c>
      <c r="L2362" s="1" t="s">
        <v>1040</v>
      </c>
      <c r="M2362" s="5">
        <v>297.5</v>
      </c>
    </row>
    <row r="2363" spans="1:13" ht="15" x14ac:dyDescent="0.25">
      <c r="A2363" s="7" t="s">
        <v>16</v>
      </c>
      <c r="B2363" s="7" t="s">
        <v>22</v>
      </c>
      <c r="C2363" s="7" t="s">
        <v>18</v>
      </c>
      <c r="D2363" s="4">
        <v>7039651000134</v>
      </c>
      <c r="E2363" s="8" t="s">
        <v>1153</v>
      </c>
      <c r="F2363" s="8" t="s">
        <v>116</v>
      </c>
      <c r="G2363" s="7" t="s">
        <v>98</v>
      </c>
      <c r="H2363" s="47" t="s">
        <v>205</v>
      </c>
      <c r="I2363" s="47" t="s">
        <v>206</v>
      </c>
      <c r="J2363" s="6">
        <v>70</v>
      </c>
      <c r="K2363" s="8" t="s">
        <v>20</v>
      </c>
      <c r="L2363" s="1" t="s">
        <v>1153</v>
      </c>
      <c r="M2363" s="5">
        <v>25</v>
      </c>
    </row>
    <row r="2364" spans="1:13" ht="15" x14ac:dyDescent="0.25">
      <c r="A2364" s="7" t="s">
        <v>16</v>
      </c>
      <c r="B2364" s="7" t="s">
        <v>22</v>
      </c>
      <c r="C2364" s="7" t="s">
        <v>18</v>
      </c>
      <c r="D2364" s="4">
        <v>10562003000172</v>
      </c>
      <c r="E2364" s="8" t="s">
        <v>1046</v>
      </c>
      <c r="F2364" s="8" t="s">
        <v>105</v>
      </c>
      <c r="G2364" s="7" t="s">
        <v>61</v>
      </c>
      <c r="H2364" s="47" t="s">
        <v>205</v>
      </c>
      <c r="I2364" s="47" t="s">
        <v>206</v>
      </c>
      <c r="J2364" s="6">
        <v>70</v>
      </c>
      <c r="K2364" s="8" t="s">
        <v>20</v>
      </c>
      <c r="L2364" s="1" t="s">
        <v>1046</v>
      </c>
      <c r="M2364" s="5">
        <v>175</v>
      </c>
    </row>
    <row r="2365" spans="1:13" ht="15" x14ac:dyDescent="0.25">
      <c r="A2365" s="7" t="s">
        <v>16</v>
      </c>
      <c r="B2365" s="7" t="s">
        <v>22</v>
      </c>
      <c r="C2365" s="7" t="s">
        <v>18</v>
      </c>
      <c r="D2365" s="4">
        <v>10586940000168</v>
      </c>
      <c r="E2365" s="8" t="s">
        <v>1156</v>
      </c>
      <c r="F2365" s="8" t="s">
        <v>1157</v>
      </c>
      <c r="G2365" s="7" t="s">
        <v>98</v>
      </c>
      <c r="H2365" s="47" t="s">
        <v>205</v>
      </c>
      <c r="I2365" s="47" t="s">
        <v>206</v>
      </c>
      <c r="J2365" s="6">
        <v>70</v>
      </c>
      <c r="K2365" s="8" t="s">
        <v>20</v>
      </c>
      <c r="L2365" s="1" t="s">
        <v>1156</v>
      </c>
      <c r="M2365" s="5">
        <v>1150</v>
      </c>
    </row>
    <row r="2366" spans="1:13" ht="15" x14ac:dyDescent="0.25">
      <c r="A2366" s="7" t="s">
        <v>16</v>
      </c>
      <c r="B2366" s="7" t="s">
        <v>22</v>
      </c>
      <c r="C2366" s="7" t="s">
        <v>18</v>
      </c>
      <c r="D2366" s="4">
        <v>12508728000108</v>
      </c>
      <c r="E2366" s="8" t="s">
        <v>965</v>
      </c>
      <c r="F2366" s="8" t="s">
        <v>87</v>
      </c>
      <c r="G2366" s="7" t="s">
        <v>67</v>
      </c>
      <c r="H2366" s="47" t="s">
        <v>205</v>
      </c>
      <c r="I2366" s="47" t="s">
        <v>206</v>
      </c>
      <c r="J2366" s="6">
        <v>70</v>
      </c>
      <c r="K2366" s="8" t="s">
        <v>20</v>
      </c>
      <c r="L2366" s="1" t="s">
        <v>965</v>
      </c>
      <c r="M2366" s="5">
        <v>20</v>
      </c>
    </row>
    <row r="2367" spans="1:13" ht="15" x14ac:dyDescent="0.25">
      <c r="A2367" s="7" t="s">
        <v>16</v>
      </c>
      <c r="B2367" s="7" t="s">
        <v>22</v>
      </c>
      <c r="C2367" s="7" t="s">
        <v>18</v>
      </c>
      <c r="D2367" s="4">
        <v>27080605000358</v>
      </c>
      <c r="E2367" s="8" t="s">
        <v>1205</v>
      </c>
      <c r="F2367" s="8" t="s">
        <v>1206</v>
      </c>
      <c r="G2367" s="7" t="s">
        <v>98</v>
      </c>
      <c r="H2367" s="47" t="s">
        <v>205</v>
      </c>
      <c r="I2367" s="47" t="s">
        <v>206</v>
      </c>
      <c r="J2367" s="6">
        <v>70</v>
      </c>
      <c r="K2367" s="8" t="s">
        <v>20</v>
      </c>
      <c r="L2367" s="1" t="s">
        <v>1205</v>
      </c>
      <c r="M2367" s="5">
        <v>200</v>
      </c>
    </row>
    <row r="2368" spans="1:13" ht="15" x14ac:dyDescent="0.25">
      <c r="A2368" s="7" t="s">
        <v>16</v>
      </c>
      <c r="B2368" s="7" t="s">
        <v>22</v>
      </c>
      <c r="C2368" s="7" t="s">
        <v>18</v>
      </c>
      <c r="D2368" s="4">
        <v>27578434001525</v>
      </c>
      <c r="E2368" s="8" t="s">
        <v>1208</v>
      </c>
      <c r="F2368" s="8" t="s">
        <v>1157</v>
      </c>
      <c r="G2368" s="7" t="s">
        <v>98</v>
      </c>
      <c r="H2368" s="47" t="s">
        <v>205</v>
      </c>
      <c r="I2368" s="47" t="s">
        <v>206</v>
      </c>
      <c r="J2368" s="6">
        <v>70</v>
      </c>
      <c r="K2368" s="8" t="s">
        <v>20</v>
      </c>
      <c r="L2368" s="1" t="s">
        <v>1208</v>
      </c>
      <c r="M2368" s="5">
        <v>1000</v>
      </c>
    </row>
    <row r="2369" spans="1:13" ht="15" x14ac:dyDescent="0.25">
      <c r="A2369" s="7" t="s">
        <v>16</v>
      </c>
      <c r="B2369" s="7" t="s">
        <v>22</v>
      </c>
      <c r="C2369" s="7" t="s">
        <v>18</v>
      </c>
      <c r="D2369" s="4">
        <v>28523215000378</v>
      </c>
      <c r="E2369" s="8" t="s">
        <v>1049</v>
      </c>
      <c r="F2369" s="8" t="s">
        <v>1039</v>
      </c>
      <c r="G2369" s="7" t="s">
        <v>61</v>
      </c>
      <c r="H2369" s="47" t="s">
        <v>205</v>
      </c>
      <c r="I2369" s="47" t="s">
        <v>206</v>
      </c>
      <c r="J2369" s="6">
        <v>70</v>
      </c>
      <c r="K2369" s="8" t="s">
        <v>20</v>
      </c>
      <c r="L2369" s="1" t="s">
        <v>1049</v>
      </c>
      <c r="M2369" s="5">
        <v>300</v>
      </c>
    </row>
    <row r="2370" spans="1:13" ht="15" x14ac:dyDescent="0.25">
      <c r="A2370" s="7" t="s">
        <v>16</v>
      </c>
      <c r="B2370" s="7" t="s">
        <v>22</v>
      </c>
      <c r="C2370" s="7" t="s">
        <v>18</v>
      </c>
      <c r="D2370" s="4">
        <v>30638381000108</v>
      </c>
      <c r="E2370" s="8" t="s">
        <v>1059</v>
      </c>
      <c r="F2370" s="8" t="s">
        <v>1051</v>
      </c>
      <c r="G2370" s="7" t="s">
        <v>61</v>
      </c>
      <c r="H2370" s="47" t="s">
        <v>205</v>
      </c>
      <c r="I2370" s="47" t="s">
        <v>206</v>
      </c>
      <c r="J2370" s="6">
        <v>70</v>
      </c>
      <c r="K2370" s="8" t="s">
        <v>20</v>
      </c>
      <c r="L2370" s="1" t="s">
        <v>1059</v>
      </c>
      <c r="M2370" s="5">
        <v>125</v>
      </c>
    </row>
    <row r="2371" spans="1:13" ht="15" x14ac:dyDescent="0.25">
      <c r="A2371" s="7" t="s">
        <v>16</v>
      </c>
      <c r="B2371" s="7" t="s">
        <v>22</v>
      </c>
      <c r="C2371" s="7" t="s">
        <v>18</v>
      </c>
      <c r="D2371" s="4">
        <v>39387477000107</v>
      </c>
      <c r="E2371" s="8" t="s">
        <v>1218</v>
      </c>
      <c r="F2371" s="8" t="s">
        <v>1157</v>
      </c>
      <c r="G2371" s="7" t="s">
        <v>98</v>
      </c>
      <c r="H2371" s="47" t="s">
        <v>205</v>
      </c>
      <c r="I2371" s="47" t="s">
        <v>206</v>
      </c>
      <c r="J2371" s="6">
        <v>70</v>
      </c>
      <c r="K2371" s="8" t="s">
        <v>20</v>
      </c>
      <c r="L2371" s="1" t="s">
        <v>1218</v>
      </c>
      <c r="M2371" s="5">
        <v>350</v>
      </c>
    </row>
    <row r="2372" spans="1:13" ht="15" x14ac:dyDescent="0.25">
      <c r="A2372" s="7" t="s">
        <v>16</v>
      </c>
      <c r="B2372" s="7" t="s">
        <v>22</v>
      </c>
      <c r="C2372" s="7" t="s">
        <v>18</v>
      </c>
      <c r="D2372" s="4">
        <v>60884855001207</v>
      </c>
      <c r="E2372" s="8" t="s">
        <v>1065</v>
      </c>
      <c r="F2372" s="8" t="s">
        <v>1039</v>
      </c>
      <c r="G2372" s="7" t="s">
        <v>61</v>
      </c>
      <c r="H2372" s="47" t="s">
        <v>205</v>
      </c>
      <c r="I2372" s="47" t="s">
        <v>206</v>
      </c>
      <c r="J2372" s="6">
        <v>70</v>
      </c>
      <c r="K2372" s="8" t="s">
        <v>20</v>
      </c>
      <c r="L2372" s="1" t="s">
        <v>1065</v>
      </c>
      <c r="M2372" s="5">
        <v>790</v>
      </c>
    </row>
    <row r="2373" spans="1:13" ht="15" x14ac:dyDescent="0.25">
      <c r="A2373" s="7" t="s">
        <v>16</v>
      </c>
      <c r="B2373" s="7" t="s">
        <v>22</v>
      </c>
      <c r="C2373" s="7" t="s">
        <v>18</v>
      </c>
      <c r="D2373" s="4">
        <v>68709211000212</v>
      </c>
      <c r="E2373" s="8" t="s">
        <v>1066</v>
      </c>
      <c r="F2373" s="8" t="s">
        <v>92</v>
      </c>
      <c r="G2373" s="7" t="s">
        <v>61</v>
      </c>
      <c r="H2373" s="47" t="s">
        <v>205</v>
      </c>
      <c r="I2373" s="47" t="s">
        <v>206</v>
      </c>
      <c r="J2373" s="6">
        <v>70</v>
      </c>
      <c r="K2373" s="8" t="s">
        <v>20</v>
      </c>
      <c r="L2373" s="1" t="s">
        <v>1066</v>
      </c>
      <c r="M2373" s="5">
        <v>200</v>
      </c>
    </row>
    <row r="2374" spans="1:13" ht="15" x14ac:dyDescent="0.25">
      <c r="A2374" s="7" t="s">
        <v>16</v>
      </c>
      <c r="B2374" s="7" t="s">
        <v>22</v>
      </c>
      <c r="C2374" s="7" t="s">
        <v>18</v>
      </c>
      <c r="D2374" s="4">
        <v>87317764001084</v>
      </c>
      <c r="E2374" s="8" t="s">
        <v>1015</v>
      </c>
      <c r="F2374" s="8" t="s">
        <v>83</v>
      </c>
      <c r="G2374" s="7" t="s">
        <v>67</v>
      </c>
      <c r="H2374" s="47" t="s">
        <v>205</v>
      </c>
      <c r="I2374" s="47" t="s">
        <v>206</v>
      </c>
      <c r="J2374" s="6">
        <v>70</v>
      </c>
      <c r="K2374" s="8" t="s">
        <v>20</v>
      </c>
      <c r="L2374" s="1" t="s">
        <v>1015</v>
      </c>
      <c r="M2374" s="5">
        <v>200</v>
      </c>
    </row>
    <row r="2375" spans="1:13" ht="15" x14ac:dyDescent="0.25">
      <c r="A2375" s="7" t="s">
        <v>16</v>
      </c>
      <c r="B2375" s="7" t="s">
        <v>22</v>
      </c>
      <c r="C2375" s="7" t="s">
        <v>18</v>
      </c>
      <c r="D2375" s="4">
        <v>87827689002405</v>
      </c>
      <c r="E2375" s="8" t="s">
        <v>1021</v>
      </c>
      <c r="F2375" s="8" t="s">
        <v>66</v>
      </c>
      <c r="G2375" s="7" t="s">
        <v>67</v>
      </c>
      <c r="H2375" s="47" t="s">
        <v>205</v>
      </c>
      <c r="I2375" s="47" t="s">
        <v>206</v>
      </c>
      <c r="J2375" s="6">
        <v>70</v>
      </c>
      <c r="K2375" s="8" t="s">
        <v>20</v>
      </c>
      <c r="L2375" s="1" t="s">
        <v>1021</v>
      </c>
      <c r="M2375" s="5">
        <v>90</v>
      </c>
    </row>
    <row r="2376" spans="1:13" ht="15" x14ac:dyDescent="0.25">
      <c r="A2376" s="7" t="s">
        <v>16</v>
      </c>
      <c r="B2376" s="7" t="s">
        <v>22</v>
      </c>
      <c r="C2376" s="7" t="s">
        <v>18</v>
      </c>
      <c r="D2376" s="4">
        <v>92815000000168</v>
      </c>
      <c r="E2376" s="8" t="s">
        <v>1033</v>
      </c>
      <c r="F2376" s="8" t="s">
        <v>83</v>
      </c>
      <c r="G2376" s="7" t="s">
        <v>67</v>
      </c>
      <c r="H2376" s="47" t="s">
        <v>205</v>
      </c>
      <c r="I2376" s="47" t="s">
        <v>206</v>
      </c>
      <c r="J2376" s="6">
        <v>70</v>
      </c>
      <c r="K2376" s="8" t="s">
        <v>20</v>
      </c>
      <c r="L2376" s="1" t="s">
        <v>1033</v>
      </c>
      <c r="M2376" s="5">
        <v>90</v>
      </c>
    </row>
    <row r="2377" spans="1:13" ht="15" x14ac:dyDescent="0.25">
      <c r="A2377" s="7" t="s">
        <v>16</v>
      </c>
      <c r="B2377" s="7" t="s">
        <v>22</v>
      </c>
      <c r="C2377" s="7" t="s">
        <v>18</v>
      </c>
      <c r="D2377" s="4">
        <v>94831294000147</v>
      </c>
      <c r="E2377" s="8" t="s">
        <v>1036</v>
      </c>
      <c r="F2377" s="8" t="s">
        <v>83</v>
      </c>
      <c r="G2377" s="7" t="s">
        <v>67</v>
      </c>
      <c r="H2377" s="47" t="s">
        <v>205</v>
      </c>
      <c r="I2377" s="47" t="s">
        <v>206</v>
      </c>
      <c r="J2377" s="6">
        <v>70</v>
      </c>
      <c r="K2377" s="8" t="s">
        <v>20</v>
      </c>
      <c r="L2377" s="1" t="s">
        <v>1036</v>
      </c>
      <c r="M2377" s="5">
        <v>30</v>
      </c>
    </row>
    <row r="2378" spans="1:13" ht="15" x14ac:dyDescent="0.25">
      <c r="A2378" s="7" t="s">
        <v>16</v>
      </c>
      <c r="B2378" s="7" t="s">
        <v>22</v>
      </c>
      <c r="C2378" s="7" t="s">
        <v>18</v>
      </c>
      <c r="D2378" s="4">
        <v>95610887000146</v>
      </c>
      <c r="E2378" s="8" t="s">
        <v>1037</v>
      </c>
      <c r="F2378" s="8" t="s">
        <v>87</v>
      </c>
      <c r="G2378" s="7" t="s">
        <v>67</v>
      </c>
      <c r="H2378" s="47" t="s">
        <v>205</v>
      </c>
      <c r="I2378" s="47" t="s">
        <v>206</v>
      </c>
      <c r="J2378" s="6">
        <v>70</v>
      </c>
      <c r="K2378" s="8" t="s">
        <v>20</v>
      </c>
      <c r="L2378" s="1" t="s">
        <v>1037</v>
      </c>
      <c r="M2378" s="5">
        <v>450</v>
      </c>
    </row>
    <row r="2379" spans="1:13" ht="15" x14ac:dyDescent="0.25">
      <c r="A2379" s="7" t="s">
        <v>16</v>
      </c>
      <c r="B2379" s="7" t="s">
        <v>23</v>
      </c>
      <c r="C2379" s="7" t="s">
        <v>24</v>
      </c>
      <c r="D2379" s="4">
        <v>437007000175</v>
      </c>
      <c r="E2379" s="8" t="s">
        <v>1038</v>
      </c>
      <c r="F2379" s="8" t="s">
        <v>1039</v>
      </c>
      <c r="G2379" s="7" t="s">
        <v>61</v>
      </c>
      <c r="H2379" s="47" t="s">
        <v>205</v>
      </c>
      <c r="I2379" s="47" t="s">
        <v>206</v>
      </c>
      <c r="J2379" s="6">
        <v>70</v>
      </c>
      <c r="K2379" s="8" t="s">
        <v>20</v>
      </c>
      <c r="L2379" s="1" t="s">
        <v>1038</v>
      </c>
      <c r="M2379" s="5">
        <v>660</v>
      </c>
    </row>
    <row r="2380" spans="1:13" ht="15" x14ac:dyDescent="0.25">
      <c r="A2380" s="7" t="s">
        <v>16</v>
      </c>
      <c r="B2380" s="7" t="s">
        <v>23</v>
      </c>
      <c r="C2380" s="7" t="s">
        <v>24</v>
      </c>
      <c r="D2380" s="4">
        <v>521197000104</v>
      </c>
      <c r="E2380" s="8" t="s">
        <v>1040</v>
      </c>
      <c r="F2380" s="8" t="s">
        <v>1039</v>
      </c>
      <c r="G2380" s="7" t="s">
        <v>61</v>
      </c>
      <c r="H2380" s="47" t="s">
        <v>205</v>
      </c>
      <c r="I2380" s="47" t="s">
        <v>206</v>
      </c>
      <c r="J2380" s="6">
        <v>70</v>
      </c>
      <c r="K2380" s="8" t="s">
        <v>20</v>
      </c>
      <c r="L2380" s="1" t="s">
        <v>1040</v>
      </c>
      <c r="M2380" s="5">
        <v>330</v>
      </c>
    </row>
    <row r="2381" spans="1:13" ht="15" x14ac:dyDescent="0.25">
      <c r="A2381" s="7" t="s">
        <v>16</v>
      </c>
      <c r="B2381" s="7" t="s">
        <v>23</v>
      </c>
      <c r="C2381" s="7" t="s">
        <v>24</v>
      </c>
      <c r="D2381" s="4">
        <v>7039651000134</v>
      </c>
      <c r="E2381" s="8" t="s">
        <v>1153</v>
      </c>
      <c r="F2381" s="8" t="s">
        <v>116</v>
      </c>
      <c r="G2381" s="7" t="s">
        <v>98</v>
      </c>
      <c r="H2381" s="47" t="s">
        <v>205</v>
      </c>
      <c r="I2381" s="47" t="s">
        <v>206</v>
      </c>
      <c r="J2381" s="6">
        <v>70</v>
      </c>
      <c r="K2381" s="8" t="s">
        <v>20</v>
      </c>
      <c r="L2381" s="1" t="s">
        <v>1153</v>
      </c>
      <c r="M2381" s="5">
        <v>25</v>
      </c>
    </row>
    <row r="2382" spans="1:13" ht="15" x14ac:dyDescent="0.25">
      <c r="A2382" s="7" t="s">
        <v>16</v>
      </c>
      <c r="B2382" s="7" t="s">
        <v>23</v>
      </c>
      <c r="C2382" s="7" t="s">
        <v>24</v>
      </c>
      <c r="D2382" s="4">
        <v>12508728000108</v>
      </c>
      <c r="E2382" s="8" t="s">
        <v>965</v>
      </c>
      <c r="F2382" s="8" t="s">
        <v>87</v>
      </c>
      <c r="G2382" s="7" t="s">
        <v>67</v>
      </c>
      <c r="H2382" s="47" t="s">
        <v>205</v>
      </c>
      <c r="I2382" s="47" t="s">
        <v>206</v>
      </c>
      <c r="J2382" s="6">
        <v>70</v>
      </c>
      <c r="K2382" s="8" t="s">
        <v>20</v>
      </c>
      <c r="L2382" s="1" t="s">
        <v>965</v>
      </c>
      <c r="M2382" s="5">
        <v>60</v>
      </c>
    </row>
    <row r="2383" spans="1:13" ht="15" x14ac:dyDescent="0.25">
      <c r="A2383" s="7" t="s">
        <v>16</v>
      </c>
      <c r="B2383" s="7" t="s">
        <v>23</v>
      </c>
      <c r="C2383" s="7" t="s">
        <v>24</v>
      </c>
      <c r="D2383" s="4">
        <v>27578434001525</v>
      </c>
      <c r="E2383" s="8" t="s">
        <v>1208</v>
      </c>
      <c r="F2383" s="8" t="s">
        <v>1157</v>
      </c>
      <c r="G2383" s="7" t="s">
        <v>98</v>
      </c>
      <c r="H2383" s="47" t="s">
        <v>205</v>
      </c>
      <c r="I2383" s="47" t="s">
        <v>206</v>
      </c>
      <c r="J2383" s="6">
        <v>70</v>
      </c>
      <c r="K2383" s="8" t="s">
        <v>20</v>
      </c>
      <c r="L2383" s="1" t="s">
        <v>1208</v>
      </c>
      <c r="M2383" s="5">
        <v>1000</v>
      </c>
    </row>
    <row r="2384" spans="1:13" ht="15" x14ac:dyDescent="0.25">
      <c r="A2384" s="7" t="s">
        <v>16</v>
      </c>
      <c r="B2384" s="7" t="s">
        <v>23</v>
      </c>
      <c r="C2384" s="7" t="s">
        <v>24</v>
      </c>
      <c r="D2384" s="4">
        <v>28137925000106</v>
      </c>
      <c r="E2384" s="8" t="s">
        <v>1210</v>
      </c>
      <c r="F2384" s="8" t="s">
        <v>1157</v>
      </c>
      <c r="G2384" s="7" t="s">
        <v>98</v>
      </c>
      <c r="H2384" s="47" t="s">
        <v>205</v>
      </c>
      <c r="I2384" s="47" t="s">
        <v>206</v>
      </c>
      <c r="J2384" s="6">
        <v>70</v>
      </c>
      <c r="K2384" s="8" t="s">
        <v>20</v>
      </c>
      <c r="L2384" s="1" t="s">
        <v>1210</v>
      </c>
      <c r="M2384" s="5">
        <v>550</v>
      </c>
    </row>
    <row r="2385" spans="1:13" ht="15" x14ac:dyDescent="0.25">
      <c r="A2385" s="7" t="s">
        <v>16</v>
      </c>
      <c r="B2385" s="7" t="s">
        <v>23</v>
      </c>
      <c r="C2385" s="7" t="s">
        <v>24</v>
      </c>
      <c r="D2385" s="4">
        <v>29135795000208</v>
      </c>
      <c r="E2385" s="8" t="s">
        <v>1053</v>
      </c>
      <c r="F2385" s="8" t="s">
        <v>120</v>
      </c>
      <c r="G2385" s="7" t="s">
        <v>61</v>
      </c>
      <c r="H2385" s="47" t="s">
        <v>205</v>
      </c>
      <c r="I2385" s="47" t="s">
        <v>206</v>
      </c>
      <c r="J2385" s="6">
        <v>70</v>
      </c>
      <c r="K2385" s="8" t="s">
        <v>20</v>
      </c>
      <c r="L2385" s="1" t="s">
        <v>1053</v>
      </c>
      <c r="M2385" s="5">
        <v>175</v>
      </c>
    </row>
    <row r="2386" spans="1:13" ht="15" x14ac:dyDescent="0.25">
      <c r="A2386" s="7" t="s">
        <v>16</v>
      </c>
      <c r="B2386" s="7" t="s">
        <v>23</v>
      </c>
      <c r="C2386" s="7" t="s">
        <v>24</v>
      </c>
      <c r="D2386" s="4">
        <v>29323454000185</v>
      </c>
      <c r="E2386" s="8" t="s">
        <v>1211</v>
      </c>
      <c r="F2386" s="8" t="s">
        <v>543</v>
      </c>
      <c r="G2386" s="7" t="s">
        <v>98</v>
      </c>
      <c r="H2386" s="47" t="s">
        <v>205</v>
      </c>
      <c r="I2386" s="47" t="s">
        <v>206</v>
      </c>
      <c r="J2386" s="6">
        <v>70</v>
      </c>
      <c r="K2386" s="8" t="s">
        <v>20</v>
      </c>
      <c r="L2386" s="1" t="s">
        <v>1211</v>
      </c>
      <c r="M2386" s="5">
        <v>150</v>
      </c>
    </row>
    <row r="2387" spans="1:13" ht="15" x14ac:dyDescent="0.25">
      <c r="A2387" s="7" t="s">
        <v>16</v>
      </c>
      <c r="B2387" s="7" t="s">
        <v>23</v>
      </c>
      <c r="C2387" s="7" t="s">
        <v>24</v>
      </c>
      <c r="D2387" s="4">
        <v>30537740000122</v>
      </c>
      <c r="E2387" s="8" t="s">
        <v>1058</v>
      </c>
      <c r="F2387" s="8" t="s">
        <v>120</v>
      </c>
      <c r="G2387" s="7" t="s">
        <v>61</v>
      </c>
      <c r="H2387" s="47" t="s">
        <v>205</v>
      </c>
      <c r="I2387" s="47" t="s">
        <v>206</v>
      </c>
      <c r="J2387" s="6">
        <v>70</v>
      </c>
      <c r="K2387" s="8" t="s">
        <v>20</v>
      </c>
      <c r="L2387" s="1" t="s">
        <v>1058</v>
      </c>
      <c r="M2387" s="5">
        <v>60</v>
      </c>
    </row>
    <row r="2388" spans="1:13" ht="15" x14ac:dyDescent="0.25">
      <c r="A2388" s="7" t="s">
        <v>16</v>
      </c>
      <c r="B2388" s="7" t="s">
        <v>23</v>
      </c>
      <c r="C2388" s="7" t="s">
        <v>24</v>
      </c>
      <c r="D2388" s="4">
        <v>39387477000107</v>
      </c>
      <c r="E2388" s="8" t="s">
        <v>1218</v>
      </c>
      <c r="F2388" s="8" t="s">
        <v>1157</v>
      </c>
      <c r="G2388" s="7" t="s">
        <v>98</v>
      </c>
      <c r="H2388" s="47" t="s">
        <v>205</v>
      </c>
      <c r="I2388" s="47" t="s">
        <v>206</v>
      </c>
      <c r="J2388" s="6">
        <v>70</v>
      </c>
      <c r="K2388" s="8" t="s">
        <v>20</v>
      </c>
      <c r="L2388" s="1" t="s">
        <v>1218</v>
      </c>
      <c r="M2388" s="5">
        <v>325</v>
      </c>
    </row>
    <row r="2389" spans="1:13" ht="15" x14ac:dyDescent="0.25">
      <c r="A2389" s="7" t="s">
        <v>16</v>
      </c>
      <c r="B2389" s="7" t="s">
        <v>23</v>
      </c>
      <c r="C2389" s="7" t="s">
        <v>24</v>
      </c>
      <c r="D2389" s="4">
        <v>60884855001207</v>
      </c>
      <c r="E2389" s="8" t="s">
        <v>1065</v>
      </c>
      <c r="F2389" s="8" t="s">
        <v>1039</v>
      </c>
      <c r="G2389" s="7" t="s">
        <v>61</v>
      </c>
      <c r="H2389" s="47" t="s">
        <v>205</v>
      </c>
      <c r="I2389" s="47" t="s">
        <v>206</v>
      </c>
      <c r="J2389" s="6">
        <v>70</v>
      </c>
      <c r="K2389" s="8" t="s">
        <v>20</v>
      </c>
      <c r="L2389" s="1" t="s">
        <v>1065</v>
      </c>
      <c r="M2389" s="5">
        <v>765</v>
      </c>
    </row>
    <row r="2390" spans="1:13" ht="15" x14ac:dyDescent="0.25">
      <c r="A2390" s="7" t="s">
        <v>16</v>
      </c>
      <c r="B2390" s="7" t="s">
        <v>23</v>
      </c>
      <c r="C2390" s="7" t="s">
        <v>24</v>
      </c>
      <c r="D2390" s="4">
        <v>87317764001084</v>
      </c>
      <c r="E2390" s="8" t="s">
        <v>1015</v>
      </c>
      <c r="F2390" s="8" t="s">
        <v>83</v>
      </c>
      <c r="G2390" s="7" t="s">
        <v>67</v>
      </c>
      <c r="H2390" s="47" t="s">
        <v>205</v>
      </c>
      <c r="I2390" s="47" t="s">
        <v>206</v>
      </c>
      <c r="J2390" s="6">
        <v>70</v>
      </c>
      <c r="K2390" s="8" t="s">
        <v>20</v>
      </c>
      <c r="L2390" s="1" t="s">
        <v>1015</v>
      </c>
      <c r="M2390" s="5">
        <v>560</v>
      </c>
    </row>
    <row r="2391" spans="1:13" ht="15" x14ac:dyDescent="0.25">
      <c r="A2391" s="7" t="s">
        <v>16</v>
      </c>
      <c r="B2391" s="7" t="s">
        <v>23</v>
      </c>
      <c r="C2391" s="7" t="s">
        <v>24</v>
      </c>
      <c r="D2391" s="4">
        <v>87607149000626</v>
      </c>
      <c r="E2391" s="8" t="s">
        <v>1019</v>
      </c>
      <c r="F2391" s="8" t="s">
        <v>96</v>
      </c>
      <c r="G2391" s="7" t="s">
        <v>67</v>
      </c>
      <c r="H2391" s="47" t="s">
        <v>205</v>
      </c>
      <c r="I2391" s="47" t="s">
        <v>206</v>
      </c>
      <c r="J2391" s="6">
        <v>70</v>
      </c>
      <c r="K2391" s="8" t="s">
        <v>20</v>
      </c>
      <c r="L2391" s="1" t="s">
        <v>1019</v>
      </c>
      <c r="M2391" s="5">
        <v>160</v>
      </c>
    </row>
    <row r="2392" spans="1:13" ht="15" x14ac:dyDescent="0.25">
      <c r="A2392" s="7" t="s">
        <v>16</v>
      </c>
      <c r="B2392" s="7" t="s">
        <v>23</v>
      </c>
      <c r="C2392" s="7" t="s">
        <v>24</v>
      </c>
      <c r="D2392" s="4">
        <v>87638334000505</v>
      </c>
      <c r="E2392" s="8" t="s">
        <v>1020</v>
      </c>
      <c r="F2392" s="8" t="s">
        <v>129</v>
      </c>
      <c r="G2392" s="7" t="s">
        <v>67</v>
      </c>
      <c r="H2392" s="47" t="s">
        <v>205</v>
      </c>
      <c r="I2392" s="47" t="s">
        <v>206</v>
      </c>
      <c r="J2392" s="6">
        <v>70</v>
      </c>
      <c r="K2392" s="8" t="s">
        <v>20</v>
      </c>
      <c r="L2392" s="1" t="s">
        <v>1020</v>
      </c>
      <c r="M2392" s="5">
        <v>10</v>
      </c>
    </row>
    <row r="2393" spans="1:13" ht="15" x14ac:dyDescent="0.25">
      <c r="A2393" s="7" t="s">
        <v>16</v>
      </c>
      <c r="B2393" s="7" t="s">
        <v>23</v>
      </c>
      <c r="C2393" s="7" t="s">
        <v>24</v>
      </c>
      <c r="D2393" s="4">
        <v>87827689002405</v>
      </c>
      <c r="E2393" s="8" t="s">
        <v>1021</v>
      </c>
      <c r="F2393" s="8" t="s">
        <v>66</v>
      </c>
      <c r="G2393" s="7" t="s">
        <v>67</v>
      </c>
      <c r="H2393" s="47" t="s">
        <v>205</v>
      </c>
      <c r="I2393" s="47" t="s">
        <v>206</v>
      </c>
      <c r="J2393" s="6">
        <v>70</v>
      </c>
      <c r="K2393" s="8" t="s">
        <v>20</v>
      </c>
      <c r="L2393" s="1" t="s">
        <v>1021</v>
      </c>
      <c r="M2393" s="5">
        <v>90</v>
      </c>
    </row>
    <row r="2394" spans="1:13" ht="15" x14ac:dyDescent="0.25">
      <c r="A2394" s="7" t="s">
        <v>16</v>
      </c>
      <c r="B2394" s="7" t="s">
        <v>23</v>
      </c>
      <c r="C2394" s="7" t="s">
        <v>24</v>
      </c>
      <c r="D2394" s="4">
        <v>94831294000147</v>
      </c>
      <c r="E2394" s="8" t="s">
        <v>1036</v>
      </c>
      <c r="F2394" s="8" t="s">
        <v>83</v>
      </c>
      <c r="G2394" s="7" t="s">
        <v>67</v>
      </c>
      <c r="H2394" s="47" t="s">
        <v>205</v>
      </c>
      <c r="I2394" s="47" t="s">
        <v>206</v>
      </c>
      <c r="J2394" s="6">
        <v>70</v>
      </c>
      <c r="K2394" s="8" t="s">
        <v>20</v>
      </c>
      <c r="L2394" s="1" t="s">
        <v>1036</v>
      </c>
      <c r="M2394" s="5">
        <v>30</v>
      </c>
    </row>
    <row r="2395" spans="1:13" ht="15" x14ac:dyDescent="0.25">
      <c r="A2395" s="7" t="s">
        <v>16</v>
      </c>
      <c r="B2395" s="7" t="s">
        <v>23</v>
      </c>
      <c r="C2395" s="7" t="s">
        <v>24</v>
      </c>
      <c r="D2395" s="4">
        <v>95610887000146</v>
      </c>
      <c r="E2395" s="8" t="s">
        <v>1037</v>
      </c>
      <c r="F2395" s="8" t="s">
        <v>87</v>
      </c>
      <c r="G2395" s="7" t="s">
        <v>67</v>
      </c>
      <c r="H2395" s="47" t="s">
        <v>205</v>
      </c>
      <c r="I2395" s="47" t="s">
        <v>206</v>
      </c>
      <c r="J2395" s="6">
        <v>70</v>
      </c>
      <c r="K2395" s="8" t="s">
        <v>20</v>
      </c>
      <c r="L2395" s="1" t="s">
        <v>1037</v>
      </c>
      <c r="M2395" s="5">
        <v>300</v>
      </c>
    </row>
    <row r="2396" spans="1:13" ht="15" x14ac:dyDescent="0.25">
      <c r="A2396" s="7" t="s">
        <v>16</v>
      </c>
      <c r="B2396" s="7" t="s">
        <v>229</v>
      </c>
      <c r="C2396" s="7" t="s">
        <v>24</v>
      </c>
      <c r="D2396" s="4">
        <v>437007000175</v>
      </c>
      <c r="E2396" s="8" t="s">
        <v>1038</v>
      </c>
      <c r="F2396" s="8" t="s">
        <v>1039</v>
      </c>
      <c r="G2396" s="7" t="s">
        <v>61</v>
      </c>
      <c r="H2396" s="47" t="s">
        <v>205</v>
      </c>
      <c r="I2396" s="47" t="s">
        <v>206</v>
      </c>
      <c r="J2396" s="6">
        <v>70</v>
      </c>
      <c r="K2396" s="8" t="s">
        <v>20</v>
      </c>
      <c r="L2396" s="1" t="s">
        <v>1038</v>
      </c>
      <c r="M2396" s="5">
        <v>35</v>
      </c>
    </row>
    <row r="2397" spans="1:13" ht="15" x14ac:dyDescent="0.25">
      <c r="A2397" s="7" t="s">
        <v>16</v>
      </c>
      <c r="B2397" s="7" t="s">
        <v>229</v>
      </c>
      <c r="C2397" s="7" t="s">
        <v>24</v>
      </c>
      <c r="D2397" s="4">
        <v>521197000104</v>
      </c>
      <c r="E2397" s="8" t="s">
        <v>1040</v>
      </c>
      <c r="F2397" s="8" t="s">
        <v>1039</v>
      </c>
      <c r="G2397" s="7" t="s">
        <v>61</v>
      </c>
      <c r="H2397" s="47" t="s">
        <v>205</v>
      </c>
      <c r="I2397" s="47" t="s">
        <v>206</v>
      </c>
      <c r="J2397" s="6">
        <v>70</v>
      </c>
      <c r="K2397" s="8" t="s">
        <v>20</v>
      </c>
      <c r="L2397" s="1" t="s">
        <v>1040</v>
      </c>
      <c r="M2397" s="5">
        <v>310</v>
      </c>
    </row>
    <row r="2398" spans="1:13" ht="15" x14ac:dyDescent="0.25">
      <c r="A2398" s="7" t="s">
        <v>16</v>
      </c>
      <c r="B2398" s="7" t="s">
        <v>229</v>
      </c>
      <c r="C2398" s="7" t="s">
        <v>24</v>
      </c>
      <c r="D2398" s="4">
        <v>1396804000114</v>
      </c>
      <c r="E2398" s="8" t="s">
        <v>1140</v>
      </c>
      <c r="F2398" s="8" t="s">
        <v>97</v>
      </c>
      <c r="G2398" s="7" t="s">
        <v>98</v>
      </c>
      <c r="H2398" s="47" t="s">
        <v>205</v>
      </c>
      <c r="I2398" s="47" t="s">
        <v>206</v>
      </c>
      <c r="J2398" s="6">
        <v>70</v>
      </c>
      <c r="K2398" s="8" t="s">
        <v>20</v>
      </c>
      <c r="L2398" s="1" t="s">
        <v>1140</v>
      </c>
      <c r="M2398" s="5">
        <v>25</v>
      </c>
    </row>
    <row r="2399" spans="1:13" ht="15" x14ac:dyDescent="0.25">
      <c r="A2399" s="7" t="s">
        <v>16</v>
      </c>
      <c r="B2399" s="7" t="s">
        <v>229</v>
      </c>
      <c r="C2399" s="7" t="s">
        <v>24</v>
      </c>
      <c r="D2399" s="4">
        <v>7039651000134</v>
      </c>
      <c r="E2399" s="8" t="s">
        <v>1153</v>
      </c>
      <c r="F2399" s="8" t="s">
        <v>116</v>
      </c>
      <c r="G2399" s="7" t="s">
        <v>98</v>
      </c>
      <c r="H2399" s="47" t="s">
        <v>205</v>
      </c>
      <c r="I2399" s="47" t="s">
        <v>206</v>
      </c>
      <c r="J2399" s="6">
        <v>70</v>
      </c>
      <c r="K2399" s="8" t="s">
        <v>20</v>
      </c>
      <c r="L2399" s="1" t="s">
        <v>1153</v>
      </c>
      <c r="M2399" s="5">
        <v>25</v>
      </c>
    </row>
    <row r="2400" spans="1:13" ht="15" x14ac:dyDescent="0.25">
      <c r="A2400" s="7" t="s">
        <v>16</v>
      </c>
      <c r="B2400" s="7" t="s">
        <v>229</v>
      </c>
      <c r="C2400" s="7" t="s">
        <v>24</v>
      </c>
      <c r="D2400" s="4">
        <v>9605231000284</v>
      </c>
      <c r="E2400" s="8" t="s">
        <v>962</v>
      </c>
      <c r="F2400" s="8" t="s">
        <v>87</v>
      </c>
      <c r="G2400" s="7" t="s">
        <v>67</v>
      </c>
      <c r="H2400" s="47" t="s">
        <v>205</v>
      </c>
      <c r="I2400" s="47" t="s">
        <v>206</v>
      </c>
      <c r="J2400" s="6">
        <v>70</v>
      </c>
      <c r="K2400" s="8" t="s">
        <v>20</v>
      </c>
      <c r="L2400" s="1" t="s">
        <v>962</v>
      </c>
      <c r="M2400" s="5">
        <v>100</v>
      </c>
    </row>
    <row r="2401" spans="1:13" ht="15" x14ac:dyDescent="0.25">
      <c r="A2401" s="7" t="s">
        <v>16</v>
      </c>
      <c r="B2401" s="7" t="s">
        <v>229</v>
      </c>
      <c r="C2401" s="7" t="s">
        <v>24</v>
      </c>
      <c r="D2401" s="4">
        <v>12508728000108</v>
      </c>
      <c r="E2401" s="8" t="s">
        <v>965</v>
      </c>
      <c r="F2401" s="8" t="s">
        <v>87</v>
      </c>
      <c r="G2401" s="7" t="s">
        <v>67</v>
      </c>
      <c r="H2401" s="47" t="s">
        <v>205</v>
      </c>
      <c r="I2401" s="47" t="s">
        <v>206</v>
      </c>
      <c r="J2401" s="6">
        <v>70</v>
      </c>
      <c r="K2401" s="8" t="s">
        <v>20</v>
      </c>
      <c r="L2401" s="1" t="s">
        <v>965</v>
      </c>
      <c r="M2401" s="5">
        <v>20</v>
      </c>
    </row>
    <row r="2402" spans="1:13" ht="15" x14ac:dyDescent="0.25">
      <c r="A2402" s="7" t="s">
        <v>16</v>
      </c>
      <c r="B2402" s="7" t="s">
        <v>229</v>
      </c>
      <c r="C2402" s="7" t="s">
        <v>24</v>
      </c>
      <c r="D2402" s="4">
        <v>15126437003673</v>
      </c>
      <c r="E2402" s="8" t="s">
        <v>1166</v>
      </c>
      <c r="F2402" s="8" t="s">
        <v>60</v>
      </c>
      <c r="G2402" s="7" t="s">
        <v>61</v>
      </c>
      <c r="H2402" s="47" t="s">
        <v>205</v>
      </c>
      <c r="I2402" s="47" t="s">
        <v>206</v>
      </c>
      <c r="J2402" s="6">
        <v>70</v>
      </c>
      <c r="K2402" s="8" t="s">
        <v>20</v>
      </c>
      <c r="L2402" s="1" t="s">
        <v>1166</v>
      </c>
      <c r="M2402" s="5">
        <v>100</v>
      </c>
    </row>
    <row r="2403" spans="1:13" ht="15" x14ac:dyDescent="0.25">
      <c r="A2403" s="7" t="s">
        <v>16</v>
      </c>
      <c r="B2403" s="7" t="s">
        <v>229</v>
      </c>
      <c r="C2403" s="7" t="s">
        <v>24</v>
      </c>
      <c r="D2403" s="4">
        <v>27578434001525</v>
      </c>
      <c r="E2403" s="8" t="s">
        <v>1208</v>
      </c>
      <c r="F2403" s="8" t="s">
        <v>1157</v>
      </c>
      <c r="G2403" s="7" t="s">
        <v>98</v>
      </c>
      <c r="H2403" s="47" t="s">
        <v>205</v>
      </c>
      <c r="I2403" s="47" t="s">
        <v>206</v>
      </c>
      <c r="J2403" s="6">
        <v>70</v>
      </c>
      <c r="K2403" s="8" t="s">
        <v>20</v>
      </c>
      <c r="L2403" s="1" t="s">
        <v>1208</v>
      </c>
      <c r="M2403" s="5">
        <v>1500</v>
      </c>
    </row>
    <row r="2404" spans="1:13" ht="15" x14ac:dyDescent="0.25">
      <c r="A2404" s="7" t="s">
        <v>16</v>
      </c>
      <c r="B2404" s="7" t="s">
        <v>229</v>
      </c>
      <c r="C2404" s="7" t="s">
        <v>24</v>
      </c>
      <c r="D2404" s="4">
        <v>28137925000106</v>
      </c>
      <c r="E2404" s="8" t="s">
        <v>1210</v>
      </c>
      <c r="F2404" s="8" t="s">
        <v>1157</v>
      </c>
      <c r="G2404" s="7" t="s">
        <v>98</v>
      </c>
      <c r="H2404" s="47" t="s">
        <v>205</v>
      </c>
      <c r="I2404" s="47" t="s">
        <v>206</v>
      </c>
      <c r="J2404" s="6">
        <v>70</v>
      </c>
      <c r="K2404" s="8" t="s">
        <v>20</v>
      </c>
      <c r="L2404" s="1" t="s">
        <v>1210</v>
      </c>
      <c r="M2404" s="5">
        <v>150</v>
      </c>
    </row>
    <row r="2405" spans="1:13" ht="15" x14ac:dyDescent="0.25">
      <c r="A2405" s="7" t="s">
        <v>16</v>
      </c>
      <c r="B2405" s="7" t="s">
        <v>229</v>
      </c>
      <c r="C2405" s="7" t="s">
        <v>24</v>
      </c>
      <c r="D2405" s="4">
        <v>29135795000208</v>
      </c>
      <c r="E2405" s="8" t="s">
        <v>1053</v>
      </c>
      <c r="F2405" s="8" t="s">
        <v>120</v>
      </c>
      <c r="G2405" s="7" t="s">
        <v>61</v>
      </c>
      <c r="H2405" s="47" t="s">
        <v>205</v>
      </c>
      <c r="I2405" s="47" t="s">
        <v>206</v>
      </c>
      <c r="J2405" s="6">
        <v>70</v>
      </c>
      <c r="K2405" s="8" t="s">
        <v>20</v>
      </c>
      <c r="L2405" s="1" t="s">
        <v>1053</v>
      </c>
      <c r="M2405" s="5">
        <v>75</v>
      </c>
    </row>
    <row r="2406" spans="1:13" ht="15" x14ac:dyDescent="0.25">
      <c r="A2406" s="7" t="s">
        <v>16</v>
      </c>
      <c r="B2406" s="7" t="s">
        <v>229</v>
      </c>
      <c r="C2406" s="7" t="s">
        <v>24</v>
      </c>
      <c r="D2406" s="4">
        <v>29435005003497</v>
      </c>
      <c r="E2406" s="8" t="s">
        <v>1054</v>
      </c>
      <c r="F2406" s="8" t="s">
        <v>78</v>
      </c>
      <c r="G2406" s="7" t="s">
        <v>61</v>
      </c>
      <c r="H2406" s="47" t="s">
        <v>205</v>
      </c>
      <c r="I2406" s="47" t="s">
        <v>206</v>
      </c>
      <c r="J2406" s="6">
        <v>70</v>
      </c>
      <c r="K2406" s="8" t="s">
        <v>20</v>
      </c>
      <c r="L2406" s="1" t="s">
        <v>1054</v>
      </c>
      <c r="M2406" s="5">
        <v>100</v>
      </c>
    </row>
    <row r="2407" spans="1:13" ht="15" x14ac:dyDescent="0.25">
      <c r="A2407" s="7" t="s">
        <v>16</v>
      </c>
      <c r="B2407" s="7" t="s">
        <v>229</v>
      </c>
      <c r="C2407" s="7" t="s">
        <v>24</v>
      </c>
      <c r="D2407" s="4">
        <v>39387477000107</v>
      </c>
      <c r="E2407" s="8" t="s">
        <v>1218</v>
      </c>
      <c r="F2407" s="8" t="s">
        <v>1157</v>
      </c>
      <c r="G2407" s="7" t="s">
        <v>98</v>
      </c>
      <c r="H2407" s="47" t="s">
        <v>205</v>
      </c>
      <c r="I2407" s="47" t="s">
        <v>206</v>
      </c>
      <c r="J2407" s="6">
        <v>70</v>
      </c>
      <c r="K2407" s="8" t="s">
        <v>20</v>
      </c>
      <c r="L2407" s="1" t="s">
        <v>1218</v>
      </c>
      <c r="M2407" s="5">
        <v>375</v>
      </c>
    </row>
    <row r="2408" spans="1:13" ht="15" x14ac:dyDescent="0.25">
      <c r="A2408" s="7" t="s">
        <v>16</v>
      </c>
      <c r="B2408" s="7" t="s">
        <v>229</v>
      </c>
      <c r="C2408" s="7" t="s">
        <v>24</v>
      </c>
      <c r="D2408" s="4">
        <v>60884855001207</v>
      </c>
      <c r="E2408" s="8" t="s">
        <v>1065</v>
      </c>
      <c r="F2408" s="8" t="s">
        <v>1039</v>
      </c>
      <c r="G2408" s="7" t="s">
        <v>61</v>
      </c>
      <c r="H2408" s="47" t="s">
        <v>205</v>
      </c>
      <c r="I2408" s="47" t="s">
        <v>206</v>
      </c>
      <c r="J2408" s="6">
        <v>70</v>
      </c>
      <c r="K2408" s="8" t="s">
        <v>20</v>
      </c>
      <c r="L2408" s="1" t="s">
        <v>1065</v>
      </c>
      <c r="M2408" s="5">
        <v>910</v>
      </c>
    </row>
    <row r="2409" spans="1:13" ht="15" x14ac:dyDescent="0.25">
      <c r="A2409" s="7" t="s">
        <v>16</v>
      </c>
      <c r="B2409" s="7" t="s">
        <v>229</v>
      </c>
      <c r="C2409" s="7" t="s">
        <v>24</v>
      </c>
      <c r="D2409" s="4">
        <v>68709211000212</v>
      </c>
      <c r="E2409" s="8" t="s">
        <v>1066</v>
      </c>
      <c r="F2409" s="8" t="s">
        <v>92</v>
      </c>
      <c r="G2409" s="7" t="s">
        <v>61</v>
      </c>
      <c r="H2409" s="47" t="s">
        <v>205</v>
      </c>
      <c r="I2409" s="47" t="s">
        <v>206</v>
      </c>
      <c r="J2409" s="6">
        <v>70</v>
      </c>
      <c r="K2409" s="8" t="s">
        <v>20</v>
      </c>
      <c r="L2409" s="1" t="s">
        <v>1066</v>
      </c>
      <c r="M2409" s="5">
        <v>475</v>
      </c>
    </row>
    <row r="2410" spans="1:13" ht="15" x14ac:dyDescent="0.25">
      <c r="A2410" s="7" t="s">
        <v>16</v>
      </c>
      <c r="B2410" s="7" t="s">
        <v>229</v>
      </c>
      <c r="C2410" s="7" t="s">
        <v>24</v>
      </c>
      <c r="D2410" s="4">
        <v>87317764001084</v>
      </c>
      <c r="E2410" s="8" t="s">
        <v>1015</v>
      </c>
      <c r="F2410" s="8" t="s">
        <v>83</v>
      </c>
      <c r="G2410" s="7" t="s">
        <v>67</v>
      </c>
      <c r="H2410" s="47" t="s">
        <v>205</v>
      </c>
      <c r="I2410" s="47" t="s">
        <v>206</v>
      </c>
      <c r="J2410" s="6">
        <v>70</v>
      </c>
      <c r="K2410" s="8" t="s">
        <v>20</v>
      </c>
      <c r="L2410" s="1" t="s">
        <v>1015</v>
      </c>
      <c r="M2410" s="5">
        <v>130</v>
      </c>
    </row>
    <row r="2411" spans="1:13" ht="15" x14ac:dyDescent="0.25">
      <c r="A2411" s="7" t="s">
        <v>16</v>
      </c>
      <c r="B2411" s="7" t="s">
        <v>229</v>
      </c>
      <c r="C2411" s="7" t="s">
        <v>24</v>
      </c>
      <c r="D2411" s="4">
        <v>87607149000626</v>
      </c>
      <c r="E2411" s="8" t="s">
        <v>1019</v>
      </c>
      <c r="F2411" s="8" t="s">
        <v>96</v>
      </c>
      <c r="G2411" s="7" t="s">
        <v>67</v>
      </c>
      <c r="H2411" s="47" t="s">
        <v>205</v>
      </c>
      <c r="I2411" s="47" t="s">
        <v>206</v>
      </c>
      <c r="J2411" s="6">
        <v>70</v>
      </c>
      <c r="K2411" s="8" t="s">
        <v>20</v>
      </c>
      <c r="L2411" s="1" t="s">
        <v>1019</v>
      </c>
      <c r="M2411" s="5">
        <v>145</v>
      </c>
    </row>
    <row r="2412" spans="1:13" ht="15" x14ac:dyDescent="0.25">
      <c r="A2412" s="7" t="s">
        <v>16</v>
      </c>
      <c r="B2412" s="7" t="s">
        <v>229</v>
      </c>
      <c r="C2412" s="7" t="s">
        <v>24</v>
      </c>
      <c r="D2412" s="4">
        <v>87638334000505</v>
      </c>
      <c r="E2412" s="8" t="s">
        <v>1020</v>
      </c>
      <c r="F2412" s="8" t="s">
        <v>129</v>
      </c>
      <c r="G2412" s="7" t="s">
        <v>67</v>
      </c>
      <c r="H2412" s="47" t="s">
        <v>205</v>
      </c>
      <c r="I2412" s="47" t="s">
        <v>206</v>
      </c>
      <c r="J2412" s="6">
        <v>70</v>
      </c>
      <c r="K2412" s="8" t="s">
        <v>20</v>
      </c>
      <c r="L2412" s="1" t="s">
        <v>1020</v>
      </c>
      <c r="M2412" s="5">
        <v>10</v>
      </c>
    </row>
    <row r="2413" spans="1:13" ht="15" x14ac:dyDescent="0.25">
      <c r="A2413" s="7" t="s">
        <v>16</v>
      </c>
      <c r="B2413" s="7" t="s">
        <v>229</v>
      </c>
      <c r="C2413" s="7" t="s">
        <v>24</v>
      </c>
      <c r="D2413" s="4">
        <v>94831294000147</v>
      </c>
      <c r="E2413" s="8" t="s">
        <v>1036</v>
      </c>
      <c r="F2413" s="8" t="s">
        <v>83</v>
      </c>
      <c r="G2413" s="7" t="s">
        <v>67</v>
      </c>
      <c r="H2413" s="47" t="s">
        <v>205</v>
      </c>
      <c r="I2413" s="47" t="s">
        <v>206</v>
      </c>
      <c r="J2413" s="6">
        <v>70</v>
      </c>
      <c r="K2413" s="8" t="s">
        <v>20</v>
      </c>
      <c r="L2413" s="1" t="s">
        <v>1036</v>
      </c>
      <c r="M2413" s="5">
        <v>30</v>
      </c>
    </row>
    <row r="2414" spans="1:13" ht="15" x14ac:dyDescent="0.25">
      <c r="A2414" s="7" t="s">
        <v>16</v>
      </c>
      <c r="B2414" s="7" t="s">
        <v>229</v>
      </c>
      <c r="C2414" s="7" t="s">
        <v>24</v>
      </c>
      <c r="D2414" s="4">
        <v>95610887000146</v>
      </c>
      <c r="E2414" s="8" t="s">
        <v>1037</v>
      </c>
      <c r="F2414" s="8" t="s">
        <v>87</v>
      </c>
      <c r="G2414" s="7" t="s">
        <v>67</v>
      </c>
      <c r="H2414" s="47" t="s">
        <v>205</v>
      </c>
      <c r="I2414" s="47" t="s">
        <v>206</v>
      </c>
      <c r="J2414" s="6">
        <v>70</v>
      </c>
      <c r="K2414" s="8" t="s">
        <v>20</v>
      </c>
      <c r="L2414" s="1" t="s">
        <v>1037</v>
      </c>
      <c r="M2414" s="5">
        <v>750</v>
      </c>
    </row>
    <row r="2415" spans="1:13" ht="15" x14ac:dyDescent="0.25">
      <c r="A2415" s="7" t="s">
        <v>16</v>
      </c>
      <c r="B2415" s="7" t="s">
        <v>230</v>
      </c>
      <c r="C2415" s="7" t="s">
        <v>24</v>
      </c>
      <c r="D2415" s="4">
        <v>437007000175</v>
      </c>
      <c r="E2415" s="8" t="s">
        <v>1038</v>
      </c>
      <c r="F2415" s="8" t="s">
        <v>1039</v>
      </c>
      <c r="G2415" s="7" t="s">
        <v>61</v>
      </c>
      <c r="H2415" s="47" t="s">
        <v>205</v>
      </c>
      <c r="I2415" s="47" t="s">
        <v>206</v>
      </c>
      <c r="J2415" s="6">
        <v>70</v>
      </c>
      <c r="K2415" s="8" t="s">
        <v>20</v>
      </c>
      <c r="L2415" s="1" t="s">
        <v>1038</v>
      </c>
      <c r="M2415" s="5">
        <v>505</v>
      </c>
    </row>
    <row r="2416" spans="1:13" ht="15" x14ac:dyDescent="0.25">
      <c r="A2416" s="7" t="s">
        <v>16</v>
      </c>
      <c r="B2416" s="7" t="s">
        <v>230</v>
      </c>
      <c r="C2416" s="7" t="s">
        <v>24</v>
      </c>
      <c r="D2416" s="4">
        <v>521197000104</v>
      </c>
      <c r="E2416" s="8" t="s">
        <v>1040</v>
      </c>
      <c r="F2416" s="8" t="s">
        <v>1039</v>
      </c>
      <c r="G2416" s="7" t="s">
        <v>61</v>
      </c>
      <c r="H2416" s="47" t="s">
        <v>205</v>
      </c>
      <c r="I2416" s="47" t="s">
        <v>206</v>
      </c>
      <c r="J2416" s="6">
        <v>70</v>
      </c>
      <c r="K2416" s="8" t="s">
        <v>20</v>
      </c>
      <c r="L2416" s="1" t="s">
        <v>1040</v>
      </c>
      <c r="M2416" s="5">
        <v>452.5</v>
      </c>
    </row>
    <row r="2417" spans="1:13" ht="15" x14ac:dyDescent="0.25">
      <c r="A2417" s="7" t="s">
        <v>16</v>
      </c>
      <c r="B2417" s="7" t="s">
        <v>230</v>
      </c>
      <c r="C2417" s="7" t="s">
        <v>24</v>
      </c>
      <c r="D2417" s="4">
        <v>1396804000114</v>
      </c>
      <c r="E2417" s="8" t="s">
        <v>1140</v>
      </c>
      <c r="F2417" s="8" t="s">
        <v>97</v>
      </c>
      <c r="G2417" s="7" t="s">
        <v>98</v>
      </c>
      <c r="H2417" s="47" t="s">
        <v>205</v>
      </c>
      <c r="I2417" s="47" t="s">
        <v>206</v>
      </c>
      <c r="J2417" s="6">
        <v>70</v>
      </c>
      <c r="K2417" s="8" t="s">
        <v>20</v>
      </c>
      <c r="L2417" s="1" t="s">
        <v>1140</v>
      </c>
      <c r="M2417" s="5">
        <v>25</v>
      </c>
    </row>
    <row r="2418" spans="1:13" ht="15" x14ac:dyDescent="0.25">
      <c r="A2418" s="7" t="s">
        <v>16</v>
      </c>
      <c r="B2418" s="7" t="s">
        <v>230</v>
      </c>
      <c r="C2418" s="7" t="s">
        <v>24</v>
      </c>
      <c r="D2418" s="4">
        <v>4703117000192</v>
      </c>
      <c r="E2418" s="8" t="s">
        <v>1404</v>
      </c>
      <c r="F2418" s="8" t="s">
        <v>1405</v>
      </c>
      <c r="G2418" s="7" t="s">
        <v>61</v>
      </c>
      <c r="H2418" s="47" t="s">
        <v>205</v>
      </c>
      <c r="I2418" s="47" t="s">
        <v>206</v>
      </c>
      <c r="J2418" s="6">
        <v>70</v>
      </c>
      <c r="K2418" s="8" t="s">
        <v>20</v>
      </c>
      <c r="L2418" s="1" t="s">
        <v>1404</v>
      </c>
      <c r="M2418" s="5">
        <v>150</v>
      </c>
    </row>
    <row r="2419" spans="1:13" ht="15" x14ac:dyDescent="0.25">
      <c r="A2419" s="7" t="s">
        <v>16</v>
      </c>
      <c r="B2419" s="7" t="s">
        <v>230</v>
      </c>
      <c r="C2419" s="7" t="s">
        <v>24</v>
      </c>
      <c r="D2419" s="4">
        <v>4786490000154</v>
      </c>
      <c r="E2419" s="8" t="s">
        <v>1146</v>
      </c>
      <c r="F2419" s="8" t="s">
        <v>97</v>
      </c>
      <c r="G2419" s="7" t="s">
        <v>98</v>
      </c>
      <c r="H2419" s="47" t="s">
        <v>205</v>
      </c>
      <c r="I2419" s="47" t="s">
        <v>206</v>
      </c>
      <c r="J2419" s="6">
        <v>70</v>
      </c>
      <c r="K2419" s="8" t="s">
        <v>20</v>
      </c>
      <c r="L2419" s="1" t="s">
        <v>1146</v>
      </c>
      <c r="M2419" s="5">
        <v>245</v>
      </c>
    </row>
    <row r="2420" spans="1:13" ht="15" x14ac:dyDescent="0.25">
      <c r="A2420" s="7" t="s">
        <v>16</v>
      </c>
      <c r="B2420" s="7" t="s">
        <v>230</v>
      </c>
      <c r="C2420" s="7" t="s">
        <v>24</v>
      </c>
      <c r="D2420" s="4">
        <v>7039651000134</v>
      </c>
      <c r="E2420" s="8" t="s">
        <v>1153</v>
      </c>
      <c r="F2420" s="8" t="s">
        <v>116</v>
      </c>
      <c r="G2420" s="7" t="s">
        <v>98</v>
      </c>
      <c r="H2420" s="47" t="s">
        <v>205</v>
      </c>
      <c r="I2420" s="47" t="s">
        <v>206</v>
      </c>
      <c r="J2420" s="6">
        <v>70</v>
      </c>
      <c r="K2420" s="8" t="s">
        <v>20</v>
      </c>
      <c r="L2420" s="1" t="s">
        <v>1153</v>
      </c>
      <c r="M2420" s="5">
        <v>25</v>
      </c>
    </row>
    <row r="2421" spans="1:13" ht="15" x14ac:dyDescent="0.25">
      <c r="A2421" s="7" t="s">
        <v>16</v>
      </c>
      <c r="B2421" s="7" t="s">
        <v>230</v>
      </c>
      <c r="C2421" s="7" t="s">
        <v>24</v>
      </c>
      <c r="D2421" s="4">
        <v>12508728000108</v>
      </c>
      <c r="E2421" s="8" t="s">
        <v>965</v>
      </c>
      <c r="F2421" s="8" t="s">
        <v>87</v>
      </c>
      <c r="G2421" s="7" t="s">
        <v>67</v>
      </c>
      <c r="H2421" s="47" t="s">
        <v>205</v>
      </c>
      <c r="I2421" s="47" t="s">
        <v>206</v>
      </c>
      <c r="J2421" s="6">
        <v>70</v>
      </c>
      <c r="K2421" s="8" t="s">
        <v>20</v>
      </c>
      <c r="L2421" s="1" t="s">
        <v>965</v>
      </c>
      <c r="M2421" s="5">
        <v>20</v>
      </c>
    </row>
    <row r="2422" spans="1:13" ht="15" x14ac:dyDescent="0.25">
      <c r="A2422" s="7" t="s">
        <v>16</v>
      </c>
      <c r="B2422" s="7" t="s">
        <v>230</v>
      </c>
      <c r="C2422" s="7" t="s">
        <v>24</v>
      </c>
      <c r="D2422" s="4">
        <v>27080605000781</v>
      </c>
      <c r="E2422" s="8" t="s">
        <v>1426</v>
      </c>
      <c r="F2422" s="8" t="s">
        <v>1427</v>
      </c>
      <c r="G2422" s="7" t="s">
        <v>98</v>
      </c>
      <c r="H2422" s="47" t="s">
        <v>205</v>
      </c>
      <c r="I2422" s="47" t="s">
        <v>206</v>
      </c>
      <c r="J2422" s="6">
        <v>70</v>
      </c>
      <c r="K2422" s="8" t="s">
        <v>20</v>
      </c>
      <c r="L2422" s="1" t="s">
        <v>1426</v>
      </c>
      <c r="M2422" s="5">
        <v>250</v>
      </c>
    </row>
    <row r="2423" spans="1:13" ht="15" x14ac:dyDescent="0.25">
      <c r="A2423" s="7" t="s">
        <v>16</v>
      </c>
      <c r="B2423" s="7" t="s">
        <v>230</v>
      </c>
      <c r="C2423" s="7" t="s">
        <v>24</v>
      </c>
      <c r="D2423" s="4">
        <v>28137925000106</v>
      </c>
      <c r="E2423" s="8" t="s">
        <v>1210</v>
      </c>
      <c r="F2423" s="8" t="s">
        <v>1157</v>
      </c>
      <c r="G2423" s="7" t="s">
        <v>98</v>
      </c>
      <c r="H2423" s="47" t="s">
        <v>205</v>
      </c>
      <c r="I2423" s="47" t="s">
        <v>206</v>
      </c>
      <c r="J2423" s="6">
        <v>70</v>
      </c>
      <c r="K2423" s="8" t="s">
        <v>20</v>
      </c>
      <c r="L2423" s="1" t="s">
        <v>1210</v>
      </c>
      <c r="M2423" s="5">
        <v>190</v>
      </c>
    </row>
    <row r="2424" spans="1:13" ht="15" x14ac:dyDescent="0.25">
      <c r="A2424" s="7" t="s">
        <v>16</v>
      </c>
      <c r="B2424" s="7" t="s">
        <v>230</v>
      </c>
      <c r="C2424" s="7" t="s">
        <v>24</v>
      </c>
      <c r="D2424" s="4">
        <v>29135795000208</v>
      </c>
      <c r="E2424" s="8" t="s">
        <v>1053</v>
      </c>
      <c r="F2424" s="8" t="s">
        <v>120</v>
      </c>
      <c r="G2424" s="7" t="s">
        <v>61</v>
      </c>
      <c r="H2424" s="47" t="s">
        <v>205</v>
      </c>
      <c r="I2424" s="47" t="s">
        <v>206</v>
      </c>
      <c r="J2424" s="6">
        <v>70</v>
      </c>
      <c r="K2424" s="8" t="s">
        <v>20</v>
      </c>
      <c r="L2424" s="1" t="s">
        <v>1053</v>
      </c>
      <c r="M2424" s="5">
        <v>225</v>
      </c>
    </row>
    <row r="2425" spans="1:13" ht="15" x14ac:dyDescent="0.25">
      <c r="A2425" s="7" t="s">
        <v>16</v>
      </c>
      <c r="B2425" s="7" t="s">
        <v>230</v>
      </c>
      <c r="C2425" s="7" t="s">
        <v>24</v>
      </c>
      <c r="D2425" s="4">
        <v>29323454000185</v>
      </c>
      <c r="E2425" s="8" t="s">
        <v>1211</v>
      </c>
      <c r="F2425" s="8" t="s">
        <v>543</v>
      </c>
      <c r="G2425" s="7" t="s">
        <v>98</v>
      </c>
      <c r="H2425" s="47" t="s">
        <v>205</v>
      </c>
      <c r="I2425" s="47" t="s">
        <v>206</v>
      </c>
      <c r="J2425" s="6">
        <v>70</v>
      </c>
      <c r="K2425" s="8" t="s">
        <v>20</v>
      </c>
      <c r="L2425" s="1" t="s">
        <v>1211</v>
      </c>
      <c r="M2425" s="5">
        <v>350</v>
      </c>
    </row>
    <row r="2426" spans="1:13" ht="15" x14ac:dyDescent="0.25">
      <c r="A2426" s="7" t="s">
        <v>16</v>
      </c>
      <c r="B2426" s="7" t="s">
        <v>230</v>
      </c>
      <c r="C2426" s="7" t="s">
        <v>24</v>
      </c>
      <c r="D2426" s="4">
        <v>30358881000188</v>
      </c>
      <c r="E2426" s="8" t="s">
        <v>1407</v>
      </c>
      <c r="F2426" s="8" t="s">
        <v>1215</v>
      </c>
      <c r="G2426" s="7" t="s">
        <v>61</v>
      </c>
      <c r="H2426" s="47" t="s">
        <v>205</v>
      </c>
      <c r="I2426" s="47" t="s">
        <v>206</v>
      </c>
      <c r="J2426" s="6">
        <v>70</v>
      </c>
      <c r="K2426" s="8" t="s">
        <v>20</v>
      </c>
      <c r="L2426" s="1" t="s">
        <v>1407</v>
      </c>
      <c r="M2426" s="5">
        <v>200</v>
      </c>
    </row>
    <row r="2427" spans="1:13" ht="15" x14ac:dyDescent="0.25">
      <c r="A2427" s="7" t="s">
        <v>16</v>
      </c>
      <c r="B2427" s="7" t="s">
        <v>230</v>
      </c>
      <c r="C2427" s="7" t="s">
        <v>24</v>
      </c>
      <c r="D2427" s="4">
        <v>31684384000132</v>
      </c>
      <c r="E2427" s="8" t="s">
        <v>1408</v>
      </c>
      <c r="F2427" s="8" t="s">
        <v>1215</v>
      </c>
      <c r="G2427" s="7" t="s">
        <v>61</v>
      </c>
      <c r="H2427" s="47" t="s">
        <v>205</v>
      </c>
      <c r="I2427" s="47" t="s">
        <v>206</v>
      </c>
      <c r="J2427" s="6">
        <v>70</v>
      </c>
      <c r="K2427" s="8" t="s">
        <v>20</v>
      </c>
      <c r="L2427" s="1" t="s">
        <v>1408</v>
      </c>
      <c r="M2427" s="5">
        <v>50</v>
      </c>
    </row>
    <row r="2428" spans="1:13" ht="15" x14ac:dyDescent="0.25">
      <c r="A2428" s="7" t="s">
        <v>16</v>
      </c>
      <c r="B2428" s="7" t="s">
        <v>230</v>
      </c>
      <c r="C2428" s="7" t="s">
        <v>24</v>
      </c>
      <c r="D2428" s="4">
        <v>39387477000107</v>
      </c>
      <c r="E2428" s="8" t="s">
        <v>1218</v>
      </c>
      <c r="F2428" s="8" t="s">
        <v>1157</v>
      </c>
      <c r="G2428" s="7" t="s">
        <v>98</v>
      </c>
      <c r="H2428" s="47" t="s">
        <v>205</v>
      </c>
      <c r="I2428" s="47" t="s">
        <v>206</v>
      </c>
      <c r="J2428" s="6">
        <v>70</v>
      </c>
      <c r="K2428" s="8" t="s">
        <v>20</v>
      </c>
      <c r="L2428" s="1" t="s">
        <v>1218</v>
      </c>
      <c r="M2428" s="5">
        <v>175</v>
      </c>
    </row>
    <row r="2429" spans="1:13" ht="15" x14ac:dyDescent="0.25">
      <c r="A2429" s="7" t="s">
        <v>16</v>
      </c>
      <c r="B2429" s="7" t="s">
        <v>230</v>
      </c>
      <c r="C2429" s="7" t="s">
        <v>24</v>
      </c>
      <c r="D2429" s="4">
        <v>60884855001207</v>
      </c>
      <c r="E2429" s="8" t="s">
        <v>1065</v>
      </c>
      <c r="F2429" s="8" t="s">
        <v>1039</v>
      </c>
      <c r="G2429" s="7" t="s">
        <v>61</v>
      </c>
      <c r="H2429" s="47" t="s">
        <v>205</v>
      </c>
      <c r="I2429" s="47" t="s">
        <v>206</v>
      </c>
      <c r="J2429" s="6">
        <v>70</v>
      </c>
      <c r="K2429" s="8" t="s">
        <v>20</v>
      </c>
      <c r="L2429" s="1" t="s">
        <v>1065</v>
      </c>
      <c r="M2429" s="5">
        <v>1225</v>
      </c>
    </row>
    <row r="2430" spans="1:13" ht="15" x14ac:dyDescent="0.25">
      <c r="A2430" s="7" t="s">
        <v>16</v>
      </c>
      <c r="B2430" s="7" t="s">
        <v>230</v>
      </c>
      <c r="C2430" s="7" t="s">
        <v>24</v>
      </c>
      <c r="D2430" s="4">
        <v>68709211000212</v>
      </c>
      <c r="E2430" s="8" t="s">
        <v>1066</v>
      </c>
      <c r="F2430" s="8" t="s">
        <v>92</v>
      </c>
      <c r="G2430" s="7" t="s">
        <v>61</v>
      </c>
      <c r="H2430" s="47" t="s">
        <v>205</v>
      </c>
      <c r="I2430" s="47" t="s">
        <v>206</v>
      </c>
      <c r="J2430" s="6">
        <v>70</v>
      </c>
      <c r="K2430" s="8" t="s">
        <v>20</v>
      </c>
      <c r="L2430" s="1" t="s">
        <v>1066</v>
      </c>
      <c r="M2430" s="5">
        <v>155</v>
      </c>
    </row>
    <row r="2431" spans="1:13" ht="15" x14ac:dyDescent="0.25">
      <c r="A2431" s="7" t="s">
        <v>16</v>
      </c>
      <c r="B2431" s="7" t="s">
        <v>230</v>
      </c>
      <c r="C2431" s="7" t="s">
        <v>24</v>
      </c>
      <c r="D2431" s="4">
        <v>87096616003101</v>
      </c>
      <c r="E2431" s="8" t="s">
        <v>1014</v>
      </c>
      <c r="F2431" s="8" t="s">
        <v>83</v>
      </c>
      <c r="G2431" s="7" t="s">
        <v>67</v>
      </c>
      <c r="H2431" s="47" t="s">
        <v>205</v>
      </c>
      <c r="I2431" s="47" t="s">
        <v>206</v>
      </c>
      <c r="J2431" s="6">
        <v>70</v>
      </c>
      <c r="K2431" s="8" t="s">
        <v>20</v>
      </c>
      <c r="L2431" s="1" t="s">
        <v>1014</v>
      </c>
      <c r="M2431" s="5">
        <v>110</v>
      </c>
    </row>
    <row r="2432" spans="1:13" ht="15" x14ac:dyDescent="0.25">
      <c r="A2432" s="7" t="s">
        <v>16</v>
      </c>
      <c r="B2432" s="7" t="s">
        <v>230</v>
      </c>
      <c r="C2432" s="7" t="s">
        <v>24</v>
      </c>
      <c r="D2432" s="4">
        <v>87317764001084</v>
      </c>
      <c r="E2432" s="8" t="s">
        <v>1015</v>
      </c>
      <c r="F2432" s="8" t="s">
        <v>83</v>
      </c>
      <c r="G2432" s="7" t="s">
        <v>67</v>
      </c>
      <c r="H2432" s="47" t="s">
        <v>205</v>
      </c>
      <c r="I2432" s="47" t="s">
        <v>206</v>
      </c>
      <c r="J2432" s="6">
        <v>70</v>
      </c>
      <c r="K2432" s="8" t="s">
        <v>20</v>
      </c>
      <c r="L2432" s="1" t="s">
        <v>1015</v>
      </c>
      <c r="M2432" s="5">
        <v>330</v>
      </c>
    </row>
    <row r="2433" spans="1:13" ht="15" x14ac:dyDescent="0.25">
      <c r="A2433" s="7" t="s">
        <v>16</v>
      </c>
      <c r="B2433" s="7" t="s">
        <v>230</v>
      </c>
      <c r="C2433" s="7" t="s">
        <v>24</v>
      </c>
      <c r="D2433" s="4">
        <v>87607149000626</v>
      </c>
      <c r="E2433" s="8" t="s">
        <v>1019</v>
      </c>
      <c r="F2433" s="8" t="s">
        <v>96</v>
      </c>
      <c r="G2433" s="7" t="s">
        <v>67</v>
      </c>
      <c r="H2433" s="47" t="s">
        <v>205</v>
      </c>
      <c r="I2433" s="47" t="s">
        <v>206</v>
      </c>
      <c r="J2433" s="6">
        <v>70</v>
      </c>
      <c r="K2433" s="8" t="s">
        <v>20</v>
      </c>
      <c r="L2433" s="1" t="s">
        <v>1019</v>
      </c>
      <c r="M2433" s="5">
        <v>20</v>
      </c>
    </row>
    <row r="2434" spans="1:13" ht="15" x14ac:dyDescent="0.25">
      <c r="A2434" s="7" t="s">
        <v>16</v>
      </c>
      <c r="B2434" s="7" t="s">
        <v>230</v>
      </c>
      <c r="C2434" s="7" t="s">
        <v>24</v>
      </c>
      <c r="D2434" s="4">
        <v>87638334000505</v>
      </c>
      <c r="E2434" s="8" t="s">
        <v>1020</v>
      </c>
      <c r="F2434" s="8" t="s">
        <v>129</v>
      </c>
      <c r="G2434" s="7" t="s">
        <v>67</v>
      </c>
      <c r="H2434" s="47" t="s">
        <v>205</v>
      </c>
      <c r="I2434" s="47" t="s">
        <v>206</v>
      </c>
      <c r="J2434" s="6">
        <v>70</v>
      </c>
      <c r="K2434" s="8" t="s">
        <v>20</v>
      </c>
      <c r="L2434" s="1" t="s">
        <v>1020</v>
      </c>
      <c r="M2434" s="5">
        <v>5</v>
      </c>
    </row>
    <row r="2435" spans="1:13" ht="15" x14ac:dyDescent="0.25">
      <c r="A2435" s="7" t="s">
        <v>16</v>
      </c>
      <c r="B2435" s="7" t="s">
        <v>230</v>
      </c>
      <c r="C2435" s="7" t="s">
        <v>24</v>
      </c>
      <c r="D2435" s="4">
        <v>87827689002405</v>
      </c>
      <c r="E2435" s="8" t="s">
        <v>1021</v>
      </c>
      <c r="F2435" s="8" t="s">
        <v>66</v>
      </c>
      <c r="G2435" s="7" t="s">
        <v>67</v>
      </c>
      <c r="H2435" s="47" t="s">
        <v>205</v>
      </c>
      <c r="I2435" s="47" t="s">
        <v>206</v>
      </c>
      <c r="J2435" s="6">
        <v>70</v>
      </c>
      <c r="K2435" s="8" t="s">
        <v>20</v>
      </c>
      <c r="L2435" s="1" t="s">
        <v>1021</v>
      </c>
      <c r="M2435" s="5">
        <v>90</v>
      </c>
    </row>
    <row r="2436" spans="1:13" ht="15" x14ac:dyDescent="0.25">
      <c r="A2436" s="7" t="s">
        <v>16</v>
      </c>
      <c r="B2436" s="7" t="s">
        <v>230</v>
      </c>
      <c r="C2436" s="7" t="s">
        <v>24</v>
      </c>
      <c r="D2436" s="4">
        <v>92815000000168</v>
      </c>
      <c r="E2436" s="8" t="s">
        <v>1033</v>
      </c>
      <c r="F2436" s="8" t="s">
        <v>83</v>
      </c>
      <c r="G2436" s="7" t="s">
        <v>67</v>
      </c>
      <c r="H2436" s="47" t="s">
        <v>205</v>
      </c>
      <c r="I2436" s="47" t="s">
        <v>206</v>
      </c>
      <c r="J2436" s="6">
        <v>70</v>
      </c>
      <c r="K2436" s="8" t="s">
        <v>20</v>
      </c>
      <c r="L2436" s="1" t="s">
        <v>1033</v>
      </c>
      <c r="M2436" s="5">
        <v>160</v>
      </c>
    </row>
    <row r="2437" spans="1:13" ht="15" x14ac:dyDescent="0.25">
      <c r="A2437" s="7" t="s">
        <v>16</v>
      </c>
      <c r="B2437" s="7" t="s">
        <v>230</v>
      </c>
      <c r="C2437" s="7" t="s">
        <v>24</v>
      </c>
      <c r="D2437" s="4">
        <v>94831294000147</v>
      </c>
      <c r="E2437" s="8" t="s">
        <v>1036</v>
      </c>
      <c r="F2437" s="8" t="s">
        <v>83</v>
      </c>
      <c r="G2437" s="7" t="s">
        <v>67</v>
      </c>
      <c r="H2437" s="47" t="s">
        <v>205</v>
      </c>
      <c r="I2437" s="47" t="s">
        <v>206</v>
      </c>
      <c r="J2437" s="6">
        <v>70</v>
      </c>
      <c r="K2437" s="8" t="s">
        <v>20</v>
      </c>
      <c r="L2437" s="1" t="s">
        <v>1036</v>
      </c>
      <c r="M2437" s="5">
        <v>30</v>
      </c>
    </row>
    <row r="2438" spans="1:13" ht="15" x14ac:dyDescent="0.25">
      <c r="A2438" s="7" t="s">
        <v>16</v>
      </c>
      <c r="B2438" s="7" t="s">
        <v>230</v>
      </c>
      <c r="C2438" s="7" t="s">
        <v>24</v>
      </c>
      <c r="D2438" s="4">
        <v>95610887000146</v>
      </c>
      <c r="E2438" s="8" t="s">
        <v>1037</v>
      </c>
      <c r="F2438" s="8" t="s">
        <v>87</v>
      </c>
      <c r="G2438" s="7" t="s">
        <v>67</v>
      </c>
      <c r="H2438" s="47" t="s">
        <v>205</v>
      </c>
      <c r="I2438" s="47" t="s">
        <v>206</v>
      </c>
      <c r="J2438" s="6">
        <v>70</v>
      </c>
      <c r="K2438" s="8" t="s">
        <v>20</v>
      </c>
      <c r="L2438" s="1" t="s">
        <v>1037</v>
      </c>
      <c r="M2438" s="5">
        <v>600</v>
      </c>
    </row>
    <row r="2439" spans="1:13" ht="15" x14ac:dyDescent="0.25">
      <c r="A2439" s="7" t="s">
        <v>16</v>
      </c>
      <c r="B2439" s="7" t="s">
        <v>372</v>
      </c>
      <c r="C2439" s="7" t="s">
        <v>373</v>
      </c>
      <c r="D2439" s="4">
        <v>437007000175</v>
      </c>
      <c r="E2439" s="8" t="s">
        <v>1038</v>
      </c>
      <c r="F2439" s="8" t="s">
        <v>1039</v>
      </c>
      <c r="G2439" s="7" t="s">
        <v>61</v>
      </c>
      <c r="H2439" s="47" t="s">
        <v>205</v>
      </c>
      <c r="I2439" s="47" t="s">
        <v>206</v>
      </c>
      <c r="J2439" s="6">
        <v>70</v>
      </c>
      <c r="K2439" s="8" t="s">
        <v>20</v>
      </c>
      <c r="L2439" s="1" t="s">
        <v>1038</v>
      </c>
      <c r="M2439" s="5">
        <v>425</v>
      </c>
    </row>
    <row r="2440" spans="1:13" ht="15" x14ac:dyDescent="0.25">
      <c r="A2440" s="7" t="s">
        <v>16</v>
      </c>
      <c r="B2440" s="7" t="s">
        <v>372</v>
      </c>
      <c r="C2440" s="7" t="s">
        <v>373</v>
      </c>
      <c r="D2440" s="4">
        <v>521197000104</v>
      </c>
      <c r="E2440" s="8" t="s">
        <v>1040</v>
      </c>
      <c r="F2440" s="8" t="s">
        <v>1039</v>
      </c>
      <c r="G2440" s="7" t="s">
        <v>61</v>
      </c>
      <c r="H2440" s="47" t="s">
        <v>205</v>
      </c>
      <c r="I2440" s="47" t="s">
        <v>206</v>
      </c>
      <c r="J2440" s="6">
        <v>70</v>
      </c>
      <c r="K2440" s="8" t="s">
        <v>20</v>
      </c>
      <c r="L2440" s="1" t="s">
        <v>1040</v>
      </c>
      <c r="M2440" s="5">
        <v>355</v>
      </c>
    </row>
    <row r="2441" spans="1:13" ht="15" x14ac:dyDescent="0.25">
      <c r="A2441" s="7" t="s">
        <v>16</v>
      </c>
      <c r="B2441" s="7" t="s">
        <v>372</v>
      </c>
      <c r="C2441" s="7" t="s">
        <v>373</v>
      </c>
      <c r="D2441" s="4">
        <v>4786490000154</v>
      </c>
      <c r="E2441" s="8" t="s">
        <v>1146</v>
      </c>
      <c r="F2441" s="8" t="s">
        <v>97</v>
      </c>
      <c r="G2441" s="7" t="s">
        <v>98</v>
      </c>
      <c r="H2441" s="47" t="s">
        <v>205</v>
      </c>
      <c r="I2441" s="47" t="s">
        <v>206</v>
      </c>
      <c r="J2441" s="6">
        <v>70</v>
      </c>
      <c r="K2441" s="8" t="s">
        <v>20</v>
      </c>
      <c r="L2441" s="1" t="s">
        <v>1146</v>
      </c>
      <c r="M2441" s="5">
        <v>80</v>
      </c>
    </row>
    <row r="2442" spans="1:13" ht="15" x14ac:dyDescent="0.25">
      <c r="A2442" s="7" t="s">
        <v>16</v>
      </c>
      <c r="B2442" s="7" t="s">
        <v>372</v>
      </c>
      <c r="C2442" s="7" t="s">
        <v>373</v>
      </c>
      <c r="D2442" s="4">
        <v>10586940000168</v>
      </c>
      <c r="E2442" s="8" t="s">
        <v>1156</v>
      </c>
      <c r="F2442" s="8" t="s">
        <v>1157</v>
      </c>
      <c r="G2442" s="7" t="s">
        <v>98</v>
      </c>
      <c r="H2442" s="47" t="s">
        <v>205</v>
      </c>
      <c r="I2442" s="47" t="s">
        <v>206</v>
      </c>
      <c r="J2442" s="6">
        <v>70</v>
      </c>
      <c r="K2442" s="8" t="s">
        <v>20</v>
      </c>
      <c r="L2442" s="1" t="s">
        <v>1156</v>
      </c>
      <c r="M2442" s="5">
        <v>500</v>
      </c>
    </row>
    <row r="2443" spans="1:13" ht="15" x14ac:dyDescent="0.25">
      <c r="A2443" s="7" t="s">
        <v>16</v>
      </c>
      <c r="B2443" s="7" t="s">
        <v>372</v>
      </c>
      <c r="C2443" s="7" t="s">
        <v>373</v>
      </c>
      <c r="D2443" s="4">
        <v>12508728000108</v>
      </c>
      <c r="E2443" s="8" t="s">
        <v>965</v>
      </c>
      <c r="F2443" s="8" t="s">
        <v>87</v>
      </c>
      <c r="G2443" s="7" t="s">
        <v>67</v>
      </c>
      <c r="H2443" s="47" t="s">
        <v>205</v>
      </c>
      <c r="I2443" s="47" t="s">
        <v>206</v>
      </c>
      <c r="J2443" s="6">
        <v>70</v>
      </c>
      <c r="K2443" s="8" t="s">
        <v>20</v>
      </c>
      <c r="L2443" s="1" t="s">
        <v>965</v>
      </c>
      <c r="M2443" s="5">
        <v>60</v>
      </c>
    </row>
    <row r="2444" spans="1:13" ht="15" x14ac:dyDescent="0.25">
      <c r="A2444" s="7" t="s">
        <v>16</v>
      </c>
      <c r="B2444" s="7" t="s">
        <v>372</v>
      </c>
      <c r="C2444" s="7" t="s">
        <v>373</v>
      </c>
      <c r="D2444" s="4">
        <v>27578434001525</v>
      </c>
      <c r="E2444" s="8" t="s">
        <v>1208</v>
      </c>
      <c r="F2444" s="8" t="s">
        <v>1157</v>
      </c>
      <c r="G2444" s="7" t="s">
        <v>98</v>
      </c>
      <c r="H2444" s="47" t="s">
        <v>205</v>
      </c>
      <c r="I2444" s="47" t="s">
        <v>206</v>
      </c>
      <c r="J2444" s="6">
        <v>70</v>
      </c>
      <c r="K2444" s="8" t="s">
        <v>20</v>
      </c>
      <c r="L2444" s="1" t="s">
        <v>1208</v>
      </c>
      <c r="M2444" s="5">
        <v>1500</v>
      </c>
    </row>
    <row r="2445" spans="1:13" ht="15" x14ac:dyDescent="0.25">
      <c r="A2445" s="7" t="s">
        <v>16</v>
      </c>
      <c r="B2445" s="7" t="s">
        <v>372</v>
      </c>
      <c r="C2445" s="7" t="s">
        <v>373</v>
      </c>
      <c r="D2445" s="4">
        <v>28137925000106</v>
      </c>
      <c r="E2445" s="8" t="s">
        <v>1210</v>
      </c>
      <c r="F2445" s="8" t="s">
        <v>1157</v>
      </c>
      <c r="G2445" s="7" t="s">
        <v>98</v>
      </c>
      <c r="H2445" s="47" t="s">
        <v>205</v>
      </c>
      <c r="I2445" s="47" t="s">
        <v>206</v>
      </c>
      <c r="J2445" s="6">
        <v>70</v>
      </c>
      <c r="K2445" s="8" t="s">
        <v>20</v>
      </c>
      <c r="L2445" s="1" t="s">
        <v>1210</v>
      </c>
      <c r="M2445" s="5">
        <v>35</v>
      </c>
    </row>
    <row r="2446" spans="1:13" ht="15" x14ac:dyDescent="0.25">
      <c r="A2446" s="7" t="s">
        <v>16</v>
      </c>
      <c r="B2446" s="7" t="s">
        <v>372</v>
      </c>
      <c r="C2446" s="7" t="s">
        <v>373</v>
      </c>
      <c r="D2446" s="4">
        <v>29135795000208</v>
      </c>
      <c r="E2446" s="8" t="s">
        <v>1053</v>
      </c>
      <c r="F2446" s="8" t="s">
        <v>120</v>
      </c>
      <c r="G2446" s="7" t="s">
        <v>61</v>
      </c>
      <c r="H2446" s="47" t="s">
        <v>205</v>
      </c>
      <c r="I2446" s="47" t="s">
        <v>206</v>
      </c>
      <c r="J2446" s="6">
        <v>70</v>
      </c>
      <c r="K2446" s="8" t="s">
        <v>20</v>
      </c>
      <c r="L2446" s="1" t="s">
        <v>1053</v>
      </c>
      <c r="M2446" s="5">
        <v>150</v>
      </c>
    </row>
    <row r="2447" spans="1:13" ht="15" x14ac:dyDescent="0.25">
      <c r="A2447" s="7" t="s">
        <v>16</v>
      </c>
      <c r="B2447" s="7" t="s">
        <v>372</v>
      </c>
      <c r="C2447" s="7" t="s">
        <v>373</v>
      </c>
      <c r="D2447" s="4">
        <v>29323454000185</v>
      </c>
      <c r="E2447" s="8" t="s">
        <v>1211</v>
      </c>
      <c r="F2447" s="8" t="s">
        <v>543</v>
      </c>
      <c r="G2447" s="7" t="s">
        <v>98</v>
      </c>
      <c r="H2447" s="47" t="s">
        <v>205</v>
      </c>
      <c r="I2447" s="47" t="s">
        <v>206</v>
      </c>
      <c r="J2447" s="6">
        <v>70</v>
      </c>
      <c r="K2447" s="8" t="s">
        <v>20</v>
      </c>
      <c r="L2447" s="1" t="s">
        <v>1211</v>
      </c>
      <c r="M2447" s="5">
        <v>200</v>
      </c>
    </row>
    <row r="2448" spans="1:13" ht="15" x14ac:dyDescent="0.25">
      <c r="A2448" s="7" t="s">
        <v>16</v>
      </c>
      <c r="B2448" s="7" t="s">
        <v>372</v>
      </c>
      <c r="C2448" s="7" t="s">
        <v>373</v>
      </c>
      <c r="D2448" s="4">
        <v>29435005003497</v>
      </c>
      <c r="E2448" s="8" t="s">
        <v>1054</v>
      </c>
      <c r="F2448" s="8" t="s">
        <v>78</v>
      </c>
      <c r="G2448" s="7" t="s">
        <v>61</v>
      </c>
      <c r="H2448" s="47" t="s">
        <v>205</v>
      </c>
      <c r="I2448" s="47" t="s">
        <v>206</v>
      </c>
      <c r="J2448" s="6">
        <v>70</v>
      </c>
      <c r="K2448" s="8" t="s">
        <v>20</v>
      </c>
      <c r="L2448" s="1" t="s">
        <v>1054</v>
      </c>
      <c r="M2448" s="5">
        <v>200</v>
      </c>
    </row>
    <row r="2449" spans="1:13" ht="15" x14ac:dyDescent="0.25">
      <c r="A2449" s="7" t="s">
        <v>16</v>
      </c>
      <c r="B2449" s="7" t="s">
        <v>372</v>
      </c>
      <c r="C2449" s="7" t="s">
        <v>373</v>
      </c>
      <c r="D2449" s="4">
        <v>35830868000446</v>
      </c>
      <c r="E2449" s="8" t="s">
        <v>1060</v>
      </c>
      <c r="F2449" s="8" t="s">
        <v>1061</v>
      </c>
      <c r="G2449" s="7" t="s">
        <v>61</v>
      </c>
      <c r="H2449" s="47" t="s">
        <v>205</v>
      </c>
      <c r="I2449" s="47" t="s">
        <v>206</v>
      </c>
      <c r="J2449" s="6">
        <v>70</v>
      </c>
      <c r="K2449" s="8" t="s">
        <v>20</v>
      </c>
      <c r="L2449" s="1" t="s">
        <v>1060</v>
      </c>
      <c r="M2449" s="5">
        <v>500</v>
      </c>
    </row>
    <row r="2450" spans="1:13" ht="15" x14ac:dyDescent="0.25">
      <c r="A2450" s="7" t="s">
        <v>16</v>
      </c>
      <c r="B2450" s="7" t="s">
        <v>372</v>
      </c>
      <c r="C2450" s="7" t="s">
        <v>373</v>
      </c>
      <c r="D2450" s="4">
        <v>39387477000107</v>
      </c>
      <c r="E2450" s="8" t="s">
        <v>1218</v>
      </c>
      <c r="F2450" s="8" t="s">
        <v>1157</v>
      </c>
      <c r="G2450" s="7" t="s">
        <v>98</v>
      </c>
      <c r="H2450" s="47" t="s">
        <v>205</v>
      </c>
      <c r="I2450" s="47" t="s">
        <v>206</v>
      </c>
      <c r="J2450" s="6">
        <v>70</v>
      </c>
      <c r="K2450" s="8" t="s">
        <v>20</v>
      </c>
      <c r="L2450" s="1" t="s">
        <v>1218</v>
      </c>
      <c r="M2450" s="5">
        <v>500</v>
      </c>
    </row>
    <row r="2451" spans="1:13" ht="15" x14ac:dyDescent="0.25">
      <c r="A2451" s="7" t="s">
        <v>16</v>
      </c>
      <c r="B2451" s="7" t="s">
        <v>372</v>
      </c>
      <c r="C2451" s="7" t="s">
        <v>373</v>
      </c>
      <c r="D2451" s="4">
        <v>60884855001207</v>
      </c>
      <c r="E2451" s="8" t="s">
        <v>1065</v>
      </c>
      <c r="F2451" s="8" t="s">
        <v>1039</v>
      </c>
      <c r="G2451" s="7" t="s">
        <v>61</v>
      </c>
      <c r="H2451" s="47" t="s">
        <v>205</v>
      </c>
      <c r="I2451" s="47" t="s">
        <v>206</v>
      </c>
      <c r="J2451" s="6">
        <v>70</v>
      </c>
      <c r="K2451" s="8" t="s">
        <v>20</v>
      </c>
      <c r="L2451" s="1" t="s">
        <v>1065</v>
      </c>
      <c r="M2451" s="5">
        <v>105</v>
      </c>
    </row>
    <row r="2452" spans="1:13" ht="15" x14ac:dyDescent="0.25">
      <c r="A2452" s="7" t="s">
        <v>16</v>
      </c>
      <c r="B2452" s="7" t="s">
        <v>372</v>
      </c>
      <c r="C2452" s="7" t="s">
        <v>373</v>
      </c>
      <c r="D2452" s="4">
        <v>68709211000212</v>
      </c>
      <c r="E2452" s="8" t="s">
        <v>1066</v>
      </c>
      <c r="F2452" s="8" t="s">
        <v>92</v>
      </c>
      <c r="G2452" s="7" t="s">
        <v>61</v>
      </c>
      <c r="H2452" s="47" t="s">
        <v>205</v>
      </c>
      <c r="I2452" s="47" t="s">
        <v>206</v>
      </c>
      <c r="J2452" s="6">
        <v>70</v>
      </c>
      <c r="K2452" s="8" t="s">
        <v>20</v>
      </c>
      <c r="L2452" s="1" t="s">
        <v>1066</v>
      </c>
      <c r="M2452" s="5">
        <v>350</v>
      </c>
    </row>
    <row r="2453" spans="1:13" ht="15" x14ac:dyDescent="0.25">
      <c r="A2453" s="7" t="s">
        <v>16</v>
      </c>
      <c r="B2453" s="7" t="s">
        <v>372</v>
      </c>
      <c r="C2453" s="7" t="s">
        <v>373</v>
      </c>
      <c r="D2453" s="4">
        <v>87096616003101</v>
      </c>
      <c r="E2453" s="8" t="s">
        <v>1014</v>
      </c>
      <c r="F2453" s="8" t="s">
        <v>83</v>
      </c>
      <c r="G2453" s="7" t="s">
        <v>67</v>
      </c>
      <c r="H2453" s="47" t="s">
        <v>205</v>
      </c>
      <c r="I2453" s="47" t="s">
        <v>206</v>
      </c>
      <c r="J2453" s="6">
        <v>70</v>
      </c>
      <c r="K2453" s="8" t="s">
        <v>20</v>
      </c>
      <c r="L2453" s="1" t="s">
        <v>1014</v>
      </c>
      <c r="M2453" s="5">
        <v>70</v>
      </c>
    </row>
    <row r="2454" spans="1:13" ht="15" x14ac:dyDescent="0.25">
      <c r="A2454" s="7" t="s">
        <v>16</v>
      </c>
      <c r="B2454" s="7" t="s">
        <v>372</v>
      </c>
      <c r="C2454" s="7" t="s">
        <v>373</v>
      </c>
      <c r="D2454" s="4">
        <v>87547444000120</v>
      </c>
      <c r="E2454" s="8" t="s">
        <v>1017</v>
      </c>
      <c r="F2454" s="8" t="s">
        <v>1018</v>
      </c>
      <c r="G2454" s="7" t="s">
        <v>67</v>
      </c>
      <c r="H2454" s="47" t="s">
        <v>205</v>
      </c>
      <c r="I2454" s="47" t="s">
        <v>206</v>
      </c>
      <c r="J2454" s="6">
        <v>70</v>
      </c>
      <c r="K2454" s="8" t="s">
        <v>20</v>
      </c>
      <c r="L2454" s="1" t="s">
        <v>1017</v>
      </c>
      <c r="M2454" s="5">
        <v>240</v>
      </c>
    </row>
    <row r="2455" spans="1:13" ht="15" x14ac:dyDescent="0.25">
      <c r="A2455" s="7" t="s">
        <v>16</v>
      </c>
      <c r="B2455" s="7" t="s">
        <v>372</v>
      </c>
      <c r="C2455" s="7" t="s">
        <v>373</v>
      </c>
      <c r="D2455" s="4">
        <v>87607149000626</v>
      </c>
      <c r="E2455" s="8" t="s">
        <v>1019</v>
      </c>
      <c r="F2455" s="8" t="s">
        <v>96</v>
      </c>
      <c r="G2455" s="7" t="s">
        <v>67</v>
      </c>
      <c r="H2455" s="47" t="s">
        <v>205</v>
      </c>
      <c r="I2455" s="47" t="s">
        <v>206</v>
      </c>
      <c r="J2455" s="6">
        <v>70</v>
      </c>
      <c r="K2455" s="8" t="s">
        <v>20</v>
      </c>
      <c r="L2455" s="1" t="s">
        <v>1019</v>
      </c>
      <c r="M2455" s="5">
        <v>67.5</v>
      </c>
    </row>
    <row r="2456" spans="1:13" ht="15" x14ac:dyDescent="0.25">
      <c r="A2456" s="7" t="s">
        <v>16</v>
      </c>
      <c r="B2456" s="7" t="s">
        <v>372</v>
      </c>
      <c r="C2456" s="7" t="s">
        <v>373</v>
      </c>
      <c r="D2456" s="4">
        <v>87638334000505</v>
      </c>
      <c r="E2456" s="8" t="s">
        <v>1020</v>
      </c>
      <c r="F2456" s="8" t="s">
        <v>129</v>
      </c>
      <c r="G2456" s="7" t="s">
        <v>67</v>
      </c>
      <c r="H2456" s="47" t="s">
        <v>205</v>
      </c>
      <c r="I2456" s="47" t="s">
        <v>206</v>
      </c>
      <c r="J2456" s="6">
        <v>70</v>
      </c>
      <c r="K2456" s="8" t="s">
        <v>20</v>
      </c>
      <c r="L2456" s="1" t="s">
        <v>1020</v>
      </c>
      <c r="M2456" s="5">
        <v>10</v>
      </c>
    </row>
    <row r="2457" spans="1:13" ht="15" x14ac:dyDescent="0.25">
      <c r="A2457" s="7" t="s">
        <v>16</v>
      </c>
      <c r="B2457" s="7" t="s">
        <v>372</v>
      </c>
      <c r="C2457" s="7" t="s">
        <v>373</v>
      </c>
      <c r="D2457" s="4">
        <v>87827689002405</v>
      </c>
      <c r="E2457" s="8" t="s">
        <v>1021</v>
      </c>
      <c r="F2457" s="8" t="s">
        <v>66</v>
      </c>
      <c r="G2457" s="7" t="s">
        <v>67</v>
      </c>
      <c r="H2457" s="47" t="s">
        <v>205</v>
      </c>
      <c r="I2457" s="47" t="s">
        <v>206</v>
      </c>
      <c r="J2457" s="6">
        <v>70</v>
      </c>
      <c r="K2457" s="8" t="s">
        <v>20</v>
      </c>
      <c r="L2457" s="1" t="s">
        <v>1021</v>
      </c>
      <c r="M2457" s="5">
        <v>90</v>
      </c>
    </row>
    <row r="2458" spans="1:13" ht="15" x14ac:dyDescent="0.25">
      <c r="A2458" s="7" t="s">
        <v>16</v>
      </c>
      <c r="B2458" s="7" t="s">
        <v>372</v>
      </c>
      <c r="C2458" s="7" t="s">
        <v>373</v>
      </c>
      <c r="D2458" s="4">
        <v>94831294000147</v>
      </c>
      <c r="E2458" s="8" t="s">
        <v>1036</v>
      </c>
      <c r="F2458" s="8" t="s">
        <v>83</v>
      </c>
      <c r="G2458" s="7" t="s">
        <v>67</v>
      </c>
      <c r="H2458" s="47" t="s">
        <v>205</v>
      </c>
      <c r="I2458" s="47" t="s">
        <v>206</v>
      </c>
      <c r="J2458" s="6">
        <v>70</v>
      </c>
      <c r="K2458" s="8" t="s">
        <v>20</v>
      </c>
      <c r="L2458" s="1" t="s">
        <v>1036</v>
      </c>
      <c r="M2458" s="5">
        <v>30</v>
      </c>
    </row>
    <row r="2459" spans="1:13" ht="15" x14ac:dyDescent="0.25">
      <c r="A2459" s="7" t="s">
        <v>16</v>
      </c>
      <c r="B2459" s="7" t="s">
        <v>372</v>
      </c>
      <c r="C2459" s="7" t="s">
        <v>373</v>
      </c>
      <c r="D2459" s="4">
        <v>95610887000146</v>
      </c>
      <c r="E2459" s="8" t="s">
        <v>1037</v>
      </c>
      <c r="F2459" s="8" t="s">
        <v>87</v>
      </c>
      <c r="G2459" s="7" t="s">
        <v>67</v>
      </c>
      <c r="H2459" s="47" t="s">
        <v>205</v>
      </c>
      <c r="I2459" s="47" t="s">
        <v>206</v>
      </c>
      <c r="J2459" s="6">
        <v>70</v>
      </c>
      <c r="K2459" s="8" t="s">
        <v>20</v>
      </c>
      <c r="L2459" s="1" t="s">
        <v>1037</v>
      </c>
      <c r="M2459" s="5">
        <v>400</v>
      </c>
    </row>
    <row r="2460" spans="1:13" ht="15" x14ac:dyDescent="0.25">
      <c r="A2460" s="7" t="s">
        <v>16</v>
      </c>
      <c r="B2460" s="7" t="s">
        <v>17</v>
      </c>
      <c r="C2460" s="7" t="s">
        <v>18</v>
      </c>
      <c r="D2460" s="4">
        <v>132229000180</v>
      </c>
      <c r="E2460" s="8" t="s">
        <v>1135</v>
      </c>
      <c r="F2460" s="8" t="s">
        <v>58</v>
      </c>
      <c r="G2460" s="7" t="s">
        <v>54</v>
      </c>
      <c r="H2460" s="47" t="s">
        <v>205</v>
      </c>
      <c r="I2460" s="47" t="s">
        <v>206</v>
      </c>
      <c r="J2460" s="6">
        <v>70</v>
      </c>
      <c r="K2460" s="8" t="s">
        <v>20</v>
      </c>
      <c r="L2460" s="1" t="s">
        <v>1135</v>
      </c>
      <c r="M2460" s="5">
        <v>120</v>
      </c>
    </row>
    <row r="2461" spans="1:13" ht="15" x14ac:dyDescent="0.25">
      <c r="A2461" s="7" t="s">
        <v>16</v>
      </c>
      <c r="B2461" s="7" t="s">
        <v>21</v>
      </c>
      <c r="C2461" s="7" t="s">
        <v>18</v>
      </c>
      <c r="D2461" s="4">
        <v>132229000180</v>
      </c>
      <c r="E2461" s="8" t="s">
        <v>1135</v>
      </c>
      <c r="F2461" s="8" t="s">
        <v>58</v>
      </c>
      <c r="G2461" s="7" t="s">
        <v>54</v>
      </c>
      <c r="H2461" s="47" t="s">
        <v>205</v>
      </c>
      <c r="I2461" s="47" t="s">
        <v>206</v>
      </c>
      <c r="J2461" s="6">
        <v>70</v>
      </c>
      <c r="K2461" s="8" t="s">
        <v>20</v>
      </c>
      <c r="L2461" s="1" t="s">
        <v>1135</v>
      </c>
      <c r="M2461" s="5">
        <v>180</v>
      </c>
    </row>
    <row r="2462" spans="1:13" ht="15" x14ac:dyDescent="0.25">
      <c r="A2462" s="7" t="s">
        <v>16</v>
      </c>
      <c r="B2462" s="7" t="s">
        <v>17</v>
      </c>
      <c r="C2462" s="7" t="s">
        <v>18</v>
      </c>
      <c r="D2462" s="4">
        <v>410960000120</v>
      </c>
      <c r="E2462" s="8" t="s">
        <v>1137</v>
      </c>
      <c r="F2462" s="8" t="s">
        <v>58</v>
      </c>
      <c r="G2462" s="7" t="s">
        <v>54</v>
      </c>
      <c r="H2462" s="47" t="s">
        <v>205</v>
      </c>
      <c r="I2462" s="47" t="s">
        <v>206</v>
      </c>
      <c r="J2462" s="6">
        <v>70</v>
      </c>
      <c r="K2462" s="8" t="s">
        <v>20</v>
      </c>
      <c r="L2462" s="1" t="s">
        <v>1137</v>
      </c>
      <c r="M2462" s="5">
        <v>882.5</v>
      </c>
    </row>
    <row r="2463" spans="1:13" ht="15" x14ac:dyDescent="0.25">
      <c r="A2463" s="7" t="s">
        <v>16</v>
      </c>
      <c r="B2463" s="7" t="s">
        <v>21</v>
      </c>
      <c r="C2463" s="7" t="s">
        <v>18</v>
      </c>
      <c r="D2463" s="4">
        <v>410960000120</v>
      </c>
      <c r="E2463" s="8" t="s">
        <v>1137</v>
      </c>
      <c r="F2463" s="8" t="s">
        <v>58</v>
      </c>
      <c r="G2463" s="7" t="s">
        <v>54</v>
      </c>
      <c r="H2463" s="47" t="s">
        <v>205</v>
      </c>
      <c r="I2463" s="47" t="s">
        <v>206</v>
      </c>
      <c r="J2463" s="6">
        <v>70</v>
      </c>
      <c r="K2463" s="8" t="s">
        <v>20</v>
      </c>
      <c r="L2463" s="1" t="s">
        <v>1137</v>
      </c>
      <c r="M2463" s="5">
        <v>685</v>
      </c>
    </row>
    <row r="2464" spans="1:13" ht="15" x14ac:dyDescent="0.25">
      <c r="A2464" s="7" t="s">
        <v>16</v>
      </c>
      <c r="B2464" s="7" t="s">
        <v>17</v>
      </c>
      <c r="C2464" s="7" t="s">
        <v>18</v>
      </c>
      <c r="D2464" s="4">
        <v>2623693000102</v>
      </c>
      <c r="E2464" s="8" t="s">
        <v>1142</v>
      </c>
      <c r="F2464" s="8" t="s">
        <v>58</v>
      </c>
      <c r="G2464" s="7" t="s">
        <v>54</v>
      </c>
      <c r="H2464" s="47" t="s">
        <v>205</v>
      </c>
      <c r="I2464" s="47" t="s">
        <v>206</v>
      </c>
      <c r="J2464" s="6">
        <v>70</v>
      </c>
      <c r="K2464" s="8" t="s">
        <v>20</v>
      </c>
      <c r="L2464" s="1" t="s">
        <v>1142</v>
      </c>
      <c r="M2464" s="5">
        <v>20</v>
      </c>
    </row>
    <row r="2465" spans="1:13" ht="15" x14ac:dyDescent="0.25">
      <c r="A2465" s="7" t="s">
        <v>16</v>
      </c>
      <c r="B2465" s="7" t="s">
        <v>17</v>
      </c>
      <c r="C2465" s="7" t="s">
        <v>18</v>
      </c>
      <c r="D2465" s="4">
        <v>20207543000191</v>
      </c>
      <c r="E2465" s="8" t="s">
        <v>1186</v>
      </c>
      <c r="F2465" s="8" t="s">
        <v>1171</v>
      </c>
      <c r="G2465" s="7" t="s">
        <v>54</v>
      </c>
      <c r="H2465" s="47" t="s">
        <v>205</v>
      </c>
      <c r="I2465" s="47" t="s">
        <v>206</v>
      </c>
      <c r="J2465" s="6">
        <v>70</v>
      </c>
      <c r="K2465" s="8" t="s">
        <v>20</v>
      </c>
      <c r="L2465" s="1" t="s">
        <v>1186</v>
      </c>
      <c r="M2465" s="5">
        <v>310</v>
      </c>
    </row>
    <row r="2466" spans="1:13" ht="15" x14ac:dyDescent="0.25">
      <c r="A2466" s="7" t="s">
        <v>16</v>
      </c>
      <c r="B2466" s="7" t="s">
        <v>17</v>
      </c>
      <c r="C2466" s="7" t="s">
        <v>18</v>
      </c>
      <c r="D2466" s="4">
        <v>23278898000160</v>
      </c>
      <c r="E2466" s="8" t="s">
        <v>1194</v>
      </c>
      <c r="F2466" s="8" t="s">
        <v>119</v>
      </c>
      <c r="G2466" s="7" t="s">
        <v>54</v>
      </c>
      <c r="H2466" s="47" t="s">
        <v>205</v>
      </c>
      <c r="I2466" s="47" t="s">
        <v>206</v>
      </c>
      <c r="J2466" s="6">
        <v>70</v>
      </c>
      <c r="K2466" s="8" t="s">
        <v>20</v>
      </c>
      <c r="L2466" s="1" t="s">
        <v>1194</v>
      </c>
      <c r="M2466" s="5">
        <v>120</v>
      </c>
    </row>
    <row r="2467" spans="1:13" ht="15" x14ac:dyDescent="0.25">
      <c r="A2467" s="7" t="s">
        <v>16</v>
      </c>
      <c r="B2467" s="7" t="s">
        <v>21</v>
      </c>
      <c r="C2467" s="7" t="s">
        <v>18</v>
      </c>
      <c r="D2467" s="4">
        <v>23278898000160</v>
      </c>
      <c r="E2467" s="8" t="s">
        <v>1194</v>
      </c>
      <c r="F2467" s="8" t="s">
        <v>119</v>
      </c>
      <c r="G2467" s="7" t="s">
        <v>54</v>
      </c>
      <c r="H2467" s="47" t="s">
        <v>205</v>
      </c>
      <c r="I2467" s="47" t="s">
        <v>206</v>
      </c>
      <c r="J2467" s="6">
        <v>70</v>
      </c>
      <c r="K2467" s="8" t="s">
        <v>20</v>
      </c>
      <c r="L2467" s="1" t="s">
        <v>1194</v>
      </c>
      <c r="M2467" s="5">
        <v>120</v>
      </c>
    </row>
    <row r="2468" spans="1:13" ht="15" x14ac:dyDescent="0.25">
      <c r="A2468" s="7" t="s">
        <v>16</v>
      </c>
      <c r="B2468" s="7" t="s">
        <v>17</v>
      </c>
      <c r="C2468" s="7" t="s">
        <v>18</v>
      </c>
      <c r="D2468" s="4">
        <v>25648387000207</v>
      </c>
      <c r="E2468" s="8" t="s">
        <v>1201</v>
      </c>
      <c r="F2468" s="8" t="s">
        <v>1171</v>
      </c>
      <c r="G2468" s="7" t="s">
        <v>54</v>
      </c>
      <c r="H2468" s="47" t="s">
        <v>205</v>
      </c>
      <c r="I2468" s="47" t="s">
        <v>206</v>
      </c>
      <c r="J2468" s="6">
        <v>70</v>
      </c>
      <c r="K2468" s="8" t="s">
        <v>20</v>
      </c>
      <c r="L2468" s="1" t="s">
        <v>1201</v>
      </c>
      <c r="M2468" s="5">
        <v>400</v>
      </c>
    </row>
    <row r="2469" spans="1:13" ht="15" x14ac:dyDescent="0.25">
      <c r="A2469" s="7" t="s">
        <v>16</v>
      </c>
      <c r="B2469" s="7" t="s">
        <v>17</v>
      </c>
      <c r="C2469" s="7" t="s">
        <v>18</v>
      </c>
      <c r="D2469" s="4">
        <v>41781949000234</v>
      </c>
      <c r="E2469" s="8" t="s">
        <v>1219</v>
      </c>
      <c r="F2469" s="8" t="s">
        <v>1220</v>
      </c>
      <c r="G2469" s="7" t="s">
        <v>54</v>
      </c>
      <c r="H2469" s="47" t="s">
        <v>205</v>
      </c>
      <c r="I2469" s="47" t="s">
        <v>206</v>
      </c>
      <c r="J2469" s="6">
        <v>70</v>
      </c>
      <c r="K2469" s="8" t="s">
        <v>20</v>
      </c>
      <c r="L2469" s="1" t="s">
        <v>1219</v>
      </c>
      <c r="M2469" s="5">
        <v>150</v>
      </c>
    </row>
    <row r="2470" spans="1:13" ht="15" x14ac:dyDescent="0.25">
      <c r="A2470" s="7" t="s">
        <v>16</v>
      </c>
      <c r="B2470" s="7" t="s">
        <v>21</v>
      </c>
      <c r="C2470" s="7" t="s">
        <v>18</v>
      </c>
      <c r="D2470" s="4">
        <v>17774738000613</v>
      </c>
      <c r="E2470" s="8" t="s">
        <v>1175</v>
      </c>
      <c r="F2470" s="8" t="s">
        <v>126</v>
      </c>
      <c r="G2470" s="7" t="s">
        <v>54</v>
      </c>
      <c r="H2470" s="47" t="s">
        <v>205</v>
      </c>
      <c r="I2470" s="47" t="s">
        <v>206</v>
      </c>
      <c r="J2470" s="6">
        <v>70</v>
      </c>
      <c r="K2470" s="8" t="s">
        <v>20</v>
      </c>
      <c r="L2470" s="1" t="s">
        <v>1175</v>
      </c>
      <c r="M2470" s="5">
        <v>180</v>
      </c>
    </row>
    <row r="2471" spans="1:13" ht="15" x14ac:dyDescent="0.25">
      <c r="A2471" s="7" t="s">
        <v>16</v>
      </c>
      <c r="B2471" s="7" t="s">
        <v>21</v>
      </c>
      <c r="C2471" s="7" t="s">
        <v>18</v>
      </c>
      <c r="D2471" s="4">
        <v>19274091000181</v>
      </c>
      <c r="E2471" s="8" t="s">
        <v>1178</v>
      </c>
      <c r="F2471" s="8" t="s">
        <v>127</v>
      </c>
      <c r="G2471" s="7" t="s">
        <v>54</v>
      </c>
      <c r="H2471" s="47" t="s">
        <v>205</v>
      </c>
      <c r="I2471" s="47" t="s">
        <v>206</v>
      </c>
      <c r="J2471" s="6">
        <v>70</v>
      </c>
      <c r="K2471" s="8" t="s">
        <v>20</v>
      </c>
      <c r="L2471" s="1" t="s">
        <v>1178</v>
      </c>
      <c r="M2471" s="5">
        <v>140</v>
      </c>
    </row>
    <row r="2472" spans="1:13" ht="15" x14ac:dyDescent="0.25">
      <c r="A2472" s="7" t="s">
        <v>16</v>
      </c>
      <c r="B2472" s="7" t="s">
        <v>21</v>
      </c>
      <c r="C2472" s="7" t="s">
        <v>18</v>
      </c>
      <c r="D2472" s="4">
        <v>41781949000234</v>
      </c>
      <c r="E2472" s="8" t="s">
        <v>1219</v>
      </c>
      <c r="F2472" s="8" t="s">
        <v>1220</v>
      </c>
      <c r="G2472" s="7" t="s">
        <v>54</v>
      </c>
      <c r="H2472" s="47" t="s">
        <v>205</v>
      </c>
      <c r="I2472" s="47" t="s">
        <v>206</v>
      </c>
      <c r="J2472" s="6">
        <v>70</v>
      </c>
      <c r="K2472" s="8" t="s">
        <v>20</v>
      </c>
      <c r="L2472" s="1" t="s">
        <v>1219</v>
      </c>
      <c r="M2472" s="5">
        <v>40</v>
      </c>
    </row>
    <row r="2473" spans="1:13" ht="15" x14ac:dyDescent="0.25">
      <c r="A2473" s="7" t="s">
        <v>16</v>
      </c>
      <c r="B2473" s="7" t="s">
        <v>22</v>
      </c>
      <c r="C2473" s="7" t="s">
        <v>18</v>
      </c>
      <c r="D2473" s="4">
        <v>410960000120</v>
      </c>
      <c r="E2473" s="8" t="s">
        <v>1137</v>
      </c>
      <c r="F2473" s="8" t="s">
        <v>58</v>
      </c>
      <c r="G2473" s="7" t="s">
        <v>54</v>
      </c>
      <c r="H2473" s="47" t="s">
        <v>205</v>
      </c>
      <c r="I2473" s="47" t="s">
        <v>206</v>
      </c>
      <c r="J2473" s="6">
        <v>70</v>
      </c>
      <c r="K2473" s="8" t="s">
        <v>20</v>
      </c>
      <c r="L2473" s="1" t="s">
        <v>1137</v>
      </c>
      <c r="M2473" s="5">
        <v>662.5</v>
      </c>
    </row>
    <row r="2474" spans="1:13" ht="15" x14ac:dyDescent="0.25">
      <c r="A2474" s="7" t="s">
        <v>16</v>
      </c>
      <c r="B2474" s="7" t="s">
        <v>22</v>
      </c>
      <c r="C2474" s="7" t="s">
        <v>18</v>
      </c>
      <c r="D2474" s="4">
        <v>2623693000102</v>
      </c>
      <c r="E2474" s="8" t="s">
        <v>1142</v>
      </c>
      <c r="F2474" s="8" t="s">
        <v>58</v>
      </c>
      <c r="G2474" s="7" t="s">
        <v>54</v>
      </c>
      <c r="H2474" s="47" t="s">
        <v>205</v>
      </c>
      <c r="I2474" s="47" t="s">
        <v>206</v>
      </c>
      <c r="J2474" s="6">
        <v>70</v>
      </c>
      <c r="K2474" s="8" t="s">
        <v>20</v>
      </c>
      <c r="L2474" s="1" t="s">
        <v>1142</v>
      </c>
      <c r="M2474" s="5">
        <v>20</v>
      </c>
    </row>
    <row r="2475" spans="1:13" ht="15" x14ac:dyDescent="0.25">
      <c r="A2475" s="7" t="s">
        <v>16</v>
      </c>
      <c r="B2475" s="7" t="s">
        <v>22</v>
      </c>
      <c r="C2475" s="7" t="s">
        <v>18</v>
      </c>
      <c r="D2475" s="4">
        <v>25648387000207</v>
      </c>
      <c r="E2475" s="8" t="s">
        <v>1201</v>
      </c>
      <c r="F2475" s="8" t="s">
        <v>1171</v>
      </c>
      <c r="G2475" s="7" t="s">
        <v>54</v>
      </c>
      <c r="H2475" s="47" t="s">
        <v>205</v>
      </c>
      <c r="I2475" s="47" t="s">
        <v>206</v>
      </c>
      <c r="J2475" s="6">
        <v>70</v>
      </c>
      <c r="K2475" s="8" t="s">
        <v>20</v>
      </c>
      <c r="L2475" s="1" t="s">
        <v>1201</v>
      </c>
      <c r="M2475" s="5">
        <v>650</v>
      </c>
    </row>
    <row r="2476" spans="1:13" ht="15" x14ac:dyDescent="0.25">
      <c r="A2476" s="7" t="s">
        <v>16</v>
      </c>
      <c r="B2476" s="7" t="s">
        <v>22</v>
      </c>
      <c r="C2476" s="7" t="s">
        <v>18</v>
      </c>
      <c r="D2476" s="4">
        <v>25910449000460</v>
      </c>
      <c r="E2476" s="8" t="s">
        <v>1203</v>
      </c>
      <c r="F2476" s="8" t="s">
        <v>1204</v>
      </c>
      <c r="G2476" s="7" t="s">
        <v>54</v>
      </c>
      <c r="H2476" s="47" t="s">
        <v>205</v>
      </c>
      <c r="I2476" s="47" t="s">
        <v>206</v>
      </c>
      <c r="J2476" s="6">
        <v>70</v>
      </c>
      <c r="K2476" s="8" t="s">
        <v>20</v>
      </c>
      <c r="L2476" s="1" t="s">
        <v>1203</v>
      </c>
      <c r="M2476" s="5">
        <v>30</v>
      </c>
    </row>
    <row r="2477" spans="1:13" ht="15" x14ac:dyDescent="0.25">
      <c r="A2477" s="7" t="s">
        <v>16</v>
      </c>
      <c r="B2477" s="7" t="s">
        <v>23</v>
      </c>
      <c r="C2477" s="7" t="s">
        <v>24</v>
      </c>
      <c r="D2477" s="4">
        <v>132229000180</v>
      </c>
      <c r="E2477" s="8" t="s">
        <v>1135</v>
      </c>
      <c r="F2477" s="8" t="s">
        <v>58</v>
      </c>
      <c r="G2477" s="7" t="s">
        <v>54</v>
      </c>
      <c r="H2477" s="47" t="s">
        <v>205</v>
      </c>
      <c r="I2477" s="47" t="s">
        <v>206</v>
      </c>
      <c r="J2477" s="6">
        <v>70</v>
      </c>
      <c r="K2477" s="8" t="s">
        <v>20</v>
      </c>
      <c r="L2477" s="1" t="s">
        <v>1135</v>
      </c>
      <c r="M2477" s="5">
        <v>140</v>
      </c>
    </row>
    <row r="2478" spans="1:13" ht="15" x14ac:dyDescent="0.25">
      <c r="A2478" s="7" t="s">
        <v>16</v>
      </c>
      <c r="B2478" s="7" t="s">
        <v>23</v>
      </c>
      <c r="C2478" s="7" t="s">
        <v>24</v>
      </c>
      <c r="D2478" s="4">
        <v>410960000120</v>
      </c>
      <c r="E2478" s="8" t="s">
        <v>1137</v>
      </c>
      <c r="F2478" s="8" t="s">
        <v>58</v>
      </c>
      <c r="G2478" s="7" t="s">
        <v>54</v>
      </c>
      <c r="H2478" s="47" t="s">
        <v>205</v>
      </c>
      <c r="I2478" s="47" t="s">
        <v>206</v>
      </c>
      <c r="J2478" s="6">
        <v>70</v>
      </c>
      <c r="K2478" s="8" t="s">
        <v>20</v>
      </c>
      <c r="L2478" s="1" t="s">
        <v>1137</v>
      </c>
      <c r="M2478" s="5">
        <v>1427.5</v>
      </c>
    </row>
    <row r="2479" spans="1:13" ht="15" x14ac:dyDescent="0.25">
      <c r="A2479" s="7" t="s">
        <v>16</v>
      </c>
      <c r="B2479" s="7" t="s">
        <v>23</v>
      </c>
      <c r="C2479" s="7" t="s">
        <v>24</v>
      </c>
      <c r="D2479" s="4">
        <v>1444455000169</v>
      </c>
      <c r="E2479" s="8" t="s">
        <v>1141</v>
      </c>
      <c r="F2479" s="8" t="s">
        <v>58</v>
      </c>
      <c r="G2479" s="7" t="s">
        <v>54</v>
      </c>
      <c r="H2479" s="47" t="s">
        <v>205</v>
      </c>
      <c r="I2479" s="47" t="s">
        <v>206</v>
      </c>
      <c r="J2479" s="6">
        <v>70</v>
      </c>
      <c r="K2479" s="8" t="s">
        <v>20</v>
      </c>
      <c r="L2479" s="1" t="s">
        <v>1141</v>
      </c>
      <c r="M2479" s="5">
        <v>30</v>
      </c>
    </row>
    <row r="2480" spans="1:13" ht="15" x14ac:dyDescent="0.25">
      <c r="A2480" s="7" t="s">
        <v>16</v>
      </c>
      <c r="B2480" s="7" t="s">
        <v>23</v>
      </c>
      <c r="C2480" s="7" t="s">
        <v>24</v>
      </c>
      <c r="D2480" s="4">
        <v>2623693000102</v>
      </c>
      <c r="E2480" s="8" t="s">
        <v>1142</v>
      </c>
      <c r="F2480" s="8" t="s">
        <v>58</v>
      </c>
      <c r="G2480" s="7" t="s">
        <v>54</v>
      </c>
      <c r="H2480" s="47" t="s">
        <v>205</v>
      </c>
      <c r="I2480" s="47" t="s">
        <v>206</v>
      </c>
      <c r="J2480" s="6">
        <v>70</v>
      </c>
      <c r="K2480" s="8" t="s">
        <v>20</v>
      </c>
      <c r="L2480" s="1" t="s">
        <v>1142</v>
      </c>
      <c r="M2480" s="5">
        <v>20</v>
      </c>
    </row>
    <row r="2481" spans="1:13" ht="15" x14ac:dyDescent="0.25">
      <c r="A2481" s="7" t="s">
        <v>16</v>
      </c>
      <c r="B2481" s="7" t="s">
        <v>23</v>
      </c>
      <c r="C2481" s="7" t="s">
        <v>24</v>
      </c>
      <c r="D2481" s="4">
        <v>7457902000109</v>
      </c>
      <c r="E2481" s="8" t="s">
        <v>1154</v>
      </c>
      <c r="F2481" s="8" t="s">
        <v>88</v>
      </c>
      <c r="G2481" s="7" t="s">
        <v>54</v>
      </c>
      <c r="H2481" s="47" t="s">
        <v>205</v>
      </c>
      <c r="I2481" s="47" t="s">
        <v>206</v>
      </c>
      <c r="J2481" s="6">
        <v>70</v>
      </c>
      <c r="K2481" s="8" t="s">
        <v>20</v>
      </c>
      <c r="L2481" s="1" t="s">
        <v>1154</v>
      </c>
      <c r="M2481" s="5">
        <v>30</v>
      </c>
    </row>
    <row r="2482" spans="1:13" ht="15" x14ac:dyDescent="0.25">
      <c r="A2482" s="7" t="s">
        <v>16</v>
      </c>
      <c r="B2482" s="7" t="s">
        <v>23</v>
      </c>
      <c r="C2482" s="7" t="s">
        <v>24</v>
      </c>
      <c r="D2482" s="4">
        <v>19843929001506</v>
      </c>
      <c r="E2482" s="8" t="s">
        <v>1181</v>
      </c>
      <c r="F2482" s="8" t="s">
        <v>58</v>
      </c>
      <c r="G2482" s="7" t="s">
        <v>54</v>
      </c>
      <c r="H2482" s="47" t="s">
        <v>205</v>
      </c>
      <c r="I2482" s="47" t="s">
        <v>206</v>
      </c>
      <c r="J2482" s="6">
        <v>70</v>
      </c>
      <c r="K2482" s="8" t="s">
        <v>20</v>
      </c>
      <c r="L2482" s="1" t="s">
        <v>1181</v>
      </c>
      <c r="M2482" s="5">
        <v>650</v>
      </c>
    </row>
    <row r="2483" spans="1:13" ht="15" x14ac:dyDescent="0.25">
      <c r="A2483" s="7" t="s">
        <v>16</v>
      </c>
      <c r="B2483" s="7" t="s">
        <v>23</v>
      </c>
      <c r="C2483" s="7" t="s">
        <v>24</v>
      </c>
      <c r="D2483" s="4">
        <v>19843929001697</v>
      </c>
      <c r="E2483" s="8" t="s">
        <v>1182</v>
      </c>
      <c r="F2483" s="8" t="s">
        <v>539</v>
      </c>
      <c r="G2483" s="7" t="s">
        <v>54</v>
      </c>
      <c r="H2483" s="47" t="s">
        <v>205</v>
      </c>
      <c r="I2483" s="47" t="s">
        <v>206</v>
      </c>
      <c r="J2483" s="6">
        <v>70</v>
      </c>
      <c r="K2483" s="8" t="s">
        <v>20</v>
      </c>
      <c r="L2483" s="1" t="s">
        <v>1182</v>
      </c>
      <c r="M2483" s="5">
        <v>350</v>
      </c>
    </row>
    <row r="2484" spans="1:13" ht="15" x14ac:dyDescent="0.25">
      <c r="A2484" s="7" t="s">
        <v>16</v>
      </c>
      <c r="B2484" s="7" t="s">
        <v>23</v>
      </c>
      <c r="C2484" s="7" t="s">
        <v>24</v>
      </c>
      <c r="D2484" s="4">
        <v>22675359000100</v>
      </c>
      <c r="E2484" s="8" t="s">
        <v>1193</v>
      </c>
      <c r="F2484" s="8" t="s">
        <v>540</v>
      </c>
      <c r="G2484" s="7" t="s">
        <v>54</v>
      </c>
      <c r="H2484" s="47" t="s">
        <v>205</v>
      </c>
      <c r="I2484" s="47" t="s">
        <v>206</v>
      </c>
      <c r="J2484" s="6">
        <v>70</v>
      </c>
      <c r="K2484" s="8" t="s">
        <v>20</v>
      </c>
      <c r="L2484" s="1" t="s">
        <v>1193</v>
      </c>
      <c r="M2484" s="5">
        <v>250</v>
      </c>
    </row>
    <row r="2485" spans="1:13" ht="15" x14ac:dyDescent="0.25">
      <c r="A2485" s="7" t="s">
        <v>16</v>
      </c>
      <c r="B2485" s="7" t="s">
        <v>23</v>
      </c>
      <c r="C2485" s="7" t="s">
        <v>24</v>
      </c>
      <c r="D2485" s="4">
        <v>41781949000234</v>
      </c>
      <c r="E2485" s="8" t="s">
        <v>1219</v>
      </c>
      <c r="F2485" s="8" t="s">
        <v>1220</v>
      </c>
      <c r="G2485" s="7" t="s">
        <v>54</v>
      </c>
      <c r="H2485" s="47" t="s">
        <v>205</v>
      </c>
      <c r="I2485" s="47" t="s">
        <v>206</v>
      </c>
      <c r="J2485" s="6">
        <v>70</v>
      </c>
      <c r="K2485" s="8" t="s">
        <v>20</v>
      </c>
      <c r="L2485" s="1" t="s">
        <v>1219</v>
      </c>
      <c r="M2485" s="5">
        <v>200</v>
      </c>
    </row>
    <row r="2486" spans="1:13" ht="15" x14ac:dyDescent="0.25">
      <c r="A2486" s="7" t="s">
        <v>16</v>
      </c>
      <c r="B2486" s="7" t="s">
        <v>229</v>
      </c>
      <c r="C2486" s="7" t="s">
        <v>24</v>
      </c>
      <c r="D2486" s="4">
        <v>132229000180</v>
      </c>
      <c r="E2486" s="8" t="s">
        <v>1135</v>
      </c>
      <c r="F2486" s="8" t="s">
        <v>58</v>
      </c>
      <c r="G2486" s="7" t="s">
        <v>54</v>
      </c>
      <c r="H2486" s="47" t="s">
        <v>205</v>
      </c>
      <c r="I2486" s="47" t="s">
        <v>206</v>
      </c>
      <c r="J2486" s="6">
        <v>70</v>
      </c>
      <c r="K2486" s="8" t="s">
        <v>20</v>
      </c>
      <c r="L2486" s="1" t="s">
        <v>1135</v>
      </c>
      <c r="M2486" s="5">
        <v>25</v>
      </c>
    </row>
    <row r="2487" spans="1:13" ht="15" x14ac:dyDescent="0.25">
      <c r="A2487" s="7" t="s">
        <v>16</v>
      </c>
      <c r="B2487" s="7" t="s">
        <v>229</v>
      </c>
      <c r="C2487" s="7" t="s">
        <v>24</v>
      </c>
      <c r="D2487" s="4">
        <v>410960000120</v>
      </c>
      <c r="E2487" s="8" t="s">
        <v>1137</v>
      </c>
      <c r="F2487" s="8" t="s">
        <v>58</v>
      </c>
      <c r="G2487" s="7" t="s">
        <v>54</v>
      </c>
      <c r="H2487" s="47" t="s">
        <v>205</v>
      </c>
      <c r="I2487" s="47" t="s">
        <v>206</v>
      </c>
      <c r="J2487" s="6">
        <v>70</v>
      </c>
      <c r="K2487" s="8" t="s">
        <v>20</v>
      </c>
      <c r="L2487" s="1" t="s">
        <v>1137</v>
      </c>
      <c r="M2487" s="5">
        <v>1050</v>
      </c>
    </row>
    <row r="2488" spans="1:13" ht="15" x14ac:dyDescent="0.25">
      <c r="A2488" s="7" t="s">
        <v>16</v>
      </c>
      <c r="B2488" s="7" t="s">
        <v>229</v>
      </c>
      <c r="C2488" s="7" t="s">
        <v>24</v>
      </c>
      <c r="D2488" s="4">
        <v>2623693000102</v>
      </c>
      <c r="E2488" s="8" t="s">
        <v>1142</v>
      </c>
      <c r="F2488" s="8" t="s">
        <v>58</v>
      </c>
      <c r="G2488" s="7" t="s">
        <v>54</v>
      </c>
      <c r="H2488" s="47" t="s">
        <v>205</v>
      </c>
      <c r="I2488" s="47" t="s">
        <v>206</v>
      </c>
      <c r="J2488" s="6">
        <v>70</v>
      </c>
      <c r="K2488" s="8" t="s">
        <v>20</v>
      </c>
      <c r="L2488" s="1" t="s">
        <v>1142</v>
      </c>
      <c r="M2488" s="5">
        <v>20</v>
      </c>
    </row>
    <row r="2489" spans="1:13" ht="15" x14ac:dyDescent="0.25">
      <c r="A2489" s="7" t="s">
        <v>16</v>
      </c>
      <c r="B2489" s="7" t="s">
        <v>229</v>
      </c>
      <c r="C2489" s="7" t="s">
        <v>24</v>
      </c>
      <c r="D2489" s="4">
        <v>15126437000577</v>
      </c>
      <c r="E2489" s="8" t="s">
        <v>1165</v>
      </c>
      <c r="F2489" s="8" t="s">
        <v>126</v>
      </c>
      <c r="G2489" s="7" t="s">
        <v>54</v>
      </c>
      <c r="H2489" s="47" t="s">
        <v>205</v>
      </c>
      <c r="I2489" s="47" t="s">
        <v>206</v>
      </c>
      <c r="J2489" s="6">
        <v>70</v>
      </c>
      <c r="K2489" s="8" t="s">
        <v>20</v>
      </c>
      <c r="L2489" s="1" t="s">
        <v>1165</v>
      </c>
      <c r="M2489" s="5">
        <v>500</v>
      </c>
    </row>
    <row r="2490" spans="1:13" ht="15" x14ac:dyDescent="0.25">
      <c r="A2490" s="7" t="s">
        <v>16</v>
      </c>
      <c r="B2490" s="7" t="s">
        <v>229</v>
      </c>
      <c r="C2490" s="7" t="s">
        <v>24</v>
      </c>
      <c r="D2490" s="4">
        <v>19130186000121</v>
      </c>
      <c r="E2490" s="8" t="s">
        <v>1300</v>
      </c>
      <c r="F2490" s="8" t="s">
        <v>1301</v>
      </c>
      <c r="G2490" s="7" t="s">
        <v>54</v>
      </c>
      <c r="H2490" s="47" t="s">
        <v>205</v>
      </c>
      <c r="I2490" s="47" t="s">
        <v>206</v>
      </c>
      <c r="J2490" s="6">
        <v>70</v>
      </c>
      <c r="K2490" s="8" t="s">
        <v>20</v>
      </c>
      <c r="L2490" s="1" t="s">
        <v>1300</v>
      </c>
      <c r="M2490" s="5">
        <v>5</v>
      </c>
    </row>
    <row r="2491" spans="1:13" ht="15" x14ac:dyDescent="0.25">
      <c r="A2491" s="7" t="s">
        <v>16</v>
      </c>
      <c r="B2491" s="7" t="s">
        <v>229</v>
      </c>
      <c r="C2491" s="7" t="s">
        <v>24</v>
      </c>
      <c r="D2491" s="4">
        <v>19843929001000</v>
      </c>
      <c r="E2491" s="8" t="s">
        <v>1179</v>
      </c>
      <c r="F2491" s="8" t="s">
        <v>88</v>
      </c>
      <c r="G2491" s="7" t="s">
        <v>54</v>
      </c>
      <c r="H2491" s="47" t="s">
        <v>205</v>
      </c>
      <c r="I2491" s="47" t="s">
        <v>206</v>
      </c>
      <c r="J2491" s="6">
        <v>70</v>
      </c>
      <c r="K2491" s="8" t="s">
        <v>20</v>
      </c>
      <c r="L2491" s="1" t="s">
        <v>1179</v>
      </c>
      <c r="M2491" s="5">
        <v>200</v>
      </c>
    </row>
    <row r="2492" spans="1:13" ht="15" x14ac:dyDescent="0.25">
      <c r="A2492" s="7" t="s">
        <v>16</v>
      </c>
      <c r="B2492" s="7" t="s">
        <v>229</v>
      </c>
      <c r="C2492" s="7" t="s">
        <v>24</v>
      </c>
      <c r="D2492" s="4">
        <v>19843929001182</v>
      </c>
      <c r="E2492" s="8" t="s">
        <v>1180</v>
      </c>
      <c r="F2492" s="8" t="s">
        <v>58</v>
      </c>
      <c r="G2492" s="7" t="s">
        <v>54</v>
      </c>
      <c r="H2492" s="47" t="s">
        <v>205</v>
      </c>
      <c r="I2492" s="47" t="s">
        <v>206</v>
      </c>
      <c r="J2492" s="6">
        <v>70</v>
      </c>
      <c r="K2492" s="8" t="s">
        <v>20</v>
      </c>
      <c r="L2492" s="1" t="s">
        <v>1180</v>
      </c>
      <c r="M2492" s="5">
        <v>405</v>
      </c>
    </row>
    <row r="2493" spans="1:13" ht="15" x14ac:dyDescent="0.25">
      <c r="A2493" s="7" t="s">
        <v>16</v>
      </c>
      <c r="B2493" s="7" t="s">
        <v>229</v>
      </c>
      <c r="C2493" s="7" t="s">
        <v>24</v>
      </c>
      <c r="D2493" s="4">
        <v>19843929001344</v>
      </c>
      <c r="E2493" s="8" t="s">
        <v>1303</v>
      </c>
      <c r="F2493" s="8" t="s">
        <v>58</v>
      </c>
      <c r="G2493" s="7" t="s">
        <v>54</v>
      </c>
      <c r="H2493" s="47" t="s">
        <v>205</v>
      </c>
      <c r="I2493" s="47" t="s">
        <v>206</v>
      </c>
      <c r="J2493" s="6">
        <v>70</v>
      </c>
      <c r="K2493" s="8" t="s">
        <v>20</v>
      </c>
      <c r="L2493" s="1" t="s">
        <v>1303</v>
      </c>
      <c r="M2493" s="5">
        <v>125</v>
      </c>
    </row>
    <row r="2494" spans="1:13" ht="15" x14ac:dyDescent="0.25">
      <c r="A2494" s="7" t="s">
        <v>16</v>
      </c>
      <c r="B2494" s="7" t="s">
        <v>229</v>
      </c>
      <c r="C2494" s="7" t="s">
        <v>24</v>
      </c>
      <c r="D2494" s="4">
        <v>19843929001697</v>
      </c>
      <c r="E2494" s="8" t="s">
        <v>1182</v>
      </c>
      <c r="F2494" s="8" t="s">
        <v>539</v>
      </c>
      <c r="G2494" s="7" t="s">
        <v>54</v>
      </c>
      <c r="H2494" s="47" t="s">
        <v>205</v>
      </c>
      <c r="I2494" s="47" t="s">
        <v>206</v>
      </c>
      <c r="J2494" s="6">
        <v>70</v>
      </c>
      <c r="K2494" s="8" t="s">
        <v>20</v>
      </c>
      <c r="L2494" s="1" t="s">
        <v>1182</v>
      </c>
      <c r="M2494" s="5">
        <v>125</v>
      </c>
    </row>
    <row r="2495" spans="1:13" ht="15" x14ac:dyDescent="0.25">
      <c r="A2495" s="7" t="s">
        <v>16</v>
      </c>
      <c r="B2495" s="7" t="s">
        <v>229</v>
      </c>
      <c r="C2495" s="7" t="s">
        <v>24</v>
      </c>
      <c r="D2495" s="4">
        <v>19843929002820</v>
      </c>
      <c r="E2495" s="8" t="s">
        <v>1183</v>
      </c>
      <c r="F2495" s="8" t="s">
        <v>58</v>
      </c>
      <c r="G2495" s="7" t="s">
        <v>54</v>
      </c>
      <c r="H2495" s="47" t="s">
        <v>205</v>
      </c>
      <c r="I2495" s="47" t="s">
        <v>206</v>
      </c>
      <c r="J2495" s="6">
        <v>70</v>
      </c>
      <c r="K2495" s="8" t="s">
        <v>20</v>
      </c>
      <c r="L2495" s="1" t="s">
        <v>1183</v>
      </c>
      <c r="M2495" s="5">
        <v>1170</v>
      </c>
    </row>
    <row r="2496" spans="1:13" ht="15" x14ac:dyDescent="0.25">
      <c r="A2496" s="7" t="s">
        <v>16</v>
      </c>
      <c r="B2496" s="7" t="s">
        <v>229</v>
      </c>
      <c r="C2496" s="7" t="s">
        <v>24</v>
      </c>
      <c r="D2496" s="4">
        <v>20622890000180</v>
      </c>
      <c r="E2496" s="8" t="s">
        <v>1187</v>
      </c>
      <c r="F2496" s="8" t="s">
        <v>1188</v>
      </c>
      <c r="G2496" s="7" t="s">
        <v>54</v>
      </c>
      <c r="H2496" s="47" t="s">
        <v>205</v>
      </c>
      <c r="I2496" s="47" t="s">
        <v>206</v>
      </c>
      <c r="J2496" s="6">
        <v>70</v>
      </c>
      <c r="K2496" s="8" t="s">
        <v>20</v>
      </c>
      <c r="L2496" s="1" t="s">
        <v>1187</v>
      </c>
      <c r="M2496" s="5">
        <v>325</v>
      </c>
    </row>
    <row r="2497" spans="1:13" ht="15" x14ac:dyDescent="0.25">
      <c r="A2497" s="7" t="s">
        <v>16</v>
      </c>
      <c r="B2497" s="7" t="s">
        <v>229</v>
      </c>
      <c r="C2497" s="7" t="s">
        <v>24</v>
      </c>
      <c r="D2497" s="4">
        <v>25648387000207</v>
      </c>
      <c r="E2497" s="8" t="s">
        <v>1201</v>
      </c>
      <c r="F2497" s="8" t="s">
        <v>1171</v>
      </c>
      <c r="G2497" s="7" t="s">
        <v>54</v>
      </c>
      <c r="H2497" s="47" t="s">
        <v>205</v>
      </c>
      <c r="I2497" s="47" t="s">
        <v>206</v>
      </c>
      <c r="J2497" s="6">
        <v>70</v>
      </c>
      <c r="K2497" s="8" t="s">
        <v>20</v>
      </c>
      <c r="L2497" s="1" t="s">
        <v>1201</v>
      </c>
      <c r="M2497" s="5">
        <v>600</v>
      </c>
    </row>
    <row r="2498" spans="1:13" ht="15" x14ac:dyDescent="0.25">
      <c r="A2498" s="7" t="s">
        <v>16</v>
      </c>
      <c r="B2498" s="7" t="s">
        <v>229</v>
      </c>
      <c r="C2498" s="7" t="s">
        <v>24</v>
      </c>
      <c r="D2498" s="4">
        <v>41781949000234</v>
      </c>
      <c r="E2498" s="8" t="s">
        <v>1219</v>
      </c>
      <c r="F2498" s="8" t="s">
        <v>1220</v>
      </c>
      <c r="G2498" s="7" t="s">
        <v>54</v>
      </c>
      <c r="H2498" s="47" t="s">
        <v>205</v>
      </c>
      <c r="I2498" s="47" t="s">
        <v>206</v>
      </c>
      <c r="J2498" s="6">
        <v>70</v>
      </c>
      <c r="K2498" s="8" t="s">
        <v>20</v>
      </c>
      <c r="L2498" s="1" t="s">
        <v>1219</v>
      </c>
      <c r="M2498" s="5">
        <v>40</v>
      </c>
    </row>
    <row r="2499" spans="1:13" ht="15" x14ac:dyDescent="0.25">
      <c r="A2499" s="7" t="s">
        <v>16</v>
      </c>
      <c r="B2499" s="7" t="s">
        <v>229</v>
      </c>
      <c r="C2499" s="7" t="s">
        <v>24</v>
      </c>
      <c r="D2499" s="4">
        <v>42855999000362</v>
      </c>
      <c r="E2499" s="8" t="s">
        <v>1222</v>
      </c>
      <c r="F2499" s="8" t="s">
        <v>1223</v>
      </c>
      <c r="G2499" s="7" t="s">
        <v>54</v>
      </c>
      <c r="H2499" s="47" t="s">
        <v>205</v>
      </c>
      <c r="I2499" s="47" t="s">
        <v>206</v>
      </c>
      <c r="J2499" s="6">
        <v>70</v>
      </c>
      <c r="K2499" s="8" t="s">
        <v>20</v>
      </c>
      <c r="L2499" s="1" t="s">
        <v>1222</v>
      </c>
      <c r="M2499" s="5">
        <v>75</v>
      </c>
    </row>
    <row r="2500" spans="1:13" ht="15" x14ac:dyDescent="0.25">
      <c r="A2500" s="7" t="s">
        <v>16</v>
      </c>
      <c r="B2500" s="7" t="s">
        <v>230</v>
      </c>
      <c r="C2500" s="7" t="s">
        <v>24</v>
      </c>
      <c r="D2500" s="4">
        <v>410960000120</v>
      </c>
      <c r="E2500" s="8" t="s">
        <v>1137</v>
      </c>
      <c r="F2500" s="8" t="s">
        <v>58</v>
      </c>
      <c r="G2500" s="7" t="s">
        <v>54</v>
      </c>
      <c r="H2500" s="47" t="s">
        <v>205</v>
      </c>
      <c r="I2500" s="47" t="s">
        <v>206</v>
      </c>
      <c r="J2500" s="6">
        <v>70</v>
      </c>
      <c r="K2500" s="8" t="s">
        <v>20</v>
      </c>
      <c r="L2500" s="1" t="s">
        <v>1137</v>
      </c>
      <c r="M2500" s="5">
        <v>1170</v>
      </c>
    </row>
    <row r="2501" spans="1:13" ht="15" x14ac:dyDescent="0.25">
      <c r="A2501" s="7" t="s">
        <v>16</v>
      </c>
      <c r="B2501" s="7" t="s">
        <v>230</v>
      </c>
      <c r="C2501" s="7" t="s">
        <v>24</v>
      </c>
      <c r="D2501" s="4">
        <v>2623693000102</v>
      </c>
      <c r="E2501" s="8" t="s">
        <v>1142</v>
      </c>
      <c r="F2501" s="8" t="s">
        <v>58</v>
      </c>
      <c r="G2501" s="7" t="s">
        <v>54</v>
      </c>
      <c r="H2501" s="47" t="s">
        <v>205</v>
      </c>
      <c r="I2501" s="47" t="s">
        <v>206</v>
      </c>
      <c r="J2501" s="6">
        <v>70</v>
      </c>
      <c r="K2501" s="8" t="s">
        <v>20</v>
      </c>
      <c r="L2501" s="1" t="s">
        <v>1142</v>
      </c>
      <c r="M2501" s="5">
        <v>25</v>
      </c>
    </row>
    <row r="2502" spans="1:13" ht="15" x14ac:dyDescent="0.25">
      <c r="A2502" s="7" t="s">
        <v>16</v>
      </c>
      <c r="B2502" s="7" t="s">
        <v>230</v>
      </c>
      <c r="C2502" s="7" t="s">
        <v>24</v>
      </c>
      <c r="D2502" s="4">
        <v>16695025000197</v>
      </c>
      <c r="E2502" s="8" t="s">
        <v>1417</v>
      </c>
      <c r="F2502" s="8" t="s">
        <v>58</v>
      </c>
      <c r="G2502" s="7" t="s">
        <v>54</v>
      </c>
      <c r="H2502" s="47" t="s">
        <v>205</v>
      </c>
      <c r="I2502" s="47" t="s">
        <v>206</v>
      </c>
      <c r="J2502" s="6">
        <v>70</v>
      </c>
      <c r="K2502" s="8" t="s">
        <v>20</v>
      </c>
      <c r="L2502" s="1" t="s">
        <v>1417</v>
      </c>
      <c r="M2502" s="5">
        <v>250</v>
      </c>
    </row>
    <row r="2503" spans="1:13" ht="15" x14ac:dyDescent="0.25">
      <c r="A2503" s="7" t="s">
        <v>16</v>
      </c>
      <c r="B2503" s="7" t="s">
        <v>230</v>
      </c>
      <c r="C2503" s="7" t="s">
        <v>24</v>
      </c>
      <c r="D2503" s="4">
        <v>18715516000188</v>
      </c>
      <c r="E2503" s="8" t="s">
        <v>1421</v>
      </c>
      <c r="F2503" s="8" t="s">
        <v>58</v>
      </c>
      <c r="G2503" s="7" t="s">
        <v>54</v>
      </c>
      <c r="H2503" s="47" t="s">
        <v>205</v>
      </c>
      <c r="I2503" s="47" t="s">
        <v>206</v>
      </c>
      <c r="J2503" s="6">
        <v>70</v>
      </c>
      <c r="K2503" s="8" t="s">
        <v>20</v>
      </c>
      <c r="L2503" s="1" t="s">
        <v>1421</v>
      </c>
      <c r="M2503" s="5">
        <v>100</v>
      </c>
    </row>
    <row r="2504" spans="1:13" ht="15" x14ac:dyDescent="0.25">
      <c r="A2504" s="7" t="s">
        <v>16</v>
      </c>
      <c r="B2504" s="7" t="s">
        <v>230</v>
      </c>
      <c r="C2504" s="7" t="s">
        <v>24</v>
      </c>
      <c r="D2504" s="4">
        <v>19128248000160</v>
      </c>
      <c r="E2504" s="8" t="s">
        <v>1422</v>
      </c>
      <c r="F2504" s="8" t="s">
        <v>1301</v>
      </c>
      <c r="G2504" s="7" t="s">
        <v>54</v>
      </c>
      <c r="H2504" s="47" t="s">
        <v>205</v>
      </c>
      <c r="I2504" s="47" t="s">
        <v>206</v>
      </c>
      <c r="J2504" s="6">
        <v>70</v>
      </c>
      <c r="K2504" s="8" t="s">
        <v>20</v>
      </c>
      <c r="L2504" s="1" t="s">
        <v>1422</v>
      </c>
      <c r="M2504" s="5">
        <v>5</v>
      </c>
    </row>
    <row r="2505" spans="1:13" ht="15" x14ac:dyDescent="0.25">
      <c r="A2505" s="7" t="s">
        <v>16</v>
      </c>
      <c r="B2505" s="7" t="s">
        <v>230</v>
      </c>
      <c r="C2505" s="7" t="s">
        <v>24</v>
      </c>
      <c r="D2505" s="4">
        <v>19843929001000</v>
      </c>
      <c r="E2505" s="8" t="s">
        <v>1179</v>
      </c>
      <c r="F2505" s="8" t="s">
        <v>88</v>
      </c>
      <c r="G2505" s="7" t="s">
        <v>54</v>
      </c>
      <c r="H2505" s="47" t="s">
        <v>205</v>
      </c>
      <c r="I2505" s="47" t="s">
        <v>206</v>
      </c>
      <c r="J2505" s="6">
        <v>70</v>
      </c>
      <c r="K2505" s="8" t="s">
        <v>20</v>
      </c>
      <c r="L2505" s="1" t="s">
        <v>1179</v>
      </c>
      <c r="M2505" s="5">
        <v>5</v>
      </c>
    </row>
    <row r="2506" spans="1:13" ht="15" x14ac:dyDescent="0.25">
      <c r="A2506" s="7" t="s">
        <v>16</v>
      </c>
      <c r="B2506" s="7" t="s">
        <v>230</v>
      </c>
      <c r="C2506" s="7" t="s">
        <v>24</v>
      </c>
      <c r="D2506" s="4">
        <v>19843929001506</v>
      </c>
      <c r="E2506" s="8" t="s">
        <v>1181</v>
      </c>
      <c r="F2506" s="8" t="s">
        <v>58</v>
      </c>
      <c r="G2506" s="7" t="s">
        <v>54</v>
      </c>
      <c r="H2506" s="47" t="s">
        <v>205</v>
      </c>
      <c r="I2506" s="47" t="s">
        <v>206</v>
      </c>
      <c r="J2506" s="6">
        <v>70</v>
      </c>
      <c r="K2506" s="8" t="s">
        <v>20</v>
      </c>
      <c r="L2506" s="1" t="s">
        <v>1181</v>
      </c>
      <c r="M2506" s="5">
        <v>600</v>
      </c>
    </row>
    <row r="2507" spans="1:13" ht="15" x14ac:dyDescent="0.25">
      <c r="A2507" s="7" t="s">
        <v>16</v>
      </c>
      <c r="B2507" s="7" t="s">
        <v>230</v>
      </c>
      <c r="C2507" s="7" t="s">
        <v>24</v>
      </c>
      <c r="D2507" s="4">
        <v>19843929002901</v>
      </c>
      <c r="E2507" s="8" t="s">
        <v>1423</v>
      </c>
      <c r="F2507" s="8" t="s">
        <v>58</v>
      </c>
      <c r="G2507" s="7" t="s">
        <v>54</v>
      </c>
      <c r="H2507" s="47" t="s">
        <v>205</v>
      </c>
      <c r="I2507" s="47" t="s">
        <v>206</v>
      </c>
      <c r="J2507" s="6">
        <v>70</v>
      </c>
      <c r="K2507" s="8" t="s">
        <v>20</v>
      </c>
      <c r="L2507" s="1" t="s">
        <v>1423</v>
      </c>
      <c r="M2507" s="5">
        <v>140</v>
      </c>
    </row>
    <row r="2508" spans="1:13" ht="15" x14ac:dyDescent="0.25">
      <c r="A2508" s="7" t="s">
        <v>16</v>
      </c>
      <c r="B2508" s="7" t="s">
        <v>230</v>
      </c>
      <c r="C2508" s="7" t="s">
        <v>24</v>
      </c>
      <c r="D2508" s="4">
        <v>20599890000107</v>
      </c>
      <c r="E2508" s="8" t="s">
        <v>1424</v>
      </c>
      <c r="F2508" s="8" t="s">
        <v>1188</v>
      </c>
      <c r="G2508" s="7" t="s">
        <v>54</v>
      </c>
      <c r="H2508" s="47" t="s">
        <v>205</v>
      </c>
      <c r="I2508" s="47" t="s">
        <v>206</v>
      </c>
      <c r="J2508" s="6">
        <v>70</v>
      </c>
      <c r="K2508" s="8" t="s">
        <v>20</v>
      </c>
      <c r="L2508" s="1" t="s">
        <v>1424</v>
      </c>
      <c r="M2508" s="5">
        <v>80</v>
      </c>
    </row>
    <row r="2509" spans="1:13" ht="15" x14ac:dyDescent="0.25">
      <c r="A2509" s="7" t="s">
        <v>16</v>
      </c>
      <c r="B2509" s="7" t="s">
        <v>230</v>
      </c>
      <c r="C2509" s="7" t="s">
        <v>24</v>
      </c>
      <c r="D2509" s="4">
        <v>23278898000160</v>
      </c>
      <c r="E2509" s="8" t="s">
        <v>1194</v>
      </c>
      <c r="F2509" s="8" t="s">
        <v>119</v>
      </c>
      <c r="G2509" s="7" t="s">
        <v>54</v>
      </c>
      <c r="H2509" s="47" t="s">
        <v>205</v>
      </c>
      <c r="I2509" s="47" t="s">
        <v>206</v>
      </c>
      <c r="J2509" s="6">
        <v>70</v>
      </c>
      <c r="K2509" s="8" t="s">
        <v>20</v>
      </c>
      <c r="L2509" s="1" t="s">
        <v>1194</v>
      </c>
      <c r="M2509" s="5">
        <v>105</v>
      </c>
    </row>
    <row r="2510" spans="1:13" ht="15" x14ac:dyDescent="0.25">
      <c r="A2510" s="7" t="s">
        <v>16</v>
      </c>
      <c r="B2510" s="7" t="s">
        <v>230</v>
      </c>
      <c r="C2510" s="7" t="s">
        <v>24</v>
      </c>
      <c r="D2510" s="4">
        <v>25431834000182</v>
      </c>
      <c r="E2510" s="8" t="s">
        <v>1425</v>
      </c>
      <c r="F2510" s="8" t="s">
        <v>126</v>
      </c>
      <c r="G2510" s="7" t="s">
        <v>54</v>
      </c>
      <c r="H2510" s="47" t="s">
        <v>205</v>
      </c>
      <c r="I2510" s="47" t="s">
        <v>206</v>
      </c>
      <c r="J2510" s="6">
        <v>70</v>
      </c>
      <c r="K2510" s="8" t="s">
        <v>20</v>
      </c>
      <c r="L2510" s="1" t="s">
        <v>1425</v>
      </c>
      <c r="M2510" s="5">
        <v>150</v>
      </c>
    </row>
    <row r="2511" spans="1:13" ht="15" x14ac:dyDescent="0.25">
      <c r="A2511" s="7" t="s">
        <v>16</v>
      </c>
      <c r="B2511" s="7" t="s">
        <v>230</v>
      </c>
      <c r="C2511" s="7" t="s">
        <v>24</v>
      </c>
      <c r="D2511" s="4">
        <v>41781949000234</v>
      </c>
      <c r="E2511" s="8" t="s">
        <v>1219</v>
      </c>
      <c r="F2511" s="8" t="s">
        <v>1220</v>
      </c>
      <c r="G2511" s="7" t="s">
        <v>54</v>
      </c>
      <c r="H2511" s="47" t="s">
        <v>205</v>
      </c>
      <c r="I2511" s="47" t="s">
        <v>206</v>
      </c>
      <c r="J2511" s="6">
        <v>70</v>
      </c>
      <c r="K2511" s="8" t="s">
        <v>20</v>
      </c>
      <c r="L2511" s="1" t="s">
        <v>1219</v>
      </c>
      <c r="M2511" s="5">
        <v>160</v>
      </c>
    </row>
    <row r="2512" spans="1:13" ht="15" x14ac:dyDescent="0.25">
      <c r="A2512" s="7" t="s">
        <v>16</v>
      </c>
      <c r="B2512" s="7" t="s">
        <v>230</v>
      </c>
      <c r="C2512" s="7" t="s">
        <v>24</v>
      </c>
      <c r="D2512" s="4">
        <v>60194990000844</v>
      </c>
      <c r="E2512" s="8" t="s">
        <v>1231</v>
      </c>
      <c r="F2512" s="8" t="s">
        <v>58</v>
      </c>
      <c r="G2512" s="7" t="s">
        <v>54</v>
      </c>
      <c r="H2512" s="47" t="s">
        <v>205</v>
      </c>
      <c r="I2512" s="47" t="s">
        <v>206</v>
      </c>
      <c r="J2512" s="6">
        <v>70</v>
      </c>
      <c r="K2512" s="8" t="s">
        <v>20</v>
      </c>
      <c r="L2512" s="1" t="s">
        <v>1231</v>
      </c>
      <c r="M2512" s="5">
        <v>550</v>
      </c>
    </row>
    <row r="2513" spans="1:13" ht="15" x14ac:dyDescent="0.25">
      <c r="A2513" s="7" t="s">
        <v>16</v>
      </c>
      <c r="B2513" s="7" t="s">
        <v>230</v>
      </c>
      <c r="C2513" s="7" t="s">
        <v>24</v>
      </c>
      <c r="D2513" s="4">
        <v>71064539000314</v>
      </c>
      <c r="E2513" s="8" t="s">
        <v>1430</v>
      </c>
      <c r="F2513" s="8" t="s">
        <v>119</v>
      </c>
      <c r="G2513" s="7" t="s">
        <v>54</v>
      </c>
      <c r="H2513" s="47" t="s">
        <v>205</v>
      </c>
      <c r="I2513" s="47" t="s">
        <v>206</v>
      </c>
      <c r="J2513" s="6">
        <v>70</v>
      </c>
      <c r="K2513" s="8" t="s">
        <v>20</v>
      </c>
      <c r="L2513" s="1" t="s">
        <v>1430</v>
      </c>
      <c r="M2513" s="5">
        <v>160</v>
      </c>
    </row>
    <row r="2514" spans="1:13" ht="15" x14ac:dyDescent="0.25">
      <c r="A2514" s="7" t="s">
        <v>16</v>
      </c>
      <c r="B2514" s="7" t="s">
        <v>372</v>
      </c>
      <c r="C2514" s="7" t="s">
        <v>373</v>
      </c>
      <c r="D2514" s="4">
        <v>132229000180</v>
      </c>
      <c r="E2514" s="8" t="s">
        <v>1135</v>
      </c>
      <c r="F2514" s="8" t="s">
        <v>58</v>
      </c>
      <c r="G2514" s="7" t="s">
        <v>54</v>
      </c>
      <c r="H2514" s="47" t="s">
        <v>205</v>
      </c>
      <c r="I2514" s="47" t="s">
        <v>206</v>
      </c>
      <c r="J2514" s="6">
        <v>70</v>
      </c>
      <c r="K2514" s="8" t="s">
        <v>20</v>
      </c>
      <c r="L2514" s="1" t="s">
        <v>1135</v>
      </c>
      <c r="M2514" s="5">
        <v>35</v>
      </c>
    </row>
    <row r="2515" spans="1:13" ht="15" x14ac:dyDescent="0.25">
      <c r="A2515" s="7" t="s">
        <v>16</v>
      </c>
      <c r="B2515" s="7" t="s">
        <v>372</v>
      </c>
      <c r="C2515" s="7" t="s">
        <v>373</v>
      </c>
      <c r="D2515" s="4">
        <v>410960000120</v>
      </c>
      <c r="E2515" s="8" t="s">
        <v>1137</v>
      </c>
      <c r="F2515" s="8" t="s">
        <v>58</v>
      </c>
      <c r="G2515" s="7" t="s">
        <v>54</v>
      </c>
      <c r="H2515" s="47" t="s">
        <v>205</v>
      </c>
      <c r="I2515" s="47" t="s">
        <v>206</v>
      </c>
      <c r="J2515" s="6">
        <v>70</v>
      </c>
      <c r="K2515" s="8" t="s">
        <v>20</v>
      </c>
      <c r="L2515" s="1" t="s">
        <v>1137</v>
      </c>
      <c r="M2515" s="5">
        <v>1122.5</v>
      </c>
    </row>
    <row r="2516" spans="1:13" ht="15" x14ac:dyDescent="0.25">
      <c r="A2516" s="7" t="s">
        <v>16</v>
      </c>
      <c r="B2516" s="7" t="s">
        <v>372</v>
      </c>
      <c r="C2516" s="7" t="s">
        <v>373</v>
      </c>
      <c r="D2516" s="4">
        <v>2623693000102</v>
      </c>
      <c r="E2516" s="8" t="s">
        <v>1142</v>
      </c>
      <c r="F2516" s="8" t="s">
        <v>58</v>
      </c>
      <c r="G2516" s="7" t="s">
        <v>54</v>
      </c>
      <c r="H2516" s="47" t="s">
        <v>205</v>
      </c>
      <c r="I2516" s="47" t="s">
        <v>206</v>
      </c>
      <c r="J2516" s="6">
        <v>70</v>
      </c>
      <c r="K2516" s="8" t="s">
        <v>20</v>
      </c>
      <c r="L2516" s="1" t="s">
        <v>1142</v>
      </c>
      <c r="M2516" s="5">
        <v>25</v>
      </c>
    </row>
    <row r="2517" spans="1:13" ht="15" x14ac:dyDescent="0.25">
      <c r="A2517" s="7" t="s">
        <v>16</v>
      </c>
      <c r="B2517" s="7" t="s">
        <v>372</v>
      </c>
      <c r="C2517" s="7" t="s">
        <v>373</v>
      </c>
      <c r="D2517" s="4">
        <v>13631170000116</v>
      </c>
      <c r="E2517" s="8" t="s">
        <v>1416</v>
      </c>
      <c r="F2517" s="8" t="s">
        <v>58</v>
      </c>
      <c r="G2517" s="7" t="s">
        <v>54</v>
      </c>
      <c r="H2517" s="47" t="s">
        <v>205</v>
      </c>
      <c r="I2517" s="47" t="s">
        <v>206</v>
      </c>
      <c r="J2517" s="6">
        <v>70</v>
      </c>
      <c r="K2517" s="8" t="s">
        <v>20</v>
      </c>
      <c r="L2517" s="1" t="s">
        <v>1416</v>
      </c>
      <c r="M2517" s="5">
        <v>120</v>
      </c>
    </row>
    <row r="2518" spans="1:13" ht="15" x14ac:dyDescent="0.25">
      <c r="A2518" s="7" t="s">
        <v>16</v>
      </c>
      <c r="B2518" s="7" t="s">
        <v>372</v>
      </c>
      <c r="C2518" s="7" t="s">
        <v>373</v>
      </c>
      <c r="D2518" s="4">
        <v>16695025000197</v>
      </c>
      <c r="E2518" s="8" t="s">
        <v>1417</v>
      </c>
      <c r="F2518" s="8" t="s">
        <v>58</v>
      </c>
      <c r="G2518" s="7" t="s">
        <v>54</v>
      </c>
      <c r="H2518" s="47" t="s">
        <v>205</v>
      </c>
      <c r="I2518" s="47" t="s">
        <v>206</v>
      </c>
      <c r="J2518" s="6">
        <v>70</v>
      </c>
      <c r="K2518" s="8" t="s">
        <v>20</v>
      </c>
      <c r="L2518" s="1" t="s">
        <v>1417</v>
      </c>
      <c r="M2518" s="5">
        <v>250</v>
      </c>
    </row>
    <row r="2519" spans="1:13" ht="15" x14ac:dyDescent="0.25">
      <c r="A2519" s="7" t="s">
        <v>16</v>
      </c>
      <c r="B2519" s="7" t="s">
        <v>372</v>
      </c>
      <c r="C2519" s="7" t="s">
        <v>373</v>
      </c>
      <c r="D2519" s="4">
        <v>17312612000112</v>
      </c>
      <c r="E2519" s="8" t="s">
        <v>1418</v>
      </c>
      <c r="F2519" s="8" t="s">
        <v>58</v>
      </c>
      <c r="G2519" s="7" t="s">
        <v>54</v>
      </c>
      <c r="H2519" s="47" t="s">
        <v>205</v>
      </c>
      <c r="I2519" s="47" t="s">
        <v>206</v>
      </c>
      <c r="J2519" s="6">
        <v>70</v>
      </c>
      <c r="K2519" s="8" t="s">
        <v>20</v>
      </c>
      <c r="L2519" s="1" t="s">
        <v>1418</v>
      </c>
      <c r="M2519" s="5">
        <v>180</v>
      </c>
    </row>
    <row r="2520" spans="1:13" ht="15" x14ac:dyDescent="0.25">
      <c r="A2520" s="7" t="s">
        <v>16</v>
      </c>
      <c r="B2520" s="7" t="s">
        <v>372</v>
      </c>
      <c r="C2520" s="7" t="s">
        <v>373</v>
      </c>
      <c r="D2520" s="4">
        <v>17845504000296</v>
      </c>
      <c r="E2520" s="8" t="s">
        <v>1419</v>
      </c>
      <c r="F2520" s="8" t="s">
        <v>1420</v>
      </c>
      <c r="G2520" s="7" t="s">
        <v>54</v>
      </c>
      <c r="H2520" s="47" t="s">
        <v>205</v>
      </c>
      <c r="I2520" s="47" t="s">
        <v>206</v>
      </c>
      <c r="J2520" s="6">
        <v>70</v>
      </c>
      <c r="K2520" s="8" t="s">
        <v>20</v>
      </c>
      <c r="L2520" s="1" t="s">
        <v>1419</v>
      </c>
      <c r="M2520" s="5">
        <v>110</v>
      </c>
    </row>
    <row r="2521" spans="1:13" ht="15" x14ac:dyDescent="0.25">
      <c r="A2521" s="7" t="s">
        <v>16</v>
      </c>
      <c r="B2521" s="7" t="s">
        <v>372</v>
      </c>
      <c r="C2521" s="7" t="s">
        <v>373</v>
      </c>
      <c r="D2521" s="4">
        <v>20150900000122</v>
      </c>
      <c r="E2521" s="8" t="s">
        <v>1185</v>
      </c>
      <c r="F2521" s="8" t="s">
        <v>1171</v>
      </c>
      <c r="G2521" s="7" t="s">
        <v>54</v>
      </c>
      <c r="H2521" s="47" t="s">
        <v>205</v>
      </c>
      <c r="I2521" s="47" t="s">
        <v>206</v>
      </c>
      <c r="J2521" s="6">
        <v>70</v>
      </c>
      <c r="K2521" s="8" t="s">
        <v>20</v>
      </c>
      <c r="L2521" s="1" t="s">
        <v>1185</v>
      </c>
      <c r="M2521" s="5">
        <v>225</v>
      </c>
    </row>
    <row r="2522" spans="1:13" ht="15" x14ac:dyDescent="0.25">
      <c r="A2522" s="7" t="s">
        <v>16</v>
      </c>
      <c r="B2522" s="7" t="s">
        <v>372</v>
      </c>
      <c r="C2522" s="7" t="s">
        <v>373</v>
      </c>
      <c r="D2522" s="4">
        <v>20622890000180</v>
      </c>
      <c r="E2522" s="8" t="s">
        <v>1187</v>
      </c>
      <c r="F2522" s="8" t="s">
        <v>1188</v>
      </c>
      <c r="G2522" s="7" t="s">
        <v>54</v>
      </c>
      <c r="H2522" s="47" t="s">
        <v>205</v>
      </c>
      <c r="I2522" s="47" t="s">
        <v>206</v>
      </c>
      <c r="J2522" s="6">
        <v>70</v>
      </c>
      <c r="K2522" s="8" t="s">
        <v>20</v>
      </c>
      <c r="L2522" s="1" t="s">
        <v>1187</v>
      </c>
      <c r="M2522" s="5">
        <v>175</v>
      </c>
    </row>
    <row r="2523" spans="1:13" ht="15" x14ac:dyDescent="0.25">
      <c r="A2523" s="7" t="s">
        <v>16</v>
      </c>
      <c r="B2523" s="7" t="s">
        <v>372</v>
      </c>
      <c r="C2523" s="7" t="s">
        <v>373</v>
      </c>
      <c r="D2523" s="4">
        <v>25648387000207</v>
      </c>
      <c r="E2523" s="8" t="s">
        <v>1201</v>
      </c>
      <c r="F2523" s="8" t="s">
        <v>1171</v>
      </c>
      <c r="G2523" s="7" t="s">
        <v>54</v>
      </c>
      <c r="H2523" s="47" t="s">
        <v>205</v>
      </c>
      <c r="I2523" s="47" t="s">
        <v>206</v>
      </c>
      <c r="J2523" s="6">
        <v>70</v>
      </c>
      <c r="K2523" s="8" t="s">
        <v>20</v>
      </c>
      <c r="L2523" s="1" t="s">
        <v>1201</v>
      </c>
      <c r="M2523" s="5">
        <v>200</v>
      </c>
    </row>
    <row r="2524" spans="1:13" ht="15" x14ac:dyDescent="0.25">
      <c r="A2524" s="7" t="s">
        <v>16</v>
      </c>
      <c r="B2524" s="7" t="s">
        <v>372</v>
      </c>
      <c r="C2524" s="7" t="s">
        <v>373</v>
      </c>
      <c r="D2524" s="4">
        <v>41781949000234</v>
      </c>
      <c r="E2524" s="8" t="s">
        <v>1219</v>
      </c>
      <c r="F2524" s="8" t="s">
        <v>1220</v>
      </c>
      <c r="G2524" s="7" t="s">
        <v>54</v>
      </c>
      <c r="H2524" s="47" t="s">
        <v>205</v>
      </c>
      <c r="I2524" s="47" t="s">
        <v>206</v>
      </c>
      <c r="J2524" s="6">
        <v>70</v>
      </c>
      <c r="K2524" s="8" t="s">
        <v>20</v>
      </c>
      <c r="L2524" s="1" t="s">
        <v>1219</v>
      </c>
      <c r="M2524" s="5">
        <v>160</v>
      </c>
    </row>
    <row r="2525" spans="1:13" ht="15" x14ac:dyDescent="0.25">
      <c r="A2525" s="7" t="s">
        <v>16</v>
      </c>
      <c r="B2525" s="7" t="s">
        <v>17</v>
      </c>
      <c r="C2525" s="7" t="s">
        <v>18</v>
      </c>
      <c r="D2525" s="4">
        <v>1125832000105</v>
      </c>
      <c r="E2525" s="8" t="s">
        <v>935</v>
      </c>
      <c r="F2525" s="8" t="s">
        <v>930</v>
      </c>
      <c r="G2525" s="7" t="s">
        <v>68</v>
      </c>
      <c r="H2525" s="47" t="s">
        <v>205</v>
      </c>
      <c r="I2525" s="47" t="s">
        <v>206</v>
      </c>
      <c r="J2525" s="6">
        <v>70</v>
      </c>
      <c r="K2525" s="8" t="s">
        <v>20</v>
      </c>
      <c r="L2525" s="1" t="s">
        <v>935</v>
      </c>
      <c r="M2525" s="5">
        <v>120</v>
      </c>
    </row>
    <row r="2526" spans="1:13" ht="15" x14ac:dyDescent="0.25">
      <c r="A2526" s="7" t="s">
        <v>16</v>
      </c>
      <c r="B2526" s="7" t="s">
        <v>21</v>
      </c>
      <c r="C2526" s="7" t="s">
        <v>18</v>
      </c>
      <c r="D2526" s="4">
        <v>1125832000105</v>
      </c>
      <c r="E2526" s="8" t="s">
        <v>935</v>
      </c>
      <c r="F2526" s="8" t="s">
        <v>930</v>
      </c>
      <c r="G2526" s="7" t="s">
        <v>68</v>
      </c>
      <c r="H2526" s="47" t="s">
        <v>205</v>
      </c>
      <c r="I2526" s="47" t="s">
        <v>206</v>
      </c>
      <c r="J2526" s="6">
        <v>70</v>
      </c>
      <c r="K2526" s="8" t="s">
        <v>20</v>
      </c>
      <c r="L2526" s="1" t="s">
        <v>935</v>
      </c>
      <c r="M2526" s="5">
        <v>60</v>
      </c>
    </row>
    <row r="2527" spans="1:13" ht="15" x14ac:dyDescent="0.25">
      <c r="A2527" s="7" t="s">
        <v>16</v>
      </c>
      <c r="B2527" s="7" t="s">
        <v>21</v>
      </c>
      <c r="C2527" s="7" t="s">
        <v>18</v>
      </c>
      <c r="D2527" s="4">
        <v>1517626000132</v>
      </c>
      <c r="E2527" s="8" t="s">
        <v>937</v>
      </c>
      <c r="F2527" s="8" t="s">
        <v>938</v>
      </c>
      <c r="G2527" s="7" t="s">
        <v>68</v>
      </c>
      <c r="H2527" s="47" t="s">
        <v>205</v>
      </c>
      <c r="I2527" s="47" t="s">
        <v>206</v>
      </c>
      <c r="J2527" s="6">
        <v>70</v>
      </c>
      <c r="K2527" s="8" t="s">
        <v>20</v>
      </c>
      <c r="L2527" s="1" t="s">
        <v>937</v>
      </c>
      <c r="M2527" s="5">
        <v>190</v>
      </c>
    </row>
    <row r="2528" spans="1:13" ht="15" x14ac:dyDescent="0.25">
      <c r="A2528" s="7" t="s">
        <v>16</v>
      </c>
      <c r="B2528" s="7" t="s">
        <v>17</v>
      </c>
      <c r="C2528" s="7" t="s">
        <v>18</v>
      </c>
      <c r="D2528" s="4">
        <v>1554266000300</v>
      </c>
      <c r="E2528" s="8" t="s">
        <v>940</v>
      </c>
      <c r="F2528" s="8" t="s">
        <v>113</v>
      </c>
      <c r="G2528" s="7" t="s">
        <v>68</v>
      </c>
      <c r="H2528" s="47" t="s">
        <v>205</v>
      </c>
      <c r="I2528" s="47" t="s">
        <v>206</v>
      </c>
      <c r="J2528" s="6">
        <v>70</v>
      </c>
      <c r="K2528" s="8" t="s">
        <v>20</v>
      </c>
      <c r="L2528" s="1" t="s">
        <v>940</v>
      </c>
      <c r="M2528" s="5">
        <v>35</v>
      </c>
    </row>
    <row r="2529" spans="1:13" ht="15" x14ac:dyDescent="0.25">
      <c r="A2529" s="7" t="s">
        <v>16</v>
      </c>
      <c r="B2529" s="7" t="s">
        <v>21</v>
      </c>
      <c r="C2529" s="7" t="s">
        <v>18</v>
      </c>
      <c r="D2529" s="4">
        <v>1554266000300</v>
      </c>
      <c r="E2529" s="8" t="s">
        <v>940</v>
      </c>
      <c r="F2529" s="8" t="s">
        <v>113</v>
      </c>
      <c r="G2529" s="7" t="s">
        <v>68</v>
      </c>
      <c r="H2529" s="47" t="s">
        <v>205</v>
      </c>
      <c r="I2529" s="47" t="s">
        <v>206</v>
      </c>
      <c r="J2529" s="6">
        <v>70</v>
      </c>
      <c r="K2529" s="8" t="s">
        <v>20</v>
      </c>
      <c r="L2529" s="1" t="s">
        <v>940</v>
      </c>
      <c r="M2529" s="5">
        <v>140</v>
      </c>
    </row>
    <row r="2530" spans="1:13" ht="15" x14ac:dyDescent="0.25">
      <c r="A2530" s="7" t="s">
        <v>16</v>
      </c>
      <c r="B2530" s="7" t="s">
        <v>17</v>
      </c>
      <c r="C2530" s="7" t="s">
        <v>18</v>
      </c>
      <c r="D2530" s="4">
        <v>4670913000176</v>
      </c>
      <c r="E2530" s="8" t="s">
        <v>949</v>
      </c>
      <c r="F2530" s="8" t="s">
        <v>930</v>
      </c>
      <c r="G2530" s="7" t="s">
        <v>68</v>
      </c>
      <c r="H2530" s="47" t="s">
        <v>205</v>
      </c>
      <c r="I2530" s="47" t="s">
        <v>206</v>
      </c>
      <c r="J2530" s="6">
        <v>70</v>
      </c>
      <c r="K2530" s="8" t="s">
        <v>20</v>
      </c>
      <c r="L2530" s="1" t="s">
        <v>949</v>
      </c>
      <c r="M2530" s="5">
        <v>215</v>
      </c>
    </row>
    <row r="2531" spans="1:13" ht="15" x14ac:dyDescent="0.25">
      <c r="A2531" s="7" t="s">
        <v>16</v>
      </c>
      <c r="B2531" s="7" t="s">
        <v>21</v>
      </c>
      <c r="C2531" s="7" t="s">
        <v>18</v>
      </c>
      <c r="D2531" s="4">
        <v>4670913000176</v>
      </c>
      <c r="E2531" s="8" t="s">
        <v>949</v>
      </c>
      <c r="F2531" s="8" t="s">
        <v>930</v>
      </c>
      <c r="G2531" s="7" t="s">
        <v>68</v>
      </c>
      <c r="H2531" s="47" t="s">
        <v>205</v>
      </c>
      <c r="I2531" s="47" t="s">
        <v>206</v>
      </c>
      <c r="J2531" s="6">
        <v>70</v>
      </c>
      <c r="K2531" s="8" t="s">
        <v>20</v>
      </c>
      <c r="L2531" s="1" t="s">
        <v>949</v>
      </c>
      <c r="M2531" s="5">
        <v>245</v>
      </c>
    </row>
    <row r="2532" spans="1:13" ht="15" x14ac:dyDescent="0.25">
      <c r="A2532" s="7" t="s">
        <v>16</v>
      </c>
      <c r="B2532" s="7" t="s">
        <v>21</v>
      </c>
      <c r="C2532" s="7" t="s">
        <v>18</v>
      </c>
      <c r="D2532" s="4">
        <v>1880344000103</v>
      </c>
      <c r="E2532" s="8" t="s">
        <v>941</v>
      </c>
      <c r="F2532" s="8" t="s">
        <v>93</v>
      </c>
      <c r="G2532" s="7" t="s">
        <v>68</v>
      </c>
      <c r="H2532" s="47" t="s">
        <v>205</v>
      </c>
      <c r="I2532" s="47" t="s">
        <v>206</v>
      </c>
      <c r="J2532" s="6">
        <v>70</v>
      </c>
      <c r="K2532" s="8" t="s">
        <v>20</v>
      </c>
      <c r="L2532" s="1" t="s">
        <v>941</v>
      </c>
      <c r="M2532" s="5">
        <v>70</v>
      </c>
    </row>
    <row r="2533" spans="1:13" ht="15" x14ac:dyDescent="0.25">
      <c r="A2533" s="7" t="s">
        <v>16</v>
      </c>
      <c r="B2533" s="7" t="s">
        <v>21</v>
      </c>
      <c r="C2533" s="7" t="s">
        <v>18</v>
      </c>
      <c r="D2533" s="4">
        <v>12361267004261</v>
      </c>
      <c r="E2533" s="8" t="s">
        <v>964</v>
      </c>
      <c r="F2533" s="8" t="s">
        <v>125</v>
      </c>
      <c r="G2533" s="7" t="s">
        <v>68</v>
      </c>
      <c r="H2533" s="47" t="s">
        <v>205</v>
      </c>
      <c r="I2533" s="47" t="s">
        <v>206</v>
      </c>
      <c r="J2533" s="6">
        <v>70</v>
      </c>
      <c r="K2533" s="8" t="s">
        <v>20</v>
      </c>
      <c r="L2533" s="1" t="s">
        <v>964</v>
      </c>
      <c r="M2533" s="5">
        <v>120</v>
      </c>
    </row>
    <row r="2534" spans="1:13" ht="15" x14ac:dyDescent="0.25">
      <c r="A2534" s="7" t="s">
        <v>16</v>
      </c>
      <c r="B2534" s="7" t="s">
        <v>17</v>
      </c>
      <c r="C2534" s="7" t="s">
        <v>18</v>
      </c>
      <c r="D2534" s="4">
        <v>77858611001414</v>
      </c>
      <c r="E2534" s="8" t="s">
        <v>991</v>
      </c>
      <c r="F2534" s="8" t="s">
        <v>969</v>
      </c>
      <c r="G2534" s="7" t="s">
        <v>68</v>
      </c>
      <c r="H2534" s="47" t="s">
        <v>205</v>
      </c>
      <c r="I2534" s="47" t="s">
        <v>206</v>
      </c>
      <c r="J2534" s="6">
        <v>70</v>
      </c>
      <c r="K2534" s="8" t="s">
        <v>20</v>
      </c>
      <c r="L2534" s="1" t="s">
        <v>991</v>
      </c>
      <c r="M2534" s="5">
        <v>200</v>
      </c>
    </row>
    <row r="2535" spans="1:13" ht="15" x14ac:dyDescent="0.25">
      <c r="A2535" s="7" t="s">
        <v>16</v>
      </c>
      <c r="B2535" s="7" t="s">
        <v>17</v>
      </c>
      <c r="C2535" s="7" t="s">
        <v>18</v>
      </c>
      <c r="D2535" s="4">
        <v>80490618000116</v>
      </c>
      <c r="E2535" s="8" t="s">
        <v>997</v>
      </c>
      <c r="F2535" s="8" t="s">
        <v>998</v>
      </c>
      <c r="G2535" s="7" t="s">
        <v>68</v>
      </c>
      <c r="H2535" s="47" t="s">
        <v>205</v>
      </c>
      <c r="I2535" s="47" t="s">
        <v>206</v>
      </c>
      <c r="J2535" s="6">
        <v>70</v>
      </c>
      <c r="K2535" s="8" t="s">
        <v>20</v>
      </c>
      <c r="L2535" s="1" t="s">
        <v>997</v>
      </c>
      <c r="M2535" s="5">
        <v>80</v>
      </c>
    </row>
    <row r="2536" spans="1:13" ht="15" x14ac:dyDescent="0.25">
      <c r="A2536" s="7" t="s">
        <v>16</v>
      </c>
      <c r="B2536" s="7" t="s">
        <v>17</v>
      </c>
      <c r="C2536" s="7" t="s">
        <v>18</v>
      </c>
      <c r="D2536" s="4">
        <v>80673411000187</v>
      </c>
      <c r="E2536" s="8" t="s">
        <v>999</v>
      </c>
      <c r="F2536" s="8" t="s">
        <v>930</v>
      </c>
      <c r="G2536" s="7" t="s">
        <v>68</v>
      </c>
      <c r="H2536" s="47" t="s">
        <v>205</v>
      </c>
      <c r="I2536" s="47" t="s">
        <v>206</v>
      </c>
      <c r="J2536" s="6">
        <v>70</v>
      </c>
      <c r="K2536" s="8" t="s">
        <v>20</v>
      </c>
      <c r="L2536" s="1" t="s">
        <v>999</v>
      </c>
      <c r="M2536" s="5">
        <v>240</v>
      </c>
    </row>
    <row r="2537" spans="1:13" ht="15" x14ac:dyDescent="0.25">
      <c r="A2537" s="7" t="s">
        <v>16</v>
      </c>
      <c r="B2537" s="7" t="s">
        <v>17</v>
      </c>
      <c r="C2537" s="7" t="s">
        <v>18</v>
      </c>
      <c r="D2537" s="4">
        <v>82624776000651</v>
      </c>
      <c r="E2537" s="8" t="s">
        <v>1007</v>
      </c>
      <c r="F2537" s="8" t="s">
        <v>93</v>
      </c>
      <c r="G2537" s="7" t="s">
        <v>68</v>
      </c>
      <c r="H2537" s="47" t="s">
        <v>205</v>
      </c>
      <c r="I2537" s="47" t="s">
        <v>206</v>
      </c>
      <c r="J2537" s="6">
        <v>70</v>
      </c>
      <c r="K2537" s="8" t="s">
        <v>20</v>
      </c>
      <c r="L2537" s="1" t="s">
        <v>1007</v>
      </c>
      <c r="M2537" s="5">
        <v>450</v>
      </c>
    </row>
    <row r="2538" spans="1:13" ht="15" x14ac:dyDescent="0.25">
      <c r="A2538" s="7" t="s">
        <v>16</v>
      </c>
      <c r="B2538" s="7" t="s">
        <v>17</v>
      </c>
      <c r="C2538" s="7" t="s">
        <v>18</v>
      </c>
      <c r="D2538" s="4">
        <v>83884999000106</v>
      </c>
      <c r="E2538" s="8" t="s">
        <v>1009</v>
      </c>
      <c r="F2538" s="8" t="s">
        <v>930</v>
      </c>
      <c r="G2538" s="7" t="s">
        <v>68</v>
      </c>
      <c r="H2538" s="47" t="s">
        <v>205</v>
      </c>
      <c r="I2538" s="47" t="s">
        <v>206</v>
      </c>
      <c r="J2538" s="6">
        <v>70</v>
      </c>
      <c r="K2538" s="8" t="s">
        <v>20</v>
      </c>
      <c r="L2538" s="1" t="s">
        <v>1009</v>
      </c>
      <c r="M2538" s="5">
        <v>300</v>
      </c>
    </row>
    <row r="2539" spans="1:13" ht="15" x14ac:dyDescent="0.25">
      <c r="A2539" s="7" t="s">
        <v>16</v>
      </c>
      <c r="B2539" s="7" t="s">
        <v>21</v>
      </c>
      <c r="C2539" s="7" t="s">
        <v>18</v>
      </c>
      <c r="D2539" s="4">
        <v>80490618000116</v>
      </c>
      <c r="E2539" s="8" t="s">
        <v>997</v>
      </c>
      <c r="F2539" s="8" t="s">
        <v>998</v>
      </c>
      <c r="G2539" s="7" t="s">
        <v>68</v>
      </c>
      <c r="H2539" s="47" t="s">
        <v>205</v>
      </c>
      <c r="I2539" s="47" t="s">
        <v>206</v>
      </c>
      <c r="J2539" s="6">
        <v>70</v>
      </c>
      <c r="K2539" s="8" t="s">
        <v>20</v>
      </c>
      <c r="L2539" s="1" t="s">
        <v>997</v>
      </c>
      <c r="M2539" s="5">
        <v>60</v>
      </c>
    </row>
    <row r="2540" spans="1:13" ht="15" x14ac:dyDescent="0.25">
      <c r="A2540" s="7" t="s">
        <v>16</v>
      </c>
      <c r="B2540" s="7" t="s">
        <v>22</v>
      </c>
      <c r="C2540" s="7" t="s">
        <v>18</v>
      </c>
      <c r="D2540" s="4">
        <v>1125832000105</v>
      </c>
      <c r="E2540" s="8" t="s">
        <v>935</v>
      </c>
      <c r="F2540" s="8" t="s">
        <v>930</v>
      </c>
      <c r="G2540" s="7" t="s">
        <v>68</v>
      </c>
      <c r="H2540" s="47" t="s">
        <v>205</v>
      </c>
      <c r="I2540" s="47" t="s">
        <v>206</v>
      </c>
      <c r="J2540" s="6">
        <v>70</v>
      </c>
      <c r="K2540" s="8" t="s">
        <v>20</v>
      </c>
      <c r="L2540" s="1" t="s">
        <v>935</v>
      </c>
      <c r="M2540" s="5">
        <v>60</v>
      </c>
    </row>
    <row r="2541" spans="1:13" ht="15" x14ac:dyDescent="0.25">
      <c r="A2541" s="7" t="s">
        <v>16</v>
      </c>
      <c r="B2541" s="7" t="s">
        <v>22</v>
      </c>
      <c r="C2541" s="7" t="s">
        <v>18</v>
      </c>
      <c r="D2541" s="4">
        <v>1554266000149</v>
      </c>
      <c r="E2541" s="8" t="s">
        <v>939</v>
      </c>
      <c r="F2541" s="8" t="s">
        <v>113</v>
      </c>
      <c r="G2541" s="7" t="s">
        <v>68</v>
      </c>
      <c r="H2541" s="47" t="s">
        <v>205</v>
      </c>
      <c r="I2541" s="47" t="s">
        <v>206</v>
      </c>
      <c r="J2541" s="6">
        <v>70</v>
      </c>
      <c r="K2541" s="8" t="s">
        <v>20</v>
      </c>
      <c r="L2541" s="1" t="s">
        <v>939</v>
      </c>
      <c r="M2541" s="5">
        <v>70</v>
      </c>
    </row>
    <row r="2542" spans="1:13" ht="15" x14ac:dyDescent="0.25">
      <c r="A2542" s="7" t="s">
        <v>16</v>
      </c>
      <c r="B2542" s="7" t="s">
        <v>22</v>
      </c>
      <c r="C2542" s="7" t="s">
        <v>18</v>
      </c>
      <c r="D2542" s="4">
        <v>1880344000103</v>
      </c>
      <c r="E2542" s="8" t="s">
        <v>941</v>
      </c>
      <c r="F2542" s="8" t="s">
        <v>93</v>
      </c>
      <c r="G2542" s="7" t="s">
        <v>68</v>
      </c>
      <c r="H2542" s="47" t="s">
        <v>205</v>
      </c>
      <c r="I2542" s="47" t="s">
        <v>206</v>
      </c>
      <c r="J2542" s="6">
        <v>70</v>
      </c>
      <c r="K2542" s="8" t="s">
        <v>20</v>
      </c>
      <c r="L2542" s="1" t="s">
        <v>941</v>
      </c>
      <c r="M2542" s="5">
        <v>195</v>
      </c>
    </row>
    <row r="2543" spans="1:13" ht="15" x14ac:dyDescent="0.25">
      <c r="A2543" s="7" t="s">
        <v>16</v>
      </c>
      <c r="B2543" s="7" t="s">
        <v>22</v>
      </c>
      <c r="C2543" s="7" t="s">
        <v>18</v>
      </c>
      <c r="D2543" s="4">
        <v>4670913000176</v>
      </c>
      <c r="E2543" s="8" t="s">
        <v>949</v>
      </c>
      <c r="F2543" s="8" t="s">
        <v>930</v>
      </c>
      <c r="G2543" s="7" t="s">
        <v>68</v>
      </c>
      <c r="H2543" s="47" t="s">
        <v>205</v>
      </c>
      <c r="I2543" s="47" t="s">
        <v>206</v>
      </c>
      <c r="J2543" s="6">
        <v>70</v>
      </c>
      <c r="K2543" s="8" t="s">
        <v>20</v>
      </c>
      <c r="L2543" s="1" t="s">
        <v>949</v>
      </c>
      <c r="M2543" s="5">
        <v>375</v>
      </c>
    </row>
    <row r="2544" spans="1:13" ht="15" x14ac:dyDescent="0.25">
      <c r="A2544" s="7" t="s">
        <v>16</v>
      </c>
      <c r="B2544" s="7" t="s">
        <v>22</v>
      </c>
      <c r="C2544" s="7" t="s">
        <v>18</v>
      </c>
      <c r="D2544" s="4">
        <v>77858611001414</v>
      </c>
      <c r="E2544" s="8" t="s">
        <v>991</v>
      </c>
      <c r="F2544" s="8" t="s">
        <v>969</v>
      </c>
      <c r="G2544" s="7" t="s">
        <v>68</v>
      </c>
      <c r="H2544" s="47" t="s">
        <v>205</v>
      </c>
      <c r="I2544" s="47" t="s">
        <v>206</v>
      </c>
      <c r="J2544" s="6">
        <v>70</v>
      </c>
      <c r="K2544" s="8" t="s">
        <v>20</v>
      </c>
      <c r="L2544" s="1" t="s">
        <v>991</v>
      </c>
      <c r="M2544" s="5">
        <v>30</v>
      </c>
    </row>
    <row r="2545" spans="1:13" ht="15" x14ac:dyDescent="0.25">
      <c r="A2545" s="7" t="s">
        <v>16</v>
      </c>
      <c r="B2545" s="7" t="s">
        <v>22</v>
      </c>
      <c r="C2545" s="7" t="s">
        <v>18</v>
      </c>
      <c r="D2545" s="4">
        <v>80490618000116</v>
      </c>
      <c r="E2545" s="8" t="s">
        <v>997</v>
      </c>
      <c r="F2545" s="8" t="s">
        <v>998</v>
      </c>
      <c r="G2545" s="7" t="s">
        <v>68</v>
      </c>
      <c r="H2545" s="47" t="s">
        <v>205</v>
      </c>
      <c r="I2545" s="47" t="s">
        <v>206</v>
      </c>
      <c r="J2545" s="6">
        <v>70</v>
      </c>
      <c r="K2545" s="8" t="s">
        <v>20</v>
      </c>
      <c r="L2545" s="1" t="s">
        <v>997</v>
      </c>
      <c r="M2545" s="5">
        <v>60</v>
      </c>
    </row>
    <row r="2546" spans="1:13" ht="15" x14ac:dyDescent="0.25">
      <c r="A2546" s="7" t="s">
        <v>16</v>
      </c>
      <c r="B2546" s="7" t="s">
        <v>22</v>
      </c>
      <c r="C2546" s="7" t="s">
        <v>18</v>
      </c>
      <c r="D2546" s="4">
        <v>80673411000187</v>
      </c>
      <c r="E2546" s="8" t="s">
        <v>999</v>
      </c>
      <c r="F2546" s="8" t="s">
        <v>930</v>
      </c>
      <c r="G2546" s="7" t="s">
        <v>68</v>
      </c>
      <c r="H2546" s="47" t="s">
        <v>205</v>
      </c>
      <c r="I2546" s="47" t="s">
        <v>206</v>
      </c>
      <c r="J2546" s="6">
        <v>70</v>
      </c>
      <c r="K2546" s="8" t="s">
        <v>20</v>
      </c>
      <c r="L2546" s="1" t="s">
        <v>999</v>
      </c>
      <c r="M2546" s="5">
        <v>240</v>
      </c>
    </row>
    <row r="2547" spans="1:13" ht="15" x14ac:dyDescent="0.25">
      <c r="A2547" s="7" t="s">
        <v>16</v>
      </c>
      <c r="B2547" s="7" t="s">
        <v>22</v>
      </c>
      <c r="C2547" s="7" t="s">
        <v>18</v>
      </c>
      <c r="D2547" s="4">
        <v>82654088000120</v>
      </c>
      <c r="E2547" s="8" t="s">
        <v>1008</v>
      </c>
      <c r="F2547" s="8" t="s">
        <v>93</v>
      </c>
      <c r="G2547" s="7" t="s">
        <v>68</v>
      </c>
      <c r="H2547" s="47" t="s">
        <v>205</v>
      </c>
      <c r="I2547" s="47" t="s">
        <v>206</v>
      </c>
      <c r="J2547" s="6">
        <v>70</v>
      </c>
      <c r="K2547" s="8" t="s">
        <v>20</v>
      </c>
      <c r="L2547" s="1" t="s">
        <v>1008</v>
      </c>
      <c r="M2547" s="5">
        <v>20</v>
      </c>
    </row>
    <row r="2548" spans="1:13" ht="15" x14ac:dyDescent="0.25">
      <c r="A2548" s="7" t="s">
        <v>16</v>
      </c>
      <c r="B2548" s="7" t="s">
        <v>22</v>
      </c>
      <c r="C2548" s="7" t="s">
        <v>18</v>
      </c>
      <c r="D2548" s="4">
        <v>85241339000809</v>
      </c>
      <c r="E2548" s="8" t="s">
        <v>1011</v>
      </c>
      <c r="F2548" s="8" t="s">
        <v>998</v>
      </c>
      <c r="G2548" s="7" t="s">
        <v>68</v>
      </c>
      <c r="H2548" s="47" t="s">
        <v>205</v>
      </c>
      <c r="I2548" s="47" t="s">
        <v>206</v>
      </c>
      <c r="J2548" s="6">
        <v>70</v>
      </c>
      <c r="K2548" s="8" t="s">
        <v>20</v>
      </c>
      <c r="L2548" s="1" t="s">
        <v>1011</v>
      </c>
      <c r="M2548" s="5">
        <v>310</v>
      </c>
    </row>
    <row r="2549" spans="1:13" ht="15" x14ac:dyDescent="0.25">
      <c r="A2549" s="7" t="s">
        <v>16</v>
      </c>
      <c r="B2549" s="7" t="s">
        <v>23</v>
      </c>
      <c r="C2549" s="7" t="s">
        <v>24</v>
      </c>
      <c r="D2549" s="4">
        <v>1125832000105</v>
      </c>
      <c r="E2549" s="8" t="s">
        <v>935</v>
      </c>
      <c r="F2549" s="8" t="s">
        <v>930</v>
      </c>
      <c r="G2549" s="7" t="s">
        <v>68</v>
      </c>
      <c r="H2549" s="47" t="s">
        <v>205</v>
      </c>
      <c r="I2549" s="47" t="s">
        <v>206</v>
      </c>
      <c r="J2549" s="6">
        <v>70</v>
      </c>
      <c r="K2549" s="8" t="s">
        <v>20</v>
      </c>
      <c r="L2549" s="1" t="s">
        <v>935</v>
      </c>
      <c r="M2549" s="5">
        <v>60</v>
      </c>
    </row>
    <row r="2550" spans="1:13" ht="15" x14ac:dyDescent="0.25">
      <c r="A2550" s="7" t="s">
        <v>16</v>
      </c>
      <c r="B2550" s="7" t="s">
        <v>23</v>
      </c>
      <c r="C2550" s="7" t="s">
        <v>24</v>
      </c>
      <c r="D2550" s="4">
        <v>1554266000149</v>
      </c>
      <c r="E2550" s="8" t="s">
        <v>939</v>
      </c>
      <c r="F2550" s="8" t="s">
        <v>113</v>
      </c>
      <c r="G2550" s="7" t="s">
        <v>68</v>
      </c>
      <c r="H2550" s="47" t="s">
        <v>205</v>
      </c>
      <c r="I2550" s="47" t="s">
        <v>206</v>
      </c>
      <c r="J2550" s="6">
        <v>70</v>
      </c>
      <c r="K2550" s="8" t="s">
        <v>20</v>
      </c>
      <c r="L2550" s="1" t="s">
        <v>939</v>
      </c>
      <c r="M2550" s="5">
        <v>70</v>
      </c>
    </row>
    <row r="2551" spans="1:13" ht="15" x14ac:dyDescent="0.25">
      <c r="A2551" s="7" t="s">
        <v>16</v>
      </c>
      <c r="B2551" s="7" t="s">
        <v>23</v>
      </c>
      <c r="C2551" s="7" t="s">
        <v>24</v>
      </c>
      <c r="D2551" s="4">
        <v>1554266000300</v>
      </c>
      <c r="E2551" s="8" t="s">
        <v>940</v>
      </c>
      <c r="F2551" s="8" t="s">
        <v>113</v>
      </c>
      <c r="G2551" s="7" t="s">
        <v>68</v>
      </c>
      <c r="H2551" s="47" t="s">
        <v>205</v>
      </c>
      <c r="I2551" s="47" t="s">
        <v>206</v>
      </c>
      <c r="J2551" s="6">
        <v>70</v>
      </c>
      <c r="K2551" s="8" t="s">
        <v>20</v>
      </c>
      <c r="L2551" s="1" t="s">
        <v>940</v>
      </c>
      <c r="M2551" s="5">
        <v>70</v>
      </c>
    </row>
    <row r="2552" spans="1:13" ht="15" x14ac:dyDescent="0.25">
      <c r="A2552" s="7" t="s">
        <v>16</v>
      </c>
      <c r="B2552" s="7" t="s">
        <v>23</v>
      </c>
      <c r="C2552" s="7" t="s">
        <v>24</v>
      </c>
      <c r="D2552" s="4">
        <v>1880344000103</v>
      </c>
      <c r="E2552" s="8" t="s">
        <v>941</v>
      </c>
      <c r="F2552" s="8" t="s">
        <v>93</v>
      </c>
      <c r="G2552" s="7" t="s">
        <v>68</v>
      </c>
      <c r="H2552" s="47" t="s">
        <v>205</v>
      </c>
      <c r="I2552" s="47" t="s">
        <v>206</v>
      </c>
      <c r="J2552" s="6">
        <v>70</v>
      </c>
      <c r="K2552" s="8" t="s">
        <v>20</v>
      </c>
      <c r="L2552" s="1" t="s">
        <v>941</v>
      </c>
      <c r="M2552" s="5">
        <v>245</v>
      </c>
    </row>
    <row r="2553" spans="1:13" ht="15" x14ac:dyDescent="0.25">
      <c r="A2553" s="7" t="s">
        <v>16</v>
      </c>
      <c r="B2553" s="7" t="s">
        <v>23</v>
      </c>
      <c r="C2553" s="7" t="s">
        <v>24</v>
      </c>
      <c r="D2553" s="4">
        <v>3855214000219</v>
      </c>
      <c r="E2553" s="8" t="s">
        <v>946</v>
      </c>
      <c r="F2553" s="8" t="s">
        <v>947</v>
      </c>
      <c r="G2553" s="7" t="s">
        <v>68</v>
      </c>
      <c r="H2553" s="47" t="s">
        <v>205</v>
      </c>
      <c r="I2553" s="47" t="s">
        <v>206</v>
      </c>
      <c r="J2553" s="6">
        <v>70</v>
      </c>
      <c r="K2553" s="8" t="s">
        <v>20</v>
      </c>
      <c r="L2553" s="1" t="s">
        <v>946</v>
      </c>
      <c r="M2553" s="5">
        <v>10</v>
      </c>
    </row>
    <row r="2554" spans="1:13" ht="15" x14ac:dyDescent="0.25">
      <c r="A2554" s="7" t="s">
        <v>16</v>
      </c>
      <c r="B2554" s="7" t="s">
        <v>23</v>
      </c>
      <c r="C2554" s="7" t="s">
        <v>24</v>
      </c>
      <c r="D2554" s="4">
        <v>4670913000176</v>
      </c>
      <c r="E2554" s="8" t="s">
        <v>949</v>
      </c>
      <c r="F2554" s="8" t="s">
        <v>930</v>
      </c>
      <c r="G2554" s="7" t="s">
        <v>68</v>
      </c>
      <c r="H2554" s="47" t="s">
        <v>205</v>
      </c>
      <c r="I2554" s="47" t="s">
        <v>206</v>
      </c>
      <c r="J2554" s="6">
        <v>70</v>
      </c>
      <c r="K2554" s="8" t="s">
        <v>20</v>
      </c>
      <c r="L2554" s="1" t="s">
        <v>949</v>
      </c>
      <c r="M2554" s="5">
        <v>435</v>
      </c>
    </row>
    <row r="2555" spans="1:13" ht="15" x14ac:dyDescent="0.25">
      <c r="A2555" s="7" t="s">
        <v>16</v>
      </c>
      <c r="B2555" s="7" t="s">
        <v>23</v>
      </c>
      <c r="C2555" s="7" t="s">
        <v>24</v>
      </c>
      <c r="D2555" s="4">
        <v>23982118000168</v>
      </c>
      <c r="E2555" s="8" t="s">
        <v>972</v>
      </c>
      <c r="F2555" s="8" t="s">
        <v>930</v>
      </c>
      <c r="G2555" s="7" t="s">
        <v>68</v>
      </c>
      <c r="H2555" s="47" t="s">
        <v>205</v>
      </c>
      <c r="I2555" s="47" t="s">
        <v>206</v>
      </c>
      <c r="J2555" s="6">
        <v>70</v>
      </c>
      <c r="K2555" s="8" t="s">
        <v>20</v>
      </c>
      <c r="L2555" s="1" t="s">
        <v>972</v>
      </c>
      <c r="M2555" s="5">
        <v>765</v>
      </c>
    </row>
    <row r="2556" spans="1:13" ht="15" x14ac:dyDescent="0.25">
      <c r="A2556" s="7" t="s">
        <v>16</v>
      </c>
      <c r="B2556" s="7" t="s">
        <v>23</v>
      </c>
      <c r="C2556" s="7" t="s">
        <v>24</v>
      </c>
      <c r="D2556" s="4">
        <v>77858611001414</v>
      </c>
      <c r="E2556" s="8" t="s">
        <v>991</v>
      </c>
      <c r="F2556" s="8" t="s">
        <v>969</v>
      </c>
      <c r="G2556" s="7" t="s">
        <v>68</v>
      </c>
      <c r="H2556" s="47" t="s">
        <v>205</v>
      </c>
      <c r="I2556" s="47" t="s">
        <v>206</v>
      </c>
      <c r="J2556" s="6">
        <v>70</v>
      </c>
      <c r="K2556" s="8" t="s">
        <v>20</v>
      </c>
      <c r="L2556" s="1" t="s">
        <v>991</v>
      </c>
      <c r="M2556" s="5">
        <v>165</v>
      </c>
    </row>
    <row r="2557" spans="1:13" ht="15" x14ac:dyDescent="0.25">
      <c r="A2557" s="7" t="s">
        <v>16</v>
      </c>
      <c r="B2557" s="7" t="s">
        <v>23</v>
      </c>
      <c r="C2557" s="7" t="s">
        <v>24</v>
      </c>
      <c r="D2557" s="4">
        <v>80490618000116</v>
      </c>
      <c r="E2557" s="8" t="s">
        <v>997</v>
      </c>
      <c r="F2557" s="8" t="s">
        <v>998</v>
      </c>
      <c r="G2557" s="7" t="s">
        <v>68</v>
      </c>
      <c r="H2557" s="47" t="s">
        <v>205</v>
      </c>
      <c r="I2557" s="47" t="s">
        <v>206</v>
      </c>
      <c r="J2557" s="6">
        <v>70</v>
      </c>
      <c r="K2557" s="8" t="s">
        <v>20</v>
      </c>
      <c r="L2557" s="1" t="s">
        <v>997</v>
      </c>
      <c r="M2557" s="5">
        <v>60</v>
      </c>
    </row>
    <row r="2558" spans="1:13" ht="15" x14ac:dyDescent="0.25">
      <c r="A2558" s="7" t="s">
        <v>16</v>
      </c>
      <c r="B2558" s="7" t="s">
        <v>23</v>
      </c>
      <c r="C2558" s="7" t="s">
        <v>24</v>
      </c>
      <c r="D2558" s="4">
        <v>82624776000651</v>
      </c>
      <c r="E2558" s="8" t="s">
        <v>1007</v>
      </c>
      <c r="F2558" s="8" t="s">
        <v>93</v>
      </c>
      <c r="G2558" s="7" t="s">
        <v>68</v>
      </c>
      <c r="H2558" s="47" t="s">
        <v>205</v>
      </c>
      <c r="I2558" s="47" t="s">
        <v>206</v>
      </c>
      <c r="J2558" s="6">
        <v>70</v>
      </c>
      <c r="K2558" s="8" t="s">
        <v>20</v>
      </c>
      <c r="L2558" s="1" t="s">
        <v>1007</v>
      </c>
      <c r="M2558" s="5">
        <v>35</v>
      </c>
    </row>
    <row r="2559" spans="1:13" ht="15" x14ac:dyDescent="0.25">
      <c r="A2559" s="7" t="s">
        <v>16</v>
      </c>
      <c r="B2559" s="7" t="s">
        <v>23</v>
      </c>
      <c r="C2559" s="7" t="s">
        <v>24</v>
      </c>
      <c r="D2559" s="4">
        <v>85241339000809</v>
      </c>
      <c r="E2559" s="8" t="s">
        <v>1011</v>
      </c>
      <c r="F2559" s="8" t="s">
        <v>998</v>
      </c>
      <c r="G2559" s="7" t="s">
        <v>68</v>
      </c>
      <c r="H2559" s="47" t="s">
        <v>205</v>
      </c>
      <c r="I2559" s="47" t="s">
        <v>206</v>
      </c>
      <c r="J2559" s="6">
        <v>70</v>
      </c>
      <c r="K2559" s="8" t="s">
        <v>20</v>
      </c>
      <c r="L2559" s="1" t="s">
        <v>1011</v>
      </c>
      <c r="M2559" s="5">
        <v>390</v>
      </c>
    </row>
    <row r="2560" spans="1:13" ht="15" x14ac:dyDescent="0.25">
      <c r="A2560" s="7" t="s">
        <v>16</v>
      </c>
      <c r="B2560" s="7" t="s">
        <v>229</v>
      </c>
      <c r="C2560" s="7" t="s">
        <v>24</v>
      </c>
      <c r="D2560" s="4">
        <v>1125832000105</v>
      </c>
      <c r="E2560" s="8" t="s">
        <v>935</v>
      </c>
      <c r="F2560" s="8" t="s">
        <v>930</v>
      </c>
      <c r="G2560" s="7" t="s">
        <v>68</v>
      </c>
      <c r="H2560" s="47" t="s">
        <v>205</v>
      </c>
      <c r="I2560" s="47" t="s">
        <v>206</v>
      </c>
      <c r="J2560" s="6">
        <v>70</v>
      </c>
      <c r="K2560" s="8" t="s">
        <v>20</v>
      </c>
      <c r="L2560" s="1" t="s">
        <v>935</v>
      </c>
      <c r="M2560" s="5">
        <v>140</v>
      </c>
    </row>
    <row r="2561" spans="1:13" ht="15" x14ac:dyDescent="0.25">
      <c r="A2561" s="7" t="s">
        <v>16</v>
      </c>
      <c r="B2561" s="7" t="s">
        <v>229</v>
      </c>
      <c r="C2561" s="7" t="s">
        <v>24</v>
      </c>
      <c r="D2561" s="4">
        <v>1554266000300</v>
      </c>
      <c r="E2561" s="8" t="s">
        <v>940</v>
      </c>
      <c r="F2561" s="8" t="s">
        <v>113</v>
      </c>
      <c r="G2561" s="7" t="s">
        <v>68</v>
      </c>
      <c r="H2561" s="47" t="s">
        <v>205</v>
      </c>
      <c r="I2561" s="47" t="s">
        <v>206</v>
      </c>
      <c r="J2561" s="6">
        <v>70</v>
      </c>
      <c r="K2561" s="8" t="s">
        <v>20</v>
      </c>
      <c r="L2561" s="1" t="s">
        <v>940</v>
      </c>
      <c r="M2561" s="5">
        <v>70</v>
      </c>
    </row>
    <row r="2562" spans="1:13" ht="15" x14ac:dyDescent="0.25">
      <c r="A2562" s="7" t="s">
        <v>16</v>
      </c>
      <c r="B2562" s="7" t="s">
        <v>229</v>
      </c>
      <c r="C2562" s="7" t="s">
        <v>24</v>
      </c>
      <c r="D2562" s="4">
        <v>1880344000103</v>
      </c>
      <c r="E2562" s="8" t="s">
        <v>941</v>
      </c>
      <c r="F2562" s="8" t="s">
        <v>93</v>
      </c>
      <c r="G2562" s="7" t="s">
        <v>68</v>
      </c>
      <c r="H2562" s="47" t="s">
        <v>205</v>
      </c>
      <c r="I2562" s="47" t="s">
        <v>206</v>
      </c>
      <c r="J2562" s="6">
        <v>70</v>
      </c>
      <c r="K2562" s="8" t="s">
        <v>20</v>
      </c>
      <c r="L2562" s="1" t="s">
        <v>941</v>
      </c>
      <c r="M2562" s="5">
        <v>20</v>
      </c>
    </row>
    <row r="2563" spans="1:13" ht="15" x14ac:dyDescent="0.25">
      <c r="A2563" s="7" t="s">
        <v>16</v>
      </c>
      <c r="B2563" s="7" t="s">
        <v>229</v>
      </c>
      <c r="C2563" s="7" t="s">
        <v>24</v>
      </c>
      <c r="D2563" s="4">
        <v>3354642000187</v>
      </c>
      <c r="E2563" s="8" t="s">
        <v>1143</v>
      </c>
      <c r="F2563" s="8" t="s">
        <v>93</v>
      </c>
      <c r="G2563" s="7" t="s">
        <v>68</v>
      </c>
      <c r="H2563" s="47" t="s">
        <v>205</v>
      </c>
      <c r="I2563" s="47" t="s">
        <v>206</v>
      </c>
      <c r="J2563" s="6">
        <v>70</v>
      </c>
      <c r="K2563" s="8" t="s">
        <v>20</v>
      </c>
      <c r="L2563" s="1" t="s">
        <v>1143</v>
      </c>
      <c r="M2563" s="5">
        <v>15</v>
      </c>
    </row>
    <row r="2564" spans="1:13" ht="15" x14ac:dyDescent="0.25">
      <c r="A2564" s="7" t="s">
        <v>16</v>
      </c>
      <c r="B2564" s="7" t="s">
        <v>229</v>
      </c>
      <c r="C2564" s="7" t="s">
        <v>24</v>
      </c>
      <c r="D2564" s="4">
        <v>3855214000219</v>
      </c>
      <c r="E2564" s="8" t="s">
        <v>946</v>
      </c>
      <c r="F2564" s="8" t="s">
        <v>947</v>
      </c>
      <c r="G2564" s="7" t="s">
        <v>68</v>
      </c>
      <c r="H2564" s="47" t="s">
        <v>205</v>
      </c>
      <c r="I2564" s="47" t="s">
        <v>206</v>
      </c>
      <c r="J2564" s="6">
        <v>70</v>
      </c>
      <c r="K2564" s="8" t="s">
        <v>20</v>
      </c>
      <c r="L2564" s="1" t="s">
        <v>946</v>
      </c>
      <c r="M2564" s="5">
        <v>10</v>
      </c>
    </row>
    <row r="2565" spans="1:13" ht="15" x14ac:dyDescent="0.25">
      <c r="A2565" s="7" t="s">
        <v>16</v>
      </c>
      <c r="B2565" s="7" t="s">
        <v>229</v>
      </c>
      <c r="C2565" s="7" t="s">
        <v>24</v>
      </c>
      <c r="D2565" s="4">
        <v>4670913000176</v>
      </c>
      <c r="E2565" s="8" t="s">
        <v>949</v>
      </c>
      <c r="F2565" s="8" t="s">
        <v>930</v>
      </c>
      <c r="G2565" s="7" t="s">
        <v>68</v>
      </c>
      <c r="H2565" s="47" t="s">
        <v>205</v>
      </c>
      <c r="I2565" s="47" t="s">
        <v>206</v>
      </c>
      <c r="J2565" s="6">
        <v>70</v>
      </c>
      <c r="K2565" s="8" t="s">
        <v>20</v>
      </c>
      <c r="L2565" s="1" t="s">
        <v>949</v>
      </c>
      <c r="M2565" s="5">
        <v>355</v>
      </c>
    </row>
    <row r="2566" spans="1:13" ht="15" x14ac:dyDescent="0.25">
      <c r="A2566" s="7" t="s">
        <v>16</v>
      </c>
      <c r="B2566" s="7" t="s">
        <v>229</v>
      </c>
      <c r="C2566" s="7" t="s">
        <v>24</v>
      </c>
      <c r="D2566" s="4">
        <v>77858611001414</v>
      </c>
      <c r="E2566" s="8" t="s">
        <v>991</v>
      </c>
      <c r="F2566" s="8" t="s">
        <v>969</v>
      </c>
      <c r="G2566" s="7" t="s">
        <v>68</v>
      </c>
      <c r="H2566" s="47" t="s">
        <v>205</v>
      </c>
      <c r="I2566" s="47" t="s">
        <v>206</v>
      </c>
      <c r="J2566" s="6">
        <v>70</v>
      </c>
      <c r="K2566" s="8" t="s">
        <v>20</v>
      </c>
      <c r="L2566" s="1" t="s">
        <v>991</v>
      </c>
      <c r="M2566" s="5">
        <v>325</v>
      </c>
    </row>
    <row r="2567" spans="1:13" ht="15" x14ac:dyDescent="0.25">
      <c r="A2567" s="7" t="s">
        <v>16</v>
      </c>
      <c r="B2567" s="7" t="s">
        <v>229</v>
      </c>
      <c r="C2567" s="7" t="s">
        <v>24</v>
      </c>
      <c r="D2567" s="4">
        <v>80490618000116</v>
      </c>
      <c r="E2567" s="8" t="s">
        <v>997</v>
      </c>
      <c r="F2567" s="8" t="s">
        <v>998</v>
      </c>
      <c r="G2567" s="7" t="s">
        <v>68</v>
      </c>
      <c r="H2567" s="47" t="s">
        <v>205</v>
      </c>
      <c r="I2567" s="47" t="s">
        <v>206</v>
      </c>
      <c r="J2567" s="6">
        <v>70</v>
      </c>
      <c r="K2567" s="8" t="s">
        <v>20</v>
      </c>
      <c r="L2567" s="1" t="s">
        <v>997</v>
      </c>
      <c r="M2567" s="5">
        <v>60</v>
      </c>
    </row>
    <row r="2568" spans="1:13" ht="15" x14ac:dyDescent="0.25">
      <c r="A2568" s="7" t="s">
        <v>16</v>
      </c>
      <c r="B2568" s="7" t="s">
        <v>229</v>
      </c>
      <c r="C2568" s="7" t="s">
        <v>24</v>
      </c>
      <c r="D2568" s="4">
        <v>80673411000187</v>
      </c>
      <c r="E2568" s="8" t="s">
        <v>999</v>
      </c>
      <c r="F2568" s="8" t="s">
        <v>930</v>
      </c>
      <c r="G2568" s="7" t="s">
        <v>68</v>
      </c>
      <c r="H2568" s="47" t="s">
        <v>205</v>
      </c>
      <c r="I2568" s="47" t="s">
        <v>206</v>
      </c>
      <c r="J2568" s="6">
        <v>70</v>
      </c>
      <c r="K2568" s="8" t="s">
        <v>20</v>
      </c>
      <c r="L2568" s="1" t="s">
        <v>999</v>
      </c>
      <c r="M2568" s="5">
        <v>1000</v>
      </c>
    </row>
    <row r="2569" spans="1:13" ht="15" x14ac:dyDescent="0.25">
      <c r="A2569" s="7" t="s">
        <v>16</v>
      </c>
      <c r="B2569" s="7" t="s">
        <v>229</v>
      </c>
      <c r="C2569" s="7" t="s">
        <v>24</v>
      </c>
      <c r="D2569" s="4">
        <v>82624776000651</v>
      </c>
      <c r="E2569" s="8" t="s">
        <v>1007</v>
      </c>
      <c r="F2569" s="8" t="s">
        <v>93</v>
      </c>
      <c r="G2569" s="7" t="s">
        <v>68</v>
      </c>
      <c r="H2569" s="47" t="s">
        <v>205</v>
      </c>
      <c r="I2569" s="47" t="s">
        <v>206</v>
      </c>
      <c r="J2569" s="6">
        <v>70</v>
      </c>
      <c r="K2569" s="8" t="s">
        <v>20</v>
      </c>
      <c r="L2569" s="1" t="s">
        <v>1007</v>
      </c>
      <c r="M2569" s="5">
        <v>15</v>
      </c>
    </row>
    <row r="2570" spans="1:13" ht="15" x14ac:dyDescent="0.25">
      <c r="A2570" s="7" t="s">
        <v>16</v>
      </c>
      <c r="B2570" s="7" t="s">
        <v>229</v>
      </c>
      <c r="C2570" s="7" t="s">
        <v>24</v>
      </c>
      <c r="D2570" s="4">
        <v>83899526000425</v>
      </c>
      <c r="E2570" s="8" t="s">
        <v>1010</v>
      </c>
      <c r="F2570" s="8" t="s">
        <v>930</v>
      </c>
      <c r="G2570" s="7" t="s">
        <v>68</v>
      </c>
      <c r="H2570" s="47" t="s">
        <v>205</v>
      </c>
      <c r="I2570" s="47" t="s">
        <v>206</v>
      </c>
      <c r="J2570" s="6">
        <v>70</v>
      </c>
      <c r="K2570" s="8" t="s">
        <v>20</v>
      </c>
      <c r="L2570" s="1" t="s">
        <v>1010</v>
      </c>
      <c r="M2570" s="5">
        <v>300</v>
      </c>
    </row>
    <row r="2571" spans="1:13" ht="15" x14ac:dyDescent="0.25">
      <c r="A2571" s="7" t="s">
        <v>16</v>
      </c>
      <c r="B2571" s="7" t="s">
        <v>229</v>
      </c>
      <c r="C2571" s="7" t="s">
        <v>24</v>
      </c>
      <c r="D2571" s="4">
        <v>85377174000392</v>
      </c>
      <c r="E2571" s="8" t="s">
        <v>1012</v>
      </c>
      <c r="F2571" s="8" t="s">
        <v>938</v>
      </c>
      <c r="G2571" s="7" t="s">
        <v>68</v>
      </c>
      <c r="H2571" s="47" t="s">
        <v>205</v>
      </c>
      <c r="I2571" s="47" t="s">
        <v>206</v>
      </c>
      <c r="J2571" s="6">
        <v>70</v>
      </c>
      <c r="K2571" s="8" t="s">
        <v>20</v>
      </c>
      <c r="L2571" s="1" t="s">
        <v>1012</v>
      </c>
      <c r="M2571" s="5">
        <v>10</v>
      </c>
    </row>
    <row r="2572" spans="1:13" ht="15" x14ac:dyDescent="0.25">
      <c r="A2572" s="7" t="s">
        <v>16</v>
      </c>
      <c r="B2572" s="7" t="s">
        <v>230</v>
      </c>
      <c r="C2572" s="7" t="s">
        <v>24</v>
      </c>
      <c r="D2572" s="4">
        <v>1125832000105</v>
      </c>
      <c r="E2572" s="8" t="s">
        <v>935</v>
      </c>
      <c r="F2572" s="8" t="s">
        <v>930</v>
      </c>
      <c r="G2572" s="7" t="s">
        <v>68</v>
      </c>
      <c r="H2572" s="47" t="s">
        <v>205</v>
      </c>
      <c r="I2572" s="47" t="s">
        <v>206</v>
      </c>
      <c r="J2572" s="6">
        <v>70</v>
      </c>
      <c r="K2572" s="8" t="s">
        <v>20</v>
      </c>
      <c r="L2572" s="1" t="s">
        <v>935</v>
      </c>
      <c r="M2572" s="5">
        <v>100</v>
      </c>
    </row>
    <row r="2573" spans="1:13" ht="15" x14ac:dyDescent="0.25">
      <c r="A2573" s="7" t="s">
        <v>16</v>
      </c>
      <c r="B2573" s="7" t="s">
        <v>230</v>
      </c>
      <c r="C2573" s="7" t="s">
        <v>24</v>
      </c>
      <c r="D2573" s="4">
        <v>1554266000149</v>
      </c>
      <c r="E2573" s="8" t="s">
        <v>939</v>
      </c>
      <c r="F2573" s="8" t="s">
        <v>113</v>
      </c>
      <c r="G2573" s="7" t="s">
        <v>68</v>
      </c>
      <c r="H2573" s="47" t="s">
        <v>205</v>
      </c>
      <c r="I2573" s="47" t="s">
        <v>206</v>
      </c>
      <c r="J2573" s="6">
        <v>70</v>
      </c>
      <c r="K2573" s="8" t="s">
        <v>20</v>
      </c>
      <c r="L2573" s="1" t="s">
        <v>939</v>
      </c>
      <c r="M2573" s="5">
        <v>35</v>
      </c>
    </row>
    <row r="2574" spans="1:13" ht="15" x14ac:dyDescent="0.25">
      <c r="A2574" s="7" t="s">
        <v>16</v>
      </c>
      <c r="B2574" s="7" t="s">
        <v>230</v>
      </c>
      <c r="C2574" s="7" t="s">
        <v>24</v>
      </c>
      <c r="D2574" s="4">
        <v>1554266000300</v>
      </c>
      <c r="E2574" s="8" t="s">
        <v>940</v>
      </c>
      <c r="F2574" s="8" t="s">
        <v>113</v>
      </c>
      <c r="G2574" s="7" t="s">
        <v>68</v>
      </c>
      <c r="H2574" s="47" t="s">
        <v>205</v>
      </c>
      <c r="I2574" s="47" t="s">
        <v>206</v>
      </c>
      <c r="J2574" s="6">
        <v>70</v>
      </c>
      <c r="K2574" s="8" t="s">
        <v>20</v>
      </c>
      <c r="L2574" s="1" t="s">
        <v>940</v>
      </c>
      <c r="M2574" s="5">
        <v>105</v>
      </c>
    </row>
    <row r="2575" spans="1:13" ht="15" x14ac:dyDescent="0.25">
      <c r="A2575" s="7" t="s">
        <v>16</v>
      </c>
      <c r="B2575" s="7" t="s">
        <v>230</v>
      </c>
      <c r="C2575" s="7" t="s">
        <v>24</v>
      </c>
      <c r="D2575" s="4">
        <v>1595799000179</v>
      </c>
      <c r="E2575" s="8" t="s">
        <v>1399</v>
      </c>
      <c r="F2575" s="8" t="s">
        <v>998</v>
      </c>
      <c r="G2575" s="7" t="s">
        <v>68</v>
      </c>
      <c r="H2575" s="47" t="s">
        <v>205</v>
      </c>
      <c r="I2575" s="47" t="s">
        <v>206</v>
      </c>
      <c r="J2575" s="6">
        <v>70</v>
      </c>
      <c r="K2575" s="8" t="s">
        <v>20</v>
      </c>
      <c r="L2575" s="1" t="s">
        <v>1399</v>
      </c>
      <c r="M2575" s="5">
        <v>125</v>
      </c>
    </row>
    <row r="2576" spans="1:13" ht="15" x14ac:dyDescent="0.25">
      <c r="A2576" s="7" t="s">
        <v>16</v>
      </c>
      <c r="B2576" s="7" t="s">
        <v>230</v>
      </c>
      <c r="C2576" s="7" t="s">
        <v>24</v>
      </c>
      <c r="D2576" s="4">
        <v>1880344000103</v>
      </c>
      <c r="E2576" s="8" t="s">
        <v>941</v>
      </c>
      <c r="F2576" s="8" t="s">
        <v>93</v>
      </c>
      <c r="G2576" s="7" t="s">
        <v>68</v>
      </c>
      <c r="H2576" s="47" t="s">
        <v>205</v>
      </c>
      <c r="I2576" s="47" t="s">
        <v>206</v>
      </c>
      <c r="J2576" s="6">
        <v>70</v>
      </c>
      <c r="K2576" s="8" t="s">
        <v>20</v>
      </c>
      <c r="L2576" s="1" t="s">
        <v>941</v>
      </c>
      <c r="M2576" s="5">
        <v>5</v>
      </c>
    </row>
    <row r="2577" spans="1:13" ht="15" x14ac:dyDescent="0.25">
      <c r="A2577" s="7" t="s">
        <v>16</v>
      </c>
      <c r="B2577" s="7" t="s">
        <v>230</v>
      </c>
      <c r="C2577" s="7" t="s">
        <v>24</v>
      </c>
      <c r="D2577" s="4">
        <v>3354642000187</v>
      </c>
      <c r="E2577" s="8" t="s">
        <v>1143</v>
      </c>
      <c r="F2577" s="8" t="s">
        <v>93</v>
      </c>
      <c r="G2577" s="7" t="s">
        <v>68</v>
      </c>
      <c r="H2577" s="47" t="s">
        <v>205</v>
      </c>
      <c r="I2577" s="47" t="s">
        <v>206</v>
      </c>
      <c r="J2577" s="6">
        <v>70</v>
      </c>
      <c r="K2577" s="8" t="s">
        <v>20</v>
      </c>
      <c r="L2577" s="1" t="s">
        <v>1143</v>
      </c>
      <c r="M2577" s="5">
        <v>30</v>
      </c>
    </row>
    <row r="2578" spans="1:13" ht="15" x14ac:dyDescent="0.25">
      <c r="A2578" s="7" t="s">
        <v>16</v>
      </c>
      <c r="B2578" s="7" t="s">
        <v>230</v>
      </c>
      <c r="C2578" s="7" t="s">
        <v>24</v>
      </c>
      <c r="D2578" s="4">
        <v>3855214000219</v>
      </c>
      <c r="E2578" s="8" t="s">
        <v>946</v>
      </c>
      <c r="F2578" s="8" t="s">
        <v>947</v>
      </c>
      <c r="G2578" s="7" t="s">
        <v>68</v>
      </c>
      <c r="H2578" s="47" t="s">
        <v>205</v>
      </c>
      <c r="I2578" s="47" t="s">
        <v>206</v>
      </c>
      <c r="J2578" s="6">
        <v>70</v>
      </c>
      <c r="K2578" s="8" t="s">
        <v>20</v>
      </c>
      <c r="L2578" s="1" t="s">
        <v>946</v>
      </c>
      <c r="M2578" s="5">
        <v>20</v>
      </c>
    </row>
    <row r="2579" spans="1:13" ht="15" x14ac:dyDescent="0.25">
      <c r="A2579" s="7" t="s">
        <v>16</v>
      </c>
      <c r="B2579" s="7" t="s">
        <v>230</v>
      </c>
      <c r="C2579" s="7" t="s">
        <v>24</v>
      </c>
      <c r="D2579" s="4">
        <v>4670913000176</v>
      </c>
      <c r="E2579" s="8" t="s">
        <v>949</v>
      </c>
      <c r="F2579" s="8" t="s">
        <v>930</v>
      </c>
      <c r="G2579" s="7" t="s">
        <v>68</v>
      </c>
      <c r="H2579" s="47" t="s">
        <v>205</v>
      </c>
      <c r="I2579" s="47" t="s">
        <v>206</v>
      </c>
      <c r="J2579" s="6">
        <v>70</v>
      </c>
      <c r="K2579" s="8" t="s">
        <v>20</v>
      </c>
      <c r="L2579" s="1" t="s">
        <v>949</v>
      </c>
      <c r="M2579" s="5">
        <v>225</v>
      </c>
    </row>
    <row r="2580" spans="1:13" ht="15" x14ac:dyDescent="0.25">
      <c r="A2580" s="7" t="s">
        <v>16</v>
      </c>
      <c r="B2580" s="7" t="s">
        <v>230</v>
      </c>
      <c r="C2580" s="7" t="s">
        <v>24</v>
      </c>
      <c r="D2580" s="4">
        <v>77858611001414</v>
      </c>
      <c r="E2580" s="8" t="s">
        <v>991</v>
      </c>
      <c r="F2580" s="8" t="s">
        <v>969</v>
      </c>
      <c r="G2580" s="7" t="s">
        <v>68</v>
      </c>
      <c r="H2580" s="47" t="s">
        <v>205</v>
      </c>
      <c r="I2580" s="47" t="s">
        <v>206</v>
      </c>
      <c r="J2580" s="6">
        <v>70</v>
      </c>
      <c r="K2580" s="8" t="s">
        <v>20</v>
      </c>
      <c r="L2580" s="1" t="s">
        <v>991</v>
      </c>
      <c r="M2580" s="5">
        <v>290</v>
      </c>
    </row>
    <row r="2581" spans="1:13" ht="15" x14ac:dyDescent="0.25">
      <c r="A2581" s="7" t="s">
        <v>16</v>
      </c>
      <c r="B2581" s="7" t="s">
        <v>230</v>
      </c>
      <c r="C2581" s="7" t="s">
        <v>24</v>
      </c>
      <c r="D2581" s="4">
        <v>80673411000187</v>
      </c>
      <c r="E2581" s="8" t="s">
        <v>999</v>
      </c>
      <c r="F2581" s="8" t="s">
        <v>930</v>
      </c>
      <c r="G2581" s="7" t="s">
        <v>68</v>
      </c>
      <c r="H2581" s="47" t="s">
        <v>205</v>
      </c>
      <c r="I2581" s="47" t="s">
        <v>206</v>
      </c>
      <c r="J2581" s="6">
        <v>70</v>
      </c>
      <c r="K2581" s="8" t="s">
        <v>20</v>
      </c>
      <c r="L2581" s="1" t="s">
        <v>999</v>
      </c>
      <c r="M2581" s="5">
        <v>4295</v>
      </c>
    </row>
    <row r="2582" spans="1:13" ht="15" x14ac:dyDescent="0.25">
      <c r="A2582" s="7" t="s">
        <v>16</v>
      </c>
      <c r="B2582" s="7" t="s">
        <v>230</v>
      </c>
      <c r="C2582" s="7" t="s">
        <v>24</v>
      </c>
      <c r="D2582" s="4">
        <v>82654088000120</v>
      </c>
      <c r="E2582" s="8" t="s">
        <v>1008</v>
      </c>
      <c r="F2582" s="8" t="s">
        <v>93</v>
      </c>
      <c r="G2582" s="7" t="s">
        <v>68</v>
      </c>
      <c r="H2582" s="47" t="s">
        <v>205</v>
      </c>
      <c r="I2582" s="47" t="s">
        <v>206</v>
      </c>
      <c r="J2582" s="6">
        <v>70</v>
      </c>
      <c r="K2582" s="8" t="s">
        <v>20</v>
      </c>
      <c r="L2582" s="1" t="s">
        <v>1008</v>
      </c>
      <c r="M2582" s="5">
        <v>5</v>
      </c>
    </row>
    <row r="2583" spans="1:13" ht="15" x14ac:dyDescent="0.25">
      <c r="A2583" s="7" t="s">
        <v>16</v>
      </c>
      <c r="B2583" s="7" t="s">
        <v>230</v>
      </c>
      <c r="C2583" s="7" t="s">
        <v>24</v>
      </c>
      <c r="D2583" s="4">
        <v>85241339000809</v>
      </c>
      <c r="E2583" s="8" t="s">
        <v>1011</v>
      </c>
      <c r="F2583" s="8" t="s">
        <v>998</v>
      </c>
      <c r="G2583" s="7" t="s">
        <v>68</v>
      </c>
      <c r="H2583" s="47" t="s">
        <v>205</v>
      </c>
      <c r="I2583" s="47" t="s">
        <v>206</v>
      </c>
      <c r="J2583" s="6">
        <v>70</v>
      </c>
      <c r="K2583" s="8" t="s">
        <v>20</v>
      </c>
      <c r="L2583" s="1" t="s">
        <v>1011</v>
      </c>
      <c r="M2583" s="5">
        <v>130</v>
      </c>
    </row>
    <row r="2584" spans="1:13" ht="15" x14ac:dyDescent="0.25">
      <c r="A2584" s="7" t="s">
        <v>16</v>
      </c>
      <c r="B2584" s="7" t="s">
        <v>372</v>
      </c>
      <c r="C2584" s="7" t="s">
        <v>373</v>
      </c>
      <c r="D2584" s="4">
        <v>1125832000105</v>
      </c>
      <c r="E2584" s="8" t="s">
        <v>935</v>
      </c>
      <c r="F2584" s="8" t="s">
        <v>930</v>
      </c>
      <c r="G2584" s="7" t="s">
        <v>68</v>
      </c>
      <c r="H2584" s="47" t="s">
        <v>205</v>
      </c>
      <c r="I2584" s="47" t="s">
        <v>206</v>
      </c>
      <c r="J2584" s="6">
        <v>70</v>
      </c>
      <c r="K2584" s="8" t="s">
        <v>20</v>
      </c>
      <c r="L2584" s="1" t="s">
        <v>935</v>
      </c>
      <c r="M2584" s="5">
        <v>110</v>
      </c>
    </row>
    <row r="2585" spans="1:13" ht="15" x14ac:dyDescent="0.25">
      <c r="A2585" s="7" t="s">
        <v>16</v>
      </c>
      <c r="B2585" s="7" t="s">
        <v>372</v>
      </c>
      <c r="C2585" s="7" t="s">
        <v>373</v>
      </c>
      <c r="D2585" s="4">
        <v>1554266000149</v>
      </c>
      <c r="E2585" s="8" t="s">
        <v>939</v>
      </c>
      <c r="F2585" s="8" t="s">
        <v>113</v>
      </c>
      <c r="G2585" s="7" t="s">
        <v>68</v>
      </c>
      <c r="H2585" s="47" t="s">
        <v>205</v>
      </c>
      <c r="I2585" s="47" t="s">
        <v>206</v>
      </c>
      <c r="J2585" s="6">
        <v>70</v>
      </c>
      <c r="K2585" s="8" t="s">
        <v>20</v>
      </c>
      <c r="L2585" s="1" t="s">
        <v>939</v>
      </c>
      <c r="M2585" s="5">
        <v>105</v>
      </c>
    </row>
    <row r="2586" spans="1:13" ht="15" x14ac:dyDescent="0.25">
      <c r="A2586" s="7" t="s">
        <v>16</v>
      </c>
      <c r="B2586" s="7" t="s">
        <v>372</v>
      </c>
      <c r="C2586" s="7" t="s">
        <v>373</v>
      </c>
      <c r="D2586" s="4">
        <v>1880344000103</v>
      </c>
      <c r="E2586" s="8" t="s">
        <v>941</v>
      </c>
      <c r="F2586" s="8" t="s">
        <v>93</v>
      </c>
      <c r="G2586" s="7" t="s">
        <v>68</v>
      </c>
      <c r="H2586" s="47" t="s">
        <v>205</v>
      </c>
      <c r="I2586" s="47" t="s">
        <v>206</v>
      </c>
      <c r="J2586" s="6">
        <v>70</v>
      </c>
      <c r="K2586" s="8" t="s">
        <v>20</v>
      </c>
      <c r="L2586" s="1" t="s">
        <v>941</v>
      </c>
      <c r="M2586" s="5">
        <v>5</v>
      </c>
    </row>
    <row r="2587" spans="1:13" ht="15" x14ac:dyDescent="0.25">
      <c r="A2587" s="7" t="s">
        <v>16</v>
      </c>
      <c r="B2587" s="7" t="s">
        <v>372</v>
      </c>
      <c r="C2587" s="7" t="s">
        <v>373</v>
      </c>
      <c r="D2587" s="4">
        <v>4670913000176</v>
      </c>
      <c r="E2587" s="8" t="s">
        <v>949</v>
      </c>
      <c r="F2587" s="8" t="s">
        <v>930</v>
      </c>
      <c r="G2587" s="7" t="s">
        <v>68</v>
      </c>
      <c r="H2587" s="47" t="s">
        <v>205</v>
      </c>
      <c r="I2587" s="47" t="s">
        <v>206</v>
      </c>
      <c r="J2587" s="6">
        <v>70</v>
      </c>
      <c r="K2587" s="8" t="s">
        <v>20</v>
      </c>
      <c r="L2587" s="1" t="s">
        <v>949</v>
      </c>
      <c r="M2587" s="5">
        <v>350</v>
      </c>
    </row>
    <row r="2588" spans="1:13" ht="15" x14ac:dyDescent="0.25">
      <c r="A2588" s="7" t="s">
        <v>16</v>
      </c>
      <c r="B2588" s="7" t="s">
        <v>372</v>
      </c>
      <c r="C2588" s="7" t="s">
        <v>373</v>
      </c>
      <c r="D2588" s="4">
        <v>23982118000168</v>
      </c>
      <c r="E2588" s="8" t="s">
        <v>972</v>
      </c>
      <c r="F2588" s="8" t="s">
        <v>930</v>
      </c>
      <c r="G2588" s="7" t="s">
        <v>68</v>
      </c>
      <c r="H2588" s="47" t="s">
        <v>205</v>
      </c>
      <c r="I2588" s="47" t="s">
        <v>206</v>
      </c>
      <c r="J2588" s="6">
        <v>70</v>
      </c>
      <c r="K2588" s="8" t="s">
        <v>20</v>
      </c>
      <c r="L2588" s="1" t="s">
        <v>972</v>
      </c>
      <c r="M2588" s="5">
        <v>315</v>
      </c>
    </row>
    <row r="2589" spans="1:13" ht="15" x14ac:dyDescent="0.25">
      <c r="A2589" s="7" t="s">
        <v>16</v>
      </c>
      <c r="B2589" s="7" t="s">
        <v>372</v>
      </c>
      <c r="C2589" s="7" t="s">
        <v>373</v>
      </c>
      <c r="D2589" s="4">
        <v>77858611001414</v>
      </c>
      <c r="E2589" s="8" t="s">
        <v>991</v>
      </c>
      <c r="F2589" s="8" t="s">
        <v>969</v>
      </c>
      <c r="G2589" s="7" t="s">
        <v>68</v>
      </c>
      <c r="H2589" s="47" t="s">
        <v>205</v>
      </c>
      <c r="I2589" s="47" t="s">
        <v>206</v>
      </c>
      <c r="J2589" s="6">
        <v>70</v>
      </c>
      <c r="K2589" s="8" t="s">
        <v>20</v>
      </c>
      <c r="L2589" s="1" t="s">
        <v>991</v>
      </c>
      <c r="M2589" s="5">
        <v>157.5</v>
      </c>
    </row>
    <row r="2590" spans="1:13" ht="15" x14ac:dyDescent="0.25">
      <c r="A2590" s="7" t="s">
        <v>16</v>
      </c>
      <c r="B2590" s="7" t="s">
        <v>372</v>
      </c>
      <c r="C2590" s="7" t="s">
        <v>373</v>
      </c>
      <c r="D2590" s="4">
        <v>83884999000106</v>
      </c>
      <c r="E2590" s="8" t="s">
        <v>1009</v>
      </c>
      <c r="F2590" s="8" t="s">
        <v>930</v>
      </c>
      <c r="G2590" s="7" t="s">
        <v>68</v>
      </c>
      <c r="H2590" s="47" t="s">
        <v>205</v>
      </c>
      <c r="I2590" s="47" t="s">
        <v>206</v>
      </c>
      <c r="J2590" s="6">
        <v>70</v>
      </c>
      <c r="K2590" s="8" t="s">
        <v>20</v>
      </c>
      <c r="L2590" s="1" t="s">
        <v>1009</v>
      </c>
      <c r="M2590" s="5">
        <v>130</v>
      </c>
    </row>
    <row r="2591" spans="1:13" ht="15" x14ac:dyDescent="0.25">
      <c r="A2591" s="7" t="s">
        <v>16</v>
      </c>
      <c r="B2591" s="7" t="s">
        <v>372</v>
      </c>
      <c r="C2591" s="7" t="s">
        <v>373</v>
      </c>
      <c r="D2591" s="4">
        <v>85241339000809</v>
      </c>
      <c r="E2591" s="8" t="s">
        <v>1011</v>
      </c>
      <c r="F2591" s="8" t="s">
        <v>998</v>
      </c>
      <c r="G2591" s="7" t="s">
        <v>68</v>
      </c>
      <c r="H2591" s="47" t="s">
        <v>205</v>
      </c>
      <c r="I2591" s="47" t="s">
        <v>206</v>
      </c>
      <c r="J2591" s="6">
        <v>70</v>
      </c>
      <c r="K2591" s="8" t="s">
        <v>20</v>
      </c>
      <c r="L2591" s="1" t="s">
        <v>1011</v>
      </c>
      <c r="M2591" s="5">
        <v>10</v>
      </c>
    </row>
    <row r="2592" spans="1:13" ht="15" x14ac:dyDescent="0.25">
      <c r="A2592" s="7" t="s">
        <v>16</v>
      </c>
      <c r="B2592" s="7" t="s">
        <v>372</v>
      </c>
      <c r="C2592" s="7" t="s">
        <v>373</v>
      </c>
      <c r="D2592" s="4">
        <v>85377174000392</v>
      </c>
      <c r="E2592" s="8" t="s">
        <v>1012</v>
      </c>
      <c r="F2592" s="8" t="s">
        <v>938</v>
      </c>
      <c r="G2592" s="7" t="s">
        <v>68</v>
      </c>
      <c r="H2592" s="47" t="s">
        <v>205</v>
      </c>
      <c r="I2592" s="47" t="s">
        <v>206</v>
      </c>
      <c r="J2592" s="6">
        <v>70</v>
      </c>
      <c r="K2592" s="8" t="s">
        <v>20</v>
      </c>
      <c r="L2592" s="1" t="s">
        <v>1012</v>
      </c>
      <c r="M2592" s="5">
        <v>10</v>
      </c>
    </row>
    <row r="2593" spans="1:13" ht="15" x14ac:dyDescent="0.25">
      <c r="A2593" s="7" t="s">
        <v>16</v>
      </c>
      <c r="B2593" s="7" t="s">
        <v>17</v>
      </c>
      <c r="C2593" s="7" t="s">
        <v>18</v>
      </c>
      <c r="D2593" s="4">
        <v>7088017000191</v>
      </c>
      <c r="E2593" s="8" t="s">
        <v>952</v>
      </c>
      <c r="F2593" s="8" t="s">
        <v>117</v>
      </c>
      <c r="G2593" s="7" t="s">
        <v>57</v>
      </c>
      <c r="H2593" s="47" t="s">
        <v>205</v>
      </c>
      <c r="I2593" s="47" t="s">
        <v>206</v>
      </c>
      <c r="J2593" s="6">
        <v>70</v>
      </c>
      <c r="K2593" s="8" t="s">
        <v>20</v>
      </c>
      <c r="L2593" s="1" t="s">
        <v>952</v>
      </c>
      <c r="M2593" s="5">
        <v>120</v>
      </c>
    </row>
    <row r="2594" spans="1:13" ht="15" x14ac:dyDescent="0.25">
      <c r="A2594" s="7" t="s">
        <v>16</v>
      </c>
      <c r="B2594" s="7" t="s">
        <v>17</v>
      </c>
      <c r="C2594" s="7" t="s">
        <v>18</v>
      </c>
      <c r="D2594" s="4">
        <v>7794623002257</v>
      </c>
      <c r="E2594" s="8" t="s">
        <v>955</v>
      </c>
      <c r="F2594" s="8" t="s">
        <v>956</v>
      </c>
      <c r="G2594" s="7" t="s">
        <v>57</v>
      </c>
      <c r="H2594" s="47" t="s">
        <v>205</v>
      </c>
      <c r="I2594" s="47" t="s">
        <v>206</v>
      </c>
      <c r="J2594" s="6">
        <v>70</v>
      </c>
      <c r="K2594" s="8" t="s">
        <v>20</v>
      </c>
      <c r="L2594" s="1" t="s">
        <v>955</v>
      </c>
      <c r="M2594" s="5">
        <v>515</v>
      </c>
    </row>
    <row r="2595" spans="1:13" ht="15" x14ac:dyDescent="0.25">
      <c r="A2595" s="7" t="s">
        <v>16</v>
      </c>
      <c r="B2595" s="7" t="s">
        <v>21</v>
      </c>
      <c r="C2595" s="7" t="s">
        <v>18</v>
      </c>
      <c r="D2595" s="4">
        <v>7794623002257</v>
      </c>
      <c r="E2595" s="8" t="s">
        <v>955</v>
      </c>
      <c r="F2595" s="8" t="s">
        <v>956</v>
      </c>
      <c r="G2595" s="7" t="s">
        <v>57</v>
      </c>
      <c r="H2595" s="47" t="s">
        <v>205</v>
      </c>
      <c r="I2595" s="47" t="s">
        <v>206</v>
      </c>
      <c r="J2595" s="6">
        <v>70</v>
      </c>
      <c r="K2595" s="8" t="s">
        <v>20</v>
      </c>
      <c r="L2595" s="1" t="s">
        <v>955</v>
      </c>
      <c r="M2595" s="5">
        <v>415</v>
      </c>
    </row>
    <row r="2596" spans="1:13" ht="15" x14ac:dyDescent="0.25">
      <c r="A2596" s="7" t="s">
        <v>16</v>
      </c>
      <c r="B2596" s="7" t="s">
        <v>21</v>
      </c>
      <c r="C2596" s="7" t="s">
        <v>18</v>
      </c>
      <c r="D2596" s="4">
        <v>4762301000103</v>
      </c>
      <c r="E2596" s="8" t="s">
        <v>950</v>
      </c>
      <c r="F2596" s="8" t="s">
        <v>121</v>
      </c>
      <c r="G2596" s="7" t="s">
        <v>57</v>
      </c>
      <c r="H2596" s="47" t="s">
        <v>205</v>
      </c>
      <c r="I2596" s="47" t="s">
        <v>206</v>
      </c>
      <c r="J2596" s="6">
        <v>70</v>
      </c>
      <c r="K2596" s="8" t="s">
        <v>20</v>
      </c>
      <c r="L2596" s="1" t="s">
        <v>950</v>
      </c>
      <c r="M2596" s="5">
        <v>180</v>
      </c>
    </row>
    <row r="2597" spans="1:13" ht="15" x14ac:dyDescent="0.25">
      <c r="A2597" s="7" t="s">
        <v>16</v>
      </c>
      <c r="B2597" s="7" t="s">
        <v>17</v>
      </c>
      <c r="C2597" s="7" t="s">
        <v>18</v>
      </c>
      <c r="D2597" s="4">
        <v>21998635000108</v>
      </c>
      <c r="E2597" s="8" t="s">
        <v>971</v>
      </c>
      <c r="F2597" s="8" t="s">
        <v>112</v>
      </c>
      <c r="G2597" s="7" t="s">
        <v>57</v>
      </c>
      <c r="H2597" s="47" t="s">
        <v>205</v>
      </c>
      <c r="I2597" s="47" t="s">
        <v>206</v>
      </c>
      <c r="J2597" s="6">
        <v>70</v>
      </c>
      <c r="K2597" s="8" t="s">
        <v>20</v>
      </c>
      <c r="L2597" s="1" t="s">
        <v>971</v>
      </c>
      <c r="M2597" s="5">
        <v>20</v>
      </c>
    </row>
    <row r="2598" spans="1:13" ht="15" x14ac:dyDescent="0.25">
      <c r="A2598" s="7" t="s">
        <v>16</v>
      </c>
      <c r="B2598" s="7" t="s">
        <v>17</v>
      </c>
      <c r="C2598" s="7" t="s">
        <v>18</v>
      </c>
      <c r="D2598" s="4">
        <v>73863342000109</v>
      </c>
      <c r="E2598" s="8" t="s">
        <v>978</v>
      </c>
      <c r="F2598" s="8" t="s">
        <v>121</v>
      </c>
      <c r="G2598" s="7" t="s">
        <v>57</v>
      </c>
      <c r="H2598" s="47" t="s">
        <v>205</v>
      </c>
      <c r="I2598" s="47" t="s">
        <v>206</v>
      </c>
      <c r="J2598" s="6">
        <v>70</v>
      </c>
      <c r="K2598" s="8" t="s">
        <v>20</v>
      </c>
      <c r="L2598" s="1" t="s">
        <v>978</v>
      </c>
      <c r="M2598" s="5">
        <v>10</v>
      </c>
    </row>
    <row r="2599" spans="1:13" ht="15" x14ac:dyDescent="0.25">
      <c r="A2599" s="7" t="s">
        <v>16</v>
      </c>
      <c r="B2599" s="7" t="s">
        <v>17</v>
      </c>
      <c r="C2599" s="7" t="s">
        <v>18</v>
      </c>
      <c r="D2599" s="4">
        <v>75222224001895</v>
      </c>
      <c r="E2599" s="8" t="s">
        <v>981</v>
      </c>
      <c r="F2599" s="8" t="s">
        <v>121</v>
      </c>
      <c r="G2599" s="7" t="s">
        <v>57</v>
      </c>
      <c r="H2599" s="47" t="s">
        <v>205</v>
      </c>
      <c r="I2599" s="47" t="s">
        <v>206</v>
      </c>
      <c r="J2599" s="6">
        <v>70</v>
      </c>
      <c r="K2599" s="8" t="s">
        <v>20</v>
      </c>
      <c r="L2599" s="1" t="s">
        <v>981</v>
      </c>
      <c r="M2599" s="5">
        <v>600</v>
      </c>
    </row>
    <row r="2600" spans="1:13" ht="15" x14ac:dyDescent="0.25">
      <c r="A2600" s="7" t="s">
        <v>16</v>
      </c>
      <c r="B2600" s="7" t="s">
        <v>17</v>
      </c>
      <c r="C2600" s="7" t="s">
        <v>18</v>
      </c>
      <c r="D2600" s="4">
        <v>77265361000194</v>
      </c>
      <c r="E2600" s="8" t="s">
        <v>987</v>
      </c>
      <c r="F2600" s="8" t="s">
        <v>988</v>
      </c>
      <c r="G2600" s="7" t="s">
        <v>57</v>
      </c>
      <c r="H2600" s="47" t="s">
        <v>205</v>
      </c>
      <c r="I2600" s="47" t="s">
        <v>206</v>
      </c>
      <c r="J2600" s="6">
        <v>70</v>
      </c>
      <c r="K2600" s="8" t="s">
        <v>20</v>
      </c>
      <c r="L2600" s="1" t="s">
        <v>987</v>
      </c>
      <c r="M2600" s="5">
        <v>100</v>
      </c>
    </row>
    <row r="2601" spans="1:13" ht="15" x14ac:dyDescent="0.25">
      <c r="A2601" s="7" t="s">
        <v>16</v>
      </c>
      <c r="B2601" s="7" t="s">
        <v>21</v>
      </c>
      <c r="C2601" s="7" t="s">
        <v>18</v>
      </c>
      <c r="D2601" s="4">
        <v>73863342000109</v>
      </c>
      <c r="E2601" s="8" t="s">
        <v>978</v>
      </c>
      <c r="F2601" s="8" t="s">
        <v>121</v>
      </c>
      <c r="G2601" s="7" t="s">
        <v>57</v>
      </c>
      <c r="H2601" s="47" t="s">
        <v>205</v>
      </c>
      <c r="I2601" s="47" t="s">
        <v>206</v>
      </c>
      <c r="J2601" s="6">
        <v>70</v>
      </c>
      <c r="K2601" s="8" t="s">
        <v>20</v>
      </c>
      <c r="L2601" s="1" t="s">
        <v>978</v>
      </c>
      <c r="M2601" s="5">
        <v>20</v>
      </c>
    </row>
    <row r="2602" spans="1:13" ht="15" x14ac:dyDescent="0.25">
      <c r="A2602" s="7" t="s">
        <v>16</v>
      </c>
      <c r="B2602" s="7" t="s">
        <v>21</v>
      </c>
      <c r="C2602" s="7" t="s">
        <v>18</v>
      </c>
      <c r="D2602" s="4">
        <v>75222224001895</v>
      </c>
      <c r="E2602" s="8" t="s">
        <v>981</v>
      </c>
      <c r="F2602" s="8" t="s">
        <v>121</v>
      </c>
      <c r="G2602" s="7" t="s">
        <v>57</v>
      </c>
      <c r="H2602" s="47" t="s">
        <v>205</v>
      </c>
      <c r="I2602" s="47" t="s">
        <v>206</v>
      </c>
      <c r="J2602" s="6">
        <v>70</v>
      </c>
      <c r="K2602" s="8" t="s">
        <v>20</v>
      </c>
      <c r="L2602" s="1" t="s">
        <v>981</v>
      </c>
      <c r="M2602" s="5">
        <v>1200</v>
      </c>
    </row>
    <row r="2603" spans="1:13" ht="15" x14ac:dyDescent="0.25">
      <c r="A2603" s="7" t="s">
        <v>16</v>
      </c>
      <c r="B2603" s="7" t="s">
        <v>21</v>
      </c>
      <c r="C2603" s="7" t="s">
        <v>18</v>
      </c>
      <c r="D2603" s="4">
        <v>78633088000176</v>
      </c>
      <c r="E2603" s="8" t="s">
        <v>995</v>
      </c>
      <c r="F2603" s="8" t="s">
        <v>121</v>
      </c>
      <c r="G2603" s="7" t="s">
        <v>57</v>
      </c>
      <c r="H2603" s="47" t="s">
        <v>205</v>
      </c>
      <c r="I2603" s="47" t="s">
        <v>206</v>
      </c>
      <c r="J2603" s="6">
        <v>70</v>
      </c>
      <c r="K2603" s="8" t="s">
        <v>20</v>
      </c>
      <c r="L2603" s="1" t="s">
        <v>995</v>
      </c>
      <c r="M2603" s="5">
        <v>10</v>
      </c>
    </row>
    <row r="2604" spans="1:13" ht="15" x14ac:dyDescent="0.25">
      <c r="A2604" s="7" t="s">
        <v>16</v>
      </c>
      <c r="B2604" s="7" t="s">
        <v>21</v>
      </c>
      <c r="C2604" s="7" t="s">
        <v>18</v>
      </c>
      <c r="D2604" s="4">
        <v>79115762000193</v>
      </c>
      <c r="E2604" s="8" t="s">
        <v>996</v>
      </c>
      <c r="F2604" s="8" t="s">
        <v>988</v>
      </c>
      <c r="G2604" s="7" t="s">
        <v>57</v>
      </c>
      <c r="H2604" s="47" t="s">
        <v>205</v>
      </c>
      <c r="I2604" s="47" t="s">
        <v>206</v>
      </c>
      <c r="J2604" s="6">
        <v>70</v>
      </c>
      <c r="K2604" s="8" t="s">
        <v>20</v>
      </c>
      <c r="L2604" s="1" t="s">
        <v>996</v>
      </c>
      <c r="M2604" s="5">
        <v>225</v>
      </c>
    </row>
    <row r="2605" spans="1:13" ht="15" x14ac:dyDescent="0.25">
      <c r="A2605" s="7" t="s">
        <v>16</v>
      </c>
      <c r="B2605" s="7" t="s">
        <v>22</v>
      </c>
      <c r="C2605" s="7" t="s">
        <v>18</v>
      </c>
      <c r="D2605" s="4">
        <v>4762301000103</v>
      </c>
      <c r="E2605" s="8" t="s">
        <v>950</v>
      </c>
      <c r="F2605" s="8" t="s">
        <v>121</v>
      </c>
      <c r="G2605" s="7" t="s">
        <v>57</v>
      </c>
      <c r="H2605" s="47" t="s">
        <v>205</v>
      </c>
      <c r="I2605" s="47" t="s">
        <v>206</v>
      </c>
      <c r="J2605" s="6">
        <v>70</v>
      </c>
      <c r="K2605" s="8" t="s">
        <v>20</v>
      </c>
      <c r="L2605" s="1" t="s">
        <v>950</v>
      </c>
      <c r="M2605" s="5">
        <v>405</v>
      </c>
    </row>
    <row r="2606" spans="1:13" ht="15" x14ac:dyDescent="0.25">
      <c r="A2606" s="7" t="s">
        <v>16</v>
      </c>
      <c r="B2606" s="7" t="s">
        <v>22</v>
      </c>
      <c r="C2606" s="7" t="s">
        <v>18</v>
      </c>
      <c r="D2606" s="4">
        <v>7794623002257</v>
      </c>
      <c r="E2606" s="8" t="s">
        <v>955</v>
      </c>
      <c r="F2606" s="8" t="s">
        <v>956</v>
      </c>
      <c r="G2606" s="7" t="s">
        <v>57</v>
      </c>
      <c r="H2606" s="47" t="s">
        <v>205</v>
      </c>
      <c r="I2606" s="47" t="s">
        <v>206</v>
      </c>
      <c r="J2606" s="6">
        <v>70</v>
      </c>
      <c r="K2606" s="8" t="s">
        <v>20</v>
      </c>
      <c r="L2606" s="1" t="s">
        <v>955</v>
      </c>
      <c r="M2606" s="5">
        <v>630</v>
      </c>
    </row>
    <row r="2607" spans="1:13" ht="15" x14ac:dyDescent="0.25">
      <c r="A2607" s="7" t="s">
        <v>16</v>
      </c>
      <c r="B2607" s="7" t="s">
        <v>22</v>
      </c>
      <c r="C2607" s="7" t="s">
        <v>18</v>
      </c>
      <c r="D2607" s="4">
        <v>73863342000109</v>
      </c>
      <c r="E2607" s="8" t="s">
        <v>978</v>
      </c>
      <c r="F2607" s="8" t="s">
        <v>121</v>
      </c>
      <c r="G2607" s="7" t="s">
        <v>57</v>
      </c>
      <c r="H2607" s="47" t="s">
        <v>205</v>
      </c>
      <c r="I2607" s="47" t="s">
        <v>206</v>
      </c>
      <c r="J2607" s="6">
        <v>70</v>
      </c>
      <c r="K2607" s="8" t="s">
        <v>20</v>
      </c>
      <c r="L2607" s="1" t="s">
        <v>978</v>
      </c>
      <c r="M2607" s="5">
        <v>20</v>
      </c>
    </row>
    <row r="2608" spans="1:13" ht="15" x14ac:dyDescent="0.25">
      <c r="A2608" s="7" t="s">
        <v>16</v>
      </c>
      <c r="B2608" s="7" t="s">
        <v>22</v>
      </c>
      <c r="C2608" s="7" t="s">
        <v>18</v>
      </c>
      <c r="D2608" s="4">
        <v>75222224001895</v>
      </c>
      <c r="E2608" s="8" t="s">
        <v>981</v>
      </c>
      <c r="F2608" s="8" t="s">
        <v>121</v>
      </c>
      <c r="G2608" s="7" t="s">
        <v>57</v>
      </c>
      <c r="H2608" s="47" t="s">
        <v>205</v>
      </c>
      <c r="I2608" s="47" t="s">
        <v>206</v>
      </c>
      <c r="J2608" s="6">
        <v>70</v>
      </c>
      <c r="K2608" s="8" t="s">
        <v>20</v>
      </c>
      <c r="L2608" s="1" t="s">
        <v>981</v>
      </c>
      <c r="M2608" s="5">
        <v>1485</v>
      </c>
    </row>
    <row r="2609" spans="1:13" ht="15" x14ac:dyDescent="0.25">
      <c r="A2609" s="7" t="s">
        <v>16</v>
      </c>
      <c r="B2609" s="7" t="s">
        <v>22</v>
      </c>
      <c r="C2609" s="7" t="s">
        <v>18</v>
      </c>
      <c r="D2609" s="4">
        <v>78633088000176</v>
      </c>
      <c r="E2609" s="8" t="s">
        <v>995</v>
      </c>
      <c r="F2609" s="8" t="s">
        <v>121</v>
      </c>
      <c r="G2609" s="7" t="s">
        <v>57</v>
      </c>
      <c r="H2609" s="47" t="s">
        <v>205</v>
      </c>
      <c r="I2609" s="47" t="s">
        <v>206</v>
      </c>
      <c r="J2609" s="6">
        <v>70</v>
      </c>
      <c r="K2609" s="8" t="s">
        <v>20</v>
      </c>
      <c r="L2609" s="1" t="s">
        <v>995</v>
      </c>
      <c r="M2609" s="5">
        <v>10</v>
      </c>
    </row>
    <row r="2610" spans="1:13" ht="15" x14ac:dyDescent="0.25">
      <c r="A2610" s="7" t="s">
        <v>16</v>
      </c>
      <c r="B2610" s="7" t="s">
        <v>22</v>
      </c>
      <c r="C2610" s="7" t="s">
        <v>18</v>
      </c>
      <c r="D2610" s="4">
        <v>79115762000193</v>
      </c>
      <c r="E2610" s="8" t="s">
        <v>996</v>
      </c>
      <c r="F2610" s="8" t="s">
        <v>988</v>
      </c>
      <c r="G2610" s="7" t="s">
        <v>57</v>
      </c>
      <c r="H2610" s="47" t="s">
        <v>205</v>
      </c>
      <c r="I2610" s="47" t="s">
        <v>206</v>
      </c>
      <c r="J2610" s="6">
        <v>70</v>
      </c>
      <c r="K2610" s="8" t="s">
        <v>20</v>
      </c>
      <c r="L2610" s="1" t="s">
        <v>996</v>
      </c>
      <c r="M2610" s="5">
        <v>25</v>
      </c>
    </row>
    <row r="2611" spans="1:13" ht="15" x14ac:dyDescent="0.25">
      <c r="A2611" s="7" t="s">
        <v>16</v>
      </c>
      <c r="B2611" s="7" t="s">
        <v>22</v>
      </c>
      <c r="C2611" s="7" t="s">
        <v>18</v>
      </c>
      <c r="D2611" s="4">
        <v>81715716000410</v>
      </c>
      <c r="E2611" s="8" t="s">
        <v>1003</v>
      </c>
      <c r="F2611" s="8" t="s">
        <v>1004</v>
      </c>
      <c r="G2611" s="7" t="s">
        <v>57</v>
      </c>
      <c r="H2611" s="47" t="s">
        <v>205</v>
      </c>
      <c r="I2611" s="47" t="s">
        <v>206</v>
      </c>
      <c r="J2611" s="6">
        <v>70</v>
      </c>
      <c r="K2611" s="8" t="s">
        <v>20</v>
      </c>
      <c r="L2611" s="1" t="s">
        <v>1003</v>
      </c>
      <c r="M2611" s="5">
        <v>30</v>
      </c>
    </row>
    <row r="2612" spans="1:13" ht="15" x14ac:dyDescent="0.25">
      <c r="A2612" s="7" t="s">
        <v>16</v>
      </c>
      <c r="B2612" s="7" t="s">
        <v>23</v>
      </c>
      <c r="C2612" s="7" t="s">
        <v>24</v>
      </c>
      <c r="D2612" s="4">
        <v>7794623002257</v>
      </c>
      <c r="E2612" s="8" t="s">
        <v>955</v>
      </c>
      <c r="F2612" s="8" t="s">
        <v>956</v>
      </c>
      <c r="G2612" s="7" t="s">
        <v>57</v>
      </c>
      <c r="H2612" s="47" t="s">
        <v>205</v>
      </c>
      <c r="I2612" s="47" t="s">
        <v>206</v>
      </c>
      <c r="J2612" s="6">
        <v>70</v>
      </c>
      <c r="K2612" s="8" t="s">
        <v>20</v>
      </c>
      <c r="L2612" s="1" t="s">
        <v>955</v>
      </c>
      <c r="M2612" s="5">
        <v>80</v>
      </c>
    </row>
    <row r="2613" spans="1:13" ht="15" x14ac:dyDescent="0.25">
      <c r="A2613" s="7" t="s">
        <v>16</v>
      </c>
      <c r="B2613" s="7" t="s">
        <v>23</v>
      </c>
      <c r="C2613" s="7" t="s">
        <v>24</v>
      </c>
      <c r="D2613" s="4">
        <v>17864888000103</v>
      </c>
      <c r="E2613" s="8" t="s">
        <v>970</v>
      </c>
      <c r="F2613" s="8" t="s">
        <v>112</v>
      </c>
      <c r="G2613" s="7" t="s">
        <v>57</v>
      </c>
      <c r="H2613" s="47" t="s">
        <v>205</v>
      </c>
      <c r="I2613" s="47" t="s">
        <v>206</v>
      </c>
      <c r="J2613" s="6">
        <v>70</v>
      </c>
      <c r="K2613" s="8" t="s">
        <v>20</v>
      </c>
      <c r="L2613" s="1" t="s">
        <v>970</v>
      </c>
      <c r="M2613" s="5">
        <v>40</v>
      </c>
    </row>
    <row r="2614" spans="1:13" ht="15" x14ac:dyDescent="0.25">
      <c r="A2614" s="7" t="s">
        <v>16</v>
      </c>
      <c r="B2614" s="7" t="s">
        <v>23</v>
      </c>
      <c r="C2614" s="7" t="s">
        <v>24</v>
      </c>
      <c r="D2614" s="4">
        <v>21998635000108</v>
      </c>
      <c r="E2614" s="8" t="s">
        <v>971</v>
      </c>
      <c r="F2614" s="8" t="s">
        <v>112</v>
      </c>
      <c r="G2614" s="7" t="s">
        <v>57</v>
      </c>
      <c r="H2614" s="47" t="s">
        <v>205</v>
      </c>
      <c r="I2614" s="47" t="s">
        <v>206</v>
      </c>
      <c r="J2614" s="6">
        <v>70</v>
      </c>
      <c r="K2614" s="8" t="s">
        <v>20</v>
      </c>
      <c r="L2614" s="1" t="s">
        <v>971</v>
      </c>
      <c r="M2614" s="5">
        <v>10</v>
      </c>
    </row>
    <row r="2615" spans="1:13" ht="15" x14ac:dyDescent="0.25">
      <c r="A2615" s="7" t="s">
        <v>16</v>
      </c>
      <c r="B2615" s="7" t="s">
        <v>23</v>
      </c>
      <c r="C2615" s="7" t="s">
        <v>24</v>
      </c>
      <c r="D2615" s="4">
        <v>73863342000109</v>
      </c>
      <c r="E2615" s="8" t="s">
        <v>978</v>
      </c>
      <c r="F2615" s="8" t="s">
        <v>121</v>
      </c>
      <c r="G2615" s="7" t="s">
        <v>57</v>
      </c>
      <c r="H2615" s="47" t="s">
        <v>205</v>
      </c>
      <c r="I2615" s="47" t="s">
        <v>206</v>
      </c>
      <c r="J2615" s="6">
        <v>70</v>
      </c>
      <c r="K2615" s="8" t="s">
        <v>20</v>
      </c>
      <c r="L2615" s="1" t="s">
        <v>978</v>
      </c>
      <c r="M2615" s="5">
        <v>20</v>
      </c>
    </row>
    <row r="2616" spans="1:13" ht="15" x14ac:dyDescent="0.25">
      <c r="A2616" s="7" t="s">
        <v>16</v>
      </c>
      <c r="B2616" s="7" t="s">
        <v>23</v>
      </c>
      <c r="C2616" s="7" t="s">
        <v>24</v>
      </c>
      <c r="D2616" s="4">
        <v>75222224001895</v>
      </c>
      <c r="E2616" s="8" t="s">
        <v>981</v>
      </c>
      <c r="F2616" s="8" t="s">
        <v>121</v>
      </c>
      <c r="G2616" s="7" t="s">
        <v>57</v>
      </c>
      <c r="H2616" s="47" t="s">
        <v>205</v>
      </c>
      <c r="I2616" s="47" t="s">
        <v>206</v>
      </c>
      <c r="J2616" s="6">
        <v>70</v>
      </c>
      <c r="K2616" s="8" t="s">
        <v>20</v>
      </c>
      <c r="L2616" s="1" t="s">
        <v>981</v>
      </c>
      <c r="M2616" s="5">
        <v>630</v>
      </c>
    </row>
    <row r="2617" spans="1:13" ht="15" x14ac:dyDescent="0.25">
      <c r="A2617" s="7" t="s">
        <v>16</v>
      </c>
      <c r="B2617" s="7" t="s">
        <v>23</v>
      </c>
      <c r="C2617" s="7" t="s">
        <v>24</v>
      </c>
      <c r="D2617" s="4">
        <v>78614971000119</v>
      </c>
      <c r="E2617" s="8" t="s">
        <v>994</v>
      </c>
      <c r="F2617" s="8" t="s">
        <v>121</v>
      </c>
      <c r="G2617" s="7" t="s">
        <v>57</v>
      </c>
      <c r="H2617" s="47" t="s">
        <v>205</v>
      </c>
      <c r="I2617" s="47" t="s">
        <v>206</v>
      </c>
      <c r="J2617" s="6">
        <v>70</v>
      </c>
      <c r="K2617" s="8" t="s">
        <v>20</v>
      </c>
      <c r="L2617" s="1" t="s">
        <v>994</v>
      </c>
      <c r="M2617" s="5">
        <v>15</v>
      </c>
    </row>
    <row r="2618" spans="1:13" ht="15" x14ac:dyDescent="0.25">
      <c r="A2618" s="7" t="s">
        <v>16</v>
      </c>
      <c r="B2618" s="7" t="s">
        <v>23</v>
      </c>
      <c r="C2618" s="7" t="s">
        <v>24</v>
      </c>
      <c r="D2618" s="4">
        <v>79115762000193</v>
      </c>
      <c r="E2618" s="8" t="s">
        <v>996</v>
      </c>
      <c r="F2618" s="8" t="s">
        <v>988</v>
      </c>
      <c r="G2618" s="7" t="s">
        <v>57</v>
      </c>
      <c r="H2618" s="47" t="s">
        <v>205</v>
      </c>
      <c r="I2618" s="47" t="s">
        <v>206</v>
      </c>
      <c r="J2618" s="6">
        <v>70</v>
      </c>
      <c r="K2618" s="8" t="s">
        <v>20</v>
      </c>
      <c r="L2618" s="1" t="s">
        <v>996</v>
      </c>
      <c r="M2618" s="5">
        <v>50</v>
      </c>
    </row>
    <row r="2619" spans="1:13" ht="15" x14ac:dyDescent="0.25">
      <c r="A2619" s="7" t="s">
        <v>16</v>
      </c>
      <c r="B2619" s="7" t="s">
        <v>23</v>
      </c>
      <c r="C2619" s="7" t="s">
        <v>24</v>
      </c>
      <c r="D2619" s="4">
        <v>81715716000410</v>
      </c>
      <c r="E2619" s="8" t="s">
        <v>1003</v>
      </c>
      <c r="F2619" s="8" t="s">
        <v>1004</v>
      </c>
      <c r="G2619" s="7" t="s">
        <v>57</v>
      </c>
      <c r="H2619" s="47" t="s">
        <v>205</v>
      </c>
      <c r="I2619" s="47" t="s">
        <v>206</v>
      </c>
      <c r="J2619" s="6">
        <v>70</v>
      </c>
      <c r="K2619" s="8" t="s">
        <v>20</v>
      </c>
      <c r="L2619" s="1" t="s">
        <v>1003</v>
      </c>
      <c r="M2619" s="5">
        <v>30</v>
      </c>
    </row>
    <row r="2620" spans="1:13" ht="15" x14ac:dyDescent="0.25">
      <c r="A2620" s="7" t="s">
        <v>16</v>
      </c>
      <c r="B2620" s="7" t="s">
        <v>229</v>
      </c>
      <c r="C2620" s="7" t="s">
        <v>24</v>
      </c>
      <c r="D2620" s="4">
        <v>7794623002257</v>
      </c>
      <c r="E2620" s="8" t="s">
        <v>955</v>
      </c>
      <c r="F2620" s="8" t="s">
        <v>956</v>
      </c>
      <c r="G2620" s="7" t="s">
        <v>57</v>
      </c>
      <c r="H2620" s="47" t="s">
        <v>205</v>
      </c>
      <c r="I2620" s="47" t="s">
        <v>206</v>
      </c>
      <c r="J2620" s="6">
        <v>70</v>
      </c>
      <c r="K2620" s="8" t="s">
        <v>20</v>
      </c>
      <c r="L2620" s="1" t="s">
        <v>955</v>
      </c>
      <c r="M2620" s="5">
        <v>290</v>
      </c>
    </row>
    <row r="2621" spans="1:13" ht="15" x14ac:dyDescent="0.25">
      <c r="A2621" s="7" t="s">
        <v>16</v>
      </c>
      <c r="B2621" s="7" t="s">
        <v>229</v>
      </c>
      <c r="C2621" s="7" t="s">
        <v>24</v>
      </c>
      <c r="D2621" s="4">
        <v>21998635000108</v>
      </c>
      <c r="E2621" s="8" t="s">
        <v>971</v>
      </c>
      <c r="F2621" s="8" t="s">
        <v>112</v>
      </c>
      <c r="G2621" s="7" t="s">
        <v>57</v>
      </c>
      <c r="H2621" s="47" t="s">
        <v>205</v>
      </c>
      <c r="I2621" s="47" t="s">
        <v>206</v>
      </c>
      <c r="J2621" s="6">
        <v>70</v>
      </c>
      <c r="K2621" s="8" t="s">
        <v>20</v>
      </c>
      <c r="L2621" s="1" t="s">
        <v>971</v>
      </c>
      <c r="M2621" s="5">
        <v>20</v>
      </c>
    </row>
    <row r="2622" spans="1:13" ht="15" x14ac:dyDescent="0.25">
      <c r="A2622" s="7" t="s">
        <v>16</v>
      </c>
      <c r="B2622" s="7" t="s">
        <v>229</v>
      </c>
      <c r="C2622" s="7" t="s">
        <v>24</v>
      </c>
      <c r="D2622" s="4">
        <v>75222224001895</v>
      </c>
      <c r="E2622" s="8" t="s">
        <v>981</v>
      </c>
      <c r="F2622" s="8" t="s">
        <v>121</v>
      </c>
      <c r="G2622" s="7" t="s">
        <v>57</v>
      </c>
      <c r="H2622" s="47" t="s">
        <v>205</v>
      </c>
      <c r="I2622" s="47" t="s">
        <v>206</v>
      </c>
      <c r="J2622" s="6">
        <v>70</v>
      </c>
      <c r="K2622" s="8" t="s">
        <v>20</v>
      </c>
      <c r="L2622" s="1" t="s">
        <v>981</v>
      </c>
      <c r="M2622" s="5">
        <v>630</v>
      </c>
    </row>
    <row r="2623" spans="1:13" ht="15" x14ac:dyDescent="0.25">
      <c r="A2623" s="7" t="s">
        <v>16</v>
      </c>
      <c r="B2623" s="7" t="s">
        <v>229</v>
      </c>
      <c r="C2623" s="7" t="s">
        <v>24</v>
      </c>
      <c r="D2623" s="4">
        <v>77265361000194</v>
      </c>
      <c r="E2623" s="8" t="s">
        <v>987</v>
      </c>
      <c r="F2623" s="8" t="s">
        <v>988</v>
      </c>
      <c r="G2623" s="7" t="s">
        <v>57</v>
      </c>
      <c r="H2623" s="47" t="s">
        <v>205</v>
      </c>
      <c r="I2623" s="47" t="s">
        <v>206</v>
      </c>
      <c r="J2623" s="6">
        <v>70</v>
      </c>
      <c r="K2623" s="8" t="s">
        <v>20</v>
      </c>
      <c r="L2623" s="1" t="s">
        <v>987</v>
      </c>
      <c r="M2623" s="5">
        <v>175</v>
      </c>
    </row>
    <row r="2624" spans="1:13" ht="15" x14ac:dyDescent="0.25">
      <c r="A2624" s="7" t="s">
        <v>16</v>
      </c>
      <c r="B2624" s="7" t="s">
        <v>229</v>
      </c>
      <c r="C2624" s="7" t="s">
        <v>24</v>
      </c>
      <c r="D2624" s="4">
        <v>77781706000243</v>
      </c>
      <c r="E2624" s="8" t="s">
        <v>989</v>
      </c>
      <c r="F2624" s="8" t="s">
        <v>990</v>
      </c>
      <c r="G2624" s="7" t="s">
        <v>57</v>
      </c>
      <c r="H2624" s="47" t="s">
        <v>205</v>
      </c>
      <c r="I2624" s="47" t="s">
        <v>206</v>
      </c>
      <c r="J2624" s="6">
        <v>70</v>
      </c>
      <c r="K2624" s="8" t="s">
        <v>20</v>
      </c>
      <c r="L2624" s="1" t="s">
        <v>989</v>
      </c>
      <c r="M2624" s="5">
        <v>10</v>
      </c>
    </row>
    <row r="2625" spans="1:13" ht="15" x14ac:dyDescent="0.25">
      <c r="A2625" s="7" t="s">
        <v>16</v>
      </c>
      <c r="B2625" s="7" t="s">
        <v>229</v>
      </c>
      <c r="C2625" s="7" t="s">
        <v>24</v>
      </c>
      <c r="D2625" s="4">
        <v>78044815000240</v>
      </c>
      <c r="E2625" s="8" t="s">
        <v>992</v>
      </c>
      <c r="F2625" s="8" t="s">
        <v>993</v>
      </c>
      <c r="G2625" s="7" t="s">
        <v>57</v>
      </c>
      <c r="H2625" s="47" t="s">
        <v>205</v>
      </c>
      <c r="I2625" s="47" t="s">
        <v>206</v>
      </c>
      <c r="J2625" s="6">
        <v>70</v>
      </c>
      <c r="K2625" s="8" t="s">
        <v>20</v>
      </c>
      <c r="L2625" s="1" t="s">
        <v>992</v>
      </c>
      <c r="M2625" s="5">
        <v>75</v>
      </c>
    </row>
    <row r="2626" spans="1:13" ht="15" x14ac:dyDescent="0.25">
      <c r="A2626" s="7" t="s">
        <v>16</v>
      </c>
      <c r="B2626" s="7" t="s">
        <v>229</v>
      </c>
      <c r="C2626" s="7" t="s">
        <v>24</v>
      </c>
      <c r="D2626" s="4">
        <v>78633088000176</v>
      </c>
      <c r="E2626" s="8" t="s">
        <v>995</v>
      </c>
      <c r="F2626" s="8" t="s">
        <v>121</v>
      </c>
      <c r="G2626" s="7" t="s">
        <v>57</v>
      </c>
      <c r="H2626" s="47" t="s">
        <v>205</v>
      </c>
      <c r="I2626" s="47" t="s">
        <v>206</v>
      </c>
      <c r="J2626" s="6">
        <v>70</v>
      </c>
      <c r="K2626" s="8" t="s">
        <v>20</v>
      </c>
      <c r="L2626" s="1" t="s">
        <v>995</v>
      </c>
      <c r="M2626" s="5">
        <v>25</v>
      </c>
    </row>
    <row r="2627" spans="1:13" ht="15" x14ac:dyDescent="0.25">
      <c r="A2627" s="7" t="s">
        <v>16</v>
      </c>
      <c r="B2627" s="7" t="s">
        <v>229</v>
      </c>
      <c r="C2627" s="7" t="s">
        <v>24</v>
      </c>
      <c r="D2627" s="4">
        <v>79115762000193</v>
      </c>
      <c r="E2627" s="8" t="s">
        <v>996</v>
      </c>
      <c r="F2627" s="8" t="s">
        <v>988</v>
      </c>
      <c r="G2627" s="7" t="s">
        <v>57</v>
      </c>
      <c r="H2627" s="47" t="s">
        <v>205</v>
      </c>
      <c r="I2627" s="47" t="s">
        <v>206</v>
      </c>
      <c r="J2627" s="6">
        <v>70</v>
      </c>
      <c r="K2627" s="8" t="s">
        <v>20</v>
      </c>
      <c r="L2627" s="1" t="s">
        <v>996</v>
      </c>
      <c r="M2627" s="5">
        <v>175</v>
      </c>
    </row>
    <row r="2628" spans="1:13" ht="15" x14ac:dyDescent="0.25">
      <c r="A2628" s="7" t="s">
        <v>16</v>
      </c>
      <c r="B2628" s="7" t="s">
        <v>229</v>
      </c>
      <c r="C2628" s="7" t="s">
        <v>24</v>
      </c>
      <c r="D2628" s="4">
        <v>81733115000197</v>
      </c>
      <c r="E2628" s="8" t="s">
        <v>1005</v>
      </c>
      <c r="F2628" s="8" t="s">
        <v>1006</v>
      </c>
      <c r="G2628" s="7" t="s">
        <v>57</v>
      </c>
      <c r="H2628" s="47" t="s">
        <v>205</v>
      </c>
      <c r="I2628" s="47" t="s">
        <v>206</v>
      </c>
      <c r="J2628" s="6">
        <v>70</v>
      </c>
      <c r="K2628" s="8" t="s">
        <v>20</v>
      </c>
      <c r="L2628" s="1" t="s">
        <v>1005</v>
      </c>
      <c r="M2628" s="5">
        <v>60</v>
      </c>
    </row>
    <row r="2629" spans="1:13" ht="15" x14ac:dyDescent="0.25">
      <c r="A2629" s="7" t="s">
        <v>16</v>
      </c>
      <c r="B2629" s="7" t="s">
        <v>230</v>
      </c>
      <c r="C2629" s="7" t="s">
        <v>24</v>
      </c>
      <c r="D2629" s="4">
        <v>304148000110</v>
      </c>
      <c r="E2629" s="8" t="s">
        <v>932</v>
      </c>
      <c r="F2629" s="8" t="s">
        <v>933</v>
      </c>
      <c r="G2629" s="7" t="s">
        <v>57</v>
      </c>
      <c r="H2629" s="47" t="s">
        <v>205</v>
      </c>
      <c r="I2629" s="47" t="s">
        <v>206</v>
      </c>
      <c r="J2629" s="6">
        <v>70</v>
      </c>
      <c r="K2629" s="8" t="s">
        <v>20</v>
      </c>
      <c r="L2629" s="1" t="s">
        <v>932</v>
      </c>
      <c r="M2629" s="5">
        <v>150</v>
      </c>
    </row>
    <row r="2630" spans="1:13" ht="15" x14ac:dyDescent="0.25">
      <c r="A2630" s="7" t="s">
        <v>16</v>
      </c>
      <c r="B2630" s="7" t="s">
        <v>230</v>
      </c>
      <c r="C2630" s="7" t="s">
        <v>24</v>
      </c>
      <c r="D2630" s="4">
        <v>7794623002257</v>
      </c>
      <c r="E2630" s="8" t="s">
        <v>955</v>
      </c>
      <c r="F2630" s="8" t="s">
        <v>956</v>
      </c>
      <c r="G2630" s="7" t="s">
        <v>57</v>
      </c>
      <c r="H2630" s="47" t="s">
        <v>205</v>
      </c>
      <c r="I2630" s="47" t="s">
        <v>206</v>
      </c>
      <c r="J2630" s="6">
        <v>70</v>
      </c>
      <c r="K2630" s="8" t="s">
        <v>20</v>
      </c>
      <c r="L2630" s="1" t="s">
        <v>955</v>
      </c>
      <c r="M2630" s="5">
        <v>85</v>
      </c>
    </row>
    <row r="2631" spans="1:13" ht="15" x14ac:dyDescent="0.25">
      <c r="A2631" s="7" t="s">
        <v>16</v>
      </c>
      <c r="B2631" s="7" t="s">
        <v>230</v>
      </c>
      <c r="C2631" s="7" t="s">
        <v>24</v>
      </c>
      <c r="D2631" s="4">
        <v>17864888000103</v>
      </c>
      <c r="E2631" s="8" t="s">
        <v>970</v>
      </c>
      <c r="F2631" s="8" t="s">
        <v>112</v>
      </c>
      <c r="G2631" s="7" t="s">
        <v>57</v>
      </c>
      <c r="H2631" s="47" t="s">
        <v>205</v>
      </c>
      <c r="I2631" s="47" t="s">
        <v>206</v>
      </c>
      <c r="J2631" s="6">
        <v>70</v>
      </c>
      <c r="K2631" s="8" t="s">
        <v>20</v>
      </c>
      <c r="L2631" s="1" t="s">
        <v>970</v>
      </c>
      <c r="M2631" s="5">
        <v>140</v>
      </c>
    </row>
    <row r="2632" spans="1:13" ht="15" x14ac:dyDescent="0.25">
      <c r="A2632" s="7" t="s">
        <v>16</v>
      </c>
      <c r="B2632" s="7" t="s">
        <v>230</v>
      </c>
      <c r="C2632" s="7" t="s">
        <v>24</v>
      </c>
      <c r="D2632" s="4">
        <v>73863342000109</v>
      </c>
      <c r="E2632" s="8" t="s">
        <v>978</v>
      </c>
      <c r="F2632" s="8" t="s">
        <v>121</v>
      </c>
      <c r="G2632" s="7" t="s">
        <v>57</v>
      </c>
      <c r="H2632" s="47" t="s">
        <v>205</v>
      </c>
      <c r="I2632" s="47" t="s">
        <v>206</v>
      </c>
      <c r="J2632" s="6">
        <v>70</v>
      </c>
      <c r="K2632" s="8" t="s">
        <v>20</v>
      </c>
      <c r="L2632" s="1" t="s">
        <v>978</v>
      </c>
      <c r="M2632" s="5">
        <v>20</v>
      </c>
    </row>
    <row r="2633" spans="1:13" ht="15" x14ac:dyDescent="0.25">
      <c r="A2633" s="7" t="s">
        <v>16</v>
      </c>
      <c r="B2633" s="7" t="s">
        <v>230</v>
      </c>
      <c r="C2633" s="7" t="s">
        <v>24</v>
      </c>
      <c r="D2633" s="4">
        <v>75222224001895</v>
      </c>
      <c r="E2633" s="8" t="s">
        <v>981</v>
      </c>
      <c r="F2633" s="8" t="s">
        <v>121</v>
      </c>
      <c r="G2633" s="7" t="s">
        <v>57</v>
      </c>
      <c r="H2633" s="47" t="s">
        <v>205</v>
      </c>
      <c r="I2633" s="47" t="s">
        <v>206</v>
      </c>
      <c r="J2633" s="6">
        <v>70</v>
      </c>
      <c r="K2633" s="8" t="s">
        <v>20</v>
      </c>
      <c r="L2633" s="1" t="s">
        <v>981</v>
      </c>
      <c r="M2633" s="5">
        <v>630</v>
      </c>
    </row>
    <row r="2634" spans="1:13" ht="15" x14ac:dyDescent="0.25">
      <c r="A2634" s="7" t="s">
        <v>16</v>
      </c>
      <c r="B2634" s="7" t="s">
        <v>230</v>
      </c>
      <c r="C2634" s="7" t="s">
        <v>24</v>
      </c>
      <c r="D2634" s="4">
        <v>77265361000194</v>
      </c>
      <c r="E2634" s="8" t="s">
        <v>987</v>
      </c>
      <c r="F2634" s="8" t="s">
        <v>988</v>
      </c>
      <c r="G2634" s="7" t="s">
        <v>57</v>
      </c>
      <c r="H2634" s="47" t="s">
        <v>205</v>
      </c>
      <c r="I2634" s="47" t="s">
        <v>206</v>
      </c>
      <c r="J2634" s="6">
        <v>70</v>
      </c>
      <c r="K2634" s="8" t="s">
        <v>20</v>
      </c>
      <c r="L2634" s="1" t="s">
        <v>987</v>
      </c>
      <c r="M2634" s="5">
        <v>80</v>
      </c>
    </row>
    <row r="2635" spans="1:13" ht="15" x14ac:dyDescent="0.25">
      <c r="A2635" s="7" t="s">
        <v>16</v>
      </c>
      <c r="B2635" s="7" t="s">
        <v>230</v>
      </c>
      <c r="C2635" s="7" t="s">
        <v>24</v>
      </c>
      <c r="D2635" s="4">
        <v>78633088000176</v>
      </c>
      <c r="E2635" s="8" t="s">
        <v>995</v>
      </c>
      <c r="F2635" s="8" t="s">
        <v>121</v>
      </c>
      <c r="G2635" s="7" t="s">
        <v>57</v>
      </c>
      <c r="H2635" s="47" t="s">
        <v>205</v>
      </c>
      <c r="I2635" s="47" t="s">
        <v>206</v>
      </c>
      <c r="J2635" s="6">
        <v>70</v>
      </c>
      <c r="K2635" s="8" t="s">
        <v>20</v>
      </c>
      <c r="L2635" s="1" t="s">
        <v>995</v>
      </c>
      <c r="M2635" s="5">
        <v>35</v>
      </c>
    </row>
    <row r="2636" spans="1:13" ht="15" x14ac:dyDescent="0.25">
      <c r="A2636" s="7" t="s">
        <v>16</v>
      </c>
      <c r="B2636" s="7" t="s">
        <v>230</v>
      </c>
      <c r="C2636" s="7" t="s">
        <v>24</v>
      </c>
      <c r="D2636" s="4">
        <v>79115762000193</v>
      </c>
      <c r="E2636" s="8" t="s">
        <v>996</v>
      </c>
      <c r="F2636" s="8" t="s">
        <v>988</v>
      </c>
      <c r="G2636" s="7" t="s">
        <v>57</v>
      </c>
      <c r="H2636" s="47" t="s">
        <v>205</v>
      </c>
      <c r="I2636" s="47" t="s">
        <v>206</v>
      </c>
      <c r="J2636" s="6">
        <v>70</v>
      </c>
      <c r="K2636" s="8" t="s">
        <v>20</v>
      </c>
      <c r="L2636" s="1" t="s">
        <v>996</v>
      </c>
      <c r="M2636" s="5">
        <v>20</v>
      </c>
    </row>
    <row r="2637" spans="1:13" ht="15" x14ac:dyDescent="0.25">
      <c r="A2637" s="7" t="s">
        <v>16</v>
      </c>
      <c r="B2637" s="7" t="s">
        <v>230</v>
      </c>
      <c r="C2637" s="7" t="s">
        <v>24</v>
      </c>
      <c r="D2637" s="4">
        <v>81733115000197</v>
      </c>
      <c r="E2637" s="8" t="s">
        <v>1005</v>
      </c>
      <c r="F2637" s="8" t="s">
        <v>1006</v>
      </c>
      <c r="G2637" s="7" t="s">
        <v>57</v>
      </c>
      <c r="H2637" s="47" t="s">
        <v>205</v>
      </c>
      <c r="I2637" s="47" t="s">
        <v>206</v>
      </c>
      <c r="J2637" s="6">
        <v>70</v>
      </c>
      <c r="K2637" s="8" t="s">
        <v>20</v>
      </c>
      <c r="L2637" s="1" t="s">
        <v>1005</v>
      </c>
      <c r="M2637" s="5">
        <v>60</v>
      </c>
    </row>
    <row r="2638" spans="1:13" ht="15" x14ac:dyDescent="0.25">
      <c r="A2638" s="7" t="s">
        <v>16</v>
      </c>
      <c r="B2638" s="7" t="s">
        <v>372</v>
      </c>
      <c r="C2638" s="7" t="s">
        <v>373</v>
      </c>
      <c r="D2638" s="4">
        <v>7794623002257</v>
      </c>
      <c r="E2638" s="8" t="s">
        <v>955</v>
      </c>
      <c r="F2638" s="8" t="s">
        <v>956</v>
      </c>
      <c r="G2638" s="7" t="s">
        <v>57</v>
      </c>
      <c r="H2638" s="47" t="s">
        <v>205</v>
      </c>
      <c r="I2638" s="47" t="s">
        <v>206</v>
      </c>
      <c r="J2638" s="6">
        <v>70</v>
      </c>
      <c r="K2638" s="8" t="s">
        <v>20</v>
      </c>
      <c r="L2638" s="1" t="s">
        <v>955</v>
      </c>
      <c r="M2638" s="5">
        <v>210</v>
      </c>
    </row>
    <row r="2639" spans="1:13" ht="15" x14ac:dyDescent="0.25">
      <c r="A2639" s="7" t="s">
        <v>16</v>
      </c>
      <c r="B2639" s="7" t="s">
        <v>372</v>
      </c>
      <c r="C2639" s="7" t="s">
        <v>373</v>
      </c>
      <c r="D2639" s="4">
        <v>21998635000108</v>
      </c>
      <c r="E2639" s="8" t="s">
        <v>971</v>
      </c>
      <c r="F2639" s="8" t="s">
        <v>112</v>
      </c>
      <c r="G2639" s="7" t="s">
        <v>57</v>
      </c>
      <c r="H2639" s="47" t="s">
        <v>205</v>
      </c>
      <c r="I2639" s="47" t="s">
        <v>206</v>
      </c>
      <c r="J2639" s="6">
        <v>70</v>
      </c>
      <c r="K2639" s="8" t="s">
        <v>20</v>
      </c>
      <c r="L2639" s="1" t="s">
        <v>971</v>
      </c>
      <c r="M2639" s="5">
        <v>20</v>
      </c>
    </row>
    <row r="2640" spans="1:13" ht="15" x14ac:dyDescent="0.25">
      <c r="A2640" s="7" t="s">
        <v>16</v>
      </c>
      <c r="B2640" s="7" t="s">
        <v>372</v>
      </c>
      <c r="C2640" s="7" t="s">
        <v>373</v>
      </c>
      <c r="D2640" s="4">
        <v>75222224001895</v>
      </c>
      <c r="E2640" s="8" t="s">
        <v>981</v>
      </c>
      <c r="F2640" s="8" t="s">
        <v>121</v>
      </c>
      <c r="G2640" s="7" t="s">
        <v>57</v>
      </c>
      <c r="H2640" s="47" t="s">
        <v>205</v>
      </c>
      <c r="I2640" s="47" t="s">
        <v>206</v>
      </c>
      <c r="J2640" s="6">
        <v>70</v>
      </c>
      <c r="K2640" s="8" t="s">
        <v>20</v>
      </c>
      <c r="L2640" s="1" t="s">
        <v>981</v>
      </c>
      <c r="M2640" s="5">
        <v>950</v>
      </c>
    </row>
    <row r="2641" spans="1:13" ht="15" x14ac:dyDescent="0.25">
      <c r="A2641" s="7" t="s">
        <v>16</v>
      </c>
      <c r="B2641" s="7" t="s">
        <v>372</v>
      </c>
      <c r="C2641" s="7" t="s">
        <v>373</v>
      </c>
      <c r="D2641" s="4">
        <v>76081892000164</v>
      </c>
      <c r="E2641" s="8" t="s">
        <v>1347</v>
      </c>
      <c r="F2641" s="8" t="s">
        <v>112</v>
      </c>
      <c r="G2641" s="7" t="s">
        <v>57</v>
      </c>
      <c r="H2641" s="47" t="s">
        <v>205</v>
      </c>
      <c r="I2641" s="47" t="s">
        <v>206</v>
      </c>
      <c r="J2641" s="6">
        <v>70</v>
      </c>
      <c r="K2641" s="8" t="s">
        <v>20</v>
      </c>
      <c r="L2641" s="1" t="s">
        <v>1347</v>
      </c>
      <c r="M2641" s="5">
        <v>130</v>
      </c>
    </row>
    <row r="2642" spans="1:13" ht="15" x14ac:dyDescent="0.25">
      <c r="A2642" s="7" t="s">
        <v>16</v>
      </c>
      <c r="B2642" s="7" t="s">
        <v>372</v>
      </c>
      <c r="C2642" s="7" t="s">
        <v>373</v>
      </c>
      <c r="D2642" s="4">
        <v>78614971000119</v>
      </c>
      <c r="E2642" s="8" t="s">
        <v>994</v>
      </c>
      <c r="F2642" s="8" t="s">
        <v>121</v>
      </c>
      <c r="G2642" s="7" t="s">
        <v>57</v>
      </c>
      <c r="H2642" s="47" t="s">
        <v>205</v>
      </c>
      <c r="I2642" s="47" t="s">
        <v>206</v>
      </c>
      <c r="J2642" s="6">
        <v>70</v>
      </c>
      <c r="K2642" s="8" t="s">
        <v>20</v>
      </c>
      <c r="L2642" s="1" t="s">
        <v>994</v>
      </c>
      <c r="M2642" s="5">
        <v>10</v>
      </c>
    </row>
    <row r="2643" spans="1:13" ht="15" x14ac:dyDescent="0.25">
      <c r="A2643" s="7" t="s">
        <v>16</v>
      </c>
      <c r="B2643" s="7" t="s">
        <v>372</v>
      </c>
      <c r="C2643" s="7" t="s">
        <v>373</v>
      </c>
      <c r="D2643" s="4">
        <v>78633088000176</v>
      </c>
      <c r="E2643" s="8" t="s">
        <v>995</v>
      </c>
      <c r="F2643" s="8" t="s">
        <v>121</v>
      </c>
      <c r="G2643" s="7" t="s">
        <v>57</v>
      </c>
      <c r="H2643" s="47" t="s">
        <v>205</v>
      </c>
      <c r="I2643" s="47" t="s">
        <v>206</v>
      </c>
      <c r="J2643" s="6">
        <v>70</v>
      </c>
      <c r="K2643" s="8" t="s">
        <v>20</v>
      </c>
      <c r="L2643" s="1" t="s">
        <v>995</v>
      </c>
      <c r="M2643" s="5">
        <v>45</v>
      </c>
    </row>
    <row r="2644" spans="1:13" ht="15" x14ac:dyDescent="0.25">
      <c r="A2644" s="7" t="s">
        <v>16</v>
      </c>
      <c r="B2644" s="7" t="s">
        <v>372</v>
      </c>
      <c r="C2644" s="7" t="s">
        <v>373</v>
      </c>
      <c r="D2644" s="4">
        <v>79115762000193</v>
      </c>
      <c r="E2644" s="8" t="s">
        <v>996</v>
      </c>
      <c r="F2644" s="8" t="s">
        <v>988</v>
      </c>
      <c r="G2644" s="7" t="s">
        <v>57</v>
      </c>
      <c r="H2644" s="47" t="s">
        <v>205</v>
      </c>
      <c r="I2644" s="47" t="s">
        <v>206</v>
      </c>
      <c r="J2644" s="6">
        <v>70</v>
      </c>
      <c r="K2644" s="8" t="s">
        <v>20</v>
      </c>
      <c r="L2644" s="1" t="s">
        <v>996</v>
      </c>
      <c r="M2644" s="5">
        <v>175</v>
      </c>
    </row>
    <row r="2645" spans="1:13" ht="15" x14ac:dyDescent="0.25">
      <c r="A2645" s="7" t="s">
        <v>16</v>
      </c>
      <c r="B2645" s="7" t="s">
        <v>372</v>
      </c>
      <c r="C2645" s="7" t="s">
        <v>373</v>
      </c>
      <c r="D2645" s="4">
        <v>81715716000410</v>
      </c>
      <c r="E2645" s="8" t="s">
        <v>1003</v>
      </c>
      <c r="F2645" s="8" t="s">
        <v>1004</v>
      </c>
      <c r="G2645" s="7" t="s">
        <v>57</v>
      </c>
      <c r="H2645" s="47" t="s">
        <v>205</v>
      </c>
      <c r="I2645" s="47" t="s">
        <v>206</v>
      </c>
      <c r="J2645" s="6">
        <v>70</v>
      </c>
      <c r="K2645" s="8" t="s">
        <v>20</v>
      </c>
      <c r="L2645" s="1" t="s">
        <v>1003</v>
      </c>
      <c r="M2645" s="5">
        <v>240</v>
      </c>
    </row>
    <row r="2646" spans="1:13" ht="15" x14ac:dyDescent="0.25">
      <c r="A2646" s="7" t="s">
        <v>16</v>
      </c>
      <c r="B2646" s="7" t="s">
        <v>372</v>
      </c>
      <c r="C2646" s="7" t="s">
        <v>373</v>
      </c>
      <c r="D2646" s="4">
        <v>81733115000197</v>
      </c>
      <c r="E2646" s="8" t="s">
        <v>1005</v>
      </c>
      <c r="F2646" s="8" t="s">
        <v>1006</v>
      </c>
      <c r="G2646" s="7" t="s">
        <v>57</v>
      </c>
      <c r="H2646" s="47" t="s">
        <v>205</v>
      </c>
      <c r="I2646" s="47" t="s">
        <v>206</v>
      </c>
      <c r="J2646" s="6">
        <v>70</v>
      </c>
      <c r="K2646" s="8" t="s">
        <v>20</v>
      </c>
      <c r="L2646" s="1" t="s">
        <v>1005</v>
      </c>
      <c r="M2646" s="5">
        <v>60</v>
      </c>
    </row>
    <row r="2647" spans="1:13" ht="15" x14ac:dyDescent="0.25">
      <c r="A2647" s="7" t="s">
        <v>16</v>
      </c>
      <c r="B2647" s="7" t="s">
        <v>17</v>
      </c>
      <c r="C2647" s="7" t="s">
        <v>18</v>
      </c>
      <c r="D2647" s="4">
        <v>942063000167</v>
      </c>
      <c r="E2647" s="8" t="s">
        <v>934</v>
      </c>
      <c r="F2647" s="8" t="s">
        <v>94</v>
      </c>
      <c r="G2647" s="7" t="s">
        <v>57</v>
      </c>
      <c r="H2647" s="47" t="s">
        <v>205</v>
      </c>
      <c r="I2647" s="47" t="s">
        <v>206</v>
      </c>
      <c r="J2647" s="6">
        <v>70</v>
      </c>
      <c r="K2647" s="8" t="s">
        <v>20</v>
      </c>
      <c r="L2647" s="1" t="s">
        <v>934</v>
      </c>
      <c r="M2647" s="5">
        <v>1115</v>
      </c>
    </row>
    <row r="2648" spans="1:13" ht="15" x14ac:dyDescent="0.25">
      <c r="A2648" s="7" t="s">
        <v>16</v>
      </c>
      <c r="B2648" s="7" t="s">
        <v>21</v>
      </c>
      <c r="C2648" s="7" t="s">
        <v>18</v>
      </c>
      <c r="D2648" s="4">
        <v>942063000167</v>
      </c>
      <c r="E2648" s="8" t="s">
        <v>934</v>
      </c>
      <c r="F2648" s="8" t="s">
        <v>94</v>
      </c>
      <c r="G2648" s="7" t="s">
        <v>57</v>
      </c>
      <c r="H2648" s="47" t="s">
        <v>205</v>
      </c>
      <c r="I2648" s="47" t="s">
        <v>206</v>
      </c>
      <c r="J2648" s="6">
        <v>70</v>
      </c>
      <c r="K2648" s="8" t="s">
        <v>20</v>
      </c>
      <c r="L2648" s="1" t="s">
        <v>934</v>
      </c>
      <c r="M2648" s="5">
        <v>1755</v>
      </c>
    </row>
    <row r="2649" spans="1:13" ht="15" x14ac:dyDescent="0.25">
      <c r="A2649" s="7" t="s">
        <v>16</v>
      </c>
      <c r="B2649" s="7" t="s">
        <v>17</v>
      </c>
      <c r="C2649" s="7" t="s">
        <v>18</v>
      </c>
      <c r="D2649" s="4">
        <v>2862447000286</v>
      </c>
      <c r="E2649" s="8" t="s">
        <v>942</v>
      </c>
      <c r="F2649" s="8" t="s">
        <v>94</v>
      </c>
      <c r="G2649" s="7" t="s">
        <v>57</v>
      </c>
      <c r="H2649" s="47" t="s">
        <v>205</v>
      </c>
      <c r="I2649" s="47" t="s">
        <v>206</v>
      </c>
      <c r="J2649" s="6">
        <v>70</v>
      </c>
      <c r="K2649" s="8" t="s">
        <v>20</v>
      </c>
      <c r="L2649" s="1" t="s">
        <v>942</v>
      </c>
      <c r="M2649" s="5">
        <v>40</v>
      </c>
    </row>
    <row r="2650" spans="1:13" ht="15" x14ac:dyDescent="0.25">
      <c r="A2650" s="7" t="s">
        <v>16</v>
      </c>
      <c r="B2650" s="7" t="s">
        <v>17</v>
      </c>
      <c r="C2650" s="7" t="s">
        <v>18</v>
      </c>
      <c r="D2650" s="4">
        <v>3824198000116</v>
      </c>
      <c r="E2650" s="8" t="s">
        <v>944</v>
      </c>
      <c r="F2650" s="8" t="s">
        <v>94</v>
      </c>
      <c r="G2650" s="7" t="s">
        <v>57</v>
      </c>
      <c r="H2650" s="47" t="s">
        <v>205</v>
      </c>
      <c r="I2650" s="47" t="s">
        <v>206</v>
      </c>
      <c r="J2650" s="6">
        <v>70</v>
      </c>
      <c r="K2650" s="8" t="s">
        <v>20</v>
      </c>
      <c r="L2650" s="1" t="s">
        <v>944</v>
      </c>
      <c r="M2650" s="5">
        <v>250</v>
      </c>
    </row>
    <row r="2651" spans="1:13" ht="15" x14ac:dyDescent="0.25">
      <c r="A2651" s="7" t="s">
        <v>16</v>
      </c>
      <c r="B2651" s="7" t="s">
        <v>21</v>
      </c>
      <c r="C2651" s="7" t="s">
        <v>18</v>
      </c>
      <c r="D2651" s="4">
        <v>3824198000116</v>
      </c>
      <c r="E2651" s="8" t="s">
        <v>944</v>
      </c>
      <c r="F2651" s="8" t="s">
        <v>94</v>
      </c>
      <c r="G2651" s="7" t="s">
        <v>57</v>
      </c>
      <c r="H2651" s="47" t="s">
        <v>205</v>
      </c>
      <c r="I2651" s="47" t="s">
        <v>206</v>
      </c>
      <c r="J2651" s="6">
        <v>70</v>
      </c>
      <c r="K2651" s="8" t="s">
        <v>20</v>
      </c>
      <c r="L2651" s="1" t="s">
        <v>944</v>
      </c>
      <c r="M2651" s="5">
        <v>250</v>
      </c>
    </row>
    <row r="2652" spans="1:13" ht="15" x14ac:dyDescent="0.25">
      <c r="A2652" s="7" t="s">
        <v>16</v>
      </c>
      <c r="B2652" s="7" t="s">
        <v>17</v>
      </c>
      <c r="C2652" s="7" t="s">
        <v>18</v>
      </c>
      <c r="D2652" s="4">
        <v>3850913000195</v>
      </c>
      <c r="E2652" s="8" t="s">
        <v>945</v>
      </c>
      <c r="F2652" s="8" t="s">
        <v>94</v>
      </c>
      <c r="G2652" s="7" t="s">
        <v>57</v>
      </c>
      <c r="H2652" s="47" t="s">
        <v>205</v>
      </c>
      <c r="I2652" s="47" t="s">
        <v>206</v>
      </c>
      <c r="J2652" s="6">
        <v>70</v>
      </c>
      <c r="K2652" s="8" t="s">
        <v>20</v>
      </c>
      <c r="L2652" s="1" t="s">
        <v>945</v>
      </c>
      <c r="M2652" s="5">
        <v>665</v>
      </c>
    </row>
    <row r="2653" spans="1:13" ht="15" x14ac:dyDescent="0.25">
      <c r="A2653" s="7" t="s">
        <v>16</v>
      </c>
      <c r="B2653" s="7" t="s">
        <v>21</v>
      </c>
      <c r="C2653" s="7" t="s">
        <v>18</v>
      </c>
      <c r="D2653" s="4">
        <v>3850913000195</v>
      </c>
      <c r="E2653" s="8" t="s">
        <v>945</v>
      </c>
      <c r="F2653" s="8" t="s">
        <v>94</v>
      </c>
      <c r="G2653" s="7" t="s">
        <v>57</v>
      </c>
      <c r="H2653" s="47" t="s">
        <v>205</v>
      </c>
      <c r="I2653" s="47" t="s">
        <v>206</v>
      </c>
      <c r="J2653" s="6">
        <v>70</v>
      </c>
      <c r="K2653" s="8" t="s">
        <v>20</v>
      </c>
      <c r="L2653" s="1" t="s">
        <v>945</v>
      </c>
      <c r="M2653" s="5">
        <v>520</v>
      </c>
    </row>
    <row r="2654" spans="1:13" ht="15" x14ac:dyDescent="0.25">
      <c r="A2654" s="7" t="s">
        <v>16</v>
      </c>
      <c r="B2654" s="7" t="s">
        <v>17</v>
      </c>
      <c r="C2654" s="7" t="s">
        <v>18</v>
      </c>
      <c r="D2654" s="4">
        <v>7404052000172</v>
      </c>
      <c r="E2654" s="8" t="s">
        <v>953</v>
      </c>
      <c r="F2654" s="8" t="s">
        <v>94</v>
      </c>
      <c r="G2654" s="7" t="s">
        <v>57</v>
      </c>
      <c r="H2654" s="47" t="s">
        <v>205</v>
      </c>
      <c r="I2654" s="47" t="s">
        <v>206</v>
      </c>
      <c r="J2654" s="6">
        <v>70</v>
      </c>
      <c r="K2654" s="8" t="s">
        <v>20</v>
      </c>
      <c r="L2654" s="1" t="s">
        <v>953</v>
      </c>
      <c r="M2654" s="5">
        <v>105</v>
      </c>
    </row>
    <row r="2655" spans="1:13" ht="15" x14ac:dyDescent="0.25">
      <c r="A2655" s="7" t="s">
        <v>16</v>
      </c>
      <c r="B2655" s="7" t="s">
        <v>21</v>
      </c>
      <c r="C2655" s="7" t="s">
        <v>18</v>
      </c>
      <c r="D2655" s="4">
        <v>7404052000172</v>
      </c>
      <c r="E2655" s="8" t="s">
        <v>953</v>
      </c>
      <c r="F2655" s="8" t="s">
        <v>94</v>
      </c>
      <c r="G2655" s="7" t="s">
        <v>57</v>
      </c>
      <c r="H2655" s="47" t="s">
        <v>205</v>
      </c>
      <c r="I2655" s="47" t="s">
        <v>206</v>
      </c>
      <c r="J2655" s="6">
        <v>70</v>
      </c>
      <c r="K2655" s="8" t="s">
        <v>20</v>
      </c>
      <c r="L2655" s="1" t="s">
        <v>953</v>
      </c>
      <c r="M2655" s="5">
        <v>45</v>
      </c>
    </row>
    <row r="2656" spans="1:13" ht="15" x14ac:dyDescent="0.25">
      <c r="A2656" s="7" t="s">
        <v>16</v>
      </c>
      <c r="B2656" s="7" t="s">
        <v>17</v>
      </c>
      <c r="C2656" s="7" t="s">
        <v>18</v>
      </c>
      <c r="D2656" s="4">
        <v>7734165000136</v>
      </c>
      <c r="E2656" s="8" t="s">
        <v>954</v>
      </c>
      <c r="F2656" s="8" t="s">
        <v>94</v>
      </c>
      <c r="G2656" s="7" t="s">
        <v>57</v>
      </c>
      <c r="H2656" s="47" t="s">
        <v>205</v>
      </c>
      <c r="I2656" s="47" t="s">
        <v>206</v>
      </c>
      <c r="J2656" s="6">
        <v>70</v>
      </c>
      <c r="K2656" s="8" t="s">
        <v>20</v>
      </c>
      <c r="L2656" s="1" t="s">
        <v>954</v>
      </c>
      <c r="M2656" s="5">
        <v>4500</v>
      </c>
    </row>
    <row r="2657" spans="1:13" ht="15" x14ac:dyDescent="0.25">
      <c r="A2657" s="7" t="s">
        <v>16</v>
      </c>
      <c r="B2657" s="7" t="s">
        <v>21</v>
      </c>
      <c r="C2657" s="7" t="s">
        <v>18</v>
      </c>
      <c r="D2657" s="4">
        <v>7734165000136</v>
      </c>
      <c r="E2657" s="8" t="s">
        <v>954</v>
      </c>
      <c r="F2657" s="8" t="s">
        <v>94</v>
      </c>
      <c r="G2657" s="7" t="s">
        <v>57</v>
      </c>
      <c r="H2657" s="47" t="s">
        <v>205</v>
      </c>
      <c r="I2657" s="47" t="s">
        <v>206</v>
      </c>
      <c r="J2657" s="6">
        <v>70</v>
      </c>
      <c r="K2657" s="8" t="s">
        <v>20</v>
      </c>
      <c r="L2657" s="1" t="s">
        <v>954</v>
      </c>
      <c r="M2657" s="5">
        <v>4350</v>
      </c>
    </row>
    <row r="2658" spans="1:13" ht="15" x14ac:dyDescent="0.25">
      <c r="A2658" s="7" t="s">
        <v>16</v>
      </c>
      <c r="B2658" s="7" t="s">
        <v>17</v>
      </c>
      <c r="C2658" s="7" t="s">
        <v>18</v>
      </c>
      <c r="D2658" s="4">
        <v>8597121000174</v>
      </c>
      <c r="E2658" s="8" t="s">
        <v>957</v>
      </c>
      <c r="F2658" s="8" t="s">
        <v>94</v>
      </c>
      <c r="G2658" s="7" t="s">
        <v>57</v>
      </c>
      <c r="H2658" s="47" t="s">
        <v>205</v>
      </c>
      <c r="I2658" s="47" t="s">
        <v>206</v>
      </c>
      <c r="J2658" s="6">
        <v>70</v>
      </c>
      <c r="K2658" s="8" t="s">
        <v>20</v>
      </c>
      <c r="L2658" s="1" t="s">
        <v>957</v>
      </c>
      <c r="M2658" s="5">
        <v>14000</v>
      </c>
    </row>
    <row r="2659" spans="1:13" ht="15" x14ac:dyDescent="0.25">
      <c r="A2659" s="7" t="s">
        <v>16</v>
      </c>
      <c r="B2659" s="7" t="s">
        <v>21</v>
      </c>
      <c r="C2659" s="7" t="s">
        <v>18</v>
      </c>
      <c r="D2659" s="4">
        <v>9579964000291</v>
      </c>
      <c r="E2659" s="8" t="s">
        <v>961</v>
      </c>
      <c r="F2659" s="8" t="s">
        <v>94</v>
      </c>
      <c r="G2659" s="7" t="s">
        <v>57</v>
      </c>
      <c r="H2659" s="47" t="s">
        <v>205</v>
      </c>
      <c r="I2659" s="47" t="s">
        <v>206</v>
      </c>
      <c r="J2659" s="6">
        <v>70</v>
      </c>
      <c r="K2659" s="8" t="s">
        <v>20</v>
      </c>
      <c r="L2659" s="1" t="s">
        <v>961</v>
      </c>
      <c r="M2659" s="5">
        <v>1250</v>
      </c>
    </row>
    <row r="2660" spans="1:13" ht="15" x14ac:dyDescent="0.25">
      <c r="A2660" s="7" t="s">
        <v>16</v>
      </c>
      <c r="B2660" s="7" t="s">
        <v>17</v>
      </c>
      <c r="C2660" s="7" t="s">
        <v>18</v>
      </c>
      <c r="D2660" s="4">
        <v>29435005005600</v>
      </c>
      <c r="E2660" s="8" t="s">
        <v>974</v>
      </c>
      <c r="F2660" s="8" t="s">
        <v>94</v>
      </c>
      <c r="G2660" s="7" t="s">
        <v>57</v>
      </c>
      <c r="H2660" s="47" t="s">
        <v>205</v>
      </c>
      <c r="I2660" s="47" t="s">
        <v>206</v>
      </c>
      <c r="J2660" s="6">
        <v>70</v>
      </c>
      <c r="K2660" s="8" t="s">
        <v>20</v>
      </c>
      <c r="L2660" s="1" t="s">
        <v>974</v>
      </c>
      <c r="M2660" s="5">
        <v>180</v>
      </c>
    </row>
    <row r="2661" spans="1:13" ht="15" x14ac:dyDescent="0.25">
      <c r="A2661" s="7" t="s">
        <v>16</v>
      </c>
      <c r="B2661" s="7" t="s">
        <v>21</v>
      </c>
      <c r="C2661" s="7" t="s">
        <v>18</v>
      </c>
      <c r="D2661" s="4">
        <v>29435005005600</v>
      </c>
      <c r="E2661" s="8" t="s">
        <v>974</v>
      </c>
      <c r="F2661" s="8" t="s">
        <v>94</v>
      </c>
      <c r="G2661" s="7" t="s">
        <v>57</v>
      </c>
      <c r="H2661" s="47" t="s">
        <v>205</v>
      </c>
      <c r="I2661" s="47" t="s">
        <v>206</v>
      </c>
      <c r="J2661" s="6">
        <v>70</v>
      </c>
      <c r="K2661" s="8" t="s">
        <v>20</v>
      </c>
      <c r="L2661" s="1" t="s">
        <v>974</v>
      </c>
      <c r="M2661" s="5">
        <v>255</v>
      </c>
    </row>
    <row r="2662" spans="1:13" ht="15" x14ac:dyDescent="0.25">
      <c r="A2662" s="7" t="s">
        <v>16</v>
      </c>
      <c r="B2662" s="7" t="s">
        <v>17</v>
      </c>
      <c r="C2662" s="7" t="s">
        <v>18</v>
      </c>
      <c r="D2662" s="4">
        <v>30117769000155</v>
      </c>
      <c r="E2662" s="8" t="s">
        <v>976</v>
      </c>
      <c r="F2662" s="8" t="s">
        <v>94</v>
      </c>
      <c r="G2662" s="7" t="s">
        <v>57</v>
      </c>
      <c r="H2662" s="47" t="s">
        <v>205</v>
      </c>
      <c r="I2662" s="47" t="s">
        <v>206</v>
      </c>
      <c r="J2662" s="6">
        <v>70</v>
      </c>
      <c r="K2662" s="8" t="s">
        <v>20</v>
      </c>
      <c r="L2662" s="1" t="s">
        <v>976</v>
      </c>
      <c r="M2662" s="5">
        <v>265</v>
      </c>
    </row>
    <row r="2663" spans="1:13" ht="15" x14ac:dyDescent="0.25">
      <c r="A2663" s="7" t="s">
        <v>16</v>
      </c>
      <c r="B2663" s="7" t="s">
        <v>17</v>
      </c>
      <c r="C2663" s="7" t="s">
        <v>18</v>
      </c>
      <c r="D2663" s="4">
        <v>76562198000169</v>
      </c>
      <c r="E2663" s="8" t="s">
        <v>984</v>
      </c>
      <c r="F2663" s="8" t="s">
        <v>94</v>
      </c>
      <c r="G2663" s="7" t="s">
        <v>57</v>
      </c>
      <c r="H2663" s="47" t="s">
        <v>205</v>
      </c>
      <c r="I2663" s="47" t="s">
        <v>206</v>
      </c>
      <c r="J2663" s="6">
        <v>70</v>
      </c>
      <c r="K2663" s="8" t="s">
        <v>20</v>
      </c>
      <c r="L2663" s="1" t="s">
        <v>984</v>
      </c>
      <c r="M2663" s="5">
        <v>27.5</v>
      </c>
    </row>
    <row r="2664" spans="1:13" ht="15" x14ac:dyDescent="0.25">
      <c r="A2664" s="7" t="s">
        <v>16</v>
      </c>
      <c r="B2664" s="7" t="s">
        <v>17</v>
      </c>
      <c r="C2664" s="7" t="s">
        <v>18</v>
      </c>
      <c r="D2664" s="4">
        <v>76591569000130</v>
      </c>
      <c r="E2664" s="8" t="s">
        <v>985</v>
      </c>
      <c r="F2664" s="8" t="s">
        <v>94</v>
      </c>
      <c r="G2664" s="7" t="s">
        <v>57</v>
      </c>
      <c r="H2664" s="47" t="s">
        <v>205</v>
      </c>
      <c r="I2664" s="47" t="s">
        <v>206</v>
      </c>
      <c r="J2664" s="6">
        <v>70</v>
      </c>
      <c r="K2664" s="8" t="s">
        <v>20</v>
      </c>
      <c r="L2664" s="1" t="s">
        <v>985</v>
      </c>
      <c r="M2664" s="5">
        <v>200</v>
      </c>
    </row>
    <row r="2665" spans="1:13" ht="15" x14ac:dyDescent="0.25">
      <c r="A2665" s="7" t="s">
        <v>16</v>
      </c>
      <c r="B2665" s="7" t="s">
        <v>17</v>
      </c>
      <c r="C2665" s="7" t="s">
        <v>18</v>
      </c>
      <c r="D2665" s="4">
        <v>76659820002367</v>
      </c>
      <c r="E2665" s="8" t="s">
        <v>986</v>
      </c>
      <c r="F2665" s="8" t="s">
        <v>94</v>
      </c>
      <c r="G2665" s="7" t="s">
        <v>57</v>
      </c>
      <c r="H2665" s="47" t="s">
        <v>205</v>
      </c>
      <c r="I2665" s="47" t="s">
        <v>206</v>
      </c>
      <c r="J2665" s="6">
        <v>70</v>
      </c>
      <c r="K2665" s="8" t="s">
        <v>20</v>
      </c>
      <c r="L2665" s="1" t="s">
        <v>986</v>
      </c>
      <c r="M2665" s="5">
        <v>40</v>
      </c>
    </row>
    <row r="2666" spans="1:13" ht="15" x14ac:dyDescent="0.25">
      <c r="A2666" s="7" t="s">
        <v>16</v>
      </c>
      <c r="B2666" s="7" t="s">
        <v>21</v>
      </c>
      <c r="C2666" s="7" t="s">
        <v>18</v>
      </c>
      <c r="D2666" s="4">
        <v>76498013000102</v>
      </c>
      <c r="E2666" s="8" t="s">
        <v>982</v>
      </c>
      <c r="F2666" s="8" t="s">
        <v>94</v>
      </c>
      <c r="G2666" s="7" t="s">
        <v>57</v>
      </c>
      <c r="H2666" s="47" t="s">
        <v>205</v>
      </c>
      <c r="I2666" s="47" t="s">
        <v>206</v>
      </c>
      <c r="J2666" s="6">
        <v>70</v>
      </c>
      <c r="K2666" s="8" t="s">
        <v>20</v>
      </c>
      <c r="L2666" s="1" t="s">
        <v>982</v>
      </c>
      <c r="M2666" s="5">
        <v>55</v>
      </c>
    </row>
    <row r="2667" spans="1:13" ht="15" x14ac:dyDescent="0.25">
      <c r="A2667" s="7" t="s">
        <v>16</v>
      </c>
      <c r="B2667" s="7" t="s">
        <v>21</v>
      </c>
      <c r="C2667" s="7" t="s">
        <v>18</v>
      </c>
      <c r="D2667" s="4">
        <v>76555069000143</v>
      </c>
      <c r="E2667" s="8" t="s">
        <v>983</v>
      </c>
      <c r="F2667" s="8" t="s">
        <v>94</v>
      </c>
      <c r="G2667" s="7" t="s">
        <v>57</v>
      </c>
      <c r="H2667" s="47" t="s">
        <v>205</v>
      </c>
      <c r="I2667" s="47" t="s">
        <v>206</v>
      </c>
      <c r="J2667" s="6">
        <v>70</v>
      </c>
      <c r="K2667" s="8" t="s">
        <v>20</v>
      </c>
      <c r="L2667" s="1" t="s">
        <v>983</v>
      </c>
      <c r="M2667" s="5">
        <v>170</v>
      </c>
    </row>
    <row r="2668" spans="1:13" ht="15" x14ac:dyDescent="0.25">
      <c r="A2668" s="7" t="s">
        <v>16</v>
      </c>
      <c r="B2668" s="7" t="s">
        <v>21</v>
      </c>
      <c r="C2668" s="7" t="s">
        <v>18</v>
      </c>
      <c r="D2668" s="4">
        <v>76591569000130</v>
      </c>
      <c r="E2668" s="8" t="s">
        <v>985</v>
      </c>
      <c r="F2668" s="8" t="s">
        <v>94</v>
      </c>
      <c r="G2668" s="7" t="s">
        <v>57</v>
      </c>
      <c r="H2668" s="47" t="s">
        <v>205</v>
      </c>
      <c r="I2668" s="47" t="s">
        <v>206</v>
      </c>
      <c r="J2668" s="6">
        <v>70</v>
      </c>
      <c r="K2668" s="8" t="s">
        <v>20</v>
      </c>
      <c r="L2668" s="1" t="s">
        <v>985</v>
      </c>
      <c r="M2668" s="5">
        <v>250</v>
      </c>
    </row>
    <row r="2669" spans="1:13" ht="15" x14ac:dyDescent="0.25">
      <c r="A2669" s="7" t="s">
        <v>16</v>
      </c>
      <c r="B2669" s="7" t="s">
        <v>21</v>
      </c>
      <c r="C2669" s="7" t="s">
        <v>18</v>
      </c>
      <c r="D2669" s="4">
        <v>76659820002367</v>
      </c>
      <c r="E2669" s="8" t="s">
        <v>986</v>
      </c>
      <c r="F2669" s="8" t="s">
        <v>94</v>
      </c>
      <c r="G2669" s="7" t="s">
        <v>57</v>
      </c>
      <c r="H2669" s="47" t="s">
        <v>205</v>
      </c>
      <c r="I2669" s="47" t="s">
        <v>206</v>
      </c>
      <c r="J2669" s="6">
        <v>70</v>
      </c>
      <c r="K2669" s="8" t="s">
        <v>20</v>
      </c>
      <c r="L2669" s="1" t="s">
        <v>986</v>
      </c>
      <c r="M2669" s="5">
        <v>315</v>
      </c>
    </row>
    <row r="2670" spans="1:13" ht="15" x14ac:dyDescent="0.25">
      <c r="A2670" s="7" t="s">
        <v>16</v>
      </c>
      <c r="B2670" s="7" t="s">
        <v>22</v>
      </c>
      <c r="C2670" s="7" t="s">
        <v>18</v>
      </c>
      <c r="D2670" s="4">
        <v>942063000167</v>
      </c>
      <c r="E2670" s="8" t="s">
        <v>934</v>
      </c>
      <c r="F2670" s="8" t="s">
        <v>94</v>
      </c>
      <c r="G2670" s="7" t="s">
        <v>57</v>
      </c>
      <c r="H2670" s="47" t="s">
        <v>205</v>
      </c>
      <c r="I2670" s="47" t="s">
        <v>206</v>
      </c>
      <c r="J2670" s="6">
        <v>70</v>
      </c>
      <c r="K2670" s="8" t="s">
        <v>20</v>
      </c>
      <c r="L2670" s="1" t="s">
        <v>934</v>
      </c>
      <c r="M2670" s="5">
        <v>800</v>
      </c>
    </row>
    <row r="2671" spans="1:13" ht="15" x14ac:dyDescent="0.25">
      <c r="A2671" s="7" t="s">
        <v>16</v>
      </c>
      <c r="B2671" s="7" t="s">
        <v>22</v>
      </c>
      <c r="C2671" s="7" t="s">
        <v>18</v>
      </c>
      <c r="D2671" s="4">
        <v>3850913000195</v>
      </c>
      <c r="E2671" s="8" t="s">
        <v>945</v>
      </c>
      <c r="F2671" s="8" t="s">
        <v>94</v>
      </c>
      <c r="G2671" s="7" t="s">
        <v>57</v>
      </c>
      <c r="H2671" s="47" t="s">
        <v>205</v>
      </c>
      <c r="I2671" s="47" t="s">
        <v>206</v>
      </c>
      <c r="J2671" s="6">
        <v>70</v>
      </c>
      <c r="K2671" s="8" t="s">
        <v>20</v>
      </c>
      <c r="L2671" s="1" t="s">
        <v>945</v>
      </c>
      <c r="M2671" s="5">
        <v>660</v>
      </c>
    </row>
    <row r="2672" spans="1:13" ht="15" x14ac:dyDescent="0.25">
      <c r="A2672" s="7" t="s">
        <v>16</v>
      </c>
      <c r="B2672" s="7" t="s">
        <v>22</v>
      </c>
      <c r="C2672" s="7" t="s">
        <v>18</v>
      </c>
      <c r="D2672" s="4">
        <v>7404052000172</v>
      </c>
      <c r="E2672" s="8" t="s">
        <v>953</v>
      </c>
      <c r="F2672" s="8" t="s">
        <v>94</v>
      </c>
      <c r="G2672" s="7" t="s">
        <v>57</v>
      </c>
      <c r="H2672" s="47" t="s">
        <v>205</v>
      </c>
      <c r="I2672" s="47" t="s">
        <v>206</v>
      </c>
      <c r="J2672" s="6">
        <v>70</v>
      </c>
      <c r="K2672" s="8" t="s">
        <v>20</v>
      </c>
      <c r="L2672" s="1" t="s">
        <v>953</v>
      </c>
      <c r="M2672" s="5">
        <v>45</v>
      </c>
    </row>
    <row r="2673" spans="1:13" ht="15" x14ac:dyDescent="0.25">
      <c r="A2673" s="7" t="s">
        <v>16</v>
      </c>
      <c r="B2673" s="7" t="s">
        <v>22</v>
      </c>
      <c r="C2673" s="7" t="s">
        <v>18</v>
      </c>
      <c r="D2673" s="4">
        <v>7734165000136</v>
      </c>
      <c r="E2673" s="8" t="s">
        <v>954</v>
      </c>
      <c r="F2673" s="8" t="s">
        <v>94</v>
      </c>
      <c r="G2673" s="7" t="s">
        <v>57</v>
      </c>
      <c r="H2673" s="47" t="s">
        <v>205</v>
      </c>
      <c r="I2673" s="47" t="s">
        <v>206</v>
      </c>
      <c r="J2673" s="6">
        <v>70</v>
      </c>
      <c r="K2673" s="8" t="s">
        <v>20</v>
      </c>
      <c r="L2673" s="1" t="s">
        <v>954</v>
      </c>
      <c r="M2673" s="5">
        <v>3500</v>
      </c>
    </row>
    <row r="2674" spans="1:13" ht="15" x14ac:dyDescent="0.25">
      <c r="A2674" s="7" t="s">
        <v>16</v>
      </c>
      <c r="B2674" s="7" t="s">
        <v>22</v>
      </c>
      <c r="C2674" s="7" t="s">
        <v>18</v>
      </c>
      <c r="D2674" s="4">
        <v>8597121000174</v>
      </c>
      <c r="E2674" s="8" t="s">
        <v>957</v>
      </c>
      <c r="F2674" s="8" t="s">
        <v>94</v>
      </c>
      <c r="G2674" s="7" t="s">
        <v>57</v>
      </c>
      <c r="H2674" s="47" t="s">
        <v>205</v>
      </c>
      <c r="I2674" s="47" t="s">
        <v>206</v>
      </c>
      <c r="J2674" s="6">
        <v>70</v>
      </c>
      <c r="K2674" s="8" t="s">
        <v>20</v>
      </c>
      <c r="L2674" s="1" t="s">
        <v>957</v>
      </c>
      <c r="M2674" s="5">
        <v>560</v>
      </c>
    </row>
    <row r="2675" spans="1:13" ht="15" x14ac:dyDescent="0.25">
      <c r="A2675" s="7" t="s">
        <v>16</v>
      </c>
      <c r="B2675" s="7" t="s">
        <v>22</v>
      </c>
      <c r="C2675" s="7" t="s">
        <v>18</v>
      </c>
      <c r="D2675" s="4">
        <v>29435005005600</v>
      </c>
      <c r="E2675" s="8" t="s">
        <v>974</v>
      </c>
      <c r="F2675" s="8" t="s">
        <v>94</v>
      </c>
      <c r="G2675" s="7" t="s">
        <v>57</v>
      </c>
      <c r="H2675" s="47" t="s">
        <v>205</v>
      </c>
      <c r="I2675" s="47" t="s">
        <v>206</v>
      </c>
      <c r="J2675" s="6">
        <v>70</v>
      </c>
      <c r="K2675" s="8" t="s">
        <v>20</v>
      </c>
      <c r="L2675" s="1" t="s">
        <v>974</v>
      </c>
      <c r="M2675" s="5">
        <v>185</v>
      </c>
    </row>
    <row r="2676" spans="1:13" ht="15" x14ac:dyDescent="0.25">
      <c r="A2676" s="7" t="s">
        <v>16</v>
      </c>
      <c r="B2676" s="7" t="s">
        <v>22</v>
      </c>
      <c r="C2676" s="7" t="s">
        <v>18</v>
      </c>
      <c r="D2676" s="4">
        <v>30117769000155</v>
      </c>
      <c r="E2676" s="8" t="s">
        <v>976</v>
      </c>
      <c r="F2676" s="8" t="s">
        <v>94</v>
      </c>
      <c r="G2676" s="7" t="s">
        <v>57</v>
      </c>
      <c r="H2676" s="47" t="s">
        <v>205</v>
      </c>
      <c r="I2676" s="47" t="s">
        <v>206</v>
      </c>
      <c r="J2676" s="6">
        <v>70</v>
      </c>
      <c r="K2676" s="8" t="s">
        <v>20</v>
      </c>
      <c r="L2676" s="1" t="s">
        <v>976</v>
      </c>
      <c r="M2676" s="5">
        <v>205</v>
      </c>
    </row>
    <row r="2677" spans="1:13" ht="15" x14ac:dyDescent="0.25">
      <c r="A2677" s="7" t="s">
        <v>16</v>
      </c>
      <c r="B2677" s="7" t="s">
        <v>22</v>
      </c>
      <c r="C2677" s="7" t="s">
        <v>18</v>
      </c>
      <c r="D2677" s="4">
        <v>76555069000143</v>
      </c>
      <c r="E2677" s="8" t="s">
        <v>983</v>
      </c>
      <c r="F2677" s="8" t="s">
        <v>94</v>
      </c>
      <c r="G2677" s="7" t="s">
        <v>57</v>
      </c>
      <c r="H2677" s="47" t="s">
        <v>205</v>
      </c>
      <c r="I2677" s="47" t="s">
        <v>206</v>
      </c>
      <c r="J2677" s="6">
        <v>70</v>
      </c>
      <c r="K2677" s="8" t="s">
        <v>20</v>
      </c>
      <c r="L2677" s="1" t="s">
        <v>983</v>
      </c>
      <c r="M2677" s="5">
        <v>280</v>
      </c>
    </row>
    <row r="2678" spans="1:13" ht="15" x14ac:dyDescent="0.25">
      <c r="A2678" s="7" t="s">
        <v>16</v>
      </c>
      <c r="B2678" s="7" t="s">
        <v>22</v>
      </c>
      <c r="C2678" s="7" t="s">
        <v>18</v>
      </c>
      <c r="D2678" s="4">
        <v>76591569000130</v>
      </c>
      <c r="E2678" s="8" t="s">
        <v>985</v>
      </c>
      <c r="F2678" s="8" t="s">
        <v>94</v>
      </c>
      <c r="G2678" s="7" t="s">
        <v>57</v>
      </c>
      <c r="H2678" s="47" t="s">
        <v>205</v>
      </c>
      <c r="I2678" s="47" t="s">
        <v>206</v>
      </c>
      <c r="J2678" s="6">
        <v>70</v>
      </c>
      <c r="K2678" s="8" t="s">
        <v>20</v>
      </c>
      <c r="L2678" s="1" t="s">
        <v>985</v>
      </c>
      <c r="M2678" s="5">
        <v>500</v>
      </c>
    </row>
    <row r="2679" spans="1:13" ht="15" x14ac:dyDescent="0.25">
      <c r="A2679" s="7" t="s">
        <v>16</v>
      </c>
      <c r="B2679" s="7" t="s">
        <v>22</v>
      </c>
      <c r="C2679" s="7" t="s">
        <v>18</v>
      </c>
      <c r="D2679" s="4">
        <v>76659820002367</v>
      </c>
      <c r="E2679" s="8" t="s">
        <v>986</v>
      </c>
      <c r="F2679" s="8" t="s">
        <v>94</v>
      </c>
      <c r="G2679" s="7" t="s">
        <v>57</v>
      </c>
      <c r="H2679" s="47" t="s">
        <v>205</v>
      </c>
      <c r="I2679" s="47" t="s">
        <v>206</v>
      </c>
      <c r="J2679" s="6">
        <v>70</v>
      </c>
      <c r="K2679" s="8" t="s">
        <v>20</v>
      </c>
      <c r="L2679" s="1" t="s">
        <v>986</v>
      </c>
      <c r="M2679" s="5">
        <v>45</v>
      </c>
    </row>
    <row r="2680" spans="1:13" ht="15" x14ac:dyDescent="0.25">
      <c r="A2680" s="7" t="s">
        <v>16</v>
      </c>
      <c r="B2680" s="7" t="s">
        <v>23</v>
      </c>
      <c r="C2680" s="7" t="s">
        <v>24</v>
      </c>
      <c r="D2680" s="4">
        <v>2862447000286</v>
      </c>
      <c r="E2680" s="8" t="s">
        <v>942</v>
      </c>
      <c r="F2680" s="8" t="s">
        <v>94</v>
      </c>
      <c r="G2680" s="7" t="s">
        <v>57</v>
      </c>
      <c r="H2680" s="47" t="s">
        <v>205</v>
      </c>
      <c r="I2680" s="47" t="s">
        <v>206</v>
      </c>
      <c r="J2680" s="6">
        <v>70</v>
      </c>
      <c r="K2680" s="8" t="s">
        <v>20</v>
      </c>
      <c r="L2680" s="1" t="s">
        <v>942</v>
      </c>
      <c r="M2680" s="5">
        <v>40</v>
      </c>
    </row>
    <row r="2681" spans="1:13" ht="15" x14ac:dyDescent="0.25">
      <c r="A2681" s="7" t="s">
        <v>16</v>
      </c>
      <c r="B2681" s="7" t="s">
        <v>23</v>
      </c>
      <c r="C2681" s="7" t="s">
        <v>24</v>
      </c>
      <c r="D2681" s="4">
        <v>3850913000195</v>
      </c>
      <c r="E2681" s="8" t="s">
        <v>945</v>
      </c>
      <c r="F2681" s="8" t="s">
        <v>94</v>
      </c>
      <c r="G2681" s="7" t="s">
        <v>57</v>
      </c>
      <c r="H2681" s="47" t="s">
        <v>205</v>
      </c>
      <c r="I2681" s="47" t="s">
        <v>206</v>
      </c>
      <c r="J2681" s="6">
        <v>70</v>
      </c>
      <c r="K2681" s="8" t="s">
        <v>20</v>
      </c>
      <c r="L2681" s="1" t="s">
        <v>945</v>
      </c>
      <c r="M2681" s="5">
        <v>645</v>
      </c>
    </row>
    <row r="2682" spans="1:13" ht="15" x14ac:dyDescent="0.25">
      <c r="A2682" s="7" t="s">
        <v>16</v>
      </c>
      <c r="B2682" s="7" t="s">
        <v>23</v>
      </c>
      <c r="C2682" s="7" t="s">
        <v>24</v>
      </c>
      <c r="D2682" s="4">
        <v>4378502000101</v>
      </c>
      <c r="E2682" s="8" t="s">
        <v>948</v>
      </c>
      <c r="F2682" s="8" t="s">
        <v>94</v>
      </c>
      <c r="G2682" s="7" t="s">
        <v>57</v>
      </c>
      <c r="H2682" s="47" t="s">
        <v>205</v>
      </c>
      <c r="I2682" s="47" t="s">
        <v>206</v>
      </c>
      <c r="J2682" s="6">
        <v>70</v>
      </c>
      <c r="K2682" s="8" t="s">
        <v>20</v>
      </c>
      <c r="L2682" s="1" t="s">
        <v>948</v>
      </c>
      <c r="M2682" s="5">
        <v>15</v>
      </c>
    </row>
    <row r="2683" spans="1:13" ht="15" x14ac:dyDescent="0.25">
      <c r="A2683" s="7" t="s">
        <v>16</v>
      </c>
      <c r="B2683" s="7" t="s">
        <v>23</v>
      </c>
      <c r="C2683" s="7" t="s">
        <v>24</v>
      </c>
      <c r="D2683" s="4">
        <v>7404052000172</v>
      </c>
      <c r="E2683" s="8" t="s">
        <v>953</v>
      </c>
      <c r="F2683" s="8" t="s">
        <v>94</v>
      </c>
      <c r="G2683" s="7" t="s">
        <v>57</v>
      </c>
      <c r="H2683" s="47" t="s">
        <v>205</v>
      </c>
      <c r="I2683" s="47" t="s">
        <v>206</v>
      </c>
      <c r="J2683" s="6">
        <v>70</v>
      </c>
      <c r="K2683" s="8" t="s">
        <v>20</v>
      </c>
      <c r="L2683" s="1" t="s">
        <v>953</v>
      </c>
      <c r="M2683" s="5">
        <v>145</v>
      </c>
    </row>
    <row r="2684" spans="1:13" ht="15" x14ac:dyDescent="0.25">
      <c r="A2684" s="7" t="s">
        <v>16</v>
      </c>
      <c r="B2684" s="7" t="s">
        <v>23</v>
      </c>
      <c r="C2684" s="7" t="s">
        <v>24</v>
      </c>
      <c r="D2684" s="4">
        <v>7734165000136</v>
      </c>
      <c r="E2684" s="8" t="s">
        <v>954</v>
      </c>
      <c r="F2684" s="8" t="s">
        <v>94</v>
      </c>
      <c r="G2684" s="7" t="s">
        <v>57</v>
      </c>
      <c r="H2684" s="47" t="s">
        <v>205</v>
      </c>
      <c r="I2684" s="47" t="s">
        <v>206</v>
      </c>
      <c r="J2684" s="6">
        <v>70</v>
      </c>
      <c r="K2684" s="8" t="s">
        <v>20</v>
      </c>
      <c r="L2684" s="1" t="s">
        <v>954</v>
      </c>
      <c r="M2684" s="5">
        <v>4000</v>
      </c>
    </row>
    <row r="2685" spans="1:13" ht="15" x14ac:dyDescent="0.25">
      <c r="A2685" s="7" t="s">
        <v>16</v>
      </c>
      <c r="B2685" s="7" t="s">
        <v>23</v>
      </c>
      <c r="C2685" s="7" t="s">
        <v>24</v>
      </c>
      <c r="D2685" s="4">
        <v>8597121000174</v>
      </c>
      <c r="E2685" s="8" t="s">
        <v>957</v>
      </c>
      <c r="F2685" s="8" t="s">
        <v>94</v>
      </c>
      <c r="G2685" s="7" t="s">
        <v>57</v>
      </c>
      <c r="H2685" s="47" t="s">
        <v>205</v>
      </c>
      <c r="I2685" s="47" t="s">
        <v>206</v>
      </c>
      <c r="J2685" s="6">
        <v>70</v>
      </c>
      <c r="K2685" s="8" t="s">
        <v>20</v>
      </c>
      <c r="L2685" s="1" t="s">
        <v>957</v>
      </c>
      <c r="M2685" s="5">
        <v>75</v>
      </c>
    </row>
    <row r="2686" spans="1:13" ht="15" x14ac:dyDescent="0.25">
      <c r="A2686" s="7" t="s">
        <v>16</v>
      </c>
      <c r="B2686" s="7" t="s">
        <v>23</v>
      </c>
      <c r="C2686" s="7" t="s">
        <v>24</v>
      </c>
      <c r="D2686" s="4">
        <v>9579964000291</v>
      </c>
      <c r="E2686" s="8" t="s">
        <v>961</v>
      </c>
      <c r="F2686" s="8" t="s">
        <v>94</v>
      </c>
      <c r="G2686" s="7" t="s">
        <v>57</v>
      </c>
      <c r="H2686" s="47" t="s">
        <v>205</v>
      </c>
      <c r="I2686" s="47" t="s">
        <v>206</v>
      </c>
      <c r="J2686" s="6">
        <v>70</v>
      </c>
      <c r="K2686" s="8" t="s">
        <v>20</v>
      </c>
      <c r="L2686" s="1" t="s">
        <v>961</v>
      </c>
      <c r="M2686" s="5">
        <v>1840</v>
      </c>
    </row>
    <row r="2687" spans="1:13" ht="15" x14ac:dyDescent="0.25">
      <c r="A2687" s="7" t="s">
        <v>16</v>
      </c>
      <c r="B2687" s="7" t="s">
        <v>23</v>
      </c>
      <c r="C2687" s="7" t="s">
        <v>24</v>
      </c>
      <c r="D2687" s="4">
        <v>29435005005600</v>
      </c>
      <c r="E2687" s="8" t="s">
        <v>974</v>
      </c>
      <c r="F2687" s="8" t="s">
        <v>94</v>
      </c>
      <c r="G2687" s="7" t="s">
        <v>57</v>
      </c>
      <c r="H2687" s="47" t="s">
        <v>205</v>
      </c>
      <c r="I2687" s="47" t="s">
        <v>206</v>
      </c>
      <c r="J2687" s="6">
        <v>70</v>
      </c>
      <c r="K2687" s="8" t="s">
        <v>20</v>
      </c>
      <c r="L2687" s="1" t="s">
        <v>974</v>
      </c>
      <c r="M2687" s="5">
        <v>310</v>
      </c>
    </row>
    <row r="2688" spans="1:13" ht="15" x14ac:dyDescent="0.25">
      <c r="A2688" s="7" t="s">
        <v>16</v>
      </c>
      <c r="B2688" s="7" t="s">
        <v>23</v>
      </c>
      <c r="C2688" s="7" t="s">
        <v>24</v>
      </c>
      <c r="D2688" s="4">
        <v>30117769000155</v>
      </c>
      <c r="E2688" s="8" t="s">
        <v>976</v>
      </c>
      <c r="F2688" s="8" t="s">
        <v>94</v>
      </c>
      <c r="G2688" s="7" t="s">
        <v>57</v>
      </c>
      <c r="H2688" s="47" t="s">
        <v>205</v>
      </c>
      <c r="I2688" s="47" t="s">
        <v>206</v>
      </c>
      <c r="J2688" s="6">
        <v>70</v>
      </c>
      <c r="K2688" s="8" t="s">
        <v>20</v>
      </c>
      <c r="L2688" s="1" t="s">
        <v>976</v>
      </c>
      <c r="M2688" s="5">
        <v>350</v>
      </c>
    </row>
    <row r="2689" spans="1:13" ht="15" x14ac:dyDescent="0.25">
      <c r="A2689" s="7" t="s">
        <v>16</v>
      </c>
      <c r="B2689" s="7" t="s">
        <v>23</v>
      </c>
      <c r="C2689" s="7" t="s">
        <v>24</v>
      </c>
      <c r="D2689" s="4">
        <v>76498013000102</v>
      </c>
      <c r="E2689" s="8" t="s">
        <v>982</v>
      </c>
      <c r="F2689" s="8" t="s">
        <v>94</v>
      </c>
      <c r="G2689" s="7" t="s">
        <v>57</v>
      </c>
      <c r="H2689" s="47" t="s">
        <v>205</v>
      </c>
      <c r="I2689" s="47" t="s">
        <v>206</v>
      </c>
      <c r="J2689" s="6">
        <v>70</v>
      </c>
      <c r="K2689" s="8" t="s">
        <v>20</v>
      </c>
      <c r="L2689" s="1" t="s">
        <v>982</v>
      </c>
      <c r="M2689" s="5">
        <v>175</v>
      </c>
    </row>
    <row r="2690" spans="1:13" ht="15" x14ac:dyDescent="0.25">
      <c r="A2690" s="7" t="s">
        <v>16</v>
      </c>
      <c r="B2690" s="7" t="s">
        <v>23</v>
      </c>
      <c r="C2690" s="7" t="s">
        <v>24</v>
      </c>
      <c r="D2690" s="4">
        <v>76555069000143</v>
      </c>
      <c r="E2690" s="8" t="s">
        <v>983</v>
      </c>
      <c r="F2690" s="8" t="s">
        <v>94</v>
      </c>
      <c r="G2690" s="7" t="s">
        <v>57</v>
      </c>
      <c r="H2690" s="47" t="s">
        <v>205</v>
      </c>
      <c r="I2690" s="47" t="s">
        <v>206</v>
      </c>
      <c r="J2690" s="6">
        <v>70</v>
      </c>
      <c r="K2690" s="8" t="s">
        <v>20</v>
      </c>
      <c r="L2690" s="1" t="s">
        <v>983</v>
      </c>
      <c r="M2690" s="5">
        <v>55</v>
      </c>
    </row>
    <row r="2691" spans="1:13" ht="15" x14ac:dyDescent="0.25">
      <c r="A2691" s="7" t="s">
        <v>16</v>
      </c>
      <c r="B2691" s="7" t="s">
        <v>23</v>
      </c>
      <c r="C2691" s="7" t="s">
        <v>24</v>
      </c>
      <c r="D2691" s="4">
        <v>76591569000130</v>
      </c>
      <c r="E2691" s="8" t="s">
        <v>985</v>
      </c>
      <c r="F2691" s="8" t="s">
        <v>94</v>
      </c>
      <c r="G2691" s="7" t="s">
        <v>57</v>
      </c>
      <c r="H2691" s="47" t="s">
        <v>205</v>
      </c>
      <c r="I2691" s="47" t="s">
        <v>206</v>
      </c>
      <c r="J2691" s="6">
        <v>70</v>
      </c>
      <c r="K2691" s="8" t="s">
        <v>20</v>
      </c>
      <c r="L2691" s="1" t="s">
        <v>985</v>
      </c>
      <c r="M2691" s="5">
        <v>500</v>
      </c>
    </row>
    <row r="2692" spans="1:13" ht="15" x14ac:dyDescent="0.25">
      <c r="A2692" s="7" t="s">
        <v>16</v>
      </c>
      <c r="B2692" s="7" t="s">
        <v>23</v>
      </c>
      <c r="C2692" s="7" t="s">
        <v>24</v>
      </c>
      <c r="D2692" s="4">
        <v>76659820002367</v>
      </c>
      <c r="E2692" s="8" t="s">
        <v>986</v>
      </c>
      <c r="F2692" s="8" t="s">
        <v>94</v>
      </c>
      <c r="G2692" s="7" t="s">
        <v>57</v>
      </c>
      <c r="H2692" s="47" t="s">
        <v>205</v>
      </c>
      <c r="I2692" s="47" t="s">
        <v>206</v>
      </c>
      <c r="J2692" s="6">
        <v>70</v>
      </c>
      <c r="K2692" s="8" t="s">
        <v>20</v>
      </c>
      <c r="L2692" s="1" t="s">
        <v>986</v>
      </c>
      <c r="M2692" s="5">
        <v>245</v>
      </c>
    </row>
    <row r="2693" spans="1:13" ht="15" x14ac:dyDescent="0.25">
      <c r="A2693" s="7" t="s">
        <v>16</v>
      </c>
      <c r="B2693" s="7" t="s">
        <v>229</v>
      </c>
      <c r="C2693" s="7" t="s">
        <v>24</v>
      </c>
      <c r="D2693" s="4">
        <v>3850913000195</v>
      </c>
      <c r="E2693" s="8" t="s">
        <v>945</v>
      </c>
      <c r="F2693" s="8" t="s">
        <v>94</v>
      </c>
      <c r="G2693" s="7" t="s">
        <v>57</v>
      </c>
      <c r="H2693" s="47" t="s">
        <v>205</v>
      </c>
      <c r="I2693" s="47" t="s">
        <v>206</v>
      </c>
      <c r="J2693" s="6">
        <v>70</v>
      </c>
      <c r="K2693" s="8" t="s">
        <v>20</v>
      </c>
      <c r="L2693" s="1" t="s">
        <v>945</v>
      </c>
      <c r="M2693" s="5">
        <v>630</v>
      </c>
    </row>
    <row r="2694" spans="1:13" ht="15" x14ac:dyDescent="0.25">
      <c r="A2694" s="7" t="s">
        <v>16</v>
      </c>
      <c r="B2694" s="7" t="s">
        <v>229</v>
      </c>
      <c r="C2694" s="7" t="s">
        <v>24</v>
      </c>
      <c r="D2694" s="4">
        <v>7404052000172</v>
      </c>
      <c r="E2694" s="8" t="s">
        <v>953</v>
      </c>
      <c r="F2694" s="8" t="s">
        <v>94</v>
      </c>
      <c r="G2694" s="7" t="s">
        <v>57</v>
      </c>
      <c r="H2694" s="47" t="s">
        <v>205</v>
      </c>
      <c r="I2694" s="47" t="s">
        <v>206</v>
      </c>
      <c r="J2694" s="6">
        <v>70</v>
      </c>
      <c r="K2694" s="8" t="s">
        <v>20</v>
      </c>
      <c r="L2694" s="1" t="s">
        <v>953</v>
      </c>
      <c r="M2694" s="5">
        <v>65</v>
      </c>
    </row>
    <row r="2695" spans="1:13" ht="15" x14ac:dyDescent="0.25">
      <c r="A2695" s="7" t="s">
        <v>16</v>
      </c>
      <c r="B2695" s="7" t="s">
        <v>229</v>
      </c>
      <c r="C2695" s="7" t="s">
        <v>24</v>
      </c>
      <c r="D2695" s="4">
        <v>7734165000136</v>
      </c>
      <c r="E2695" s="8" t="s">
        <v>954</v>
      </c>
      <c r="F2695" s="8" t="s">
        <v>94</v>
      </c>
      <c r="G2695" s="7" t="s">
        <v>57</v>
      </c>
      <c r="H2695" s="47" t="s">
        <v>205</v>
      </c>
      <c r="I2695" s="47" t="s">
        <v>206</v>
      </c>
      <c r="J2695" s="6">
        <v>70</v>
      </c>
      <c r="K2695" s="8" t="s">
        <v>20</v>
      </c>
      <c r="L2695" s="1" t="s">
        <v>954</v>
      </c>
      <c r="M2695" s="5">
        <v>3000</v>
      </c>
    </row>
    <row r="2696" spans="1:13" ht="15" x14ac:dyDescent="0.25">
      <c r="A2696" s="7" t="s">
        <v>16</v>
      </c>
      <c r="B2696" s="7" t="s">
        <v>229</v>
      </c>
      <c r="C2696" s="7" t="s">
        <v>24</v>
      </c>
      <c r="D2696" s="4">
        <v>29435005005600</v>
      </c>
      <c r="E2696" s="8" t="s">
        <v>974</v>
      </c>
      <c r="F2696" s="8" t="s">
        <v>94</v>
      </c>
      <c r="G2696" s="7" t="s">
        <v>57</v>
      </c>
      <c r="H2696" s="47" t="s">
        <v>205</v>
      </c>
      <c r="I2696" s="47" t="s">
        <v>206</v>
      </c>
      <c r="J2696" s="6">
        <v>70</v>
      </c>
      <c r="K2696" s="8" t="s">
        <v>20</v>
      </c>
      <c r="L2696" s="1" t="s">
        <v>974</v>
      </c>
      <c r="M2696" s="5">
        <v>55</v>
      </c>
    </row>
    <row r="2697" spans="1:13" ht="15" x14ac:dyDescent="0.25">
      <c r="A2697" s="7" t="s">
        <v>16</v>
      </c>
      <c r="B2697" s="7" t="s">
        <v>229</v>
      </c>
      <c r="C2697" s="7" t="s">
        <v>24</v>
      </c>
      <c r="D2697" s="4">
        <v>75055772002254</v>
      </c>
      <c r="E2697" s="8" t="s">
        <v>979</v>
      </c>
      <c r="F2697" s="8" t="s">
        <v>94</v>
      </c>
      <c r="G2697" s="7" t="s">
        <v>57</v>
      </c>
      <c r="H2697" s="47" t="s">
        <v>205</v>
      </c>
      <c r="I2697" s="47" t="s">
        <v>206</v>
      </c>
      <c r="J2697" s="6">
        <v>70</v>
      </c>
      <c r="K2697" s="8" t="s">
        <v>20</v>
      </c>
      <c r="L2697" s="1" t="s">
        <v>979</v>
      </c>
      <c r="M2697" s="5">
        <v>120</v>
      </c>
    </row>
    <row r="2698" spans="1:13" ht="15" x14ac:dyDescent="0.25">
      <c r="A2698" s="7" t="s">
        <v>16</v>
      </c>
      <c r="B2698" s="7" t="s">
        <v>229</v>
      </c>
      <c r="C2698" s="7" t="s">
        <v>24</v>
      </c>
      <c r="D2698" s="4">
        <v>76498013000102</v>
      </c>
      <c r="E2698" s="8" t="s">
        <v>982</v>
      </c>
      <c r="F2698" s="8" t="s">
        <v>94</v>
      </c>
      <c r="G2698" s="7" t="s">
        <v>57</v>
      </c>
      <c r="H2698" s="47" t="s">
        <v>205</v>
      </c>
      <c r="I2698" s="47" t="s">
        <v>206</v>
      </c>
      <c r="J2698" s="6">
        <v>70</v>
      </c>
      <c r="K2698" s="8" t="s">
        <v>20</v>
      </c>
      <c r="L2698" s="1" t="s">
        <v>982</v>
      </c>
      <c r="M2698" s="5">
        <v>150</v>
      </c>
    </row>
    <row r="2699" spans="1:13" ht="15" x14ac:dyDescent="0.25">
      <c r="A2699" s="7" t="s">
        <v>16</v>
      </c>
      <c r="B2699" s="7" t="s">
        <v>229</v>
      </c>
      <c r="C2699" s="7" t="s">
        <v>24</v>
      </c>
      <c r="D2699" s="4">
        <v>76555069000143</v>
      </c>
      <c r="E2699" s="8" t="s">
        <v>983</v>
      </c>
      <c r="F2699" s="8" t="s">
        <v>94</v>
      </c>
      <c r="G2699" s="7" t="s">
        <v>57</v>
      </c>
      <c r="H2699" s="47" t="s">
        <v>205</v>
      </c>
      <c r="I2699" s="47" t="s">
        <v>206</v>
      </c>
      <c r="J2699" s="6">
        <v>70</v>
      </c>
      <c r="K2699" s="8" t="s">
        <v>20</v>
      </c>
      <c r="L2699" s="1" t="s">
        <v>983</v>
      </c>
      <c r="M2699" s="5">
        <v>95</v>
      </c>
    </row>
    <row r="2700" spans="1:13" ht="15" x14ac:dyDescent="0.25">
      <c r="A2700" s="7" t="s">
        <v>16</v>
      </c>
      <c r="B2700" s="7" t="s">
        <v>229</v>
      </c>
      <c r="C2700" s="7" t="s">
        <v>24</v>
      </c>
      <c r="D2700" s="4">
        <v>76591569000130</v>
      </c>
      <c r="E2700" s="8" t="s">
        <v>985</v>
      </c>
      <c r="F2700" s="8" t="s">
        <v>94</v>
      </c>
      <c r="G2700" s="7" t="s">
        <v>57</v>
      </c>
      <c r="H2700" s="47" t="s">
        <v>205</v>
      </c>
      <c r="I2700" s="47" t="s">
        <v>206</v>
      </c>
      <c r="J2700" s="6">
        <v>70</v>
      </c>
      <c r="K2700" s="8" t="s">
        <v>20</v>
      </c>
      <c r="L2700" s="1" t="s">
        <v>985</v>
      </c>
      <c r="M2700" s="5">
        <v>375</v>
      </c>
    </row>
    <row r="2701" spans="1:13" ht="15" x14ac:dyDescent="0.25">
      <c r="A2701" s="7" t="s">
        <v>16</v>
      </c>
      <c r="B2701" s="7" t="s">
        <v>229</v>
      </c>
      <c r="C2701" s="7" t="s">
        <v>24</v>
      </c>
      <c r="D2701" s="4">
        <v>76659820002367</v>
      </c>
      <c r="E2701" s="8" t="s">
        <v>986</v>
      </c>
      <c r="F2701" s="8" t="s">
        <v>94</v>
      </c>
      <c r="G2701" s="7" t="s">
        <v>57</v>
      </c>
      <c r="H2701" s="47" t="s">
        <v>205</v>
      </c>
      <c r="I2701" s="47" t="s">
        <v>206</v>
      </c>
      <c r="J2701" s="6">
        <v>70</v>
      </c>
      <c r="K2701" s="8" t="s">
        <v>20</v>
      </c>
      <c r="L2701" s="1" t="s">
        <v>986</v>
      </c>
      <c r="M2701" s="5">
        <v>90</v>
      </c>
    </row>
    <row r="2702" spans="1:13" ht="15" x14ac:dyDescent="0.25">
      <c r="A2702" s="7" t="s">
        <v>16</v>
      </c>
      <c r="B2702" s="7" t="s">
        <v>230</v>
      </c>
      <c r="C2702" s="7" t="s">
        <v>24</v>
      </c>
      <c r="D2702" s="4">
        <v>942063000167</v>
      </c>
      <c r="E2702" s="8" t="s">
        <v>934</v>
      </c>
      <c r="F2702" s="8" t="s">
        <v>94</v>
      </c>
      <c r="G2702" s="7" t="s">
        <v>57</v>
      </c>
      <c r="H2702" s="47" t="s">
        <v>205</v>
      </c>
      <c r="I2702" s="47" t="s">
        <v>206</v>
      </c>
      <c r="J2702" s="6">
        <v>70</v>
      </c>
      <c r="K2702" s="8" t="s">
        <v>20</v>
      </c>
      <c r="L2702" s="1" t="s">
        <v>934</v>
      </c>
      <c r="M2702" s="5">
        <v>400</v>
      </c>
    </row>
    <row r="2703" spans="1:13" ht="15" x14ac:dyDescent="0.25">
      <c r="A2703" s="7" t="s">
        <v>16</v>
      </c>
      <c r="B2703" s="7" t="s">
        <v>230</v>
      </c>
      <c r="C2703" s="7" t="s">
        <v>24</v>
      </c>
      <c r="D2703" s="4">
        <v>1269903000135</v>
      </c>
      <c r="E2703" s="8" t="s">
        <v>1398</v>
      </c>
      <c r="F2703" s="8" t="s">
        <v>94</v>
      </c>
      <c r="G2703" s="7" t="s">
        <v>57</v>
      </c>
      <c r="H2703" s="47" t="s">
        <v>205</v>
      </c>
      <c r="I2703" s="47" t="s">
        <v>206</v>
      </c>
      <c r="J2703" s="6">
        <v>70</v>
      </c>
      <c r="K2703" s="8" t="s">
        <v>20</v>
      </c>
      <c r="L2703" s="1" t="s">
        <v>1398</v>
      </c>
      <c r="M2703" s="5">
        <v>10</v>
      </c>
    </row>
    <row r="2704" spans="1:13" ht="15" x14ac:dyDescent="0.25">
      <c r="A2704" s="7" t="s">
        <v>16</v>
      </c>
      <c r="B2704" s="7" t="s">
        <v>230</v>
      </c>
      <c r="C2704" s="7" t="s">
        <v>24</v>
      </c>
      <c r="D2704" s="4">
        <v>3850913000195</v>
      </c>
      <c r="E2704" s="8" t="s">
        <v>945</v>
      </c>
      <c r="F2704" s="8" t="s">
        <v>94</v>
      </c>
      <c r="G2704" s="7" t="s">
        <v>57</v>
      </c>
      <c r="H2704" s="47" t="s">
        <v>205</v>
      </c>
      <c r="I2704" s="47" t="s">
        <v>206</v>
      </c>
      <c r="J2704" s="6">
        <v>70</v>
      </c>
      <c r="K2704" s="8" t="s">
        <v>20</v>
      </c>
      <c r="L2704" s="1" t="s">
        <v>945</v>
      </c>
      <c r="M2704" s="5">
        <v>480</v>
      </c>
    </row>
    <row r="2705" spans="1:13" ht="15" x14ac:dyDescent="0.25">
      <c r="A2705" s="7" t="s">
        <v>16</v>
      </c>
      <c r="B2705" s="7" t="s">
        <v>230</v>
      </c>
      <c r="C2705" s="7" t="s">
        <v>24</v>
      </c>
      <c r="D2705" s="4">
        <v>7404052000172</v>
      </c>
      <c r="E2705" s="8" t="s">
        <v>953</v>
      </c>
      <c r="F2705" s="8" t="s">
        <v>94</v>
      </c>
      <c r="G2705" s="7" t="s">
        <v>57</v>
      </c>
      <c r="H2705" s="47" t="s">
        <v>205</v>
      </c>
      <c r="I2705" s="47" t="s">
        <v>206</v>
      </c>
      <c r="J2705" s="6">
        <v>70</v>
      </c>
      <c r="K2705" s="8" t="s">
        <v>20</v>
      </c>
      <c r="L2705" s="1" t="s">
        <v>953</v>
      </c>
      <c r="M2705" s="5">
        <v>100</v>
      </c>
    </row>
    <row r="2706" spans="1:13" ht="15" x14ac:dyDescent="0.25">
      <c r="A2706" s="7" t="s">
        <v>16</v>
      </c>
      <c r="B2706" s="7" t="s">
        <v>230</v>
      </c>
      <c r="C2706" s="7" t="s">
        <v>24</v>
      </c>
      <c r="D2706" s="4">
        <v>7734165000136</v>
      </c>
      <c r="E2706" s="8" t="s">
        <v>954</v>
      </c>
      <c r="F2706" s="8" t="s">
        <v>94</v>
      </c>
      <c r="G2706" s="7" t="s">
        <v>57</v>
      </c>
      <c r="H2706" s="47" t="s">
        <v>205</v>
      </c>
      <c r="I2706" s="47" t="s">
        <v>206</v>
      </c>
      <c r="J2706" s="6">
        <v>70</v>
      </c>
      <c r="K2706" s="8" t="s">
        <v>20</v>
      </c>
      <c r="L2706" s="1" t="s">
        <v>954</v>
      </c>
      <c r="M2706" s="5">
        <v>2000</v>
      </c>
    </row>
    <row r="2707" spans="1:13" ht="15" x14ac:dyDescent="0.25">
      <c r="A2707" s="7" t="s">
        <v>16</v>
      </c>
      <c r="B2707" s="7" t="s">
        <v>230</v>
      </c>
      <c r="C2707" s="7" t="s">
        <v>24</v>
      </c>
      <c r="D2707" s="4">
        <v>9579964000291</v>
      </c>
      <c r="E2707" s="8" t="s">
        <v>961</v>
      </c>
      <c r="F2707" s="8" t="s">
        <v>94</v>
      </c>
      <c r="G2707" s="7" t="s">
        <v>57</v>
      </c>
      <c r="H2707" s="47" t="s">
        <v>205</v>
      </c>
      <c r="I2707" s="47" t="s">
        <v>206</v>
      </c>
      <c r="J2707" s="6">
        <v>70</v>
      </c>
      <c r="K2707" s="8" t="s">
        <v>20</v>
      </c>
      <c r="L2707" s="1" t="s">
        <v>961</v>
      </c>
      <c r="M2707" s="5">
        <v>285</v>
      </c>
    </row>
    <row r="2708" spans="1:13" ht="15" x14ac:dyDescent="0.25">
      <c r="A2708" s="7" t="s">
        <v>16</v>
      </c>
      <c r="B2708" s="7" t="s">
        <v>230</v>
      </c>
      <c r="C2708" s="7" t="s">
        <v>24</v>
      </c>
      <c r="D2708" s="4">
        <v>30117769000155</v>
      </c>
      <c r="E2708" s="8" t="s">
        <v>976</v>
      </c>
      <c r="F2708" s="8" t="s">
        <v>94</v>
      </c>
      <c r="G2708" s="7" t="s">
        <v>57</v>
      </c>
      <c r="H2708" s="47" t="s">
        <v>205</v>
      </c>
      <c r="I2708" s="47" t="s">
        <v>206</v>
      </c>
      <c r="J2708" s="6">
        <v>70</v>
      </c>
      <c r="K2708" s="8" t="s">
        <v>20</v>
      </c>
      <c r="L2708" s="1" t="s">
        <v>976</v>
      </c>
      <c r="M2708" s="5">
        <v>150</v>
      </c>
    </row>
    <row r="2709" spans="1:13" ht="15" x14ac:dyDescent="0.25">
      <c r="A2709" s="7" t="s">
        <v>16</v>
      </c>
      <c r="B2709" s="7" t="s">
        <v>230</v>
      </c>
      <c r="C2709" s="7" t="s">
        <v>24</v>
      </c>
      <c r="D2709" s="4">
        <v>31824062000141</v>
      </c>
      <c r="E2709" s="8" t="s">
        <v>1403</v>
      </c>
      <c r="F2709" s="8" t="s">
        <v>94</v>
      </c>
      <c r="G2709" s="7" t="s">
        <v>57</v>
      </c>
      <c r="H2709" s="47" t="s">
        <v>205</v>
      </c>
      <c r="I2709" s="47" t="s">
        <v>206</v>
      </c>
      <c r="J2709" s="6">
        <v>70</v>
      </c>
      <c r="K2709" s="8" t="s">
        <v>20</v>
      </c>
      <c r="L2709" s="1" t="s">
        <v>1403</v>
      </c>
      <c r="M2709" s="5">
        <v>5</v>
      </c>
    </row>
    <row r="2710" spans="1:13" ht="15" x14ac:dyDescent="0.25">
      <c r="A2710" s="7" t="s">
        <v>16</v>
      </c>
      <c r="B2710" s="7" t="s">
        <v>230</v>
      </c>
      <c r="C2710" s="7" t="s">
        <v>24</v>
      </c>
      <c r="D2710" s="4">
        <v>75055772002254</v>
      </c>
      <c r="E2710" s="8" t="s">
        <v>979</v>
      </c>
      <c r="F2710" s="8" t="s">
        <v>94</v>
      </c>
      <c r="G2710" s="7" t="s">
        <v>57</v>
      </c>
      <c r="H2710" s="47" t="s">
        <v>205</v>
      </c>
      <c r="I2710" s="47" t="s">
        <v>206</v>
      </c>
      <c r="J2710" s="6">
        <v>70</v>
      </c>
      <c r="K2710" s="8" t="s">
        <v>20</v>
      </c>
      <c r="L2710" s="1" t="s">
        <v>979</v>
      </c>
      <c r="M2710" s="5">
        <v>70</v>
      </c>
    </row>
    <row r="2711" spans="1:13" ht="15" x14ac:dyDescent="0.25">
      <c r="A2711" s="7" t="s">
        <v>16</v>
      </c>
      <c r="B2711" s="7" t="s">
        <v>230</v>
      </c>
      <c r="C2711" s="7" t="s">
        <v>24</v>
      </c>
      <c r="D2711" s="4">
        <v>76555069000143</v>
      </c>
      <c r="E2711" s="8" t="s">
        <v>983</v>
      </c>
      <c r="F2711" s="8" t="s">
        <v>94</v>
      </c>
      <c r="G2711" s="7" t="s">
        <v>57</v>
      </c>
      <c r="H2711" s="47" t="s">
        <v>205</v>
      </c>
      <c r="I2711" s="47" t="s">
        <v>206</v>
      </c>
      <c r="J2711" s="6">
        <v>70</v>
      </c>
      <c r="K2711" s="8" t="s">
        <v>20</v>
      </c>
      <c r="L2711" s="1" t="s">
        <v>983</v>
      </c>
      <c r="M2711" s="5">
        <v>110</v>
      </c>
    </row>
    <row r="2712" spans="1:13" ht="15" x14ac:dyDescent="0.25">
      <c r="A2712" s="7" t="s">
        <v>16</v>
      </c>
      <c r="B2712" s="7" t="s">
        <v>230</v>
      </c>
      <c r="C2712" s="7" t="s">
        <v>24</v>
      </c>
      <c r="D2712" s="4">
        <v>76591569000130</v>
      </c>
      <c r="E2712" s="8" t="s">
        <v>985</v>
      </c>
      <c r="F2712" s="8" t="s">
        <v>94</v>
      </c>
      <c r="G2712" s="7" t="s">
        <v>57</v>
      </c>
      <c r="H2712" s="47" t="s">
        <v>205</v>
      </c>
      <c r="I2712" s="47" t="s">
        <v>206</v>
      </c>
      <c r="J2712" s="6">
        <v>70</v>
      </c>
      <c r="K2712" s="8" t="s">
        <v>20</v>
      </c>
      <c r="L2712" s="1" t="s">
        <v>985</v>
      </c>
      <c r="M2712" s="5">
        <v>250</v>
      </c>
    </row>
    <row r="2713" spans="1:13" ht="15" x14ac:dyDescent="0.25">
      <c r="A2713" s="7" t="s">
        <v>16</v>
      </c>
      <c r="B2713" s="7" t="s">
        <v>230</v>
      </c>
      <c r="C2713" s="7" t="s">
        <v>24</v>
      </c>
      <c r="D2713" s="4">
        <v>76659820002367</v>
      </c>
      <c r="E2713" s="8" t="s">
        <v>986</v>
      </c>
      <c r="F2713" s="8" t="s">
        <v>94</v>
      </c>
      <c r="G2713" s="7" t="s">
        <v>57</v>
      </c>
      <c r="H2713" s="47" t="s">
        <v>205</v>
      </c>
      <c r="I2713" s="47" t="s">
        <v>206</v>
      </c>
      <c r="J2713" s="6">
        <v>70</v>
      </c>
      <c r="K2713" s="8" t="s">
        <v>20</v>
      </c>
      <c r="L2713" s="1" t="s">
        <v>986</v>
      </c>
      <c r="M2713" s="5">
        <v>180</v>
      </c>
    </row>
    <row r="2714" spans="1:13" ht="15" x14ac:dyDescent="0.25">
      <c r="A2714" s="7" t="s">
        <v>16</v>
      </c>
      <c r="B2714" s="7" t="s">
        <v>372</v>
      </c>
      <c r="C2714" s="7" t="s">
        <v>373</v>
      </c>
      <c r="D2714" s="4">
        <v>942063000167</v>
      </c>
      <c r="E2714" s="8" t="s">
        <v>934</v>
      </c>
      <c r="F2714" s="8" t="s">
        <v>94</v>
      </c>
      <c r="G2714" s="7" t="s">
        <v>57</v>
      </c>
      <c r="H2714" s="47" t="s">
        <v>205</v>
      </c>
      <c r="I2714" s="47" t="s">
        <v>206</v>
      </c>
      <c r="J2714" s="6">
        <v>70</v>
      </c>
      <c r="K2714" s="8" t="s">
        <v>20</v>
      </c>
      <c r="L2714" s="1" t="s">
        <v>934</v>
      </c>
      <c r="M2714" s="5">
        <v>800</v>
      </c>
    </row>
    <row r="2715" spans="1:13" ht="15" x14ac:dyDescent="0.25">
      <c r="A2715" s="7" t="s">
        <v>16</v>
      </c>
      <c r="B2715" s="7" t="s">
        <v>372</v>
      </c>
      <c r="C2715" s="7" t="s">
        <v>373</v>
      </c>
      <c r="D2715" s="4">
        <v>3850913000195</v>
      </c>
      <c r="E2715" s="8" t="s">
        <v>945</v>
      </c>
      <c r="F2715" s="8" t="s">
        <v>94</v>
      </c>
      <c r="G2715" s="7" t="s">
        <v>57</v>
      </c>
      <c r="H2715" s="47" t="s">
        <v>205</v>
      </c>
      <c r="I2715" s="47" t="s">
        <v>206</v>
      </c>
      <c r="J2715" s="6">
        <v>70</v>
      </c>
      <c r="K2715" s="8" t="s">
        <v>20</v>
      </c>
      <c r="L2715" s="1" t="s">
        <v>945</v>
      </c>
      <c r="M2715" s="5">
        <v>630</v>
      </c>
    </row>
    <row r="2716" spans="1:13" ht="15" x14ac:dyDescent="0.25">
      <c r="A2716" s="7" t="s">
        <v>16</v>
      </c>
      <c r="B2716" s="7" t="s">
        <v>372</v>
      </c>
      <c r="C2716" s="7" t="s">
        <v>373</v>
      </c>
      <c r="D2716" s="4">
        <v>7404052000172</v>
      </c>
      <c r="E2716" s="8" t="s">
        <v>953</v>
      </c>
      <c r="F2716" s="8" t="s">
        <v>94</v>
      </c>
      <c r="G2716" s="7" t="s">
        <v>57</v>
      </c>
      <c r="H2716" s="47" t="s">
        <v>205</v>
      </c>
      <c r="I2716" s="47" t="s">
        <v>206</v>
      </c>
      <c r="J2716" s="6">
        <v>70</v>
      </c>
      <c r="K2716" s="8" t="s">
        <v>20</v>
      </c>
      <c r="L2716" s="1" t="s">
        <v>953</v>
      </c>
      <c r="M2716" s="5">
        <v>245</v>
      </c>
    </row>
    <row r="2717" spans="1:13" ht="15" x14ac:dyDescent="0.25">
      <c r="A2717" s="7" t="s">
        <v>16</v>
      </c>
      <c r="B2717" s="7" t="s">
        <v>372</v>
      </c>
      <c r="C2717" s="7" t="s">
        <v>373</v>
      </c>
      <c r="D2717" s="4">
        <v>7734165000136</v>
      </c>
      <c r="E2717" s="8" t="s">
        <v>954</v>
      </c>
      <c r="F2717" s="8" t="s">
        <v>94</v>
      </c>
      <c r="G2717" s="7" t="s">
        <v>57</v>
      </c>
      <c r="H2717" s="47" t="s">
        <v>205</v>
      </c>
      <c r="I2717" s="47" t="s">
        <v>206</v>
      </c>
      <c r="J2717" s="6">
        <v>70</v>
      </c>
      <c r="K2717" s="8" t="s">
        <v>20</v>
      </c>
      <c r="L2717" s="1" t="s">
        <v>954</v>
      </c>
      <c r="M2717" s="5">
        <v>2965</v>
      </c>
    </row>
    <row r="2718" spans="1:13" ht="15" x14ac:dyDescent="0.25">
      <c r="A2718" s="7" t="s">
        <v>16</v>
      </c>
      <c r="B2718" s="7" t="s">
        <v>372</v>
      </c>
      <c r="C2718" s="7" t="s">
        <v>373</v>
      </c>
      <c r="D2718" s="4">
        <v>9579964000291</v>
      </c>
      <c r="E2718" s="8" t="s">
        <v>961</v>
      </c>
      <c r="F2718" s="8" t="s">
        <v>94</v>
      </c>
      <c r="G2718" s="7" t="s">
        <v>57</v>
      </c>
      <c r="H2718" s="47" t="s">
        <v>205</v>
      </c>
      <c r="I2718" s="47" t="s">
        <v>206</v>
      </c>
      <c r="J2718" s="6">
        <v>70</v>
      </c>
      <c r="K2718" s="8" t="s">
        <v>20</v>
      </c>
      <c r="L2718" s="1" t="s">
        <v>961</v>
      </c>
      <c r="M2718" s="5">
        <v>855</v>
      </c>
    </row>
    <row r="2719" spans="1:13" ht="15" x14ac:dyDescent="0.25">
      <c r="A2719" s="7" t="s">
        <v>16</v>
      </c>
      <c r="B2719" s="7" t="s">
        <v>372</v>
      </c>
      <c r="C2719" s="7" t="s">
        <v>373</v>
      </c>
      <c r="D2719" s="4">
        <v>29435005005600</v>
      </c>
      <c r="E2719" s="8" t="s">
        <v>974</v>
      </c>
      <c r="F2719" s="8" t="s">
        <v>94</v>
      </c>
      <c r="G2719" s="7" t="s">
        <v>57</v>
      </c>
      <c r="H2719" s="47" t="s">
        <v>205</v>
      </c>
      <c r="I2719" s="47" t="s">
        <v>206</v>
      </c>
      <c r="J2719" s="6">
        <v>70</v>
      </c>
      <c r="K2719" s="8" t="s">
        <v>20</v>
      </c>
      <c r="L2719" s="1" t="s">
        <v>974</v>
      </c>
      <c r="M2719" s="5">
        <v>160</v>
      </c>
    </row>
    <row r="2720" spans="1:13" ht="15" x14ac:dyDescent="0.25">
      <c r="A2720" s="7" t="s">
        <v>16</v>
      </c>
      <c r="B2720" s="7" t="s">
        <v>372</v>
      </c>
      <c r="C2720" s="7" t="s">
        <v>373</v>
      </c>
      <c r="D2720" s="4">
        <v>75055772002254</v>
      </c>
      <c r="E2720" s="8" t="s">
        <v>979</v>
      </c>
      <c r="F2720" s="8" t="s">
        <v>94</v>
      </c>
      <c r="G2720" s="7" t="s">
        <v>57</v>
      </c>
      <c r="H2720" s="47" t="s">
        <v>205</v>
      </c>
      <c r="I2720" s="47" t="s">
        <v>206</v>
      </c>
      <c r="J2720" s="6">
        <v>70</v>
      </c>
      <c r="K2720" s="8" t="s">
        <v>20</v>
      </c>
      <c r="L2720" s="1" t="s">
        <v>979</v>
      </c>
      <c r="M2720" s="5">
        <v>120</v>
      </c>
    </row>
    <row r="2721" spans="1:13" ht="15" x14ac:dyDescent="0.25">
      <c r="A2721" s="7" t="s">
        <v>16</v>
      </c>
      <c r="B2721" s="7" t="s">
        <v>372</v>
      </c>
      <c r="C2721" s="7" t="s">
        <v>373</v>
      </c>
      <c r="D2721" s="4">
        <v>76555069000143</v>
      </c>
      <c r="E2721" s="8" t="s">
        <v>983</v>
      </c>
      <c r="F2721" s="8" t="s">
        <v>94</v>
      </c>
      <c r="G2721" s="7" t="s">
        <v>57</v>
      </c>
      <c r="H2721" s="47" t="s">
        <v>205</v>
      </c>
      <c r="I2721" s="47" t="s">
        <v>206</v>
      </c>
      <c r="J2721" s="6">
        <v>70</v>
      </c>
      <c r="K2721" s="8" t="s">
        <v>20</v>
      </c>
      <c r="L2721" s="1" t="s">
        <v>983</v>
      </c>
      <c r="M2721" s="5">
        <v>95</v>
      </c>
    </row>
    <row r="2722" spans="1:13" ht="15" x14ac:dyDescent="0.25">
      <c r="A2722" s="7" t="s">
        <v>16</v>
      </c>
      <c r="B2722" s="7" t="s">
        <v>372</v>
      </c>
      <c r="C2722" s="7" t="s">
        <v>373</v>
      </c>
      <c r="D2722" s="4">
        <v>76591569000130</v>
      </c>
      <c r="E2722" s="8" t="s">
        <v>985</v>
      </c>
      <c r="F2722" s="8" t="s">
        <v>94</v>
      </c>
      <c r="G2722" s="7" t="s">
        <v>57</v>
      </c>
      <c r="H2722" s="47" t="s">
        <v>205</v>
      </c>
      <c r="I2722" s="47" t="s">
        <v>206</v>
      </c>
      <c r="J2722" s="6">
        <v>70</v>
      </c>
      <c r="K2722" s="8" t="s">
        <v>20</v>
      </c>
      <c r="L2722" s="1" t="s">
        <v>985</v>
      </c>
      <c r="M2722" s="5">
        <v>750</v>
      </c>
    </row>
    <row r="2723" spans="1:13" ht="15" x14ac:dyDescent="0.25">
      <c r="A2723" s="7" t="s">
        <v>16</v>
      </c>
      <c r="B2723" s="7" t="s">
        <v>372</v>
      </c>
      <c r="C2723" s="7" t="s">
        <v>373</v>
      </c>
      <c r="D2723" s="4">
        <v>76659820002367</v>
      </c>
      <c r="E2723" s="8" t="s">
        <v>986</v>
      </c>
      <c r="F2723" s="8" t="s">
        <v>94</v>
      </c>
      <c r="G2723" s="7" t="s">
        <v>57</v>
      </c>
      <c r="H2723" s="47" t="s">
        <v>205</v>
      </c>
      <c r="I2723" s="47" t="s">
        <v>206</v>
      </c>
      <c r="J2723" s="6">
        <v>70</v>
      </c>
      <c r="K2723" s="8" t="s">
        <v>20</v>
      </c>
      <c r="L2723" s="1" t="s">
        <v>986</v>
      </c>
      <c r="M2723" s="5">
        <v>90</v>
      </c>
    </row>
    <row r="2724" spans="1:13" ht="15" x14ac:dyDescent="0.25">
      <c r="A2724" s="7" t="s">
        <v>16</v>
      </c>
      <c r="B2724" s="7" t="s">
        <v>17</v>
      </c>
      <c r="C2724" s="7" t="s">
        <v>18</v>
      </c>
      <c r="D2724" s="4">
        <v>11114987760</v>
      </c>
      <c r="E2724" s="8" t="s">
        <v>1069</v>
      </c>
      <c r="F2724" s="8" t="s">
        <v>131</v>
      </c>
      <c r="G2724" s="7" t="s">
        <v>61</v>
      </c>
      <c r="H2724" s="47" t="s">
        <v>205</v>
      </c>
      <c r="I2724" s="47" t="s">
        <v>206</v>
      </c>
      <c r="J2724" s="6">
        <v>70</v>
      </c>
      <c r="K2724" s="8" t="s">
        <v>20</v>
      </c>
      <c r="L2724" s="1" t="s">
        <v>1069</v>
      </c>
      <c r="M2724" s="5">
        <v>15</v>
      </c>
    </row>
    <row r="2725" spans="1:13" ht="15" x14ac:dyDescent="0.25">
      <c r="A2725" s="7" t="s">
        <v>16</v>
      </c>
      <c r="B2725" s="7" t="s">
        <v>17</v>
      </c>
      <c r="C2725" s="7" t="s">
        <v>18</v>
      </c>
      <c r="D2725" s="4">
        <v>394544020291</v>
      </c>
      <c r="E2725" s="8" t="s">
        <v>1072</v>
      </c>
      <c r="F2725" s="8" t="s">
        <v>131</v>
      </c>
      <c r="G2725" s="7" t="s">
        <v>61</v>
      </c>
      <c r="H2725" s="47" t="s">
        <v>205</v>
      </c>
      <c r="I2725" s="47" t="s">
        <v>206</v>
      </c>
      <c r="J2725" s="6">
        <v>64</v>
      </c>
      <c r="K2725" s="8" t="s">
        <v>25</v>
      </c>
      <c r="L2725" s="1" t="s">
        <v>1072</v>
      </c>
      <c r="M2725" s="5">
        <v>60</v>
      </c>
    </row>
    <row r="2726" spans="1:13" ht="15" x14ac:dyDescent="0.25">
      <c r="A2726" s="7" t="s">
        <v>16</v>
      </c>
      <c r="B2726" s="7" t="s">
        <v>17</v>
      </c>
      <c r="C2726" s="7" t="s">
        <v>18</v>
      </c>
      <c r="D2726" s="4">
        <v>394544020372</v>
      </c>
      <c r="E2726" s="8" t="s">
        <v>1073</v>
      </c>
      <c r="F2726" s="8" t="s">
        <v>131</v>
      </c>
      <c r="G2726" s="7" t="s">
        <v>61</v>
      </c>
      <c r="H2726" s="47" t="s">
        <v>205</v>
      </c>
      <c r="I2726" s="47" t="s">
        <v>206</v>
      </c>
      <c r="J2726" s="6">
        <v>70</v>
      </c>
      <c r="K2726" s="8" t="s">
        <v>20</v>
      </c>
      <c r="L2726" s="1" t="s">
        <v>1073</v>
      </c>
      <c r="M2726" s="5">
        <v>390</v>
      </c>
    </row>
    <row r="2727" spans="1:13" ht="15" x14ac:dyDescent="0.25">
      <c r="A2727" s="7" t="s">
        <v>16</v>
      </c>
      <c r="B2727" s="7" t="s">
        <v>17</v>
      </c>
      <c r="C2727" s="7" t="s">
        <v>18</v>
      </c>
      <c r="D2727" s="4">
        <v>394544020453</v>
      </c>
      <c r="E2727" s="8" t="s">
        <v>1074</v>
      </c>
      <c r="F2727" s="8" t="s">
        <v>131</v>
      </c>
      <c r="G2727" s="7" t="s">
        <v>61</v>
      </c>
      <c r="H2727" s="47" t="s">
        <v>205</v>
      </c>
      <c r="I2727" s="47" t="s">
        <v>206</v>
      </c>
      <c r="J2727" s="6">
        <v>70</v>
      </c>
      <c r="K2727" s="8" t="s">
        <v>20</v>
      </c>
      <c r="L2727" s="1" t="s">
        <v>1074</v>
      </c>
      <c r="M2727" s="5">
        <v>600</v>
      </c>
    </row>
    <row r="2728" spans="1:13" ht="15" x14ac:dyDescent="0.25">
      <c r="A2728" s="7" t="s">
        <v>16</v>
      </c>
      <c r="B2728" s="7" t="s">
        <v>17</v>
      </c>
      <c r="C2728" s="7" t="s">
        <v>18</v>
      </c>
      <c r="D2728" s="4">
        <v>394544021000</v>
      </c>
      <c r="E2728" s="8" t="s">
        <v>1075</v>
      </c>
      <c r="F2728" s="8" t="s">
        <v>131</v>
      </c>
      <c r="G2728" s="7" t="s">
        <v>61</v>
      </c>
      <c r="H2728" s="47" t="s">
        <v>205</v>
      </c>
      <c r="I2728" s="47" t="s">
        <v>206</v>
      </c>
      <c r="J2728" s="6">
        <v>70</v>
      </c>
      <c r="K2728" s="8" t="s">
        <v>20</v>
      </c>
      <c r="L2728" s="1" t="s">
        <v>1075</v>
      </c>
      <c r="M2728" s="5">
        <v>150</v>
      </c>
    </row>
    <row r="2729" spans="1:13" ht="15" x14ac:dyDescent="0.25">
      <c r="A2729" s="7" t="s">
        <v>16</v>
      </c>
      <c r="B2729" s="7" t="s">
        <v>17</v>
      </c>
      <c r="C2729" s="7" t="s">
        <v>18</v>
      </c>
      <c r="D2729" s="4">
        <v>394544021344</v>
      </c>
      <c r="E2729" s="8" t="s">
        <v>1076</v>
      </c>
      <c r="F2729" s="8" t="s">
        <v>131</v>
      </c>
      <c r="G2729" s="7" t="s">
        <v>61</v>
      </c>
      <c r="H2729" s="47" t="s">
        <v>205</v>
      </c>
      <c r="I2729" s="47" t="s">
        <v>206</v>
      </c>
      <c r="J2729" s="6">
        <v>62</v>
      </c>
      <c r="K2729" s="8" t="s">
        <v>27</v>
      </c>
      <c r="L2729" s="1" t="s">
        <v>1076</v>
      </c>
      <c r="M2729" s="5">
        <v>190</v>
      </c>
    </row>
    <row r="2730" spans="1:13" ht="15" x14ac:dyDescent="0.25">
      <c r="A2730" s="7" t="s">
        <v>16</v>
      </c>
      <c r="B2730" s="7" t="s">
        <v>17</v>
      </c>
      <c r="C2730" s="7" t="s">
        <v>18</v>
      </c>
      <c r="D2730" s="4">
        <v>394544021344</v>
      </c>
      <c r="E2730" s="8" t="s">
        <v>1076</v>
      </c>
      <c r="F2730" s="8" t="s">
        <v>131</v>
      </c>
      <c r="G2730" s="7" t="s">
        <v>61</v>
      </c>
      <c r="H2730" s="47" t="s">
        <v>205</v>
      </c>
      <c r="I2730" s="47" t="s">
        <v>206</v>
      </c>
      <c r="J2730" s="6">
        <v>64</v>
      </c>
      <c r="K2730" s="8" t="s">
        <v>25</v>
      </c>
      <c r="L2730" s="1" t="s">
        <v>1076</v>
      </c>
      <c r="M2730" s="5">
        <v>70</v>
      </c>
    </row>
    <row r="2731" spans="1:13" ht="15" x14ac:dyDescent="0.25">
      <c r="A2731" s="7" t="s">
        <v>16</v>
      </c>
      <c r="B2731" s="7" t="s">
        <v>21</v>
      </c>
      <c r="C2731" s="7" t="s">
        <v>18</v>
      </c>
      <c r="D2731" s="4">
        <v>394502014870</v>
      </c>
      <c r="E2731" s="8" t="s">
        <v>1070</v>
      </c>
      <c r="F2731" s="8" t="s">
        <v>131</v>
      </c>
      <c r="G2731" s="7" t="s">
        <v>61</v>
      </c>
      <c r="H2731" s="47" t="s">
        <v>205</v>
      </c>
      <c r="I2731" s="47" t="s">
        <v>206</v>
      </c>
      <c r="J2731" s="6">
        <v>64</v>
      </c>
      <c r="K2731" s="8" t="s">
        <v>25</v>
      </c>
      <c r="L2731" s="1" t="s">
        <v>1070</v>
      </c>
      <c r="M2731" s="5">
        <v>10</v>
      </c>
    </row>
    <row r="2732" spans="1:13" ht="15" x14ac:dyDescent="0.25">
      <c r="A2732" s="7" t="s">
        <v>16</v>
      </c>
      <c r="B2732" s="7" t="s">
        <v>21</v>
      </c>
      <c r="C2732" s="7" t="s">
        <v>18</v>
      </c>
      <c r="D2732" s="4">
        <v>394544017150</v>
      </c>
      <c r="E2732" s="8" t="s">
        <v>1071</v>
      </c>
      <c r="F2732" s="8" t="s">
        <v>131</v>
      </c>
      <c r="G2732" s="7" t="s">
        <v>61</v>
      </c>
      <c r="H2732" s="47" t="s">
        <v>205</v>
      </c>
      <c r="I2732" s="47" t="s">
        <v>206</v>
      </c>
      <c r="J2732" s="6">
        <v>64</v>
      </c>
      <c r="K2732" s="8" t="s">
        <v>25</v>
      </c>
      <c r="L2732" s="1" t="s">
        <v>1071</v>
      </c>
      <c r="M2732" s="5">
        <v>20</v>
      </c>
    </row>
    <row r="2733" spans="1:13" ht="15" x14ac:dyDescent="0.25">
      <c r="A2733" s="7" t="s">
        <v>16</v>
      </c>
      <c r="B2733" s="7" t="s">
        <v>17</v>
      </c>
      <c r="C2733" s="7" t="s">
        <v>18</v>
      </c>
      <c r="D2733" s="4">
        <v>2284062000521</v>
      </c>
      <c r="E2733" s="8" t="s">
        <v>1077</v>
      </c>
      <c r="F2733" s="8" t="s">
        <v>131</v>
      </c>
      <c r="G2733" s="7" t="s">
        <v>61</v>
      </c>
      <c r="H2733" s="47" t="s">
        <v>205</v>
      </c>
      <c r="I2733" s="47" t="s">
        <v>206</v>
      </c>
      <c r="J2733" s="6">
        <v>62</v>
      </c>
      <c r="K2733" s="8" t="s">
        <v>27</v>
      </c>
      <c r="L2733" s="1" t="s">
        <v>1077</v>
      </c>
      <c r="M2733" s="5">
        <v>1</v>
      </c>
    </row>
    <row r="2734" spans="1:13" ht="15" x14ac:dyDescent="0.25">
      <c r="A2734" s="7" t="s">
        <v>16</v>
      </c>
      <c r="B2734" s="7" t="s">
        <v>17</v>
      </c>
      <c r="C2734" s="7" t="s">
        <v>18</v>
      </c>
      <c r="D2734" s="4">
        <v>2284062000521</v>
      </c>
      <c r="E2734" s="8" t="s">
        <v>1077</v>
      </c>
      <c r="F2734" s="8" t="s">
        <v>131</v>
      </c>
      <c r="G2734" s="7" t="s">
        <v>61</v>
      </c>
      <c r="H2734" s="47" t="s">
        <v>205</v>
      </c>
      <c r="I2734" s="47" t="s">
        <v>206</v>
      </c>
      <c r="J2734" s="6">
        <v>64</v>
      </c>
      <c r="K2734" s="8" t="s">
        <v>25</v>
      </c>
      <c r="L2734" s="1" t="s">
        <v>1077</v>
      </c>
      <c r="M2734" s="5">
        <v>8</v>
      </c>
    </row>
    <row r="2735" spans="1:13" ht="15" x14ac:dyDescent="0.25">
      <c r="A2735" s="7" t="s">
        <v>16</v>
      </c>
      <c r="B2735" s="7" t="s">
        <v>21</v>
      </c>
      <c r="C2735" s="7" t="s">
        <v>18</v>
      </c>
      <c r="D2735" s="4">
        <v>2284062000521</v>
      </c>
      <c r="E2735" s="8" t="s">
        <v>1077</v>
      </c>
      <c r="F2735" s="8" t="s">
        <v>131</v>
      </c>
      <c r="G2735" s="7" t="s">
        <v>61</v>
      </c>
      <c r="H2735" s="47" t="s">
        <v>205</v>
      </c>
      <c r="I2735" s="47" t="s">
        <v>206</v>
      </c>
      <c r="J2735" s="6">
        <v>62</v>
      </c>
      <c r="K2735" s="8" t="s">
        <v>27</v>
      </c>
      <c r="L2735" s="1" t="s">
        <v>1077</v>
      </c>
      <c r="M2735" s="5">
        <v>3</v>
      </c>
    </row>
    <row r="2736" spans="1:13" ht="15" x14ac:dyDescent="0.25">
      <c r="A2736" s="7" t="s">
        <v>16</v>
      </c>
      <c r="B2736" s="7" t="s">
        <v>21</v>
      </c>
      <c r="C2736" s="7" t="s">
        <v>18</v>
      </c>
      <c r="D2736" s="4">
        <v>2284062000521</v>
      </c>
      <c r="E2736" s="8" t="s">
        <v>1077</v>
      </c>
      <c r="F2736" s="8" t="s">
        <v>131</v>
      </c>
      <c r="G2736" s="7" t="s">
        <v>61</v>
      </c>
      <c r="H2736" s="47" t="s">
        <v>205</v>
      </c>
      <c r="I2736" s="47" t="s">
        <v>206</v>
      </c>
      <c r="J2736" s="6">
        <v>64</v>
      </c>
      <c r="K2736" s="8" t="s">
        <v>25</v>
      </c>
      <c r="L2736" s="1" t="s">
        <v>1077</v>
      </c>
      <c r="M2736" s="5">
        <v>22</v>
      </c>
    </row>
    <row r="2737" spans="1:13" ht="15" x14ac:dyDescent="0.25">
      <c r="A2737" s="7" t="s">
        <v>16</v>
      </c>
      <c r="B2737" s="7" t="s">
        <v>17</v>
      </c>
      <c r="C2737" s="7" t="s">
        <v>18</v>
      </c>
      <c r="D2737" s="4">
        <v>2864097000106</v>
      </c>
      <c r="E2737" s="8" t="s">
        <v>1078</v>
      </c>
      <c r="F2737" s="8" t="s">
        <v>131</v>
      </c>
      <c r="G2737" s="7" t="s">
        <v>61</v>
      </c>
      <c r="H2737" s="47" t="s">
        <v>205</v>
      </c>
      <c r="I2737" s="47" t="s">
        <v>206</v>
      </c>
      <c r="J2737" s="6">
        <v>70</v>
      </c>
      <c r="K2737" s="8" t="s">
        <v>20</v>
      </c>
      <c r="L2737" s="1" t="s">
        <v>1078</v>
      </c>
      <c r="M2737" s="5">
        <v>315</v>
      </c>
    </row>
    <row r="2738" spans="1:13" ht="15" x14ac:dyDescent="0.25">
      <c r="A2738" s="7" t="s">
        <v>16</v>
      </c>
      <c r="B2738" s="7" t="s">
        <v>21</v>
      </c>
      <c r="C2738" s="7" t="s">
        <v>18</v>
      </c>
      <c r="D2738" s="4">
        <v>2864097000106</v>
      </c>
      <c r="E2738" s="8" t="s">
        <v>1078</v>
      </c>
      <c r="F2738" s="8" t="s">
        <v>131</v>
      </c>
      <c r="G2738" s="7" t="s">
        <v>61</v>
      </c>
      <c r="H2738" s="47" t="s">
        <v>205</v>
      </c>
      <c r="I2738" s="47" t="s">
        <v>206</v>
      </c>
      <c r="J2738" s="6">
        <v>70</v>
      </c>
      <c r="K2738" s="8" t="s">
        <v>20</v>
      </c>
      <c r="L2738" s="1" t="s">
        <v>1078</v>
      </c>
      <c r="M2738" s="5">
        <v>150</v>
      </c>
    </row>
    <row r="2739" spans="1:13" ht="15" x14ac:dyDescent="0.25">
      <c r="A2739" s="7" t="s">
        <v>16</v>
      </c>
      <c r="B2739" s="7" t="s">
        <v>17</v>
      </c>
      <c r="C2739" s="7" t="s">
        <v>18</v>
      </c>
      <c r="D2739" s="4">
        <v>6047087000996</v>
      </c>
      <c r="E2739" s="8" t="s">
        <v>1080</v>
      </c>
      <c r="F2739" s="8" t="s">
        <v>131</v>
      </c>
      <c r="G2739" s="7" t="s">
        <v>61</v>
      </c>
      <c r="H2739" s="47" t="s">
        <v>205</v>
      </c>
      <c r="I2739" s="47" t="s">
        <v>206</v>
      </c>
      <c r="J2739" s="6">
        <v>62</v>
      </c>
      <c r="K2739" s="8" t="s">
        <v>27</v>
      </c>
      <c r="L2739" s="1" t="s">
        <v>1080</v>
      </c>
      <c r="M2739" s="5">
        <v>20</v>
      </c>
    </row>
    <row r="2740" spans="1:13" ht="15" x14ac:dyDescent="0.25">
      <c r="A2740" s="7" t="s">
        <v>16</v>
      </c>
      <c r="B2740" s="7" t="s">
        <v>17</v>
      </c>
      <c r="C2740" s="7" t="s">
        <v>18</v>
      </c>
      <c r="D2740" s="4">
        <v>6047087000996</v>
      </c>
      <c r="E2740" s="8" t="s">
        <v>1080</v>
      </c>
      <c r="F2740" s="8" t="s">
        <v>131</v>
      </c>
      <c r="G2740" s="7" t="s">
        <v>61</v>
      </c>
      <c r="H2740" s="47" t="s">
        <v>205</v>
      </c>
      <c r="I2740" s="47" t="s">
        <v>206</v>
      </c>
      <c r="J2740" s="6">
        <v>64</v>
      </c>
      <c r="K2740" s="8" t="s">
        <v>25</v>
      </c>
      <c r="L2740" s="1" t="s">
        <v>1080</v>
      </c>
      <c r="M2740" s="5">
        <v>30</v>
      </c>
    </row>
    <row r="2741" spans="1:13" ht="15" x14ac:dyDescent="0.25">
      <c r="A2741" s="7" t="s">
        <v>16</v>
      </c>
      <c r="B2741" s="7" t="s">
        <v>21</v>
      </c>
      <c r="C2741" s="7" t="s">
        <v>18</v>
      </c>
      <c r="D2741" s="4">
        <v>6047087000996</v>
      </c>
      <c r="E2741" s="8" t="s">
        <v>1080</v>
      </c>
      <c r="F2741" s="8" t="s">
        <v>131</v>
      </c>
      <c r="G2741" s="7" t="s">
        <v>61</v>
      </c>
      <c r="H2741" s="47" t="s">
        <v>205</v>
      </c>
      <c r="I2741" s="47" t="s">
        <v>206</v>
      </c>
      <c r="J2741" s="6">
        <v>62</v>
      </c>
      <c r="K2741" s="8" t="s">
        <v>27</v>
      </c>
      <c r="L2741" s="1" t="s">
        <v>1080</v>
      </c>
      <c r="M2741" s="5">
        <v>10</v>
      </c>
    </row>
    <row r="2742" spans="1:13" ht="15" x14ac:dyDescent="0.25">
      <c r="A2742" s="7" t="s">
        <v>16</v>
      </c>
      <c r="B2742" s="7" t="s">
        <v>21</v>
      </c>
      <c r="C2742" s="7" t="s">
        <v>18</v>
      </c>
      <c r="D2742" s="4">
        <v>6047087000996</v>
      </c>
      <c r="E2742" s="8" t="s">
        <v>1080</v>
      </c>
      <c r="F2742" s="8" t="s">
        <v>131</v>
      </c>
      <c r="G2742" s="7" t="s">
        <v>61</v>
      </c>
      <c r="H2742" s="47" t="s">
        <v>205</v>
      </c>
      <c r="I2742" s="47" t="s">
        <v>206</v>
      </c>
      <c r="J2742" s="6">
        <v>64</v>
      </c>
      <c r="K2742" s="8" t="s">
        <v>25</v>
      </c>
      <c r="L2742" s="1" t="s">
        <v>1080</v>
      </c>
      <c r="M2742" s="5">
        <v>15</v>
      </c>
    </row>
    <row r="2743" spans="1:13" ht="15" x14ac:dyDescent="0.25">
      <c r="A2743" s="7" t="s">
        <v>16</v>
      </c>
      <c r="B2743" s="7" t="s">
        <v>17</v>
      </c>
      <c r="C2743" s="7" t="s">
        <v>18</v>
      </c>
      <c r="D2743" s="4">
        <v>6047087001020</v>
      </c>
      <c r="E2743" s="8" t="s">
        <v>1081</v>
      </c>
      <c r="F2743" s="8" t="s">
        <v>131</v>
      </c>
      <c r="G2743" s="7" t="s">
        <v>61</v>
      </c>
      <c r="H2743" s="47" t="s">
        <v>205</v>
      </c>
      <c r="I2743" s="47" t="s">
        <v>206</v>
      </c>
      <c r="J2743" s="6">
        <v>62</v>
      </c>
      <c r="K2743" s="8" t="s">
        <v>27</v>
      </c>
      <c r="L2743" s="1" t="s">
        <v>1081</v>
      </c>
      <c r="M2743" s="5">
        <v>100</v>
      </c>
    </row>
    <row r="2744" spans="1:13" ht="15" x14ac:dyDescent="0.25">
      <c r="A2744" s="7" t="s">
        <v>16</v>
      </c>
      <c r="B2744" s="7" t="s">
        <v>17</v>
      </c>
      <c r="C2744" s="7" t="s">
        <v>18</v>
      </c>
      <c r="D2744" s="4">
        <v>6047087001020</v>
      </c>
      <c r="E2744" s="8" t="s">
        <v>1081</v>
      </c>
      <c r="F2744" s="8" t="s">
        <v>131</v>
      </c>
      <c r="G2744" s="7" t="s">
        <v>61</v>
      </c>
      <c r="H2744" s="47" t="s">
        <v>205</v>
      </c>
      <c r="I2744" s="47" t="s">
        <v>206</v>
      </c>
      <c r="J2744" s="6">
        <v>64</v>
      </c>
      <c r="K2744" s="8" t="s">
        <v>25</v>
      </c>
      <c r="L2744" s="1" t="s">
        <v>1081</v>
      </c>
      <c r="M2744" s="5">
        <v>80</v>
      </c>
    </row>
    <row r="2745" spans="1:13" ht="15" x14ac:dyDescent="0.25">
      <c r="A2745" s="7" t="s">
        <v>16</v>
      </c>
      <c r="B2745" s="7" t="s">
        <v>21</v>
      </c>
      <c r="C2745" s="7" t="s">
        <v>18</v>
      </c>
      <c r="D2745" s="4">
        <v>6047087001020</v>
      </c>
      <c r="E2745" s="8" t="s">
        <v>1081</v>
      </c>
      <c r="F2745" s="8" t="s">
        <v>131</v>
      </c>
      <c r="G2745" s="7" t="s">
        <v>61</v>
      </c>
      <c r="H2745" s="47" t="s">
        <v>205</v>
      </c>
      <c r="I2745" s="47" t="s">
        <v>206</v>
      </c>
      <c r="J2745" s="6">
        <v>62</v>
      </c>
      <c r="K2745" s="8" t="s">
        <v>27</v>
      </c>
      <c r="L2745" s="1" t="s">
        <v>1081</v>
      </c>
      <c r="M2745" s="5">
        <v>120</v>
      </c>
    </row>
    <row r="2746" spans="1:13" ht="15" x14ac:dyDescent="0.25">
      <c r="A2746" s="7" t="s">
        <v>16</v>
      </c>
      <c r="B2746" s="7" t="s">
        <v>21</v>
      </c>
      <c r="C2746" s="7" t="s">
        <v>18</v>
      </c>
      <c r="D2746" s="4">
        <v>6047087001020</v>
      </c>
      <c r="E2746" s="8" t="s">
        <v>1081</v>
      </c>
      <c r="F2746" s="8" t="s">
        <v>131</v>
      </c>
      <c r="G2746" s="7" t="s">
        <v>61</v>
      </c>
      <c r="H2746" s="47" t="s">
        <v>205</v>
      </c>
      <c r="I2746" s="47" t="s">
        <v>206</v>
      </c>
      <c r="J2746" s="6">
        <v>64</v>
      </c>
      <c r="K2746" s="8" t="s">
        <v>25</v>
      </c>
      <c r="L2746" s="1" t="s">
        <v>1081</v>
      </c>
      <c r="M2746" s="5">
        <v>55</v>
      </c>
    </row>
    <row r="2747" spans="1:13" ht="15" x14ac:dyDescent="0.25">
      <c r="A2747" s="7" t="s">
        <v>16</v>
      </c>
      <c r="B2747" s="7" t="s">
        <v>17</v>
      </c>
      <c r="C2747" s="7" t="s">
        <v>18</v>
      </c>
      <c r="D2747" s="4">
        <v>6047087002697</v>
      </c>
      <c r="E2747" s="8" t="s">
        <v>1082</v>
      </c>
      <c r="F2747" s="8" t="s">
        <v>131</v>
      </c>
      <c r="G2747" s="7" t="s">
        <v>61</v>
      </c>
      <c r="H2747" s="47" t="s">
        <v>205</v>
      </c>
      <c r="I2747" s="47" t="s">
        <v>206</v>
      </c>
      <c r="J2747" s="6">
        <v>62</v>
      </c>
      <c r="K2747" s="8" t="s">
        <v>27</v>
      </c>
      <c r="L2747" s="1" t="s">
        <v>1082</v>
      </c>
      <c r="M2747" s="5">
        <v>14</v>
      </c>
    </row>
    <row r="2748" spans="1:13" ht="15" x14ac:dyDescent="0.25">
      <c r="A2748" s="7" t="s">
        <v>16</v>
      </c>
      <c r="B2748" s="7" t="s">
        <v>17</v>
      </c>
      <c r="C2748" s="7" t="s">
        <v>18</v>
      </c>
      <c r="D2748" s="4">
        <v>6047087002697</v>
      </c>
      <c r="E2748" s="8" t="s">
        <v>1082</v>
      </c>
      <c r="F2748" s="8" t="s">
        <v>131</v>
      </c>
      <c r="G2748" s="7" t="s">
        <v>61</v>
      </c>
      <c r="H2748" s="47" t="s">
        <v>205</v>
      </c>
      <c r="I2748" s="47" t="s">
        <v>206</v>
      </c>
      <c r="J2748" s="6">
        <v>64</v>
      </c>
      <c r="K2748" s="8" t="s">
        <v>25</v>
      </c>
      <c r="L2748" s="1" t="s">
        <v>1082</v>
      </c>
      <c r="M2748" s="5">
        <v>8</v>
      </c>
    </row>
    <row r="2749" spans="1:13" ht="15" x14ac:dyDescent="0.25">
      <c r="A2749" s="7" t="s">
        <v>16</v>
      </c>
      <c r="B2749" s="7" t="s">
        <v>21</v>
      </c>
      <c r="C2749" s="7" t="s">
        <v>18</v>
      </c>
      <c r="D2749" s="4">
        <v>6047087002697</v>
      </c>
      <c r="E2749" s="8" t="s">
        <v>1082</v>
      </c>
      <c r="F2749" s="8" t="s">
        <v>131</v>
      </c>
      <c r="G2749" s="7" t="s">
        <v>61</v>
      </c>
      <c r="H2749" s="47" t="s">
        <v>205</v>
      </c>
      <c r="I2749" s="47" t="s">
        <v>206</v>
      </c>
      <c r="J2749" s="6">
        <v>62</v>
      </c>
      <c r="K2749" s="8" t="s">
        <v>27</v>
      </c>
      <c r="L2749" s="1" t="s">
        <v>1082</v>
      </c>
      <c r="M2749" s="5">
        <v>9</v>
      </c>
    </row>
    <row r="2750" spans="1:13" ht="15" x14ac:dyDescent="0.25">
      <c r="A2750" s="7" t="s">
        <v>16</v>
      </c>
      <c r="B2750" s="7" t="s">
        <v>21</v>
      </c>
      <c r="C2750" s="7" t="s">
        <v>18</v>
      </c>
      <c r="D2750" s="4">
        <v>6047087002697</v>
      </c>
      <c r="E2750" s="8" t="s">
        <v>1082</v>
      </c>
      <c r="F2750" s="8" t="s">
        <v>131</v>
      </c>
      <c r="G2750" s="7" t="s">
        <v>61</v>
      </c>
      <c r="H2750" s="47" t="s">
        <v>205</v>
      </c>
      <c r="I2750" s="47" t="s">
        <v>206</v>
      </c>
      <c r="J2750" s="6">
        <v>70</v>
      </c>
      <c r="K2750" s="8" t="s">
        <v>20</v>
      </c>
      <c r="L2750" s="1" t="s">
        <v>1082</v>
      </c>
      <c r="M2750" s="5">
        <v>75</v>
      </c>
    </row>
    <row r="2751" spans="1:13" ht="15" x14ac:dyDescent="0.25">
      <c r="A2751" s="7" t="s">
        <v>16</v>
      </c>
      <c r="B2751" s="7" t="s">
        <v>17</v>
      </c>
      <c r="C2751" s="7" t="s">
        <v>18</v>
      </c>
      <c r="D2751" s="4">
        <v>6047087003316</v>
      </c>
      <c r="E2751" s="8" t="s">
        <v>1083</v>
      </c>
      <c r="F2751" s="8" t="s">
        <v>131</v>
      </c>
      <c r="G2751" s="7" t="s">
        <v>61</v>
      </c>
      <c r="H2751" s="47" t="s">
        <v>205</v>
      </c>
      <c r="I2751" s="47" t="s">
        <v>206</v>
      </c>
      <c r="J2751" s="6">
        <v>62</v>
      </c>
      <c r="K2751" s="8" t="s">
        <v>27</v>
      </c>
      <c r="L2751" s="1" t="s">
        <v>1083</v>
      </c>
      <c r="M2751" s="5">
        <v>1</v>
      </c>
    </row>
    <row r="2752" spans="1:13" ht="15" x14ac:dyDescent="0.25">
      <c r="A2752" s="7" t="s">
        <v>16</v>
      </c>
      <c r="B2752" s="7" t="s">
        <v>17</v>
      </c>
      <c r="C2752" s="7" t="s">
        <v>18</v>
      </c>
      <c r="D2752" s="4">
        <v>6047087003316</v>
      </c>
      <c r="E2752" s="8" t="s">
        <v>1083</v>
      </c>
      <c r="F2752" s="8" t="s">
        <v>131</v>
      </c>
      <c r="G2752" s="7" t="s">
        <v>61</v>
      </c>
      <c r="H2752" s="47" t="s">
        <v>205</v>
      </c>
      <c r="I2752" s="47" t="s">
        <v>206</v>
      </c>
      <c r="J2752" s="6">
        <v>64</v>
      </c>
      <c r="K2752" s="8" t="s">
        <v>25</v>
      </c>
      <c r="L2752" s="1" t="s">
        <v>1083</v>
      </c>
      <c r="M2752" s="5">
        <v>3</v>
      </c>
    </row>
    <row r="2753" spans="1:13" ht="15" x14ac:dyDescent="0.25">
      <c r="A2753" s="7" t="s">
        <v>16</v>
      </c>
      <c r="B2753" s="7" t="s">
        <v>17</v>
      </c>
      <c r="C2753" s="7" t="s">
        <v>18</v>
      </c>
      <c r="D2753" s="4">
        <v>7794623004896</v>
      </c>
      <c r="E2753" s="8" t="s">
        <v>1084</v>
      </c>
      <c r="F2753" s="8" t="s">
        <v>131</v>
      </c>
      <c r="G2753" s="7" t="s">
        <v>61</v>
      </c>
      <c r="H2753" s="47" t="s">
        <v>205</v>
      </c>
      <c r="I2753" s="47" t="s">
        <v>206</v>
      </c>
      <c r="J2753" s="6">
        <v>70</v>
      </c>
      <c r="K2753" s="8" t="s">
        <v>20</v>
      </c>
      <c r="L2753" s="1" t="s">
        <v>1084</v>
      </c>
      <c r="M2753" s="5">
        <v>1850</v>
      </c>
    </row>
    <row r="2754" spans="1:13" ht="15" x14ac:dyDescent="0.25">
      <c r="A2754" s="7" t="s">
        <v>16</v>
      </c>
      <c r="B2754" s="7" t="s">
        <v>21</v>
      </c>
      <c r="C2754" s="7" t="s">
        <v>18</v>
      </c>
      <c r="D2754" s="4">
        <v>7794623004896</v>
      </c>
      <c r="E2754" s="8" t="s">
        <v>1084</v>
      </c>
      <c r="F2754" s="8" t="s">
        <v>131</v>
      </c>
      <c r="G2754" s="7" t="s">
        <v>61</v>
      </c>
      <c r="H2754" s="47" t="s">
        <v>205</v>
      </c>
      <c r="I2754" s="47" t="s">
        <v>206</v>
      </c>
      <c r="J2754" s="6">
        <v>70</v>
      </c>
      <c r="K2754" s="8" t="s">
        <v>20</v>
      </c>
      <c r="L2754" s="1" t="s">
        <v>1084</v>
      </c>
      <c r="M2754" s="5">
        <v>700</v>
      </c>
    </row>
    <row r="2755" spans="1:13" ht="15" x14ac:dyDescent="0.25">
      <c r="A2755" s="7" t="s">
        <v>16</v>
      </c>
      <c r="B2755" s="7" t="s">
        <v>17</v>
      </c>
      <c r="C2755" s="7" t="s">
        <v>18</v>
      </c>
      <c r="D2755" s="4">
        <v>8100676002102</v>
      </c>
      <c r="E2755" s="8" t="s">
        <v>1085</v>
      </c>
      <c r="F2755" s="8" t="s">
        <v>131</v>
      </c>
      <c r="G2755" s="7" t="s">
        <v>61</v>
      </c>
      <c r="H2755" s="47" t="s">
        <v>205</v>
      </c>
      <c r="I2755" s="47" t="s">
        <v>206</v>
      </c>
      <c r="J2755" s="6">
        <v>62</v>
      </c>
      <c r="K2755" s="8" t="s">
        <v>27</v>
      </c>
      <c r="L2755" s="1" t="s">
        <v>1085</v>
      </c>
      <c r="M2755" s="5">
        <v>19</v>
      </c>
    </row>
    <row r="2756" spans="1:13" ht="15" x14ac:dyDescent="0.25">
      <c r="A2756" s="7" t="s">
        <v>16</v>
      </c>
      <c r="B2756" s="7" t="s">
        <v>17</v>
      </c>
      <c r="C2756" s="7" t="s">
        <v>18</v>
      </c>
      <c r="D2756" s="4">
        <v>8100676002102</v>
      </c>
      <c r="E2756" s="8" t="s">
        <v>1085</v>
      </c>
      <c r="F2756" s="8" t="s">
        <v>131</v>
      </c>
      <c r="G2756" s="7" t="s">
        <v>61</v>
      </c>
      <c r="H2756" s="47" t="s">
        <v>205</v>
      </c>
      <c r="I2756" s="47" t="s">
        <v>206</v>
      </c>
      <c r="J2756" s="6">
        <v>64</v>
      </c>
      <c r="K2756" s="8" t="s">
        <v>25</v>
      </c>
      <c r="L2756" s="1" t="s">
        <v>1085</v>
      </c>
      <c r="M2756" s="5">
        <v>31</v>
      </c>
    </row>
    <row r="2757" spans="1:13" ht="15" x14ac:dyDescent="0.25">
      <c r="A2757" s="7" t="s">
        <v>16</v>
      </c>
      <c r="B2757" s="7" t="s">
        <v>21</v>
      </c>
      <c r="C2757" s="7" t="s">
        <v>18</v>
      </c>
      <c r="D2757" s="4">
        <v>8100676002102</v>
      </c>
      <c r="E2757" s="8" t="s">
        <v>1085</v>
      </c>
      <c r="F2757" s="8" t="s">
        <v>131</v>
      </c>
      <c r="G2757" s="7" t="s">
        <v>61</v>
      </c>
      <c r="H2757" s="47" t="s">
        <v>205</v>
      </c>
      <c r="I2757" s="47" t="s">
        <v>206</v>
      </c>
      <c r="J2757" s="6">
        <v>64</v>
      </c>
      <c r="K2757" s="8" t="s">
        <v>25</v>
      </c>
      <c r="L2757" s="1" t="s">
        <v>1085</v>
      </c>
      <c r="M2757" s="5">
        <v>30</v>
      </c>
    </row>
    <row r="2758" spans="1:13" ht="15" x14ac:dyDescent="0.25">
      <c r="A2758" s="7" t="s">
        <v>16</v>
      </c>
      <c r="B2758" s="7" t="s">
        <v>21</v>
      </c>
      <c r="C2758" s="7" t="s">
        <v>18</v>
      </c>
      <c r="D2758" s="4">
        <v>8100676002102</v>
      </c>
      <c r="E2758" s="8" t="s">
        <v>1085</v>
      </c>
      <c r="F2758" s="8" t="s">
        <v>131</v>
      </c>
      <c r="G2758" s="7" t="s">
        <v>61</v>
      </c>
      <c r="H2758" s="47" t="s">
        <v>205</v>
      </c>
      <c r="I2758" s="47" t="s">
        <v>206</v>
      </c>
      <c r="J2758" s="6">
        <v>70</v>
      </c>
      <c r="K2758" s="8" t="s">
        <v>20</v>
      </c>
      <c r="L2758" s="1" t="s">
        <v>1085</v>
      </c>
      <c r="M2758" s="5">
        <v>400</v>
      </c>
    </row>
    <row r="2759" spans="1:13" ht="15" x14ac:dyDescent="0.25">
      <c r="A2759" s="7" t="s">
        <v>16</v>
      </c>
      <c r="B2759" s="7" t="s">
        <v>17</v>
      </c>
      <c r="C2759" s="7" t="s">
        <v>18</v>
      </c>
      <c r="D2759" s="4">
        <v>8850962000222</v>
      </c>
      <c r="E2759" s="8" t="s">
        <v>1086</v>
      </c>
      <c r="F2759" s="8" t="s">
        <v>131</v>
      </c>
      <c r="G2759" s="7" t="s">
        <v>61</v>
      </c>
      <c r="H2759" s="47" t="s">
        <v>205</v>
      </c>
      <c r="I2759" s="47" t="s">
        <v>206</v>
      </c>
      <c r="J2759" s="6">
        <v>62</v>
      </c>
      <c r="K2759" s="8" t="s">
        <v>27</v>
      </c>
      <c r="L2759" s="1" t="s">
        <v>1086</v>
      </c>
      <c r="M2759" s="5">
        <v>1</v>
      </c>
    </row>
    <row r="2760" spans="1:13" ht="15" x14ac:dyDescent="0.25">
      <c r="A2760" s="7" t="s">
        <v>16</v>
      </c>
      <c r="B2760" s="7" t="s">
        <v>17</v>
      </c>
      <c r="C2760" s="7" t="s">
        <v>18</v>
      </c>
      <c r="D2760" s="4">
        <v>8850962000222</v>
      </c>
      <c r="E2760" s="8" t="s">
        <v>1086</v>
      </c>
      <c r="F2760" s="8" t="s">
        <v>131</v>
      </c>
      <c r="G2760" s="7" t="s">
        <v>61</v>
      </c>
      <c r="H2760" s="47" t="s">
        <v>205</v>
      </c>
      <c r="I2760" s="47" t="s">
        <v>206</v>
      </c>
      <c r="J2760" s="6">
        <v>64</v>
      </c>
      <c r="K2760" s="8" t="s">
        <v>25</v>
      </c>
      <c r="L2760" s="1" t="s">
        <v>1086</v>
      </c>
      <c r="M2760" s="5">
        <v>1</v>
      </c>
    </row>
    <row r="2761" spans="1:13" ht="15" x14ac:dyDescent="0.25">
      <c r="A2761" s="7" t="s">
        <v>16</v>
      </c>
      <c r="B2761" s="7" t="s">
        <v>21</v>
      </c>
      <c r="C2761" s="7" t="s">
        <v>18</v>
      </c>
      <c r="D2761" s="4">
        <v>8850962000222</v>
      </c>
      <c r="E2761" s="8" t="s">
        <v>1086</v>
      </c>
      <c r="F2761" s="8" t="s">
        <v>131</v>
      </c>
      <c r="G2761" s="7" t="s">
        <v>61</v>
      </c>
      <c r="H2761" s="47" t="s">
        <v>205</v>
      </c>
      <c r="I2761" s="47" t="s">
        <v>206</v>
      </c>
      <c r="J2761" s="6">
        <v>62</v>
      </c>
      <c r="K2761" s="8" t="s">
        <v>27</v>
      </c>
      <c r="L2761" s="1" t="s">
        <v>1086</v>
      </c>
      <c r="M2761" s="5">
        <v>16</v>
      </c>
    </row>
    <row r="2762" spans="1:13" ht="15" x14ac:dyDescent="0.25">
      <c r="A2762" s="7" t="s">
        <v>16</v>
      </c>
      <c r="B2762" s="7" t="s">
        <v>21</v>
      </c>
      <c r="C2762" s="7" t="s">
        <v>18</v>
      </c>
      <c r="D2762" s="4">
        <v>8850962000222</v>
      </c>
      <c r="E2762" s="8" t="s">
        <v>1086</v>
      </c>
      <c r="F2762" s="8" t="s">
        <v>131</v>
      </c>
      <c r="G2762" s="7" t="s">
        <v>61</v>
      </c>
      <c r="H2762" s="47" t="s">
        <v>205</v>
      </c>
      <c r="I2762" s="47" t="s">
        <v>206</v>
      </c>
      <c r="J2762" s="6">
        <v>64</v>
      </c>
      <c r="K2762" s="8" t="s">
        <v>25</v>
      </c>
      <c r="L2762" s="1" t="s">
        <v>1086</v>
      </c>
      <c r="M2762" s="5">
        <v>16</v>
      </c>
    </row>
    <row r="2763" spans="1:13" ht="15" x14ac:dyDescent="0.25">
      <c r="A2763" s="7" t="s">
        <v>16</v>
      </c>
      <c r="B2763" s="7" t="s">
        <v>17</v>
      </c>
      <c r="C2763" s="7" t="s">
        <v>18</v>
      </c>
      <c r="D2763" s="4">
        <v>9219138000584</v>
      </c>
      <c r="E2763" s="8" t="s">
        <v>1088</v>
      </c>
      <c r="F2763" s="8" t="s">
        <v>131</v>
      </c>
      <c r="G2763" s="7" t="s">
        <v>61</v>
      </c>
      <c r="H2763" s="47" t="s">
        <v>205</v>
      </c>
      <c r="I2763" s="47" t="s">
        <v>206</v>
      </c>
      <c r="J2763" s="6">
        <v>62</v>
      </c>
      <c r="K2763" s="8" t="s">
        <v>27</v>
      </c>
      <c r="L2763" s="1" t="s">
        <v>1088</v>
      </c>
      <c r="M2763" s="5">
        <v>4</v>
      </c>
    </row>
    <row r="2764" spans="1:13" ht="15" x14ac:dyDescent="0.25">
      <c r="A2764" s="7" t="s">
        <v>16</v>
      </c>
      <c r="B2764" s="7" t="s">
        <v>17</v>
      </c>
      <c r="C2764" s="7" t="s">
        <v>18</v>
      </c>
      <c r="D2764" s="4">
        <v>9219138000584</v>
      </c>
      <c r="E2764" s="8" t="s">
        <v>1088</v>
      </c>
      <c r="F2764" s="8" t="s">
        <v>131</v>
      </c>
      <c r="G2764" s="7" t="s">
        <v>61</v>
      </c>
      <c r="H2764" s="47" t="s">
        <v>205</v>
      </c>
      <c r="I2764" s="47" t="s">
        <v>206</v>
      </c>
      <c r="J2764" s="6">
        <v>70</v>
      </c>
      <c r="K2764" s="8" t="s">
        <v>20</v>
      </c>
      <c r="L2764" s="1" t="s">
        <v>1088</v>
      </c>
      <c r="M2764" s="5">
        <v>420</v>
      </c>
    </row>
    <row r="2765" spans="1:13" ht="15" x14ac:dyDescent="0.25">
      <c r="A2765" s="7" t="s">
        <v>16</v>
      </c>
      <c r="B2765" s="7" t="s">
        <v>17</v>
      </c>
      <c r="C2765" s="7" t="s">
        <v>18</v>
      </c>
      <c r="D2765" s="4">
        <v>9219138000584</v>
      </c>
      <c r="E2765" s="8" t="s">
        <v>1088</v>
      </c>
      <c r="F2765" s="8" t="s">
        <v>131</v>
      </c>
      <c r="G2765" s="7" t="s">
        <v>61</v>
      </c>
      <c r="H2765" s="47" t="s">
        <v>205</v>
      </c>
      <c r="I2765" s="47" t="s">
        <v>206</v>
      </c>
      <c r="J2765" s="6">
        <v>73</v>
      </c>
      <c r="K2765" s="8" t="s">
        <v>26</v>
      </c>
      <c r="L2765" s="1" t="s">
        <v>1088</v>
      </c>
      <c r="M2765" s="5">
        <v>84</v>
      </c>
    </row>
    <row r="2766" spans="1:13" ht="15" x14ac:dyDescent="0.25">
      <c r="A2766" s="7" t="s">
        <v>16</v>
      </c>
      <c r="B2766" s="7" t="s">
        <v>21</v>
      </c>
      <c r="C2766" s="7" t="s">
        <v>18</v>
      </c>
      <c r="D2766" s="4">
        <v>9219138000584</v>
      </c>
      <c r="E2766" s="8" t="s">
        <v>1088</v>
      </c>
      <c r="F2766" s="8" t="s">
        <v>131</v>
      </c>
      <c r="G2766" s="7" t="s">
        <v>61</v>
      </c>
      <c r="H2766" s="47" t="s">
        <v>205</v>
      </c>
      <c r="I2766" s="47" t="s">
        <v>206</v>
      </c>
      <c r="J2766" s="6">
        <v>64</v>
      </c>
      <c r="K2766" s="8" t="s">
        <v>25</v>
      </c>
      <c r="L2766" s="1" t="s">
        <v>1088</v>
      </c>
      <c r="M2766" s="5">
        <v>4</v>
      </c>
    </row>
    <row r="2767" spans="1:13" ht="15" x14ac:dyDescent="0.25">
      <c r="A2767" s="7" t="s">
        <v>16</v>
      </c>
      <c r="B2767" s="7" t="s">
        <v>21</v>
      </c>
      <c r="C2767" s="7" t="s">
        <v>18</v>
      </c>
      <c r="D2767" s="4">
        <v>9219138000584</v>
      </c>
      <c r="E2767" s="8" t="s">
        <v>1088</v>
      </c>
      <c r="F2767" s="8" t="s">
        <v>131</v>
      </c>
      <c r="G2767" s="7" t="s">
        <v>61</v>
      </c>
      <c r="H2767" s="47" t="s">
        <v>205</v>
      </c>
      <c r="I2767" s="47" t="s">
        <v>206</v>
      </c>
      <c r="J2767" s="6">
        <v>70</v>
      </c>
      <c r="K2767" s="8" t="s">
        <v>20</v>
      </c>
      <c r="L2767" s="1" t="s">
        <v>1088</v>
      </c>
      <c r="M2767" s="5">
        <v>670</v>
      </c>
    </row>
    <row r="2768" spans="1:13" ht="15" x14ac:dyDescent="0.25">
      <c r="A2768" s="7" t="s">
        <v>16</v>
      </c>
      <c r="B2768" s="7" t="s">
        <v>21</v>
      </c>
      <c r="C2768" s="7" t="s">
        <v>18</v>
      </c>
      <c r="D2768" s="4">
        <v>9219138000584</v>
      </c>
      <c r="E2768" s="8" t="s">
        <v>1088</v>
      </c>
      <c r="F2768" s="8" t="s">
        <v>131</v>
      </c>
      <c r="G2768" s="7" t="s">
        <v>61</v>
      </c>
      <c r="H2768" s="47" t="s">
        <v>205</v>
      </c>
      <c r="I2768" s="47" t="s">
        <v>206</v>
      </c>
      <c r="J2768" s="6">
        <v>73</v>
      </c>
      <c r="K2768" s="8" t="s">
        <v>26</v>
      </c>
      <c r="L2768" s="1" t="s">
        <v>1088</v>
      </c>
      <c r="M2768" s="5">
        <v>188</v>
      </c>
    </row>
    <row r="2769" spans="1:13" ht="15" x14ac:dyDescent="0.25">
      <c r="A2769" s="7" t="s">
        <v>16</v>
      </c>
      <c r="B2769" s="7" t="s">
        <v>17</v>
      </c>
      <c r="C2769" s="7" t="s">
        <v>18</v>
      </c>
      <c r="D2769" s="4">
        <v>9578217000158</v>
      </c>
      <c r="E2769" s="8" t="s">
        <v>1089</v>
      </c>
      <c r="F2769" s="8" t="s">
        <v>131</v>
      </c>
      <c r="G2769" s="7" t="s">
        <v>61</v>
      </c>
      <c r="H2769" s="47" t="s">
        <v>205</v>
      </c>
      <c r="I2769" s="47" t="s">
        <v>206</v>
      </c>
      <c r="J2769" s="6">
        <v>62</v>
      </c>
      <c r="K2769" s="8" t="s">
        <v>27</v>
      </c>
      <c r="L2769" s="1" t="s">
        <v>1089</v>
      </c>
      <c r="M2769" s="5">
        <v>4</v>
      </c>
    </row>
    <row r="2770" spans="1:13" ht="15" x14ac:dyDescent="0.25">
      <c r="A2770" s="7" t="s">
        <v>16</v>
      </c>
      <c r="B2770" s="7" t="s">
        <v>17</v>
      </c>
      <c r="C2770" s="7" t="s">
        <v>18</v>
      </c>
      <c r="D2770" s="4">
        <v>9578217000158</v>
      </c>
      <c r="E2770" s="8" t="s">
        <v>1089</v>
      </c>
      <c r="F2770" s="8" t="s">
        <v>131</v>
      </c>
      <c r="G2770" s="7" t="s">
        <v>61</v>
      </c>
      <c r="H2770" s="47" t="s">
        <v>205</v>
      </c>
      <c r="I2770" s="47" t="s">
        <v>206</v>
      </c>
      <c r="J2770" s="6">
        <v>64</v>
      </c>
      <c r="K2770" s="8" t="s">
        <v>25</v>
      </c>
      <c r="L2770" s="1" t="s">
        <v>1089</v>
      </c>
      <c r="M2770" s="5">
        <v>3</v>
      </c>
    </row>
    <row r="2771" spans="1:13" ht="15" x14ac:dyDescent="0.25">
      <c r="A2771" s="7" t="s">
        <v>16</v>
      </c>
      <c r="B2771" s="7" t="s">
        <v>21</v>
      </c>
      <c r="C2771" s="7" t="s">
        <v>18</v>
      </c>
      <c r="D2771" s="4">
        <v>9578217000158</v>
      </c>
      <c r="E2771" s="8" t="s">
        <v>1089</v>
      </c>
      <c r="F2771" s="8" t="s">
        <v>131</v>
      </c>
      <c r="G2771" s="7" t="s">
        <v>61</v>
      </c>
      <c r="H2771" s="47" t="s">
        <v>205</v>
      </c>
      <c r="I2771" s="47" t="s">
        <v>206</v>
      </c>
      <c r="J2771" s="6">
        <v>62</v>
      </c>
      <c r="K2771" s="8" t="s">
        <v>27</v>
      </c>
      <c r="L2771" s="1" t="s">
        <v>1089</v>
      </c>
      <c r="M2771" s="5">
        <v>3</v>
      </c>
    </row>
    <row r="2772" spans="1:13" ht="15" x14ac:dyDescent="0.25">
      <c r="A2772" s="7" t="s">
        <v>16</v>
      </c>
      <c r="B2772" s="7" t="s">
        <v>21</v>
      </c>
      <c r="C2772" s="7" t="s">
        <v>18</v>
      </c>
      <c r="D2772" s="4">
        <v>9578217000158</v>
      </c>
      <c r="E2772" s="8" t="s">
        <v>1089</v>
      </c>
      <c r="F2772" s="8" t="s">
        <v>131</v>
      </c>
      <c r="G2772" s="7" t="s">
        <v>61</v>
      </c>
      <c r="H2772" s="47" t="s">
        <v>205</v>
      </c>
      <c r="I2772" s="47" t="s">
        <v>206</v>
      </c>
      <c r="J2772" s="6">
        <v>64</v>
      </c>
      <c r="K2772" s="8" t="s">
        <v>25</v>
      </c>
      <c r="L2772" s="1" t="s">
        <v>1089</v>
      </c>
      <c r="M2772" s="5">
        <v>4</v>
      </c>
    </row>
    <row r="2773" spans="1:13" ht="15" x14ac:dyDescent="0.25">
      <c r="A2773" s="7" t="s">
        <v>16</v>
      </c>
      <c r="B2773" s="7" t="s">
        <v>17</v>
      </c>
      <c r="C2773" s="7" t="s">
        <v>18</v>
      </c>
      <c r="D2773" s="4">
        <v>9609235000230</v>
      </c>
      <c r="E2773" s="8" t="s">
        <v>1090</v>
      </c>
      <c r="F2773" s="8" t="s">
        <v>131</v>
      </c>
      <c r="G2773" s="7" t="s">
        <v>61</v>
      </c>
      <c r="H2773" s="47" t="s">
        <v>205</v>
      </c>
      <c r="I2773" s="47" t="s">
        <v>206</v>
      </c>
      <c r="J2773" s="6">
        <v>70</v>
      </c>
      <c r="K2773" s="8" t="s">
        <v>20</v>
      </c>
      <c r="L2773" s="1" t="s">
        <v>1090</v>
      </c>
      <c r="M2773" s="5">
        <v>450</v>
      </c>
    </row>
    <row r="2774" spans="1:13" ht="15" x14ac:dyDescent="0.25">
      <c r="A2774" s="7" t="s">
        <v>16</v>
      </c>
      <c r="B2774" s="7" t="s">
        <v>17</v>
      </c>
      <c r="C2774" s="7" t="s">
        <v>18</v>
      </c>
      <c r="D2774" s="4">
        <v>11279865000155</v>
      </c>
      <c r="E2774" s="8" t="s">
        <v>1091</v>
      </c>
      <c r="F2774" s="8" t="s">
        <v>131</v>
      </c>
      <c r="G2774" s="7" t="s">
        <v>61</v>
      </c>
      <c r="H2774" s="47" t="s">
        <v>205</v>
      </c>
      <c r="I2774" s="47" t="s">
        <v>206</v>
      </c>
      <c r="J2774" s="6">
        <v>64</v>
      </c>
      <c r="K2774" s="8" t="s">
        <v>25</v>
      </c>
      <c r="L2774" s="1" t="s">
        <v>1091</v>
      </c>
      <c r="M2774" s="5">
        <v>8</v>
      </c>
    </row>
    <row r="2775" spans="1:13" ht="15" x14ac:dyDescent="0.25">
      <c r="A2775" s="7" t="s">
        <v>16</v>
      </c>
      <c r="B2775" s="7" t="s">
        <v>17</v>
      </c>
      <c r="C2775" s="7" t="s">
        <v>18</v>
      </c>
      <c r="D2775" s="4">
        <v>18010750000100</v>
      </c>
      <c r="E2775" s="8" t="s">
        <v>1092</v>
      </c>
      <c r="F2775" s="8" t="s">
        <v>131</v>
      </c>
      <c r="G2775" s="7" t="s">
        <v>61</v>
      </c>
      <c r="H2775" s="47" t="s">
        <v>205</v>
      </c>
      <c r="I2775" s="47" t="s">
        <v>206</v>
      </c>
      <c r="J2775" s="6">
        <v>70</v>
      </c>
      <c r="K2775" s="8" t="s">
        <v>20</v>
      </c>
      <c r="L2775" s="1" t="s">
        <v>1092</v>
      </c>
      <c r="M2775" s="5">
        <v>150</v>
      </c>
    </row>
    <row r="2776" spans="1:13" ht="15" x14ac:dyDescent="0.25">
      <c r="A2776" s="7" t="s">
        <v>16</v>
      </c>
      <c r="B2776" s="7" t="s">
        <v>21</v>
      </c>
      <c r="C2776" s="7" t="s">
        <v>18</v>
      </c>
      <c r="D2776" s="4">
        <v>18010750000100</v>
      </c>
      <c r="E2776" s="8" t="s">
        <v>1092</v>
      </c>
      <c r="F2776" s="8" t="s">
        <v>131</v>
      </c>
      <c r="G2776" s="7" t="s">
        <v>61</v>
      </c>
      <c r="H2776" s="47" t="s">
        <v>205</v>
      </c>
      <c r="I2776" s="47" t="s">
        <v>206</v>
      </c>
      <c r="J2776" s="6">
        <v>70</v>
      </c>
      <c r="K2776" s="8" t="s">
        <v>20</v>
      </c>
      <c r="L2776" s="1" t="s">
        <v>1092</v>
      </c>
      <c r="M2776" s="5">
        <v>265</v>
      </c>
    </row>
    <row r="2777" spans="1:13" ht="15" x14ac:dyDescent="0.25">
      <c r="A2777" s="7" t="s">
        <v>16</v>
      </c>
      <c r="B2777" s="7" t="s">
        <v>17</v>
      </c>
      <c r="C2777" s="7" t="s">
        <v>18</v>
      </c>
      <c r="D2777" s="4">
        <v>21109731000140</v>
      </c>
      <c r="E2777" s="8" t="s">
        <v>1093</v>
      </c>
      <c r="F2777" s="8" t="s">
        <v>131</v>
      </c>
      <c r="G2777" s="7" t="s">
        <v>61</v>
      </c>
      <c r="H2777" s="47" t="s">
        <v>205</v>
      </c>
      <c r="I2777" s="47" t="s">
        <v>206</v>
      </c>
      <c r="J2777" s="6">
        <v>73</v>
      </c>
      <c r="K2777" s="8" t="s">
        <v>26</v>
      </c>
      <c r="L2777" s="1" t="s">
        <v>1093</v>
      </c>
      <c r="M2777" s="5">
        <v>112</v>
      </c>
    </row>
    <row r="2778" spans="1:13" ht="15" x14ac:dyDescent="0.25">
      <c r="A2778" s="7" t="s">
        <v>16</v>
      </c>
      <c r="B2778" s="7" t="s">
        <v>17</v>
      </c>
      <c r="C2778" s="7" t="s">
        <v>18</v>
      </c>
      <c r="D2778" s="4">
        <v>21265360000195</v>
      </c>
      <c r="E2778" s="8" t="s">
        <v>1094</v>
      </c>
      <c r="F2778" s="8" t="s">
        <v>131</v>
      </c>
      <c r="G2778" s="7" t="s">
        <v>61</v>
      </c>
      <c r="H2778" s="47" t="s">
        <v>205</v>
      </c>
      <c r="I2778" s="47" t="s">
        <v>206</v>
      </c>
      <c r="J2778" s="6">
        <v>73</v>
      </c>
      <c r="K2778" s="8" t="s">
        <v>26</v>
      </c>
      <c r="L2778" s="1" t="s">
        <v>1094</v>
      </c>
      <c r="M2778" s="5">
        <v>16</v>
      </c>
    </row>
    <row r="2779" spans="1:13" ht="15" x14ac:dyDescent="0.25">
      <c r="A2779" s="7" t="s">
        <v>16</v>
      </c>
      <c r="B2779" s="7" t="s">
        <v>21</v>
      </c>
      <c r="C2779" s="7" t="s">
        <v>18</v>
      </c>
      <c r="D2779" s="4">
        <v>21265360000195</v>
      </c>
      <c r="E2779" s="8" t="s">
        <v>1094</v>
      </c>
      <c r="F2779" s="8" t="s">
        <v>131</v>
      </c>
      <c r="G2779" s="7" t="s">
        <v>61</v>
      </c>
      <c r="H2779" s="47" t="s">
        <v>205</v>
      </c>
      <c r="I2779" s="47" t="s">
        <v>206</v>
      </c>
      <c r="J2779" s="6">
        <v>73</v>
      </c>
      <c r="K2779" s="8" t="s">
        <v>26</v>
      </c>
      <c r="L2779" s="1" t="s">
        <v>1094</v>
      </c>
      <c r="M2779" s="5">
        <v>16</v>
      </c>
    </row>
    <row r="2780" spans="1:13" ht="15" x14ac:dyDescent="0.25">
      <c r="A2780" s="7" t="s">
        <v>16</v>
      </c>
      <c r="B2780" s="7" t="s">
        <v>17</v>
      </c>
      <c r="C2780" s="7" t="s">
        <v>18</v>
      </c>
      <c r="D2780" s="4">
        <v>24217779000160</v>
      </c>
      <c r="E2780" s="8" t="s">
        <v>1097</v>
      </c>
      <c r="F2780" s="8" t="s">
        <v>131</v>
      </c>
      <c r="G2780" s="7" t="s">
        <v>61</v>
      </c>
      <c r="H2780" s="47" t="s">
        <v>205</v>
      </c>
      <c r="I2780" s="47" t="s">
        <v>206</v>
      </c>
      <c r="J2780" s="6">
        <v>64</v>
      </c>
      <c r="K2780" s="8" t="s">
        <v>25</v>
      </c>
      <c r="L2780" s="1" t="s">
        <v>1097</v>
      </c>
      <c r="M2780" s="5">
        <v>6</v>
      </c>
    </row>
    <row r="2781" spans="1:13" ht="15" x14ac:dyDescent="0.25">
      <c r="A2781" s="7" t="s">
        <v>16</v>
      </c>
      <c r="B2781" s="7" t="s">
        <v>21</v>
      </c>
      <c r="C2781" s="7" t="s">
        <v>18</v>
      </c>
      <c r="D2781" s="4">
        <v>24217779000160</v>
      </c>
      <c r="E2781" s="8" t="s">
        <v>1097</v>
      </c>
      <c r="F2781" s="8" t="s">
        <v>131</v>
      </c>
      <c r="G2781" s="7" t="s">
        <v>61</v>
      </c>
      <c r="H2781" s="47" t="s">
        <v>205</v>
      </c>
      <c r="I2781" s="47" t="s">
        <v>206</v>
      </c>
      <c r="J2781" s="6">
        <v>64</v>
      </c>
      <c r="K2781" s="8" t="s">
        <v>25</v>
      </c>
      <c r="L2781" s="1" t="s">
        <v>1097</v>
      </c>
      <c r="M2781" s="5">
        <v>4</v>
      </c>
    </row>
    <row r="2782" spans="1:13" ht="15" x14ac:dyDescent="0.25">
      <c r="A2782" s="7" t="s">
        <v>16</v>
      </c>
      <c r="B2782" s="7" t="s">
        <v>17</v>
      </c>
      <c r="C2782" s="7" t="s">
        <v>18</v>
      </c>
      <c r="D2782" s="4">
        <v>27901222000131</v>
      </c>
      <c r="E2782" s="8" t="s">
        <v>1098</v>
      </c>
      <c r="F2782" s="8" t="s">
        <v>131</v>
      </c>
      <c r="G2782" s="7" t="s">
        <v>61</v>
      </c>
      <c r="H2782" s="47" t="s">
        <v>205</v>
      </c>
      <c r="I2782" s="47" t="s">
        <v>206</v>
      </c>
      <c r="J2782" s="6">
        <v>62</v>
      </c>
      <c r="K2782" s="8" t="s">
        <v>27</v>
      </c>
      <c r="L2782" s="1" t="s">
        <v>1098</v>
      </c>
      <c r="M2782" s="5">
        <v>5</v>
      </c>
    </row>
    <row r="2783" spans="1:13" ht="15" x14ac:dyDescent="0.25">
      <c r="A2783" s="7" t="s">
        <v>16</v>
      </c>
      <c r="B2783" s="7" t="s">
        <v>17</v>
      </c>
      <c r="C2783" s="7" t="s">
        <v>18</v>
      </c>
      <c r="D2783" s="4">
        <v>28000107000159</v>
      </c>
      <c r="E2783" s="8" t="s">
        <v>1099</v>
      </c>
      <c r="F2783" s="8" t="s">
        <v>131</v>
      </c>
      <c r="G2783" s="7" t="s">
        <v>61</v>
      </c>
      <c r="H2783" s="47" t="s">
        <v>205</v>
      </c>
      <c r="I2783" s="47" t="s">
        <v>206</v>
      </c>
      <c r="J2783" s="6">
        <v>70</v>
      </c>
      <c r="K2783" s="8" t="s">
        <v>20</v>
      </c>
      <c r="L2783" s="1" t="s">
        <v>1099</v>
      </c>
      <c r="M2783" s="5">
        <v>120</v>
      </c>
    </row>
    <row r="2784" spans="1:13" ht="15" x14ac:dyDescent="0.25">
      <c r="A2784" s="7" t="s">
        <v>16</v>
      </c>
      <c r="B2784" s="7" t="s">
        <v>17</v>
      </c>
      <c r="C2784" s="7" t="s">
        <v>18</v>
      </c>
      <c r="D2784" s="4">
        <v>28000107000159</v>
      </c>
      <c r="E2784" s="8" t="s">
        <v>1099</v>
      </c>
      <c r="F2784" s="8" t="s">
        <v>131</v>
      </c>
      <c r="G2784" s="7" t="s">
        <v>61</v>
      </c>
      <c r="H2784" s="47" t="s">
        <v>205</v>
      </c>
      <c r="I2784" s="47" t="s">
        <v>206</v>
      </c>
      <c r="J2784" s="6">
        <v>73</v>
      </c>
      <c r="K2784" s="8" t="s">
        <v>26</v>
      </c>
      <c r="L2784" s="1" t="s">
        <v>1099</v>
      </c>
      <c r="M2784" s="5">
        <v>150</v>
      </c>
    </row>
    <row r="2785" spans="1:13" ht="15" x14ac:dyDescent="0.25">
      <c r="A2785" s="7" t="s">
        <v>16</v>
      </c>
      <c r="B2785" s="7" t="s">
        <v>21</v>
      </c>
      <c r="C2785" s="7" t="s">
        <v>18</v>
      </c>
      <c r="D2785" s="4">
        <v>28000107000159</v>
      </c>
      <c r="E2785" s="8" t="s">
        <v>1099</v>
      </c>
      <c r="F2785" s="8" t="s">
        <v>131</v>
      </c>
      <c r="G2785" s="7" t="s">
        <v>61</v>
      </c>
      <c r="H2785" s="47" t="s">
        <v>205</v>
      </c>
      <c r="I2785" s="47" t="s">
        <v>206</v>
      </c>
      <c r="J2785" s="6">
        <v>70</v>
      </c>
      <c r="K2785" s="8" t="s">
        <v>20</v>
      </c>
      <c r="L2785" s="1" t="s">
        <v>1099</v>
      </c>
      <c r="M2785" s="5">
        <v>90</v>
      </c>
    </row>
    <row r="2786" spans="1:13" ht="15" x14ac:dyDescent="0.25">
      <c r="A2786" s="7" t="s">
        <v>16</v>
      </c>
      <c r="B2786" s="7" t="s">
        <v>21</v>
      </c>
      <c r="C2786" s="7" t="s">
        <v>18</v>
      </c>
      <c r="D2786" s="4">
        <v>28000107000159</v>
      </c>
      <c r="E2786" s="8" t="s">
        <v>1099</v>
      </c>
      <c r="F2786" s="8" t="s">
        <v>131</v>
      </c>
      <c r="G2786" s="7" t="s">
        <v>61</v>
      </c>
      <c r="H2786" s="47" t="s">
        <v>205</v>
      </c>
      <c r="I2786" s="47" t="s">
        <v>206</v>
      </c>
      <c r="J2786" s="6">
        <v>73</v>
      </c>
      <c r="K2786" s="8" t="s">
        <v>26</v>
      </c>
      <c r="L2786" s="1" t="s">
        <v>1099</v>
      </c>
      <c r="M2786" s="5">
        <v>140</v>
      </c>
    </row>
    <row r="2787" spans="1:13" ht="15" x14ac:dyDescent="0.25">
      <c r="A2787" s="7" t="s">
        <v>16</v>
      </c>
      <c r="B2787" s="7" t="s">
        <v>17</v>
      </c>
      <c r="C2787" s="7" t="s">
        <v>18</v>
      </c>
      <c r="D2787" s="4">
        <v>28602407000108</v>
      </c>
      <c r="E2787" s="8" t="s">
        <v>1100</v>
      </c>
      <c r="F2787" s="8" t="s">
        <v>131</v>
      </c>
      <c r="G2787" s="7" t="s">
        <v>61</v>
      </c>
      <c r="H2787" s="47" t="s">
        <v>205</v>
      </c>
      <c r="I2787" s="47" t="s">
        <v>206</v>
      </c>
      <c r="J2787" s="6">
        <v>64</v>
      </c>
      <c r="K2787" s="8" t="s">
        <v>25</v>
      </c>
      <c r="L2787" s="1" t="s">
        <v>1100</v>
      </c>
      <c r="M2787" s="5">
        <v>1</v>
      </c>
    </row>
    <row r="2788" spans="1:13" ht="15" x14ac:dyDescent="0.25">
      <c r="A2788" s="7" t="s">
        <v>16</v>
      </c>
      <c r="B2788" s="7" t="s">
        <v>21</v>
      </c>
      <c r="C2788" s="7" t="s">
        <v>18</v>
      </c>
      <c r="D2788" s="4">
        <v>28602407000108</v>
      </c>
      <c r="E2788" s="8" t="s">
        <v>1100</v>
      </c>
      <c r="F2788" s="8" t="s">
        <v>131</v>
      </c>
      <c r="G2788" s="7" t="s">
        <v>61</v>
      </c>
      <c r="H2788" s="47" t="s">
        <v>205</v>
      </c>
      <c r="I2788" s="47" t="s">
        <v>206</v>
      </c>
      <c r="J2788" s="6">
        <v>73</v>
      </c>
      <c r="K2788" s="8" t="s">
        <v>26</v>
      </c>
      <c r="L2788" s="1" t="s">
        <v>1100</v>
      </c>
      <c r="M2788" s="5">
        <v>4</v>
      </c>
    </row>
    <row r="2789" spans="1:13" ht="15" x14ac:dyDescent="0.25">
      <c r="A2789" s="7" t="s">
        <v>16</v>
      </c>
      <c r="B2789" s="7" t="s">
        <v>17</v>
      </c>
      <c r="C2789" s="7" t="s">
        <v>18</v>
      </c>
      <c r="D2789" s="4">
        <v>29259736000403</v>
      </c>
      <c r="E2789" s="8" t="s">
        <v>1101</v>
      </c>
      <c r="F2789" s="8" t="s">
        <v>131</v>
      </c>
      <c r="G2789" s="7" t="s">
        <v>61</v>
      </c>
      <c r="H2789" s="47" t="s">
        <v>205</v>
      </c>
      <c r="I2789" s="47" t="s">
        <v>206</v>
      </c>
      <c r="J2789" s="6">
        <v>64</v>
      </c>
      <c r="K2789" s="8" t="s">
        <v>25</v>
      </c>
      <c r="L2789" s="1" t="s">
        <v>1101</v>
      </c>
      <c r="M2789" s="5">
        <v>5</v>
      </c>
    </row>
    <row r="2790" spans="1:13" ht="15" x14ac:dyDescent="0.25">
      <c r="A2790" s="7" t="s">
        <v>16</v>
      </c>
      <c r="B2790" s="7" t="s">
        <v>17</v>
      </c>
      <c r="C2790" s="7" t="s">
        <v>18</v>
      </c>
      <c r="D2790" s="4">
        <v>29259736000403</v>
      </c>
      <c r="E2790" s="8" t="s">
        <v>1101</v>
      </c>
      <c r="F2790" s="8" t="s">
        <v>131</v>
      </c>
      <c r="G2790" s="7" t="s">
        <v>61</v>
      </c>
      <c r="H2790" s="47" t="s">
        <v>205</v>
      </c>
      <c r="I2790" s="47" t="s">
        <v>206</v>
      </c>
      <c r="J2790" s="6">
        <v>73</v>
      </c>
      <c r="K2790" s="8" t="s">
        <v>26</v>
      </c>
      <c r="L2790" s="1" t="s">
        <v>1101</v>
      </c>
      <c r="M2790" s="5">
        <v>40</v>
      </c>
    </row>
    <row r="2791" spans="1:13" ht="15" x14ac:dyDescent="0.25">
      <c r="A2791" s="7" t="s">
        <v>16</v>
      </c>
      <c r="B2791" s="7" t="s">
        <v>21</v>
      </c>
      <c r="C2791" s="7" t="s">
        <v>18</v>
      </c>
      <c r="D2791" s="4">
        <v>29259736000403</v>
      </c>
      <c r="E2791" s="8" t="s">
        <v>1101</v>
      </c>
      <c r="F2791" s="8" t="s">
        <v>131</v>
      </c>
      <c r="G2791" s="7" t="s">
        <v>61</v>
      </c>
      <c r="H2791" s="47" t="s">
        <v>205</v>
      </c>
      <c r="I2791" s="47" t="s">
        <v>206</v>
      </c>
      <c r="J2791" s="6">
        <v>62</v>
      </c>
      <c r="K2791" s="8" t="s">
        <v>27</v>
      </c>
      <c r="L2791" s="1" t="s">
        <v>1101</v>
      </c>
      <c r="M2791" s="5">
        <v>56</v>
      </c>
    </row>
    <row r="2792" spans="1:13" ht="15" x14ac:dyDescent="0.25">
      <c r="A2792" s="7" t="s">
        <v>16</v>
      </c>
      <c r="B2792" s="7" t="s">
        <v>21</v>
      </c>
      <c r="C2792" s="7" t="s">
        <v>18</v>
      </c>
      <c r="D2792" s="4">
        <v>29259736000403</v>
      </c>
      <c r="E2792" s="8" t="s">
        <v>1101</v>
      </c>
      <c r="F2792" s="8" t="s">
        <v>131</v>
      </c>
      <c r="G2792" s="7" t="s">
        <v>61</v>
      </c>
      <c r="H2792" s="47" t="s">
        <v>205</v>
      </c>
      <c r="I2792" s="47" t="s">
        <v>206</v>
      </c>
      <c r="J2792" s="6">
        <v>64</v>
      </c>
      <c r="K2792" s="8" t="s">
        <v>25</v>
      </c>
      <c r="L2792" s="1" t="s">
        <v>1101</v>
      </c>
      <c r="M2792" s="5">
        <v>2</v>
      </c>
    </row>
    <row r="2793" spans="1:13" ht="15" x14ac:dyDescent="0.25">
      <c r="A2793" s="7" t="s">
        <v>16</v>
      </c>
      <c r="B2793" s="7" t="s">
        <v>21</v>
      </c>
      <c r="C2793" s="7" t="s">
        <v>18</v>
      </c>
      <c r="D2793" s="4">
        <v>29259736000403</v>
      </c>
      <c r="E2793" s="8" t="s">
        <v>1101</v>
      </c>
      <c r="F2793" s="8" t="s">
        <v>131</v>
      </c>
      <c r="G2793" s="7" t="s">
        <v>61</v>
      </c>
      <c r="H2793" s="47" t="s">
        <v>205</v>
      </c>
      <c r="I2793" s="47" t="s">
        <v>206</v>
      </c>
      <c r="J2793" s="6">
        <v>73</v>
      </c>
      <c r="K2793" s="8" t="s">
        <v>26</v>
      </c>
      <c r="L2793" s="1" t="s">
        <v>1101</v>
      </c>
      <c r="M2793" s="5">
        <v>16</v>
      </c>
    </row>
    <row r="2794" spans="1:13" ht="15" x14ac:dyDescent="0.25">
      <c r="A2794" s="7" t="s">
        <v>16</v>
      </c>
      <c r="B2794" s="7" t="s">
        <v>17</v>
      </c>
      <c r="C2794" s="7" t="s">
        <v>18</v>
      </c>
      <c r="D2794" s="4">
        <v>29435005005198</v>
      </c>
      <c r="E2794" s="8" t="s">
        <v>1102</v>
      </c>
      <c r="F2794" s="8" t="s">
        <v>131</v>
      </c>
      <c r="G2794" s="7" t="s">
        <v>61</v>
      </c>
      <c r="H2794" s="47" t="s">
        <v>205</v>
      </c>
      <c r="I2794" s="47" t="s">
        <v>206</v>
      </c>
      <c r="J2794" s="6">
        <v>62</v>
      </c>
      <c r="K2794" s="8" t="s">
        <v>27</v>
      </c>
      <c r="L2794" s="1" t="s">
        <v>1102</v>
      </c>
      <c r="M2794" s="5">
        <v>17</v>
      </c>
    </row>
    <row r="2795" spans="1:13" ht="15" x14ac:dyDescent="0.25">
      <c r="A2795" s="7" t="s">
        <v>16</v>
      </c>
      <c r="B2795" s="7" t="s">
        <v>17</v>
      </c>
      <c r="C2795" s="7" t="s">
        <v>18</v>
      </c>
      <c r="D2795" s="4">
        <v>29435005005198</v>
      </c>
      <c r="E2795" s="8" t="s">
        <v>1102</v>
      </c>
      <c r="F2795" s="8" t="s">
        <v>131</v>
      </c>
      <c r="G2795" s="7" t="s">
        <v>61</v>
      </c>
      <c r="H2795" s="47" t="s">
        <v>205</v>
      </c>
      <c r="I2795" s="47" t="s">
        <v>206</v>
      </c>
      <c r="J2795" s="6">
        <v>64</v>
      </c>
      <c r="K2795" s="8" t="s">
        <v>25</v>
      </c>
      <c r="L2795" s="1" t="s">
        <v>1102</v>
      </c>
      <c r="M2795" s="5">
        <v>16</v>
      </c>
    </row>
    <row r="2796" spans="1:13" ht="15" x14ac:dyDescent="0.25">
      <c r="A2796" s="7" t="s">
        <v>16</v>
      </c>
      <c r="B2796" s="7" t="s">
        <v>21</v>
      </c>
      <c r="C2796" s="7" t="s">
        <v>18</v>
      </c>
      <c r="D2796" s="4">
        <v>29435005005198</v>
      </c>
      <c r="E2796" s="8" t="s">
        <v>1102</v>
      </c>
      <c r="F2796" s="8" t="s">
        <v>131</v>
      </c>
      <c r="G2796" s="7" t="s">
        <v>61</v>
      </c>
      <c r="H2796" s="47" t="s">
        <v>205</v>
      </c>
      <c r="I2796" s="47" t="s">
        <v>206</v>
      </c>
      <c r="J2796" s="6">
        <v>70</v>
      </c>
      <c r="K2796" s="8" t="s">
        <v>20</v>
      </c>
      <c r="L2796" s="1" t="s">
        <v>1102</v>
      </c>
      <c r="M2796" s="5">
        <v>200</v>
      </c>
    </row>
    <row r="2797" spans="1:13" ht="15" x14ac:dyDescent="0.25">
      <c r="A2797" s="7" t="s">
        <v>16</v>
      </c>
      <c r="B2797" s="7" t="s">
        <v>17</v>
      </c>
      <c r="C2797" s="7" t="s">
        <v>18</v>
      </c>
      <c r="D2797" s="4">
        <v>29435005005783</v>
      </c>
      <c r="E2797" s="8" t="s">
        <v>1104</v>
      </c>
      <c r="F2797" s="8" t="s">
        <v>131</v>
      </c>
      <c r="G2797" s="7" t="s">
        <v>61</v>
      </c>
      <c r="H2797" s="47" t="s">
        <v>205</v>
      </c>
      <c r="I2797" s="47" t="s">
        <v>206</v>
      </c>
      <c r="J2797" s="6">
        <v>70</v>
      </c>
      <c r="K2797" s="8" t="s">
        <v>20</v>
      </c>
      <c r="L2797" s="1" t="s">
        <v>1104</v>
      </c>
      <c r="M2797" s="5">
        <v>225</v>
      </c>
    </row>
    <row r="2798" spans="1:13" ht="15" x14ac:dyDescent="0.25">
      <c r="A2798" s="7" t="s">
        <v>16</v>
      </c>
      <c r="B2798" s="7" t="s">
        <v>21</v>
      </c>
      <c r="C2798" s="7" t="s">
        <v>18</v>
      </c>
      <c r="D2798" s="4">
        <v>29435005005783</v>
      </c>
      <c r="E2798" s="8" t="s">
        <v>1104</v>
      </c>
      <c r="F2798" s="8" t="s">
        <v>131</v>
      </c>
      <c r="G2798" s="7" t="s">
        <v>61</v>
      </c>
      <c r="H2798" s="47" t="s">
        <v>205</v>
      </c>
      <c r="I2798" s="47" t="s">
        <v>206</v>
      </c>
      <c r="J2798" s="6">
        <v>70</v>
      </c>
      <c r="K2798" s="8" t="s">
        <v>20</v>
      </c>
      <c r="L2798" s="1" t="s">
        <v>1104</v>
      </c>
      <c r="M2798" s="5">
        <v>385</v>
      </c>
    </row>
    <row r="2799" spans="1:13" ht="15" x14ac:dyDescent="0.25">
      <c r="A2799" s="7" t="s">
        <v>16</v>
      </c>
      <c r="B2799" s="7" t="s">
        <v>17</v>
      </c>
      <c r="C2799" s="7" t="s">
        <v>18</v>
      </c>
      <c r="D2799" s="4">
        <v>29435005006160</v>
      </c>
      <c r="E2799" s="8" t="s">
        <v>1105</v>
      </c>
      <c r="F2799" s="8" t="s">
        <v>131</v>
      </c>
      <c r="G2799" s="7" t="s">
        <v>61</v>
      </c>
      <c r="H2799" s="47" t="s">
        <v>205</v>
      </c>
      <c r="I2799" s="47" t="s">
        <v>206</v>
      </c>
      <c r="J2799" s="6">
        <v>62</v>
      </c>
      <c r="K2799" s="8" t="s">
        <v>27</v>
      </c>
      <c r="L2799" s="1" t="s">
        <v>1105</v>
      </c>
      <c r="M2799" s="5">
        <v>6</v>
      </c>
    </row>
    <row r="2800" spans="1:13" ht="15" x14ac:dyDescent="0.25">
      <c r="A2800" s="7" t="s">
        <v>16</v>
      </c>
      <c r="B2800" s="7" t="s">
        <v>17</v>
      </c>
      <c r="C2800" s="7" t="s">
        <v>18</v>
      </c>
      <c r="D2800" s="4">
        <v>29435005006160</v>
      </c>
      <c r="E2800" s="8" t="s">
        <v>1105</v>
      </c>
      <c r="F2800" s="8" t="s">
        <v>131</v>
      </c>
      <c r="G2800" s="7" t="s">
        <v>61</v>
      </c>
      <c r="H2800" s="47" t="s">
        <v>205</v>
      </c>
      <c r="I2800" s="47" t="s">
        <v>206</v>
      </c>
      <c r="J2800" s="6">
        <v>64</v>
      </c>
      <c r="K2800" s="8" t="s">
        <v>25</v>
      </c>
      <c r="L2800" s="1" t="s">
        <v>1105</v>
      </c>
      <c r="M2800" s="5">
        <v>5</v>
      </c>
    </row>
    <row r="2801" spans="1:13" ht="15" x14ac:dyDescent="0.25">
      <c r="A2801" s="7" t="s">
        <v>16</v>
      </c>
      <c r="B2801" s="7" t="s">
        <v>17</v>
      </c>
      <c r="C2801" s="7" t="s">
        <v>18</v>
      </c>
      <c r="D2801" s="4">
        <v>29435005006160</v>
      </c>
      <c r="E2801" s="8" t="s">
        <v>1105</v>
      </c>
      <c r="F2801" s="8" t="s">
        <v>131</v>
      </c>
      <c r="G2801" s="7" t="s">
        <v>61</v>
      </c>
      <c r="H2801" s="47" t="s">
        <v>205</v>
      </c>
      <c r="I2801" s="47" t="s">
        <v>206</v>
      </c>
      <c r="J2801" s="6">
        <v>70</v>
      </c>
      <c r="K2801" s="8" t="s">
        <v>20</v>
      </c>
      <c r="L2801" s="1" t="s">
        <v>1105</v>
      </c>
      <c r="M2801" s="5">
        <v>50</v>
      </c>
    </row>
    <row r="2802" spans="1:13" ht="15" x14ac:dyDescent="0.25">
      <c r="A2802" s="7" t="s">
        <v>16</v>
      </c>
      <c r="B2802" s="7" t="s">
        <v>21</v>
      </c>
      <c r="C2802" s="7" t="s">
        <v>18</v>
      </c>
      <c r="D2802" s="4">
        <v>29435005006160</v>
      </c>
      <c r="E2802" s="8" t="s">
        <v>1105</v>
      </c>
      <c r="F2802" s="8" t="s">
        <v>131</v>
      </c>
      <c r="G2802" s="7" t="s">
        <v>61</v>
      </c>
      <c r="H2802" s="47" t="s">
        <v>205</v>
      </c>
      <c r="I2802" s="47" t="s">
        <v>206</v>
      </c>
      <c r="J2802" s="6">
        <v>62</v>
      </c>
      <c r="K2802" s="8" t="s">
        <v>27</v>
      </c>
      <c r="L2802" s="1" t="s">
        <v>1105</v>
      </c>
      <c r="M2802" s="5">
        <v>4</v>
      </c>
    </row>
    <row r="2803" spans="1:13" ht="15" x14ac:dyDescent="0.25">
      <c r="A2803" s="7" t="s">
        <v>16</v>
      </c>
      <c r="B2803" s="7" t="s">
        <v>21</v>
      </c>
      <c r="C2803" s="7" t="s">
        <v>18</v>
      </c>
      <c r="D2803" s="4">
        <v>29435005006160</v>
      </c>
      <c r="E2803" s="8" t="s">
        <v>1105</v>
      </c>
      <c r="F2803" s="8" t="s">
        <v>131</v>
      </c>
      <c r="G2803" s="7" t="s">
        <v>61</v>
      </c>
      <c r="H2803" s="47" t="s">
        <v>205</v>
      </c>
      <c r="I2803" s="47" t="s">
        <v>206</v>
      </c>
      <c r="J2803" s="6">
        <v>64</v>
      </c>
      <c r="K2803" s="8" t="s">
        <v>25</v>
      </c>
      <c r="L2803" s="1" t="s">
        <v>1105</v>
      </c>
      <c r="M2803" s="5">
        <v>14</v>
      </c>
    </row>
    <row r="2804" spans="1:13" ht="15" x14ac:dyDescent="0.25">
      <c r="A2804" s="7" t="s">
        <v>16</v>
      </c>
      <c r="B2804" s="7" t="s">
        <v>17</v>
      </c>
      <c r="C2804" s="7" t="s">
        <v>18</v>
      </c>
      <c r="D2804" s="4">
        <v>31635857000101</v>
      </c>
      <c r="E2804" s="8" t="s">
        <v>1106</v>
      </c>
      <c r="F2804" s="8" t="s">
        <v>131</v>
      </c>
      <c r="G2804" s="7" t="s">
        <v>61</v>
      </c>
      <c r="H2804" s="47" t="s">
        <v>205</v>
      </c>
      <c r="I2804" s="47" t="s">
        <v>206</v>
      </c>
      <c r="J2804" s="6">
        <v>62</v>
      </c>
      <c r="K2804" s="8" t="s">
        <v>27</v>
      </c>
      <c r="L2804" s="1" t="s">
        <v>1106</v>
      </c>
      <c r="M2804" s="5">
        <v>1</v>
      </c>
    </row>
    <row r="2805" spans="1:13" ht="15" x14ac:dyDescent="0.25">
      <c r="A2805" s="7" t="s">
        <v>16</v>
      </c>
      <c r="B2805" s="7" t="s">
        <v>17</v>
      </c>
      <c r="C2805" s="7" t="s">
        <v>18</v>
      </c>
      <c r="D2805" s="4">
        <v>31635857000292</v>
      </c>
      <c r="E2805" s="8" t="s">
        <v>1107</v>
      </c>
      <c r="F2805" s="8" t="s">
        <v>131</v>
      </c>
      <c r="G2805" s="7" t="s">
        <v>61</v>
      </c>
      <c r="H2805" s="47" t="s">
        <v>205</v>
      </c>
      <c r="I2805" s="47" t="s">
        <v>206</v>
      </c>
      <c r="J2805" s="6">
        <v>62</v>
      </c>
      <c r="K2805" s="8" t="s">
        <v>27</v>
      </c>
      <c r="L2805" s="1" t="s">
        <v>1107</v>
      </c>
      <c r="M2805" s="5">
        <v>7</v>
      </c>
    </row>
    <row r="2806" spans="1:13" ht="15" x14ac:dyDescent="0.25">
      <c r="A2806" s="7" t="s">
        <v>16</v>
      </c>
      <c r="B2806" s="7" t="s">
        <v>17</v>
      </c>
      <c r="C2806" s="7" t="s">
        <v>18</v>
      </c>
      <c r="D2806" s="4">
        <v>31635857000292</v>
      </c>
      <c r="E2806" s="8" t="s">
        <v>1107</v>
      </c>
      <c r="F2806" s="8" t="s">
        <v>131</v>
      </c>
      <c r="G2806" s="7" t="s">
        <v>61</v>
      </c>
      <c r="H2806" s="47" t="s">
        <v>205</v>
      </c>
      <c r="I2806" s="47" t="s">
        <v>206</v>
      </c>
      <c r="J2806" s="6">
        <v>73</v>
      </c>
      <c r="K2806" s="8" t="s">
        <v>26</v>
      </c>
      <c r="L2806" s="1" t="s">
        <v>1107</v>
      </c>
      <c r="M2806" s="5">
        <v>12</v>
      </c>
    </row>
    <row r="2807" spans="1:13" ht="15" x14ac:dyDescent="0.25">
      <c r="A2807" s="7" t="s">
        <v>16</v>
      </c>
      <c r="B2807" s="7" t="s">
        <v>17</v>
      </c>
      <c r="C2807" s="7" t="s">
        <v>18</v>
      </c>
      <c r="D2807" s="4">
        <v>32154700000127</v>
      </c>
      <c r="E2807" s="8" t="s">
        <v>1109</v>
      </c>
      <c r="F2807" s="8" t="s">
        <v>131</v>
      </c>
      <c r="G2807" s="7" t="s">
        <v>61</v>
      </c>
      <c r="H2807" s="47" t="s">
        <v>205</v>
      </c>
      <c r="I2807" s="47" t="s">
        <v>206</v>
      </c>
      <c r="J2807" s="6">
        <v>62</v>
      </c>
      <c r="K2807" s="8" t="s">
        <v>27</v>
      </c>
      <c r="L2807" s="1" t="s">
        <v>1109</v>
      </c>
      <c r="M2807" s="5">
        <v>5</v>
      </c>
    </row>
    <row r="2808" spans="1:13" ht="15" x14ac:dyDescent="0.25">
      <c r="A2808" s="7" t="s">
        <v>16</v>
      </c>
      <c r="B2808" s="7" t="s">
        <v>17</v>
      </c>
      <c r="C2808" s="7" t="s">
        <v>18</v>
      </c>
      <c r="D2808" s="4">
        <v>32154700000127</v>
      </c>
      <c r="E2808" s="8" t="s">
        <v>1109</v>
      </c>
      <c r="F2808" s="8" t="s">
        <v>131</v>
      </c>
      <c r="G2808" s="7" t="s">
        <v>61</v>
      </c>
      <c r="H2808" s="47" t="s">
        <v>205</v>
      </c>
      <c r="I2808" s="47" t="s">
        <v>206</v>
      </c>
      <c r="J2808" s="6">
        <v>64</v>
      </c>
      <c r="K2808" s="8" t="s">
        <v>25</v>
      </c>
      <c r="L2808" s="1" t="s">
        <v>1109</v>
      </c>
      <c r="M2808" s="5">
        <v>8</v>
      </c>
    </row>
    <row r="2809" spans="1:13" ht="15" x14ac:dyDescent="0.25">
      <c r="A2809" s="7" t="s">
        <v>16</v>
      </c>
      <c r="B2809" s="7" t="s">
        <v>17</v>
      </c>
      <c r="C2809" s="7" t="s">
        <v>18</v>
      </c>
      <c r="D2809" s="4">
        <v>33000167000101</v>
      </c>
      <c r="E2809" s="8" t="s">
        <v>1110</v>
      </c>
      <c r="F2809" s="8" t="s">
        <v>131</v>
      </c>
      <c r="G2809" s="7" t="s">
        <v>61</v>
      </c>
      <c r="H2809" s="47" t="s">
        <v>205</v>
      </c>
      <c r="I2809" s="47" t="s">
        <v>206</v>
      </c>
      <c r="J2809" s="6">
        <v>70</v>
      </c>
      <c r="K2809" s="8" t="s">
        <v>20</v>
      </c>
      <c r="L2809" s="1" t="s">
        <v>1110</v>
      </c>
      <c r="M2809" s="5">
        <v>140</v>
      </c>
    </row>
    <row r="2810" spans="1:13" ht="15" x14ac:dyDescent="0.25">
      <c r="A2810" s="7" t="s">
        <v>16</v>
      </c>
      <c r="B2810" s="7" t="s">
        <v>17</v>
      </c>
      <c r="C2810" s="7" t="s">
        <v>18</v>
      </c>
      <c r="D2810" s="4">
        <v>33419482000259</v>
      </c>
      <c r="E2810" s="8" t="s">
        <v>1111</v>
      </c>
      <c r="F2810" s="8" t="s">
        <v>131</v>
      </c>
      <c r="G2810" s="7" t="s">
        <v>61</v>
      </c>
      <c r="H2810" s="47" t="s">
        <v>205</v>
      </c>
      <c r="I2810" s="47" t="s">
        <v>206</v>
      </c>
      <c r="J2810" s="6">
        <v>62</v>
      </c>
      <c r="K2810" s="8" t="s">
        <v>27</v>
      </c>
      <c r="L2810" s="1" t="s">
        <v>1111</v>
      </c>
      <c r="M2810" s="5">
        <v>11</v>
      </c>
    </row>
    <row r="2811" spans="1:13" ht="15" x14ac:dyDescent="0.25">
      <c r="A2811" s="7" t="s">
        <v>16</v>
      </c>
      <c r="B2811" s="7" t="s">
        <v>17</v>
      </c>
      <c r="C2811" s="7" t="s">
        <v>18</v>
      </c>
      <c r="D2811" s="4">
        <v>33419482000259</v>
      </c>
      <c r="E2811" s="8" t="s">
        <v>1111</v>
      </c>
      <c r="F2811" s="8" t="s">
        <v>131</v>
      </c>
      <c r="G2811" s="7" t="s">
        <v>61</v>
      </c>
      <c r="H2811" s="47" t="s">
        <v>205</v>
      </c>
      <c r="I2811" s="47" t="s">
        <v>206</v>
      </c>
      <c r="J2811" s="6">
        <v>64</v>
      </c>
      <c r="K2811" s="8" t="s">
        <v>25</v>
      </c>
      <c r="L2811" s="1" t="s">
        <v>1111</v>
      </c>
      <c r="M2811" s="5">
        <v>9</v>
      </c>
    </row>
    <row r="2812" spans="1:13" ht="15" x14ac:dyDescent="0.25">
      <c r="A2812" s="7" t="s">
        <v>16</v>
      </c>
      <c r="B2812" s="7" t="s">
        <v>17</v>
      </c>
      <c r="C2812" s="7" t="s">
        <v>18</v>
      </c>
      <c r="D2812" s="4">
        <v>33419482000259</v>
      </c>
      <c r="E2812" s="8" t="s">
        <v>1111</v>
      </c>
      <c r="F2812" s="8" t="s">
        <v>131</v>
      </c>
      <c r="G2812" s="7" t="s">
        <v>61</v>
      </c>
      <c r="H2812" s="47" t="s">
        <v>205</v>
      </c>
      <c r="I2812" s="47" t="s">
        <v>206</v>
      </c>
      <c r="J2812" s="6">
        <v>70</v>
      </c>
      <c r="K2812" s="8" t="s">
        <v>20</v>
      </c>
      <c r="L2812" s="1" t="s">
        <v>1111</v>
      </c>
      <c r="M2812" s="5">
        <v>10</v>
      </c>
    </row>
    <row r="2813" spans="1:13" ht="15" x14ac:dyDescent="0.25">
      <c r="A2813" s="7" t="s">
        <v>16</v>
      </c>
      <c r="B2813" s="7" t="s">
        <v>17</v>
      </c>
      <c r="C2813" s="7" t="s">
        <v>18</v>
      </c>
      <c r="D2813" s="4">
        <v>33663683002674</v>
      </c>
      <c r="E2813" s="8" t="s">
        <v>1113</v>
      </c>
      <c r="F2813" s="8" t="s">
        <v>131</v>
      </c>
      <c r="G2813" s="7" t="s">
        <v>61</v>
      </c>
      <c r="H2813" s="47" t="s">
        <v>205</v>
      </c>
      <c r="I2813" s="47" t="s">
        <v>206</v>
      </c>
      <c r="J2813" s="6">
        <v>64</v>
      </c>
      <c r="K2813" s="8" t="s">
        <v>25</v>
      </c>
      <c r="L2813" s="1" t="s">
        <v>1113</v>
      </c>
      <c r="M2813" s="5">
        <v>2</v>
      </c>
    </row>
    <row r="2814" spans="1:13" ht="15" x14ac:dyDescent="0.25">
      <c r="A2814" s="7" t="s">
        <v>16</v>
      </c>
      <c r="B2814" s="7" t="s">
        <v>17</v>
      </c>
      <c r="C2814" s="7" t="s">
        <v>18</v>
      </c>
      <c r="D2814" s="4">
        <v>33663683005347</v>
      </c>
      <c r="E2814" s="8" t="s">
        <v>1114</v>
      </c>
      <c r="F2814" s="8" t="s">
        <v>131</v>
      </c>
      <c r="G2814" s="7" t="s">
        <v>61</v>
      </c>
      <c r="H2814" s="47" t="s">
        <v>205</v>
      </c>
      <c r="I2814" s="47" t="s">
        <v>206</v>
      </c>
      <c r="J2814" s="6">
        <v>70</v>
      </c>
      <c r="K2814" s="8" t="s">
        <v>20</v>
      </c>
      <c r="L2814" s="1" t="s">
        <v>1114</v>
      </c>
      <c r="M2814" s="5">
        <v>800</v>
      </c>
    </row>
    <row r="2815" spans="1:13" ht="15" x14ac:dyDescent="0.25">
      <c r="A2815" s="7" t="s">
        <v>16</v>
      </c>
      <c r="B2815" s="7" t="s">
        <v>17</v>
      </c>
      <c r="C2815" s="7" t="s">
        <v>18</v>
      </c>
      <c r="D2815" s="4">
        <v>33781055000216</v>
      </c>
      <c r="E2815" s="8" t="s">
        <v>1116</v>
      </c>
      <c r="F2815" s="8" t="s">
        <v>131</v>
      </c>
      <c r="G2815" s="7" t="s">
        <v>61</v>
      </c>
      <c r="H2815" s="47" t="s">
        <v>205</v>
      </c>
      <c r="I2815" s="47" t="s">
        <v>206</v>
      </c>
      <c r="J2815" s="6">
        <v>70</v>
      </c>
      <c r="K2815" s="8" t="s">
        <v>20</v>
      </c>
      <c r="L2815" s="1" t="s">
        <v>1116</v>
      </c>
      <c r="M2815" s="5">
        <v>270</v>
      </c>
    </row>
    <row r="2816" spans="1:13" ht="15" x14ac:dyDescent="0.25">
      <c r="A2816" s="7" t="s">
        <v>16</v>
      </c>
      <c r="B2816" s="7" t="s">
        <v>17</v>
      </c>
      <c r="C2816" s="7" t="s">
        <v>18</v>
      </c>
      <c r="D2816" s="4">
        <v>33927377000140</v>
      </c>
      <c r="E2816" s="8" t="s">
        <v>1117</v>
      </c>
      <c r="F2816" s="8" t="s">
        <v>131</v>
      </c>
      <c r="G2816" s="7" t="s">
        <v>61</v>
      </c>
      <c r="H2816" s="47" t="s">
        <v>205</v>
      </c>
      <c r="I2816" s="47" t="s">
        <v>206</v>
      </c>
      <c r="J2816" s="6">
        <v>70</v>
      </c>
      <c r="K2816" s="8" t="s">
        <v>20</v>
      </c>
      <c r="L2816" s="1" t="s">
        <v>1117</v>
      </c>
      <c r="M2816" s="5">
        <v>-5</v>
      </c>
    </row>
    <row r="2817" spans="1:13" ht="15" x14ac:dyDescent="0.25">
      <c r="A2817" s="7" t="s">
        <v>16</v>
      </c>
      <c r="B2817" s="7" t="s">
        <v>17</v>
      </c>
      <c r="C2817" s="7" t="s">
        <v>18</v>
      </c>
      <c r="D2817" s="4">
        <v>39086160000130</v>
      </c>
      <c r="E2817" s="8" t="s">
        <v>1119</v>
      </c>
      <c r="F2817" s="8" t="s">
        <v>131</v>
      </c>
      <c r="G2817" s="7" t="s">
        <v>61</v>
      </c>
      <c r="H2817" s="47" t="s">
        <v>205</v>
      </c>
      <c r="I2817" s="47" t="s">
        <v>206</v>
      </c>
      <c r="J2817" s="6">
        <v>70</v>
      </c>
      <c r="K2817" s="8" t="s">
        <v>20</v>
      </c>
      <c r="L2817" s="1" t="s">
        <v>1119</v>
      </c>
      <c r="M2817" s="5">
        <v>200</v>
      </c>
    </row>
    <row r="2818" spans="1:13" ht="15" x14ac:dyDescent="0.25">
      <c r="A2818" s="7" t="s">
        <v>16</v>
      </c>
      <c r="B2818" s="7" t="s">
        <v>17</v>
      </c>
      <c r="C2818" s="7" t="s">
        <v>18</v>
      </c>
      <c r="D2818" s="4">
        <v>39086160000130</v>
      </c>
      <c r="E2818" s="8" t="s">
        <v>1119</v>
      </c>
      <c r="F2818" s="8" t="s">
        <v>131</v>
      </c>
      <c r="G2818" s="7" t="s">
        <v>61</v>
      </c>
      <c r="H2818" s="47" t="s">
        <v>205</v>
      </c>
      <c r="I2818" s="47" t="s">
        <v>206</v>
      </c>
      <c r="J2818" s="6">
        <v>73</v>
      </c>
      <c r="K2818" s="8" t="s">
        <v>26</v>
      </c>
      <c r="L2818" s="1" t="s">
        <v>1119</v>
      </c>
      <c r="M2818" s="5">
        <v>100</v>
      </c>
    </row>
    <row r="2819" spans="1:13" ht="15" x14ac:dyDescent="0.25">
      <c r="A2819" s="7" t="s">
        <v>16</v>
      </c>
      <c r="B2819" s="7" t="s">
        <v>17</v>
      </c>
      <c r="C2819" s="7" t="s">
        <v>18</v>
      </c>
      <c r="D2819" s="4">
        <v>53221255004995</v>
      </c>
      <c r="E2819" s="8" t="s">
        <v>1123</v>
      </c>
      <c r="F2819" s="8" t="s">
        <v>131</v>
      </c>
      <c r="G2819" s="7" t="s">
        <v>61</v>
      </c>
      <c r="H2819" s="47" t="s">
        <v>205</v>
      </c>
      <c r="I2819" s="47" t="s">
        <v>206</v>
      </c>
      <c r="J2819" s="6">
        <v>62</v>
      </c>
      <c r="K2819" s="8" t="s">
        <v>27</v>
      </c>
      <c r="L2819" s="1" t="s">
        <v>1123</v>
      </c>
      <c r="M2819" s="5">
        <v>2</v>
      </c>
    </row>
    <row r="2820" spans="1:13" ht="15" x14ac:dyDescent="0.25">
      <c r="A2820" s="7" t="s">
        <v>16</v>
      </c>
      <c r="B2820" s="7" t="s">
        <v>17</v>
      </c>
      <c r="C2820" s="7" t="s">
        <v>18</v>
      </c>
      <c r="D2820" s="4">
        <v>60884855001630</v>
      </c>
      <c r="E2820" s="8" t="s">
        <v>1124</v>
      </c>
      <c r="F2820" s="8" t="s">
        <v>131</v>
      </c>
      <c r="G2820" s="7" t="s">
        <v>61</v>
      </c>
      <c r="H2820" s="47" t="s">
        <v>205</v>
      </c>
      <c r="I2820" s="47" t="s">
        <v>206</v>
      </c>
      <c r="J2820" s="6">
        <v>62</v>
      </c>
      <c r="K2820" s="8" t="s">
        <v>27</v>
      </c>
      <c r="L2820" s="1" t="s">
        <v>1124</v>
      </c>
      <c r="M2820" s="5">
        <v>25</v>
      </c>
    </row>
    <row r="2821" spans="1:13" ht="15" x14ac:dyDescent="0.25">
      <c r="A2821" s="7" t="s">
        <v>16</v>
      </c>
      <c r="B2821" s="7" t="s">
        <v>17</v>
      </c>
      <c r="C2821" s="7" t="s">
        <v>18</v>
      </c>
      <c r="D2821" s="4">
        <v>60884855001630</v>
      </c>
      <c r="E2821" s="8" t="s">
        <v>1124</v>
      </c>
      <c r="F2821" s="8" t="s">
        <v>131</v>
      </c>
      <c r="G2821" s="7" t="s">
        <v>61</v>
      </c>
      <c r="H2821" s="47" t="s">
        <v>205</v>
      </c>
      <c r="I2821" s="47" t="s">
        <v>206</v>
      </c>
      <c r="J2821" s="6">
        <v>64</v>
      </c>
      <c r="K2821" s="8" t="s">
        <v>25</v>
      </c>
      <c r="L2821" s="1" t="s">
        <v>1124</v>
      </c>
      <c r="M2821" s="5">
        <v>9</v>
      </c>
    </row>
    <row r="2822" spans="1:13" ht="15" x14ac:dyDescent="0.25">
      <c r="A2822" s="7" t="s">
        <v>16</v>
      </c>
      <c r="B2822" s="7" t="s">
        <v>17</v>
      </c>
      <c r="C2822" s="7" t="s">
        <v>18</v>
      </c>
      <c r="D2822" s="4">
        <v>60884855001630</v>
      </c>
      <c r="E2822" s="8" t="s">
        <v>1124</v>
      </c>
      <c r="F2822" s="8" t="s">
        <v>131</v>
      </c>
      <c r="G2822" s="7" t="s">
        <v>61</v>
      </c>
      <c r="H2822" s="47" t="s">
        <v>205</v>
      </c>
      <c r="I2822" s="47" t="s">
        <v>206</v>
      </c>
      <c r="J2822" s="6">
        <v>70</v>
      </c>
      <c r="K2822" s="8" t="s">
        <v>20</v>
      </c>
      <c r="L2822" s="1" t="s">
        <v>1124</v>
      </c>
      <c r="M2822" s="5">
        <v>375</v>
      </c>
    </row>
    <row r="2823" spans="1:13" ht="15" x14ac:dyDescent="0.25">
      <c r="A2823" s="7" t="s">
        <v>16</v>
      </c>
      <c r="B2823" s="7" t="s">
        <v>17</v>
      </c>
      <c r="C2823" s="7" t="s">
        <v>18</v>
      </c>
      <c r="D2823" s="4">
        <v>60922168000348</v>
      </c>
      <c r="E2823" s="8" t="s">
        <v>1125</v>
      </c>
      <c r="F2823" s="8" t="s">
        <v>131</v>
      </c>
      <c r="G2823" s="7" t="s">
        <v>61</v>
      </c>
      <c r="H2823" s="47" t="s">
        <v>205</v>
      </c>
      <c r="I2823" s="47" t="s">
        <v>206</v>
      </c>
      <c r="J2823" s="6">
        <v>62</v>
      </c>
      <c r="K2823" s="8" t="s">
        <v>27</v>
      </c>
      <c r="L2823" s="1" t="s">
        <v>1125</v>
      </c>
      <c r="M2823" s="5">
        <v>2</v>
      </c>
    </row>
    <row r="2824" spans="1:13" ht="15" x14ac:dyDescent="0.25">
      <c r="A2824" s="7" t="s">
        <v>16</v>
      </c>
      <c r="B2824" s="7" t="s">
        <v>17</v>
      </c>
      <c r="C2824" s="7" t="s">
        <v>18</v>
      </c>
      <c r="D2824" s="4">
        <v>60922168000348</v>
      </c>
      <c r="E2824" s="8" t="s">
        <v>1125</v>
      </c>
      <c r="F2824" s="8" t="s">
        <v>131</v>
      </c>
      <c r="G2824" s="7" t="s">
        <v>61</v>
      </c>
      <c r="H2824" s="47" t="s">
        <v>205</v>
      </c>
      <c r="I2824" s="47" t="s">
        <v>206</v>
      </c>
      <c r="J2824" s="6">
        <v>64</v>
      </c>
      <c r="K2824" s="8" t="s">
        <v>25</v>
      </c>
      <c r="L2824" s="1" t="s">
        <v>1125</v>
      </c>
      <c r="M2824" s="5">
        <v>3</v>
      </c>
    </row>
    <row r="2825" spans="1:13" ht="15" x14ac:dyDescent="0.25">
      <c r="A2825" s="7" t="s">
        <v>16</v>
      </c>
      <c r="B2825" s="7" t="s">
        <v>17</v>
      </c>
      <c r="C2825" s="7" t="s">
        <v>18</v>
      </c>
      <c r="D2825" s="4">
        <v>60922168000348</v>
      </c>
      <c r="E2825" s="8" t="s">
        <v>1125</v>
      </c>
      <c r="F2825" s="8" t="s">
        <v>131</v>
      </c>
      <c r="G2825" s="7" t="s">
        <v>61</v>
      </c>
      <c r="H2825" s="47" t="s">
        <v>205</v>
      </c>
      <c r="I2825" s="47" t="s">
        <v>206</v>
      </c>
      <c r="J2825" s="6">
        <v>70</v>
      </c>
      <c r="K2825" s="8" t="s">
        <v>20</v>
      </c>
      <c r="L2825" s="1" t="s">
        <v>1125</v>
      </c>
      <c r="M2825" s="5">
        <v>330</v>
      </c>
    </row>
    <row r="2826" spans="1:13" ht="15" x14ac:dyDescent="0.25">
      <c r="A2826" s="7" t="s">
        <v>16</v>
      </c>
      <c r="B2826" s="7" t="s">
        <v>17</v>
      </c>
      <c r="C2826" s="7" t="s">
        <v>18</v>
      </c>
      <c r="D2826" s="4">
        <v>72101124000506</v>
      </c>
      <c r="E2826" s="8" t="s">
        <v>1126</v>
      </c>
      <c r="F2826" s="8" t="s">
        <v>131</v>
      </c>
      <c r="G2826" s="7" t="s">
        <v>61</v>
      </c>
      <c r="H2826" s="47" t="s">
        <v>205</v>
      </c>
      <c r="I2826" s="47" t="s">
        <v>206</v>
      </c>
      <c r="J2826" s="6">
        <v>73</v>
      </c>
      <c r="K2826" s="8" t="s">
        <v>26</v>
      </c>
      <c r="L2826" s="1" t="s">
        <v>1126</v>
      </c>
      <c r="M2826" s="5">
        <v>229</v>
      </c>
    </row>
    <row r="2827" spans="1:13" ht="15" x14ac:dyDescent="0.25">
      <c r="A2827" s="7" t="s">
        <v>16</v>
      </c>
      <c r="B2827" s="7" t="s">
        <v>17</v>
      </c>
      <c r="C2827" s="7" t="s">
        <v>18</v>
      </c>
      <c r="D2827" s="4">
        <v>73696718000219</v>
      </c>
      <c r="E2827" s="8" t="s">
        <v>1127</v>
      </c>
      <c r="F2827" s="8" t="s">
        <v>131</v>
      </c>
      <c r="G2827" s="7" t="s">
        <v>61</v>
      </c>
      <c r="H2827" s="47" t="s">
        <v>205</v>
      </c>
      <c r="I2827" s="47" t="s">
        <v>206</v>
      </c>
      <c r="J2827" s="6">
        <v>62</v>
      </c>
      <c r="K2827" s="8" t="s">
        <v>27</v>
      </c>
      <c r="L2827" s="1" t="s">
        <v>1127</v>
      </c>
      <c r="M2827" s="5">
        <v>9</v>
      </c>
    </row>
    <row r="2828" spans="1:13" ht="15" x14ac:dyDescent="0.25">
      <c r="A2828" s="7" t="s">
        <v>16</v>
      </c>
      <c r="B2828" s="7" t="s">
        <v>17</v>
      </c>
      <c r="C2828" s="7" t="s">
        <v>18</v>
      </c>
      <c r="D2828" s="4">
        <v>73696718000219</v>
      </c>
      <c r="E2828" s="8" t="s">
        <v>1127</v>
      </c>
      <c r="F2828" s="8" t="s">
        <v>131</v>
      </c>
      <c r="G2828" s="7" t="s">
        <v>61</v>
      </c>
      <c r="H2828" s="47" t="s">
        <v>205</v>
      </c>
      <c r="I2828" s="47" t="s">
        <v>206</v>
      </c>
      <c r="J2828" s="6">
        <v>64</v>
      </c>
      <c r="K2828" s="8" t="s">
        <v>25</v>
      </c>
      <c r="L2828" s="1" t="s">
        <v>1127</v>
      </c>
      <c r="M2828" s="5">
        <v>3</v>
      </c>
    </row>
    <row r="2829" spans="1:13" ht="15" x14ac:dyDescent="0.25">
      <c r="A2829" s="7" t="s">
        <v>16</v>
      </c>
      <c r="B2829" s="7" t="s">
        <v>21</v>
      </c>
      <c r="C2829" s="7" t="s">
        <v>18</v>
      </c>
      <c r="D2829" s="4">
        <v>22400856000197</v>
      </c>
      <c r="E2829" s="8" t="s">
        <v>1096</v>
      </c>
      <c r="F2829" s="8" t="s">
        <v>131</v>
      </c>
      <c r="G2829" s="7" t="s">
        <v>61</v>
      </c>
      <c r="H2829" s="47" t="s">
        <v>205</v>
      </c>
      <c r="I2829" s="47" t="s">
        <v>206</v>
      </c>
      <c r="J2829" s="6">
        <v>70</v>
      </c>
      <c r="K2829" s="8" t="s">
        <v>20</v>
      </c>
      <c r="L2829" s="1" t="s">
        <v>1096</v>
      </c>
      <c r="M2829" s="5">
        <v>50</v>
      </c>
    </row>
    <row r="2830" spans="1:13" ht="15" x14ac:dyDescent="0.25">
      <c r="A2830" s="7" t="s">
        <v>16</v>
      </c>
      <c r="B2830" s="7" t="s">
        <v>21</v>
      </c>
      <c r="C2830" s="7" t="s">
        <v>18</v>
      </c>
      <c r="D2830" s="4">
        <v>29435005005279</v>
      </c>
      <c r="E2830" s="8" t="s">
        <v>1103</v>
      </c>
      <c r="F2830" s="8" t="s">
        <v>131</v>
      </c>
      <c r="G2830" s="7" t="s">
        <v>61</v>
      </c>
      <c r="H2830" s="47" t="s">
        <v>205</v>
      </c>
      <c r="I2830" s="47" t="s">
        <v>206</v>
      </c>
      <c r="J2830" s="6">
        <v>64</v>
      </c>
      <c r="K2830" s="8" t="s">
        <v>25</v>
      </c>
      <c r="L2830" s="1" t="s">
        <v>1103</v>
      </c>
      <c r="M2830" s="5">
        <v>5</v>
      </c>
    </row>
    <row r="2831" spans="1:13" ht="15" x14ac:dyDescent="0.25">
      <c r="A2831" s="7" t="s">
        <v>16</v>
      </c>
      <c r="B2831" s="7" t="s">
        <v>21</v>
      </c>
      <c r="C2831" s="7" t="s">
        <v>18</v>
      </c>
      <c r="D2831" s="4">
        <v>31635857000292</v>
      </c>
      <c r="E2831" s="8" t="s">
        <v>1107</v>
      </c>
      <c r="F2831" s="8" t="s">
        <v>131</v>
      </c>
      <c r="G2831" s="7" t="s">
        <v>61</v>
      </c>
      <c r="H2831" s="47" t="s">
        <v>205</v>
      </c>
      <c r="I2831" s="47" t="s">
        <v>206</v>
      </c>
      <c r="J2831" s="6">
        <v>73</v>
      </c>
      <c r="K2831" s="8" t="s">
        <v>26</v>
      </c>
      <c r="L2831" s="1" t="s">
        <v>1107</v>
      </c>
      <c r="M2831" s="5">
        <v>36</v>
      </c>
    </row>
    <row r="2832" spans="1:13" ht="15" x14ac:dyDescent="0.25">
      <c r="A2832" s="7" t="s">
        <v>16</v>
      </c>
      <c r="B2832" s="7" t="s">
        <v>21</v>
      </c>
      <c r="C2832" s="7" t="s">
        <v>18</v>
      </c>
      <c r="D2832" s="4">
        <v>33419482000259</v>
      </c>
      <c r="E2832" s="8" t="s">
        <v>1111</v>
      </c>
      <c r="F2832" s="8" t="s">
        <v>131</v>
      </c>
      <c r="G2832" s="7" t="s">
        <v>61</v>
      </c>
      <c r="H2832" s="47" t="s">
        <v>205</v>
      </c>
      <c r="I2832" s="47" t="s">
        <v>206</v>
      </c>
      <c r="J2832" s="6">
        <v>62</v>
      </c>
      <c r="K2832" s="8" t="s">
        <v>27</v>
      </c>
      <c r="L2832" s="1" t="s">
        <v>1111</v>
      </c>
      <c r="M2832" s="5">
        <v>9</v>
      </c>
    </row>
    <row r="2833" spans="1:13" ht="15" x14ac:dyDescent="0.25">
      <c r="A2833" s="7" t="s">
        <v>16</v>
      </c>
      <c r="B2833" s="7" t="s">
        <v>21</v>
      </c>
      <c r="C2833" s="7" t="s">
        <v>18</v>
      </c>
      <c r="D2833" s="4">
        <v>33419482000259</v>
      </c>
      <c r="E2833" s="8" t="s">
        <v>1111</v>
      </c>
      <c r="F2833" s="8" t="s">
        <v>131</v>
      </c>
      <c r="G2833" s="7" t="s">
        <v>61</v>
      </c>
      <c r="H2833" s="47" t="s">
        <v>205</v>
      </c>
      <c r="I2833" s="47" t="s">
        <v>206</v>
      </c>
      <c r="J2833" s="6">
        <v>64</v>
      </c>
      <c r="K2833" s="8" t="s">
        <v>25</v>
      </c>
      <c r="L2833" s="1" t="s">
        <v>1111</v>
      </c>
      <c r="M2833" s="5">
        <v>2</v>
      </c>
    </row>
    <row r="2834" spans="1:13" ht="15" x14ac:dyDescent="0.25">
      <c r="A2834" s="7" t="s">
        <v>16</v>
      </c>
      <c r="B2834" s="7" t="s">
        <v>21</v>
      </c>
      <c r="C2834" s="7" t="s">
        <v>18</v>
      </c>
      <c r="D2834" s="4">
        <v>33419482000259</v>
      </c>
      <c r="E2834" s="8" t="s">
        <v>1111</v>
      </c>
      <c r="F2834" s="8" t="s">
        <v>131</v>
      </c>
      <c r="G2834" s="7" t="s">
        <v>61</v>
      </c>
      <c r="H2834" s="47" t="s">
        <v>205</v>
      </c>
      <c r="I2834" s="47" t="s">
        <v>206</v>
      </c>
      <c r="J2834" s="6">
        <v>70</v>
      </c>
      <c r="K2834" s="8" t="s">
        <v>20</v>
      </c>
      <c r="L2834" s="1" t="s">
        <v>1111</v>
      </c>
      <c r="M2834" s="5">
        <v>15</v>
      </c>
    </row>
    <row r="2835" spans="1:13" ht="15" x14ac:dyDescent="0.25">
      <c r="A2835" s="7" t="s">
        <v>16</v>
      </c>
      <c r="B2835" s="7" t="s">
        <v>21</v>
      </c>
      <c r="C2835" s="7" t="s">
        <v>18</v>
      </c>
      <c r="D2835" s="4">
        <v>33663683005347</v>
      </c>
      <c r="E2835" s="8" t="s">
        <v>1114</v>
      </c>
      <c r="F2835" s="8" t="s">
        <v>131</v>
      </c>
      <c r="G2835" s="7" t="s">
        <v>61</v>
      </c>
      <c r="H2835" s="47" t="s">
        <v>205</v>
      </c>
      <c r="I2835" s="47" t="s">
        <v>206</v>
      </c>
      <c r="J2835" s="6">
        <v>70</v>
      </c>
      <c r="K2835" s="8" t="s">
        <v>20</v>
      </c>
      <c r="L2835" s="1" t="s">
        <v>1114</v>
      </c>
      <c r="M2835" s="5">
        <v>800</v>
      </c>
    </row>
    <row r="2836" spans="1:13" ht="15" x14ac:dyDescent="0.25">
      <c r="A2836" s="7" t="s">
        <v>16</v>
      </c>
      <c r="B2836" s="7" t="s">
        <v>21</v>
      </c>
      <c r="C2836" s="7" t="s">
        <v>18</v>
      </c>
      <c r="D2836" s="4">
        <v>34058123000103</v>
      </c>
      <c r="E2836" s="8" t="s">
        <v>1118</v>
      </c>
      <c r="F2836" s="8" t="s">
        <v>131</v>
      </c>
      <c r="G2836" s="7" t="s">
        <v>61</v>
      </c>
      <c r="H2836" s="47" t="s">
        <v>205</v>
      </c>
      <c r="I2836" s="47" t="s">
        <v>206</v>
      </c>
      <c r="J2836" s="6">
        <v>62</v>
      </c>
      <c r="K2836" s="8" t="s">
        <v>27</v>
      </c>
      <c r="L2836" s="1" t="s">
        <v>1118</v>
      </c>
      <c r="M2836" s="5">
        <v>6</v>
      </c>
    </row>
    <row r="2837" spans="1:13" ht="15" x14ac:dyDescent="0.25">
      <c r="A2837" s="7" t="s">
        <v>16</v>
      </c>
      <c r="B2837" s="7" t="s">
        <v>21</v>
      </c>
      <c r="C2837" s="7" t="s">
        <v>18</v>
      </c>
      <c r="D2837" s="4">
        <v>34058123000103</v>
      </c>
      <c r="E2837" s="8" t="s">
        <v>1118</v>
      </c>
      <c r="F2837" s="8" t="s">
        <v>131</v>
      </c>
      <c r="G2837" s="7" t="s">
        <v>61</v>
      </c>
      <c r="H2837" s="47" t="s">
        <v>205</v>
      </c>
      <c r="I2837" s="47" t="s">
        <v>206</v>
      </c>
      <c r="J2837" s="6">
        <v>64</v>
      </c>
      <c r="K2837" s="8" t="s">
        <v>25</v>
      </c>
      <c r="L2837" s="1" t="s">
        <v>1118</v>
      </c>
      <c r="M2837" s="5">
        <v>16</v>
      </c>
    </row>
    <row r="2838" spans="1:13" ht="15" x14ac:dyDescent="0.25">
      <c r="A2838" s="7" t="s">
        <v>16</v>
      </c>
      <c r="B2838" s="7" t="s">
        <v>21</v>
      </c>
      <c r="C2838" s="7" t="s">
        <v>18</v>
      </c>
      <c r="D2838" s="4">
        <v>39086160000130</v>
      </c>
      <c r="E2838" s="8" t="s">
        <v>1119</v>
      </c>
      <c r="F2838" s="8" t="s">
        <v>131</v>
      </c>
      <c r="G2838" s="7" t="s">
        <v>61</v>
      </c>
      <c r="H2838" s="47" t="s">
        <v>205</v>
      </c>
      <c r="I2838" s="47" t="s">
        <v>206</v>
      </c>
      <c r="J2838" s="6">
        <v>70</v>
      </c>
      <c r="K2838" s="8" t="s">
        <v>20</v>
      </c>
      <c r="L2838" s="1" t="s">
        <v>1119</v>
      </c>
      <c r="M2838" s="5">
        <v>150</v>
      </c>
    </row>
    <row r="2839" spans="1:13" ht="15" x14ac:dyDescent="0.25">
      <c r="A2839" s="7" t="s">
        <v>16</v>
      </c>
      <c r="B2839" s="7" t="s">
        <v>21</v>
      </c>
      <c r="C2839" s="7" t="s">
        <v>18</v>
      </c>
      <c r="D2839" s="4">
        <v>39086160000130</v>
      </c>
      <c r="E2839" s="8" t="s">
        <v>1119</v>
      </c>
      <c r="F2839" s="8" t="s">
        <v>131</v>
      </c>
      <c r="G2839" s="7" t="s">
        <v>61</v>
      </c>
      <c r="H2839" s="47" t="s">
        <v>205</v>
      </c>
      <c r="I2839" s="47" t="s">
        <v>206</v>
      </c>
      <c r="J2839" s="6">
        <v>73</v>
      </c>
      <c r="K2839" s="8" t="s">
        <v>26</v>
      </c>
      <c r="L2839" s="1" t="s">
        <v>1119</v>
      </c>
      <c r="M2839" s="5">
        <v>48</v>
      </c>
    </row>
    <row r="2840" spans="1:13" ht="15" x14ac:dyDescent="0.25">
      <c r="A2840" s="7" t="s">
        <v>16</v>
      </c>
      <c r="B2840" s="7" t="s">
        <v>21</v>
      </c>
      <c r="C2840" s="7" t="s">
        <v>18</v>
      </c>
      <c r="D2840" s="4">
        <v>40320103000153</v>
      </c>
      <c r="E2840" s="8" t="s">
        <v>1121</v>
      </c>
      <c r="F2840" s="8" t="s">
        <v>131</v>
      </c>
      <c r="G2840" s="7" t="s">
        <v>61</v>
      </c>
      <c r="H2840" s="47" t="s">
        <v>205</v>
      </c>
      <c r="I2840" s="47" t="s">
        <v>206</v>
      </c>
      <c r="J2840" s="6">
        <v>64</v>
      </c>
      <c r="K2840" s="8" t="s">
        <v>25</v>
      </c>
      <c r="L2840" s="1" t="s">
        <v>1121</v>
      </c>
      <c r="M2840" s="5">
        <v>5</v>
      </c>
    </row>
    <row r="2841" spans="1:13" ht="15" x14ac:dyDescent="0.25">
      <c r="A2841" s="7" t="s">
        <v>16</v>
      </c>
      <c r="B2841" s="7" t="s">
        <v>21</v>
      </c>
      <c r="C2841" s="7" t="s">
        <v>18</v>
      </c>
      <c r="D2841" s="4">
        <v>42297507000107</v>
      </c>
      <c r="E2841" s="8" t="s">
        <v>1122</v>
      </c>
      <c r="F2841" s="8" t="s">
        <v>131</v>
      </c>
      <c r="G2841" s="7" t="s">
        <v>61</v>
      </c>
      <c r="H2841" s="47" t="s">
        <v>205</v>
      </c>
      <c r="I2841" s="47" t="s">
        <v>206</v>
      </c>
      <c r="J2841" s="6">
        <v>62</v>
      </c>
      <c r="K2841" s="8" t="s">
        <v>27</v>
      </c>
      <c r="L2841" s="1" t="s">
        <v>1122</v>
      </c>
      <c r="M2841" s="5">
        <v>4</v>
      </c>
    </row>
    <row r="2842" spans="1:13" ht="15" x14ac:dyDescent="0.25">
      <c r="A2842" s="7" t="s">
        <v>16</v>
      </c>
      <c r="B2842" s="7" t="s">
        <v>21</v>
      </c>
      <c r="C2842" s="7" t="s">
        <v>18</v>
      </c>
      <c r="D2842" s="4">
        <v>42297507000107</v>
      </c>
      <c r="E2842" s="8" t="s">
        <v>1122</v>
      </c>
      <c r="F2842" s="8" t="s">
        <v>131</v>
      </c>
      <c r="G2842" s="7" t="s">
        <v>61</v>
      </c>
      <c r="H2842" s="47" t="s">
        <v>205</v>
      </c>
      <c r="I2842" s="47" t="s">
        <v>206</v>
      </c>
      <c r="J2842" s="6">
        <v>64</v>
      </c>
      <c r="K2842" s="8" t="s">
        <v>25</v>
      </c>
      <c r="L2842" s="1" t="s">
        <v>1122</v>
      </c>
      <c r="M2842" s="5">
        <v>4</v>
      </c>
    </row>
    <row r="2843" spans="1:13" ht="15" x14ac:dyDescent="0.25">
      <c r="A2843" s="7" t="s">
        <v>16</v>
      </c>
      <c r="B2843" s="7" t="s">
        <v>21</v>
      </c>
      <c r="C2843" s="7" t="s">
        <v>18</v>
      </c>
      <c r="D2843" s="4">
        <v>53221255004995</v>
      </c>
      <c r="E2843" s="8" t="s">
        <v>1123</v>
      </c>
      <c r="F2843" s="8" t="s">
        <v>131</v>
      </c>
      <c r="G2843" s="7" t="s">
        <v>61</v>
      </c>
      <c r="H2843" s="47" t="s">
        <v>205</v>
      </c>
      <c r="I2843" s="47" t="s">
        <v>206</v>
      </c>
      <c r="J2843" s="6">
        <v>62</v>
      </c>
      <c r="K2843" s="8" t="s">
        <v>27</v>
      </c>
      <c r="L2843" s="1" t="s">
        <v>1123</v>
      </c>
      <c r="M2843" s="5">
        <v>1</v>
      </c>
    </row>
    <row r="2844" spans="1:13" ht="15" x14ac:dyDescent="0.25">
      <c r="A2844" s="7" t="s">
        <v>16</v>
      </c>
      <c r="B2844" s="7" t="s">
        <v>21</v>
      </c>
      <c r="C2844" s="7" t="s">
        <v>18</v>
      </c>
      <c r="D2844" s="4">
        <v>60884855001630</v>
      </c>
      <c r="E2844" s="8" t="s">
        <v>1124</v>
      </c>
      <c r="F2844" s="8" t="s">
        <v>131</v>
      </c>
      <c r="G2844" s="7" t="s">
        <v>61</v>
      </c>
      <c r="H2844" s="47" t="s">
        <v>205</v>
      </c>
      <c r="I2844" s="47" t="s">
        <v>206</v>
      </c>
      <c r="J2844" s="6">
        <v>62</v>
      </c>
      <c r="K2844" s="8" t="s">
        <v>27</v>
      </c>
      <c r="L2844" s="1" t="s">
        <v>1124</v>
      </c>
      <c r="M2844" s="5">
        <v>10</v>
      </c>
    </row>
    <row r="2845" spans="1:13" ht="15" x14ac:dyDescent="0.25">
      <c r="A2845" s="7" t="s">
        <v>16</v>
      </c>
      <c r="B2845" s="7" t="s">
        <v>21</v>
      </c>
      <c r="C2845" s="7" t="s">
        <v>18</v>
      </c>
      <c r="D2845" s="4">
        <v>60884855001630</v>
      </c>
      <c r="E2845" s="8" t="s">
        <v>1124</v>
      </c>
      <c r="F2845" s="8" t="s">
        <v>131</v>
      </c>
      <c r="G2845" s="7" t="s">
        <v>61</v>
      </c>
      <c r="H2845" s="47" t="s">
        <v>205</v>
      </c>
      <c r="I2845" s="47" t="s">
        <v>206</v>
      </c>
      <c r="J2845" s="6">
        <v>64</v>
      </c>
      <c r="K2845" s="8" t="s">
        <v>25</v>
      </c>
      <c r="L2845" s="1" t="s">
        <v>1124</v>
      </c>
      <c r="M2845" s="5">
        <v>25</v>
      </c>
    </row>
    <row r="2846" spans="1:13" ht="15" x14ac:dyDescent="0.25">
      <c r="A2846" s="7" t="s">
        <v>16</v>
      </c>
      <c r="B2846" s="7" t="s">
        <v>21</v>
      </c>
      <c r="C2846" s="7" t="s">
        <v>18</v>
      </c>
      <c r="D2846" s="4">
        <v>60884855001630</v>
      </c>
      <c r="E2846" s="8" t="s">
        <v>1124</v>
      </c>
      <c r="F2846" s="8" t="s">
        <v>131</v>
      </c>
      <c r="G2846" s="7" t="s">
        <v>61</v>
      </c>
      <c r="H2846" s="47" t="s">
        <v>205</v>
      </c>
      <c r="I2846" s="47" t="s">
        <v>206</v>
      </c>
      <c r="J2846" s="6">
        <v>70</v>
      </c>
      <c r="K2846" s="8" t="s">
        <v>20</v>
      </c>
      <c r="L2846" s="1" t="s">
        <v>1124</v>
      </c>
      <c r="M2846" s="5">
        <v>160</v>
      </c>
    </row>
    <row r="2847" spans="1:13" ht="15" x14ac:dyDescent="0.25">
      <c r="A2847" s="7" t="s">
        <v>16</v>
      </c>
      <c r="B2847" s="7" t="s">
        <v>21</v>
      </c>
      <c r="C2847" s="7" t="s">
        <v>18</v>
      </c>
      <c r="D2847" s="4">
        <v>60922168000348</v>
      </c>
      <c r="E2847" s="8" t="s">
        <v>1125</v>
      </c>
      <c r="F2847" s="8" t="s">
        <v>131</v>
      </c>
      <c r="G2847" s="7" t="s">
        <v>61</v>
      </c>
      <c r="H2847" s="47" t="s">
        <v>205</v>
      </c>
      <c r="I2847" s="47" t="s">
        <v>206</v>
      </c>
      <c r="J2847" s="6">
        <v>62</v>
      </c>
      <c r="K2847" s="8" t="s">
        <v>27</v>
      </c>
      <c r="L2847" s="1" t="s">
        <v>1125</v>
      </c>
      <c r="M2847" s="5">
        <v>9</v>
      </c>
    </row>
    <row r="2848" spans="1:13" ht="15" x14ac:dyDescent="0.25">
      <c r="A2848" s="7" t="s">
        <v>16</v>
      </c>
      <c r="B2848" s="7" t="s">
        <v>21</v>
      </c>
      <c r="C2848" s="7" t="s">
        <v>18</v>
      </c>
      <c r="D2848" s="4">
        <v>60922168000348</v>
      </c>
      <c r="E2848" s="8" t="s">
        <v>1125</v>
      </c>
      <c r="F2848" s="8" t="s">
        <v>131</v>
      </c>
      <c r="G2848" s="7" t="s">
        <v>61</v>
      </c>
      <c r="H2848" s="47" t="s">
        <v>205</v>
      </c>
      <c r="I2848" s="47" t="s">
        <v>206</v>
      </c>
      <c r="J2848" s="6">
        <v>64</v>
      </c>
      <c r="K2848" s="8" t="s">
        <v>25</v>
      </c>
      <c r="L2848" s="1" t="s">
        <v>1125</v>
      </c>
      <c r="M2848" s="5">
        <v>4</v>
      </c>
    </row>
    <row r="2849" spans="1:13" ht="15" x14ac:dyDescent="0.25">
      <c r="A2849" s="7" t="s">
        <v>16</v>
      </c>
      <c r="B2849" s="7" t="s">
        <v>21</v>
      </c>
      <c r="C2849" s="7" t="s">
        <v>18</v>
      </c>
      <c r="D2849" s="4">
        <v>60922168000348</v>
      </c>
      <c r="E2849" s="8" t="s">
        <v>1125</v>
      </c>
      <c r="F2849" s="8" t="s">
        <v>131</v>
      </c>
      <c r="G2849" s="7" t="s">
        <v>61</v>
      </c>
      <c r="H2849" s="47" t="s">
        <v>205</v>
      </c>
      <c r="I2849" s="47" t="s">
        <v>206</v>
      </c>
      <c r="J2849" s="6">
        <v>70</v>
      </c>
      <c r="K2849" s="8" t="s">
        <v>20</v>
      </c>
      <c r="L2849" s="1" t="s">
        <v>1125</v>
      </c>
      <c r="M2849" s="5">
        <v>210</v>
      </c>
    </row>
    <row r="2850" spans="1:13" ht="15" x14ac:dyDescent="0.25">
      <c r="A2850" s="7" t="s">
        <v>16</v>
      </c>
      <c r="B2850" s="7" t="s">
        <v>21</v>
      </c>
      <c r="C2850" s="7" t="s">
        <v>18</v>
      </c>
      <c r="D2850" s="4">
        <v>72101124000506</v>
      </c>
      <c r="E2850" s="8" t="s">
        <v>1126</v>
      </c>
      <c r="F2850" s="8" t="s">
        <v>131</v>
      </c>
      <c r="G2850" s="7" t="s">
        <v>61</v>
      </c>
      <c r="H2850" s="47" t="s">
        <v>205</v>
      </c>
      <c r="I2850" s="47" t="s">
        <v>206</v>
      </c>
      <c r="J2850" s="6">
        <v>70</v>
      </c>
      <c r="K2850" s="8" t="s">
        <v>20</v>
      </c>
      <c r="L2850" s="1" t="s">
        <v>1126</v>
      </c>
      <c r="M2850" s="5">
        <v>175</v>
      </c>
    </row>
    <row r="2851" spans="1:13" ht="15" x14ac:dyDescent="0.25">
      <c r="A2851" s="7" t="s">
        <v>16</v>
      </c>
      <c r="B2851" s="7" t="s">
        <v>21</v>
      </c>
      <c r="C2851" s="7" t="s">
        <v>18</v>
      </c>
      <c r="D2851" s="4">
        <v>72101124000506</v>
      </c>
      <c r="E2851" s="8" t="s">
        <v>1126</v>
      </c>
      <c r="F2851" s="8" t="s">
        <v>131</v>
      </c>
      <c r="G2851" s="7" t="s">
        <v>61</v>
      </c>
      <c r="H2851" s="47" t="s">
        <v>205</v>
      </c>
      <c r="I2851" s="47" t="s">
        <v>206</v>
      </c>
      <c r="J2851" s="6">
        <v>73</v>
      </c>
      <c r="K2851" s="8" t="s">
        <v>26</v>
      </c>
      <c r="L2851" s="1" t="s">
        <v>1126</v>
      </c>
      <c r="M2851" s="5">
        <v>135</v>
      </c>
    </row>
    <row r="2852" spans="1:13" ht="15" x14ac:dyDescent="0.25">
      <c r="A2852" s="7" t="s">
        <v>16</v>
      </c>
      <c r="B2852" s="7" t="s">
        <v>22</v>
      </c>
      <c r="C2852" s="7" t="s">
        <v>18</v>
      </c>
      <c r="D2852" s="4">
        <v>320465020</v>
      </c>
      <c r="E2852" s="8" t="s">
        <v>1067</v>
      </c>
      <c r="F2852" s="8" t="s">
        <v>131</v>
      </c>
      <c r="G2852" s="7" t="s">
        <v>61</v>
      </c>
      <c r="H2852" s="47" t="s">
        <v>205</v>
      </c>
      <c r="I2852" s="47" t="s">
        <v>206</v>
      </c>
      <c r="J2852" s="6">
        <v>66</v>
      </c>
      <c r="K2852" s="8" t="s">
        <v>28</v>
      </c>
      <c r="L2852" s="1" t="s">
        <v>1067</v>
      </c>
      <c r="M2852" s="5">
        <v>3</v>
      </c>
    </row>
    <row r="2853" spans="1:13" ht="15" x14ac:dyDescent="0.25">
      <c r="A2853" s="7" t="s">
        <v>16</v>
      </c>
      <c r="B2853" s="7" t="s">
        <v>22</v>
      </c>
      <c r="C2853" s="7" t="s">
        <v>18</v>
      </c>
      <c r="D2853" s="4">
        <v>5371944796</v>
      </c>
      <c r="E2853" s="8" t="s">
        <v>1068</v>
      </c>
      <c r="F2853" s="8" t="s">
        <v>131</v>
      </c>
      <c r="G2853" s="7" t="s">
        <v>61</v>
      </c>
      <c r="H2853" s="47" t="s">
        <v>205</v>
      </c>
      <c r="I2853" s="47" t="s">
        <v>206</v>
      </c>
      <c r="J2853" s="6">
        <v>70</v>
      </c>
      <c r="K2853" s="8" t="s">
        <v>20</v>
      </c>
      <c r="L2853" s="1" t="s">
        <v>1068</v>
      </c>
      <c r="M2853" s="5">
        <v>20</v>
      </c>
    </row>
    <row r="2854" spans="1:13" ht="15" x14ac:dyDescent="0.25">
      <c r="A2854" s="7" t="s">
        <v>16</v>
      </c>
      <c r="B2854" s="7" t="s">
        <v>22</v>
      </c>
      <c r="C2854" s="7" t="s">
        <v>18</v>
      </c>
      <c r="D2854" s="4">
        <v>394502014870</v>
      </c>
      <c r="E2854" s="8" t="s">
        <v>1070</v>
      </c>
      <c r="F2854" s="8" t="s">
        <v>131</v>
      </c>
      <c r="G2854" s="7" t="s">
        <v>61</v>
      </c>
      <c r="H2854" s="47" t="s">
        <v>205</v>
      </c>
      <c r="I2854" s="47" t="s">
        <v>206</v>
      </c>
      <c r="J2854" s="6">
        <v>64</v>
      </c>
      <c r="K2854" s="8" t="s">
        <v>25</v>
      </c>
      <c r="L2854" s="1" t="s">
        <v>1070</v>
      </c>
      <c r="M2854" s="5">
        <v>5</v>
      </c>
    </row>
    <row r="2855" spans="1:13" ht="15" x14ac:dyDescent="0.25">
      <c r="A2855" s="7" t="s">
        <v>16</v>
      </c>
      <c r="B2855" s="7" t="s">
        <v>22</v>
      </c>
      <c r="C2855" s="7" t="s">
        <v>18</v>
      </c>
      <c r="D2855" s="4">
        <v>394544017150</v>
      </c>
      <c r="E2855" s="8" t="s">
        <v>1071</v>
      </c>
      <c r="F2855" s="8" t="s">
        <v>131</v>
      </c>
      <c r="G2855" s="7" t="s">
        <v>61</v>
      </c>
      <c r="H2855" s="47" t="s">
        <v>205</v>
      </c>
      <c r="I2855" s="47" t="s">
        <v>206</v>
      </c>
      <c r="J2855" s="6">
        <v>64</v>
      </c>
      <c r="K2855" s="8" t="s">
        <v>25</v>
      </c>
      <c r="L2855" s="1" t="s">
        <v>1071</v>
      </c>
      <c r="M2855" s="5">
        <v>20</v>
      </c>
    </row>
    <row r="2856" spans="1:13" ht="15" x14ac:dyDescent="0.25">
      <c r="A2856" s="7" t="s">
        <v>16</v>
      </c>
      <c r="B2856" s="7" t="s">
        <v>22</v>
      </c>
      <c r="C2856" s="7" t="s">
        <v>18</v>
      </c>
      <c r="D2856" s="4">
        <v>394544020453</v>
      </c>
      <c r="E2856" s="8" t="s">
        <v>1074</v>
      </c>
      <c r="F2856" s="8" t="s">
        <v>131</v>
      </c>
      <c r="G2856" s="7" t="s">
        <v>61</v>
      </c>
      <c r="H2856" s="47" t="s">
        <v>205</v>
      </c>
      <c r="I2856" s="47" t="s">
        <v>206</v>
      </c>
      <c r="J2856" s="6">
        <v>70</v>
      </c>
      <c r="K2856" s="8" t="s">
        <v>20</v>
      </c>
      <c r="L2856" s="1" t="s">
        <v>1074</v>
      </c>
      <c r="M2856" s="5">
        <v>200</v>
      </c>
    </row>
    <row r="2857" spans="1:13" ht="15" x14ac:dyDescent="0.25">
      <c r="A2857" s="7" t="s">
        <v>16</v>
      </c>
      <c r="B2857" s="7" t="s">
        <v>22</v>
      </c>
      <c r="C2857" s="7" t="s">
        <v>18</v>
      </c>
      <c r="D2857" s="4">
        <v>394544021344</v>
      </c>
      <c r="E2857" s="8" t="s">
        <v>1076</v>
      </c>
      <c r="F2857" s="8" t="s">
        <v>131</v>
      </c>
      <c r="G2857" s="7" t="s">
        <v>61</v>
      </c>
      <c r="H2857" s="47" t="s">
        <v>205</v>
      </c>
      <c r="I2857" s="47" t="s">
        <v>206</v>
      </c>
      <c r="J2857" s="6">
        <v>62</v>
      </c>
      <c r="K2857" s="8" t="s">
        <v>27</v>
      </c>
      <c r="L2857" s="1" t="s">
        <v>1076</v>
      </c>
      <c r="M2857" s="5">
        <v>250</v>
      </c>
    </row>
    <row r="2858" spans="1:13" ht="15" x14ac:dyDescent="0.25">
      <c r="A2858" s="7" t="s">
        <v>16</v>
      </c>
      <c r="B2858" s="7" t="s">
        <v>22</v>
      </c>
      <c r="C2858" s="7" t="s">
        <v>18</v>
      </c>
      <c r="D2858" s="4">
        <v>394544021344</v>
      </c>
      <c r="E2858" s="8" t="s">
        <v>1076</v>
      </c>
      <c r="F2858" s="8" t="s">
        <v>131</v>
      </c>
      <c r="G2858" s="7" t="s">
        <v>61</v>
      </c>
      <c r="H2858" s="47" t="s">
        <v>205</v>
      </c>
      <c r="I2858" s="47" t="s">
        <v>206</v>
      </c>
      <c r="J2858" s="6">
        <v>64</v>
      </c>
      <c r="K2858" s="8" t="s">
        <v>25</v>
      </c>
      <c r="L2858" s="1" t="s">
        <v>1076</v>
      </c>
      <c r="M2858" s="5">
        <v>208</v>
      </c>
    </row>
    <row r="2859" spans="1:13" ht="15" x14ac:dyDescent="0.25">
      <c r="A2859" s="7" t="s">
        <v>16</v>
      </c>
      <c r="B2859" s="7" t="s">
        <v>22</v>
      </c>
      <c r="C2859" s="7" t="s">
        <v>18</v>
      </c>
      <c r="D2859" s="4">
        <v>2284062000521</v>
      </c>
      <c r="E2859" s="8" t="s">
        <v>1077</v>
      </c>
      <c r="F2859" s="8" t="s">
        <v>131</v>
      </c>
      <c r="G2859" s="7" t="s">
        <v>61</v>
      </c>
      <c r="H2859" s="47" t="s">
        <v>205</v>
      </c>
      <c r="I2859" s="47" t="s">
        <v>206</v>
      </c>
      <c r="J2859" s="6">
        <v>62</v>
      </c>
      <c r="K2859" s="8" t="s">
        <v>27</v>
      </c>
      <c r="L2859" s="1" t="s">
        <v>1077</v>
      </c>
      <c r="M2859" s="5">
        <v>5</v>
      </c>
    </row>
    <row r="2860" spans="1:13" ht="15" x14ac:dyDescent="0.25">
      <c r="A2860" s="7" t="s">
        <v>16</v>
      </c>
      <c r="B2860" s="7" t="s">
        <v>22</v>
      </c>
      <c r="C2860" s="7" t="s">
        <v>18</v>
      </c>
      <c r="D2860" s="4">
        <v>2284062000521</v>
      </c>
      <c r="E2860" s="8" t="s">
        <v>1077</v>
      </c>
      <c r="F2860" s="8" t="s">
        <v>131</v>
      </c>
      <c r="G2860" s="7" t="s">
        <v>61</v>
      </c>
      <c r="H2860" s="47" t="s">
        <v>205</v>
      </c>
      <c r="I2860" s="47" t="s">
        <v>206</v>
      </c>
      <c r="J2860" s="6">
        <v>64</v>
      </c>
      <c r="K2860" s="8" t="s">
        <v>25</v>
      </c>
      <c r="L2860" s="1" t="s">
        <v>1077</v>
      </c>
      <c r="M2860" s="5">
        <v>13</v>
      </c>
    </row>
    <row r="2861" spans="1:13" ht="15" x14ac:dyDescent="0.25">
      <c r="A2861" s="7" t="s">
        <v>16</v>
      </c>
      <c r="B2861" s="7" t="s">
        <v>22</v>
      </c>
      <c r="C2861" s="7" t="s">
        <v>18</v>
      </c>
      <c r="D2861" s="4">
        <v>2864097000106</v>
      </c>
      <c r="E2861" s="8" t="s">
        <v>1078</v>
      </c>
      <c r="F2861" s="8" t="s">
        <v>131</v>
      </c>
      <c r="G2861" s="7" t="s">
        <v>61</v>
      </c>
      <c r="H2861" s="47" t="s">
        <v>205</v>
      </c>
      <c r="I2861" s="47" t="s">
        <v>206</v>
      </c>
      <c r="J2861" s="6">
        <v>70</v>
      </c>
      <c r="K2861" s="8" t="s">
        <v>20</v>
      </c>
      <c r="L2861" s="1" t="s">
        <v>1078</v>
      </c>
      <c r="M2861" s="5">
        <v>40</v>
      </c>
    </row>
    <row r="2862" spans="1:13" ht="15" x14ac:dyDescent="0.25">
      <c r="A2862" s="7" t="s">
        <v>16</v>
      </c>
      <c r="B2862" s="7" t="s">
        <v>22</v>
      </c>
      <c r="C2862" s="7" t="s">
        <v>18</v>
      </c>
      <c r="D2862" s="4">
        <v>6047087000996</v>
      </c>
      <c r="E2862" s="8" t="s">
        <v>1080</v>
      </c>
      <c r="F2862" s="8" t="s">
        <v>131</v>
      </c>
      <c r="G2862" s="7" t="s">
        <v>61</v>
      </c>
      <c r="H2862" s="47" t="s">
        <v>205</v>
      </c>
      <c r="I2862" s="47" t="s">
        <v>206</v>
      </c>
      <c r="J2862" s="6">
        <v>62</v>
      </c>
      <c r="K2862" s="8" t="s">
        <v>27</v>
      </c>
      <c r="L2862" s="1" t="s">
        <v>1080</v>
      </c>
      <c r="M2862" s="5">
        <v>13</v>
      </c>
    </row>
    <row r="2863" spans="1:13" ht="15" x14ac:dyDescent="0.25">
      <c r="A2863" s="7" t="s">
        <v>16</v>
      </c>
      <c r="B2863" s="7" t="s">
        <v>22</v>
      </c>
      <c r="C2863" s="7" t="s">
        <v>18</v>
      </c>
      <c r="D2863" s="4">
        <v>6047087000996</v>
      </c>
      <c r="E2863" s="8" t="s">
        <v>1080</v>
      </c>
      <c r="F2863" s="8" t="s">
        <v>131</v>
      </c>
      <c r="G2863" s="7" t="s">
        <v>61</v>
      </c>
      <c r="H2863" s="47" t="s">
        <v>205</v>
      </c>
      <c r="I2863" s="47" t="s">
        <v>206</v>
      </c>
      <c r="J2863" s="6">
        <v>70</v>
      </c>
      <c r="K2863" s="8" t="s">
        <v>20</v>
      </c>
      <c r="L2863" s="1" t="s">
        <v>1080</v>
      </c>
      <c r="M2863" s="5">
        <v>225</v>
      </c>
    </row>
    <row r="2864" spans="1:13" ht="15" x14ac:dyDescent="0.25">
      <c r="A2864" s="7" t="s">
        <v>16</v>
      </c>
      <c r="B2864" s="7" t="s">
        <v>22</v>
      </c>
      <c r="C2864" s="7" t="s">
        <v>18</v>
      </c>
      <c r="D2864" s="4">
        <v>6047087001020</v>
      </c>
      <c r="E2864" s="8" t="s">
        <v>1081</v>
      </c>
      <c r="F2864" s="8" t="s">
        <v>131</v>
      </c>
      <c r="G2864" s="7" t="s">
        <v>61</v>
      </c>
      <c r="H2864" s="47" t="s">
        <v>205</v>
      </c>
      <c r="I2864" s="47" t="s">
        <v>206</v>
      </c>
      <c r="J2864" s="6">
        <v>62</v>
      </c>
      <c r="K2864" s="8" t="s">
        <v>27</v>
      </c>
      <c r="L2864" s="1" t="s">
        <v>1081</v>
      </c>
      <c r="M2864" s="5">
        <v>66</v>
      </c>
    </row>
    <row r="2865" spans="1:13" ht="15" x14ac:dyDescent="0.25">
      <c r="A2865" s="7" t="s">
        <v>16</v>
      </c>
      <c r="B2865" s="7" t="s">
        <v>22</v>
      </c>
      <c r="C2865" s="7" t="s">
        <v>18</v>
      </c>
      <c r="D2865" s="4">
        <v>6047087001020</v>
      </c>
      <c r="E2865" s="8" t="s">
        <v>1081</v>
      </c>
      <c r="F2865" s="8" t="s">
        <v>131</v>
      </c>
      <c r="G2865" s="7" t="s">
        <v>61</v>
      </c>
      <c r="H2865" s="47" t="s">
        <v>205</v>
      </c>
      <c r="I2865" s="47" t="s">
        <v>206</v>
      </c>
      <c r="J2865" s="6">
        <v>64</v>
      </c>
      <c r="K2865" s="8" t="s">
        <v>25</v>
      </c>
      <c r="L2865" s="1" t="s">
        <v>1081</v>
      </c>
      <c r="M2865" s="5">
        <v>33</v>
      </c>
    </row>
    <row r="2866" spans="1:13" ht="15" x14ac:dyDescent="0.25">
      <c r="A2866" s="7" t="s">
        <v>16</v>
      </c>
      <c r="B2866" s="7" t="s">
        <v>22</v>
      </c>
      <c r="C2866" s="7" t="s">
        <v>18</v>
      </c>
      <c r="D2866" s="4">
        <v>6047087002697</v>
      </c>
      <c r="E2866" s="8" t="s">
        <v>1082</v>
      </c>
      <c r="F2866" s="8" t="s">
        <v>131</v>
      </c>
      <c r="G2866" s="7" t="s">
        <v>61</v>
      </c>
      <c r="H2866" s="47" t="s">
        <v>205</v>
      </c>
      <c r="I2866" s="47" t="s">
        <v>206</v>
      </c>
      <c r="J2866" s="6">
        <v>62</v>
      </c>
      <c r="K2866" s="8" t="s">
        <v>27</v>
      </c>
      <c r="L2866" s="1" t="s">
        <v>1082</v>
      </c>
      <c r="M2866" s="5">
        <v>10</v>
      </c>
    </row>
    <row r="2867" spans="1:13" ht="15" x14ac:dyDescent="0.25">
      <c r="A2867" s="7" t="s">
        <v>16</v>
      </c>
      <c r="B2867" s="7" t="s">
        <v>22</v>
      </c>
      <c r="C2867" s="7" t="s">
        <v>18</v>
      </c>
      <c r="D2867" s="4">
        <v>6047087002697</v>
      </c>
      <c r="E2867" s="8" t="s">
        <v>1082</v>
      </c>
      <c r="F2867" s="8" t="s">
        <v>131</v>
      </c>
      <c r="G2867" s="7" t="s">
        <v>61</v>
      </c>
      <c r="H2867" s="47" t="s">
        <v>205</v>
      </c>
      <c r="I2867" s="47" t="s">
        <v>206</v>
      </c>
      <c r="J2867" s="6">
        <v>64</v>
      </c>
      <c r="K2867" s="8" t="s">
        <v>25</v>
      </c>
      <c r="L2867" s="1" t="s">
        <v>1082</v>
      </c>
      <c r="M2867" s="5">
        <v>22</v>
      </c>
    </row>
    <row r="2868" spans="1:13" ht="15" x14ac:dyDescent="0.25">
      <c r="A2868" s="7" t="s">
        <v>16</v>
      </c>
      <c r="B2868" s="7" t="s">
        <v>22</v>
      </c>
      <c r="C2868" s="7" t="s">
        <v>18</v>
      </c>
      <c r="D2868" s="4">
        <v>6047087003316</v>
      </c>
      <c r="E2868" s="8" t="s">
        <v>1083</v>
      </c>
      <c r="F2868" s="8" t="s">
        <v>131</v>
      </c>
      <c r="G2868" s="7" t="s">
        <v>61</v>
      </c>
      <c r="H2868" s="47" t="s">
        <v>205</v>
      </c>
      <c r="I2868" s="47" t="s">
        <v>206</v>
      </c>
      <c r="J2868" s="6">
        <v>62</v>
      </c>
      <c r="K2868" s="8" t="s">
        <v>27</v>
      </c>
      <c r="L2868" s="1" t="s">
        <v>1083</v>
      </c>
      <c r="M2868" s="5">
        <v>1</v>
      </c>
    </row>
    <row r="2869" spans="1:13" ht="15" x14ac:dyDescent="0.25">
      <c r="A2869" s="7" t="s">
        <v>16</v>
      </c>
      <c r="B2869" s="7" t="s">
        <v>22</v>
      </c>
      <c r="C2869" s="7" t="s">
        <v>18</v>
      </c>
      <c r="D2869" s="4">
        <v>7794623004896</v>
      </c>
      <c r="E2869" s="8" t="s">
        <v>1084</v>
      </c>
      <c r="F2869" s="8" t="s">
        <v>131</v>
      </c>
      <c r="G2869" s="7" t="s">
        <v>61</v>
      </c>
      <c r="H2869" s="47" t="s">
        <v>205</v>
      </c>
      <c r="I2869" s="47" t="s">
        <v>206</v>
      </c>
      <c r="J2869" s="6">
        <v>70</v>
      </c>
      <c r="K2869" s="8" t="s">
        <v>20</v>
      </c>
      <c r="L2869" s="1" t="s">
        <v>1084</v>
      </c>
      <c r="M2869" s="5">
        <v>1750</v>
      </c>
    </row>
    <row r="2870" spans="1:13" ht="15" x14ac:dyDescent="0.25">
      <c r="A2870" s="7" t="s">
        <v>16</v>
      </c>
      <c r="B2870" s="7" t="s">
        <v>22</v>
      </c>
      <c r="C2870" s="7" t="s">
        <v>18</v>
      </c>
      <c r="D2870" s="4">
        <v>8100676002102</v>
      </c>
      <c r="E2870" s="8" t="s">
        <v>1085</v>
      </c>
      <c r="F2870" s="8" t="s">
        <v>131</v>
      </c>
      <c r="G2870" s="7" t="s">
        <v>61</v>
      </c>
      <c r="H2870" s="47" t="s">
        <v>205</v>
      </c>
      <c r="I2870" s="47" t="s">
        <v>206</v>
      </c>
      <c r="J2870" s="6">
        <v>62</v>
      </c>
      <c r="K2870" s="8" t="s">
        <v>27</v>
      </c>
      <c r="L2870" s="1" t="s">
        <v>1085</v>
      </c>
      <c r="M2870" s="5">
        <v>16</v>
      </c>
    </row>
    <row r="2871" spans="1:13" ht="15" x14ac:dyDescent="0.25">
      <c r="A2871" s="7" t="s">
        <v>16</v>
      </c>
      <c r="B2871" s="7" t="s">
        <v>22</v>
      </c>
      <c r="C2871" s="7" t="s">
        <v>18</v>
      </c>
      <c r="D2871" s="4">
        <v>8100676002102</v>
      </c>
      <c r="E2871" s="8" t="s">
        <v>1085</v>
      </c>
      <c r="F2871" s="8" t="s">
        <v>131</v>
      </c>
      <c r="G2871" s="7" t="s">
        <v>61</v>
      </c>
      <c r="H2871" s="47" t="s">
        <v>205</v>
      </c>
      <c r="I2871" s="47" t="s">
        <v>206</v>
      </c>
      <c r="J2871" s="6">
        <v>64</v>
      </c>
      <c r="K2871" s="8" t="s">
        <v>25</v>
      </c>
      <c r="L2871" s="1" t="s">
        <v>1085</v>
      </c>
      <c r="M2871" s="5">
        <v>23</v>
      </c>
    </row>
    <row r="2872" spans="1:13" ht="15" x14ac:dyDescent="0.25">
      <c r="A2872" s="7" t="s">
        <v>16</v>
      </c>
      <c r="B2872" s="7" t="s">
        <v>22</v>
      </c>
      <c r="C2872" s="7" t="s">
        <v>18</v>
      </c>
      <c r="D2872" s="4">
        <v>9219138000401</v>
      </c>
      <c r="E2872" s="8" t="s">
        <v>1087</v>
      </c>
      <c r="F2872" s="8" t="s">
        <v>131</v>
      </c>
      <c r="G2872" s="7" t="s">
        <v>61</v>
      </c>
      <c r="H2872" s="47" t="s">
        <v>205</v>
      </c>
      <c r="I2872" s="47" t="s">
        <v>206</v>
      </c>
      <c r="J2872" s="6">
        <v>70</v>
      </c>
      <c r="K2872" s="8" t="s">
        <v>20</v>
      </c>
      <c r="L2872" s="1" t="s">
        <v>1087</v>
      </c>
      <c r="M2872" s="5">
        <v>285</v>
      </c>
    </row>
    <row r="2873" spans="1:13" ht="15" x14ac:dyDescent="0.25">
      <c r="A2873" s="7" t="s">
        <v>16</v>
      </c>
      <c r="B2873" s="7" t="s">
        <v>22</v>
      </c>
      <c r="C2873" s="7" t="s">
        <v>18</v>
      </c>
      <c r="D2873" s="4">
        <v>9219138000584</v>
      </c>
      <c r="E2873" s="8" t="s">
        <v>1088</v>
      </c>
      <c r="F2873" s="8" t="s">
        <v>131</v>
      </c>
      <c r="G2873" s="7" t="s">
        <v>61</v>
      </c>
      <c r="H2873" s="47" t="s">
        <v>205</v>
      </c>
      <c r="I2873" s="47" t="s">
        <v>206</v>
      </c>
      <c r="J2873" s="6">
        <v>70</v>
      </c>
      <c r="K2873" s="8" t="s">
        <v>20</v>
      </c>
      <c r="L2873" s="1" t="s">
        <v>1088</v>
      </c>
      <c r="M2873" s="5">
        <v>1085</v>
      </c>
    </row>
    <row r="2874" spans="1:13" ht="15" x14ac:dyDescent="0.25">
      <c r="A2874" s="7" t="s">
        <v>16</v>
      </c>
      <c r="B2874" s="7" t="s">
        <v>22</v>
      </c>
      <c r="C2874" s="7" t="s">
        <v>18</v>
      </c>
      <c r="D2874" s="4">
        <v>9219138000584</v>
      </c>
      <c r="E2874" s="8" t="s">
        <v>1088</v>
      </c>
      <c r="F2874" s="8" t="s">
        <v>131</v>
      </c>
      <c r="G2874" s="7" t="s">
        <v>61</v>
      </c>
      <c r="H2874" s="47" t="s">
        <v>205</v>
      </c>
      <c r="I2874" s="47" t="s">
        <v>206</v>
      </c>
      <c r="J2874" s="6">
        <v>73</v>
      </c>
      <c r="K2874" s="8" t="s">
        <v>26</v>
      </c>
      <c r="L2874" s="1" t="s">
        <v>1088</v>
      </c>
      <c r="M2874" s="5">
        <v>140</v>
      </c>
    </row>
    <row r="2875" spans="1:13" ht="15" x14ac:dyDescent="0.25">
      <c r="A2875" s="7" t="s">
        <v>16</v>
      </c>
      <c r="B2875" s="7" t="s">
        <v>22</v>
      </c>
      <c r="C2875" s="7" t="s">
        <v>18</v>
      </c>
      <c r="D2875" s="4">
        <v>18010750000100</v>
      </c>
      <c r="E2875" s="8" t="s">
        <v>1092</v>
      </c>
      <c r="F2875" s="8" t="s">
        <v>131</v>
      </c>
      <c r="G2875" s="7" t="s">
        <v>61</v>
      </c>
      <c r="H2875" s="47" t="s">
        <v>205</v>
      </c>
      <c r="I2875" s="47" t="s">
        <v>206</v>
      </c>
      <c r="J2875" s="6">
        <v>62</v>
      </c>
      <c r="K2875" s="8" t="s">
        <v>27</v>
      </c>
      <c r="L2875" s="1" t="s">
        <v>1092</v>
      </c>
      <c r="M2875" s="5">
        <v>2</v>
      </c>
    </row>
    <row r="2876" spans="1:13" ht="15" x14ac:dyDescent="0.25">
      <c r="A2876" s="7" t="s">
        <v>16</v>
      </c>
      <c r="B2876" s="7" t="s">
        <v>22</v>
      </c>
      <c r="C2876" s="7" t="s">
        <v>18</v>
      </c>
      <c r="D2876" s="4">
        <v>18010750000100</v>
      </c>
      <c r="E2876" s="8" t="s">
        <v>1092</v>
      </c>
      <c r="F2876" s="8" t="s">
        <v>131</v>
      </c>
      <c r="G2876" s="7" t="s">
        <v>61</v>
      </c>
      <c r="H2876" s="47" t="s">
        <v>205</v>
      </c>
      <c r="I2876" s="47" t="s">
        <v>206</v>
      </c>
      <c r="J2876" s="6">
        <v>70</v>
      </c>
      <c r="K2876" s="8" t="s">
        <v>20</v>
      </c>
      <c r="L2876" s="1" t="s">
        <v>1092</v>
      </c>
      <c r="M2876" s="5">
        <v>290</v>
      </c>
    </row>
    <row r="2877" spans="1:13" ht="15" x14ac:dyDescent="0.25">
      <c r="A2877" s="7" t="s">
        <v>16</v>
      </c>
      <c r="B2877" s="7" t="s">
        <v>22</v>
      </c>
      <c r="C2877" s="7" t="s">
        <v>18</v>
      </c>
      <c r="D2877" s="4">
        <v>21109731000140</v>
      </c>
      <c r="E2877" s="8" t="s">
        <v>1093</v>
      </c>
      <c r="F2877" s="8" t="s">
        <v>131</v>
      </c>
      <c r="G2877" s="7" t="s">
        <v>61</v>
      </c>
      <c r="H2877" s="47" t="s">
        <v>205</v>
      </c>
      <c r="I2877" s="47" t="s">
        <v>206</v>
      </c>
      <c r="J2877" s="6">
        <v>73</v>
      </c>
      <c r="K2877" s="8" t="s">
        <v>26</v>
      </c>
      <c r="L2877" s="1" t="s">
        <v>1093</v>
      </c>
      <c r="M2877" s="5">
        <v>112</v>
      </c>
    </row>
    <row r="2878" spans="1:13" ht="15" x14ac:dyDescent="0.25">
      <c r="A2878" s="7" t="s">
        <v>16</v>
      </c>
      <c r="B2878" s="7" t="s">
        <v>22</v>
      </c>
      <c r="C2878" s="7" t="s">
        <v>18</v>
      </c>
      <c r="D2878" s="4">
        <v>21265360000195</v>
      </c>
      <c r="E2878" s="8" t="s">
        <v>1094</v>
      </c>
      <c r="F2878" s="8" t="s">
        <v>131</v>
      </c>
      <c r="G2878" s="7" t="s">
        <v>61</v>
      </c>
      <c r="H2878" s="47" t="s">
        <v>205</v>
      </c>
      <c r="I2878" s="47" t="s">
        <v>206</v>
      </c>
      <c r="J2878" s="6">
        <v>73</v>
      </c>
      <c r="K2878" s="8" t="s">
        <v>26</v>
      </c>
      <c r="L2878" s="1" t="s">
        <v>1094</v>
      </c>
      <c r="M2878" s="5">
        <v>16</v>
      </c>
    </row>
    <row r="2879" spans="1:13" ht="15" x14ac:dyDescent="0.25">
      <c r="A2879" s="7" t="s">
        <v>16</v>
      </c>
      <c r="B2879" s="7" t="s">
        <v>22</v>
      </c>
      <c r="C2879" s="7" t="s">
        <v>18</v>
      </c>
      <c r="D2879" s="4">
        <v>24217779000160</v>
      </c>
      <c r="E2879" s="8" t="s">
        <v>1097</v>
      </c>
      <c r="F2879" s="8" t="s">
        <v>131</v>
      </c>
      <c r="G2879" s="7" t="s">
        <v>61</v>
      </c>
      <c r="H2879" s="47" t="s">
        <v>205</v>
      </c>
      <c r="I2879" s="47" t="s">
        <v>206</v>
      </c>
      <c r="J2879" s="6">
        <v>62</v>
      </c>
      <c r="K2879" s="8" t="s">
        <v>27</v>
      </c>
      <c r="L2879" s="1" t="s">
        <v>1097</v>
      </c>
      <c r="M2879" s="5">
        <v>14</v>
      </c>
    </row>
    <row r="2880" spans="1:13" ht="15" x14ac:dyDescent="0.25">
      <c r="A2880" s="7" t="s">
        <v>16</v>
      </c>
      <c r="B2880" s="7" t="s">
        <v>22</v>
      </c>
      <c r="C2880" s="7" t="s">
        <v>18</v>
      </c>
      <c r="D2880" s="4">
        <v>24217779000160</v>
      </c>
      <c r="E2880" s="8" t="s">
        <v>1097</v>
      </c>
      <c r="F2880" s="8" t="s">
        <v>131</v>
      </c>
      <c r="G2880" s="7" t="s">
        <v>61</v>
      </c>
      <c r="H2880" s="47" t="s">
        <v>205</v>
      </c>
      <c r="I2880" s="47" t="s">
        <v>206</v>
      </c>
      <c r="J2880" s="6">
        <v>64</v>
      </c>
      <c r="K2880" s="8" t="s">
        <v>25</v>
      </c>
      <c r="L2880" s="1" t="s">
        <v>1097</v>
      </c>
      <c r="M2880" s="5">
        <v>29</v>
      </c>
    </row>
    <row r="2881" spans="1:13" ht="15" x14ac:dyDescent="0.25">
      <c r="A2881" s="7" t="s">
        <v>16</v>
      </c>
      <c r="B2881" s="7" t="s">
        <v>22</v>
      </c>
      <c r="C2881" s="7" t="s">
        <v>18</v>
      </c>
      <c r="D2881" s="4">
        <v>27901222000131</v>
      </c>
      <c r="E2881" s="8" t="s">
        <v>1098</v>
      </c>
      <c r="F2881" s="8" t="s">
        <v>131</v>
      </c>
      <c r="G2881" s="7" t="s">
        <v>61</v>
      </c>
      <c r="H2881" s="47" t="s">
        <v>205</v>
      </c>
      <c r="I2881" s="47" t="s">
        <v>206</v>
      </c>
      <c r="J2881" s="6">
        <v>62</v>
      </c>
      <c r="K2881" s="8" t="s">
        <v>27</v>
      </c>
      <c r="L2881" s="1" t="s">
        <v>1098</v>
      </c>
      <c r="M2881" s="5">
        <v>6</v>
      </c>
    </row>
    <row r="2882" spans="1:13" ht="15" x14ac:dyDescent="0.25">
      <c r="A2882" s="7" t="s">
        <v>16</v>
      </c>
      <c r="B2882" s="7" t="s">
        <v>22</v>
      </c>
      <c r="C2882" s="7" t="s">
        <v>18</v>
      </c>
      <c r="D2882" s="4">
        <v>28000107000159</v>
      </c>
      <c r="E2882" s="8" t="s">
        <v>1099</v>
      </c>
      <c r="F2882" s="8" t="s">
        <v>131</v>
      </c>
      <c r="G2882" s="7" t="s">
        <v>61</v>
      </c>
      <c r="H2882" s="47" t="s">
        <v>205</v>
      </c>
      <c r="I2882" s="47" t="s">
        <v>206</v>
      </c>
      <c r="J2882" s="6">
        <v>70</v>
      </c>
      <c r="K2882" s="8" t="s">
        <v>20</v>
      </c>
      <c r="L2882" s="1" t="s">
        <v>1099</v>
      </c>
      <c r="M2882" s="5">
        <v>150</v>
      </c>
    </row>
    <row r="2883" spans="1:13" ht="15" x14ac:dyDescent="0.25">
      <c r="A2883" s="7" t="s">
        <v>16</v>
      </c>
      <c r="B2883" s="7" t="s">
        <v>22</v>
      </c>
      <c r="C2883" s="7" t="s">
        <v>18</v>
      </c>
      <c r="D2883" s="4">
        <v>28000107000159</v>
      </c>
      <c r="E2883" s="8" t="s">
        <v>1099</v>
      </c>
      <c r="F2883" s="8" t="s">
        <v>131</v>
      </c>
      <c r="G2883" s="7" t="s">
        <v>61</v>
      </c>
      <c r="H2883" s="47" t="s">
        <v>205</v>
      </c>
      <c r="I2883" s="47" t="s">
        <v>206</v>
      </c>
      <c r="J2883" s="6">
        <v>73</v>
      </c>
      <c r="K2883" s="8" t="s">
        <v>26</v>
      </c>
      <c r="L2883" s="1" t="s">
        <v>1099</v>
      </c>
      <c r="M2883" s="5">
        <v>126</v>
      </c>
    </row>
    <row r="2884" spans="1:13" ht="15" x14ac:dyDescent="0.25">
      <c r="A2884" s="7" t="s">
        <v>16</v>
      </c>
      <c r="B2884" s="7" t="s">
        <v>22</v>
      </c>
      <c r="C2884" s="7" t="s">
        <v>18</v>
      </c>
      <c r="D2884" s="4">
        <v>28602407000108</v>
      </c>
      <c r="E2884" s="8" t="s">
        <v>1100</v>
      </c>
      <c r="F2884" s="8" t="s">
        <v>131</v>
      </c>
      <c r="G2884" s="7" t="s">
        <v>61</v>
      </c>
      <c r="H2884" s="47" t="s">
        <v>205</v>
      </c>
      <c r="I2884" s="47" t="s">
        <v>206</v>
      </c>
      <c r="J2884" s="6">
        <v>62</v>
      </c>
      <c r="K2884" s="8" t="s">
        <v>27</v>
      </c>
      <c r="L2884" s="1" t="s">
        <v>1100</v>
      </c>
      <c r="M2884" s="5">
        <v>1</v>
      </c>
    </row>
    <row r="2885" spans="1:13" ht="15" x14ac:dyDescent="0.25">
      <c r="A2885" s="7" t="s">
        <v>16</v>
      </c>
      <c r="B2885" s="7" t="s">
        <v>22</v>
      </c>
      <c r="C2885" s="7" t="s">
        <v>18</v>
      </c>
      <c r="D2885" s="4">
        <v>28602407000108</v>
      </c>
      <c r="E2885" s="8" t="s">
        <v>1100</v>
      </c>
      <c r="F2885" s="8" t="s">
        <v>131</v>
      </c>
      <c r="G2885" s="7" t="s">
        <v>61</v>
      </c>
      <c r="H2885" s="47" t="s">
        <v>205</v>
      </c>
      <c r="I2885" s="47" t="s">
        <v>206</v>
      </c>
      <c r="J2885" s="6">
        <v>73</v>
      </c>
      <c r="K2885" s="8" t="s">
        <v>26</v>
      </c>
      <c r="L2885" s="1" t="s">
        <v>1100</v>
      </c>
      <c r="M2885" s="5">
        <v>4</v>
      </c>
    </row>
    <row r="2886" spans="1:13" ht="15" x14ac:dyDescent="0.25">
      <c r="A2886" s="7" t="s">
        <v>16</v>
      </c>
      <c r="B2886" s="7" t="s">
        <v>22</v>
      </c>
      <c r="C2886" s="7" t="s">
        <v>18</v>
      </c>
      <c r="D2886" s="4">
        <v>29259736000403</v>
      </c>
      <c r="E2886" s="8" t="s">
        <v>1101</v>
      </c>
      <c r="F2886" s="8" t="s">
        <v>131</v>
      </c>
      <c r="G2886" s="7" t="s">
        <v>61</v>
      </c>
      <c r="H2886" s="47" t="s">
        <v>205</v>
      </c>
      <c r="I2886" s="47" t="s">
        <v>206</v>
      </c>
      <c r="J2886" s="6">
        <v>64</v>
      </c>
      <c r="K2886" s="8" t="s">
        <v>25</v>
      </c>
      <c r="L2886" s="1" t="s">
        <v>1101</v>
      </c>
      <c r="M2886" s="5">
        <v>3</v>
      </c>
    </row>
    <row r="2887" spans="1:13" ht="15" x14ac:dyDescent="0.25">
      <c r="A2887" s="7" t="s">
        <v>16</v>
      </c>
      <c r="B2887" s="7" t="s">
        <v>22</v>
      </c>
      <c r="C2887" s="7" t="s">
        <v>18</v>
      </c>
      <c r="D2887" s="4">
        <v>29259736000403</v>
      </c>
      <c r="E2887" s="8" t="s">
        <v>1101</v>
      </c>
      <c r="F2887" s="8" t="s">
        <v>131</v>
      </c>
      <c r="G2887" s="7" t="s">
        <v>61</v>
      </c>
      <c r="H2887" s="47" t="s">
        <v>205</v>
      </c>
      <c r="I2887" s="47" t="s">
        <v>206</v>
      </c>
      <c r="J2887" s="6">
        <v>73</v>
      </c>
      <c r="K2887" s="8" t="s">
        <v>26</v>
      </c>
      <c r="L2887" s="1" t="s">
        <v>1101</v>
      </c>
      <c r="M2887" s="5">
        <v>1</v>
      </c>
    </row>
    <row r="2888" spans="1:13" ht="15" x14ac:dyDescent="0.25">
      <c r="A2888" s="7" t="s">
        <v>16</v>
      </c>
      <c r="B2888" s="7" t="s">
        <v>22</v>
      </c>
      <c r="C2888" s="7" t="s">
        <v>18</v>
      </c>
      <c r="D2888" s="4">
        <v>29435005005198</v>
      </c>
      <c r="E2888" s="8" t="s">
        <v>1102</v>
      </c>
      <c r="F2888" s="8" t="s">
        <v>131</v>
      </c>
      <c r="G2888" s="7" t="s">
        <v>61</v>
      </c>
      <c r="H2888" s="47" t="s">
        <v>205</v>
      </c>
      <c r="I2888" s="47" t="s">
        <v>206</v>
      </c>
      <c r="J2888" s="6">
        <v>62</v>
      </c>
      <c r="K2888" s="8" t="s">
        <v>27</v>
      </c>
      <c r="L2888" s="1" t="s">
        <v>1102</v>
      </c>
      <c r="M2888" s="5">
        <v>14</v>
      </c>
    </row>
    <row r="2889" spans="1:13" ht="15" x14ac:dyDescent="0.25">
      <c r="A2889" s="7" t="s">
        <v>16</v>
      </c>
      <c r="B2889" s="7" t="s">
        <v>22</v>
      </c>
      <c r="C2889" s="7" t="s">
        <v>18</v>
      </c>
      <c r="D2889" s="4">
        <v>29435005005198</v>
      </c>
      <c r="E2889" s="8" t="s">
        <v>1102</v>
      </c>
      <c r="F2889" s="8" t="s">
        <v>131</v>
      </c>
      <c r="G2889" s="7" t="s">
        <v>61</v>
      </c>
      <c r="H2889" s="47" t="s">
        <v>205</v>
      </c>
      <c r="I2889" s="47" t="s">
        <v>206</v>
      </c>
      <c r="J2889" s="6">
        <v>64</v>
      </c>
      <c r="K2889" s="8" t="s">
        <v>25</v>
      </c>
      <c r="L2889" s="1" t="s">
        <v>1102</v>
      </c>
      <c r="M2889" s="5">
        <v>15</v>
      </c>
    </row>
    <row r="2890" spans="1:13" ht="15" x14ac:dyDescent="0.25">
      <c r="A2890" s="7" t="s">
        <v>16</v>
      </c>
      <c r="B2890" s="7" t="s">
        <v>22</v>
      </c>
      <c r="C2890" s="7" t="s">
        <v>18</v>
      </c>
      <c r="D2890" s="4">
        <v>29435005005783</v>
      </c>
      <c r="E2890" s="8" t="s">
        <v>1104</v>
      </c>
      <c r="F2890" s="8" t="s">
        <v>131</v>
      </c>
      <c r="G2890" s="7" t="s">
        <v>61</v>
      </c>
      <c r="H2890" s="47" t="s">
        <v>205</v>
      </c>
      <c r="I2890" s="47" t="s">
        <v>206</v>
      </c>
      <c r="J2890" s="6">
        <v>64</v>
      </c>
      <c r="K2890" s="8" t="s">
        <v>25</v>
      </c>
      <c r="L2890" s="1" t="s">
        <v>1104</v>
      </c>
      <c r="M2890" s="5">
        <v>1</v>
      </c>
    </row>
    <row r="2891" spans="1:13" ht="15" x14ac:dyDescent="0.25">
      <c r="A2891" s="7" t="s">
        <v>16</v>
      </c>
      <c r="B2891" s="7" t="s">
        <v>22</v>
      </c>
      <c r="C2891" s="7" t="s">
        <v>18</v>
      </c>
      <c r="D2891" s="4">
        <v>29435005005783</v>
      </c>
      <c r="E2891" s="8" t="s">
        <v>1104</v>
      </c>
      <c r="F2891" s="8" t="s">
        <v>131</v>
      </c>
      <c r="G2891" s="7" t="s">
        <v>61</v>
      </c>
      <c r="H2891" s="47" t="s">
        <v>205</v>
      </c>
      <c r="I2891" s="47" t="s">
        <v>206</v>
      </c>
      <c r="J2891" s="6">
        <v>70</v>
      </c>
      <c r="K2891" s="8" t="s">
        <v>20</v>
      </c>
      <c r="L2891" s="1" t="s">
        <v>1104</v>
      </c>
      <c r="M2891" s="5">
        <v>250</v>
      </c>
    </row>
    <row r="2892" spans="1:13" ht="15" x14ac:dyDescent="0.25">
      <c r="A2892" s="7" t="s">
        <v>16</v>
      </c>
      <c r="B2892" s="7" t="s">
        <v>22</v>
      </c>
      <c r="C2892" s="7" t="s">
        <v>18</v>
      </c>
      <c r="D2892" s="4">
        <v>29435005006160</v>
      </c>
      <c r="E2892" s="8" t="s">
        <v>1105</v>
      </c>
      <c r="F2892" s="8" t="s">
        <v>131</v>
      </c>
      <c r="G2892" s="7" t="s">
        <v>61</v>
      </c>
      <c r="H2892" s="47" t="s">
        <v>205</v>
      </c>
      <c r="I2892" s="47" t="s">
        <v>206</v>
      </c>
      <c r="J2892" s="6">
        <v>64</v>
      </c>
      <c r="K2892" s="8" t="s">
        <v>25</v>
      </c>
      <c r="L2892" s="1" t="s">
        <v>1105</v>
      </c>
      <c r="M2892" s="5">
        <v>10</v>
      </c>
    </row>
    <row r="2893" spans="1:13" ht="15" x14ac:dyDescent="0.25">
      <c r="A2893" s="7" t="s">
        <v>16</v>
      </c>
      <c r="B2893" s="7" t="s">
        <v>22</v>
      </c>
      <c r="C2893" s="7" t="s">
        <v>18</v>
      </c>
      <c r="D2893" s="4">
        <v>29435005006160</v>
      </c>
      <c r="E2893" s="8" t="s">
        <v>1105</v>
      </c>
      <c r="F2893" s="8" t="s">
        <v>131</v>
      </c>
      <c r="G2893" s="7" t="s">
        <v>61</v>
      </c>
      <c r="H2893" s="47" t="s">
        <v>205</v>
      </c>
      <c r="I2893" s="47" t="s">
        <v>206</v>
      </c>
      <c r="J2893" s="6">
        <v>70</v>
      </c>
      <c r="K2893" s="8" t="s">
        <v>20</v>
      </c>
      <c r="L2893" s="1" t="s">
        <v>1105</v>
      </c>
      <c r="M2893" s="5">
        <v>80</v>
      </c>
    </row>
    <row r="2894" spans="1:13" ht="15" x14ac:dyDescent="0.25">
      <c r="A2894" s="7" t="s">
        <v>16</v>
      </c>
      <c r="B2894" s="7" t="s">
        <v>22</v>
      </c>
      <c r="C2894" s="7" t="s">
        <v>18</v>
      </c>
      <c r="D2894" s="4">
        <v>31635857000292</v>
      </c>
      <c r="E2894" s="8" t="s">
        <v>1107</v>
      </c>
      <c r="F2894" s="8" t="s">
        <v>131</v>
      </c>
      <c r="G2894" s="7" t="s">
        <v>61</v>
      </c>
      <c r="H2894" s="47" t="s">
        <v>205</v>
      </c>
      <c r="I2894" s="47" t="s">
        <v>206</v>
      </c>
      <c r="J2894" s="6">
        <v>73</v>
      </c>
      <c r="K2894" s="8" t="s">
        <v>26</v>
      </c>
      <c r="L2894" s="1" t="s">
        <v>1107</v>
      </c>
      <c r="M2894" s="5">
        <v>16</v>
      </c>
    </row>
    <row r="2895" spans="1:13" ht="15" x14ac:dyDescent="0.25">
      <c r="A2895" s="7" t="s">
        <v>16</v>
      </c>
      <c r="B2895" s="7" t="s">
        <v>22</v>
      </c>
      <c r="C2895" s="7" t="s">
        <v>18</v>
      </c>
      <c r="D2895" s="4">
        <v>33000167000101</v>
      </c>
      <c r="E2895" s="8" t="s">
        <v>1110</v>
      </c>
      <c r="F2895" s="8" t="s">
        <v>131</v>
      </c>
      <c r="G2895" s="7" t="s">
        <v>61</v>
      </c>
      <c r="H2895" s="47" t="s">
        <v>205</v>
      </c>
      <c r="I2895" s="47" t="s">
        <v>206</v>
      </c>
      <c r="J2895" s="6">
        <v>70</v>
      </c>
      <c r="K2895" s="8" t="s">
        <v>20</v>
      </c>
      <c r="L2895" s="1" t="s">
        <v>1110</v>
      </c>
      <c r="M2895" s="5">
        <v>140</v>
      </c>
    </row>
    <row r="2896" spans="1:13" ht="15" x14ac:dyDescent="0.25">
      <c r="A2896" s="7" t="s">
        <v>16</v>
      </c>
      <c r="B2896" s="7" t="s">
        <v>22</v>
      </c>
      <c r="C2896" s="7" t="s">
        <v>18</v>
      </c>
      <c r="D2896" s="4">
        <v>33419482000259</v>
      </c>
      <c r="E2896" s="8" t="s">
        <v>1111</v>
      </c>
      <c r="F2896" s="8" t="s">
        <v>131</v>
      </c>
      <c r="G2896" s="7" t="s">
        <v>61</v>
      </c>
      <c r="H2896" s="47" t="s">
        <v>205</v>
      </c>
      <c r="I2896" s="47" t="s">
        <v>206</v>
      </c>
      <c r="J2896" s="6">
        <v>62</v>
      </c>
      <c r="K2896" s="8" t="s">
        <v>27</v>
      </c>
      <c r="L2896" s="1" t="s">
        <v>1111</v>
      </c>
      <c r="M2896" s="5">
        <v>7</v>
      </c>
    </row>
    <row r="2897" spans="1:13" ht="15" x14ac:dyDescent="0.25">
      <c r="A2897" s="7" t="s">
        <v>16</v>
      </c>
      <c r="B2897" s="7" t="s">
        <v>22</v>
      </c>
      <c r="C2897" s="7" t="s">
        <v>18</v>
      </c>
      <c r="D2897" s="4">
        <v>33419482000259</v>
      </c>
      <c r="E2897" s="8" t="s">
        <v>1111</v>
      </c>
      <c r="F2897" s="8" t="s">
        <v>131</v>
      </c>
      <c r="G2897" s="7" t="s">
        <v>61</v>
      </c>
      <c r="H2897" s="47" t="s">
        <v>205</v>
      </c>
      <c r="I2897" s="47" t="s">
        <v>206</v>
      </c>
      <c r="J2897" s="6">
        <v>64</v>
      </c>
      <c r="K2897" s="8" t="s">
        <v>25</v>
      </c>
      <c r="L2897" s="1" t="s">
        <v>1111</v>
      </c>
      <c r="M2897" s="5">
        <v>3</v>
      </c>
    </row>
    <row r="2898" spans="1:13" ht="15" x14ac:dyDescent="0.25">
      <c r="A2898" s="7" t="s">
        <v>16</v>
      </c>
      <c r="B2898" s="7" t="s">
        <v>22</v>
      </c>
      <c r="C2898" s="7" t="s">
        <v>18</v>
      </c>
      <c r="D2898" s="4">
        <v>33419482000259</v>
      </c>
      <c r="E2898" s="8" t="s">
        <v>1111</v>
      </c>
      <c r="F2898" s="8" t="s">
        <v>131</v>
      </c>
      <c r="G2898" s="7" t="s">
        <v>61</v>
      </c>
      <c r="H2898" s="47" t="s">
        <v>205</v>
      </c>
      <c r="I2898" s="47" t="s">
        <v>206</v>
      </c>
      <c r="J2898" s="6">
        <v>70</v>
      </c>
      <c r="K2898" s="8" t="s">
        <v>20</v>
      </c>
      <c r="L2898" s="1" t="s">
        <v>1111</v>
      </c>
      <c r="M2898" s="5">
        <v>20</v>
      </c>
    </row>
    <row r="2899" spans="1:13" ht="15" x14ac:dyDescent="0.25">
      <c r="A2899" s="7" t="s">
        <v>16</v>
      </c>
      <c r="B2899" s="7" t="s">
        <v>22</v>
      </c>
      <c r="C2899" s="7" t="s">
        <v>18</v>
      </c>
      <c r="D2899" s="4">
        <v>33663683005347</v>
      </c>
      <c r="E2899" s="8" t="s">
        <v>1114</v>
      </c>
      <c r="F2899" s="8" t="s">
        <v>131</v>
      </c>
      <c r="G2899" s="7" t="s">
        <v>61</v>
      </c>
      <c r="H2899" s="47" t="s">
        <v>205</v>
      </c>
      <c r="I2899" s="47" t="s">
        <v>206</v>
      </c>
      <c r="J2899" s="6">
        <v>62</v>
      </c>
      <c r="K2899" s="8" t="s">
        <v>27</v>
      </c>
      <c r="L2899" s="1" t="s">
        <v>1114</v>
      </c>
      <c r="M2899" s="5">
        <v>24</v>
      </c>
    </row>
    <row r="2900" spans="1:13" ht="15" x14ac:dyDescent="0.25">
      <c r="A2900" s="7" t="s">
        <v>16</v>
      </c>
      <c r="B2900" s="7" t="s">
        <v>22</v>
      </c>
      <c r="C2900" s="7" t="s">
        <v>18</v>
      </c>
      <c r="D2900" s="4">
        <v>33663683005347</v>
      </c>
      <c r="E2900" s="8" t="s">
        <v>1114</v>
      </c>
      <c r="F2900" s="8" t="s">
        <v>131</v>
      </c>
      <c r="G2900" s="7" t="s">
        <v>61</v>
      </c>
      <c r="H2900" s="47" t="s">
        <v>205</v>
      </c>
      <c r="I2900" s="47" t="s">
        <v>206</v>
      </c>
      <c r="J2900" s="6">
        <v>64</v>
      </c>
      <c r="K2900" s="8" t="s">
        <v>25</v>
      </c>
      <c r="L2900" s="1" t="s">
        <v>1114</v>
      </c>
      <c r="M2900" s="5">
        <v>24</v>
      </c>
    </row>
    <row r="2901" spans="1:13" ht="15" x14ac:dyDescent="0.25">
      <c r="A2901" s="7" t="s">
        <v>16</v>
      </c>
      <c r="B2901" s="7" t="s">
        <v>22</v>
      </c>
      <c r="C2901" s="7" t="s">
        <v>18</v>
      </c>
      <c r="D2901" s="4">
        <v>33663683005347</v>
      </c>
      <c r="E2901" s="8" t="s">
        <v>1114</v>
      </c>
      <c r="F2901" s="8" t="s">
        <v>131</v>
      </c>
      <c r="G2901" s="7" t="s">
        <v>61</v>
      </c>
      <c r="H2901" s="47" t="s">
        <v>205</v>
      </c>
      <c r="I2901" s="47" t="s">
        <v>206</v>
      </c>
      <c r="J2901" s="6">
        <v>70</v>
      </c>
      <c r="K2901" s="8" t="s">
        <v>20</v>
      </c>
      <c r="L2901" s="1" t="s">
        <v>1114</v>
      </c>
      <c r="M2901" s="5">
        <v>2400</v>
      </c>
    </row>
    <row r="2902" spans="1:13" ht="15" x14ac:dyDescent="0.25">
      <c r="A2902" s="7" t="s">
        <v>16</v>
      </c>
      <c r="B2902" s="7" t="s">
        <v>22</v>
      </c>
      <c r="C2902" s="7" t="s">
        <v>18</v>
      </c>
      <c r="D2902" s="4">
        <v>39086160000130</v>
      </c>
      <c r="E2902" s="8" t="s">
        <v>1119</v>
      </c>
      <c r="F2902" s="8" t="s">
        <v>131</v>
      </c>
      <c r="G2902" s="7" t="s">
        <v>61</v>
      </c>
      <c r="H2902" s="47" t="s">
        <v>205</v>
      </c>
      <c r="I2902" s="47" t="s">
        <v>206</v>
      </c>
      <c r="J2902" s="6">
        <v>70</v>
      </c>
      <c r="K2902" s="8" t="s">
        <v>20</v>
      </c>
      <c r="L2902" s="1" t="s">
        <v>1119</v>
      </c>
      <c r="M2902" s="5">
        <v>180</v>
      </c>
    </row>
    <row r="2903" spans="1:13" ht="15" x14ac:dyDescent="0.25">
      <c r="A2903" s="7" t="s">
        <v>16</v>
      </c>
      <c r="B2903" s="7" t="s">
        <v>22</v>
      </c>
      <c r="C2903" s="7" t="s">
        <v>18</v>
      </c>
      <c r="D2903" s="4">
        <v>39086160000130</v>
      </c>
      <c r="E2903" s="8" t="s">
        <v>1119</v>
      </c>
      <c r="F2903" s="8" t="s">
        <v>131</v>
      </c>
      <c r="G2903" s="7" t="s">
        <v>61</v>
      </c>
      <c r="H2903" s="47" t="s">
        <v>205</v>
      </c>
      <c r="I2903" s="47" t="s">
        <v>206</v>
      </c>
      <c r="J2903" s="6">
        <v>73</v>
      </c>
      <c r="K2903" s="8" t="s">
        <v>26</v>
      </c>
      <c r="L2903" s="1" t="s">
        <v>1119</v>
      </c>
      <c r="M2903" s="5">
        <v>88</v>
      </c>
    </row>
    <row r="2904" spans="1:13" ht="15" x14ac:dyDescent="0.25">
      <c r="A2904" s="7" t="s">
        <v>16</v>
      </c>
      <c r="B2904" s="7" t="s">
        <v>22</v>
      </c>
      <c r="C2904" s="7" t="s">
        <v>18</v>
      </c>
      <c r="D2904" s="4">
        <v>40226946000276</v>
      </c>
      <c r="E2904" s="8" t="s">
        <v>1120</v>
      </c>
      <c r="F2904" s="8" t="s">
        <v>131</v>
      </c>
      <c r="G2904" s="7" t="s">
        <v>61</v>
      </c>
      <c r="H2904" s="47" t="s">
        <v>205</v>
      </c>
      <c r="I2904" s="47" t="s">
        <v>206</v>
      </c>
      <c r="J2904" s="6">
        <v>64</v>
      </c>
      <c r="K2904" s="8" t="s">
        <v>25</v>
      </c>
      <c r="L2904" s="1" t="s">
        <v>1120</v>
      </c>
      <c r="M2904" s="5">
        <v>2</v>
      </c>
    </row>
    <row r="2905" spans="1:13" ht="15" x14ac:dyDescent="0.25">
      <c r="A2905" s="7" t="s">
        <v>16</v>
      </c>
      <c r="B2905" s="7" t="s">
        <v>22</v>
      </c>
      <c r="C2905" s="7" t="s">
        <v>18</v>
      </c>
      <c r="D2905" s="4">
        <v>60884855001630</v>
      </c>
      <c r="E2905" s="8" t="s">
        <v>1124</v>
      </c>
      <c r="F2905" s="8" t="s">
        <v>131</v>
      </c>
      <c r="G2905" s="7" t="s">
        <v>61</v>
      </c>
      <c r="H2905" s="47" t="s">
        <v>205</v>
      </c>
      <c r="I2905" s="47" t="s">
        <v>206</v>
      </c>
      <c r="J2905" s="6">
        <v>62</v>
      </c>
      <c r="K2905" s="8" t="s">
        <v>27</v>
      </c>
      <c r="L2905" s="1" t="s">
        <v>1124</v>
      </c>
      <c r="M2905" s="5">
        <v>5</v>
      </c>
    </row>
    <row r="2906" spans="1:13" ht="15" x14ac:dyDescent="0.25">
      <c r="A2906" s="7" t="s">
        <v>16</v>
      </c>
      <c r="B2906" s="7" t="s">
        <v>22</v>
      </c>
      <c r="C2906" s="7" t="s">
        <v>18</v>
      </c>
      <c r="D2906" s="4">
        <v>60884855001630</v>
      </c>
      <c r="E2906" s="8" t="s">
        <v>1124</v>
      </c>
      <c r="F2906" s="8" t="s">
        <v>131</v>
      </c>
      <c r="G2906" s="7" t="s">
        <v>61</v>
      </c>
      <c r="H2906" s="47" t="s">
        <v>205</v>
      </c>
      <c r="I2906" s="47" t="s">
        <v>206</v>
      </c>
      <c r="J2906" s="6">
        <v>64</v>
      </c>
      <c r="K2906" s="8" t="s">
        <v>25</v>
      </c>
      <c r="L2906" s="1" t="s">
        <v>1124</v>
      </c>
      <c r="M2906" s="5">
        <v>7</v>
      </c>
    </row>
    <row r="2907" spans="1:13" ht="15" x14ac:dyDescent="0.25">
      <c r="A2907" s="7" t="s">
        <v>16</v>
      </c>
      <c r="B2907" s="7" t="s">
        <v>22</v>
      </c>
      <c r="C2907" s="7" t="s">
        <v>18</v>
      </c>
      <c r="D2907" s="4">
        <v>60884855001630</v>
      </c>
      <c r="E2907" s="8" t="s">
        <v>1124</v>
      </c>
      <c r="F2907" s="8" t="s">
        <v>131</v>
      </c>
      <c r="G2907" s="7" t="s">
        <v>61</v>
      </c>
      <c r="H2907" s="47" t="s">
        <v>205</v>
      </c>
      <c r="I2907" s="47" t="s">
        <v>206</v>
      </c>
      <c r="J2907" s="6">
        <v>70</v>
      </c>
      <c r="K2907" s="8" t="s">
        <v>20</v>
      </c>
      <c r="L2907" s="1" t="s">
        <v>1124</v>
      </c>
      <c r="M2907" s="5">
        <v>385</v>
      </c>
    </row>
    <row r="2908" spans="1:13" ht="15" x14ac:dyDescent="0.25">
      <c r="A2908" s="7" t="s">
        <v>16</v>
      </c>
      <c r="B2908" s="7" t="s">
        <v>22</v>
      </c>
      <c r="C2908" s="7" t="s">
        <v>18</v>
      </c>
      <c r="D2908" s="4">
        <v>60922168000348</v>
      </c>
      <c r="E2908" s="8" t="s">
        <v>1125</v>
      </c>
      <c r="F2908" s="8" t="s">
        <v>131</v>
      </c>
      <c r="G2908" s="7" t="s">
        <v>61</v>
      </c>
      <c r="H2908" s="47" t="s">
        <v>205</v>
      </c>
      <c r="I2908" s="47" t="s">
        <v>206</v>
      </c>
      <c r="J2908" s="6">
        <v>62</v>
      </c>
      <c r="K2908" s="8" t="s">
        <v>27</v>
      </c>
      <c r="L2908" s="1" t="s">
        <v>1125</v>
      </c>
      <c r="M2908" s="5">
        <v>6</v>
      </c>
    </row>
    <row r="2909" spans="1:13" ht="15" x14ac:dyDescent="0.25">
      <c r="A2909" s="7" t="s">
        <v>16</v>
      </c>
      <c r="B2909" s="7" t="s">
        <v>22</v>
      </c>
      <c r="C2909" s="7" t="s">
        <v>18</v>
      </c>
      <c r="D2909" s="4">
        <v>60922168000348</v>
      </c>
      <c r="E2909" s="8" t="s">
        <v>1125</v>
      </c>
      <c r="F2909" s="8" t="s">
        <v>131</v>
      </c>
      <c r="G2909" s="7" t="s">
        <v>61</v>
      </c>
      <c r="H2909" s="47" t="s">
        <v>205</v>
      </c>
      <c r="I2909" s="47" t="s">
        <v>206</v>
      </c>
      <c r="J2909" s="6">
        <v>64</v>
      </c>
      <c r="K2909" s="8" t="s">
        <v>25</v>
      </c>
      <c r="L2909" s="1" t="s">
        <v>1125</v>
      </c>
      <c r="M2909" s="5">
        <v>3</v>
      </c>
    </row>
    <row r="2910" spans="1:13" ht="15" x14ac:dyDescent="0.25">
      <c r="A2910" s="7" t="s">
        <v>16</v>
      </c>
      <c r="B2910" s="7" t="s">
        <v>22</v>
      </c>
      <c r="C2910" s="7" t="s">
        <v>18</v>
      </c>
      <c r="D2910" s="4">
        <v>60922168000348</v>
      </c>
      <c r="E2910" s="8" t="s">
        <v>1125</v>
      </c>
      <c r="F2910" s="8" t="s">
        <v>131</v>
      </c>
      <c r="G2910" s="7" t="s">
        <v>61</v>
      </c>
      <c r="H2910" s="47" t="s">
        <v>205</v>
      </c>
      <c r="I2910" s="47" t="s">
        <v>206</v>
      </c>
      <c r="J2910" s="6">
        <v>70</v>
      </c>
      <c r="K2910" s="8" t="s">
        <v>20</v>
      </c>
      <c r="L2910" s="1" t="s">
        <v>1125</v>
      </c>
      <c r="M2910" s="5">
        <v>130</v>
      </c>
    </row>
    <row r="2911" spans="1:13" ht="15" x14ac:dyDescent="0.25">
      <c r="A2911" s="7" t="s">
        <v>16</v>
      </c>
      <c r="B2911" s="7" t="s">
        <v>22</v>
      </c>
      <c r="C2911" s="7" t="s">
        <v>18</v>
      </c>
      <c r="D2911" s="4">
        <v>72101124000506</v>
      </c>
      <c r="E2911" s="8" t="s">
        <v>1126</v>
      </c>
      <c r="F2911" s="8" t="s">
        <v>131</v>
      </c>
      <c r="G2911" s="7" t="s">
        <v>61</v>
      </c>
      <c r="H2911" s="47" t="s">
        <v>205</v>
      </c>
      <c r="I2911" s="47" t="s">
        <v>206</v>
      </c>
      <c r="J2911" s="6">
        <v>70</v>
      </c>
      <c r="K2911" s="8" t="s">
        <v>20</v>
      </c>
      <c r="L2911" s="1" t="s">
        <v>1126</v>
      </c>
      <c r="M2911" s="5">
        <v>445</v>
      </c>
    </row>
    <row r="2912" spans="1:13" ht="15" x14ac:dyDescent="0.25">
      <c r="A2912" s="7" t="s">
        <v>16</v>
      </c>
      <c r="B2912" s="7" t="s">
        <v>22</v>
      </c>
      <c r="C2912" s="7" t="s">
        <v>18</v>
      </c>
      <c r="D2912" s="4">
        <v>72101124000506</v>
      </c>
      <c r="E2912" s="8" t="s">
        <v>1126</v>
      </c>
      <c r="F2912" s="8" t="s">
        <v>131</v>
      </c>
      <c r="G2912" s="7" t="s">
        <v>61</v>
      </c>
      <c r="H2912" s="47" t="s">
        <v>205</v>
      </c>
      <c r="I2912" s="47" t="s">
        <v>206</v>
      </c>
      <c r="J2912" s="6">
        <v>73</v>
      </c>
      <c r="K2912" s="8" t="s">
        <v>26</v>
      </c>
      <c r="L2912" s="1" t="s">
        <v>1126</v>
      </c>
      <c r="M2912" s="5">
        <v>214</v>
      </c>
    </row>
    <row r="2913" spans="1:13" ht="15" x14ac:dyDescent="0.25">
      <c r="A2913" s="7" t="s">
        <v>16</v>
      </c>
      <c r="B2913" s="7" t="s">
        <v>22</v>
      </c>
      <c r="C2913" s="7" t="s">
        <v>18</v>
      </c>
      <c r="D2913" s="4">
        <v>73696718000219</v>
      </c>
      <c r="E2913" s="8" t="s">
        <v>1127</v>
      </c>
      <c r="F2913" s="8" t="s">
        <v>131</v>
      </c>
      <c r="G2913" s="7" t="s">
        <v>61</v>
      </c>
      <c r="H2913" s="47" t="s">
        <v>205</v>
      </c>
      <c r="I2913" s="47" t="s">
        <v>206</v>
      </c>
      <c r="J2913" s="6">
        <v>62</v>
      </c>
      <c r="K2913" s="8" t="s">
        <v>27</v>
      </c>
      <c r="L2913" s="1" t="s">
        <v>1127</v>
      </c>
      <c r="M2913" s="5">
        <v>7</v>
      </c>
    </row>
    <row r="2914" spans="1:13" ht="15" x14ac:dyDescent="0.25">
      <c r="A2914" s="7" t="s">
        <v>16</v>
      </c>
      <c r="B2914" s="7" t="s">
        <v>23</v>
      </c>
      <c r="C2914" s="7" t="s">
        <v>24</v>
      </c>
      <c r="D2914" s="4">
        <v>394502014870</v>
      </c>
      <c r="E2914" s="8" t="s">
        <v>1070</v>
      </c>
      <c r="F2914" s="8" t="s">
        <v>131</v>
      </c>
      <c r="G2914" s="7" t="s">
        <v>61</v>
      </c>
      <c r="H2914" s="47" t="s">
        <v>205</v>
      </c>
      <c r="I2914" s="47" t="s">
        <v>206</v>
      </c>
      <c r="J2914" s="6">
        <v>64</v>
      </c>
      <c r="K2914" s="8" t="s">
        <v>25</v>
      </c>
      <c r="L2914" s="1" t="s">
        <v>1070</v>
      </c>
      <c r="M2914" s="5">
        <v>5</v>
      </c>
    </row>
    <row r="2915" spans="1:13" ht="15" x14ac:dyDescent="0.25">
      <c r="A2915" s="7" t="s">
        <v>16</v>
      </c>
      <c r="B2915" s="7" t="s">
        <v>23</v>
      </c>
      <c r="C2915" s="7" t="s">
        <v>24</v>
      </c>
      <c r="D2915" s="4">
        <v>394544020372</v>
      </c>
      <c r="E2915" s="8" t="s">
        <v>1073</v>
      </c>
      <c r="F2915" s="8" t="s">
        <v>131</v>
      </c>
      <c r="G2915" s="7" t="s">
        <v>61</v>
      </c>
      <c r="H2915" s="47" t="s">
        <v>205</v>
      </c>
      <c r="I2915" s="47" t="s">
        <v>206</v>
      </c>
      <c r="J2915" s="6">
        <v>70</v>
      </c>
      <c r="K2915" s="8" t="s">
        <v>20</v>
      </c>
      <c r="L2915" s="1" t="s">
        <v>1073</v>
      </c>
      <c r="M2915" s="5">
        <v>885</v>
      </c>
    </row>
    <row r="2916" spans="1:13" ht="15" x14ac:dyDescent="0.25">
      <c r="A2916" s="7" t="s">
        <v>16</v>
      </c>
      <c r="B2916" s="7" t="s">
        <v>23</v>
      </c>
      <c r="C2916" s="7" t="s">
        <v>24</v>
      </c>
      <c r="D2916" s="4">
        <v>394544020453</v>
      </c>
      <c r="E2916" s="8" t="s">
        <v>1074</v>
      </c>
      <c r="F2916" s="8" t="s">
        <v>131</v>
      </c>
      <c r="G2916" s="7" t="s">
        <v>61</v>
      </c>
      <c r="H2916" s="47" t="s">
        <v>205</v>
      </c>
      <c r="I2916" s="47" t="s">
        <v>206</v>
      </c>
      <c r="J2916" s="6">
        <v>70</v>
      </c>
      <c r="K2916" s="8" t="s">
        <v>20</v>
      </c>
      <c r="L2916" s="1" t="s">
        <v>1074</v>
      </c>
      <c r="M2916" s="5">
        <v>350</v>
      </c>
    </row>
    <row r="2917" spans="1:13" ht="15" x14ac:dyDescent="0.25">
      <c r="A2917" s="7" t="s">
        <v>16</v>
      </c>
      <c r="B2917" s="7" t="s">
        <v>23</v>
      </c>
      <c r="C2917" s="7" t="s">
        <v>24</v>
      </c>
      <c r="D2917" s="4">
        <v>394544021000</v>
      </c>
      <c r="E2917" s="8" t="s">
        <v>1075</v>
      </c>
      <c r="F2917" s="8" t="s">
        <v>131</v>
      </c>
      <c r="G2917" s="7" t="s">
        <v>61</v>
      </c>
      <c r="H2917" s="47" t="s">
        <v>205</v>
      </c>
      <c r="I2917" s="47" t="s">
        <v>206</v>
      </c>
      <c r="J2917" s="6">
        <v>70</v>
      </c>
      <c r="K2917" s="8" t="s">
        <v>20</v>
      </c>
      <c r="L2917" s="1" t="s">
        <v>1075</v>
      </c>
      <c r="M2917" s="5">
        <v>150</v>
      </c>
    </row>
    <row r="2918" spans="1:13" ht="15" x14ac:dyDescent="0.25">
      <c r="A2918" s="7" t="s">
        <v>16</v>
      </c>
      <c r="B2918" s="7" t="s">
        <v>23</v>
      </c>
      <c r="C2918" s="7" t="s">
        <v>24</v>
      </c>
      <c r="D2918" s="4">
        <v>394544021344</v>
      </c>
      <c r="E2918" s="8" t="s">
        <v>1076</v>
      </c>
      <c r="F2918" s="8" t="s">
        <v>131</v>
      </c>
      <c r="G2918" s="7" t="s">
        <v>61</v>
      </c>
      <c r="H2918" s="47" t="s">
        <v>205</v>
      </c>
      <c r="I2918" s="47" t="s">
        <v>206</v>
      </c>
      <c r="J2918" s="6">
        <v>64</v>
      </c>
      <c r="K2918" s="8" t="s">
        <v>25</v>
      </c>
      <c r="L2918" s="1" t="s">
        <v>1076</v>
      </c>
      <c r="M2918" s="5">
        <v>13</v>
      </c>
    </row>
    <row r="2919" spans="1:13" ht="15" x14ac:dyDescent="0.25">
      <c r="A2919" s="7" t="s">
        <v>16</v>
      </c>
      <c r="B2919" s="7" t="s">
        <v>23</v>
      </c>
      <c r="C2919" s="7" t="s">
        <v>24</v>
      </c>
      <c r="D2919" s="4">
        <v>2284062000521</v>
      </c>
      <c r="E2919" s="8" t="s">
        <v>1077</v>
      </c>
      <c r="F2919" s="8" t="s">
        <v>131</v>
      </c>
      <c r="G2919" s="7" t="s">
        <v>61</v>
      </c>
      <c r="H2919" s="47" t="s">
        <v>205</v>
      </c>
      <c r="I2919" s="47" t="s">
        <v>206</v>
      </c>
      <c r="J2919" s="6">
        <v>64</v>
      </c>
      <c r="K2919" s="8" t="s">
        <v>25</v>
      </c>
      <c r="L2919" s="1" t="s">
        <v>1077</v>
      </c>
      <c r="M2919" s="5">
        <v>25</v>
      </c>
    </row>
    <row r="2920" spans="1:13" ht="15" x14ac:dyDescent="0.25">
      <c r="A2920" s="7" t="s">
        <v>16</v>
      </c>
      <c r="B2920" s="7" t="s">
        <v>23</v>
      </c>
      <c r="C2920" s="7" t="s">
        <v>24</v>
      </c>
      <c r="D2920" s="4">
        <v>4779685002382</v>
      </c>
      <c r="E2920" s="8" t="s">
        <v>1079</v>
      </c>
      <c r="F2920" s="8" t="s">
        <v>131</v>
      </c>
      <c r="G2920" s="7" t="s">
        <v>61</v>
      </c>
      <c r="H2920" s="47" t="s">
        <v>205</v>
      </c>
      <c r="I2920" s="47" t="s">
        <v>206</v>
      </c>
      <c r="J2920" s="6">
        <v>70</v>
      </c>
      <c r="K2920" s="8" t="s">
        <v>20</v>
      </c>
      <c r="L2920" s="1" t="s">
        <v>1079</v>
      </c>
      <c r="M2920" s="5">
        <v>180</v>
      </c>
    </row>
    <row r="2921" spans="1:13" ht="15" x14ac:dyDescent="0.25">
      <c r="A2921" s="7" t="s">
        <v>16</v>
      </c>
      <c r="B2921" s="7" t="s">
        <v>23</v>
      </c>
      <c r="C2921" s="7" t="s">
        <v>24</v>
      </c>
      <c r="D2921" s="4">
        <v>6047087000996</v>
      </c>
      <c r="E2921" s="8" t="s">
        <v>1080</v>
      </c>
      <c r="F2921" s="8" t="s">
        <v>131</v>
      </c>
      <c r="G2921" s="7" t="s">
        <v>61</v>
      </c>
      <c r="H2921" s="47" t="s">
        <v>205</v>
      </c>
      <c r="I2921" s="47" t="s">
        <v>206</v>
      </c>
      <c r="J2921" s="6">
        <v>64</v>
      </c>
      <c r="K2921" s="8" t="s">
        <v>25</v>
      </c>
      <c r="L2921" s="1" t="s">
        <v>1080</v>
      </c>
      <c r="M2921" s="5">
        <v>20</v>
      </c>
    </row>
    <row r="2922" spans="1:13" ht="15" x14ac:dyDescent="0.25">
      <c r="A2922" s="7" t="s">
        <v>16</v>
      </c>
      <c r="B2922" s="7" t="s">
        <v>23</v>
      </c>
      <c r="C2922" s="7" t="s">
        <v>24</v>
      </c>
      <c r="D2922" s="4">
        <v>6047087001020</v>
      </c>
      <c r="E2922" s="8" t="s">
        <v>1081</v>
      </c>
      <c r="F2922" s="8" t="s">
        <v>131</v>
      </c>
      <c r="G2922" s="7" t="s">
        <v>61</v>
      </c>
      <c r="H2922" s="47" t="s">
        <v>205</v>
      </c>
      <c r="I2922" s="47" t="s">
        <v>206</v>
      </c>
      <c r="J2922" s="6">
        <v>62</v>
      </c>
      <c r="K2922" s="8" t="s">
        <v>27</v>
      </c>
      <c r="L2922" s="1" t="s">
        <v>1081</v>
      </c>
      <c r="M2922" s="5">
        <v>35</v>
      </c>
    </row>
    <row r="2923" spans="1:13" ht="15" x14ac:dyDescent="0.25">
      <c r="A2923" s="7" t="s">
        <v>16</v>
      </c>
      <c r="B2923" s="7" t="s">
        <v>23</v>
      </c>
      <c r="C2923" s="7" t="s">
        <v>24</v>
      </c>
      <c r="D2923" s="4">
        <v>6047087001020</v>
      </c>
      <c r="E2923" s="8" t="s">
        <v>1081</v>
      </c>
      <c r="F2923" s="8" t="s">
        <v>131</v>
      </c>
      <c r="G2923" s="7" t="s">
        <v>61</v>
      </c>
      <c r="H2923" s="47" t="s">
        <v>205</v>
      </c>
      <c r="I2923" s="47" t="s">
        <v>206</v>
      </c>
      <c r="J2923" s="6">
        <v>64</v>
      </c>
      <c r="K2923" s="8" t="s">
        <v>25</v>
      </c>
      <c r="L2923" s="1" t="s">
        <v>1081</v>
      </c>
      <c r="M2923" s="5">
        <v>86</v>
      </c>
    </row>
    <row r="2924" spans="1:13" ht="15" x14ac:dyDescent="0.25">
      <c r="A2924" s="7" t="s">
        <v>16</v>
      </c>
      <c r="B2924" s="7" t="s">
        <v>23</v>
      </c>
      <c r="C2924" s="7" t="s">
        <v>24</v>
      </c>
      <c r="D2924" s="4">
        <v>6047087003316</v>
      </c>
      <c r="E2924" s="8" t="s">
        <v>1083</v>
      </c>
      <c r="F2924" s="8" t="s">
        <v>131</v>
      </c>
      <c r="G2924" s="7" t="s">
        <v>61</v>
      </c>
      <c r="H2924" s="47" t="s">
        <v>205</v>
      </c>
      <c r="I2924" s="47" t="s">
        <v>206</v>
      </c>
      <c r="J2924" s="6">
        <v>62</v>
      </c>
      <c r="K2924" s="8" t="s">
        <v>27</v>
      </c>
      <c r="L2924" s="1" t="s">
        <v>1083</v>
      </c>
      <c r="M2924" s="5">
        <v>2</v>
      </c>
    </row>
    <row r="2925" spans="1:13" ht="15" x14ac:dyDescent="0.25">
      <c r="A2925" s="7" t="s">
        <v>16</v>
      </c>
      <c r="B2925" s="7" t="s">
        <v>23</v>
      </c>
      <c r="C2925" s="7" t="s">
        <v>24</v>
      </c>
      <c r="D2925" s="4">
        <v>6047087003316</v>
      </c>
      <c r="E2925" s="8" t="s">
        <v>1083</v>
      </c>
      <c r="F2925" s="8" t="s">
        <v>131</v>
      </c>
      <c r="G2925" s="7" t="s">
        <v>61</v>
      </c>
      <c r="H2925" s="47" t="s">
        <v>205</v>
      </c>
      <c r="I2925" s="47" t="s">
        <v>206</v>
      </c>
      <c r="J2925" s="6">
        <v>64</v>
      </c>
      <c r="K2925" s="8" t="s">
        <v>25</v>
      </c>
      <c r="L2925" s="1" t="s">
        <v>1083</v>
      </c>
      <c r="M2925" s="5">
        <v>5</v>
      </c>
    </row>
    <row r="2926" spans="1:13" ht="15" x14ac:dyDescent="0.25">
      <c r="A2926" s="7" t="s">
        <v>16</v>
      </c>
      <c r="B2926" s="7" t="s">
        <v>23</v>
      </c>
      <c r="C2926" s="7" t="s">
        <v>24</v>
      </c>
      <c r="D2926" s="4">
        <v>8850962000222</v>
      </c>
      <c r="E2926" s="8" t="s">
        <v>1086</v>
      </c>
      <c r="F2926" s="8" t="s">
        <v>131</v>
      </c>
      <c r="G2926" s="7" t="s">
        <v>61</v>
      </c>
      <c r="H2926" s="47" t="s">
        <v>205</v>
      </c>
      <c r="I2926" s="47" t="s">
        <v>206</v>
      </c>
      <c r="J2926" s="6">
        <v>64</v>
      </c>
      <c r="K2926" s="8" t="s">
        <v>25</v>
      </c>
      <c r="L2926" s="1" t="s">
        <v>1086</v>
      </c>
      <c r="M2926" s="5">
        <v>3</v>
      </c>
    </row>
    <row r="2927" spans="1:13" ht="15" x14ac:dyDescent="0.25">
      <c r="A2927" s="7" t="s">
        <v>16</v>
      </c>
      <c r="B2927" s="7" t="s">
        <v>23</v>
      </c>
      <c r="C2927" s="7" t="s">
        <v>24</v>
      </c>
      <c r="D2927" s="4">
        <v>9219138000401</v>
      </c>
      <c r="E2927" s="8" t="s">
        <v>1087</v>
      </c>
      <c r="F2927" s="8" t="s">
        <v>131</v>
      </c>
      <c r="G2927" s="7" t="s">
        <v>61</v>
      </c>
      <c r="H2927" s="47" t="s">
        <v>205</v>
      </c>
      <c r="I2927" s="47" t="s">
        <v>206</v>
      </c>
      <c r="J2927" s="6">
        <v>70</v>
      </c>
      <c r="K2927" s="8" t="s">
        <v>20</v>
      </c>
      <c r="L2927" s="1" t="s">
        <v>1087</v>
      </c>
      <c r="M2927" s="5">
        <v>265</v>
      </c>
    </row>
    <row r="2928" spans="1:13" ht="15" x14ac:dyDescent="0.25">
      <c r="A2928" s="7" t="s">
        <v>16</v>
      </c>
      <c r="B2928" s="7" t="s">
        <v>23</v>
      </c>
      <c r="C2928" s="7" t="s">
        <v>24</v>
      </c>
      <c r="D2928" s="4">
        <v>9219138000584</v>
      </c>
      <c r="E2928" s="8" t="s">
        <v>1088</v>
      </c>
      <c r="F2928" s="8" t="s">
        <v>131</v>
      </c>
      <c r="G2928" s="7" t="s">
        <v>61</v>
      </c>
      <c r="H2928" s="47" t="s">
        <v>205</v>
      </c>
      <c r="I2928" s="47" t="s">
        <v>206</v>
      </c>
      <c r="J2928" s="6">
        <v>62</v>
      </c>
      <c r="K2928" s="8" t="s">
        <v>27</v>
      </c>
      <c r="L2928" s="1" t="s">
        <v>1088</v>
      </c>
      <c r="M2928" s="5">
        <v>17</v>
      </c>
    </row>
    <row r="2929" spans="1:13" ht="15" x14ac:dyDescent="0.25">
      <c r="A2929" s="7" t="s">
        <v>16</v>
      </c>
      <c r="B2929" s="7" t="s">
        <v>23</v>
      </c>
      <c r="C2929" s="7" t="s">
        <v>24</v>
      </c>
      <c r="D2929" s="4">
        <v>9219138000584</v>
      </c>
      <c r="E2929" s="8" t="s">
        <v>1088</v>
      </c>
      <c r="F2929" s="8" t="s">
        <v>131</v>
      </c>
      <c r="G2929" s="7" t="s">
        <v>61</v>
      </c>
      <c r="H2929" s="47" t="s">
        <v>205</v>
      </c>
      <c r="I2929" s="47" t="s">
        <v>206</v>
      </c>
      <c r="J2929" s="6">
        <v>64</v>
      </c>
      <c r="K2929" s="8" t="s">
        <v>25</v>
      </c>
      <c r="L2929" s="1" t="s">
        <v>1088</v>
      </c>
      <c r="M2929" s="5">
        <v>18</v>
      </c>
    </row>
    <row r="2930" spans="1:13" ht="15" x14ac:dyDescent="0.25">
      <c r="A2930" s="7" t="s">
        <v>16</v>
      </c>
      <c r="B2930" s="7" t="s">
        <v>23</v>
      </c>
      <c r="C2930" s="7" t="s">
        <v>24</v>
      </c>
      <c r="D2930" s="4">
        <v>9219138000584</v>
      </c>
      <c r="E2930" s="8" t="s">
        <v>1088</v>
      </c>
      <c r="F2930" s="8" t="s">
        <v>131</v>
      </c>
      <c r="G2930" s="7" t="s">
        <v>61</v>
      </c>
      <c r="H2930" s="47" t="s">
        <v>205</v>
      </c>
      <c r="I2930" s="47" t="s">
        <v>206</v>
      </c>
      <c r="J2930" s="6">
        <v>70</v>
      </c>
      <c r="K2930" s="8" t="s">
        <v>20</v>
      </c>
      <c r="L2930" s="1" t="s">
        <v>1088</v>
      </c>
      <c r="M2930" s="5">
        <v>735</v>
      </c>
    </row>
    <row r="2931" spans="1:13" ht="15" x14ac:dyDescent="0.25">
      <c r="A2931" s="7" t="s">
        <v>16</v>
      </c>
      <c r="B2931" s="7" t="s">
        <v>23</v>
      </c>
      <c r="C2931" s="7" t="s">
        <v>24</v>
      </c>
      <c r="D2931" s="4">
        <v>9219138000584</v>
      </c>
      <c r="E2931" s="8" t="s">
        <v>1088</v>
      </c>
      <c r="F2931" s="8" t="s">
        <v>131</v>
      </c>
      <c r="G2931" s="7" t="s">
        <v>61</v>
      </c>
      <c r="H2931" s="47" t="s">
        <v>205</v>
      </c>
      <c r="I2931" s="47" t="s">
        <v>206</v>
      </c>
      <c r="J2931" s="6">
        <v>73</v>
      </c>
      <c r="K2931" s="8" t="s">
        <v>26</v>
      </c>
      <c r="L2931" s="1" t="s">
        <v>1088</v>
      </c>
      <c r="M2931" s="5">
        <v>148</v>
      </c>
    </row>
    <row r="2932" spans="1:13" ht="15" x14ac:dyDescent="0.25">
      <c r="A2932" s="7" t="s">
        <v>16</v>
      </c>
      <c r="B2932" s="7" t="s">
        <v>23</v>
      </c>
      <c r="C2932" s="7" t="s">
        <v>24</v>
      </c>
      <c r="D2932" s="4">
        <v>9578217000158</v>
      </c>
      <c r="E2932" s="8" t="s">
        <v>1089</v>
      </c>
      <c r="F2932" s="8" t="s">
        <v>131</v>
      </c>
      <c r="G2932" s="7" t="s">
        <v>61</v>
      </c>
      <c r="H2932" s="47" t="s">
        <v>205</v>
      </c>
      <c r="I2932" s="47" t="s">
        <v>206</v>
      </c>
      <c r="J2932" s="6">
        <v>62</v>
      </c>
      <c r="K2932" s="8" t="s">
        <v>27</v>
      </c>
      <c r="L2932" s="1" t="s">
        <v>1089</v>
      </c>
      <c r="M2932" s="5">
        <v>2</v>
      </c>
    </row>
    <row r="2933" spans="1:13" ht="15" x14ac:dyDescent="0.25">
      <c r="A2933" s="7" t="s">
        <v>16</v>
      </c>
      <c r="B2933" s="7" t="s">
        <v>23</v>
      </c>
      <c r="C2933" s="7" t="s">
        <v>24</v>
      </c>
      <c r="D2933" s="4">
        <v>9578217000158</v>
      </c>
      <c r="E2933" s="8" t="s">
        <v>1089</v>
      </c>
      <c r="F2933" s="8" t="s">
        <v>131</v>
      </c>
      <c r="G2933" s="7" t="s">
        <v>61</v>
      </c>
      <c r="H2933" s="47" t="s">
        <v>205</v>
      </c>
      <c r="I2933" s="47" t="s">
        <v>206</v>
      </c>
      <c r="J2933" s="6">
        <v>64</v>
      </c>
      <c r="K2933" s="8" t="s">
        <v>25</v>
      </c>
      <c r="L2933" s="1" t="s">
        <v>1089</v>
      </c>
      <c r="M2933" s="5">
        <v>2</v>
      </c>
    </row>
    <row r="2934" spans="1:13" ht="15" x14ac:dyDescent="0.25">
      <c r="A2934" s="7" t="s">
        <v>16</v>
      </c>
      <c r="B2934" s="7" t="s">
        <v>23</v>
      </c>
      <c r="C2934" s="7" t="s">
        <v>24</v>
      </c>
      <c r="D2934" s="4">
        <v>18010750000100</v>
      </c>
      <c r="E2934" s="8" t="s">
        <v>1092</v>
      </c>
      <c r="F2934" s="8" t="s">
        <v>131</v>
      </c>
      <c r="G2934" s="7" t="s">
        <v>61</v>
      </c>
      <c r="H2934" s="47" t="s">
        <v>205</v>
      </c>
      <c r="I2934" s="47" t="s">
        <v>206</v>
      </c>
      <c r="J2934" s="6">
        <v>70</v>
      </c>
      <c r="K2934" s="8" t="s">
        <v>20</v>
      </c>
      <c r="L2934" s="1" t="s">
        <v>1092</v>
      </c>
      <c r="M2934" s="5">
        <v>170</v>
      </c>
    </row>
    <row r="2935" spans="1:13" ht="15" x14ac:dyDescent="0.25">
      <c r="A2935" s="7" t="s">
        <v>16</v>
      </c>
      <c r="B2935" s="7" t="s">
        <v>23</v>
      </c>
      <c r="C2935" s="7" t="s">
        <v>24</v>
      </c>
      <c r="D2935" s="4">
        <v>21265360000195</v>
      </c>
      <c r="E2935" s="8" t="s">
        <v>1094</v>
      </c>
      <c r="F2935" s="8" t="s">
        <v>131</v>
      </c>
      <c r="G2935" s="7" t="s">
        <v>61</v>
      </c>
      <c r="H2935" s="47" t="s">
        <v>205</v>
      </c>
      <c r="I2935" s="47" t="s">
        <v>206</v>
      </c>
      <c r="J2935" s="6">
        <v>73</v>
      </c>
      <c r="K2935" s="8" t="s">
        <v>26</v>
      </c>
      <c r="L2935" s="1" t="s">
        <v>1094</v>
      </c>
      <c r="M2935" s="5">
        <v>16</v>
      </c>
    </row>
    <row r="2936" spans="1:13" ht="15" x14ac:dyDescent="0.25">
      <c r="A2936" s="7" t="s">
        <v>16</v>
      </c>
      <c r="B2936" s="7" t="s">
        <v>23</v>
      </c>
      <c r="C2936" s="7" t="s">
        <v>24</v>
      </c>
      <c r="D2936" s="4">
        <v>22233557000105</v>
      </c>
      <c r="E2936" s="8" t="s">
        <v>1095</v>
      </c>
      <c r="F2936" s="8" t="s">
        <v>131</v>
      </c>
      <c r="G2936" s="7" t="s">
        <v>61</v>
      </c>
      <c r="H2936" s="47" t="s">
        <v>205</v>
      </c>
      <c r="I2936" s="47" t="s">
        <v>206</v>
      </c>
      <c r="J2936" s="6">
        <v>64</v>
      </c>
      <c r="K2936" s="8" t="s">
        <v>25</v>
      </c>
      <c r="L2936" s="1" t="s">
        <v>1095</v>
      </c>
      <c r="M2936" s="5">
        <v>2</v>
      </c>
    </row>
    <row r="2937" spans="1:13" ht="15" x14ac:dyDescent="0.25">
      <c r="A2937" s="7" t="s">
        <v>16</v>
      </c>
      <c r="B2937" s="7" t="s">
        <v>23</v>
      </c>
      <c r="C2937" s="7" t="s">
        <v>24</v>
      </c>
      <c r="D2937" s="4">
        <v>28000107000159</v>
      </c>
      <c r="E2937" s="8" t="s">
        <v>1099</v>
      </c>
      <c r="F2937" s="8" t="s">
        <v>131</v>
      </c>
      <c r="G2937" s="7" t="s">
        <v>61</v>
      </c>
      <c r="H2937" s="47" t="s">
        <v>205</v>
      </c>
      <c r="I2937" s="47" t="s">
        <v>206</v>
      </c>
      <c r="J2937" s="6">
        <v>70</v>
      </c>
      <c r="K2937" s="8" t="s">
        <v>20</v>
      </c>
      <c r="L2937" s="1" t="s">
        <v>1099</v>
      </c>
      <c r="M2937" s="5">
        <v>60</v>
      </c>
    </row>
    <row r="2938" spans="1:13" ht="15" x14ac:dyDescent="0.25">
      <c r="A2938" s="7" t="s">
        <v>16</v>
      </c>
      <c r="B2938" s="7" t="s">
        <v>23</v>
      </c>
      <c r="C2938" s="7" t="s">
        <v>24</v>
      </c>
      <c r="D2938" s="4">
        <v>28000107000159</v>
      </c>
      <c r="E2938" s="8" t="s">
        <v>1099</v>
      </c>
      <c r="F2938" s="8" t="s">
        <v>131</v>
      </c>
      <c r="G2938" s="7" t="s">
        <v>61</v>
      </c>
      <c r="H2938" s="47" t="s">
        <v>205</v>
      </c>
      <c r="I2938" s="47" t="s">
        <v>206</v>
      </c>
      <c r="J2938" s="6">
        <v>73</v>
      </c>
      <c r="K2938" s="8" t="s">
        <v>26</v>
      </c>
      <c r="L2938" s="1" t="s">
        <v>1099</v>
      </c>
      <c r="M2938" s="5">
        <v>152</v>
      </c>
    </row>
    <row r="2939" spans="1:13" ht="15" x14ac:dyDescent="0.25">
      <c r="A2939" s="7" t="s">
        <v>16</v>
      </c>
      <c r="B2939" s="7" t="s">
        <v>23</v>
      </c>
      <c r="C2939" s="7" t="s">
        <v>24</v>
      </c>
      <c r="D2939" s="4">
        <v>29259736000403</v>
      </c>
      <c r="E2939" s="8" t="s">
        <v>1101</v>
      </c>
      <c r="F2939" s="8" t="s">
        <v>131</v>
      </c>
      <c r="G2939" s="7" t="s">
        <v>61</v>
      </c>
      <c r="H2939" s="47" t="s">
        <v>205</v>
      </c>
      <c r="I2939" s="47" t="s">
        <v>206</v>
      </c>
      <c r="J2939" s="6">
        <v>64</v>
      </c>
      <c r="K2939" s="8" t="s">
        <v>25</v>
      </c>
      <c r="L2939" s="1" t="s">
        <v>1101</v>
      </c>
      <c r="M2939" s="5">
        <v>7</v>
      </c>
    </row>
    <row r="2940" spans="1:13" ht="15" x14ac:dyDescent="0.25">
      <c r="A2940" s="7" t="s">
        <v>16</v>
      </c>
      <c r="B2940" s="7" t="s">
        <v>23</v>
      </c>
      <c r="C2940" s="7" t="s">
        <v>24</v>
      </c>
      <c r="D2940" s="4">
        <v>29259736000403</v>
      </c>
      <c r="E2940" s="8" t="s">
        <v>1101</v>
      </c>
      <c r="F2940" s="8" t="s">
        <v>131</v>
      </c>
      <c r="G2940" s="7" t="s">
        <v>61</v>
      </c>
      <c r="H2940" s="47" t="s">
        <v>205</v>
      </c>
      <c r="I2940" s="47" t="s">
        <v>206</v>
      </c>
      <c r="J2940" s="6">
        <v>73</v>
      </c>
      <c r="K2940" s="8" t="s">
        <v>26</v>
      </c>
      <c r="L2940" s="1" t="s">
        <v>1101</v>
      </c>
      <c r="M2940" s="5">
        <v>16</v>
      </c>
    </row>
    <row r="2941" spans="1:13" ht="15" x14ac:dyDescent="0.25">
      <c r="A2941" s="7" t="s">
        <v>16</v>
      </c>
      <c r="B2941" s="7" t="s">
        <v>23</v>
      </c>
      <c r="C2941" s="7" t="s">
        <v>24</v>
      </c>
      <c r="D2941" s="4">
        <v>29435005005198</v>
      </c>
      <c r="E2941" s="8" t="s">
        <v>1102</v>
      </c>
      <c r="F2941" s="8" t="s">
        <v>131</v>
      </c>
      <c r="G2941" s="7" t="s">
        <v>61</v>
      </c>
      <c r="H2941" s="47" t="s">
        <v>205</v>
      </c>
      <c r="I2941" s="47" t="s">
        <v>206</v>
      </c>
      <c r="J2941" s="6">
        <v>62</v>
      </c>
      <c r="K2941" s="8" t="s">
        <v>27</v>
      </c>
      <c r="L2941" s="1" t="s">
        <v>1102</v>
      </c>
      <c r="M2941" s="5">
        <v>61</v>
      </c>
    </row>
    <row r="2942" spans="1:13" ht="15" x14ac:dyDescent="0.25">
      <c r="A2942" s="7" t="s">
        <v>16</v>
      </c>
      <c r="B2942" s="7" t="s">
        <v>23</v>
      </c>
      <c r="C2942" s="7" t="s">
        <v>24</v>
      </c>
      <c r="D2942" s="4">
        <v>29435005005198</v>
      </c>
      <c r="E2942" s="8" t="s">
        <v>1102</v>
      </c>
      <c r="F2942" s="8" t="s">
        <v>131</v>
      </c>
      <c r="G2942" s="7" t="s">
        <v>61</v>
      </c>
      <c r="H2942" s="47" t="s">
        <v>205</v>
      </c>
      <c r="I2942" s="47" t="s">
        <v>206</v>
      </c>
      <c r="J2942" s="6">
        <v>64</v>
      </c>
      <c r="K2942" s="8" t="s">
        <v>25</v>
      </c>
      <c r="L2942" s="1" t="s">
        <v>1102</v>
      </c>
      <c r="M2942" s="5">
        <v>26</v>
      </c>
    </row>
    <row r="2943" spans="1:13" ht="15" x14ac:dyDescent="0.25">
      <c r="A2943" s="7" t="s">
        <v>16</v>
      </c>
      <c r="B2943" s="7" t="s">
        <v>23</v>
      </c>
      <c r="C2943" s="7" t="s">
        <v>24</v>
      </c>
      <c r="D2943" s="4">
        <v>29435005005783</v>
      </c>
      <c r="E2943" s="8" t="s">
        <v>1104</v>
      </c>
      <c r="F2943" s="8" t="s">
        <v>131</v>
      </c>
      <c r="G2943" s="7" t="s">
        <v>61</v>
      </c>
      <c r="H2943" s="47" t="s">
        <v>205</v>
      </c>
      <c r="I2943" s="47" t="s">
        <v>206</v>
      </c>
      <c r="J2943" s="6">
        <v>70</v>
      </c>
      <c r="K2943" s="8" t="s">
        <v>20</v>
      </c>
      <c r="L2943" s="1" t="s">
        <v>1104</v>
      </c>
      <c r="M2943" s="5">
        <v>305</v>
      </c>
    </row>
    <row r="2944" spans="1:13" ht="15" x14ac:dyDescent="0.25">
      <c r="A2944" s="7" t="s">
        <v>16</v>
      </c>
      <c r="B2944" s="7" t="s">
        <v>23</v>
      </c>
      <c r="C2944" s="7" t="s">
        <v>24</v>
      </c>
      <c r="D2944" s="4">
        <v>31635857000292</v>
      </c>
      <c r="E2944" s="8" t="s">
        <v>1107</v>
      </c>
      <c r="F2944" s="8" t="s">
        <v>131</v>
      </c>
      <c r="G2944" s="7" t="s">
        <v>61</v>
      </c>
      <c r="H2944" s="47" t="s">
        <v>205</v>
      </c>
      <c r="I2944" s="47" t="s">
        <v>206</v>
      </c>
      <c r="J2944" s="6">
        <v>73</v>
      </c>
      <c r="K2944" s="8" t="s">
        <v>26</v>
      </c>
      <c r="L2944" s="1" t="s">
        <v>1107</v>
      </c>
      <c r="M2944" s="5">
        <v>32</v>
      </c>
    </row>
    <row r="2945" spans="1:13" ht="15" x14ac:dyDescent="0.25">
      <c r="A2945" s="7" t="s">
        <v>16</v>
      </c>
      <c r="B2945" s="7" t="s">
        <v>23</v>
      </c>
      <c r="C2945" s="7" t="s">
        <v>24</v>
      </c>
      <c r="D2945" s="4">
        <v>31925548000176</v>
      </c>
      <c r="E2945" s="8" t="s">
        <v>1108</v>
      </c>
      <c r="F2945" s="8" t="s">
        <v>131</v>
      </c>
      <c r="G2945" s="7" t="s">
        <v>61</v>
      </c>
      <c r="H2945" s="47" t="s">
        <v>205</v>
      </c>
      <c r="I2945" s="47" t="s">
        <v>206</v>
      </c>
      <c r="J2945" s="6">
        <v>70</v>
      </c>
      <c r="K2945" s="8" t="s">
        <v>20</v>
      </c>
      <c r="L2945" s="1" t="s">
        <v>1108</v>
      </c>
      <c r="M2945" s="5">
        <v>90</v>
      </c>
    </row>
    <row r="2946" spans="1:13" ht="15" x14ac:dyDescent="0.25">
      <c r="A2946" s="7" t="s">
        <v>16</v>
      </c>
      <c r="B2946" s="7" t="s">
        <v>23</v>
      </c>
      <c r="C2946" s="7" t="s">
        <v>24</v>
      </c>
      <c r="D2946" s="4">
        <v>33000167000101</v>
      </c>
      <c r="E2946" s="8" t="s">
        <v>1110</v>
      </c>
      <c r="F2946" s="8" t="s">
        <v>131</v>
      </c>
      <c r="G2946" s="7" t="s">
        <v>61</v>
      </c>
      <c r="H2946" s="47" t="s">
        <v>205</v>
      </c>
      <c r="I2946" s="47" t="s">
        <v>206</v>
      </c>
      <c r="J2946" s="6">
        <v>70</v>
      </c>
      <c r="K2946" s="8" t="s">
        <v>20</v>
      </c>
      <c r="L2946" s="1" t="s">
        <v>1110</v>
      </c>
      <c r="M2946" s="5">
        <v>20</v>
      </c>
    </row>
    <row r="2947" spans="1:13" ht="15" x14ac:dyDescent="0.25">
      <c r="A2947" s="7" t="s">
        <v>16</v>
      </c>
      <c r="B2947" s="7" t="s">
        <v>23</v>
      </c>
      <c r="C2947" s="7" t="s">
        <v>24</v>
      </c>
      <c r="D2947" s="4">
        <v>33419482000259</v>
      </c>
      <c r="E2947" s="8" t="s">
        <v>1111</v>
      </c>
      <c r="F2947" s="8" t="s">
        <v>131</v>
      </c>
      <c r="G2947" s="7" t="s">
        <v>61</v>
      </c>
      <c r="H2947" s="47" t="s">
        <v>205</v>
      </c>
      <c r="I2947" s="47" t="s">
        <v>206</v>
      </c>
      <c r="J2947" s="6">
        <v>62</v>
      </c>
      <c r="K2947" s="8" t="s">
        <v>27</v>
      </c>
      <c r="L2947" s="1" t="s">
        <v>1111</v>
      </c>
      <c r="M2947" s="5">
        <v>4</v>
      </c>
    </row>
    <row r="2948" spans="1:13" ht="15" x14ac:dyDescent="0.25">
      <c r="A2948" s="7" t="s">
        <v>16</v>
      </c>
      <c r="B2948" s="7" t="s">
        <v>23</v>
      </c>
      <c r="C2948" s="7" t="s">
        <v>24</v>
      </c>
      <c r="D2948" s="4">
        <v>33419482000259</v>
      </c>
      <c r="E2948" s="8" t="s">
        <v>1111</v>
      </c>
      <c r="F2948" s="8" t="s">
        <v>131</v>
      </c>
      <c r="G2948" s="7" t="s">
        <v>61</v>
      </c>
      <c r="H2948" s="47" t="s">
        <v>205</v>
      </c>
      <c r="I2948" s="47" t="s">
        <v>206</v>
      </c>
      <c r="J2948" s="6">
        <v>64</v>
      </c>
      <c r="K2948" s="8" t="s">
        <v>25</v>
      </c>
      <c r="L2948" s="1" t="s">
        <v>1111</v>
      </c>
      <c r="M2948" s="5">
        <v>3</v>
      </c>
    </row>
    <row r="2949" spans="1:13" ht="15" x14ac:dyDescent="0.25">
      <c r="A2949" s="7" t="s">
        <v>16</v>
      </c>
      <c r="B2949" s="7" t="s">
        <v>23</v>
      </c>
      <c r="C2949" s="7" t="s">
        <v>24</v>
      </c>
      <c r="D2949" s="4">
        <v>33419482000259</v>
      </c>
      <c r="E2949" s="8" t="s">
        <v>1111</v>
      </c>
      <c r="F2949" s="8" t="s">
        <v>131</v>
      </c>
      <c r="G2949" s="7" t="s">
        <v>61</v>
      </c>
      <c r="H2949" s="47" t="s">
        <v>205</v>
      </c>
      <c r="I2949" s="47" t="s">
        <v>206</v>
      </c>
      <c r="J2949" s="6">
        <v>70</v>
      </c>
      <c r="K2949" s="8" t="s">
        <v>20</v>
      </c>
      <c r="L2949" s="1" t="s">
        <v>1111</v>
      </c>
      <c r="M2949" s="5">
        <v>50</v>
      </c>
    </row>
    <row r="2950" spans="1:13" ht="15" x14ac:dyDescent="0.25">
      <c r="A2950" s="7" t="s">
        <v>16</v>
      </c>
      <c r="B2950" s="7" t="s">
        <v>23</v>
      </c>
      <c r="C2950" s="7" t="s">
        <v>24</v>
      </c>
      <c r="D2950" s="4">
        <v>33540014000157</v>
      </c>
      <c r="E2950" s="8" t="s">
        <v>1112</v>
      </c>
      <c r="F2950" s="8" t="s">
        <v>131</v>
      </c>
      <c r="G2950" s="7" t="s">
        <v>61</v>
      </c>
      <c r="H2950" s="47" t="s">
        <v>205</v>
      </c>
      <c r="I2950" s="47" t="s">
        <v>206</v>
      </c>
      <c r="J2950" s="6">
        <v>66</v>
      </c>
      <c r="K2950" s="8" t="s">
        <v>28</v>
      </c>
      <c r="L2950" s="1" t="s">
        <v>1112</v>
      </c>
      <c r="M2950" s="5">
        <v>3</v>
      </c>
    </row>
    <row r="2951" spans="1:13" ht="15" x14ac:dyDescent="0.25">
      <c r="A2951" s="7" t="s">
        <v>16</v>
      </c>
      <c r="B2951" s="7" t="s">
        <v>23</v>
      </c>
      <c r="C2951" s="7" t="s">
        <v>24</v>
      </c>
      <c r="D2951" s="4">
        <v>33663683005347</v>
      </c>
      <c r="E2951" s="8" t="s">
        <v>1114</v>
      </c>
      <c r="F2951" s="8" t="s">
        <v>131</v>
      </c>
      <c r="G2951" s="7" t="s">
        <v>61</v>
      </c>
      <c r="H2951" s="47" t="s">
        <v>205</v>
      </c>
      <c r="I2951" s="47" t="s">
        <v>206</v>
      </c>
      <c r="J2951" s="6">
        <v>62</v>
      </c>
      <c r="K2951" s="8" t="s">
        <v>27</v>
      </c>
      <c r="L2951" s="1" t="s">
        <v>1114</v>
      </c>
      <c r="M2951" s="5">
        <v>41</v>
      </c>
    </row>
    <row r="2952" spans="1:13" ht="15" x14ac:dyDescent="0.25">
      <c r="A2952" s="7" t="s">
        <v>16</v>
      </c>
      <c r="B2952" s="7" t="s">
        <v>23</v>
      </c>
      <c r="C2952" s="7" t="s">
        <v>24</v>
      </c>
      <c r="D2952" s="4">
        <v>33663683005347</v>
      </c>
      <c r="E2952" s="8" t="s">
        <v>1114</v>
      </c>
      <c r="F2952" s="8" t="s">
        <v>131</v>
      </c>
      <c r="G2952" s="7" t="s">
        <v>61</v>
      </c>
      <c r="H2952" s="47" t="s">
        <v>205</v>
      </c>
      <c r="I2952" s="47" t="s">
        <v>206</v>
      </c>
      <c r="J2952" s="6">
        <v>64</v>
      </c>
      <c r="K2952" s="8" t="s">
        <v>25</v>
      </c>
      <c r="L2952" s="1" t="s">
        <v>1114</v>
      </c>
      <c r="M2952" s="5">
        <v>41</v>
      </c>
    </row>
    <row r="2953" spans="1:13" ht="15" x14ac:dyDescent="0.25">
      <c r="A2953" s="7" t="s">
        <v>16</v>
      </c>
      <c r="B2953" s="7" t="s">
        <v>23</v>
      </c>
      <c r="C2953" s="7" t="s">
        <v>24</v>
      </c>
      <c r="D2953" s="4">
        <v>33663683005347</v>
      </c>
      <c r="E2953" s="8" t="s">
        <v>1114</v>
      </c>
      <c r="F2953" s="8" t="s">
        <v>131</v>
      </c>
      <c r="G2953" s="7" t="s">
        <v>61</v>
      </c>
      <c r="H2953" s="47" t="s">
        <v>205</v>
      </c>
      <c r="I2953" s="47" t="s">
        <v>206</v>
      </c>
      <c r="J2953" s="6">
        <v>70</v>
      </c>
      <c r="K2953" s="8" t="s">
        <v>20</v>
      </c>
      <c r="L2953" s="1" t="s">
        <v>1114</v>
      </c>
      <c r="M2953" s="5">
        <v>1600</v>
      </c>
    </row>
    <row r="2954" spans="1:13" ht="15" x14ac:dyDescent="0.25">
      <c r="A2954" s="7" t="s">
        <v>16</v>
      </c>
      <c r="B2954" s="7" t="s">
        <v>23</v>
      </c>
      <c r="C2954" s="7" t="s">
        <v>24</v>
      </c>
      <c r="D2954" s="4">
        <v>33722224000166</v>
      </c>
      <c r="E2954" s="8" t="s">
        <v>1115</v>
      </c>
      <c r="F2954" s="8" t="s">
        <v>131</v>
      </c>
      <c r="G2954" s="7" t="s">
        <v>61</v>
      </c>
      <c r="H2954" s="47" t="s">
        <v>205</v>
      </c>
      <c r="I2954" s="47" t="s">
        <v>206</v>
      </c>
      <c r="J2954" s="6">
        <v>64</v>
      </c>
      <c r="K2954" s="8" t="s">
        <v>25</v>
      </c>
      <c r="L2954" s="1" t="s">
        <v>1115</v>
      </c>
      <c r="M2954" s="5">
        <v>5</v>
      </c>
    </row>
    <row r="2955" spans="1:13" ht="15" x14ac:dyDescent="0.25">
      <c r="A2955" s="7" t="s">
        <v>16</v>
      </c>
      <c r="B2955" s="7" t="s">
        <v>23</v>
      </c>
      <c r="C2955" s="7" t="s">
        <v>24</v>
      </c>
      <c r="D2955" s="4">
        <v>33781055000216</v>
      </c>
      <c r="E2955" s="8" t="s">
        <v>1116</v>
      </c>
      <c r="F2955" s="8" t="s">
        <v>131</v>
      </c>
      <c r="G2955" s="7" t="s">
        <v>61</v>
      </c>
      <c r="H2955" s="47" t="s">
        <v>205</v>
      </c>
      <c r="I2955" s="47" t="s">
        <v>206</v>
      </c>
      <c r="J2955" s="6">
        <v>70</v>
      </c>
      <c r="K2955" s="8" t="s">
        <v>20</v>
      </c>
      <c r="L2955" s="1" t="s">
        <v>1116</v>
      </c>
      <c r="M2955" s="5">
        <v>100</v>
      </c>
    </row>
    <row r="2956" spans="1:13" ht="15" x14ac:dyDescent="0.25">
      <c r="A2956" s="7" t="s">
        <v>16</v>
      </c>
      <c r="B2956" s="7" t="s">
        <v>23</v>
      </c>
      <c r="C2956" s="7" t="s">
        <v>24</v>
      </c>
      <c r="D2956" s="4">
        <v>39086160000130</v>
      </c>
      <c r="E2956" s="8" t="s">
        <v>1119</v>
      </c>
      <c r="F2956" s="8" t="s">
        <v>131</v>
      </c>
      <c r="G2956" s="7" t="s">
        <v>61</v>
      </c>
      <c r="H2956" s="47" t="s">
        <v>205</v>
      </c>
      <c r="I2956" s="47" t="s">
        <v>206</v>
      </c>
      <c r="J2956" s="6">
        <v>70</v>
      </c>
      <c r="K2956" s="8" t="s">
        <v>20</v>
      </c>
      <c r="L2956" s="1" t="s">
        <v>1119</v>
      </c>
      <c r="M2956" s="5">
        <v>150</v>
      </c>
    </row>
    <row r="2957" spans="1:13" ht="15" x14ac:dyDescent="0.25">
      <c r="A2957" s="7" t="s">
        <v>16</v>
      </c>
      <c r="B2957" s="7" t="s">
        <v>23</v>
      </c>
      <c r="C2957" s="7" t="s">
        <v>24</v>
      </c>
      <c r="D2957" s="4">
        <v>39086160000130</v>
      </c>
      <c r="E2957" s="8" t="s">
        <v>1119</v>
      </c>
      <c r="F2957" s="8" t="s">
        <v>131</v>
      </c>
      <c r="G2957" s="7" t="s">
        <v>61</v>
      </c>
      <c r="H2957" s="47" t="s">
        <v>205</v>
      </c>
      <c r="I2957" s="47" t="s">
        <v>206</v>
      </c>
      <c r="J2957" s="6">
        <v>73</v>
      </c>
      <c r="K2957" s="8" t="s">
        <v>26</v>
      </c>
      <c r="L2957" s="1" t="s">
        <v>1119</v>
      </c>
      <c r="M2957" s="5">
        <v>128</v>
      </c>
    </row>
    <row r="2958" spans="1:13" ht="15" x14ac:dyDescent="0.25">
      <c r="A2958" s="7" t="s">
        <v>16</v>
      </c>
      <c r="B2958" s="7" t="s">
        <v>23</v>
      </c>
      <c r="C2958" s="7" t="s">
        <v>24</v>
      </c>
      <c r="D2958" s="4">
        <v>40320103000153</v>
      </c>
      <c r="E2958" s="8" t="s">
        <v>1121</v>
      </c>
      <c r="F2958" s="8" t="s">
        <v>131</v>
      </c>
      <c r="G2958" s="7" t="s">
        <v>61</v>
      </c>
      <c r="H2958" s="47" t="s">
        <v>205</v>
      </c>
      <c r="I2958" s="47" t="s">
        <v>206</v>
      </c>
      <c r="J2958" s="6">
        <v>64</v>
      </c>
      <c r="K2958" s="8" t="s">
        <v>25</v>
      </c>
      <c r="L2958" s="1" t="s">
        <v>1121</v>
      </c>
      <c r="M2958" s="5">
        <v>10</v>
      </c>
    </row>
    <row r="2959" spans="1:13" ht="15" x14ac:dyDescent="0.25">
      <c r="A2959" s="7" t="s">
        <v>16</v>
      </c>
      <c r="B2959" s="7" t="s">
        <v>23</v>
      </c>
      <c r="C2959" s="7" t="s">
        <v>24</v>
      </c>
      <c r="D2959" s="4">
        <v>42297507000107</v>
      </c>
      <c r="E2959" s="8" t="s">
        <v>1122</v>
      </c>
      <c r="F2959" s="8" t="s">
        <v>131</v>
      </c>
      <c r="G2959" s="7" t="s">
        <v>61</v>
      </c>
      <c r="H2959" s="47" t="s">
        <v>205</v>
      </c>
      <c r="I2959" s="47" t="s">
        <v>206</v>
      </c>
      <c r="J2959" s="6">
        <v>62</v>
      </c>
      <c r="K2959" s="8" t="s">
        <v>27</v>
      </c>
      <c r="L2959" s="1" t="s">
        <v>1122</v>
      </c>
      <c r="M2959" s="5">
        <v>3</v>
      </c>
    </row>
    <row r="2960" spans="1:13" ht="15" x14ac:dyDescent="0.25">
      <c r="A2960" s="7" t="s">
        <v>16</v>
      </c>
      <c r="B2960" s="7" t="s">
        <v>23</v>
      </c>
      <c r="C2960" s="7" t="s">
        <v>24</v>
      </c>
      <c r="D2960" s="4">
        <v>42297507000107</v>
      </c>
      <c r="E2960" s="8" t="s">
        <v>1122</v>
      </c>
      <c r="F2960" s="8" t="s">
        <v>131</v>
      </c>
      <c r="G2960" s="7" t="s">
        <v>61</v>
      </c>
      <c r="H2960" s="47" t="s">
        <v>205</v>
      </c>
      <c r="I2960" s="47" t="s">
        <v>206</v>
      </c>
      <c r="J2960" s="6">
        <v>64</v>
      </c>
      <c r="K2960" s="8" t="s">
        <v>25</v>
      </c>
      <c r="L2960" s="1" t="s">
        <v>1122</v>
      </c>
      <c r="M2960" s="5">
        <v>6</v>
      </c>
    </row>
    <row r="2961" spans="1:13" ht="15" x14ac:dyDescent="0.25">
      <c r="A2961" s="7" t="s">
        <v>16</v>
      </c>
      <c r="B2961" s="7" t="s">
        <v>23</v>
      </c>
      <c r="C2961" s="7" t="s">
        <v>24</v>
      </c>
      <c r="D2961" s="4">
        <v>60884855001630</v>
      </c>
      <c r="E2961" s="8" t="s">
        <v>1124</v>
      </c>
      <c r="F2961" s="8" t="s">
        <v>131</v>
      </c>
      <c r="G2961" s="7" t="s">
        <v>61</v>
      </c>
      <c r="H2961" s="47" t="s">
        <v>205</v>
      </c>
      <c r="I2961" s="47" t="s">
        <v>206</v>
      </c>
      <c r="J2961" s="6">
        <v>62</v>
      </c>
      <c r="K2961" s="8" t="s">
        <v>27</v>
      </c>
      <c r="L2961" s="1" t="s">
        <v>1124</v>
      </c>
      <c r="M2961" s="5">
        <v>61</v>
      </c>
    </row>
    <row r="2962" spans="1:13" ht="15" x14ac:dyDescent="0.25">
      <c r="A2962" s="7" t="s">
        <v>16</v>
      </c>
      <c r="B2962" s="7" t="s">
        <v>23</v>
      </c>
      <c r="C2962" s="7" t="s">
        <v>24</v>
      </c>
      <c r="D2962" s="4">
        <v>60884855001630</v>
      </c>
      <c r="E2962" s="8" t="s">
        <v>1124</v>
      </c>
      <c r="F2962" s="8" t="s">
        <v>131</v>
      </c>
      <c r="G2962" s="7" t="s">
        <v>61</v>
      </c>
      <c r="H2962" s="47" t="s">
        <v>205</v>
      </c>
      <c r="I2962" s="47" t="s">
        <v>206</v>
      </c>
      <c r="J2962" s="6">
        <v>64</v>
      </c>
      <c r="K2962" s="8" t="s">
        <v>25</v>
      </c>
      <c r="L2962" s="1" t="s">
        <v>1124</v>
      </c>
      <c r="M2962" s="5">
        <v>38</v>
      </c>
    </row>
    <row r="2963" spans="1:13" ht="15" x14ac:dyDescent="0.25">
      <c r="A2963" s="7" t="s">
        <v>16</v>
      </c>
      <c r="B2963" s="7" t="s">
        <v>23</v>
      </c>
      <c r="C2963" s="7" t="s">
        <v>24</v>
      </c>
      <c r="D2963" s="4">
        <v>60922168000348</v>
      </c>
      <c r="E2963" s="8" t="s">
        <v>1125</v>
      </c>
      <c r="F2963" s="8" t="s">
        <v>131</v>
      </c>
      <c r="G2963" s="7" t="s">
        <v>61</v>
      </c>
      <c r="H2963" s="47" t="s">
        <v>205</v>
      </c>
      <c r="I2963" s="47" t="s">
        <v>206</v>
      </c>
      <c r="J2963" s="6">
        <v>62</v>
      </c>
      <c r="K2963" s="8" t="s">
        <v>27</v>
      </c>
      <c r="L2963" s="1" t="s">
        <v>1125</v>
      </c>
      <c r="M2963" s="5">
        <v>6</v>
      </c>
    </row>
    <row r="2964" spans="1:13" ht="15" x14ac:dyDescent="0.25">
      <c r="A2964" s="7" t="s">
        <v>16</v>
      </c>
      <c r="B2964" s="7" t="s">
        <v>23</v>
      </c>
      <c r="C2964" s="7" t="s">
        <v>24</v>
      </c>
      <c r="D2964" s="4">
        <v>60922168000348</v>
      </c>
      <c r="E2964" s="8" t="s">
        <v>1125</v>
      </c>
      <c r="F2964" s="8" t="s">
        <v>131</v>
      </c>
      <c r="G2964" s="7" t="s">
        <v>61</v>
      </c>
      <c r="H2964" s="47" t="s">
        <v>205</v>
      </c>
      <c r="I2964" s="47" t="s">
        <v>206</v>
      </c>
      <c r="J2964" s="6">
        <v>64</v>
      </c>
      <c r="K2964" s="8" t="s">
        <v>25</v>
      </c>
      <c r="L2964" s="1" t="s">
        <v>1125</v>
      </c>
      <c r="M2964" s="5">
        <v>6</v>
      </c>
    </row>
    <row r="2965" spans="1:13" ht="15" x14ac:dyDescent="0.25">
      <c r="A2965" s="7" t="s">
        <v>16</v>
      </c>
      <c r="B2965" s="7" t="s">
        <v>23</v>
      </c>
      <c r="C2965" s="7" t="s">
        <v>24</v>
      </c>
      <c r="D2965" s="4">
        <v>60922168000348</v>
      </c>
      <c r="E2965" s="8" t="s">
        <v>1125</v>
      </c>
      <c r="F2965" s="8" t="s">
        <v>131</v>
      </c>
      <c r="G2965" s="7" t="s">
        <v>61</v>
      </c>
      <c r="H2965" s="47" t="s">
        <v>205</v>
      </c>
      <c r="I2965" s="47" t="s">
        <v>206</v>
      </c>
      <c r="J2965" s="6">
        <v>70</v>
      </c>
      <c r="K2965" s="8" t="s">
        <v>20</v>
      </c>
      <c r="L2965" s="1" t="s">
        <v>1125</v>
      </c>
      <c r="M2965" s="5">
        <v>750</v>
      </c>
    </row>
    <row r="2966" spans="1:13" ht="15" x14ac:dyDescent="0.25">
      <c r="A2966" s="7" t="s">
        <v>16</v>
      </c>
      <c r="B2966" s="7" t="s">
        <v>23</v>
      </c>
      <c r="C2966" s="7" t="s">
        <v>24</v>
      </c>
      <c r="D2966" s="4">
        <v>72101124000506</v>
      </c>
      <c r="E2966" s="8" t="s">
        <v>1126</v>
      </c>
      <c r="F2966" s="8" t="s">
        <v>131</v>
      </c>
      <c r="G2966" s="7" t="s">
        <v>61</v>
      </c>
      <c r="H2966" s="47" t="s">
        <v>205</v>
      </c>
      <c r="I2966" s="47" t="s">
        <v>206</v>
      </c>
      <c r="J2966" s="6">
        <v>70</v>
      </c>
      <c r="K2966" s="8" t="s">
        <v>20</v>
      </c>
      <c r="L2966" s="1" t="s">
        <v>1126</v>
      </c>
      <c r="M2966" s="5">
        <v>705</v>
      </c>
    </row>
    <row r="2967" spans="1:13" ht="15" x14ac:dyDescent="0.25">
      <c r="A2967" s="7" t="s">
        <v>16</v>
      </c>
      <c r="B2967" s="7" t="s">
        <v>23</v>
      </c>
      <c r="C2967" s="7" t="s">
        <v>24</v>
      </c>
      <c r="D2967" s="4">
        <v>72101124000506</v>
      </c>
      <c r="E2967" s="8" t="s">
        <v>1126</v>
      </c>
      <c r="F2967" s="8" t="s">
        <v>131</v>
      </c>
      <c r="G2967" s="7" t="s">
        <v>61</v>
      </c>
      <c r="H2967" s="47" t="s">
        <v>205</v>
      </c>
      <c r="I2967" s="47" t="s">
        <v>206</v>
      </c>
      <c r="J2967" s="6">
        <v>73</v>
      </c>
      <c r="K2967" s="8" t="s">
        <v>26</v>
      </c>
      <c r="L2967" s="1" t="s">
        <v>1126</v>
      </c>
      <c r="M2967" s="5">
        <v>133</v>
      </c>
    </row>
    <row r="2968" spans="1:13" ht="15" x14ac:dyDescent="0.25">
      <c r="A2968" s="7" t="s">
        <v>16</v>
      </c>
      <c r="B2968" s="7" t="s">
        <v>229</v>
      </c>
      <c r="C2968" s="7" t="s">
        <v>24</v>
      </c>
      <c r="D2968" s="4">
        <v>92929000198</v>
      </c>
      <c r="E2968" s="8" t="s">
        <v>1327</v>
      </c>
      <c r="F2968" s="8" t="s">
        <v>131</v>
      </c>
      <c r="G2968" s="7" t="s">
        <v>61</v>
      </c>
      <c r="H2968" s="47" t="s">
        <v>205</v>
      </c>
      <c r="I2968" s="47" t="s">
        <v>206</v>
      </c>
      <c r="J2968" s="6">
        <v>73</v>
      </c>
      <c r="K2968" s="8" t="s">
        <v>26</v>
      </c>
      <c r="L2968" s="1" t="s">
        <v>1327</v>
      </c>
      <c r="M2968" s="5">
        <v>60</v>
      </c>
    </row>
    <row r="2969" spans="1:13" ht="15" x14ac:dyDescent="0.25">
      <c r="A2969" s="7" t="s">
        <v>16</v>
      </c>
      <c r="B2969" s="7" t="s">
        <v>229</v>
      </c>
      <c r="C2969" s="7" t="s">
        <v>24</v>
      </c>
      <c r="D2969" s="4">
        <v>394502014870</v>
      </c>
      <c r="E2969" s="8" t="s">
        <v>1070</v>
      </c>
      <c r="F2969" s="8" t="s">
        <v>131</v>
      </c>
      <c r="G2969" s="7" t="s">
        <v>61</v>
      </c>
      <c r="H2969" s="47" t="s">
        <v>205</v>
      </c>
      <c r="I2969" s="47" t="s">
        <v>206</v>
      </c>
      <c r="J2969" s="6">
        <v>64</v>
      </c>
      <c r="K2969" s="8" t="s">
        <v>25</v>
      </c>
      <c r="L2969" s="1" t="s">
        <v>1070</v>
      </c>
      <c r="M2969" s="5">
        <v>10</v>
      </c>
    </row>
    <row r="2970" spans="1:13" ht="15" x14ac:dyDescent="0.25">
      <c r="A2970" s="7" t="s">
        <v>16</v>
      </c>
      <c r="B2970" s="7" t="s">
        <v>229</v>
      </c>
      <c r="C2970" s="7" t="s">
        <v>24</v>
      </c>
      <c r="D2970" s="4">
        <v>394502014870</v>
      </c>
      <c r="E2970" s="8" t="s">
        <v>1070</v>
      </c>
      <c r="F2970" s="8" t="s">
        <v>131</v>
      </c>
      <c r="G2970" s="7" t="s">
        <v>61</v>
      </c>
      <c r="H2970" s="47" t="s">
        <v>205</v>
      </c>
      <c r="I2970" s="47" t="s">
        <v>206</v>
      </c>
      <c r="J2970" s="6">
        <v>70</v>
      </c>
      <c r="K2970" s="8" t="s">
        <v>20</v>
      </c>
      <c r="L2970" s="1" t="s">
        <v>1070</v>
      </c>
      <c r="M2970" s="5">
        <v>1000</v>
      </c>
    </row>
    <row r="2971" spans="1:13" ht="15" x14ac:dyDescent="0.25">
      <c r="A2971" s="7" t="s">
        <v>16</v>
      </c>
      <c r="B2971" s="7" t="s">
        <v>229</v>
      </c>
      <c r="C2971" s="7" t="s">
        <v>24</v>
      </c>
      <c r="D2971" s="4">
        <v>2284062000521</v>
      </c>
      <c r="E2971" s="8" t="s">
        <v>1077</v>
      </c>
      <c r="F2971" s="8" t="s">
        <v>131</v>
      </c>
      <c r="G2971" s="7" t="s">
        <v>61</v>
      </c>
      <c r="H2971" s="47" t="s">
        <v>205</v>
      </c>
      <c r="I2971" s="47" t="s">
        <v>206</v>
      </c>
      <c r="J2971" s="6">
        <v>64</v>
      </c>
      <c r="K2971" s="8" t="s">
        <v>25</v>
      </c>
      <c r="L2971" s="1" t="s">
        <v>1077</v>
      </c>
      <c r="M2971" s="5">
        <v>5</v>
      </c>
    </row>
    <row r="2972" spans="1:13" ht="15" x14ac:dyDescent="0.25">
      <c r="A2972" s="7" t="s">
        <v>16</v>
      </c>
      <c r="B2972" s="7" t="s">
        <v>229</v>
      </c>
      <c r="C2972" s="7" t="s">
        <v>24</v>
      </c>
      <c r="D2972" s="4">
        <v>2864097000106</v>
      </c>
      <c r="E2972" s="8" t="s">
        <v>1078</v>
      </c>
      <c r="F2972" s="8" t="s">
        <v>131</v>
      </c>
      <c r="G2972" s="7" t="s">
        <v>61</v>
      </c>
      <c r="H2972" s="47" t="s">
        <v>205</v>
      </c>
      <c r="I2972" s="47" t="s">
        <v>206</v>
      </c>
      <c r="J2972" s="6">
        <v>70</v>
      </c>
      <c r="K2972" s="8" t="s">
        <v>20</v>
      </c>
      <c r="L2972" s="1" t="s">
        <v>1078</v>
      </c>
      <c r="M2972" s="5">
        <v>80</v>
      </c>
    </row>
    <row r="2973" spans="1:13" ht="15" x14ac:dyDescent="0.25">
      <c r="A2973" s="7" t="s">
        <v>16</v>
      </c>
      <c r="B2973" s="7" t="s">
        <v>229</v>
      </c>
      <c r="C2973" s="7" t="s">
        <v>24</v>
      </c>
      <c r="D2973" s="4">
        <v>6047087000996</v>
      </c>
      <c r="E2973" s="8" t="s">
        <v>1080</v>
      </c>
      <c r="F2973" s="8" t="s">
        <v>131</v>
      </c>
      <c r="G2973" s="7" t="s">
        <v>61</v>
      </c>
      <c r="H2973" s="47" t="s">
        <v>205</v>
      </c>
      <c r="I2973" s="47" t="s">
        <v>206</v>
      </c>
      <c r="J2973" s="6">
        <v>70</v>
      </c>
      <c r="K2973" s="8" t="s">
        <v>20</v>
      </c>
      <c r="L2973" s="1" t="s">
        <v>1080</v>
      </c>
      <c r="M2973" s="5">
        <v>120</v>
      </c>
    </row>
    <row r="2974" spans="1:13" ht="15" x14ac:dyDescent="0.25">
      <c r="A2974" s="7" t="s">
        <v>16</v>
      </c>
      <c r="B2974" s="7" t="s">
        <v>229</v>
      </c>
      <c r="C2974" s="7" t="s">
        <v>24</v>
      </c>
      <c r="D2974" s="4">
        <v>6047087000996</v>
      </c>
      <c r="E2974" s="8" t="s">
        <v>1080</v>
      </c>
      <c r="F2974" s="8" t="s">
        <v>131</v>
      </c>
      <c r="G2974" s="7" t="s">
        <v>61</v>
      </c>
      <c r="H2974" s="47" t="s">
        <v>205</v>
      </c>
      <c r="I2974" s="47" t="s">
        <v>206</v>
      </c>
      <c r="J2974" s="6">
        <v>73</v>
      </c>
      <c r="K2974" s="8" t="s">
        <v>26</v>
      </c>
      <c r="L2974" s="1" t="s">
        <v>1080</v>
      </c>
      <c r="M2974" s="5">
        <v>24</v>
      </c>
    </row>
    <row r="2975" spans="1:13" ht="15" x14ac:dyDescent="0.25">
      <c r="A2975" s="7" t="s">
        <v>16</v>
      </c>
      <c r="B2975" s="7" t="s">
        <v>229</v>
      </c>
      <c r="C2975" s="7" t="s">
        <v>24</v>
      </c>
      <c r="D2975" s="4">
        <v>6047087001020</v>
      </c>
      <c r="E2975" s="8" t="s">
        <v>1081</v>
      </c>
      <c r="F2975" s="8" t="s">
        <v>131</v>
      </c>
      <c r="G2975" s="7" t="s">
        <v>61</v>
      </c>
      <c r="H2975" s="47" t="s">
        <v>205</v>
      </c>
      <c r="I2975" s="47" t="s">
        <v>206</v>
      </c>
      <c r="J2975" s="6">
        <v>62</v>
      </c>
      <c r="K2975" s="8" t="s">
        <v>27</v>
      </c>
      <c r="L2975" s="1" t="s">
        <v>1081</v>
      </c>
      <c r="M2975" s="5">
        <v>65</v>
      </c>
    </row>
    <row r="2976" spans="1:13" ht="15" x14ac:dyDescent="0.25">
      <c r="A2976" s="7" t="s">
        <v>16</v>
      </c>
      <c r="B2976" s="7" t="s">
        <v>229</v>
      </c>
      <c r="C2976" s="7" t="s">
        <v>24</v>
      </c>
      <c r="D2976" s="4">
        <v>6047087001020</v>
      </c>
      <c r="E2976" s="8" t="s">
        <v>1081</v>
      </c>
      <c r="F2976" s="8" t="s">
        <v>131</v>
      </c>
      <c r="G2976" s="7" t="s">
        <v>61</v>
      </c>
      <c r="H2976" s="47" t="s">
        <v>205</v>
      </c>
      <c r="I2976" s="47" t="s">
        <v>206</v>
      </c>
      <c r="J2976" s="6">
        <v>64</v>
      </c>
      <c r="K2976" s="8" t="s">
        <v>25</v>
      </c>
      <c r="L2976" s="1" t="s">
        <v>1081</v>
      </c>
      <c r="M2976" s="5">
        <v>41</v>
      </c>
    </row>
    <row r="2977" spans="1:13" ht="15" x14ac:dyDescent="0.25">
      <c r="A2977" s="7" t="s">
        <v>16</v>
      </c>
      <c r="B2977" s="7" t="s">
        <v>229</v>
      </c>
      <c r="C2977" s="7" t="s">
        <v>24</v>
      </c>
      <c r="D2977" s="4">
        <v>6047087002697</v>
      </c>
      <c r="E2977" s="8" t="s">
        <v>1082</v>
      </c>
      <c r="F2977" s="8" t="s">
        <v>131</v>
      </c>
      <c r="G2977" s="7" t="s">
        <v>61</v>
      </c>
      <c r="H2977" s="47" t="s">
        <v>205</v>
      </c>
      <c r="I2977" s="47" t="s">
        <v>206</v>
      </c>
      <c r="J2977" s="6">
        <v>62</v>
      </c>
      <c r="K2977" s="8" t="s">
        <v>27</v>
      </c>
      <c r="L2977" s="1" t="s">
        <v>1082</v>
      </c>
      <c r="M2977" s="5">
        <v>4</v>
      </c>
    </row>
    <row r="2978" spans="1:13" ht="15" x14ac:dyDescent="0.25">
      <c r="A2978" s="7" t="s">
        <v>16</v>
      </c>
      <c r="B2978" s="7" t="s">
        <v>229</v>
      </c>
      <c r="C2978" s="7" t="s">
        <v>24</v>
      </c>
      <c r="D2978" s="4">
        <v>6047087003316</v>
      </c>
      <c r="E2978" s="8" t="s">
        <v>1083</v>
      </c>
      <c r="F2978" s="8" t="s">
        <v>131</v>
      </c>
      <c r="G2978" s="7" t="s">
        <v>61</v>
      </c>
      <c r="H2978" s="47" t="s">
        <v>205</v>
      </c>
      <c r="I2978" s="47" t="s">
        <v>206</v>
      </c>
      <c r="J2978" s="6">
        <v>62</v>
      </c>
      <c r="K2978" s="8" t="s">
        <v>27</v>
      </c>
      <c r="L2978" s="1" t="s">
        <v>1083</v>
      </c>
      <c r="M2978" s="5">
        <v>2</v>
      </c>
    </row>
    <row r="2979" spans="1:13" ht="15" x14ac:dyDescent="0.25">
      <c r="A2979" s="7" t="s">
        <v>16</v>
      </c>
      <c r="B2979" s="7" t="s">
        <v>229</v>
      </c>
      <c r="C2979" s="7" t="s">
        <v>24</v>
      </c>
      <c r="D2979" s="4">
        <v>7794623004896</v>
      </c>
      <c r="E2979" s="8" t="s">
        <v>1084</v>
      </c>
      <c r="F2979" s="8" t="s">
        <v>131</v>
      </c>
      <c r="G2979" s="7" t="s">
        <v>61</v>
      </c>
      <c r="H2979" s="47" t="s">
        <v>205</v>
      </c>
      <c r="I2979" s="47" t="s">
        <v>206</v>
      </c>
      <c r="J2979" s="6">
        <v>70</v>
      </c>
      <c r="K2979" s="8" t="s">
        <v>20</v>
      </c>
      <c r="L2979" s="1" t="s">
        <v>1084</v>
      </c>
      <c r="M2979" s="5">
        <v>400</v>
      </c>
    </row>
    <row r="2980" spans="1:13" ht="15" x14ac:dyDescent="0.25">
      <c r="A2980" s="7" t="s">
        <v>16</v>
      </c>
      <c r="B2980" s="7" t="s">
        <v>229</v>
      </c>
      <c r="C2980" s="7" t="s">
        <v>24</v>
      </c>
      <c r="D2980" s="4">
        <v>8100676002102</v>
      </c>
      <c r="E2980" s="8" t="s">
        <v>1085</v>
      </c>
      <c r="F2980" s="8" t="s">
        <v>131</v>
      </c>
      <c r="G2980" s="7" t="s">
        <v>61</v>
      </c>
      <c r="H2980" s="47" t="s">
        <v>205</v>
      </c>
      <c r="I2980" s="47" t="s">
        <v>206</v>
      </c>
      <c r="J2980" s="6">
        <v>62</v>
      </c>
      <c r="K2980" s="8" t="s">
        <v>27</v>
      </c>
      <c r="L2980" s="1" t="s">
        <v>1085</v>
      </c>
      <c r="M2980" s="5">
        <v>10</v>
      </c>
    </row>
    <row r="2981" spans="1:13" ht="15" x14ac:dyDescent="0.25">
      <c r="A2981" s="7" t="s">
        <v>16</v>
      </c>
      <c r="B2981" s="7" t="s">
        <v>229</v>
      </c>
      <c r="C2981" s="7" t="s">
        <v>24</v>
      </c>
      <c r="D2981" s="4">
        <v>8100676002102</v>
      </c>
      <c r="E2981" s="8" t="s">
        <v>1085</v>
      </c>
      <c r="F2981" s="8" t="s">
        <v>131</v>
      </c>
      <c r="G2981" s="7" t="s">
        <v>61</v>
      </c>
      <c r="H2981" s="47" t="s">
        <v>205</v>
      </c>
      <c r="I2981" s="47" t="s">
        <v>206</v>
      </c>
      <c r="J2981" s="6">
        <v>64</v>
      </c>
      <c r="K2981" s="8" t="s">
        <v>25</v>
      </c>
      <c r="L2981" s="1" t="s">
        <v>1085</v>
      </c>
      <c r="M2981" s="5">
        <v>20</v>
      </c>
    </row>
    <row r="2982" spans="1:13" ht="15" x14ac:dyDescent="0.25">
      <c r="A2982" s="7" t="s">
        <v>16</v>
      </c>
      <c r="B2982" s="7" t="s">
        <v>229</v>
      </c>
      <c r="C2982" s="7" t="s">
        <v>24</v>
      </c>
      <c r="D2982" s="4">
        <v>8850962000222</v>
      </c>
      <c r="E2982" s="8" t="s">
        <v>1086</v>
      </c>
      <c r="F2982" s="8" t="s">
        <v>131</v>
      </c>
      <c r="G2982" s="7" t="s">
        <v>61</v>
      </c>
      <c r="H2982" s="47" t="s">
        <v>205</v>
      </c>
      <c r="I2982" s="47" t="s">
        <v>206</v>
      </c>
      <c r="J2982" s="6">
        <v>62</v>
      </c>
      <c r="K2982" s="8" t="s">
        <v>27</v>
      </c>
      <c r="L2982" s="1" t="s">
        <v>1086</v>
      </c>
      <c r="M2982" s="5">
        <v>7</v>
      </c>
    </row>
    <row r="2983" spans="1:13" ht="15" x14ac:dyDescent="0.25">
      <c r="A2983" s="7" t="s">
        <v>16</v>
      </c>
      <c r="B2983" s="7" t="s">
        <v>229</v>
      </c>
      <c r="C2983" s="7" t="s">
        <v>24</v>
      </c>
      <c r="D2983" s="4">
        <v>8850962000222</v>
      </c>
      <c r="E2983" s="8" t="s">
        <v>1086</v>
      </c>
      <c r="F2983" s="8" t="s">
        <v>131</v>
      </c>
      <c r="G2983" s="7" t="s">
        <v>61</v>
      </c>
      <c r="H2983" s="47" t="s">
        <v>205</v>
      </c>
      <c r="I2983" s="47" t="s">
        <v>206</v>
      </c>
      <c r="J2983" s="6">
        <v>64</v>
      </c>
      <c r="K2983" s="8" t="s">
        <v>25</v>
      </c>
      <c r="L2983" s="1" t="s">
        <v>1086</v>
      </c>
      <c r="M2983" s="5">
        <v>4</v>
      </c>
    </row>
    <row r="2984" spans="1:13" ht="15" x14ac:dyDescent="0.25">
      <c r="A2984" s="7" t="s">
        <v>16</v>
      </c>
      <c r="B2984" s="7" t="s">
        <v>229</v>
      </c>
      <c r="C2984" s="7" t="s">
        <v>24</v>
      </c>
      <c r="D2984" s="4">
        <v>9219138000401</v>
      </c>
      <c r="E2984" s="8" t="s">
        <v>1087</v>
      </c>
      <c r="F2984" s="8" t="s">
        <v>131</v>
      </c>
      <c r="G2984" s="7" t="s">
        <v>61</v>
      </c>
      <c r="H2984" s="47" t="s">
        <v>205</v>
      </c>
      <c r="I2984" s="47" t="s">
        <v>206</v>
      </c>
      <c r="J2984" s="6">
        <v>70</v>
      </c>
      <c r="K2984" s="8" t="s">
        <v>20</v>
      </c>
      <c r="L2984" s="1" t="s">
        <v>1087</v>
      </c>
      <c r="M2984" s="5">
        <v>1105</v>
      </c>
    </row>
    <row r="2985" spans="1:13" ht="15" x14ac:dyDescent="0.25">
      <c r="A2985" s="7" t="s">
        <v>16</v>
      </c>
      <c r="B2985" s="7" t="s">
        <v>229</v>
      </c>
      <c r="C2985" s="7" t="s">
        <v>24</v>
      </c>
      <c r="D2985" s="4">
        <v>9219138000584</v>
      </c>
      <c r="E2985" s="8" t="s">
        <v>1088</v>
      </c>
      <c r="F2985" s="8" t="s">
        <v>131</v>
      </c>
      <c r="G2985" s="7" t="s">
        <v>61</v>
      </c>
      <c r="H2985" s="47" t="s">
        <v>205</v>
      </c>
      <c r="I2985" s="47" t="s">
        <v>206</v>
      </c>
      <c r="J2985" s="6">
        <v>62</v>
      </c>
      <c r="K2985" s="8" t="s">
        <v>27</v>
      </c>
      <c r="L2985" s="1" t="s">
        <v>1088</v>
      </c>
      <c r="M2985" s="5">
        <v>4</v>
      </c>
    </row>
    <row r="2986" spans="1:13" ht="15" x14ac:dyDescent="0.25">
      <c r="A2986" s="7" t="s">
        <v>16</v>
      </c>
      <c r="B2986" s="7" t="s">
        <v>229</v>
      </c>
      <c r="C2986" s="7" t="s">
        <v>24</v>
      </c>
      <c r="D2986" s="4">
        <v>9219138000584</v>
      </c>
      <c r="E2986" s="8" t="s">
        <v>1088</v>
      </c>
      <c r="F2986" s="8" t="s">
        <v>131</v>
      </c>
      <c r="G2986" s="7" t="s">
        <v>61</v>
      </c>
      <c r="H2986" s="47" t="s">
        <v>205</v>
      </c>
      <c r="I2986" s="47" t="s">
        <v>206</v>
      </c>
      <c r="J2986" s="6">
        <v>70</v>
      </c>
      <c r="K2986" s="8" t="s">
        <v>20</v>
      </c>
      <c r="L2986" s="1" t="s">
        <v>1088</v>
      </c>
      <c r="M2986" s="5">
        <v>430</v>
      </c>
    </row>
    <row r="2987" spans="1:13" ht="15" x14ac:dyDescent="0.25">
      <c r="A2987" s="7" t="s">
        <v>16</v>
      </c>
      <c r="B2987" s="7" t="s">
        <v>229</v>
      </c>
      <c r="C2987" s="7" t="s">
        <v>24</v>
      </c>
      <c r="D2987" s="4">
        <v>9219138000584</v>
      </c>
      <c r="E2987" s="8" t="s">
        <v>1088</v>
      </c>
      <c r="F2987" s="8" t="s">
        <v>131</v>
      </c>
      <c r="G2987" s="7" t="s">
        <v>61</v>
      </c>
      <c r="H2987" s="47" t="s">
        <v>205</v>
      </c>
      <c r="I2987" s="47" t="s">
        <v>206</v>
      </c>
      <c r="J2987" s="6">
        <v>73</v>
      </c>
      <c r="K2987" s="8" t="s">
        <v>26</v>
      </c>
      <c r="L2987" s="1" t="s">
        <v>1088</v>
      </c>
      <c r="M2987" s="5">
        <v>104</v>
      </c>
    </row>
    <row r="2988" spans="1:13" ht="15" x14ac:dyDescent="0.25">
      <c r="A2988" s="7" t="s">
        <v>16</v>
      </c>
      <c r="B2988" s="7" t="s">
        <v>229</v>
      </c>
      <c r="C2988" s="7" t="s">
        <v>24</v>
      </c>
      <c r="D2988" s="4">
        <v>9578217000158</v>
      </c>
      <c r="E2988" s="8" t="s">
        <v>1089</v>
      </c>
      <c r="F2988" s="8" t="s">
        <v>131</v>
      </c>
      <c r="G2988" s="7" t="s">
        <v>61</v>
      </c>
      <c r="H2988" s="47" t="s">
        <v>205</v>
      </c>
      <c r="I2988" s="47" t="s">
        <v>206</v>
      </c>
      <c r="J2988" s="6">
        <v>62</v>
      </c>
      <c r="K2988" s="8" t="s">
        <v>27</v>
      </c>
      <c r="L2988" s="1" t="s">
        <v>1089</v>
      </c>
      <c r="M2988" s="5">
        <v>3</v>
      </c>
    </row>
    <row r="2989" spans="1:13" ht="15" x14ac:dyDescent="0.25">
      <c r="A2989" s="7" t="s">
        <v>16</v>
      </c>
      <c r="B2989" s="7" t="s">
        <v>229</v>
      </c>
      <c r="C2989" s="7" t="s">
        <v>24</v>
      </c>
      <c r="D2989" s="4">
        <v>9578217000158</v>
      </c>
      <c r="E2989" s="8" t="s">
        <v>1089</v>
      </c>
      <c r="F2989" s="8" t="s">
        <v>131</v>
      </c>
      <c r="G2989" s="7" t="s">
        <v>61</v>
      </c>
      <c r="H2989" s="47" t="s">
        <v>205</v>
      </c>
      <c r="I2989" s="47" t="s">
        <v>206</v>
      </c>
      <c r="J2989" s="6">
        <v>64</v>
      </c>
      <c r="K2989" s="8" t="s">
        <v>25</v>
      </c>
      <c r="L2989" s="1" t="s">
        <v>1089</v>
      </c>
      <c r="M2989" s="5">
        <v>4</v>
      </c>
    </row>
    <row r="2990" spans="1:13" ht="15" x14ac:dyDescent="0.25">
      <c r="A2990" s="7" t="s">
        <v>16</v>
      </c>
      <c r="B2990" s="7" t="s">
        <v>229</v>
      </c>
      <c r="C2990" s="7" t="s">
        <v>24</v>
      </c>
      <c r="D2990" s="4">
        <v>10834118000179</v>
      </c>
      <c r="E2990" s="8" t="s">
        <v>1328</v>
      </c>
      <c r="F2990" s="8" t="s">
        <v>131</v>
      </c>
      <c r="G2990" s="7" t="s">
        <v>61</v>
      </c>
      <c r="H2990" s="47" t="s">
        <v>205</v>
      </c>
      <c r="I2990" s="47" t="s">
        <v>206</v>
      </c>
      <c r="J2990" s="6">
        <v>64</v>
      </c>
      <c r="K2990" s="8" t="s">
        <v>25</v>
      </c>
      <c r="L2990" s="1" t="s">
        <v>1328</v>
      </c>
      <c r="M2990" s="5">
        <v>20</v>
      </c>
    </row>
    <row r="2991" spans="1:13" ht="15" x14ac:dyDescent="0.25">
      <c r="A2991" s="7" t="s">
        <v>16</v>
      </c>
      <c r="B2991" s="7" t="s">
        <v>229</v>
      </c>
      <c r="C2991" s="7" t="s">
        <v>24</v>
      </c>
      <c r="D2991" s="4">
        <v>10922058000146</v>
      </c>
      <c r="E2991" s="8" t="s">
        <v>1158</v>
      </c>
      <c r="F2991" s="8" t="s">
        <v>131</v>
      </c>
      <c r="G2991" s="7" t="s">
        <v>61</v>
      </c>
      <c r="H2991" s="47" t="s">
        <v>205</v>
      </c>
      <c r="I2991" s="47" t="s">
        <v>206</v>
      </c>
      <c r="J2991" s="6">
        <v>70</v>
      </c>
      <c r="K2991" s="8" t="s">
        <v>20</v>
      </c>
      <c r="L2991" s="1" t="s">
        <v>1158</v>
      </c>
      <c r="M2991" s="5">
        <v>150</v>
      </c>
    </row>
    <row r="2992" spans="1:13" ht="15" x14ac:dyDescent="0.25">
      <c r="A2992" s="7" t="s">
        <v>16</v>
      </c>
      <c r="B2992" s="7" t="s">
        <v>229</v>
      </c>
      <c r="C2992" s="7" t="s">
        <v>24</v>
      </c>
      <c r="D2992" s="4">
        <v>18010750000100</v>
      </c>
      <c r="E2992" s="8" t="s">
        <v>1092</v>
      </c>
      <c r="F2992" s="8" t="s">
        <v>131</v>
      </c>
      <c r="G2992" s="7" t="s">
        <v>61</v>
      </c>
      <c r="H2992" s="47" t="s">
        <v>205</v>
      </c>
      <c r="I2992" s="47" t="s">
        <v>206</v>
      </c>
      <c r="J2992" s="6">
        <v>62</v>
      </c>
      <c r="K2992" s="8" t="s">
        <v>27</v>
      </c>
      <c r="L2992" s="1" t="s">
        <v>1092</v>
      </c>
      <c r="M2992" s="5">
        <v>2</v>
      </c>
    </row>
    <row r="2993" spans="1:13" ht="15" x14ac:dyDescent="0.25">
      <c r="A2993" s="7" t="s">
        <v>16</v>
      </c>
      <c r="B2993" s="7" t="s">
        <v>229</v>
      </c>
      <c r="C2993" s="7" t="s">
        <v>24</v>
      </c>
      <c r="D2993" s="4">
        <v>18010750000100</v>
      </c>
      <c r="E2993" s="8" t="s">
        <v>1092</v>
      </c>
      <c r="F2993" s="8" t="s">
        <v>131</v>
      </c>
      <c r="G2993" s="7" t="s">
        <v>61</v>
      </c>
      <c r="H2993" s="47" t="s">
        <v>205</v>
      </c>
      <c r="I2993" s="47" t="s">
        <v>206</v>
      </c>
      <c r="J2993" s="6">
        <v>70</v>
      </c>
      <c r="K2993" s="8" t="s">
        <v>20</v>
      </c>
      <c r="L2993" s="1" t="s">
        <v>1092</v>
      </c>
      <c r="M2993" s="5">
        <v>655</v>
      </c>
    </row>
    <row r="2994" spans="1:13" ht="15" x14ac:dyDescent="0.25">
      <c r="A2994" s="7" t="s">
        <v>16</v>
      </c>
      <c r="B2994" s="7" t="s">
        <v>229</v>
      </c>
      <c r="C2994" s="7" t="s">
        <v>24</v>
      </c>
      <c r="D2994" s="4">
        <v>21265360000195</v>
      </c>
      <c r="E2994" s="8" t="s">
        <v>1094</v>
      </c>
      <c r="F2994" s="8" t="s">
        <v>131</v>
      </c>
      <c r="G2994" s="7" t="s">
        <v>61</v>
      </c>
      <c r="H2994" s="47" t="s">
        <v>205</v>
      </c>
      <c r="I2994" s="47" t="s">
        <v>206</v>
      </c>
      <c r="J2994" s="6">
        <v>73</v>
      </c>
      <c r="K2994" s="8" t="s">
        <v>26</v>
      </c>
      <c r="L2994" s="1" t="s">
        <v>1094</v>
      </c>
      <c r="M2994" s="5">
        <v>16</v>
      </c>
    </row>
    <row r="2995" spans="1:13" ht="15" x14ac:dyDescent="0.25">
      <c r="A2995" s="7" t="s">
        <v>16</v>
      </c>
      <c r="B2995" s="7" t="s">
        <v>229</v>
      </c>
      <c r="C2995" s="7" t="s">
        <v>24</v>
      </c>
      <c r="D2995" s="4">
        <v>24217779000160</v>
      </c>
      <c r="E2995" s="8" t="s">
        <v>1097</v>
      </c>
      <c r="F2995" s="8" t="s">
        <v>131</v>
      </c>
      <c r="G2995" s="7" t="s">
        <v>61</v>
      </c>
      <c r="H2995" s="47" t="s">
        <v>205</v>
      </c>
      <c r="I2995" s="47" t="s">
        <v>206</v>
      </c>
      <c r="J2995" s="6">
        <v>62</v>
      </c>
      <c r="K2995" s="8" t="s">
        <v>27</v>
      </c>
      <c r="L2995" s="1" t="s">
        <v>1097</v>
      </c>
      <c r="M2995" s="5">
        <v>3</v>
      </c>
    </row>
    <row r="2996" spans="1:13" ht="15" x14ac:dyDescent="0.25">
      <c r="A2996" s="7" t="s">
        <v>16</v>
      </c>
      <c r="B2996" s="7" t="s">
        <v>229</v>
      </c>
      <c r="C2996" s="7" t="s">
        <v>24</v>
      </c>
      <c r="D2996" s="4">
        <v>24217779000160</v>
      </c>
      <c r="E2996" s="8" t="s">
        <v>1097</v>
      </c>
      <c r="F2996" s="8" t="s">
        <v>131</v>
      </c>
      <c r="G2996" s="7" t="s">
        <v>61</v>
      </c>
      <c r="H2996" s="47" t="s">
        <v>205</v>
      </c>
      <c r="I2996" s="47" t="s">
        <v>206</v>
      </c>
      <c r="J2996" s="6">
        <v>64</v>
      </c>
      <c r="K2996" s="8" t="s">
        <v>25</v>
      </c>
      <c r="L2996" s="1" t="s">
        <v>1097</v>
      </c>
      <c r="M2996" s="5">
        <v>4</v>
      </c>
    </row>
    <row r="2997" spans="1:13" ht="15" x14ac:dyDescent="0.25">
      <c r="A2997" s="7" t="s">
        <v>16</v>
      </c>
      <c r="B2997" s="7" t="s">
        <v>229</v>
      </c>
      <c r="C2997" s="7" t="s">
        <v>24</v>
      </c>
      <c r="D2997" s="4">
        <v>27901222000131</v>
      </c>
      <c r="E2997" s="8" t="s">
        <v>1098</v>
      </c>
      <c r="F2997" s="8" t="s">
        <v>131</v>
      </c>
      <c r="G2997" s="7" t="s">
        <v>61</v>
      </c>
      <c r="H2997" s="47" t="s">
        <v>205</v>
      </c>
      <c r="I2997" s="47" t="s">
        <v>206</v>
      </c>
      <c r="J2997" s="6">
        <v>64</v>
      </c>
      <c r="K2997" s="8" t="s">
        <v>25</v>
      </c>
      <c r="L2997" s="1" t="s">
        <v>1098</v>
      </c>
      <c r="M2997" s="5">
        <v>1</v>
      </c>
    </row>
    <row r="2998" spans="1:13" ht="15" x14ac:dyDescent="0.25">
      <c r="A2998" s="7" t="s">
        <v>16</v>
      </c>
      <c r="B2998" s="7" t="s">
        <v>229</v>
      </c>
      <c r="C2998" s="7" t="s">
        <v>24</v>
      </c>
      <c r="D2998" s="4">
        <v>28000107000159</v>
      </c>
      <c r="E2998" s="8" t="s">
        <v>1099</v>
      </c>
      <c r="F2998" s="8" t="s">
        <v>131</v>
      </c>
      <c r="G2998" s="7" t="s">
        <v>61</v>
      </c>
      <c r="H2998" s="47" t="s">
        <v>205</v>
      </c>
      <c r="I2998" s="47" t="s">
        <v>206</v>
      </c>
      <c r="J2998" s="6">
        <v>70</v>
      </c>
      <c r="K2998" s="8" t="s">
        <v>20</v>
      </c>
      <c r="L2998" s="1" t="s">
        <v>1099</v>
      </c>
      <c r="M2998" s="5">
        <v>90</v>
      </c>
    </row>
    <row r="2999" spans="1:13" ht="15" x14ac:dyDescent="0.25">
      <c r="A2999" s="7" t="s">
        <v>16</v>
      </c>
      <c r="B2999" s="7" t="s">
        <v>229</v>
      </c>
      <c r="C2999" s="7" t="s">
        <v>24</v>
      </c>
      <c r="D2999" s="4">
        <v>28000107000159</v>
      </c>
      <c r="E2999" s="8" t="s">
        <v>1099</v>
      </c>
      <c r="F2999" s="8" t="s">
        <v>131</v>
      </c>
      <c r="G2999" s="7" t="s">
        <v>61</v>
      </c>
      <c r="H2999" s="47" t="s">
        <v>205</v>
      </c>
      <c r="I2999" s="47" t="s">
        <v>206</v>
      </c>
      <c r="J2999" s="6">
        <v>73</v>
      </c>
      <c r="K2999" s="8" t="s">
        <v>26</v>
      </c>
      <c r="L2999" s="1" t="s">
        <v>1099</v>
      </c>
      <c r="M2999" s="5">
        <v>40</v>
      </c>
    </row>
    <row r="3000" spans="1:13" ht="15" x14ac:dyDescent="0.25">
      <c r="A3000" s="7" t="s">
        <v>16</v>
      </c>
      <c r="B3000" s="7" t="s">
        <v>229</v>
      </c>
      <c r="C3000" s="7" t="s">
        <v>24</v>
      </c>
      <c r="D3000" s="4">
        <v>28602407000108</v>
      </c>
      <c r="E3000" s="8" t="s">
        <v>1100</v>
      </c>
      <c r="F3000" s="8" t="s">
        <v>131</v>
      </c>
      <c r="G3000" s="7" t="s">
        <v>61</v>
      </c>
      <c r="H3000" s="47" t="s">
        <v>205</v>
      </c>
      <c r="I3000" s="47" t="s">
        <v>206</v>
      </c>
      <c r="J3000" s="6">
        <v>64</v>
      </c>
      <c r="K3000" s="8" t="s">
        <v>25</v>
      </c>
      <c r="L3000" s="1" t="s">
        <v>1100</v>
      </c>
      <c r="M3000" s="5">
        <v>4</v>
      </c>
    </row>
    <row r="3001" spans="1:13" ht="15" x14ac:dyDescent="0.25">
      <c r="A3001" s="7" t="s">
        <v>16</v>
      </c>
      <c r="B3001" s="7" t="s">
        <v>229</v>
      </c>
      <c r="C3001" s="7" t="s">
        <v>24</v>
      </c>
      <c r="D3001" s="4">
        <v>28602407000108</v>
      </c>
      <c r="E3001" s="8" t="s">
        <v>1100</v>
      </c>
      <c r="F3001" s="8" t="s">
        <v>131</v>
      </c>
      <c r="G3001" s="7" t="s">
        <v>61</v>
      </c>
      <c r="H3001" s="47" t="s">
        <v>205</v>
      </c>
      <c r="I3001" s="47" t="s">
        <v>206</v>
      </c>
      <c r="J3001" s="6">
        <v>73</v>
      </c>
      <c r="K3001" s="8" t="s">
        <v>26</v>
      </c>
      <c r="L3001" s="1" t="s">
        <v>1100</v>
      </c>
      <c r="M3001" s="5">
        <v>4</v>
      </c>
    </row>
    <row r="3002" spans="1:13" ht="15" x14ac:dyDescent="0.25">
      <c r="A3002" s="7" t="s">
        <v>16</v>
      </c>
      <c r="B3002" s="7" t="s">
        <v>229</v>
      </c>
      <c r="C3002" s="7" t="s">
        <v>24</v>
      </c>
      <c r="D3002" s="4">
        <v>29259736000403</v>
      </c>
      <c r="E3002" s="8" t="s">
        <v>1101</v>
      </c>
      <c r="F3002" s="8" t="s">
        <v>131</v>
      </c>
      <c r="G3002" s="7" t="s">
        <v>61</v>
      </c>
      <c r="H3002" s="47" t="s">
        <v>205</v>
      </c>
      <c r="I3002" s="47" t="s">
        <v>206</v>
      </c>
      <c r="J3002" s="6">
        <v>64</v>
      </c>
      <c r="K3002" s="8" t="s">
        <v>25</v>
      </c>
      <c r="L3002" s="1" t="s">
        <v>1101</v>
      </c>
      <c r="M3002" s="5">
        <v>2</v>
      </c>
    </row>
    <row r="3003" spans="1:13" ht="15" x14ac:dyDescent="0.25">
      <c r="A3003" s="7" t="s">
        <v>16</v>
      </c>
      <c r="B3003" s="7" t="s">
        <v>229</v>
      </c>
      <c r="C3003" s="7" t="s">
        <v>24</v>
      </c>
      <c r="D3003" s="4">
        <v>29259736000403</v>
      </c>
      <c r="E3003" s="8" t="s">
        <v>1101</v>
      </c>
      <c r="F3003" s="8" t="s">
        <v>131</v>
      </c>
      <c r="G3003" s="7" t="s">
        <v>61</v>
      </c>
      <c r="H3003" s="47" t="s">
        <v>205</v>
      </c>
      <c r="I3003" s="47" t="s">
        <v>206</v>
      </c>
      <c r="J3003" s="6">
        <v>73</v>
      </c>
      <c r="K3003" s="8" t="s">
        <v>26</v>
      </c>
      <c r="L3003" s="1" t="s">
        <v>1101</v>
      </c>
      <c r="M3003" s="5">
        <v>29</v>
      </c>
    </row>
    <row r="3004" spans="1:13" ht="15" x14ac:dyDescent="0.25">
      <c r="A3004" s="7" t="s">
        <v>16</v>
      </c>
      <c r="B3004" s="7" t="s">
        <v>229</v>
      </c>
      <c r="C3004" s="7" t="s">
        <v>24</v>
      </c>
      <c r="D3004" s="4">
        <v>29435005005198</v>
      </c>
      <c r="E3004" s="8" t="s">
        <v>1102</v>
      </c>
      <c r="F3004" s="8" t="s">
        <v>131</v>
      </c>
      <c r="G3004" s="7" t="s">
        <v>61</v>
      </c>
      <c r="H3004" s="47" t="s">
        <v>205</v>
      </c>
      <c r="I3004" s="47" t="s">
        <v>206</v>
      </c>
      <c r="J3004" s="6">
        <v>62</v>
      </c>
      <c r="K3004" s="8" t="s">
        <v>27</v>
      </c>
      <c r="L3004" s="1" t="s">
        <v>1102</v>
      </c>
      <c r="M3004" s="5">
        <v>12</v>
      </c>
    </row>
    <row r="3005" spans="1:13" ht="15" x14ac:dyDescent="0.25">
      <c r="A3005" s="7" t="s">
        <v>16</v>
      </c>
      <c r="B3005" s="7" t="s">
        <v>229</v>
      </c>
      <c r="C3005" s="7" t="s">
        <v>24</v>
      </c>
      <c r="D3005" s="4">
        <v>29435005005198</v>
      </c>
      <c r="E3005" s="8" t="s">
        <v>1102</v>
      </c>
      <c r="F3005" s="8" t="s">
        <v>131</v>
      </c>
      <c r="G3005" s="7" t="s">
        <v>61</v>
      </c>
      <c r="H3005" s="47" t="s">
        <v>205</v>
      </c>
      <c r="I3005" s="47" t="s">
        <v>206</v>
      </c>
      <c r="J3005" s="6">
        <v>64</v>
      </c>
      <c r="K3005" s="8" t="s">
        <v>25</v>
      </c>
      <c r="L3005" s="1" t="s">
        <v>1102</v>
      </c>
      <c r="M3005" s="5">
        <v>10</v>
      </c>
    </row>
    <row r="3006" spans="1:13" ht="15" x14ac:dyDescent="0.25">
      <c r="A3006" s="7" t="s">
        <v>16</v>
      </c>
      <c r="B3006" s="7" t="s">
        <v>229</v>
      </c>
      <c r="C3006" s="7" t="s">
        <v>24</v>
      </c>
      <c r="D3006" s="4">
        <v>29435005005198</v>
      </c>
      <c r="E3006" s="8" t="s">
        <v>1102</v>
      </c>
      <c r="F3006" s="8" t="s">
        <v>131</v>
      </c>
      <c r="G3006" s="7" t="s">
        <v>61</v>
      </c>
      <c r="H3006" s="47" t="s">
        <v>205</v>
      </c>
      <c r="I3006" s="47" t="s">
        <v>206</v>
      </c>
      <c r="J3006" s="6">
        <v>70</v>
      </c>
      <c r="K3006" s="8" t="s">
        <v>20</v>
      </c>
      <c r="L3006" s="1" t="s">
        <v>1102</v>
      </c>
      <c r="M3006" s="5">
        <v>200</v>
      </c>
    </row>
    <row r="3007" spans="1:13" ht="15" x14ac:dyDescent="0.25">
      <c r="A3007" s="7" t="s">
        <v>16</v>
      </c>
      <c r="B3007" s="7" t="s">
        <v>229</v>
      </c>
      <c r="C3007" s="7" t="s">
        <v>24</v>
      </c>
      <c r="D3007" s="4">
        <v>29435005005783</v>
      </c>
      <c r="E3007" s="8" t="s">
        <v>1104</v>
      </c>
      <c r="F3007" s="8" t="s">
        <v>131</v>
      </c>
      <c r="G3007" s="7" t="s">
        <v>61</v>
      </c>
      <c r="H3007" s="47" t="s">
        <v>205</v>
      </c>
      <c r="I3007" s="47" t="s">
        <v>206</v>
      </c>
      <c r="J3007" s="6">
        <v>70</v>
      </c>
      <c r="K3007" s="8" t="s">
        <v>20</v>
      </c>
      <c r="L3007" s="1" t="s">
        <v>1104</v>
      </c>
      <c r="M3007" s="5">
        <v>25</v>
      </c>
    </row>
    <row r="3008" spans="1:13" ht="15" x14ac:dyDescent="0.25">
      <c r="A3008" s="7" t="s">
        <v>16</v>
      </c>
      <c r="B3008" s="7" t="s">
        <v>229</v>
      </c>
      <c r="C3008" s="7" t="s">
        <v>24</v>
      </c>
      <c r="D3008" s="4">
        <v>29435005006160</v>
      </c>
      <c r="E3008" s="8" t="s">
        <v>1105</v>
      </c>
      <c r="F3008" s="8" t="s">
        <v>131</v>
      </c>
      <c r="G3008" s="7" t="s">
        <v>61</v>
      </c>
      <c r="H3008" s="47" t="s">
        <v>205</v>
      </c>
      <c r="I3008" s="47" t="s">
        <v>206</v>
      </c>
      <c r="J3008" s="6">
        <v>62</v>
      </c>
      <c r="K3008" s="8" t="s">
        <v>27</v>
      </c>
      <c r="L3008" s="1" t="s">
        <v>1105</v>
      </c>
      <c r="M3008" s="5">
        <v>2</v>
      </c>
    </row>
    <row r="3009" spans="1:13" ht="15" x14ac:dyDescent="0.25">
      <c r="A3009" s="7" t="s">
        <v>16</v>
      </c>
      <c r="B3009" s="7" t="s">
        <v>229</v>
      </c>
      <c r="C3009" s="7" t="s">
        <v>24</v>
      </c>
      <c r="D3009" s="4">
        <v>31635857000292</v>
      </c>
      <c r="E3009" s="8" t="s">
        <v>1107</v>
      </c>
      <c r="F3009" s="8" t="s">
        <v>131</v>
      </c>
      <c r="G3009" s="7" t="s">
        <v>61</v>
      </c>
      <c r="H3009" s="47" t="s">
        <v>205</v>
      </c>
      <c r="I3009" s="47" t="s">
        <v>206</v>
      </c>
      <c r="J3009" s="6">
        <v>73</v>
      </c>
      <c r="K3009" s="8" t="s">
        <v>26</v>
      </c>
      <c r="L3009" s="1" t="s">
        <v>1107</v>
      </c>
      <c r="M3009" s="5">
        <v>16</v>
      </c>
    </row>
    <row r="3010" spans="1:13" ht="15" x14ac:dyDescent="0.25">
      <c r="A3010" s="7" t="s">
        <v>16</v>
      </c>
      <c r="B3010" s="7" t="s">
        <v>229</v>
      </c>
      <c r="C3010" s="7" t="s">
        <v>24</v>
      </c>
      <c r="D3010" s="4">
        <v>33419482000259</v>
      </c>
      <c r="E3010" s="8" t="s">
        <v>1111</v>
      </c>
      <c r="F3010" s="8" t="s">
        <v>131</v>
      </c>
      <c r="G3010" s="7" t="s">
        <v>61</v>
      </c>
      <c r="H3010" s="47" t="s">
        <v>205</v>
      </c>
      <c r="I3010" s="47" t="s">
        <v>206</v>
      </c>
      <c r="J3010" s="6">
        <v>62</v>
      </c>
      <c r="K3010" s="8" t="s">
        <v>27</v>
      </c>
      <c r="L3010" s="1" t="s">
        <v>1111</v>
      </c>
      <c r="M3010" s="5">
        <v>5</v>
      </c>
    </row>
    <row r="3011" spans="1:13" ht="15" x14ac:dyDescent="0.25">
      <c r="A3011" s="7" t="s">
        <v>16</v>
      </c>
      <c r="B3011" s="7" t="s">
        <v>229</v>
      </c>
      <c r="C3011" s="7" t="s">
        <v>24</v>
      </c>
      <c r="D3011" s="4">
        <v>33419482000259</v>
      </c>
      <c r="E3011" s="8" t="s">
        <v>1111</v>
      </c>
      <c r="F3011" s="8" t="s">
        <v>131</v>
      </c>
      <c r="G3011" s="7" t="s">
        <v>61</v>
      </c>
      <c r="H3011" s="47" t="s">
        <v>205</v>
      </c>
      <c r="I3011" s="47" t="s">
        <v>206</v>
      </c>
      <c r="J3011" s="6">
        <v>64</v>
      </c>
      <c r="K3011" s="8" t="s">
        <v>25</v>
      </c>
      <c r="L3011" s="1" t="s">
        <v>1111</v>
      </c>
      <c r="M3011" s="5">
        <v>6</v>
      </c>
    </row>
    <row r="3012" spans="1:13" ht="15" x14ac:dyDescent="0.25">
      <c r="A3012" s="7" t="s">
        <v>16</v>
      </c>
      <c r="B3012" s="7" t="s">
        <v>229</v>
      </c>
      <c r="C3012" s="7" t="s">
        <v>24</v>
      </c>
      <c r="D3012" s="4">
        <v>33575127000600</v>
      </c>
      <c r="E3012" s="8" t="s">
        <v>1217</v>
      </c>
      <c r="F3012" s="8" t="s">
        <v>131</v>
      </c>
      <c r="G3012" s="7" t="s">
        <v>61</v>
      </c>
      <c r="H3012" s="47" t="s">
        <v>205</v>
      </c>
      <c r="I3012" s="47" t="s">
        <v>206</v>
      </c>
      <c r="J3012" s="6">
        <v>70</v>
      </c>
      <c r="K3012" s="8" t="s">
        <v>20</v>
      </c>
      <c r="L3012" s="1" t="s">
        <v>1217</v>
      </c>
      <c r="M3012" s="5">
        <v>175</v>
      </c>
    </row>
    <row r="3013" spans="1:13" ht="15" x14ac:dyDescent="0.25">
      <c r="A3013" s="7" t="s">
        <v>16</v>
      </c>
      <c r="B3013" s="7" t="s">
        <v>229</v>
      </c>
      <c r="C3013" s="7" t="s">
        <v>24</v>
      </c>
      <c r="D3013" s="4">
        <v>33705849000543</v>
      </c>
      <c r="E3013" s="8" t="s">
        <v>1329</v>
      </c>
      <c r="F3013" s="8" t="s">
        <v>131</v>
      </c>
      <c r="G3013" s="7" t="s">
        <v>61</v>
      </c>
      <c r="H3013" s="47" t="s">
        <v>205</v>
      </c>
      <c r="I3013" s="47" t="s">
        <v>206</v>
      </c>
      <c r="J3013" s="6">
        <v>62</v>
      </c>
      <c r="K3013" s="8" t="s">
        <v>27</v>
      </c>
      <c r="L3013" s="1" t="s">
        <v>1329</v>
      </c>
      <c r="M3013" s="5">
        <v>4</v>
      </c>
    </row>
    <row r="3014" spans="1:13" ht="15" x14ac:dyDescent="0.25">
      <c r="A3014" s="7" t="s">
        <v>16</v>
      </c>
      <c r="B3014" s="7" t="s">
        <v>229</v>
      </c>
      <c r="C3014" s="7" t="s">
        <v>24</v>
      </c>
      <c r="D3014" s="4">
        <v>33705849000543</v>
      </c>
      <c r="E3014" s="8" t="s">
        <v>1329</v>
      </c>
      <c r="F3014" s="8" t="s">
        <v>131</v>
      </c>
      <c r="G3014" s="7" t="s">
        <v>61</v>
      </c>
      <c r="H3014" s="47" t="s">
        <v>205</v>
      </c>
      <c r="I3014" s="47" t="s">
        <v>206</v>
      </c>
      <c r="J3014" s="6">
        <v>64</v>
      </c>
      <c r="K3014" s="8" t="s">
        <v>25</v>
      </c>
      <c r="L3014" s="1" t="s">
        <v>1329</v>
      </c>
      <c r="M3014" s="5">
        <v>4</v>
      </c>
    </row>
    <row r="3015" spans="1:13" ht="15" x14ac:dyDescent="0.25">
      <c r="A3015" s="7" t="s">
        <v>16</v>
      </c>
      <c r="B3015" s="7" t="s">
        <v>229</v>
      </c>
      <c r="C3015" s="7" t="s">
        <v>24</v>
      </c>
      <c r="D3015" s="4">
        <v>33781055000216</v>
      </c>
      <c r="E3015" s="8" t="s">
        <v>1116</v>
      </c>
      <c r="F3015" s="8" t="s">
        <v>131</v>
      </c>
      <c r="G3015" s="7" t="s">
        <v>61</v>
      </c>
      <c r="H3015" s="47" t="s">
        <v>205</v>
      </c>
      <c r="I3015" s="47" t="s">
        <v>206</v>
      </c>
      <c r="J3015" s="6">
        <v>70</v>
      </c>
      <c r="K3015" s="8" t="s">
        <v>20</v>
      </c>
      <c r="L3015" s="1" t="s">
        <v>1116</v>
      </c>
      <c r="M3015" s="5">
        <v>350</v>
      </c>
    </row>
    <row r="3016" spans="1:13" ht="15" x14ac:dyDescent="0.25">
      <c r="A3016" s="7" t="s">
        <v>16</v>
      </c>
      <c r="B3016" s="7" t="s">
        <v>229</v>
      </c>
      <c r="C3016" s="7" t="s">
        <v>24</v>
      </c>
      <c r="D3016" s="4">
        <v>39086160000130</v>
      </c>
      <c r="E3016" s="8" t="s">
        <v>1119</v>
      </c>
      <c r="F3016" s="8" t="s">
        <v>131</v>
      </c>
      <c r="G3016" s="7" t="s">
        <v>61</v>
      </c>
      <c r="H3016" s="47" t="s">
        <v>205</v>
      </c>
      <c r="I3016" s="47" t="s">
        <v>206</v>
      </c>
      <c r="J3016" s="6">
        <v>70</v>
      </c>
      <c r="K3016" s="8" t="s">
        <v>20</v>
      </c>
      <c r="L3016" s="1" t="s">
        <v>1119</v>
      </c>
      <c r="M3016" s="5">
        <v>200</v>
      </c>
    </row>
    <row r="3017" spans="1:13" ht="15" x14ac:dyDescent="0.25">
      <c r="A3017" s="7" t="s">
        <v>16</v>
      </c>
      <c r="B3017" s="7" t="s">
        <v>229</v>
      </c>
      <c r="C3017" s="7" t="s">
        <v>24</v>
      </c>
      <c r="D3017" s="4">
        <v>39086160000130</v>
      </c>
      <c r="E3017" s="8" t="s">
        <v>1119</v>
      </c>
      <c r="F3017" s="8" t="s">
        <v>131</v>
      </c>
      <c r="G3017" s="7" t="s">
        <v>61</v>
      </c>
      <c r="H3017" s="47" t="s">
        <v>205</v>
      </c>
      <c r="I3017" s="47" t="s">
        <v>206</v>
      </c>
      <c r="J3017" s="6">
        <v>73</v>
      </c>
      <c r="K3017" s="8" t="s">
        <v>26</v>
      </c>
      <c r="L3017" s="1" t="s">
        <v>1119</v>
      </c>
      <c r="M3017" s="5">
        <v>120</v>
      </c>
    </row>
    <row r="3018" spans="1:13" ht="15" x14ac:dyDescent="0.25">
      <c r="A3018" s="7" t="s">
        <v>16</v>
      </c>
      <c r="B3018" s="7" t="s">
        <v>229</v>
      </c>
      <c r="C3018" s="7" t="s">
        <v>24</v>
      </c>
      <c r="D3018" s="4">
        <v>42498733000148</v>
      </c>
      <c r="E3018" s="8" t="s">
        <v>1221</v>
      </c>
      <c r="F3018" s="8" t="s">
        <v>131</v>
      </c>
      <c r="G3018" s="7" t="s">
        <v>61</v>
      </c>
      <c r="H3018" s="47" t="s">
        <v>205</v>
      </c>
      <c r="I3018" s="47" t="s">
        <v>206</v>
      </c>
      <c r="J3018" s="6">
        <v>70</v>
      </c>
      <c r="K3018" s="8" t="s">
        <v>20</v>
      </c>
      <c r="L3018" s="1" t="s">
        <v>1221</v>
      </c>
      <c r="M3018" s="5">
        <v>200</v>
      </c>
    </row>
    <row r="3019" spans="1:13" ht="15" x14ac:dyDescent="0.25">
      <c r="A3019" s="7" t="s">
        <v>16</v>
      </c>
      <c r="B3019" s="7" t="s">
        <v>229</v>
      </c>
      <c r="C3019" s="7" t="s">
        <v>24</v>
      </c>
      <c r="D3019" s="4">
        <v>53221255004995</v>
      </c>
      <c r="E3019" s="8" t="s">
        <v>1123</v>
      </c>
      <c r="F3019" s="8" t="s">
        <v>131</v>
      </c>
      <c r="G3019" s="7" t="s">
        <v>61</v>
      </c>
      <c r="H3019" s="47" t="s">
        <v>205</v>
      </c>
      <c r="I3019" s="47" t="s">
        <v>206</v>
      </c>
      <c r="J3019" s="6">
        <v>62</v>
      </c>
      <c r="K3019" s="8" t="s">
        <v>27</v>
      </c>
      <c r="L3019" s="1" t="s">
        <v>1123</v>
      </c>
      <c r="M3019" s="5">
        <v>1</v>
      </c>
    </row>
    <row r="3020" spans="1:13" ht="15" x14ac:dyDescent="0.25">
      <c r="A3020" s="7" t="s">
        <v>16</v>
      </c>
      <c r="B3020" s="7" t="s">
        <v>229</v>
      </c>
      <c r="C3020" s="7" t="s">
        <v>24</v>
      </c>
      <c r="D3020" s="4">
        <v>60884855001630</v>
      </c>
      <c r="E3020" s="8" t="s">
        <v>1124</v>
      </c>
      <c r="F3020" s="8" t="s">
        <v>131</v>
      </c>
      <c r="G3020" s="7" t="s">
        <v>61</v>
      </c>
      <c r="H3020" s="47" t="s">
        <v>205</v>
      </c>
      <c r="I3020" s="47" t="s">
        <v>206</v>
      </c>
      <c r="J3020" s="6">
        <v>62</v>
      </c>
      <c r="K3020" s="8" t="s">
        <v>27</v>
      </c>
      <c r="L3020" s="1" t="s">
        <v>1124</v>
      </c>
      <c r="M3020" s="5">
        <v>27</v>
      </c>
    </row>
    <row r="3021" spans="1:13" ht="15" x14ac:dyDescent="0.25">
      <c r="A3021" s="7" t="s">
        <v>16</v>
      </c>
      <c r="B3021" s="7" t="s">
        <v>229</v>
      </c>
      <c r="C3021" s="7" t="s">
        <v>24</v>
      </c>
      <c r="D3021" s="4">
        <v>60884855001630</v>
      </c>
      <c r="E3021" s="8" t="s">
        <v>1124</v>
      </c>
      <c r="F3021" s="8" t="s">
        <v>131</v>
      </c>
      <c r="G3021" s="7" t="s">
        <v>61</v>
      </c>
      <c r="H3021" s="47" t="s">
        <v>205</v>
      </c>
      <c r="I3021" s="47" t="s">
        <v>206</v>
      </c>
      <c r="J3021" s="6">
        <v>64</v>
      </c>
      <c r="K3021" s="8" t="s">
        <v>25</v>
      </c>
      <c r="L3021" s="1" t="s">
        <v>1124</v>
      </c>
      <c r="M3021" s="5">
        <v>20</v>
      </c>
    </row>
    <row r="3022" spans="1:13" ht="15" x14ac:dyDescent="0.25">
      <c r="A3022" s="7" t="s">
        <v>16</v>
      </c>
      <c r="B3022" s="7" t="s">
        <v>229</v>
      </c>
      <c r="C3022" s="7" t="s">
        <v>24</v>
      </c>
      <c r="D3022" s="4">
        <v>60884855001630</v>
      </c>
      <c r="E3022" s="8" t="s">
        <v>1124</v>
      </c>
      <c r="F3022" s="8" t="s">
        <v>131</v>
      </c>
      <c r="G3022" s="7" t="s">
        <v>61</v>
      </c>
      <c r="H3022" s="47" t="s">
        <v>205</v>
      </c>
      <c r="I3022" s="47" t="s">
        <v>206</v>
      </c>
      <c r="J3022" s="6">
        <v>70</v>
      </c>
      <c r="K3022" s="8" t="s">
        <v>20</v>
      </c>
      <c r="L3022" s="1" t="s">
        <v>1124</v>
      </c>
      <c r="M3022" s="5">
        <v>255</v>
      </c>
    </row>
    <row r="3023" spans="1:13" ht="15" x14ac:dyDescent="0.25">
      <c r="A3023" s="7" t="s">
        <v>16</v>
      </c>
      <c r="B3023" s="7" t="s">
        <v>229</v>
      </c>
      <c r="C3023" s="7" t="s">
        <v>24</v>
      </c>
      <c r="D3023" s="4">
        <v>60922168000348</v>
      </c>
      <c r="E3023" s="8" t="s">
        <v>1125</v>
      </c>
      <c r="F3023" s="8" t="s">
        <v>131</v>
      </c>
      <c r="G3023" s="7" t="s">
        <v>61</v>
      </c>
      <c r="H3023" s="47" t="s">
        <v>205</v>
      </c>
      <c r="I3023" s="47" t="s">
        <v>206</v>
      </c>
      <c r="J3023" s="6">
        <v>64</v>
      </c>
      <c r="K3023" s="8" t="s">
        <v>25</v>
      </c>
      <c r="L3023" s="1" t="s">
        <v>1125</v>
      </c>
      <c r="M3023" s="5">
        <v>12</v>
      </c>
    </row>
    <row r="3024" spans="1:13" ht="15" x14ac:dyDescent="0.25">
      <c r="A3024" s="7" t="s">
        <v>16</v>
      </c>
      <c r="B3024" s="7" t="s">
        <v>229</v>
      </c>
      <c r="C3024" s="7" t="s">
        <v>24</v>
      </c>
      <c r="D3024" s="4">
        <v>60922168000348</v>
      </c>
      <c r="E3024" s="8" t="s">
        <v>1125</v>
      </c>
      <c r="F3024" s="8" t="s">
        <v>131</v>
      </c>
      <c r="G3024" s="7" t="s">
        <v>61</v>
      </c>
      <c r="H3024" s="47" t="s">
        <v>205</v>
      </c>
      <c r="I3024" s="47" t="s">
        <v>206</v>
      </c>
      <c r="J3024" s="6">
        <v>70</v>
      </c>
      <c r="K3024" s="8" t="s">
        <v>20</v>
      </c>
      <c r="L3024" s="1" t="s">
        <v>1125</v>
      </c>
      <c r="M3024" s="5">
        <v>380</v>
      </c>
    </row>
    <row r="3025" spans="1:13" ht="15" x14ac:dyDescent="0.25">
      <c r="A3025" s="7" t="s">
        <v>16</v>
      </c>
      <c r="B3025" s="7" t="s">
        <v>229</v>
      </c>
      <c r="C3025" s="7" t="s">
        <v>24</v>
      </c>
      <c r="D3025" s="4">
        <v>72101124000506</v>
      </c>
      <c r="E3025" s="8" t="s">
        <v>1126</v>
      </c>
      <c r="F3025" s="8" t="s">
        <v>131</v>
      </c>
      <c r="G3025" s="7" t="s">
        <v>61</v>
      </c>
      <c r="H3025" s="47" t="s">
        <v>205</v>
      </c>
      <c r="I3025" s="47" t="s">
        <v>206</v>
      </c>
      <c r="J3025" s="6">
        <v>70</v>
      </c>
      <c r="K3025" s="8" t="s">
        <v>20</v>
      </c>
      <c r="L3025" s="1" t="s">
        <v>1126</v>
      </c>
      <c r="M3025" s="5">
        <v>280</v>
      </c>
    </row>
    <row r="3026" spans="1:13" ht="15" x14ac:dyDescent="0.25">
      <c r="A3026" s="7" t="s">
        <v>16</v>
      </c>
      <c r="B3026" s="7" t="s">
        <v>229</v>
      </c>
      <c r="C3026" s="7" t="s">
        <v>24</v>
      </c>
      <c r="D3026" s="4">
        <v>72101124000506</v>
      </c>
      <c r="E3026" s="8" t="s">
        <v>1126</v>
      </c>
      <c r="F3026" s="8" t="s">
        <v>131</v>
      </c>
      <c r="G3026" s="7" t="s">
        <v>61</v>
      </c>
      <c r="H3026" s="47" t="s">
        <v>205</v>
      </c>
      <c r="I3026" s="47" t="s">
        <v>206</v>
      </c>
      <c r="J3026" s="6">
        <v>73</v>
      </c>
      <c r="K3026" s="8" t="s">
        <v>26</v>
      </c>
      <c r="L3026" s="1" t="s">
        <v>1126</v>
      </c>
      <c r="M3026" s="5">
        <v>55</v>
      </c>
    </row>
    <row r="3027" spans="1:13" ht="15" x14ac:dyDescent="0.25">
      <c r="A3027" s="7" t="s">
        <v>16</v>
      </c>
      <c r="B3027" s="7" t="s">
        <v>229</v>
      </c>
      <c r="C3027" s="7" t="s">
        <v>24</v>
      </c>
      <c r="D3027" s="4">
        <v>73696718000219</v>
      </c>
      <c r="E3027" s="8" t="s">
        <v>1127</v>
      </c>
      <c r="F3027" s="8" t="s">
        <v>131</v>
      </c>
      <c r="G3027" s="7" t="s">
        <v>61</v>
      </c>
      <c r="H3027" s="47" t="s">
        <v>205</v>
      </c>
      <c r="I3027" s="47" t="s">
        <v>206</v>
      </c>
      <c r="J3027" s="6">
        <v>62</v>
      </c>
      <c r="K3027" s="8" t="s">
        <v>27</v>
      </c>
      <c r="L3027" s="1" t="s">
        <v>1127</v>
      </c>
      <c r="M3027" s="5">
        <v>8</v>
      </c>
    </row>
    <row r="3028" spans="1:13" ht="15" x14ac:dyDescent="0.25">
      <c r="A3028" s="7" t="s">
        <v>16</v>
      </c>
      <c r="B3028" s="7" t="s">
        <v>229</v>
      </c>
      <c r="C3028" s="7" t="s">
        <v>24</v>
      </c>
      <c r="D3028" s="4">
        <v>73696718000219</v>
      </c>
      <c r="E3028" s="8" t="s">
        <v>1127</v>
      </c>
      <c r="F3028" s="8" t="s">
        <v>131</v>
      </c>
      <c r="G3028" s="7" t="s">
        <v>61</v>
      </c>
      <c r="H3028" s="47" t="s">
        <v>205</v>
      </c>
      <c r="I3028" s="47" t="s">
        <v>206</v>
      </c>
      <c r="J3028" s="6">
        <v>64</v>
      </c>
      <c r="K3028" s="8" t="s">
        <v>25</v>
      </c>
      <c r="L3028" s="1" t="s">
        <v>1127</v>
      </c>
      <c r="M3028" s="5">
        <v>5</v>
      </c>
    </row>
    <row r="3029" spans="1:13" ht="15" x14ac:dyDescent="0.25">
      <c r="A3029" s="7" t="s">
        <v>16</v>
      </c>
      <c r="B3029" s="7" t="s">
        <v>230</v>
      </c>
      <c r="C3029" s="7" t="s">
        <v>24</v>
      </c>
      <c r="D3029" s="4">
        <v>92929000198</v>
      </c>
      <c r="E3029" s="8" t="s">
        <v>1327</v>
      </c>
      <c r="F3029" s="8" t="s">
        <v>131</v>
      </c>
      <c r="G3029" s="7" t="s">
        <v>61</v>
      </c>
      <c r="H3029" s="47" t="s">
        <v>205</v>
      </c>
      <c r="I3029" s="47" t="s">
        <v>206</v>
      </c>
      <c r="J3029" s="6">
        <v>73</v>
      </c>
      <c r="K3029" s="8" t="s">
        <v>26</v>
      </c>
      <c r="L3029" s="1" t="s">
        <v>1327</v>
      </c>
      <c r="M3029" s="5">
        <v>132</v>
      </c>
    </row>
    <row r="3030" spans="1:13" ht="15" x14ac:dyDescent="0.25">
      <c r="A3030" s="7" t="s">
        <v>16</v>
      </c>
      <c r="B3030" s="7" t="s">
        <v>230</v>
      </c>
      <c r="C3030" s="7" t="s">
        <v>24</v>
      </c>
      <c r="D3030" s="4">
        <v>394429017429</v>
      </c>
      <c r="E3030" s="8" t="s">
        <v>1410</v>
      </c>
      <c r="F3030" s="8" t="s">
        <v>131</v>
      </c>
      <c r="G3030" s="7" t="s">
        <v>61</v>
      </c>
      <c r="H3030" s="47" t="s">
        <v>205</v>
      </c>
      <c r="I3030" s="47" t="s">
        <v>206</v>
      </c>
      <c r="J3030" s="6">
        <v>64</v>
      </c>
      <c r="K3030" s="8" t="s">
        <v>25</v>
      </c>
      <c r="L3030" s="1" t="s">
        <v>1410</v>
      </c>
      <c r="M3030" s="5">
        <v>22</v>
      </c>
    </row>
    <row r="3031" spans="1:13" ht="15" x14ac:dyDescent="0.25">
      <c r="A3031" s="7" t="s">
        <v>16</v>
      </c>
      <c r="B3031" s="7" t="s">
        <v>230</v>
      </c>
      <c r="C3031" s="7" t="s">
        <v>24</v>
      </c>
      <c r="D3031" s="4">
        <v>394544020291</v>
      </c>
      <c r="E3031" s="8" t="s">
        <v>1072</v>
      </c>
      <c r="F3031" s="8" t="s">
        <v>131</v>
      </c>
      <c r="G3031" s="7" t="s">
        <v>61</v>
      </c>
      <c r="H3031" s="47" t="s">
        <v>205</v>
      </c>
      <c r="I3031" s="47" t="s">
        <v>206</v>
      </c>
      <c r="J3031" s="6">
        <v>70</v>
      </c>
      <c r="K3031" s="8" t="s">
        <v>20</v>
      </c>
      <c r="L3031" s="1" t="s">
        <v>1072</v>
      </c>
      <c r="M3031" s="5">
        <v>585</v>
      </c>
    </row>
    <row r="3032" spans="1:13" ht="15" x14ac:dyDescent="0.25">
      <c r="A3032" s="7" t="s">
        <v>16</v>
      </c>
      <c r="B3032" s="7" t="s">
        <v>230</v>
      </c>
      <c r="C3032" s="7" t="s">
        <v>24</v>
      </c>
      <c r="D3032" s="4">
        <v>394544020453</v>
      </c>
      <c r="E3032" s="8" t="s">
        <v>1074</v>
      </c>
      <c r="F3032" s="8" t="s">
        <v>131</v>
      </c>
      <c r="G3032" s="7" t="s">
        <v>61</v>
      </c>
      <c r="H3032" s="47" t="s">
        <v>205</v>
      </c>
      <c r="I3032" s="47" t="s">
        <v>206</v>
      </c>
      <c r="J3032" s="6">
        <v>70</v>
      </c>
      <c r="K3032" s="8" t="s">
        <v>20</v>
      </c>
      <c r="L3032" s="1" t="s">
        <v>1074</v>
      </c>
      <c r="M3032" s="5">
        <v>900</v>
      </c>
    </row>
    <row r="3033" spans="1:13" ht="15" x14ac:dyDescent="0.25">
      <c r="A3033" s="7" t="s">
        <v>16</v>
      </c>
      <c r="B3033" s="7" t="s">
        <v>230</v>
      </c>
      <c r="C3033" s="7" t="s">
        <v>24</v>
      </c>
      <c r="D3033" s="4">
        <v>394544021344</v>
      </c>
      <c r="E3033" s="8" t="s">
        <v>1076</v>
      </c>
      <c r="F3033" s="8" t="s">
        <v>131</v>
      </c>
      <c r="G3033" s="7" t="s">
        <v>61</v>
      </c>
      <c r="H3033" s="47" t="s">
        <v>205</v>
      </c>
      <c r="I3033" s="47" t="s">
        <v>206</v>
      </c>
      <c r="J3033" s="6">
        <v>64</v>
      </c>
      <c r="K3033" s="8" t="s">
        <v>25</v>
      </c>
      <c r="L3033" s="1" t="s">
        <v>1076</v>
      </c>
      <c r="M3033" s="5">
        <v>160</v>
      </c>
    </row>
    <row r="3034" spans="1:13" ht="15" x14ac:dyDescent="0.25">
      <c r="A3034" s="7" t="s">
        <v>16</v>
      </c>
      <c r="B3034" s="7" t="s">
        <v>230</v>
      </c>
      <c r="C3034" s="7" t="s">
        <v>24</v>
      </c>
      <c r="D3034" s="4">
        <v>2864097000106</v>
      </c>
      <c r="E3034" s="8" t="s">
        <v>1078</v>
      </c>
      <c r="F3034" s="8" t="s">
        <v>131</v>
      </c>
      <c r="G3034" s="7" t="s">
        <v>61</v>
      </c>
      <c r="H3034" s="47" t="s">
        <v>205</v>
      </c>
      <c r="I3034" s="47" t="s">
        <v>206</v>
      </c>
      <c r="J3034" s="6">
        <v>70</v>
      </c>
      <c r="K3034" s="8" t="s">
        <v>20</v>
      </c>
      <c r="L3034" s="1" t="s">
        <v>1078</v>
      </c>
      <c r="M3034" s="5">
        <v>285</v>
      </c>
    </row>
    <row r="3035" spans="1:13" ht="15" x14ac:dyDescent="0.25">
      <c r="A3035" s="7" t="s">
        <v>16</v>
      </c>
      <c r="B3035" s="7" t="s">
        <v>230</v>
      </c>
      <c r="C3035" s="7" t="s">
        <v>24</v>
      </c>
      <c r="D3035" s="4">
        <v>2880648000125</v>
      </c>
      <c r="E3035" s="8" t="s">
        <v>1411</v>
      </c>
      <c r="F3035" s="8" t="s">
        <v>131</v>
      </c>
      <c r="G3035" s="7" t="s">
        <v>61</v>
      </c>
      <c r="H3035" s="47" t="s">
        <v>205</v>
      </c>
      <c r="I3035" s="47" t="s">
        <v>206</v>
      </c>
      <c r="J3035" s="6">
        <v>73</v>
      </c>
      <c r="K3035" s="8" t="s">
        <v>26</v>
      </c>
      <c r="L3035" s="1" t="s">
        <v>1411</v>
      </c>
      <c r="M3035" s="5">
        <v>24</v>
      </c>
    </row>
    <row r="3036" spans="1:13" ht="15" x14ac:dyDescent="0.25">
      <c r="A3036" s="7" t="s">
        <v>16</v>
      </c>
      <c r="B3036" s="7" t="s">
        <v>230</v>
      </c>
      <c r="C3036" s="7" t="s">
        <v>24</v>
      </c>
      <c r="D3036" s="4">
        <v>6047087000996</v>
      </c>
      <c r="E3036" s="8" t="s">
        <v>1080</v>
      </c>
      <c r="F3036" s="8" t="s">
        <v>131</v>
      </c>
      <c r="G3036" s="7" t="s">
        <v>61</v>
      </c>
      <c r="H3036" s="47" t="s">
        <v>205</v>
      </c>
      <c r="I3036" s="47" t="s">
        <v>206</v>
      </c>
      <c r="J3036" s="6">
        <v>62</v>
      </c>
      <c r="K3036" s="8" t="s">
        <v>27</v>
      </c>
      <c r="L3036" s="1" t="s">
        <v>1080</v>
      </c>
      <c r="M3036" s="5">
        <v>15</v>
      </c>
    </row>
    <row r="3037" spans="1:13" ht="15" x14ac:dyDescent="0.25">
      <c r="A3037" s="7" t="s">
        <v>16</v>
      </c>
      <c r="B3037" s="7" t="s">
        <v>230</v>
      </c>
      <c r="C3037" s="7" t="s">
        <v>24</v>
      </c>
      <c r="D3037" s="4">
        <v>6047087000996</v>
      </c>
      <c r="E3037" s="8" t="s">
        <v>1080</v>
      </c>
      <c r="F3037" s="8" t="s">
        <v>131</v>
      </c>
      <c r="G3037" s="7" t="s">
        <v>61</v>
      </c>
      <c r="H3037" s="47" t="s">
        <v>205</v>
      </c>
      <c r="I3037" s="47" t="s">
        <v>206</v>
      </c>
      <c r="J3037" s="6">
        <v>73</v>
      </c>
      <c r="K3037" s="8" t="s">
        <v>26</v>
      </c>
      <c r="L3037" s="1" t="s">
        <v>1080</v>
      </c>
      <c r="M3037" s="5">
        <v>48</v>
      </c>
    </row>
    <row r="3038" spans="1:13" ht="15" x14ac:dyDescent="0.25">
      <c r="A3038" s="7" t="s">
        <v>16</v>
      </c>
      <c r="B3038" s="7" t="s">
        <v>230</v>
      </c>
      <c r="C3038" s="7" t="s">
        <v>24</v>
      </c>
      <c r="D3038" s="4">
        <v>6047087001020</v>
      </c>
      <c r="E3038" s="8" t="s">
        <v>1081</v>
      </c>
      <c r="F3038" s="8" t="s">
        <v>131</v>
      </c>
      <c r="G3038" s="7" t="s">
        <v>61</v>
      </c>
      <c r="H3038" s="47" t="s">
        <v>205</v>
      </c>
      <c r="I3038" s="47" t="s">
        <v>206</v>
      </c>
      <c r="J3038" s="6">
        <v>62</v>
      </c>
      <c r="K3038" s="8" t="s">
        <v>27</v>
      </c>
      <c r="L3038" s="1" t="s">
        <v>1081</v>
      </c>
      <c r="M3038" s="5">
        <v>72</v>
      </c>
    </row>
    <row r="3039" spans="1:13" ht="15" x14ac:dyDescent="0.25">
      <c r="A3039" s="7" t="s">
        <v>16</v>
      </c>
      <c r="B3039" s="7" t="s">
        <v>230</v>
      </c>
      <c r="C3039" s="7" t="s">
        <v>24</v>
      </c>
      <c r="D3039" s="4">
        <v>6047087001020</v>
      </c>
      <c r="E3039" s="8" t="s">
        <v>1081</v>
      </c>
      <c r="F3039" s="8" t="s">
        <v>131</v>
      </c>
      <c r="G3039" s="7" t="s">
        <v>61</v>
      </c>
      <c r="H3039" s="47" t="s">
        <v>205</v>
      </c>
      <c r="I3039" s="47" t="s">
        <v>206</v>
      </c>
      <c r="J3039" s="6">
        <v>64</v>
      </c>
      <c r="K3039" s="8" t="s">
        <v>25</v>
      </c>
      <c r="L3039" s="1" t="s">
        <v>1081</v>
      </c>
      <c r="M3039" s="5">
        <v>74</v>
      </c>
    </row>
    <row r="3040" spans="1:13" ht="15" x14ac:dyDescent="0.25">
      <c r="A3040" s="7" t="s">
        <v>16</v>
      </c>
      <c r="B3040" s="7" t="s">
        <v>230</v>
      </c>
      <c r="C3040" s="7" t="s">
        <v>24</v>
      </c>
      <c r="D3040" s="4">
        <v>7794623004896</v>
      </c>
      <c r="E3040" s="8" t="s">
        <v>1084</v>
      </c>
      <c r="F3040" s="8" t="s">
        <v>131</v>
      </c>
      <c r="G3040" s="7" t="s">
        <v>61</v>
      </c>
      <c r="H3040" s="47" t="s">
        <v>205</v>
      </c>
      <c r="I3040" s="47" t="s">
        <v>206</v>
      </c>
      <c r="J3040" s="6">
        <v>70</v>
      </c>
      <c r="K3040" s="8" t="s">
        <v>20</v>
      </c>
      <c r="L3040" s="1" t="s">
        <v>1084</v>
      </c>
      <c r="M3040" s="5">
        <v>1275</v>
      </c>
    </row>
    <row r="3041" spans="1:13" ht="15" x14ac:dyDescent="0.25">
      <c r="A3041" s="7" t="s">
        <v>16</v>
      </c>
      <c r="B3041" s="7" t="s">
        <v>230</v>
      </c>
      <c r="C3041" s="7" t="s">
        <v>24</v>
      </c>
      <c r="D3041" s="4">
        <v>9219138000401</v>
      </c>
      <c r="E3041" s="8" t="s">
        <v>1087</v>
      </c>
      <c r="F3041" s="8" t="s">
        <v>131</v>
      </c>
      <c r="G3041" s="7" t="s">
        <v>61</v>
      </c>
      <c r="H3041" s="47" t="s">
        <v>205</v>
      </c>
      <c r="I3041" s="47" t="s">
        <v>206</v>
      </c>
      <c r="J3041" s="6">
        <v>70</v>
      </c>
      <c r="K3041" s="8" t="s">
        <v>20</v>
      </c>
      <c r="L3041" s="1" t="s">
        <v>1087</v>
      </c>
      <c r="M3041" s="5">
        <v>425</v>
      </c>
    </row>
    <row r="3042" spans="1:13" ht="15" x14ac:dyDescent="0.25">
      <c r="A3042" s="7" t="s">
        <v>16</v>
      </c>
      <c r="B3042" s="7" t="s">
        <v>230</v>
      </c>
      <c r="C3042" s="7" t="s">
        <v>24</v>
      </c>
      <c r="D3042" s="4">
        <v>9219138000401</v>
      </c>
      <c r="E3042" s="8" t="s">
        <v>1087</v>
      </c>
      <c r="F3042" s="8" t="s">
        <v>131</v>
      </c>
      <c r="G3042" s="7" t="s">
        <v>61</v>
      </c>
      <c r="H3042" s="47" t="s">
        <v>205</v>
      </c>
      <c r="I3042" s="47" t="s">
        <v>206</v>
      </c>
      <c r="J3042" s="6">
        <v>73</v>
      </c>
      <c r="K3042" s="8" t="s">
        <v>26</v>
      </c>
      <c r="L3042" s="1" t="s">
        <v>1087</v>
      </c>
      <c r="M3042" s="5">
        <v>120</v>
      </c>
    </row>
    <row r="3043" spans="1:13" ht="15" x14ac:dyDescent="0.25">
      <c r="A3043" s="7" t="s">
        <v>16</v>
      </c>
      <c r="B3043" s="7" t="s">
        <v>230</v>
      </c>
      <c r="C3043" s="7" t="s">
        <v>24</v>
      </c>
      <c r="D3043" s="4">
        <v>9219138000584</v>
      </c>
      <c r="E3043" s="8" t="s">
        <v>1088</v>
      </c>
      <c r="F3043" s="8" t="s">
        <v>131</v>
      </c>
      <c r="G3043" s="7" t="s">
        <v>61</v>
      </c>
      <c r="H3043" s="47" t="s">
        <v>205</v>
      </c>
      <c r="I3043" s="47" t="s">
        <v>206</v>
      </c>
      <c r="J3043" s="6">
        <v>64</v>
      </c>
      <c r="K3043" s="8" t="s">
        <v>25</v>
      </c>
      <c r="L3043" s="1" t="s">
        <v>1088</v>
      </c>
      <c r="M3043" s="5">
        <v>10</v>
      </c>
    </row>
    <row r="3044" spans="1:13" ht="15" x14ac:dyDescent="0.25">
      <c r="A3044" s="7" t="s">
        <v>16</v>
      </c>
      <c r="B3044" s="7" t="s">
        <v>230</v>
      </c>
      <c r="C3044" s="7" t="s">
        <v>24</v>
      </c>
      <c r="D3044" s="4">
        <v>9219138000584</v>
      </c>
      <c r="E3044" s="8" t="s">
        <v>1088</v>
      </c>
      <c r="F3044" s="8" t="s">
        <v>131</v>
      </c>
      <c r="G3044" s="7" t="s">
        <v>61</v>
      </c>
      <c r="H3044" s="47" t="s">
        <v>205</v>
      </c>
      <c r="I3044" s="47" t="s">
        <v>206</v>
      </c>
      <c r="J3044" s="6">
        <v>70</v>
      </c>
      <c r="K3044" s="8" t="s">
        <v>20</v>
      </c>
      <c r="L3044" s="1" t="s">
        <v>1088</v>
      </c>
      <c r="M3044" s="5">
        <v>530</v>
      </c>
    </row>
    <row r="3045" spans="1:13" ht="15" x14ac:dyDescent="0.25">
      <c r="A3045" s="7" t="s">
        <v>16</v>
      </c>
      <c r="B3045" s="7" t="s">
        <v>230</v>
      </c>
      <c r="C3045" s="7" t="s">
        <v>24</v>
      </c>
      <c r="D3045" s="4">
        <v>9219138000584</v>
      </c>
      <c r="E3045" s="8" t="s">
        <v>1088</v>
      </c>
      <c r="F3045" s="8" t="s">
        <v>131</v>
      </c>
      <c r="G3045" s="7" t="s">
        <v>61</v>
      </c>
      <c r="H3045" s="47" t="s">
        <v>205</v>
      </c>
      <c r="I3045" s="47" t="s">
        <v>206</v>
      </c>
      <c r="J3045" s="6">
        <v>73</v>
      </c>
      <c r="K3045" s="8" t="s">
        <v>26</v>
      </c>
      <c r="L3045" s="1" t="s">
        <v>1088</v>
      </c>
      <c r="M3045" s="5">
        <v>124</v>
      </c>
    </row>
    <row r="3046" spans="1:13" ht="15" x14ac:dyDescent="0.25">
      <c r="A3046" s="7" t="s">
        <v>16</v>
      </c>
      <c r="B3046" s="7" t="s">
        <v>230</v>
      </c>
      <c r="C3046" s="7" t="s">
        <v>24</v>
      </c>
      <c r="D3046" s="4">
        <v>9578217000158</v>
      </c>
      <c r="E3046" s="8" t="s">
        <v>1089</v>
      </c>
      <c r="F3046" s="8" t="s">
        <v>131</v>
      </c>
      <c r="G3046" s="7" t="s">
        <v>61</v>
      </c>
      <c r="H3046" s="47" t="s">
        <v>205</v>
      </c>
      <c r="I3046" s="47" t="s">
        <v>206</v>
      </c>
      <c r="J3046" s="6">
        <v>64</v>
      </c>
      <c r="K3046" s="8" t="s">
        <v>25</v>
      </c>
      <c r="L3046" s="1" t="s">
        <v>1089</v>
      </c>
      <c r="M3046" s="5">
        <v>19</v>
      </c>
    </row>
    <row r="3047" spans="1:13" ht="15" x14ac:dyDescent="0.25">
      <c r="A3047" s="7" t="s">
        <v>16</v>
      </c>
      <c r="B3047" s="7" t="s">
        <v>230</v>
      </c>
      <c r="C3047" s="7" t="s">
        <v>24</v>
      </c>
      <c r="D3047" s="4">
        <v>9609235000230</v>
      </c>
      <c r="E3047" s="8" t="s">
        <v>1090</v>
      </c>
      <c r="F3047" s="8" t="s">
        <v>131</v>
      </c>
      <c r="G3047" s="7" t="s">
        <v>61</v>
      </c>
      <c r="H3047" s="47" t="s">
        <v>205</v>
      </c>
      <c r="I3047" s="47" t="s">
        <v>206</v>
      </c>
      <c r="J3047" s="6">
        <v>70</v>
      </c>
      <c r="K3047" s="8" t="s">
        <v>20</v>
      </c>
      <c r="L3047" s="1" t="s">
        <v>1090</v>
      </c>
      <c r="M3047" s="5">
        <v>750</v>
      </c>
    </row>
    <row r="3048" spans="1:13" ht="15" x14ac:dyDescent="0.25">
      <c r="A3048" s="7" t="s">
        <v>16</v>
      </c>
      <c r="B3048" s="7" t="s">
        <v>230</v>
      </c>
      <c r="C3048" s="7" t="s">
        <v>24</v>
      </c>
      <c r="D3048" s="4">
        <v>10922058000146</v>
      </c>
      <c r="E3048" s="8" t="s">
        <v>1158</v>
      </c>
      <c r="F3048" s="8" t="s">
        <v>131</v>
      </c>
      <c r="G3048" s="7" t="s">
        <v>61</v>
      </c>
      <c r="H3048" s="47" t="s">
        <v>205</v>
      </c>
      <c r="I3048" s="47" t="s">
        <v>206</v>
      </c>
      <c r="J3048" s="6">
        <v>70</v>
      </c>
      <c r="K3048" s="8" t="s">
        <v>20</v>
      </c>
      <c r="L3048" s="1" t="s">
        <v>1158</v>
      </c>
      <c r="M3048" s="5">
        <v>75</v>
      </c>
    </row>
    <row r="3049" spans="1:13" ht="15" x14ac:dyDescent="0.25">
      <c r="A3049" s="7" t="s">
        <v>16</v>
      </c>
      <c r="B3049" s="7" t="s">
        <v>230</v>
      </c>
      <c r="C3049" s="7" t="s">
        <v>24</v>
      </c>
      <c r="D3049" s="4">
        <v>18010750000100</v>
      </c>
      <c r="E3049" s="8" t="s">
        <v>1092</v>
      </c>
      <c r="F3049" s="8" t="s">
        <v>131</v>
      </c>
      <c r="G3049" s="7" t="s">
        <v>61</v>
      </c>
      <c r="H3049" s="47" t="s">
        <v>205</v>
      </c>
      <c r="I3049" s="47" t="s">
        <v>206</v>
      </c>
      <c r="J3049" s="6">
        <v>70</v>
      </c>
      <c r="K3049" s="8" t="s">
        <v>20</v>
      </c>
      <c r="L3049" s="1" t="s">
        <v>1092</v>
      </c>
      <c r="M3049" s="5">
        <v>375</v>
      </c>
    </row>
    <row r="3050" spans="1:13" ht="15" x14ac:dyDescent="0.25">
      <c r="A3050" s="7" t="s">
        <v>16</v>
      </c>
      <c r="B3050" s="7" t="s">
        <v>230</v>
      </c>
      <c r="C3050" s="7" t="s">
        <v>24</v>
      </c>
      <c r="D3050" s="4">
        <v>21109731000140</v>
      </c>
      <c r="E3050" s="8" t="s">
        <v>1093</v>
      </c>
      <c r="F3050" s="8" t="s">
        <v>131</v>
      </c>
      <c r="G3050" s="7" t="s">
        <v>61</v>
      </c>
      <c r="H3050" s="47" t="s">
        <v>205</v>
      </c>
      <c r="I3050" s="47" t="s">
        <v>206</v>
      </c>
      <c r="J3050" s="6">
        <v>73</v>
      </c>
      <c r="K3050" s="8" t="s">
        <v>26</v>
      </c>
      <c r="L3050" s="1" t="s">
        <v>1093</v>
      </c>
      <c r="M3050" s="5">
        <v>184</v>
      </c>
    </row>
    <row r="3051" spans="1:13" ht="15" x14ac:dyDescent="0.25">
      <c r="A3051" s="7" t="s">
        <v>16</v>
      </c>
      <c r="B3051" s="7" t="s">
        <v>230</v>
      </c>
      <c r="C3051" s="7" t="s">
        <v>24</v>
      </c>
      <c r="D3051" s="4">
        <v>21265360000195</v>
      </c>
      <c r="E3051" s="8" t="s">
        <v>1094</v>
      </c>
      <c r="F3051" s="8" t="s">
        <v>131</v>
      </c>
      <c r="G3051" s="7" t="s">
        <v>61</v>
      </c>
      <c r="H3051" s="47" t="s">
        <v>205</v>
      </c>
      <c r="I3051" s="47" t="s">
        <v>206</v>
      </c>
      <c r="J3051" s="6">
        <v>73</v>
      </c>
      <c r="K3051" s="8" t="s">
        <v>26</v>
      </c>
      <c r="L3051" s="1" t="s">
        <v>1094</v>
      </c>
      <c r="M3051" s="5">
        <v>20</v>
      </c>
    </row>
    <row r="3052" spans="1:13" ht="15" x14ac:dyDescent="0.25">
      <c r="A3052" s="7" t="s">
        <v>16</v>
      </c>
      <c r="B3052" s="7" t="s">
        <v>230</v>
      </c>
      <c r="C3052" s="7" t="s">
        <v>24</v>
      </c>
      <c r="D3052" s="4">
        <v>24217779000160</v>
      </c>
      <c r="E3052" s="8" t="s">
        <v>1097</v>
      </c>
      <c r="F3052" s="8" t="s">
        <v>131</v>
      </c>
      <c r="G3052" s="7" t="s">
        <v>61</v>
      </c>
      <c r="H3052" s="47" t="s">
        <v>205</v>
      </c>
      <c r="I3052" s="47" t="s">
        <v>206</v>
      </c>
      <c r="J3052" s="6">
        <v>62</v>
      </c>
      <c r="K3052" s="8" t="s">
        <v>27</v>
      </c>
      <c r="L3052" s="1" t="s">
        <v>1097</v>
      </c>
      <c r="M3052" s="5">
        <v>24</v>
      </c>
    </row>
    <row r="3053" spans="1:13" ht="15" x14ac:dyDescent="0.25">
      <c r="A3053" s="7" t="s">
        <v>16</v>
      </c>
      <c r="B3053" s="7" t="s">
        <v>230</v>
      </c>
      <c r="C3053" s="7" t="s">
        <v>24</v>
      </c>
      <c r="D3053" s="4">
        <v>27901222000131</v>
      </c>
      <c r="E3053" s="8" t="s">
        <v>1098</v>
      </c>
      <c r="F3053" s="8" t="s">
        <v>131</v>
      </c>
      <c r="G3053" s="7" t="s">
        <v>61</v>
      </c>
      <c r="H3053" s="47" t="s">
        <v>205</v>
      </c>
      <c r="I3053" s="47" t="s">
        <v>206</v>
      </c>
      <c r="J3053" s="6">
        <v>64</v>
      </c>
      <c r="K3053" s="8" t="s">
        <v>25</v>
      </c>
      <c r="L3053" s="1" t="s">
        <v>1098</v>
      </c>
      <c r="M3053" s="5">
        <v>3</v>
      </c>
    </row>
    <row r="3054" spans="1:13" ht="15" x14ac:dyDescent="0.25">
      <c r="A3054" s="7" t="s">
        <v>16</v>
      </c>
      <c r="B3054" s="7" t="s">
        <v>230</v>
      </c>
      <c r="C3054" s="7" t="s">
        <v>24</v>
      </c>
      <c r="D3054" s="4">
        <v>28000107000159</v>
      </c>
      <c r="E3054" s="8" t="s">
        <v>1099</v>
      </c>
      <c r="F3054" s="8" t="s">
        <v>131</v>
      </c>
      <c r="G3054" s="7" t="s">
        <v>61</v>
      </c>
      <c r="H3054" s="47" t="s">
        <v>205</v>
      </c>
      <c r="I3054" s="47" t="s">
        <v>206</v>
      </c>
      <c r="J3054" s="6">
        <v>70</v>
      </c>
      <c r="K3054" s="8" t="s">
        <v>20</v>
      </c>
      <c r="L3054" s="1" t="s">
        <v>1099</v>
      </c>
      <c r="M3054" s="5">
        <v>120</v>
      </c>
    </row>
    <row r="3055" spans="1:13" ht="15" x14ac:dyDescent="0.25">
      <c r="A3055" s="7" t="s">
        <v>16</v>
      </c>
      <c r="B3055" s="7" t="s">
        <v>230</v>
      </c>
      <c r="C3055" s="7" t="s">
        <v>24</v>
      </c>
      <c r="D3055" s="4">
        <v>28000107000159</v>
      </c>
      <c r="E3055" s="8" t="s">
        <v>1099</v>
      </c>
      <c r="F3055" s="8" t="s">
        <v>131</v>
      </c>
      <c r="G3055" s="7" t="s">
        <v>61</v>
      </c>
      <c r="H3055" s="47" t="s">
        <v>205</v>
      </c>
      <c r="I3055" s="47" t="s">
        <v>206</v>
      </c>
      <c r="J3055" s="6">
        <v>73</v>
      </c>
      <c r="K3055" s="8" t="s">
        <v>26</v>
      </c>
      <c r="L3055" s="1" t="s">
        <v>1099</v>
      </c>
      <c r="M3055" s="5">
        <v>94</v>
      </c>
    </row>
    <row r="3056" spans="1:13" ht="15" x14ac:dyDescent="0.25">
      <c r="A3056" s="7" t="s">
        <v>16</v>
      </c>
      <c r="B3056" s="7" t="s">
        <v>230</v>
      </c>
      <c r="C3056" s="7" t="s">
        <v>24</v>
      </c>
      <c r="D3056" s="4">
        <v>28602407000108</v>
      </c>
      <c r="E3056" s="8" t="s">
        <v>1100</v>
      </c>
      <c r="F3056" s="8" t="s">
        <v>131</v>
      </c>
      <c r="G3056" s="7" t="s">
        <v>61</v>
      </c>
      <c r="H3056" s="47" t="s">
        <v>205</v>
      </c>
      <c r="I3056" s="47" t="s">
        <v>206</v>
      </c>
      <c r="J3056" s="6">
        <v>73</v>
      </c>
      <c r="K3056" s="8" t="s">
        <v>26</v>
      </c>
      <c r="L3056" s="1" t="s">
        <v>1100</v>
      </c>
      <c r="M3056" s="5">
        <v>2</v>
      </c>
    </row>
    <row r="3057" spans="1:13" ht="15" x14ac:dyDescent="0.25">
      <c r="A3057" s="7" t="s">
        <v>16</v>
      </c>
      <c r="B3057" s="7" t="s">
        <v>230</v>
      </c>
      <c r="C3057" s="7" t="s">
        <v>24</v>
      </c>
      <c r="D3057" s="4">
        <v>29259736000403</v>
      </c>
      <c r="E3057" s="8" t="s">
        <v>1101</v>
      </c>
      <c r="F3057" s="8" t="s">
        <v>131</v>
      </c>
      <c r="G3057" s="7" t="s">
        <v>61</v>
      </c>
      <c r="H3057" s="47" t="s">
        <v>205</v>
      </c>
      <c r="I3057" s="47" t="s">
        <v>206</v>
      </c>
      <c r="J3057" s="6">
        <v>73</v>
      </c>
      <c r="K3057" s="8" t="s">
        <v>26</v>
      </c>
      <c r="L3057" s="1" t="s">
        <v>1101</v>
      </c>
      <c r="M3057" s="5">
        <v>24</v>
      </c>
    </row>
    <row r="3058" spans="1:13" ht="15" x14ac:dyDescent="0.25">
      <c r="A3058" s="7" t="s">
        <v>16</v>
      </c>
      <c r="B3058" s="7" t="s">
        <v>230</v>
      </c>
      <c r="C3058" s="7" t="s">
        <v>24</v>
      </c>
      <c r="D3058" s="4">
        <v>29435005005783</v>
      </c>
      <c r="E3058" s="8" t="s">
        <v>1104</v>
      </c>
      <c r="F3058" s="8" t="s">
        <v>131</v>
      </c>
      <c r="G3058" s="7" t="s">
        <v>61</v>
      </c>
      <c r="H3058" s="47" t="s">
        <v>205</v>
      </c>
      <c r="I3058" s="47" t="s">
        <v>206</v>
      </c>
      <c r="J3058" s="6">
        <v>70</v>
      </c>
      <c r="K3058" s="8" t="s">
        <v>20</v>
      </c>
      <c r="L3058" s="1" t="s">
        <v>1104</v>
      </c>
      <c r="M3058" s="5">
        <v>875</v>
      </c>
    </row>
    <row r="3059" spans="1:13" ht="15" x14ac:dyDescent="0.25">
      <c r="A3059" s="7" t="s">
        <v>16</v>
      </c>
      <c r="B3059" s="7" t="s">
        <v>230</v>
      </c>
      <c r="C3059" s="7" t="s">
        <v>24</v>
      </c>
      <c r="D3059" s="4">
        <v>29435005006160</v>
      </c>
      <c r="E3059" s="8" t="s">
        <v>1105</v>
      </c>
      <c r="F3059" s="8" t="s">
        <v>131</v>
      </c>
      <c r="G3059" s="7" t="s">
        <v>61</v>
      </c>
      <c r="H3059" s="47" t="s">
        <v>205</v>
      </c>
      <c r="I3059" s="47" t="s">
        <v>206</v>
      </c>
      <c r="J3059" s="6">
        <v>62</v>
      </c>
      <c r="K3059" s="8" t="s">
        <v>27</v>
      </c>
      <c r="L3059" s="1" t="s">
        <v>1105</v>
      </c>
      <c r="M3059" s="5">
        <v>8</v>
      </c>
    </row>
    <row r="3060" spans="1:13" ht="15" x14ac:dyDescent="0.25">
      <c r="A3060" s="7" t="s">
        <v>16</v>
      </c>
      <c r="B3060" s="7" t="s">
        <v>230</v>
      </c>
      <c r="C3060" s="7" t="s">
        <v>24</v>
      </c>
      <c r="D3060" s="4">
        <v>29435005006160</v>
      </c>
      <c r="E3060" s="8" t="s">
        <v>1105</v>
      </c>
      <c r="F3060" s="8" t="s">
        <v>131</v>
      </c>
      <c r="G3060" s="7" t="s">
        <v>61</v>
      </c>
      <c r="H3060" s="47" t="s">
        <v>205</v>
      </c>
      <c r="I3060" s="47" t="s">
        <v>206</v>
      </c>
      <c r="J3060" s="6">
        <v>64</v>
      </c>
      <c r="K3060" s="8" t="s">
        <v>25</v>
      </c>
      <c r="L3060" s="1" t="s">
        <v>1105</v>
      </c>
      <c r="M3060" s="5">
        <v>4</v>
      </c>
    </row>
    <row r="3061" spans="1:13" ht="15" x14ac:dyDescent="0.25">
      <c r="A3061" s="7" t="s">
        <v>16</v>
      </c>
      <c r="B3061" s="7" t="s">
        <v>230</v>
      </c>
      <c r="C3061" s="7" t="s">
        <v>24</v>
      </c>
      <c r="D3061" s="4">
        <v>31635857000101</v>
      </c>
      <c r="E3061" s="8" t="s">
        <v>1106</v>
      </c>
      <c r="F3061" s="8" t="s">
        <v>131</v>
      </c>
      <c r="G3061" s="7" t="s">
        <v>61</v>
      </c>
      <c r="H3061" s="47" t="s">
        <v>205</v>
      </c>
      <c r="I3061" s="47" t="s">
        <v>206</v>
      </c>
      <c r="J3061" s="6">
        <v>64</v>
      </c>
      <c r="K3061" s="8" t="s">
        <v>25</v>
      </c>
      <c r="L3061" s="1" t="s">
        <v>1106</v>
      </c>
      <c r="M3061" s="5">
        <v>3</v>
      </c>
    </row>
    <row r="3062" spans="1:13" ht="15" x14ac:dyDescent="0.25">
      <c r="A3062" s="7" t="s">
        <v>16</v>
      </c>
      <c r="B3062" s="7" t="s">
        <v>230</v>
      </c>
      <c r="C3062" s="7" t="s">
        <v>24</v>
      </c>
      <c r="D3062" s="4">
        <v>31635857000292</v>
      </c>
      <c r="E3062" s="8" t="s">
        <v>1107</v>
      </c>
      <c r="F3062" s="8" t="s">
        <v>131</v>
      </c>
      <c r="G3062" s="7" t="s">
        <v>61</v>
      </c>
      <c r="H3062" s="47" t="s">
        <v>205</v>
      </c>
      <c r="I3062" s="47" t="s">
        <v>206</v>
      </c>
      <c r="J3062" s="6">
        <v>62</v>
      </c>
      <c r="K3062" s="8" t="s">
        <v>27</v>
      </c>
      <c r="L3062" s="1" t="s">
        <v>1107</v>
      </c>
      <c r="M3062" s="5">
        <v>8</v>
      </c>
    </row>
    <row r="3063" spans="1:13" ht="15" x14ac:dyDescent="0.25">
      <c r="A3063" s="7" t="s">
        <v>16</v>
      </c>
      <c r="B3063" s="7" t="s">
        <v>230</v>
      </c>
      <c r="C3063" s="7" t="s">
        <v>24</v>
      </c>
      <c r="D3063" s="4">
        <v>31635857000292</v>
      </c>
      <c r="E3063" s="8" t="s">
        <v>1107</v>
      </c>
      <c r="F3063" s="8" t="s">
        <v>131</v>
      </c>
      <c r="G3063" s="7" t="s">
        <v>61</v>
      </c>
      <c r="H3063" s="47" t="s">
        <v>205</v>
      </c>
      <c r="I3063" s="47" t="s">
        <v>206</v>
      </c>
      <c r="J3063" s="6">
        <v>64</v>
      </c>
      <c r="K3063" s="8" t="s">
        <v>25</v>
      </c>
      <c r="L3063" s="1" t="s">
        <v>1107</v>
      </c>
      <c r="M3063" s="5">
        <v>2</v>
      </c>
    </row>
    <row r="3064" spans="1:13" ht="15" x14ac:dyDescent="0.25">
      <c r="A3064" s="7" t="s">
        <v>16</v>
      </c>
      <c r="B3064" s="7" t="s">
        <v>230</v>
      </c>
      <c r="C3064" s="7" t="s">
        <v>24</v>
      </c>
      <c r="D3064" s="4">
        <v>31635857000292</v>
      </c>
      <c r="E3064" s="8" t="s">
        <v>1107</v>
      </c>
      <c r="F3064" s="8" t="s">
        <v>131</v>
      </c>
      <c r="G3064" s="7" t="s">
        <v>61</v>
      </c>
      <c r="H3064" s="47" t="s">
        <v>205</v>
      </c>
      <c r="I3064" s="47" t="s">
        <v>206</v>
      </c>
      <c r="J3064" s="6">
        <v>73</v>
      </c>
      <c r="K3064" s="8" t="s">
        <v>26</v>
      </c>
      <c r="L3064" s="1" t="s">
        <v>1107</v>
      </c>
      <c r="M3064" s="5">
        <v>32</v>
      </c>
    </row>
    <row r="3065" spans="1:13" ht="15" x14ac:dyDescent="0.25">
      <c r="A3065" s="7" t="s">
        <v>16</v>
      </c>
      <c r="B3065" s="7" t="s">
        <v>230</v>
      </c>
      <c r="C3065" s="7" t="s">
        <v>24</v>
      </c>
      <c r="D3065" s="4">
        <v>31925548000176</v>
      </c>
      <c r="E3065" s="8" t="s">
        <v>1108</v>
      </c>
      <c r="F3065" s="8" t="s">
        <v>131</v>
      </c>
      <c r="G3065" s="7" t="s">
        <v>61</v>
      </c>
      <c r="H3065" s="47" t="s">
        <v>205</v>
      </c>
      <c r="I3065" s="47" t="s">
        <v>206</v>
      </c>
      <c r="J3065" s="6">
        <v>70</v>
      </c>
      <c r="K3065" s="8" t="s">
        <v>20</v>
      </c>
      <c r="L3065" s="1" t="s">
        <v>1108</v>
      </c>
      <c r="M3065" s="5">
        <v>30</v>
      </c>
    </row>
    <row r="3066" spans="1:13" ht="15" x14ac:dyDescent="0.25">
      <c r="A3066" s="7" t="s">
        <v>16</v>
      </c>
      <c r="B3066" s="7" t="s">
        <v>230</v>
      </c>
      <c r="C3066" s="7" t="s">
        <v>24</v>
      </c>
      <c r="D3066" s="4">
        <v>33419482000259</v>
      </c>
      <c r="E3066" s="8" t="s">
        <v>1111</v>
      </c>
      <c r="F3066" s="8" t="s">
        <v>131</v>
      </c>
      <c r="G3066" s="7" t="s">
        <v>61</v>
      </c>
      <c r="H3066" s="47" t="s">
        <v>205</v>
      </c>
      <c r="I3066" s="47" t="s">
        <v>206</v>
      </c>
      <c r="J3066" s="6">
        <v>62</v>
      </c>
      <c r="K3066" s="8" t="s">
        <v>27</v>
      </c>
      <c r="L3066" s="1" t="s">
        <v>1111</v>
      </c>
      <c r="M3066" s="5">
        <v>8</v>
      </c>
    </row>
    <row r="3067" spans="1:13" ht="15" x14ac:dyDescent="0.25">
      <c r="A3067" s="7" t="s">
        <v>16</v>
      </c>
      <c r="B3067" s="7" t="s">
        <v>230</v>
      </c>
      <c r="C3067" s="7" t="s">
        <v>24</v>
      </c>
      <c r="D3067" s="4">
        <v>33419482000259</v>
      </c>
      <c r="E3067" s="8" t="s">
        <v>1111</v>
      </c>
      <c r="F3067" s="8" t="s">
        <v>131</v>
      </c>
      <c r="G3067" s="7" t="s">
        <v>61</v>
      </c>
      <c r="H3067" s="47" t="s">
        <v>205</v>
      </c>
      <c r="I3067" s="47" t="s">
        <v>206</v>
      </c>
      <c r="J3067" s="6">
        <v>64</v>
      </c>
      <c r="K3067" s="8" t="s">
        <v>25</v>
      </c>
      <c r="L3067" s="1" t="s">
        <v>1111</v>
      </c>
      <c r="M3067" s="5">
        <v>4</v>
      </c>
    </row>
    <row r="3068" spans="1:13" ht="15" x14ac:dyDescent="0.25">
      <c r="A3068" s="7" t="s">
        <v>16</v>
      </c>
      <c r="B3068" s="7" t="s">
        <v>230</v>
      </c>
      <c r="C3068" s="7" t="s">
        <v>24</v>
      </c>
      <c r="D3068" s="4">
        <v>33476482000100</v>
      </c>
      <c r="E3068" s="8" t="s">
        <v>1412</v>
      </c>
      <c r="F3068" s="8" t="s">
        <v>131</v>
      </c>
      <c r="G3068" s="7" t="s">
        <v>61</v>
      </c>
      <c r="H3068" s="47" t="s">
        <v>205</v>
      </c>
      <c r="I3068" s="47" t="s">
        <v>206</v>
      </c>
      <c r="J3068" s="6">
        <v>66</v>
      </c>
      <c r="K3068" s="8" t="s">
        <v>28</v>
      </c>
      <c r="L3068" s="1" t="s">
        <v>1412</v>
      </c>
      <c r="M3068" s="5">
        <v>15</v>
      </c>
    </row>
    <row r="3069" spans="1:13" ht="15" x14ac:dyDescent="0.25">
      <c r="A3069" s="7" t="s">
        <v>16</v>
      </c>
      <c r="B3069" s="7" t="s">
        <v>230</v>
      </c>
      <c r="C3069" s="7" t="s">
        <v>24</v>
      </c>
      <c r="D3069" s="4">
        <v>33540014000157</v>
      </c>
      <c r="E3069" s="8" t="s">
        <v>1112</v>
      </c>
      <c r="F3069" s="8" t="s">
        <v>131</v>
      </c>
      <c r="G3069" s="7" t="s">
        <v>61</v>
      </c>
      <c r="H3069" s="47" t="s">
        <v>205</v>
      </c>
      <c r="I3069" s="47" t="s">
        <v>206</v>
      </c>
      <c r="J3069" s="6">
        <v>70</v>
      </c>
      <c r="K3069" s="8" t="s">
        <v>20</v>
      </c>
      <c r="L3069" s="1" t="s">
        <v>1112</v>
      </c>
      <c r="M3069" s="5">
        <v>120</v>
      </c>
    </row>
    <row r="3070" spans="1:13" ht="15" x14ac:dyDescent="0.25">
      <c r="A3070" s="7" t="s">
        <v>16</v>
      </c>
      <c r="B3070" s="7" t="s">
        <v>230</v>
      </c>
      <c r="C3070" s="7" t="s">
        <v>24</v>
      </c>
      <c r="D3070" s="4">
        <v>33663683002674</v>
      </c>
      <c r="E3070" s="8" t="s">
        <v>1113</v>
      </c>
      <c r="F3070" s="8" t="s">
        <v>131</v>
      </c>
      <c r="G3070" s="7" t="s">
        <v>61</v>
      </c>
      <c r="H3070" s="47" t="s">
        <v>205</v>
      </c>
      <c r="I3070" s="47" t="s">
        <v>206</v>
      </c>
      <c r="J3070" s="6">
        <v>70</v>
      </c>
      <c r="K3070" s="8" t="s">
        <v>20</v>
      </c>
      <c r="L3070" s="1" t="s">
        <v>1113</v>
      </c>
      <c r="M3070" s="5">
        <v>600</v>
      </c>
    </row>
    <row r="3071" spans="1:13" ht="15" x14ac:dyDescent="0.25">
      <c r="A3071" s="7" t="s">
        <v>16</v>
      </c>
      <c r="B3071" s="7" t="s">
        <v>230</v>
      </c>
      <c r="C3071" s="7" t="s">
        <v>24</v>
      </c>
      <c r="D3071" s="4">
        <v>33804212000180</v>
      </c>
      <c r="E3071" s="8" t="s">
        <v>1413</v>
      </c>
      <c r="F3071" s="8" t="s">
        <v>131</v>
      </c>
      <c r="G3071" s="7" t="s">
        <v>61</v>
      </c>
      <c r="H3071" s="47" t="s">
        <v>205</v>
      </c>
      <c r="I3071" s="47" t="s">
        <v>206</v>
      </c>
      <c r="J3071" s="6">
        <v>70</v>
      </c>
      <c r="K3071" s="8" t="s">
        <v>20</v>
      </c>
      <c r="L3071" s="1" t="s">
        <v>1413</v>
      </c>
      <c r="M3071" s="5">
        <v>60</v>
      </c>
    </row>
    <row r="3072" spans="1:13" ht="15" x14ac:dyDescent="0.25">
      <c r="A3072" s="7" t="s">
        <v>16</v>
      </c>
      <c r="B3072" s="7" t="s">
        <v>230</v>
      </c>
      <c r="C3072" s="7" t="s">
        <v>24</v>
      </c>
      <c r="D3072" s="4">
        <v>34058123000103</v>
      </c>
      <c r="E3072" s="8" t="s">
        <v>1118</v>
      </c>
      <c r="F3072" s="8" t="s">
        <v>131</v>
      </c>
      <c r="G3072" s="7" t="s">
        <v>61</v>
      </c>
      <c r="H3072" s="47" t="s">
        <v>205</v>
      </c>
      <c r="I3072" s="47" t="s">
        <v>206</v>
      </c>
      <c r="J3072" s="6">
        <v>70</v>
      </c>
      <c r="K3072" s="8" t="s">
        <v>20</v>
      </c>
      <c r="L3072" s="1" t="s">
        <v>1118</v>
      </c>
      <c r="M3072" s="5">
        <v>155</v>
      </c>
    </row>
    <row r="3073" spans="1:13" ht="15" x14ac:dyDescent="0.25">
      <c r="A3073" s="7" t="s">
        <v>16</v>
      </c>
      <c r="B3073" s="7" t="s">
        <v>230</v>
      </c>
      <c r="C3073" s="7" t="s">
        <v>24</v>
      </c>
      <c r="D3073" s="4">
        <v>39086160000130</v>
      </c>
      <c r="E3073" s="8" t="s">
        <v>1119</v>
      </c>
      <c r="F3073" s="8" t="s">
        <v>131</v>
      </c>
      <c r="G3073" s="7" t="s">
        <v>61</v>
      </c>
      <c r="H3073" s="47" t="s">
        <v>205</v>
      </c>
      <c r="I3073" s="47" t="s">
        <v>206</v>
      </c>
      <c r="J3073" s="6">
        <v>70</v>
      </c>
      <c r="K3073" s="8" t="s">
        <v>20</v>
      </c>
      <c r="L3073" s="1" t="s">
        <v>1119</v>
      </c>
      <c r="M3073" s="5">
        <v>250</v>
      </c>
    </row>
    <row r="3074" spans="1:13" ht="15" x14ac:dyDescent="0.25">
      <c r="A3074" s="7" t="s">
        <v>16</v>
      </c>
      <c r="B3074" s="7" t="s">
        <v>230</v>
      </c>
      <c r="C3074" s="7" t="s">
        <v>24</v>
      </c>
      <c r="D3074" s="4">
        <v>39086160000130</v>
      </c>
      <c r="E3074" s="8" t="s">
        <v>1119</v>
      </c>
      <c r="F3074" s="8" t="s">
        <v>131</v>
      </c>
      <c r="G3074" s="7" t="s">
        <v>61</v>
      </c>
      <c r="H3074" s="47" t="s">
        <v>205</v>
      </c>
      <c r="I3074" s="47" t="s">
        <v>206</v>
      </c>
      <c r="J3074" s="6">
        <v>73</v>
      </c>
      <c r="K3074" s="8" t="s">
        <v>26</v>
      </c>
      <c r="L3074" s="1" t="s">
        <v>1119</v>
      </c>
      <c r="M3074" s="5">
        <v>24</v>
      </c>
    </row>
    <row r="3075" spans="1:13" ht="15" x14ac:dyDescent="0.25">
      <c r="A3075" s="7" t="s">
        <v>16</v>
      </c>
      <c r="B3075" s="7" t="s">
        <v>230</v>
      </c>
      <c r="C3075" s="7" t="s">
        <v>24</v>
      </c>
      <c r="D3075" s="4">
        <v>42297507000107</v>
      </c>
      <c r="E3075" s="8" t="s">
        <v>1122</v>
      </c>
      <c r="F3075" s="8" t="s">
        <v>131</v>
      </c>
      <c r="G3075" s="7" t="s">
        <v>61</v>
      </c>
      <c r="H3075" s="47" t="s">
        <v>205</v>
      </c>
      <c r="I3075" s="47" t="s">
        <v>206</v>
      </c>
      <c r="J3075" s="6">
        <v>62</v>
      </c>
      <c r="K3075" s="8" t="s">
        <v>27</v>
      </c>
      <c r="L3075" s="1" t="s">
        <v>1122</v>
      </c>
      <c r="M3075" s="5">
        <v>6</v>
      </c>
    </row>
    <row r="3076" spans="1:13" ht="15" x14ac:dyDescent="0.25">
      <c r="A3076" s="7" t="s">
        <v>16</v>
      </c>
      <c r="B3076" s="7" t="s">
        <v>230</v>
      </c>
      <c r="C3076" s="7" t="s">
        <v>24</v>
      </c>
      <c r="D3076" s="4">
        <v>42297507000107</v>
      </c>
      <c r="E3076" s="8" t="s">
        <v>1122</v>
      </c>
      <c r="F3076" s="8" t="s">
        <v>131</v>
      </c>
      <c r="G3076" s="7" t="s">
        <v>61</v>
      </c>
      <c r="H3076" s="47" t="s">
        <v>205</v>
      </c>
      <c r="I3076" s="47" t="s">
        <v>206</v>
      </c>
      <c r="J3076" s="6">
        <v>64</v>
      </c>
      <c r="K3076" s="8" t="s">
        <v>25</v>
      </c>
      <c r="L3076" s="1" t="s">
        <v>1122</v>
      </c>
      <c r="M3076" s="5">
        <v>6</v>
      </c>
    </row>
    <row r="3077" spans="1:13" ht="15" x14ac:dyDescent="0.25">
      <c r="A3077" s="7" t="s">
        <v>16</v>
      </c>
      <c r="B3077" s="7" t="s">
        <v>230</v>
      </c>
      <c r="C3077" s="7" t="s">
        <v>24</v>
      </c>
      <c r="D3077" s="4">
        <v>42498733000148</v>
      </c>
      <c r="E3077" s="8" t="s">
        <v>1221</v>
      </c>
      <c r="F3077" s="8" t="s">
        <v>131</v>
      </c>
      <c r="G3077" s="7" t="s">
        <v>61</v>
      </c>
      <c r="H3077" s="47" t="s">
        <v>205</v>
      </c>
      <c r="I3077" s="47" t="s">
        <v>206</v>
      </c>
      <c r="J3077" s="6">
        <v>70</v>
      </c>
      <c r="K3077" s="8" t="s">
        <v>20</v>
      </c>
      <c r="L3077" s="1" t="s">
        <v>1221</v>
      </c>
      <c r="M3077" s="5">
        <v>730</v>
      </c>
    </row>
    <row r="3078" spans="1:13" ht="15" x14ac:dyDescent="0.25">
      <c r="A3078" s="7" t="s">
        <v>16</v>
      </c>
      <c r="B3078" s="7" t="s">
        <v>230</v>
      </c>
      <c r="C3078" s="7" t="s">
        <v>24</v>
      </c>
      <c r="D3078" s="4">
        <v>60884855001630</v>
      </c>
      <c r="E3078" s="8" t="s">
        <v>1124</v>
      </c>
      <c r="F3078" s="8" t="s">
        <v>131</v>
      </c>
      <c r="G3078" s="7" t="s">
        <v>61</v>
      </c>
      <c r="H3078" s="47" t="s">
        <v>205</v>
      </c>
      <c r="I3078" s="47" t="s">
        <v>206</v>
      </c>
      <c r="J3078" s="6">
        <v>62</v>
      </c>
      <c r="K3078" s="8" t="s">
        <v>27</v>
      </c>
      <c r="L3078" s="1" t="s">
        <v>1124</v>
      </c>
      <c r="M3078" s="5">
        <v>21</v>
      </c>
    </row>
    <row r="3079" spans="1:13" ht="15" x14ac:dyDescent="0.25">
      <c r="A3079" s="7" t="s">
        <v>16</v>
      </c>
      <c r="B3079" s="7" t="s">
        <v>230</v>
      </c>
      <c r="C3079" s="7" t="s">
        <v>24</v>
      </c>
      <c r="D3079" s="4">
        <v>60884855001630</v>
      </c>
      <c r="E3079" s="8" t="s">
        <v>1124</v>
      </c>
      <c r="F3079" s="8" t="s">
        <v>131</v>
      </c>
      <c r="G3079" s="7" t="s">
        <v>61</v>
      </c>
      <c r="H3079" s="47" t="s">
        <v>205</v>
      </c>
      <c r="I3079" s="47" t="s">
        <v>206</v>
      </c>
      <c r="J3079" s="6">
        <v>64</v>
      </c>
      <c r="K3079" s="8" t="s">
        <v>25</v>
      </c>
      <c r="L3079" s="1" t="s">
        <v>1124</v>
      </c>
      <c r="M3079" s="5">
        <v>54</v>
      </c>
    </row>
    <row r="3080" spans="1:13" ht="15" x14ac:dyDescent="0.25">
      <c r="A3080" s="7" t="s">
        <v>16</v>
      </c>
      <c r="B3080" s="7" t="s">
        <v>230</v>
      </c>
      <c r="C3080" s="7" t="s">
        <v>24</v>
      </c>
      <c r="D3080" s="4">
        <v>60884855001630</v>
      </c>
      <c r="E3080" s="8" t="s">
        <v>1124</v>
      </c>
      <c r="F3080" s="8" t="s">
        <v>131</v>
      </c>
      <c r="G3080" s="7" t="s">
        <v>61</v>
      </c>
      <c r="H3080" s="47" t="s">
        <v>205</v>
      </c>
      <c r="I3080" s="47" t="s">
        <v>206</v>
      </c>
      <c r="J3080" s="6">
        <v>70</v>
      </c>
      <c r="K3080" s="8" t="s">
        <v>20</v>
      </c>
      <c r="L3080" s="1" t="s">
        <v>1124</v>
      </c>
      <c r="M3080" s="5">
        <v>55</v>
      </c>
    </row>
    <row r="3081" spans="1:13" ht="15" x14ac:dyDescent="0.25">
      <c r="A3081" s="7" t="s">
        <v>16</v>
      </c>
      <c r="B3081" s="7" t="s">
        <v>230</v>
      </c>
      <c r="C3081" s="7" t="s">
        <v>24</v>
      </c>
      <c r="D3081" s="4">
        <v>60922168000348</v>
      </c>
      <c r="E3081" s="8" t="s">
        <v>1125</v>
      </c>
      <c r="F3081" s="8" t="s">
        <v>131</v>
      </c>
      <c r="G3081" s="7" t="s">
        <v>61</v>
      </c>
      <c r="H3081" s="47" t="s">
        <v>205</v>
      </c>
      <c r="I3081" s="47" t="s">
        <v>206</v>
      </c>
      <c r="J3081" s="6">
        <v>62</v>
      </c>
      <c r="K3081" s="8" t="s">
        <v>27</v>
      </c>
      <c r="L3081" s="1" t="s">
        <v>1125</v>
      </c>
      <c r="M3081" s="5">
        <v>14</v>
      </c>
    </row>
    <row r="3082" spans="1:13" ht="15" x14ac:dyDescent="0.25">
      <c r="A3082" s="7" t="s">
        <v>16</v>
      </c>
      <c r="B3082" s="7" t="s">
        <v>230</v>
      </c>
      <c r="C3082" s="7" t="s">
        <v>24</v>
      </c>
      <c r="D3082" s="4">
        <v>60922168000348</v>
      </c>
      <c r="E3082" s="8" t="s">
        <v>1125</v>
      </c>
      <c r="F3082" s="8" t="s">
        <v>131</v>
      </c>
      <c r="G3082" s="7" t="s">
        <v>61</v>
      </c>
      <c r="H3082" s="47" t="s">
        <v>205</v>
      </c>
      <c r="I3082" s="47" t="s">
        <v>206</v>
      </c>
      <c r="J3082" s="6">
        <v>64</v>
      </c>
      <c r="K3082" s="8" t="s">
        <v>25</v>
      </c>
      <c r="L3082" s="1" t="s">
        <v>1125</v>
      </c>
      <c r="M3082" s="5">
        <v>8</v>
      </c>
    </row>
    <row r="3083" spans="1:13" ht="15" x14ac:dyDescent="0.25">
      <c r="A3083" s="7" t="s">
        <v>16</v>
      </c>
      <c r="B3083" s="7" t="s">
        <v>230</v>
      </c>
      <c r="C3083" s="7" t="s">
        <v>24</v>
      </c>
      <c r="D3083" s="4">
        <v>60922168000348</v>
      </c>
      <c r="E3083" s="8" t="s">
        <v>1125</v>
      </c>
      <c r="F3083" s="8" t="s">
        <v>131</v>
      </c>
      <c r="G3083" s="7" t="s">
        <v>61</v>
      </c>
      <c r="H3083" s="47" t="s">
        <v>205</v>
      </c>
      <c r="I3083" s="47" t="s">
        <v>206</v>
      </c>
      <c r="J3083" s="6">
        <v>70</v>
      </c>
      <c r="K3083" s="8" t="s">
        <v>20</v>
      </c>
      <c r="L3083" s="1" t="s">
        <v>1125</v>
      </c>
      <c r="M3083" s="5">
        <v>410</v>
      </c>
    </row>
    <row r="3084" spans="1:13" ht="15" x14ac:dyDescent="0.25">
      <c r="A3084" s="7" t="s">
        <v>16</v>
      </c>
      <c r="B3084" s="7" t="s">
        <v>230</v>
      </c>
      <c r="C3084" s="7" t="s">
        <v>24</v>
      </c>
      <c r="D3084" s="4">
        <v>72101124000506</v>
      </c>
      <c r="E3084" s="8" t="s">
        <v>1126</v>
      </c>
      <c r="F3084" s="8" t="s">
        <v>131</v>
      </c>
      <c r="G3084" s="7" t="s">
        <v>61</v>
      </c>
      <c r="H3084" s="47" t="s">
        <v>205</v>
      </c>
      <c r="I3084" s="47" t="s">
        <v>206</v>
      </c>
      <c r="J3084" s="6">
        <v>70</v>
      </c>
      <c r="K3084" s="8" t="s">
        <v>20</v>
      </c>
      <c r="L3084" s="1" t="s">
        <v>1126</v>
      </c>
      <c r="M3084" s="5">
        <v>505</v>
      </c>
    </row>
    <row r="3085" spans="1:13" ht="15" x14ac:dyDescent="0.25">
      <c r="A3085" s="7" t="s">
        <v>16</v>
      </c>
      <c r="B3085" s="7" t="s">
        <v>230</v>
      </c>
      <c r="C3085" s="7" t="s">
        <v>24</v>
      </c>
      <c r="D3085" s="4">
        <v>72101124000506</v>
      </c>
      <c r="E3085" s="8" t="s">
        <v>1126</v>
      </c>
      <c r="F3085" s="8" t="s">
        <v>131</v>
      </c>
      <c r="G3085" s="7" t="s">
        <v>61</v>
      </c>
      <c r="H3085" s="47" t="s">
        <v>205</v>
      </c>
      <c r="I3085" s="47" t="s">
        <v>206</v>
      </c>
      <c r="J3085" s="6">
        <v>73</v>
      </c>
      <c r="K3085" s="8" t="s">
        <v>26</v>
      </c>
      <c r="L3085" s="1" t="s">
        <v>1126</v>
      </c>
      <c r="M3085" s="5">
        <v>139</v>
      </c>
    </row>
    <row r="3086" spans="1:13" ht="15" x14ac:dyDescent="0.25">
      <c r="A3086" s="7" t="s">
        <v>16</v>
      </c>
      <c r="B3086" s="7" t="s">
        <v>230</v>
      </c>
      <c r="C3086" s="7" t="s">
        <v>24</v>
      </c>
      <c r="D3086" s="4">
        <v>73696718000219</v>
      </c>
      <c r="E3086" s="8" t="s">
        <v>1127</v>
      </c>
      <c r="F3086" s="8" t="s">
        <v>131</v>
      </c>
      <c r="G3086" s="7" t="s">
        <v>61</v>
      </c>
      <c r="H3086" s="47" t="s">
        <v>205</v>
      </c>
      <c r="I3086" s="47" t="s">
        <v>206</v>
      </c>
      <c r="J3086" s="6">
        <v>62</v>
      </c>
      <c r="K3086" s="8" t="s">
        <v>27</v>
      </c>
      <c r="L3086" s="1" t="s">
        <v>1127</v>
      </c>
      <c r="M3086" s="5">
        <v>18</v>
      </c>
    </row>
    <row r="3087" spans="1:13" ht="15" x14ac:dyDescent="0.25">
      <c r="A3087" s="7" t="s">
        <v>16</v>
      </c>
      <c r="B3087" s="7" t="s">
        <v>230</v>
      </c>
      <c r="C3087" s="7" t="s">
        <v>24</v>
      </c>
      <c r="D3087" s="4">
        <v>73696718000219</v>
      </c>
      <c r="E3087" s="8" t="s">
        <v>1127</v>
      </c>
      <c r="F3087" s="8" t="s">
        <v>131</v>
      </c>
      <c r="G3087" s="7" t="s">
        <v>61</v>
      </c>
      <c r="H3087" s="47" t="s">
        <v>205</v>
      </c>
      <c r="I3087" s="47" t="s">
        <v>206</v>
      </c>
      <c r="J3087" s="6">
        <v>64</v>
      </c>
      <c r="K3087" s="8" t="s">
        <v>25</v>
      </c>
      <c r="L3087" s="1" t="s">
        <v>1127</v>
      </c>
      <c r="M3087" s="5">
        <v>9</v>
      </c>
    </row>
    <row r="3088" spans="1:13" ht="15" x14ac:dyDescent="0.25">
      <c r="A3088" s="7" t="s">
        <v>16</v>
      </c>
      <c r="B3088" s="7" t="s">
        <v>372</v>
      </c>
      <c r="C3088" s="7" t="s">
        <v>373</v>
      </c>
      <c r="D3088" s="4">
        <v>92929000198</v>
      </c>
      <c r="E3088" s="8" t="s">
        <v>1327</v>
      </c>
      <c r="F3088" s="8" t="s">
        <v>131</v>
      </c>
      <c r="G3088" s="7" t="s">
        <v>61</v>
      </c>
      <c r="H3088" s="47" t="s">
        <v>205</v>
      </c>
      <c r="I3088" s="47" t="s">
        <v>206</v>
      </c>
      <c r="J3088" s="6">
        <v>73</v>
      </c>
      <c r="K3088" s="8" t="s">
        <v>26</v>
      </c>
      <c r="L3088" s="1" t="s">
        <v>1327</v>
      </c>
      <c r="M3088" s="5">
        <v>60</v>
      </c>
    </row>
    <row r="3089" spans="1:13" ht="15" x14ac:dyDescent="0.25">
      <c r="A3089" s="7" t="s">
        <v>16</v>
      </c>
      <c r="B3089" s="7" t="s">
        <v>372</v>
      </c>
      <c r="C3089" s="7" t="s">
        <v>373</v>
      </c>
      <c r="D3089" s="4">
        <v>394544020291</v>
      </c>
      <c r="E3089" s="8" t="s">
        <v>1072</v>
      </c>
      <c r="F3089" s="8" t="s">
        <v>131</v>
      </c>
      <c r="G3089" s="7" t="s">
        <v>61</v>
      </c>
      <c r="H3089" s="47" t="s">
        <v>205</v>
      </c>
      <c r="I3089" s="47" t="s">
        <v>206</v>
      </c>
      <c r="J3089" s="6">
        <v>64</v>
      </c>
      <c r="K3089" s="8" t="s">
        <v>25</v>
      </c>
      <c r="L3089" s="1" t="s">
        <v>1072</v>
      </c>
      <c r="M3089" s="5">
        <v>60</v>
      </c>
    </row>
    <row r="3090" spans="1:13" ht="15" x14ac:dyDescent="0.25">
      <c r="A3090" s="7" t="s">
        <v>16</v>
      </c>
      <c r="B3090" s="7" t="s">
        <v>372</v>
      </c>
      <c r="C3090" s="7" t="s">
        <v>373</v>
      </c>
      <c r="D3090" s="4">
        <v>394544020453</v>
      </c>
      <c r="E3090" s="8" t="s">
        <v>1074</v>
      </c>
      <c r="F3090" s="8" t="s">
        <v>131</v>
      </c>
      <c r="G3090" s="7" t="s">
        <v>61</v>
      </c>
      <c r="H3090" s="47" t="s">
        <v>205</v>
      </c>
      <c r="I3090" s="47" t="s">
        <v>206</v>
      </c>
      <c r="J3090" s="6">
        <v>70</v>
      </c>
      <c r="K3090" s="8" t="s">
        <v>20</v>
      </c>
      <c r="L3090" s="1" t="s">
        <v>1074</v>
      </c>
      <c r="M3090" s="5">
        <v>215</v>
      </c>
    </row>
    <row r="3091" spans="1:13" ht="15" x14ac:dyDescent="0.25">
      <c r="A3091" s="7" t="s">
        <v>16</v>
      </c>
      <c r="B3091" s="7" t="s">
        <v>372</v>
      </c>
      <c r="C3091" s="7" t="s">
        <v>373</v>
      </c>
      <c r="D3091" s="4">
        <v>394544021344</v>
      </c>
      <c r="E3091" s="8" t="s">
        <v>1076</v>
      </c>
      <c r="F3091" s="8" t="s">
        <v>131</v>
      </c>
      <c r="G3091" s="7" t="s">
        <v>61</v>
      </c>
      <c r="H3091" s="47" t="s">
        <v>205</v>
      </c>
      <c r="I3091" s="47" t="s">
        <v>206</v>
      </c>
      <c r="J3091" s="6">
        <v>64</v>
      </c>
      <c r="K3091" s="8" t="s">
        <v>25</v>
      </c>
      <c r="L3091" s="1" t="s">
        <v>1076</v>
      </c>
      <c r="M3091" s="5">
        <v>10</v>
      </c>
    </row>
    <row r="3092" spans="1:13" ht="15" x14ac:dyDescent="0.25">
      <c r="A3092" s="7" t="s">
        <v>16</v>
      </c>
      <c r="B3092" s="7" t="s">
        <v>372</v>
      </c>
      <c r="C3092" s="7" t="s">
        <v>373</v>
      </c>
      <c r="D3092" s="4">
        <v>2284062000521</v>
      </c>
      <c r="E3092" s="8" t="s">
        <v>1077</v>
      </c>
      <c r="F3092" s="8" t="s">
        <v>131</v>
      </c>
      <c r="G3092" s="7" t="s">
        <v>61</v>
      </c>
      <c r="H3092" s="47" t="s">
        <v>205</v>
      </c>
      <c r="I3092" s="47" t="s">
        <v>206</v>
      </c>
      <c r="J3092" s="6">
        <v>62</v>
      </c>
      <c r="K3092" s="8" t="s">
        <v>27</v>
      </c>
      <c r="L3092" s="1" t="s">
        <v>1077</v>
      </c>
      <c r="M3092" s="5">
        <v>23</v>
      </c>
    </row>
    <row r="3093" spans="1:13" ht="15" x14ac:dyDescent="0.25">
      <c r="A3093" s="7" t="s">
        <v>16</v>
      </c>
      <c r="B3093" s="7" t="s">
        <v>372</v>
      </c>
      <c r="C3093" s="7" t="s">
        <v>373</v>
      </c>
      <c r="D3093" s="4">
        <v>2284062000521</v>
      </c>
      <c r="E3093" s="8" t="s">
        <v>1077</v>
      </c>
      <c r="F3093" s="8" t="s">
        <v>131</v>
      </c>
      <c r="G3093" s="7" t="s">
        <v>61</v>
      </c>
      <c r="H3093" s="47" t="s">
        <v>205</v>
      </c>
      <c r="I3093" s="47" t="s">
        <v>206</v>
      </c>
      <c r="J3093" s="6">
        <v>64</v>
      </c>
      <c r="K3093" s="8" t="s">
        <v>25</v>
      </c>
      <c r="L3093" s="1" t="s">
        <v>1077</v>
      </c>
      <c r="M3093" s="5">
        <v>10</v>
      </c>
    </row>
    <row r="3094" spans="1:13" ht="15" x14ac:dyDescent="0.25">
      <c r="A3094" s="7" t="s">
        <v>16</v>
      </c>
      <c r="B3094" s="7" t="s">
        <v>372</v>
      </c>
      <c r="C3094" s="7" t="s">
        <v>373</v>
      </c>
      <c r="D3094" s="4">
        <v>2864097000106</v>
      </c>
      <c r="E3094" s="8" t="s">
        <v>1078</v>
      </c>
      <c r="F3094" s="8" t="s">
        <v>131</v>
      </c>
      <c r="G3094" s="7" t="s">
        <v>61</v>
      </c>
      <c r="H3094" s="47" t="s">
        <v>205</v>
      </c>
      <c r="I3094" s="47" t="s">
        <v>206</v>
      </c>
      <c r="J3094" s="6">
        <v>70</v>
      </c>
      <c r="K3094" s="8" t="s">
        <v>20</v>
      </c>
      <c r="L3094" s="1" t="s">
        <v>1078</v>
      </c>
      <c r="M3094" s="5">
        <v>165</v>
      </c>
    </row>
    <row r="3095" spans="1:13" ht="15" x14ac:dyDescent="0.25">
      <c r="A3095" s="7" t="s">
        <v>16</v>
      </c>
      <c r="B3095" s="7" t="s">
        <v>372</v>
      </c>
      <c r="C3095" s="7" t="s">
        <v>373</v>
      </c>
      <c r="D3095" s="4">
        <v>2880648000125</v>
      </c>
      <c r="E3095" s="8" t="s">
        <v>1411</v>
      </c>
      <c r="F3095" s="8" t="s">
        <v>131</v>
      </c>
      <c r="G3095" s="7" t="s">
        <v>61</v>
      </c>
      <c r="H3095" s="47" t="s">
        <v>205</v>
      </c>
      <c r="I3095" s="47" t="s">
        <v>206</v>
      </c>
      <c r="J3095" s="6">
        <v>73</v>
      </c>
      <c r="K3095" s="8" t="s">
        <v>26</v>
      </c>
      <c r="L3095" s="1" t="s">
        <v>1411</v>
      </c>
      <c r="M3095" s="5">
        <v>12</v>
      </c>
    </row>
    <row r="3096" spans="1:13" ht="15" x14ac:dyDescent="0.25">
      <c r="A3096" s="7" t="s">
        <v>16</v>
      </c>
      <c r="B3096" s="7" t="s">
        <v>372</v>
      </c>
      <c r="C3096" s="7" t="s">
        <v>373</v>
      </c>
      <c r="D3096" s="4">
        <v>6047087001020</v>
      </c>
      <c r="E3096" s="8" t="s">
        <v>1081</v>
      </c>
      <c r="F3096" s="8" t="s">
        <v>131</v>
      </c>
      <c r="G3096" s="7" t="s">
        <v>61</v>
      </c>
      <c r="H3096" s="47" t="s">
        <v>205</v>
      </c>
      <c r="I3096" s="47" t="s">
        <v>206</v>
      </c>
      <c r="J3096" s="6">
        <v>62</v>
      </c>
      <c r="K3096" s="8" t="s">
        <v>27</v>
      </c>
      <c r="L3096" s="1" t="s">
        <v>1081</v>
      </c>
      <c r="M3096" s="5">
        <v>70</v>
      </c>
    </row>
    <row r="3097" spans="1:13" ht="15" x14ac:dyDescent="0.25">
      <c r="A3097" s="7" t="s">
        <v>16</v>
      </c>
      <c r="B3097" s="7" t="s">
        <v>372</v>
      </c>
      <c r="C3097" s="7" t="s">
        <v>373</v>
      </c>
      <c r="D3097" s="4">
        <v>6047087001020</v>
      </c>
      <c r="E3097" s="8" t="s">
        <v>1081</v>
      </c>
      <c r="F3097" s="8" t="s">
        <v>131</v>
      </c>
      <c r="G3097" s="7" t="s">
        <v>61</v>
      </c>
      <c r="H3097" s="47" t="s">
        <v>205</v>
      </c>
      <c r="I3097" s="47" t="s">
        <v>206</v>
      </c>
      <c r="J3097" s="6">
        <v>64</v>
      </c>
      <c r="K3097" s="8" t="s">
        <v>25</v>
      </c>
      <c r="L3097" s="1" t="s">
        <v>1081</v>
      </c>
      <c r="M3097" s="5">
        <v>115</v>
      </c>
    </row>
    <row r="3098" spans="1:13" ht="15" x14ac:dyDescent="0.25">
      <c r="A3098" s="7" t="s">
        <v>16</v>
      </c>
      <c r="B3098" s="7" t="s">
        <v>372</v>
      </c>
      <c r="C3098" s="7" t="s">
        <v>373</v>
      </c>
      <c r="D3098" s="4">
        <v>6047087002697</v>
      </c>
      <c r="E3098" s="8" t="s">
        <v>1082</v>
      </c>
      <c r="F3098" s="8" t="s">
        <v>131</v>
      </c>
      <c r="G3098" s="7" t="s">
        <v>61</v>
      </c>
      <c r="H3098" s="47" t="s">
        <v>205</v>
      </c>
      <c r="I3098" s="47" t="s">
        <v>206</v>
      </c>
      <c r="J3098" s="6">
        <v>62</v>
      </c>
      <c r="K3098" s="8" t="s">
        <v>27</v>
      </c>
      <c r="L3098" s="1" t="s">
        <v>1082</v>
      </c>
      <c r="M3098" s="5">
        <v>5</v>
      </c>
    </row>
    <row r="3099" spans="1:13" ht="15" x14ac:dyDescent="0.25">
      <c r="A3099" s="7" t="s">
        <v>16</v>
      </c>
      <c r="B3099" s="7" t="s">
        <v>372</v>
      </c>
      <c r="C3099" s="7" t="s">
        <v>373</v>
      </c>
      <c r="D3099" s="4">
        <v>6047087002697</v>
      </c>
      <c r="E3099" s="8" t="s">
        <v>1082</v>
      </c>
      <c r="F3099" s="8" t="s">
        <v>131</v>
      </c>
      <c r="G3099" s="7" t="s">
        <v>61</v>
      </c>
      <c r="H3099" s="47" t="s">
        <v>205</v>
      </c>
      <c r="I3099" s="47" t="s">
        <v>206</v>
      </c>
      <c r="J3099" s="6">
        <v>70</v>
      </c>
      <c r="K3099" s="8" t="s">
        <v>20</v>
      </c>
      <c r="L3099" s="1" t="s">
        <v>1082</v>
      </c>
      <c r="M3099" s="5">
        <v>50</v>
      </c>
    </row>
    <row r="3100" spans="1:13" ht="15" x14ac:dyDescent="0.25">
      <c r="A3100" s="7" t="s">
        <v>16</v>
      </c>
      <c r="B3100" s="7" t="s">
        <v>372</v>
      </c>
      <c r="C3100" s="7" t="s">
        <v>373</v>
      </c>
      <c r="D3100" s="4">
        <v>7794623004896</v>
      </c>
      <c r="E3100" s="8" t="s">
        <v>1084</v>
      </c>
      <c r="F3100" s="8" t="s">
        <v>131</v>
      </c>
      <c r="G3100" s="7" t="s">
        <v>61</v>
      </c>
      <c r="H3100" s="47" t="s">
        <v>205</v>
      </c>
      <c r="I3100" s="47" t="s">
        <v>206</v>
      </c>
      <c r="J3100" s="6">
        <v>70</v>
      </c>
      <c r="K3100" s="8" t="s">
        <v>20</v>
      </c>
      <c r="L3100" s="1" t="s">
        <v>1084</v>
      </c>
      <c r="M3100" s="5">
        <v>400</v>
      </c>
    </row>
    <row r="3101" spans="1:13" ht="15" x14ac:dyDescent="0.25">
      <c r="A3101" s="7" t="s">
        <v>16</v>
      </c>
      <c r="B3101" s="7" t="s">
        <v>372</v>
      </c>
      <c r="C3101" s="7" t="s">
        <v>373</v>
      </c>
      <c r="D3101" s="4">
        <v>8100676002102</v>
      </c>
      <c r="E3101" s="8" t="s">
        <v>1085</v>
      </c>
      <c r="F3101" s="8" t="s">
        <v>131</v>
      </c>
      <c r="G3101" s="7" t="s">
        <v>61</v>
      </c>
      <c r="H3101" s="47" t="s">
        <v>205</v>
      </c>
      <c r="I3101" s="47" t="s">
        <v>206</v>
      </c>
      <c r="J3101" s="6">
        <v>64</v>
      </c>
      <c r="K3101" s="8" t="s">
        <v>25</v>
      </c>
      <c r="L3101" s="1" t="s">
        <v>1085</v>
      </c>
      <c r="M3101" s="5">
        <v>16</v>
      </c>
    </row>
    <row r="3102" spans="1:13" ht="15" x14ac:dyDescent="0.25">
      <c r="A3102" s="7" t="s">
        <v>16</v>
      </c>
      <c r="B3102" s="7" t="s">
        <v>372</v>
      </c>
      <c r="C3102" s="7" t="s">
        <v>373</v>
      </c>
      <c r="D3102" s="4">
        <v>8850962000222</v>
      </c>
      <c r="E3102" s="8" t="s">
        <v>1086</v>
      </c>
      <c r="F3102" s="8" t="s">
        <v>131</v>
      </c>
      <c r="G3102" s="7" t="s">
        <v>61</v>
      </c>
      <c r="H3102" s="47" t="s">
        <v>205</v>
      </c>
      <c r="I3102" s="47" t="s">
        <v>206</v>
      </c>
      <c r="J3102" s="6">
        <v>62</v>
      </c>
      <c r="K3102" s="8" t="s">
        <v>27</v>
      </c>
      <c r="L3102" s="1" t="s">
        <v>1086</v>
      </c>
      <c r="M3102" s="5">
        <v>6</v>
      </c>
    </row>
    <row r="3103" spans="1:13" ht="15" x14ac:dyDescent="0.25">
      <c r="A3103" s="7" t="s">
        <v>16</v>
      </c>
      <c r="B3103" s="7" t="s">
        <v>372</v>
      </c>
      <c r="C3103" s="7" t="s">
        <v>373</v>
      </c>
      <c r="D3103" s="4">
        <v>8850962000222</v>
      </c>
      <c r="E3103" s="8" t="s">
        <v>1086</v>
      </c>
      <c r="F3103" s="8" t="s">
        <v>131</v>
      </c>
      <c r="G3103" s="7" t="s">
        <v>61</v>
      </c>
      <c r="H3103" s="47" t="s">
        <v>205</v>
      </c>
      <c r="I3103" s="47" t="s">
        <v>206</v>
      </c>
      <c r="J3103" s="6">
        <v>64</v>
      </c>
      <c r="K3103" s="8" t="s">
        <v>25</v>
      </c>
      <c r="L3103" s="1" t="s">
        <v>1086</v>
      </c>
      <c r="M3103" s="5">
        <v>10</v>
      </c>
    </row>
    <row r="3104" spans="1:13" ht="15" x14ac:dyDescent="0.25">
      <c r="A3104" s="7" t="s">
        <v>16</v>
      </c>
      <c r="B3104" s="7" t="s">
        <v>372</v>
      </c>
      <c r="C3104" s="7" t="s">
        <v>373</v>
      </c>
      <c r="D3104" s="4">
        <v>9219138000401</v>
      </c>
      <c r="E3104" s="8" t="s">
        <v>1087</v>
      </c>
      <c r="F3104" s="8" t="s">
        <v>131</v>
      </c>
      <c r="G3104" s="7" t="s">
        <v>61</v>
      </c>
      <c r="H3104" s="47" t="s">
        <v>205</v>
      </c>
      <c r="I3104" s="47" t="s">
        <v>206</v>
      </c>
      <c r="J3104" s="6">
        <v>70</v>
      </c>
      <c r="K3104" s="8" t="s">
        <v>20</v>
      </c>
      <c r="L3104" s="1" t="s">
        <v>1087</v>
      </c>
      <c r="M3104" s="5">
        <v>750</v>
      </c>
    </row>
    <row r="3105" spans="1:13" ht="15" x14ac:dyDescent="0.25">
      <c r="A3105" s="7" t="s">
        <v>16</v>
      </c>
      <c r="B3105" s="7" t="s">
        <v>372</v>
      </c>
      <c r="C3105" s="7" t="s">
        <v>373</v>
      </c>
      <c r="D3105" s="4">
        <v>9219138000401</v>
      </c>
      <c r="E3105" s="8" t="s">
        <v>1087</v>
      </c>
      <c r="F3105" s="8" t="s">
        <v>131</v>
      </c>
      <c r="G3105" s="7" t="s">
        <v>61</v>
      </c>
      <c r="H3105" s="47" t="s">
        <v>205</v>
      </c>
      <c r="I3105" s="47" t="s">
        <v>206</v>
      </c>
      <c r="J3105" s="6">
        <v>73</v>
      </c>
      <c r="K3105" s="8" t="s">
        <v>26</v>
      </c>
      <c r="L3105" s="1" t="s">
        <v>1087</v>
      </c>
      <c r="M3105" s="5">
        <v>80</v>
      </c>
    </row>
    <row r="3106" spans="1:13" ht="15" x14ac:dyDescent="0.25">
      <c r="A3106" s="7" t="s">
        <v>16</v>
      </c>
      <c r="B3106" s="7" t="s">
        <v>372</v>
      </c>
      <c r="C3106" s="7" t="s">
        <v>373</v>
      </c>
      <c r="D3106" s="4">
        <v>9219138000584</v>
      </c>
      <c r="E3106" s="8" t="s">
        <v>1088</v>
      </c>
      <c r="F3106" s="8" t="s">
        <v>131</v>
      </c>
      <c r="G3106" s="7" t="s">
        <v>61</v>
      </c>
      <c r="H3106" s="47" t="s">
        <v>205</v>
      </c>
      <c r="I3106" s="47" t="s">
        <v>206</v>
      </c>
      <c r="J3106" s="6">
        <v>62</v>
      </c>
      <c r="K3106" s="8" t="s">
        <v>27</v>
      </c>
      <c r="L3106" s="1" t="s">
        <v>1088</v>
      </c>
      <c r="M3106" s="5">
        <v>6</v>
      </c>
    </row>
    <row r="3107" spans="1:13" ht="15" x14ac:dyDescent="0.25">
      <c r="A3107" s="7" t="s">
        <v>16</v>
      </c>
      <c r="B3107" s="7" t="s">
        <v>372</v>
      </c>
      <c r="C3107" s="7" t="s">
        <v>373</v>
      </c>
      <c r="D3107" s="4">
        <v>9219138000584</v>
      </c>
      <c r="E3107" s="8" t="s">
        <v>1088</v>
      </c>
      <c r="F3107" s="8" t="s">
        <v>131</v>
      </c>
      <c r="G3107" s="7" t="s">
        <v>61</v>
      </c>
      <c r="H3107" s="47" t="s">
        <v>205</v>
      </c>
      <c r="I3107" s="47" t="s">
        <v>206</v>
      </c>
      <c r="J3107" s="6">
        <v>70</v>
      </c>
      <c r="K3107" s="8" t="s">
        <v>20</v>
      </c>
      <c r="L3107" s="1" t="s">
        <v>1088</v>
      </c>
      <c r="M3107" s="5">
        <v>710</v>
      </c>
    </row>
    <row r="3108" spans="1:13" ht="15" x14ac:dyDescent="0.25">
      <c r="A3108" s="7" t="s">
        <v>16</v>
      </c>
      <c r="B3108" s="7" t="s">
        <v>372</v>
      </c>
      <c r="C3108" s="7" t="s">
        <v>373</v>
      </c>
      <c r="D3108" s="4">
        <v>9219138000584</v>
      </c>
      <c r="E3108" s="8" t="s">
        <v>1088</v>
      </c>
      <c r="F3108" s="8" t="s">
        <v>131</v>
      </c>
      <c r="G3108" s="7" t="s">
        <v>61</v>
      </c>
      <c r="H3108" s="47" t="s">
        <v>205</v>
      </c>
      <c r="I3108" s="47" t="s">
        <v>206</v>
      </c>
      <c r="J3108" s="6">
        <v>73</v>
      </c>
      <c r="K3108" s="8" t="s">
        <v>26</v>
      </c>
      <c r="L3108" s="1" t="s">
        <v>1088</v>
      </c>
      <c r="M3108" s="5">
        <v>124</v>
      </c>
    </row>
    <row r="3109" spans="1:13" ht="15" x14ac:dyDescent="0.25">
      <c r="A3109" s="7" t="s">
        <v>16</v>
      </c>
      <c r="B3109" s="7" t="s">
        <v>372</v>
      </c>
      <c r="C3109" s="7" t="s">
        <v>373</v>
      </c>
      <c r="D3109" s="4">
        <v>9578217000158</v>
      </c>
      <c r="E3109" s="8" t="s">
        <v>1089</v>
      </c>
      <c r="F3109" s="8" t="s">
        <v>131</v>
      </c>
      <c r="G3109" s="7" t="s">
        <v>61</v>
      </c>
      <c r="H3109" s="47" t="s">
        <v>205</v>
      </c>
      <c r="I3109" s="47" t="s">
        <v>206</v>
      </c>
      <c r="J3109" s="6">
        <v>62</v>
      </c>
      <c r="K3109" s="8" t="s">
        <v>27</v>
      </c>
      <c r="L3109" s="1" t="s">
        <v>1089</v>
      </c>
      <c r="M3109" s="5">
        <v>1</v>
      </c>
    </row>
    <row r="3110" spans="1:13" ht="15" x14ac:dyDescent="0.25">
      <c r="A3110" s="7" t="s">
        <v>16</v>
      </c>
      <c r="B3110" s="7" t="s">
        <v>372</v>
      </c>
      <c r="C3110" s="7" t="s">
        <v>373</v>
      </c>
      <c r="D3110" s="4">
        <v>18010750000100</v>
      </c>
      <c r="E3110" s="8" t="s">
        <v>1092</v>
      </c>
      <c r="F3110" s="8" t="s">
        <v>131</v>
      </c>
      <c r="G3110" s="7" t="s">
        <v>61</v>
      </c>
      <c r="H3110" s="47" t="s">
        <v>205</v>
      </c>
      <c r="I3110" s="47" t="s">
        <v>206</v>
      </c>
      <c r="J3110" s="6">
        <v>70</v>
      </c>
      <c r="K3110" s="8" t="s">
        <v>20</v>
      </c>
      <c r="L3110" s="1" t="s">
        <v>1092</v>
      </c>
      <c r="M3110" s="5">
        <v>60</v>
      </c>
    </row>
    <row r="3111" spans="1:13" ht="15" x14ac:dyDescent="0.25">
      <c r="A3111" s="7" t="s">
        <v>16</v>
      </c>
      <c r="B3111" s="7" t="s">
        <v>372</v>
      </c>
      <c r="C3111" s="7" t="s">
        <v>373</v>
      </c>
      <c r="D3111" s="4">
        <v>21265360000195</v>
      </c>
      <c r="E3111" s="8" t="s">
        <v>1094</v>
      </c>
      <c r="F3111" s="8" t="s">
        <v>131</v>
      </c>
      <c r="G3111" s="7" t="s">
        <v>61</v>
      </c>
      <c r="H3111" s="47" t="s">
        <v>205</v>
      </c>
      <c r="I3111" s="47" t="s">
        <v>206</v>
      </c>
      <c r="J3111" s="6">
        <v>73</v>
      </c>
      <c r="K3111" s="8" t="s">
        <v>26</v>
      </c>
      <c r="L3111" s="1" t="s">
        <v>1094</v>
      </c>
      <c r="M3111" s="5">
        <v>12</v>
      </c>
    </row>
    <row r="3112" spans="1:13" ht="15" x14ac:dyDescent="0.25">
      <c r="A3112" s="7" t="s">
        <v>16</v>
      </c>
      <c r="B3112" s="7" t="s">
        <v>372</v>
      </c>
      <c r="C3112" s="7" t="s">
        <v>373</v>
      </c>
      <c r="D3112" s="4">
        <v>24217779000160</v>
      </c>
      <c r="E3112" s="8" t="s">
        <v>1097</v>
      </c>
      <c r="F3112" s="8" t="s">
        <v>131</v>
      </c>
      <c r="G3112" s="7" t="s">
        <v>61</v>
      </c>
      <c r="H3112" s="47" t="s">
        <v>205</v>
      </c>
      <c r="I3112" s="47" t="s">
        <v>206</v>
      </c>
      <c r="J3112" s="6">
        <v>62</v>
      </c>
      <c r="K3112" s="8" t="s">
        <v>27</v>
      </c>
      <c r="L3112" s="1" t="s">
        <v>1097</v>
      </c>
      <c r="M3112" s="5">
        <v>11</v>
      </c>
    </row>
    <row r="3113" spans="1:13" ht="15" x14ac:dyDescent="0.25">
      <c r="A3113" s="7" t="s">
        <v>16</v>
      </c>
      <c r="B3113" s="7" t="s">
        <v>372</v>
      </c>
      <c r="C3113" s="7" t="s">
        <v>373</v>
      </c>
      <c r="D3113" s="4">
        <v>27901222000131</v>
      </c>
      <c r="E3113" s="8" t="s">
        <v>1098</v>
      </c>
      <c r="F3113" s="8" t="s">
        <v>131</v>
      </c>
      <c r="G3113" s="7" t="s">
        <v>61</v>
      </c>
      <c r="H3113" s="47" t="s">
        <v>205</v>
      </c>
      <c r="I3113" s="47" t="s">
        <v>206</v>
      </c>
      <c r="J3113" s="6">
        <v>64</v>
      </c>
      <c r="K3113" s="8" t="s">
        <v>25</v>
      </c>
      <c r="L3113" s="1" t="s">
        <v>1098</v>
      </c>
      <c r="M3113" s="5">
        <v>10</v>
      </c>
    </row>
    <row r="3114" spans="1:13" ht="15" x14ac:dyDescent="0.25">
      <c r="A3114" s="7" t="s">
        <v>16</v>
      </c>
      <c r="B3114" s="7" t="s">
        <v>372</v>
      </c>
      <c r="C3114" s="7" t="s">
        <v>373</v>
      </c>
      <c r="D3114" s="4">
        <v>28000107000159</v>
      </c>
      <c r="E3114" s="8" t="s">
        <v>1099</v>
      </c>
      <c r="F3114" s="8" t="s">
        <v>131</v>
      </c>
      <c r="G3114" s="7" t="s">
        <v>61</v>
      </c>
      <c r="H3114" s="47" t="s">
        <v>205</v>
      </c>
      <c r="I3114" s="47" t="s">
        <v>206</v>
      </c>
      <c r="J3114" s="6">
        <v>70</v>
      </c>
      <c r="K3114" s="8" t="s">
        <v>20</v>
      </c>
      <c r="L3114" s="1" t="s">
        <v>1099</v>
      </c>
      <c r="M3114" s="5">
        <v>90</v>
      </c>
    </row>
    <row r="3115" spans="1:13" ht="15" x14ac:dyDescent="0.25">
      <c r="A3115" s="7" t="s">
        <v>16</v>
      </c>
      <c r="B3115" s="7" t="s">
        <v>372</v>
      </c>
      <c r="C3115" s="7" t="s">
        <v>373</v>
      </c>
      <c r="D3115" s="4">
        <v>28000107000159</v>
      </c>
      <c r="E3115" s="8" t="s">
        <v>1099</v>
      </c>
      <c r="F3115" s="8" t="s">
        <v>131</v>
      </c>
      <c r="G3115" s="7" t="s">
        <v>61</v>
      </c>
      <c r="H3115" s="47" t="s">
        <v>205</v>
      </c>
      <c r="I3115" s="47" t="s">
        <v>206</v>
      </c>
      <c r="J3115" s="6">
        <v>73</v>
      </c>
      <c r="K3115" s="8" t="s">
        <v>26</v>
      </c>
      <c r="L3115" s="1" t="s">
        <v>1099</v>
      </c>
      <c r="M3115" s="5">
        <v>64</v>
      </c>
    </row>
    <row r="3116" spans="1:13" ht="15" x14ac:dyDescent="0.25">
      <c r="A3116" s="7" t="s">
        <v>16</v>
      </c>
      <c r="B3116" s="7" t="s">
        <v>372</v>
      </c>
      <c r="C3116" s="7" t="s">
        <v>373</v>
      </c>
      <c r="D3116" s="4">
        <v>28602407000108</v>
      </c>
      <c r="E3116" s="8" t="s">
        <v>1100</v>
      </c>
      <c r="F3116" s="8" t="s">
        <v>131</v>
      </c>
      <c r="G3116" s="7" t="s">
        <v>61</v>
      </c>
      <c r="H3116" s="47" t="s">
        <v>205</v>
      </c>
      <c r="I3116" s="47" t="s">
        <v>206</v>
      </c>
      <c r="J3116" s="6">
        <v>73</v>
      </c>
      <c r="K3116" s="8" t="s">
        <v>26</v>
      </c>
      <c r="L3116" s="1" t="s">
        <v>1100</v>
      </c>
      <c r="M3116" s="5">
        <v>2</v>
      </c>
    </row>
    <row r="3117" spans="1:13" ht="15" x14ac:dyDescent="0.25">
      <c r="A3117" s="7" t="s">
        <v>16</v>
      </c>
      <c r="B3117" s="7" t="s">
        <v>372</v>
      </c>
      <c r="C3117" s="7" t="s">
        <v>373</v>
      </c>
      <c r="D3117" s="4">
        <v>29259736000403</v>
      </c>
      <c r="E3117" s="8" t="s">
        <v>1101</v>
      </c>
      <c r="F3117" s="8" t="s">
        <v>131</v>
      </c>
      <c r="G3117" s="7" t="s">
        <v>61</v>
      </c>
      <c r="H3117" s="47" t="s">
        <v>205</v>
      </c>
      <c r="I3117" s="47" t="s">
        <v>206</v>
      </c>
      <c r="J3117" s="6">
        <v>73</v>
      </c>
      <c r="K3117" s="8" t="s">
        <v>26</v>
      </c>
      <c r="L3117" s="1" t="s">
        <v>1101</v>
      </c>
      <c r="M3117" s="5">
        <v>52</v>
      </c>
    </row>
    <row r="3118" spans="1:13" ht="15" x14ac:dyDescent="0.25">
      <c r="A3118" s="7" t="s">
        <v>16</v>
      </c>
      <c r="B3118" s="7" t="s">
        <v>372</v>
      </c>
      <c r="C3118" s="7" t="s">
        <v>373</v>
      </c>
      <c r="D3118" s="4">
        <v>29435005005198</v>
      </c>
      <c r="E3118" s="8" t="s">
        <v>1102</v>
      </c>
      <c r="F3118" s="8" t="s">
        <v>131</v>
      </c>
      <c r="G3118" s="7" t="s">
        <v>61</v>
      </c>
      <c r="H3118" s="47" t="s">
        <v>205</v>
      </c>
      <c r="I3118" s="47" t="s">
        <v>206</v>
      </c>
      <c r="J3118" s="6">
        <v>62</v>
      </c>
      <c r="K3118" s="8" t="s">
        <v>27</v>
      </c>
      <c r="L3118" s="1" t="s">
        <v>1102</v>
      </c>
      <c r="M3118" s="5">
        <v>12</v>
      </c>
    </row>
    <row r="3119" spans="1:13" ht="15" x14ac:dyDescent="0.25">
      <c r="A3119" s="7" t="s">
        <v>16</v>
      </c>
      <c r="B3119" s="7" t="s">
        <v>372</v>
      </c>
      <c r="C3119" s="7" t="s">
        <v>373</v>
      </c>
      <c r="D3119" s="4">
        <v>29435005005198</v>
      </c>
      <c r="E3119" s="8" t="s">
        <v>1102</v>
      </c>
      <c r="F3119" s="8" t="s">
        <v>131</v>
      </c>
      <c r="G3119" s="7" t="s">
        <v>61</v>
      </c>
      <c r="H3119" s="47" t="s">
        <v>205</v>
      </c>
      <c r="I3119" s="47" t="s">
        <v>206</v>
      </c>
      <c r="J3119" s="6">
        <v>64</v>
      </c>
      <c r="K3119" s="8" t="s">
        <v>25</v>
      </c>
      <c r="L3119" s="1" t="s">
        <v>1102</v>
      </c>
      <c r="M3119" s="5">
        <v>4</v>
      </c>
    </row>
    <row r="3120" spans="1:13" ht="15" x14ac:dyDescent="0.25">
      <c r="A3120" s="7" t="s">
        <v>16</v>
      </c>
      <c r="B3120" s="7" t="s">
        <v>372</v>
      </c>
      <c r="C3120" s="7" t="s">
        <v>373</v>
      </c>
      <c r="D3120" s="4">
        <v>29435005005279</v>
      </c>
      <c r="E3120" s="8" t="s">
        <v>1103</v>
      </c>
      <c r="F3120" s="8" t="s">
        <v>131</v>
      </c>
      <c r="G3120" s="7" t="s">
        <v>61</v>
      </c>
      <c r="H3120" s="47" t="s">
        <v>205</v>
      </c>
      <c r="I3120" s="47" t="s">
        <v>206</v>
      </c>
      <c r="J3120" s="6">
        <v>70</v>
      </c>
      <c r="K3120" s="8" t="s">
        <v>20</v>
      </c>
      <c r="L3120" s="1" t="s">
        <v>1103</v>
      </c>
      <c r="M3120" s="5">
        <v>5</v>
      </c>
    </row>
    <row r="3121" spans="1:13" ht="15" x14ac:dyDescent="0.25">
      <c r="A3121" s="7" t="s">
        <v>16</v>
      </c>
      <c r="B3121" s="7" t="s">
        <v>372</v>
      </c>
      <c r="C3121" s="7" t="s">
        <v>373</v>
      </c>
      <c r="D3121" s="4">
        <v>29435005005783</v>
      </c>
      <c r="E3121" s="8" t="s">
        <v>1104</v>
      </c>
      <c r="F3121" s="8" t="s">
        <v>131</v>
      </c>
      <c r="G3121" s="7" t="s">
        <v>61</v>
      </c>
      <c r="H3121" s="47" t="s">
        <v>205</v>
      </c>
      <c r="I3121" s="47" t="s">
        <v>206</v>
      </c>
      <c r="J3121" s="6">
        <v>70</v>
      </c>
      <c r="K3121" s="8" t="s">
        <v>20</v>
      </c>
      <c r="L3121" s="1" t="s">
        <v>1104</v>
      </c>
      <c r="M3121" s="5">
        <v>25</v>
      </c>
    </row>
    <row r="3122" spans="1:13" ht="15" x14ac:dyDescent="0.25">
      <c r="A3122" s="7" t="s">
        <v>16</v>
      </c>
      <c r="B3122" s="7" t="s">
        <v>372</v>
      </c>
      <c r="C3122" s="7" t="s">
        <v>373</v>
      </c>
      <c r="D3122" s="4">
        <v>29435005006160</v>
      </c>
      <c r="E3122" s="8" t="s">
        <v>1105</v>
      </c>
      <c r="F3122" s="8" t="s">
        <v>131</v>
      </c>
      <c r="G3122" s="7" t="s">
        <v>61</v>
      </c>
      <c r="H3122" s="47" t="s">
        <v>205</v>
      </c>
      <c r="I3122" s="47" t="s">
        <v>206</v>
      </c>
      <c r="J3122" s="6">
        <v>62</v>
      </c>
      <c r="K3122" s="8" t="s">
        <v>27</v>
      </c>
      <c r="L3122" s="1" t="s">
        <v>1105</v>
      </c>
      <c r="M3122" s="5">
        <v>11</v>
      </c>
    </row>
    <row r="3123" spans="1:13" ht="15" x14ac:dyDescent="0.25">
      <c r="A3123" s="7" t="s">
        <v>16</v>
      </c>
      <c r="B3123" s="7" t="s">
        <v>372</v>
      </c>
      <c r="C3123" s="7" t="s">
        <v>373</v>
      </c>
      <c r="D3123" s="4">
        <v>29435005006160</v>
      </c>
      <c r="E3123" s="8" t="s">
        <v>1105</v>
      </c>
      <c r="F3123" s="8" t="s">
        <v>131</v>
      </c>
      <c r="G3123" s="7" t="s">
        <v>61</v>
      </c>
      <c r="H3123" s="47" t="s">
        <v>205</v>
      </c>
      <c r="I3123" s="47" t="s">
        <v>206</v>
      </c>
      <c r="J3123" s="6">
        <v>64</v>
      </c>
      <c r="K3123" s="8" t="s">
        <v>25</v>
      </c>
      <c r="L3123" s="1" t="s">
        <v>1105</v>
      </c>
      <c r="M3123" s="5">
        <v>28</v>
      </c>
    </row>
    <row r="3124" spans="1:13" ht="15" x14ac:dyDescent="0.25">
      <c r="A3124" s="7" t="s">
        <v>16</v>
      </c>
      <c r="B3124" s="7" t="s">
        <v>372</v>
      </c>
      <c r="C3124" s="7" t="s">
        <v>373</v>
      </c>
      <c r="D3124" s="4">
        <v>31635857000292</v>
      </c>
      <c r="E3124" s="8" t="s">
        <v>1107</v>
      </c>
      <c r="F3124" s="8" t="s">
        <v>131</v>
      </c>
      <c r="G3124" s="7" t="s">
        <v>61</v>
      </c>
      <c r="H3124" s="47" t="s">
        <v>205</v>
      </c>
      <c r="I3124" s="47" t="s">
        <v>206</v>
      </c>
      <c r="J3124" s="6">
        <v>62</v>
      </c>
      <c r="K3124" s="8" t="s">
        <v>27</v>
      </c>
      <c r="L3124" s="1" t="s">
        <v>1107</v>
      </c>
      <c r="M3124" s="5">
        <v>1</v>
      </c>
    </row>
    <row r="3125" spans="1:13" ht="15" x14ac:dyDescent="0.25">
      <c r="A3125" s="7" t="s">
        <v>16</v>
      </c>
      <c r="B3125" s="7" t="s">
        <v>372</v>
      </c>
      <c r="C3125" s="7" t="s">
        <v>373</v>
      </c>
      <c r="D3125" s="4">
        <v>31635857000292</v>
      </c>
      <c r="E3125" s="8" t="s">
        <v>1107</v>
      </c>
      <c r="F3125" s="8" t="s">
        <v>131</v>
      </c>
      <c r="G3125" s="7" t="s">
        <v>61</v>
      </c>
      <c r="H3125" s="47" t="s">
        <v>205</v>
      </c>
      <c r="I3125" s="47" t="s">
        <v>206</v>
      </c>
      <c r="J3125" s="6">
        <v>73</v>
      </c>
      <c r="K3125" s="8" t="s">
        <v>26</v>
      </c>
      <c r="L3125" s="1" t="s">
        <v>1107</v>
      </c>
      <c r="M3125" s="5">
        <v>32</v>
      </c>
    </row>
    <row r="3126" spans="1:13" ht="15" x14ac:dyDescent="0.25">
      <c r="A3126" s="7" t="s">
        <v>16</v>
      </c>
      <c r="B3126" s="7" t="s">
        <v>372</v>
      </c>
      <c r="C3126" s="7" t="s">
        <v>373</v>
      </c>
      <c r="D3126" s="4">
        <v>31925548000176</v>
      </c>
      <c r="E3126" s="8" t="s">
        <v>1108</v>
      </c>
      <c r="F3126" s="8" t="s">
        <v>131</v>
      </c>
      <c r="G3126" s="7" t="s">
        <v>61</v>
      </c>
      <c r="H3126" s="47" t="s">
        <v>205</v>
      </c>
      <c r="I3126" s="47" t="s">
        <v>206</v>
      </c>
      <c r="J3126" s="6">
        <v>70</v>
      </c>
      <c r="K3126" s="8" t="s">
        <v>20</v>
      </c>
      <c r="L3126" s="1" t="s">
        <v>1108</v>
      </c>
      <c r="M3126" s="5">
        <v>30</v>
      </c>
    </row>
    <row r="3127" spans="1:13" ht="15" x14ac:dyDescent="0.25">
      <c r="A3127" s="7" t="s">
        <v>16</v>
      </c>
      <c r="B3127" s="7" t="s">
        <v>372</v>
      </c>
      <c r="C3127" s="7" t="s">
        <v>373</v>
      </c>
      <c r="D3127" s="4">
        <v>33000167000101</v>
      </c>
      <c r="E3127" s="8" t="s">
        <v>1110</v>
      </c>
      <c r="F3127" s="8" t="s">
        <v>131</v>
      </c>
      <c r="G3127" s="7" t="s">
        <v>61</v>
      </c>
      <c r="H3127" s="47" t="s">
        <v>205</v>
      </c>
      <c r="I3127" s="47" t="s">
        <v>206</v>
      </c>
      <c r="J3127" s="6">
        <v>70</v>
      </c>
      <c r="K3127" s="8" t="s">
        <v>20</v>
      </c>
      <c r="L3127" s="1" t="s">
        <v>1110</v>
      </c>
      <c r="M3127" s="5">
        <v>145</v>
      </c>
    </row>
    <row r="3128" spans="1:13" ht="15" x14ac:dyDescent="0.25">
      <c r="A3128" s="7" t="s">
        <v>16</v>
      </c>
      <c r="B3128" s="7" t="s">
        <v>372</v>
      </c>
      <c r="C3128" s="7" t="s">
        <v>373</v>
      </c>
      <c r="D3128" s="4">
        <v>33419482000259</v>
      </c>
      <c r="E3128" s="8" t="s">
        <v>1111</v>
      </c>
      <c r="F3128" s="8" t="s">
        <v>131</v>
      </c>
      <c r="G3128" s="7" t="s">
        <v>61</v>
      </c>
      <c r="H3128" s="47" t="s">
        <v>205</v>
      </c>
      <c r="I3128" s="47" t="s">
        <v>206</v>
      </c>
      <c r="J3128" s="6">
        <v>62</v>
      </c>
      <c r="K3128" s="8" t="s">
        <v>27</v>
      </c>
      <c r="L3128" s="1" t="s">
        <v>1111</v>
      </c>
      <c r="M3128" s="5">
        <v>6</v>
      </c>
    </row>
    <row r="3129" spans="1:13" ht="15" x14ac:dyDescent="0.25">
      <c r="A3129" s="7" t="s">
        <v>16</v>
      </c>
      <c r="B3129" s="7" t="s">
        <v>372</v>
      </c>
      <c r="C3129" s="7" t="s">
        <v>373</v>
      </c>
      <c r="D3129" s="4">
        <v>33419482000259</v>
      </c>
      <c r="E3129" s="8" t="s">
        <v>1111</v>
      </c>
      <c r="F3129" s="8" t="s">
        <v>131</v>
      </c>
      <c r="G3129" s="7" t="s">
        <v>61</v>
      </c>
      <c r="H3129" s="47" t="s">
        <v>205</v>
      </c>
      <c r="I3129" s="47" t="s">
        <v>206</v>
      </c>
      <c r="J3129" s="6">
        <v>64</v>
      </c>
      <c r="K3129" s="8" t="s">
        <v>25</v>
      </c>
      <c r="L3129" s="1" t="s">
        <v>1111</v>
      </c>
      <c r="M3129" s="5">
        <v>4</v>
      </c>
    </row>
    <row r="3130" spans="1:13" ht="15" x14ac:dyDescent="0.25">
      <c r="A3130" s="7" t="s">
        <v>16</v>
      </c>
      <c r="B3130" s="7" t="s">
        <v>372</v>
      </c>
      <c r="C3130" s="7" t="s">
        <v>373</v>
      </c>
      <c r="D3130" s="4">
        <v>33663683005347</v>
      </c>
      <c r="E3130" s="8" t="s">
        <v>1114</v>
      </c>
      <c r="F3130" s="8" t="s">
        <v>131</v>
      </c>
      <c r="G3130" s="7" t="s">
        <v>61</v>
      </c>
      <c r="H3130" s="47" t="s">
        <v>205</v>
      </c>
      <c r="I3130" s="47" t="s">
        <v>206</v>
      </c>
      <c r="J3130" s="6">
        <v>62</v>
      </c>
      <c r="K3130" s="8" t="s">
        <v>27</v>
      </c>
      <c r="L3130" s="1" t="s">
        <v>1114</v>
      </c>
      <c r="M3130" s="5">
        <v>126</v>
      </c>
    </row>
    <row r="3131" spans="1:13" ht="15" x14ac:dyDescent="0.25">
      <c r="A3131" s="7" t="s">
        <v>16</v>
      </c>
      <c r="B3131" s="7" t="s">
        <v>372</v>
      </c>
      <c r="C3131" s="7" t="s">
        <v>373</v>
      </c>
      <c r="D3131" s="4">
        <v>33663683005347</v>
      </c>
      <c r="E3131" s="8" t="s">
        <v>1114</v>
      </c>
      <c r="F3131" s="8" t="s">
        <v>131</v>
      </c>
      <c r="G3131" s="7" t="s">
        <v>61</v>
      </c>
      <c r="H3131" s="47" t="s">
        <v>205</v>
      </c>
      <c r="I3131" s="47" t="s">
        <v>206</v>
      </c>
      <c r="J3131" s="6">
        <v>64</v>
      </c>
      <c r="K3131" s="8" t="s">
        <v>25</v>
      </c>
      <c r="L3131" s="1" t="s">
        <v>1114</v>
      </c>
      <c r="M3131" s="5">
        <v>108</v>
      </c>
    </row>
    <row r="3132" spans="1:13" ht="15" x14ac:dyDescent="0.25">
      <c r="A3132" s="7" t="s">
        <v>16</v>
      </c>
      <c r="B3132" s="7" t="s">
        <v>372</v>
      </c>
      <c r="C3132" s="7" t="s">
        <v>373</v>
      </c>
      <c r="D3132" s="4">
        <v>39086160000130</v>
      </c>
      <c r="E3132" s="8" t="s">
        <v>1119</v>
      </c>
      <c r="F3132" s="8" t="s">
        <v>131</v>
      </c>
      <c r="G3132" s="7" t="s">
        <v>61</v>
      </c>
      <c r="H3132" s="47" t="s">
        <v>205</v>
      </c>
      <c r="I3132" s="47" t="s">
        <v>206</v>
      </c>
      <c r="J3132" s="6">
        <v>70</v>
      </c>
      <c r="K3132" s="8" t="s">
        <v>20</v>
      </c>
      <c r="L3132" s="1" t="s">
        <v>1119</v>
      </c>
      <c r="M3132" s="5">
        <v>450</v>
      </c>
    </row>
    <row r="3133" spans="1:13" ht="15" x14ac:dyDescent="0.25">
      <c r="A3133" s="7" t="s">
        <v>16</v>
      </c>
      <c r="B3133" s="7" t="s">
        <v>372</v>
      </c>
      <c r="C3133" s="7" t="s">
        <v>373</v>
      </c>
      <c r="D3133" s="4">
        <v>39086160000130</v>
      </c>
      <c r="E3133" s="8" t="s">
        <v>1119</v>
      </c>
      <c r="F3133" s="8" t="s">
        <v>131</v>
      </c>
      <c r="G3133" s="7" t="s">
        <v>61</v>
      </c>
      <c r="H3133" s="47" t="s">
        <v>205</v>
      </c>
      <c r="I3133" s="47" t="s">
        <v>206</v>
      </c>
      <c r="J3133" s="6">
        <v>73</v>
      </c>
      <c r="K3133" s="8" t="s">
        <v>26</v>
      </c>
      <c r="L3133" s="1" t="s">
        <v>1119</v>
      </c>
      <c r="M3133" s="5">
        <v>120</v>
      </c>
    </row>
    <row r="3134" spans="1:13" ht="15" x14ac:dyDescent="0.25">
      <c r="A3134" s="7" t="s">
        <v>16</v>
      </c>
      <c r="B3134" s="7" t="s">
        <v>372</v>
      </c>
      <c r="C3134" s="7" t="s">
        <v>373</v>
      </c>
      <c r="D3134" s="4">
        <v>60884855001630</v>
      </c>
      <c r="E3134" s="8" t="s">
        <v>1124</v>
      </c>
      <c r="F3134" s="8" t="s">
        <v>131</v>
      </c>
      <c r="G3134" s="7" t="s">
        <v>61</v>
      </c>
      <c r="H3134" s="47" t="s">
        <v>205</v>
      </c>
      <c r="I3134" s="47" t="s">
        <v>206</v>
      </c>
      <c r="J3134" s="6">
        <v>62</v>
      </c>
      <c r="K3134" s="8" t="s">
        <v>27</v>
      </c>
      <c r="L3134" s="1" t="s">
        <v>1124</v>
      </c>
      <c r="M3134" s="5">
        <v>15</v>
      </c>
    </row>
    <row r="3135" spans="1:13" ht="15" x14ac:dyDescent="0.25">
      <c r="A3135" s="7" t="s">
        <v>16</v>
      </c>
      <c r="B3135" s="7" t="s">
        <v>372</v>
      </c>
      <c r="C3135" s="7" t="s">
        <v>373</v>
      </c>
      <c r="D3135" s="4">
        <v>60884855001630</v>
      </c>
      <c r="E3135" s="8" t="s">
        <v>1124</v>
      </c>
      <c r="F3135" s="8" t="s">
        <v>131</v>
      </c>
      <c r="G3135" s="7" t="s">
        <v>61</v>
      </c>
      <c r="H3135" s="47" t="s">
        <v>205</v>
      </c>
      <c r="I3135" s="47" t="s">
        <v>206</v>
      </c>
      <c r="J3135" s="6">
        <v>70</v>
      </c>
      <c r="K3135" s="8" t="s">
        <v>20</v>
      </c>
      <c r="L3135" s="1" t="s">
        <v>1124</v>
      </c>
      <c r="M3135" s="5">
        <v>135</v>
      </c>
    </row>
    <row r="3136" spans="1:13" ht="15" x14ac:dyDescent="0.25">
      <c r="A3136" s="7" t="s">
        <v>16</v>
      </c>
      <c r="B3136" s="7" t="s">
        <v>372</v>
      </c>
      <c r="C3136" s="7" t="s">
        <v>373</v>
      </c>
      <c r="D3136" s="4">
        <v>60922168000348</v>
      </c>
      <c r="E3136" s="8" t="s">
        <v>1125</v>
      </c>
      <c r="F3136" s="8" t="s">
        <v>131</v>
      </c>
      <c r="G3136" s="7" t="s">
        <v>61</v>
      </c>
      <c r="H3136" s="47" t="s">
        <v>205</v>
      </c>
      <c r="I3136" s="47" t="s">
        <v>206</v>
      </c>
      <c r="J3136" s="6">
        <v>62</v>
      </c>
      <c r="K3136" s="8" t="s">
        <v>27</v>
      </c>
      <c r="L3136" s="1" t="s">
        <v>1125</v>
      </c>
      <c r="M3136" s="5">
        <v>10</v>
      </c>
    </row>
    <row r="3137" spans="1:13" ht="15" x14ac:dyDescent="0.25">
      <c r="A3137" s="7" t="s">
        <v>16</v>
      </c>
      <c r="B3137" s="7" t="s">
        <v>372</v>
      </c>
      <c r="C3137" s="7" t="s">
        <v>373</v>
      </c>
      <c r="D3137" s="4">
        <v>60922168000348</v>
      </c>
      <c r="E3137" s="8" t="s">
        <v>1125</v>
      </c>
      <c r="F3137" s="8" t="s">
        <v>131</v>
      </c>
      <c r="G3137" s="7" t="s">
        <v>61</v>
      </c>
      <c r="H3137" s="47" t="s">
        <v>205</v>
      </c>
      <c r="I3137" s="47" t="s">
        <v>206</v>
      </c>
      <c r="J3137" s="6">
        <v>64</v>
      </c>
      <c r="K3137" s="8" t="s">
        <v>25</v>
      </c>
      <c r="L3137" s="1" t="s">
        <v>1125</v>
      </c>
      <c r="M3137" s="5">
        <v>4</v>
      </c>
    </row>
    <row r="3138" spans="1:13" ht="15" x14ac:dyDescent="0.25">
      <c r="A3138" s="7" t="s">
        <v>16</v>
      </c>
      <c r="B3138" s="7" t="s">
        <v>372</v>
      </c>
      <c r="C3138" s="7" t="s">
        <v>373</v>
      </c>
      <c r="D3138" s="4">
        <v>60922168000348</v>
      </c>
      <c r="E3138" s="8" t="s">
        <v>1125</v>
      </c>
      <c r="F3138" s="8" t="s">
        <v>131</v>
      </c>
      <c r="G3138" s="7" t="s">
        <v>61</v>
      </c>
      <c r="H3138" s="47" t="s">
        <v>205</v>
      </c>
      <c r="I3138" s="47" t="s">
        <v>206</v>
      </c>
      <c r="J3138" s="6">
        <v>70</v>
      </c>
      <c r="K3138" s="8" t="s">
        <v>20</v>
      </c>
      <c r="L3138" s="1" t="s">
        <v>1125</v>
      </c>
      <c r="M3138" s="5">
        <v>935</v>
      </c>
    </row>
    <row r="3139" spans="1:13" ht="15" x14ac:dyDescent="0.25">
      <c r="A3139" s="7" t="s">
        <v>16</v>
      </c>
      <c r="B3139" s="7" t="s">
        <v>372</v>
      </c>
      <c r="C3139" s="7" t="s">
        <v>373</v>
      </c>
      <c r="D3139" s="4">
        <v>72101124000506</v>
      </c>
      <c r="E3139" s="8" t="s">
        <v>1126</v>
      </c>
      <c r="F3139" s="8" t="s">
        <v>131</v>
      </c>
      <c r="G3139" s="7" t="s">
        <v>61</v>
      </c>
      <c r="H3139" s="47" t="s">
        <v>205</v>
      </c>
      <c r="I3139" s="47" t="s">
        <v>206</v>
      </c>
      <c r="J3139" s="6">
        <v>70</v>
      </c>
      <c r="K3139" s="8" t="s">
        <v>20</v>
      </c>
      <c r="L3139" s="1" t="s">
        <v>1126</v>
      </c>
      <c r="M3139" s="5">
        <v>390</v>
      </c>
    </row>
    <row r="3140" spans="1:13" ht="15" x14ac:dyDescent="0.25">
      <c r="A3140" s="7" t="s">
        <v>16</v>
      </c>
      <c r="B3140" s="7" t="s">
        <v>372</v>
      </c>
      <c r="C3140" s="7" t="s">
        <v>373</v>
      </c>
      <c r="D3140" s="4">
        <v>72101124000506</v>
      </c>
      <c r="E3140" s="8" t="s">
        <v>1126</v>
      </c>
      <c r="F3140" s="8" t="s">
        <v>131</v>
      </c>
      <c r="G3140" s="7" t="s">
        <v>61</v>
      </c>
      <c r="H3140" s="47" t="s">
        <v>205</v>
      </c>
      <c r="I3140" s="47" t="s">
        <v>206</v>
      </c>
      <c r="J3140" s="6">
        <v>73</v>
      </c>
      <c r="K3140" s="8" t="s">
        <v>26</v>
      </c>
      <c r="L3140" s="1" t="s">
        <v>1126</v>
      </c>
      <c r="M3140" s="5">
        <v>75</v>
      </c>
    </row>
    <row r="3147" spans="1:13" x14ac:dyDescent="0.25">
      <c r="I3147" s="15"/>
      <c r="J3147" s="15"/>
      <c r="K3147" s="15"/>
      <c r="L3147" s="15"/>
      <c r="M3147" s="15"/>
    </row>
    <row r="3149" spans="1:13" x14ac:dyDescent="0.25">
      <c r="I3149" s="4"/>
      <c r="J3149" s="3"/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9345-6E0C-4AC8-930F-D8FBAE19E210}">
  <sheetPr codeName="Planilha19">
    <tabColor theme="9" tint="-0.249977111117893"/>
  </sheetPr>
  <dimension ref="A1:F736"/>
  <sheetViews>
    <sheetView showGridLines="0" workbookViewId="0">
      <pane ySplit="5" topLeftCell="A6" activePane="bottomLeft" state="frozen"/>
      <selection activeCell="G39" sqref="G39"/>
      <selection pane="bottomLeft" activeCell="A6" sqref="A6"/>
    </sheetView>
  </sheetViews>
  <sheetFormatPr defaultRowHeight="12.75" x14ac:dyDescent="0.25"/>
  <cols>
    <col min="1" max="1" width="15.140625" style="3" bestFit="1" customWidth="1"/>
    <col min="2" max="2" width="81.140625" style="3" bestFit="1" customWidth="1"/>
    <col min="3" max="3" width="23.5703125" style="3" bestFit="1" customWidth="1"/>
    <col min="4" max="4" width="5.28515625" style="3" bestFit="1" customWidth="1"/>
    <col min="5" max="5" width="27.140625" style="3" bestFit="1" customWidth="1"/>
    <col min="6" max="6" width="24.85546875" style="3" bestFit="1" customWidth="1"/>
    <col min="7" max="16384" width="9.140625" style="3"/>
  </cols>
  <sheetData>
    <row r="1" spans="1:6" ht="15.75" x14ac:dyDescent="0.25">
      <c r="A1" s="49" t="s">
        <v>302</v>
      </c>
    </row>
    <row r="2" spans="1:6" x14ac:dyDescent="0.25">
      <c r="A2" s="64" t="s">
        <v>305</v>
      </c>
    </row>
    <row r="3" spans="1:6" x14ac:dyDescent="0.25">
      <c r="A3" s="64" t="s">
        <v>306</v>
      </c>
    </row>
    <row r="5" spans="1:6" x14ac:dyDescent="0.25">
      <c r="A5" s="3" t="s">
        <v>216</v>
      </c>
      <c r="B5" s="3" t="s">
        <v>10</v>
      </c>
      <c r="C5" s="3" t="s">
        <v>11</v>
      </c>
      <c r="D5" s="3" t="s">
        <v>12</v>
      </c>
      <c r="E5" s="3" t="s">
        <v>203</v>
      </c>
      <c r="F5" s="3" t="s">
        <v>204</v>
      </c>
    </row>
    <row r="6" spans="1:6" x14ac:dyDescent="0.25">
      <c r="A6" s="4">
        <v>23941593838</v>
      </c>
      <c r="B6" s="8" t="s">
        <v>555</v>
      </c>
      <c r="C6" s="8" t="s">
        <v>29</v>
      </c>
      <c r="D6" s="7" t="s">
        <v>19</v>
      </c>
      <c r="E6" s="8" t="s">
        <v>207</v>
      </c>
      <c r="F6" s="8" t="s">
        <v>208</v>
      </c>
    </row>
    <row r="7" spans="1:6" x14ac:dyDescent="0.25">
      <c r="A7" s="4">
        <v>461479001054</v>
      </c>
      <c r="B7" s="8" t="s">
        <v>558</v>
      </c>
      <c r="C7" s="8" t="s">
        <v>29</v>
      </c>
      <c r="D7" s="7" t="s">
        <v>19</v>
      </c>
      <c r="E7" s="8" t="s">
        <v>207</v>
      </c>
      <c r="F7" s="8" t="s">
        <v>208</v>
      </c>
    </row>
    <row r="8" spans="1:6" x14ac:dyDescent="0.25">
      <c r="A8" s="4">
        <v>461479001992</v>
      </c>
      <c r="B8" s="8" t="s">
        <v>559</v>
      </c>
      <c r="C8" s="8" t="s">
        <v>29</v>
      </c>
      <c r="D8" s="7" t="s">
        <v>19</v>
      </c>
      <c r="E8" s="8" t="s">
        <v>207</v>
      </c>
      <c r="F8" s="8" t="s">
        <v>208</v>
      </c>
    </row>
    <row r="9" spans="1:6" x14ac:dyDescent="0.25">
      <c r="A9" s="4">
        <v>461479004150</v>
      </c>
      <c r="B9" s="8" t="s">
        <v>1138</v>
      </c>
      <c r="C9" s="8" t="s">
        <v>29</v>
      </c>
      <c r="D9" s="7" t="s">
        <v>19</v>
      </c>
      <c r="E9" s="8" t="s">
        <v>207</v>
      </c>
      <c r="F9" s="8" t="s">
        <v>208</v>
      </c>
    </row>
    <row r="10" spans="1:6" x14ac:dyDescent="0.25">
      <c r="A10" s="4">
        <v>461479004584</v>
      </c>
      <c r="B10" s="8" t="s">
        <v>560</v>
      </c>
      <c r="C10" s="8" t="s">
        <v>29</v>
      </c>
      <c r="D10" s="7" t="s">
        <v>19</v>
      </c>
      <c r="E10" s="8" t="s">
        <v>207</v>
      </c>
      <c r="F10" s="8" t="s">
        <v>208</v>
      </c>
    </row>
    <row r="11" spans="1:6" x14ac:dyDescent="0.25">
      <c r="A11" s="4">
        <v>461479005122</v>
      </c>
      <c r="B11" s="8" t="s">
        <v>1139</v>
      </c>
      <c r="C11" s="8" t="s">
        <v>29</v>
      </c>
      <c r="D11" s="7" t="s">
        <v>19</v>
      </c>
      <c r="E11" s="8" t="s">
        <v>207</v>
      </c>
      <c r="F11" s="8" t="s">
        <v>208</v>
      </c>
    </row>
    <row r="12" spans="1:6" x14ac:dyDescent="0.25">
      <c r="A12" s="4">
        <v>461479007176</v>
      </c>
      <c r="B12" s="8" t="s">
        <v>1357</v>
      </c>
      <c r="C12" s="8" t="s">
        <v>29</v>
      </c>
      <c r="D12" s="7" t="s">
        <v>19</v>
      </c>
      <c r="E12" s="8" t="s">
        <v>207</v>
      </c>
      <c r="F12" s="8" t="s">
        <v>208</v>
      </c>
    </row>
    <row r="13" spans="1:6" x14ac:dyDescent="0.25">
      <c r="A13" s="4">
        <v>603226000187</v>
      </c>
      <c r="B13" s="8" t="s">
        <v>561</v>
      </c>
      <c r="C13" s="8" t="s">
        <v>29</v>
      </c>
      <c r="D13" s="7" t="s">
        <v>19</v>
      </c>
      <c r="E13" s="8" t="s">
        <v>207</v>
      </c>
      <c r="F13" s="8" t="s">
        <v>208</v>
      </c>
    </row>
    <row r="14" spans="1:6" x14ac:dyDescent="0.25">
      <c r="A14" s="4">
        <v>2383508000494</v>
      </c>
      <c r="B14" s="8" t="s">
        <v>562</v>
      </c>
      <c r="C14" s="8" t="s">
        <v>29</v>
      </c>
      <c r="D14" s="7" t="s">
        <v>19</v>
      </c>
      <c r="E14" s="8" t="s">
        <v>207</v>
      </c>
      <c r="F14" s="8" t="s">
        <v>208</v>
      </c>
    </row>
    <row r="15" spans="1:6" x14ac:dyDescent="0.25">
      <c r="A15" s="4">
        <v>2837922000183</v>
      </c>
      <c r="B15" s="8" t="s">
        <v>563</v>
      </c>
      <c r="C15" s="8" t="s">
        <v>29</v>
      </c>
      <c r="D15" s="7" t="s">
        <v>19</v>
      </c>
      <c r="E15" s="8" t="s">
        <v>207</v>
      </c>
      <c r="F15" s="8" t="s">
        <v>208</v>
      </c>
    </row>
    <row r="16" spans="1:6" x14ac:dyDescent="0.25">
      <c r="A16" s="4">
        <v>3872790000193</v>
      </c>
      <c r="B16" s="8" t="s">
        <v>564</v>
      </c>
      <c r="C16" s="8" t="s">
        <v>29</v>
      </c>
      <c r="D16" s="7" t="s">
        <v>19</v>
      </c>
      <c r="E16" s="8" t="s">
        <v>207</v>
      </c>
      <c r="F16" s="8" t="s">
        <v>208</v>
      </c>
    </row>
    <row r="17" spans="1:6" x14ac:dyDescent="0.25">
      <c r="A17" s="4">
        <v>4036348000190</v>
      </c>
      <c r="B17" s="8" t="s">
        <v>565</v>
      </c>
      <c r="C17" s="8" t="s">
        <v>29</v>
      </c>
      <c r="D17" s="7" t="s">
        <v>19</v>
      </c>
      <c r="E17" s="8" t="s">
        <v>207</v>
      </c>
      <c r="F17" s="8" t="s">
        <v>208</v>
      </c>
    </row>
    <row r="18" spans="1:6" x14ac:dyDescent="0.25">
      <c r="A18" s="4">
        <v>4995603000121</v>
      </c>
      <c r="B18" s="8" t="s">
        <v>566</v>
      </c>
      <c r="C18" s="8" t="s">
        <v>29</v>
      </c>
      <c r="D18" s="7" t="s">
        <v>19</v>
      </c>
      <c r="E18" s="8" t="s">
        <v>207</v>
      </c>
      <c r="F18" s="8" t="s">
        <v>208</v>
      </c>
    </row>
    <row r="19" spans="1:6" x14ac:dyDescent="0.25">
      <c r="A19" s="4">
        <v>5831510000124</v>
      </c>
      <c r="B19" s="8" t="s">
        <v>567</v>
      </c>
      <c r="C19" s="8" t="s">
        <v>29</v>
      </c>
      <c r="D19" s="7" t="s">
        <v>19</v>
      </c>
      <c r="E19" s="8" t="s">
        <v>207</v>
      </c>
      <c r="F19" s="8" t="s">
        <v>208</v>
      </c>
    </row>
    <row r="20" spans="1:6" x14ac:dyDescent="0.25">
      <c r="A20" s="4">
        <v>6047087000139</v>
      </c>
      <c r="B20" s="8" t="s">
        <v>568</v>
      </c>
      <c r="C20" s="8" t="s">
        <v>29</v>
      </c>
      <c r="D20" s="7" t="s">
        <v>19</v>
      </c>
      <c r="E20" s="8" t="s">
        <v>207</v>
      </c>
      <c r="F20" s="8" t="s">
        <v>208</v>
      </c>
    </row>
    <row r="21" spans="1:6" x14ac:dyDescent="0.25">
      <c r="A21" s="4">
        <v>6047087000210</v>
      </c>
      <c r="B21" s="8" t="s">
        <v>569</v>
      </c>
      <c r="C21" s="8" t="s">
        <v>29</v>
      </c>
      <c r="D21" s="7" t="s">
        <v>19</v>
      </c>
      <c r="E21" s="8" t="s">
        <v>207</v>
      </c>
      <c r="F21" s="8" t="s">
        <v>208</v>
      </c>
    </row>
    <row r="22" spans="1:6" x14ac:dyDescent="0.25">
      <c r="A22" s="4">
        <v>6047087003820</v>
      </c>
      <c r="B22" s="8" t="s">
        <v>570</v>
      </c>
      <c r="C22" s="8" t="s">
        <v>29</v>
      </c>
      <c r="D22" s="7" t="s">
        <v>19</v>
      </c>
      <c r="E22" s="8" t="s">
        <v>207</v>
      </c>
      <c r="F22" s="8" t="s">
        <v>208</v>
      </c>
    </row>
    <row r="23" spans="1:6" x14ac:dyDescent="0.25">
      <c r="A23" s="4">
        <v>7045325000130</v>
      </c>
      <c r="B23" s="8" t="s">
        <v>571</v>
      </c>
      <c r="C23" s="8" t="s">
        <v>29</v>
      </c>
      <c r="D23" s="7" t="s">
        <v>19</v>
      </c>
      <c r="E23" s="8" t="s">
        <v>207</v>
      </c>
      <c r="F23" s="8" t="s">
        <v>208</v>
      </c>
    </row>
    <row r="24" spans="1:6" x14ac:dyDescent="0.25">
      <c r="A24" s="4">
        <v>8100676000592</v>
      </c>
      <c r="B24" s="8" t="s">
        <v>572</v>
      </c>
      <c r="C24" s="8" t="s">
        <v>29</v>
      </c>
      <c r="D24" s="7" t="s">
        <v>19</v>
      </c>
      <c r="E24" s="8" t="s">
        <v>207</v>
      </c>
      <c r="F24" s="8" t="s">
        <v>208</v>
      </c>
    </row>
    <row r="25" spans="1:6" x14ac:dyDescent="0.25">
      <c r="A25" s="4">
        <v>8100676000673</v>
      </c>
      <c r="B25" s="8" t="s">
        <v>1155</v>
      </c>
      <c r="C25" s="8" t="s">
        <v>29</v>
      </c>
      <c r="D25" s="7" t="s">
        <v>19</v>
      </c>
      <c r="E25" s="8" t="s">
        <v>207</v>
      </c>
      <c r="F25" s="8" t="s">
        <v>208</v>
      </c>
    </row>
    <row r="26" spans="1:6" x14ac:dyDescent="0.25">
      <c r="A26" s="4">
        <v>8100676000835</v>
      </c>
      <c r="B26" s="8" t="s">
        <v>573</v>
      </c>
      <c r="C26" s="8" t="s">
        <v>29</v>
      </c>
      <c r="D26" s="7" t="s">
        <v>19</v>
      </c>
      <c r="E26" s="8" t="s">
        <v>207</v>
      </c>
      <c r="F26" s="8" t="s">
        <v>208</v>
      </c>
    </row>
    <row r="27" spans="1:6" x14ac:dyDescent="0.25">
      <c r="A27" s="4">
        <v>8100676002455</v>
      </c>
      <c r="B27" s="8" t="s">
        <v>574</v>
      </c>
      <c r="C27" s="8" t="s">
        <v>29</v>
      </c>
      <c r="D27" s="7" t="s">
        <v>19</v>
      </c>
      <c r="E27" s="8" t="s">
        <v>207</v>
      </c>
      <c r="F27" s="8" t="s">
        <v>208</v>
      </c>
    </row>
    <row r="28" spans="1:6" x14ac:dyDescent="0.25">
      <c r="A28" s="4">
        <v>8438844000392</v>
      </c>
      <c r="B28" s="8" t="s">
        <v>575</v>
      </c>
      <c r="C28" s="8" t="s">
        <v>29</v>
      </c>
      <c r="D28" s="7" t="s">
        <v>19</v>
      </c>
      <c r="E28" s="8" t="s">
        <v>207</v>
      </c>
      <c r="F28" s="8" t="s">
        <v>208</v>
      </c>
    </row>
    <row r="29" spans="1:6" x14ac:dyDescent="0.25">
      <c r="A29" s="4">
        <v>8604105000161</v>
      </c>
      <c r="B29" s="8" t="s">
        <v>1358</v>
      </c>
      <c r="C29" s="8" t="s">
        <v>29</v>
      </c>
      <c r="D29" s="7" t="s">
        <v>19</v>
      </c>
      <c r="E29" s="8" t="s">
        <v>207</v>
      </c>
      <c r="F29" s="8" t="s">
        <v>208</v>
      </c>
    </row>
    <row r="30" spans="1:6" x14ac:dyDescent="0.25">
      <c r="A30" s="4">
        <v>8677327000104</v>
      </c>
      <c r="B30" s="8" t="s">
        <v>576</v>
      </c>
      <c r="C30" s="8" t="s">
        <v>29</v>
      </c>
      <c r="D30" s="7" t="s">
        <v>19</v>
      </c>
      <c r="E30" s="8" t="s">
        <v>207</v>
      </c>
      <c r="F30" s="8" t="s">
        <v>208</v>
      </c>
    </row>
    <row r="31" spans="1:6" x14ac:dyDescent="0.25">
      <c r="A31" s="4">
        <v>8871521000126</v>
      </c>
      <c r="B31" s="8" t="s">
        <v>577</v>
      </c>
      <c r="C31" s="8" t="s">
        <v>29</v>
      </c>
      <c r="D31" s="7" t="s">
        <v>19</v>
      </c>
      <c r="E31" s="8" t="s">
        <v>207</v>
      </c>
      <c r="F31" s="8" t="s">
        <v>208</v>
      </c>
    </row>
    <row r="32" spans="1:6" x14ac:dyDescent="0.25">
      <c r="A32" s="4">
        <v>9087150000159</v>
      </c>
      <c r="B32" s="8" t="s">
        <v>578</v>
      </c>
      <c r="C32" s="8" t="s">
        <v>29</v>
      </c>
      <c r="D32" s="7" t="s">
        <v>19</v>
      </c>
      <c r="E32" s="8" t="s">
        <v>207</v>
      </c>
      <c r="F32" s="8" t="s">
        <v>208</v>
      </c>
    </row>
    <row r="33" spans="1:6" x14ac:dyDescent="0.25">
      <c r="A33" s="4">
        <v>10211939000230</v>
      </c>
      <c r="B33" s="8" t="s">
        <v>579</v>
      </c>
      <c r="C33" s="8" t="s">
        <v>29</v>
      </c>
      <c r="D33" s="7" t="s">
        <v>19</v>
      </c>
      <c r="E33" s="8" t="s">
        <v>207</v>
      </c>
      <c r="F33" s="8" t="s">
        <v>208</v>
      </c>
    </row>
    <row r="34" spans="1:6" x14ac:dyDescent="0.25">
      <c r="A34" s="4">
        <v>10323381000101</v>
      </c>
      <c r="B34" s="8" t="s">
        <v>580</v>
      </c>
      <c r="C34" s="8" t="s">
        <v>29</v>
      </c>
      <c r="D34" s="7" t="s">
        <v>19</v>
      </c>
      <c r="E34" s="8" t="s">
        <v>207</v>
      </c>
      <c r="F34" s="8" t="s">
        <v>208</v>
      </c>
    </row>
    <row r="35" spans="1:6" x14ac:dyDescent="0.25">
      <c r="A35" s="4">
        <v>10468341000140</v>
      </c>
      <c r="B35" s="8" t="s">
        <v>581</v>
      </c>
      <c r="C35" s="8" t="s">
        <v>29</v>
      </c>
      <c r="D35" s="7" t="s">
        <v>19</v>
      </c>
      <c r="E35" s="8" t="s">
        <v>207</v>
      </c>
      <c r="F35" s="8" t="s">
        <v>208</v>
      </c>
    </row>
    <row r="36" spans="1:6" x14ac:dyDescent="0.25">
      <c r="A36" s="4">
        <v>10468341000220</v>
      </c>
      <c r="B36" s="8" t="s">
        <v>582</v>
      </c>
      <c r="C36" s="8" t="s">
        <v>29</v>
      </c>
      <c r="D36" s="7" t="s">
        <v>19</v>
      </c>
      <c r="E36" s="8" t="s">
        <v>207</v>
      </c>
      <c r="F36" s="8" t="s">
        <v>208</v>
      </c>
    </row>
    <row r="37" spans="1:6" x14ac:dyDescent="0.25">
      <c r="A37" s="4">
        <v>10475230000160</v>
      </c>
      <c r="B37" s="8" t="s">
        <v>583</v>
      </c>
      <c r="C37" s="8" t="s">
        <v>29</v>
      </c>
      <c r="D37" s="7" t="s">
        <v>19</v>
      </c>
      <c r="E37" s="8" t="s">
        <v>207</v>
      </c>
      <c r="F37" s="8" t="s">
        <v>208</v>
      </c>
    </row>
    <row r="38" spans="1:6" x14ac:dyDescent="0.25">
      <c r="A38" s="4">
        <v>13718999000150</v>
      </c>
      <c r="B38" s="8" t="s">
        <v>584</v>
      </c>
      <c r="C38" s="8" t="s">
        <v>29</v>
      </c>
      <c r="D38" s="7" t="s">
        <v>19</v>
      </c>
      <c r="E38" s="8" t="s">
        <v>207</v>
      </c>
      <c r="F38" s="8" t="s">
        <v>208</v>
      </c>
    </row>
    <row r="39" spans="1:6" x14ac:dyDescent="0.25">
      <c r="A39" s="4">
        <v>15217814000150</v>
      </c>
      <c r="B39" s="8" t="s">
        <v>1167</v>
      </c>
      <c r="C39" s="8" t="s">
        <v>29</v>
      </c>
      <c r="D39" s="7" t="s">
        <v>19</v>
      </c>
      <c r="E39" s="8" t="s">
        <v>207</v>
      </c>
      <c r="F39" s="8" t="s">
        <v>208</v>
      </c>
    </row>
    <row r="40" spans="1:6" x14ac:dyDescent="0.25">
      <c r="A40" s="4">
        <v>18180008000142</v>
      </c>
      <c r="B40" s="8" t="s">
        <v>585</v>
      </c>
      <c r="C40" s="8" t="s">
        <v>29</v>
      </c>
      <c r="D40" s="7" t="s">
        <v>19</v>
      </c>
      <c r="E40" s="8" t="s">
        <v>207</v>
      </c>
      <c r="F40" s="8" t="s">
        <v>208</v>
      </c>
    </row>
    <row r="41" spans="1:6" x14ac:dyDescent="0.25">
      <c r="A41" s="4">
        <v>19056055000141</v>
      </c>
      <c r="B41" s="8" t="s">
        <v>586</v>
      </c>
      <c r="C41" s="8" t="s">
        <v>29</v>
      </c>
      <c r="D41" s="7" t="s">
        <v>19</v>
      </c>
      <c r="E41" s="8" t="s">
        <v>207</v>
      </c>
      <c r="F41" s="8" t="s">
        <v>208</v>
      </c>
    </row>
    <row r="42" spans="1:6" x14ac:dyDescent="0.25">
      <c r="A42" s="4">
        <v>19803199000114</v>
      </c>
      <c r="B42" s="8" t="s">
        <v>587</v>
      </c>
      <c r="C42" s="8" t="s">
        <v>29</v>
      </c>
      <c r="D42" s="7" t="s">
        <v>19</v>
      </c>
      <c r="E42" s="8" t="s">
        <v>207</v>
      </c>
      <c r="F42" s="8" t="s">
        <v>208</v>
      </c>
    </row>
    <row r="43" spans="1:6" x14ac:dyDescent="0.25">
      <c r="A43" s="4">
        <v>20812223000241</v>
      </c>
      <c r="B43" s="8" t="s">
        <v>588</v>
      </c>
      <c r="C43" s="8" t="s">
        <v>29</v>
      </c>
      <c r="D43" s="7" t="s">
        <v>19</v>
      </c>
      <c r="E43" s="8" t="s">
        <v>207</v>
      </c>
      <c r="F43" s="8" t="s">
        <v>208</v>
      </c>
    </row>
    <row r="44" spans="1:6" x14ac:dyDescent="0.25">
      <c r="A44" s="4">
        <v>20973216000140</v>
      </c>
      <c r="B44" s="8" t="s">
        <v>1359</v>
      </c>
      <c r="C44" s="8" t="s">
        <v>29</v>
      </c>
      <c r="D44" s="7" t="s">
        <v>19</v>
      </c>
      <c r="E44" s="8" t="s">
        <v>207</v>
      </c>
      <c r="F44" s="8" t="s">
        <v>208</v>
      </c>
    </row>
    <row r="45" spans="1:6" x14ac:dyDescent="0.25">
      <c r="A45" s="4">
        <v>21371777000132</v>
      </c>
      <c r="B45" s="8" t="s">
        <v>589</v>
      </c>
      <c r="C45" s="8" t="s">
        <v>29</v>
      </c>
      <c r="D45" s="7" t="s">
        <v>19</v>
      </c>
      <c r="E45" s="8" t="s">
        <v>207</v>
      </c>
      <c r="F45" s="8" t="s">
        <v>208</v>
      </c>
    </row>
    <row r="46" spans="1:6" x14ac:dyDescent="0.25">
      <c r="A46" s="4">
        <v>22227973000109</v>
      </c>
      <c r="B46" s="8" t="s">
        <v>590</v>
      </c>
      <c r="C46" s="8" t="s">
        <v>29</v>
      </c>
      <c r="D46" s="7" t="s">
        <v>19</v>
      </c>
      <c r="E46" s="8" t="s">
        <v>207</v>
      </c>
      <c r="F46" s="8" t="s">
        <v>208</v>
      </c>
    </row>
    <row r="47" spans="1:6" x14ac:dyDescent="0.25">
      <c r="A47" s="4">
        <v>28290788000137</v>
      </c>
      <c r="B47" s="8" t="s">
        <v>591</v>
      </c>
      <c r="C47" s="8" t="s">
        <v>29</v>
      </c>
      <c r="D47" s="7" t="s">
        <v>19</v>
      </c>
      <c r="E47" s="8" t="s">
        <v>207</v>
      </c>
      <c r="F47" s="8" t="s">
        <v>208</v>
      </c>
    </row>
    <row r="48" spans="1:6" x14ac:dyDescent="0.25">
      <c r="A48" s="4">
        <v>28290788000307</v>
      </c>
      <c r="B48" s="8" t="s">
        <v>592</v>
      </c>
      <c r="C48" s="8" t="s">
        <v>29</v>
      </c>
      <c r="D48" s="7" t="s">
        <v>19</v>
      </c>
      <c r="E48" s="8" t="s">
        <v>207</v>
      </c>
      <c r="F48" s="8" t="s">
        <v>208</v>
      </c>
    </row>
    <row r="49" spans="1:6" x14ac:dyDescent="0.25">
      <c r="A49" s="4">
        <v>29435005002687</v>
      </c>
      <c r="B49" s="8" t="s">
        <v>593</v>
      </c>
      <c r="C49" s="8" t="s">
        <v>29</v>
      </c>
      <c r="D49" s="7" t="s">
        <v>19</v>
      </c>
      <c r="E49" s="8" t="s">
        <v>207</v>
      </c>
      <c r="F49" s="8" t="s">
        <v>208</v>
      </c>
    </row>
    <row r="50" spans="1:6" x14ac:dyDescent="0.25">
      <c r="A50" s="4">
        <v>29435005004540</v>
      </c>
      <c r="B50" s="8" t="s">
        <v>594</v>
      </c>
      <c r="C50" s="8" t="s">
        <v>29</v>
      </c>
      <c r="D50" s="7" t="s">
        <v>19</v>
      </c>
      <c r="E50" s="8" t="s">
        <v>207</v>
      </c>
      <c r="F50" s="8" t="s">
        <v>208</v>
      </c>
    </row>
    <row r="51" spans="1:6" x14ac:dyDescent="0.25">
      <c r="A51" s="4">
        <v>29435005009932</v>
      </c>
      <c r="B51" s="8" t="s">
        <v>595</v>
      </c>
      <c r="C51" s="8" t="s">
        <v>29</v>
      </c>
      <c r="D51" s="7" t="s">
        <v>19</v>
      </c>
      <c r="E51" s="8" t="s">
        <v>207</v>
      </c>
      <c r="F51" s="8" t="s">
        <v>208</v>
      </c>
    </row>
    <row r="52" spans="1:6" x14ac:dyDescent="0.25">
      <c r="A52" s="4">
        <v>43643139000409</v>
      </c>
      <c r="B52" s="8" t="s">
        <v>596</v>
      </c>
      <c r="C52" s="8" t="s">
        <v>29</v>
      </c>
      <c r="D52" s="7" t="s">
        <v>19</v>
      </c>
      <c r="E52" s="8" t="s">
        <v>207</v>
      </c>
      <c r="F52" s="8" t="s">
        <v>208</v>
      </c>
    </row>
    <row r="53" spans="1:6" x14ac:dyDescent="0.25">
      <c r="A53" s="4">
        <v>43775956000178</v>
      </c>
      <c r="B53" s="8" t="s">
        <v>597</v>
      </c>
      <c r="C53" s="8" t="s">
        <v>29</v>
      </c>
      <c r="D53" s="7" t="s">
        <v>19</v>
      </c>
      <c r="E53" s="8" t="s">
        <v>207</v>
      </c>
      <c r="F53" s="8" t="s">
        <v>208</v>
      </c>
    </row>
    <row r="54" spans="1:6" x14ac:dyDescent="0.25">
      <c r="A54" s="4">
        <v>44649812005520</v>
      </c>
      <c r="B54" s="8" t="s">
        <v>598</v>
      </c>
      <c r="C54" s="8" t="s">
        <v>29</v>
      </c>
      <c r="D54" s="7" t="s">
        <v>19</v>
      </c>
      <c r="E54" s="8" t="s">
        <v>207</v>
      </c>
      <c r="F54" s="8" t="s">
        <v>208</v>
      </c>
    </row>
    <row r="55" spans="1:6" x14ac:dyDescent="0.25">
      <c r="A55" s="4">
        <v>44649812021216</v>
      </c>
      <c r="B55" s="8" t="s">
        <v>1360</v>
      </c>
      <c r="C55" s="8" t="s">
        <v>29</v>
      </c>
      <c r="D55" s="7" t="s">
        <v>19</v>
      </c>
      <c r="E55" s="8" t="s">
        <v>207</v>
      </c>
      <c r="F55" s="8" t="s">
        <v>208</v>
      </c>
    </row>
    <row r="56" spans="1:6" x14ac:dyDescent="0.25">
      <c r="A56" s="4">
        <v>45876208000107</v>
      </c>
      <c r="B56" s="8" t="s">
        <v>1361</v>
      </c>
      <c r="C56" s="8" t="s">
        <v>29</v>
      </c>
      <c r="D56" s="7" t="s">
        <v>19</v>
      </c>
      <c r="E56" s="8" t="s">
        <v>207</v>
      </c>
      <c r="F56" s="8" t="s">
        <v>208</v>
      </c>
    </row>
    <row r="57" spans="1:6" x14ac:dyDescent="0.25">
      <c r="A57" s="4">
        <v>46124624002670</v>
      </c>
      <c r="B57" s="8" t="s">
        <v>1226</v>
      </c>
      <c r="C57" s="8" t="s">
        <v>29</v>
      </c>
      <c r="D57" s="7" t="s">
        <v>19</v>
      </c>
      <c r="E57" s="8" t="s">
        <v>207</v>
      </c>
      <c r="F57" s="8" t="s">
        <v>208</v>
      </c>
    </row>
    <row r="58" spans="1:6" x14ac:dyDescent="0.25">
      <c r="A58" s="4">
        <v>46374500000941</v>
      </c>
      <c r="B58" s="8" t="s">
        <v>1227</v>
      </c>
      <c r="C58" s="8" t="s">
        <v>29</v>
      </c>
      <c r="D58" s="7" t="s">
        <v>19</v>
      </c>
      <c r="E58" s="8" t="s">
        <v>207</v>
      </c>
      <c r="F58" s="8" t="s">
        <v>208</v>
      </c>
    </row>
    <row r="59" spans="1:6" x14ac:dyDescent="0.25">
      <c r="A59" s="4">
        <v>46374500008845</v>
      </c>
      <c r="B59" s="8" t="s">
        <v>599</v>
      </c>
      <c r="C59" s="8" t="s">
        <v>29</v>
      </c>
      <c r="D59" s="7" t="s">
        <v>19</v>
      </c>
      <c r="E59" s="8" t="s">
        <v>207</v>
      </c>
      <c r="F59" s="8" t="s">
        <v>208</v>
      </c>
    </row>
    <row r="60" spans="1:6" x14ac:dyDescent="0.25">
      <c r="A60" s="4">
        <v>46374500010823</v>
      </c>
      <c r="B60" s="8" t="s">
        <v>600</v>
      </c>
      <c r="C60" s="8" t="s">
        <v>29</v>
      </c>
      <c r="D60" s="7" t="s">
        <v>19</v>
      </c>
      <c r="E60" s="8" t="s">
        <v>207</v>
      </c>
      <c r="F60" s="8" t="s">
        <v>208</v>
      </c>
    </row>
    <row r="61" spans="1:6" x14ac:dyDescent="0.25">
      <c r="A61" s="4">
        <v>46374500026231</v>
      </c>
      <c r="B61" s="8" t="s">
        <v>601</v>
      </c>
      <c r="C61" s="8" t="s">
        <v>29</v>
      </c>
      <c r="D61" s="7" t="s">
        <v>19</v>
      </c>
      <c r="E61" s="8" t="s">
        <v>207</v>
      </c>
      <c r="F61" s="8" t="s">
        <v>208</v>
      </c>
    </row>
    <row r="62" spans="1:6" x14ac:dyDescent="0.25">
      <c r="A62" s="4">
        <v>51722957000506</v>
      </c>
      <c r="B62" s="8" t="s">
        <v>602</v>
      </c>
      <c r="C62" s="8" t="s">
        <v>29</v>
      </c>
      <c r="D62" s="7" t="s">
        <v>19</v>
      </c>
      <c r="E62" s="8" t="s">
        <v>207</v>
      </c>
      <c r="F62" s="8" t="s">
        <v>208</v>
      </c>
    </row>
    <row r="63" spans="1:6" x14ac:dyDescent="0.25">
      <c r="A63" s="4">
        <v>51722957010226</v>
      </c>
      <c r="B63" s="8" t="s">
        <v>603</v>
      </c>
      <c r="C63" s="8" t="s">
        <v>29</v>
      </c>
      <c r="D63" s="7" t="s">
        <v>19</v>
      </c>
      <c r="E63" s="8" t="s">
        <v>207</v>
      </c>
      <c r="F63" s="8" t="s">
        <v>208</v>
      </c>
    </row>
    <row r="64" spans="1:6" x14ac:dyDescent="0.25">
      <c r="A64" s="4">
        <v>51722957012512</v>
      </c>
      <c r="B64" s="8" t="s">
        <v>604</v>
      </c>
      <c r="C64" s="8" t="s">
        <v>29</v>
      </c>
      <c r="D64" s="7" t="s">
        <v>19</v>
      </c>
      <c r="E64" s="8" t="s">
        <v>207</v>
      </c>
      <c r="F64" s="8" t="s">
        <v>208</v>
      </c>
    </row>
    <row r="65" spans="1:6" x14ac:dyDescent="0.25">
      <c r="A65" s="4">
        <v>56577059000100</v>
      </c>
      <c r="B65" s="8" t="s">
        <v>605</v>
      </c>
      <c r="C65" s="8" t="s">
        <v>29</v>
      </c>
      <c r="D65" s="7" t="s">
        <v>19</v>
      </c>
      <c r="E65" s="8" t="s">
        <v>207</v>
      </c>
      <c r="F65" s="8" t="s">
        <v>208</v>
      </c>
    </row>
    <row r="66" spans="1:6" x14ac:dyDescent="0.25">
      <c r="A66" s="4">
        <v>56577059000606</v>
      </c>
      <c r="B66" s="8" t="s">
        <v>606</v>
      </c>
      <c r="C66" s="8" t="s">
        <v>29</v>
      </c>
      <c r="D66" s="7" t="s">
        <v>19</v>
      </c>
      <c r="E66" s="8" t="s">
        <v>207</v>
      </c>
      <c r="F66" s="8" t="s">
        <v>208</v>
      </c>
    </row>
    <row r="67" spans="1:6" x14ac:dyDescent="0.25">
      <c r="A67" s="4">
        <v>57394710000160</v>
      </c>
      <c r="B67" s="8" t="s">
        <v>607</v>
      </c>
      <c r="C67" s="8" t="s">
        <v>29</v>
      </c>
      <c r="D67" s="7" t="s">
        <v>19</v>
      </c>
      <c r="E67" s="8" t="s">
        <v>207</v>
      </c>
      <c r="F67" s="8" t="s">
        <v>208</v>
      </c>
    </row>
    <row r="68" spans="1:6" x14ac:dyDescent="0.25">
      <c r="A68" s="4">
        <v>59481028000130</v>
      </c>
      <c r="B68" s="8" t="s">
        <v>608</v>
      </c>
      <c r="C68" s="8" t="s">
        <v>29</v>
      </c>
      <c r="D68" s="7" t="s">
        <v>19</v>
      </c>
      <c r="E68" s="8" t="s">
        <v>207</v>
      </c>
      <c r="F68" s="8" t="s">
        <v>208</v>
      </c>
    </row>
    <row r="69" spans="1:6" x14ac:dyDescent="0.25">
      <c r="A69" s="4">
        <v>60448040000122</v>
      </c>
      <c r="B69" s="8" t="s">
        <v>609</v>
      </c>
      <c r="C69" s="8" t="s">
        <v>29</v>
      </c>
      <c r="D69" s="7" t="s">
        <v>19</v>
      </c>
      <c r="E69" s="8" t="s">
        <v>207</v>
      </c>
      <c r="F69" s="8" t="s">
        <v>208</v>
      </c>
    </row>
    <row r="70" spans="1:6" x14ac:dyDescent="0.25">
      <c r="A70" s="4">
        <v>60453024000390</v>
      </c>
      <c r="B70" s="8" t="s">
        <v>610</v>
      </c>
      <c r="C70" s="8" t="s">
        <v>29</v>
      </c>
      <c r="D70" s="7" t="s">
        <v>19</v>
      </c>
      <c r="E70" s="8" t="s">
        <v>207</v>
      </c>
      <c r="F70" s="8" t="s">
        <v>208</v>
      </c>
    </row>
    <row r="71" spans="1:6" x14ac:dyDescent="0.25">
      <c r="A71" s="4">
        <v>60552098000111</v>
      </c>
      <c r="B71" s="8" t="s">
        <v>611</v>
      </c>
      <c r="C71" s="8" t="s">
        <v>29</v>
      </c>
      <c r="D71" s="7" t="s">
        <v>19</v>
      </c>
      <c r="E71" s="8" t="s">
        <v>207</v>
      </c>
      <c r="F71" s="8" t="s">
        <v>208</v>
      </c>
    </row>
    <row r="72" spans="1:6" x14ac:dyDescent="0.25">
      <c r="A72" s="4">
        <v>60678604000113</v>
      </c>
      <c r="B72" s="8" t="s">
        <v>612</v>
      </c>
      <c r="C72" s="8" t="s">
        <v>29</v>
      </c>
      <c r="D72" s="7" t="s">
        <v>19</v>
      </c>
      <c r="E72" s="8" t="s">
        <v>207</v>
      </c>
      <c r="F72" s="8" t="s">
        <v>208</v>
      </c>
    </row>
    <row r="73" spans="1:6" x14ac:dyDescent="0.25">
      <c r="A73" s="4">
        <v>60726502000126</v>
      </c>
      <c r="B73" s="8" t="s">
        <v>613</v>
      </c>
      <c r="C73" s="8" t="s">
        <v>29</v>
      </c>
      <c r="D73" s="7" t="s">
        <v>19</v>
      </c>
      <c r="E73" s="8" t="s">
        <v>207</v>
      </c>
      <c r="F73" s="8" t="s">
        <v>208</v>
      </c>
    </row>
    <row r="74" spans="1:6" x14ac:dyDescent="0.25">
      <c r="A74" s="4">
        <v>60726502000711</v>
      </c>
      <c r="B74" s="8" t="s">
        <v>614</v>
      </c>
      <c r="C74" s="8" t="s">
        <v>29</v>
      </c>
      <c r="D74" s="7" t="s">
        <v>19</v>
      </c>
      <c r="E74" s="8" t="s">
        <v>207</v>
      </c>
      <c r="F74" s="8" t="s">
        <v>208</v>
      </c>
    </row>
    <row r="75" spans="1:6" x14ac:dyDescent="0.25">
      <c r="A75" s="4">
        <v>60742616000160</v>
      </c>
      <c r="B75" s="8" t="s">
        <v>1362</v>
      </c>
      <c r="C75" s="8" t="s">
        <v>29</v>
      </c>
      <c r="D75" s="7" t="s">
        <v>19</v>
      </c>
      <c r="E75" s="8" t="s">
        <v>207</v>
      </c>
      <c r="F75" s="8" t="s">
        <v>208</v>
      </c>
    </row>
    <row r="76" spans="1:6" x14ac:dyDescent="0.25">
      <c r="A76" s="4">
        <v>60742616000674</v>
      </c>
      <c r="B76" s="8" t="s">
        <v>1363</v>
      </c>
      <c r="C76" s="8" t="s">
        <v>29</v>
      </c>
      <c r="D76" s="7" t="s">
        <v>19</v>
      </c>
      <c r="E76" s="8" t="s">
        <v>207</v>
      </c>
      <c r="F76" s="8" t="s">
        <v>208</v>
      </c>
    </row>
    <row r="77" spans="1:6" x14ac:dyDescent="0.25">
      <c r="A77" s="4">
        <v>60765823000130</v>
      </c>
      <c r="B77" s="8" t="s">
        <v>615</v>
      </c>
      <c r="C77" s="8" t="s">
        <v>29</v>
      </c>
      <c r="D77" s="7" t="s">
        <v>19</v>
      </c>
      <c r="E77" s="8" t="s">
        <v>207</v>
      </c>
      <c r="F77" s="8" t="s">
        <v>208</v>
      </c>
    </row>
    <row r="78" spans="1:6" x14ac:dyDescent="0.25">
      <c r="A78" s="4">
        <v>60777901000116</v>
      </c>
      <c r="B78" s="8" t="s">
        <v>616</v>
      </c>
      <c r="C78" s="8" t="s">
        <v>29</v>
      </c>
      <c r="D78" s="7" t="s">
        <v>19</v>
      </c>
      <c r="E78" s="8" t="s">
        <v>207</v>
      </c>
      <c r="F78" s="8" t="s">
        <v>208</v>
      </c>
    </row>
    <row r="79" spans="1:6" x14ac:dyDescent="0.25">
      <c r="A79" s="4">
        <v>60884855000316</v>
      </c>
      <c r="B79" s="8" t="s">
        <v>617</v>
      </c>
      <c r="C79" s="8" t="s">
        <v>29</v>
      </c>
      <c r="D79" s="7" t="s">
        <v>19</v>
      </c>
      <c r="E79" s="8" t="s">
        <v>207</v>
      </c>
      <c r="F79" s="8" t="s">
        <v>208</v>
      </c>
    </row>
    <row r="80" spans="1:6" x14ac:dyDescent="0.25">
      <c r="A80" s="4">
        <v>60922168000771</v>
      </c>
      <c r="B80" s="8" t="s">
        <v>618</v>
      </c>
      <c r="C80" s="8" t="s">
        <v>29</v>
      </c>
      <c r="D80" s="7" t="s">
        <v>19</v>
      </c>
      <c r="E80" s="8" t="s">
        <v>207</v>
      </c>
      <c r="F80" s="8" t="s">
        <v>208</v>
      </c>
    </row>
    <row r="81" spans="1:6" x14ac:dyDescent="0.25">
      <c r="A81" s="4">
        <v>60922168004335</v>
      </c>
      <c r="B81" s="8" t="s">
        <v>619</v>
      </c>
      <c r="C81" s="8" t="s">
        <v>29</v>
      </c>
      <c r="D81" s="7" t="s">
        <v>19</v>
      </c>
      <c r="E81" s="8" t="s">
        <v>207</v>
      </c>
      <c r="F81" s="8" t="s">
        <v>208</v>
      </c>
    </row>
    <row r="82" spans="1:6" x14ac:dyDescent="0.25">
      <c r="A82" s="4">
        <v>60961422000155</v>
      </c>
      <c r="B82" s="8" t="s">
        <v>620</v>
      </c>
      <c r="C82" s="8" t="s">
        <v>29</v>
      </c>
      <c r="D82" s="7" t="s">
        <v>19</v>
      </c>
      <c r="E82" s="8" t="s">
        <v>207</v>
      </c>
      <c r="F82" s="8" t="s">
        <v>208</v>
      </c>
    </row>
    <row r="83" spans="1:6" x14ac:dyDescent="0.25">
      <c r="A83" s="4">
        <v>60961968000106</v>
      </c>
      <c r="B83" s="8" t="s">
        <v>621</v>
      </c>
      <c r="C83" s="8" t="s">
        <v>29</v>
      </c>
      <c r="D83" s="7" t="s">
        <v>19</v>
      </c>
      <c r="E83" s="8" t="s">
        <v>207</v>
      </c>
      <c r="F83" s="8" t="s">
        <v>208</v>
      </c>
    </row>
    <row r="84" spans="1:6" x14ac:dyDescent="0.25">
      <c r="A84" s="4">
        <v>60961968000459</v>
      </c>
      <c r="B84" s="8" t="s">
        <v>622</v>
      </c>
      <c r="C84" s="8" t="s">
        <v>29</v>
      </c>
      <c r="D84" s="7" t="s">
        <v>19</v>
      </c>
      <c r="E84" s="8" t="s">
        <v>207</v>
      </c>
      <c r="F84" s="8" t="s">
        <v>208</v>
      </c>
    </row>
    <row r="85" spans="1:6" x14ac:dyDescent="0.25">
      <c r="A85" s="4">
        <v>60975174000363</v>
      </c>
      <c r="B85" s="8" t="s">
        <v>623</v>
      </c>
      <c r="C85" s="8" t="s">
        <v>29</v>
      </c>
      <c r="D85" s="7" t="s">
        <v>19</v>
      </c>
      <c r="E85" s="8" t="s">
        <v>207</v>
      </c>
      <c r="F85" s="8" t="s">
        <v>208</v>
      </c>
    </row>
    <row r="86" spans="1:6" x14ac:dyDescent="0.25">
      <c r="A86" s="4">
        <v>60975737000232</v>
      </c>
      <c r="B86" s="8" t="s">
        <v>624</v>
      </c>
      <c r="C86" s="8" t="s">
        <v>29</v>
      </c>
      <c r="D86" s="7" t="s">
        <v>19</v>
      </c>
      <c r="E86" s="8" t="s">
        <v>207</v>
      </c>
      <c r="F86" s="8" t="s">
        <v>208</v>
      </c>
    </row>
    <row r="87" spans="1:6" x14ac:dyDescent="0.25">
      <c r="A87" s="4">
        <v>60975737001204</v>
      </c>
      <c r="B87" s="8" t="s">
        <v>625</v>
      </c>
      <c r="C87" s="8" t="s">
        <v>29</v>
      </c>
      <c r="D87" s="7" t="s">
        <v>19</v>
      </c>
      <c r="E87" s="8" t="s">
        <v>207</v>
      </c>
      <c r="F87" s="8" t="s">
        <v>208</v>
      </c>
    </row>
    <row r="88" spans="1:6" x14ac:dyDescent="0.25">
      <c r="A88" s="4">
        <v>60975737005110</v>
      </c>
      <c r="B88" s="8" t="s">
        <v>626</v>
      </c>
      <c r="C88" s="8" t="s">
        <v>29</v>
      </c>
      <c r="D88" s="7" t="s">
        <v>19</v>
      </c>
      <c r="E88" s="8" t="s">
        <v>207</v>
      </c>
      <c r="F88" s="8" t="s">
        <v>208</v>
      </c>
    </row>
    <row r="89" spans="1:6" x14ac:dyDescent="0.25">
      <c r="A89" s="4">
        <v>60979457000111</v>
      </c>
      <c r="B89" s="8" t="s">
        <v>1232</v>
      </c>
      <c r="C89" s="8" t="s">
        <v>29</v>
      </c>
      <c r="D89" s="7" t="s">
        <v>19</v>
      </c>
      <c r="E89" s="8" t="s">
        <v>207</v>
      </c>
      <c r="F89" s="8" t="s">
        <v>208</v>
      </c>
    </row>
    <row r="90" spans="1:6" x14ac:dyDescent="0.25">
      <c r="A90" s="4">
        <v>60992427000650</v>
      </c>
      <c r="B90" s="8" t="s">
        <v>627</v>
      </c>
      <c r="C90" s="8" t="s">
        <v>29</v>
      </c>
      <c r="D90" s="7" t="s">
        <v>19</v>
      </c>
      <c r="E90" s="8" t="s">
        <v>207</v>
      </c>
      <c r="F90" s="8" t="s">
        <v>208</v>
      </c>
    </row>
    <row r="91" spans="1:6" x14ac:dyDescent="0.25">
      <c r="A91" s="4">
        <v>61062212000198</v>
      </c>
      <c r="B91" s="8" t="s">
        <v>628</v>
      </c>
      <c r="C91" s="8" t="s">
        <v>29</v>
      </c>
      <c r="D91" s="7" t="s">
        <v>19</v>
      </c>
      <c r="E91" s="8" t="s">
        <v>207</v>
      </c>
      <c r="F91" s="8" t="s">
        <v>208</v>
      </c>
    </row>
    <row r="92" spans="1:6" x14ac:dyDescent="0.25">
      <c r="A92" s="4">
        <v>61213674000240</v>
      </c>
      <c r="B92" s="8" t="s">
        <v>629</v>
      </c>
      <c r="C92" s="8" t="s">
        <v>29</v>
      </c>
      <c r="D92" s="7" t="s">
        <v>19</v>
      </c>
      <c r="E92" s="8" t="s">
        <v>207</v>
      </c>
      <c r="F92" s="8" t="s">
        <v>208</v>
      </c>
    </row>
    <row r="93" spans="1:6" x14ac:dyDescent="0.25">
      <c r="A93" s="4">
        <v>61590410000124</v>
      </c>
      <c r="B93" s="8" t="s">
        <v>630</v>
      </c>
      <c r="C93" s="8" t="s">
        <v>29</v>
      </c>
      <c r="D93" s="7" t="s">
        <v>19</v>
      </c>
      <c r="E93" s="8" t="s">
        <v>207</v>
      </c>
      <c r="F93" s="8" t="s">
        <v>208</v>
      </c>
    </row>
    <row r="94" spans="1:6" x14ac:dyDescent="0.25">
      <c r="A94" s="4">
        <v>61599908000158</v>
      </c>
      <c r="B94" s="8" t="s">
        <v>631</v>
      </c>
      <c r="C94" s="8" t="s">
        <v>29</v>
      </c>
      <c r="D94" s="7" t="s">
        <v>19</v>
      </c>
      <c r="E94" s="8" t="s">
        <v>207</v>
      </c>
      <c r="F94" s="8" t="s">
        <v>208</v>
      </c>
    </row>
    <row r="95" spans="1:6" x14ac:dyDescent="0.25">
      <c r="A95" s="4">
        <v>61699567006204</v>
      </c>
      <c r="B95" s="8" t="s">
        <v>1364</v>
      </c>
      <c r="C95" s="8" t="s">
        <v>29</v>
      </c>
      <c r="D95" s="7" t="s">
        <v>19</v>
      </c>
      <c r="E95" s="8" t="s">
        <v>207</v>
      </c>
      <c r="F95" s="8" t="s">
        <v>208</v>
      </c>
    </row>
    <row r="96" spans="1:6" x14ac:dyDescent="0.25">
      <c r="A96" s="4">
        <v>61849980001087</v>
      </c>
      <c r="B96" s="8" t="s">
        <v>632</v>
      </c>
      <c r="C96" s="8" t="s">
        <v>29</v>
      </c>
      <c r="D96" s="7" t="s">
        <v>19</v>
      </c>
      <c r="E96" s="8" t="s">
        <v>207</v>
      </c>
      <c r="F96" s="8" t="s">
        <v>208</v>
      </c>
    </row>
    <row r="97" spans="1:6" x14ac:dyDescent="0.25">
      <c r="A97" s="4">
        <v>62106505000192</v>
      </c>
      <c r="B97" s="8" t="s">
        <v>633</v>
      </c>
      <c r="C97" s="8" t="s">
        <v>29</v>
      </c>
      <c r="D97" s="7" t="s">
        <v>19</v>
      </c>
      <c r="E97" s="8" t="s">
        <v>207</v>
      </c>
      <c r="F97" s="8" t="s">
        <v>208</v>
      </c>
    </row>
    <row r="98" spans="1:6" x14ac:dyDescent="0.25">
      <c r="A98" s="4">
        <v>62779145000190</v>
      </c>
      <c r="B98" s="8" t="s">
        <v>634</v>
      </c>
      <c r="C98" s="8" t="s">
        <v>29</v>
      </c>
      <c r="D98" s="7" t="s">
        <v>19</v>
      </c>
      <c r="E98" s="8" t="s">
        <v>207</v>
      </c>
      <c r="F98" s="8" t="s">
        <v>208</v>
      </c>
    </row>
    <row r="99" spans="1:6" x14ac:dyDescent="0.25">
      <c r="A99" s="4">
        <v>67185694000150</v>
      </c>
      <c r="B99" s="8" t="s">
        <v>635</v>
      </c>
      <c r="C99" s="8" t="s">
        <v>29</v>
      </c>
      <c r="D99" s="7" t="s">
        <v>19</v>
      </c>
      <c r="E99" s="8" t="s">
        <v>207</v>
      </c>
      <c r="F99" s="8" t="s">
        <v>208</v>
      </c>
    </row>
    <row r="100" spans="1:6" x14ac:dyDescent="0.25">
      <c r="A100" s="4">
        <v>72775745000133</v>
      </c>
      <c r="B100" s="8" t="s">
        <v>636</v>
      </c>
      <c r="C100" s="8" t="s">
        <v>29</v>
      </c>
      <c r="D100" s="7" t="s">
        <v>19</v>
      </c>
      <c r="E100" s="8" t="s">
        <v>207</v>
      </c>
      <c r="F100" s="8" t="s">
        <v>208</v>
      </c>
    </row>
    <row r="101" spans="1:6" x14ac:dyDescent="0.25">
      <c r="A101" s="4">
        <v>9591608000293</v>
      </c>
      <c r="B101" s="8" t="s">
        <v>1455</v>
      </c>
      <c r="C101" s="8" t="s">
        <v>29</v>
      </c>
      <c r="D101" s="7" t="s">
        <v>19</v>
      </c>
      <c r="E101" s="8"/>
      <c r="F101" s="8"/>
    </row>
    <row r="102" spans="1:6" x14ac:dyDescent="0.25">
      <c r="A102" s="4">
        <v>43586122000971</v>
      </c>
      <c r="B102" s="8" t="s">
        <v>1486</v>
      </c>
      <c r="C102" s="8" t="s">
        <v>29</v>
      </c>
      <c r="D102" s="7" t="s">
        <v>19</v>
      </c>
      <c r="E102" s="8"/>
      <c r="F102" s="8"/>
    </row>
    <row r="103" spans="1:6" x14ac:dyDescent="0.25">
      <c r="A103" s="4">
        <v>46374500011803</v>
      </c>
      <c r="B103" s="8" t="s">
        <v>1487</v>
      </c>
      <c r="C103" s="8" t="s">
        <v>29</v>
      </c>
      <c r="D103" s="7" t="s">
        <v>19</v>
      </c>
      <c r="E103" s="8"/>
      <c r="F103" s="8"/>
    </row>
    <row r="104" spans="1:6" x14ac:dyDescent="0.25">
      <c r="A104" s="4">
        <v>60742616001301</v>
      </c>
      <c r="B104" s="8" t="s">
        <v>1495</v>
      </c>
      <c r="C104" s="8" t="s">
        <v>29</v>
      </c>
      <c r="D104" s="7" t="s">
        <v>19</v>
      </c>
      <c r="E104" s="8"/>
      <c r="F104" s="8"/>
    </row>
    <row r="105" spans="1:6" x14ac:dyDescent="0.25">
      <c r="A105" s="4">
        <v>60840055000131</v>
      </c>
      <c r="B105" s="8" t="s">
        <v>1496</v>
      </c>
      <c r="C105" s="8" t="s">
        <v>29</v>
      </c>
      <c r="D105" s="7" t="s">
        <v>19</v>
      </c>
      <c r="E105" s="8"/>
      <c r="F105" s="8"/>
    </row>
    <row r="106" spans="1:6" x14ac:dyDescent="0.25">
      <c r="A106" s="4">
        <v>60975976000101</v>
      </c>
      <c r="B106" s="8" t="s">
        <v>1497</v>
      </c>
      <c r="C106" s="8" t="s">
        <v>29</v>
      </c>
      <c r="D106" s="7" t="s">
        <v>19</v>
      </c>
      <c r="E106" s="8"/>
      <c r="F106" s="8"/>
    </row>
    <row r="107" spans="1:6" x14ac:dyDescent="0.25">
      <c r="A107" s="4">
        <v>461479007257</v>
      </c>
      <c r="B107" s="8" t="s">
        <v>1435</v>
      </c>
      <c r="C107" s="8" t="s">
        <v>35</v>
      </c>
      <c r="D107" s="7" t="s">
        <v>19</v>
      </c>
      <c r="E107" s="8"/>
      <c r="F107" s="8"/>
    </row>
    <row r="108" spans="1:6" x14ac:dyDescent="0.25">
      <c r="A108" s="4">
        <v>745887000570</v>
      </c>
      <c r="B108" s="8" t="s">
        <v>1436</v>
      </c>
      <c r="C108" s="8" t="s">
        <v>1437</v>
      </c>
      <c r="D108" s="7" t="s">
        <v>19</v>
      </c>
      <c r="E108" s="8"/>
      <c r="F108" s="8"/>
    </row>
    <row r="109" spans="1:6" x14ac:dyDescent="0.25">
      <c r="A109" s="4">
        <v>2639768000135</v>
      </c>
      <c r="B109" s="8" t="s">
        <v>1446</v>
      </c>
      <c r="C109" s="8" t="s">
        <v>1372</v>
      </c>
      <c r="D109" s="7" t="s">
        <v>19</v>
      </c>
      <c r="E109" s="8"/>
      <c r="F109" s="8"/>
    </row>
    <row r="110" spans="1:6" x14ac:dyDescent="0.25">
      <c r="A110" s="4">
        <v>3117525000108</v>
      </c>
      <c r="B110" s="8" t="s">
        <v>1447</v>
      </c>
      <c r="C110" s="8" t="s">
        <v>35</v>
      </c>
      <c r="D110" s="7" t="s">
        <v>19</v>
      </c>
      <c r="E110" s="8"/>
      <c r="F110" s="8"/>
    </row>
    <row r="111" spans="1:6" x14ac:dyDescent="0.25">
      <c r="A111" s="4">
        <v>4708424000166</v>
      </c>
      <c r="B111" s="8" t="s">
        <v>1450</v>
      </c>
      <c r="C111" s="8" t="s">
        <v>674</v>
      </c>
      <c r="D111" s="7" t="s">
        <v>19</v>
      </c>
      <c r="E111" s="8"/>
      <c r="F111" s="8"/>
    </row>
    <row r="112" spans="1:6" x14ac:dyDescent="0.25">
      <c r="A112" s="4">
        <v>33215770000100</v>
      </c>
      <c r="B112" s="8" t="s">
        <v>1476</v>
      </c>
      <c r="C112" s="8" t="s">
        <v>1477</v>
      </c>
      <c r="D112" s="7" t="s">
        <v>19</v>
      </c>
      <c r="E112" s="8"/>
      <c r="F112" s="8"/>
    </row>
    <row r="113" spans="1:6" x14ac:dyDescent="0.25">
      <c r="A113" s="4">
        <v>47018676000176</v>
      </c>
      <c r="B113" s="8" t="s">
        <v>1488</v>
      </c>
      <c r="C113" s="8" t="s">
        <v>33</v>
      </c>
      <c r="D113" s="7" t="s">
        <v>19</v>
      </c>
      <c r="E113" s="8"/>
      <c r="F113" s="8"/>
    </row>
    <row r="114" spans="1:6" x14ac:dyDescent="0.25">
      <c r="A114" s="4">
        <v>50739135001709</v>
      </c>
      <c r="B114" s="8" t="s">
        <v>1489</v>
      </c>
      <c r="C114" s="8" t="s">
        <v>678</v>
      </c>
      <c r="D114" s="7" t="s">
        <v>19</v>
      </c>
      <c r="E114" s="8"/>
      <c r="F114" s="8"/>
    </row>
    <row r="115" spans="1:6" x14ac:dyDescent="0.25">
      <c r="A115" s="4">
        <v>51427540000359</v>
      </c>
      <c r="B115" s="8" t="s">
        <v>1490</v>
      </c>
      <c r="C115" s="8" t="s">
        <v>1491</v>
      </c>
      <c r="D115" s="7" t="s">
        <v>19</v>
      </c>
      <c r="E115" s="8"/>
      <c r="F115" s="8"/>
    </row>
    <row r="116" spans="1:6" x14ac:dyDescent="0.25">
      <c r="A116" s="4">
        <v>56014830000122</v>
      </c>
      <c r="B116" s="8" t="s">
        <v>1492</v>
      </c>
      <c r="C116" s="8" t="s">
        <v>639</v>
      </c>
      <c r="D116" s="7" t="s">
        <v>19</v>
      </c>
      <c r="E116" s="8"/>
      <c r="F116" s="8"/>
    </row>
    <row r="117" spans="1:6" x14ac:dyDescent="0.25">
      <c r="A117" s="4">
        <v>58597774000121</v>
      </c>
      <c r="B117" s="8" t="s">
        <v>1493</v>
      </c>
      <c r="C117" s="8" t="s">
        <v>33</v>
      </c>
      <c r="D117" s="7" t="s">
        <v>19</v>
      </c>
      <c r="E117" s="8"/>
      <c r="F117" s="8"/>
    </row>
    <row r="118" spans="1:6" x14ac:dyDescent="0.25">
      <c r="A118" s="4">
        <v>60190550000142</v>
      </c>
      <c r="B118" s="8" t="s">
        <v>1494</v>
      </c>
      <c r="C118" s="8" t="s">
        <v>650</v>
      </c>
      <c r="D118" s="7" t="s">
        <v>19</v>
      </c>
      <c r="E118" s="8"/>
      <c r="F118" s="8"/>
    </row>
    <row r="119" spans="1:6" x14ac:dyDescent="0.25">
      <c r="A119" s="4">
        <v>61687356004399</v>
      </c>
      <c r="B119" s="8" t="s">
        <v>1498</v>
      </c>
      <c r="C119" s="8" t="s">
        <v>42</v>
      </c>
      <c r="D119" s="7" t="s">
        <v>19</v>
      </c>
      <c r="E119" s="8"/>
      <c r="F119" s="8"/>
    </row>
    <row r="120" spans="1:6" x14ac:dyDescent="0.25">
      <c r="A120" s="4">
        <v>69289171000189</v>
      </c>
      <c r="B120" s="8" t="s">
        <v>1499</v>
      </c>
      <c r="C120" s="8" t="s">
        <v>1500</v>
      </c>
      <c r="D120" s="7" t="s">
        <v>19</v>
      </c>
      <c r="E120" s="8"/>
      <c r="F120" s="8"/>
    </row>
    <row r="121" spans="1:6" x14ac:dyDescent="0.25">
      <c r="A121" s="4">
        <v>840048000450</v>
      </c>
      <c r="B121" s="8" t="s">
        <v>637</v>
      </c>
      <c r="C121" s="8" t="s">
        <v>30</v>
      </c>
      <c r="D121" s="7" t="s">
        <v>19</v>
      </c>
      <c r="E121" s="8" t="s">
        <v>207</v>
      </c>
      <c r="F121" s="8" t="s">
        <v>208</v>
      </c>
    </row>
    <row r="122" spans="1:6" x14ac:dyDescent="0.25">
      <c r="A122" s="4">
        <v>1613433006892</v>
      </c>
      <c r="B122" s="8" t="s">
        <v>638</v>
      </c>
      <c r="C122" s="8" t="s">
        <v>639</v>
      </c>
      <c r="D122" s="7" t="s">
        <v>19</v>
      </c>
      <c r="E122" s="8" t="s">
        <v>207</v>
      </c>
      <c r="F122" s="8" t="s">
        <v>208</v>
      </c>
    </row>
    <row r="123" spans="1:6" x14ac:dyDescent="0.25">
      <c r="A123" s="4">
        <v>1613433008089</v>
      </c>
      <c r="B123" s="8" t="s">
        <v>640</v>
      </c>
      <c r="C123" s="8" t="s">
        <v>47</v>
      </c>
      <c r="D123" s="7" t="s">
        <v>19</v>
      </c>
      <c r="E123" s="8" t="s">
        <v>207</v>
      </c>
      <c r="F123" s="8" t="s">
        <v>208</v>
      </c>
    </row>
    <row r="124" spans="1:6" x14ac:dyDescent="0.25">
      <c r="A124" s="4">
        <v>1613433010814</v>
      </c>
      <c r="B124" s="8" t="s">
        <v>641</v>
      </c>
      <c r="C124" s="8" t="s">
        <v>49</v>
      </c>
      <c r="D124" s="7" t="s">
        <v>19</v>
      </c>
      <c r="E124" s="8" t="s">
        <v>207</v>
      </c>
      <c r="F124" s="8" t="s">
        <v>208</v>
      </c>
    </row>
    <row r="125" spans="1:6" x14ac:dyDescent="0.25">
      <c r="A125" s="4">
        <v>1773319000201</v>
      </c>
      <c r="B125" s="8" t="s">
        <v>1373</v>
      </c>
      <c r="C125" s="8" t="s">
        <v>1374</v>
      </c>
      <c r="D125" s="7" t="s">
        <v>19</v>
      </c>
      <c r="E125" s="8" t="s">
        <v>207</v>
      </c>
      <c r="F125" s="8" t="s">
        <v>208</v>
      </c>
    </row>
    <row r="126" spans="1:6" x14ac:dyDescent="0.25">
      <c r="A126" s="4">
        <v>2643405000173</v>
      </c>
      <c r="B126" s="8" t="s">
        <v>642</v>
      </c>
      <c r="C126" s="8" t="s">
        <v>643</v>
      </c>
      <c r="D126" s="7" t="s">
        <v>19</v>
      </c>
      <c r="E126" s="8" t="s">
        <v>207</v>
      </c>
      <c r="F126" s="8" t="s">
        <v>208</v>
      </c>
    </row>
    <row r="127" spans="1:6" x14ac:dyDescent="0.25">
      <c r="A127" s="4">
        <v>4127483000140</v>
      </c>
      <c r="B127" s="8" t="s">
        <v>644</v>
      </c>
      <c r="C127" s="8" t="s">
        <v>639</v>
      </c>
      <c r="D127" s="7" t="s">
        <v>19</v>
      </c>
      <c r="E127" s="8" t="s">
        <v>207</v>
      </c>
      <c r="F127" s="8" t="s">
        <v>208</v>
      </c>
    </row>
    <row r="128" spans="1:6" x14ac:dyDescent="0.25">
      <c r="A128" s="4">
        <v>4275687000129</v>
      </c>
      <c r="B128" s="8" t="s">
        <v>645</v>
      </c>
      <c r="C128" s="8" t="s">
        <v>31</v>
      </c>
      <c r="D128" s="7" t="s">
        <v>19</v>
      </c>
      <c r="E128" s="8" t="s">
        <v>207</v>
      </c>
      <c r="F128" s="8" t="s">
        <v>208</v>
      </c>
    </row>
    <row r="129" spans="1:6" x14ac:dyDescent="0.25">
      <c r="A129" s="4">
        <v>6033403000113</v>
      </c>
      <c r="B129" s="8" t="s">
        <v>646</v>
      </c>
      <c r="C129" s="8" t="s">
        <v>647</v>
      </c>
      <c r="D129" s="7" t="s">
        <v>19</v>
      </c>
      <c r="E129" s="8" t="s">
        <v>207</v>
      </c>
      <c r="F129" s="8" t="s">
        <v>208</v>
      </c>
    </row>
    <row r="130" spans="1:6" x14ac:dyDescent="0.25">
      <c r="A130" s="4">
        <v>6047087000724</v>
      </c>
      <c r="B130" s="8" t="s">
        <v>648</v>
      </c>
      <c r="C130" s="8" t="s">
        <v>647</v>
      </c>
      <c r="D130" s="7" t="s">
        <v>19</v>
      </c>
      <c r="E130" s="8" t="s">
        <v>207</v>
      </c>
      <c r="F130" s="8" t="s">
        <v>208</v>
      </c>
    </row>
    <row r="131" spans="1:6" x14ac:dyDescent="0.25">
      <c r="A131" s="4">
        <v>6047087003073</v>
      </c>
      <c r="B131" s="8" t="s">
        <v>649</v>
      </c>
      <c r="C131" s="8" t="s">
        <v>650</v>
      </c>
      <c r="D131" s="7" t="s">
        <v>19</v>
      </c>
      <c r="E131" s="8" t="s">
        <v>207</v>
      </c>
      <c r="F131" s="8" t="s">
        <v>208</v>
      </c>
    </row>
    <row r="132" spans="1:6" x14ac:dyDescent="0.25">
      <c r="A132" s="4">
        <v>6047087007656</v>
      </c>
      <c r="B132" s="8" t="s">
        <v>651</v>
      </c>
      <c r="C132" s="8" t="s">
        <v>32</v>
      </c>
      <c r="D132" s="7" t="s">
        <v>19</v>
      </c>
      <c r="E132" s="8" t="s">
        <v>207</v>
      </c>
      <c r="F132" s="8" t="s">
        <v>208</v>
      </c>
    </row>
    <row r="133" spans="1:6" x14ac:dyDescent="0.25">
      <c r="A133" s="4">
        <v>6047087007907</v>
      </c>
      <c r="B133" s="8" t="s">
        <v>652</v>
      </c>
      <c r="C133" s="8" t="s">
        <v>647</v>
      </c>
      <c r="D133" s="7" t="s">
        <v>19</v>
      </c>
      <c r="E133" s="8" t="s">
        <v>207</v>
      </c>
      <c r="F133" s="8" t="s">
        <v>208</v>
      </c>
    </row>
    <row r="134" spans="1:6" x14ac:dyDescent="0.25">
      <c r="A134" s="4">
        <v>6209132000104</v>
      </c>
      <c r="B134" s="8" t="s">
        <v>653</v>
      </c>
      <c r="C134" s="8" t="s">
        <v>654</v>
      </c>
      <c r="D134" s="7" t="s">
        <v>19</v>
      </c>
      <c r="E134" s="8" t="s">
        <v>207</v>
      </c>
      <c r="F134" s="8" t="s">
        <v>208</v>
      </c>
    </row>
    <row r="135" spans="1:6" x14ac:dyDescent="0.25">
      <c r="A135" s="4">
        <v>8000609000172</v>
      </c>
      <c r="B135" s="8" t="s">
        <v>655</v>
      </c>
      <c r="C135" s="8" t="s">
        <v>542</v>
      </c>
      <c r="D135" s="7" t="s">
        <v>19</v>
      </c>
      <c r="E135" s="8" t="s">
        <v>207</v>
      </c>
      <c r="F135" s="8" t="s">
        <v>208</v>
      </c>
    </row>
    <row r="136" spans="1:6" x14ac:dyDescent="0.25">
      <c r="A136" s="4">
        <v>8100676000401</v>
      </c>
      <c r="B136" s="8" t="s">
        <v>1365</v>
      </c>
      <c r="C136" s="8" t="s">
        <v>674</v>
      </c>
      <c r="D136" s="7" t="s">
        <v>19</v>
      </c>
      <c r="E136" s="8" t="s">
        <v>207</v>
      </c>
      <c r="F136" s="8" t="s">
        <v>208</v>
      </c>
    </row>
    <row r="137" spans="1:6" x14ac:dyDescent="0.25">
      <c r="A137" s="4">
        <v>9528436000122</v>
      </c>
      <c r="B137" s="8" t="s">
        <v>656</v>
      </c>
      <c r="C137" s="8" t="s">
        <v>657</v>
      </c>
      <c r="D137" s="7" t="s">
        <v>19</v>
      </c>
      <c r="E137" s="8" t="s">
        <v>207</v>
      </c>
      <c r="F137" s="8" t="s">
        <v>208</v>
      </c>
    </row>
    <row r="138" spans="1:6" x14ac:dyDescent="0.25">
      <c r="A138" s="4">
        <v>10447300000177</v>
      </c>
      <c r="B138" s="8" t="s">
        <v>658</v>
      </c>
      <c r="C138" s="8" t="s">
        <v>33</v>
      </c>
      <c r="D138" s="7" t="s">
        <v>19</v>
      </c>
      <c r="E138" s="8" t="s">
        <v>207</v>
      </c>
      <c r="F138" s="8" t="s">
        <v>208</v>
      </c>
    </row>
    <row r="139" spans="1:6" x14ac:dyDescent="0.25">
      <c r="A139" s="4">
        <v>10576443000189</v>
      </c>
      <c r="B139" s="8" t="s">
        <v>659</v>
      </c>
      <c r="C139" s="8" t="s">
        <v>643</v>
      </c>
      <c r="D139" s="7" t="s">
        <v>19</v>
      </c>
      <c r="E139" s="8" t="s">
        <v>207</v>
      </c>
      <c r="F139" s="8" t="s">
        <v>208</v>
      </c>
    </row>
    <row r="140" spans="1:6" x14ac:dyDescent="0.25">
      <c r="A140" s="4">
        <v>10868295000176</v>
      </c>
      <c r="B140" s="8" t="s">
        <v>660</v>
      </c>
      <c r="C140" s="8" t="s">
        <v>35</v>
      </c>
      <c r="D140" s="7" t="s">
        <v>19</v>
      </c>
      <c r="E140" s="8" t="s">
        <v>207</v>
      </c>
      <c r="F140" s="8" t="s">
        <v>208</v>
      </c>
    </row>
    <row r="141" spans="1:6" x14ac:dyDescent="0.25">
      <c r="A141" s="4">
        <v>12474705000120</v>
      </c>
      <c r="B141" s="8" t="s">
        <v>661</v>
      </c>
      <c r="C141" s="8" t="s">
        <v>48</v>
      </c>
      <c r="D141" s="7" t="s">
        <v>19</v>
      </c>
      <c r="E141" s="8" t="s">
        <v>207</v>
      </c>
      <c r="F141" s="8" t="s">
        <v>208</v>
      </c>
    </row>
    <row r="142" spans="1:6" x14ac:dyDescent="0.25">
      <c r="A142" s="4">
        <v>13718999001041</v>
      </c>
      <c r="B142" s="8" t="s">
        <v>662</v>
      </c>
      <c r="C142" s="8" t="s">
        <v>647</v>
      </c>
      <c r="D142" s="7" t="s">
        <v>19</v>
      </c>
      <c r="E142" s="8" t="s">
        <v>207</v>
      </c>
      <c r="F142" s="8" t="s">
        <v>208</v>
      </c>
    </row>
    <row r="143" spans="1:6" x14ac:dyDescent="0.25">
      <c r="A143" s="4">
        <v>18290268000170</v>
      </c>
      <c r="B143" s="8" t="s">
        <v>663</v>
      </c>
      <c r="C143" s="8" t="s">
        <v>35</v>
      </c>
      <c r="D143" s="7" t="s">
        <v>19</v>
      </c>
      <c r="E143" s="8" t="s">
        <v>207</v>
      </c>
      <c r="F143" s="8" t="s">
        <v>208</v>
      </c>
    </row>
    <row r="144" spans="1:6" x14ac:dyDescent="0.25">
      <c r="A144" s="4">
        <v>18321477000134</v>
      </c>
      <c r="B144" s="8" t="s">
        <v>664</v>
      </c>
      <c r="C144" s="8" t="s">
        <v>650</v>
      </c>
      <c r="D144" s="7" t="s">
        <v>19</v>
      </c>
      <c r="E144" s="8" t="s">
        <v>207</v>
      </c>
      <c r="F144" s="8" t="s">
        <v>208</v>
      </c>
    </row>
    <row r="145" spans="1:6" x14ac:dyDescent="0.25">
      <c r="A145" s="4">
        <v>24082016000159</v>
      </c>
      <c r="B145" s="8" t="s">
        <v>665</v>
      </c>
      <c r="C145" s="8" t="s">
        <v>657</v>
      </c>
      <c r="D145" s="7" t="s">
        <v>19</v>
      </c>
      <c r="E145" s="8" t="s">
        <v>207</v>
      </c>
      <c r="F145" s="8" t="s">
        <v>208</v>
      </c>
    </row>
    <row r="146" spans="1:6" x14ac:dyDescent="0.25">
      <c r="A146" s="4">
        <v>25026561000190</v>
      </c>
      <c r="B146" s="8" t="s">
        <v>666</v>
      </c>
      <c r="C146" s="8" t="s">
        <v>34</v>
      </c>
      <c r="D146" s="7" t="s">
        <v>19</v>
      </c>
      <c r="E146" s="8" t="s">
        <v>207</v>
      </c>
      <c r="F146" s="8" t="s">
        <v>208</v>
      </c>
    </row>
    <row r="147" spans="1:6" x14ac:dyDescent="0.25">
      <c r="A147" s="4">
        <v>26048123000196</v>
      </c>
      <c r="B147" s="8" t="s">
        <v>667</v>
      </c>
      <c r="C147" s="8" t="s">
        <v>42</v>
      </c>
      <c r="D147" s="7" t="s">
        <v>19</v>
      </c>
      <c r="E147" s="8" t="s">
        <v>207</v>
      </c>
      <c r="F147" s="8" t="s">
        <v>208</v>
      </c>
    </row>
    <row r="148" spans="1:6" x14ac:dyDescent="0.25">
      <c r="A148" s="4">
        <v>29435005008022</v>
      </c>
      <c r="B148" s="8" t="s">
        <v>668</v>
      </c>
      <c r="C148" s="8" t="s">
        <v>35</v>
      </c>
      <c r="D148" s="7" t="s">
        <v>19</v>
      </c>
      <c r="E148" s="8" t="s">
        <v>207</v>
      </c>
      <c r="F148" s="8" t="s">
        <v>208</v>
      </c>
    </row>
    <row r="149" spans="1:6" x14ac:dyDescent="0.25">
      <c r="A149" s="4">
        <v>29435005008103</v>
      </c>
      <c r="B149" s="8" t="s">
        <v>669</v>
      </c>
      <c r="C149" s="8" t="s">
        <v>670</v>
      </c>
      <c r="D149" s="7" t="s">
        <v>19</v>
      </c>
      <c r="E149" s="8" t="s">
        <v>207</v>
      </c>
      <c r="F149" s="8" t="s">
        <v>208</v>
      </c>
    </row>
    <row r="150" spans="1:6" x14ac:dyDescent="0.25">
      <c r="A150" s="4">
        <v>29435005008294</v>
      </c>
      <c r="B150" s="8" t="s">
        <v>671</v>
      </c>
      <c r="C150" s="8" t="s">
        <v>36</v>
      </c>
      <c r="D150" s="7" t="s">
        <v>19</v>
      </c>
      <c r="E150" s="8" t="s">
        <v>207</v>
      </c>
      <c r="F150" s="8" t="s">
        <v>208</v>
      </c>
    </row>
    <row r="151" spans="1:6" x14ac:dyDescent="0.25">
      <c r="A151" s="4">
        <v>29435005008456</v>
      </c>
      <c r="B151" s="8" t="s">
        <v>672</v>
      </c>
      <c r="C151" s="8" t="s">
        <v>33</v>
      </c>
      <c r="D151" s="7" t="s">
        <v>19</v>
      </c>
      <c r="E151" s="8" t="s">
        <v>207</v>
      </c>
      <c r="F151" s="8" t="s">
        <v>208</v>
      </c>
    </row>
    <row r="152" spans="1:6" x14ac:dyDescent="0.25">
      <c r="A152" s="4">
        <v>29929600000110</v>
      </c>
      <c r="B152" s="8" t="s">
        <v>1212</v>
      </c>
      <c r="C152" s="8" t="s">
        <v>1213</v>
      </c>
      <c r="D152" s="7" t="s">
        <v>19</v>
      </c>
      <c r="E152" s="8" t="s">
        <v>207</v>
      </c>
      <c r="F152" s="8" t="s">
        <v>208</v>
      </c>
    </row>
    <row r="153" spans="1:6" x14ac:dyDescent="0.25">
      <c r="A153" s="4">
        <v>43293604002120</v>
      </c>
      <c r="B153" s="8" t="s">
        <v>673</v>
      </c>
      <c r="C153" s="8" t="s">
        <v>674</v>
      </c>
      <c r="D153" s="7" t="s">
        <v>19</v>
      </c>
      <c r="E153" s="8" t="s">
        <v>207</v>
      </c>
      <c r="F153" s="8" t="s">
        <v>208</v>
      </c>
    </row>
    <row r="154" spans="1:6" x14ac:dyDescent="0.25">
      <c r="A154" s="4">
        <v>44456036000311</v>
      </c>
      <c r="B154" s="8" t="s">
        <v>675</v>
      </c>
      <c r="C154" s="8" t="s">
        <v>37</v>
      </c>
      <c r="D154" s="7" t="s">
        <v>19</v>
      </c>
      <c r="E154" s="8" t="s">
        <v>207</v>
      </c>
      <c r="F154" s="8" t="s">
        <v>208</v>
      </c>
    </row>
    <row r="155" spans="1:6" x14ac:dyDescent="0.25">
      <c r="A155" s="4">
        <v>44531788000138</v>
      </c>
      <c r="B155" s="8" t="s">
        <v>676</v>
      </c>
      <c r="C155" s="8" t="s">
        <v>38</v>
      </c>
      <c r="D155" s="7" t="s">
        <v>19</v>
      </c>
      <c r="E155" s="8" t="s">
        <v>207</v>
      </c>
      <c r="F155" s="8" t="s">
        <v>208</v>
      </c>
    </row>
    <row r="156" spans="1:6" x14ac:dyDescent="0.25">
      <c r="A156" s="4">
        <v>44595700000141</v>
      </c>
      <c r="B156" s="8" t="s">
        <v>1375</v>
      </c>
      <c r="C156" s="8" t="s">
        <v>33</v>
      </c>
      <c r="D156" s="7" t="s">
        <v>19</v>
      </c>
      <c r="E156" s="8" t="s">
        <v>207</v>
      </c>
      <c r="F156" s="8" t="s">
        <v>208</v>
      </c>
    </row>
    <row r="157" spans="1:6" x14ac:dyDescent="0.25">
      <c r="A157" s="4">
        <v>44649812001614</v>
      </c>
      <c r="B157" s="8" t="s">
        <v>677</v>
      </c>
      <c r="C157" s="8" t="s">
        <v>678</v>
      </c>
      <c r="D157" s="7" t="s">
        <v>19</v>
      </c>
      <c r="E157" s="8" t="s">
        <v>207</v>
      </c>
      <c r="F157" s="8" t="s">
        <v>208</v>
      </c>
    </row>
    <row r="158" spans="1:6" x14ac:dyDescent="0.25">
      <c r="A158" s="4">
        <v>44649812019238</v>
      </c>
      <c r="B158" s="8" t="s">
        <v>679</v>
      </c>
      <c r="C158" s="8" t="s">
        <v>33</v>
      </c>
      <c r="D158" s="7" t="s">
        <v>19</v>
      </c>
      <c r="E158" s="8" t="s">
        <v>207</v>
      </c>
      <c r="F158" s="8" t="s">
        <v>208</v>
      </c>
    </row>
    <row r="159" spans="1:6" x14ac:dyDescent="0.25">
      <c r="A159" s="4">
        <v>44663631000590</v>
      </c>
      <c r="B159" s="8" t="s">
        <v>680</v>
      </c>
      <c r="C159" s="8" t="s">
        <v>39</v>
      </c>
      <c r="D159" s="7" t="s">
        <v>19</v>
      </c>
      <c r="E159" s="8" t="s">
        <v>207</v>
      </c>
      <c r="F159" s="8" t="s">
        <v>208</v>
      </c>
    </row>
    <row r="160" spans="1:6" x14ac:dyDescent="0.25">
      <c r="A160" s="4">
        <v>44732469000190</v>
      </c>
      <c r="B160" s="8" t="s">
        <v>1224</v>
      </c>
      <c r="C160" s="8" t="s">
        <v>1225</v>
      </c>
      <c r="D160" s="7" t="s">
        <v>19</v>
      </c>
      <c r="E160" s="8" t="s">
        <v>207</v>
      </c>
      <c r="F160" s="8" t="s">
        <v>208</v>
      </c>
    </row>
    <row r="161" spans="1:6" x14ac:dyDescent="0.25">
      <c r="A161" s="4">
        <v>44803922000293</v>
      </c>
      <c r="B161" s="8" t="s">
        <v>681</v>
      </c>
      <c r="C161" s="8" t="s">
        <v>40</v>
      </c>
      <c r="D161" s="7" t="s">
        <v>19</v>
      </c>
      <c r="E161" s="8" t="s">
        <v>207</v>
      </c>
      <c r="F161" s="8" t="s">
        <v>208</v>
      </c>
    </row>
    <row r="162" spans="1:6" x14ac:dyDescent="0.25">
      <c r="A162" s="4">
        <v>44863959000126</v>
      </c>
      <c r="B162" s="8" t="s">
        <v>682</v>
      </c>
      <c r="C162" s="8" t="s">
        <v>544</v>
      </c>
      <c r="D162" s="7" t="s">
        <v>19</v>
      </c>
      <c r="E162" s="8" t="s">
        <v>207</v>
      </c>
      <c r="F162" s="8" t="s">
        <v>208</v>
      </c>
    </row>
    <row r="163" spans="1:6" x14ac:dyDescent="0.25">
      <c r="A163" s="4">
        <v>45118429001279</v>
      </c>
      <c r="B163" s="8" t="s">
        <v>683</v>
      </c>
      <c r="C163" s="8" t="s">
        <v>41</v>
      </c>
      <c r="D163" s="7" t="s">
        <v>19</v>
      </c>
      <c r="E163" s="8" t="s">
        <v>207</v>
      </c>
      <c r="F163" s="8" t="s">
        <v>208</v>
      </c>
    </row>
    <row r="164" spans="1:6" x14ac:dyDescent="0.25">
      <c r="A164" s="4">
        <v>45184066000117</v>
      </c>
      <c r="B164" s="8" t="s">
        <v>684</v>
      </c>
      <c r="C164" s="8" t="s">
        <v>650</v>
      </c>
      <c r="D164" s="7" t="s">
        <v>19</v>
      </c>
      <c r="E164" s="8" t="s">
        <v>207</v>
      </c>
      <c r="F164" s="8" t="s">
        <v>208</v>
      </c>
    </row>
    <row r="165" spans="1:6" x14ac:dyDescent="0.25">
      <c r="A165" s="4">
        <v>45232246000550</v>
      </c>
      <c r="B165" s="8" t="s">
        <v>685</v>
      </c>
      <c r="C165" s="8" t="s">
        <v>639</v>
      </c>
      <c r="D165" s="7" t="s">
        <v>19</v>
      </c>
      <c r="E165" s="8" t="s">
        <v>207</v>
      </c>
      <c r="F165" s="8" t="s">
        <v>208</v>
      </c>
    </row>
    <row r="166" spans="1:6" x14ac:dyDescent="0.25">
      <c r="A166" s="4">
        <v>45359213000576</v>
      </c>
      <c r="B166" s="8" t="s">
        <v>686</v>
      </c>
      <c r="C166" s="8" t="s">
        <v>687</v>
      </c>
      <c r="D166" s="7" t="s">
        <v>19</v>
      </c>
      <c r="E166" s="8" t="s">
        <v>207</v>
      </c>
      <c r="F166" s="8" t="s">
        <v>208</v>
      </c>
    </row>
    <row r="167" spans="1:6" x14ac:dyDescent="0.25">
      <c r="A167" s="4">
        <v>45399961000230</v>
      </c>
      <c r="B167" s="8" t="s">
        <v>688</v>
      </c>
      <c r="C167" s="8" t="s">
        <v>42</v>
      </c>
      <c r="D167" s="7" t="s">
        <v>19</v>
      </c>
      <c r="E167" s="8" t="s">
        <v>207</v>
      </c>
      <c r="F167" s="8" t="s">
        <v>208</v>
      </c>
    </row>
    <row r="168" spans="1:6" x14ac:dyDescent="0.25">
      <c r="A168" s="4">
        <v>45780103000150</v>
      </c>
      <c r="B168" s="8" t="s">
        <v>689</v>
      </c>
      <c r="C168" s="8" t="s">
        <v>678</v>
      </c>
      <c r="D168" s="7" t="s">
        <v>19</v>
      </c>
      <c r="E168" s="8" t="s">
        <v>207</v>
      </c>
      <c r="F168" s="8" t="s">
        <v>208</v>
      </c>
    </row>
    <row r="169" spans="1:6" x14ac:dyDescent="0.25">
      <c r="A169" s="4">
        <v>46009718000140</v>
      </c>
      <c r="B169" s="8" t="s">
        <v>690</v>
      </c>
      <c r="C169" s="8" t="s">
        <v>33</v>
      </c>
      <c r="D169" s="7" t="s">
        <v>19</v>
      </c>
      <c r="E169" s="8" t="s">
        <v>207</v>
      </c>
      <c r="F169" s="8" t="s">
        <v>208</v>
      </c>
    </row>
    <row r="170" spans="1:6" x14ac:dyDescent="0.25">
      <c r="A170" s="4">
        <v>46020301000269</v>
      </c>
      <c r="B170" s="8" t="s">
        <v>691</v>
      </c>
      <c r="C170" s="8" t="s">
        <v>33</v>
      </c>
      <c r="D170" s="7" t="s">
        <v>19</v>
      </c>
      <c r="E170" s="8" t="s">
        <v>207</v>
      </c>
      <c r="F170" s="8" t="s">
        <v>208</v>
      </c>
    </row>
    <row r="171" spans="1:6" x14ac:dyDescent="0.25">
      <c r="A171" s="4">
        <v>46068425000133</v>
      </c>
      <c r="B171" s="8" t="s">
        <v>692</v>
      </c>
      <c r="C171" s="8" t="s">
        <v>33</v>
      </c>
      <c r="D171" s="7" t="s">
        <v>19</v>
      </c>
      <c r="E171" s="8" t="s">
        <v>207</v>
      </c>
      <c r="F171" s="8" t="s">
        <v>208</v>
      </c>
    </row>
    <row r="172" spans="1:6" x14ac:dyDescent="0.25">
      <c r="A172" s="4">
        <v>46124624000111</v>
      </c>
      <c r="B172" s="8" t="s">
        <v>693</v>
      </c>
      <c r="C172" s="8" t="s">
        <v>33</v>
      </c>
      <c r="D172" s="7" t="s">
        <v>19</v>
      </c>
      <c r="E172" s="8" t="s">
        <v>207</v>
      </c>
      <c r="F172" s="8" t="s">
        <v>208</v>
      </c>
    </row>
    <row r="173" spans="1:6" x14ac:dyDescent="0.25">
      <c r="A173" s="4">
        <v>46124624002599</v>
      </c>
      <c r="B173" s="8" t="s">
        <v>694</v>
      </c>
      <c r="C173" s="8" t="s">
        <v>695</v>
      </c>
      <c r="D173" s="7" t="s">
        <v>19</v>
      </c>
      <c r="E173" s="8" t="s">
        <v>207</v>
      </c>
      <c r="F173" s="8" t="s">
        <v>208</v>
      </c>
    </row>
    <row r="174" spans="1:6" x14ac:dyDescent="0.25">
      <c r="A174" s="4">
        <v>46374500001670</v>
      </c>
      <c r="B174" s="8" t="s">
        <v>1366</v>
      </c>
      <c r="C174" s="8" t="s">
        <v>35</v>
      </c>
      <c r="D174" s="7" t="s">
        <v>19</v>
      </c>
      <c r="E174" s="8" t="s">
        <v>207</v>
      </c>
      <c r="F174" s="8" t="s">
        <v>208</v>
      </c>
    </row>
    <row r="175" spans="1:6" x14ac:dyDescent="0.25">
      <c r="A175" s="4">
        <v>46374500003533</v>
      </c>
      <c r="B175" s="8" t="s">
        <v>696</v>
      </c>
      <c r="C175" s="8" t="s">
        <v>639</v>
      </c>
      <c r="D175" s="7" t="s">
        <v>19</v>
      </c>
      <c r="E175" s="8" t="s">
        <v>207</v>
      </c>
      <c r="F175" s="8" t="s">
        <v>208</v>
      </c>
    </row>
    <row r="176" spans="1:6" x14ac:dyDescent="0.25">
      <c r="A176" s="4">
        <v>46374500003886</v>
      </c>
      <c r="B176" s="8" t="s">
        <v>697</v>
      </c>
      <c r="C176" s="8" t="s">
        <v>698</v>
      </c>
      <c r="D176" s="7" t="s">
        <v>19</v>
      </c>
      <c r="E176" s="8" t="s">
        <v>207</v>
      </c>
      <c r="F176" s="8" t="s">
        <v>208</v>
      </c>
    </row>
    <row r="177" spans="1:6" x14ac:dyDescent="0.25">
      <c r="A177" s="4">
        <v>46374500009060</v>
      </c>
      <c r="B177" s="8" t="s">
        <v>699</v>
      </c>
      <c r="C177" s="8" t="s">
        <v>40</v>
      </c>
      <c r="D177" s="7" t="s">
        <v>19</v>
      </c>
      <c r="E177" s="8" t="s">
        <v>207</v>
      </c>
      <c r="F177" s="8" t="s">
        <v>208</v>
      </c>
    </row>
    <row r="178" spans="1:6" x14ac:dyDescent="0.25">
      <c r="A178" s="4">
        <v>46374500009221</v>
      </c>
      <c r="B178" s="8" t="s">
        <v>700</v>
      </c>
      <c r="C178" s="8" t="s">
        <v>49</v>
      </c>
      <c r="D178" s="7" t="s">
        <v>19</v>
      </c>
      <c r="E178" s="8" t="s">
        <v>207</v>
      </c>
      <c r="F178" s="8" t="s">
        <v>208</v>
      </c>
    </row>
    <row r="179" spans="1:6" x14ac:dyDescent="0.25">
      <c r="A179" s="4">
        <v>46643466000106</v>
      </c>
      <c r="B179" s="8" t="s">
        <v>701</v>
      </c>
      <c r="C179" s="8" t="s">
        <v>650</v>
      </c>
      <c r="D179" s="7" t="s">
        <v>19</v>
      </c>
      <c r="E179" s="8" t="s">
        <v>207</v>
      </c>
      <c r="F179" s="8" t="s">
        <v>208</v>
      </c>
    </row>
    <row r="180" spans="1:6" x14ac:dyDescent="0.25">
      <c r="A180" s="4">
        <v>47074851000819</v>
      </c>
      <c r="B180" s="8" t="s">
        <v>702</v>
      </c>
      <c r="C180" s="8" t="s">
        <v>41</v>
      </c>
      <c r="D180" s="7" t="s">
        <v>19</v>
      </c>
      <c r="E180" s="8" t="s">
        <v>207</v>
      </c>
      <c r="F180" s="8" t="s">
        <v>208</v>
      </c>
    </row>
    <row r="181" spans="1:6" x14ac:dyDescent="0.25">
      <c r="A181" s="4">
        <v>47565155000996</v>
      </c>
      <c r="B181" s="8" t="s">
        <v>703</v>
      </c>
      <c r="C181" s="8" t="s">
        <v>50</v>
      </c>
      <c r="D181" s="7" t="s">
        <v>19</v>
      </c>
      <c r="E181" s="8" t="s">
        <v>207</v>
      </c>
      <c r="F181" s="8" t="s">
        <v>208</v>
      </c>
    </row>
    <row r="182" spans="1:6" x14ac:dyDescent="0.25">
      <c r="A182" s="4">
        <v>48310098000100</v>
      </c>
      <c r="B182" s="8" t="s">
        <v>704</v>
      </c>
      <c r="C182" s="8" t="s">
        <v>643</v>
      </c>
      <c r="D182" s="7" t="s">
        <v>19</v>
      </c>
      <c r="E182" s="8" t="s">
        <v>207</v>
      </c>
      <c r="F182" s="8" t="s">
        <v>208</v>
      </c>
    </row>
    <row r="183" spans="1:6" x14ac:dyDescent="0.25">
      <c r="A183" s="4">
        <v>48468284000171</v>
      </c>
      <c r="B183" s="8" t="s">
        <v>705</v>
      </c>
      <c r="C183" s="8" t="s">
        <v>43</v>
      </c>
      <c r="D183" s="7" t="s">
        <v>19</v>
      </c>
      <c r="E183" s="8" t="s">
        <v>207</v>
      </c>
      <c r="F183" s="8" t="s">
        <v>208</v>
      </c>
    </row>
    <row r="184" spans="1:6" x14ac:dyDescent="0.25">
      <c r="A184" s="4">
        <v>48547806000120</v>
      </c>
      <c r="B184" s="8" t="s">
        <v>1367</v>
      </c>
      <c r="C184" s="8" t="s">
        <v>1368</v>
      </c>
      <c r="D184" s="7" t="s">
        <v>19</v>
      </c>
      <c r="E184" s="8" t="s">
        <v>207</v>
      </c>
      <c r="F184" s="8" t="s">
        <v>208</v>
      </c>
    </row>
    <row r="185" spans="1:6" x14ac:dyDescent="0.25">
      <c r="A185" s="4">
        <v>48628366000721</v>
      </c>
      <c r="B185" s="8" t="s">
        <v>1376</v>
      </c>
      <c r="C185" s="8" t="s">
        <v>1377</v>
      </c>
      <c r="D185" s="7" t="s">
        <v>19</v>
      </c>
      <c r="E185" s="8" t="s">
        <v>207</v>
      </c>
      <c r="F185" s="8" t="s">
        <v>208</v>
      </c>
    </row>
    <row r="186" spans="1:6" x14ac:dyDescent="0.25">
      <c r="A186" s="4">
        <v>49150352000201</v>
      </c>
      <c r="B186" s="8" t="s">
        <v>1228</v>
      </c>
      <c r="C186" s="8" t="s">
        <v>1229</v>
      </c>
      <c r="D186" s="7" t="s">
        <v>19</v>
      </c>
      <c r="E186" s="8" t="s">
        <v>207</v>
      </c>
      <c r="F186" s="8" t="s">
        <v>208</v>
      </c>
    </row>
    <row r="187" spans="1:6" x14ac:dyDescent="0.25">
      <c r="A187" s="4">
        <v>50486026000160</v>
      </c>
      <c r="B187" s="8" t="s">
        <v>706</v>
      </c>
      <c r="C187" s="8" t="s">
        <v>44</v>
      </c>
      <c r="D187" s="7" t="s">
        <v>19</v>
      </c>
      <c r="E187" s="8" t="s">
        <v>207</v>
      </c>
      <c r="F187" s="8" t="s">
        <v>208</v>
      </c>
    </row>
    <row r="188" spans="1:6" x14ac:dyDescent="0.25">
      <c r="A188" s="4">
        <v>50944198000130</v>
      </c>
      <c r="B188" s="8" t="s">
        <v>707</v>
      </c>
      <c r="C188" s="8" t="s">
        <v>678</v>
      </c>
      <c r="D188" s="7" t="s">
        <v>19</v>
      </c>
      <c r="E188" s="8" t="s">
        <v>207</v>
      </c>
      <c r="F188" s="8" t="s">
        <v>208</v>
      </c>
    </row>
    <row r="189" spans="1:6" x14ac:dyDescent="0.25">
      <c r="A189" s="4">
        <v>51093193000456</v>
      </c>
      <c r="B189" s="8" t="s">
        <v>708</v>
      </c>
      <c r="C189" s="8" t="s">
        <v>698</v>
      </c>
      <c r="D189" s="7" t="s">
        <v>19</v>
      </c>
      <c r="E189" s="8" t="s">
        <v>207</v>
      </c>
      <c r="F189" s="8" t="s">
        <v>208</v>
      </c>
    </row>
    <row r="190" spans="1:6" x14ac:dyDescent="0.25">
      <c r="A190" s="4">
        <v>51722957014302</v>
      </c>
      <c r="B190" s="8" t="s">
        <v>709</v>
      </c>
      <c r="C190" s="8" t="s">
        <v>710</v>
      </c>
      <c r="D190" s="7" t="s">
        <v>19</v>
      </c>
      <c r="E190" s="8" t="s">
        <v>207</v>
      </c>
      <c r="F190" s="8" t="s">
        <v>208</v>
      </c>
    </row>
    <row r="191" spans="1:6" x14ac:dyDescent="0.25">
      <c r="A191" s="4">
        <v>51877926000109</v>
      </c>
      <c r="B191" s="8" t="s">
        <v>711</v>
      </c>
      <c r="C191" s="8" t="s">
        <v>33</v>
      </c>
      <c r="D191" s="7" t="s">
        <v>19</v>
      </c>
      <c r="E191" s="8" t="s">
        <v>207</v>
      </c>
      <c r="F191" s="8" t="s">
        <v>208</v>
      </c>
    </row>
    <row r="192" spans="1:6" x14ac:dyDescent="0.25">
      <c r="A192" s="4">
        <v>51885242000140</v>
      </c>
      <c r="B192" s="8" t="s">
        <v>712</v>
      </c>
      <c r="C192" s="8" t="s">
        <v>33</v>
      </c>
      <c r="D192" s="7" t="s">
        <v>19</v>
      </c>
      <c r="E192" s="8" t="s">
        <v>207</v>
      </c>
      <c r="F192" s="8" t="s">
        <v>208</v>
      </c>
    </row>
    <row r="193" spans="1:6" x14ac:dyDescent="0.25">
      <c r="A193" s="4">
        <v>52852100000140</v>
      </c>
      <c r="B193" s="8" t="s">
        <v>713</v>
      </c>
      <c r="C193" s="8" t="s">
        <v>51</v>
      </c>
      <c r="D193" s="7" t="s">
        <v>19</v>
      </c>
      <c r="E193" s="8" t="s">
        <v>207</v>
      </c>
      <c r="F193" s="8" t="s">
        <v>208</v>
      </c>
    </row>
    <row r="194" spans="1:6" x14ac:dyDescent="0.25">
      <c r="A194" s="4">
        <v>53221255003247</v>
      </c>
      <c r="B194" s="8" t="s">
        <v>1378</v>
      </c>
      <c r="C194" s="8" t="s">
        <v>544</v>
      </c>
      <c r="D194" s="7" t="s">
        <v>19</v>
      </c>
      <c r="E194" s="8" t="s">
        <v>207</v>
      </c>
      <c r="F194" s="8" t="s">
        <v>208</v>
      </c>
    </row>
    <row r="195" spans="1:6" x14ac:dyDescent="0.25">
      <c r="A195" s="4">
        <v>53311999000156</v>
      </c>
      <c r="B195" s="8" t="s">
        <v>714</v>
      </c>
      <c r="C195" s="8" t="s">
        <v>715</v>
      </c>
      <c r="D195" s="7" t="s">
        <v>19</v>
      </c>
      <c r="E195" s="8" t="s">
        <v>207</v>
      </c>
      <c r="F195" s="8" t="s">
        <v>208</v>
      </c>
    </row>
    <row r="196" spans="1:6" x14ac:dyDescent="0.25">
      <c r="A196" s="4">
        <v>53678264000246</v>
      </c>
      <c r="B196" s="8" t="s">
        <v>716</v>
      </c>
      <c r="C196" s="8" t="s">
        <v>717</v>
      </c>
      <c r="D196" s="7" t="s">
        <v>19</v>
      </c>
      <c r="E196" s="8" t="s">
        <v>207</v>
      </c>
      <c r="F196" s="8" t="s">
        <v>208</v>
      </c>
    </row>
    <row r="197" spans="1:6" x14ac:dyDescent="0.25">
      <c r="A197" s="4">
        <v>54012406000385</v>
      </c>
      <c r="B197" s="8" t="s">
        <v>718</v>
      </c>
      <c r="C197" s="8" t="s">
        <v>45</v>
      </c>
      <c r="D197" s="7" t="s">
        <v>19</v>
      </c>
      <c r="E197" s="8" t="s">
        <v>207</v>
      </c>
      <c r="F197" s="8" t="s">
        <v>208</v>
      </c>
    </row>
    <row r="198" spans="1:6" x14ac:dyDescent="0.25">
      <c r="A198" s="4">
        <v>54370630000187</v>
      </c>
      <c r="B198" s="8" t="s">
        <v>719</v>
      </c>
      <c r="C198" s="8" t="s">
        <v>40</v>
      </c>
      <c r="D198" s="7" t="s">
        <v>19</v>
      </c>
      <c r="E198" s="8" t="s">
        <v>207</v>
      </c>
      <c r="F198" s="8" t="s">
        <v>208</v>
      </c>
    </row>
    <row r="199" spans="1:6" x14ac:dyDescent="0.25">
      <c r="A199" s="4">
        <v>55980148000121</v>
      </c>
      <c r="B199" s="8" t="s">
        <v>720</v>
      </c>
      <c r="C199" s="8" t="s">
        <v>639</v>
      </c>
      <c r="D199" s="7" t="s">
        <v>19</v>
      </c>
      <c r="E199" s="8" t="s">
        <v>207</v>
      </c>
      <c r="F199" s="8" t="s">
        <v>208</v>
      </c>
    </row>
    <row r="200" spans="1:6" x14ac:dyDescent="0.25">
      <c r="A200" s="4">
        <v>56023443000152</v>
      </c>
      <c r="B200" s="8" t="s">
        <v>1379</v>
      </c>
      <c r="C200" s="8" t="s">
        <v>639</v>
      </c>
      <c r="D200" s="7" t="s">
        <v>19</v>
      </c>
      <c r="E200" s="8" t="s">
        <v>207</v>
      </c>
      <c r="F200" s="8" t="s">
        <v>208</v>
      </c>
    </row>
    <row r="201" spans="1:6" x14ac:dyDescent="0.25">
      <c r="A201" s="4">
        <v>56727134001216</v>
      </c>
      <c r="B201" s="8" t="s">
        <v>1230</v>
      </c>
      <c r="C201" s="8" t="s">
        <v>678</v>
      </c>
      <c r="D201" s="7" t="s">
        <v>19</v>
      </c>
      <c r="E201" s="8" t="s">
        <v>207</v>
      </c>
      <c r="F201" s="8" t="s">
        <v>208</v>
      </c>
    </row>
    <row r="202" spans="1:6" x14ac:dyDescent="0.25">
      <c r="A202" s="4">
        <v>57507402000102</v>
      </c>
      <c r="B202" s="8" t="s">
        <v>721</v>
      </c>
      <c r="C202" s="8" t="s">
        <v>647</v>
      </c>
      <c r="D202" s="7" t="s">
        <v>19</v>
      </c>
      <c r="E202" s="8" t="s">
        <v>207</v>
      </c>
      <c r="F202" s="8" t="s">
        <v>208</v>
      </c>
    </row>
    <row r="203" spans="1:6" x14ac:dyDescent="0.25">
      <c r="A203" s="4">
        <v>57722118000140</v>
      </c>
      <c r="B203" s="8" t="s">
        <v>722</v>
      </c>
      <c r="C203" s="8" t="s">
        <v>639</v>
      </c>
      <c r="D203" s="7" t="s">
        <v>19</v>
      </c>
      <c r="E203" s="8" t="s">
        <v>207</v>
      </c>
      <c r="F203" s="8" t="s">
        <v>208</v>
      </c>
    </row>
    <row r="204" spans="1:6" x14ac:dyDescent="0.25">
      <c r="A204" s="4">
        <v>57722118000302</v>
      </c>
      <c r="B204" s="8" t="s">
        <v>723</v>
      </c>
      <c r="C204" s="8" t="s">
        <v>639</v>
      </c>
      <c r="D204" s="7" t="s">
        <v>19</v>
      </c>
      <c r="E204" s="8" t="s">
        <v>207</v>
      </c>
      <c r="F204" s="8" t="s">
        <v>208</v>
      </c>
    </row>
    <row r="205" spans="1:6" x14ac:dyDescent="0.25">
      <c r="A205" s="4">
        <v>57723280000183</v>
      </c>
      <c r="B205" s="8" t="s">
        <v>724</v>
      </c>
      <c r="C205" s="8" t="s">
        <v>639</v>
      </c>
      <c r="D205" s="7" t="s">
        <v>19</v>
      </c>
      <c r="E205" s="8" t="s">
        <v>207</v>
      </c>
      <c r="F205" s="8" t="s">
        <v>208</v>
      </c>
    </row>
    <row r="206" spans="1:6" x14ac:dyDescent="0.25">
      <c r="A206" s="4">
        <v>58229691001070</v>
      </c>
      <c r="B206" s="8" t="s">
        <v>725</v>
      </c>
      <c r="C206" s="8" t="s">
        <v>35</v>
      </c>
      <c r="D206" s="7" t="s">
        <v>19</v>
      </c>
      <c r="E206" s="8" t="s">
        <v>207</v>
      </c>
      <c r="F206" s="8" t="s">
        <v>208</v>
      </c>
    </row>
    <row r="207" spans="1:6" x14ac:dyDescent="0.25">
      <c r="A207" s="4">
        <v>58837188000298</v>
      </c>
      <c r="B207" s="8" t="s">
        <v>1369</v>
      </c>
      <c r="C207" s="8" t="s">
        <v>1370</v>
      </c>
      <c r="D207" s="7" t="s">
        <v>19</v>
      </c>
      <c r="E207" s="8" t="s">
        <v>207</v>
      </c>
      <c r="F207" s="8" t="s">
        <v>208</v>
      </c>
    </row>
    <row r="208" spans="1:6" x14ac:dyDescent="0.25">
      <c r="A208" s="4">
        <v>59970947000178</v>
      </c>
      <c r="B208" s="8" t="s">
        <v>726</v>
      </c>
      <c r="C208" s="8" t="s">
        <v>643</v>
      </c>
      <c r="D208" s="7" t="s">
        <v>19</v>
      </c>
      <c r="E208" s="8" t="s">
        <v>207</v>
      </c>
      <c r="F208" s="8" t="s">
        <v>208</v>
      </c>
    </row>
    <row r="209" spans="1:6" x14ac:dyDescent="0.25">
      <c r="A209" s="4">
        <v>59972307000105</v>
      </c>
      <c r="B209" s="8" t="s">
        <v>727</v>
      </c>
      <c r="C209" s="8" t="s">
        <v>643</v>
      </c>
      <c r="D209" s="7" t="s">
        <v>19</v>
      </c>
      <c r="E209" s="8" t="s">
        <v>207</v>
      </c>
      <c r="F209" s="8" t="s">
        <v>208</v>
      </c>
    </row>
    <row r="210" spans="1:6" x14ac:dyDescent="0.25">
      <c r="A210" s="4">
        <v>60003761000129</v>
      </c>
      <c r="B210" s="8" t="s">
        <v>728</v>
      </c>
      <c r="C210" s="8" t="s">
        <v>643</v>
      </c>
      <c r="D210" s="7" t="s">
        <v>19</v>
      </c>
      <c r="E210" s="8" t="s">
        <v>207</v>
      </c>
      <c r="F210" s="8" t="s">
        <v>208</v>
      </c>
    </row>
    <row r="211" spans="1:6" x14ac:dyDescent="0.25">
      <c r="A211" s="4">
        <v>60214517000962</v>
      </c>
      <c r="B211" s="8" t="s">
        <v>729</v>
      </c>
      <c r="C211" s="8" t="s">
        <v>650</v>
      </c>
      <c r="D211" s="7" t="s">
        <v>19</v>
      </c>
      <c r="E211" s="8" t="s">
        <v>207</v>
      </c>
      <c r="F211" s="8" t="s">
        <v>208</v>
      </c>
    </row>
    <row r="212" spans="1:6" x14ac:dyDescent="0.25">
      <c r="A212" s="4">
        <v>60214517001187</v>
      </c>
      <c r="B212" s="8" t="s">
        <v>730</v>
      </c>
      <c r="C212" s="8" t="s">
        <v>731</v>
      </c>
      <c r="D212" s="7" t="s">
        <v>19</v>
      </c>
      <c r="E212" s="8" t="s">
        <v>207</v>
      </c>
      <c r="F212" s="8" t="s">
        <v>208</v>
      </c>
    </row>
    <row r="213" spans="1:6" x14ac:dyDescent="0.25">
      <c r="A213" s="4">
        <v>60214517001691</v>
      </c>
      <c r="B213" s="8" t="s">
        <v>732</v>
      </c>
      <c r="C213" s="8" t="s">
        <v>650</v>
      </c>
      <c r="D213" s="7" t="s">
        <v>19</v>
      </c>
      <c r="E213" s="8" t="s">
        <v>207</v>
      </c>
      <c r="F213" s="8" t="s">
        <v>208</v>
      </c>
    </row>
    <row r="214" spans="1:6" x14ac:dyDescent="0.25">
      <c r="A214" s="4">
        <v>61699567000869</v>
      </c>
      <c r="B214" s="8" t="s">
        <v>1233</v>
      </c>
      <c r="C214" s="8" t="s">
        <v>710</v>
      </c>
      <c r="D214" s="7" t="s">
        <v>19</v>
      </c>
      <c r="E214" s="8" t="s">
        <v>207</v>
      </c>
      <c r="F214" s="8" t="s">
        <v>208</v>
      </c>
    </row>
    <row r="215" spans="1:6" x14ac:dyDescent="0.25">
      <c r="A215" s="4">
        <v>61699567008924</v>
      </c>
      <c r="B215" s="8" t="s">
        <v>1234</v>
      </c>
      <c r="C215" s="8" t="s">
        <v>1213</v>
      </c>
      <c r="D215" s="7" t="s">
        <v>19</v>
      </c>
      <c r="E215" s="8" t="s">
        <v>207</v>
      </c>
      <c r="F215" s="8" t="s">
        <v>208</v>
      </c>
    </row>
    <row r="216" spans="1:6" x14ac:dyDescent="0.25">
      <c r="A216" s="4">
        <v>63025530008270</v>
      </c>
      <c r="B216" s="8" t="s">
        <v>733</v>
      </c>
      <c r="C216" s="8" t="s">
        <v>37</v>
      </c>
      <c r="D216" s="7" t="s">
        <v>19</v>
      </c>
      <c r="E216" s="8" t="s">
        <v>207</v>
      </c>
      <c r="F216" s="8" t="s">
        <v>208</v>
      </c>
    </row>
    <row r="217" spans="1:6" x14ac:dyDescent="0.25">
      <c r="A217" s="4">
        <v>68029156000481</v>
      </c>
      <c r="B217" s="8" t="s">
        <v>1371</v>
      </c>
      <c r="C217" s="8" t="s">
        <v>1372</v>
      </c>
      <c r="D217" s="7" t="s">
        <v>19</v>
      </c>
      <c r="E217" s="8" t="s">
        <v>207</v>
      </c>
      <c r="F217" s="8" t="s">
        <v>208</v>
      </c>
    </row>
    <row r="218" spans="1:6" x14ac:dyDescent="0.25">
      <c r="A218" s="4">
        <v>68204486000113</v>
      </c>
      <c r="B218" s="8" t="s">
        <v>734</v>
      </c>
      <c r="C218" s="8" t="s">
        <v>46</v>
      </c>
      <c r="D218" s="7" t="s">
        <v>19</v>
      </c>
      <c r="E218" s="8" t="s">
        <v>207</v>
      </c>
      <c r="F218" s="8" t="s">
        <v>208</v>
      </c>
    </row>
    <row r="219" spans="1:6" x14ac:dyDescent="0.25">
      <c r="A219" s="4">
        <v>46709932249</v>
      </c>
      <c r="B219" s="8" t="s">
        <v>1433</v>
      </c>
      <c r="C219" s="8" t="s">
        <v>1129</v>
      </c>
      <c r="D219" s="7" t="s">
        <v>52</v>
      </c>
      <c r="E219" s="8"/>
      <c r="F219" s="8"/>
    </row>
    <row r="220" spans="1:6" x14ac:dyDescent="0.25">
      <c r="A220" s="4">
        <v>92390000177</v>
      </c>
      <c r="B220" s="8" t="s">
        <v>1434</v>
      </c>
      <c r="C220" s="8" t="s">
        <v>125</v>
      </c>
      <c r="D220" s="7" t="s">
        <v>68</v>
      </c>
      <c r="E220" s="8"/>
      <c r="F220" s="8"/>
    </row>
    <row r="221" spans="1:6" x14ac:dyDescent="0.25">
      <c r="A221" s="4">
        <v>394544000851</v>
      </c>
      <c r="B221" s="8" t="s">
        <v>1136</v>
      </c>
      <c r="C221" s="8" t="s">
        <v>739</v>
      </c>
      <c r="D221" s="7" t="s">
        <v>55</v>
      </c>
      <c r="E221" s="8" t="s">
        <v>1510</v>
      </c>
      <c r="F221" s="8" t="s">
        <v>1382</v>
      </c>
    </row>
    <row r="222" spans="1:6" x14ac:dyDescent="0.25">
      <c r="A222" s="4">
        <v>754174000140</v>
      </c>
      <c r="B222" s="8" t="s">
        <v>1438</v>
      </c>
      <c r="C222" s="8" t="s">
        <v>745</v>
      </c>
      <c r="D222" s="7" t="s">
        <v>59</v>
      </c>
      <c r="E222" s="8"/>
      <c r="F222" s="8"/>
    </row>
    <row r="223" spans="1:6" x14ac:dyDescent="0.25">
      <c r="A223" s="4">
        <v>773639001505</v>
      </c>
      <c r="B223" s="8" t="s">
        <v>1439</v>
      </c>
      <c r="C223" s="8" t="s">
        <v>100</v>
      </c>
      <c r="D223" s="7" t="s">
        <v>67</v>
      </c>
      <c r="E223" s="8"/>
      <c r="F223" s="8"/>
    </row>
    <row r="224" spans="1:6" x14ac:dyDescent="0.25">
      <c r="A224" s="4">
        <v>855774000102</v>
      </c>
      <c r="B224" s="8" t="s">
        <v>1440</v>
      </c>
      <c r="C224" s="8" t="s">
        <v>988</v>
      </c>
      <c r="D224" s="7" t="s">
        <v>57</v>
      </c>
      <c r="E224" s="8"/>
      <c r="F224" s="8"/>
    </row>
    <row r="225" spans="1:6" x14ac:dyDescent="0.25">
      <c r="A225" s="4">
        <v>1116300000101</v>
      </c>
      <c r="B225" s="8" t="s">
        <v>1441</v>
      </c>
      <c r="C225" s="8" t="s">
        <v>1442</v>
      </c>
      <c r="D225" s="7" t="s">
        <v>59</v>
      </c>
      <c r="E225" s="8"/>
      <c r="F225" s="8"/>
    </row>
    <row r="226" spans="1:6" x14ac:dyDescent="0.25">
      <c r="A226" s="4">
        <v>1141127000193</v>
      </c>
      <c r="B226" s="8" t="s">
        <v>1443</v>
      </c>
      <c r="C226" s="8" t="s">
        <v>104</v>
      </c>
      <c r="D226" s="7" t="s">
        <v>67</v>
      </c>
      <c r="E226" s="8"/>
      <c r="F226" s="8"/>
    </row>
    <row r="227" spans="1:6" x14ac:dyDescent="0.25">
      <c r="A227" s="4">
        <v>1753991000146</v>
      </c>
      <c r="B227" s="8" t="s">
        <v>1444</v>
      </c>
      <c r="C227" s="8" t="s">
        <v>1445</v>
      </c>
      <c r="D227" s="7" t="s">
        <v>67</v>
      </c>
      <c r="E227" s="8"/>
      <c r="F227" s="8"/>
    </row>
    <row r="228" spans="1:6" x14ac:dyDescent="0.25">
      <c r="A228" s="4">
        <v>3989821000433</v>
      </c>
      <c r="B228" s="8" t="s">
        <v>1448</v>
      </c>
      <c r="C228" s="8" t="s">
        <v>1449</v>
      </c>
      <c r="D228" s="7" t="s">
        <v>55</v>
      </c>
      <c r="E228" s="8"/>
      <c r="F228" s="8"/>
    </row>
    <row r="229" spans="1:6" x14ac:dyDescent="0.25">
      <c r="A229" s="4">
        <v>6054754000100</v>
      </c>
      <c r="B229" s="8" t="s">
        <v>1451</v>
      </c>
      <c r="C229" s="8" t="s">
        <v>1449</v>
      </c>
      <c r="D229" s="7" t="s">
        <v>55</v>
      </c>
      <c r="E229" s="8"/>
      <c r="F229" s="8"/>
    </row>
    <row r="230" spans="1:6" x14ac:dyDescent="0.25">
      <c r="A230" s="4">
        <v>7549453000110</v>
      </c>
      <c r="B230" s="8" t="s">
        <v>1452</v>
      </c>
      <c r="C230" s="8" t="s">
        <v>84</v>
      </c>
      <c r="D230" s="7" t="s">
        <v>85</v>
      </c>
      <c r="E230" s="8"/>
      <c r="F230" s="8"/>
    </row>
    <row r="231" spans="1:6" x14ac:dyDescent="0.25">
      <c r="A231" s="4">
        <v>7862532000187</v>
      </c>
      <c r="B231" s="8" t="s">
        <v>1453</v>
      </c>
      <c r="C231" s="8" t="s">
        <v>772</v>
      </c>
      <c r="D231" s="7" t="s">
        <v>69</v>
      </c>
      <c r="E231" s="8"/>
      <c r="F231" s="8"/>
    </row>
    <row r="232" spans="1:6" x14ac:dyDescent="0.25">
      <c r="A232" s="4">
        <v>8580014000133</v>
      </c>
      <c r="B232" s="8" t="s">
        <v>1454</v>
      </c>
      <c r="C232" s="8" t="s">
        <v>94</v>
      </c>
      <c r="D232" s="7" t="s">
        <v>57</v>
      </c>
      <c r="E232" s="8"/>
      <c r="F232" s="8"/>
    </row>
    <row r="233" spans="1:6" x14ac:dyDescent="0.25">
      <c r="A233" s="4">
        <v>9635024000272</v>
      </c>
      <c r="B233" s="8" t="s">
        <v>1456</v>
      </c>
      <c r="C233" s="8" t="s">
        <v>1420</v>
      </c>
      <c r="D233" s="7" t="s">
        <v>54</v>
      </c>
      <c r="E233" s="8"/>
      <c r="F233" s="8"/>
    </row>
    <row r="234" spans="1:6" x14ac:dyDescent="0.25">
      <c r="A234" s="4">
        <v>9767633000102</v>
      </c>
      <c r="B234" s="8" t="s">
        <v>1457</v>
      </c>
      <c r="C234" s="8" t="s">
        <v>70</v>
      </c>
      <c r="D234" s="7" t="s">
        <v>71</v>
      </c>
      <c r="E234" s="8"/>
      <c r="F234" s="8"/>
    </row>
    <row r="235" spans="1:6" x14ac:dyDescent="0.25">
      <c r="A235" s="4">
        <v>11697594000310</v>
      </c>
      <c r="B235" s="8" t="s">
        <v>1458</v>
      </c>
      <c r="C235" s="8" t="s">
        <v>1459</v>
      </c>
      <c r="D235" s="7" t="s">
        <v>98</v>
      </c>
      <c r="E235" s="8"/>
      <c r="F235" s="8"/>
    </row>
    <row r="236" spans="1:6" x14ac:dyDescent="0.25">
      <c r="A236" s="4">
        <v>12307187000583</v>
      </c>
      <c r="B236" s="8" t="s">
        <v>1460</v>
      </c>
      <c r="C236" s="8" t="s">
        <v>742</v>
      </c>
      <c r="D236" s="7" t="s">
        <v>91</v>
      </c>
      <c r="E236" s="8"/>
      <c r="F236" s="8"/>
    </row>
    <row r="237" spans="1:6" x14ac:dyDescent="0.25">
      <c r="A237" s="4">
        <v>12361267011985</v>
      </c>
      <c r="B237" s="8" t="s">
        <v>1461</v>
      </c>
      <c r="C237" s="8" t="s">
        <v>109</v>
      </c>
      <c r="D237" s="7" t="s">
        <v>110</v>
      </c>
      <c r="E237" s="8"/>
      <c r="F237" s="8"/>
    </row>
    <row r="238" spans="1:6" x14ac:dyDescent="0.25">
      <c r="A238" s="4">
        <v>12981527000204</v>
      </c>
      <c r="B238" s="8" t="s">
        <v>1462</v>
      </c>
      <c r="C238" s="8" t="s">
        <v>1463</v>
      </c>
      <c r="D238" s="7" t="s">
        <v>69</v>
      </c>
      <c r="E238" s="8"/>
      <c r="F238" s="8"/>
    </row>
    <row r="239" spans="1:6" x14ac:dyDescent="0.25">
      <c r="A239" s="4">
        <v>15126437001549</v>
      </c>
      <c r="B239" s="8" t="s">
        <v>1464</v>
      </c>
      <c r="C239" s="8" t="s">
        <v>1415</v>
      </c>
      <c r="D239" s="7" t="s">
        <v>54</v>
      </c>
      <c r="E239" s="8"/>
      <c r="F239" s="8"/>
    </row>
    <row r="240" spans="1:6" x14ac:dyDescent="0.25">
      <c r="A240" s="4">
        <v>15126437002510</v>
      </c>
      <c r="B240" s="8" t="s">
        <v>1465</v>
      </c>
      <c r="C240" s="8" t="s">
        <v>88</v>
      </c>
      <c r="D240" s="7" t="s">
        <v>54</v>
      </c>
      <c r="E240" s="8"/>
      <c r="F240" s="8"/>
    </row>
    <row r="241" spans="1:6" x14ac:dyDescent="0.25">
      <c r="A241" s="4">
        <v>15178551000117</v>
      </c>
      <c r="B241" s="8" t="s">
        <v>1466</v>
      </c>
      <c r="C241" s="8" t="s">
        <v>75</v>
      </c>
      <c r="D241" s="7" t="s">
        <v>74</v>
      </c>
      <c r="E241" s="8"/>
      <c r="F241" s="8"/>
    </row>
    <row r="242" spans="1:6" x14ac:dyDescent="0.25">
      <c r="A242" s="4">
        <v>18770112000197</v>
      </c>
      <c r="B242" s="8" t="s">
        <v>1467</v>
      </c>
      <c r="C242" s="8" t="s">
        <v>83</v>
      </c>
      <c r="D242" s="7" t="s">
        <v>67</v>
      </c>
      <c r="E242" s="8"/>
      <c r="F242" s="8"/>
    </row>
    <row r="243" spans="1:6" x14ac:dyDescent="0.25">
      <c r="A243" s="4">
        <v>24449225000279</v>
      </c>
      <c r="B243" s="8" t="s">
        <v>1468</v>
      </c>
      <c r="C243" s="8" t="s">
        <v>1469</v>
      </c>
      <c r="D243" s="7" t="s">
        <v>71</v>
      </c>
      <c r="E243" s="8"/>
      <c r="F243" s="8"/>
    </row>
    <row r="244" spans="1:6" x14ac:dyDescent="0.25">
      <c r="A244" s="4">
        <v>26645426000196</v>
      </c>
      <c r="B244" s="8" t="s">
        <v>1470</v>
      </c>
      <c r="C244" s="8" t="s">
        <v>1471</v>
      </c>
      <c r="D244" s="7" t="s">
        <v>54</v>
      </c>
      <c r="E244" s="8"/>
      <c r="F244" s="8"/>
    </row>
    <row r="245" spans="1:6" x14ac:dyDescent="0.25">
      <c r="A245" s="4">
        <v>27080605000609</v>
      </c>
      <c r="B245" s="8" t="s">
        <v>1472</v>
      </c>
      <c r="C245" s="8" t="s">
        <v>1473</v>
      </c>
      <c r="D245" s="7" t="s">
        <v>98</v>
      </c>
      <c r="E245" s="8"/>
      <c r="F245" s="8"/>
    </row>
    <row r="246" spans="1:6" x14ac:dyDescent="0.25">
      <c r="A246" s="4">
        <v>27080605002059</v>
      </c>
      <c r="B246" s="8" t="s">
        <v>1474</v>
      </c>
      <c r="C246" s="8" t="s">
        <v>1157</v>
      </c>
      <c r="D246" s="7" t="s">
        <v>98</v>
      </c>
      <c r="E246" s="8"/>
      <c r="F246" s="8"/>
    </row>
    <row r="247" spans="1:6" x14ac:dyDescent="0.25">
      <c r="A247" s="4">
        <v>32972408000111</v>
      </c>
      <c r="B247" s="8" t="s">
        <v>1475</v>
      </c>
      <c r="C247" s="8" t="s">
        <v>907</v>
      </c>
      <c r="D247" s="7" t="s">
        <v>69</v>
      </c>
      <c r="E247" s="8"/>
      <c r="F247" s="8"/>
    </row>
    <row r="248" spans="1:6" x14ac:dyDescent="0.25">
      <c r="A248" s="4">
        <v>37436920000167</v>
      </c>
      <c r="B248" s="8" t="s">
        <v>1478</v>
      </c>
      <c r="C248" s="8" t="s">
        <v>1479</v>
      </c>
      <c r="D248" s="7" t="s">
        <v>69</v>
      </c>
      <c r="E248" s="8"/>
      <c r="F248" s="8"/>
    </row>
    <row r="249" spans="1:6" x14ac:dyDescent="0.25">
      <c r="A249" s="4">
        <v>41871989000277</v>
      </c>
      <c r="B249" s="8" t="s">
        <v>1480</v>
      </c>
      <c r="C249" s="8" t="s">
        <v>1481</v>
      </c>
      <c r="D249" s="7" t="s">
        <v>54</v>
      </c>
      <c r="E249" s="8"/>
      <c r="F249" s="8"/>
    </row>
    <row r="250" spans="1:6" x14ac:dyDescent="0.25">
      <c r="A250" s="4">
        <v>42043067000153</v>
      </c>
      <c r="B250" s="8" t="s">
        <v>1482</v>
      </c>
      <c r="C250" s="8" t="s">
        <v>1483</v>
      </c>
      <c r="D250" s="7" t="s">
        <v>74</v>
      </c>
      <c r="E250" s="8"/>
      <c r="F250" s="8"/>
    </row>
    <row r="251" spans="1:6" x14ac:dyDescent="0.25">
      <c r="A251" s="4">
        <v>42946061000196</v>
      </c>
      <c r="B251" s="8" t="s">
        <v>1484</v>
      </c>
      <c r="C251" s="8" t="s">
        <v>1485</v>
      </c>
      <c r="D251" s="7" t="s">
        <v>54</v>
      </c>
      <c r="E251" s="8"/>
      <c r="F251" s="8"/>
    </row>
    <row r="252" spans="1:6" x14ac:dyDescent="0.25">
      <c r="A252" s="4">
        <v>84942887000127</v>
      </c>
      <c r="B252" s="8" t="s">
        <v>1502</v>
      </c>
      <c r="C252" s="8" t="s">
        <v>1503</v>
      </c>
      <c r="D252" s="7" t="s">
        <v>68</v>
      </c>
      <c r="E252" s="8"/>
      <c r="F252" s="8"/>
    </row>
    <row r="253" spans="1:6" x14ac:dyDescent="0.25">
      <c r="A253" s="4">
        <v>84947167000154</v>
      </c>
      <c r="B253" s="8" t="s">
        <v>1504</v>
      </c>
      <c r="C253" s="8" t="s">
        <v>1503</v>
      </c>
      <c r="D253" s="7" t="s">
        <v>68</v>
      </c>
      <c r="E253" s="8"/>
      <c r="F253" s="8"/>
    </row>
    <row r="254" spans="1:6" x14ac:dyDescent="0.25">
      <c r="A254" s="4">
        <v>85307098000187</v>
      </c>
      <c r="B254" s="8" t="s">
        <v>1505</v>
      </c>
      <c r="C254" s="8" t="s">
        <v>930</v>
      </c>
      <c r="D254" s="7" t="s">
        <v>68</v>
      </c>
      <c r="E254" s="8"/>
      <c r="F254" s="8"/>
    </row>
    <row r="255" spans="1:6" x14ac:dyDescent="0.25">
      <c r="A255" s="4">
        <v>87647756000296</v>
      </c>
      <c r="B255" s="8" t="s">
        <v>1506</v>
      </c>
      <c r="C255" s="8" t="s">
        <v>1507</v>
      </c>
      <c r="D255" s="7" t="s">
        <v>67</v>
      </c>
      <c r="E255" s="8"/>
      <c r="F255" s="8"/>
    </row>
    <row r="256" spans="1:6" x14ac:dyDescent="0.25">
      <c r="A256" s="4">
        <v>700386513</v>
      </c>
      <c r="B256" s="8" t="s">
        <v>735</v>
      </c>
      <c r="C256" s="8" t="s">
        <v>736</v>
      </c>
      <c r="D256" s="7" t="s">
        <v>85</v>
      </c>
      <c r="E256" s="8" t="s">
        <v>211</v>
      </c>
      <c r="F256" s="8" t="s">
        <v>212</v>
      </c>
    </row>
    <row r="257" spans="1:6" x14ac:dyDescent="0.25">
      <c r="A257" s="4">
        <v>1325113204</v>
      </c>
      <c r="B257" s="8" t="s">
        <v>1431</v>
      </c>
      <c r="C257" s="8" t="s">
        <v>1432</v>
      </c>
      <c r="D257" s="7" t="s">
        <v>52</v>
      </c>
      <c r="E257" s="8" t="s">
        <v>211</v>
      </c>
      <c r="F257" s="8" t="s">
        <v>212</v>
      </c>
    </row>
    <row r="258" spans="1:6" x14ac:dyDescent="0.25">
      <c r="A258" s="4">
        <v>9324322559</v>
      </c>
      <c r="B258" s="8" t="s">
        <v>737</v>
      </c>
      <c r="C258" s="8" t="s">
        <v>75</v>
      </c>
      <c r="D258" s="7" t="s">
        <v>74</v>
      </c>
      <c r="E258" s="8" t="s">
        <v>211</v>
      </c>
      <c r="F258" s="8" t="s">
        <v>212</v>
      </c>
    </row>
    <row r="259" spans="1:6" x14ac:dyDescent="0.25">
      <c r="A259" s="4">
        <v>12371009253</v>
      </c>
      <c r="B259" s="8" t="s">
        <v>1128</v>
      </c>
      <c r="C259" s="8" t="s">
        <v>1129</v>
      </c>
      <c r="D259" s="7" t="s">
        <v>52</v>
      </c>
      <c r="E259" s="8" t="s">
        <v>211</v>
      </c>
      <c r="F259" s="8" t="s">
        <v>212</v>
      </c>
    </row>
    <row r="260" spans="1:6" x14ac:dyDescent="0.25">
      <c r="A260" s="4">
        <v>25841000153</v>
      </c>
      <c r="B260" s="8" t="s">
        <v>738</v>
      </c>
      <c r="C260" s="8" t="s">
        <v>739</v>
      </c>
      <c r="D260" s="7" t="s">
        <v>55</v>
      </c>
      <c r="E260" s="8" t="s">
        <v>211</v>
      </c>
      <c r="F260" s="8" t="s">
        <v>212</v>
      </c>
    </row>
    <row r="261" spans="1:6" x14ac:dyDescent="0.25">
      <c r="A261" s="4">
        <v>44482299472</v>
      </c>
      <c r="B261" s="8" t="s">
        <v>741</v>
      </c>
      <c r="C261" s="8" t="s">
        <v>742</v>
      </c>
      <c r="D261" s="7" t="s">
        <v>91</v>
      </c>
      <c r="E261" s="8" t="s">
        <v>211</v>
      </c>
      <c r="F261" s="8" t="s">
        <v>212</v>
      </c>
    </row>
    <row r="262" spans="1:6" x14ac:dyDescent="0.25">
      <c r="A262" s="4">
        <v>49791000144</v>
      </c>
      <c r="B262" s="8" t="s">
        <v>743</v>
      </c>
      <c r="C262" s="8" t="s">
        <v>739</v>
      </c>
      <c r="D262" s="7" t="s">
        <v>55</v>
      </c>
      <c r="E262" s="8" t="s">
        <v>211</v>
      </c>
      <c r="F262" s="8" t="s">
        <v>212</v>
      </c>
    </row>
    <row r="263" spans="1:6" x14ac:dyDescent="0.25">
      <c r="A263" s="4">
        <v>53629000108</v>
      </c>
      <c r="B263" s="8" t="s">
        <v>744</v>
      </c>
      <c r="C263" s="8" t="s">
        <v>745</v>
      </c>
      <c r="D263" s="7" t="s">
        <v>59</v>
      </c>
      <c r="E263" s="8" t="s">
        <v>211</v>
      </c>
      <c r="F263" s="8" t="s">
        <v>212</v>
      </c>
    </row>
    <row r="264" spans="1:6" x14ac:dyDescent="0.25">
      <c r="A264" s="4">
        <v>83925694404</v>
      </c>
      <c r="B264" s="8" t="s">
        <v>746</v>
      </c>
      <c r="C264" s="8" t="s">
        <v>747</v>
      </c>
      <c r="D264" s="7" t="s">
        <v>56</v>
      </c>
      <c r="E264" s="8" t="s">
        <v>211</v>
      </c>
      <c r="F264" s="8" t="s">
        <v>212</v>
      </c>
    </row>
    <row r="265" spans="1:6" x14ac:dyDescent="0.25">
      <c r="A265" s="4">
        <v>85465526149</v>
      </c>
      <c r="B265" s="8" t="s">
        <v>748</v>
      </c>
      <c r="C265" s="8" t="s">
        <v>739</v>
      </c>
      <c r="D265" s="7" t="s">
        <v>55</v>
      </c>
      <c r="E265" s="8" t="s">
        <v>211</v>
      </c>
      <c r="F265" s="8" t="s">
        <v>212</v>
      </c>
    </row>
    <row r="266" spans="1:6" x14ac:dyDescent="0.25">
      <c r="A266" s="4">
        <v>91777186234</v>
      </c>
      <c r="B266" s="8" t="s">
        <v>1133</v>
      </c>
      <c r="C266" s="8" t="s">
        <v>1129</v>
      </c>
      <c r="D266" s="7" t="s">
        <v>52</v>
      </c>
      <c r="E266" s="8" t="s">
        <v>211</v>
      </c>
      <c r="F266" s="8" t="s">
        <v>212</v>
      </c>
    </row>
    <row r="267" spans="1:6" x14ac:dyDescent="0.25">
      <c r="A267" s="4">
        <v>93326645287</v>
      </c>
      <c r="B267" s="8" t="s">
        <v>1134</v>
      </c>
      <c r="C267" s="8" t="s">
        <v>1129</v>
      </c>
      <c r="D267" s="7" t="s">
        <v>52</v>
      </c>
      <c r="E267" s="8" t="s">
        <v>211</v>
      </c>
      <c r="F267" s="8" t="s">
        <v>212</v>
      </c>
    </row>
    <row r="268" spans="1:6" x14ac:dyDescent="0.25">
      <c r="A268" s="4">
        <v>382069000127</v>
      </c>
      <c r="B268" s="8" t="s">
        <v>749</v>
      </c>
      <c r="C268" s="8" t="s">
        <v>739</v>
      </c>
      <c r="D268" s="7" t="s">
        <v>55</v>
      </c>
      <c r="E268" s="8" t="s">
        <v>211</v>
      </c>
      <c r="F268" s="8" t="s">
        <v>212</v>
      </c>
    </row>
    <row r="269" spans="1:6" x14ac:dyDescent="0.25">
      <c r="A269" s="4">
        <v>394429019391</v>
      </c>
      <c r="B269" s="8" t="s">
        <v>750</v>
      </c>
      <c r="C269" s="8" t="s">
        <v>70</v>
      </c>
      <c r="D269" s="7" t="s">
        <v>71</v>
      </c>
      <c r="E269" s="8" t="s">
        <v>211</v>
      </c>
      <c r="F269" s="8" t="s">
        <v>212</v>
      </c>
    </row>
    <row r="270" spans="1:6" x14ac:dyDescent="0.25">
      <c r="A270" s="4">
        <v>394502006770</v>
      </c>
      <c r="B270" s="8" t="s">
        <v>1385</v>
      </c>
      <c r="C270" s="8" t="s">
        <v>75</v>
      </c>
      <c r="D270" s="7" t="s">
        <v>74</v>
      </c>
      <c r="E270" s="8" t="s">
        <v>211</v>
      </c>
      <c r="F270" s="8" t="s">
        <v>212</v>
      </c>
    </row>
    <row r="271" spans="1:6" x14ac:dyDescent="0.25">
      <c r="A271" s="4">
        <v>418954000119</v>
      </c>
      <c r="B271" s="8" t="s">
        <v>751</v>
      </c>
      <c r="C271" s="8" t="s">
        <v>745</v>
      </c>
      <c r="D271" s="7" t="s">
        <v>59</v>
      </c>
      <c r="E271" s="8" t="s">
        <v>211</v>
      </c>
      <c r="F271" s="8" t="s">
        <v>212</v>
      </c>
    </row>
    <row r="272" spans="1:6" x14ac:dyDescent="0.25">
      <c r="A272" s="4">
        <v>418954000704</v>
      </c>
      <c r="B272" s="8" t="s">
        <v>752</v>
      </c>
      <c r="C272" s="8" t="s">
        <v>753</v>
      </c>
      <c r="D272" s="7" t="s">
        <v>59</v>
      </c>
      <c r="E272" s="8" t="s">
        <v>211</v>
      </c>
      <c r="F272" s="8" t="s">
        <v>212</v>
      </c>
    </row>
    <row r="273" spans="1:6" x14ac:dyDescent="0.25">
      <c r="A273" s="4">
        <v>511816000180</v>
      </c>
      <c r="B273" s="8" t="s">
        <v>754</v>
      </c>
      <c r="C273" s="8" t="s">
        <v>739</v>
      </c>
      <c r="D273" s="7" t="s">
        <v>55</v>
      </c>
      <c r="E273" s="8" t="s">
        <v>211</v>
      </c>
      <c r="F273" s="8" t="s">
        <v>212</v>
      </c>
    </row>
    <row r="274" spans="1:6" x14ac:dyDescent="0.25">
      <c r="A274" s="4">
        <v>520237000101</v>
      </c>
      <c r="B274" s="8" t="s">
        <v>755</v>
      </c>
      <c r="C274" s="8" t="s">
        <v>739</v>
      </c>
      <c r="D274" s="7" t="s">
        <v>55</v>
      </c>
      <c r="E274" s="8" t="s">
        <v>211</v>
      </c>
      <c r="F274" s="8" t="s">
        <v>212</v>
      </c>
    </row>
    <row r="275" spans="1:6" x14ac:dyDescent="0.25">
      <c r="A275" s="4">
        <v>610980000144</v>
      </c>
      <c r="B275" s="8" t="s">
        <v>756</v>
      </c>
      <c r="C275" s="8" t="s">
        <v>739</v>
      </c>
      <c r="D275" s="7" t="s">
        <v>55</v>
      </c>
      <c r="E275" s="8" t="s">
        <v>211</v>
      </c>
      <c r="F275" s="8" t="s">
        <v>212</v>
      </c>
    </row>
    <row r="276" spans="1:6" x14ac:dyDescent="0.25">
      <c r="A276" s="4">
        <v>820737000150</v>
      </c>
      <c r="B276" s="8" t="s">
        <v>757</v>
      </c>
      <c r="C276" s="8" t="s">
        <v>62</v>
      </c>
      <c r="D276" s="7" t="s">
        <v>63</v>
      </c>
      <c r="E276" s="8" t="s">
        <v>211</v>
      </c>
      <c r="F276" s="8" t="s">
        <v>212</v>
      </c>
    </row>
    <row r="277" spans="1:6" x14ac:dyDescent="0.25">
      <c r="A277" s="4">
        <v>860841000179</v>
      </c>
      <c r="B277" s="8" t="s">
        <v>758</v>
      </c>
      <c r="C277" s="8" t="s">
        <v>64</v>
      </c>
      <c r="D277" s="7" t="s">
        <v>65</v>
      </c>
      <c r="E277" s="8" t="s">
        <v>211</v>
      </c>
      <c r="F277" s="8" t="s">
        <v>212</v>
      </c>
    </row>
    <row r="278" spans="1:6" x14ac:dyDescent="0.25">
      <c r="A278" s="4">
        <v>1011865000116</v>
      </c>
      <c r="B278" s="8" t="s">
        <v>759</v>
      </c>
      <c r="C278" s="8" t="s">
        <v>745</v>
      </c>
      <c r="D278" s="7" t="s">
        <v>59</v>
      </c>
      <c r="E278" s="8" t="s">
        <v>211</v>
      </c>
      <c r="F278" s="8" t="s">
        <v>212</v>
      </c>
    </row>
    <row r="279" spans="1:6" x14ac:dyDescent="0.25">
      <c r="A279" s="4">
        <v>1277573000120</v>
      </c>
      <c r="B279" s="8" t="s">
        <v>760</v>
      </c>
      <c r="C279" s="8" t="s">
        <v>745</v>
      </c>
      <c r="D279" s="7" t="s">
        <v>59</v>
      </c>
      <c r="E279" s="8" t="s">
        <v>211</v>
      </c>
      <c r="F279" s="8" t="s">
        <v>212</v>
      </c>
    </row>
    <row r="280" spans="1:6" x14ac:dyDescent="0.25">
      <c r="A280" s="4">
        <v>1326206000179</v>
      </c>
      <c r="B280" s="8" t="s">
        <v>761</v>
      </c>
      <c r="C280" s="8" t="s">
        <v>762</v>
      </c>
      <c r="D280" s="7" t="s">
        <v>59</v>
      </c>
      <c r="E280" s="8" t="s">
        <v>211</v>
      </c>
      <c r="F280" s="8" t="s">
        <v>212</v>
      </c>
    </row>
    <row r="281" spans="1:6" x14ac:dyDescent="0.25">
      <c r="A281" s="4">
        <v>1383835000130</v>
      </c>
      <c r="B281" s="8" t="s">
        <v>763</v>
      </c>
      <c r="C281" s="8" t="s">
        <v>114</v>
      </c>
      <c r="D281" s="7" t="s">
        <v>69</v>
      </c>
      <c r="E281" s="8" t="s">
        <v>211</v>
      </c>
      <c r="F281" s="8" t="s">
        <v>212</v>
      </c>
    </row>
    <row r="282" spans="1:6" x14ac:dyDescent="0.25">
      <c r="A282" s="4">
        <v>1454407000151</v>
      </c>
      <c r="B282" s="8" t="s">
        <v>764</v>
      </c>
      <c r="C282" s="8" t="s">
        <v>742</v>
      </c>
      <c r="D282" s="7" t="s">
        <v>91</v>
      </c>
      <c r="E282" s="8" t="s">
        <v>211</v>
      </c>
      <c r="F282" s="8" t="s">
        <v>212</v>
      </c>
    </row>
    <row r="283" spans="1:6" x14ac:dyDescent="0.25">
      <c r="A283" s="4">
        <v>1507901000137</v>
      </c>
      <c r="B283" s="8" t="s">
        <v>765</v>
      </c>
      <c r="C283" s="8" t="s">
        <v>62</v>
      </c>
      <c r="D283" s="7" t="s">
        <v>63</v>
      </c>
      <c r="E283" s="8" t="s">
        <v>211</v>
      </c>
      <c r="F283" s="8" t="s">
        <v>212</v>
      </c>
    </row>
    <row r="284" spans="1:6" x14ac:dyDescent="0.25">
      <c r="A284" s="4">
        <v>1545649000150</v>
      </c>
      <c r="B284" s="8" t="s">
        <v>1386</v>
      </c>
      <c r="C284" s="8" t="s">
        <v>745</v>
      </c>
      <c r="D284" s="7" t="s">
        <v>59</v>
      </c>
      <c r="E284" s="8" t="s">
        <v>211</v>
      </c>
      <c r="F284" s="8" t="s">
        <v>212</v>
      </c>
    </row>
    <row r="285" spans="1:6" x14ac:dyDescent="0.25">
      <c r="A285" s="4">
        <v>1570589000126</v>
      </c>
      <c r="B285" s="8" t="s">
        <v>766</v>
      </c>
      <c r="C285" s="8" t="s">
        <v>745</v>
      </c>
      <c r="D285" s="7" t="s">
        <v>59</v>
      </c>
      <c r="E285" s="8" t="s">
        <v>211</v>
      </c>
      <c r="F285" s="8" t="s">
        <v>212</v>
      </c>
    </row>
    <row r="286" spans="1:6" x14ac:dyDescent="0.25">
      <c r="A286" s="4">
        <v>1602408000104</v>
      </c>
      <c r="B286" s="8" t="s">
        <v>767</v>
      </c>
      <c r="C286" s="8" t="s">
        <v>739</v>
      </c>
      <c r="D286" s="7" t="s">
        <v>55</v>
      </c>
      <c r="E286" s="8" t="s">
        <v>211</v>
      </c>
      <c r="F286" s="8" t="s">
        <v>212</v>
      </c>
    </row>
    <row r="287" spans="1:6" x14ac:dyDescent="0.25">
      <c r="A287" s="4">
        <v>1656123000148</v>
      </c>
      <c r="B287" s="8" t="s">
        <v>768</v>
      </c>
      <c r="C287" s="8" t="s">
        <v>745</v>
      </c>
      <c r="D287" s="7" t="s">
        <v>59</v>
      </c>
      <c r="E287" s="8" t="s">
        <v>211</v>
      </c>
      <c r="F287" s="8" t="s">
        <v>212</v>
      </c>
    </row>
    <row r="288" spans="1:6" x14ac:dyDescent="0.25">
      <c r="A288" s="4">
        <v>1682668000129</v>
      </c>
      <c r="B288" s="8" t="s">
        <v>769</v>
      </c>
      <c r="C288" s="8" t="s">
        <v>739</v>
      </c>
      <c r="D288" s="7" t="s">
        <v>55</v>
      </c>
      <c r="E288" s="8" t="s">
        <v>211</v>
      </c>
      <c r="F288" s="8" t="s">
        <v>212</v>
      </c>
    </row>
    <row r="289" spans="1:6" x14ac:dyDescent="0.25">
      <c r="A289" s="4">
        <v>1722424000122</v>
      </c>
      <c r="B289" s="8" t="s">
        <v>770</v>
      </c>
      <c r="C289" s="8" t="s">
        <v>742</v>
      </c>
      <c r="D289" s="7" t="s">
        <v>91</v>
      </c>
      <c r="E289" s="8" t="s">
        <v>211</v>
      </c>
      <c r="F289" s="8" t="s">
        <v>212</v>
      </c>
    </row>
    <row r="290" spans="1:6" x14ac:dyDescent="0.25">
      <c r="A290" s="4">
        <v>1757351000104</v>
      </c>
      <c r="B290" s="8" t="s">
        <v>771</v>
      </c>
      <c r="C290" s="8" t="s">
        <v>772</v>
      </c>
      <c r="D290" s="7" t="s">
        <v>69</v>
      </c>
      <c r="E290" s="8" t="s">
        <v>211</v>
      </c>
      <c r="F290" s="8" t="s">
        <v>212</v>
      </c>
    </row>
    <row r="291" spans="1:6" x14ac:dyDescent="0.25">
      <c r="A291" s="4">
        <v>1837492000137</v>
      </c>
      <c r="B291" s="8" t="s">
        <v>1387</v>
      </c>
      <c r="C291" s="8" t="s">
        <v>75</v>
      </c>
      <c r="D291" s="7" t="s">
        <v>74</v>
      </c>
      <c r="E291" s="8" t="s">
        <v>211</v>
      </c>
      <c r="F291" s="8" t="s">
        <v>212</v>
      </c>
    </row>
    <row r="292" spans="1:6" x14ac:dyDescent="0.25">
      <c r="A292" s="4">
        <v>2109397000180</v>
      </c>
      <c r="B292" s="8" t="s">
        <v>773</v>
      </c>
      <c r="C292" s="8" t="s">
        <v>62</v>
      </c>
      <c r="D292" s="7" t="s">
        <v>63</v>
      </c>
      <c r="E292" s="8" t="s">
        <v>211</v>
      </c>
      <c r="F292" s="8" t="s">
        <v>212</v>
      </c>
    </row>
    <row r="293" spans="1:6" x14ac:dyDescent="0.25">
      <c r="A293" s="4">
        <v>2284062000106</v>
      </c>
      <c r="B293" s="8" t="s">
        <v>774</v>
      </c>
      <c r="C293" s="8" t="s">
        <v>70</v>
      </c>
      <c r="D293" s="7" t="s">
        <v>71</v>
      </c>
      <c r="E293" s="8" t="s">
        <v>211</v>
      </c>
      <c r="F293" s="8" t="s">
        <v>212</v>
      </c>
    </row>
    <row r="294" spans="1:6" x14ac:dyDescent="0.25">
      <c r="A294" s="4">
        <v>2284062000440</v>
      </c>
      <c r="B294" s="8" t="s">
        <v>775</v>
      </c>
      <c r="C294" s="8" t="s">
        <v>70</v>
      </c>
      <c r="D294" s="7" t="s">
        <v>71</v>
      </c>
      <c r="E294" s="8" t="s">
        <v>211</v>
      </c>
      <c r="F294" s="8" t="s">
        <v>212</v>
      </c>
    </row>
    <row r="295" spans="1:6" x14ac:dyDescent="0.25">
      <c r="A295" s="4">
        <v>2284062001170</v>
      </c>
      <c r="B295" s="8" t="s">
        <v>776</v>
      </c>
      <c r="C295" s="8" t="s">
        <v>777</v>
      </c>
      <c r="D295" s="7" t="s">
        <v>72</v>
      </c>
      <c r="E295" s="8" t="s">
        <v>211</v>
      </c>
      <c r="F295" s="8" t="s">
        <v>212</v>
      </c>
    </row>
    <row r="296" spans="1:6" x14ac:dyDescent="0.25">
      <c r="A296" s="4">
        <v>2476067000122</v>
      </c>
      <c r="B296" s="8" t="s">
        <v>778</v>
      </c>
      <c r="C296" s="8" t="s">
        <v>745</v>
      </c>
      <c r="D296" s="7" t="s">
        <v>59</v>
      </c>
      <c r="E296" s="8" t="s">
        <v>211</v>
      </c>
      <c r="F296" s="8" t="s">
        <v>212</v>
      </c>
    </row>
    <row r="297" spans="1:6" x14ac:dyDescent="0.25">
      <c r="A297" s="4">
        <v>2476067000203</v>
      </c>
      <c r="B297" s="8" t="s">
        <v>779</v>
      </c>
      <c r="C297" s="8" t="s">
        <v>745</v>
      </c>
      <c r="D297" s="7" t="s">
        <v>59</v>
      </c>
      <c r="E297" s="8" t="s">
        <v>211</v>
      </c>
      <c r="F297" s="8" t="s">
        <v>212</v>
      </c>
    </row>
    <row r="298" spans="1:6" x14ac:dyDescent="0.25">
      <c r="A298" s="4">
        <v>2476067000394</v>
      </c>
      <c r="B298" s="8" t="s">
        <v>780</v>
      </c>
      <c r="C298" s="8" t="s">
        <v>745</v>
      </c>
      <c r="D298" s="7" t="s">
        <v>59</v>
      </c>
      <c r="E298" s="8" t="s">
        <v>211</v>
      </c>
      <c r="F298" s="8" t="s">
        <v>212</v>
      </c>
    </row>
    <row r="299" spans="1:6" x14ac:dyDescent="0.25">
      <c r="A299" s="4">
        <v>2560878000107</v>
      </c>
      <c r="B299" s="8" t="s">
        <v>781</v>
      </c>
      <c r="C299" s="8" t="s">
        <v>739</v>
      </c>
      <c r="D299" s="7" t="s">
        <v>55</v>
      </c>
      <c r="E299" s="8" t="s">
        <v>211</v>
      </c>
      <c r="F299" s="8" t="s">
        <v>212</v>
      </c>
    </row>
    <row r="300" spans="1:6" x14ac:dyDescent="0.25">
      <c r="A300" s="4">
        <v>3091003000176</v>
      </c>
      <c r="B300" s="8" t="s">
        <v>782</v>
      </c>
      <c r="C300" s="8" t="s">
        <v>84</v>
      </c>
      <c r="D300" s="7" t="s">
        <v>85</v>
      </c>
      <c r="E300" s="8" t="s">
        <v>211</v>
      </c>
      <c r="F300" s="8" t="s">
        <v>212</v>
      </c>
    </row>
    <row r="301" spans="1:6" x14ac:dyDescent="0.25">
      <c r="A301" s="4">
        <v>3210872000172</v>
      </c>
      <c r="B301" s="8" t="s">
        <v>783</v>
      </c>
      <c r="C301" s="8" t="s">
        <v>122</v>
      </c>
      <c r="D301" s="7" t="s">
        <v>72</v>
      </c>
      <c r="E301" s="8" t="s">
        <v>211</v>
      </c>
      <c r="F301" s="8" t="s">
        <v>212</v>
      </c>
    </row>
    <row r="302" spans="1:6" x14ac:dyDescent="0.25">
      <c r="A302" s="4">
        <v>3222051000156</v>
      </c>
      <c r="B302" s="8" t="s">
        <v>784</v>
      </c>
      <c r="C302" s="8" t="s">
        <v>84</v>
      </c>
      <c r="D302" s="7" t="s">
        <v>85</v>
      </c>
      <c r="E302" s="8" t="s">
        <v>211</v>
      </c>
      <c r="F302" s="8" t="s">
        <v>212</v>
      </c>
    </row>
    <row r="303" spans="1:6" x14ac:dyDescent="0.25">
      <c r="A303" s="4">
        <v>3315918000541</v>
      </c>
      <c r="B303" s="8" t="s">
        <v>785</v>
      </c>
      <c r="C303" s="8" t="s">
        <v>64</v>
      </c>
      <c r="D303" s="7" t="s">
        <v>65</v>
      </c>
      <c r="E303" s="8" t="s">
        <v>211</v>
      </c>
      <c r="F303" s="8" t="s">
        <v>212</v>
      </c>
    </row>
    <row r="304" spans="1:6" x14ac:dyDescent="0.25">
      <c r="A304" s="4">
        <v>3376102000102</v>
      </c>
      <c r="B304" s="8" t="s">
        <v>786</v>
      </c>
      <c r="C304" s="8" t="s">
        <v>75</v>
      </c>
      <c r="D304" s="7" t="s">
        <v>74</v>
      </c>
      <c r="E304" s="8" t="s">
        <v>211</v>
      </c>
      <c r="F304" s="8" t="s">
        <v>212</v>
      </c>
    </row>
    <row r="305" spans="1:6" x14ac:dyDescent="0.25">
      <c r="A305" s="4">
        <v>3533726000773</v>
      </c>
      <c r="B305" s="8" t="s">
        <v>787</v>
      </c>
      <c r="C305" s="8" t="s">
        <v>772</v>
      </c>
      <c r="D305" s="7" t="s">
        <v>69</v>
      </c>
      <c r="E305" s="8" t="s">
        <v>211</v>
      </c>
      <c r="F305" s="8" t="s">
        <v>212</v>
      </c>
    </row>
    <row r="306" spans="1:6" x14ac:dyDescent="0.25">
      <c r="A306" s="4">
        <v>3533726001583</v>
      </c>
      <c r="B306" s="8" t="s">
        <v>788</v>
      </c>
      <c r="C306" s="8" t="s">
        <v>789</v>
      </c>
      <c r="D306" s="7" t="s">
        <v>69</v>
      </c>
      <c r="E306" s="8" t="s">
        <v>211</v>
      </c>
      <c r="F306" s="8" t="s">
        <v>212</v>
      </c>
    </row>
    <row r="307" spans="1:6" x14ac:dyDescent="0.25">
      <c r="A307" s="4">
        <v>3568867000136</v>
      </c>
      <c r="B307" s="8" t="s">
        <v>790</v>
      </c>
      <c r="C307" s="8" t="s">
        <v>739</v>
      </c>
      <c r="D307" s="7" t="s">
        <v>55</v>
      </c>
      <c r="E307" s="8" t="s">
        <v>211</v>
      </c>
      <c r="F307" s="8" t="s">
        <v>212</v>
      </c>
    </row>
    <row r="308" spans="1:6" x14ac:dyDescent="0.25">
      <c r="A308" s="4">
        <v>3858924000111</v>
      </c>
      <c r="B308" s="8" t="s">
        <v>791</v>
      </c>
      <c r="C308" s="8" t="s">
        <v>115</v>
      </c>
      <c r="D308" s="7" t="s">
        <v>71</v>
      </c>
      <c r="E308" s="8" t="s">
        <v>211</v>
      </c>
      <c r="F308" s="8" t="s">
        <v>212</v>
      </c>
    </row>
    <row r="309" spans="1:6" x14ac:dyDescent="0.25">
      <c r="A309" s="4">
        <v>3866223000124</v>
      </c>
      <c r="B309" s="8" t="s">
        <v>792</v>
      </c>
      <c r="C309" s="8" t="s">
        <v>742</v>
      </c>
      <c r="D309" s="7" t="s">
        <v>91</v>
      </c>
      <c r="E309" s="8" t="s">
        <v>211</v>
      </c>
      <c r="F309" s="8" t="s">
        <v>212</v>
      </c>
    </row>
    <row r="310" spans="1:6" x14ac:dyDescent="0.25">
      <c r="A310" s="4">
        <v>3904395000145</v>
      </c>
      <c r="B310" s="8" t="s">
        <v>793</v>
      </c>
      <c r="C310" s="8" t="s">
        <v>794</v>
      </c>
      <c r="D310" s="7" t="s">
        <v>71</v>
      </c>
      <c r="E310" s="8" t="s">
        <v>211</v>
      </c>
      <c r="F310" s="8" t="s">
        <v>212</v>
      </c>
    </row>
    <row r="311" spans="1:6" x14ac:dyDescent="0.25">
      <c r="A311" s="4">
        <v>3925419000142</v>
      </c>
      <c r="B311" s="8" t="s">
        <v>795</v>
      </c>
      <c r="C311" s="8" t="s">
        <v>772</v>
      </c>
      <c r="D311" s="7" t="s">
        <v>69</v>
      </c>
      <c r="E311" s="8" t="s">
        <v>211</v>
      </c>
      <c r="F311" s="8" t="s">
        <v>212</v>
      </c>
    </row>
    <row r="312" spans="1:6" x14ac:dyDescent="0.25">
      <c r="A312" s="4">
        <v>3989821000190</v>
      </c>
      <c r="B312" s="8" t="s">
        <v>796</v>
      </c>
      <c r="C312" s="8" t="s">
        <v>739</v>
      </c>
      <c r="D312" s="7" t="s">
        <v>55</v>
      </c>
      <c r="E312" s="8" t="s">
        <v>211</v>
      </c>
      <c r="F312" s="8" t="s">
        <v>212</v>
      </c>
    </row>
    <row r="313" spans="1:6" x14ac:dyDescent="0.25">
      <c r="A313" s="4">
        <v>4159778000107</v>
      </c>
      <c r="B313" s="8" t="s">
        <v>1144</v>
      </c>
      <c r="C313" s="8" t="s">
        <v>109</v>
      </c>
      <c r="D313" s="7" t="s">
        <v>110</v>
      </c>
      <c r="E313" s="8" t="s">
        <v>211</v>
      </c>
      <c r="F313" s="8" t="s">
        <v>212</v>
      </c>
    </row>
    <row r="314" spans="1:6" x14ac:dyDescent="0.25">
      <c r="A314" s="4">
        <v>4201372001028</v>
      </c>
      <c r="B314" s="8" t="s">
        <v>1145</v>
      </c>
      <c r="C314" s="8" t="s">
        <v>1129</v>
      </c>
      <c r="D314" s="7" t="s">
        <v>52</v>
      </c>
      <c r="E314" s="8" t="s">
        <v>211</v>
      </c>
      <c r="F314" s="8" t="s">
        <v>212</v>
      </c>
    </row>
    <row r="315" spans="1:6" x14ac:dyDescent="0.25">
      <c r="A315" s="4">
        <v>4602792000125</v>
      </c>
      <c r="B315" s="8" t="s">
        <v>797</v>
      </c>
      <c r="C315" s="8" t="s">
        <v>73</v>
      </c>
      <c r="D315" s="7" t="s">
        <v>74</v>
      </c>
      <c r="E315" s="8" t="s">
        <v>211</v>
      </c>
      <c r="F315" s="8" t="s">
        <v>212</v>
      </c>
    </row>
    <row r="316" spans="1:6" x14ac:dyDescent="0.25">
      <c r="A316" s="4">
        <v>4929345000185</v>
      </c>
      <c r="B316" s="8" t="s">
        <v>1147</v>
      </c>
      <c r="C316" s="8" t="s">
        <v>1129</v>
      </c>
      <c r="D316" s="7" t="s">
        <v>52</v>
      </c>
      <c r="E316" s="8" t="s">
        <v>211</v>
      </c>
      <c r="F316" s="8" t="s">
        <v>212</v>
      </c>
    </row>
    <row r="317" spans="1:6" x14ac:dyDescent="0.25">
      <c r="A317" s="4">
        <v>4966545000370</v>
      </c>
      <c r="B317" s="8" t="s">
        <v>1148</v>
      </c>
      <c r="C317" s="8" t="s">
        <v>1129</v>
      </c>
      <c r="D317" s="7" t="s">
        <v>52</v>
      </c>
      <c r="E317" s="8" t="s">
        <v>211</v>
      </c>
      <c r="F317" s="8" t="s">
        <v>212</v>
      </c>
    </row>
    <row r="318" spans="1:6" x14ac:dyDescent="0.25">
      <c r="A318" s="4">
        <v>5054929000117</v>
      </c>
      <c r="B318" s="8" t="s">
        <v>1149</v>
      </c>
      <c r="C318" s="8" t="s">
        <v>1129</v>
      </c>
      <c r="D318" s="7" t="s">
        <v>52</v>
      </c>
      <c r="E318" s="8" t="s">
        <v>211</v>
      </c>
      <c r="F318" s="8" t="s">
        <v>212</v>
      </c>
    </row>
    <row r="319" spans="1:6" x14ac:dyDescent="0.25">
      <c r="A319" s="4">
        <v>5055128000257</v>
      </c>
      <c r="B319" s="8" t="s">
        <v>798</v>
      </c>
      <c r="C319" s="8" t="s">
        <v>130</v>
      </c>
      <c r="D319" s="7" t="s">
        <v>56</v>
      </c>
      <c r="E319" s="8" t="s">
        <v>211</v>
      </c>
      <c r="F319" s="8" t="s">
        <v>212</v>
      </c>
    </row>
    <row r="320" spans="1:6" x14ac:dyDescent="0.25">
      <c r="A320" s="4">
        <v>5430118000173</v>
      </c>
      <c r="B320" s="8" t="s">
        <v>1295</v>
      </c>
      <c r="C320" s="8" t="s">
        <v>1296</v>
      </c>
      <c r="D320" s="7" t="s">
        <v>74</v>
      </c>
      <c r="E320" s="8" t="s">
        <v>211</v>
      </c>
      <c r="F320" s="8" t="s">
        <v>212</v>
      </c>
    </row>
    <row r="321" spans="1:6" x14ac:dyDescent="0.25">
      <c r="A321" s="4">
        <v>5469172000122</v>
      </c>
      <c r="B321" s="8" t="s">
        <v>799</v>
      </c>
      <c r="C321" s="8" t="s">
        <v>75</v>
      </c>
      <c r="D321" s="7" t="s">
        <v>74</v>
      </c>
      <c r="E321" s="8" t="s">
        <v>211</v>
      </c>
      <c r="F321" s="8" t="s">
        <v>212</v>
      </c>
    </row>
    <row r="322" spans="1:6" x14ac:dyDescent="0.25">
      <c r="A322" s="4">
        <v>5562645000131</v>
      </c>
      <c r="B322" s="8" t="s">
        <v>1388</v>
      </c>
      <c r="C322" s="8" t="s">
        <v>745</v>
      </c>
      <c r="D322" s="7" t="s">
        <v>59</v>
      </c>
      <c r="E322" s="8" t="s">
        <v>211</v>
      </c>
      <c r="F322" s="8" t="s">
        <v>212</v>
      </c>
    </row>
    <row r="323" spans="1:6" x14ac:dyDescent="0.25">
      <c r="A323" s="4">
        <v>5612725000154</v>
      </c>
      <c r="B323" s="8" t="s">
        <v>800</v>
      </c>
      <c r="C323" s="8" t="s">
        <v>742</v>
      </c>
      <c r="D323" s="7" t="s">
        <v>91</v>
      </c>
      <c r="E323" s="8" t="s">
        <v>211</v>
      </c>
      <c r="F323" s="8" t="s">
        <v>212</v>
      </c>
    </row>
    <row r="324" spans="1:6" x14ac:dyDescent="0.25">
      <c r="A324" s="4">
        <v>5652543000107</v>
      </c>
      <c r="B324" s="8" t="s">
        <v>801</v>
      </c>
      <c r="C324" s="8" t="s">
        <v>802</v>
      </c>
      <c r="D324" s="7" t="s">
        <v>74</v>
      </c>
      <c r="E324" s="8" t="s">
        <v>211</v>
      </c>
      <c r="F324" s="8" t="s">
        <v>212</v>
      </c>
    </row>
    <row r="325" spans="1:6" x14ac:dyDescent="0.25">
      <c r="A325" s="4">
        <v>5816630000152</v>
      </c>
      <c r="B325" s="8" t="s">
        <v>803</v>
      </c>
      <c r="C325" s="8" t="s">
        <v>75</v>
      </c>
      <c r="D325" s="7" t="s">
        <v>74</v>
      </c>
      <c r="E325" s="8" t="s">
        <v>211</v>
      </c>
      <c r="F325" s="8" t="s">
        <v>212</v>
      </c>
    </row>
    <row r="326" spans="1:6" x14ac:dyDescent="0.25">
      <c r="A326" s="4">
        <v>5867015000175</v>
      </c>
      <c r="B326" s="8" t="s">
        <v>804</v>
      </c>
      <c r="C326" s="8" t="s">
        <v>76</v>
      </c>
      <c r="D326" s="7" t="s">
        <v>77</v>
      </c>
      <c r="E326" s="8" t="s">
        <v>211</v>
      </c>
      <c r="F326" s="8" t="s">
        <v>212</v>
      </c>
    </row>
    <row r="327" spans="1:6" x14ac:dyDescent="0.25">
      <c r="A327" s="4">
        <v>5868278000280</v>
      </c>
      <c r="B327" s="8" t="s">
        <v>805</v>
      </c>
      <c r="C327" s="8" t="s">
        <v>76</v>
      </c>
      <c r="D327" s="7" t="s">
        <v>77</v>
      </c>
      <c r="E327" s="8" t="s">
        <v>211</v>
      </c>
      <c r="F327" s="8" t="s">
        <v>212</v>
      </c>
    </row>
    <row r="328" spans="1:6" x14ac:dyDescent="0.25">
      <c r="A328" s="4">
        <v>5874946000109</v>
      </c>
      <c r="B328" s="8" t="s">
        <v>806</v>
      </c>
      <c r="C328" s="8" t="s">
        <v>76</v>
      </c>
      <c r="D328" s="7" t="s">
        <v>77</v>
      </c>
      <c r="E328" s="8" t="s">
        <v>211</v>
      </c>
      <c r="F328" s="8" t="s">
        <v>212</v>
      </c>
    </row>
    <row r="329" spans="1:6" x14ac:dyDescent="0.25">
      <c r="A329" s="4">
        <v>5874946000281</v>
      </c>
      <c r="B329" s="8" t="s">
        <v>807</v>
      </c>
      <c r="C329" s="8" t="s">
        <v>76</v>
      </c>
      <c r="D329" s="7" t="s">
        <v>77</v>
      </c>
      <c r="E329" s="8" t="s">
        <v>211</v>
      </c>
      <c r="F329" s="8" t="s">
        <v>212</v>
      </c>
    </row>
    <row r="330" spans="1:6" x14ac:dyDescent="0.25">
      <c r="A330" s="4">
        <v>5919720000179</v>
      </c>
      <c r="B330" s="8" t="s">
        <v>808</v>
      </c>
      <c r="C330" s="8" t="s">
        <v>745</v>
      </c>
      <c r="D330" s="7" t="s">
        <v>59</v>
      </c>
      <c r="E330" s="8" t="s">
        <v>211</v>
      </c>
      <c r="F330" s="8" t="s">
        <v>212</v>
      </c>
    </row>
    <row r="331" spans="1:6" x14ac:dyDescent="0.25">
      <c r="A331" s="4">
        <v>6047087001291</v>
      </c>
      <c r="B331" s="8" t="s">
        <v>809</v>
      </c>
      <c r="C331" s="8" t="s">
        <v>107</v>
      </c>
      <c r="D331" s="7" t="s">
        <v>71</v>
      </c>
      <c r="E331" s="8" t="s">
        <v>211</v>
      </c>
      <c r="F331" s="8" t="s">
        <v>212</v>
      </c>
    </row>
    <row r="332" spans="1:6" x14ac:dyDescent="0.25">
      <c r="A332" s="4">
        <v>6047087004126</v>
      </c>
      <c r="B332" s="8" t="s">
        <v>810</v>
      </c>
      <c r="C332" s="8" t="s">
        <v>739</v>
      </c>
      <c r="D332" s="7" t="s">
        <v>55</v>
      </c>
      <c r="E332" s="8" t="s">
        <v>211</v>
      </c>
      <c r="F332" s="8" t="s">
        <v>212</v>
      </c>
    </row>
    <row r="333" spans="1:6" x14ac:dyDescent="0.25">
      <c r="A333" s="4">
        <v>6047087004207</v>
      </c>
      <c r="B333" s="8" t="s">
        <v>811</v>
      </c>
      <c r="C333" s="8" t="s">
        <v>739</v>
      </c>
      <c r="D333" s="7" t="s">
        <v>55</v>
      </c>
      <c r="E333" s="8" t="s">
        <v>211</v>
      </c>
      <c r="F333" s="8" t="s">
        <v>212</v>
      </c>
    </row>
    <row r="334" spans="1:6" x14ac:dyDescent="0.25">
      <c r="A334" s="4">
        <v>6047087009276</v>
      </c>
      <c r="B334" s="8" t="s">
        <v>812</v>
      </c>
      <c r="C334" s="8" t="s">
        <v>70</v>
      </c>
      <c r="D334" s="7" t="s">
        <v>71</v>
      </c>
      <c r="E334" s="8" t="s">
        <v>211</v>
      </c>
      <c r="F334" s="8" t="s">
        <v>212</v>
      </c>
    </row>
    <row r="335" spans="1:6" x14ac:dyDescent="0.25">
      <c r="A335" s="4">
        <v>6070425000153</v>
      </c>
      <c r="B335" s="8" t="s">
        <v>1150</v>
      </c>
      <c r="C335" s="8" t="s">
        <v>1151</v>
      </c>
      <c r="D335" s="7" t="s">
        <v>79</v>
      </c>
      <c r="E335" s="8" t="s">
        <v>211</v>
      </c>
      <c r="F335" s="8" t="s">
        <v>212</v>
      </c>
    </row>
    <row r="336" spans="1:6" x14ac:dyDescent="0.25">
      <c r="A336" s="4">
        <v>6190522000180</v>
      </c>
      <c r="B336" s="8" t="s">
        <v>813</v>
      </c>
      <c r="C336" s="8" t="s">
        <v>80</v>
      </c>
      <c r="D336" s="7" t="s">
        <v>59</v>
      </c>
      <c r="E336" s="8" t="s">
        <v>211</v>
      </c>
      <c r="F336" s="8" t="s">
        <v>212</v>
      </c>
    </row>
    <row r="337" spans="1:6" x14ac:dyDescent="0.25">
      <c r="A337" s="4">
        <v>6337035000105</v>
      </c>
      <c r="B337" s="8" t="s">
        <v>814</v>
      </c>
      <c r="C337" s="8" t="s">
        <v>745</v>
      </c>
      <c r="D337" s="7" t="s">
        <v>59</v>
      </c>
      <c r="E337" s="8" t="s">
        <v>211</v>
      </c>
      <c r="F337" s="8" t="s">
        <v>212</v>
      </c>
    </row>
    <row r="338" spans="1:6" x14ac:dyDescent="0.25">
      <c r="A338" s="4">
        <v>6553564000138</v>
      </c>
      <c r="B338" s="8" t="s">
        <v>1152</v>
      </c>
      <c r="C338" s="8" t="s">
        <v>81</v>
      </c>
      <c r="D338" s="7" t="s">
        <v>82</v>
      </c>
      <c r="E338" s="8" t="s">
        <v>211</v>
      </c>
      <c r="F338" s="8" t="s">
        <v>212</v>
      </c>
    </row>
    <row r="339" spans="1:6" x14ac:dyDescent="0.25">
      <c r="A339" s="4">
        <v>6555031000276</v>
      </c>
      <c r="B339" s="8" t="s">
        <v>815</v>
      </c>
      <c r="C339" s="8" t="s">
        <v>81</v>
      </c>
      <c r="D339" s="7" t="s">
        <v>82</v>
      </c>
      <c r="E339" s="8" t="s">
        <v>211</v>
      </c>
      <c r="F339" s="8" t="s">
        <v>212</v>
      </c>
    </row>
    <row r="340" spans="1:6" x14ac:dyDescent="0.25">
      <c r="A340" s="4">
        <v>6833917000153</v>
      </c>
      <c r="B340" s="8" t="s">
        <v>1389</v>
      </c>
      <c r="C340" s="8" t="s">
        <v>81</v>
      </c>
      <c r="D340" s="7" t="s">
        <v>82</v>
      </c>
      <c r="E340" s="8" t="s">
        <v>211</v>
      </c>
      <c r="F340" s="8" t="s">
        <v>212</v>
      </c>
    </row>
    <row r="341" spans="1:6" x14ac:dyDescent="0.25">
      <c r="A341" s="4">
        <v>7245269000187</v>
      </c>
      <c r="B341" s="8" t="s">
        <v>816</v>
      </c>
      <c r="C341" s="8" t="s">
        <v>76</v>
      </c>
      <c r="D341" s="7" t="s">
        <v>77</v>
      </c>
      <c r="E341" s="8" t="s">
        <v>211</v>
      </c>
      <c r="F341" s="8" t="s">
        <v>212</v>
      </c>
    </row>
    <row r="342" spans="1:6" x14ac:dyDescent="0.25">
      <c r="A342" s="4">
        <v>7272404000183</v>
      </c>
      <c r="B342" s="8" t="s">
        <v>817</v>
      </c>
      <c r="C342" s="8" t="s">
        <v>76</v>
      </c>
      <c r="D342" s="7" t="s">
        <v>77</v>
      </c>
      <c r="E342" s="8" t="s">
        <v>211</v>
      </c>
      <c r="F342" s="8" t="s">
        <v>212</v>
      </c>
    </row>
    <row r="343" spans="1:6" x14ac:dyDescent="0.25">
      <c r="A343" s="4">
        <v>7272636000212</v>
      </c>
      <c r="B343" s="8" t="s">
        <v>818</v>
      </c>
      <c r="C343" s="8" t="s">
        <v>76</v>
      </c>
      <c r="D343" s="7" t="s">
        <v>77</v>
      </c>
      <c r="E343" s="8" t="s">
        <v>211</v>
      </c>
      <c r="F343" s="8" t="s">
        <v>212</v>
      </c>
    </row>
    <row r="344" spans="1:6" x14ac:dyDescent="0.25">
      <c r="A344" s="4">
        <v>7750144000104</v>
      </c>
      <c r="B344" s="8" t="s">
        <v>819</v>
      </c>
      <c r="C344" s="8" t="s">
        <v>777</v>
      </c>
      <c r="D344" s="7" t="s">
        <v>72</v>
      </c>
      <c r="E344" s="8" t="s">
        <v>211</v>
      </c>
      <c r="F344" s="8" t="s">
        <v>212</v>
      </c>
    </row>
    <row r="345" spans="1:6" x14ac:dyDescent="0.25">
      <c r="A345" s="4">
        <v>7775847000278</v>
      </c>
      <c r="B345" s="8" t="s">
        <v>820</v>
      </c>
      <c r="C345" s="8" t="s">
        <v>123</v>
      </c>
      <c r="D345" s="7" t="s">
        <v>65</v>
      </c>
      <c r="E345" s="8" t="s">
        <v>211</v>
      </c>
      <c r="F345" s="8" t="s">
        <v>212</v>
      </c>
    </row>
    <row r="346" spans="1:6" x14ac:dyDescent="0.25">
      <c r="A346" s="4">
        <v>7794623005191</v>
      </c>
      <c r="B346" s="8" t="s">
        <v>821</v>
      </c>
      <c r="C346" s="8" t="s">
        <v>739</v>
      </c>
      <c r="D346" s="7" t="s">
        <v>55</v>
      </c>
      <c r="E346" s="8" t="s">
        <v>211</v>
      </c>
      <c r="F346" s="8" t="s">
        <v>212</v>
      </c>
    </row>
    <row r="347" spans="1:6" x14ac:dyDescent="0.25">
      <c r="A347" s="4">
        <v>7835044000180</v>
      </c>
      <c r="B347" s="8" t="s">
        <v>822</v>
      </c>
      <c r="C347" s="8" t="s">
        <v>76</v>
      </c>
      <c r="D347" s="7" t="s">
        <v>77</v>
      </c>
      <c r="E347" s="8" t="s">
        <v>211</v>
      </c>
      <c r="F347" s="8" t="s">
        <v>212</v>
      </c>
    </row>
    <row r="348" spans="1:6" x14ac:dyDescent="0.25">
      <c r="A348" s="4">
        <v>8319329000121</v>
      </c>
      <c r="B348" s="8" t="s">
        <v>823</v>
      </c>
      <c r="C348" s="8" t="s">
        <v>62</v>
      </c>
      <c r="D348" s="7" t="s">
        <v>63</v>
      </c>
      <c r="E348" s="8" t="s">
        <v>211</v>
      </c>
      <c r="F348" s="8" t="s">
        <v>212</v>
      </c>
    </row>
    <row r="349" spans="1:6" x14ac:dyDescent="0.25">
      <c r="A349" s="4">
        <v>8337586000196</v>
      </c>
      <c r="B349" s="8" t="s">
        <v>824</v>
      </c>
      <c r="C349" s="8" t="s">
        <v>62</v>
      </c>
      <c r="D349" s="7" t="s">
        <v>63</v>
      </c>
      <c r="E349" s="8" t="s">
        <v>211</v>
      </c>
      <c r="F349" s="8" t="s">
        <v>212</v>
      </c>
    </row>
    <row r="350" spans="1:6" x14ac:dyDescent="0.25">
      <c r="A350" s="4">
        <v>8380701000610</v>
      </c>
      <c r="B350" s="8" t="s">
        <v>825</v>
      </c>
      <c r="C350" s="8" t="s">
        <v>62</v>
      </c>
      <c r="D350" s="7" t="s">
        <v>63</v>
      </c>
      <c r="E350" s="8" t="s">
        <v>211</v>
      </c>
      <c r="F350" s="8" t="s">
        <v>212</v>
      </c>
    </row>
    <row r="351" spans="1:6" x14ac:dyDescent="0.25">
      <c r="A351" s="4">
        <v>8380701001772</v>
      </c>
      <c r="B351" s="8" t="s">
        <v>826</v>
      </c>
      <c r="C351" s="8" t="s">
        <v>62</v>
      </c>
      <c r="D351" s="7" t="s">
        <v>63</v>
      </c>
      <c r="E351" s="8" t="s">
        <v>211</v>
      </c>
      <c r="F351" s="8" t="s">
        <v>212</v>
      </c>
    </row>
    <row r="352" spans="1:6" x14ac:dyDescent="0.25">
      <c r="A352" s="4">
        <v>8680639000681</v>
      </c>
      <c r="B352" s="8" t="s">
        <v>827</v>
      </c>
      <c r="C352" s="8" t="s">
        <v>747</v>
      </c>
      <c r="D352" s="7" t="s">
        <v>56</v>
      </c>
      <c r="E352" s="8" t="s">
        <v>211</v>
      </c>
      <c r="F352" s="8" t="s">
        <v>212</v>
      </c>
    </row>
    <row r="353" spans="1:6" x14ac:dyDescent="0.25">
      <c r="A353" s="4">
        <v>8711085000128</v>
      </c>
      <c r="B353" s="8" t="s">
        <v>828</v>
      </c>
      <c r="C353" s="8" t="s">
        <v>76</v>
      </c>
      <c r="D353" s="7" t="s">
        <v>77</v>
      </c>
      <c r="E353" s="8" t="s">
        <v>211</v>
      </c>
      <c r="F353" s="8" t="s">
        <v>212</v>
      </c>
    </row>
    <row r="354" spans="1:6" x14ac:dyDescent="0.25">
      <c r="A354" s="4">
        <v>9039744000275</v>
      </c>
      <c r="B354" s="8" t="s">
        <v>829</v>
      </c>
      <c r="C354" s="8" t="s">
        <v>99</v>
      </c>
      <c r="D354" s="7" t="s">
        <v>71</v>
      </c>
      <c r="E354" s="8" t="s">
        <v>211</v>
      </c>
      <c r="F354" s="8" t="s">
        <v>212</v>
      </c>
    </row>
    <row r="355" spans="1:6" x14ac:dyDescent="0.25">
      <c r="A355" s="4">
        <v>9104513000974</v>
      </c>
      <c r="B355" s="8" t="s">
        <v>830</v>
      </c>
      <c r="C355" s="8" t="s">
        <v>739</v>
      </c>
      <c r="D355" s="7" t="s">
        <v>55</v>
      </c>
      <c r="E355" s="8" t="s">
        <v>211</v>
      </c>
      <c r="F355" s="8" t="s">
        <v>212</v>
      </c>
    </row>
    <row r="356" spans="1:6" x14ac:dyDescent="0.25">
      <c r="A356" s="4">
        <v>9192098000109</v>
      </c>
      <c r="B356" s="8" t="s">
        <v>831</v>
      </c>
      <c r="C356" s="8" t="s">
        <v>832</v>
      </c>
      <c r="D356" s="7" t="s">
        <v>72</v>
      </c>
      <c r="E356" s="8" t="s">
        <v>211</v>
      </c>
      <c r="F356" s="8" t="s">
        <v>212</v>
      </c>
    </row>
    <row r="357" spans="1:6" x14ac:dyDescent="0.25">
      <c r="A357" s="4">
        <v>9577422000280</v>
      </c>
      <c r="B357" s="8" t="s">
        <v>1390</v>
      </c>
      <c r="C357" s="8" t="s">
        <v>70</v>
      </c>
      <c r="D357" s="7" t="s">
        <v>71</v>
      </c>
      <c r="E357" s="8" t="s">
        <v>211</v>
      </c>
      <c r="F357" s="8" t="s">
        <v>212</v>
      </c>
    </row>
    <row r="358" spans="1:6" x14ac:dyDescent="0.25">
      <c r="A358" s="4">
        <v>10572048000209</v>
      </c>
      <c r="B358" s="8" t="s">
        <v>833</v>
      </c>
      <c r="C358" s="8" t="s">
        <v>70</v>
      </c>
      <c r="D358" s="7" t="s">
        <v>71</v>
      </c>
      <c r="E358" s="8" t="s">
        <v>211</v>
      </c>
      <c r="F358" s="8" t="s">
        <v>212</v>
      </c>
    </row>
    <row r="359" spans="1:6" x14ac:dyDescent="0.25">
      <c r="A359" s="4">
        <v>10839561000132</v>
      </c>
      <c r="B359" s="8" t="s">
        <v>834</v>
      </c>
      <c r="C359" s="8" t="s">
        <v>70</v>
      </c>
      <c r="D359" s="7" t="s">
        <v>71</v>
      </c>
      <c r="E359" s="8" t="s">
        <v>211</v>
      </c>
      <c r="F359" s="8" t="s">
        <v>212</v>
      </c>
    </row>
    <row r="360" spans="1:6" x14ac:dyDescent="0.25">
      <c r="A360" s="4">
        <v>10892164000124</v>
      </c>
      <c r="B360" s="8" t="s">
        <v>835</v>
      </c>
      <c r="C360" s="8" t="s">
        <v>70</v>
      </c>
      <c r="D360" s="7" t="s">
        <v>71</v>
      </c>
      <c r="E360" s="8" t="s">
        <v>211</v>
      </c>
      <c r="F360" s="8" t="s">
        <v>212</v>
      </c>
    </row>
    <row r="361" spans="1:6" x14ac:dyDescent="0.25">
      <c r="A361" s="4">
        <v>10942995000163</v>
      </c>
      <c r="B361" s="8" t="s">
        <v>836</v>
      </c>
      <c r="C361" s="8" t="s">
        <v>739</v>
      </c>
      <c r="D361" s="7" t="s">
        <v>55</v>
      </c>
      <c r="E361" s="8" t="s">
        <v>211</v>
      </c>
      <c r="F361" s="8" t="s">
        <v>212</v>
      </c>
    </row>
    <row r="362" spans="1:6" x14ac:dyDescent="0.25">
      <c r="A362" s="4">
        <v>10988301000129</v>
      </c>
      <c r="B362" s="8" t="s">
        <v>837</v>
      </c>
      <c r="C362" s="8" t="s">
        <v>70</v>
      </c>
      <c r="D362" s="7" t="s">
        <v>71</v>
      </c>
      <c r="E362" s="8" t="s">
        <v>211</v>
      </c>
      <c r="F362" s="8" t="s">
        <v>212</v>
      </c>
    </row>
    <row r="363" spans="1:6" x14ac:dyDescent="0.25">
      <c r="A363" s="4">
        <v>11006293000130</v>
      </c>
      <c r="B363" s="8" t="s">
        <v>838</v>
      </c>
      <c r="C363" s="8" t="s">
        <v>777</v>
      </c>
      <c r="D363" s="7" t="s">
        <v>72</v>
      </c>
      <c r="E363" s="8" t="s">
        <v>211</v>
      </c>
      <c r="F363" s="8" t="s">
        <v>212</v>
      </c>
    </row>
    <row r="364" spans="1:6" x14ac:dyDescent="0.25">
      <c r="A364" s="4">
        <v>11022597001325</v>
      </c>
      <c r="B364" s="8" t="s">
        <v>839</v>
      </c>
      <c r="C364" s="8" t="s">
        <v>70</v>
      </c>
      <c r="D364" s="7" t="s">
        <v>71</v>
      </c>
      <c r="E364" s="8" t="s">
        <v>211</v>
      </c>
      <c r="F364" s="8" t="s">
        <v>212</v>
      </c>
    </row>
    <row r="365" spans="1:6" x14ac:dyDescent="0.25">
      <c r="A365" s="4">
        <v>11022597001597</v>
      </c>
      <c r="B365" s="8" t="s">
        <v>840</v>
      </c>
      <c r="C365" s="8" t="s">
        <v>70</v>
      </c>
      <c r="D365" s="7" t="s">
        <v>71</v>
      </c>
      <c r="E365" s="8" t="s">
        <v>211</v>
      </c>
      <c r="F365" s="8" t="s">
        <v>212</v>
      </c>
    </row>
    <row r="366" spans="1:6" x14ac:dyDescent="0.25">
      <c r="A366" s="4">
        <v>11214624000470</v>
      </c>
      <c r="B366" s="8" t="s">
        <v>841</v>
      </c>
      <c r="C366" s="8" t="s">
        <v>70</v>
      </c>
      <c r="D366" s="7" t="s">
        <v>71</v>
      </c>
      <c r="E366" s="8" t="s">
        <v>211</v>
      </c>
      <c r="F366" s="8" t="s">
        <v>212</v>
      </c>
    </row>
    <row r="367" spans="1:6" x14ac:dyDescent="0.25">
      <c r="A367" s="4">
        <v>11214624001957</v>
      </c>
      <c r="B367" s="8" t="s">
        <v>842</v>
      </c>
      <c r="C367" s="8" t="s">
        <v>70</v>
      </c>
      <c r="D367" s="7" t="s">
        <v>71</v>
      </c>
      <c r="E367" s="8" t="s">
        <v>211</v>
      </c>
      <c r="F367" s="8" t="s">
        <v>212</v>
      </c>
    </row>
    <row r="368" spans="1:6" x14ac:dyDescent="0.25">
      <c r="A368" s="4">
        <v>11273170000166</v>
      </c>
      <c r="B368" s="8" t="s">
        <v>843</v>
      </c>
      <c r="C368" s="8" t="s">
        <v>81</v>
      </c>
      <c r="D368" s="7" t="s">
        <v>82</v>
      </c>
      <c r="E368" s="8" t="s">
        <v>211</v>
      </c>
      <c r="F368" s="8" t="s">
        <v>212</v>
      </c>
    </row>
    <row r="369" spans="1:6" x14ac:dyDescent="0.25">
      <c r="A369" s="4">
        <v>11452240000143</v>
      </c>
      <c r="B369" s="8" t="s">
        <v>844</v>
      </c>
      <c r="C369" s="8" t="s">
        <v>70</v>
      </c>
      <c r="D369" s="7" t="s">
        <v>71</v>
      </c>
      <c r="E369" s="8" t="s">
        <v>211</v>
      </c>
      <c r="F369" s="8" t="s">
        <v>212</v>
      </c>
    </row>
    <row r="370" spans="1:6" x14ac:dyDescent="0.25">
      <c r="A370" s="4">
        <v>11794674000121</v>
      </c>
      <c r="B370" s="8" t="s">
        <v>845</v>
      </c>
      <c r="C370" s="8" t="s">
        <v>76</v>
      </c>
      <c r="D370" s="7" t="s">
        <v>77</v>
      </c>
      <c r="E370" s="8" t="s">
        <v>211</v>
      </c>
      <c r="F370" s="8" t="s">
        <v>212</v>
      </c>
    </row>
    <row r="371" spans="1:6" x14ac:dyDescent="0.25">
      <c r="A371" s="4">
        <v>11836436000131</v>
      </c>
      <c r="B371" s="8" t="s">
        <v>1297</v>
      </c>
      <c r="C371" s="8" t="s">
        <v>907</v>
      </c>
      <c r="D371" s="7" t="s">
        <v>69</v>
      </c>
      <c r="E371" s="8" t="s">
        <v>211</v>
      </c>
      <c r="F371" s="8" t="s">
        <v>212</v>
      </c>
    </row>
    <row r="372" spans="1:6" x14ac:dyDescent="0.25">
      <c r="A372" s="4">
        <v>11859927000106</v>
      </c>
      <c r="B372" s="8" t="s">
        <v>846</v>
      </c>
      <c r="C372" s="8" t="s">
        <v>739</v>
      </c>
      <c r="D372" s="7" t="s">
        <v>55</v>
      </c>
      <c r="E372" s="8" t="s">
        <v>211</v>
      </c>
      <c r="F372" s="8" t="s">
        <v>212</v>
      </c>
    </row>
    <row r="373" spans="1:6" x14ac:dyDescent="0.25">
      <c r="A373" s="4">
        <v>11943553000102</v>
      </c>
      <c r="B373" s="8" t="s">
        <v>847</v>
      </c>
      <c r="C373" s="8" t="s">
        <v>75</v>
      </c>
      <c r="D373" s="7" t="s">
        <v>74</v>
      </c>
      <c r="E373" s="8" t="s">
        <v>211</v>
      </c>
      <c r="F373" s="8" t="s">
        <v>212</v>
      </c>
    </row>
    <row r="374" spans="1:6" x14ac:dyDescent="0.25">
      <c r="A374" s="4">
        <v>12282163000193</v>
      </c>
      <c r="B374" s="8" t="s">
        <v>1391</v>
      </c>
      <c r="C374" s="8" t="s">
        <v>84</v>
      </c>
      <c r="D374" s="7" t="s">
        <v>85</v>
      </c>
      <c r="E374" s="8" t="s">
        <v>211</v>
      </c>
      <c r="F374" s="8" t="s">
        <v>212</v>
      </c>
    </row>
    <row r="375" spans="1:6" x14ac:dyDescent="0.25">
      <c r="A375" s="4">
        <v>12307187000150</v>
      </c>
      <c r="B375" s="8" t="s">
        <v>848</v>
      </c>
      <c r="C375" s="8" t="s">
        <v>742</v>
      </c>
      <c r="D375" s="7" t="s">
        <v>91</v>
      </c>
      <c r="E375" s="8" t="s">
        <v>211</v>
      </c>
      <c r="F375" s="8" t="s">
        <v>212</v>
      </c>
    </row>
    <row r="376" spans="1:6" x14ac:dyDescent="0.25">
      <c r="A376" s="4">
        <v>12361267000274</v>
      </c>
      <c r="B376" s="8" t="s">
        <v>1159</v>
      </c>
      <c r="C376" s="8" t="s">
        <v>1129</v>
      </c>
      <c r="D376" s="7" t="s">
        <v>52</v>
      </c>
      <c r="E376" s="8" t="s">
        <v>211</v>
      </c>
      <c r="F376" s="8" t="s">
        <v>212</v>
      </c>
    </row>
    <row r="377" spans="1:6" x14ac:dyDescent="0.25">
      <c r="A377" s="4">
        <v>12361267000517</v>
      </c>
      <c r="B377" s="8" t="s">
        <v>849</v>
      </c>
      <c r="C377" s="8" t="s">
        <v>84</v>
      </c>
      <c r="D377" s="7" t="s">
        <v>85</v>
      </c>
      <c r="E377" s="8" t="s">
        <v>211</v>
      </c>
      <c r="F377" s="8" t="s">
        <v>212</v>
      </c>
    </row>
    <row r="378" spans="1:6" x14ac:dyDescent="0.25">
      <c r="A378" s="4">
        <v>12361267000789</v>
      </c>
      <c r="B378" s="8" t="s">
        <v>850</v>
      </c>
      <c r="C378" s="8" t="s">
        <v>777</v>
      </c>
      <c r="D378" s="7" t="s">
        <v>72</v>
      </c>
      <c r="E378" s="8" t="s">
        <v>211</v>
      </c>
      <c r="F378" s="8" t="s">
        <v>212</v>
      </c>
    </row>
    <row r="379" spans="1:6" x14ac:dyDescent="0.25">
      <c r="A379" s="4">
        <v>12361267000860</v>
      </c>
      <c r="B379" s="8" t="s">
        <v>851</v>
      </c>
      <c r="C379" s="8" t="s">
        <v>742</v>
      </c>
      <c r="D379" s="7" t="s">
        <v>91</v>
      </c>
      <c r="E379" s="8" t="s">
        <v>211</v>
      </c>
      <c r="F379" s="8" t="s">
        <v>212</v>
      </c>
    </row>
    <row r="380" spans="1:6" x14ac:dyDescent="0.25">
      <c r="A380" s="4">
        <v>12361267003370</v>
      </c>
      <c r="B380" s="8" t="s">
        <v>1298</v>
      </c>
      <c r="C380" s="8" t="s">
        <v>1129</v>
      </c>
      <c r="D380" s="7" t="s">
        <v>52</v>
      </c>
      <c r="E380" s="8" t="s">
        <v>211</v>
      </c>
      <c r="F380" s="8" t="s">
        <v>212</v>
      </c>
    </row>
    <row r="381" spans="1:6" x14ac:dyDescent="0.25">
      <c r="A381" s="4">
        <v>12361267004008</v>
      </c>
      <c r="B381" s="8" t="s">
        <v>852</v>
      </c>
      <c r="C381" s="8" t="s">
        <v>81</v>
      </c>
      <c r="D381" s="7" t="s">
        <v>82</v>
      </c>
      <c r="E381" s="8" t="s">
        <v>211</v>
      </c>
      <c r="F381" s="8" t="s">
        <v>212</v>
      </c>
    </row>
    <row r="382" spans="1:6" x14ac:dyDescent="0.25">
      <c r="A382" s="4">
        <v>12361267005748</v>
      </c>
      <c r="B382" s="8" t="s">
        <v>1299</v>
      </c>
      <c r="C382" s="8" t="s">
        <v>794</v>
      </c>
      <c r="D382" s="7" t="s">
        <v>71</v>
      </c>
      <c r="E382" s="8" t="s">
        <v>211</v>
      </c>
      <c r="F382" s="8" t="s">
        <v>212</v>
      </c>
    </row>
    <row r="383" spans="1:6" x14ac:dyDescent="0.25">
      <c r="A383" s="4">
        <v>12361267007287</v>
      </c>
      <c r="B383" s="8" t="s">
        <v>853</v>
      </c>
      <c r="C383" s="8" t="s">
        <v>70</v>
      </c>
      <c r="D383" s="7" t="s">
        <v>71</v>
      </c>
      <c r="E383" s="8" t="s">
        <v>211</v>
      </c>
      <c r="F383" s="8" t="s">
        <v>212</v>
      </c>
    </row>
    <row r="384" spans="1:6" x14ac:dyDescent="0.25">
      <c r="A384" s="4">
        <v>12361267008410</v>
      </c>
      <c r="B384" s="8" t="s">
        <v>854</v>
      </c>
      <c r="C384" s="8" t="s">
        <v>855</v>
      </c>
      <c r="D384" s="7" t="s">
        <v>77</v>
      </c>
      <c r="E384" s="8" t="s">
        <v>211</v>
      </c>
      <c r="F384" s="8" t="s">
        <v>212</v>
      </c>
    </row>
    <row r="385" spans="1:6" x14ac:dyDescent="0.25">
      <c r="A385" s="4">
        <v>12361267008844</v>
      </c>
      <c r="B385" s="8" t="s">
        <v>856</v>
      </c>
      <c r="C385" s="8" t="s">
        <v>857</v>
      </c>
      <c r="D385" s="7" t="s">
        <v>56</v>
      </c>
      <c r="E385" s="8" t="s">
        <v>211</v>
      </c>
      <c r="F385" s="8" t="s">
        <v>212</v>
      </c>
    </row>
    <row r="386" spans="1:6" x14ac:dyDescent="0.25">
      <c r="A386" s="4">
        <v>12361267009140</v>
      </c>
      <c r="B386" s="8" t="s">
        <v>858</v>
      </c>
      <c r="C386" s="8" t="s">
        <v>859</v>
      </c>
      <c r="D386" s="7" t="s">
        <v>63</v>
      </c>
      <c r="E386" s="8" t="s">
        <v>211</v>
      </c>
      <c r="F386" s="8" t="s">
        <v>212</v>
      </c>
    </row>
    <row r="387" spans="1:6" x14ac:dyDescent="0.25">
      <c r="A387" s="4">
        <v>12361267009654</v>
      </c>
      <c r="B387" s="8" t="s">
        <v>860</v>
      </c>
      <c r="C387" s="8" t="s">
        <v>62</v>
      </c>
      <c r="D387" s="7" t="s">
        <v>63</v>
      </c>
      <c r="E387" s="8" t="s">
        <v>211</v>
      </c>
      <c r="F387" s="8" t="s">
        <v>212</v>
      </c>
    </row>
    <row r="388" spans="1:6" x14ac:dyDescent="0.25">
      <c r="A388" s="4">
        <v>12361267010318</v>
      </c>
      <c r="B388" s="8" t="s">
        <v>861</v>
      </c>
      <c r="C388" s="8" t="s">
        <v>75</v>
      </c>
      <c r="D388" s="7" t="s">
        <v>74</v>
      </c>
      <c r="E388" s="8" t="s">
        <v>211</v>
      </c>
      <c r="F388" s="8" t="s">
        <v>212</v>
      </c>
    </row>
    <row r="389" spans="1:6" x14ac:dyDescent="0.25">
      <c r="A389" s="4">
        <v>12361267010407</v>
      </c>
      <c r="B389" s="8" t="s">
        <v>862</v>
      </c>
      <c r="C389" s="8" t="s">
        <v>86</v>
      </c>
      <c r="D389" s="7" t="s">
        <v>74</v>
      </c>
      <c r="E389" s="8" t="s">
        <v>211</v>
      </c>
      <c r="F389" s="8" t="s">
        <v>212</v>
      </c>
    </row>
    <row r="390" spans="1:6" x14ac:dyDescent="0.25">
      <c r="A390" s="4">
        <v>12361267011632</v>
      </c>
      <c r="B390" s="8" t="s">
        <v>1160</v>
      </c>
      <c r="C390" s="8" t="s">
        <v>109</v>
      </c>
      <c r="D390" s="7" t="s">
        <v>110</v>
      </c>
      <c r="E390" s="8" t="s">
        <v>211</v>
      </c>
      <c r="F390" s="8" t="s">
        <v>212</v>
      </c>
    </row>
    <row r="391" spans="1:6" x14ac:dyDescent="0.25">
      <c r="A391" s="4">
        <v>12361267011802</v>
      </c>
      <c r="B391" s="8" t="s">
        <v>863</v>
      </c>
      <c r="C391" s="8" t="s">
        <v>76</v>
      </c>
      <c r="D391" s="7" t="s">
        <v>77</v>
      </c>
      <c r="E391" s="8" t="s">
        <v>211</v>
      </c>
      <c r="F391" s="8" t="s">
        <v>212</v>
      </c>
    </row>
    <row r="392" spans="1:6" x14ac:dyDescent="0.25">
      <c r="A392" s="4">
        <v>12361267014739</v>
      </c>
      <c r="B392" s="8" t="s">
        <v>864</v>
      </c>
      <c r="C392" s="8" t="s">
        <v>75</v>
      </c>
      <c r="D392" s="7" t="s">
        <v>74</v>
      </c>
      <c r="E392" s="8" t="s">
        <v>211</v>
      </c>
      <c r="F392" s="8" t="s">
        <v>212</v>
      </c>
    </row>
    <row r="393" spans="1:6" x14ac:dyDescent="0.25">
      <c r="A393" s="4">
        <v>12442737000496</v>
      </c>
      <c r="B393" s="8" t="s">
        <v>865</v>
      </c>
      <c r="C393" s="8" t="s">
        <v>742</v>
      </c>
      <c r="D393" s="7" t="s">
        <v>91</v>
      </c>
      <c r="E393" s="8" t="s">
        <v>211</v>
      </c>
      <c r="F393" s="8" t="s">
        <v>212</v>
      </c>
    </row>
    <row r="394" spans="1:6" x14ac:dyDescent="0.25">
      <c r="A394" s="4">
        <v>12568570000161</v>
      </c>
      <c r="B394" s="8" t="s">
        <v>866</v>
      </c>
      <c r="C394" s="8" t="s">
        <v>76</v>
      </c>
      <c r="D394" s="7" t="s">
        <v>77</v>
      </c>
      <c r="E394" s="8" t="s">
        <v>211</v>
      </c>
      <c r="F394" s="8" t="s">
        <v>212</v>
      </c>
    </row>
    <row r="395" spans="1:6" x14ac:dyDescent="0.25">
      <c r="A395" s="4">
        <v>13016092000140</v>
      </c>
      <c r="B395" s="8" t="s">
        <v>867</v>
      </c>
      <c r="C395" s="8" t="s">
        <v>75</v>
      </c>
      <c r="D395" s="7" t="s">
        <v>74</v>
      </c>
      <c r="E395" s="8" t="s">
        <v>211</v>
      </c>
      <c r="F395" s="8" t="s">
        <v>212</v>
      </c>
    </row>
    <row r="396" spans="1:6" x14ac:dyDescent="0.25">
      <c r="A396" s="4">
        <v>13016332000106</v>
      </c>
      <c r="B396" s="8" t="s">
        <v>868</v>
      </c>
      <c r="C396" s="8" t="s">
        <v>84</v>
      </c>
      <c r="D396" s="7" t="s">
        <v>85</v>
      </c>
      <c r="E396" s="8" t="s">
        <v>211</v>
      </c>
      <c r="F396" s="8" t="s">
        <v>212</v>
      </c>
    </row>
    <row r="397" spans="1:6" x14ac:dyDescent="0.25">
      <c r="A397" s="4">
        <v>13086053000119</v>
      </c>
      <c r="B397" s="8" t="s">
        <v>869</v>
      </c>
      <c r="C397" s="8" t="s">
        <v>84</v>
      </c>
      <c r="D397" s="7" t="s">
        <v>85</v>
      </c>
      <c r="E397" s="8" t="s">
        <v>211</v>
      </c>
      <c r="F397" s="8" t="s">
        <v>212</v>
      </c>
    </row>
    <row r="398" spans="1:6" x14ac:dyDescent="0.25">
      <c r="A398" s="4">
        <v>13131370000100</v>
      </c>
      <c r="B398" s="8" t="s">
        <v>870</v>
      </c>
      <c r="C398" s="8" t="s">
        <v>84</v>
      </c>
      <c r="D398" s="7" t="s">
        <v>85</v>
      </c>
      <c r="E398" s="8" t="s">
        <v>211</v>
      </c>
      <c r="F398" s="8" t="s">
        <v>212</v>
      </c>
    </row>
    <row r="399" spans="1:6" x14ac:dyDescent="0.25">
      <c r="A399" s="4">
        <v>13262578000168</v>
      </c>
      <c r="B399" s="8" t="s">
        <v>871</v>
      </c>
      <c r="C399" s="8" t="s">
        <v>62</v>
      </c>
      <c r="D399" s="7" t="s">
        <v>63</v>
      </c>
      <c r="E399" s="8" t="s">
        <v>211</v>
      </c>
      <c r="F399" s="8" t="s">
        <v>212</v>
      </c>
    </row>
    <row r="400" spans="1:6" x14ac:dyDescent="0.25">
      <c r="A400" s="4">
        <v>13284872000170</v>
      </c>
      <c r="B400" s="8" t="s">
        <v>872</v>
      </c>
      <c r="C400" s="8" t="s">
        <v>873</v>
      </c>
      <c r="D400" s="7" t="s">
        <v>74</v>
      </c>
      <c r="E400" s="8" t="s">
        <v>211</v>
      </c>
      <c r="F400" s="8" t="s">
        <v>212</v>
      </c>
    </row>
    <row r="401" spans="1:6" x14ac:dyDescent="0.25">
      <c r="A401" s="4">
        <v>13356779000124</v>
      </c>
      <c r="B401" s="8" t="s">
        <v>874</v>
      </c>
      <c r="C401" s="8" t="s">
        <v>84</v>
      </c>
      <c r="D401" s="7" t="s">
        <v>85</v>
      </c>
      <c r="E401" s="8" t="s">
        <v>211</v>
      </c>
      <c r="F401" s="8" t="s">
        <v>212</v>
      </c>
    </row>
    <row r="402" spans="1:6" x14ac:dyDescent="0.25">
      <c r="A402" s="4">
        <v>13808803000119</v>
      </c>
      <c r="B402" s="8" t="s">
        <v>1392</v>
      </c>
      <c r="C402" s="8" t="s">
        <v>75</v>
      </c>
      <c r="D402" s="7" t="s">
        <v>74</v>
      </c>
      <c r="E402" s="8" t="s">
        <v>211</v>
      </c>
      <c r="F402" s="8" t="s">
        <v>212</v>
      </c>
    </row>
    <row r="403" spans="1:6" x14ac:dyDescent="0.25">
      <c r="A403" s="4">
        <v>13952064000134</v>
      </c>
      <c r="B403" s="8" t="s">
        <v>875</v>
      </c>
      <c r="C403" s="8" t="s">
        <v>75</v>
      </c>
      <c r="D403" s="7" t="s">
        <v>74</v>
      </c>
      <c r="E403" s="8" t="s">
        <v>211</v>
      </c>
      <c r="F403" s="8" t="s">
        <v>212</v>
      </c>
    </row>
    <row r="404" spans="1:6" x14ac:dyDescent="0.25">
      <c r="A404" s="4">
        <v>13969621000120</v>
      </c>
      <c r="B404" s="8" t="s">
        <v>1393</v>
      </c>
      <c r="C404" s="8" t="s">
        <v>86</v>
      </c>
      <c r="D404" s="7" t="s">
        <v>74</v>
      </c>
      <c r="E404" s="8" t="s">
        <v>211</v>
      </c>
      <c r="F404" s="8" t="s">
        <v>212</v>
      </c>
    </row>
    <row r="405" spans="1:6" x14ac:dyDescent="0.25">
      <c r="A405" s="4">
        <v>14074546000100</v>
      </c>
      <c r="B405" s="8" t="s">
        <v>876</v>
      </c>
      <c r="C405" s="8" t="s">
        <v>86</v>
      </c>
      <c r="D405" s="7" t="s">
        <v>74</v>
      </c>
      <c r="E405" s="8" t="s">
        <v>211</v>
      </c>
      <c r="F405" s="8" t="s">
        <v>212</v>
      </c>
    </row>
    <row r="406" spans="1:6" x14ac:dyDescent="0.25">
      <c r="A406" s="4">
        <v>14112023000100</v>
      </c>
      <c r="B406" s="8" t="s">
        <v>1161</v>
      </c>
      <c r="C406" s="8" t="s">
        <v>1162</v>
      </c>
      <c r="D406" s="7" t="s">
        <v>52</v>
      </c>
      <c r="E406" s="8" t="s">
        <v>211</v>
      </c>
      <c r="F406" s="8" t="s">
        <v>212</v>
      </c>
    </row>
    <row r="407" spans="1:6" x14ac:dyDescent="0.25">
      <c r="A407" s="4">
        <v>15016827000160</v>
      </c>
      <c r="B407" s="8" t="s">
        <v>877</v>
      </c>
      <c r="C407" s="8" t="s">
        <v>772</v>
      </c>
      <c r="D407" s="7" t="s">
        <v>69</v>
      </c>
      <c r="E407" s="8" t="s">
        <v>211</v>
      </c>
      <c r="F407" s="8" t="s">
        <v>212</v>
      </c>
    </row>
    <row r="408" spans="1:6" x14ac:dyDescent="0.25">
      <c r="A408" s="4">
        <v>15126437000224</v>
      </c>
      <c r="B408" s="8" t="s">
        <v>878</v>
      </c>
      <c r="C408" s="8" t="s">
        <v>81</v>
      </c>
      <c r="D408" s="7" t="s">
        <v>82</v>
      </c>
      <c r="E408" s="8" t="s">
        <v>211</v>
      </c>
      <c r="F408" s="8" t="s">
        <v>212</v>
      </c>
    </row>
    <row r="409" spans="1:6" x14ac:dyDescent="0.25">
      <c r="A409" s="4">
        <v>15126437000305</v>
      </c>
      <c r="B409" s="8" t="s">
        <v>879</v>
      </c>
      <c r="C409" s="8" t="s">
        <v>739</v>
      </c>
      <c r="D409" s="7" t="s">
        <v>55</v>
      </c>
      <c r="E409" s="8" t="s">
        <v>211</v>
      </c>
      <c r="F409" s="8" t="s">
        <v>212</v>
      </c>
    </row>
    <row r="410" spans="1:6" x14ac:dyDescent="0.25">
      <c r="A410" s="4">
        <v>15126437000496</v>
      </c>
      <c r="B410" s="8" t="s">
        <v>880</v>
      </c>
      <c r="C410" s="8" t="s">
        <v>777</v>
      </c>
      <c r="D410" s="7" t="s">
        <v>72</v>
      </c>
      <c r="E410" s="8" t="s">
        <v>211</v>
      </c>
      <c r="F410" s="8" t="s">
        <v>212</v>
      </c>
    </row>
    <row r="411" spans="1:6" x14ac:dyDescent="0.25">
      <c r="A411" s="4">
        <v>15126437000739</v>
      </c>
      <c r="B411" s="8" t="s">
        <v>881</v>
      </c>
      <c r="C411" s="8" t="s">
        <v>62</v>
      </c>
      <c r="D411" s="7" t="s">
        <v>63</v>
      </c>
      <c r="E411" s="8" t="s">
        <v>211</v>
      </c>
      <c r="F411" s="8" t="s">
        <v>212</v>
      </c>
    </row>
    <row r="412" spans="1:6" x14ac:dyDescent="0.25">
      <c r="A412" s="4">
        <v>15126437001204</v>
      </c>
      <c r="B412" s="8" t="s">
        <v>882</v>
      </c>
      <c r="C412" s="8" t="s">
        <v>772</v>
      </c>
      <c r="D412" s="7" t="s">
        <v>69</v>
      </c>
      <c r="E412" s="8" t="s">
        <v>211</v>
      </c>
      <c r="F412" s="8" t="s">
        <v>212</v>
      </c>
    </row>
    <row r="413" spans="1:6" x14ac:dyDescent="0.25">
      <c r="A413" s="4">
        <v>15126437001468</v>
      </c>
      <c r="B413" s="8" t="s">
        <v>883</v>
      </c>
      <c r="C413" s="8" t="s">
        <v>76</v>
      </c>
      <c r="D413" s="7" t="s">
        <v>77</v>
      </c>
      <c r="E413" s="8" t="s">
        <v>211</v>
      </c>
      <c r="F413" s="8" t="s">
        <v>212</v>
      </c>
    </row>
    <row r="414" spans="1:6" x14ac:dyDescent="0.25">
      <c r="A414" s="4">
        <v>15126437002863</v>
      </c>
      <c r="B414" s="8" t="s">
        <v>884</v>
      </c>
      <c r="C414" s="8" t="s">
        <v>75</v>
      </c>
      <c r="D414" s="7" t="s">
        <v>74</v>
      </c>
      <c r="E414" s="8" t="s">
        <v>211</v>
      </c>
      <c r="F414" s="8" t="s">
        <v>212</v>
      </c>
    </row>
    <row r="415" spans="1:6" x14ac:dyDescent="0.25">
      <c r="A415" s="4">
        <v>15126437003240</v>
      </c>
      <c r="B415" s="8" t="s">
        <v>885</v>
      </c>
      <c r="C415" s="8" t="s">
        <v>130</v>
      </c>
      <c r="D415" s="7" t="s">
        <v>56</v>
      </c>
      <c r="E415" s="8" t="s">
        <v>211</v>
      </c>
      <c r="F415" s="8" t="s">
        <v>212</v>
      </c>
    </row>
    <row r="416" spans="1:6" x14ac:dyDescent="0.25">
      <c r="A416" s="4">
        <v>15140254000182</v>
      </c>
      <c r="B416" s="8" t="s">
        <v>886</v>
      </c>
      <c r="C416" s="8" t="s">
        <v>75</v>
      </c>
      <c r="D416" s="7" t="s">
        <v>74</v>
      </c>
      <c r="E416" s="8" t="s">
        <v>211</v>
      </c>
      <c r="F416" s="8" t="s">
        <v>212</v>
      </c>
    </row>
    <row r="417" spans="1:6" x14ac:dyDescent="0.25">
      <c r="A417" s="4">
        <v>15153745000249</v>
      </c>
      <c r="B417" s="8" t="s">
        <v>887</v>
      </c>
      <c r="C417" s="8" t="s">
        <v>75</v>
      </c>
      <c r="D417" s="7" t="s">
        <v>74</v>
      </c>
      <c r="E417" s="8" t="s">
        <v>211</v>
      </c>
      <c r="F417" s="8" t="s">
        <v>212</v>
      </c>
    </row>
    <row r="418" spans="1:6" x14ac:dyDescent="0.25">
      <c r="A418" s="4">
        <v>15153745002705</v>
      </c>
      <c r="B418" s="8" t="s">
        <v>888</v>
      </c>
      <c r="C418" s="8" t="s">
        <v>75</v>
      </c>
      <c r="D418" s="7" t="s">
        <v>74</v>
      </c>
      <c r="E418" s="8" t="s">
        <v>211</v>
      </c>
      <c r="F418" s="8" t="s">
        <v>212</v>
      </c>
    </row>
    <row r="419" spans="1:6" x14ac:dyDescent="0.25">
      <c r="A419" s="4">
        <v>15166416000151</v>
      </c>
      <c r="B419" s="8" t="s">
        <v>889</v>
      </c>
      <c r="C419" s="8" t="s">
        <v>75</v>
      </c>
      <c r="D419" s="7" t="s">
        <v>74</v>
      </c>
      <c r="E419" s="8" t="s">
        <v>211</v>
      </c>
      <c r="F419" s="8" t="s">
        <v>212</v>
      </c>
    </row>
    <row r="420" spans="1:6" x14ac:dyDescent="0.25">
      <c r="A420" s="4">
        <v>15170723000106</v>
      </c>
      <c r="B420" s="8" t="s">
        <v>890</v>
      </c>
      <c r="C420" s="8" t="s">
        <v>75</v>
      </c>
      <c r="D420" s="7" t="s">
        <v>74</v>
      </c>
      <c r="E420" s="8" t="s">
        <v>211</v>
      </c>
      <c r="F420" s="8" t="s">
        <v>212</v>
      </c>
    </row>
    <row r="421" spans="1:6" x14ac:dyDescent="0.25">
      <c r="A421" s="4">
        <v>15170723000530</v>
      </c>
      <c r="B421" s="8" t="s">
        <v>891</v>
      </c>
      <c r="C421" s="8" t="s">
        <v>86</v>
      </c>
      <c r="D421" s="7" t="s">
        <v>74</v>
      </c>
      <c r="E421" s="8" t="s">
        <v>211</v>
      </c>
      <c r="F421" s="8" t="s">
        <v>212</v>
      </c>
    </row>
    <row r="422" spans="1:6" x14ac:dyDescent="0.25">
      <c r="A422" s="4">
        <v>15180714000287</v>
      </c>
      <c r="B422" s="8" t="s">
        <v>892</v>
      </c>
      <c r="C422" s="8" t="s">
        <v>75</v>
      </c>
      <c r="D422" s="7" t="s">
        <v>74</v>
      </c>
      <c r="E422" s="8" t="s">
        <v>211</v>
      </c>
      <c r="F422" s="8" t="s">
        <v>212</v>
      </c>
    </row>
    <row r="423" spans="1:6" x14ac:dyDescent="0.25">
      <c r="A423" s="4">
        <v>15180714000368</v>
      </c>
      <c r="B423" s="8" t="s">
        <v>893</v>
      </c>
      <c r="C423" s="8" t="s">
        <v>75</v>
      </c>
      <c r="D423" s="7" t="s">
        <v>74</v>
      </c>
      <c r="E423" s="8" t="s">
        <v>211</v>
      </c>
      <c r="F423" s="8" t="s">
        <v>212</v>
      </c>
    </row>
    <row r="424" spans="1:6" x14ac:dyDescent="0.25">
      <c r="A424" s="4">
        <v>15180714000520</v>
      </c>
      <c r="B424" s="8" t="s">
        <v>894</v>
      </c>
      <c r="C424" s="8" t="s">
        <v>75</v>
      </c>
      <c r="D424" s="7" t="s">
        <v>74</v>
      </c>
      <c r="E424" s="8" t="s">
        <v>211</v>
      </c>
      <c r="F424" s="8" t="s">
        <v>212</v>
      </c>
    </row>
    <row r="425" spans="1:6" x14ac:dyDescent="0.25">
      <c r="A425" s="4">
        <v>15194004000125</v>
      </c>
      <c r="B425" s="8" t="s">
        <v>895</v>
      </c>
      <c r="C425" s="8" t="s">
        <v>75</v>
      </c>
      <c r="D425" s="7" t="s">
        <v>74</v>
      </c>
      <c r="E425" s="8" t="s">
        <v>211</v>
      </c>
      <c r="F425" s="8" t="s">
        <v>212</v>
      </c>
    </row>
    <row r="426" spans="1:6" x14ac:dyDescent="0.25">
      <c r="A426" s="4">
        <v>15242761000127</v>
      </c>
      <c r="B426" s="8" t="s">
        <v>896</v>
      </c>
      <c r="C426" s="8" t="s">
        <v>75</v>
      </c>
      <c r="D426" s="7" t="s">
        <v>74</v>
      </c>
      <c r="E426" s="8" t="s">
        <v>211</v>
      </c>
      <c r="F426" s="8" t="s">
        <v>212</v>
      </c>
    </row>
    <row r="427" spans="1:6" x14ac:dyDescent="0.25">
      <c r="A427" s="4">
        <v>15592785000106</v>
      </c>
      <c r="B427" s="8" t="s">
        <v>897</v>
      </c>
      <c r="C427" s="8" t="s">
        <v>84</v>
      </c>
      <c r="D427" s="7" t="s">
        <v>85</v>
      </c>
      <c r="E427" s="8" t="s">
        <v>211</v>
      </c>
      <c r="F427" s="8" t="s">
        <v>212</v>
      </c>
    </row>
    <row r="428" spans="1:6" x14ac:dyDescent="0.25">
      <c r="A428" s="4">
        <v>16064313000577</v>
      </c>
      <c r="B428" s="8" t="s">
        <v>898</v>
      </c>
      <c r="C428" s="8" t="s">
        <v>84</v>
      </c>
      <c r="D428" s="7" t="s">
        <v>85</v>
      </c>
      <c r="E428" s="8" t="s">
        <v>211</v>
      </c>
      <c r="F428" s="8" t="s">
        <v>212</v>
      </c>
    </row>
    <row r="429" spans="1:6" x14ac:dyDescent="0.25">
      <c r="A429" s="4">
        <v>16475154000250</v>
      </c>
      <c r="B429" s="8" t="s">
        <v>899</v>
      </c>
      <c r="C429" s="8" t="s">
        <v>75</v>
      </c>
      <c r="D429" s="7" t="s">
        <v>74</v>
      </c>
      <c r="E429" s="8" t="s">
        <v>211</v>
      </c>
      <c r="F429" s="8" t="s">
        <v>212</v>
      </c>
    </row>
    <row r="430" spans="1:6" x14ac:dyDescent="0.25">
      <c r="A430" s="4">
        <v>16739984000167</v>
      </c>
      <c r="B430" s="8" t="s">
        <v>900</v>
      </c>
      <c r="C430" s="8" t="s">
        <v>739</v>
      </c>
      <c r="D430" s="7" t="s">
        <v>55</v>
      </c>
      <c r="E430" s="8" t="s">
        <v>211</v>
      </c>
      <c r="F430" s="8" t="s">
        <v>212</v>
      </c>
    </row>
    <row r="431" spans="1:6" x14ac:dyDescent="0.25">
      <c r="A431" s="4">
        <v>17239624000169</v>
      </c>
      <c r="B431" s="8" t="s">
        <v>1394</v>
      </c>
      <c r="C431" s="8" t="s">
        <v>1395</v>
      </c>
      <c r="D431" s="7" t="s">
        <v>59</v>
      </c>
      <c r="E431" s="8" t="s">
        <v>211</v>
      </c>
      <c r="F431" s="8" t="s">
        <v>212</v>
      </c>
    </row>
    <row r="432" spans="1:6" x14ac:dyDescent="0.25">
      <c r="A432" s="4">
        <v>18034143000180</v>
      </c>
      <c r="B432" s="8" t="s">
        <v>1396</v>
      </c>
      <c r="C432" s="8" t="s">
        <v>753</v>
      </c>
      <c r="D432" s="7" t="s">
        <v>59</v>
      </c>
      <c r="E432" s="8" t="s">
        <v>211</v>
      </c>
      <c r="F432" s="8" t="s">
        <v>212</v>
      </c>
    </row>
    <row r="433" spans="1:6" x14ac:dyDescent="0.25">
      <c r="A433" s="4">
        <v>21155621000114</v>
      </c>
      <c r="B433" s="8" t="s">
        <v>901</v>
      </c>
      <c r="C433" s="8" t="s">
        <v>902</v>
      </c>
      <c r="D433" s="7" t="s">
        <v>59</v>
      </c>
      <c r="E433" s="8" t="s">
        <v>211</v>
      </c>
      <c r="F433" s="8" t="s">
        <v>212</v>
      </c>
    </row>
    <row r="434" spans="1:6" x14ac:dyDescent="0.25">
      <c r="A434" s="4">
        <v>23443518000103</v>
      </c>
      <c r="B434" s="8" t="s">
        <v>903</v>
      </c>
      <c r="C434" s="8" t="s">
        <v>76</v>
      </c>
      <c r="D434" s="7" t="s">
        <v>77</v>
      </c>
      <c r="E434" s="8" t="s">
        <v>211</v>
      </c>
      <c r="F434" s="8" t="s">
        <v>212</v>
      </c>
    </row>
    <row r="435" spans="1:6" x14ac:dyDescent="0.25">
      <c r="A435" s="4">
        <v>23813270000117</v>
      </c>
      <c r="B435" s="8" t="s">
        <v>904</v>
      </c>
      <c r="C435" s="8" t="s">
        <v>777</v>
      </c>
      <c r="D435" s="7" t="s">
        <v>72</v>
      </c>
      <c r="E435" s="8" t="s">
        <v>211</v>
      </c>
      <c r="F435" s="8" t="s">
        <v>212</v>
      </c>
    </row>
    <row r="436" spans="1:6" x14ac:dyDescent="0.25">
      <c r="A436" s="4">
        <v>24232886008303</v>
      </c>
      <c r="B436" s="8" t="s">
        <v>1198</v>
      </c>
      <c r="C436" s="8" t="s">
        <v>1199</v>
      </c>
      <c r="D436" s="7" t="s">
        <v>52</v>
      </c>
      <c r="E436" s="8" t="s">
        <v>211</v>
      </c>
      <c r="F436" s="8" t="s">
        <v>212</v>
      </c>
    </row>
    <row r="437" spans="1:6" x14ac:dyDescent="0.25">
      <c r="A437" s="4">
        <v>24464109000229</v>
      </c>
      <c r="B437" s="8" t="s">
        <v>905</v>
      </c>
      <c r="C437" s="8" t="s">
        <v>742</v>
      </c>
      <c r="D437" s="7" t="s">
        <v>91</v>
      </c>
      <c r="E437" s="8" t="s">
        <v>211</v>
      </c>
      <c r="F437" s="8" t="s">
        <v>212</v>
      </c>
    </row>
    <row r="438" spans="1:6" x14ac:dyDescent="0.25">
      <c r="A438" s="4">
        <v>24676884000752</v>
      </c>
      <c r="B438" s="8" t="s">
        <v>906</v>
      </c>
      <c r="C438" s="8" t="s">
        <v>907</v>
      </c>
      <c r="D438" s="7" t="s">
        <v>69</v>
      </c>
      <c r="E438" s="8" t="s">
        <v>211</v>
      </c>
      <c r="F438" s="8" t="s">
        <v>212</v>
      </c>
    </row>
    <row r="439" spans="1:6" x14ac:dyDescent="0.25">
      <c r="A439" s="4">
        <v>27372066000169</v>
      </c>
      <c r="B439" s="8" t="s">
        <v>908</v>
      </c>
      <c r="C439" s="8" t="s">
        <v>75</v>
      </c>
      <c r="D439" s="7" t="s">
        <v>74</v>
      </c>
      <c r="E439" s="8" t="s">
        <v>211</v>
      </c>
      <c r="F439" s="8" t="s">
        <v>212</v>
      </c>
    </row>
    <row r="440" spans="1:6" x14ac:dyDescent="0.25">
      <c r="A440" s="4">
        <v>27456372000183</v>
      </c>
      <c r="B440" s="8" t="s">
        <v>909</v>
      </c>
      <c r="C440" s="8" t="s">
        <v>745</v>
      </c>
      <c r="D440" s="7" t="s">
        <v>59</v>
      </c>
      <c r="E440" s="8" t="s">
        <v>211</v>
      </c>
      <c r="F440" s="8" t="s">
        <v>212</v>
      </c>
    </row>
    <row r="441" spans="1:6" x14ac:dyDescent="0.25">
      <c r="A441" s="4">
        <v>28102490000156</v>
      </c>
      <c r="B441" s="8" t="s">
        <v>1209</v>
      </c>
      <c r="C441" s="8" t="s">
        <v>76</v>
      </c>
      <c r="D441" s="7" t="s">
        <v>77</v>
      </c>
      <c r="E441" s="8" t="s">
        <v>211</v>
      </c>
      <c r="F441" s="8" t="s">
        <v>212</v>
      </c>
    </row>
    <row r="442" spans="1:6" x14ac:dyDescent="0.25">
      <c r="A442" s="4">
        <v>28481233000172</v>
      </c>
      <c r="B442" s="8" t="s">
        <v>910</v>
      </c>
      <c r="C442" s="8" t="s">
        <v>739</v>
      </c>
      <c r="D442" s="7" t="s">
        <v>55</v>
      </c>
      <c r="E442" s="8" t="s">
        <v>211</v>
      </c>
      <c r="F442" s="8" t="s">
        <v>212</v>
      </c>
    </row>
    <row r="443" spans="1:6" x14ac:dyDescent="0.25">
      <c r="A443" s="4">
        <v>29435005004620</v>
      </c>
      <c r="B443" s="8" t="s">
        <v>911</v>
      </c>
      <c r="C443" s="8" t="s">
        <v>739</v>
      </c>
      <c r="D443" s="7" t="s">
        <v>55</v>
      </c>
      <c r="E443" s="8" t="s">
        <v>211</v>
      </c>
      <c r="F443" s="8" t="s">
        <v>212</v>
      </c>
    </row>
    <row r="444" spans="1:6" x14ac:dyDescent="0.25">
      <c r="A444" s="4">
        <v>29435005007484</v>
      </c>
      <c r="B444" s="8" t="s">
        <v>912</v>
      </c>
      <c r="C444" s="8" t="s">
        <v>76</v>
      </c>
      <c r="D444" s="7" t="s">
        <v>77</v>
      </c>
      <c r="E444" s="8" t="s">
        <v>211</v>
      </c>
      <c r="F444" s="8" t="s">
        <v>212</v>
      </c>
    </row>
    <row r="445" spans="1:6" x14ac:dyDescent="0.25">
      <c r="A445" s="4">
        <v>29435005009851</v>
      </c>
      <c r="B445" s="8" t="s">
        <v>913</v>
      </c>
      <c r="C445" s="8" t="s">
        <v>62</v>
      </c>
      <c r="D445" s="7" t="s">
        <v>63</v>
      </c>
      <c r="E445" s="8" t="s">
        <v>211</v>
      </c>
      <c r="F445" s="8" t="s">
        <v>212</v>
      </c>
    </row>
    <row r="446" spans="1:6" x14ac:dyDescent="0.25">
      <c r="A446" s="4">
        <v>30135335000188</v>
      </c>
      <c r="B446" s="8" t="s">
        <v>914</v>
      </c>
      <c r="C446" s="8" t="s">
        <v>739</v>
      </c>
      <c r="D446" s="7" t="s">
        <v>55</v>
      </c>
      <c r="E446" s="8" t="s">
        <v>211</v>
      </c>
      <c r="F446" s="8" t="s">
        <v>212</v>
      </c>
    </row>
    <row r="447" spans="1:6" x14ac:dyDescent="0.25">
      <c r="A447" s="4">
        <v>33000167002155</v>
      </c>
      <c r="B447" s="8" t="s">
        <v>915</v>
      </c>
      <c r="C447" s="8" t="s">
        <v>128</v>
      </c>
      <c r="D447" s="7" t="s">
        <v>59</v>
      </c>
      <c r="E447" s="8" t="s">
        <v>211</v>
      </c>
      <c r="F447" s="8" t="s">
        <v>212</v>
      </c>
    </row>
    <row r="448" spans="1:6" x14ac:dyDescent="0.25">
      <c r="A448" s="4">
        <v>37108388000159</v>
      </c>
      <c r="B448" s="8" t="s">
        <v>916</v>
      </c>
      <c r="C448" s="8" t="s">
        <v>739</v>
      </c>
      <c r="D448" s="7" t="s">
        <v>55</v>
      </c>
      <c r="E448" s="8" t="s">
        <v>211</v>
      </c>
      <c r="F448" s="8" t="s">
        <v>212</v>
      </c>
    </row>
    <row r="449" spans="1:6" x14ac:dyDescent="0.25">
      <c r="A449" s="4">
        <v>38000485000196</v>
      </c>
      <c r="B449" s="8" t="s">
        <v>917</v>
      </c>
      <c r="C449" s="8" t="s">
        <v>739</v>
      </c>
      <c r="D449" s="7" t="s">
        <v>55</v>
      </c>
      <c r="E449" s="8" t="s">
        <v>211</v>
      </c>
      <c r="F449" s="8" t="s">
        <v>212</v>
      </c>
    </row>
    <row r="450" spans="1:6" x14ac:dyDescent="0.25">
      <c r="A450" s="4">
        <v>41580077000165</v>
      </c>
      <c r="B450" s="8" t="s">
        <v>918</v>
      </c>
      <c r="C450" s="8" t="s">
        <v>76</v>
      </c>
      <c r="D450" s="7" t="s">
        <v>77</v>
      </c>
      <c r="E450" s="8" t="s">
        <v>211</v>
      </c>
      <c r="F450" s="8" t="s">
        <v>212</v>
      </c>
    </row>
    <row r="451" spans="1:6" x14ac:dyDescent="0.25">
      <c r="A451" s="4">
        <v>60884855001983</v>
      </c>
      <c r="B451" s="8" t="s">
        <v>919</v>
      </c>
      <c r="C451" s="8" t="s">
        <v>739</v>
      </c>
      <c r="D451" s="7" t="s">
        <v>55</v>
      </c>
      <c r="E451" s="8" t="s">
        <v>211</v>
      </c>
      <c r="F451" s="8" t="s">
        <v>212</v>
      </c>
    </row>
    <row r="452" spans="1:6" x14ac:dyDescent="0.25">
      <c r="A452" s="4">
        <v>60884855002289</v>
      </c>
      <c r="B452" s="8" t="s">
        <v>920</v>
      </c>
      <c r="C452" s="8" t="s">
        <v>739</v>
      </c>
      <c r="D452" s="7" t="s">
        <v>55</v>
      </c>
      <c r="E452" s="8" t="s">
        <v>211</v>
      </c>
      <c r="F452" s="8" t="s">
        <v>212</v>
      </c>
    </row>
    <row r="453" spans="1:6" x14ac:dyDescent="0.25">
      <c r="A453" s="4">
        <v>60975737003509</v>
      </c>
      <c r="B453" s="8" t="s">
        <v>921</v>
      </c>
      <c r="C453" s="8" t="s">
        <v>76</v>
      </c>
      <c r="D453" s="7" t="s">
        <v>77</v>
      </c>
      <c r="E453" s="8" t="s">
        <v>211</v>
      </c>
      <c r="F453" s="8" t="s">
        <v>212</v>
      </c>
    </row>
    <row r="454" spans="1:6" x14ac:dyDescent="0.25">
      <c r="A454" s="4">
        <v>61590410000558</v>
      </c>
      <c r="B454" s="8" t="s">
        <v>922</v>
      </c>
      <c r="C454" s="8" t="s">
        <v>739</v>
      </c>
      <c r="D454" s="7" t="s">
        <v>55</v>
      </c>
      <c r="E454" s="8" t="s">
        <v>211</v>
      </c>
      <c r="F454" s="8" t="s">
        <v>212</v>
      </c>
    </row>
    <row r="455" spans="1:6" x14ac:dyDescent="0.25">
      <c r="A455" s="4">
        <v>61590410001287</v>
      </c>
      <c r="B455" s="8" t="s">
        <v>923</v>
      </c>
      <c r="C455" s="8" t="s">
        <v>739</v>
      </c>
      <c r="D455" s="7" t="s">
        <v>55</v>
      </c>
      <c r="E455" s="8" t="s">
        <v>211</v>
      </c>
      <c r="F455" s="8" t="s">
        <v>212</v>
      </c>
    </row>
    <row r="456" spans="1:6" x14ac:dyDescent="0.25">
      <c r="A456" s="4">
        <v>63326243000487</v>
      </c>
      <c r="B456" s="8" t="s">
        <v>924</v>
      </c>
      <c r="C456" s="8" t="s">
        <v>81</v>
      </c>
      <c r="D456" s="7" t="s">
        <v>82</v>
      </c>
      <c r="E456" s="8" t="s">
        <v>211</v>
      </c>
      <c r="F456" s="8" t="s">
        <v>212</v>
      </c>
    </row>
    <row r="457" spans="1:6" x14ac:dyDescent="0.25">
      <c r="A457" s="4">
        <v>70524145000177</v>
      </c>
      <c r="B457" s="8" t="s">
        <v>925</v>
      </c>
      <c r="C457" s="8" t="s">
        <v>772</v>
      </c>
      <c r="D457" s="7" t="s">
        <v>69</v>
      </c>
      <c r="E457" s="8" t="s">
        <v>211</v>
      </c>
      <c r="F457" s="8" t="s">
        <v>212</v>
      </c>
    </row>
    <row r="458" spans="1:6" x14ac:dyDescent="0.25">
      <c r="A458" s="4">
        <v>72576143000157</v>
      </c>
      <c r="B458" s="8" t="s">
        <v>1235</v>
      </c>
      <c r="C458" s="8" t="s">
        <v>739</v>
      </c>
      <c r="D458" s="7" t="s">
        <v>55</v>
      </c>
      <c r="E458" s="8" t="s">
        <v>211</v>
      </c>
      <c r="F458" s="8" t="s">
        <v>212</v>
      </c>
    </row>
    <row r="459" spans="1:6" x14ac:dyDescent="0.25">
      <c r="A459" s="4">
        <v>74031865000151</v>
      </c>
      <c r="B459" s="8" t="s">
        <v>926</v>
      </c>
      <c r="C459" s="8" t="s">
        <v>76</v>
      </c>
      <c r="D459" s="7" t="s">
        <v>77</v>
      </c>
      <c r="E459" s="8" t="s">
        <v>211</v>
      </c>
      <c r="F459" s="8" t="s">
        <v>212</v>
      </c>
    </row>
    <row r="460" spans="1:6" x14ac:dyDescent="0.25">
      <c r="A460" s="4">
        <v>83367342000252</v>
      </c>
      <c r="B460" s="8" t="s">
        <v>1237</v>
      </c>
      <c r="C460" s="8" t="s">
        <v>1129</v>
      </c>
      <c r="D460" s="7" t="s">
        <v>52</v>
      </c>
      <c r="E460" s="8" t="s">
        <v>211</v>
      </c>
      <c r="F460" s="8" t="s">
        <v>212</v>
      </c>
    </row>
    <row r="461" spans="1:6" x14ac:dyDescent="0.25">
      <c r="A461" s="4">
        <v>84112481000117</v>
      </c>
      <c r="B461" s="8" t="s">
        <v>1501</v>
      </c>
      <c r="C461" s="8" t="s">
        <v>109</v>
      </c>
      <c r="D461" s="7" t="s">
        <v>110</v>
      </c>
      <c r="E461" s="8" t="s">
        <v>211</v>
      </c>
      <c r="F461" s="8" t="s">
        <v>212</v>
      </c>
    </row>
    <row r="462" spans="1:6" x14ac:dyDescent="0.25">
      <c r="A462" s="4">
        <v>84537141000138</v>
      </c>
      <c r="B462" s="8" t="s">
        <v>1238</v>
      </c>
      <c r="C462" s="8" t="s">
        <v>109</v>
      </c>
      <c r="D462" s="7" t="s">
        <v>110</v>
      </c>
      <c r="E462" s="8" t="s">
        <v>211</v>
      </c>
      <c r="F462" s="8" t="s">
        <v>212</v>
      </c>
    </row>
    <row r="463" spans="1:6" x14ac:dyDescent="0.25">
      <c r="A463" s="4">
        <v>92898550000600</v>
      </c>
      <c r="B463" s="8" t="s">
        <v>927</v>
      </c>
      <c r="C463" s="8" t="s">
        <v>739</v>
      </c>
      <c r="D463" s="7" t="s">
        <v>55</v>
      </c>
      <c r="E463" s="8" t="s">
        <v>211</v>
      </c>
      <c r="F463" s="8" t="s">
        <v>212</v>
      </c>
    </row>
    <row r="464" spans="1:6" x14ac:dyDescent="0.25">
      <c r="A464" s="4">
        <v>97397848000138</v>
      </c>
      <c r="B464" s="8" t="s">
        <v>928</v>
      </c>
      <c r="C464" s="8" t="s">
        <v>75</v>
      </c>
      <c r="D464" s="7" t="s">
        <v>74</v>
      </c>
      <c r="E464" s="8" t="s">
        <v>211</v>
      </c>
      <c r="F464" s="8" t="s">
        <v>212</v>
      </c>
    </row>
    <row r="465" spans="1:6" x14ac:dyDescent="0.25">
      <c r="A465" s="4">
        <v>10364254602</v>
      </c>
      <c r="B465" s="8" t="s">
        <v>1414</v>
      </c>
      <c r="C465" s="8" t="s">
        <v>1415</v>
      </c>
      <c r="D465" s="7" t="s">
        <v>54</v>
      </c>
      <c r="E465" s="8" t="s">
        <v>205</v>
      </c>
      <c r="F465" s="8" t="s">
        <v>206</v>
      </c>
    </row>
    <row r="466" spans="1:6" x14ac:dyDescent="0.25">
      <c r="A466" s="4">
        <v>17376968601</v>
      </c>
      <c r="B466" s="8" t="s">
        <v>1130</v>
      </c>
      <c r="C466" s="8" t="s">
        <v>53</v>
      </c>
      <c r="D466" s="7" t="s">
        <v>54</v>
      </c>
      <c r="E466" s="8" t="s">
        <v>205</v>
      </c>
      <c r="F466" s="8" t="s">
        <v>206</v>
      </c>
    </row>
    <row r="467" spans="1:6" x14ac:dyDescent="0.25">
      <c r="A467" s="4">
        <v>48063983904</v>
      </c>
      <c r="B467" s="8" t="s">
        <v>929</v>
      </c>
      <c r="C467" s="8" t="s">
        <v>930</v>
      </c>
      <c r="D467" s="7" t="s">
        <v>68</v>
      </c>
      <c r="E467" s="8" t="s">
        <v>205</v>
      </c>
      <c r="F467" s="8" t="s">
        <v>206</v>
      </c>
    </row>
    <row r="468" spans="1:6" x14ac:dyDescent="0.25">
      <c r="A468" s="4">
        <v>70306453673</v>
      </c>
      <c r="B468" s="8" t="s">
        <v>1131</v>
      </c>
      <c r="C468" s="8" t="s">
        <v>1132</v>
      </c>
      <c r="D468" s="7" t="s">
        <v>54</v>
      </c>
      <c r="E468" s="8" t="s">
        <v>205</v>
      </c>
      <c r="F468" s="8" t="s">
        <v>206</v>
      </c>
    </row>
    <row r="469" spans="1:6" x14ac:dyDescent="0.25">
      <c r="A469" s="4">
        <v>82854246004</v>
      </c>
      <c r="B469" s="8" t="s">
        <v>931</v>
      </c>
      <c r="C469" s="8" t="s">
        <v>83</v>
      </c>
      <c r="D469" s="7" t="s">
        <v>67</v>
      </c>
      <c r="E469" s="8" t="s">
        <v>205</v>
      </c>
      <c r="F469" s="8" t="s">
        <v>206</v>
      </c>
    </row>
    <row r="470" spans="1:6" x14ac:dyDescent="0.25">
      <c r="A470" s="4">
        <v>132229000180</v>
      </c>
      <c r="B470" s="8" t="s">
        <v>1135</v>
      </c>
      <c r="C470" s="8" t="s">
        <v>1415</v>
      </c>
      <c r="D470" s="7" t="s">
        <v>54</v>
      </c>
      <c r="E470" s="8" t="s">
        <v>205</v>
      </c>
      <c r="F470" s="8" t="s">
        <v>206</v>
      </c>
    </row>
    <row r="471" spans="1:6" x14ac:dyDescent="0.25">
      <c r="A471" s="4">
        <v>304148000110</v>
      </c>
      <c r="B471" s="8" t="s">
        <v>932</v>
      </c>
      <c r="C471" s="8" t="s">
        <v>933</v>
      </c>
      <c r="D471" s="7" t="s">
        <v>57</v>
      </c>
      <c r="E471" s="8" t="s">
        <v>205</v>
      </c>
      <c r="F471" s="8" t="s">
        <v>206</v>
      </c>
    </row>
    <row r="472" spans="1:6" x14ac:dyDescent="0.25">
      <c r="A472" s="4">
        <v>410960000120</v>
      </c>
      <c r="B472" s="8" t="s">
        <v>1137</v>
      </c>
      <c r="C472" s="8" t="s">
        <v>1415</v>
      </c>
      <c r="D472" s="7" t="s">
        <v>54</v>
      </c>
      <c r="E472" s="8" t="s">
        <v>205</v>
      </c>
      <c r="F472" s="8" t="s">
        <v>206</v>
      </c>
    </row>
    <row r="473" spans="1:6" x14ac:dyDescent="0.25">
      <c r="A473" s="4">
        <v>437007000175</v>
      </c>
      <c r="B473" s="8" t="s">
        <v>1038</v>
      </c>
      <c r="C473" s="8" t="s">
        <v>1039</v>
      </c>
      <c r="D473" s="7" t="s">
        <v>61</v>
      </c>
      <c r="E473" s="8" t="s">
        <v>205</v>
      </c>
      <c r="F473" s="8" t="s">
        <v>206</v>
      </c>
    </row>
    <row r="474" spans="1:6" x14ac:dyDescent="0.25">
      <c r="A474" s="4">
        <v>521197000104</v>
      </c>
      <c r="B474" s="8" t="s">
        <v>1040</v>
      </c>
      <c r="C474" s="8" t="s">
        <v>1039</v>
      </c>
      <c r="D474" s="7" t="s">
        <v>61</v>
      </c>
      <c r="E474" s="8" t="s">
        <v>205</v>
      </c>
      <c r="F474" s="8" t="s">
        <v>206</v>
      </c>
    </row>
    <row r="475" spans="1:6" x14ac:dyDescent="0.25">
      <c r="A475" s="4">
        <v>773639000100</v>
      </c>
      <c r="B475" s="8" t="s">
        <v>1397</v>
      </c>
      <c r="C475" s="8" t="s">
        <v>83</v>
      </c>
      <c r="D475" s="7" t="s">
        <v>67</v>
      </c>
      <c r="E475" s="8" t="s">
        <v>205</v>
      </c>
      <c r="F475" s="8" t="s">
        <v>206</v>
      </c>
    </row>
    <row r="476" spans="1:6" x14ac:dyDescent="0.25">
      <c r="A476" s="4">
        <v>942063000167</v>
      </c>
      <c r="B476" s="8" t="s">
        <v>934</v>
      </c>
      <c r="C476" s="8" t="s">
        <v>94</v>
      </c>
      <c r="D476" s="7" t="s">
        <v>57</v>
      </c>
      <c r="E476" s="8" t="s">
        <v>205</v>
      </c>
      <c r="F476" s="8" t="s">
        <v>206</v>
      </c>
    </row>
    <row r="477" spans="1:6" x14ac:dyDescent="0.25">
      <c r="A477" s="4">
        <v>1125832000105</v>
      </c>
      <c r="B477" s="8" t="s">
        <v>935</v>
      </c>
      <c r="C477" s="8" t="s">
        <v>930</v>
      </c>
      <c r="D477" s="7" t="s">
        <v>68</v>
      </c>
      <c r="E477" s="8" t="s">
        <v>205</v>
      </c>
      <c r="F477" s="8" t="s">
        <v>206</v>
      </c>
    </row>
    <row r="478" spans="1:6" x14ac:dyDescent="0.25">
      <c r="A478" s="4">
        <v>1140803000104</v>
      </c>
      <c r="B478" s="8" t="s">
        <v>936</v>
      </c>
      <c r="C478" s="8" t="s">
        <v>66</v>
      </c>
      <c r="D478" s="7" t="s">
        <v>67</v>
      </c>
      <c r="E478" s="8" t="s">
        <v>205</v>
      </c>
      <c r="F478" s="8" t="s">
        <v>206</v>
      </c>
    </row>
    <row r="479" spans="1:6" x14ac:dyDescent="0.25">
      <c r="A479" s="4">
        <v>1269903000135</v>
      </c>
      <c r="B479" s="8" t="s">
        <v>1398</v>
      </c>
      <c r="C479" s="8" t="s">
        <v>94</v>
      </c>
      <c r="D479" s="7" t="s">
        <v>57</v>
      </c>
      <c r="E479" s="8" t="s">
        <v>205</v>
      </c>
      <c r="F479" s="8" t="s">
        <v>206</v>
      </c>
    </row>
    <row r="480" spans="1:6" x14ac:dyDescent="0.25">
      <c r="A480" s="4">
        <v>1396804000114</v>
      </c>
      <c r="B480" s="8" t="s">
        <v>1140</v>
      </c>
      <c r="C480" s="8" t="s">
        <v>97</v>
      </c>
      <c r="D480" s="7" t="s">
        <v>98</v>
      </c>
      <c r="E480" s="8" t="s">
        <v>205</v>
      </c>
      <c r="F480" s="8" t="s">
        <v>206</v>
      </c>
    </row>
    <row r="481" spans="1:6" x14ac:dyDescent="0.25">
      <c r="A481" s="4">
        <v>1444455000169</v>
      </c>
      <c r="B481" s="8" t="s">
        <v>1141</v>
      </c>
      <c r="C481" s="8" t="s">
        <v>1415</v>
      </c>
      <c r="D481" s="7" t="s">
        <v>54</v>
      </c>
      <c r="E481" s="8" t="s">
        <v>205</v>
      </c>
      <c r="F481" s="8" t="s">
        <v>206</v>
      </c>
    </row>
    <row r="482" spans="1:6" x14ac:dyDescent="0.25">
      <c r="A482" s="4">
        <v>1517626000132</v>
      </c>
      <c r="B482" s="8" t="s">
        <v>937</v>
      </c>
      <c r="C482" s="8" t="s">
        <v>938</v>
      </c>
      <c r="D482" s="7" t="s">
        <v>68</v>
      </c>
      <c r="E482" s="8" t="s">
        <v>205</v>
      </c>
      <c r="F482" s="8" t="s">
        <v>206</v>
      </c>
    </row>
    <row r="483" spans="1:6" x14ac:dyDescent="0.25">
      <c r="A483" s="4">
        <v>1554266000149</v>
      </c>
      <c r="B483" s="8" t="s">
        <v>939</v>
      </c>
      <c r="C483" s="8" t="s">
        <v>113</v>
      </c>
      <c r="D483" s="7" t="s">
        <v>68</v>
      </c>
      <c r="E483" s="8" t="s">
        <v>205</v>
      </c>
      <c r="F483" s="8" t="s">
        <v>206</v>
      </c>
    </row>
    <row r="484" spans="1:6" x14ac:dyDescent="0.25">
      <c r="A484" s="4">
        <v>1554266000300</v>
      </c>
      <c r="B484" s="8" t="s">
        <v>940</v>
      </c>
      <c r="C484" s="8" t="s">
        <v>113</v>
      </c>
      <c r="D484" s="7" t="s">
        <v>68</v>
      </c>
      <c r="E484" s="8" t="s">
        <v>205</v>
      </c>
      <c r="F484" s="8" t="s">
        <v>206</v>
      </c>
    </row>
    <row r="485" spans="1:6" x14ac:dyDescent="0.25">
      <c r="A485" s="4">
        <v>1595799000179</v>
      </c>
      <c r="B485" s="8" t="s">
        <v>1399</v>
      </c>
      <c r="C485" s="8" t="s">
        <v>998</v>
      </c>
      <c r="D485" s="7" t="s">
        <v>68</v>
      </c>
      <c r="E485" s="8" t="s">
        <v>205</v>
      </c>
      <c r="F485" s="8" t="s">
        <v>206</v>
      </c>
    </row>
    <row r="486" spans="1:6" x14ac:dyDescent="0.25">
      <c r="A486" s="4">
        <v>1880344000103</v>
      </c>
      <c r="B486" s="8" t="s">
        <v>941</v>
      </c>
      <c r="C486" s="8" t="s">
        <v>93</v>
      </c>
      <c r="D486" s="7" t="s">
        <v>68</v>
      </c>
      <c r="E486" s="8" t="s">
        <v>205</v>
      </c>
      <c r="F486" s="8" t="s">
        <v>206</v>
      </c>
    </row>
    <row r="487" spans="1:6" x14ac:dyDescent="0.25">
      <c r="A487" s="4">
        <v>2623693000102</v>
      </c>
      <c r="B487" s="8" t="s">
        <v>1142</v>
      </c>
      <c r="C487" s="8" t="s">
        <v>1415</v>
      </c>
      <c r="D487" s="7" t="s">
        <v>54</v>
      </c>
      <c r="E487" s="8" t="s">
        <v>205</v>
      </c>
      <c r="F487" s="8" t="s">
        <v>206</v>
      </c>
    </row>
    <row r="488" spans="1:6" x14ac:dyDescent="0.25">
      <c r="A488" s="4">
        <v>2862447000286</v>
      </c>
      <c r="B488" s="8" t="s">
        <v>942</v>
      </c>
      <c r="C488" s="8" t="s">
        <v>94</v>
      </c>
      <c r="D488" s="7" t="s">
        <v>57</v>
      </c>
      <c r="E488" s="8" t="s">
        <v>205</v>
      </c>
      <c r="F488" s="8" t="s">
        <v>206</v>
      </c>
    </row>
    <row r="489" spans="1:6" x14ac:dyDescent="0.25">
      <c r="A489" s="4">
        <v>3123393000208</v>
      </c>
      <c r="B489" s="8" t="s">
        <v>943</v>
      </c>
      <c r="C489" s="8" t="s">
        <v>541</v>
      </c>
      <c r="D489" s="7" t="s">
        <v>67</v>
      </c>
      <c r="E489" s="8" t="s">
        <v>205</v>
      </c>
      <c r="F489" s="8" t="s">
        <v>206</v>
      </c>
    </row>
    <row r="490" spans="1:6" x14ac:dyDescent="0.25">
      <c r="A490" s="4">
        <v>3354642000187</v>
      </c>
      <c r="B490" s="8" t="s">
        <v>1143</v>
      </c>
      <c r="C490" s="8" t="s">
        <v>93</v>
      </c>
      <c r="D490" s="7" t="s">
        <v>68</v>
      </c>
      <c r="E490" s="8" t="s">
        <v>205</v>
      </c>
      <c r="F490" s="8" t="s">
        <v>206</v>
      </c>
    </row>
    <row r="491" spans="1:6" x14ac:dyDescent="0.25">
      <c r="A491" s="4">
        <v>3824198000116</v>
      </c>
      <c r="B491" s="8" t="s">
        <v>944</v>
      </c>
      <c r="C491" s="8" t="s">
        <v>94</v>
      </c>
      <c r="D491" s="7" t="s">
        <v>57</v>
      </c>
      <c r="E491" s="8" t="s">
        <v>205</v>
      </c>
      <c r="F491" s="8" t="s">
        <v>206</v>
      </c>
    </row>
    <row r="492" spans="1:6" x14ac:dyDescent="0.25">
      <c r="A492" s="4">
        <v>3850913000195</v>
      </c>
      <c r="B492" s="8" t="s">
        <v>945</v>
      </c>
      <c r="C492" s="8" t="s">
        <v>94</v>
      </c>
      <c r="D492" s="7" t="s">
        <v>57</v>
      </c>
      <c r="E492" s="8" t="s">
        <v>205</v>
      </c>
      <c r="F492" s="8" t="s">
        <v>206</v>
      </c>
    </row>
    <row r="493" spans="1:6" x14ac:dyDescent="0.25">
      <c r="A493" s="4">
        <v>3855214000219</v>
      </c>
      <c r="B493" s="8" t="s">
        <v>946</v>
      </c>
      <c r="C493" s="8" t="s">
        <v>947</v>
      </c>
      <c r="D493" s="7" t="s">
        <v>68</v>
      </c>
      <c r="E493" s="8" t="s">
        <v>205</v>
      </c>
      <c r="F493" s="8" t="s">
        <v>206</v>
      </c>
    </row>
    <row r="494" spans="1:6" x14ac:dyDescent="0.25">
      <c r="A494" s="4">
        <v>4378502000101</v>
      </c>
      <c r="B494" s="8" t="s">
        <v>948</v>
      </c>
      <c r="C494" s="8" t="s">
        <v>94</v>
      </c>
      <c r="D494" s="7" t="s">
        <v>57</v>
      </c>
      <c r="E494" s="8" t="s">
        <v>205</v>
      </c>
      <c r="F494" s="8" t="s">
        <v>206</v>
      </c>
    </row>
    <row r="495" spans="1:6" x14ac:dyDescent="0.25">
      <c r="A495" s="4">
        <v>4670913000176</v>
      </c>
      <c r="B495" s="8" t="s">
        <v>949</v>
      </c>
      <c r="C495" s="8" t="s">
        <v>930</v>
      </c>
      <c r="D495" s="7" t="s">
        <v>68</v>
      </c>
      <c r="E495" s="8" t="s">
        <v>205</v>
      </c>
      <c r="F495" s="8" t="s">
        <v>206</v>
      </c>
    </row>
    <row r="496" spans="1:6" x14ac:dyDescent="0.25">
      <c r="A496" s="4">
        <v>4703117000192</v>
      </c>
      <c r="B496" s="8" t="s">
        <v>1404</v>
      </c>
      <c r="C496" s="8" t="s">
        <v>1405</v>
      </c>
      <c r="D496" s="7" t="s">
        <v>61</v>
      </c>
      <c r="E496" s="8" t="s">
        <v>205</v>
      </c>
      <c r="F496" s="8" t="s">
        <v>206</v>
      </c>
    </row>
    <row r="497" spans="1:6" x14ac:dyDescent="0.25">
      <c r="A497" s="4">
        <v>4762301000103</v>
      </c>
      <c r="B497" s="8" t="s">
        <v>950</v>
      </c>
      <c r="C497" s="8" t="s">
        <v>121</v>
      </c>
      <c r="D497" s="7" t="s">
        <v>57</v>
      </c>
      <c r="E497" s="8" t="s">
        <v>205</v>
      </c>
      <c r="F497" s="8" t="s">
        <v>206</v>
      </c>
    </row>
    <row r="498" spans="1:6" x14ac:dyDescent="0.25">
      <c r="A498" s="4">
        <v>4786490000154</v>
      </c>
      <c r="B498" s="8" t="s">
        <v>1146</v>
      </c>
      <c r="C498" s="8" t="s">
        <v>97</v>
      </c>
      <c r="D498" s="7" t="s">
        <v>98</v>
      </c>
      <c r="E498" s="8" t="s">
        <v>205</v>
      </c>
      <c r="F498" s="8" t="s">
        <v>206</v>
      </c>
    </row>
    <row r="499" spans="1:6" x14ac:dyDescent="0.25">
      <c r="A499" s="4">
        <v>5503803000182</v>
      </c>
      <c r="B499" s="8" t="s">
        <v>1400</v>
      </c>
      <c r="C499" s="8" t="s">
        <v>94</v>
      </c>
      <c r="D499" s="7" t="s">
        <v>57</v>
      </c>
      <c r="E499" s="8" t="s">
        <v>205</v>
      </c>
      <c r="F499" s="8" t="s">
        <v>206</v>
      </c>
    </row>
    <row r="500" spans="1:6" x14ac:dyDescent="0.25">
      <c r="A500" s="4">
        <v>6047087001372</v>
      </c>
      <c r="B500" s="8" t="s">
        <v>1041</v>
      </c>
      <c r="C500" s="8" t="s">
        <v>78</v>
      </c>
      <c r="D500" s="7" t="s">
        <v>61</v>
      </c>
      <c r="E500" s="8" t="s">
        <v>205</v>
      </c>
      <c r="F500" s="8" t="s">
        <v>206</v>
      </c>
    </row>
    <row r="501" spans="1:6" x14ac:dyDescent="0.25">
      <c r="A501" s="4">
        <v>7039651000134</v>
      </c>
      <c r="B501" s="8" t="s">
        <v>1153</v>
      </c>
      <c r="C501" s="8" t="s">
        <v>116</v>
      </c>
      <c r="D501" s="7" t="s">
        <v>98</v>
      </c>
      <c r="E501" s="8" t="s">
        <v>205</v>
      </c>
      <c r="F501" s="8" t="s">
        <v>206</v>
      </c>
    </row>
    <row r="502" spans="1:6" x14ac:dyDescent="0.25">
      <c r="A502" s="4">
        <v>7088017000191</v>
      </c>
      <c r="B502" s="8" t="s">
        <v>952</v>
      </c>
      <c r="C502" s="8" t="s">
        <v>117</v>
      </c>
      <c r="D502" s="7" t="s">
        <v>57</v>
      </c>
      <c r="E502" s="8" t="s">
        <v>205</v>
      </c>
      <c r="F502" s="8" t="s">
        <v>206</v>
      </c>
    </row>
    <row r="503" spans="1:6" x14ac:dyDescent="0.25">
      <c r="A503" s="4">
        <v>7404052000172</v>
      </c>
      <c r="B503" s="8" t="s">
        <v>953</v>
      </c>
      <c r="C503" s="8" t="s">
        <v>94</v>
      </c>
      <c r="D503" s="7" t="s">
        <v>57</v>
      </c>
      <c r="E503" s="8" t="s">
        <v>205</v>
      </c>
      <c r="F503" s="8" t="s">
        <v>206</v>
      </c>
    </row>
    <row r="504" spans="1:6" x14ac:dyDescent="0.25">
      <c r="A504" s="4">
        <v>7457902000109</v>
      </c>
      <c r="B504" s="8" t="s">
        <v>1154</v>
      </c>
      <c r="C504" s="8" t="s">
        <v>88</v>
      </c>
      <c r="D504" s="7" t="s">
        <v>54</v>
      </c>
      <c r="E504" s="8" t="s">
        <v>205</v>
      </c>
      <c r="F504" s="8" t="s">
        <v>206</v>
      </c>
    </row>
    <row r="505" spans="1:6" x14ac:dyDescent="0.25">
      <c r="A505" s="4">
        <v>7734165000136</v>
      </c>
      <c r="B505" s="8" t="s">
        <v>954</v>
      </c>
      <c r="C505" s="8" t="s">
        <v>94</v>
      </c>
      <c r="D505" s="7" t="s">
        <v>57</v>
      </c>
      <c r="E505" s="8" t="s">
        <v>205</v>
      </c>
      <c r="F505" s="8" t="s">
        <v>206</v>
      </c>
    </row>
    <row r="506" spans="1:6" x14ac:dyDescent="0.25">
      <c r="A506" s="4">
        <v>7794623001528</v>
      </c>
      <c r="B506" s="8" t="s">
        <v>1042</v>
      </c>
      <c r="C506" s="8" t="s">
        <v>1043</v>
      </c>
      <c r="D506" s="7" t="s">
        <v>61</v>
      </c>
      <c r="E506" s="8" t="s">
        <v>205</v>
      </c>
      <c r="F506" s="8" t="s">
        <v>206</v>
      </c>
    </row>
    <row r="507" spans="1:6" x14ac:dyDescent="0.25">
      <c r="A507" s="4">
        <v>7794623002257</v>
      </c>
      <c r="B507" s="8" t="s">
        <v>955</v>
      </c>
      <c r="C507" s="8" t="s">
        <v>956</v>
      </c>
      <c r="D507" s="7" t="s">
        <v>57</v>
      </c>
      <c r="E507" s="8" t="s">
        <v>205</v>
      </c>
      <c r="F507" s="8" t="s">
        <v>206</v>
      </c>
    </row>
    <row r="508" spans="1:6" x14ac:dyDescent="0.25">
      <c r="A508" s="4">
        <v>8562523000133</v>
      </c>
      <c r="B508" s="8" t="s">
        <v>1044</v>
      </c>
      <c r="C508" s="8" t="s">
        <v>78</v>
      </c>
      <c r="D508" s="7" t="s">
        <v>61</v>
      </c>
      <c r="E508" s="8" t="s">
        <v>205</v>
      </c>
      <c r="F508" s="8" t="s">
        <v>206</v>
      </c>
    </row>
    <row r="509" spans="1:6" x14ac:dyDescent="0.25">
      <c r="A509" s="4">
        <v>8579164000127</v>
      </c>
      <c r="B509" s="8" t="s">
        <v>1401</v>
      </c>
      <c r="C509" s="8" t="s">
        <v>1402</v>
      </c>
      <c r="D509" s="7" t="s">
        <v>67</v>
      </c>
      <c r="E509" s="8" t="s">
        <v>205</v>
      </c>
      <c r="F509" s="8" t="s">
        <v>206</v>
      </c>
    </row>
    <row r="510" spans="1:6" x14ac:dyDescent="0.25">
      <c r="A510" s="4">
        <v>8597121000174</v>
      </c>
      <c r="B510" s="8" t="s">
        <v>957</v>
      </c>
      <c r="C510" s="8" t="s">
        <v>94</v>
      </c>
      <c r="D510" s="7" t="s">
        <v>57</v>
      </c>
      <c r="E510" s="8" t="s">
        <v>205</v>
      </c>
      <c r="F510" s="8" t="s">
        <v>206</v>
      </c>
    </row>
    <row r="511" spans="1:6" x14ac:dyDescent="0.25">
      <c r="A511" s="4">
        <v>9087150000230</v>
      </c>
      <c r="B511" s="8" t="s">
        <v>958</v>
      </c>
      <c r="C511" s="8" t="s">
        <v>83</v>
      </c>
      <c r="D511" s="7" t="s">
        <v>67</v>
      </c>
      <c r="E511" s="8" t="s">
        <v>205</v>
      </c>
      <c r="F511" s="8" t="s">
        <v>206</v>
      </c>
    </row>
    <row r="512" spans="1:6" x14ac:dyDescent="0.25">
      <c r="A512" s="4">
        <v>9549061000268</v>
      </c>
      <c r="B512" s="8" t="s">
        <v>959</v>
      </c>
      <c r="C512" s="8" t="s">
        <v>100</v>
      </c>
      <c r="D512" s="7" t="s">
        <v>67</v>
      </c>
      <c r="E512" s="8" t="s">
        <v>205</v>
      </c>
      <c r="F512" s="8" t="s">
        <v>206</v>
      </c>
    </row>
    <row r="513" spans="1:6" x14ac:dyDescent="0.25">
      <c r="A513" s="4">
        <v>9572216000287</v>
      </c>
      <c r="B513" s="8" t="s">
        <v>960</v>
      </c>
      <c r="C513" s="8" t="s">
        <v>118</v>
      </c>
      <c r="D513" s="7" t="s">
        <v>67</v>
      </c>
      <c r="E513" s="8" t="s">
        <v>205</v>
      </c>
      <c r="F513" s="8" t="s">
        <v>206</v>
      </c>
    </row>
    <row r="514" spans="1:6" x14ac:dyDescent="0.25">
      <c r="A514" s="4">
        <v>9579964000291</v>
      </c>
      <c r="B514" s="8" t="s">
        <v>961</v>
      </c>
      <c r="C514" s="8" t="s">
        <v>94</v>
      </c>
      <c r="D514" s="7" t="s">
        <v>57</v>
      </c>
      <c r="E514" s="8" t="s">
        <v>205</v>
      </c>
      <c r="F514" s="8" t="s">
        <v>206</v>
      </c>
    </row>
    <row r="515" spans="1:6" x14ac:dyDescent="0.25">
      <c r="A515" s="4">
        <v>9605231000284</v>
      </c>
      <c r="B515" s="8" t="s">
        <v>962</v>
      </c>
      <c r="C515" s="8" t="s">
        <v>87</v>
      </c>
      <c r="D515" s="7" t="s">
        <v>67</v>
      </c>
      <c r="E515" s="8" t="s">
        <v>205</v>
      </c>
      <c r="F515" s="8" t="s">
        <v>206</v>
      </c>
    </row>
    <row r="516" spans="1:6" x14ac:dyDescent="0.25">
      <c r="A516" s="4">
        <v>10558548000105</v>
      </c>
      <c r="B516" s="8" t="s">
        <v>1045</v>
      </c>
      <c r="C516" s="8" t="s">
        <v>108</v>
      </c>
      <c r="D516" s="7" t="s">
        <v>61</v>
      </c>
      <c r="E516" s="8" t="s">
        <v>205</v>
      </c>
      <c r="F516" s="8" t="s">
        <v>206</v>
      </c>
    </row>
    <row r="517" spans="1:6" x14ac:dyDescent="0.25">
      <c r="A517" s="4">
        <v>10562003000172</v>
      </c>
      <c r="B517" s="8" t="s">
        <v>1046</v>
      </c>
      <c r="C517" s="8" t="s">
        <v>105</v>
      </c>
      <c r="D517" s="7" t="s">
        <v>61</v>
      </c>
      <c r="E517" s="8" t="s">
        <v>205</v>
      </c>
      <c r="F517" s="8" t="s">
        <v>206</v>
      </c>
    </row>
    <row r="518" spans="1:6" x14ac:dyDescent="0.25">
      <c r="A518" s="4">
        <v>10586940000168</v>
      </c>
      <c r="B518" s="8" t="s">
        <v>1156</v>
      </c>
      <c r="C518" s="8" t="s">
        <v>1157</v>
      </c>
      <c r="D518" s="7" t="s">
        <v>98</v>
      </c>
      <c r="E518" s="8" t="s">
        <v>205</v>
      </c>
      <c r="F518" s="8" t="s">
        <v>206</v>
      </c>
    </row>
    <row r="519" spans="1:6" x14ac:dyDescent="0.25">
      <c r="A519" s="4">
        <v>11055682000156</v>
      </c>
      <c r="B519" s="8" t="s">
        <v>963</v>
      </c>
      <c r="C519" s="8" t="s">
        <v>124</v>
      </c>
      <c r="D519" s="7" t="s">
        <v>67</v>
      </c>
      <c r="E519" s="8" t="s">
        <v>205</v>
      </c>
      <c r="F519" s="8" t="s">
        <v>206</v>
      </c>
    </row>
    <row r="520" spans="1:6" x14ac:dyDescent="0.25">
      <c r="A520" s="4">
        <v>12361267004261</v>
      </c>
      <c r="B520" s="8" t="s">
        <v>964</v>
      </c>
      <c r="C520" s="8" t="s">
        <v>125</v>
      </c>
      <c r="D520" s="7" t="s">
        <v>68</v>
      </c>
      <c r="E520" s="8" t="s">
        <v>205</v>
      </c>
      <c r="F520" s="8" t="s">
        <v>206</v>
      </c>
    </row>
    <row r="521" spans="1:6" x14ac:dyDescent="0.25">
      <c r="A521" s="4">
        <v>12508728000108</v>
      </c>
      <c r="B521" s="8" t="s">
        <v>965</v>
      </c>
      <c r="C521" s="8" t="s">
        <v>87</v>
      </c>
      <c r="D521" s="7" t="s">
        <v>67</v>
      </c>
      <c r="E521" s="8" t="s">
        <v>205</v>
      </c>
      <c r="F521" s="8" t="s">
        <v>206</v>
      </c>
    </row>
    <row r="522" spans="1:6" x14ac:dyDescent="0.25">
      <c r="A522" s="4">
        <v>13631170000116</v>
      </c>
      <c r="B522" s="8" t="s">
        <v>1416</v>
      </c>
      <c r="C522" s="8" t="s">
        <v>1415</v>
      </c>
      <c r="D522" s="7" t="s">
        <v>54</v>
      </c>
      <c r="E522" s="8" t="s">
        <v>205</v>
      </c>
      <c r="F522" s="8" t="s">
        <v>206</v>
      </c>
    </row>
    <row r="523" spans="1:6" x14ac:dyDescent="0.25">
      <c r="A523" s="4">
        <v>14408631000159</v>
      </c>
      <c r="B523" s="8" t="s">
        <v>1163</v>
      </c>
      <c r="C523" s="8" t="s">
        <v>1164</v>
      </c>
      <c r="D523" s="7" t="s">
        <v>54</v>
      </c>
      <c r="E523" s="8" t="s">
        <v>205</v>
      </c>
      <c r="F523" s="8" t="s">
        <v>206</v>
      </c>
    </row>
    <row r="524" spans="1:6" x14ac:dyDescent="0.25">
      <c r="A524" s="4">
        <v>15126437000577</v>
      </c>
      <c r="B524" s="8" t="s">
        <v>1165</v>
      </c>
      <c r="C524" s="8" t="s">
        <v>126</v>
      </c>
      <c r="D524" s="7" t="s">
        <v>54</v>
      </c>
      <c r="E524" s="8" t="s">
        <v>205</v>
      </c>
      <c r="F524" s="8" t="s">
        <v>206</v>
      </c>
    </row>
    <row r="525" spans="1:6" x14ac:dyDescent="0.25">
      <c r="A525" s="4">
        <v>15126437001972</v>
      </c>
      <c r="B525" s="8" t="s">
        <v>966</v>
      </c>
      <c r="C525" s="8" t="s">
        <v>87</v>
      </c>
      <c r="D525" s="7" t="s">
        <v>67</v>
      </c>
      <c r="E525" s="8" t="s">
        <v>205</v>
      </c>
      <c r="F525" s="8" t="s">
        <v>206</v>
      </c>
    </row>
    <row r="526" spans="1:6" x14ac:dyDescent="0.25">
      <c r="A526" s="4">
        <v>15126437003401</v>
      </c>
      <c r="B526" s="8" t="s">
        <v>967</v>
      </c>
      <c r="C526" s="8" t="s">
        <v>95</v>
      </c>
      <c r="D526" s="7" t="s">
        <v>68</v>
      </c>
      <c r="E526" s="8" t="s">
        <v>205</v>
      </c>
      <c r="F526" s="8" t="s">
        <v>206</v>
      </c>
    </row>
    <row r="527" spans="1:6" x14ac:dyDescent="0.25">
      <c r="A527" s="4">
        <v>15126437003673</v>
      </c>
      <c r="B527" s="8" t="s">
        <v>1166</v>
      </c>
      <c r="C527" s="8" t="s">
        <v>60</v>
      </c>
      <c r="D527" s="7" t="s">
        <v>61</v>
      </c>
      <c r="E527" s="8" t="s">
        <v>205</v>
      </c>
      <c r="F527" s="8" t="s">
        <v>206</v>
      </c>
    </row>
    <row r="528" spans="1:6" x14ac:dyDescent="0.25">
      <c r="A528" s="4">
        <v>16676520000159</v>
      </c>
      <c r="B528" s="8" t="s">
        <v>1168</v>
      </c>
      <c r="C528" s="8" t="s">
        <v>1415</v>
      </c>
      <c r="D528" s="7" t="s">
        <v>54</v>
      </c>
      <c r="E528" s="8" t="s">
        <v>205</v>
      </c>
      <c r="F528" s="8" t="s">
        <v>206</v>
      </c>
    </row>
    <row r="529" spans="1:6" x14ac:dyDescent="0.25">
      <c r="A529" s="4">
        <v>16676520000582</v>
      </c>
      <c r="B529" s="8" t="s">
        <v>1169</v>
      </c>
      <c r="C529" s="8" t="s">
        <v>1415</v>
      </c>
      <c r="D529" s="7" t="s">
        <v>54</v>
      </c>
      <c r="E529" s="8" t="s">
        <v>205</v>
      </c>
      <c r="F529" s="8" t="s">
        <v>206</v>
      </c>
    </row>
    <row r="530" spans="1:6" x14ac:dyDescent="0.25">
      <c r="A530" s="4">
        <v>16695025000197</v>
      </c>
      <c r="B530" s="8" t="s">
        <v>1417</v>
      </c>
      <c r="C530" s="8" t="s">
        <v>1415</v>
      </c>
      <c r="D530" s="7" t="s">
        <v>54</v>
      </c>
      <c r="E530" s="8" t="s">
        <v>205</v>
      </c>
      <c r="F530" s="8" t="s">
        <v>206</v>
      </c>
    </row>
    <row r="531" spans="1:6" x14ac:dyDescent="0.25">
      <c r="A531" s="4">
        <v>17034086000176</v>
      </c>
      <c r="B531" s="8" t="s">
        <v>968</v>
      </c>
      <c r="C531" s="8" t="s">
        <v>969</v>
      </c>
      <c r="D531" s="7" t="s">
        <v>68</v>
      </c>
      <c r="E531" s="8" t="s">
        <v>205</v>
      </c>
      <c r="F531" s="8" t="s">
        <v>206</v>
      </c>
    </row>
    <row r="532" spans="1:6" x14ac:dyDescent="0.25">
      <c r="A532" s="4">
        <v>17087591000189</v>
      </c>
      <c r="B532" s="8" t="s">
        <v>1170</v>
      </c>
      <c r="C532" s="8" t="s">
        <v>1171</v>
      </c>
      <c r="D532" s="7" t="s">
        <v>54</v>
      </c>
      <c r="E532" s="8" t="s">
        <v>205</v>
      </c>
      <c r="F532" s="8" t="s">
        <v>206</v>
      </c>
    </row>
    <row r="533" spans="1:6" x14ac:dyDescent="0.25">
      <c r="A533" s="4">
        <v>17214149000176</v>
      </c>
      <c r="B533" s="8" t="s">
        <v>1172</v>
      </c>
      <c r="C533" s="8" t="s">
        <v>1415</v>
      </c>
      <c r="D533" s="7" t="s">
        <v>54</v>
      </c>
      <c r="E533" s="8" t="s">
        <v>205</v>
      </c>
      <c r="F533" s="8" t="s">
        <v>206</v>
      </c>
    </row>
    <row r="534" spans="1:6" x14ac:dyDescent="0.25">
      <c r="A534" s="4">
        <v>17217332003906</v>
      </c>
      <c r="B534" s="8" t="s">
        <v>1173</v>
      </c>
      <c r="C534" s="8" t="s">
        <v>1415</v>
      </c>
      <c r="D534" s="7" t="s">
        <v>54</v>
      </c>
      <c r="E534" s="8" t="s">
        <v>205</v>
      </c>
      <c r="F534" s="8" t="s">
        <v>206</v>
      </c>
    </row>
    <row r="535" spans="1:6" x14ac:dyDescent="0.25">
      <c r="A535" s="4">
        <v>17312612000112</v>
      </c>
      <c r="B535" s="8" t="s">
        <v>1418</v>
      </c>
      <c r="C535" s="8" t="s">
        <v>1415</v>
      </c>
      <c r="D535" s="7" t="s">
        <v>54</v>
      </c>
      <c r="E535" s="8" t="s">
        <v>205</v>
      </c>
      <c r="F535" s="8" t="s">
        <v>206</v>
      </c>
    </row>
    <row r="536" spans="1:6" x14ac:dyDescent="0.25">
      <c r="A536" s="4">
        <v>17689407000928</v>
      </c>
      <c r="B536" s="8" t="s">
        <v>1174</v>
      </c>
      <c r="C536" s="8" t="s">
        <v>88</v>
      </c>
      <c r="D536" s="7" t="s">
        <v>54</v>
      </c>
      <c r="E536" s="8" t="s">
        <v>205</v>
      </c>
      <c r="F536" s="8" t="s">
        <v>206</v>
      </c>
    </row>
    <row r="537" spans="1:6" x14ac:dyDescent="0.25">
      <c r="A537" s="4">
        <v>17774738000613</v>
      </c>
      <c r="B537" s="8" t="s">
        <v>1175</v>
      </c>
      <c r="C537" s="8" t="s">
        <v>126</v>
      </c>
      <c r="D537" s="7" t="s">
        <v>54</v>
      </c>
      <c r="E537" s="8" t="s">
        <v>205</v>
      </c>
      <c r="F537" s="8" t="s">
        <v>206</v>
      </c>
    </row>
    <row r="538" spans="1:6" x14ac:dyDescent="0.25">
      <c r="A538" s="4">
        <v>17845504000296</v>
      </c>
      <c r="B538" s="8" t="s">
        <v>1419</v>
      </c>
      <c r="C538" s="8" t="s">
        <v>1420</v>
      </c>
      <c r="D538" s="7" t="s">
        <v>54</v>
      </c>
      <c r="E538" s="8" t="s">
        <v>205</v>
      </c>
      <c r="F538" s="8" t="s">
        <v>206</v>
      </c>
    </row>
    <row r="539" spans="1:6" x14ac:dyDescent="0.25">
      <c r="A539" s="4">
        <v>17864888000103</v>
      </c>
      <c r="B539" s="8" t="s">
        <v>970</v>
      </c>
      <c r="C539" s="8" t="s">
        <v>112</v>
      </c>
      <c r="D539" s="7" t="s">
        <v>57</v>
      </c>
      <c r="E539" s="8" t="s">
        <v>205</v>
      </c>
      <c r="F539" s="8" t="s">
        <v>206</v>
      </c>
    </row>
    <row r="540" spans="1:6" x14ac:dyDescent="0.25">
      <c r="A540" s="4">
        <v>18484378000173</v>
      </c>
      <c r="B540" s="8" t="s">
        <v>1176</v>
      </c>
      <c r="C540" s="8" t="s">
        <v>1171</v>
      </c>
      <c r="D540" s="7" t="s">
        <v>54</v>
      </c>
      <c r="E540" s="8" t="s">
        <v>205</v>
      </c>
      <c r="F540" s="8" t="s">
        <v>206</v>
      </c>
    </row>
    <row r="541" spans="1:6" x14ac:dyDescent="0.25">
      <c r="A541" s="4">
        <v>18715516000188</v>
      </c>
      <c r="B541" s="8" t="s">
        <v>1421</v>
      </c>
      <c r="C541" s="8" t="s">
        <v>1415</v>
      </c>
      <c r="D541" s="7" t="s">
        <v>54</v>
      </c>
      <c r="E541" s="8" t="s">
        <v>205</v>
      </c>
      <c r="F541" s="8" t="s">
        <v>206</v>
      </c>
    </row>
    <row r="542" spans="1:6" x14ac:dyDescent="0.25">
      <c r="A542" s="4">
        <v>18836965000184</v>
      </c>
      <c r="B542" s="8" t="s">
        <v>1177</v>
      </c>
      <c r="C542" s="8" t="s">
        <v>111</v>
      </c>
      <c r="D542" s="7" t="s">
        <v>54</v>
      </c>
      <c r="E542" s="8" t="s">
        <v>205</v>
      </c>
      <c r="F542" s="8" t="s">
        <v>206</v>
      </c>
    </row>
    <row r="543" spans="1:6" x14ac:dyDescent="0.25">
      <c r="A543" s="4">
        <v>19128248000160</v>
      </c>
      <c r="B543" s="8" t="s">
        <v>1422</v>
      </c>
      <c r="C543" s="8" t="s">
        <v>1301</v>
      </c>
      <c r="D543" s="7" t="s">
        <v>54</v>
      </c>
      <c r="E543" s="8" t="s">
        <v>205</v>
      </c>
      <c r="F543" s="8" t="s">
        <v>206</v>
      </c>
    </row>
    <row r="544" spans="1:6" x14ac:dyDescent="0.25">
      <c r="A544" s="4">
        <v>19130186000121</v>
      </c>
      <c r="B544" s="8" t="s">
        <v>1300</v>
      </c>
      <c r="C544" s="8" t="s">
        <v>1301</v>
      </c>
      <c r="D544" s="7" t="s">
        <v>54</v>
      </c>
      <c r="E544" s="8" t="s">
        <v>205</v>
      </c>
      <c r="F544" s="8" t="s">
        <v>206</v>
      </c>
    </row>
    <row r="545" spans="1:6" x14ac:dyDescent="0.25">
      <c r="A545" s="4">
        <v>19274091000181</v>
      </c>
      <c r="B545" s="8" t="s">
        <v>1178</v>
      </c>
      <c r="C545" s="8" t="s">
        <v>127</v>
      </c>
      <c r="D545" s="7" t="s">
        <v>54</v>
      </c>
      <c r="E545" s="8" t="s">
        <v>205</v>
      </c>
      <c r="F545" s="8" t="s">
        <v>206</v>
      </c>
    </row>
    <row r="546" spans="1:6" x14ac:dyDescent="0.25">
      <c r="A546" s="4">
        <v>19843929001000</v>
      </c>
      <c r="B546" s="8" t="s">
        <v>1179</v>
      </c>
      <c r="C546" s="8" t="s">
        <v>88</v>
      </c>
      <c r="D546" s="7" t="s">
        <v>54</v>
      </c>
      <c r="E546" s="8" t="s">
        <v>205</v>
      </c>
      <c r="F546" s="8" t="s">
        <v>206</v>
      </c>
    </row>
    <row r="547" spans="1:6" x14ac:dyDescent="0.25">
      <c r="A547" s="4">
        <v>19843929001182</v>
      </c>
      <c r="B547" s="8" t="s">
        <v>1180</v>
      </c>
      <c r="C547" s="8" t="s">
        <v>1415</v>
      </c>
      <c r="D547" s="7" t="s">
        <v>54</v>
      </c>
      <c r="E547" s="8" t="s">
        <v>205</v>
      </c>
      <c r="F547" s="8" t="s">
        <v>206</v>
      </c>
    </row>
    <row r="548" spans="1:6" x14ac:dyDescent="0.25">
      <c r="A548" s="4">
        <v>19843929001344</v>
      </c>
      <c r="B548" s="8" t="s">
        <v>1303</v>
      </c>
      <c r="C548" s="8" t="s">
        <v>1415</v>
      </c>
      <c r="D548" s="7" t="s">
        <v>54</v>
      </c>
      <c r="E548" s="8" t="s">
        <v>205</v>
      </c>
      <c r="F548" s="8" t="s">
        <v>206</v>
      </c>
    </row>
    <row r="549" spans="1:6" x14ac:dyDescent="0.25">
      <c r="A549" s="4">
        <v>19843929001506</v>
      </c>
      <c r="B549" s="8" t="s">
        <v>1181</v>
      </c>
      <c r="C549" s="8" t="s">
        <v>1415</v>
      </c>
      <c r="D549" s="7" t="s">
        <v>54</v>
      </c>
      <c r="E549" s="8" t="s">
        <v>205</v>
      </c>
      <c r="F549" s="8" t="s">
        <v>206</v>
      </c>
    </row>
    <row r="550" spans="1:6" x14ac:dyDescent="0.25">
      <c r="A550" s="4">
        <v>19843929001697</v>
      </c>
      <c r="B550" s="8" t="s">
        <v>1182</v>
      </c>
      <c r="C550" s="8" t="s">
        <v>539</v>
      </c>
      <c r="D550" s="7" t="s">
        <v>54</v>
      </c>
      <c r="E550" s="8" t="s">
        <v>205</v>
      </c>
      <c r="F550" s="8" t="s">
        <v>206</v>
      </c>
    </row>
    <row r="551" spans="1:6" x14ac:dyDescent="0.25">
      <c r="A551" s="4">
        <v>19843929002820</v>
      </c>
      <c r="B551" s="8" t="s">
        <v>1183</v>
      </c>
      <c r="C551" s="8" t="s">
        <v>1415</v>
      </c>
      <c r="D551" s="7" t="s">
        <v>54</v>
      </c>
      <c r="E551" s="8" t="s">
        <v>205</v>
      </c>
      <c r="F551" s="8" t="s">
        <v>206</v>
      </c>
    </row>
    <row r="552" spans="1:6" x14ac:dyDescent="0.25">
      <c r="A552" s="4">
        <v>19843929002901</v>
      </c>
      <c r="B552" s="8" t="s">
        <v>1423</v>
      </c>
      <c r="C552" s="8" t="s">
        <v>1415</v>
      </c>
      <c r="D552" s="7" t="s">
        <v>54</v>
      </c>
      <c r="E552" s="8" t="s">
        <v>205</v>
      </c>
      <c r="F552" s="8" t="s">
        <v>206</v>
      </c>
    </row>
    <row r="553" spans="1:6" x14ac:dyDescent="0.25">
      <c r="A553" s="4">
        <v>19878404000100</v>
      </c>
      <c r="B553" s="8" t="s">
        <v>1184</v>
      </c>
      <c r="C553" s="8" t="s">
        <v>89</v>
      </c>
      <c r="D553" s="7" t="s">
        <v>54</v>
      </c>
      <c r="E553" s="8" t="s">
        <v>205</v>
      </c>
      <c r="F553" s="8" t="s">
        <v>206</v>
      </c>
    </row>
    <row r="554" spans="1:6" x14ac:dyDescent="0.25">
      <c r="A554" s="4">
        <v>20150900000122</v>
      </c>
      <c r="B554" s="8" t="s">
        <v>1185</v>
      </c>
      <c r="C554" s="8" t="s">
        <v>1171</v>
      </c>
      <c r="D554" s="7" t="s">
        <v>54</v>
      </c>
      <c r="E554" s="8" t="s">
        <v>205</v>
      </c>
      <c r="F554" s="8" t="s">
        <v>206</v>
      </c>
    </row>
    <row r="555" spans="1:6" x14ac:dyDescent="0.25">
      <c r="A555" s="4">
        <v>20207543000191</v>
      </c>
      <c r="B555" s="8" t="s">
        <v>1186</v>
      </c>
      <c r="C555" s="8" t="s">
        <v>1171</v>
      </c>
      <c r="D555" s="7" t="s">
        <v>54</v>
      </c>
      <c r="E555" s="8" t="s">
        <v>205</v>
      </c>
      <c r="F555" s="8" t="s">
        <v>206</v>
      </c>
    </row>
    <row r="556" spans="1:6" x14ac:dyDescent="0.25">
      <c r="A556" s="4">
        <v>20599890000107</v>
      </c>
      <c r="B556" s="8" t="s">
        <v>1424</v>
      </c>
      <c r="C556" s="8" t="s">
        <v>1188</v>
      </c>
      <c r="D556" s="7" t="s">
        <v>54</v>
      </c>
      <c r="E556" s="8" t="s">
        <v>205</v>
      </c>
      <c r="F556" s="8" t="s">
        <v>206</v>
      </c>
    </row>
    <row r="557" spans="1:6" x14ac:dyDescent="0.25">
      <c r="A557" s="4">
        <v>20622890000180</v>
      </c>
      <c r="B557" s="8" t="s">
        <v>1187</v>
      </c>
      <c r="C557" s="8" t="s">
        <v>1188</v>
      </c>
      <c r="D557" s="7" t="s">
        <v>54</v>
      </c>
      <c r="E557" s="8" t="s">
        <v>205</v>
      </c>
      <c r="F557" s="8" t="s">
        <v>206</v>
      </c>
    </row>
    <row r="558" spans="1:6" x14ac:dyDescent="0.25">
      <c r="A558" s="4">
        <v>20909271000171</v>
      </c>
      <c r="B558" s="8" t="s">
        <v>1189</v>
      </c>
      <c r="C558" s="8" t="s">
        <v>101</v>
      </c>
      <c r="D558" s="7" t="s">
        <v>54</v>
      </c>
      <c r="E558" s="8" t="s">
        <v>205</v>
      </c>
      <c r="F558" s="8" t="s">
        <v>206</v>
      </c>
    </row>
    <row r="559" spans="1:6" x14ac:dyDescent="0.25">
      <c r="A559" s="4">
        <v>21040696000311</v>
      </c>
      <c r="B559" s="8" t="s">
        <v>1190</v>
      </c>
      <c r="C559" s="8" t="s">
        <v>1191</v>
      </c>
      <c r="D559" s="7" t="s">
        <v>54</v>
      </c>
      <c r="E559" s="8" t="s">
        <v>205</v>
      </c>
      <c r="F559" s="8" t="s">
        <v>206</v>
      </c>
    </row>
    <row r="560" spans="1:6" x14ac:dyDescent="0.25">
      <c r="A560" s="4">
        <v>21299615000130</v>
      </c>
      <c r="B560" s="8" t="s">
        <v>1192</v>
      </c>
      <c r="C560" s="8" t="s">
        <v>102</v>
      </c>
      <c r="D560" s="7" t="s">
        <v>54</v>
      </c>
      <c r="E560" s="8" t="s">
        <v>205</v>
      </c>
      <c r="F560" s="8" t="s">
        <v>206</v>
      </c>
    </row>
    <row r="561" spans="1:6" x14ac:dyDescent="0.25">
      <c r="A561" s="4">
        <v>21998635000108</v>
      </c>
      <c r="B561" s="8" t="s">
        <v>971</v>
      </c>
      <c r="C561" s="8" t="s">
        <v>112</v>
      </c>
      <c r="D561" s="7" t="s">
        <v>57</v>
      </c>
      <c r="E561" s="8" t="s">
        <v>205</v>
      </c>
      <c r="F561" s="8" t="s">
        <v>206</v>
      </c>
    </row>
    <row r="562" spans="1:6" x14ac:dyDescent="0.25">
      <c r="A562" s="4">
        <v>22675359000100</v>
      </c>
      <c r="B562" s="8" t="s">
        <v>1193</v>
      </c>
      <c r="C562" s="8" t="s">
        <v>540</v>
      </c>
      <c r="D562" s="7" t="s">
        <v>54</v>
      </c>
      <c r="E562" s="8" t="s">
        <v>205</v>
      </c>
      <c r="F562" s="8" t="s">
        <v>206</v>
      </c>
    </row>
    <row r="563" spans="1:6" x14ac:dyDescent="0.25">
      <c r="A563" s="4">
        <v>23278898000160</v>
      </c>
      <c r="B563" s="8" t="s">
        <v>1194</v>
      </c>
      <c r="C563" s="8" t="s">
        <v>119</v>
      </c>
      <c r="D563" s="7" t="s">
        <v>54</v>
      </c>
      <c r="E563" s="8" t="s">
        <v>205</v>
      </c>
      <c r="F563" s="8" t="s">
        <v>206</v>
      </c>
    </row>
    <row r="564" spans="1:6" x14ac:dyDescent="0.25">
      <c r="A564" s="4">
        <v>23338387000196</v>
      </c>
      <c r="B564" s="8" t="s">
        <v>1195</v>
      </c>
      <c r="C564" s="8" t="s">
        <v>90</v>
      </c>
      <c r="D564" s="7" t="s">
        <v>54</v>
      </c>
      <c r="E564" s="8" t="s">
        <v>205</v>
      </c>
      <c r="F564" s="8" t="s">
        <v>206</v>
      </c>
    </row>
    <row r="565" spans="1:6" x14ac:dyDescent="0.25">
      <c r="A565" s="4">
        <v>23406564000124</v>
      </c>
      <c r="B565" s="8" t="s">
        <v>1196</v>
      </c>
      <c r="C565" s="8" t="s">
        <v>1197</v>
      </c>
      <c r="D565" s="7" t="s">
        <v>54</v>
      </c>
      <c r="E565" s="8" t="s">
        <v>205</v>
      </c>
      <c r="F565" s="8" t="s">
        <v>206</v>
      </c>
    </row>
    <row r="566" spans="1:6" x14ac:dyDescent="0.25">
      <c r="A566" s="4">
        <v>23982118000168</v>
      </c>
      <c r="B566" s="8" t="s">
        <v>972</v>
      </c>
      <c r="C566" s="8" t="s">
        <v>930</v>
      </c>
      <c r="D566" s="7" t="s">
        <v>68</v>
      </c>
      <c r="E566" s="8" t="s">
        <v>205</v>
      </c>
      <c r="F566" s="8" t="s">
        <v>206</v>
      </c>
    </row>
    <row r="567" spans="1:6" x14ac:dyDescent="0.25">
      <c r="A567" s="4">
        <v>25308058000128</v>
      </c>
      <c r="B567" s="8" t="s">
        <v>1047</v>
      </c>
      <c r="C567" s="8" t="s">
        <v>1048</v>
      </c>
      <c r="D567" s="7" t="s">
        <v>61</v>
      </c>
      <c r="E567" s="8" t="s">
        <v>205</v>
      </c>
      <c r="F567" s="8" t="s">
        <v>206</v>
      </c>
    </row>
    <row r="568" spans="1:6" x14ac:dyDescent="0.25">
      <c r="A568" s="4">
        <v>25415993000193</v>
      </c>
      <c r="B568" s="8" t="s">
        <v>1200</v>
      </c>
      <c r="C568" s="8" t="s">
        <v>88</v>
      </c>
      <c r="D568" s="7" t="s">
        <v>54</v>
      </c>
      <c r="E568" s="8" t="s">
        <v>205</v>
      </c>
      <c r="F568" s="8" t="s">
        <v>206</v>
      </c>
    </row>
    <row r="569" spans="1:6" x14ac:dyDescent="0.25">
      <c r="A569" s="4">
        <v>25431834000182</v>
      </c>
      <c r="B569" s="8" t="s">
        <v>1425</v>
      </c>
      <c r="C569" s="8" t="s">
        <v>126</v>
      </c>
      <c r="D569" s="7" t="s">
        <v>54</v>
      </c>
      <c r="E569" s="8" t="s">
        <v>205</v>
      </c>
      <c r="F569" s="8" t="s">
        <v>206</v>
      </c>
    </row>
    <row r="570" spans="1:6" x14ac:dyDescent="0.25">
      <c r="A570" s="4">
        <v>25648387000207</v>
      </c>
      <c r="B570" s="8" t="s">
        <v>1201</v>
      </c>
      <c r="C570" s="8" t="s">
        <v>1171</v>
      </c>
      <c r="D570" s="7" t="s">
        <v>54</v>
      </c>
      <c r="E570" s="8" t="s">
        <v>205</v>
      </c>
      <c r="F570" s="8" t="s">
        <v>206</v>
      </c>
    </row>
    <row r="571" spans="1:6" x14ac:dyDescent="0.25">
      <c r="A571" s="4">
        <v>25761040000187</v>
      </c>
      <c r="B571" s="8" t="s">
        <v>1202</v>
      </c>
      <c r="C571" s="8" t="s">
        <v>1171</v>
      </c>
      <c r="D571" s="7" t="s">
        <v>54</v>
      </c>
      <c r="E571" s="8" t="s">
        <v>205</v>
      </c>
      <c r="F571" s="8" t="s">
        <v>206</v>
      </c>
    </row>
    <row r="572" spans="1:6" x14ac:dyDescent="0.25">
      <c r="A572" s="4">
        <v>25910449000460</v>
      </c>
      <c r="B572" s="8" t="s">
        <v>1203</v>
      </c>
      <c r="C572" s="8" t="s">
        <v>1204</v>
      </c>
      <c r="D572" s="7" t="s">
        <v>54</v>
      </c>
      <c r="E572" s="8" t="s">
        <v>205</v>
      </c>
      <c r="F572" s="8" t="s">
        <v>206</v>
      </c>
    </row>
    <row r="573" spans="1:6" x14ac:dyDescent="0.25">
      <c r="A573" s="4">
        <v>26947257000149</v>
      </c>
      <c r="B573" s="8" t="s">
        <v>973</v>
      </c>
      <c r="C573" s="8" t="s">
        <v>83</v>
      </c>
      <c r="D573" s="7" t="s">
        <v>67</v>
      </c>
      <c r="E573" s="8" t="s">
        <v>205</v>
      </c>
      <c r="F573" s="8" t="s">
        <v>206</v>
      </c>
    </row>
    <row r="574" spans="1:6" x14ac:dyDescent="0.25">
      <c r="A574" s="4">
        <v>27080605000358</v>
      </c>
      <c r="B574" s="8" t="s">
        <v>1205</v>
      </c>
      <c r="C574" s="8" t="s">
        <v>1206</v>
      </c>
      <c r="D574" s="7" t="s">
        <v>98</v>
      </c>
      <c r="E574" s="8" t="s">
        <v>205</v>
      </c>
      <c r="F574" s="8" t="s">
        <v>206</v>
      </c>
    </row>
    <row r="575" spans="1:6" x14ac:dyDescent="0.25">
      <c r="A575" s="4">
        <v>27080605000781</v>
      </c>
      <c r="B575" s="8" t="s">
        <v>1426</v>
      </c>
      <c r="C575" s="8" t="s">
        <v>1427</v>
      </c>
      <c r="D575" s="7" t="s">
        <v>98</v>
      </c>
      <c r="E575" s="8" t="s">
        <v>205</v>
      </c>
      <c r="F575" s="8" t="s">
        <v>206</v>
      </c>
    </row>
    <row r="576" spans="1:6" x14ac:dyDescent="0.25">
      <c r="A576" s="4">
        <v>27080605001591</v>
      </c>
      <c r="B576" s="8" t="s">
        <v>1207</v>
      </c>
      <c r="C576" s="8" t="s">
        <v>97</v>
      </c>
      <c r="D576" s="7" t="s">
        <v>98</v>
      </c>
      <c r="E576" s="8" t="s">
        <v>205</v>
      </c>
      <c r="F576" s="8" t="s">
        <v>206</v>
      </c>
    </row>
    <row r="577" spans="1:6" x14ac:dyDescent="0.25">
      <c r="A577" s="4">
        <v>27193705000129</v>
      </c>
      <c r="B577" s="8" t="s">
        <v>1428</v>
      </c>
      <c r="C577" s="8" t="s">
        <v>1429</v>
      </c>
      <c r="D577" s="7" t="s">
        <v>98</v>
      </c>
      <c r="E577" s="8" t="s">
        <v>205</v>
      </c>
      <c r="F577" s="8" t="s">
        <v>206</v>
      </c>
    </row>
    <row r="578" spans="1:6" x14ac:dyDescent="0.25">
      <c r="A578" s="4">
        <v>27578434001525</v>
      </c>
      <c r="B578" s="8" t="s">
        <v>1208</v>
      </c>
      <c r="C578" s="8" t="s">
        <v>1157</v>
      </c>
      <c r="D578" s="7" t="s">
        <v>98</v>
      </c>
      <c r="E578" s="8" t="s">
        <v>205</v>
      </c>
      <c r="F578" s="8" t="s">
        <v>206</v>
      </c>
    </row>
    <row r="579" spans="1:6" x14ac:dyDescent="0.25">
      <c r="A579" s="4">
        <v>28137925000106</v>
      </c>
      <c r="B579" s="8" t="s">
        <v>1210</v>
      </c>
      <c r="C579" s="8" t="s">
        <v>1157</v>
      </c>
      <c r="D579" s="7" t="s">
        <v>98</v>
      </c>
      <c r="E579" s="8" t="s">
        <v>205</v>
      </c>
      <c r="F579" s="8" t="s">
        <v>206</v>
      </c>
    </row>
    <row r="580" spans="1:6" x14ac:dyDescent="0.25">
      <c r="A580" s="4">
        <v>28523215000378</v>
      </c>
      <c r="B580" s="8" t="s">
        <v>1049</v>
      </c>
      <c r="C580" s="8" t="s">
        <v>1039</v>
      </c>
      <c r="D580" s="7" t="s">
        <v>61</v>
      </c>
      <c r="E580" s="8" t="s">
        <v>205</v>
      </c>
      <c r="F580" s="8" t="s">
        <v>206</v>
      </c>
    </row>
    <row r="581" spans="1:6" x14ac:dyDescent="0.25">
      <c r="A581" s="4">
        <v>28806545000532</v>
      </c>
      <c r="B581" s="8" t="s">
        <v>1050</v>
      </c>
      <c r="C581" s="8" t="s">
        <v>1051</v>
      </c>
      <c r="D581" s="7" t="s">
        <v>61</v>
      </c>
      <c r="E581" s="8" t="s">
        <v>205</v>
      </c>
      <c r="F581" s="8" t="s">
        <v>206</v>
      </c>
    </row>
    <row r="582" spans="1:6" x14ac:dyDescent="0.25">
      <c r="A582" s="4">
        <v>29072642000188</v>
      </c>
      <c r="B582" s="8" t="s">
        <v>1052</v>
      </c>
      <c r="C582" s="8" t="s">
        <v>92</v>
      </c>
      <c r="D582" s="7" t="s">
        <v>61</v>
      </c>
      <c r="E582" s="8" t="s">
        <v>205</v>
      </c>
      <c r="F582" s="8" t="s">
        <v>206</v>
      </c>
    </row>
    <row r="583" spans="1:6" x14ac:dyDescent="0.25">
      <c r="A583" s="4">
        <v>29135795000208</v>
      </c>
      <c r="B583" s="8" t="s">
        <v>1053</v>
      </c>
      <c r="C583" s="8" t="s">
        <v>120</v>
      </c>
      <c r="D583" s="7" t="s">
        <v>61</v>
      </c>
      <c r="E583" s="8" t="s">
        <v>205</v>
      </c>
      <c r="F583" s="8" t="s">
        <v>206</v>
      </c>
    </row>
    <row r="584" spans="1:6" x14ac:dyDescent="0.25">
      <c r="A584" s="4">
        <v>29323454000185</v>
      </c>
      <c r="B584" s="8" t="s">
        <v>1211</v>
      </c>
      <c r="C584" s="8" t="s">
        <v>543</v>
      </c>
      <c r="D584" s="7" t="s">
        <v>98</v>
      </c>
      <c r="E584" s="8" t="s">
        <v>205</v>
      </c>
      <c r="F584" s="8" t="s">
        <v>206</v>
      </c>
    </row>
    <row r="585" spans="1:6" x14ac:dyDescent="0.25">
      <c r="A585" s="4">
        <v>29435005003497</v>
      </c>
      <c r="B585" s="8" t="s">
        <v>1054</v>
      </c>
      <c r="C585" s="8" t="s">
        <v>78</v>
      </c>
      <c r="D585" s="7" t="s">
        <v>61</v>
      </c>
      <c r="E585" s="8" t="s">
        <v>205</v>
      </c>
      <c r="F585" s="8" t="s">
        <v>206</v>
      </c>
    </row>
    <row r="586" spans="1:6" x14ac:dyDescent="0.25">
      <c r="A586" s="4">
        <v>29435005005600</v>
      </c>
      <c r="B586" s="8" t="s">
        <v>974</v>
      </c>
      <c r="C586" s="8" t="s">
        <v>94</v>
      </c>
      <c r="D586" s="7" t="s">
        <v>57</v>
      </c>
      <c r="E586" s="8" t="s">
        <v>205</v>
      </c>
      <c r="F586" s="8" t="s">
        <v>206</v>
      </c>
    </row>
    <row r="587" spans="1:6" x14ac:dyDescent="0.25">
      <c r="A587" s="4">
        <v>29640612000120</v>
      </c>
      <c r="B587" s="8" t="s">
        <v>1055</v>
      </c>
      <c r="C587" s="8" t="s">
        <v>103</v>
      </c>
      <c r="D587" s="7" t="s">
        <v>61</v>
      </c>
      <c r="E587" s="8" t="s">
        <v>205</v>
      </c>
      <c r="F587" s="8" t="s">
        <v>206</v>
      </c>
    </row>
    <row r="588" spans="1:6" x14ac:dyDescent="0.25">
      <c r="A588" s="4">
        <v>29908956000178</v>
      </c>
      <c r="B588" s="8" t="s">
        <v>975</v>
      </c>
      <c r="C588" s="8" t="s">
        <v>104</v>
      </c>
      <c r="D588" s="7" t="s">
        <v>67</v>
      </c>
      <c r="E588" s="8" t="s">
        <v>205</v>
      </c>
      <c r="F588" s="8" t="s">
        <v>206</v>
      </c>
    </row>
    <row r="589" spans="1:6" x14ac:dyDescent="0.25">
      <c r="A589" s="4">
        <v>30079461000162</v>
      </c>
      <c r="B589" s="8" t="s">
        <v>1056</v>
      </c>
      <c r="C589" s="8" t="s">
        <v>1039</v>
      </c>
      <c r="D589" s="7" t="s">
        <v>61</v>
      </c>
      <c r="E589" s="8" t="s">
        <v>205</v>
      </c>
      <c r="F589" s="8" t="s">
        <v>206</v>
      </c>
    </row>
    <row r="590" spans="1:6" x14ac:dyDescent="0.25">
      <c r="A590" s="4">
        <v>30117769000155</v>
      </c>
      <c r="B590" s="8" t="s">
        <v>976</v>
      </c>
      <c r="C590" s="8" t="s">
        <v>94</v>
      </c>
      <c r="D590" s="7" t="s">
        <v>57</v>
      </c>
      <c r="E590" s="8" t="s">
        <v>205</v>
      </c>
      <c r="F590" s="8" t="s">
        <v>206</v>
      </c>
    </row>
    <row r="591" spans="1:6" x14ac:dyDescent="0.25">
      <c r="A591" s="4">
        <v>30145502000171</v>
      </c>
      <c r="B591" s="8" t="s">
        <v>1057</v>
      </c>
      <c r="C591" s="8" t="s">
        <v>1039</v>
      </c>
      <c r="D591" s="7" t="s">
        <v>61</v>
      </c>
      <c r="E591" s="8" t="s">
        <v>205</v>
      </c>
      <c r="F591" s="8" t="s">
        <v>206</v>
      </c>
    </row>
    <row r="592" spans="1:6" x14ac:dyDescent="0.25">
      <c r="A592" s="4">
        <v>30325856000106</v>
      </c>
      <c r="B592" s="8" t="s">
        <v>1406</v>
      </c>
      <c r="C592" s="8" t="s">
        <v>1064</v>
      </c>
      <c r="D592" s="7" t="s">
        <v>61</v>
      </c>
      <c r="E592" s="8" t="s">
        <v>205</v>
      </c>
      <c r="F592" s="8" t="s">
        <v>206</v>
      </c>
    </row>
    <row r="593" spans="1:6" x14ac:dyDescent="0.25">
      <c r="A593" s="4">
        <v>30358881000188</v>
      </c>
      <c r="B593" s="8" t="s">
        <v>1407</v>
      </c>
      <c r="C593" s="8" t="s">
        <v>1215</v>
      </c>
      <c r="D593" s="7" t="s">
        <v>61</v>
      </c>
      <c r="E593" s="8" t="s">
        <v>205</v>
      </c>
      <c r="F593" s="8" t="s">
        <v>206</v>
      </c>
    </row>
    <row r="594" spans="1:6" x14ac:dyDescent="0.25">
      <c r="A594" s="4">
        <v>30537740000122</v>
      </c>
      <c r="B594" s="8" t="s">
        <v>1058</v>
      </c>
      <c r="C594" s="8" t="s">
        <v>120</v>
      </c>
      <c r="D594" s="7" t="s">
        <v>61</v>
      </c>
      <c r="E594" s="8" t="s">
        <v>205</v>
      </c>
      <c r="F594" s="8" t="s">
        <v>206</v>
      </c>
    </row>
    <row r="595" spans="1:6" x14ac:dyDescent="0.25">
      <c r="A595" s="4">
        <v>30638381000108</v>
      </c>
      <c r="B595" s="8" t="s">
        <v>1059</v>
      </c>
      <c r="C595" s="8" t="s">
        <v>1051</v>
      </c>
      <c r="D595" s="7" t="s">
        <v>61</v>
      </c>
      <c r="E595" s="8" t="s">
        <v>205</v>
      </c>
      <c r="F595" s="8" t="s">
        <v>206</v>
      </c>
    </row>
    <row r="596" spans="1:6" x14ac:dyDescent="0.25">
      <c r="A596" s="4">
        <v>31671480000146</v>
      </c>
      <c r="B596" s="8" t="s">
        <v>1214</v>
      </c>
      <c r="C596" s="8" t="s">
        <v>1215</v>
      </c>
      <c r="D596" s="7" t="s">
        <v>61</v>
      </c>
      <c r="E596" s="8" t="s">
        <v>205</v>
      </c>
      <c r="F596" s="8" t="s">
        <v>206</v>
      </c>
    </row>
    <row r="597" spans="1:6" x14ac:dyDescent="0.25">
      <c r="A597" s="4">
        <v>31671480000308</v>
      </c>
      <c r="B597" s="8" t="s">
        <v>1216</v>
      </c>
      <c r="C597" s="8" t="s">
        <v>1039</v>
      </c>
      <c r="D597" s="7" t="s">
        <v>61</v>
      </c>
      <c r="E597" s="8" t="s">
        <v>205</v>
      </c>
      <c r="F597" s="8" t="s">
        <v>206</v>
      </c>
    </row>
    <row r="598" spans="1:6" x14ac:dyDescent="0.25">
      <c r="A598" s="4">
        <v>31684384000132</v>
      </c>
      <c r="B598" s="8" t="s">
        <v>1408</v>
      </c>
      <c r="C598" s="8" t="s">
        <v>1215</v>
      </c>
      <c r="D598" s="7" t="s">
        <v>61</v>
      </c>
      <c r="E598" s="8" t="s">
        <v>205</v>
      </c>
      <c r="F598" s="8" t="s">
        <v>206</v>
      </c>
    </row>
    <row r="599" spans="1:6" x14ac:dyDescent="0.25">
      <c r="A599" s="4">
        <v>31824062000141</v>
      </c>
      <c r="B599" s="8" t="s">
        <v>1403</v>
      </c>
      <c r="C599" s="8" t="s">
        <v>94</v>
      </c>
      <c r="D599" s="7" t="s">
        <v>57</v>
      </c>
      <c r="E599" s="8" t="s">
        <v>205</v>
      </c>
      <c r="F599" s="8" t="s">
        <v>206</v>
      </c>
    </row>
    <row r="600" spans="1:6" x14ac:dyDescent="0.25">
      <c r="A600" s="4">
        <v>33092116000157</v>
      </c>
      <c r="B600" s="8" t="s">
        <v>1409</v>
      </c>
      <c r="C600" s="8" t="s">
        <v>78</v>
      </c>
      <c r="D600" s="7" t="s">
        <v>61</v>
      </c>
      <c r="E600" s="8" t="s">
        <v>205</v>
      </c>
      <c r="F600" s="8" t="s">
        <v>206</v>
      </c>
    </row>
    <row r="601" spans="1:6" x14ac:dyDescent="0.25">
      <c r="A601" s="4">
        <v>35830868000446</v>
      </c>
      <c r="B601" s="8" t="s">
        <v>1060</v>
      </c>
      <c r="C601" s="8" t="s">
        <v>1061</v>
      </c>
      <c r="D601" s="7" t="s">
        <v>61</v>
      </c>
      <c r="E601" s="8" t="s">
        <v>205</v>
      </c>
      <c r="F601" s="8" t="s">
        <v>206</v>
      </c>
    </row>
    <row r="602" spans="1:6" x14ac:dyDescent="0.25">
      <c r="A602" s="4">
        <v>35917970000726</v>
      </c>
      <c r="B602" s="8" t="s">
        <v>1062</v>
      </c>
      <c r="C602" s="8" t="s">
        <v>105</v>
      </c>
      <c r="D602" s="7" t="s">
        <v>61</v>
      </c>
      <c r="E602" s="8" t="s">
        <v>205</v>
      </c>
      <c r="F602" s="8" t="s">
        <v>206</v>
      </c>
    </row>
    <row r="603" spans="1:6" x14ac:dyDescent="0.25">
      <c r="A603" s="4">
        <v>36238913000198</v>
      </c>
      <c r="B603" s="8" t="s">
        <v>1063</v>
      </c>
      <c r="C603" s="8" t="s">
        <v>1064</v>
      </c>
      <c r="D603" s="7" t="s">
        <v>61</v>
      </c>
      <c r="E603" s="8" t="s">
        <v>205</v>
      </c>
      <c r="F603" s="8" t="s">
        <v>206</v>
      </c>
    </row>
    <row r="604" spans="1:6" x14ac:dyDescent="0.25">
      <c r="A604" s="4">
        <v>39387477000107</v>
      </c>
      <c r="B604" s="8" t="s">
        <v>1218</v>
      </c>
      <c r="C604" s="8" t="s">
        <v>1157</v>
      </c>
      <c r="D604" s="7" t="s">
        <v>98</v>
      </c>
      <c r="E604" s="8" t="s">
        <v>205</v>
      </c>
      <c r="F604" s="8" t="s">
        <v>206</v>
      </c>
    </row>
    <row r="605" spans="1:6" x14ac:dyDescent="0.25">
      <c r="A605" s="4">
        <v>41781949000234</v>
      </c>
      <c r="B605" s="8" t="s">
        <v>1219</v>
      </c>
      <c r="C605" s="8" t="s">
        <v>1220</v>
      </c>
      <c r="D605" s="7" t="s">
        <v>54</v>
      </c>
      <c r="E605" s="8" t="s">
        <v>205</v>
      </c>
      <c r="F605" s="8" t="s">
        <v>206</v>
      </c>
    </row>
    <row r="606" spans="1:6" x14ac:dyDescent="0.25">
      <c r="A606" s="4">
        <v>42855999000362</v>
      </c>
      <c r="B606" s="8" t="s">
        <v>1222</v>
      </c>
      <c r="C606" s="8" t="s">
        <v>1223</v>
      </c>
      <c r="D606" s="7" t="s">
        <v>54</v>
      </c>
      <c r="E606" s="8" t="s">
        <v>205</v>
      </c>
      <c r="F606" s="8" t="s">
        <v>206</v>
      </c>
    </row>
    <row r="607" spans="1:6" x14ac:dyDescent="0.25">
      <c r="A607" s="4">
        <v>60194990000844</v>
      </c>
      <c r="B607" s="8" t="s">
        <v>1231</v>
      </c>
      <c r="C607" s="8" t="s">
        <v>1415</v>
      </c>
      <c r="D607" s="7" t="s">
        <v>54</v>
      </c>
      <c r="E607" s="8" t="s">
        <v>205</v>
      </c>
      <c r="F607" s="8" t="s">
        <v>206</v>
      </c>
    </row>
    <row r="608" spans="1:6" x14ac:dyDescent="0.25">
      <c r="A608" s="4">
        <v>60884855001207</v>
      </c>
      <c r="B608" s="8" t="s">
        <v>1065</v>
      </c>
      <c r="C608" s="8" t="s">
        <v>1039</v>
      </c>
      <c r="D608" s="7" t="s">
        <v>61</v>
      </c>
      <c r="E608" s="8" t="s">
        <v>205</v>
      </c>
      <c r="F608" s="8" t="s">
        <v>206</v>
      </c>
    </row>
    <row r="609" spans="1:6" x14ac:dyDescent="0.25">
      <c r="A609" s="4">
        <v>60922168005226</v>
      </c>
      <c r="B609" s="8" t="s">
        <v>977</v>
      </c>
      <c r="C609" s="8" t="s">
        <v>93</v>
      </c>
      <c r="D609" s="7" t="s">
        <v>68</v>
      </c>
      <c r="E609" s="8" t="s">
        <v>205</v>
      </c>
      <c r="F609" s="8" t="s">
        <v>206</v>
      </c>
    </row>
    <row r="610" spans="1:6" x14ac:dyDescent="0.25">
      <c r="A610" s="4">
        <v>68709211000212</v>
      </c>
      <c r="B610" s="8" t="s">
        <v>1066</v>
      </c>
      <c r="C610" s="8" t="s">
        <v>92</v>
      </c>
      <c r="D610" s="7" t="s">
        <v>61</v>
      </c>
      <c r="E610" s="8" t="s">
        <v>205</v>
      </c>
      <c r="F610" s="8" t="s">
        <v>206</v>
      </c>
    </row>
    <row r="611" spans="1:6" x14ac:dyDescent="0.25">
      <c r="A611" s="4">
        <v>71064539000314</v>
      </c>
      <c r="B611" s="8" t="s">
        <v>1430</v>
      </c>
      <c r="C611" s="8" t="s">
        <v>119</v>
      </c>
      <c r="D611" s="7" t="s">
        <v>54</v>
      </c>
      <c r="E611" s="8" t="s">
        <v>205</v>
      </c>
      <c r="F611" s="8" t="s">
        <v>206</v>
      </c>
    </row>
    <row r="612" spans="1:6" x14ac:dyDescent="0.25">
      <c r="A612" s="4">
        <v>73863342000109</v>
      </c>
      <c r="B612" s="8" t="s">
        <v>978</v>
      </c>
      <c r="C612" s="8" t="s">
        <v>121</v>
      </c>
      <c r="D612" s="7" t="s">
        <v>57</v>
      </c>
      <c r="E612" s="8" t="s">
        <v>205</v>
      </c>
      <c r="F612" s="8" t="s">
        <v>206</v>
      </c>
    </row>
    <row r="613" spans="1:6" x14ac:dyDescent="0.25">
      <c r="A613" s="4">
        <v>75055772002254</v>
      </c>
      <c r="B613" s="8" t="s">
        <v>979</v>
      </c>
      <c r="C613" s="8" t="s">
        <v>94</v>
      </c>
      <c r="D613" s="7" t="s">
        <v>57</v>
      </c>
      <c r="E613" s="8" t="s">
        <v>205</v>
      </c>
      <c r="F613" s="8" t="s">
        <v>206</v>
      </c>
    </row>
    <row r="614" spans="1:6" x14ac:dyDescent="0.25">
      <c r="A614" s="4">
        <v>75095679000220</v>
      </c>
      <c r="B614" s="8" t="s">
        <v>980</v>
      </c>
      <c r="C614" s="8" t="s">
        <v>94</v>
      </c>
      <c r="D614" s="7" t="s">
        <v>57</v>
      </c>
      <c r="E614" s="8" t="s">
        <v>205</v>
      </c>
      <c r="F614" s="8" t="s">
        <v>206</v>
      </c>
    </row>
    <row r="615" spans="1:6" x14ac:dyDescent="0.25">
      <c r="A615" s="4">
        <v>75222224001895</v>
      </c>
      <c r="B615" s="8" t="s">
        <v>981</v>
      </c>
      <c r="C615" s="8" t="s">
        <v>121</v>
      </c>
      <c r="D615" s="7" t="s">
        <v>57</v>
      </c>
      <c r="E615" s="8" t="s">
        <v>205</v>
      </c>
      <c r="F615" s="8" t="s">
        <v>206</v>
      </c>
    </row>
    <row r="616" spans="1:6" x14ac:dyDescent="0.25">
      <c r="A616" s="4">
        <v>76081892000164</v>
      </c>
      <c r="B616" s="8" t="s">
        <v>1347</v>
      </c>
      <c r="C616" s="8" t="s">
        <v>112</v>
      </c>
      <c r="D616" s="7" t="s">
        <v>57</v>
      </c>
      <c r="E616" s="8" t="s">
        <v>205</v>
      </c>
      <c r="F616" s="8" t="s">
        <v>206</v>
      </c>
    </row>
    <row r="617" spans="1:6" x14ac:dyDescent="0.25">
      <c r="A617" s="4">
        <v>76498013000102</v>
      </c>
      <c r="B617" s="8" t="s">
        <v>982</v>
      </c>
      <c r="C617" s="8" t="s">
        <v>94</v>
      </c>
      <c r="D617" s="7" t="s">
        <v>57</v>
      </c>
      <c r="E617" s="8" t="s">
        <v>205</v>
      </c>
      <c r="F617" s="8" t="s">
        <v>206</v>
      </c>
    </row>
    <row r="618" spans="1:6" x14ac:dyDescent="0.25">
      <c r="A618" s="4">
        <v>76555069000143</v>
      </c>
      <c r="B618" s="8" t="s">
        <v>983</v>
      </c>
      <c r="C618" s="8" t="s">
        <v>94</v>
      </c>
      <c r="D618" s="7" t="s">
        <v>57</v>
      </c>
      <c r="E618" s="8" t="s">
        <v>205</v>
      </c>
      <c r="F618" s="8" t="s">
        <v>206</v>
      </c>
    </row>
    <row r="619" spans="1:6" x14ac:dyDescent="0.25">
      <c r="A619" s="4">
        <v>76562198000169</v>
      </c>
      <c r="B619" s="8" t="s">
        <v>984</v>
      </c>
      <c r="C619" s="8" t="s">
        <v>94</v>
      </c>
      <c r="D619" s="7" t="s">
        <v>57</v>
      </c>
      <c r="E619" s="8" t="s">
        <v>205</v>
      </c>
      <c r="F619" s="8" t="s">
        <v>206</v>
      </c>
    </row>
    <row r="620" spans="1:6" x14ac:dyDescent="0.25">
      <c r="A620" s="4">
        <v>76591569000130</v>
      </c>
      <c r="B620" s="8" t="s">
        <v>985</v>
      </c>
      <c r="C620" s="8" t="s">
        <v>94</v>
      </c>
      <c r="D620" s="7" t="s">
        <v>57</v>
      </c>
      <c r="E620" s="8" t="s">
        <v>205</v>
      </c>
      <c r="F620" s="8" t="s">
        <v>206</v>
      </c>
    </row>
    <row r="621" spans="1:6" x14ac:dyDescent="0.25">
      <c r="A621" s="4">
        <v>76659820002367</v>
      </c>
      <c r="B621" s="8" t="s">
        <v>986</v>
      </c>
      <c r="C621" s="8" t="s">
        <v>94</v>
      </c>
      <c r="D621" s="7" t="s">
        <v>57</v>
      </c>
      <c r="E621" s="8" t="s">
        <v>205</v>
      </c>
      <c r="F621" s="8" t="s">
        <v>206</v>
      </c>
    </row>
    <row r="622" spans="1:6" x14ac:dyDescent="0.25">
      <c r="A622" s="4">
        <v>77265361000194</v>
      </c>
      <c r="B622" s="8" t="s">
        <v>987</v>
      </c>
      <c r="C622" s="8" t="s">
        <v>988</v>
      </c>
      <c r="D622" s="7" t="s">
        <v>57</v>
      </c>
      <c r="E622" s="8" t="s">
        <v>205</v>
      </c>
      <c r="F622" s="8" t="s">
        <v>206</v>
      </c>
    </row>
    <row r="623" spans="1:6" x14ac:dyDescent="0.25">
      <c r="A623" s="4">
        <v>77781706000243</v>
      </c>
      <c r="B623" s="8" t="s">
        <v>989</v>
      </c>
      <c r="C623" s="8" t="s">
        <v>990</v>
      </c>
      <c r="D623" s="7" t="s">
        <v>57</v>
      </c>
      <c r="E623" s="8" t="s">
        <v>205</v>
      </c>
      <c r="F623" s="8" t="s">
        <v>206</v>
      </c>
    </row>
    <row r="624" spans="1:6" x14ac:dyDescent="0.25">
      <c r="A624" s="4">
        <v>77858611001414</v>
      </c>
      <c r="B624" s="8" t="s">
        <v>991</v>
      </c>
      <c r="C624" s="8" t="s">
        <v>969</v>
      </c>
      <c r="D624" s="7" t="s">
        <v>68</v>
      </c>
      <c r="E624" s="8" t="s">
        <v>205</v>
      </c>
      <c r="F624" s="8" t="s">
        <v>206</v>
      </c>
    </row>
    <row r="625" spans="1:6" x14ac:dyDescent="0.25">
      <c r="A625" s="4">
        <v>78044815000240</v>
      </c>
      <c r="B625" s="8" t="s">
        <v>992</v>
      </c>
      <c r="C625" s="8" t="s">
        <v>993</v>
      </c>
      <c r="D625" s="7" t="s">
        <v>57</v>
      </c>
      <c r="E625" s="8" t="s">
        <v>205</v>
      </c>
      <c r="F625" s="8" t="s">
        <v>206</v>
      </c>
    </row>
    <row r="626" spans="1:6" x14ac:dyDescent="0.25">
      <c r="A626" s="4">
        <v>78614971000119</v>
      </c>
      <c r="B626" s="8" t="s">
        <v>994</v>
      </c>
      <c r="C626" s="8" t="s">
        <v>121</v>
      </c>
      <c r="D626" s="7" t="s">
        <v>57</v>
      </c>
      <c r="E626" s="8" t="s">
        <v>205</v>
      </c>
      <c r="F626" s="8" t="s">
        <v>206</v>
      </c>
    </row>
    <row r="627" spans="1:6" x14ac:dyDescent="0.25">
      <c r="A627" s="4">
        <v>78633088000176</v>
      </c>
      <c r="B627" s="8" t="s">
        <v>995</v>
      </c>
      <c r="C627" s="8" t="s">
        <v>121</v>
      </c>
      <c r="D627" s="7" t="s">
        <v>57</v>
      </c>
      <c r="E627" s="8" t="s">
        <v>205</v>
      </c>
      <c r="F627" s="8" t="s">
        <v>206</v>
      </c>
    </row>
    <row r="628" spans="1:6" x14ac:dyDescent="0.25">
      <c r="A628" s="4">
        <v>79115762000193</v>
      </c>
      <c r="B628" s="8" t="s">
        <v>996</v>
      </c>
      <c r="C628" s="8" t="s">
        <v>988</v>
      </c>
      <c r="D628" s="7" t="s">
        <v>57</v>
      </c>
      <c r="E628" s="8" t="s">
        <v>205</v>
      </c>
      <c r="F628" s="8" t="s">
        <v>206</v>
      </c>
    </row>
    <row r="629" spans="1:6" x14ac:dyDescent="0.25">
      <c r="A629" s="4">
        <v>80490618000116</v>
      </c>
      <c r="B629" s="8" t="s">
        <v>997</v>
      </c>
      <c r="C629" s="8" t="s">
        <v>998</v>
      </c>
      <c r="D629" s="7" t="s">
        <v>68</v>
      </c>
      <c r="E629" s="8" t="s">
        <v>205</v>
      </c>
      <c r="F629" s="8" t="s">
        <v>206</v>
      </c>
    </row>
    <row r="630" spans="1:6" x14ac:dyDescent="0.25">
      <c r="A630" s="4">
        <v>80673411000187</v>
      </c>
      <c r="B630" s="8" t="s">
        <v>999</v>
      </c>
      <c r="C630" s="8" t="s">
        <v>930</v>
      </c>
      <c r="D630" s="7" t="s">
        <v>68</v>
      </c>
      <c r="E630" s="8" t="s">
        <v>205</v>
      </c>
      <c r="F630" s="8" t="s">
        <v>206</v>
      </c>
    </row>
    <row r="631" spans="1:6" x14ac:dyDescent="0.25">
      <c r="A631" s="4">
        <v>81170003000256</v>
      </c>
      <c r="B631" s="8" t="s">
        <v>1000</v>
      </c>
      <c r="C631" s="8" t="s">
        <v>112</v>
      </c>
      <c r="D631" s="7" t="s">
        <v>57</v>
      </c>
      <c r="E631" s="8" t="s">
        <v>205</v>
      </c>
      <c r="F631" s="8" t="s">
        <v>206</v>
      </c>
    </row>
    <row r="632" spans="1:6" x14ac:dyDescent="0.25">
      <c r="A632" s="4">
        <v>81270548000153</v>
      </c>
      <c r="B632" s="8" t="s">
        <v>1002</v>
      </c>
      <c r="C632" s="8" t="s">
        <v>112</v>
      </c>
      <c r="D632" s="7" t="s">
        <v>57</v>
      </c>
      <c r="E632" s="8" t="s">
        <v>205</v>
      </c>
      <c r="F632" s="8" t="s">
        <v>206</v>
      </c>
    </row>
    <row r="633" spans="1:6" x14ac:dyDescent="0.25">
      <c r="A633" s="4">
        <v>81715716000410</v>
      </c>
      <c r="B633" s="8" t="s">
        <v>1003</v>
      </c>
      <c r="C633" s="8" t="s">
        <v>1004</v>
      </c>
      <c r="D633" s="7" t="s">
        <v>57</v>
      </c>
      <c r="E633" s="8" t="s">
        <v>205</v>
      </c>
      <c r="F633" s="8" t="s">
        <v>206</v>
      </c>
    </row>
    <row r="634" spans="1:6" x14ac:dyDescent="0.25">
      <c r="A634" s="4">
        <v>81733115000197</v>
      </c>
      <c r="B634" s="8" t="s">
        <v>1005</v>
      </c>
      <c r="C634" s="8" t="s">
        <v>1006</v>
      </c>
      <c r="D634" s="7" t="s">
        <v>57</v>
      </c>
      <c r="E634" s="8" t="s">
        <v>205</v>
      </c>
      <c r="F634" s="8" t="s">
        <v>206</v>
      </c>
    </row>
    <row r="635" spans="1:6" x14ac:dyDescent="0.25">
      <c r="A635" s="4">
        <v>82602327000360</v>
      </c>
      <c r="B635" s="8" t="s">
        <v>1236</v>
      </c>
      <c r="C635" s="8" t="s">
        <v>125</v>
      </c>
      <c r="D635" s="7" t="s">
        <v>68</v>
      </c>
      <c r="E635" s="8" t="s">
        <v>205</v>
      </c>
      <c r="F635" s="8" t="s">
        <v>206</v>
      </c>
    </row>
    <row r="636" spans="1:6" x14ac:dyDescent="0.25">
      <c r="A636" s="4">
        <v>82624776000651</v>
      </c>
      <c r="B636" s="8" t="s">
        <v>1007</v>
      </c>
      <c r="C636" s="8" t="s">
        <v>93</v>
      </c>
      <c r="D636" s="7" t="s">
        <v>68</v>
      </c>
      <c r="E636" s="8" t="s">
        <v>205</v>
      </c>
      <c r="F636" s="8" t="s">
        <v>206</v>
      </c>
    </row>
    <row r="637" spans="1:6" x14ac:dyDescent="0.25">
      <c r="A637" s="4">
        <v>82654088000120</v>
      </c>
      <c r="B637" s="8" t="s">
        <v>1008</v>
      </c>
      <c r="C637" s="8" t="s">
        <v>93</v>
      </c>
      <c r="D637" s="7" t="s">
        <v>68</v>
      </c>
      <c r="E637" s="8" t="s">
        <v>205</v>
      </c>
      <c r="F637" s="8" t="s">
        <v>206</v>
      </c>
    </row>
    <row r="638" spans="1:6" x14ac:dyDescent="0.25">
      <c r="A638" s="4">
        <v>83884999000106</v>
      </c>
      <c r="B638" s="8" t="s">
        <v>1009</v>
      </c>
      <c r="C638" s="8" t="s">
        <v>930</v>
      </c>
      <c r="D638" s="7" t="s">
        <v>68</v>
      </c>
      <c r="E638" s="8" t="s">
        <v>205</v>
      </c>
      <c r="F638" s="8" t="s">
        <v>206</v>
      </c>
    </row>
    <row r="639" spans="1:6" x14ac:dyDescent="0.25">
      <c r="A639" s="4">
        <v>83899526000425</v>
      </c>
      <c r="B639" s="8" t="s">
        <v>1010</v>
      </c>
      <c r="C639" s="8" t="s">
        <v>930</v>
      </c>
      <c r="D639" s="7" t="s">
        <v>68</v>
      </c>
      <c r="E639" s="8" t="s">
        <v>205</v>
      </c>
      <c r="F639" s="8" t="s">
        <v>206</v>
      </c>
    </row>
    <row r="640" spans="1:6" x14ac:dyDescent="0.25">
      <c r="A640" s="4">
        <v>85241339000809</v>
      </c>
      <c r="B640" s="8" t="s">
        <v>1011</v>
      </c>
      <c r="C640" s="8" t="s">
        <v>998</v>
      </c>
      <c r="D640" s="7" t="s">
        <v>68</v>
      </c>
      <c r="E640" s="8" t="s">
        <v>205</v>
      </c>
      <c r="F640" s="8" t="s">
        <v>206</v>
      </c>
    </row>
    <row r="641" spans="1:6" x14ac:dyDescent="0.25">
      <c r="A641" s="4">
        <v>85377174000392</v>
      </c>
      <c r="B641" s="8" t="s">
        <v>1012</v>
      </c>
      <c r="C641" s="8" t="s">
        <v>938</v>
      </c>
      <c r="D641" s="7" t="s">
        <v>68</v>
      </c>
      <c r="E641" s="8" t="s">
        <v>205</v>
      </c>
      <c r="F641" s="8" t="s">
        <v>206</v>
      </c>
    </row>
    <row r="642" spans="1:6" x14ac:dyDescent="0.25">
      <c r="A642" s="4">
        <v>87020517000120</v>
      </c>
      <c r="B642" s="8" t="s">
        <v>1013</v>
      </c>
      <c r="C642" s="8" t="s">
        <v>83</v>
      </c>
      <c r="D642" s="7" t="s">
        <v>67</v>
      </c>
      <c r="E642" s="8" t="s">
        <v>205</v>
      </c>
      <c r="F642" s="8" t="s">
        <v>206</v>
      </c>
    </row>
    <row r="643" spans="1:6" x14ac:dyDescent="0.25">
      <c r="A643" s="4">
        <v>87096616003101</v>
      </c>
      <c r="B643" s="8" t="s">
        <v>1014</v>
      </c>
      <c r="C643" s="8" t="s">
        <v>83</v>
      </c>
      <c r="D643" s="7" t="s">
        <v>67</v>
      </c>
      <c r="E643" s="8" t="s">
        <v>205</v>
      </c>
      <c r="F643" s="8" t="s">
        <v>206</v>
      </c>
    </row>
    <row r="644" spans="1:6" x14ac:dyDescent="0.25">
      <c r="A644" s="4">
        <v>87317764001084</v>
      </c>
      <c r="B644" s="8" t="s">
        <v>1015</v>
      </c>
      <c r="C644" s="8" t="s">
        <v>83</v>
      </c>
      <c r="D644" s="7" t="s">
        <v>67</v>
      </c>
      <c r="E644" s="8" t="s">
        <v>205</v>
      </c>
      <c r="F644" s="8" t="s">
        <v>206</v>
      </c>
    </row>
    <row r="645" spans="1:6" x14ac:dyDescent="0.25">
      <c r="A645" s="4">
        <v>87317764001165</v>
      </c>
      <c r="B645" s="8" t="s">
        <v>1016</v>
      </c>
      <c r="C645" s="8" t="s">
        <v>541</v>
      </c>
      <c r="D645" s="7" t="s">
        <v>67</v>
      </c>
      <c r="E645" s="8" t="s">
        <v>205</v>
      </c>
      <c r="F645" s="8" t="s">
        <v>206</v>
      </c>
    </row>
    <row r="646" spans="1:6" x14ac:dyDescent="0.25">
      <c r="A646" s="4">
        <v>87547444000120</v>
      </c>
      <c r="B646" s="8" t="s">
        <v>1017</v>
      </c>
      <c r="C646" s="8" t="s">
        <v>1018</v>
      </c>
      <c r="D646" s="7" t="s">
        <v>67</v>
      </c>
      <c r="E646" s="8" t="s">
        <v>205</v>
      </c>
      <c r="F646" s="8" t="s">
        <v>206</v>
      </c>
    </row>
    <row r="647" spans="1:6" x14ac:dyDescent="0.25">
      <c r="A647" s="4">
        <v>87607149000626</v>
      </c>
      <c r="B647" s="8" t="s">
        <v>1019</v>
      </c>
      <c r="C647" s="8" t="s">
        <v>96</v>
      </c>
      <c r="D647" s="7" t="s">
        <v>67</v>
      </c>
      <c r="E647" s="8" t="s">
        <v>205</v>
      </c>
      <c r="F647" s="8" t="s">
        <v>206</v>
      </c>
    </row>
    <row r="648" spans="1:6" x14ac:dyDescent="0.25">
      <c r="A648" s="4">
        <v>87638334000505</v>
      </c>
      <c r="B648" s="8" t="s">
        <v>1020</v>
      </c>
      <c r="C648" s="8" t="s">
        <v>129</v>
      </c>
      <c r="D648" s="7" t="s">
        <v>67</v>
      </c>
      <c r="E648" s="8" t="s">
        <v>205</v>
      </c>
      <c r="F648" s="8" t="s">
        <v>206</v>
      </c>
    </row>
    <row r="649" spans="1:6" x14ac:dyDescent="0.25">
      <c r="A649" s="4">
        <v>87827689002405</v>
      </c>
      <c r="B649" s="8" t="s">
        <v>1021</v>
      </c>
      <c r="C649" s="8" t="s">
        <v>66</v>
      </c>
      <c r="D649" s="7" t="s">
        <v>67</v>
      </c>
      <c r="E649" s="8" t="s">
        <v>205</v>
      </c>
      <c r="F649" s="8" t="s">
        <v>206</v>
      </c>
    </row>
    <row r="650" spans="1:6" x14ac:dyDescent="0.25">
      <c r="A650" s="4">
        <v>87958625000149</v>
      </c>
      <c r="B650" s="8" t="s">
        <v>1022</v>
      </c>
      <c r="C650" s="8" t="s">
        <v>83</v>
      </c>
      <c r="D650" s="7" t="s">
        <v>67</v>
      </c>
      <c r="E650" s="8" t="s">
        <v>205</v>
      </c>
      <c r="F650" s="8" t="s">
        <v>206</v>
      </c>
    </row>
    <row r="651" spans="1:6" x14ac:dyDescent="0.25">
      <c r="A651" s="4">
        <v>88625686002443</v>
      </c>
      <c r="B651" s="8" t="s">
        <v>1023</v>
      </c>
      <c r="C651" s="8" t="s">
        <v>83</v>
      </c>
      <c r="D651" s="7" t="s">
        <v>67</v>
      </c>
      <c r="E651" s="8" t="s">
        <v>205</v>
      </c>
      <c r="F651" s="8" t="s">
        <v>206</v>
      </c>
    </row>
    <row r="652" spans="1:6" x14ac:dyDescent="0.25">
      <c r="A652" s="4">
        <v>88630413000796</v>
      </c>
      <c r="B652" s="8" t="s">
        <v>1024</v>
      </c>
      <c r="C652" s="8" t="s">
        <v>83</v>
      </c>
      <c r="D652" s="7" t="s">
        <v>67</v>
      </c>
      <c r="E652" s="8" t="s">
        <v>205</v>
      </c>
      <c r="F652" s="8" t="s">
        <v>206</v>
      </c>
    </row>
    <row r="653" spans="1:6" x14ac:dyDescent="0.25">
      <c r="A653" s="4">
        <v>88645403001372</v>
      </c>
      <c r="B653" s="8" t="s">
        <v>1025</v>
      </c>
      <c r="C653" s="8" t="s">
        <v>66</v>
      </c>
      <c r="D653" s="7" t="s">
        <v>67</v>
      </c>
      <c r="E653" s="8" t="s">
        <v>205</v>
      </c>
      <c r="F653" s="8" t="s">
        <v>206</v>
      </c>
    </row>
    <row r="654" spans="1:6" x14ac:dyDescent="0.25">
      <c r="A654" s="4">
        <v>88830609000139</v>
      </c>
      <c r="B654" s="8" t="s">
        <v>1026</v>
      </c>
      <c r="C654" s="8" t="s">
        <v>66</v>
      </c>
      <c r="D654" s="7" t="s">
        <v>67</v>
      </c>
      <c r="E654" s="8" t="s">
        <v>205</v>
      </c>
      <c r="F654" s="8" t="s">
        <v>206</v>
      </c>
    </row>
    <row r="655" spans="1:6" x14ac:dyDescent="0.25">
      <c r="A655" s="4">
        <v>92021062000360</v>
      </c>
      <c r="B655" s="8" t="s">
        <v>1027</v>
      </c>
      <c r="C655" s="8" t="s">
        <v>96</v>
      </c>
      <c r="D655" s="7" t="s">
        <v>67</v>
      </c>
      <c r="E655" s="8" t="s">
        <v>205</v>
      </c>
      <c r="F655" s="8" t="s">
        <v>206</v>
      </c>
    </row>
    <row r="656" spans="1:6" x14ac:dyDescent="0.25">
      <c r="A656" s="4">
        <v>92404789000164</v>
      </c>
      <c r="B656" s="8" t="s">
        <v>1028</v>
      </c>
      <c r="C656" s="8" t="s">
        <v>106</v>
      </c>
      <c r="D656" s="7" t="s">
        <v>67</v>
      </c>
      <c r="E656" s="8" t="s">
        <v>205</v>
      </c>
      <c r="F656" s="8" t="s">
        <v>206</v>
      </c>
    </row>
    <row r="657" spans="1:6" x14ac:dyDescent="0.25">
      <c r="A657" s="4">
        <v>92685833000151</v>
      </c>
      <c r="B657" s="8" t="s">
        <v>1029</v>
      </c>
      <c r="C657" s="8" t="s">
        <v>83</v>
      </c>
      <c r="D657" s="7" t="s">
        <v>67</v>
      </c>
      <c r="E657" s="8" t="s">
        <v>205</v>
      </c>
      <c r="F657" s="8" t="s">
        <v>206</v>
      </c>
    </row>
    <row r="658" spans="1:6" x14ac:dyDescent="0.25">
      <c r="A658" s="4">
        <v>92741016000254</v>
      </c>
      <c r="B658" s="8" t="s">
        <v>1030</v>
      </c>
      <c r="C658" s="8" t="s">
        <v>83</v>
      </c>
      <c r="D658" s="7" t="s">
        <v>67</v>
      </c>
      <c r="E658" s="8" t="s">
        <v>205</v>
      </c>
      <c r="F658" s="8" t="s">
        <v>206</v>
      </c>
    </row>
    <row r="659" spans="1:6" x14ac:dyDescent="0.25">
      <c r="A659" s="4">
        <v>92787118000120</v>
      </c>
      <c r="B659" s="8" t="s">
        <v>1031</v>
      </c>
      <c r="C659" s="8" t="s">
        <v>83</v>
      </c>
      <c r="D659" s="7" t="s">
        <v>67</v>
      </c>
      <c r="E659" s="8" t="s">
        <v>205</v>
      </c>
      <c r="F659" s="8" t="s">
        <v>206</v>
      </c>
    </row>
    <row r="660" spans="1:6" x14ac:dyDescent="0.25">
      <c r="A660" s="4">
        <v>92787118000391</v>
      </c>
      <c r="B660" s="8" t="s">
        <v>1032</v>
      </c>
      <c r="C660" s="8" t="s">
        <v>83</v>
      </c>
      <c r="D660" s="7" t="s">
        <v>67</v>
      </c>
      <c r="E660" s="8" t="s">
        <v>205</v>
      </c>
      <c r="F660" s="8" t="s">
        <v>206</v>
      </c>
    </row>
    <row r="661" spans="1:6" x14ac:dyDescent="0.25">
      <c r="A661" s="4">
        <v>92815000000168</v>
      </c>
      <c r="B661" s="8" t="s">
        <v>1033</v>
      </c>
      <c r="C661" s="8" t="s">
        <v>83</v>
      </c>
      <c r="D661" s="7" t="s">
        <v>67</v>
      </c>
      <c r="E661" s="8" t="s">
        <v>205</v>
      </c>
      <c r="F661" s="8" t="s">
        <v>206</v>
      </c>
    </row>
    <row r="662" spans="1:6" x14ac:dyDescent="0.25">
      <c r="A662" s="4">
        <v>92898550000198</v>
      </c>
      <c r="B662" s="8" t="s">
        <v>1034</v>
      </c>
      <c r="C662" s="8" t="s">
        <v>83</v>
      </c>
      <c r="D662" s="7" t="s">
        <v>67</v>
      </c>
      <c r="E662" s="8" t="s">
        <v>205</v>
      </c>
      <c r="F662" s="8" t="s">
        <v>206</v>
      </c>
    </row>
    <row r="663" spans="1:6" x14ac:dyDescent="0.25">
      <c r="A663" s="4">
        <v>92963560000160</v>
      </c>
      <c r="B663" s="8" t="s">
        <v>1035</v>
      </c>
      <c r="C663" s="8" t="s">
        <v>83</v>
      </c>
      <c r="D663" s="7" t="s">
        <v>67</v>
      </c>
      <c r="E663" s="8" t="s">
        <v>205</v>
      </c>
      <c r="F663" s="8" t="s">
        <v>206</v>
      </c>
    </row>
    <row r="664" spans="1:6" x14ac:dyDescent="0.25">
      <c r="A664" s="4">
        <v>94831294000147</v>
      </c>
      <c r="B664" s="8" t="s">
        <v>1036</v>
      </c>
      <c r="C664" s="8" t="s">
        <v>83</v>
      </c>
      <c r="D664" s="7" t="s">
        <v>67</v>
      </c>
      <c r="E664" s="8" t="s">
        <v>205</v>
      </c>
      <c r="F664" s="8" t="s">
        <v>206</v>
      </c>
    </row>
    <row r="665" spans="1:6" x14ac:dyDescent="0.25">
      <c r="A665" s="4">
        <v>95610887000146</v>
      </c>
      <c r="B665" s="8" t="s">
        <v>1037</v>
      </c>
      <c r="C665" s="8" t="s">
        <v>87</v>
      </c>
      <c r="D665" s="7" t="s">
        <v>67</v>
      </c>
      <c r="E665" s="8" t="s">
        <v>205</v>
      </c>
      <c r="F665" s="8" t="s">
        <v>206</v>
      </c>
    </row>
    <row r="666" spans="1:6" x14ac:dyDescent="0.25">
      <c r="A666" s="4">
        <v>320465020</v>
      </c>
      <c r="B666" s="8" t="s">
        <v>1067</v>
      </c>
      <c r="C666" s="8" t="s">
        <v>131</v>
      </c>
      <c r="D666" s="7" t="s">
        <v>61</v>
      </c>
      <c r="E666" s="8" t="s">
        <v>205</v>
      </c>
      <c r="F666" s="8" t="s">
        <v>206</v>
      </c>
    </row>
    <row r="667" spans="1:6" x14ac:dyDescent="0.25">
      <c r="A667" s="4">
        <v>5371944796</v>
      </c>
      <c r="B667" s="8" t="s">
        <v>1068</v>
      </c>
      <c r="C667" s="8" t="s">
        <v>131</v>
      </c>
      <c r="D667" s="7" t="s">
        <v>61</v>
      </c>
      <c r="E667" s="8" t="s">
        <v>205</v>
      </c>
      <c r="F667" s="8" t="s">
        <v>206</v>
      </c>
    </row>
    <row r="668" spans="1:6" x14ac:dyDescent="0.25">
      <c r="A668" s="4">
        <v>11114987760</v>
      </c>
      <c r="B668" s="8" t="s">
        <v>1069</v>
      </c>
      <c r="C668" s="8" t="s">
        <v>131</v>
      </c>
      <c r="D668" s="7" t="s">
        <v>61</v>
      </c>
      <c r="E668" s="8" t="s">
        <v>205</v>
      </c>
      <c r="F668" s="8" t="s">
        <v>206</v>
      </c>
    </row>
    <row r="669" spans="1:6" x14ac:dyDescent="0.25">
      <c r="A669" s="4">
        <v>92929000198</v>
      </c>
      <c r="B669" s="8" t="s">
        <v>1327</v>
      </c>
      <c r="C669" s="8" t="s">
        <v>131</v>
      </c>
      <c r="D669" s="7" t="s">
        <v>61</v>
      </c>
      <c r="E669" s="8" t="s">
        <v>205</v>
      </c>
      <c r="F669" s="8" t="s">
        <v>206</v>
      </c>
    </row>
    <row r="670" spans="1:6" x14ac:dyDescent="0.25">
      <c r="A670" s="4">
        <v>394429017429</v>
      </c>
      <c r="B670" s="8" t="s">
        <v>1410</v>
      </c>
      <c r="C670" s="8" t="s">
        <v>131</v>
      </c>
      <c r="D670" s="7" t="s">
        <v>61</v>
      </c>
      <c r="E670" s="8" t="s">
        <v>205</v>
      </c>
      <c r="F670" s="8" t="s">
        <v>206</v>
      </c>
    </row>
    <row r="671" spans="1:6" x14ac:dyDescent="0.25">
      <c r="A671" s="4">
        <v>394502014870</v>
      </c>
      <c r="B671" s="8" t="s">
        <v>1070</v>
      </c>
      <c r="C671" s="8" t="s">
        <v>131</v>
      </c>
      <c r="D671" s="7" t="s">
        <v>61</v>
      </c>
      <c r="E671" s="8" t="s">
        <v>205</v>
      </c>
      <c r="F671" s="8" t="s">
        <v>206</v>
      </c>
    </row>
    <row r="672" spans="1:6" x14ac:dyDescent="0.25">
      <c r="A672" s="4">
        <v>394544017150</v>
      </c>
      <c r="B672" s="8" t="s">
        <v>1071</v>
      </c>
      <c r="C672" s="8" t="s">
        <v>131</v>
      </c>
      <c r="D672" s="7" t="s">
        <v>61</v>
      </c>
      <c r="E672" s="8" t="s">
        <v>205</v>
      </c>
      <c r="F672" s="8" t="s">
        <v>206</v>
      </c>
    </row>
    <row r="673" spans="1:6" x14ac:dyDescent="0.25">
      <c r="A673" s="4">
        <v>394544020291</v>
      </c>
      <c r="B673" s="8" t="s">
        <v>1072</v>
      </c>
      <c r="C673" s="8" t="s">
        <v>131</v>
      </c>
      <c r="D673" s="7" t="s">
        <v>61</v>
      </c>
      <c r="E673" s="8" t="s">
        <v>205</v>
      </c>
      <c r="F673" s="8" t="s">
        <v>206</v>
      </c>
    </row>
    <row r="674" spans="1:6" x14ac:dyDescent="0.25">
      <c r="A674" s="4">
        <v>394544020372</v>
      </c>
      <c r="B674" s="8" t="s">
        <v>1073</v>
      </c>
      <c r="C674" s="8" t="s">
        <v>131</v>
      </c>
      <c r="D674" s="7" t="s">
        <v>61</v>
      </c>
      <c r="E674" s="8" t="s">
        <v>205</v>
      </c>
      <c r="F674" s="8" t="s">
        <v>206</v>
      </c>
    </row>
    <row r="675" spans="1:6" x14ac:dyDescent="0.25">
      <c r="A675" s="4">
        <v>394544020453</v>
      </c>
      <c r="B675" s="8" t="s">
        <v>1074</v>
      </c>
      <c r="C675" s="8" t="s">
        <v>131</v>
      </c>
      <c r="D675" s="7" t="s">
        <v>61</v>
      </c>
      <c r="E675" s="8" t="s">
        <v>205</v>
      </c>
      <c r="F675" s="8" t="s">
        <v>206</v>
      </c>
    </row>
    <row r="676" spans="1:6" x14ac:dyDescent="0.25">
      <c r="A676" s="4">
        <v>394544021000</v>
      </c>
      <c r="B676" s="8" t="s">
        <v>1075</v>
      </c>
      <c r="C676" s="8" t="s">
        <v>131</v>
      </c>
      <c r="D676" s="7" t="s">
        <v>61</v>
      </c>
      <c r="E676" s="8" t="s">
        <v>205</v>
      </c>
      <c r="F676" s="8" t="s">
        <v>206</v>
      </c>
    </row>
    <row r="677" spans="1:6" x14ac:dyDescent="0.25">
      <c r="A677" s="4">
        <v>394544021344</v>
      </c>
      <c r="B677" s="8" t="s">
        <v>1076</v>
      </c>
      <c r="C677" s="8" t="s">
        <v>131</v>
      </c>
      <c r="D677" s="7" t="s">
        <v>61</v>
      </c>
      <c r="E677" s="8" t="s">
        <v>205</v>
      </c>
      <c r="F677" s="8" t="s">
        <v>206</v>
      </c>
    </row>
    <row r="678" spans="1:6" x14ac:dyDescent="0.25">
      <c r="A678" s="4">
        <v>2284062000521</v>
      </c>
      <c r="B678" s="8" t="s">
        <v>1077</v>
      </c>
      <c r="C678" s="8" t="s">
        <v>131</v>
      </c>
      <c r="D678" s="7" t="s">
        <v>61</v>
      </c>
      <c r="E678" s="8" t="s">
        <v>205</v>
      </c>
      <c r="F678" s="8" t="s">
        <v>206</v>
      </c>
    </row>
    <row r="679" spans="1:6" x14ac:dyDescent="0.25">
      <c r="A679" s="4">
        <v>2864097000106</v>
      </c>
      <c r="B679" s="8" t="s">
        <v>1078</v>
      </c>
      <c r="C679" s="8" t="s">
        <v>131</v>
      </c>
      <c r="D679" s="7" t="s">
        <v>61</v>
      </c>
      <c r="E679" s="8" t="s">
        <v>205</v>
      </c>
      <c r="F679" s="8" t="s">
        <v>206</v>
      </c>
    </row>
    <row r="680" spans="1:6" x14ac:dyDescent="0.25">
      <c r="A680" s="4">
        <v>2880648000125</v>
      </c>
      <c r="B680" s="8" t="s">
        <v>1411</v>
      </c>
      <c r="C680" s="8" t="s">
        <v>131</v>
      </c>
      <c r="D680" s="7" t="s">
        <v>61</v>
      </c>
      <c r="E680" s="8" t="s">
        <v>205</v>
      </c>
      <c r="F680" s="8" t="s">
        <v>206</v>
      </c>
    </row>
    <row r="681" spans="1:6" x14ac:dyDescent="0.25">
      <c r="A681" s="4">
        <v>4779685002382</v>
      </c>
      <c r="B681" s="8" t="s">
        <v>1079</v>
      </c>
      <c r="C681" s="8" t="s">
        <v>131</v>
      </c>
      <c r="D681" s="7" t="s">
        <v>61</v>
      </c>
      <c r="E681" s="8" t="s">
        <v>205</v>
      </c>
      <c r="F681" s="8" t="s">
        <v>206</v>
      </c>
    </row>
    <row r="682" spans="1:6" x14ac:dyDescent="0.25">
      <c r="A682" s="4">
        <v>6047087000996</v>
      </c>
      <c r="B682" s="8" t="s">
        <v>1080</v>
      </c>
      <c r="C682" s="8" t="s">
        <v>131</v>
      </c>
      <c r="D682" s="7" t="s">
        <v>61</v>
      </c>
      <c r="E682" s="8" t="s">
        <v>205</v>
      </c>
      <c r="F682" s="8" t="s">
        <v>206</v>
      </c>
    </row>
    <row r="683" spans="1:6" x14ac:dyDescent="0.25">
      <c r="A683" s="4">
        <v>6047087001020</v>
      </c>
      <c r="B683" s="8" t="s">
        <v>1081</v>
      </c>
      <c r="C683" s="8" t="s">
        <v>131</v>
      </c>
      <c r="D683" s="7" t="s">
        <v>61</v>
      </c>
      <c r="E683" s="8" t="s">
        <v>205</v>
      </c>
      <c r="F683" s="8" t="s">
        <v>206</v>
      </c>
    </row>
    <row r="684" spans="1:6" x14ac:dyDescent="0.25">
      <c r="A684" s="4">
        <v>6047087002697</v>
      </c>
      <c r="B684" s="8" t="s">
        <v>1082</v>
      </c>
      <c r="C684" s="8" t="s">
        <v>131</v>
      </c>
      <c r="D684" s="7" t="s">
        <v>61</v>
      </c>
      <c r="E684" s="8" t="s">
        <v>205</v>
      </c>
      <c r="F684" s="8" t="s">
        <v>206</v>
      </c>
    </row>
    <row r="685" spans="1:6" x14ac:dyDescent="0.25">
      <c r="A685" s="4">
        <v>6047087003316</v>
      </c>
      <c r="B685" s="8" t="s">
        <v>1083</v>
      </c>
      <c r="C685" s="8" t="s">
        <v>131</v>
      </c>
      <c r="D685" s="7" t="s">
        <v>61</v>
      </c>
      <c r="E685" s="8" t="s">
        <v>205</v>
      </c>
      <c r="F685" s="8" t="s">
        <v>206</v>
      </c>
    </row>
    <row r="686" spans="1:6" x14ac:dyDescent="0.25">
      <c r="A686" s="4">
        <v>7794623004896</v>
      </c>
      <c r="B686" s="8" t="s">
        <v>1084</v>
      </c>
      <c r="C686" s="8" t="s">
        <v>131</v>
      </c>
      <c r="D686" s="7" t="s">
        <v>61</v>
      </c>
      <c r="E686" s="8" t="s">
        <v>205</v>
      </c>
      <c r="F686" s="8" t="s">
        <v>206</v>
      </c>
    </row>
    <row r="687" spans="1:6" x14ac:dyDescent="0.25">
      <c r="A687" s="4">
        <v>8100676002102</v>
      </c>
      <c r="B687" s="8" t="s">
        <v>1085</v>
      </c>
      <c r="C687" s="8" t="s">
        <v>131</v>
      </c>
      <c r="D687" s="7" t="s">
        <v>61</v>
      </c>
      <c r="E687" s="8" t="s">
        <v>205</v>
      </c>
      <c r="F687" s="8" t="s">
        <v>206</v>
      </c>
    </row>
    <row r="688" spans="1:6" x14ac:dyDescent="0.25">
      <c r="A688" s="4">
        <v>8850962000222</v>
      </c>
      <c r="B688" s="8" t="s">
        <v>1086</v>
      </c>
      <c r="C688" s="8" t="s">
        <v>131</v>
      </c>
      <c r="D688" s="7" t="s">
        <v>61</v>
      </c>
      <c r="E688" s="8" t="s">
        <v>205</v>
      </c>
      <c r="F688" s="8" t="s">
        <v>206</v>
      </c>
    </row>
    <row r="689" spans="1:6" x14ac:dyDescent="0.25">
      <c r="A689" s="4">
        <v>9219138000401</v>
      </c>
      <c r="B689" s="8" t="s">
        <v>1087</v>
      </c>
      <c r="C689" s="8" t="s">
        <v>131</v>
      </c>
      <c r="D689" s="7" t="s">
        <v>61</v>
      </c>
      <c r="E689" s="8" t="s">
        <v>205</v>
      </c>
      <c r="F689" s="8" t="s">
        <v>206</v>
      </c>
    </row>
    <row r="690" spans="1:6" x14ac:dyDescent="0.25">
      <c r="A690" s="4">
        <v>9219138000584</v>
      </c>
      <c r="B690" s="8" t="s">
        <v>1088</v>
      </c>
      <c r="C690" s="8" t="s">
        <v>131</v>
      </c>
      <c r="D690" s="7" t="s">
        <v>61</v>
      </c>
      <c r="E690" s="8" t="s">
        <v>205</v>
      </c>
      <c r="F690" s="8" t="s">
        <v>206</v>
      </c>
    </row>
    <row r="691" spans="1:6" x14ac:dyDescent="0.25">
      <c r="A691" s="4">
        <v>9578217000158</v>
      </c>
      <c r="B691" s="8" t="s">
        <v>1089</v>
      </c>
      <c r="C691" s="8" t="s">
        <v>131</v>
      </c>
      <c r="D691" s="7" t="s">
        <v>61</v>
      </c>
      <c r="E691" s="8" t="s">
        <v>205</v>
      </c>
      <c r="F691" s="8" t="s">
        <v>206</v>
      </c>
    </row>
    <row r="692" spans="1:6" x14ac:dyDescent="0.25">
      <c r="A692" s="4">
        <v>9609235000230</v>
      </c>
      <c r="B692" s="8" t="s">
        <v>1090</v>
      </c>
      <c r="C692" s="8" t="s">
        <v>131</v>
      </c>
      <c r="D692" s="7" t="s">
        <v>61</v>
      </c>
      <c r="E692" s="8" t="s">
        <v>205</v>
      </c>
      <c r="F692" s="8" t="s">
        <v>206</v>
      </c>
    </row>
    <row r="693" spans="1:6" x14ac:dyDescent="0.25">
      <c r="A693" s="4">
        <v>10834118000179</v>
      </c>
      <c r="B693" s="8" t="s">
        <v>1328</v>
      </c>
      <c r="C693" s="8" t="s">
        <v>131</v>
      </c>
      <c r="D693" s="7" t="s">
        <v>61</v>
      </c>
      <c r="E693" s="8" t="s">
        <v>205</v>
      </c>
      <c r="F693" s="8" t="s">
        <v>206</v>
      </c>
    </row>
    <row r="694" spans="1:6" x14ac:dyDescent="0.25">
      <c r="A694" s="4">
        <v>10922058000146</v>
      </c>
      <c r="B694" s="8" t="s">
        <v>1158</v>
      </c>
      <c r="C694" s="8" t="s">
        <v>131</v>
      </c>
      <c r="D694" s="7" t="s">
        <v>61</v>
      </c>
      <c r="E694" s="8" t="s">
        <v>205</v>
      </c>
      <c r="F694" s="8" t="s">
        <v>206</v>
      </c>
    </row>
    <row r="695" spans="1:6" x14ac:dyDescent="0.25">
      <c r="A695" s="4">
        <v>11279865000155</v>
      </c>
      <c r="B695" s="8" t="s">
        <v>1091</v>
      </c>
      <c r="C695" s="8" t="s">
        <v>131</v>
      </c>
      <c r="D695" s="7" t="s">
        <v>61</v>
      </c>
      <c r="E695" s="8" t="s">
        <v>205</v>
      </c>
      <c r="F695" s="8" t="s">
        <v>206</v>
      </c>
    </row>
    <row r="696" spans="1:6" x14ac:dyDescent="0.25">
      <c r="A696" s="4">
        <v>18010750000100</v>
      </c>
      <c r="B696" s="8" t="s">
        <v>1092</v>
      </c>
      <c r="C696" s="8" t="s">
        <v>131</v>
      </c>
      <c r="D696" s="7" t="s">
        <v>61</v>
      </c>
      <c r="E696" s="8" t="s">
        <v>205</v>
      </c>
      <c r="F696" s="8" t="s">
        <v>206</v>
      </c>
    </row>
    <row r="697" spans="1:6" x14ac:dyDescent="0.25">
      <c r="A697" s="4">
        <v>21109731000140</v>
      </c>
      <c r="B697" s="8" t="s">
        <v>1093</v>
      </c>
      <c r="C697" s="8" t="s">
        <v>131</v>
      </c>
      <c r="D697" s="7" t="s">
        <v>61</v>
      </c>
      <c r="E697" s="8" t="s">
        <v>205</v>
      </c>
      <c r="F697" s="8" t="s">
        <v>206</v>
      </c>
    </row>
    <row r="698" spans="1:6" x14ac:dyDescent="0.25">
      <c r="A698" s="4">
        <v>21265360000195</v>
      </c>
      <c r="B698" s="8" t="s">
        <v>1094</v>
      </c>
      <c r="C698" s="8" t="s">
        <v>131</v>
      </c>
      <c r="D698" s="7" t="s">
        <v>61</v>
      </c>
      <c r="E698" s="8" t="s">
        <v>205</v>
      </c>
      <c r="F698" s="8" t="s">
        <v>206</v>
      </c>
    </row>
    <row r="699" spans="1:6" x14ac:dyDescent="0.25">
      <c r="A699" s="4">
        <v>22233557000105</v>
      </c>
      <c r="B699" s="8" t="s">
        <v>1095</v>
      </c>
      <c r="C699" s="8" t="s">
        <v>131</v>
      </c>
      <c r="D699" s="7" t="s">
        <v>61</v>
      </c>
      <c r="E699" s="8" t="s">
        <v>205</v>
      </c>
      <c r="F699" s="8" t="s">
        <v>206</v>
      </c>
    </row>
    <row r="700" spans="1:6" x14ac:dyDescent="0.25">
      <c r="A700" s="4">
        <v>22400856000197</v>
      </c>
      <c r="B700" s="8" t="s">
        <v>1096</v>
      </c>
      <c r="C700" s="8" t="s">
        <v>131</v>
      </c>
      <c r="D700" s="7" t="s">
        <v>61</v>
      </c>
      <c r="E700" s="8" t="s">
        <v>205</v>
      </c>
      <c r="F700" s="8" t="s">
        <v>206</v>
      </c>
    </row>
    <row r="701" spans="1:6" x14ac:dyDescent="0.25">
      <c r="A701" s="4">
        <v>24217779000160</v>
      </c>
      <c r="B701" s="8" t="s">
        <v>1097</v>
      </c>
      <c r="C701" s="8" t="s">
        <v>131</v>
      </c>
      <c r="D701" s="7" t="s">
        <v>61</v>
      </c>
      <c r="E701" s="8" t="s">
        <v>205</v>
      </c>
      <c r="F701" s="8" t="s">
        <v>206</v>
      </c>
    </row>
    <row r="702" spans="1:6" x14ac:dyDescent="0.25">
      <c r="A702" s="4">
        <v>27901222000131</v>
      </c>
      <c r="B702" s="8" t="s">
        <v>1098</v>
      </c>
      <c r="C702" s="8" t="s">
        <v>131</v>
      </c>
      <c r="D702" s="7" t="s">
        <v>61</v>
      </c>
      <c r="E702" s="8" t="s">
        <v>205</v>
      </c>
      <c r="F702" s="8" t="s">
        <v>206</v>
      </c>
    </row>
    <row r="703" spans="1:6" x14ac:dyDescent="0.25">
      <c r="A703" s="4">
        <v>28000107000159</v>
      </c>
      <c r="B703" s="8" t="s">
        <v>1099</v>
      </c>
      <c r="C703" s="8" t="s">
        <v>131</v>
      </c>
      <c r="D703" s="7" t="s">
        <v>61</v>
      </c>
      <c r="E703" s="8" t="s">
        <v>205</v>
      </c>
      <c r="F703" s="8" t="s">
        <v>206</v>
      </c>
    </row>
    <row r="704" spans="1:6" x14ac:dyDescent="0.25">
      <c r="A704" s="4">
        <v>28602407000108</v>
      </c>
      <c r="B704" s="8" t="s">
        <v>1100</v>
      </c>
      <c r="C704" s="8" t="s">
        <v>131</v>
      </c>
      <c r="D704" s="7" t="s">
        <v>61</v>
      </c>
      <c r="E704" s="8" t="s">
        <v>205</v>
      </c>
      <c r="F704" s="8" t="s">
        <v>206</v>
      </c>
    </row>
    <row r="705" spans="1:6" x14ac:dyDescent="0.25">
      <c r="A705" s="4">
        <v>29259736000403</v>
      </c>
      <c r="B705" s="8" t="s">
        <v>1101</v>
      </c>
      <c r="C705" s="8" t="s">
        <v>131</v>
      </c>
      <c r="D705" s="7" t="s">
        <v>61</v>
      </c>
      <c r="E705" s="8" t="s">
        <v>205</v>
      </c>
      <c r="F705" s="8" t="s">
        <v>206</v>
      </c>
    </row>
    <row r="706" spans="1:6" x14ac:dyDescent="0.25">
      <c r="A706" s="4">
        <v>29435005005198</v>
      </c>
      <c r="B706" s="8" t="s">
        <v>1102</v>
      </c>
      <c r="C706" s="8" t="s">
        <v>131</v>
      </c>
      <c r="D706" s="7" t="s">
        <v>61</v>
      </c>
      <c r="E706" s="8" t="s">
        <v>205</v>
      </c>
      <c r="F706" s="8" t="s">
        <v>206</v>
      </c>
    </row>
    <row r="707" spans="1:6" x14ac:dyDescent="0.25">
      <c r="A707" s="4">
        <v>29435005005279</v>
      </c>
      <c r="B707" s="8" t="s">
        <v>1103</v>
      </c>
      <c r="C707" s="8" t="s">
        <v>131</v>
      </c>
      <c r="D707" s="7" t="s">
        <v>61</v>
      </c>
      <c r="E707" s="8" t="s">
        <v>205</v>
      </c>
      <c r="F707" s="8" t="s">
        <v>206</v>
      </c>
    </row>
    <row r="708" spans="1:6" x14ac:dyDescent="0.25">
      <c r="A708" s="4">
        <v>29435005005783</v>
      </c>
      <c r="B708" s="8" t="s">
        <v>1104</v>
      </c>
      <c r="C708" s="8" t="s">
        <v>131</v>
      </c>
      <c r="D708" s="7" t="s">
        <v>61</v>
      </c>
      <c r="E708" s="8" t="s">
        <v>205</v>
      </c>
      <c r="F708" s="8" t="s">
        <v>206</v>
      </c>
    </row>
    <row r="709" spans="1:6" x14ac:dyDescent="0.25">
      <c r="A709" s="4">
        <v>29435005006160</v>
      </c>
      <c r="B709" s="8" t="s">
        <v>1105</v>
      </c>
      <c r="C709" s="8" t="s">
        <v>131</v>
      </c>
      <c r="D709" s="7" t="s">
        <v>61</v>
      </c>
      <c r="E709" s="8" t="s">
        <v>205</v>
      </c>
      <c r="F709" s="8" t="s">
        <v>206</v>
      </c>
    </row>
    <row r="710" spans="1:6" x14ac:dyDescent="0.25">
      <c r="A710" s="4">
        <v>31635857000101</v>
      </c>
      <c r="B710" s="8" t="s">
        <v>1106</v>
      </c>
      <c r="C710" s="8" t="s">
        <v>131</v>
      </c>
      <c r="D710" s="7" t="s">
        <v>61</v>
      </c>
      <c r="E710" s="8" t="s">
        <v>205</v>
      </c>
      <c r="F710" s="8" t="s">
        <v>206</v>
      </c>
    </row>
    <row r="711" spans="1:6" x14ac:dyDescent="0.25">
      <c r="A711" s="4">
        <v>31635857000292</v>
      </c>
      <c r="B711" s="8" t="s">
        <v>1107</v>
      </c>
      <c r="C711" s="8" t="s">
        <v>131</v>
      </c>
      <c r="D711" s="7" t="s">
        <v>61</v>
      </c>
      <c r="E711" s="8" t="s">
        <v>205</v>
      </c>
      <c r="F711" s="8" t="s">
        <v>206</v>
      </c>
    </row>
    <row r="712" spans="1:6" x14ac:dyDescent="0.25">
      <c r="A712" s="4">
        <v>31925548000176</v>
      </c>
      <c r="B712" s="8" t="s">
        <v>1108</v>
      </c>
      <c r="C712" s="8" t="s">
        <v>131</v>
      </c>
      <c r="D712" s="7" t="s">
        <v>61</v>
      </c>
      <c r="E712" s="8" t="s">
        <v>205</v>
      </c>
      <c r="F712" s="8" t="s">
        <v>206</v>
      </c>
    </row>
    <row r="713" spans="1:6" x14ac:dyDescent="0.25">
      <c r="A713" s="4">
        <v>32154700000127</v>
      </c>
      <c r="B713" s="8" t="s">
        <v>1109</v>
      </c>
      <c r="C713" s="8" t="s">
        <v>131</v>
      </c>
      <c r="D713" s="7" t="s">
        <v>61</v>
      </c>
      <c r="E713" s="8" t="s">
        <v>205</v>
      </c>
      <c r="F713" s="8" t="s">
        <v>206</v>
      </c>
    </row>
    <row r="714" spans="1:6" x14ac:dyDescent="0.25">
      <c r="A714" s="4">
        <v>33000167000101</v>
      </c>
      <c r="B714" s="8" t="s">
        <v>1110</v>
      </c>
      <c r="C714" s="8" t="s">
        <v>131</v>
      </c>
      <c r="D714" s="7" t="s">
        <v>61</v>
      </c>
      <c r="E714" s="8" t="s">
        <v>205</v>
      </c>
      <c r="F714" s="8" t="s">
        <v>206</v>
      </c>
    </row>
    <row r="715" spans="1:6" x14ac:dyDescent="0.25">
      <c r="A715" s="4">
        <v>33419482000259</v>
      </c>
      <c r="B715" s="8" t="s">
        <v>1111</v>
      </c>
      <c r="C715" s="8" t="s">
        <v>131</v>
      </c>
      <c r="D715" s="7" t="s">
        <v>61</v>
      </c>
      <c r="E715" s="8" t="s">
        <v>205</v>
      </c>
      <c r="F715" s="8" t="s">
        <v>206</v>
      </c>
    </row>
    <row r="716" spans="1:6" x14ac:dyDescent="0.25">
      <c r="A716" s="4">
        <v>33476482000100</v>
      </c>
      <c r="B716" s="8" t="s">
        <v>1412</v>
      </c>
      <c r="C716" s="8" t="s">
        <v>131</v>
      </c>
      <c r="D716" s="7" t="s">
        <v>61</v>
      </c>
      <c r="E716" s="8" t="s">
        <v>205</v>
      </c>
      <c r="F716" s="8" t="s">
        <v>206</v>
      </c>
    </row>
    <row r="717" spans="1:6" x14ac:dyDescent="0.25">
      <c r="A717" s="4">
        <v>33540014000157</v>
      </c>
      <c r="B717" s="8" t="s">
        <v>1112</v>
      </c>
      <c r="C717" s="8" t="s">
        <v>131</v>
      </c>
      <c r="D717" s="7" t="s">
        <v>61</v>
      </c>
      <c r="E717" s="8" t="s">
        <v>205</v>
      </c>
      <c r="F717" s="8" t="s">
        <v>206</v>
      </c>
    </row>
    <row r="718" spans="1:6" x14ac:dyDescent="0.25">
      <c r="A718" s="4">
        <v>33575127000600</v>
      </c>
      <c r="B718" s="8" t="s">
        <v>1217</v>
      </c>
      <c r="C718" s="8" t="s">
        <v>131</v>
      </c>
      <c r="D718" s="7" t="s">
        <v>61</v>
      </c>
      <c r="E718" s="8" t="s">
        <v>205</v>
      </c>
      <c r="F718" s="8" t="s">
        <v>206</v>
      </c>
    </row>
    <row r="719" spans="1:6" x14ac:dyDescent="0.25">
      <c r="A719" s="4">
        <v>33663683002674</v>
      </c>
      <c r="B719" s="8" t="s">
        <v>1113</v>
      </c>
      <c r="C719" s="8" t="s">
        <v>131</v>
      </c>
      <c r="D719" s="7" t="s">
        <v>61</v>
      </c>
      <c r="E719" s="8" t="s">
        <v>205</v>
      </c>
      <c r="F719" s="8" t="s">
        <v>206</v>
      </c>
    </row>
    <row r="720" spans="1:6" x14ac:dyDescent="0.25">
      <c r="A720" s="4">
        <v>33663683005347</v>
      </c>
      <c r="B720" s="8" t="s">
        <v>1114</v>
      </c>
      <c r="C720" s="8" t="s">
        <v>131</v>
      </c>
      <c r="D720" s="7" t="s">
        <v>61</v>
      </c>
      <c r="E720" s="8" t="s">
        <v>205</v>
      </c>
      <c r="F720" s="8" t="s">
        <v>206</v>
      </c>
    </row>
    <row r="721" spans="1:6" x14ac:dyDescent="0.25">
      <c r="A721" s="4">
        <v>33705849000543</v>
      </c>
      <c r="B721" s="8" t="s">
        <v>1329</v>
      </c>
      <c r="C721" s="8" t="s">
        <v>131</v>
      </c>
      <c r="D721" s="7" t="s">
        <v>61</v>
      </c>
      <c r="E721" s="8" t="s">
        <v>205</v>
      </c>
      <c r="F721" s="8" t="s">
        <v>206</v>
      </c>
    </row>
    <row r="722" spans="1:6" x14ac:dyDescent="0.25">
      <c r="A722" s="4">
        <v>33722224000166</v>
      </c>
      <c r="B722" s="8" t="s">
        <v>1115</v>
      </c>
      <c r="C722" s="8" t="s">
        <v>131</v>
      </c>
      <c r="D722" s="7" t="s">
        <v>61</v>
      </c>
      <c r="E722" s="8" t="s">
        <v>205</v>
      </c>
      <c r="F722" s="8" t="s">
        <v>206</v>
      </c>
    </row>
    <row r="723" spans="1:6" x14ac:dyDescent="0.25">
      <c r="A723" s="4">
        <v>33781055000216</v>
      </c>
      <c r="B723" s="8" t="s">
        <v>1116</v>
      </c>
      <c r="C723" s="8" t="s">
        <v>131</v>
      </c>
      <c r="D723" s="7" t="s">
        <v>61</v>
      </c>
      <c r="E723" s="8" t="s">
        <v>205</v>
      </c>
      <c r="F723" s="8" t="s">
        <v>206</v>
      </c>
    </row>
    <row r="724" spans="1:6" x14ac:dyDescent="0.25">
      <c r="A724" s="4">
        <v>33804212000180</v>
      </c>
      <c r="B724" s="8" t="s">
        <v>1413</v>
      </c>
      <c r="C724" s="8" t="s">
        <v>131</v>
      </c>
      <c r="D724" s="7" t="s">
        <v>61</v>
      </c>
      <c r="E724" s="8" t="s">
        <v>205</v>
      </c>
      <c r="F724" s="8" t="s">
        <v>206</v>
      </c>
    </row>
    <row r="725" spans="1:6" x14ac:dyDescent="0.25">
      <c r="A725" s="4">
        <v>33927377000140</v>
      </c>
      <c r="B725" s="8" t="s">
        <v>1117</v>
      </c>
      <c r="C725" s="8" t="s">
        <v>131</v>
      </c>
      <c r="D725" s="7" t="s">
        <v>61</v>
      </c>
      <c r="E725" s="8" t="s">
        <v>205</v>
      </c>
      <c r="F725" s="8" t="s">
        <v>206</v>
      </c>
    </row>
    <row r="726" spans="1:6" x14ac:dyDescent="0.25">
      <c r="A726" s="4">
        <v>34058123000103</v>
      </c>
      <c r="B726" s="8" t="s">
        <v>1118</v>
      </c>
      <c r="C726" s="8" t="s">
        <v>131</v>
      </c>
      <c r="D726" s="7" t="s">
        <v>61</v>
      </c>
      <c r="E726" s="8" t="s">
        <v>205</v>
      </c>
      <c r="F726" s="8" t="s">
        <v>206</v>
      </c>
    </row>
    <row r="727" spans="1:6" x14ac:dyDescent="0.25">
      <c r="A727" s="4">
        <v>39086160000130</v>
      </c>
      <c r="B727" s="8" t="s">
        <v>1119</v>
      </c>
      <c r="C727" s="8" t="s">
        <v>131</v>
      </c>
      <c r="D727" s="7" t="s">
        <v>61</v>
      </c>
      <c r="E727" s="8" t="s">
        <v>205</v>
      </c>
      <c r="F727" s="8" t="s">
        <v>206</v>
      </c>
    </row>
    <row r="728" spans="1:6" x14ac:dyDescent="0.25">
      <c r="A728" s="4">
        <v>40226946000276</v>
      </c>
      <c r="B728" s="8" t="s">
        <v>1120</v>
      </c>
      <c r="C728" s="8" t="s">
        <v>131</v>
      </c>
      <c r="D728" s="7" t="s">
        <v>61</v>
      </c>
      <c r="E728" s="8" t="s">
        <v>205</v>
      </c>
      <c r="F728" s="8" t="s">
        <v>206</v>
      </c>
    </row>
    <row r="729" spans="1:6" x14ac:dyDescent="0.25">
      <c r="A729" s="4">
        <v>40320103000153</v>
      </c>
      <c r="B729" s="8" t="s">
        <v>1121</v>
      </c>
      <c r="C729" s="8" t="s">
        <v>131</v>
      </c>
      <c r="D729" s="7" t="s">
        <v>61</v>
      </c>
      <c r="E729" s="8" t="s">
        <v>205</v>
      </c>
      <c r="F729" s="8" t="s">
        <v>206</v>
      </c>
    </row>
    <row r="730" spans="1:6" x14ac:dyDescent="0.25">
      <c r="A730" s="4">
        <v>42297507000107</v>
      </c>
      <c r="B730" s="8" t="s">
        <v>1122</v>
      </c>
      <c r="C730" s="8" t="s">
        <v>131</v>
      </c>
      <c r="D730" s="7" t="s">
        <v>61</v>
      </c>
      <c r="E730" s="8" t="s">
        <v>205</v>
      </c>
      <c r="F730" s="8" t="s">
        <v>206</v>
      </c>
    </row>
    <row r="731" spans="1:6" x14ac:dyDescent="0.25">
      <c r="A731" s="4">
        <v>42498733000148</v>
      </c>
      <c r="B731" s="8" t="s">
        <v>1221</v>
      </c>
      <c r="C731" s="8" t="s">
        <v>131</v>
      </c>
      <c r="D731" s="7" t="s">
        <v>61</v>
      </c>
      <c r="E731" s="8" t="s">
        <v>205</v>
      </c>
      <c r="F731" s="8" t="s">
        <v>206</v>
      </c>
    </row>
    <row r="732" spans="1:6" x14ac:dyDescent="0.25">
      <c r="A732" s="4">
        <v>53221255004995</v>
      </c>
      <c r="B732" s="8" t="s">
        <v>1123</v>
      </c>
      <c r="C732" s="8" t="s">
        <v>131</v>
      </c>
      <c r="D732" s="7" t="s">
        <v>61</v>
      </c>
      <c r="E732" s="8" t="s">
        <v>205</v>
      </c>
      <c r="F732" s="8" t="s">
        <v>206</v>
      </c>
    </row>
    <row r="733" spans="1:6" x14ac:dyDescent="0.25">
      <c r="A733" s="4">
        <v>60884855001630</v>
      </c>
      <c r="B733" s="8" t="s">
        <v>1124</v>
      </c>
      <c r="C733" s="8" t="s">
        <v>131</v>
      </c>
      <c r="D733" s="7" t="s">
        <v>61</v>
      </c>
      <c r="E733" s="8" t="s">
        <v>205</v>
      </c>
      <c r="F733" s="8" t="s">
        <v>206</v>
      </c>
    </row>
    <row r="734" spans="1:6" x14ac:dyDescent="0.25">
      <c r="A734" s="4">
        <v>60922168000348</v>
      </c>
      <c r="B734" s="8" t="s">
        <v>1125</v>
      </c>
      <c r="C734" s="8" t="s">
        <v>131</v>
      </c>
      <c r="D734" s="7" t="s">
        <v>61</v>
      </c>
      <c r="E734" s="8" t="s">
        <v>205</v>
      </c>
      <c r="F734" s="8" t="s">
        <v>206</v>
      </c>
    </row>
    <row r="735" spans="1:6" x14ac:dyDescent="0.25">
      <c r="A735" s="4">
        <v>72101124000506</v>
      </c>
      <c r="B735" s="8" t="s">
        <v>1126</v>
      </c>
      <c r="C735" s="8" t="s">
        <v>131</v>
      </c>
      <c r="D735" s="7" t="s">
        <v>61</v>
      </c>
      <c r="E735" s="8" t="s">
        <v>205</v>
      </c>
      <c r="F735" s="8" t="s">
        <v>206</v>
      </c>
    </row>
    <row r="736" spans="1:6" x14ac:dyDescent="0.25">
      <c r="A736" s="4">
        <v>73696718000219</v>
      </c>
      <c r="B736" s="8" t="s">
        <v>1127</v>
      </c>
      <c r="C736" s="8" t="s">
        <v>131</v>
      </c>
      <c r="D736" s="7" t="s">
        <v>61</v>
      </c>
      <c r="E736" s="8" t="s">
        <v>205</v>
      </c>
      <c r="F736" s="8" t="s">
        <v>206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FC052-F9F8-4366-83CA-7B67F7842235}">
  <sheetPr>
    <tabColor theme="4" tint="-0.249977111117893"/>
  </sheetPr>
  <dimension ref="B1:J627"/>
  <sheetViews>
    <sheetView showGridLines="0" workbookViewId="0">
      <pane ySplit="8" topLeftCell="A9" activePane="bottomLeft" state="frozen"/>
      <selection pane="bottomLeft" activeCell="B10" sqref="B10"/>
    </sheetView>
  </sheetViews>
  <sheetFormatPr defaultRowHeight="15" x14ac:dyDescent="0.25"/>
  <cols>
    <col min="1" max="1" width="1.85546875" style="87" customWidth="1"/>
    <col min="2" max="2" width="93.140625" style="87" customWidth="1"/>
    <col min="3" max="3" width="19.5703125" style="87" bestFit="1" customWidth="1"/>
    <col min="4" max="4" width="5.7109375" style="87" bestFit="1" customWidth="1"/>
    <col min="5" max="9" width="19" style="87" customWidth="1"/>
    <col min="10" max="10" width="10.7109375" style="87" bestFit="1" customWidth="1"/>
    <col min="11" max="16384" width="9.140625" style="87"/>
  </cols>
  <sheetData>
    <row r="1" spans="2:10" ht="18.75" x14ac:dyDescent="0.25">
      <c r="B1" s="48" t="s">
        <v>1333</v>
      </c>
    </row>
    <row r="2" spans="2:10" x14ac:dyDescent="0.25">
      <c r="B2" s="162" t="s">
        <v>2</v>
      </c>
      <c r="C2" s="87" t="s">
        <v>16</v>
      </c>
    </row>
    <row r="3" spans="2:10" x14ac:dyDescent="0.25">
      <c r="B3" s="162" t="s">
        <v>4</v>
      </c>
      <c r="C3" s="87" t="s">
        <v>24</v>
      </c>
    </row>
    <row r="4" spans="2:10" x14ac:dyDescent="0.25">
      <c r="B4" s="162" t="s">
        <v>3</v>
      </c>
      <c r="C4" s="87" t="s">
        <v>229</v>
      </c>
    </row>
    <row r="5" spans="2:10" x14ac:dyDescent="0.25">
      <c r="B5" s="178" t="s">
        <v>1326</v>
      </c>
      <c r="C5" s="87" t="s">
        <v>477</v>
      </c>
    </row>
    <row r="6" spans="2:10" x14ac:dyDescent="0.25">
      <c r="E6" s="183">
        <f>SUM(E9:E1048576)</f>
        <v>0</v>
      </c>
      <c r="F6" s="183">
        <f t="shared" ref="F6:I6" si="0">SUM(F9:F1048576)</f>
        <v>47</v>
      </c>
      <c r="G6" s="183">
        <f t="shared" si="0"/>
        <v>25</v>
      </c>
      <c r="H6" s="183">
        <f t="shared" si="0"/>
        <v>301</v>
      </c>
      <c r="I6" s="183">
        <f t="shared" si="0"/>
        <v>2070</v>
      </c>
    </row>
    <row r="7" spans="2:10" x14ac:dyDescent="0.25">
      <c r="B7" s="179" t="s">
        <v>1335</v>
      </c>
      <c r="C7" s="179"/>
      <c r="D7" s="179"/>
      <c r="E7" s="180" t="s">
        <v>14</v>
      </c>
      <c r="F7" s="179"/>
      <c r="G7" s="179"/>
      <c r="H7" s="179"/>
      <c r="I7" s="179"/>
      <c r="J7"/>
    </row>
    <row r="8" spans="2:10" x14ac:dyDescent="0.25">
      <c r="B8" s="181" t="s">
        <v>10</v>
      </c>
      <c r="C8" s="181" t="s">
        <v>1336</v>
      </c>
      <c r="D8" s="181" t="s">
        <v>12</v>
      </c>
      <c r="E8" s="182" t="s">
        <v>28</v>
      </c>
      <c r="F8" s="182" t="s">
        <v>25</v>
      </c>
      <c r="G8" s="182" t="s">
        <v>27</v>
      </c>
      <c r="H8" s="182" t="s">
        <v>26</v>
      </c>
      <c r="I8" s="182" t="s">
        <v>20</v>
      </c>
      <c r="J8"/>
    </row>
    <row r="9" spans="2:10" x14ac:dyDescent="0.25">
      <c r="B9" s="87" t="s">
        <v>585</v>
      </c>
      <c r="C9" s="87" t="s">
        <v>29</v>
      </c>
      <c r="D9" s="2" t="s">
        <v>19</v>
      </c>
      <c r="E9" s="177"/>
      <c r="F9" s="177"/>
      <c r="G9" s="177">
        <v>2</v>
      </c>
      <c r="H9" s="177"/>
      <c r="I9" s="177"/>
      <c r="J9"/>
    </row>
    <row r="10" spans="2:10" x14ac:dyDescent="0.25">
      <c r="B10" s="87" t="s">
        <v>1125</v>
      </c>
      <c r="C10" s="87" t="s">
        <v>131</v>
      </c>
      <c r="D10" s="2" t="s">
        <v>61</v>
      </c>
      <c r="E10" s="177"/>
      <c r="F10" s="177">
        <v>12</v>
      </c>
      <c r="G10" s="177"/>
      <c r="H10" s="177"/>
      <c r="I10" s="177">
        <v>380</v>
      </c>
      <c r="J10"/>
    </row>
    <row r="11" spans="2:10" x14ac:dyDescent="0.25">
      <c r="B11" s="87" t="s">
        <v>1078</v>
      </c>
      <c r="C11" s="87" t="s">
        <v>131</v>
      </c>
      <c r="D11" s="2" t="s">
        <v>61</v>
      </c>
      <c r="E11" s="177"/>
      <c r="F11" s="177"/>
      <c r="G11" s="177"/>
      <c r="H11" s="177"/>
      <c r="I11" s="177">
        <v>80</v>
      </c>
      <c r="J11"/>
    </row>
    <row r="12" spans="2:10" x14ac:dyDescent="0.25">
      <c r="B12" s="87" t="s">
        <v>1328</v>
      </c>
      <c r="C12" s="87" t="s">
        <v>131</v>
      </c>
      <c r="D12" s="2" t="s">
        <v>61</v>
      </c>
      <c r="E12" s="177"/>
      <c r="F12" s="177">
        <v>20</v>
      </c>
      <c r="G12" s="177"/>
      <c r="H12" s="177"/>
      <c r="I12" s="177"/>
      <c r="J12"/>
    </row>
    <row r="13" spans="2:10" x14ac:dyDescent="0.25">
      <c r="B13" s="87" t="s">
        <v>1094</v>
      </c>
      <c r="C13" s="87" t="s">
        <v>131</v>
      </c>
      <c r="D13" s="2" t="s">
        <v>61</v>
      </c>
      <c r="E13" s="177"/>
      <c r="F13" s="177"/>
      <c r="G13" s="177"/>
      <c r="H13" s="177">
        <v>16</v>
      </c>
      <c r="I13" s="177"/>
      <c r="J13"/>
    </row>
    <row r="14" spans="2:10" x14ac:dyDescent="0.25">
      <c r="B14" s="87" t="s">
        <v>1127</v>
      </c>
      <c r="C14" s="87" t="s">
        <v>131</v>
      </c>
      <c r="D14" s="2" t="s">
        <v>61</v>
      </c>
      <c r="E14" s="177"/>
      <c r="F14" s="177">
        <v>4</v>
      </c>
      <c r="G14" s="177"/>
      <c r="H14" s="177"/>
      <c r="I14" s="177"/>
      <c r="J14"/>
    </row>
    <row r="15" spans="2:10" x14ac:dyDescent="0.25">
      <c r="B15" s="87" t="s">
        <v>1097</v>
      </c>
      <c r="C15" s="87" t="s">
        <v>131</v>
      </c>
      <c r="D15" s="2" t="s">
        <v>61</v>
      </c>
      <c r="E15" s="177"/>
      <c r="F15" s="177">
        <v>4</v>
      </c>
      <c r="G15" s="177">
        <v>3</v>
      </c>
      <c r="H15" s="177"/>
      <c r="I15" s="177"/>
      <c r="J15"/>
    </row>
    <row r="16" spans="2:10" x14ac:dyDescent="0.25">
      <c r="B16" s="87" t="s">
        <v>1080</v>
      </c>
      <c r="C16" s="87" t="s">
        <v>131</v>
      </c>
      <c r="D16" s="2" t="s">
        <v>61</v>
      </c>
      <c r="E16" s="177"/>
      <c r="F16" s="177"/>
      <c r="G16" s="177"/>
      <c r="H16" s="177">
        <v>24</v>
      </c>
      <c r="I16" s="177"/>
      <c r="J16"/>
    </row>
    <row r="17" spans="2:10" x14ac:dyDescent="0.25">
      <c r="B17" s="87" t="s">
        <v>757</v>
      </c>
      <c r="C17" s="87" t="s">
        <v>62</v>
      </c>
      <c r="D17" s="2" t="s">
        <v>63</v>
      </c>
      <c r="E17" s="177"/>
      <c r="F17" s="177"/>
      <c r="G17" s="177">
        <v>9</v>
      </c>
      <c r="H17" s="177"/>
      <c r="I17" s="177"/>
      <c r="J17"/>
    </row>
    <row r="18" spans="2:10" x14ac:dyDescent="0.25">
      <c r="B18" s="87" t="s">
        <v>1329</v>
      </c>
      <c r="C18" s="87" t="s">
        <v>131</v>
      </c>
      <c r="D18" s="2" t="s">
        <v>61</v>
      </c>
      <c r="E18" s="177"/>
      <c r="F18" s="177">
        <v>4</v>
      </c>
      <c r="G18" s="177">
        <v>4</v>
      </c>
      <c r="H18" s="177"/>
      <c r="I18" s="177"/>
      <c r="J18"/>
    </row>
    <row r="19" spans="2:10" x14ac:dyDescent="0.25">
      <c r="B19" s="87" t="s">
        <v>1102</v>
      </c>
      <c r="C19" s="87" t="s">
        <v>131</v>
      </c>
      <c r="D19" s="2" t="s">
        <v>61</v>
      </c>
      <c r="E19" s="177"/>
      <c r="F19" s="177"/>
      <c r="G19" s="177"/>
      <c r="H19" s="177"/>
      <c r="I19" s="177">
        <v>200</v>
      </c>
      <c r="J19"/>
    </row>
    <row r="20" spans="2:10" x14ac:dyDescent="0.25">
      <c r="B20" s="87" t="s">
        <v>1101</v>
      </c>
      <c r="C20" s="87" t="s">
        <v>131</v>
      </c>
      <c r="D20" s="2" t="s">
        <v>61</v>
      </c>
      <c r="E20" s="177"/>
      <c r="F20" s="177"/>
      <c r="G20" s="177"/>
      <c r="H20" s="177">
        <v>5</v>
      </c>
      <c r="I20" s="177"/>
      <c r="J20"/>
    </row>
    <row r="21" spans="2:10" x14ac:dyDescent="0.25">
      <c r="B21" s="87" t="s">
        <v>618</v>
      </c>
      <c r="C21" s="87" t="s">
        <v>29</v>
      </c>
      <c r="D21" s="2" t="s">
        <v>19</v>
      </c>
      <c r="E21" s="177"/>
      <c r="F21" s="177"/>
      <c r="G21" s="177"/>
      <c r="H21" s="177"/>
      <c r="I21" s="177">
        <v>10</v>
      </c>
      <c r="J21"/>
    </row>
    <row r="22" spans="2:10" x14ac:dyDescent="0.25">
      <c r="B22" s="87" t="s">
        <v>1092</v>
      </c>
      <c r="C22" s="87" t="s">
        <v>131</v>
      </c>
      <c r="D22" s="2" t="s">
        <v>61</v>
      </c>
      <c r="E22" s="177"/>
      <c r="F22" s="177"/>
      <c r="G22" s="177">
        <v>2</v>
      </c>
      <c r="H22" s="177"/>
      <c r="I22" s="177">
        <v>515</v>
      </c>
      <c r="J22"/>
    </row>
    <row r="23" spans="2:10" x14ac:dyDescent="0.25">
      <c r="B23" s="87" t="s">
        <v>1050</v>
      </c>
      <c r="C23" s="87" t="s">
        <v>1051</v>
      </c>
      <c r="D23" s="2" t="s">
        <v>61</v>
      </c>
      <c r="E23" s="177"/>
      <c r="F23" s="177"/>
      <c r="G23" s="177"/>
      <c r="H23" s="177">
        <v>48</v>
      </c>
      <c r="I23" s="177"/>
      <c r="J23"/>
    </row>
    <row r="24" spans="2:10" x14ac:dyDescent="0.25">
      <c r="B24" s="87" t="s">
        <v>1066</v>
      </c>
      <c r="C24" s="87" t="s">
        <v>92</v>
      </c>
      <c r="D24" s="2" t="s">
        <v>61</v>
      </c>
      <c r="E24" s="177"/>
      <c r="F24" s="177"/>
      <c r="G24" s="177"/>
      <c r="H24" s="177"/>
      <c r="I24" s="177">
        <v>475</v>
      </c>
      <c r="J24"/>
    </row>
    <row r="25" spans="2:10" x14ac:dyDescent="0.25">
      <c r="B25" s="87" t="s">
        <v>1111</v>
      </c>
      <c r="C25" s="87" t="s">
        <v>131</v>
      </c>
      <c r="D25" s="2" t="s">
        <v>61</v>
      </c>
      <c r="E25" s="177"/>
      <c r="F25" s="177">
        <v>3</v>
      </c>
      <c r="G25" s="177">
        <v>5</v>
      </c>
      <c r="H25" s="177"/>
      <c r="I25" s="177"/>
      <c r="J25"/>
    </row>
    <row r="26" spans="2:10" x14ac:dyDescent="0.25">
      <c r="B26" s="87" t="s">
        <v>1063</v>
      </c>
      <c r="C26" s="87" t="s">
        <v>1064</v>
      </c>
      <c r="D26" s="2" t="s">
        <v>61</v>
      </c>
      <c r="E26" s="177"/>
      <c r="F26" s="177"/>
      <c r="G26" s="177"/>
      <c r="H26" s="177">
        <v>112</v>
      </c>
      <c r="I26" s="177"/>
      <c r="J26"/>
    </row>
    <row r="27" spans="2:10" x14ac:dyDescent="0.25">
      <c r="B27" s="87" t="s">
        <v>1327</v>
      </c>
      <c r="C27" s="87" t="s">
        <v>131</v>
      </c>
      <c r="D27" s="2" t="s">
        <v>61</v>
      </c>
      <c r="E27" s="177"/>
      <c r="F27" s="177"/>
      <c r="G27" s="177"/>
      <c r="H27" s="177">
        <v>60</v>
      </c>
      <c r="I27" s="177"/>
      <c r="J27"/>
    </row>
    <row r="28" spans="2:10" x14ac:dyDescent="0.25">
      <c r="B28" s="87" t="s">
        <v>1177</v>
      </c>
      <c r="C28" s="87" t="s">
        <v>111</v>
      </c>
      <c r="D28" s="2" t="s">
        <v>54</v>
      </c>
      <c r="E28" s="177"/>
      <c r="F28" s="177"/>
      <c r="G28" s="177"/>
      <c r="H28" s="177">
        <v>20</v>
      </c>
      <c r="I28" s="177"/>
      <c r="J28"/>
    </row>
    <row r="29" spans="2:10" x14ac:dyDescent="0.25">
      <c r="B29" s="87" t="s">
        <v>1087</v>
      </c>
      <c r="C29" s="87" t="s">
        <v>131</v>
      </c>
      <c r="D29" s="2" t="s">
        <v>61</v>
      </c>
      <c r="E29" s="177"/>
      <c r="F29" s="177"/>
      <c r="G29" s="177"/>
      <c r="H29" s="177"/>
      <c r="I29" s="177">
        <v>390</v>
      </c>
      <c r="J29"/>
    </row>
    <row r="30" spans="2:10" x14ac:dyDescent="0.25">
      <c r="B30" s="87" t="s">
        <v>1088</v>
      </c>
      <c r="C30" s="87" t="s">
        <v>131</v>
      </c>
      <c r="D30" s="2" t="s">
        <v>61</v>
      </c>
      <c r="E30" s="177"/>
      <c r="F30" s="177"/>
      <c r="G30" s="177"/>
      <c r="H30" s="177">
        <v>12</v>
      </c>
      <c r="I30" s="177">
        <v>20</v>
      </c>
      <c r="J30"/>
    </row>
    <row r="31" spans="2:10" x14ac:dyDescent="0.25">
      <c r="B31" s="87" t="s">
        <v>1100</v>
      </c>
      <c r="C31" s="87" t="s">
        <v>131</v>
      </c>
      <c r="D31" s="2" t="s">
        <v>61</v>
      </c>
      <c r="E31" s="177"/>
      <c r="F31" s="177"/>
      <c r="G31" s="177"/>
      <c r="H31" s="177">
        <v>4</v>
      </c>
      <c r="I31" s="177"/>
      <c r="J31"/>
    </row>
    <row r="32" spans="2:10" x14ac:dyDescent="0.25">
      <c r="B32"/>
      <c r="C32"/>
      <c r="D32"/>
      <c r="E32"/>
      <c r="F32"/>
      <c r="G32"/>
      <c r="H32"/>
      <c r="I32"/>
      <c r="J32"/>
    </row>
    <row r="33" spans="2:10" x14ac:dyDescent="0.25">
      <c r="B33"/>
      <c r="C33"/>
      <c r="D33"/>
      <c r="E33"/>
      <c r="F33"/>
      <c r="G33"/>
      <c r="H33"/>
      <c r="I33"/>
      <c r="J33"/>
    </row>
    <row r="34" spans="2:10" x14ac:dyDescent="0.25">
      <c r="B34"/>
      <c r="C34"/>
      <c r="D34"/>
      <c r="E34"/>
      <c r="F34"/>
      <c r="G34"/>
      <c r="H34"/>
      <c r="I34"/>
      <c r="J34"/>
    </row>
    <row r="35" spans="2:10" x14ac:dyDescent="0.25">
      <c r="B35"/>
      <c r="C35"/>
      <c r="D35"/>
      <c r="E35"/>
      <c r="F35"/>
      <c r="G35"/>
      <c r="H35"/>
      <c r="I35"/>
      <c r="J35"/>
    </row>
    <row r="36" spans="2:10" x14ac:dyDescent="0.25">
      <c r="B36"/>
      <c r="C36"/>
      <c r="D36"/>
      <c r="E36"/>
      <c r="F36"/>
      <c r="G36"/>
      <c r="H36"/>
      <c r="I36"/>
      <c r="J36"/>
    </row>
    <row r="37" spans="2:10" x14ac:dyDescent="0.25">
      <c r="B37"/>
      <c r="C37"/>
      <c r="D37"/>
      <c r="E37"/>
      <c r="F37"/>
      <c r="G37"/>
      <c r="H37"/>
      <c r="I37"/>
      <c r="J37"/>
    </row>
    <row r="38" spans="2:10" x14ac:dyDescent="0.25">
      <c r="B38"/>
      <c r="C38"/>
      <c r="D38"/>
      <c r="E38"/>
      <c r="F38"/>
      <c r="G38"/>
      <c r="H38"/>
      <c r="I38"/>
      <c r="J38"/>
    </row>
    <row r="39" spans="2:10" x14ac:dyDescent="0.25">
      <c r="B39"/>
      <c r="C39"/>
      <c r="D39"/>
      <c r="E39"/>
      <c r="F39"/>
      <c r="G39"/>
      <c r="H39"/>
      <c r="I39"/>
      <c r="J39"/>
    </row>
    <row r="40" spans="2:10" x14ac:dyDescent="0.25">
      <c r="B40"/>
      <c r="C40"/>
      <c r="D40"/>
      <c r="E40"/>
      <c r="F40"/>
      <c r="G40"/>
      <c r="H40"/>
      <c r="I40"/>
      <c r="J40"/>
    </row>
    <row r="41" spans="2:10" x14ac:dyDescent="0.25">
      <c r="B41"/>
      <c r="C41"/>
      <c r="D41"/>
      <c r="E41"/>
      <c r="F41"/>
      <c r="G41"/>
      <c r="H41"/>
      <c r="I41"/>
      <c r="J41"/>
    </row>
    <row r="42" spans="2:10" x14ac:dyDescent="0.25">
      <c r="B42"/>
      <c r="C42"/>
      <c r="D42"/>
      <c r="E42"/>
      <c r="F42"/>
      <c r="G42"/>
      <c r="H42"/>
      <c r="I42"/>
      <c r="J42"/>
    </row>
    <row r="43" spans="2:10" x14ac:dyDescent="0.25">
      <c r="B43"/>
      <c r="C43"/>
      <c r="D43"/>
      <c r="E43"/>
      <c r="F43"/>
      <c r="G43"/>
      <c r="H43"/>
      <c r="I43"/>
      <c r="J43"/>
    </row>
    <row r="44" spans="2:10" x14ac:dyDescent="0.25">
      <c r="B44"/>
      <c r="C44"/>
      <c r="D44"/>
      <c r="E44"/>
      <c r="F44"/>
      <c r="G44"/>
      <c r="H44"/>
      <c r="I44"/>
      <c r="J44"/>
    </row>
    <row r="45" spans="2:10" x14ac:dyDescent="0.25">
      <c r="B45"/>
      <c r="C45"/>
      <c r="D45"/>
      <c r="E45"/>
      <c r="F45"/>
      <c r="G45"/>
      <c r="H45"/>
      <c r="I45"/>
      <c r="J45"/>
    </row>
    <row r="46" spans="2:10" x14ac:dyDescent="0.25">
      <c r="B46"/>
      <c r="C46"/>
      <c r="D46"/>
      <c r="E46"/>
      <c r="F46"/>
      <c r="G46"/>
      <c r="H46"/>
      <c r="I46"/>
      <c r="J46"/>
    </row>
    <row r="47" spans="2:10" x14ac:dyDescent="0.25">
      <c r="B47"/>
      <c r="C47"/>
      <c r="D47"/>
      <c r="E47"/>
      <c r="F47"/>
      <c r="G47"/>
      <c r="H47"/>
      <c r="I47"/>
      <c r="J47"/>
    </row>
    <row r="48" spans="2:10" x14ac:dyDescent="0.25">
      <c r="B48"/>
      <c r="C48"/>
      <c r="D48"/>
      <c r="E48"/>
      <c r="F48"/>
      <c r="G48"/>
      <c r="H48"/>
      <c r="I48"/>
      <c r="J48"/>
    </row>
    <row r="49" spans="2:10" x14ac:dyDescent="0.25">
      <c r="B49"/>
      <c r="C49"/>
      <c r="D49"/>
      <c r="E49"/>
      <c r="F49"/>
      <c r="G49"/>
      <c r="H49"/>
      <c r="I49"/>
      <c r="J49"/>
    </row>
    <row r="50" spans="2:10" x14ac:dyDescent="0.25">
      <c r="B50"/>
      <c r="C50"/>
      <c r="D50"/>
      <c r="E50"/>
      <c r="F50"/>
      <c r="G50"/>
      <c r="H50"/>
      <c r="I50"/>
      <c r="J50"/>
    </row>
    <row r="51" spans="2:10" x14ac:dyDescent="0.25">
      <c r="B51"/>
      <c r="C51"/>
      <c r="D51"/>
      <c r="E51"/>
      <c r="F51"/>
      <c r="G51"/>
      <c r="H51"/>
      <c r="I51"/>
      <c r="J51"/>
    </row>
    <row r="52" spans="2:10" x14ac:dyDescent="0.25">
      <c r="B52"/>
      <c r="C52"/>
      <c r="D52"/>
      <c r="E52"/>
      <c r="F52"/>
      <c r="G52"/>
      <c r="H52"/>
      <c r="I52"/>
      <c r="J52"/>
    </row>
    <row r="53" spans="2:10" x14ac:dyDescent="0.25">
      <c r="B53"/>
      <c r="C53"/>
      <c r="D53"/>
      <c r="E53"/>
      <c r="F53"/>
      <c r="G53"/>
      <c r="H53"/>
      <c r="I53"/>
      <c r="J53"/>
    </row>
    <row r="54" spans="2:10" x14ac:dyDescent="0.25">
      <c r="B54"/>
      <c r="C54"/>
      <c r="D54"/>
      <c r="E54"/>
      <c r="F54"/>
      <c r="G54"/>
      <c r="H54"/>
      <c r="I54"/>
      <c r="J54"/>
    </row>
    <row r="55" spans="2:10" x14ac:dyDescent="0.25">
      <c r="B55"/>
      <c r="C55"/>
      <c r="D55"/>
      <c r="E55"/>
      <c r="F55"/>
      <c r="G55"/>
      <c r="H55"/>
      <c r="I55"/>
      <c r="J55"/>
    </row>
    <row r="56" spans="2:10" x14ac:dyDescent="0.25">
      <c r="B56"/>
      <c r="C56"/>
      <c r="D56"/>
      <c r="E56"/>
      <c r="F56"/>
      <c r="G56"/>
      <c r="H56"/>
      <c r="I56"/>
      <c r="J56"/>
    </row>
    <row r="57" spans="2:10" x14ac:dyDescent="0.25">
      <c r="B57"/>
      <c r="C57"/>
      <c r="D57"/>
      <c r="E57"/>
      <c r="F57"/>
      <c r="G57"/>
      <c r="H57"/>
      <c r="I57"/>
      <c r="J57"/>
    </row>
    <row r="58" spans="2:10" x14ac:dyDescent="0.25">
      <c r="B58"/>
      <c r="C58"/>
      <c r="D58"/>
      <c r="E58"/>
      <c r="F58"/>
      <c r="G58"/>
      <c r="H58"/>
      <c r="I58"/>
      <c r="J58"/>
    </row>
    <row r="59" spans="2:10" x14ac:dyDescent="0.25">
      <c r="B59"/>
      <c r="C59"/>
      <c r="D59"/>
      <c r="E59"/>
      <c r="F59"/>
      <c r="G59"/>
      <c r="H59"/>
      <c r="I59"/>
      <c r="J59"/>
    </row>
    <row r="60" spans="2:10" x14ac:dyDescent="0.25">
      <c r="B60"/>
      <c r="C60"/>
      <c r="D60"/>
      <c r="E60"/>
      <c r="F60"/>
      <c r="G60"/>
      <c r="H60"/>
      <c r="I60"/>
      <c r="J60"/>
    </row>
    <row r="61" spans="2:10" x14ac:dyDescent="0.25">
      <c r="B61"/>
      <c r="C61"/>
      <c r="D61"/>
      <c r="E61"/>
      <c r="F61"/>
      <c r="G61"/>
      <c r="H61"/>
      <c r="I61"/>
      <c r="J61"/>
    </row>
    <row r="62" spans="2:10" x14ac:dyDescent="0.25">
      <c r="B62"/>
      <c r="C62"/>
      <c r="D62"/>
      <c r="E62"/>
      <c r="F62"/>
      <c r="G62"/>
      <c r="H62"/>
      <c r="I62"/>
      <c r="J62"/>
    </row>
    <row r="63" spans="2:10" x14ac:dyDescent="0.25">
      <c r="B63"/>
      <c r="C63"/>
      <c r="D63"/>
      <c r="E63"/>
      <c r="F63"/>
      <c r="G63"/>
      <c r="H63"/>
      <c r="I63"/>
      <c r="J63"/>
    </row>
    <row r="64" spans="2:10" x14ac:dyDescent="0.25">
      <c r="B64"/>
      <c r="C64"/>
      <c r="D64"/>
      <c r="E64"/>
      <c r="F64"/>
      <c r="G64"/>
      <c r="H64"/>
      <c r="I64"/>
      <c r="J64"/>
    </row>
    <row r="65" spans="2:10" x14ac:dyDescent="0.25">
      <c r="B65"/>
      <c r="C65"/>
      <c r="D65"/>
      <c r="E65"/>
      <c r="F65"/>
      <c r="G65"/>
      <c r="H65"/>
      <c r="I65"/>
      <c r="J65"/>
    </row>
    <row r="66" spans="2:10" x14ac:dyDescent="0.25">
      <c r="B66"/>
      <c r="C66"/>
      <c r="D66"/>
      <c r="E66"/>
      <c r="F66"/>
      <c r="G66"/>
      <c r="H66"/>
      <c r="I66"/>
      <c r="J66"/>
    </row>
    <row r="67" spans="2:10" x14ac:dyDescent="0.25">
      <c r="B67"/>
      <c r="C67"/>
      <c r="D67"/>
      <c r="E67"/>
      <c r="F67"/>
      <c r="G67"/>
      <c r="H67"/>
      <c r="I67"/>
      <c r="J67"/>
    </row>
    <row r="68" spans="2:10" x14ac:dyDescent="0.25">
      <c r="B68"/>
      <c r="C68"/>
      <c r="D68"/>
      <c r="E68"/>
      <c r="F68"/>
      <c r="G68"/>
      <c r="H68"/>
      <c r="I68"/>
      <c r="J68"/>
    </row>
    <row r="69" spans="2:10" x14ac:dyDescent="0.25">
      <c r="B69"/>
      <c r="C69"/>
      <c r="D69"/>
      <c r="E69"/>
      <c r="F69"/>
      <c r="G69"/>
      <c r="H69"/>
      <c r="I69"/>
      <c r="J69"/>
    </row>
    <row r="70" spans="2:10" x14ac:dyDescent="0.25">
      <c r="B70"/>
      <c r="C70"/>
      <c r="D70"/>
      <c r="E70"/>
      <c r="F70"/>
      <c r="G70"/>
      <c r="H70"/>
      <c r="I70"/>
      <c r="J70"/>
    </row>
    <row r="71" spans="2:10" x14ac:dyDescent="0.25">
      <c r="B71"/>
      <c r="C71"/>
      <c r="D71"/>
      <c r="E71"/>
      <c r="F71"/>
      <c r="G71"/>
      <c r="H71"/>
      <c r="I71"/>
      <c r="J71"/>
    </row>
    <row r="72" spans="2:10" x14ac:dyDescent="0.25">
      <c r="B72"/>
      <c r="C72"/>
      <c r="D72"/>
      <c r="E72"/>
      <c r="F72"/>
      <c r="G72"/>
      <c r="H72"/>
      <c r="I72"/>
      <c r="J72"/>
    </row>
    <row r="73" spans="2:10" x14ac:dyDescent="0.25">
      <c r="B73"/>
      <c r="C73"/>
      <c r="D73"/>
      <c r="E73"/>
      <c r="F73"/>
      <c r="G73"/>
      <c r="H73"/>
      <c r="I73"/>
      <c r="J73"/>
    </row>
    <row r="74" spans="2:10" x14ac:dyDescent="0.25">
      <c r="B74"/>
      <c r="C74"/>
      <c r="D74"/>
      <c r="E74"/>
      <c r="F74"/>
      <c r="G74"/>
      <c r="H74"/>
      <c r="I74"/>
      <c r="J74"/>
    </row>
    <row r="75" spans="2:10" x14ac:dyDescent="0.25">
      <c r="B75"/>
      <c r="C75"/>
      <c r="D75"/>
      <c r="E75"/>
      <c r="F75"/>
      <c r="G75"/>
      <c r="H75"/>
      <c r="I75"/>
      <c r="J75"/>
    </row>
    <row r="76" spans="2:10" x14ac:dyDescent="0.25">
      <c r="B76"/>
      <c r="C76"/>
      <c r="D76"/>
      <c r="E76"/>
      <c r="F76"/>
      <c r="G76"/>
      <c r="H76"/>
      <c r="I76"/>
      <c r="J76"/>
    </row>
    <row r="77" spans="2:10" x14ac:dyDescent="0.25">
      <c r="B77"/>
      <c r="C77"/>
      <c r="D77"/>
      <c r="E77"/>
      <c r="F77"/>
      <c r="G77"/>
      <c r="H77"/>
      <c r="I77"/>
      <c r="J77"/>
    </row>
    <row r="78" spans="2:10" x14ac:dyDescent="0.25">
      <c r="B78"/>
      <c r="C78"/>
      <c r="D78"/>
      <c r="E78"/>
      <c r="F78"/>
      <c r="G78"/>
      <c r="H78"/>
      <c r="I78"/>
      <c r="J78"/>
    </row>
    <row r="79" spans="2:10" x14ac:dyDescent="0.25">
      <c r="B79"/>
      <c r="C79"/>
      <c r="D79"/>
      <c r="E79"/>
      <c r="F79"/>
      <c r="G79"/>
      <c r="H79"/>
      <c r="I79"/>
      <c r="J79"/>
    </row>
    <row r="80" spans="2:10" x14ac:dyDescent="0.25">
      <c r="B80"/>
      <c r="C80"/>
      <c r="D80"/>
      <c r="E80"/>
      <c r="F80"/>
      <c r="G80"/>
      <c r="H80"/>
      <c r="I80"/>
      <c r="J80"/>
    </row>
    <row r="81" spans="2:10" x14ac:dyDescent="0.25">
      <c r="B81"/>
      <c r="C81"/>
      <c r="D81"/>
      <c r="E81"/>
      <c r="F81"/>
      <c r="G81"/>
      <c r="H81"/>
      <c r="I81"/>
      <c r="J81"/>
    </row>
    <row r="82" spans="2:10" x14ac:dyDescent="0.25">
      <c r="B82"/>
      <c r="C82"/>
      <c r="D82"/>
      <c r="E82"/>
      <c r="F82"/>
      <c r="G82"/>
      <c r="H82"/>
      <c r="I82"/>
      <c r="J82"/>
    </row>
    <row r="83" spans="2:10" x14ac:dyDescent="0.25">
      <c r="B83"/>
      <c r="C83"/>
      <c r="D83"/>
      <c r="E83"/>
      <c r="F83"/>
      <c r="G83"/>
      <c r="H83"/>
      <c r="I83"/>
      <c r="J83"/>
    </row>
    <row r="84" spans="2:10" x14ac:dyDescent="0.25">
      <c r="B84"/>
      <c r="C84"/>
      <c r="D84"/>
      <c r="E84"/>
      <c r="F84"/>
      <c r="G84"/>
      <c r="H84"/>
      <c r="I84"/>
      <c r="J84"/>
    </row>
    <row r="85" spans="2:10" x14ac:dyDescent="0.25">
      <c r="B85"/>
      <c r="C85"/>
      <c r="D85"/>
      <c r="E85"/>
      <c r="F85"/>
      <c r="G85"/>
      <c r="H85"/>
      <c r="I85"/>
      <c r="J85"/>
    </row>
    <row r="86" spans="2:10" x14ac:dyDescent="0.25">
      <c r="B86"/>
      <c r="C86"/>
      <c r="D86"/>
      <c r="E86"/>
      <c r="F86"/>
      <c r="G86"/>
      <c r="H86"/>
      <c r="I86"/>
      <c r="J86"/>
    </row>
    <row r="87" spans="2:10" x14ac:dyDescent="0.25">
      <c r="B87"/>
      <c r="C87"/>
      <c r="D87"/>
      <c r="E87"/>
      <c r="F87"/>
      <c r="G87"/>
      <c r="H87"/>
      <c r="I87"/>
      <c r="J87"/>
    </row>
    <row r="88" spans="2:10" x14ac:dyDescent="0.25">
      <c r="B88"/>
      <c r="C88"/>
      <c r="D88"/>
      <c r="E88"/>
      <c r="F88"/>
      <c r="G88"/>
      <c r="H88"/>
      <c r="I88"/>
      <c r="J88"/>
    </row>
    <row r="89" spans="2:10" x14ac:dyDescent="0.25">
      <c r="B89"/>
      <c r="C89"/>
      <c r="D89"/>
      <c r="E89"/>
      <c r="F89"/>
      <c r="G89"/>
      <c r="H89"/>
      <c r="I89"/>
      <c r="J89"/>
    </row>
    <row r="90" spans="2:10" x14ac:dyDescent="0.25">
      <c r="B90"/>
      <c r="C90"/>
      <c r="D90"/>
      <c r="E90"/>
      <c r="F90"/>
      <c r="G90"/>
      <c r="H90"/>
      <c r="I90"/>
      <c r="J90"/>
    </row>
    <row r="91" spans="2:10" x14ac:dyDescent="0.25">
      <c r="B91"/>
      <c r="C91"/>
      <c r="D91"/>
      <c r="E91"/>
      <c r="F91"/>
      <c r="G91"/>
      <c r="H91"/>
      <c r="I91"/>
      <c r="J91"/>
    </row>
    <row r="92" spans="2:10" x14ac:dyDescent="0.25">
      <c r="B92"/>
      <c r="C92"/>
      <c r="D92"/>
      <c r="E92"/>
      <c r="F92"/>
      <c r="G92"/>
      <c r="H92"/>
      <c r="I92"/>
      <c r="J92"/>
    </row>
    <row r="93" spans="2:10" x14ac:dyDescent="0.25">
      <c r="B93"/>
      <c r="C93"/>
      <c r="D93"/>
      <c r="E93"/>
      <c r="F93"/>
      <c r="G93"/>
      <c r="H93"/>
      <c r="I93"/>
      <c r="J93"/>
    </row>
    <row r="94" spans="2:10" x14ac:dyDescent="0.25">
      <c r="B94"/>
      <c r="C94"/>
      <c r="D94"/>
      <c r="E94"/>
      <c r="F94"/>
      <c r="G94"/>
      <c r="H94"/>
      <c r="I94"/>
      <c r="J94"/>
    </row>
    <row r="95" spans="2:10" x14ac:dyDescent="0.25">
      <c r="B95"/>
      <c r="C95"/>
      <c r="D95"/>
      <c r="E95"/>
      <c r="F95"/>
      <c r="G95"/>
      <c r="H95"/>
      <c r="I95"/>
      <c r="J95"/>
    </row>
    <row r="96" spans="2:10" x14ac:dyDescent="0.25">
      <c r="B96"/>
      <c r="C96"/>
      <c r="D96"/>
      <c r="E96"/>
      <c r="F96"/>
      <c r="G96"/>
      <c r="H96"/>
      <c r="I96"/>
      <c r="J96"/>
    </row>
    <row r="97" spans="2:10" x14ac:dyDescent="0.25">
      <c r="B97"/>
      <c r="C97"/>
      <c r="D97"/>
      <c r="E97"/>
      <c r="F97"/>
      <c r="G97"/>
      <c r="H97"/>
      <c r="I97"/>
      <c r="J97"/>
    </row>
    <row r="98" spans="2:10" x14ac:dyDescent="0.25">
      <c r="B98"/>
      <c r="C98"/>
      <c r="D98"/>
      <c r="E98"/>
      <c r="F98"/>
      <c r="G98"/>
      <c r="H98"/>
      <c r="I98"/>
      <c r="J98"/>
    </row>
    <row r="99" spans="2:10" x14ac:dyDescent="0.25">
      <c r="B99"/>
      <c r="C99"/>
      <c r="D99"/>
      <c r="E99"/>
      <c r="F99"/>
      <c r="G99"/>
      <c r="H99"/>
      <c r="I99"/>
      <c r="J99"/>
    </row>
    <row r="100" spans="2:10" x14ac:dyDescent="0.25">
      <c r="B100"/>
      <c r="C100"/>
      <c r="D100"/>
      <c r="E100"/>
      <c r="F100"/>
      <c r="G100"/>
      <c r="H100"/>
      <c r="I100"/>
      <c r="J100"/>
    </row>
    <row r="101" spans="2:10" x14ac:dyDescent="0.25">
      <c r="B101"/>
      <c r="C101"/>
      <c r="D101"/>
      <c r="E101"/>
      <c r="F101"/>
      <c r="G101"/>
      <c r="H101"/>
      <c r="I101"/>
      <c r="J101"/>
    </row>
    <row r="102" spans="2:10" x14ac:dyDescent="0.25">
      <c r="B102"/>
      <c r="C102"/>
      <c r="D102"/>
      <c r="E102"/>
      <c r="F102"/>
      <c r="G102"/>
      <c r="H102"/>
      <c r="I102"/>
      <c r="J102"/>
    </row>
    <row r="103" spans="2:10" x14ac:dyDescent="0.25">
      <c r="B103"/>
      <c r="C103"/>
      <c r="D103"/>
      <c r="E103"/>
      <c r="F103"/>
      <c r="G103"/>
      <c r="H103"/>
      <c r="I103"/>
      <c r="J103"/>
    </row>
    <row r="104" spans="2:10" x14ac:dyDescent="0.25">
      <c r="B104"/>
      <c r="C104"/>
      <c r="D104"/>
      <c r="E104"/>
      <c r="F104"/>
      <c r="G104"/>
      <c r="H104"/>
      <c r="I104"/>
      <c r="J104"/>
    </row>
    <row r="105" spans="2:10" x14ac:dyDescent="0.25">
      <c r="B105"/>
      <c r="C105"/>
      <c r="D105"/>
      <c r="E105"/>
      <c r="F105"/>
      <c r="G105"/>
      <c r="H105"/>
      <c r="I105"/>
      <c r="J105"/>
    </row>
    <row r="106" spans="2:10" x14ac:dyDescent="0.25">
      <c r="B106"/>
      <c r="C106"/>
      <c r="D106"/>
      <c r="E106"/>
      <c r="F106"/>
      <c r="G106"/>
      <c r="H106"/>
      <c r="I106"/>
      <c r="J106"/>
    </row>
    <row r="107" spans="2:10" x14ac:dyDescent="0.25">
      <c r="B107"/>
      <c r="C107"/>
      <c r="D107"/>
      <c r="E107"/>
      <c r="F107"/>
      <c r="G107"/>
      <c r="H107"/>
      <c r="I107"/>
      <c r="J107"/>
    </row>
    <row r="108" spans="2:10" x14ac:dyDescent="0.25">
      <c r="B108"/>
      <c r="C108"/>
      <c r="D108"/>
      <c r="E108"/>
      <c r="F108"/>
      <c r="G108"/>
      <c r="H108"/>
      <c r="I108"/>
      <c r="J108"/>
    </row>
    <row r="109" spans="2:10" x14ac:dyDescent="0.25">
      <c r="B109"/>
      <c r="C109"/>
      <c r="D109"/>
      <c r="E109"/>
      <c r="F109"/>
      <c r="G109"/>
      <c r="H109"/>
      <c r="I109"/>
      <c r="J109"/>
    </row>
    <row r="110" spans="2:10" x14ac:dyDescent="0.25">
      <c r="B110"/>
      <c r="C110"/>
      <c r="D110"/>
      <c r="E110"/>
      <c r="F110"/>
      <c r="G110"/>
      <c r="H110"/>
      <c r="I110"/>
      <c r="J110"/>
    </row>
    <row r="111" spans="2:10" x14ac:dyDescent="0.25">
      <c r="B111"/>
      <c r="C111"/>
      <c r="D111"/>
      <c r="E111"/>
      <c r="F111"/>
      <c r="G111"/>
      <c r="H111"/>
      <c r="I111"/>
      <c r="J111"/>
    </row>
    <row r="112" spans="2:10" x14ac:dyDescent="0.25">
      <c r="B112"/>
      <c r="C112"/>
      <c r="D112"/>
      <c r="E112"/>
      <c r="F112"/>
      <c r="G112"/>
      <c r="H112"/>
      <c r="I112"/>
      <c r="J112"/>
    </row>
    <row r="113" spans="2:10" x14ac:dyDescent="0.25">
      <c r="B113"/>
      <c r="C113"/>
      <c r="D113"/>
      <c r="E113"/>
      <c r="F113"/>
      <c r="G113"/>
      <c r="H113"/>
      <c r="I113"/>
      <c r="J113"/>
    </row>
    <row r="114" spans="2:10" x14ac:dyDescent="0.25">
      <c r="B114"/>
      <c r="C114"/>
      <c r="D114"/>
      <c r="E114"/>
      <c r="F114"/>
      <c r="G114"/>
      <c r="H114"/>
      <c r="I114"/>
      <c r="J114"/>
    </row>
    <row r="115" spans="2:10" x14ac:dyDescent="0.25">
      <c r="B115"/>
      <c r="C115"/>
      <c r="D115"/>
      <c r="E115"/>
      <c r="F115"/>
      <c r="G115"/>
      <c r="H115"/>
      <c r="I115"/>
      <c r="J115"/>
    </row>
    <row r="116" spans="2:10" x14ac:dyDescent="0.25">
      <c r="B116"/>
      <c r="C116"/>
      <c r="D116"/>
      <c r="E116"/>
      <c r="F116"/>
      <c r="G116"/>
      <c r="H116"/>
      <c r="I116"/>
      <c r="J116"/>
    </row>
    <row r="117" spans="2:10" x14ac:dyDescent="0.25">
      <c r="B117"/>
      <c r="C117"/>
      <c r="D117"/>
      <c r="E117"/>
      <c r="F117"/>
      <c r="G117"/>
      <c r="H117"/>
      <c r="I117"/>
      <c r="J117"/>
    </row>
    <row r="118" spans="2:10" x14ac:dyDescent="0.25">
      <c r="B118"/>
      <c r="C118"/>
      <c r="D118"/>
      <c r="E118"/>
      <c r="F118"/>
      <c r="G118"/>
      <c r="H118"/>
      <c r="I118"/>
      <c r="J118"/>
    </row>
    <row r="119" spans="2:10" x14ac:dyDescent="0.25">
      <c r="B119"/>
      <c r="C119"/>
      <c r="D119"/>
      <c r="E119"/>
      <c r="F119"/>
      <c r="G119"/>
      <c r="H119"/>
      <c r="I119"/>
      <c r="J119"/>
    </row>
    <row r="120" spans="2:10" x14ac:dyDescent="0.25">
      <c r="B120"/>
      <c r="C120"/>
      <c r="D120"/>
      <c r="E120"/>
      <c r="F120"/>
      <c r="G120"/>
      <c r="H120"/>
      <c r="I120"/>
      <c r="J120"/>
    </row>
    <row r="121" spans="2:10" x14ac:dyDescent="0.25">
      <c r="B121"/>
      <c r="C121"/>
      <c r="D121"/>
      <c r="E121"/>
      <c r="F121"/>
      <c r="G121"/>
      <c r="H121"/>
      <c r="I121"/>
      <c r="J121"/>
    </row>
    <row r="122" spans="2:10" x14ac:dyDescent="0.25">
      <c r="B122"/>
      <c r="C122"/>
      <c r="D122"/>
      <c r="E122"/>
      <c r="F122"/>
      <c r="G122"/>
      <c r="H122"/>
      <c r="I122"/>
      <c r="J122"/>
    </row>
    <row r="123" spans="2:10" x14ac:dyDescent="0.25">
      <c r="B123"/>
      <c r="C123"/>
      <c r="D123"/>
      <c r="E123"/>
      <c r="F123"/>
      <c r="G123"/>
      <c r="H123"/>
      <c r="I123"/>
      <c r="J123"/>
    </row>
    <row r="124" spans="2:10" x14ac:dyDescent="0.25">
      <c r="B124"/>
      <c r="C124"/>
      <c r="D124"/>
      <c r="E124"/>
      <c r="F124"/>
      <c r="G124"/>
      <c r="H124"/>
      <c r="I124"/>
      <c r="J124"/>
    </row>
    <row r="125" spans="2:10" x14ac:dyDescent="0.25">
      <c r="B125"/>
      <c r="C125"/>
      <c r="D125"/>
      <c r="E125"/>
      <c r="F125"/>
      <c r="G125"/>
      <c r="H125"/>
      <c r="I125"/>
      <c r="J125"/>
    </row>
    <row r="126" spans="2:10" x14ac:dyDescent="0.25">
      <c r="B126"/>
      <c r="C126"/>
      <c r="D126"/>
      <c r="E126"/>
      <c r="F126"/>
      <c r="G126"/>
      <c r="H126"/>
      <c r="I126"/>
      <c r="J126"/>
    </row>
    <row r="127" spans="2:10" x14ac:dyDescent="0.25">
      <c r="B127"/>
      <c r="C127"/>
      <c r="D127"/>
      <c r="E127"/>
      <c r="F127"/>
      <c r="G127"/>
      <c r="H127"/>
      <c r="I127"/>
      <c r="J127"/>
    </row>
    <row r="128" spans="2:10" x14ac:dyDescent="0.25">
      <c r="B128"/>
      <c r="C128"/>
      <c r="D128"/>
      <c r="E128"/>
      <c r="F128"/>
      <c r="G128"/>
      <c r="H128"/>
      <c r="I128"/>
      <c r="J128"/>
    </row>
    <row r="129" spans="2:10" x14ac:dyDescent="0.25">
      <c r="B129"/>
      <c r="C129"/>
      <c r="D129"/>
      <c r="E129"/>
      <c r="F129"/>
      <c r="G129"/>
      <c r="H129"/>
      <c r="I129"/>
      <c r="J129"/>
    </row>
    <row r="130" spans="2:10" x14ac:dyDescent="0.25">
      <c r="B130"/>
      <c r="C130"/>
      <c r="D130"/>
      <c r="E130"/>
      <c r="F130"/>
      <c r="G130"/>
      <c r="H130"/>
      <c r="I130"/>
      <c r="J130"/>
    </row>
    <row r="131" spans="2:10" x14ac:dyDescent="0.25">
      <c r="B131"/>
      <c r="C131"/>
      <c r="D131"/>
      <c r="E131"/>
      <c r="F131"/>
      <c r="G131"/>
      <c r="H131"/>
      <c r="I131"/>
      <c r="J131"/>
    </row>
    <row r="132" spans="2:10" x14ac:dyDescent="0.25">
      <c r="B132"/>
      <c r="C132"/>
      <c r="D132"/>
      <c r="E132"/>
      <c r="F132"/>
      <c r="G132"/>
      <c r="H132"/>
      <c r="I132"/>
      <c r="J132"/>
    </row>
    <row r="133" spans="2:10" x14ac:dyDescent="0.25">
      <c r="B133"/>
      <c r="C133"/>
      <c r="D133"/>
      <c r="E133"/>
      <c r="F133"/>
      <c r="G133"/>
      <c r="H133"/>
      <c r="I133"/>
      <c r="J133"/>
    </row>
    <row r="134" spans="2:10" x14ac:dyDescent="0.25">
      <c r="B134"/>
      <c r="C134"/>
      <c r="D134"/>
      <c r="E134"/>
      <c r="F134"/>
      <c r="G134"/>
      <c r="H134"/>
      <c r="I134"/>
      <c r="J134"/>
    </row>
    <row r="135" spans="2:10" x14ac:dyDescent="0.25">
      <c r="B135"/>
      <c r="C135"/>
      <c r="D135"/>
      <c r="E135"/>
      <c r="F135"/>
      <c r="G135"/>
      <c r="H135"/>
      <c r="I135"/>
      <c r="J135"/>
    </row>
    <row r="136" spans="2:10" x14ac:dyDescent="0.25">
      <c r="B136"/>
      <c r="C136"/>
      <c r="D136"/>
      <c r="E136"/>
      <c r="F136"/>
      <c r="G136"/>
      <c r="H136"/>
      <c r="I136"/>
      <c r="J136"/>
    </row>
    <row r="137" spans="2:10" x14ac:dyDescent="0.25">
      <c r="B137"/>
      <c r="C137"/>
      <c r="D137"/>
      <c r="E137"/>
      <c r="F137"/>
      <c r="G137"/>
      <c r="H137"/>
      <c r="I137"/>
      <c r="J137"/>
    </row>
    <row r="138" spans="2:10" x14ac:dyDescent="0.25">
      <c r="B138"/>
      <c r="C138"/>
      <c r="D138"/>
      <c r="E138"/>
      <c r="F138"/>
      <c r="G138"/>
      <c r="H138"/>
      <c r="I138"/>
      <c r="J138"/>
    </row>
    <row r="139" spans="2:10" x14ac:dyDescent="0.25">
      <c r="B139"/>
      <c r="C139"/>
      <c r="D139"/>
      <c r="E139"/>
      <c r="F139"/>
      <c r="G139"/>
      <c r="H139"/>
      <c r="I139"/>
      <c r="J139"/>
    </row>
    <row r="140" spans="2:10" x14ac:dyDescent="0.25">
      <c r="B140"/>
      <c r="C140"/>
      <c r="D140"/>
      <c r="E140"/>
      <c r="F140"/>
      <c r="G140"/>
      <c r="H140"/>
      <c r="I140"/>
      <c r="J140"/>
    </row>
    <row r="141" spans="2:10" x14ac:dyDescent="0.25">
      <c r="B141"/>
      <c r="C141"/>
      <c r="D141"/>
      <c r="E141"/>
      <c r="F141"/>
      <c r="G141"/>
      <c r="H141"/>
      <c r="I141"/>
      <c r="J141"/>
    </row>
    <row r="142" spans="2:10" x14ac:dyDescent="0.25">
      <c r="B142"/>
      <c r="C142"/>
      <c r="D142"/>
      <c r="E142"/>
      <c r="F142"/>
      <c r="G142"/>
      <c r="H142"/>
      <c r="I142"/>
      <c r="J142"/>
    </row>
    <row r="143" spans="2:10" x14ac:dyDescent="0.25">
      <c r="B143"/>
      <c r="C143"/>
      <c r="D143"/>
      <c r="E143"/>
      <c r="F143"/>
      <c r="G143"/>
      <c r="H143"/>
      <c r="I143"/>
      <c r="J143"/>
    </row>
    <row r="144" spans="2:10" x14ac:dyDescent="0.25">
      <c r="B144"/>
      <c r="C144"/>
      <c r="D144"/>
      <c r="E144"/>
      <c r="F144"/>
      <c r="G144"/>
      <c r="H144"/>
      <c r="I144"/>
      <c r="J144"/>
    </row>
    <row r="145" spans="2:10" x14ac:dyDescent="0.25">
      <c r="B145"/>
      <c r="C145"/>
      <c r="D145"/>
      <c r="E145"/>
      <c r="F145"/>
      <c r="G145"/>
      <c r="H145"/>
      <c r="I145"/>
      <c r="J145"/>
    </row>
    <row r="146" spans="2:10" x14ac:dyDescent="0.25">
      <c r="B146"/>
      <c r="C146"/>
      <c r="D146"/>
      <c r="E146"/>
      <c r="F146"/>
      <c r="G146"/>
      <c r="H146"/>
      <c r="I146"/>
      <c r="J146"/>
    </row>
    <row r="147" spans="2:10" x14ac:dyDescent="0.25">
      <c r="B147"/>
      <c r="C147"/>
      <c r="D147"/>
      <c r="E147"/>
      <c r="F147"/>
      <c r="G147"/>
      <c r="H147"/>
      <c r="I147"/>
      <c r="J147"/>
    </row>
    <row r="148" spans="2:10" x14ac:dyDescent="0.25">
      <c r="B148"/>
      <c r="C148"/>
      <c r="D148"/>
      <c r="E148"/>
      <c r="F148"/>
      <c r="G148"/>
      <c r="H148"/>
      <c r="I148"/>
      <c r="J148"/>
    </row>
    <row r="149" spans="2:10" x14ac:dyDescent="0.25">
      <c r="B149"/>
      <c r="C149"/>
      <c r="D149"/>
      <c r="E149"/>
      <c r="F149"/>
      <c r="G149"/>
      <c r="H149"/>
      <c r="I149"/>
      <c r="J149"/>
    </row>
    <row r="150" spans="2:10" x14ac:dyDescent="0.25">
      <c r="B150"/>
      <c r="C150"/>
      <c r="D150"/>
      <c r="E150"/>
      <c r="F150"/>
      <c r="G150"/>
      <c r="H150"/>
      <c r="I150"/>
      <c r="J150"/>
    </row>
    <row r="151" spans="2:10" x14ac:dyDescent="0.25">
      <c r="B151"/>
      <c r="C151"/>
      <c r="D151"/>
      <c r="E151"/>
      <c r="F151"/>
      <c r="G151"/>
      <c r="H151"/>
      <c r="I151"/>
      <c r="J151"/>
    </row>
    <row r="152" spans="2:10" x14ac:dyDescent="0.25">
      <c r="B152"/>
      <c r="C152"/>
      <c r="D152"/>
      <c r="E152"/>
      <c r="F152"/>
      <c r="G152"/>
      <c r="H152"/>
      <c r="I152"/>
      <c r="J152"/>
    </row>
    <row r="153" spans="2:10" x14ac:dyDescent="0.25">
      <c r="B153"/>
      <c r="C153"/>
      <c r="D153"/>
      <c r="E153"/>
      <c r="F153"/>
      <c r="G153"/>
      <c r="H153"/>
      <c r="I153"/>
      <c r="J153"/>
    </row>
    <row r="154" spans="2:10" x14ac:dyDescent="0.25">
      <c r="B154"/>
      <c r="C154"/>
      <c r="D154"/>
      <c r="E154"/>
      <c r="F154"/>
      <c r="G154"/>
      <c r="H154"/>
      <c r="I154"/>
      <c r="J154"/>
    </row>
    <row r="155" spans="2:10" x14ac:dyDescent="0.25">
      <c r="B155"/>
      <c r="C155"/>
      <c r="D155"/>
      <c r="E155"/>
      <c r="F155"/>
      <c r="G155"/>
      <c r="H155"/>
      <c r="I155"/>
      <c r="J155"/>
    </row>
    <row r="156" spans="2:10" x14ac:dyDescent="0.25">
      <c r="B156"/>
      <c r="C156"/>
      <c r="D156"/>
      <c r="E156"/>
      <c r="F156"/>
      <c r="G156"/>
      <c r="H156"/>
      <c r="I156"/>
      <c r="J156"/>
    </row>
    <row r="157" spans="2:10" x14ac:dyDescent="0.25">
      <c r="B157"/>
      <c r="C157"/>
      <c r="D157"/>
      <c r="E157"/>
      <c r="F157"/>
      <c r="G157"/>
      <c r="H157"/>
      <c r="I157"/>
      <c r="J157"/>
    </row>
    <row r="158" spans="2:10" x14ac:dyDescent="0.25">
      <c r="B158"/>
      <c r="C158"/>
      <c r="D158"/>
      <c r="E158"/>
      <c r="F158"/>
      <c r="G158"/>
      <c r="H158"/>
      <c r="I158"/>
      <c r="J158"/>
    </row>
    <row r="159" spans="2:10" x14ac:dyDescent="0.25">
      <c r="B159"/>
      <c r="C159"/>
      <c r="D159"/>
      <c r="E159"/>
      <c r="F159"/>
      <c r="G159"/>
      <c r="H159"/>
      <c r="I159"/>
      <c r="J159"/>
    </row>
    <row r="160" spans="2:10" x14ac:dyDescent="0.25">
      <c r="B160"/>
      <c r="C160"/>
      <c r="D160"/>
      <c r="E160"/>
      <c r="F160"/>
      <c r="G160"/>
      <c r="H160"/>
      <c r="I160"/>
      <c r="J160"/>
    </row>
    <row r="161" spans="2:10" x14ac:dyDescent="0.25">
      <c r="B161"/>
      <c r="C161"/>
      <c r="D161"/>
      <c r="E161"/>
      <c r="F161"/>
      <c r="G161"/>
      <c r="H161"/>
      <c r="I161"/>
      <c r="J161"/>
    </row>
    <row r="162" spans="2:10" x14ac:dyDescent="0.25">
      <c r="B162"/>
      <c r="C162"/>
      <c r="D162"/>
      <c r="E162"/>
      <c r="F162"/>
      <c r="G162"/>
      <c r="H162"/>
      <c r="I162"/>
      <c r="J162"/>
    </row>
    <row r="163" spans="2:10" x14ac:dyDescent="0.25">
      <c r="B163"/>
      <c r="C163"/>
      <c r="D163"/>
      <c r="E163"/>
      <c r="F163"/>
      <c r="G163"/>
      <c r="H163"/>
      <c r="I163"/>
      <c r="J163"/>
    </row>
    <row r="164" spans="2:10" x14ac:dyDescent="0.25">
      <c r="B164"/>
      <c r="C164"/>
      <c r="D164"/>
      <c r="E164"/>
      <c r="F164"/>
      <c r="G164"/>
      <c r="H164"/>
      <c r="I164"/>
      <c r="J164"/>
    </row>
    <row r="165" spans="2:10" x14ac:dyDescent="0.25">
      <c r="B165"/>
      <c r="C165"/>
      <c r="D165"/>
      <c r="E165"/>
      <c r="F165"/>
      <c r="G165"/>
      <c r="H165"/>
      <c r="I165"/>
      <c r="J165"/>
    </row>
    <row r="166" spans="2:10" x14ac:dyDescent="0.25">
      <c r="B166"/>
      <c r="C166"/>
      <c r="D166"/>
      <c r="E166"/>
      <c r="F166"/>
      <c r="G166"/>
      <c r="H166"/>
      <c r="I166"/>
      <c r="J166"/>
    </row>
    <row r="167" spans="2:10" x14ac:dyDescent="0.25">
      <c r="B167"/>
      <c r="C167"/>
      <c r="D167"/>
      <c r="E167"/>
      <c r="F167"/>
      <c r="G167"/>
      <c r="H167"/>
      <c r="I167"/>
      <c r="J167"/>
    </row>
    <row r="168" spans="2:10" x14ac:dyDescent="0.25">
      <c r="B168"/>
      <c r="C168"/>
      <c r="D168"/>
      <c r="E168"/>
      <c r="F168"/>
      <c r="G168"/>
      <c r="H168"/>
      <c r="I168"/>
      <c r="J168"/>
    </row>
    <row r="169" spans="2:10" x14ac:dyDescent="0.25">
      <c r="B169"/>
      <c r="C169"/>
      <c r="D169"/>
      <c r="E169"/>
      <c r="F169"/>
      <c r="G169"/>
      <c r="H169"/>
      <c r="I169"/>
      <c r="J169"/>
    </row>
    <row r="170" spans="2:10" x14ac:dyDescent="0.25">
      <c r="B170"/>
      <c r="C170"/>
      <c r="D170"/>
      <c r="E170"/>
      <c r="F170"/>
      <c r="G170"/>
      <c r="H170"/>
      <c r="I170"/>
      <c r="J170"/>
    </row>
    <row r="171" spans="2:10" x14ac:dyDescent="0.25">
      <c r="B171"/>
      <c r="C171"/>
      <c r="D171"/>
      <c r="E171"/>
      <c r="F171"/>
      <c r="G171"/>
      <c r="H171"/>
      <c r="I171"/>
      <c r="J171"/>
    </row>
    <row r="172" spans="2:10" x14ac:dyDescent="0.25">
      <c r="B172"/>
      <c r="C172"/>
      <c r="D172"/>
      <c r="E172"/>
      <c r="F172"/>
      <c r="G172"/>
      <c r="H172"/>
      <c r="I172"/>
      <c r="J172"/>
    </row>
    <row r="173" spans="2:10" x14ac:dyDescent="0.25">
      <c r="B173"/>
      <c r="C173"/>
      <c r="D173"/>
      <c r="E173"/>
      <c r="F173"/>
      <c r="G173"/>
      <c r="H173"/>
      <c r="I173"/>
      <c r="J173"/>
    </row>
    <row r="174" spans="2:10" x14ac:dyDescent="0.25">
      <c r="B174"/>
      <c r="C174"/>
      <c r="D174"/>
      <c r="E174"/>
      <c r="F174"/>
      <c r="G174"/>
      <c r="H174"/>
      <c r="I174"/>
      <c r="J174"/>
    </row>
    <row r="175" spans="2:10" x14ac:dyDescent="0.25">
      <c r="B175"/>
      <c r="C175"/>
      <c r="D175"/>
      <c r="E175"/>
      <c r="F175"/>
      <c r="G175"/>
      <c r="H175"/>
      <c r="I175"/>
      <c r="J175"/>
    </row>
    <row r="176" spans="2:10" x14ac:dyDescent="0.25">
      <c r="B176"/>
      <c r="C176"/>
      <c r="D176"/>
      <c r="E176"/>
      <c r="F176"/>
      <c r="G176"/>
      <c r="H176"/>
      <c r="I176"/>
      <c r="J176"/>
    </row>
    <row r="177" spans="2:10" x14ac:dyDescent="0.25">
      <c r="B177"/>
      <c r="C177"/>
      <c r="D177"/>
      <c r="E177"/>
      <c r="F177"/>
      <c r="G177"/>
      <c r="H177"/>
      <c r="I177"/>
      <c r="J177"/>
    </row>
    <row r="178" spans="2:10" x14ac:dyDescent="0.25">
      <c r="B178"/>
      <c r="C178"/>
      <c r="D178"/>
      <c r="E178"/>
      <c r="F178"/>
      <c r="G178"/>
      <c r="H178"/>
      <c r="I178"/>
      <c r="J178"/>
    </row>
    <row r="179" spans="2:10" x14ac:dyDescent="0.25">
      <c r="B179"/>
      <c r="C179"/>
      <c r="D179"/>
      <c r="E179"/>
      <c r="F179"/>
      <c r="G179"/>
      <c r="H179"/>
      <c r="I179"/>
      <c r="J179"/>
    </row>
    <row r="180" spans="2:10" x14ac:dyDescent="0.25">
      <c r="B180"/>
      <c r="C180"/>
      <c r="D180"/>
      <c r="E180"/>
      <c r="F180"/>
      <c r="G180"/>
      <c r="H180"/>
      <c r="I180"/>
      <c r="J180"/>
    </row>
    <row r="181" spans="2:10" x14ac:dyDescent="0.25">
      <c r="B181"/>
      <c r="C181"/>
      <c r="D181"/>
      <c r="E181"/>
      <c r="F181"/>
      <c r="G181"/>
      <c r="H181"/>
      <c r="I181"/>
      <c r="J181"/>
    </row>
    <row r="182" spans="2:10" x14ac:dyDescent="0.25">
      <c r="B182"/>
      <c r="C182"/>
      <c r="D182"/>
      <c r="E182"/>
      <c r="F182"/>
      <c r="G182"/>
      <c r="H182"/>
      <c r="I182"/>
      <c r="J182"/>
    </row>
    <row r="183" spans="2:10" x14ac:dyDescent="0.25">
      <c r="B183"/>
      <c r="C183"/>
      <c r="D183"/>
      <c r="E183"/>
      <c r="F183"/>
      <c r="G183"/>
      <c r="H183"/>
      <c r="I183"/>
      <c r="J183"/>
    </row>
    <row r="184" spans="2:10" x14ac:dyDescent="0.25">
      <c r="B184"/>
      <c r="C184"/>
      <c r="D184"/>
      <c r="E184"/>
      <c r="F184"/>
      <c r="G184"/>
      <c r="H184"/>
      <c r="I184"/>
      <c r="J184"/>
    </row>
    <row r="185" spans="2:10" x14ac:dyDescent="0.25">
      <c r="B185"/>
      <c r="C185"/>
      <c r="D185"/>
      <c r="E185"/>
      <c r="F185"/>
      <c r="G185"/>
      <c r="H185"/>
      <c r="I185"/>
      <c r="J185"/>
    </row>
    <row r="186" spans="2:10" x14ac:dyDescent="0.25">
      <c r="B186"/>
      <c r="C186"/>
      <c r="D186"/>
      <c r="E186"/>
      <c r="F186"/>
      <c r="G186"/>
      <c r="H186"/>
      <c r="I186"/>
      <c r="J186"/>
    </row>
    <row r="187" spans="2:10" x14ac:dyDescent="0.25">
      <c r="B187"/>
      <c r="C187"/>
      <c r="D187"/>
      <c r="E187"/>
      <c r="F187"/>
      <c r="G187"/>
      <c r="H187"/>
      <c r="I187"/>
      <c r="J187"/>
    </row>
    <row r="188" spans="2:10" x14ac:dyDescent="0.25">
      <c r="B188"/>
      <c r="C188"/>
      <c r="D188"/>
      <c r="E188"/>
      <c r="F188"/>
      <c r="G188"/>
      <c r="H188"/>
      <c r="I188"/>
      <c r="J188"/>
    </row>
    <row r="189" spans="2:10" x14ac:dyDescent="0.25">
      <c r="B189"/>
      <c r="C189"/>
      <c r="D189"/>
      <c r="E189"/>
      <c r="F189"/>
      <c r="G189"/>
      <c r="H189"/>
      <c r="I189"/>
      <c r="J189"/>
    </row>
    <row r="190" spans="2:10" x14ac:dyDescent="0.25">
      <c r="B190"/>
      <c r="C190"/>
      <c r="D190"/>
      <c r="E190"/>
      <c r="F190"/>
      <c r="G190"/>
      <c r="H190"/>
      <c r="I190"/>
      <c r="J190"/>
    </row>
    <row r="191" spans="2:10" x14ac:dyDescent="0.25">
      <c r="B191"/>
      <c r="C191"/>
      <c r="D191"/>
      <c r="E191"/>
      <c r="F191"/>
      <c r="G191"/>
      <c r="H191"/>
      <c r="I191"/>
      <c r="J191"/>
    </row>
    <row r="192" spans="2:10" x14ac:dyDescent="0.25">
      <c r="B192"/>
      <c r="C192"/>
      <c r="D192"/>
      <c r="E192"/>
      <c r="F192"/>
      <c r="G192"/>
      <c r="H192"/>
      <c r="I192"/>
      <c r="J192"/>
    </row>
    <row r="193" spans="2:10" x14ac:dyDescent="0.25">
      <c r="B193"/>
      <c r="C193"/>
      <c r="D193"/>
      <c r="E193"/>
      <c r="F193"/>
      <c r="G193"/>
      <c r="H193"/>
      <c r="I193"/>
      <c r="J193"/>
    </row>
    <row r="194" spans="2:10" x14ac:dyDescent="0.25">
      <c r="B194"/>
      <c r="C194"/>
      <c r="D194"/>
      <c r="E194"/>
      <c r="F194"/>
      <c r="G194"/>
      <c r="H194"/>
      <c r="I194"/>
      <c r="J194"/>
    </row>
    <row r="195" spans="2:10" x14ac:dyDescent="0.25">
      <c r="B195"/>
      <c r="C195"/>
      <c r="D195"/>
      <c r="E195"/>
      <c r="F195"/>
      <c r="G195"/>
      <c r="H195"/>
      <c r="I195"/>
      <c r="J195"/>
    </row>
    <row r="196" spans="2:10" x14ac:dyDescent="0.25">
      <c r="B196"/>
      <c r="C196"/>
      <c r="D196"/>
      <c r="E196"/>
      <c r="F196"/>
      <c r="G196"/>
      <c r="H196"/>
      <c r="I196"/>
      <c r="J196"/>
    </row>
    <row r="197" spans="2:10" x14ac:dyDescent="0.25">
      <c r="B197"/>
      <c r="C197"/>
      <c r="D197"/>
      <c r="E197"/>
      <c r="F197"/>
      <c r="G197"/>
      <c r="H197"/>
      <c r="I197"/>
      <c r="J197"/>
    </row>
    <row r="198" spans="2:10" x14ac:dyDescent="0.25">
      <c r="B198"/>
      <c r="C198"/>
      <c r="D198"/>
      <c r="E198"/>
      <c r="F198"/>
      <c r="G198"/>
      <c r="H198"/>
      <c r="I198"/>
      <c r="J198"/>
    </row>
    <row r="199" spans="2:10" x14ac:dyDescent="0.25">
      <c r="B199"/>
      <c r="C199"/>
      <c r="D199"/>
      <c r="E199"/>
      <c r="F199"/>
      <c r="G199"/>
      <c r="H199"/>
      <c r="I199"/>
      <c r="J199"/>
    </row>
    <row r="200" spans="2:10" x14ac:dyDescent="0.25">
      <c r="B200"/>
      <c r="C200"/>
      <c r="D200"/>
      <c r="E200"/>
      <c r="F200"/>
      <c r="G200"/>
      <c r="H200"/>
      <c r="I200"/>
      <c r="J200"/>
    </row>
    <row r="201" spans="2:10" x14ac:dyDescent="0.25">
      <c r="B201"/>
      <c r="C201"/>
      <c r="D201"/>
      <c r="E201"/>
      <c r="F201"/>
      <c r="G201"/>
      <c r="H201"/>
      <c r="I201"/>
      <c r="J201"/>
    </row>
    <row r="202" spans="2:10" x14ac:dyDescent="0.25">
      <c r="B202"/>
      <c r="C202"/>
      <c r="D202"/>
      <c r="E202"/>
      <c r="F202"/>
      <c r="G202"/>
      <c r="H202"/>
      <c r="I202"/>
      <c r="J202"/>
    </row>
    <row r="203" spans="2:10" x14ac:dyDescent="0.25">
      <c r="B203"/>
      <c r="C203"/>
      <c r="D203"/>
      <c r="E203"/>
      <c r="F203"/>
      <c r="G203"/>
      <c r="H203"/>
      <c r="I203"/>
      <c r="J203"/>
    </row>
    <row r="204" spans="2:10" x14ac:dyDescent="0.25">
      <c r="B204"/>
      <c r="C204"/>
      <c r="D204"/>
      <c r="E204"/>
      <c r="F204"/>
      <c r="G204"/>
      <c r="H204"/>
      <c r="I204"/>
      <c r="J204"/>
    </row>
    <row r="205" spans="2:10" x14ac:dyDescent="0.25">
      <c r="B205"/>
      <c r="C205"/>
      <c r="D205"/>
      <c r="E205"/>
      <c r="F205"/>
      <c r="G205"/>
      <c r="H205"/>
      <c r="I205"/>
      <c r="J205"/>
    </row>
    <row r="206" spans="2:10" x14ac:dyDescent="0.25">
      <c r="B206"/>
      <c r="C206"/>
      <c r="D206"/>
      <c r="E206"/>
      <c r="F206"/>
      <c r="G206"/>
      <c r="H206"/>
      <c r="I206"/>
      <c r="J206"/>
    </row>
    <row r="207" spans="2:10" x14ac:dyDescent="0.25">
      <c r="B207"/>
      <c r="C207"/>
      <c r="D207"/>
      <c r="E207"/>
      <c r="F207"/>
      <c r="G207"/>
      <c r="H207"/>
      <c r="I207"/>
      <c r="J207"/>
    </row>
    <row r="208" spans="2:10" x14ac:dyDescent="0.25">
      <c r="B208"/>
      <c r="C208"/>
      <c r="D208"/>
      <c r="E208"/>
      <c r="F208"/>
      <c r="G208"/>
      <c r="H208"/>
      <c r="I208"/>
      <c r="J208"/>
    </row>
    <row r="209" spans="2:10" x14ac:dyDescent="0.25">
      <c r="B209"/>
      <c r="C209"/>
      <c r="D209"/>
      <c r="E209"/>
      <c r="F209"/>
      <c r="G209"/>
      <c r="H209"/>
      <c r="I209"/>
      <c r="J209"/>
    </row>
    <row r="210" spans="2:10" x14ac:dyDescent="0.25">
      <c r="B210"/>
      <c r="C210"/>
      <c r="D210"/>
      <c r="E210"/>
      <c r="F210"/>
      <c r="G210"/>
      <c r="H210"/>
      <c r="I210"/>
      <c r="J210"/>
    </row>
    <row r="211" spans="2:10" x14ac:dyDescent="0.25">
      <c r="B211"/>
      <c r="C211"/>
      <c r="D211"/>
      <c r="E211"/>
      <c r="F211"/>
      <c r="G211"/>
      <c r="H211"/>
      <c r="I211"/>
      <c r="J211"/>
    </row>
    <row r="212" spans="2:10" x14ac:dyDescent="0.25">
      <c r="B212"/>
      <c r="C212"/>
      <c r="D212"/>
      <c r="E212"/>
      <c r="F212"/>
      <c r="G212"/>
      <c r="H212"/>
      <c r="I212"/>
      <c r="J212"/>
    </row>
    <row r="213" spans="2:10" x14ac:dyDescent="0.25">
      <c r="B213"/>
      <c r="C213"/>
      <c r="D213"/>
      <c r="E213"/>
      <c r="F213"/>
      <c r="G213"/>
      <c r="H213"/>
      <c r="I213"/>
      <c r="J213"/>
    </row>
    <row r="214" spans="2:10" x14ac:dyDescent="0.25">
      <c r="B214"/>
      <c r="C214"/>
      <c r="D214"/>
      <c r="E214"/>
      <c r="F214"/>
      <c r="G214"/>
      <c r="H214"/>
      <c r="I214"/>
      <c r="J214"/>
    </row>
    <row r="215" spans="2:10" x14ac:dyDescent="0.25">
      <c r="B215"/>
      <c r="C215"/>
      <c r="D215"/>
      <c r="E215"/>
      <c r="F215"/>
      <c r="G215"/>
      <c r="H215"/>
      <c r="I215"/>
      <c r="J215"/>
    </row>
    <row r="216" spans="2:10" x14ac:dyDescent="0.25">
      <c r="B216"/>
      <c r="C216"/>
      <c r="D216"/>
      <c r="E216"/>
      <c r="F216"/>
      <c r="G216"/>
      <c r="H216"/>
      <c r="I216"/>
      <c r="J216"/>
    </row>
    <row r="217" spans="2:10" x14ac:dyDescent="0.25">
      <c r="B217"/>
      <c r="C217"/>
      <c r="D217"/>
      <c r="E217"/>
      <c r="F217"/>
      <c r="G217"/>
      <c r="H217"/>
      <c r="I217"/>
      <c r="J217"/>
    </row>
    <row r="218" spans="2:10" x14ac:dyDescent="0.25">
      <c r="B218"/>
      <c r="C218"/>
      <c r="D218"/>
      <c r="E218"/>
      <c r="F218"/>
      <c r="G218"/>
      <c r="H218"/>
      <c r="I218"/>
      <c r="J218"/>
    </row>
    <row r="219" spans="2:10" x14ac:dyDescent="0.25">
      <c r="B219"/>
      <c r="C219"/>
      <c r="D219"/>
      <c r="E219"/>
      <c r="F219"/>
      <c r="G219"/>
      <c r="H219"/>
      <c r="I219"/>
      <c r="J219"/>
    </row>
    <row r="220" spans="2:10" x14ac:dyDescent="0.25">
      <c r="B220"/>
      <c r="C220"/>
      <c r="D220"/>
      <c r="E220"/>
      <c r="F220"/>
      <c r="G220"/>
      <c r="H220"/>
      <c r="I220"/>
      <c r="J220"/>
    </row>
    <row r="221" spans="2:10" x14ac:dyDescent="0.25">
      <c r="B221"/>
      <c r="C221"/>
      <c r="D221"/>
      <c r="E221"/>
      <c r="F221"/>
      <c r="G221"/>
      <c r="H221"/>
      <c r="I221"/>
      <c r="J221"/>
    </row>
    <row r="222" spans="2:10" x14ac:dyDescent="0.25">
      <c r="B222"/>
      <c r="C222"/>
      <c r="D222"/>
      <c r="E222"/>
      <c r="F222"/>
      <c r="G222"/>
      <c r="H222"/>
      <c r="I222"/>
      <c r="J222"/>
    </row>
    <row r="223" spans="2:10" x14ac:dyDescent="0.25">
      <c r="B223"/>
      <c r="C223"/>
      <c r="D223"/>
      <c r="E223"/>
      <c r="F223"/>
      <c r="G223"/>
      <c r="H223"/>
      <c r="I223"/>
      <c r="J223"/>
    </row>
    <row r="224" spans="2:10" x14ac:dyDescent="0.25">
      <c r="B224"/>
      <c r="C224"/>
      <c r="D224"/>
      <c r="E224"/>
      <c r="F224"/>
      <c r="G224"/>
      <c r="H224"/>
      <c r="I224"/>
      <c r="J224"/>
    </row>
    <row r="225" spans="2:10" x14ac:dyDescent="0.25">
      <c r="B225"/>
      <c r="C225"/>
      <c r="D225"/>
      <c r="E225"/>
      <c r="F225"/>
      <c r="G225"/>
      <c r="H225"/>
      <c r="I225"/>
      <c r="J225"/>
    </row>
    <row r="226" spans="2:10" x14ac:dyDescent="0.25">
      <c r="B226"/>
      <c r="C226"/>
      <c r="D226"/>
      <c r="E226"/>
      <c r="F226"/>
      <c r="G226"/>
      <c r="H226"/>
      <c r="I226"/>
      <c r="J226"/>
    </row>
    <row r="227" spans="2:10" x14ac:dyDescent="0.25">
      <c r="B227"/>
      <c r="C227"/>
      <c r="D227"/>
      <c r="E227"/>
      <c r="F227"/>
      <c r="G227"/>
      <c r="H227"/>
      <c r="I227"/>
      <c r="J227"/>
    </row>
    <row r="228" spans="2:10" x14ac:dyDescent="0.25">
      <c r="B228"/>
      <c r="C228"/>
      <c r="D228"/>
      <c r="E228"/>
      <c r="F228"/>
      <c r="G228"/>
      <c r="H228"/>
      <c r="I228"/>
      <c r="J228"/>
    </row>
    <row r="229" spans="2:10" x14ac:dyDescent="0.25">
      <c r="B229"/>
      <c r="C229"/>
      <c r="D229"/>
      <c r="E229"/>
      <c r="F229"/>
      <c r="G229"/>
      <c r="H229"/>
      <c r="I229"/>
      <c r="J229"/>
    </row>
    <row r="230" spans="2:10" x14ac:dyDescent="0.25">
      <c r="B230"/>
      <c r="C230"/>
      <c r="D230"/>
      <c r="E230"/>
      <c r="F230"/>
      <c r="G230"/>
      <c r="H230"/>
      <c r="I230"/>
      <c r="J230"/>
    </row>
    <row r="231" spans="2:10" x14ac:dyDescent="0.25">
      <c r="B231"/>
      <c r="C231"/>
      <c r="D231"/>
      <c r="E231"/>
      <c r="F231"/>
      <c r="G231"/>
      <c r="H231"/>
      <c r="I231"/>
      <c r="J231"/>
    </row>
    <row r="232" spans="2:10" x14ac:dyDescent="0.25">
      <c r="B232"/>
      <c r="C232"/>
      <c r="D232"/>
      <c r="E232"/>
      <c r="F232"/>
      <c r="G232"/>
      <c r="H232"/>
      <c r="I232"/>
      <c r="J232"/>
    </row>
    <row r="233" spans="2:10" x14ac:dyDescent="0.25">
      <c r="B233"/>
      <c r="C233"/>
      <c r="D233"/>
      <c r="E233"/>
      <c r="F233"/>
      <c r="G233"/>
      <c r="H233"/>
      <c r="I233"/>
      <c r="J233"/>
    </row>
    <row r="234" spans="2:10" x14ac:dyDescent="0.25">
      <c r="B234"/>
      <c r="C234"/>
      <c r="D234"/>
      <c r="E234"/>
      <c r="F234"/>
      <c r="G234"/>
      <c r="H234"/>
      <c r="I234"/>
      <c r="J234"/>
    </row>
    <row r="235" spans="2:10" x14ac:dyDescent="0.25">
      <c r="B235"/>
      <c r="C235"/>
      <c r="D235"/>
      <c r="E235"/>
      <c r="F235"/>
      <c r="G235"/>
      <c r="H235"/>
      <c r="I235"/>
      <c r="J235"/>
    </row>
    <row r="236" spans="2:10" x14ac:dyDescent="0.25">
      <c r="B236"/>
      <c r="C236"/>
      <c r="D236"/>
      <c r="E236"/>
      <c r="F236"/>
      <c r="G236"/>
      <c r="H236"/>
      <c r="I236"/>
      <c r="J236"/>
    </row>
    <row r="237" spans="2:10" x14ac:dyDescent="0.25">
      <c r="B237"/>
      <c r="C237"/>
      <c r="D237"/>
      <c r="E237"/>
      <c r="F237"/>
      <c r="G237"/>
      <c r="H237"/>
      <c r="I237"/>
      <c r="J237"/>
    </row>
    <row r="238" spans="2:10" x14ac:dyDescent="0.25">
      <c r="B238"/>
      <c r="C238"/>
      <c r="D238"/>
      <c r="E238"/>
      <c r="F238"/>
      <c r="G238"/>
      <c r="H238"/>
      <c r="I238"/>
      <c r="J238"/>
    </row>
    <row r="239" spans="2:10" x14ac:dyDescent="0.25">
      <c r="B239"/>
      <c r="C239"/>
      <c r="D239"/>
      <c r="E239"/>
      <c r="F239"/>
      <c r="G239"/>
      <c r="H239"/>
      <c r="I239"/>
      <c r="J239"/>
    </row>
    <row r="240" spans="2:10" x14ac:dyDescent="0.25">
      <c r="B240"/>
      <c r="C240"/>
      <c r="D240"/>
      <c r="E240"/>
      <c r="F240"/>
      <c r="G240"/>
      <c r="H240"/>
      <c r="I240"/>
      <c r="J240"/>
    </row>
    <row r="241" spans="2:10" x14ac:dyDescent="0.25">
      <c r="B241"/>
      <c r="C241"/>
      <c r="D241"/>
      <c r="E241"/>
      <c r="F241"/>
      <c r="G241"/>
      <c r="H241"/>
      <c r="I241"/>
      <c r="J241"/>
    </row>
    <row r="242" spans="2:10" x14ac:dyDescent="0.25">
      <c r="B242"/>
      <c r="C242"/>
      <c r="D242"/>
      <c r="E242"/>
      <c r="F242"/>
      <c r="G242"/>
      <c r="H242"/>
      <c r="I242"/>
      <c r="J242"/>
    </row>
    <row r="243" spans="2:10" x14ac:dyDescent="0.25">
      <c r="B243"/>
      <c r="C243"/>
      <c r="D243"/>
      <c r="E243"/>
      <c r="F243"/>
      <c r="G243"/>
      <c r="H243"/>
      <c r="I243"/>
      <c r="J243"/>
    </row>
    <row r="244" spans="2:10" x14ac:dyDescent="0.25">
      <c r="B244"/>
      <c r="C244"/>
      <c r="D244"/>
      <c r="E244"/>
      <c r="F244"/>
      <c r="G244"/>
      <c r="H244"/>
      <c r="I244"/>
      <c r="J244"/>
    </row>
    <row r="245" spans="2:10" x14ac:dyDescent="0.25">
      <c r="B245"/>
      <c r="C245"/>
      <c r="D245"/>
      <c r="E245"/>
      <c r="F245"/>
      <c r="G245"/>
      <c r="H245"/>
      <c r="I245"/>
      <c r="J245"/>
    </row>
    <row r="246" spans="2:10" x14ac:dyDescent="0.25">
      <c r="B246"/>
      <c r="C246"/>
      <c r="D246"/>
      <c r="E246"/>
      <c r="F246"/>
      <c r="G246"/>
      <c r="H246"/>
      <c r="I246"/>
      <c r="J246"/>
    </row>
    <row r="247" spans="2:10" x14ac:dyDescent="0.25">
      <c r="B247"/>
      <c r="C247"/>
      <c r="D247"/>
      <c r="E247"/>
      <c r="F247"/>
      <c r="G247"/>
      <c r="H247"/>
      <c r="I247"/>
      <c r="J247"/>
    </row>
    <row r="248" spans="2:10" x14ac:dyDescent="0.25">
      <c r="B248"/>
      <c r="C248"/>
      <c r="D248"/>
      <c r="E248"/>
      <c r="F248"/>
      <c r="G248"/>
      <c r="H248"/>
      <c r="I248"/>
      <c r="J248"/>
    </row>
    <row r="249" spans="2:10" x14ac:dyDescent="0.25">
      <c r="B249"/>
      <c r="C249"/>
      <c r="D249"/>
      <c r="E249"/>
      <c r="F249"/>
      <c r="G249"/>
      <c r="H249"/>
      <c r="I249"/>
      <c r="J249"/>
    </row>
    <row r="250" spans="2:10" x14ac:dyDescent="0.25">
      <c r="B250"/>
      <c r="C250"/>
      <c r="D250"/>
      <c r="E250"/>
      <c r="F250"/>
      <c r="G250"/>
      <c r="H250"/>
      <c r="I250"/>
      <c r="J250"/>
    </row>
    <row r="251" spans="2:10" x14ac:dyDescent="0.25">
      <c r="B251"/>
      <c r="C251"/>
      <c r="D251"/>
      <c r="E251"/>
      <c r="F251"/>
      <c r="G251"/>
      <c r="H251"/>
      <c r="I251"/>
      <c r="J251"/>
    </row>
    <row r="252" spans="2:10" x14ac:dyDescent="0.25">
      <c r="B252"/>
      <c r="C252"/>
      <c r="D252"/>
      <c r="E252"/>
      <c r="F252"/>
      <c r="G252"/>
      <c r="H252"/>
      <c r="I252"/>
      <c r="J252"/>
    </row>
    <row r="253" spans="2:10" x14ac:dyDescent="0.25">
      <c r="B253"/>
      <c r="C253"/>
      <c r="D253"/>
      <c r="E253"/>
      <c r="F253"/>
      <c r="G253"/>
      <c r="H253"/>
      <c r="I253"/>
      <c r="J253"/>
    </row>
    <row r="254" spans="2:10" x14ac:dyDescent="0.25">
      <c r="B254"/>
      <c r="C254"/>
      <c r="D254"/>
      <c r="E254"/>
      <c r="F254"/>
      <c r="G254"/>
      <c r="H254"/>
      <c r="I254"/>
      <c r="J254"/>
    </row>
    <row r="255" spans="2:10" x14ac:dyDescent="0.25">
      <c r="B255"/>
      <c r="C255"/>
      <c r="D255"/>
      <c r="E255"/>
      <c r="F255"/>
      <c r="G255"/>
      <c r="H255"/>
      <c r="I255"/>
      <c r="J255"/>
    </row>
    <row r="256" spans="2:10" x14ac:dyDescent="0.25">
      <c r="B256"/>
      <c r="C256"/>
      <c r="D256"/>
      <c r="E256"/>
      <c r="F256"/>
      <c r="G256"/>
      <c r="H256"/>
      <c r="I256"/>
      <c r="J256"/>
    </row>
    <row r="257" spans="2:10" x14ac:dyDescent="0.25">
      <c r="B257"/>
      <c r="C257"/>
      <c r="D257"/>
      <c r="E257"/>
      <c r="F257"/>
      <c r="G257"/>
      <c r="H257"/>
      <c r="I257"/>
      <c r="J257"/>
    </row>
    <row r="258" spans="2:10" x14ac:dyDescent="0.25">
      <c r="B258"/>
      <c r="C258"/>
      <c r="D258"/>
      <c r="E258"/>
      <c r="F258"/>
      <c r="G258"/>
      <c r="H258"/>
      <c r="I258"/>
      <c r="J258"/>
    </row>
    <row r="259" spans="2:10" x14ac:dyDescent="0.25">
      <c r="B259"/>
      <c r="C259"/>
      <c r="D259"/>
      <c r="E259"/>
      <c r="F259"/>
      <c r="G259"/>
      <c r="H259"/>
      <c r="I259"/>
      <c r="J259"/>
    </row>
    <row r="260" spans="2:10" x14ac:dyDescent="0.25">
      <c r="B260"/>
      <c r="C260"/>
      <c r="D260"/>
      <c r="E260"/>
      <c r="F260"/>
      <c r="G260"/>
      <c r="H260"/>
      <c r="I260"/>
      <c r="J260"/>
    </row>
    <row r="261" spans="2:10" x14ac:dyDescent="0.25">
      <c r="B261"/>
      <c r="C261"/>
      <c r="D261"/>
      <c r="E261"/>
      <c r="F261"/>
      <c r="G261"/>
      <c r="H261"/>
      <c r="I261"/>
      <c r="J261"/>
    </row>
    <row r="262" spans="2:10" x14ac:dyDescent="0.25">
      <c r="B262"/>
      <c r="C262"/>
      <c r="D262"/>
      <c r="E262"/>
      <c r="F262"/>
      <c r="G262"/>
      <c r="H262"/>
      <c r="I262"/>
      <c r="J262"/>
    </row>
    <row r="263" spans="2:10" x14ac:dyDescent="0.25">
      <c r="B263"/>
      <c r="C263"/>
      <c r="D263"/>
      <c r="E263"/>
      <c r="F263"/>
      <c r="G263"/>
      <c r="H263"/>
      <c r="I263"/>
      <c r="J263"/>
    </row>
    <row r="264" spans="2:10" x14ac:dyDescent="0.25">
      <c r="B264"/>
      <c r="C264"/>
      <c r="D264"/>
      <c r="E264"/>
      <c r="F264"/>
      <c r="G264"/>
      <c r="H264"/>
      <c r="I264"/>
      <c r="J264"/>
    </row>
    <row r="265" spans="2:10" x14ac:dyDescent="0.25">
      <c r="B265"/>
      <c r="C265"/>
      <c r="D265"/>
      <c r="E265"/>
      <c r="F265"/>
      <c r="G265"/>
      <c r="H265"/>
      <c r="I265"/>
      <c r="J265"/>
    </row>
    <row r="266" spans="2:10" x14ac:dyDescent="0.25">
      <c r="B266"/>
      <c r="C266"/>
      <c r="D266"/>
      <c r="E266"/>
      <c r="F266"/>
      <c r="G266"/>
      <c r="H266"/>
      <c r="I266"/>
      <c r="J266"/>
    </row>
    <row r="267" spans="2:10" x14ac:dyDescent="0.25">
      <c r="B267"/>
      <c r="C267"/>
      <c r="D267"/>
      <c r="E267"/>
      <c r="F267"/>
      <c r="G267"/>
      <c r="H267"/>
      <c r="I267"/>
      <c r="J267"/>
    </row>
    <row r="268" spans="2:10" x14ac:dyDescent="0.25">
      <c r="B268"/>
      <c r="C268"/>
      <c r="D268"/>
      <c r="E268"/>
      <c r="F268"/>
      <c r="G268"/>
      <c r="H268"/>
      <c r="I268"/>
      <c r="J268"/>
    </row>
    <row r="269" spans="2:10" x14ac:dyDescent="0.25">
      <c r="B269"/>
      <c r="C269"/>
      <c r="D269"/>
      <c r="E269"/>
      <c r="F269"/>
      <c r="G269"/>
      <c r="H269"/>
      <c r="I269"/>
      <c r="J269"/>
    </row>
    <row r="270" spans="2:10" x14ac:dyDescent="0.25">
      <c r="B270"/>
      <c r="C270"/>
      <c r="D270"/>
      <c r="E270"/>
      <c r="F270"/>
      <c r="G270"/>
      <c r="H270"/>
      <c r="I270"/>
      <c r="J270"/>
    </row>
    <row r="271" spans="2:10" x14ac:dyDescent="0.25">
      <c r="B271"/>
      <c r="C271"/>
      <c r="D271"/>
      <c r="E271"/>
      <c r="F271"/>
      <c r="G271"/>
      <c r="H271"/>
      <c r="I271"/>
      <c r="J271"/>
    </row>
    <row r="272" spans="2:10" x14ac:dyDescent="0.25">
      <c r="B272"/>
      <c r="C272"/>
      <c r="D272"/>
      <c r="E272"/>
      <c r="F272"/>
      <c r="G272"/>
      <c r="H272"/>
      <c r="I272"/>
      <c r="J272"/>
    </row>
    <row r="273" spans="2:10" x14ac:dyDescent="0.25">
      <c r="B273"/>
      <c r="C273"/>
      <c r="D273"/>
      <c r="E273"/>
      <c r="F273"/>
      <c r="G273"/>
      <c r="H273"/>
      <c r="I273"/>
      <c r="J273"/>
    </row>
    <row r="274" spans="2:10" x14ac:dyDescent="0.25">
      <c r="B274"/>
      <c r="C274"/>
      <c r="D274"/>
      <c r="E274"/>
      <c r="F274"/>
      <c r="G274"/>
      <c r="H274"/>
      <c r="I274"/>
      <c r="J274"/>
    </row>
    <row r="275" spans="2:10" x14ac:dyDescent="0.25">
      <c r="B275"/>
      <c r="C275"/>
      <c r="D275"/>
      <c r="E275"/>
      <c r="F275"/>
      <c r="G275"/>
      <c r="H275"/>
      <c r="I275"/>
      <c r="J275"/>
    </row>
    <row r="276" spans="2:10" x14ac:dyDescent="0.25">
      <c r="B276"/>
      <c r="C276"/>
      <c r="D276"/>
      <c r="E276"/>
      <c r="F276"/>
      <c r="G276"/>
      <c r="H276"/>
      <c r="I276"/>
      <c r="J276"/>
    </row>
    <row r="277" spans="2:10" x14ac:dyDescent="0.25">
      <c r="B277"/>
      <c r="C277"/>
      <c r="D277"/>
      <c r="E277"/>
      <c r="F277"/>
      <c r="G277"/>
      <c r="H277"/>
      <c r="I277"/>
      <c r="J277"/>
    </row>
    <row r="278" spans="2:10" x14ac:dyDescent="0.25">
      <c r="B278"/>
      <c r="C278"/>
      <c r="D278"/>
      <c r="E278"/>
      <c r="F278"/>
      <c r="G278"/>
      <c r="H278"/>
      <c r="I278"/>
      <c r="J278"/>
    </row>
    <row r="279" spans="2:10" x14ac:dyDescent="0.25">
      <c r="B279"/>
      <c r="C279"/>
      <c r="D279"/>
      <c r="E279"/>
      <c r="F279"/>
      <c r="G279"/>
      <c r="H279"/>
      <c r="I279"/>
      <c r="J279"/>
    </row>
    <row r="280" spans="2:10" x14ac:dyDescent="0.25">
      <c r="B280"/>
      <c r="C280"/>
      <c r="D280"/>
      <c r="E280"/>
      <c r="F280"/>
      <c r="G280"/>
      <c r="H280"/>
      <c r="I280"/>
      <c r="J280"/>
    </row>
    <row r="281" spans="2:10" x14ac:dyDescent="0.25">
      <c r="B281"/>
      <c r="C281"/>
      <c r="D281"/>
      <c r="E281"/>
      <c r="F281"/>
      <c r="G281"/>
      <c r="H281"/>
      <c r="I281"/>
      <c r="J281"/>
    </row>
    <row r="282" spans="2:10" x14ac:dyDescent="0.25">
      <c r="B282"/>
      <c r="C282"/>
      <c r="D282"/>
      <c r="E282"/>
      <c r="F282"/>
      <c r="G282"/>
      <c r="H282"/>
      <c r="I282"/>
      <c r="J282"/>
    </row>
    <row r="283" spans="2:10" x14ac:dyDescent="0.25">
      <c r="B283"/>
      <c r="C283"/>
      <c r="D283"/>
      <c r="E283"/>
      <c r="F283"/>
      <c r="G283"/>
      <c r="H283"/>
      <c r="I283"/>
      <c r="J283"/>
    </row>
    <row r="284" spans="2:10" x14ac:dyDescent="0.25">
      <c r="B284"/>
      <c r="C284"/>
      <c r="D284"/>
      <c r="E284"/>
      <c r="F284"/>
      <c r="G284"/>
      <c r="H284"/>
      <c r="I284"/>
      <c r="J284"/>
    </row>
    <row r="285" spans="2:10" x14ac:dyDescent="0.25">
      <c r="B285"/>
      <c r="C285"/>
      <c r="D285"/>
      <c r="E285"/>
      <c r="F285"/>
      <c r="G285"/>
      <c r="H285"/>
      <c r="I285"/>
      <c r="J285"/>
    </row>
    <row r="286" spans="2:10" x14ac:dyDescent="0.25">
      <c r="B286"/>
      <c r="C286"/>
      <c r="D286"/>
      <c r="E286"/>
      <c r="F286"/>
      <c r="G286"/>
      <c r="H286"/>
      <c r="I286"/>
      <c r="J286"/>
    </row>
    <row r="287" spans="2:10" x14ac:dyDescent="0.25">
      <c r="B287"/>
      <c r="C287"/>
      <c r="D287"/>
      <c r="E287"/>
      <c r="F287"/>
      <c r="G287"/>
      <c r="H287"/>
      <c r="I287"/>
      <c r="J287"/>
    </row>
    <row r="288" spans="2:10" x14ac:dyDescent="0.25">
      <c r="B288"/>
      <c r="C288"/>
      <c r="D288"/>
      <c r="E288"/>
      <c r="F288"/>
      <c r="G288"/>
      <c r="H288"/>
      <c r="I288"/>
      <c r="J288"/>
    </row>
    <row r="289" spans="2:10" x14ac:dyDescent="0.25">
      <c r="B289"/>
      <c r="C289"/>
      <c r="D289"/>
      <c r="E289"/>
      <c r="F289"/>
      <c r="G289"/>
      <c r="H289"/>
      <c r="I289"/>
      <c r="J289"/>
    </row>
    <row r="290" spans="2:10" x14ac:dyDescent="0.25">
      <c r="B290"/>
      <c r="C290"/>
      <c r="D290"/>
      <c r="E290"/>
      <c r="F290"/>
      <c r="G290"/>
      <c r="H290"/>
      <c r="I290"/>
      <c r="J290"/>
    </row>
    <row r="291" spans="2:10" x14ac:dyDescent="0.25">
      <c r="B291"/>
      <c r="C291"/>
      <c r="D291"/>
      <c r="E291"/>
      <c r="F291"/>
      <c r="G291"/>
      <c r="H291"/>
      <c r="I291"/>
      <c r="J291"/>
    </row>
    <row r="292" spans="2:10" x14ac:dyDescent="0.25">
      <c r="B292"/>
      <c r="C292"/>
      <c r="D292"/>
      <c r="E292"/>
      <c r="F292"/>
      <c r="G292"/>
      <c r="H292"/>
      <c r="I292"/>
      <c r="J292"/>
    </row>
    <row r="293" spans="2:10" x14ac:dyDescent="0.25">
      <c r="B293"/>
      <c r="C293"/>
      <c r="D293"/>
      <c r="E293"/>
      <c r="F293"/>
      <c r="G293"/>
      <c r="H293"/>
      <c r="I293"/>
      <c r="J293"/>
    </row>
    <row r="294" spans="2:10" x14ac:dyDescent="0.25">
      <c r="B294"/>
      <c r="C294"/>
      <c r="D294"/>
      <c r="E294"/>
      <c r="F294"/>
      <c r="G294"/>
      <c r="H294"/>
      <c r="I294"/>
      <c r="J294"/>
    </row>
    <row r="295" spans="2:10" x14ac:dyDescent="0.25">
      <c r="B295"/>
      <c r="C295"/>
      <c r="D295"/>
      <c r="E295"/>
      <c r="F295"/>
      <c r="G295"/>
      <c r="H295"/>
      <c r="I295"/>
      <c r="J295"/>
    </row>
    <row r="296" spans="2:10" x14ac:dyDescent="0.25">
      <c r="B296"/>
      <c r="C296"/>
      <c r="D296"/>
      <c r="E296"/>
      <c r="F296"/>
      <c r="G296"/>
      <c r="H296"/>
      <c r="I296"/>
      <c r="J296"/>
    </row>
    <row r="297" spans="2:10" x14ac:dyDescent="0.25">
      <c r="B297"/>
      <c r="C297"/>
      <c r="D297"/>
      <c r="E297"/>
      <c r="F297"/>
      <c r="G297"/>
      <c r="H297"/>
      <c r="I297"/>
      <c r="J297"/>
    </row>
    <row r="298" spans="2:10" x14ac:dyDescent="0.25">
      <c r="B298"/>
      <c r="C298"/>
      <c r="D298"/>
      <c r="E298"/>
      <c r="F298"/>
      <c r="G298"/>
      <c r="H298"/>
      <c r="I298"/>
      <c r="J298"/>
    </row>
    <row r="299" spans="2:10" x14ac:dyDescent="0.25">
      <c r="B299"/>
      <c r="C299"/>
      <c r="D299"/>
      <c r="E299"/>
      <c r="F299"/>
      <c r="G299"/>
      <c r="H299"/>
      <c r="I299"/>
      <c r="J299"/>
    </row>
    <row r="300" spans="2:10" x14ac:dyDescent="0.25">
      <c r="B300"/>
      <c r="C300"/>
      <c r="D300"/>
      <c r="E300"/>
      <c r="F300"/>
      <c r="G300"/>
      <c r="H300"/>
      <c r="I300"/>
      <c r="J300"/>
    </row>
    <row r="301" spans="2:10" x14ac:dyDescent="0.25">
      <c r="B301"/>
      <c r="C301"/>
      <c r="D301"/>
      <c r="E301"/>
      <c r="F301"/>
      <c r="G301"/>
      <c r="H301"/>
      <c r="I301"/>
      <c r="J301"/>
    </row>
    <row r="302" spans="2:10" x14ac:dyDescent="0.25">
      <c r="B302"/>
      <c r="C302"/>
      <c r="D302"/>
      <c r="E302"/>
      <c r="F302"/>
      <c r="G302"/>
      <c r="H302"/>
      <c r="I302"/>
      <c r="J302"/>
    </row>
    <row r="303" spans="2:10" x14ac:dyDescent="0.25">
      <c r="B303"/>
      <c r="C303"/>
      <c r="D303"/>
      <c r="E303"/>
      <c r="F303"/>
      <c r="G303"/>
      <c r="H303"/>
      <c r="I303"/>
      <c r="J303"/>
    </row>
    <row r="304" spans="2:10" x14ac:dyDescent="0.25">
      <c r="B304"/>
      <c r="C304"/>
      <c r="D304"/>
      <c r="E304"/>
      <c r="F304"/>
      <c r="G304"/>
      <c r="H304"/>
      <c r="I304"/>
      <c r="J304"/>
    </row>
    <row r="305" spans="2:10" x14ac:dyDescent="0.25">
      <c r="B305"/>
      <c r="C305"/>
      <c r="D305"/>
      <c r="E305"/>
      <c r="F305"/>
      <c r="G305"/>
      <c r="H305"/>
      <c r="I305"/>
      <c r="J305"/>
    </row>
    <row r="306" spans="2:10" x14ac:dyDescent="0.25">
      <c r="B306"/>
      <c r="C306"/>
      <c r="D306"/>
      <c r="E306"/>
      <c r="F306"/>
      <c r="G306"/>
      <c r="H306"/>
      <c r="I306"/>
      <c r="J306"/>
    </row>
    <row r="307" spans="2:10" x14ac:dyDescent="0.25">
      <c r="B307"/>
      <c r="C307"/>
      <c r="D307"/>
      <c r="E307"/>
      <c r="F307"/>
      <c r="G307"/>
      <c r="H307"/>
      <c r="I307"/>
      <c r="J307"/>
    </row>
    <row r="308" spans="2:10" x14ac:dyDescent="0.25">
      <c r="B308"/>
      <c r="C308"/>
      <c r="D308"/>
      <c r="E308"/>
      <c r="F308"/>
      <c r="G308"/>
      <c r="H308"/>
      <c r="I308"/>
      <c r="J308"/>
    </row>
    <row r="309" spans="2:10" x14ac:dyDescent="0.25">
      <c r="B309"/>
      <c r="C309"/>
      <c r="D309"/>
      <c r="E309"/>
      <c r="F309"/>
      <c r="G309"/>
      <c r="H309"/>
      <c r="I309"/>
      <c r="J309"/>
    </row>
    <row r="310" spans="2:10" x14ac:dyDescent="0.25">
      <c r="B310"/>
      <c r="C310"/>
      <c r="D310"/>
      <c r="E310"/>
      <c r="F310"/>
      <c r="G310"/>
      <c r="H310"/>
      <c r="I310"/>
      <c r="J310"/>
    </row>
    <row r="311" spans="2:10" x14ac:dyDescent="0.25">
      <c r="B311"/>
      <c r="C311"/>
      <c r="D311"/>
      <c r="E311"/>
      <c r="F311"/>
      <c r="G311"/>
      <c r="H311"/>
      <c r="I311"/>
      <c r="J311"/>
    </row>
    <row r="312" spans="2:10" x14ac:dyDescent="0.25">
      <c r="B312"/>
      <c r="C312"/>
      <c r="D312"/>
      <c r="E312"/>
      <c r="F312"/>
      <c r="G312"/>
      <c r="H312"/>
      <c r="I312"/>
      <c r="J312"/>
    </row>
    <row r="313" spans="2:10" x14ac:dyDescent="0.25">
      <c r="B313"/>
      <c r="C313"/>
      <c r="D313"/>
      <c r="E313"/>
      <c r="F313"/>
      <c r="G313"/>
      <c r="H313"/>
      <c r="I313"/>
      <c r="J313"/>
    </row>
    <row r="314" spans="2:10" x14ac:dyDescent="0.25">
      <c r="B314"/>
      <c r="C314"/>
      <c r="D314"/>
      <c r="E314"/>
      <c r="F314"/>
      <c r="G314"/>
      <c r="H314"/>
      <c r="I314"/>
      <c r="J314"/>
    </row>
    <row r="315" spans="2:10" x14ac:dyDescent="0.25">
      <c r="B315"/>
      <c r="C315"/>
      <c r="D315"/>
      <c r="E315"/>
      <c r="F315"/>
      <c r="G315"/>
      <c r="H315"/>
      <c r="I315"/>
      <c r="J315"/>
    </row>
    <row r="316" spans="2:10" x14ac:dyDescent="0.25">
      <c r="B316"/>
      <c r="C316"/>
      <c r="D316"/>
      <c r="E316"/>
      <c r="F316"/>
      <c r="G316"/>
      <c r="H316"/>
      <c r="I316"/>
      <c r="J316"/>
    </row>
    <row r="317" spans="2:10" x14ac:dyDescent="0.25">
      <c r="B317"/>
      <c r="C317"/>
      <c r="D317"/>
      <c r="E317"/>
      <c r="F317"/>
      <c r="G317"/>
      <c r="H317"/>
      <c r="I317"/>
      <c r="J317"/>
    </row>
    <row r="318" spans="2:10" x14ac:dyDescent="0.25">
      <c r="B318"/>
      <c r="C318"/>
      <c r="D318"/>
      <c r="E318"/>
      <c r="F318"/>
      <c r="G318"/>
      <c r="H318"/>
      <c r="I318"/>
      <c r="J318"/>
    </row>
    <row r="319" spans="2:10" x14ac:dyDescent="0.25">
      <c r="B319"/>
      <c r="C319"/>
      <c r="D319"/>
      <c r="E319"/>
      <c r="F319"/>
      <c r="G319"/>
      <c r="H319"/>
      <c r="I319"/>
      <c r="J319"/>
    </row>
    <row r="320" spans="2:10" x14ac:dyDescent="0.25">
      <c r="B320"/>
      <c r="C320"/>
      <c r="D320"/>
      <c r="E320"/>
      <c r="F320"/>
      <c r="G320"/>
      <c r="H320"/>
      <c r="I320"/>
      <c r="J320"/>
    </row>
    <row r="321" spans="2:10" x14ac:dyDescent="0.25">
      <c r="B321"/>
      <c r="C321"/>
      <c r="D321"/>
      <c r="E321"/>
      <c r="F321"/>
      <c r="G321"/>
      <c r="H321"/>
      <c r="I321"/>
      <c r="J321"/>
    </row>
    <row r="322" spans="2:10" x14ac:dyDescent="0.25">
      <c r="B322"/>
      <c r="C322"/>
      <c r="D322"/>
      <c r="E322"/>
      <c r="F322"/>
      <c r="G322"/>
      <c r="H322"/>
      <c r="I322"/>
      <c r="J322"/>
    </row>
    <row r="323" spans="2:10" x14ac:dyDescent="0.25">
      <c r="B323"/>
      <c r="C323"/>
      <c r="D323"/>
      <c r="E323"/>
      <c r="F323"/>
      <c r="G323"/>
      <c r="H323"/>
      <c r="I323"/>
      <c r="J323"/>
    </row>
    <row r="324" spans="2:10" x14ac:dyDescent="0.25">
      <c r="B324"/>
      <c r="C324"/>
      <c r="D324"/>
      <c r="E324"/>
      <c r="F324"/>
      <c r="G324"/>
      <c r="H324"/>
      <c r="I324"/>
      <c r="J324"/>
    </row>
    <row r="325" spans="2:10" x14ac:dyDescent="0.25">
      <c r="B325"/>
      <c r="C325"/>
      <c r="D325"/>
      <c r="E325"/>
      <c r="F325"/>
      <c r="G325"/>
      <c r="H325"/>
      <c r="I325"/>
      <c r="J325"/>
    </row>
    <row r="326" spans="2:10" x14ac:dyDescent="0.25">
      <c r="B326"/>
      <c r="C326"/>
      <c r="D326"/>
      <c r="E326"/>
      <c r="F326"/>
      <c r="G326"/>
      <c r="H326"/>
      <c r="I326"/>
      <c r="J326"/>
    </row>
    <row r="327" spans="2:10" x14ac:dyDescent="0.25">
      <c r="B327"/>
      <c r="C327"/>
      <c r="D327"/>
      <c r="E327"/>
      <c r="F327"/>
      <c r="G327"/>
      <c r="H327"/>
      <c r="I327"/>
      <c r="J327"/>
    </row>
    <row r="328" spans="2:10" x14ac:dyDescent="0.25">
      <c r="B328"/>
      <c r="C328"/>
      <c r="D328"/>
      <c r="E328"/>
      <c r="F328"/>
      <c r="G328"/>
      <c r="H328"/>
      <c r="I328"/>
      <c r="J328"/>
    </row>
    <row r="329" spans="2:10" x14ac:dyDescent="0.25">
      <c r="B329"/>
      <c r="C329"/>
      <c r="D329"/>
      <c r="E329"/>
      <c r="F329"/>
      <c r="G329"/>
      <c r="H329"/>
      <c r="I329"/>
      <c r="J329"/>
    </row>
    <row r="330" spans="2:10" x14ac:dyDescent="0.25">
      <c r="B330"/>
      <c r="C330"/>
      <c r="D330"/>
      <c r="E330"/>
      <c r="F330"/>
      <c r="G330"/>
      <c r="H330"/>
      <c r="I330"/>
      <c r="J330"/>
    </row>
    <row r="331" spans="2:10" x14ac:dyDescent="0.25">
      <c r="B331"/>
      <c r="C331"/>
      <c r="D331"/>
      <c r="E331"/>
      <c r="F331"/>
      <c r="G331"/>
      <c r="H331"/>
      <c r="I331"/>
      <c r="J331"/>
    </row>
    <row r="332" spans="2:10" x14ac:dyDescent="0.25">
      <c r="B332"/>
      <c r="C332"/>
      <c r="D332"/>
      <c r="E332"/>
      <c r="F332"/>
      <c r="G332"/>
      <c r="H332"/>
      <c r="I332"/>
      <c r="J332"/>
    </row>
    <row r="333" spans="2:10" x14ac:dyDescent="0.25">
      <c r="B333"/>
      <c r="C333"/>
      <c r="D333"/>
      <c r="E333"/>
      <c r="F333"/>
      <c r="G333"/>
      <c r="H333"/>
      <c r="I333"/>
      <c r="J333"/>
    </row>
    <row r="334" spans="2:10" x14ac:dyDescent="0.25">
      <c r="B334"/>
      <c r="C334"/>
      <c r="D334"/>
      <c r="E334"/>
      <c r="F334"/>
      <c r="G334"/>
      <c r="H334"/>
      <c r="I334"/>
      <c r="J334"/>
    </row>
    <row r="335" spans="2:10" x14ac:dyDescent="0.25">
      <c r="B335"/>
      <c r="C335"/>
      <c r="D335"/>
      <c r="E335"/>
      <c r="F335"/>
      <c r="G335"/>
      <c r="H335"/>
      <c r="I335"/>
      <c r="J335"/>
    </row>
    <row r="336" spans="2:10" x14ac:dyDescent="0.25">
      <c r="B336"/>
      <c r="C336"/>
      <c r="D336"/>
      <c r="E336"/>
      <c r="F336"/>
      <c r="G336"/>
      <c r="H336"/>
      <c r="I336"/>
      <c r="J336"/>
    </row>
    <row r="337" spans="2:10" x14ac:dyDescent="0.25">
      <c r="B337"/>
      <c r="C337"/>
      <c r="D337"/>
      <c r="E337"/>
      <c r="F337"/>
      <c r="G337"/>
      <c r="H337"/>
      <c r="I337"/>
      <c r="J337"/>
    </row>
    <row r="338" spans="2:10" x14ac:dyDescent="0.25">
      <c r="B338"/>
      <c r="C338"/>
      <c r="D338"/>
      <c r="E338"/>
      <c r="F338"/>
      <c r="G338"/>
      <c r="H338"/>
      <c r="I338"/>
      <c r="J338"/>
    </row>
    <row r="339" spans="2:10" x14ac:dyDescent="0.25">
      <c r="B339"/>
      <c r="C339"/>
      <c r="D339"/>
      <c r="E339"/>
      <c r="F339"/>
      <c r="G339"/>
      <c r="H339"/>
      <c r="I339"/>
      <c r="J339"/>
    </row>
    <row r="340" spans="2:10" x14ac:dyDescent="0.25">
      <c r="B340"/>
      <c r="C340"/>
      <c r="D340"/>
      <c r="E340"/>
      <c r="F340"/>
      <c r="G340"/>
      <c r="H340"/>
      <c r="I340"/>
      <c r="J340"/>
    </row>
    <row r="341" spans="2:10" x14ac:dyDescent="0.25">
      <c r="B341"/>
      <c r="C341"/>
      <c r="D341"/>
      <c r="E341"/>
      <c r="F341"/>
      <c r="G341"/>
      <c r="H341"/>
      <c r="I341"/>
      <c r="J341"/>
    </row>
    <row r="342" spans="2:10" x14ac:dyDescent="0.25">
      <c r="B342"/>
      <c r="C342"/>
      <c r="D342"/>
      <c r="E342"/>
      <c r="F342"/>
      <c r="G342"/>
      <c r="H342"/>
      <c r="I342"/>
      <c r="J342"/>
    </row>
    <row r="343" spans="2:10" x14ac:dyDescent="0.25">
      <c r="B343"/>
      <c r="C343"/>
      <c r="D343"/>
      <c r="E343"/>
      <c r="F343"/>
      <c r="G343"/>
      <c r="H343"/>
      <c r="I343"/>
      <c r="J343"/>
    </row>
    <row r="344" spans="2:10" x14ac:dyDescent="0.25">
      <c r="B344"/>
      <c r="C344"/>
      <c r="D344"/>
      <c r="E344"/>
      <c r="F344"/>
      <c r="G344"/>
      <c r="H344"/>
      <c r="I344"/>
      <c r="J344"/>
    </row>
    <row r="345" spans="2:10" x14ac:dyDescent="0.25">
      <c r="B345"/>
      <c r="C345"/>
      <c r="D345"/>
      <c r="E345"/>
      <c r="F345"/>
      <c r="G345"/>
      <c r="H345"/>
      <c r="I345"/>
      <c r="J345"/>
    </row>
    <row r="346" spans="2:10" x14ac:dyDescent="0.25">
      <c r="B346"/>
      <c r="C346"/>
      <c r="D346"/>
      <c r="E346"/>
      <c r="F346"/>
      <c r="G346"/>
      <c r="H346"/>
      <c r="I346"/>
      <c r="J346"/>
    </row>
    <row r="347" spans="2:10" x14ac:dyDescent="0.25">
      <c r="B347"/>
      <c r="C347"/>
      <c r="D347"/>
      <c r="E347"/>
      <c r="F347"/>
      <c r="G347"/>
      <c r="H347"/>
      <c r="I347"/>
      <c r="J347"/>
    </row>
    <row r="348" spans="2:10" x14ac:dyDescent="0.25">
      <c r="B348"/>
      <c r="C348"/>
      <c r="D348"/>
      <c r="E348"/>
      <c r="F348"/>
      <c r="G348"/>
      <c r="H348"/>
      <c r="I348"/>
      <c r="J348"/>
    </row>
    <row r="349" spans="2:10" x14ac:dyDescent="0.25">
      <c r="B349"/>
      <c r="C349"/>
      <c r="D349"/>
      <c r="E349"/>
      <c r="F349"/>
      <c r="G349"/>
      <c r="H349"/>
      <c r="I349"/>
      <c r="J349"/>
    </row>
    <row r="350" spans="2:10" x14ac:dyDescent="0.25">
      <c r="B350"/>
      <c r="C350"/>
      <c r="D350"/>
      <c r="E350"/>
      <c r="F350"/>
      <c r="G350"/>
      <c r="H350"/>
      <c r="I350"/>
      <c r="J350"/>
    </row>
    <row r="351" spans="2:10" x14ac:dyDescent="0.25">
      <c r="B351"/>
      <c r="C351"/>
      <c r="D351"/>
      <c r="E351"/>
      <c r="F351"/>
      <c r="G351"/>
      <c r="H351"/>
      <c r="I351"/>
      <c r="J351"/>
    </row>
    <row r="352" spans="2:10" x14ac:dyDescent="0.25">
      <c r="B352"/>
      <c r="C352"/>
      <c r="D352"/>
      <c r="E352"/>
      <c r="F352"/>
      <c r="G352"/>
      <c r="H352"/>
      <c r="I352"/>
      <c r="J352"/>
    </row>
    <row r="353" spans="2:10" x14ac:dyDescent="0.25">
      <c r="B353"/>
      <c r="C353"/>
      <c r="D353"/>
      <c r="E353"/>
      <c r="F353"/>
      <c r="G353"/>
      <c r="H353"/>
      <c r="I353"/>
      <c r="J353"/>
    </row>
    <row r="354" spans="2:10" x14ac:dyDescent="0.25">
      <c r="B354"/>
      <c r="C354"/>
      <c r="D354"/>
      <c r="E354"/>
      <c r="F354"/>
      <c r="G354"/>
      <c r="H354"/>
      <c r="I354"/>
      <c r="J354"/>
    </row>
    <row r="355" spans="2:10" x14ac:dyDescent="0.25">
      <c r="B355"/>
      <c r="C355"/>
      <c r="D355"/>
      <c r="E355"/>
      <c r="F355"/>
      <c r="G355"/>
      <c r="H355"/>
      <c r="I355"/>
      <c r="J355"/>
    </row>
    <row r="356" spans="2:10" x14ac:dyDescent="0.25">
      <c r="B356"/>
      <c r="C356"/>
      <c r="D356"/>
      <c r="E356"/>
      <c r="F356"/>
      <c r="G356"/>
      <c r="H356"/>
      <c r="I356"/>
      <c r="J356"/>
    </row>
    <row r="357" spans="2:10" x14ac:dyDescent="0.25">
      <c r="B357"/>
      <c r="C357"/>
      <c r="D357"/>
      <c r="E357"/>
      <c r="F357"/>
      <c r="G357"/>
      <c r="H357"/>
      <c r="I357"/>
      <c r="J357"/>
    </row>
    <row r="358" spans="2:10" x14ac:dyDescent="0.25">
      <c r="B358"/>
      <c r="C358"/>
      <c r="D358"/>
      <c r="E358"/>
      <c r="F358"/>
      <c r="G358"/>
      <c r="H358"/>
      <c r="I358"/>
      <c r="J358"/>
    </row>
    <row r="359" spans="2:10" x14ac:dyDescent="0.25">
      <c r="B359"/>
      <c r="C359"/>
      <c r="D359"/>
      <c r="E359"/>
      <c r="F359"/>
      <c r="G359"/>
      <c r="H359"/>
      <c r="I359"/>
      <c r="J359"/>
    </row>
    <row r="360" spans="2:10" x14ac:dyDescent="0.25">
      <c r="B360"/>
      <c r="C360"/>
      <c r="D360"/>
      <c r="E360"/>
      <c r="F360"/>
      <c r="G360"/>
      <c r="H360"/>
      <c r="I360"/>
      <c r="J360"/>
    </row>
    <row r="361" spans="2:10" x14ac:dyDescent="0.25">
      <c r="B361"/>
      <c r="C361"/>
      <c r="D361"/>
      <c r="E361"/>
      <c r="F361"/>
      <c r="G361"/>
      <c r="H361"/>
      <c r="I361"/>
      <c r="J361"/>
    </row>
    <row r="362" spans="2:10" x14ac:dyDescent="0.25">
      <c r="B362"/>
      <c r="C362"/>
      <c r="D362"/>
      <c r="E362"/>
      <c r="F362"/>
      <c r="G362"/>
      <c r="H362"/>
      <c r="I362"/>
      <c r="J362"/>
    </row>
    <row r="363" spans="2:10" x14ac:dyDescent="0.25">
      <c r="B363"/>
      <c r="C363"/>
      <c r="D363"/>
      <c r="E363"/>
      <c r="F363"/>
      <c r="G363"/>
      <c r="H363"/>
      <c r="I363"/>
      <c r="J363"/>
    </row>
    <row r="364" spans="2:10" x14ac:dyDescent="0.25">
      <c r="B364"/>
      <c r="C364"/>
      <c r="D364"/>
      <c r="E364"/>
      <c r="F364"/>
      <c r="G364"/>
      <c r="H364"/>
      <c r="I364"/>
      <c r="J364"/>
    </row>
    <row r="365" spans="2:10" x14ac:dyDescent="0.25">
      <c r="B365"/>
      <c r="C365"/>
      <c r="D365"/>
      <c r="E365"/>
      <c r="F365"/>
      <c r="G365"/>
      <c r="H365"/>
      <c r="I365"/>
      <c r="J365"/>
    </row>
    <row r="366" spans="2:10" x14ac:dyDescent="0.25">
      <c r="B366"/>
      <c r="C366"/>
      <c r="D366"/>
      <c r="E366"/>
      <c r="F366"/>
      <c r="G366"/>
      <c r="H366"/>
      <c r="I366"/>
      <c r="J366"/>
    </row>
    <row r="367" spans="2:10" x14ac:dyDescent="0.25">
      <c r="B367"/>
      <c r="C367"/>
      <c r="D367"/>
      <c r="E367"/>
      <c r="F367"/>
      <c r="G367"/>
      <c r="H367"/>
      <c r="I367"/>
      <c r="J367"/>
    </row>
    <row r="368" spans="2:10" x14ac:dyDescent="0.25">
      <c r="B368"/>
      <c r="C368"/>
      <c r="D368"/>
      <c r="E368"/>
      <c r="F368"/>
      <c r="G368"/>
      <c r="H368"/>
      <c r="I368"/>
      <c r="J368"/>
    </row>
    <row r="369" spans="2:10" x14ac:dyDescent="0.25">
      <c r="B369"/>
      <c r="C369"/>
      <c r="D369"/>
      <c r="E369"/>
      <c r="F369"/>
      <c r="G369"/>
      <c r="H369"/>
      <c r="I369"/>
      <c r="J369"/>
    </row>
    <row r="370" spans="2:10" x14ac:dyDescent="0.25">
      <c r="B370"/>
      <c r="C370"/>
      <c r="D370"/>
      <c r="E370"/>
      <c r="F370"/>
      <c r="G370"/>
      <c r="H370"/>
      <c r="I370"/>
      <c r="J370"/>
    </row>
    <row r="371" spans="2:10" x14ac:dyDescent="0.25">
      <c r="B371"/>
      <c r="C371"/>
      <c r="D371"/>
      <c r="E371"/>
      <c r="F371"/>
      <c r="G371"/>
      <c r="H371"/>
      <c r="I371"/>
      <c r="J371"/>
    </row>
    <row r="372" spans="2:10" x14ac:dyDescent="0.25">
      <c r="B372"/>
      <c r="C372"/>
      <c r="D372"/>
      <c r="E372"/>
      <c r="F372"/>
      <c r="G372"/>
      <c r="H372"/>
      <c r="I372"/>
      <c r="J372"/>
    </row>
    <row r="373" spans="2:10" x14ac:dyDescent="0.25">
      <c r="B373"/>
      <c r="C373"/>
      <c r="D373"/>
      <c r="E373"/>
      <c r="F373"/>
      <c r="G373"/>
      <c r="H373"/>
      <c r="I373"/>
      <c r="J373"/>
    </row>
    <row r="374" spans="2:10" x14ac:dyDescent="0.25">
      <c r="B374"/>
      <c r="C374"/>
      <c r="D374"/>
      <c r="E374"/>
      <c r="F374"/>
      <c r="G374"/>
      <c r="H374"/>
      <c r="I374"/>
      <c r="J374"/>
    </row>
    <row r="375" spans="2:10" x14ac:dyDescent="0.25">
      <c r="B375"/>
      <c r="C375"/>
      <c r="D375"/>
      <c r="E375"/>
      <c r="F375"/>
      <c r="G375"/>
      <c r="H375"/>
      <c r="I375"/>
      <c r="J375"/>
    </row>
    <row r="376" spans="2:10" x14ac:dyDescent="0.25">
      <c r="B376"/>
      <c r="C376"/>
      <c r="D376"/>
      <c r="E376"/>
      <c r="F376"/>
      <c r="G376"/>
      <c r="H376"/>
      <c r="I376"/>
      <c r="J376"/>
    </row>
    <row r="377" spans="2:10" x14ac:dyDescent="0.25">
      <c r="B377"/>
      <c r="C377"/>
      <c r="D377"/>
      <c r="E377"/>
      <c r="F377"/>
      <c r="G377"/>
      <c r="H377"/>
      <c r="I377"/>
      <c r="J377"/>
    </row>
    <row r="378" spans="2:10" x14ac:dyDescent="0.25">
      <c r="B378"/>
      <c r="C378"/>
      <c r="D378"/>
      <c r="E378"/>
      <c r="F378"/>
      <c r="G378"/>
      <c r="H378"/>
      <c r="I378"/>
      <c r="J378"/>
    </row>
    <row r="379" spans="2:10" x14ac:dyDescent="0.25">
      <c r="B379"/>
      <c r="C379"/>
      <c r="D379"/>
      <c r="E379"/>
      <c r="F379"/>
      <c r="G379"/>
      <c r="H379"/>
      <c r="I379"/>
      <c r="J379"/>
    </row>
    <row r="380" spans="2:10" x14ac:dyDescent="0.25">
      <c r="B380"/>
      <c r="C380"/>
      <c r="D380"/>
      <c r="E380"/>
      <c r="F380"/>
      <c r="G380"/>
      <c r="H380"/>
      <c r="I380"/>
      <c r="J380"/>
    </row>
    <row r="381" spans="2:10" x14ac:dyDescent="0.25">
      <c r="B381"/>
      <c r="C381"/>
      <c r="D381"/>
      <c r="E381"/>
      <c r="F381"/>
      <c r="G381"/>
      <c r="H381"/>
      <c r="I381"/>
      <c r="J381"/>
    </row>
    <row r="382" spans="2:10" x14ac:dyDescent="0.25">
      <c r="B382"/>
      <c r="C382"/>
      <c r="D382"/>
      <c r="E382"/>
      <c r="F382"/>
      <c r="G382"/>
      <c r="H382"/>
      <c r="I382"/>
      <c r="J382"/>
    </row>
    <row r="383" spans="2:10" x14ac:dyDescent="0.25">
      <c r="B383"/>
      <c r="C383"/>
      <c r="D383"/>
      <c r="E383"/>
      <c r="F383"/>
      <c r="G383"/>
      <c r="H383"/>
      <c r="I383"/>
      <c r="J383"/>
    </row>
    <row r="384" spans="2:10" x14ac:dyDescent="0.25">
      <c r="B384"/>
      <c r="C384"/>
      <c r="D384"/>
      <c r="E384"/>
      <c r="F384"/>
      <c r="G384"/>
      <c r="H384"/>
      <c r="I384"/>
      <c r="J384"/>
    </row>
    <row r="385" spans="2:10" x14ac:dyDescent="0.25">
      <c r="B385"/>
      <c r="C385"/>
      <c r="D385"/>
      <c r="E385"/>
      <c r="F385"/>
      <c r="G385"/>
      <c r="H385"/>
      <c r="I385"/>
      <c r="J385"/>
    </row>
    <row r="386" spans="2:10" x14ac:dyDescent="0.25">
      <c r="B386"/>
      <c r="C386"/>
      <c r="D386"/>
      <c r="E386"/>
      <c r="F386"/>
      <c r="G386"/>
      <c r="H386"/>
      <c r="I386"/>
      <c r="J386"/>
    </row>
    <row r="387" spans="2:10" x14ac:dyDescent="0.25">
      <c r="B387"/>
      <c r="C387"/>
      <c r="D387"/>
      <c r="E387"/>
      <c r="F387"/>
      <c r="G387"/>
      <c r="H387"/>
      <c r="I387"/>
      <c r="J387"/>
    </row>
    <row r="388" spans="2:10" x14ac:dyDescent="0.25">
      <c r="B388"/>
      <c r="C388"/>
      <c r="D388"/>
      <c r="E388"/>
      <c r="F388"/>
      <c r="G388"/>
      <c r="H388"/>
      <c r="I388"/>
      <c r="J388"/>
    </row>
    <row r="389" spans="2:10" x14ac:dyDescent="0.25">
      <c r="B389"/>
      <c r="C389"/>
      <c r="D389"/>
      <c r="E389"/>
      <c r="F389"/>
      <c r="G389"/>
      <c r="H389"/>
      <c r="I389"/>
      <c r="J389"/>
    </row>
    <row r="390" spans="2:10" x14ac:dyDescent="0.25">
      <c r="B390"/>
      <c r="C390"/>
      <c r="D390"/>
      <c r="E390"/>
      <c r="F390"/>
      <c r="G390"/>
      <c r="H390"/>
      <c r="I390"/>
      <c r="J390"/>
    </row>
    <row r="391" spans="2:10" x14ac:dyDescent="0.25">
      <c r="B391"/>
      <c r="C391"/>
      <c r="D391"/>
      <c r="E391"/>
      <c r="F391"/>
      <c r="G391"/>
      <c r="H391"/>
      <c r="I391"/>
      <c r="J391"/>
    </row>
    <row r="392" spans="2:10" x14ac:dyDescent="0.25">
      <c r="B392"/>
      <c r="C392"/>
      <c r="D392"/>
      <c r="E392"/>
      <c r="F392"/>
      <c r="G392"/>
      <c r="H392"/>
      <c r="I392"/>
      <c r="J392"/>
    </row>
    <row r="393" spans="2:10" x14ac:dyDescent="0.25">
      <c r="B393"/>
      <c r="C393"/>
      <c r="D393"/>
      <c r="E393"/>
      <c r="F393"/>
      <c r="G393"/>
      <c r="H393"/>
      <c r="I393"/>
      <c r="J393"/>
    </row>
    <row r="394" spans="2:10" x14ac:dyDescent="0.25">
      <c r="B394"/>
      <c r="C394"/>
      <c r="D394"/>
      <c r="E394"/>
      <c r="F394"/>
      <c r="G394"/>
      <c r="H394"/>
      <c r="I394"/>
      <c r="J394"/>
    </row>
    <row r="395" spans="2:10" x14ac:dyDescent="0.25">
      <c r="B395"/>
      <c r="C395"/>
      <c r="D395"/>
      <c r="E395"/>
      <c r="F395"/>
      <c r="G395"/>
      <c r="H395"/>
      <c r="I395"/>
      <c r="J395"/>
    </row>
    <row r="396" spans="2:10" x14ac:dyDescent="0.25">
      <c r="B396"/>
      <c r="C396"/>
      <c r="D396"/>
      <c r="E396"/>
      <c r="F396"/>
      <c r="G396"/>
      <c r="H396"/>
      <c r="I396"/>
      <c r="J396"/>
    </row>
    <row r="397" spans="2:10" x14ac:dyDescent="0.25">
      <c r="B397"/>
      <c r="C397"/>
      <c r="D397"/>
      <c r="E397"/>
      <c r="F397"/>
      <c r="G397"/>
      <c r="H397"/>
      <c r="I397"/>
      <c r="J397"/>
    </row>
    <row r="398" spans="2:10" x14ac:dyDescent="0.25">
      <c r="B398"/>
      <c r="C398"/>
      <c r="D398"/>
      <c r="E398"/>
      <c r="F398"/>
      <c r="G398"/>
      <c r="H398"/>
      <c r="I398"/>
      <c r="J398"/>
    </row>
    <row r="399" spans="2:10" x14ac:dyDescent="0.25">
      <c r="B399"/>
      <c r="C399"/>
      <c r="D399"/>
      <c r="E399"/>
      <c r="F399"/>
      <c r="G399"/>
      <c r="H399"/>
      <c r="I399"/>
      <c r="J399"/>
    </row>
    <row r="400" spans="2:10" x14ac:dyDescent="0.25">
      <c r="B400"/>
      <c r="C400"/>
      <c r="D400"/>
      <c r="E400"/>
      <c r="F400"/>
      <c r="G400"/>
      <c r="H400"/>
      <c r="I400"/>
      <c r="J400"/>
    </row>
    <row r="401" spans="2:10" x14ac:dyDescent="0.25">
      <c r="B401"/>
      <c r="C401"/>
      <c r="D401"/>
      <c r="E401"/>
      <c r="F401"/>
      <c r="G401"/>
      <c r="H401"/>
      <c r="I401"/>
      <c r="J401"/>
    </row>
    <row r="402" spans="2:10" x14ac:dyDescent="0.25">
      <c r="B402"/>
      <c r="C402"/>
      <c r="D402"/>
      <c r="E402"/>
      <c r="F402"/>
      <c r="G402"/>
      <c r="H402"/>
      <c r="I402"/>
      <c r="J402"/>
    </row>
    <row r="403" spans="2:10" x14ac:dyDescent="0.25">
      <c r="B403"/>
      <c r="C403"/>
      <c r="D403"/>
      <c r="E403"/>
      <c r="F403"/>
      <c r="G403"/>
      <c r="H403"/>
      <c r="I403"/>
      <c r="J403"/>
    </row>
    <row r="404" spans="2:10" x14ac:dyDescent="0.25">
      <c r="B404"/>
      <c r="C404"/>
      <c r="D404"/>
      <c r="E404"/>
      <c r="F404"/>
      <c r="G404"/>
      <c r="H404"/>
      <c r="I404"/>
      <c r="J404"/>
    </row>
    <row r="405" spans="2:10" x14ac:dyDescent="0.25">
      <c r="B405"/>
      <c r="C405"/>
      <c r="D405"/>
      <c r="E405"/>
      <c r="F405"/>
      <c r="G405"/>
      <c r="H405"/>
      <c r="I405"/>
      <c r="J405"/>
    </row>
    <row r="406" spans="2:10" x14ac:dyDescent="0.25">
      <c r="B406"/>
      <c r="C406"/>
      <c r="D406"/>
      <c r="E406"/>
      <c r="F406"/>
      <c r="G406"/>
      <c r="H406"/>
      <c r="I406"/>
      <c r="J406"/>
    </row>
    <row r="407" spans="2:10" x14ac:dyDescent="0.25">
      <c r="B407"/>
      <c r="C407"/>
      <c r="D407"/>
      <c r="E407"/>
      <c r="F407"/>
      <c r="G407"/>
      <c r="H407"/>
      <c r="I407"/>
      <c r="J407"/>
    </row>
    <row r="408" spans="2:10" x14ac:dyDescent="0.25">
      <c r="B408"/>
      <c r="C408"/>
      <c r="D408"/>
      <c r="E408"/>
      <c r="F408"/>
      <c r="G408"/>
      <c r="H408"/>
      <c r="I408"/>
      <c r="J408"/>
    </row>
    <row r="409" spans="2:10" x14ac:dyDescent="0.25">
      <c r="B409"/>
      <c r="C409"/>
      <c r="D409"/>
      <c r="E409"/>
      <c r="F409"/>
      <c r="G409"/>
      <c r="H409"/>
      <c r="I409"/>
      <c r="J409"/>
    </row>
    <row r="410" spans="2:10" x14ac:dyDescent="0.25">
      <c r="B410"/>
      <c r="C410"/>
      <c r="D410"/>
      <c r="E410"/>
      <c r="F410"/>
      <c r="G410"/>
      <c r="H410"/>
      <c r="I410"/>
      <c r="J410"/>
    </row>
    <row r="411" spans="2:10" x14ac:dyDescent="0.25">
      <c r="B411"/>
      <c r="C411"/>
      <c r="D411"/>
      <c r="E411"/>
      <c r="F411"/>
      <c r="G411"/>
      <c r="H411"/>
      <c r="I411"/>
      <c r="J411"/>
    </row>
    <row r="412" spans="2:10" x14ac:dyDescent="0.25">
      <c r="B412"/>
      <c r="C412"/>
      <c r="D412"/>
      <c r="E412"/>
      <c r="F412"/>
      <c r="G412"/>
      <c r="H412"/>
      <c r="I412"/>
      <c r="J412"/>
    </row>
    <row r="413" spans="2:10" x14ac:dyDescent="0.25">
      <c r="B413"/>
      <c r="C413"/>
      <c r="D413"/>
      <c r="E413"/>
      <c r="F413"/>
      <c r="G413"/>
      <c r="H413"/>
      <c r="I413"/>
      <c r="J413"/>
    </row>
    <row r="414" spans="2:10" x14ac:dyDescent="0.25">
      <c r="B414"/>
      <c r="C414"/>
      <c r="D414"/>
      <c r="E414"/>
      <c r="F414"/>
      <c r="G414"/>
      <c r="H414"/>
      <c r="I414"/>
      <c r="J414"/>
    </row>
    <row r="415" spans="2:10" x14ac:dyDescent="0.25">
      <c r="B415"/>
      <c r="C415"/>
      <c r="D415"/>
      <c r="E415"/>
      <c r="F415"/>
      <c r="G415"/>
      <c r="H415"/>
      <c r="I415"/>
      <c r="J415"/>
    </row>
    <row r="416" spans="2:10" x14ac:dyDescent="0.25">
      <c r="B416"/>
      <c r="C416"/>
      <c r="D416"/>
      <c r="E416"/>
      <c r="F416"/>
      <c r="G416"/>
      <c r="H416"/>
      <c r="I416"/>
      <c r="J416"/>
    </row>
    <row r="417" spans="2:10" x14ac:dyDescent="0.25">
      <c r="B417"/>
      <c r="C417"/>
      <c r="D417"/>
      <c r="E417"/>
      <c r="F417"/>
      <c r="G417"/>
      <c r="H417"/>
      <c r="I417"/>
      <c r="J417"/>
    </row>
    <row r="418" spans="2:10" x14ac:dyDescent="0.25">
      <c r="B418"/>
      <c r="C418"/>
      <c r="D418"/>
      <c r="E418"/>
      <c r="F418"/>
      <c r="G418"/>
      <c r="H418"/>
      <c r="I418"/>
      <c r="J418"/>
    </row>
    <row r="419" spans="2:10" x14ac:dyDescent="0.25">
      <c r="B419"/>
      <c r="C419"/>
      <c r="D419"/>
      <c r="E419"/>
      <c r="F419"/>
      <c r="G419"/>
      <c r="H419"/>
      <c r="I419"/>
      <c r="J419"/>
    </row>
    <row r="420" spans="2:10" x14ac:dyDescent="0.25">
      <c r="B420"/>
      <c r="C420"/>
      <c r="D420"/>
      <c r="E420"/>
      <c r="F420"/>
      <c r="G420"/>
      <c r="H420"/>
      <c r="I420"/>
      <c r="J420"/>
    </row>
    <row r="421" spans="2:10" x14ac:dyDescent="0.25">
      <c r="B421"/>
      <c r="C421"/>
      <c r="D421"/>
      <c r="E421"/>
      <c r="F421"/>
      <c r="G421"/>
      <c r="H421"/>
      <c r="I421"/>
      <c r="J421"/>
    </row>
    <row r="422" spans="2:10" x14ac:dyDescent="0.25">
      <c r="B422"/>
      <c r="C422"/>
      <c r="D422"/>
      <c r="E422"/>
      <c r="F422"/>
      <c r="G422"/>
      <c r="H422"/>
      <c r="I422"/>
      <c r="J422"/>
    </row>
    <row r="423" spans="2:10" x14ac:dyDescent="0.25">
      <c r="B423"/>
      <c r="C423"/>
      <c r="D423"/>
      <c r="E423"/>
      <c r="F423"/>
      <c r="G423"/>
      <c r="H423"/>
      <c r="I423"/>
      <c r="J423"/>
    </row>
    <row r="424" spans="2:10" x14ac:dyDescent="0.25">
      <c r="B424"/>
      <c r="C424"/>
      <c r="D424"/>
      <c r="E424"/>
      <c r="F424"/>
      <c r="G424"/>
      <c r="H424"/>
      <c r="I424"/>
      <c r="J424"/>
    </row>
    <row r="425" spans="2:10" x14ac:dyDescent="0.25">
      <c r="B425"/>
      <c r="C425"/>
      <c r="D425"/>
      <c r="E425"/>
      <c r="F425"/>
      <c r="G425"/>
      <c r="H425"/>
      <c r="I425"/>
      <c r="J425"/>
    </row>
    <row r="426" spans="2:10" x14ac:dyDescent="0.25">
      <c r="B426"/>
      <c r="C426"/>
      <c r="D426"/>
      <c r="E426"/>
      <c r="F426"/>
      <c r="G426"/>
      <c r="H426"/>
      <c r="I426"/>
      <c r="J426"/>
    </row>
    <row r="427" spans="2:10" x14ac:dyDescent="0.25">
      <c r="B427"/>
      <c r="C427"/>
      <c r="D427"/>
      <c r="E427"/>
      <c r="F427"/>
      <c r="G427"/>
      <c r="H427"/>
      <c r="I427"/>
      <c r="J427"/>
    </row>
    <row r="428" spans="2:10" x14ac:dyDescent="0.25">
      <c r="B428"/>
      <c r="C428"/>
      <c r="D428"/>
      <c r="E428"/>
      <c r="F428"/>
      <c r="G428"/>
      <c r="H428"/>
      <c r="I428"/>
      <c r="J428"/>
    </row>
    <row r="429" spans="2:10" x14ac:dyDescent="0.25">
      <c r="B429"/>
      <c r="C429"/>
      <c r="D429"/>
      <c r="E429"/>
      <c r="F429"/>
      <c r="G429"/>
      <c r="H429"/>
      <c r="I429"/>
      <c r="J429"/>
    </row>
    <row r="430" spans="2:10" x14ac:dyDescent="0.25">
      <c r="B430"/>
      <c r="C430"/>
      <c r="D430"/>
      <c r="E430"/>
      <c r="F430"/>
      <c r="G430"/>
      <c r="H430"/>
      <c r="I430"/>
      <c r="J430"/>
    </row>
    <row r="431" spans="2:10" x14ac:dyDescent="0.25">
      <c r="B431"/>
      <c r="C431"/>
      <c r="D431"/>
      <c r="E431"/>
      <c r="F431"/>
      <c r="G431"/>
      <c r="H431"/>
      <c r="I431"/>
      <c r="J431"/>
    </row>
    <row r="432" spans="2:10" x14ac:dyDescent="0.25">
      <c r="B432"/>
      <c r="C432"/>
      <c r="D432"/>
      <c r="E432"/>
      <c r="F432"/>
      <c r="G432"/>
      <c r="H432"/>
      <c r="I432"/>
      <c r="J432"/>
    </row>
    <row r="433" spans="2:10" x14ac:dyDescent="0.25">
      <c r="B433"/>
      <c r="C433"/>
      <c r="D433"/>
      <c r="E433"/>
      <c r="F433"/>
      <c r="G433"/>
      <c r="H433"/>
      <c r="I433"/>
      <c r="J433"/>
    </row>
    <row r="434" spans="2:10" x14ac:dyDescent="0.25">
      <c r="B434"/>
      <c r="C434"/>
      <c r="D434"/>
      <c r="E434"/>
      <c r="F434"/>
      <c r="G434"/>
      <c r="H434"/>
      <c r="I434"/>
      <c r="J434"/>
    </row>
    <row r="435" spans="2:10" x14ac:dyDescent="0.25">
      <c r="B435"/>
      <c r="C435"/>
      <c r="D435"/>
      <c r="E435"/>
      <c r="F435"/>
      <c r="G435"/>
      <c r="H435"/>
      <c r="I435"/>
      <c r="J435"/>
    </row>
    <row r="436" spans="2:10" x14ac:dyDescent="0.25">
      <c r="B436"/>
      <c r="C436"/>
      <c r="D436"/>
      <c r="E436"/>
      <c r="F436"/>
      <c r="G436"/>
      <c r="H436"/>
      <c r="I436"/>
      <c r="J436"/>
    </row>
    <row r="437" spans="2:10" x14ac:dyDescent="0.25">
      <c r="B437"/>
      <c r="C437"/>
      <c r="D437"/>
      <c r="E437"/>
      <c r="F437"/>
      <c r="G437"/>
      <c r="H437"/>
      <c r="I437"/>
      <c r="J437"/>
    </row>
    <row r="438" spans="2:10" x14ac:dyDescent="0.25">
      <c r="B438"/>
      <c r="C438"/>
      <c r="D438"/>
      <c r="E438"/>
      <c r="F438"/>
      <c r="G438"/>
      <c r="H438"/>
      <c r="I438"/>
      <c r="J438"/>
    </row>
    <row r="439" spans="2:10" x14ac:dyDescent="0.25">
      <c r="B439"/>
      <c r="C439"/>
      <c r="D439"/>
      <c r="E439"/>
      <c r="F439"/>
      <c r="G439"/>
      <c r="H439"/>
      <c r="I439"/>
      <c r="J439"/>
    </row>
    <row r="440" spans="2:10" x14ac:dyDescent="0.25">
      <c r="B440"/>
      <c r="C440"/>
      <c r="D440"/>
      <c r="E440"/>
      <c r="F440"/>
      <c r="G440"/>
      <c r="H440"/>
      <c r="I440"/>
      <c r="J440"/>
    </row>
    <row r="441" spans="2:10" x14ac:dyDescent="0.25">
      <c r="B441"/>
      <c r="C441"/>
      <c r="D441"/>
      <c r="E441"/>
      <c r="F441"/>
      <c r="G441"/>
      <c r="H441"/>
      <c r="I441"/>
      <c r="J441"/>
    </row>
    <row r="442" spans="2:10" x14ac:dyDescent="0.25">
      <c r="B442"/>
      <c r="C442"/>
      <c r="D442"/>
      <c r="E442"/>
      <c r="F442"/>
      <c r="G442"/>
      <c r="H442"/>
      <c r="I442"/>
      <c r="J442"/>
    </row>
    <row r="443" spans="2:10" x14ac:dyDescent="0.25">
      <c r="B443"/>
      <c r="C443"/>
      <c r="D443"/>
      <c r="E443"/>
      <c r="F443"/>
      <c r="G443"/>
      <c r="H443"/>
      <c r="I443"/>
      <c r="J443"/>
    </row>
    <row r="444" spans="2:10" x14ac:dyDescent="0.25">
      <c r="B444"/>
      <c r="C444"/>
      <c r="D444"/>
      <c r="E444"/>
      <c r="F444"/>
      <c r="G444"/>
      <c r="H444"/>
      <c r="I444"/>
      <c r="J444"/>
    </row>
    <row r="445" spans="2:10" x14ac:dyDescent="0.25">
      <c r="B445"/>
      <c r="C445"/>
      <c r="D445"/>
      <c r="E445"/>
      <c r="F445"/>
      <c r="G445"/>
      <c r="H445"/>
      <c r="I445"/>
      <c r="J445"/>
    </row>
    <row r="446" spans="2:10" x14ac:dyDescent="0.25">
      <c r="B446"/>
      <c r="C446"/>
      <c r="D446"/>
      <c r="E446"/>
      <c r="F446"/>
      <c r="G446"/>
      <c r="H446"/>
      <c r="I446"/>
      <c r="J446"/>
    </row>
    <row r="447" spans="2:10" x14ac:dyDescent="0.25">
      <c r="B447"/>
      <c r="C447"/>
      <c r="D447"/>
      <c r="E447"/>
      <c r="F447"/>
      <c r="G447"/>
      <c r="H447"/>
      <c r="I447"/>
      <c r="J447"/>
    </row>
    <row r="448" spans="2:10" x14ac:dyDescent="0.25">
      <c r="B448"/>
      <c r="C448"/>
      <c r="D448"/>
      <c r="E448"/>
      <c r="F448"/>
      <c r="G448"/>
      <c r="H448"/>
      <c r="I448"/>
      <c r="J448"/>
    </row>
    <row r="449" spans="2:10" x14ac:dyDescent="0.25">
      <c r="B449"/>
      <c r="C449"/>
      <c r="D449"/>
      <c r="E449"/>
      <c r="F449"/>
      <c r="G449"/>
      <c r="H449"/>
      <c r="I449"/>
      <c r="J449"/>
    </row>
    <row r="450" spans="2:10" x14ac:dyDescent="0.25">
      <c r="B450"/>
      <c r="C450"/>
      <c r="D450"/>
      <c r="E450"/>
      <c r="F450"/>
      <c r="G450"/>
      <c r="H450"/>
      <c r="I450"/>
      <c r="J450"/>
    </row>
    <row r="451" spans="2:10" x14ac:dyDescent="0.25">
      <c r="B451"/>
      <c r="C451"/>
      <c r="D451"/>
      <c r="E451"/>
      <c r="F451"/>
      <c r="G451"/>
      <c r="H451"/>
      <c r="I451"/>
      <c r="J451"/>
    </row>
    <row r="452" spans="2:10" x14ac:dyDescent="0.25">
      <c r="B452"/>
      <c r="C452"/>
      <c r="D452"/>
      <c r="E452"/>
      <c r="F452"/>
      <c r="G452"/>
      <c r="H452"/>
      <c r="I452"/>
      <c r="J452"/>
    </row>
    <row r="453" spans="2:10" x14ac:dyDescent="0.25">
      <c r="B453"/>
      <c r="C453"/>
      <c r="D453"/>
      <c r="E453"/>
      <c r="F453"/>
      <c r="G453"/>
      <c r="H453"/>
      <c r="I453"/>
      <c r="J453"/>
    </row>
    <row r="454" spans="2:10" x14ac:dyDescent="0.25">
      <c r="B454"/>
      <c r="C454"/>
      <c r="D454"/>
      <c r="E454"/>
      <c r="F454"/>
      <c r="G454"/>
      <c r="H454"/>
      <c r="I454"/>
      <c r="J454"/>
    </row>
    <row r="455" spans="2:10" x14ac:dyDescent="0.25">
      <c r="B455"/>
      <c r="C455"/>
      <c r="D455"/>
      <c r="E455"/>
      <c r="F455"/>
      <c r="G455"/>
      <c r="H455"/>
      <c r="I455"/>
      <c r="J455"/>
    </row>
    <row r="456" spans="2:10" x14ac:dyDescent="0.25">
      <c r="B456"/>
      <c r="C456"/>
      <c r="D456"/>
      <c r="E456"/>
      <c r="F456"/>
      <c r="G456"/>
      <c r="H456"/>
      <c r="I456"/>
      <c r="J456"/>
    </row>
    <row r="457" spans="2:10" x14ac:dyDescent="0.25">
      <c r="B457"/>
      <c r="C457"/>
      <c r="D457"/>
      <c r="E457"/>
      <c r="F457"/>
      <c r="G457"/>
      <c r="H457"/>
      <c r="I457"/>
      <c r="J457"/>
    </row>
    <row r="458" spans="2:10" x14ac:dyDescent="0.25">
      <c r="B458"/>
      <c r="C458"/>
      <c r="D458"/>
      <c r="E458"/>
      <c r="F458"/>
      <c r="G458"/>
      <c r="H458"/>
      <c r="I458"/>
      <c r="J458"/>
    </row>
    <row r="459" spans="2:10" x14ac:dyDescent="0.25">
      <c r="B459"/>
      <c r="C459"/>
      <c r="D459"/>
      <c r="E459"/>
      <c r="F459"/>
      <c r="G459"/>
      <c r="H459"/>
      <c r="I459"/>
      <c r="J459"/>
    </row>
    <row r="460" spans="2:10" x14ac:dyDescent="0.25">
      <c r="B460"/>
      <c r="C460"/>
      <c r="D460"/>
      <c r="E460"/>
      <c r="F460"/>
      <c r="G460"/>
      <c r="H460"/>
      <c r="I460"/>
      <c r="J460"/>
    </row>
    <row r="461" spans="2:10" x14ac:dyDescent="0.25">
      <c r="B461"/>
      <c r="C461"/>
      <c r="D461"/>
      <c r="E461"/>
      <c r="F461"/>
      <c r="G461"/>
      <c r="H461"/>
      <c r="I461"/>
      <c r="J461"/>
    </row>
    <row r="462" spans="2:10" x14ac:dyDescent="0.25">
      <c r="B462"/>
      <c r="C462"/>
      <c r="D462"/>
      <c r="E462"/>
      <c r="F462"/>
      <c r="G462"/>
      <c r="H462"/>
      <c r="I462"/>
      <c r="J462"/>
    </row>
    <row r="463" spans="2:10" x14ac:dyDescent="0.25">
      <c r="B463"/>
      <c r="C463"/>
      <c r="D463"/>
      <c r="E463"/>
      <c r="F463"/>
      <c r="G463"/>
      <c r="H463"/>
      <c r="I463"/>
      <c r="J463"/>
    </row>
    <row r="464" spans="2:10" x14ac:dyDescent="0.25">
      <c r="B464"/>
      <c r="C464"/>
      <c r="D464"/>
      <c r="E464"/>
      <c r="F464"/>
      <c r="G464"/>
      <c r="H464"/>
      <c r="I464"/>
      <c r="J464"/>
    </row>
    <row r="465" spans="2:10" x14ac:dyDescent="0.25">
      <c r="B465"/>
      <c r="C465"/>
      <c r="D465"/>
      <c r="E465"/>
      <c r="F465"/>
      <c r="G465"/>
      <c r="H465"/>
      <c r="I465"/>
      <c r="J465"/>
    </row>
    <row r="466" spans="2:10" x14ac:dyDescent="0.25">
      <c r="B466"/>
      <c r="C466"/>
      <c r="D466"/>
      <c r="E466"/>
      <c r="F466"/>
      <c r="G466"/>
      <c r="H466"/>
      <c r="I466"/>
      <c r="J466"/>
    </row>
    <row r="467" spans="2:10" x14ac:dyDescent="0.25">
      <c r="B467"/>
      <c r="C467"/>
      <c r="D467"/>
      <c r="E467"/>
      <c r="F467"/>
      <c r="G467"/>
      <c r="H467"/>
      <c r="I467"/>
      <c r="J467"/>
    </row>
    <row r="468" spans="2:10" x14ac:dyDescent="0.25">
      <c r="B468"/>
      <c r="C468"/>
      <c r="D468"/>
      <c r="E468"/>
      <c r="F468"/>
      <c r="G468"/>
      <c r="H468"/>
      <c r="I468"/>
      <c r="J468"/>
    </row>
    <row r="469" spans="2:10" x14ac:dyDescent="0.25">
      <c r="B469"/>
      <c r="C469"/>
      <c r="D469"/>
      <c r="E469"/>
      <c r="F469"/>
      <c r="G469"/>
      <c r="H469"/>
      <c r="I469"/>
      <c r="J469"/>
    </row>
    <row r="470" spans="2:10" x14ac:dyDescent="0.25">
      <c r="B470"/>
      <c r="C470"/>
      <c r="D470"/>
      <c r="E470"/>
      <c r="F470"/>
      <c r="G470"/>
      <c r="H470"/>
      <c r="I470"/>
      <c r="J470"/>
    </row>
    <row r="471" spans="2:10" x14ac:dyDescent="0.25">
      <c r="B471"/>
      <c r="C471"/>
      <c r="D471"/>
      <c r="E471"/>
      <c r="F471"/>
      <c r="G471"/>
      <c r="H471"/>
      <c r="I471"/>
      <c r="J471"/>
    </row>
    <row r="472" spans="2:10" x14ac:dyDescent="0.25">
      <c r="B472"/>
      <c r="C472"/>
      <c r="D472"/>
      <c r="E472"/>
      <c r="F472"/>
      <c r="G472"/>
      <c r="H472"/>
      <c r="I472"/>
      <c r="J472"/>
    </row>
    <row r="473" spans="2:10" x14ac:dyDescent="0.25">
      <c r="B473"/>
      <c r="C473"/>
      <c r="D473"/>
      <c r="E473"/>
      <c r="F473"/>
      <c r="G473"/>
      <c r="H473"/>
      <c r="I473"/>
      <c r="J473"/>
    </row>
    <row r="474" spans="2:10" x14ac:dyDescent="0.25">
      <c r="B474"/>
      <c r="C474"/>
      <c r="D474"/>
      <c r="E474"/>
      <c r="F474"/>
      <c r="G474"/>
      <c r="H474"/>
      <c r="I474"/>
      <c r="J474"/>
    </row>
    <row r="475" spans="2:10" x14ac:dyDescent="0.25">
      <c r="B475"/>
      <c r="C475"/>
      <c r="D475"/>
      <c r="E475"/>
      <c r="F475"/>
      <c r="G475"/>
      <c r="H475"/>
      <c r="I475"/>
      <c r="J475"/>
    </row>
    <row r="476" spans="2:10" x14ac:dyDescent="0.25">
      <c r="B476"/>
      <c r="C476"/>
      <c r="D476"/>
      <c r="E476"/>
      <c r="F476"/>
      <c r="G476"/>
      <c r="H476"/>
      <c r="I476"/>
      <c r="J476"/>
    </row>
    <row r="477" spans="2:10" x14ac:dyDescent="0.25">
      <c r="B477"/>
      <c r="C477"/>
      <c r="D477"/>
      <c r="E477"/>
      <c r="F477"/>
      <c r="G477"/>
      <c r="H477"/>
      <c r="I477"/>
      <c r="J477"/>
    </row>
    <row r="478" spans="2:10" x14ac:dyDescent="0.25">
      <c r="B478"/>
      <c r="C478"/>
      <c r="D478"/>
      <c r="E478"/>
      <c r="F478"/>
      <c r="G478"/>
      <c r="H478"/>
      <c r="I478"/>
      <c r="J478"/>
    </row>
    <row r="479" spans="2:10" x14ac:dyDescent="0.25">
      <c r="B479"/>
      <c r="C479"/>
      <c r="D479"/>
      <c r="E479"/>
      <c r="F479"/>
      <c r="G479"/>
      <c r="H479"/>
      <c r="I479"/>
      <c r="J479"/>
    </row>
    <row r="480" spans="2:10" x14ac:dyDescent="0.25">
      <c r="B480"/>
      <c r="C480"/>
      <c r="D480"/>
      <c r="E480"/>
      <c r="F480"/>
      <c r="G480"/>
      <c r="H480"/>
      <c r="I480"/>
      <c r="J480"/>
    </row>
    <row r="481" spans="2:10" x14ac:dyDescent="0.25">
      <c r="B481"/>
      <c r="C481"/>
      <c r="D481"/>
      <c r="E481"/>
      <c r="F481"/>
      <c r="G481"/>
      <c r="H481"/>
      <c r="I481"/>
      <c r="J481"/>
    </row>
    <row r="482" spans="2:10" x14ac:dyDescent="0.25">
      <c r="B482"/>
      <c r="C482"/>
      <c r="D482"/>
      <c r="E482"/>
      <c r="F482"/>
      <c r="G482"/>
      <c r="H482"/>
      <c r="I482"/>
      <c r="J482"/>
    </row>
    <row r="483" spans="2:10" x14ac:dyDescent="0.25">
      <c r="B483"/>
      <c r="C483"/>
      <c r="D483"/>
      <c r="E483"/>
      <c r="F483"/>
      <c r="G483"/>
      <c r="H483"/>
      <c r="I483"/>
      <c r="J483"/>
    </row>
    <row r="484" spans="2:10" x14ac:dyDescent="0.25">
      <c r="B484"/>
      <c r="C484"/>
      <c r="D484"/>
      <c r="E484"/>
      <c r="F484"/>
      <c r="G484"/>
      <c r="H484"/>
      <c r="I484"/>
      <c r="J484"/>
    </row>
    <row r="485" spans="2:10" x14ac:dyDescent="0.25">
      <c r="B485"/>
      <c r="C485"/>
      <c r="D485"/>
      <c r="E485"/>
      <c r="F485"/>
      <c r="G485"/>
      <c r="H485"/>
      <c r="I485"/>
      <c r="J485"/>
    </row>
    <row r="486" spans="2:10" x14ac:dyDescent="0.25">
      <c r="B486"/>
      <c r="C486"/>
      <c r="D486"/>
      <c r="E486"/>
      <c r="F486"/>
      <c r="G486"/>
      <c r="H486"/>
      <c r="I486"/>
      <c r="J486"/>
    </row>
    <row r="487" spans="2:10" x14ac:dyDescent="0.25">
      <c r="B487"/>
      <c r="C487"/>
      <c r="D487"/>
      <c r="E487"/>
      <c r="F487"/>
      <c r="G487"/>
      <c r="H487"/>
      <c r="I487"/>
      <c r="J487"/>
    </row>
    <row r="488" spans="2:10" x14ac:dyDescent="0.25">
      <c r="B488"/>
      <c r="C488"/>
      <c r="D488"/>
      <c r="E488"/>
      <c r="F488"/>
      <c r="G488"/>
      <c r="H488"/>
      <c r="I488"/>
      <c r="J488"/>
    </row>
    <row r="489" spans="2:10" x14ac:dyDescent="0.25">
      <c r="B489"/>
      <c r="C489"/>
      <c r="D489"/>
      <c r="E489"/>
      <c r="F489"/>
      <c r="G489"/>
      <c r="H489"/>
      <c r="I489"/>
      <c r="J489"/>
    </row>
    <row r="490" spans="2:10" x14ac:dyDescent="0.25">
      <c r="B490"/>
      <c r="C490"/>
      <c r="D490"/>
      <c r="E490"/>
      <c r="F490"/>
      <c r="G490"/>
      <c r="H490"/>
      <c r="I490"/>
      <c r="J490"/>
    </row>
    <row r="491" spans="2:10" x14ac:dyDescent="0.25">
      <c r="B491"/>
      <c r="C491"/>
      <c r="D491"/>
      <c r="E491"/>
      <c r="F491"/>
      <c r="G491"/>
      <c r="H491"/>
      <c r="I491"/>
      <c r="J491"/>
    </row>
    <row r="492" spans="2:10" x14ac:dyDescent="0.25">
      <c r="B492"/>
      <c r="C492"/>
      <c r="D492"/>
      <c r="E492"/>
      <c r="F492"/>
      <c r="G492"/>
      <c r="H492"/>
      <c r="I492"/>
      <c r="J492"/>
    </row>
    <row r="493" spans="2:10" x14ac:dyDescent="0.25">
      <c r="B493"/>
      <c r="C493"/>
      <c r="D493"/>
      <c r="E493"/>
      <c r="F493"/>
      <c r="G493"/>
      <c r="H493"/>
      <c r="I493"/>
      <c r="J493"/>
    </row>
    <row r="494" spans="2:10" x14ac:dyDescent="0.25">
      <c r="B494"/>
      <c r="C494"/>
      <c r="D494"/>
      <c r="E494"/>
      <c r="F494"/>
      <c r="G494"/>
      <c r="H494"/>
      <c r="I494"/>
      <c r="J494"/>
    </row>
    <row r="495" spans="2:10" x14ac:dyDescent="0.25">
      <c r="B495"/>
      <c r="C495"/>
      <c r="D495"/>
      <c r="E495"/>
      <c r="F495"/>
      <c r="G495"/>
      <c r="H495"/>
      <c r="I495"/>
      <c r="J495"/>
    </row>
    <row r="496" spans="2:10" x14ac:dyDescent="0.25">
      <c r="B496"/>
      <c r="C496"/>
      <c r="D496"/>
      <c r="E496"/>
      <c r="F496"/>
      <c r="G496"/>
      <c r="H496"/>
      <c r="I496"/>
      <c r="J496"/>
    </row>
    <row r="497" spans="2:10" x14ac:dyDescent="0.25">
      <c r="B497"/>
      <c r="C497"/>
      <c r="D497"/>
      <c r="E497"/>
      <c r="F497"/>
      <c r="G497"/>
      <c r="H497"/>
      <c r="I497"/>
      <c r="J497"/>
    </row>
    <row r="498" spans="2:10" x14ac:dyDescent="0.25">
      <c r="B498"/>
      <c r="C498"/>
      <c r="D498"/>
      <c r="E498"/>
      <c r="F498"/>
      <c r="G498"/>
      <c r="H498"/>
      <c r="I498"/>
      <c r="J498"/>
    </row>
    <row r="499" spans="2:10" x14ac:dyDescent="0.25">
      <c r="B499"/>
      <c r="C499"/>
      <c r="D499"/>
      <c r="E499"/>
      <c r="F499"/>
      <c r="G499"/>
      <c r="H499"/>
      <c r="I499"/>
      <c r="J499"/>
    </row>
    <row r="500" spans="2:10" x14ac:dyDescent="0.25">
      <c r="B500"/>
      <c r="C500"/>
      <c r="D500"/>
      <c r="E500"/>
      <c r="F500"/>
      <c r="G500"/>
      <c r="H500"/>
      <c r="I500"/>
      <c r="J500"/>
    </row>
    <row r="501" spans="2:10" x14ac:dyDescent="0.25">
      <c r="B501"/>
      <c r="C501"/>
      <c r="D501"/>
      <c r="E501"/>
      <c r="F501"/>
      <c r="G501"/>
      <c r="H501"/>
      <c r="I501"/>
      <c r="J501"/>
    </row>
    <row r="502" spans="2:10" x14ac:dyDescent="0.25">
      <c r="B502"/>
      <c r="C502"/>
      <c r="D502"/>
      <c r="E502"/>
      <c r="F502"/>
      <c r="G502"/>
      <c r="H502"/>
      <c r="I502"/>
      <c r="J502"/>
    </row>
    <row r="503" spans="2:10" x14ac:dyDescent="0.25">
      <c r="B503"/>
      <c r="C503"/>
      <c r="D503"/>
      <c r="E503"/>
      <c r="F503"/>
      <c r="G503"/>
      <c r="H503"/>
      <c r="I503"/>
      <c r="J503"/>
    </row>
    <row r="504" spans="2:10" x14ac:dyDescent="0.25">
      <c r="B504"/>
      <c r="C504"/>
      <c r="D504"/>
      <c r="E504"/>
      <c r="F504"/>
      <c r="G504"/>
      <c r="H504"/>
      <c r="I504"/>
      <c r="J504"/>
    </row>
    <row r="505" spans="2:10" x14ac:dyDescent="0.25">
      <c r="B505"/>
      <c r="C505"/>
      <c r="D505"/>
      <c r="E505"/>
      <c r="F505"/>
      <c r="G505"/>
      <c r="H505"/>
      <c r="I505"/>
      <c r="J505"/>
    </row>
    <row r="506" spans="2:10" x14ac:dyDescent="0.25">
      <c r="B506"/>
      <c r="C506"/>
      <c r="D506"/>
      <c r="E506"/>
      <c r="F506"/>
      <c r="G506"/>
      <c r="H506"/>
      <c r="I506"/>
      <c r="J506"/>
    </row>
    <row r="507" spans="2:10" x14ac:dyDescent="0.25">
      <c r="B507"/>
      <c r="C507"/>
      <c r="D507"/>
      <c r="E507"/>
      <c r="F507"/>
      <c r="G507"/>
      <c r="H507"/>
      <c r="I507"/>
      <c r="J507"/>
    </row>
    <row r="508" spans="2:10" x14ac:dyDescent="0.25">
      <c r="B508"/>
      <c r="C508"/>
      <c r="D508"/>
      <c r="E508"/>
      <c r="F508"/>
      <c r="G508"/>
      <c r="H508"/>
      <c r="I508"/>
      <c r="J508"/>
    </row>
    <row r="509" spans="2:10" x14ac:dyDescent="0.25">
      <c r="B509"/>
      <c r="C509"/>
      <c r="D509"/>
      <c r="E509"/>
      <c r="F509"/>
      <c r="G509"/>
      <c r="H509"/>
      <c r="I509"/>
      <c r="J509"/>
    </row>
    <row r="510" spans="2:10" x14ac:dyDescent="0.25">
      <c r="B510"/>
      <c r="C510"/>
      <c r="D510"/>
      <c r="E510"/>
      <c r="F510"/>
      <c r="G510"/>
      <c r="H510"/>
      <c r="I510"/>
      <c r="J510"/>
    </row>
    <row r="511" spans="2:10" x14ac:dyDescent="0.25">
      <c r="B511"/>
      <c r="C511"/>
      <c r="D511"/>
      <c r="E511"/>
      <c r="F511"/>
      <c r="G511"/>
      <c r="H511"/>
      <c r="I511"/>
      <c r="J511"/>
    </row>
    <row r="512" spans="2:10" x14ac:dyDescent="0.25">
      <c r="B512"/>
      <c r="C512"/>
      <c r="D512"/>
      <c r="E512"/>
      <c r="F512"/>
      <c r="G512"/>
      <c r="H512"/>
      <c r="I512"/>
      <c r="J512"/>
    </row>
    <row r="513" spans="2:10" x14ac:dyDescent="0.25">
      <c r="B513"/>
      <c r="C513"/>
      <c r="D513"/>
      <c r="E513"/>
      <c r="F513"/>
      <c r="G513"/>
      <c r="H513"/>
      <c r="I513"/>
      <c r="J513"/>
    </row>
    <row r="514" spans="2:10" x14ac:dyDescent="0.25">
      <c r="B514"/>
      <c r="C514"/>
      <c r="D514"/>
      <c r="E514"/>
      <c r="F514"/>
      <c r="G514"/>
      <c r="H514"/>
      <c r="I514"/>
      <c r="J514"/>
    </row>
    <row r="515" spans="2:10" x14ac:dyDescent="0.25">
      <c r="B515"/>
      <c r="C515"/>
      <c r="D515"/>
      <c r="E515"/>
      <c r="F515"/>
      <c r="G515"/>
      <c r="H515"/>
      <c r="I515"/>
      <c r="J515"/>
    </row>
    <row r="516" spans="2:10" x14ac:dyDescent="0.25">
      <c r="B516"/>
      <c r="C516"/>
      <c r="D516"/>
      <c r="E516"/>
      <c r="F516"/>
      <c r="G516"/>
      <c r="H516"/>
      <c r="I516"/>
      <c r="J516"/>
    </row>
    <row r="517" spans="2:10" x14ac:dyDescent="0.25">
      <c r="B517"/>
      <c r="C517"/>
      <c r="D517"/>
      <c r="E517"/>
      <c r="F517"/>
      <c r="G517"/>
      <c r="H517"/>
      <c r="I517"/>
      <c r="J517"/>
    </row>
    <row r="518" spans="2:10" x14ac:dyDescent="0.25">
      <c r="B518"/>
      <c r="C518"/>
      <c r="D518"/>
      <c r="E518"/>
      <c r="F518"/>
      <c r="G518"/>
      <c r="H518"/>
      <c r="I518"/>
      <c r="J518"/>
    </row>
    <row r="519" spans="2:10" x14ac:dyDescent="0.25">
      <c r="B519"/>
      <c r="C519"/>
      <c r="D519"/>
      <c r="E519"/>
      <c r="F519"/>
      <c r="G519"/>
      <c r="H519"/>
      <c r="I519"/>
      <c r="J519"/>
    </row>
    <row r="520" spans="2:10" x14ac:dyDescent="0.25">
      <c r="B520"/>
      <c r="C520"/>
      <c r="D520"/>
      <c r="E520"/>
      <c r="F520"/>
      <c r="G520"/>
      <c r="H520"/>
      <c r="I520"/>
      <c r="J520"/>
    </row>
    <row r="521" spans="2:10" x14ac:dyDescent="0.25">
      <c r="B521"/>
      <c r="C521"/>
      <c r="D521"/>
      <c r="E521"/>
      <c r="F521"/>
      <c r="G521"/>
      <c r="H521"/>
      <c r="I521"/>
      <c r="J521"/>
    </row>
    <row r="522" spans="2:10" x14ac:dyDescent="0.25">
      <c r="B522"/>
      <c r="C522"/>
      <c r="D522"/>
      <c r="E522"/>
      <c r="F522"/>
      <c r="G522"/>
      <c r="H522"/>
      <c r="I522"/>
      <c r="J522"/>
    </row>
    <row r="523" spans="2:10" x14ac:dyDescent="0.25">
      <c r="B523"/>
      <c r="C523"/>
      <c r="D523"/>
      <c r="E523"/>
      <c r="F523"/>
      <c r="G523"/>
      <c r="H523"/>
      <c r="I523"/>
      <c r="J523"/>
    </row>
    <row r="524" spans="2:10" x14ac:dyDescent="0.25">
      <c r="B524"/>
      <c r="C524"/>
      <c r="D524"/>
      <c r="E524"/>
      <c r="F524"/>
      <c r="G524"/>
      <c r="H524"/>
      <c r="I524"/>
      <c r="J524"/>
    </row>
    <row r="525" spans="2:10" x14ac:dyDescent="0.25">
      <c r="B525"/>
      <c r="C525"/>
      <c r="D525"/>
      <c r="E525"/>
      <c r="F525"/>
      <c r="G525"/>
      <c r="H525"/>
      <c r="I525"/>
      <c r="J525"/>
    </row>
    <row r="526" spans="2:10" x14ac:dyDescent="0.25">
      <c r="B526"/>
      <c r="C526"/>
      <c r="D526"/>
      <c r="E526"/>
      <c r="F526"/>
      <c r="G526"/>
      <c r="H526"/>
      <c r="I526"/>
      <c r="J526"/>
    </row>
    <row r="527" spans="2:10" x14ac:dyDescent="0.25">
      <c r="B527"/>
      <c r="C527"/>
      <c r="D527"/>
      <c r="E527"/>
      <c r="F527"/>
      <c r="G527"/>
      <c r="H527"/>
      <c r="I527"/>
      <c r="J527"/>
    </row>
    <row r="528" spans="2:10" x14ac:dyDescent="0.25">
      <c r="B528"/>
      <c r="C528"/>
      <c r="D528"/>
      <c r="E528"/>
      <c r="F528"/>
      <c r="G528"/>
      <c r="H528"/>
      <c r="I528"/>
      <c r="J528"/>
    </row>
    <row r="529" spans="2:10" x14ac:dyDescent="0.25">
      <c r="B529"/>
      <c r="C529"/>
      <c r="D529"/>
      <c r="E529"/>
      <c r="F529"/>
      <c r="G529"/>
      <c r="H529"/>
      <c r="I529"/>
      <c r="J529"/>
    </row>
    <row r="530" spans="2:10" x14ac:dyDescent="0.25">
      <c r="B530"/>
      <c r="C530"/>
      <c r="D530"/>
      <c r="E530"/>
      <c r="F530"/>
      <c r="G530"/>
      <c r="H530"/>
      <c r="I530"/>
      <c r="J530"/>
    </row>
    <row r="531" spans="2:10" x14ac:dyDescent="0.25">
      <c r="B531"/>
      <c r="C531"/>
      <c r="D531"/>
      <c r="E531"/>
      <c r="F531"/>
      <c r="G531"/>
      <c r="H531"/>
      <c r="I531"/>
      <c r="J531"/>
    </row>
    <row r="532" spans="2:10" x14ac:dyDescent="0.25">
      <c r="B532"/>
      <c r="C532"/>
      <c r="D532"/>
      <c r="E532"/>
      <c r="F532"/>
      <c r="G532"/>
      <c r="H532"/>
      <c r="I532"/>
      <c r="J532"/>
    </row>
    <row r="533" spans="2:10" x14ac:dyDescent="0.25">
      <c r="B533"/>
      <c r="C533"/>
      <c r="D533"/>
      <c r="E533"/>
      <c r="F533"/>
      <c r="G533"/>
      <c r="H533"/>
      <c r="I533"/>
      <c r="J533"/>
    </row>
    <row r="534" spans="2:10" x14ac:dyDescent="0.25">
      <c r="B534"/>
      <c r="C534"/>
      <c r="D534"/>
      <c r="E534"/>
      <c r="F534"/>
      <c r="G534"/>
      <c r="H534"/>
      <c r="I534"/>
      <c r="J534"/>
    </row>
    <row r="535" spans="2:10" x14ac:dyDescent="0.25">
      <c r="B535"/>
      <c r="C535"/>
      <c r="D535"/>
      <c r="E535"/>
      <c r="F535"/>
      <c r="G535"/>
      <c r="H535"/>
      <c r="I535"/>
      <c r="J535"/>
    </row>
    <row r="536" spans="2:10" x14ac:dyDescent="0.25">
      <c r="B536"/>
      <c r="C536"/>
      <c r="D536"/>
      <c r="E536"/>
      <c r="F536"/>
      <c r="G536"/>
      <c r="H536"/>
      <c r="I536"/>
      <c r="J536"/>
    </row>
    <row r="537" spans="2:10" x14ac:dyDescent="0.25">
      <c r="B537"/>
      <c r="C537"/>
      <c r="D537"/>
      <c r="E537"/>
      <c r="F537"/>
      <c r="G537"/>
      <c r="H537"/>
      <c r="I537"/>
      <c r="J537"/>
    </row>
    <row r="538" spans="2:10" x14ac:dyDescent="0.25">
      <c r="B538"/>
      <c r="C538"/>
      <c r="D538"/>
      <c r="E538"/>
      <c r="F538"/>
      <c r="G538"/>
      <c r="H538"/>
      <c r="I538"/>
      <c r="J538"/>
    </row>
    <row r="539" spans="2:10" x14ac:dyDescent="0.25">
      <c r="B539"/>
      <c r="C539"/>
      <c r="D539"/>
      <c r="E539"/>
      <c r="F539"/>
      <c r="G539"/>
      <c r="H539"/>
      <c r="I539"/>
      <c r="J539"/>
    </row>
    <row r="540" spans="2:10" x14ac:dyDescent="0.25">
      <c r="B540"/>
      <c r="C540"/>
      <c r="D540"/>
      <c r="E540"/>
      <c r="F540"/>
      <c r="G540"/>
      <c r="H540"/>
      <c r="I540"/>
      <c r="J540"/>
    </row>
    <row r="541" spans="2:10" x14ac:dyDescent="0.25">
      <c r="B541"/>
      <c r="C541"/>
      <c r="D541"/>
      <c r="E541"/>
      <c r="F541"/>
      <c r="G541"/>
      <c r="H541"/>
      <c r="I541"/>
      <c r="J541"/>
    </row>
    <row r="542" spans="2:10" x14ac:dyDescent="0.25">
      <c r="B542"/>
      <c r="C542"/>
      <c r="D542"/>
      <c r="E542"/>
      <c r="F542"/>
      <c r="G542"/>
      <c r="H542"/>
      <c r="I542"/>
      <c r="J542"/>
    </row>
    <row r="543" spans="2:10" x14ac:dyDescent="0.25">
      <c r="B543"/>
      <c r="C543"/>
      <c r="D543"/>
      <c r="E543"/>
      <c r="F543"/>
      <c r="G543"/>
      <c r="H543"/>
      <c r="I543"/>
      <c r="J543"/>
    </row>
    <row r="544" spans="2:10" x14ac:dyDescent="0.25">
      <c r="B544"/>
      <c r="C544"/>
      <c r="D544"/>
      <c r="E544"/>
      <c r="F544"/>
      <c r="G544"/>
      <c r="H544"/>
      <c r="I544"/>
      <c r="J544"/>
    </row>
    <row r="545" spans="2:10" x14ac:dyDescent="0.25">
      <c r="B545"/>
      <c r="C545"/>
      <c r="D545"/>
      <c r="E545"/>
      <c r="F545"/>
      <c r="G545"/>
      <c r="H545"/>
      <c r="I545"/>
      <c r="J545"/>
    </row>
    <row r="546" spans="2:10" x14ac:dyDescent="0.25">
      <c r="B546"/>
      <c r="C546"/>
      <c r="D546"/>
      <c r="E546"/>
      <c r="F546"/>
      <c r="G546"/>
      <c r="H546"/>
      <c r="I546"/>
      <c r="J546"/>
    </row>
    <row r="547" spans="2:10" x14ac:dyDescent="0.25">
      <c r="B547"/>
      <c r="C547"/>
      <c r="D547"/>
      <c r="E547"/>
      <c r="F547"/>
      <c r="G547"/>
      <c r="H547"/>
      <c r="I547"/>
      <c r="J547"/>
    </row>
    <row r="548" spans="2:10" x14ac:dyDescent="0.25">
      <c r="B548"/>
      <c r="C548"/>
      <c r="D548"/>
      <c r="E548"/>
      <c r="F548"/>
      <c r="G548"/>
      <c r="H548"/>
      <c r="I548"/>
      <c r="J548"/>
    </row>
    <row r="549" spans="2:10" x14ac:dyDescent="0.25">
      <c r="B549"/>
      <c r="C549"/>
      <c r="D549"/>
      <c r="E549"/>
      <c r="F549"/>
      <c r="G549"/>
      <c r="H549"/>
      <c r="I549"/>
      <c r="J549"/>
    </row>
    <row r="550" spans="2:10" x14ac:dyDescent="0.25">
      <c r="B550"/>
      <c r="C550"/>
      <c r="D550"/>
      <c r="E550"/>
      <c r="F550"/>
      <c r="G550"/>
      <c r="H550"/>
      <c r="I550"/>
      <c r="J550"/>
    </row>
    <row r="551" spans="2:10" x14ac:dyDescent="0.25">
      <c r="B551"/>
      <c r="C551"/>
      <c r="D551"/>
      <c r="E551"/>
      <c r="F551"/>
      <c r="G551"/>
      <c r="H551"/>
      <c r="I551"/>
      <c r="J551"/>
    </row>
    <row r="552" spans="2:10" x14ac:dyDescent="0.25">
      <c r="B552"/>
      <c r="C552"/>
      <c r="D552"/>
      <c r="E552"/>
      <c r="F552"/>
      <c r="G552"/>
      <c r="H552"/>
      <c r="I552"/>
      <c r="J552"/>
    </row>
    <row r="553" spans="2:10" x14ac:dyDescent="0.25">
      <c r="B553"/>
      <c r="C553"/>
      <c r="D553"/>
      <c r="E553"/>
      <c r="F553"/>
      <c r="G553"/>
      <c r="H553"/>
      <c r="I553"/>
      <c r="J553"/>
    </row>
    <row r="554" spans="2:10" x14ac:dyDescent="0.25">
      <c r="B554"/>
      <c r="C554"/>
      <c r="D554"/>
      <c r="E554"/>
      <c r="F554"/>
      <c r="G554"/>
      <c r="H554"/>
      <c r="I554"/>
      <c r="J554"/>
    </row>
    <row r="555" spans="2:10" x14ac:dyDescent="0.25">
      <c r="B555"/>
      <c r="C555"/>
      <c r="D555"/>
      <c r="E555"/>
      <c r="F555"/>
      <c r="G555"/>
      <c r="H555"/>
      <c r="I555"/>
      <c r="J555"/>
    </row>
    <row r="556" spans="2:10" x14ac:dyDescent="0.25">
      <c r="B556"/>
      <c r="C556"/>
      <c r="D556"/>
      <c r="E556"/>
      <c r="F556"/>
      <c r="G556"/>
      <c r="H556"/>
      <c r="I556"/>
      <c r="J556"/>
    </row>
    <row r="557" spans="2:10" x14ac:dyDescent="0.25">
      <c r="B557"/>
      <c r="C557"/>
      <c r="D557"/>
      <c r="E557"/>
      <c r="F557"/>
      <c r="G557"/>
      <c r="H557"/>
      <c r="I557"/>
      <c r="J557"/>
    </row>
    <row r="558" spans="2:10" x14ac:dyDescent="0.25">
      <c r="B558"/>
      <c r="C558"/>
      <c r="D558"/>
      <c r="E558"/>
      <c r="F558"/>
      <c r="G558"/>
      <c r="H558"/>
      <c r="I558"/>
      <c r="J558"/>
    </row>
    <row r="559" spans="2:10" x14ac:dyDescent="0.25">
      <c r="B559"/>
      <c r="C559"/>
      <c r="D559"/>
      <c r="E559"/>
      <c r="F559"/>
      <c r="G559"/>
      <c r="H559"/>
      <c r="I559"/>
      <c r="J559"/>
    </row>
    <row r="560" spans="2:10" x14ac:dyDescent="0.25">
      <c r="B560"/>
      <c r="C560"/>
      <c r="D560"/>
      <c r="E560"/>
      <c r="F560"/>
      <c r="G560"/>
      <c r="H560"/>
      <c r="I560"/>
      <c r="J560"/>
    </row>
    <row r="561" spans="2:10" x14ac:dyDescent="0.25">
      <c r="B561"/>
      <c r="C561"/>
      <c r="D561"/>
      <c r="E561"/>
      <c r="F561"/>
      <c r="G561"/>
      <c r="H561"/>
      <c r="I561"/>
      <c r="J561"/>
    </row>
    <row r="562" spans="2:10" x14ac:dyDescent="0.25">
      <c r="B562"/>
      <c r="C562"/>
      <c r="D562"/>
      <c r="E562"/>
      <c r="F562"/>
      <c r="G562"/>
      <c r="H562"/>
      <c r="I562"/>
      <c r="J562"/>
    </row>
    <row r="563" spans="2:10" x14ac:dyDescent="0.25">
      <c r="B563"/>
      <c r="C563"/>
      <c r="D563"/>
      <c r="E563"/>
      <c r="F563"/>
      <c r="G563"/>
      <c r="H563"/>
      <c r="I563"/>
      <c r="J563"/>
    </row>
    <row r="564" spans="2:10" x14ac:dyDescent="0.25">
      <c r="B564"/>
      <c r="C564"/>
      <c r="D564"/>
      <c r="E564"/>
      <c r="F564"/>
      <c r="G564"/>
      <c r="H564"/>
      <c r="I564"/>
      <c r="J564"/>
    </row>
    <row r="565" spans="2:10" x14ac:dyDescent="0.25">
      <c r="B565"/>
      <c r="C565"/>
      <c r="D565"/>
      <c r="E565"/>
      <c r="F565"/>
      <c r="G565"/>
      <c r="H565"/>
      <c r="I565"/>
      <c r="J565"/>
    </row>
    <row r="566" spans="2:10" x14ac:dyDescent="0.25">
      <c r="B566"/>
      <c r="C566"/>
      <c r="D566"/>
      <c r="E566"/>
      <c r="F566"/>
      <c r="G566"/>
      <c r="H566"/>
      <c r="I566"/>
      <c r="J566"/>
    </row>
    <row r="567" spans="2:10" x14ac:dyDescent="0.25">
      <c r="B567"/>
      <c r="C567"/>
      <c r="D567"/>
      <c r="E567"/>
      <c r="F567"/>
      <c r="G567"/>
      <c r="H567"/>
      <c r="I567"/>
      <c r="J567"/>
    </row>
    <row r="568" spans="2:10" x14ac:dyDescent="0.25">
      <c r="B568"/>
      <c r="C568"/>
      <c r="D568"/>
      <c r="E568"/>
      <c r="F568"/>
      <c r="G568"/>
      <c r="H568"/>
      <c r="I568"/>
      <c r="J568"/>
    </row>
    <row r="569" spans="2:10" x14ac:dyDescent="0.25">
      <c r="B569"/>
      <c r="C569"/>
      <c r="D569"/>
      <c r="E569"/>
      <c r="F569"/>
      <c r="G569"/>
      <c r="H569"/>
      <c r="I569"/>
      <c r="J569"/>
    </row>
    <row r="570" spans="2:10" x14ac:dyDescent="0.25">
      <c r="B570"/>
      <c r="C570"/>
      <c r="D570"/>
      <c r="E570"/>
      <c r="F570"/>
      <c r="G570"/>
      <c r="H570"/>
      <c r="I570"/>
      <c r="J570"/>
    </row>
    <row r="571" spans="2:10" x14ac:dyDescent="0.25">
      <c r="B571"/>
      <c r="C571"/>
      <c r="D571"/>
      <c r="E571"/>
      <c r="F571"/>
      <c r="G571"/>
      <c r="H571"/>
      <c r="I571"/>
      <c r="J571"/>
    </row>
    <row r="572" spans="2:10" x14ac:dyDescent="0.25">
      <c r="B572"/>
      <c r="C572"/>
      <c r="D572"/>
      <c r="E572"/>
      <c r="F572"/>
      <c r="G572"/>
      <c r="H572"/>
      <c r="I572"/>
      <c r="J572"/>
    </row>
    <row r="573" spans="2:10" x14ac:dyDescent="0.25">
      <c r="B573"/>
      <c r="C573"/>
      <c r="D573"/>
      <c r="E573"/>
      <c r="F573"/>
      <c r="G573"/>
      <c r="H573"/>
      <c r="I573"/>
      <c r="J573"/>
    </row>
    <row r="574" spans="2:10" x14ac:dyDescent="0.25">
      <c r="B574"/>
      <c r="C574"/>
      <c r="D574"/>
      <c r="E574"/>
      <c r="F574"/>
      <c r="G574"/>
      <c r="H574"/>
      <c r="I574"/>
      <c r="J574"/>
    </row>
    <row r="575" spans="2:10" x14ac:dyDescent="0.25">
      <c r="B575"/>
      <c r="C575"/>
      <c r="D575"/>
      <c r="E575"/>
      <c r="F575"/>
      <c r="G575"/>
      <c r="H575"/>
      <c r="I575"/>
      <c r="J575"/>
    </row>
    <row r="576" spans="2:10" x14ac:dyDescent="0.25">
      <c r="B576"/>
      <c r="C576"/>
      <c r="D576"/>
      <c r="E576"/>
      <c r="F576"/>
      <c r="G576"/>
      <c r="H576"/>
      <c r="I576"/>
      <c r="J576"/>
    </row>
    <row r="577" spans="2:10" x14ac:dyDescent="0.25">
      <c r="B577"/>
      <c r="C577"/>
      <c r="D577"/>
      <c r="E577"/>
      <c r="F577"/>
      <c r="G577"/>
      <c r="H577"/>
      <c r="I577"/>
      <c r="J577"/>
    </row>
    <row r="578" spans="2:10" x14ac:dyDescent="0.25">
      <c r="B578"/>
      <c r="C578"/>
      <c r="D578"/>
      <c r="E578"/>
      <c r="F578"/>
      <c r="G578"/>
      <c r="H578"/>
      <c r="I578"/>
      <c r="J578"/>
    </row>
    <row r="579" spans="2:10" x14ac:dyDescent="0.25">
      <c r="B579"/>
      <c r="C579"/>
      <c r="D579"/>
      <c r="E579"/>
      <c r="F579"/>
      <c r="G579"/>
      <c r="H579"/>
      <c r="I579"/>
      <c r="J579"/>
    </row>
    <row r="580" spans="2:10" x14ac:dyDescent="0.25">
      <c r="B580"/>
      <c r="C580"/>
      <c r="D580"/>
      <c r="E580"/>
      <c r="F580"/>
      <c r="G580"/>
      <c r="H580"/>
      <c r="I580"/>
      <c r="J580"/>
    </row>
    <row r="581" spans="2:10" x14ac:dyDescent="0.25">
      <c r="B581"/>
      <c r="C581"/>
      <c r="D581"/>
      <c r="E581"/>
      <c r="F581"/>
      <c r="G581"/>
      <c r="H581"/>
      <c r="I581"/>
      <c r="J581"/>
    </row>
    <row r="582" spans="2:10" x14ac:dyDescent="0.25">
      <c r="B582"/>
      <c r="C582"/>
      <c r="D582"/>
      <c r="E582"/>
      <c r="F582"/>
      <c r="G582"/>
      <c r="H582"/>
      <c r="I582"/>
      <c r="J582"/>
    </row>
    <row r="583" spans="2:10" x14ac:dyDescent="0.25">
      <c r="B583"/>
      <c r="C583"/>
      <c r="D583"/>
      <c r="E583"/>
      <c r="F583"/>
      <c r="G583"/>
      <c r="H583"/>
      <c r="I583"/>
      <c r="J583"/>
    </row>
    <row r="584" spans="2:10" x14ac:dyDescent="0.25">
      <c r="B584"/>
      <c r="C584"/>
      <c r="D584"/>
      <c r="E584"/>
      <c r="F584"/>
      <c r="G584"/>
      <c r="H584"/>
      <c r="I584"/>
      <c r="J584"/>
    </row>
    <row r="585" spans="2:10" x14ac:dyDescent="0.25">
      <c r="B585"/>
      <c r="C585"/>
      <c r="D585"/>
      <c r="E585"/>
      <c r="F585"/>
      <c r="G585"/>
      <c r="H585"/>
      <c r="I585"/>
      <c r="J585"/>
    </row>
    <row r="586" spans="2:10" x14ac:dyDescent="0.25">
      <c r="B586"/>
      <c r="C586"/>
      <c r="D586"/>
      <c r="E586"/>
      <c r="F586"/>
      <c r="G586"/>
      <c r="H586"/>
      <c r="I586"/>
      <c r="J586"/>
    </row>
    <row r="587" spans="2:10" x14ac:dyDescent="0.25">
      <c r="B587"/>
      <c r="C587"/>
      <c r="D587"/>
      <c r="E587"/>
      <c r="F587"/>
      <c r="G587"/>
      <c r="H587"/>
      <c r="I587"/>
      <c r="J587"/>
    </row>
    <row r="588" spans="2:10" x14ac:dyDescent="0.25">
      <c r="B588"/>
      <c r="C588"/>
      <c r="D588"/>
      <c r="E588"/>
      <c r="F588"/>
      <c r="G588"/>
      <c r="H588"/>
      <c r="I588"/>
      <c r="J588"/>
    </row>
    <row r="589" spans="2:10" x14ac:dyDescent="0.25">
      <c r="B589"/>
      <c r="C589"/>
      <c r="D589"/>
      <c r="E589"/>
      <c r="F589"/>
      <c r="G589"/>
      <c r="H589"/>
      <c r="I589"/>
      <c r="J589"/>
    </row>
    <row r="590" spans="2:10" x14ac:dyDescent="0.25">
      <c r="B590"/>
      <c r="C590"/>
      <c r="D590"/>
      <c r="E590"/>
      <c r="F590"/>
      <c r="G590"/>
      <c r="H590"/>
      <c r="I590"/>
      <c r="J590"/>
    </row>
    <row r="591" spans="2:10" x14ac:dyDescent="0.25">
      <c r="B591"/>
      <c r="C591"/>
      <c r="D591"/>
      <c r="E591"/>
      <c r="F591"/>
      <c r="G591"/>
      <c r="H591"/>
      <c r="I591"/>
      <c r="J591"/>
    </row>
    <row r="592" spans="2:10" x14ac:dyDescent="0.25">
      <c r="B592"/>
      <c r="C592"/>
      <c r="D592"/>
      <c r="E592"/>
      <c r="F592"/>
      <c r="G592"/>
      <c r="H592"/>
      <c r="I592"/>
      <c r="J592"/>
    </row>
    <row r="593" spans="2:10" x14ac:dyDescent="0.25">
      <c r="B593"/>
      <c r="C593"/>
      <c r="D593"/>
      <c r="E593"/>
      <c r="F593"/>
      <c r="G593"/>
      <c r="H593"/>
      <c r="I593"/>
      <c r="J593"/>
    </row>
    <row r="594" spans="2:10" x14ac:dyDescent="0.25">
      <c r="B594"/>
      <c r="C594"/>
      <c r="D594"/>
      <c r="E594"/>
      <c r="F594"/>
      <c r="G594"/>
      <c r="H594"/>
      <c r="I594"/>
      <c r="J594"/>
    </row>
    <row r="595" spans="2:10" x14ac:dyDescent="0.25">
      <c r="B595"/>
      <c r="C595"/>
      <c r="D595"/>
      <c r="E595"/>
      <c r="F595"/>
      <c r="G595"/>
      <c r="H595"/>
      <c r="I595"/>
      <c r="J595"/>
    </row>
    <row r="596" spans="2:10" x14ac:dyDescent="0.25">
      <c r="B596"/>
      <c r="C596"/>
      <c r="D596"/>
      <c r="E596"/>
      <c r="F596"/>
      <c r="G596"/>
      <c r="H596"/>
      <c r="I596"/>
      <c r="J596"/>
    </row>
    <row r="597" spans="2:10" x14ac:dyDescent="0.25">
      <c r="B597"/>
      <c r="C597"/>
      <c r="D597"/>
      <c r="E597"/>
      <c r="F597"/>
      <c r="G597"/>
      <c r="H597"/>
      <c r="I597"/>
      <c r="J597"/>
    </row>
    <row r="598" spans="2:10" x14ac:dyDescent="0.25">
      <c r="B598"/>
      <c r="C598"/>
      <c r="D598"/>
      <c r="E598"/>
      <c r="F598"/>
      <c r="G598"/>
      <c r="H598"/>
      <c r="I598"/>
      <c r="J598"/>
    </row>
    <row r="599" spans="2:10" x14ac:dyDescent="0.25">
      <c r="B599"/>
      <c r="C599"/>
      <c r="D599"/>
      <c r="E599"/>
      <c r="F599"/>
      <c r="G599"/>
      <c r="H599"/>
      <c r="I599"/>
      <c r="J599"/>
    </row>
    <row r="600" spans="2:10" x14ac:dyDescent="0.25">
      <c r="B600"/>
      <c r="C600"/>
      <c r="D600"/>
      <c r="E600"/>
      <c r="F600"/>
      <c r="G600"/>
      <c r="H600"/>
      <c r="I600"/>
      <c r="J600"/>
    </row>
    <row r="601" spans="2:10" x14ac:dyDescent="0.25">
      <c r="B601"/>
      <c r="C601"/>
      <c r="D601"/>
      <c r="E601"/>
      <c r="F601"/>
      <c r="G601"/>
      <c r="H601"/>
      <c r="I601"/>
      <c r="J601"/>
    </row>
    <row r="602" spans="2:10" x14ac:dyDescent="0.25">
      <c r="B602"/>
      <c r="C602"/>
      <c r="D602"/>
      <c r="E602"/>
      <c r="F602"/>
      <c r="G602"/>
      <c r="H602"/>
      <c r="I602"/>
      <c r="J602"/>
    </row>
    <row r="603" spans="2:10" x14ac:dyDescent="0.25">
      <c r="B603"/>
      <c r="C603"/>
      <c r="D603"/>
      <c r="E603"/>
      <c r="F603"/>
      <c r="G603"/>
      <c r="H603"/>
      <c r="I603"/>
      <c r="J603"/>
    </row>
    <row r="604" spans="2:10" x14ac:dyDescent="0.25">
      <c r="B604"/>
      <c r="C604"/>
      <c r="D604"/>
      <c r="E604"/>
      <c r="F604"/>
      <c r="G604"/>
      <c r="H604"/>
      <c r="I604"/>
      <c r="J604"/>
    </row>
    <row r="605" spans="2:10" x14ac:dyDescent="0.25">
      <c r="B605"/>
      <c r="C605"/>
      <c r="D605"/>
      <c r="E605"/>
      <c r="F605"/>
      <c r="G605"/>
      <c r="H605"/>
      <c r="I605"/>
      <c r="J605"/>
    </row>
    <row r="606" spans="2:10" x14ac:dyDescent="0.25">
      <c r="B606"/>
      <c r="C606"/>
      <c r="D606"/>
      <c r="E606"/>
      <c r="F606"/>
      <c r="G606"/>
      <c r="H606"/>
      <c r="I606"/>
      <c r="J606"/>
    </row>
    <row r="607" spans="2:10" x14ac:dyDescent="0.25">
      <c r="B607"/>
      <c r="C607"/>
      <c r="D607"/>
      <c r="E607"/>
      <c r="F607"/>
      <c r="G607"/>
      <c r="H607"/>
      <c r="I607"/>
      <c r="J607"/>
    </row>
    <row r="608" spans="2:10" x14ac:dyDescent="0.25">
      <c r="B608"/>
      <c r="C608"/>
      <c r="D608"/>
      <c r="E608"/>
      <c r="F608"/>
      <c r="G608"/>
      <c r="H608"/>
      <c r="I608"/>
      <c r="J608"/>
    </row>
    <row r="609" spans="2:10" x14ac:dyDescent="0.25">
      <c r="B609"/>
      <c r="C609"/>
      <c r="D609"/>
      <c r="E609"/>
      <c r="F609"/>
      <c r="G609"/>
      <c r="H609"/>
      <c r="I609"/>
      <c r="J609"/>
    </row>
    <row r="610" spans="2:10" x14ac:dyDescent="0.25">
      <c r="B610"/>
      <c r="C610"/>
      <c r="D610"/>
      <c r="E610"/>
      <c r="F610"/>
      <c r="G610"/>
      <c r="H610"/>
      <c r="I610"/>
      <c r="J610"/>
    </row>
    <row r="611" spans="2:10" x14ac:dyDescent="0.25">
      <c r="B611"/>
      <c r="C611"/>
      <c r="D611"/>
      <c r="E611"/>
      <c r="F611"/>
      <c r="G611"/>
      <c r="H611"/>
      <c r="I611"/>
      <c r="J611"/>
    </row>
    <row r="612" spans="2:10" x14ac:dyDescent="0.25">
      <c r="B612"/>
      <c r="C612"/>
      <c r="D612"/>
      <c r="E612"/>
      <c r="F612"/>
      <c r="G612"/>
      <c r="H612"/>
      <c r="I612"/>
      <c r="J612"/>
    </row>
    <row r="613" spans="2:10" x14ac:dyDescent="0.25">
      <c r="B613"/>
      <c r="C613"/>
      <c r="D613"/>
      <c r="E613"/>
      <c r="F613"/>
      <c r="G613"/>
      <c r="H613"/>
      <c r="I613"/>
      <c r="J613"/>
    </row>
    <row r="614" spans="2:10" x14ac:dyDescent="0.25">
      <c r="B614"/>
      <c r="C614"/>
      <c r="D614"/>
      <c r="E614"/>
      <c r="F614"/>
      <c r="G614"/>
      <c r="H614"/>
      <c r="I614"/>
      <c r="J614"/>
    </row>
    <row r="615" spans="2:10" x14ac:dyDescent="0.25">
      <c r="B615"/>
      <c r="C615"/>
      <c r="D615"/>
      <c r="E615"/>
      <c r="F615"/>
      <c r="G615"/>
      <c r="H615"/>
      <c r="I615"/>
      <c r="J615"/>
    </row>
    <row r="616" spans="2:10" x14ac:dyDescent="0.25">
      <c r="B616"/>
      <c r="C616"/>
      <c r="D616"/>
      <c r="E616"/>
      <c r="F616"/>
      <c r="G616"/>
      <c r="H616"/>
      <c r="I616"/>
      <c r="J616"/>
    </row>
    <row r="617" spans="2:10" x14ac:dyDescent="0.25">
      <c r="B617"/>
      <c r="C617"/>
      <c r="D617"/>
      <c r="E617"/>
      <c r="F617"/>
      <c r="G617"/>
      <c r="H617"/>
      <c r="I617"/>
      <c r="J617"/>
    </row>
    <row r="618" spans="2:10" x14ac:dyDescent="0.25">
      <c r="B618"/>
      <c r="C618"/>
      <c r="D618"/>
      <c r="E618"/>
      <c r="F618"/>
      <c r="G618"/>
      <c r="H618"/>
      <c r="I618"/>
      <c r="J618"/>
    </row>
    <row r="619" spans="2:10" x14ac:dyDescent="0.25">
      <c r="B619"/>
      <c r="C619"/>
      <c r="D619"/>
      <c r="E619"/>
      <c r="F619"/>
      <c r="G619"/>
      <c r="H619"/>
      <c r="I619"/>
      <c r="J619"/>
    </row>
    <row r="620" spans="2:10" x14ac:dyDescent="0.25">
      <c r="B620"/>
      <c r="C620"/>
      <c r="D620"/>
      <c r="E620"/>
      <c r="F620"/>
      <c r="G620"/>
      <c r="H620"/>
      <c r="I620"/>
      <c r="J620"/>
    </row>
    <row r="621" spans="2:10" x14ac:dyDescent="0.25">
      <c r="B621"/>
      <c r="C621"/>
      <c r="D621"/>
      <c r="E621"/>
      <c r="F621"/>
      <c r="G621"/>
      <c r="H621"/>
      <c r="I621"/>
      <c r="J621"/>
    </row>
    <row r="622" spans="2:10" x14ac:dyDescent="0.25">
      <c r="B622"/>
      <c r="C622"/>
      <c r="D622"/>
      <c r="E622"/>
      <c r="F622"/>
      <c r="G622"/>
      <c r="H622"/>
      <c r="I622"/>
      <c r="J622"/>
    </row>
    <row r="623" spans="2:10" x14ac:dyDescent="0.25">
      <c r="B623"/>
      <c r="C623"/>
      <c r="D623"/>
      <c r="E623"/>
      <c r="F623"/>
      <c r="G623"/>
      <c r="H623"/>
      <c r="I623"/>
      <c r="J623"/>
    </row>
    <row r="624" spans="2:10" x14ac:dyDescent="0.25">
      <c r="B624"/>
      <c r="C624"/>
      <c r="D624"/>
      <c r="E624"/>
      <c r="F624"/>
      <c r="G624"/>
      <c r="H624"/>
      <c r="I624"/>
      <c r="J624"/>
    </row>
    <row r="625" spans="2:10" x14ac:dyDescent="0.25">
      <c r="B625"/>
      <c r="C625"/>
      <c r="D625"/>
      <c r="E625"/>
      <c r="F625"/>
      <c r="G625"/>
      <c r="H625"/>
      <c r="I625"/>
      <c r="J625"/>
    </row>
    <row r="626" spans="2:10" x14ac:dyDescent="0.25">
      <c r="B626"/>
      <c r="C626"/>
      <c r="D626"/>
      <c r="E626"/>
      <c r="F626"/>
      <c r="G626"/>
      <c r="H626"/>
      <c r="I626"/>
      <c r="J626"/>
    </row>
    <row r="627" spans="2:10" x14ac:dyDescent="0.25">
      <c r="B627"/>
      <c r="C627"/>
      <c r="D627"/>
      <c r="E627"/>
      <c r="F627"/>
      <c r="G627"/>
      <c r="H627"/>
      <c r="I627"/>
      <c r="J627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298B5-D5CB-4A47-BEC3-2CCBC0FD25B6}">
  <sheetPr>
    <tabColor theme="4" tint="-0.249977111117893"/>
  </sheetPr>
  <dimension ref="B1:M1047"/>
  <sheetViews>
    <sheetView showGridLines="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5" x14ac:dyDescent="0.25"/>
  <cols>
    <col min="1" max="1" width="1.85546875" style="87" customWidth="1"/>
    <col min="2" max="2" width="121.7109375" style="87" customWidth="1"/>
    <col min="3" max="3" width="19.5703125" style="87" bestFit="1" customWidth="1"/>
    <col min="4" max="4" width="5.7109375" style="87" bestFit="1" customWidth="1"/>
    <col min="5" max="9" width="19" customWidth="1"/>
    <col min="10" max="10" width="10.7109375" style="87" bestFit="1" customWidth="1"/>
    <col min="11" max="16384" width="9.140625" style="87"/>
  </cols>
  <sheetData>
    <row r="1" spans="2:13" ht="18.75" x14ac:dyDescent="0.25">
      <c r="B1" s="48" t="s">
        <v>1333</v>
      </c>
    </row>
    <row r="2" spans="2:13" x14ac:dyDescent="0.25">
      <c r="B2" s="162" t="s">
        <v>2</v>
      </c>
      <c r="C2" s="87" t="s">
        <v>538</v>
      </c>
    </row>
    <row r="3" spans="2:13" x14ac:dyDescent="0.25">
      <c r="B3" s="162" t="s">
        <v>4</v>
      </c>
      <c r="C3" s="87" t="s">
        <v>538</v>
      </c>
    </row>
    <row r="4" spans="2:13" x14ac:dyDescent="0.25">
      <c r="B4" s="162" t="s">
        <v>3</v>
      </c>
      <c r="C4" s="87" t="s">
        <v>538</v>
      </c>
    </row>
    <row r="5" spans="2:13" x14ac:dyDescent="0.25">
      <c r="B5" s="178" t="s">
        <v>1326</v>
      </c>
      <c r="C5" s="87" t="s">
        <v>538</v>
      </c>
    </row>
    <row r="7" spans="2:13" x14ac:dyDescent="0.25">
      <c r="B7" s="181" t="s">
        <v>1351</v>
      </c>
      <c r="C7" s="185" t="s">
        <v>1352</v>
      </c>
      <c r="D7"/>
      <c r="J7"/>
      <c r="K7"/>
      <c r="L7"/>
      <c r="M7"/>
    </row>
    <row r="8" spans="2:13" x14ac:dyDescent="0.25">
      <c r="B8" s="176" t="s">
        <v>1344</v>
      </c>
      <c r="C8" s="184">
        <v>8346</v>
      </c>
      <c r="D8"/>
      <c r="J8"/>
      <c r="K8"/>
      <c r="L8"/>
      <c r="M8"/>
    </row>
    <row r="9" spans="2:13" x14ac:dyDescent="0.25">
      <c r="B9" s="176" t="s">
        <v>1341</v>
      </c>
      <c r="C9" s="184">
        <v>1250</v>
      </c>
      <c r="D9"/>
      <c r="J9"/>
      <c r="K9"/>
      <c r="L9"/>
      <c r="M9"/>
    </row>
    <row r="10" spans="2:13" x14ac:dyDescent="0.25">
      <c r="B10" s="176" t="s">
        <v>1339</v>
      </c>
      <c r="C10" s="184">
        <v>1580</v>
      </c>
      <c r="D10"/>
      <c r="J10"/>
      <c r="K10"/>
      <c r="L10"/>
      <c r="M10"/>
    </row>
    <row r="11" spans="2:13" x14ac:dyDescent="0.25">
      <c r="B11" s="176" t="s">
        <v>1342</v>
      </c>
      <c r="C11" s="184">
        <v>3847</v>
      </c>
      <c r="D11"/>
      <c r="J11"/>
      <c r="K11"/>
      <c r="L11"/>
      <c r="M11"/>
    </row>
    <row r="12" spans="2:13" x14ac:dyDescent="0.25">
      <c r="B12" s="176" t="s">
        <v>1340</v>
      </c>
      <c r="C12" s="184">
        <v>1709</v>
      </c>
      <c r="D12"/>
      <c r="J12"/>
      <c r="K12"/>
      <c r="L12"/>
      <c r="M12"/>
    </row>
    <row r="13" spans="2:13" x14ac:dyDescent="0.25">
      <c r="B13" s="176" t="s">
        <v>1345</v>
      </c>
      <c r="C13" s="184">
        <v>2117</v>
      </c>
      <c r="D13"/>
      <c r="J13"/>
      <c r="K13"/>
      <c r="L13"/>
      <c r="M13"/>
    </row>
    <row r="14" spans="2:13" x14ac:dyDescent="0.25">
      <c r="B14" s="176" t="s">
        <v>1346</v>
      </c>
      <c r="C14" s="184">
        <v>1232</v>
      </c>
      <c r="D14"/>
      <c r="J14"/>
      <c r="K14"/>
      <c r="L14"/>
      <c r="M14"/>
    </row>
    <row r="15" spans="2:13" x14ac:dyDescent="0.25">
      <c r="B15" s="176" t="s">
        <v>1338</v>
      </c>
      <c r="C15" s="184">
        <v>57847</v>
      </c>
      <c r="D15"/>
      <c r="J15"/>
      <c r="K15"/>
      <c r="L15"/>
      <c r="M15"/>
    </row>
    <row r="16" spans="2:13" x14ac:dyDescent="0.25">
      <c r="B16" s="176" t="s">
        <v>1343</v>
      </c>
      <c r="C16" s="184">
        <v>7781</v>
      </c>
      <c r="D16"/>
      <c r="J16"/>
      <c r="K16"/>
      <c r="L16"/>
      <c r="M16"/>
    </row>
    <row r="17" spans="2:13" x14ac:dyDescent="0.25">
      <c r="B17"/>
      <c r="C17"/>
      <c r="D17"/>
      <c r="J17"/>
      <c r="K17"/>
      <c r="L17"/>
      <c r="M17"/>
    </row>
    <row r="18" spans="2:13" x14ac:dyDescent="0.25">
      <c r="B18"/>
      <c r="C18"/>
      <c r="D18"/>
      <c r="J18"/>
      <c r="K18"/>
      <c r="L18"/>
      <c r="M18"/>
    </row>
    <row r="19" spans="2:13" x14ac:dyDescent="0.25">
      <c r="B19"/>
      <c r="C19"/>
      <c r="D19"/>
      <c r="J19"/>
      <c r="K19"/>
      <c r="L19"/>
      <c r="M19"/>
    </row>
    <row r="20" spans="2:13" x14ac:dyDescent="0.25">
      <c r="B20"/>
      <c r="C20"/>
      <c r="D20"/>
      <c r="J20"/>
      <c r="K20"/>
      <c r="L20"/>
      <c r="M20"/>
    </row>
    <row r="21" spans="2:13" x14ac:dyDescent="0.25">
      <c r="B21"/>
      <c r="C21"/>
      <c r="D21"/>
      <c r="J21"/>
      <c r="K21"/>
      <c r="L21"/>
      <c r="M21"/>
    </row>
    <row r="22" spans="2:13" x14ac:dyDescent="0.25">
      <c r="B22"/>
      <c r="C22"/>
      <c r="D22"/>
      <c r="J22"/>
      <c r="K22"/>
      <c r="L22"/>
      <c r="M22"/>
    </row>
    <row r="23" spans="2:13" x14ac:dyDescent="0.25">
      <c r="B23"/>
      <c r="C23"/>
      <c r="D23"/>
      <c r="J23"/>
      <c r="K23"/>
      <c r="L23"/>
      <c r="M23"/>
    </row>
    <row r="24" spans="2:13" x14ac:dyDescent="0.25">
      <c r="B24"/>
      <c r="C24"/>
      <c r="D24"/>
      <c r="J24"/>
      <c r="K24"/>
      <c r="L24"/>
      <c r="M24"/>
    </row>
    <row r="25" spans="2:13" x14ac:dyDescent="0.25">
      <c r="B25"/>
      <c r="C25"/>
      <c r="D25"/>
      <c r="J25"/>
      <c r="K25"/>
      <c r="L25"/>
      <c r="M25"/>
    </row>
    <row r="26" spans="2:13" x14ac:dyDescent="0.25">
      <c r="B26"/>
      <c r="C26"/>
      <c r="D26"/>
      <c r="J26"/>
      <c r="K26"/>
      <c r="L26"/>
      <c r="M26"/>
    </row>
    <row r="27" spans="2:13" x14ac:dyDescent="0.25">
      <c r="B27"/>
      <c r="C27"/>
      <c r="D27"/>
      <c r="J27"/>
      <c r="K27"/>
      <c r="L27"/>
      <c r="M27"/>
    </row>
    <row r="28" spans="2:13" x14ac:dyDescent="0.25">
      <c r="B28"/>
      <c r="C28"/>
      <c r="D28"/>
      <c r="J28"/>
      <c r="K28"/>
      <c r="L28"/>
      <c r="M28"/>
    </row>
    <row r="29" spans="2:13" x14ac:dyDescent="0.25">
      <c r="B29"/>
      <c r="C29"/>
      <c r="D29"/>
      <c r="J29"/>
      <c r="K29"/>
      <c r="L29"/>
      <c r="M29"/>
    </row>
    <row r="30" spans="2:13" x14ac:dyDescent="0.25">
      <c r="B30"/>
      <c r="C30"/>
      <c r="D30"/>
      <c r="J30"/>
      <c r="K30"/>
      <c r="L30"/>
      <c r="M30"/>
    </row>
    <row r="31" spans="2:13" x14ac:dyDescent="0.25">
      <c r="B31"/>
      <c r="C31"/>
      <c r="D31"/>
      <c r="J31"/>
      <c r="K31"/>
      <c r="L31"/>
      <c r="M31"/>
    </row>
    <row r="32" spans="2:13" x14ac:dyDescent="0.25">
      <c r="B32"/>
      <c r="C32"/>
      <c r="D32"/>
      <c r="J32"/>
      <c r="K32"/>
      <c r="L32"/>
      <c r="M32"/>
    </row>
    <row r="33" spans="2:13" x14ac:dyDescent="0.25">
      <c r="B33"/>
      <c r="C33"/>
      <c r="D33"/>
      <c r="J33"/>
      <c r="K33"/>
      <c r="L33"/>
      <c r="M33"/>
    </row>
    <row r="34" spans="2:13" x14ac:dyDescent="0.25">
      <c r="B34"/>
      <c r="C34"/>
      <c r="D34"/>
      <c r="J34"/>
      <c r="K34"/>
      <c r="L34"/>
      <c r="M34"/>
    </row>
    <row r="35" spans="2:13" x14ac:dyDescent="0.25">
      <c r="B35"/>
      <c r="C35"/>
      <c r="D35"/>
      <c r="J35"/>
      <c r="K35"/>
      <c r="L35"/>
      <c r="M35"/>
    </row>
    <row r="36" spans="2:13" x14ac:dyDescent="0.25">
      <c r="B36"/>
      <c r="C36"/>
      <c r="D36"/>
      <c r="J36"/>
      <c r="K36"/>
      <c r="L36"/>
      <c r="M36"/>
    </row>
    <row r="37" spans="2:13" x14ac:dyDescent="0.25">
      <c r="B37"/>
      <c r="C37"/>
      <c r="D37"/>
      <c r="J37"/>
      <c r="K37"/>
      <c r="L37"/>
      <c r="M37"/>
    </row>
    <row r="38" spans="2:13" x14ac:dyDescent="0.25">
      <c r="B38"/>
      <c r="C38"/>
      <c r="D38"/>
      <c r="J38"/>
      <c r="K38"/>
      <c r="L38"/>
      <c r="M38"/>
    </row>
    <row r="39" spans="2:13" x14ac:dyDescent="0.25">
      <c r="B39"/>
      <c r="C39"/>
      <c r="D39"/>
      <c r="J39"/>
      <c r="K39"/>
      <c r="L39"/>
      <c r="M39"/>
    </row>
    <row r="40" spans="2:13" x14ac:dyDescent="0.25">
      <c r="B40"/>
      <c r="C40"/>
      <c r="D40"/>
      <c r="J40"/>
      <c r="K40"/>
      <c r="L40"/>
      <c r="M40"/>
    </row>
    <row r="41" spans="2:13" x14ac:dyDescent="0.25">
      <c r="B41"/>
      <c r="C41"/>
      <c r="D41"/>
      <c r="J41"/>
      <c r="K41"/>
      <c r="L41"/>
      <c r="M41"/>
    </row>
    <row r="42" spans="2:13" x14ac:dyDescent="0.25">
      <c r="B42"/>
      <c r="C42"/>
      <c r="D42"/>
      <c r="J42"/>
    </row>
    <row r="43" spans="2:13" x14ac:dyDescent="0.25">
      <c r="B43"/>
      <c r="C43"/>
      <c r="D43"/>
      <c r="J43"/>
    </row>
    <row r="44" spans="2:13" x14ac:dyDescent="0.25">
      <c r="B44"/>
      <c r="C44"/>
      <c r="D44"/>
      <c r="J44"/>
    </row>
    <row r="45" spans="2:13" x14ac:dyDescent="0.25">
      <c r="B45"/>
      <c r="C45"/>
      <c r="D45"/>
      <c r="J45"/>
    </row>
    <row r="46" spans="2:13" x14ac:dyDescent="0.25">
      <c r="B46"/>
      <c r="C46"/>
      <c r="D46"/>
      <c r="J46"/>
    </row>
    <row r="47" spans="2:13" x14ac:dyDescent="0.25">
      <c r="B47"/>
      <c r="C47"/>
      <c r="D47"/>
      <c r="J47"/>
    </row>
    <row r="48" spans="2:13" x14ac:dyDescent="0.25">
      <c r="B48"/>
      <c r="C48"/>
      <c r="D48"/>
      <c r="J48"/>
    </row>
    <row r="49" spans="2:10" x14ac:dyDescent="0.25">
      <c r="B49"/>
      <c r="C49"/>
      <c r="D49"/>
      <c r="J49"/>
    </row>
    <row r="50" spans="2:10" x14ac:dyDescent="0.25">
      <c r="B50"/>
      <c r="C50"/>
      <c r="D50"/>
      <c r="J50"/>
    </row>
    <row r="51" spans="2:10" x14ac:dyDescent="0.25">
      <c r="B51"/>
      <c r="C51"/>
      <c r="D51"/>
      <c r="J51"/>
    </row>
    <row r="52" spans="2:10" x14ac:dyDescent="0.25">
      <c r="B52"/>
      <c r="C52"/>
      <c r="D52"/>
      <c r="J52"/>
    </row>
    <row r="53" spans="2:10" x14ac:dyDescent="0.25">
      <c r="B53"/>
      <c r="C53"/>
      <c r="D53"/>
      <c r="J53"/>
    </row>
    <row r="54" spans="2:10" x14ac:dyDescent="0.25">
      <c r="B54"/>
      <c r="C54"/>
      <c r="D54"/>
      <c r="J54"/>
    </row>
    <row r="55" spans="2:10" x14ac:dyDescent="0.25">
      <c r="B55"/>
      <c r="C55"/>
      <c r="D55"/>
      <c r="J55"/>
    </row>
    <row r="56" spans="2:10" x14ac:dyDescent="0.25">
      <c r="B56"/>
      <c r="C56"/>
      <c r="D56"/>
      <c r="J56"/>
    </row>
    <row r="57" spans="2:10" x14ac:dyDescent="0.25">
      <c r="B57"/>
      <c r="C57"/>
      <c r="D57"/>
      <c r="J57"/>
    </row>
    <row r="58" spans="2:10" x14ac:dyDescent="0.25">
      <c r="B58"/>
      <c r="C58"/>
      <c r="D58"/>
      <c r="J58"/>
    </row>
    <row r="59" spans="2:10" x14ac:dyDescent="0.25">
      <c r="B59"/>
      <c r="C59"/>
      <c r="D59"/>
      <c r="J59"/>
    </row>
    <row r="60" spans="2:10" x14ac:dyDescent="0.25">
      <c r="B60"/>
      <c r="C60"/>
      <c r="D60"/>
      <c r="J60"/>
    </row>
    <row r="61" spans="2:10" x14ac:dyDescent="0.25">
      <c r="B61"/>
      <c r="C61"/>
      <c r="D61"/>
      <c r="J61"/>
    </row>
    <row r="62" spans="2:10" x14ac:dyDescent="0.25">
      <c r="B62"/>
      <c r="C62"/>
      <c r="D62"/>
      <c r="J62"/>
    </row>
    <row r="63" spans="2:10" x14ac:dyDescent="0.25">
      <c r="B63"/>
      <c r="C63"/>
      <c r="D63"/>
      <c r="J63"/>
    </row>
    <row r="64" spans="2:10" x14ac:dyDescent="0.25">
      <c r="B64"/>
      <c r="C64"/>
      <c r="D64"/>
      <c r="J64"/>
    </row>
    <row r="65" spans="2:10" x14ac:dyDescent="0.25">
      <c r="B65"/>
      <c r="C65"/>
      <c r="D65"/>
      <c r="J65"/>
    </row>
    <row r="66" spans="2:10" x14ac:dyDescent="0.25">
      <c r="B66"/>
      <c r="C66"/>
      <c r="D66"/>
      <c r="J66"/>
    </row>
    <row r="67" spans="2:10" x14ac:dyDescent="0.25">
      <c r="B67"/>
      <c r="C67"/>
      <c r="D67"/>
      <c r="J67"/>
    </row>
    <row r="68" spans="2:10" x14ac:dyDescent="0.25">
      <c r="B68"/>
      <c r="C68"/>
      <c r="D68"/>
      <c r="J68"/>
    </row>
    <row r="69" spans="2:10" x14ac:dyDescent="0.25">
      <c r="B69"/>
      <c r="C69"/>
      <c r="D69"/>
      <c r="J69"/>
    </row>
    <row r="70" spans="2:10" x14ac:dyDescent="0.25">
      <c r="B70"/>
      <c r="C70"/>
      <c r="D70"/>
      <c r="J70"/>
    </row>
    <row r="71" spans="2:10" x14ac:dyDescent="0.25">
      <c r="B71"/>
      <c r="C71"/>
      <c r="D71"/>
      <c r="J71"/>
    </row>
    <row r="72" spans="2:10" x14ac:dyDescent="0.25">
      <c r="B72"/>
      <c r="C72"/>
      <c r="D72"/>
      <c r="J72"/>
    </row>
    <row r="73" spans="2:10" x14ac:dyDescent="0.25">
      <c r="B73"/>
      <c r="C73"/>
      <c r="D73"/>
      <c r="J73"/>
    </row>
    <row r="74" spans="2:10" x14ac:dyDescent="0.25">
      <c r="B74"/>
      <c r="C74"/>
      <c r="D74"/>
      <c r="J74"/>
    </row>
    <row r="75" spans="2:10" x14ac:dyDescent="0.25">
      <c r="B75"/>
      <c r="C75"/>
      <c r="D75"/>
      <c r="J75"/>
    </row>
    <row r="76" spans="2:10" x14ac:dyDescent="0.25">
      <c r="B76"/>
      <c r="C76"/>
      <c r="D76"/>
      <c r="J76"/>
    </row>
    <row r="77" spans="2:10" x14ac:dyDescent="0.25">
      <c r="B77"/>
      <c r="C77"/>
      <c r="D77"/>
      <c r="J77"/>
    </row>
    <row r="78" spans="2:10" x14ac:dyDescent="0.25">
      <c r="B78"/>
      <c r="C78"/>
      <c r="D78"/>
      <c r="J78"/>
    </row>
    <row r="79" spans="2:10" x14ac:dyDescent="0.25">
      <c r="B79"/>
      <c r="C79"/>
      <c r="D79"/>
      <c r="J79"/>
    </row>
    <row r="80" spans="2:10" x14ac:dyDescent="0.25">
      <c r="B80"/>
      <c r="C80"/>
      <c r="D80"/>
      <c r="J80"/>
    </row>
    <row r="81" spans="2:10" x14ac:dyDescent="0.25">
      <c r="B81"/>
      <c r="C81"/>
      <c r="D81"/>
      <c r="J81"/>
    </row>
    <row r="82" spans="2:10" x14ac:dyDescent="0.25">
      <c r="B82"/>
      <c r="C82"/>
      <c r="D82"/>
      <c r="J82"/>
    </row>
    <row r="83" spans="2:10" x14ac:dyDescent="0.25">
      <c r="B83"/>
      <c r="C83"/>
      <c r="D83"/>
      <c r="J83"/>
    </row>
    <row r="84" spans="2:10" x14ac:dyDescent="0.25">
      <c r="B84"/>
      <c r="C84"/>
      <c r="D84"/>
      <c r="J84"/>
    </row>
    <row r="85" spans="2:10" x14ac:dyDescent="0.25">
      <c r="B85"/>
      <c r="C85"/>
      <c r="D85"/>
      <c r="J85"/>
    </row>
    <row r="86" spans="2:10" x14ac:dyDescent="0.25">
      <c r="B86"/>
      <c r="C86"/>
      <c r="D86"/>
      <c r="J86"/>
    </row>
    <row r="87" spans="2:10" x14ac:dyDescent="0.25">
      <c r="B87"/>
      <c r="C87"/>
      <c r="D87"/>
      <c r="J87"/>
    </row>
    <row r="88" spans="2:10" x14ac:dyDescent="0.25">
      <c r="B88"/>
      <c r="C88"/>
      <c r="D88"/>
      <c r="J88"/>
    </row>
    <row r="89" spans="2:10" x14ac:dyDescent="0.25">
      <c r="B89"/>
      <c r="C89"/>
      <c r="D89"/>
      <c r="J89"/>
    </row>
    <row r="90" spans="2:10" x14ac:dyDescent="0.25">
      <c r="B90"/>
      <c r="C90"/>
      <c r="D90"/>
      <c r="J90"/>
    </row>
    <row r="91" spans="2:10" x14ac:dyDescent="0.25">
      <c r="B91"/>
      <c r="C91"/>
      <c r="D91"/>
      <c r="J91"/>
    </row>
    <row r="92" spans="2:10" x14ac:dyDescent="0.25">
      <c r="B92"/>
      <c r="C92"/>
      <c r="D92"/>
      <c r="J92"/>
    </row>
    <row r="93" spans="2:10" x14ac:dyDescent="0.25">
      <c r="B93"/>
      <c r="C93"/>
      <c r="D93"/>
      <c r="J93"/>
    </row>
    <row r="94" spans="2:10" x14ac:dyDescent="0.25">
      <c r="B94"/>
      <c r="C94"/>
      <c r="D94"/>
      <c r="J94"/>
    </row>
    <row r="95" spans="2:10" x14ac:dyDescent="0.25">
      <c r="B95"/>
      <c r="C95"/>
      <c r="D95"/>
      <c r="J95"/>
    </row>
    <row r="96" spans="2:10" x14ac:dyDescent="0.25">
      <c r="B96"/>
      <c r="C96"/>
      <c r="D96"/>
      <c r="J96"/>
    </row>
    <row r="97" spans="2:10" x14ac:dyDescent="0.25">
      <c r="B97"/>
      <c r="C97"/>
      <c r="D97"/>
      <c r="J97"/>
    </row>
    <row r="98" spans="2:10" x14ac:dyDescent="0.25">
      <c r="B98"/>
      <c r="C98"/>
      <c r="D98"/>
      <c r="J98"/>
    </row>
    <row r="99" spans="2:10" x14ac:dyDescent="0.25">
      <c r="B99"/>
      <c r="C99"/>
      <c r="D99"/>
      <c r="J99"/>
    </row>
    <row r="100" spans="2:10" x14ac:dyDescent="0.25">
      <c r="B100"/>
      <c r="C100"/>
      <c r="D100"/>
      <c r="J100"/>
    </row>
    <row r="101" spans="2:10" x14ac:dyDescent="0.25">
      <c r="B101"/>
      <c r="C101"/>
      <c r="D101"/>
      <c r="J101"/>
    </row>
    <row r="102" spans="2:10" x14ac:dyDescent="0.25">
      <c r="B102"/>
      <c r="C102"/>
      <c r="D102"/>
      <c r="J102"/>
    </row>
    <row r="103" spans="2:10" x14ac:dyDescent="0.25">
      <c r="B103"/>
      <c r="C103"/>
      <c r="D103"/>
      <c r="J103"/>
    </row>
    <row r="104" spans="2:10" x14ac:dyDescent="0.25">
      <c r="B104"/>
      <c r="C104"/>
      <c r="D104"/>
      <c r="J104"/>
    </row>
    <row r="105" spans="2:10" x14ac:dyDescent="0.25">
      <c r="B105"/>
      <c r="C105"/>
      <c r="D105"/>
      <c r="J105"/>
    </row>
    <row r="106" spans="2:10" x14ac:dyDescent="0.25">
      <c r="B106"/>
      <c r="C106"/>
      <c r="D106"/>
      <c r="J106"/>
    </row>
    <row r="107" spans="2:10" x14ac:dyDescent="0.25">
      <c r="B107"/>
      <c r="C107"/>
      <c r="D107"/>
      <c r="J107"/>
    </row>
    <row r="108" spans="2:10" x14ac:dyDescent="0.25">
      <c r="B108"/>
      <c r="C108"/>
      <c r="D108"/>
      <c r="J108"/>
    </row>
    <row r="109" spans="2:10" x14ac:dyDescent="0.25">
      <c r="B109"/>
      <c r="C109"/>
      <c r="D109"/>
      <c r="J109"/>
    </row>
    <row r="110" spans="2:10" x14ac:dyDescent="0.25">
      <c r="B110"/>
      <c r="C110"/>
      <c r="D110"/>
      <c r="J110"/>
    </row>
    <row r="111" spans="2:10" x14ac:dyDescent="0.25">
      <c r="B111"/>
      <c r="C111"/>
      <c r="D111"/>
      <c r="J111"/>
    </row>
    <row r="112" spans="2:10" x14ac:dyDescent="0.25">
      <c r="B112"/>
      <c r="C112"/>
      <c r="D112"/>
      <c r="J112"/>
    </row>
    <row r="113" spans="2:10" x14ac:dyDescent="0.25">
      <c r="B113"/>
      <c r="C113"/>
      <c r="D113"/>
      <c r="J113"/>
    </row>
    <row r="114" spans="2:10" x14ac:dyDescent="0.25">
      <c r="B114"/>
      <c r="C114"/>
      <c r="D114"/>
      <c r="J114"/>
    </row>
    <row r="115" spans="2:10" x14ac:dyDescent="0.25">
      <c r="B115"/>
      <c r="C115"/>
      <c r="D115"/>
      <c r="J115"/>
    </row>
    <row r="116" spans="2:10" x14ac:dyDescent="0.25">
      <c r="B116"/>
      <c r="C116"/>
      <c r="D116"/>
      <c r="J116"/>
    </row>
    <row r="117" spans="2:10" x14ac:dyDescent="0.25">
      <c r="B117"/>
      <c r="C117"/>
      <c r="D117"/>
      <c r="J117"/>
    </row>
    <row r="118" spans="2:10" x14ac:dyDescent="0.25">
      <c r="B118"/>
      <c r="C118"/>
      <c r="D118"/>
      <c r="J118"/>
    </row>
    <row r="119" spans="2:10" x14ac:dyDescent="0.25">
      <c r="B119"/>
      <c r="C119"/>
      <c r="D119"/>
      <c r="J119"/>
    </row>
    <row r="120" spans="2:10" x14ac:dyDescent="0.25">
      <c r="B120"/>
      <c r="C120"/>
      <c r="D120"/>
      <c r="J120"/>
    </row>
    <row r="121" spans="2:10" x14ac:dyDescent="0.25">
      <c r="B121"/>
      <c r="C121"/>
      <c r="D121"/>
      <c r="J121"/>
    </row>
    <row r="122" spans="2:10" x14ac:dyDescent="0.25">
      <c r="B122"/>
      <c r="C122"/>
      <c r="D122"/>
      <c r="J122"/>
    </row>
    <row r="123" spans="2:10" x14ac:dyDescent="0.25">
      <c r="B123"/>
      <c r="C123"/>
      <c r="D123"/>
      <c r="J123"/>
    </row>
    <row r="124" spans="2:10" x14ac:dyDescent="0.25">
      <c r="B124"/>
      <c r="C124"/>
      <c r="D124"/>
      <c r="J124"/>
    </row>
    <row r="125" spans="2:10" x14ac:dyDescent="0.25">
      <c r="B125"/>
      <c r="C125"/>
      <c r="D125"/>
      <c r="J125"/>
    </row>
    <row r="126" spans="2:10" x14ac:dyDescent="0.25">
      <c r="B126"/>
      <c r="C126"/>
      <c r="D126"/>
      <c r="J126"/>
    </row>
    <row r="127" spans="2:10" x14ac:dyDescent="0.25">
      <c r="B127"/>
      <c r="C127"/>
      <c r="D127"/>
      <c r="J127"/>
    </row>
    <row r="128" spans="2:10" x14ac:dyDescent="0.25">
      <c r="B128"/>
      <c r="C128"/>
      <c r="D128"/>
      <c r="J128"/>
    </row>
    <row r="129" spans="2:10" x14ac:dyDescent="0.25">
      <c r="B129"/>
      <c r="C129"/>
      <c r="D129"/>
      <c r="J129"/>
    </row>
    <row r="130" spans="2:10" x14ac:dyDescent="0.25">
      <c r="B130"/>
      <c r="C130"/>
      <c r="D130"/>
      <c r="J130"/>
    </row>
    <row r="131" spans="2:10" x14ac:dyDescent="0.25">
      <c r="B131"/>
      <c r="C131"/>
      <c r="D131"/>
      <c r="J131"/>
    </row>
    <row r="132" spans="2:10" x14ac:dyDescent="0.25">
      <c r="B132"/>
      <c r="C132"/>
      <c r="D132"/>
      <c r="J132"/>
    </row>
    <row r="133" spans="2:10" x14ac:dyDescent="0.25">
      <c r="B133"/>
      <c r="C133"/>
      <c r="D133"/>
      <c r="J133"/>
    </row>
    <row r="134" spans="2:10" x14ac:dyDescent="0.25">
      <c r="B134"/>
      <c r="C134"/>
      <c r="D134"/>
      <c r="J134"/>
    </row>
    <row r="135" spans="2:10" x14ac:dyDescent="0.25">
      <c r="B135"/>
      <c r="C135"/>
      <c r="D135"/>
      <c r="J135"/>
    </row>
    <row r="136" spans="2:10" x14ac:dyDescent="0.25">
      <c r="B136"/>
      <c r="C136"/>
      <c r="D136"/>
      <c r="J136"/>
    </row>
    <row r="137" spans="2:10" x14ac:dyDescent="0.25">
      <c r="B137"/>
      <c r="C137"/>
      <c r="D137"/>
      <c r="J137"/>
    </row>
    <row r="138" spans="2:10" x14ac:dyDescent="0.25">
      <c r="B138"/>
      <c r="C138"/>
      <c r="D138"/>
      <c r="J138"/>
    </row>
    <row r="139" spans="2:10" x14ac:dyDescent="0.25">
      <c r="B139"/>
      <c r="C139"/>
      <c r="D139"/>
      <c r="J139"/>
    </row>
    <row r="140" spans="2:10" x14ac:dyDescent="0.25">
      <c r="B140"/>
      <c r="C140"/>
      <c r="D140"/>
      <c r="J140"/>
    </row>
    <row r="141" spans="2:10" x14ac:dyDescent="0.25">
      <c r="B141"/>
      <c r="C141"/>
      <c r="D141"/>
      <c r="J141"/>
    </row>
    <row r="142" spans="2:10" x14ac:dyDescent="0.25">
      <c r="B142"/>
      <c r="C142"/>
      <c r="D142"/>
      <c r="J142"/>
    </row>
    <row r="143" spans="2:10" x14ac:dyDescent="0.25">
      <c r="B143"/>
      <c r="C143"/>
      <c r="D143"/>
      <c r="J143"/>
    </row>
    <row r="144" spans="2:10" x14ac:dyDescent="0.25">
      <c r="B144"/>
      <c r="C144"/>
      <c r="D144"/>
      <c r="J144"/>
    </row>
    <row r="145" spans="2:10" x14ac:dyDescent="0.25">
      <c r="B145"/>
      <c r="C145"/>
      <c r="D145"/>
      <c r="J145"/>
    </row>
    <row r="146" spans="2:10" x14ac:dyDescent="0.25">
      <c r="B146"/>
      <c r="C146"/>
      <c r="D146"/>
      <c r="J146"/>
    </row>
    <row r="147" spans="2:10" x14ac:dyDescent="0.25">
      <c r="B147"/>
      <c r="C147"/>
      <c r="D147"/>
      <c r="J147"/>
    </row>
    <row r="148" spans="2:10" x14ac:dyDescent="0.25">
      <c r="B148"/>
      <c r="C148"/>
      <c r="D148"/>
      <c r="J148"/>
    </row>
    <row r="149" spans="2:10" x14ac:dyDescent="0.25">
      <c r="B149"/>
      <c r="C149"/>
      <c r="D149"/>
      <c r="J149"/>
    </row>
    <row r="150" spans="2:10" x14ac:dyDescent="0.25">
      <c r="B150"/>
      <c r="C150"/>
      <c r="D150"/>
      <c r="J150"/>
    </row>
    <row r="151" spans="2:10" x14ac:dyDescent="0.25">
      <c r="B151"/>
      <c r="C151"/>
      <c r="D151"/>
      <c r="J151"/>
    </row>
    <row r="152" spans="2:10" x14ac:dyDescent="0.25">
      <c r="B152"/>
      <c r="C152"/>
      <c r="D152"/>
      <c r="J152"/>
    </row>
    <row r="153" spans="2:10" x14ac:dyDescent="0.25">
      <c r="B153"/>
      <c r="C153"/>
      <c r="D153"/>
      <c r="J153"/>
    </row>
    <row r="154" spans="2:10" x14ac:dyDescent="0.25">
      <c r="B154"/>
      <c r="C154"/>
      <c r="D154"/>
      <c r="J154"/>
    </row>
    <row r="155" spans="2:10" x14ac:dyDescent="0.25">
      <c r="B155"/>
      <c r="C155"/>
      <c r="D155"/>
      <c r="J155"/>
    </row>
    <row r="156" spans="2:10" x14ac:dyDescent="0.25">
      <c r="B156"/>
      <c r="C156"/>
      <c r="D156"/>
      <c r="J156"/>
    </row>
    <row r="157" spans="2:10" x14ac:dyDescent="0.25">
      <c r="B157"/>
      <c r="C157"/>
      <c r="D157"/>
      <c r="J157"/>
    </row>
    <row r="158" spans="2:10" x14ac:dyDescent="0.25">
      <c r="B158"/>
      <c r="C158"/>
      <c r="D158"/>
      <c r="J158"/>
    </row>
    <row r="159" spans="2:10" x14ac:dyDescent="0.25">
      <c r="B159"/>
      <c r="C159"/>
      <c r="D159"/>
      <c r="J159"/>
    </row>
    <row r="160" spans="2:10" x14ac:dyDescent="0.25">
      <c r="B160"/>
      <c r="C160"/>
      <c r="D160"/>
      <c r="J160"/>
    </row>
    <row r="161" spans="2:10" x14ac:dyDescent="0.25">
      <c r="B161"/>
      <c r="C161"/>
      <c r="D161"/>
      <c r="J161"/>
    </row>
    <row r="162" spans="2:10" x14ac:dyDescent="0.25">
      <c r="B162"/>
      <c r="C162"/>
      <c r="D162"/>
      <c r="J162"/>
    </row>
    <row r="163" spans="2:10" x14ac:dyDescent="0.25">
      <c r="B163"/>
      <c r="C163"/>
      <c r="D163"/>
      <c r="J163"/>
    </row>
    <row r="164" spans="2:10" x14ac:dyDescent="0.25">
      <c r="B164"/>
      <c r="C164"/>
      <c r="D164"/>
      <c r="J164"/>
    </row>
    <row r="165" spans="2:10" x14ac:dyDescent="0.25">
      <c r="B165"/>
      <c r="C165"/>
      <c r="D165"/>
      <c r="J165"/>
    </row>
    <row r="166" spans="2:10" x14ac:dyDescent="0.25">
      <c r="B166"/>
      <c r="C166"/>
      <c r="D166"/>
      <c r="J166"/>
    </row>
    <row r="167" spans="2:10" x14ac:dyDescent="0.25">
      <c r="B167"/>
      <c r="C167"/>
      <c r="D167"/>
      <c r="J167"/>
    </row>
    <row r="168" spans="2:10" x14ac:dyDescent="0.25">
      <c r="B168"/>
      <c r="C168"/>
      <c r="D168"/>
      <c r="J168"/>
    </row>
    <row r="169" spans="2:10" x14ac:dyDescent="0.25">
      <c r="B169"/>
      <c r="C169"/>
      <c r="D169"/>
      <c r="J169"/>
    </row>
    <row r="170" spans="2:10" x14ac:dyDescent="0.25">
      <c r="B170"/>
      <c r="C170"/>
      <c r="D170"/>
      <c r="J170"/>
    </row>
    <row r="171" spans="2:10" x14ac:dyDescent="0.25">
      <c r="B171"/>
      <c r="C171"/>
      <c r="D171"/>
      <c r="J171"/>
    </row>
    <row r="172" spans="2:10" x14ac:dyDescent="0.25">
      <c r="B172"/>
      <c r="C172"/>
      <c r="D172"/>
      <c r="J172"/>
    </row>
    <row r="173" spans="2:10" x14ac:dyDescent="0.25">
      <c r="B173"/>
      <c r="C173"/>
      <c r="D173"/>
      <c r="J173"/>
    </row>
    <row r="174" spans="2:10" x14ac:dyDescent="0.25">
      <c r="B174"/>
      <c r="C174"/>
      <c r="D174"/>
      <c r="J174"/>
    </row>
    <row r="175" spans="2:10" x14ac:dyDescent="0.25">
      <c r="B175"/>
      <c r="C175"/>
      <c r="D175"/>
      <c r="J175"/>
    </row>
    <row r="176" spans="2:10" x14ac:dyDescent="0.25">
      <c r="B176"/>
      <c r="C176"/>
      <c r="D176"/>
      <c r="J176"/>
    </row>
    <row r="177" spans="2:10" x14ac:dyDescent="0.25">
      <c r="B177"/>
      <c r="C177"/>
      <c r="D177"/>
      <c r="J177"/>
    </row>
    <row r="178" spans="2:10" x14ac:dyDescent="0.25">
      <c r="B178"/>
      <c r="C178"/>
      <c r="D178"/>
      <c r="J178"/>
    </row>
    <row r="179" spans="2:10" x14ac:dyDescent="0.25">
      <c r="B179"/>
      <c r="C179"/>
      <c r="D179"/>
      <c r="J179"/>
    </row>
    <row r="180" spans="2:10" x14ac:dyDescent="0.25">
      <c r="B180"/>
      <c r="C180"/>
      <c r="D180"/>
      <c r="J180"/>
    </row>
    <row r="181" spans="2:10" x14ac:dyDescent="0.25">
      <c r="B181"/>
      <c r="C181"/>
      <c r="D181"/>
      <c r="J181"/>
    </row>
    <row r="182" spans="2:10" x14ac:dyDescent="0.25">
      <c r="B182"/>
      <c r="C182"/>
      <c r="D182"/>
      <c r="J182"/>
    </row>
    <row r="183" spans="2:10" x14ac:dyDescent="0.25">
      <c r="B183"/>
      <c r="C183"/>
      <c r="D183"/>
      <c r="J183"/>
    </row>
    <row r="184" spans="2:10" x14ac:dyDescent="0.25">
      <c r="B184"/>
      <c r="C184"/>
      <c r="D184"/>
      <c r="J184"/>
    </row>
    <row r="185" spans="2:10" x14ac:dyDescent="0.25">
      <c r="B185"/>
      <c r="C185"/>
      <c r="D185"/>
      <c r="J185"/>
    </row>
    <row r="186" spans="2:10" x14ac:dyDescent="0.25">
      <c r="B186"/>
      <c r="C186"/>
      <c r="D186"/>
      <c r="J186"/>
    </row>
    <row r="187" spans="2:10" x14ac:dyDescent="0.25">
      <c r="B187"/>
      <c r="C187"/>
      <c r="D187"/>
      <c r="J187"/>
    </row>
    <row r="188" spans="2:10" x14ac:dyDescent="0.25">
      <c r="B188"/>
      <c r="C188"/>
      <c r="D188"/>
      <c r="J188"/>
    </row>
    <row r="189" spans="2:10" x14ac:dyDescent="0.25">
      <c r="B189"/>
      <c r="C189"/>
      <c r="D189"/>
      <c r="J189"/>
    </row>
    <row r="190" spans="2:10" x14ac:dyDescent="0.25">
      <c r="B190"/>
      <c r="C190"/>
      <c r="D190"/>
      <c r="J190"/>
    </row>
    <row r="191" spans="2:10" x14ac:dyDescent="0.25">
      <c r="B191"/>
      <c r="C191"/>
      <c r="D191"/>
      <c r="J191"/>
    </row>
    <row r="192" spans="2:10" x14ac:dyDescent="0.25">
      <c r="B192"/>
      <c r="C192"/>
      <c r="D192"/>
      <c r="J192"/>
    </row>
    <row r="193" spans="2:10" x14ac:dyDescent="0.25">
      <c r="B193"/>
      <c r="C193"/>
      <c r="D193"/>
      <c r="J193"/>
    </row>
    <row r="194" spans="2:10" x14ac:dyDescent="0.25">
      <c r="B194"/>
      <c r="C194"/>
      <c r="D194"/>
      <c r="J194"/>
    </row>
    <row r="195" spans="2:10" x14ac:dyDescent="0.25">
      <c r="B195"/>
      <c r="C195"/>
      <c r="D195"/>
      <c r="J195"/>
    </row>
    <row r="196" spans="2:10" x14ac:dyDescent="0.25">
      <c r="B196"/>
      <c r="C196"/>
      <c r="D196"/>
      <c r="J196"/>
    </row>
    <row r="197" spans="2:10" x14ac:dyDescent="0.25">
      <c r="B197"/>
      <c r="C197"/>
      <c r="D197"/>
      <c r="J197"/>
    </row>
    <row r="198" spans="2:10" x14ac:dyDescent="0.25">
      <c r="B198"/>
      <c r="C198"/>
      <c r="D198"/>
      <c r="J198"/>
    </row>
    <row r="199" spans="2:10" x14ac:dyDescent="0.25">
      <c r="B199"/>
      <c r="C199"/>
      <c r="D199"/>
      <c r="J199"/>
    </row>
    <row r="200" spans="2:10" x14ac:dyDescent="0.25">
      <c r="B200"/>
      <c r="C200"/>
      <c r="D200"/>
      <c r="J200"/>
    </row>
    <row r="201" spans="2:10" x14ac:dyDescent="0.25">
      <c r="B201"/>
      <c r="C201"/>
      <c r="D201"/>
      <c r="J201"/>
    </row>
    <row r="202" spans="2:10" x14ac:dyDescent="0.25">
      <c r="B202"/>
      <c r="C202"/>
      <c r="D202"/>
      <c r="J202"/>
    </row>
    <row r="203" spans="2:10" x14ac:dyDescent="0.25">
      <c r="B203"/>
      <c r="C203"/>
      <c r="D203"/>
      <c r="J203"/>
    </row>
    <row r="204" spans="2:10" x14ac:dyDescent="0.25">
      <c r="B204"/>
      <c r="C204"/>
      <c r="D204"/>
      <c r="J204"/>
    </row>
    <row r="205" spans="2:10" x14ac:dyDescent="0.25">
      <c r="B205"/>
      <c r="C205"/>
      <c r="D205"/>
      <c r="J205"/>
    </row>
    <row r="206" spans="2:10" x14ac:dyDescent="0.25">
      <c r="B206"/>
      <c r="C206"/>
      <c r="D206"/>
      <c r="J206"/>
    </row>
    <row r="207" spans="2:10" x14ac:dyDescent="0.25">
      <c r="B207"/>
      <c r="C207"/>
      <c r="D207"/>
      <c r="J207"/>
    </row>
    <row r="208" spans="2:10" x14ac:dyDescent="0.25">
      <c r="B208"/>
      <c r="C208"/>
      <c r="D208"/>
      <c r="J208"/>
    </row>
    <row r="209" spans="2:10" x14ac:dyDescent="0.25">
      <c r="B209"/>
      <c r="C209"/>
      <c r="D209"/>
      <c r="J209"/>
    </row>
    <row r="210" spans="2:10" x14ac:dyDescent="0.25">
      <c r="B210"/>
      <c r="C210"/>
      <c r="D210"/>
      <c r="J210"/>
    </row>
    <row r="211" spans="2:10" x14ac:dyDescent="0.25">
      <c r="B211"/>
      <c r="C211"/>
      <c r="D211"/>
      <c r="J211"/>
    </row>
    <row r="212" spans="2:10" x14ac:dyDescent="0.25">
      <c r="B212"/>
      <c r="C212"/>
      <c r="D212"/>
      <c r="J212"/>
    </row>
    <row r="213" spans="2:10" x14ac:dyDescent="0.25">
      <c r="B213"/>
      <c r="C213"/>
      <c r="D213"/>
      <c r="J213"/>
    </row>
    <row r="214" spans="2:10" x14ac:dyDescent="0.25">
      <c r="B214"/>
      <c r="C214"/>
      <c r="D214"/>
      <c r="J214"/>
    </row>
    <row r="215" spans="2:10" x14ac:dyDescent="0.25">
      <c r="B215"/>
      <c r="C215"/>
      <c r="D215"/>
      <c r="J215"/>
    </row>
    <row r="216" spans="2:10" x14ac:dyDescent="0.25">
      <c r="B216"/>
      <c r="C216"/>
      <c r="D216"/>
      <c r="J216"/>
    </row>
    <row r="217" spans="2:10" x14ac:dyDescent="0.25">
      <c r="B217"/>
      <c r="C217"/>
      <c r="D217"/>
      <c r="J217"/>
    </row>
    <row r="218" spans="2:10" x14ac:dyDescent="0.25">
      <c r="B218"/>
      <c r="C218"/>
      <c r="D218"/>
      <c r="J218"/>
    </row>
    <row r="219" spans="2:10" x14ac:dyDescent="0.25">
      <c r="B219"/>
      <c r="C219"/>
      <c r="D219"/>
      <c r="J219"/>
    </row>
    <row r="220" spans="2:10" x14ac:dyDescent="0.25">
      <c r="B220"/>
      <c r="C220"/>
      <c r="D220"/>
      <c r="J220"/>
    </row>
    <row r="221" spans="2:10" x14ac:dyDescent="0.25">
      <c r="B221"/>
      <c r="C221"/>
      <c r="D221"/>
      <c r="J221"/>
    </row>
    <row r="222" spans="2:10" x14ac:dyDescent="0.25">
      <c r="B222"/>
      <c r="C222"/>
      <c r="D222"/>
      <c r="J222"/>
    </row>
    <row r="223" spans="2:10" x14ac:dyDescent="0.25">
      <c r="B223"/>
      <c r="C223"/>
      <c r="D223"/>
      <c r="J223"/>
    </row>
    <row r="224" spans="2:10" x14ac:dyDescent="0.25">
      <c r="B224"/>
      <c r="C224"/>
      <c r="D224"/>
      <c r="J224"/>
    </row>
    <row r="225" spans="2:10" x14ac:dyDescent="0.25">
      <c r="B225"/>
      <c r="C225"/>
      <c r="D225"/>
      <c r="J225"/>
    </row>
    <row r="226" spans="2:10" x14ac:dyDescent="0.25">
      <c r="B226"/>
      <c r="C226"/>
      <c r="D226"/>
      <c r="J226"/>
    </row>
    <row r="227" spans="2:10" x14ac:dyDescent="0.25">
      <c r="B227"/>
      <c r="C227"/>
      <c r="D227"/>
      <c r="J227"/>
    </row>
    <row r="228" spans="2:10" x14ac:dyDescent="0.25">
      <c r="B228"/>
      <c r="C228"/>
      <c r="D228"/>
      <c r="J228"/>
    </row>
    <row r="229" spans="2:10" x14ac:dyDescent="0.25">
      <c r="B229"/>
      <c r="C229"/>
      <c r="D229"/>
      <c r="J229"/>
    </row>
    <row r="230" spans="2:10" x14ac:dyDescent="0.25">
      <c r="B230"/>
      <c r="C230"/>
      <c r="D230"/>
      <c r="J230"/>
    </row>
    <row r="231" spans="2:10" x14ac:dyDescent="0.25">
      <c r="B231"/>
      <c r="C231"/>
      <c r="D231"/>
      <c r="J231"/>
    </row>
    <row r="232" spans="2:10" x14ac:dyDescent="0.25">
      <c r="B232"/>
      <c r="C232"/>
      <c r="D232"/>
      <c r="J232"/>
    </row>
    <row r="233" spans="2:10" x14ac:dyDescent="0.25">
      <c r="B233"/>
      <c r="C233"/>
      <c r="D233"/>
      <c r="J233"/>
    </row>
    <row r="234" spans="2:10" x14ac:dyDescent="0.25">
      <c r="B234"/>
      <c r="C234"/>
      <c r="D234"/>
      <c r="J234"/>
    </row>
    <row r="235" spans="2:10" x14ac:dyDescent="0.25">
      <c r="B235"/>
      <c r="C235"/>
      <c r="D235"/>
      <c r="J235"/>
    </row>
    <row r="236" spans="2:10" x14ac:dyDescent="0.25">
      <c r="B236"/>
      <c r="C236"/>
      <c r="D236"/>
      <c r="J236"/>
    </row>
    <row r="237" spans="2:10" x14ac:dyDescent="0.25">
      <c r="B237"/>
      <c r="C237"/>
      <c r="D237"/>
      <c r="J237"/>
    </row>
    <row r="238" spans="2:10" x14ac:dyDescent="0.25">
      <c r="B238"/>
      <c r="C238"/>
      <c r="D238"/>
      <c r="J238"/>
    </row>
    <row r="239" spans="2:10" x14ac:dyDescent="0.25">
      <c r="B239"/>
      <c r="C239"/>
      <c r="D239"/>
      <c r="J239"/>
    </row>
    <row r="240" spans="2:10" x14ac:dyDescent="0.25">
      <c r="B240"/>
      <c r="C240"/>
      <c r="D240"/>
      <c r="J240"/>
    </row>
    <row r="241" spans="2:10" x14ac:dyDescent="0.25">
      <c r="B241"/>
      <c r="C241"/>
      <c r="D241"/>
      <c r="J241"/>
    </row>
    <row r="242" spans="2:10" x14ac:dyDescent="0.25">
      <c r="B242"/>
      <c r="C242"/>
      <c r="D242"/>
      <c r="J242"/>
    </row>
    <row r="243" spans="2:10" x14ac:dyDescent="0.25">
      <c r="B243"/>
      <c r="C243"/>
      <c r="D243"/>
      <c r="J243"/>
    </row>
    <row r="244" spans="2:10" x14ac:dyDescent="0.25">
      <c r="B244"/>
      <c r="C244"/>
      <c r="D244"/>
      <c r="J244"/>
    </row>
    <row r="245" spans="2:10" x14ac:dyDescent="0.25">
      <c r="B245"/>
      <c r="C245"/>
      <c r="D245"/>
      <c r="J245"/>
    </row>
    <row r="246" spans="2:10" x14ac:dyDescent="0.25">
      <c r="B246"/>
      <c r="C246"/>
      <c r="D246"/>
      <c r="J246"/>
    </row>
    <row r="247" spans="2:10" x14ac:dyDescent="0.25">
      <c r="B247"/>
      <c r="C247"/>
      <c r="D247"/>
      <c r="J247"/>
    </row>
    <row r="248" spans="2:10" x14ac:dyDescent="0.25">
      <c r="B248"/>
      <c r="C248"/>
      <c r="D248"/>
      <c r="J248"/>
    </row>
    <row r="249" spans="2:10" x14ac:dyDescent="0.25">
      <c r="B249"/>
      <c r="C249"/>
      <c r="D249"/>
      <c r="J249"/>
    </row>
    <row r="250" spans="2:10" x14ac:dyDescent="0.25">
      <c r="B250"/>
      <c r="C250"/>
      <c r="D250"/>
      <c r="J250"/>
    </row>
    <row r="251" spans="2:10" x14ac:dyDescent="0.25">
      <c r="B251"/>
      <c r="C251"/>
      <c r="D251"/>
      <c r="J251"/>
    </row>
    <row r="252" spans="2:10" x14ac:dyDescent="0.25">
      <c r="B252"/>
      <c r="C252"/>
      <c r="D252"/>
      <c r="J252"/>
    </row>
    <row r="253" spans="2:10" x14ac:dyDescent="0.25">
      <c r="B253"/>
      <c r="C253"/>
      <c r="D253"/>
      <c r="J253"/>
    </row>
    <row r="254" spans="2:10" x14ac:dyDescent="0.25">
      <c r="B254"/>
      <c r="C254"/>
      <c r="D254"/>
      <c r="J254"/>
    </row>
    <row r="255" spans="2:10" x14ac:dyDescent="0.25">
      <c r="B255"/>
      <c r="C255"/>
      <c r="D255"/>
      <c r="J255"/>
    </row>
    <row r="256" spans="2:10" x14ac:dyDescent="0.25">
      <c r="B256"/>
      <c r="C256"/>
      <c r="D256"/>
      <c r="J256"/>
    </row>
    <row r="257" spans="2:10" x14ac:dyDescent="0.25">
      <c r="B257"/>
      <c r="C257"/>
      <c r="D257"/>
      <c r="J257"/>
    </row>
    <row r="258" spans="2:10" x14ac:dyDescent="0.25">
      <c r="B258"/>
      <c r="C258"/>
      <c r="D258"/>
      <c r="J258"/>
    </row>
    <row r="259" spans="2:10" x14ac:dyDescent="0.25">
      <c r="B259"/>
      <c r="C259"/>
      <c r="D259"/>
      <c r="J259"/>
    </row>
    <row r="260" spans="2:10" x14ac:dyDescent="0.25">
      <c r="B260"/>
      <c r="C260"/>
      <c r="D260"/>
      <c r="J260"/>
    </row>
    <row r="261" spans="2:10" x14ac:dyDescent="0.25">
      <c r="B261"/>
      <c r="C261"/>
      <c r="D261"/>
      <c r="J261"/>
    </row>
    <row r="262" spans="2:10" x14ac:dyDescent="0.25">
      <c r="B262"/>
      <c r="C262"/>
      <c r="D262"/>
      <c r="J262"/>
    </row>
    <row r="263" spans="2:10" x14ac:dyDescent="0.25">
      <c r="B263"/>
      <c r="C263"/>
      <c r="D263"/>
      <c r="J263"/>
    </row>
    <row r="264" spans="2:10" x14ac:dyDescent="0.25">
      <c r="B264"/>
      <c r="C264"/>
      <c r="D264"/>
      <c r="J264"/>
    </row>
    <row r="265" spans="2:10" x14ac:dyDescent="0.25">
      <c r="B265"/>
      <c r="C265"/>
      <c r="D265"/>
      <c r="J265"/>
    </row>
    <row r="266" spans="2:10" x14ac:dyDescent="0.25">
      <c r="B266"/>
      <c r="C266"/>
      <c r="D266"/>
      <c r="J266"/>
    </row>
    <row r="267" spans="2:10" x14ac:dyDescent="0.25">
      <c r="B267"/>
      <c r="C267"/>
      <c r="D267"/>
      <c r="J267"/>
    </row>
    <row r="268" spans="2:10" x14ac:dyDescent="0.25">
      <c r="B268"/>
      <c r="C268"/>
      <c r="D268"/>
      <c r="J268"/>
    </row>
    <row r="269" spans="2:10" x14ac:dyDescent="0.25">
      <c r="B269"/>
      <c r="C269"/>
      <c r="D269"/>
      <c r="J269"/>
    </row>
    <row r="270" spans="2:10" x14ac:dyDescent="0.25">
      <c r="B270"/>
      <c r="C270"/>
      <c r="D270"/>
      <c r="J270"/>
    </row>
    <row r="271" spans="2:10" x14ac:dyDescent="0.25">
      <c r="B271"/>
      <c r="C271"/>
      <c r="D271"/>
      <c r="J271"/>
    </row>
    <row r="272" spans="2:10" x14ac:dyDescent="0.25">
      <c r="B272"/>
      <c r="C272"/>
      <c r="D272"/>
      <c r="J272"/>
    </row>
    <row r="273" spans="2:10" x14ac:dyDescent="0.25">
      <c r="B273"/>
      <c r="C273"/>
      <c r="D273"/>
      <c r="J273"/>
    </row>
    <row r="274" spans="2:10" x14ac:dyDescent="0.25">
      <c r="B274"/>
      <c r="C274"/>
      <c r="D274"/>
      <c r="J274"/>
    </row>
    <row r="275" spans="2:10" x14ac:dyDescent="0.25">
      <c r="B275"/>
      <c r="C275"/>
      <c r="D275"/>
      <c r="J275"/>
    </row>
    <row r="276" spans="2:10" x14ac:dyDescent="0.25">
      <c r="B276"/>
      <c r="C276"/>
      <c r="D276"/>
      <c r="J276"/>
    </row>
    <row r="277" spans="2:10" x14ac:dyDescent="0.25">
      <c r="B277"/>
      <c r="C277"/>
      <c r="D277"/>
      <c r="J277"/>
    </row>
    <row r="278" spans="2:10" x14ac:dyDescent="0.25">
      <c r="B278"/>
      <c r="C278"/>
      <c r="D278"/>
      <c r="J278"/>
    </row>
    <row r="279" spans="2:10" x14ac:dyDescent="0.25">
      <c r="B279"/>
      <c r="C279"/>
      <c r="D279"/>
      <c r="J279"/>
    </row>
    <row r="280" spans="2:10" x14ac:dyDescent="0.25">
      <c r="B280"/>
      <c r="C280"/>
      <c r="D280"/>
      <c r="J280"/>
    </row>
    <row r="281" spans="2:10" x14ac:dyDescent="0.25">
      <c r="B281"/>
      <c r="C281"/>
      <c r="D281"/>
      <c r="J281"/>
    </row>
    <row r="282" spans="2:10" x14ac:dyDescent="0.25">
      <c r="B282"/>
      <c r="C282"/>
      <c r="D282"/>
      <c r="J282"/>
    </row>
    <row r="283" spans="2:10" x14ac:dyDescent="0.25">
      <c r="B283"/>
      <c r="C283"/>
      <c r="D283"/>
      <c r="J283"/>
    </row>
    <row r="284" spans="2:10" x14ac:dyDescent="0.25">
      <c r="B284"/>
      <c r="C284"/>
      <c r="D284"/>
      <c r="J284"/>
    </row>
    <row r="285" spans="2:10" x14ac:dyDescent="0.25">
      <c r="B285"/>
      <c r="C285"/>
      <c r="D285"/>
      <c r="J285"/>
    </row>
    <row r="286" spans="2:10" x14ac:dyDescent="0.25">
      <c r="B286"/>
      <c r="C286"/>
      <c r="D286"/>
      <c r="J286"/>
    </row>
    <row r="287" spans="2:10" x14ac:dyDescent="0.25">
      <c r="B287"/>
      <c r="C287"/>
      <c r="D287"/>
      <c r="J287"/>
    </row>
    <row r="288" spans="2:10" x14ac:dyDescent="0.25">
      <c r="B288"/>
      <c r="C288"/>
      <c r="D288"/>
      <c r="J288"/>
    </row>
    <row r="289" spans="2:10" x14ac:dyDescent="0.25">
      <c r="B289"/>
      <c r="C289"/>
      <c r="D289"/>
      <c r="J289"/>
    </row>
    <row r="290" spans="2:10" x14ac:dyDescent="0.25">
      <c r="B290"/>
      <c r="C290"/>
      <c r="D290"/>
      <c r="J290"/>
    </row>
    <row r="291" spans="2:10" x14ac:dyDescent="0.25">
      <c r="B291"/>
      <c r="C291"/>
      <c r="D291"/>
      <c r="J291"/>
    </row>
    <row r="292" spans="2:10" x14ac:dyDescent="0.25">
      <c r="B292"/>
      <c r="C292"/>
      <c r="D292"/>
      <c r="J292"/>
    </row>
    <row r="293" spans="2:10" x14ac:dyDescent="0.25">
      <c r="B293"/>
      <c r="C293"/>
      <c r="D293"/>
      <c r="J293"/>
    </row>
    <row r="294" spans="2:10" x14ac:dyDescent="0.25">
      <c r="B294"/>
      <c r="C294"/>
      <c r="D294"/>
      <c r="J294"/>
    </row>
    <row r="295" spans="2:10" x14ac:dyDescent="0.25">
      <c r="B295"/>
      <c r="C295"/>
      <c r="D295"/>
      <c r="J295"/>
    </row>
    <row r="296" spans="2:10" x14ac:dyDescent="0.25">
      <c r="B296"/>
      <c r="C296"/>
      <c r="D296"/>
      <c r="J296"/>
    </row>
    <row r="297" spans="2:10" x14ac:dyDescent="0.25">
      <c r="B297"/>
      <c r="C297"/>
      <c r="D297"/>
      <c r="J297"/>
    </row>
    <row r="298" spans="2:10" x14ac:dyDescent="0.25">
      <c r="B298"/>
      <c r="C298"/>
      <c r="D298"/>
      <c r="J298"/>
    </row>
    <row r="299" spans="2:10" x14ac:dyDescent="0.25">
      <c r="B299"/>
      <c r="C299"/>
      <c r="D299"/>
      <c r="J299"/>
    </row>
    <row r="300" spans="2:10" x14ac:dyDescent="0.25">
      <c r="B300"/>
      <c r="C300"/>
      <c r="D300"/>
      <c r="J300"/>
    </row>
    <row r="301" spans="2:10" x14ac:dyDescent="0.25">
      <c r="B301"/>
      <c r="C301"/>
      <c r="D301"/>
      <c r="J301"/>
    </row>
    <row r="302" spans="2:10" x14ac:dyDescent="0.25">
      <c r="B302"/>
      <c r="C302"/>
      <c r="D302"/>
      <c r="J302"/>
    </row>
    <row r="303" spans="2:10" x14ac:dyDescent="0.25">
      <c r="B303"/>
      <c r="C303"/>
      <c r="D303"/>
      <c r="J303"/>
    </row>
    <row r="304" spans="2:10" x14ac:dyDescent="0.25">
      <c r="B304"/>
      <c r="C304"/>
      <c r="D304"/>
      <c r="J304"/>
    </row>
    <row r="305" spans="2:10" x14ac:dyDescent="0.25">
      <c r="B305"/>
      <c r="C305"/>
      <c r="D305"/>
      <c r="J305"/>
    </row>
    <row r="306" spans="2:10" x14ac:dyDescent="0.25">
      <c r="B306"/>
      <c r="C306"/>
      <c r="D306"/>
      <c r="J306"/>
    </row>
    <row r="307" spans="2:10" x14ac:dyDescent="0.25">
      <c r="B307"/>
      <c r="C307"/>
      <c r="D307"/>
      <c r="J307"/>
    </row>
    <row r="308" spans="2:10" x14ac:dyDescent="0.25">
      <c r="B308"/>
      <c r="C308"/>
      <c r="D308"/>
      <c r="J308"/>
    </row>
    <row r="309" spans="2:10" x14ac:dyDescent="0.25">
      <c r="B309"/>
      <c r="C309"/>
      <c r="D309"/>
      <c r="J309"/>
    </row>
    <row r="310" spans="2:10" x14ac:dyDescent="0.25">
      <c r="B310"/>
      <c r="C310"/>
      <c r="D310"/>
      <c r="J310"/>
    </row>
    <row r="311" spans="2:10" x14ac:dyDescent="0.25">
      <c r="B311"/>
      <c r="C311"/>
      <c r="D311"/>
      <c r="J311"/>
    </row>
    <row r="312" spans="2:10" x14ac:dyDescent="0.25">
      <c r="B312"/>
      <c r="C312"/>
      <c r="D312"/>
      <c r="J312"/>
    </row>
    <row r="313" spans="2:10" x14ac:dyDescent="0.25">
      <c r="B313"/>
      <c r="C313"/>
      <c r="D313"/>
      <c r="J313"/>
    </row>
    <row r="314" spans="2:10" x14ac:dyDescent="0.25">
      <c r="B314"/>
      <c r="C314"/>
      <c r="D314"/>
      <c r="J314"/>
    </row>
    <row r="315" spans="2:10" x14ac:dyDescent="0.25">
      <c r="B315"/>
      <c r="C315"/>
      <c r="D315"/>
      <c r="J315"/>
    </row>
    <row r="316" spans="2:10" x14ac:dyDescent="0.25">
      <c r="B316"/>
      <c r="C316"/>
      <c r="D316"/>
      <c r="J316"/>
    </row>
    <row r="317" spans="2:10" x14ac:dyDescent="0.25">
      <c r="B317"/>
      <c r="C317"/>
      <c r="D317"/>
      <c r="J317"/>
    </row>
    <row r="318" spans="2:10" x14ac:dyDescent="0.25">
      <c r="B318"/>
      <c r="C318"/>
      <c r="D318"/>
      <c r="J318"/>
    </row>
    <row r="319" spans="2:10" x14ac:dyDescent="0.25">
      <c r="B319"/>
      <c r="C319"/>
      <c r="D319"/>
      <c r="J319"/>
    </row>
    <row r="320" spans="2:10" x14ac:dyDescent="0.25">
      <c r="B320"/>
      <c r="C320"/>
      <c r="D320"/>
      <c r="J320"/>
    </row>
    <row r="321" spans="2:10" x14ac:dyDescent="0.25">
      <c r="B321"/>
      <c r="C321"/>
      <c r="D321"/>
      <c r="J321"/>
    </row>
    <row r="322" spans="2:10" x14ac:dyDescent="0.25">
      <c r="B322"/>
      <c r="C322"/>
      <c r="D322"/>
      <c r="J322"/>
    </row>
    <row r="323" spans="2:10" x14ac:dyDescent="0.25">
      <c r="B323"/>
      <c r="C323"/>
      <c r="D323"/>
      <c r="J323"/>
    </row>
    <row r="324" spans="2:10" x14ac:dyDescent="0.25">
      <c r="B324"/>
      <c r="C324"/>
      <c r="D324"/>
      <c r="J324"/>
    </row>
    <row r="325" spans="2:10" x14ac:dyDescent="0.25">
      <c r="B325"/>
      <c r="C325"/>
      <c r="D325"/>
      <c r="J325"/>
    </row>
    <row r="326" spans="2:10" x14ac:dyDescent="0.25">
      <c r="B326"/>
      <c r="C326"/>
      <c r="D326"/>
      <c r="J326"/>
    </row>
    <row r="327" spans="2:10" x14ac:dyDescent="0.25">
      <c r="B327"/>
      <c r="C327"/>
      <c r="D327"/>
      <c r="J327"/>
    </row>
    <row r="328" spans="2:10" x14ac:dyDescent="0.25">
      <c r="B328"/>
      <c r="C328"/>
      <c r="D328"/>
      <c r="J328"/>
    </row>
    <row r="329" spans="2:10" x14ac:dyDescent="0.25">
      <c r="B329"/>
      <c r="C329"/>
      <c r="D329"/>
      <c r="J329"/>
    </row>
    <row r="330" spans="2:10" x14ac:dyDescent="0.25">
      <c r="B330"/>
      <c r="C330"/>
      <c r="D330"/>
      <c r="J330"/>
    </row>
    <row r="331" spans="2:10" x14ac:dyDescent="0.25">
      <c r="B331"/>
      <c r="C331"/>
      <c r="D331"/>
      <c r="J331"/>
    </row>
    <row r="332" spans="2:10" x14ac:dyDescent="0.25">
      <c r="B332"/>
      <c r="C332"/>
      <c r="D332"/>
      <c r="J332"/>
    </row>
    <row r="333" spans="2:10" x14ac:dyDescent="0.25">
      <c r="B333"/>
      <c r="C333"/>
      <c r="D333"/>
      <c r="J333"/>
    </row>
    <row r="334" spans="2:10" x14ac:dyDescent="0.25">
      <c r="B334"/>
      <c r="C334"/>
      <c r="D334"/>
      <c r="J334"/>
    </row>
    <row r="335" spans="2:10" x14ac:dyDescent="0.25">
      <c r="B335"/>
      <c r="C335"/>
      <c r="D335"/>
      <c r="J335"/>
    </row>
    <row r="336" spans="2:10" x14ac:dyDescent="0.25">
      <c r="B336"/>
      <c r="C336"/>
      <c r="D336"/>
      <c r="J336"/>
    </row>
    <row r="337" spans="2:10" x14ac:dyDescent="0.25">
      <c r="B337"/>
      <c r="C337"/>
      <c r="D337"/>
      <c r="J337"/>
    </row>
    <row r="338" spans="2:10" x14ac:dyDescent="0.25">
      <c r="B338"/>
      <c r="C338"/>
      <c r="D338"/>
      <c r="J338"/>
    </row>
    <row r="339" spans="2:10" x14ac:dyDescent="0.25">
      <c r="B339"/>
      <c r="C339"/>
      <c r="D339"/>
      <c r="J339"/>
    </row>
    <row r="340" spans="2:10" x14ac:dyDescent="0.25">
      <c r="B340"/>
      <c r="C340"/>
      <c r="D340"/>
      <c r="J340"/>
    </row>
    <row r="341" spans="2:10" x14ac:dyDescent="0.25">
      <c r="B341"/>
      <c r="C341"/>
      <c r="D341"/>
      <c r="J341"/>
    </row>
    <row r="342" spans="2:10" x14ac:dyDescent="0.25">
      <c r="B342"/>
      <c r="C342"/>
      <c r="D342"/>
      <c r="J342"/>
    </row>
    <row r="343" spans="2:10" x14ac:dyDescent="0.25">
      <c r="B343"/>
      <c r="C343"/>
      <c r="D343"/>
      <c r="J343"/>
    </row>
    <row r="344" spans="2:10" x14ac:dyDescent="0.25">
      <c r="B344"/>
      <c r="C344"/>
      <c r="D344"/>
      <c r="J344"/>
    </row>
    <row r="345" spans="2:10" x14ac:dyDescent="0.25">
      <c r="B345"/>
      <c r="C345"/>
      <c r="D345"/>
      <c r="J345"/>
    </row>
    <row r="346" spans="2:10" x14ac:dyDescent="0.25">
      <c r="B346"/>
      <c r="C346"/>
      <c r="D346"/>
      <c r="J346"/>
    </row>
    <row r="347" spans="2:10" x14ac:dyDescent="0.25">
      <c r="B347"/>
      <c r="C347"/>
      <c r="D347"/>
      <c r="J347"/>
    </row>
    <row r="348" spans="2:10" x14ac:dyDescent="0.25">
      <c r="B348"/>
      <c r="C348"/>
      <c r="D348"/>
      <c r="J348"/>
    </row>
    <row r="349" spans="2:10" x14ac:dyDescent="0.25">
      <c r="B349"/>
      <c r="C349"/>
      <c r="D349"/>
      <c r="J349"/>
    </row>
    <row r="350" spans="2:10" x14ac:dyDescent="0.25">
      <c r="B350"/>
      <c r="C350"/>
      <c r="D350"/>
      <c r="J350"/>
    </row>
    <row r="351" spans="2:10" x14ac:dyDescent="0.25">
      <c r="B351"/>
      <c r="C351"/>
      <c r="D351"/>
      <c r="J351"/>
    </row>
    <row r="352" spans="2:10" x14ac:dyDescent="0.25">
      <c r="B352"/>
      <c r="C352"/>
      <c r="D352"/>
      <c r="J352"/>
    </row>
    <row r="353" spans="2:10" x14ac:dyDescent="0.25">
      <c r="B353"/>
      <c r="C353"/>
      <c r="D353"/>
      <c r="J353"/>
    </row>
    <row r="354" spans="2:10" x14ac:dyDescent="0.25">
      <c r="B354"/>
      <c r="C354"/>
      <c r="D354"/>
      <c r="J354"/>
    </row>
    <row r="355" spans="2:10" x14ac:dyDescent="0.25">
      <c r="B355"/>
      <c r="C355"/>
      <c r="D355"/>
      <c r="J355"/>
    </row>
    <row r="356" spans="2:10" x14ac:dyDescent="0.25">
      <c r="B356"/>
      <c r="C356"/>
      <c r="D356"/>
      <c r="J356"/>
    </row>
    <row r="357" spans="2:10" x14ac:dyDescent="0.25">
      <c r="B357"/>
      <c r="C357"/>
      <c r="D357"/>
      <c r="J357"/>
    </row>
    <row r="358" spans="2:10" x14ac:dyDescent="0.25">
      <c r="B358"/>
      <c r="C358"/>
      <c r="D358"/>
      <c r="J358"/>
    </row>
    <row r="359" spans="2:10" x14ac:dyDescent="0.25">
      <c r="B359"/>
      <c r="C359"/>
      <c r="D359"/>
      <c r="J359"/>
    </row>
    <row r="360" spans="2:10" x14ac:dyDescent="0.25">
      <c r="B360"/>
      <c r="C360"/>
      <c r="D360"/>
      <c r="J360"/>
    </row>
    <row r="361" spans="2:10" x14ac:dyDescent="0.25">
      <c r="B361"/>
      <c r="C361"/>
      <c r="D361"/>
      <c r="J361"/>
    </row>
    <row r="362" spans="2:10" x14ac:dyDescent="0.25">
      <c r="B362"/>
      <c r="C362"/>
      <c r="D362"/>
      <c r="J362"/>
    </row>
    <row r="363" spans="2:10" x14ac:dyDescent="0.25">
      <c r="B363"/>
      <c r="C363"/>
      <c r="D363"/>
      <c r="J363"/>
    </row>
    <row r="364" spans="2:10" x14ac:dyDescent="0.25">
      <c r="B364"/>
      <c r="C364"/>
      <c r="D364"/>
      <c r="J364"/>
    </row>
    <row r="365" spans="2:10" x14ac:dyDescent="0.25">
      <c r="B365"/>
      <c r="C365"/>
      <c r="D365"/>
      <c r="J365"/>
    </row>
    <row r="366" spans="2:10" x14ac:dyDescent="0.25">
      <c r="B366"/>
      <c r="C366"/>
      <c r="D366"/>
      <c r="J366"/>
    </row>
    <row r="367" spans="2:10" x14ac:dyDescent="0.25">
      <c r="B367"/>
      <c r="C367"/>
      <c r="D367"/>
      <c r="J367"/>
    </row>
    <row r="368" spans="2:10" x14ac:dyDescent="0.25">
      <c r="B368"/>
      <c r="C368"/>
      <c r="D368"/>
      <c r="J368"/>
    </row>
    <row r="369" spans="2:10" x14ac:dyDescent="0.25">
      <c r="B369"/>
      <c r="C369"/>
      <c r="D369"/>
      <c r="J369"/>
    </row>
    <row r="370" spans="2:10" x14ac:dyDescent="0.25">
      <c r="B370"/>
      <c r="C370"/>
      <c r="D370"/>
      <c r="J370"/>
    </row>
    <row r="371" spans="2:10" x14ac:dyDescent="0.25">
      <c r="B371"/>
      <c r="C371"/>
      <c r="D371"/>
      <c r="J371"/>
    </row>
    <row r="372" spans="2:10" x14ac:dyDescent="0.25">
      <c r="B372"/>
      <c r="C372"/>
      <c r="D372"/>
      <c r="J372"/>
    </row>
    <row r="373" spans="2:10" x14ac:dyDescent="0.25">
      <c r="B373"/>
      <c r="C373"/>
      <c r="D373"/>
      <c r="J373"/>
    </row>
    <row r="374" spans="2:10" x14ac:dyDescent="0.25">
      <c r="B374"/>
      <c r="C374"/>
      <c r="D374"/>
      <c r="J374"/>
    </row>
    <row r="375" spans="2:10" x14ac:dyDescent="0.25">
      <c r="B375"/>
      <c r="C375"/>
      <c r="D375"/>
      <c r="J375"/>
    </row>
    <row r="376" spans="2:10" x14ac:dyDescent="0.25">
      <c r="B376"/>
      <c r="C376"/>
      <c r="D376"/>
      <c r="J376"/>
    </row>
    <row r="377" spans="2:10" x14ac:dyDescent="0.25">
      <c r="B377"/>
      <c r="C377"/>
      <c r="D377"/>
      <c r="J377"/>
    </row>
    <row r="378" spans="2:10" x14ac:dyDescent="0.25">
      <c r="B378"/>
      <c r="C378"/>
      <c r="D378"/>
      <c r="J378"/>
    </row>
    <row r="379" spans="2:10" x14ac:dyDescent="0.25">
      <c r="B379"/>
      <c r="C379"/>
      <c r="D379"/>
      <c r="J379"/>
    </row>
    <row r="380" spans="2:10" x14ac:dyDescent="0.25">
      <c r="B380"/>
      <c r="C380"/>
      <c r="D380"/>
      <c r="J380"/>
    </row>
    <row r="381" spans="2:10" x14ac:dyDescent="0.25">
      <c r="B381"/>
      <c r="C381"/>
      <c r="D381"/>
      <c r="J381"/>
    </row>
    <row r="382" spans="2:10" x14ac:dyDescent="0.25">
      <c r="B382"/>
      <c r="C382"/>
      <c r="D382"/>
      <c r="J382"/>
    </row>
    <row r="383" spans="2:10" x14ac:dyDescent="0.25">
      <c r="B383"/>
      <c r="C383"/>
      <c r="D383"/>
      <c r="J383"/>
    </row>
    <row r="384" spans="2:10" x14ac:dyDescent="0.25">
      <c r="B384"/>
      <c r="C384"/>
      <c r="D384"/>
      <c r="J384"/>
    </row>
    <row r="385" spans="2:10" x14ac:dyDescent="0.25">
      <c r="B385"/>
      <c r="C385"/>
      <c r="D385"/>
      <c r="J385"/>
    </row>
    <row r="386" spans="2:10" x14ac:dyDescent="0.25">
      <c r="B386"/>
      <c r="C386"/>
      <c r="D386"/>
      <c r="J386"/>
    </row>
    <row r="387" spans="2:10" x14ac:dyDescent="0.25">
      <c r="B387"/>
      <c r="C387"/>
      <c r="D387"/>
      <c r="J387"/>
    </row>
    <row r="388" spans="2:10" x14ac:dyDescent="0.25">
      <c r="B388"/>
      <c r="C388"/>
      <c r="D388"/>
      <c r="J388"/>
    </row>
    <row r="389" spans="2:10" x14ac:dyDescent="0.25">
      <c r="B389"/>
      <c r="C389"/>
      <c r="D389"/>
      <c r="J389"/>
    </row>
    <row r="390" spans="2:10" x14ac:dyDescent="0.25">
      <c r="B390"/>
      <c r="C390"/>
      <c r="D390"/>
      <c r="J390"/>
    </row>
    <row r="391" spans="2:10" x14ac:dyDescent="0.25">
      <c r="B391"/>
      <c r="C391"/>
      <c r="D391"/>
      <c r="J391"/>
    </row>
    <row r="392" spans="2:10" x14ac:dyDescent="0.25">
      <c r="B392"/>
      <c r="C392"/>
      <c r="D392"/>
      <c r="J392"/>
    </row>
    <row r="393" spans="2:10" x14ac:dyDescent="0.25">
      <c r="B393"/>
      <c r="C393"/>
      <c r="D393"/>
      <c r="J393"/>
    </row>
    <row r="394" spans="2:10" x14ac:dyDescent="0.25">
      <c r="B394"/>
      <c r="C394"/>
      <c r="D394"/>
      <c r="J394"/>
    </row>
    <row r="395" spans="2:10" x14ac:dyDescent="0.25">
      <c r="B395"/>
      <c r="C395"/>
      <c r="D395"/>
      <c r="J395"/>
    </row>
    <row r="396" spans="2:10" x14ac:dyDescent="0.25">
      <c r="B396"/>
      <c r="C396"/>
      <c r="D396"/>
      <c r="J396"/>
    </row>
    <row r="397" spans="2:10" x14ac:dyDescent="0.25">
      <c r="B397"/>
      <c r="C397"/>
      <c r="D397"/>
      <c r="J397"/>
    </row>
    <row r="398" spans="2:10" x14ac:dyDescent="0.25">
      <c r="B398"/>
      <c r="C398"/>
      <c r="D398"/>
      <c r="J398"/>
    </row>
    <row r="399" spans="2:10" x14ac:dyDescent="0.25">
      <c r="B399"/>
      <c r="C399"/>
      <c r="D399"/>
      <c r="J399"/>
    </row>
    <row r="400" spans="2:10" x14ac:dyDescent="0.25">
      <c r="B400"/>
      <c r="C400"/>
      <c r="D400"/>
      <c r="J400"/>
    </row>
    <row r="401" spans="2:10" x14ac:dyDescent="0.25">
      <c r="B401"/>
      <c r="C401"/>
      <c r="D401"/>
      <c r="J401"/>
    </row>
    <row r="402" spans="2:10" x14ac:dyDescent="0.25">
      <c r="B402"/>
      <c r="C402"/>
      <c r="D402"/>
      <c r="J402"/>
    </row>
    <row r="403" spans="2:10" x14ac:dyDescent="0.25">
      <c r="B403"/>
      <c r="C403"/>
      <c r="D403"/>
      <c r="J403"/>
    </row>
    <row r="404" spans="2:10" x14ac:dyDescent="0.25">
      <c r="B404"/>
      <c r="C404"/>
      <c r="D404"/>
      <c r="J404"/>
    </row>
    <row r="405" spans="2:10" x14ac:dyDescent="0.25">
      <c r="B405"/>
      <c r="C405"/>
      <c r="D405"/>
      <c r="J405"/>
    </row>
    <row r="406" spans="2:10" x14ac:dyDescent="0.25">
      <c r="B406"/>
      <c r="C406"/>
      <c r="D406"/>
      <c r="J406"/>
    </row>
    <row r="407" spans="2:10" x14ac:dyDescent="0.25">
      <c r="B407"/>
      <c r="C407"/>
      <c r="D407"/>
      <c r="J407"/>
    </row>
    <row r="408" spans="2:10" x14ac:dyDescent="0.25">
      <c r="B408"/>
      <c r="C408"/>
      <c r="D408"/>
      <c r="J408"/>
    </row>
    <row r="409" spans="2:10" x14ac:dyDescent="0.25">
      <c r="B409"/>
      <c r="C409"/>
      <c r="D409"/>
      <c r="J409"/>
    </row>
    <row r="410" spans="2:10" x14ac:dyDescent="0.25">
      <c r="B410"/>
      <c r="C410"/>
      <c r="D410"/>
      <c r="J410"/>
    </row>
    <row r="411" spans="2:10" x14ac:dyDescent="0.25">
      <c r="B411"/>
      <c r="C411"/>
      <c r="D411"/>
      <c r="J411"/>
    </row>
    <row r="412" spans="2:10" x14ac:dyDescent="0.25">
      <c r="B412"/>
      <c r="C412"/>
      <c r="D412"/>
      <c r="J412"/>
    </row>
    <row r="413" spans="2:10" x14ac:dyDescent="0.25">
      <c r="B413"/>
      <c r="C413"/>
      <c r="D413"/>
      <c r="J413"/>
    </row>
    <row r="414" spans="2:10" x14ac:dyDescent="0.25">
      <c r="B414"/>
      <c r="C414"/>
      <c r="D414"/>
      <c r="J414"/>
    </row>
    <row r="415" spans="2:10" x14ac:dyDescent="0.25">
      <c r="B415"/>
      <c r="C415"/>
      <c r="D415"/>
      <c r="J415"/>
    </row>
    <row r="416" spans="2:10" x14ac:dyDescent="0.25">
      <c r="B416"/>
      <c r="C416"/>
      <c r="D416"/>
      <c r="J416"/>
    </row>
    <row r="417" spans="2:10" x14ac:dyDescent="0.25">
      <c r="B417"/>
      <c r="C417"/>
      <c r="D417"/>
      <c r="J417"/>
    </row>
    <row r="418" spans="2:10" x14ac:dyDescent="0.25">
      <c r="B418"/>
      <c r="C418"/>
      <c r="D418"/>
      <c r="J418"/>
    </row>
    <row r="419" spans="2:10" x14ac:dyDescent="0.25">
      <c r="B419"/>
      <c r="C419"/>
      <c r="D419"/>
      <c r="J419"/>
    </row>
    <row r="420" spans="2:10" x14ac:dyDescent="0.25">
      <c r="B420"/>
      <c r="C420"/>
      <c r="D420"/>
      <c r="J420"/>
    </row>
    <row r="421" spans="2:10" x14ac:dyDescent="0.25">
      <c r="B421"/>
      <c r="C421"/>
      <c r="D421"/>
      <c r="J421"/>
    </row>
    <row r="422" spans="2:10" x14ac:dyDescent="0.25">
      <c r="B422"/>
      <c r="C422"/>
      <c r="D422"/>
      <c r="J422"/>
    </row>
    <row r="423" spans="2:10" x14ac:dyDescent="0.25">
      <c r="B423"/>
      <c r="C423"/>
      <c r="D423"/>
      <c r="J423"/>
    </row>
    <row r="424" spans="2:10" x14ac:dyDescent="0.25">
      <c r="B424"/>
      <c r="C424"/>
      <c r="D424"/>
      <c r="J424"/>
    </row>
    <row r="425" spans="2:10" x14ac:dyDescent="0.25">
      <c r="B425"/>
      <c r="C425"/>
      <c r="D425"/>
      <c r="J425"/>
    </row>
    <row r="426" spans="2:10" x14ac:dyDescent="0.25">
      <c r="B426"/>
      <c r="C426"/>
      <c r="D426"/>
      <c r="J426"/>
    </row>
    <row r="427" spans="2:10" x14ac:dyDescent="0.25">
      <c r="B427"/>
      <c r="C427"/>
      <c r="D427"/>
      <c r="J427"/>
    </row>
    <row r="428" spans="2:10" x14ac:dyDescent="0.25">
      <c r="B428"/>
      <c r="C428"/>
      <c r="D428"/>
      <c r="J428"/>
    </row>
    <row r="429" spans="2:10" x14ac:dyDescent="0.25">
      <c r="B429"/>
      <c r="C429"/>
      <c r="D429"/>
      <c r="J429"/>
    </row>
    <row r="430" spans="2:10" x14ac:dyDescent="0.25">
      <c r="B430"/>
      <c r="C430"/>
      <c r="D430"/>
      <c r="J430"/>
    </row>
    <row r="431" spans="2:10" x14ac:dyDescent="0.25">
      <c r="B431"/>
      <c r="C431"/>
      <c r="D431"/>
      <c r="J431"/>
    </row>
    <row r="432" spans="2:10" x14ac:dyDescent="0.25">
      <c r="B432"/>
      <c r="C432"/>
      <c r="D432"/>
      <c r="J432"/>
    </row>
    <row r="433" spans="2:10" x14ac:dyDescent="0.25">
      <c r="B433"/>
      <c r="C433"/>
      <c r="D433"/>
      <c r="J433"/>
    </row>
    <row r="434" spans="2:10" x14ac:dyDescent="0.25">
      <c r="B434"/>
      <c r="C434"/>
      <c r="D434"/>
      <c r="J434"/>
    </row>
    <row r="435" spans="2:10" x14ac:dyDescent="0.25">
      <c r="B435"/>
      <c r="C435"/>
      <c r="D435"/>
      <c r="J435"/>
    </row>
    <row r="436" spans="2:10" x14ac:dyDescent="0.25">
      <c r="B436"/>
      <c r="C436"/>
      <c r="D436"/>
      <c r="J436"/>
    </row>
    <row r="437" spans="2:10" x14ac:dyDescent="0.25">
      <c r="B437"/>
      <c r="C437"/>
      <c r="D437"/>
      <c r="J437"/>
    </row>
    <row r="438" spans="2:10" x14ac:dyDescent="0.25">
      <c r="B438"/>
      <c r="C438"/>
      <c r="D438"/>
      <c r="J438"/>
    </row>
    <row r="439" spans="2:10" x14ac:dyDescent="0.25">
      <c r="B439"/>
      <c r="C439"/>
      <c r="D439"/>
      <c r="J439"/>
    </row>
    <row r="440" spans="2:10" x14ac:dyDescent="0.25">
      <c r="B440"/>
      <c r="C440"/>
      <c r="D440"/>
      <c r="J440"/>
    </row>
    <row r="441" spans="2:10" x14ac:dyDescent="0.25">
      <c r="B441"/>
      <c r="C441"/>
      <c r="D441"/>
      <c r="J441"/>
    </row>
    <row r="442" spans="2:10" x14ac:dyDescent="0.25">
      <c r="B442"/>
      <c r="C442"/>
      <c r="D442"/>
      <c r="J442"/>
    </row>
    <row r="443" spans="2:10" x14ac:dyDescent="0.25">
      <c r="B443"/>
      <c r="C443"/>
      <c r="D443"/>
      <c r="J443"/>
    </row>
    <row r="444" spans="2:10" x14ac:dyDescent="0.25">
      <c r="B444"/>
      <c r="C444"/>
      <c r="D444"/>
      <c r="J444"/>
    </row>
    <row r="445" spans="2:10" x14ac:dyDescent="0.25">
      <c r="B445"/>
      <c r="C445"/>
      <c r="D445"/>
      <c r="J445"/>
    </row>
    <row r="446" spans="2:10" x14ac:dyDescent="0.25">
      <c r="B446"/>
      <c r="C446"/>
      <c r="D446"/>
      <c r="J446"/>
    </row>
    <row r="447" spans="2:10" x14ac:dyDescent="0.25">
      <c r="B447"/>
      <c r="C447"/>
      <c r="D447"/>
      <c r="J447"/>
    </row>
    <row r="448" spans="2:10" x14ac:dyDescent="0.25">
      <c r="B448"/>
      <c r="C448"/>
      <c r="D448"/>
      <c r="J448"/>
    </row>
    <row r="449" spans="2:10" x14ac:dyDescent="0.25">
      <c r="B449"/>
      <c r="C449"/>
      <c r="D449"/>
      <c r="J449"/>
    </row>
    <row r="450" spans="2:10" x14ac:dyDescent="0.25">
      <c r="B450"/>
      <c r="C450"/>
      <c r="D450"/>
      <c r="J450"/>
    </row>
    <row r="451" spans="2:10" x14ac:dyDescent="0.25">
      <c r="B451"/>
      <c r="C451"/>
      <c r="D451"/>
      <c r="J451"/>
    </row>
    <row r="452" spans="2:10" x14ac:dyDescent="0.25">
      <c r="B452"/>
      <c r="C452"/>
      <c r="D452"/>
      <c r="J452"/>
    </row>
    <row r="453" spans="2:10" x14ac:dyDescent="0.25">
      <c r="B453"/>
      <c r="C453"/>
      <c r="D453"/>
      <c r="J453"/>
    </row>
    <row r="454" spans="2:10" x14ac:dyDescent="0.25">
      <c r="B454"/>
      <c r="C454"/>
      <c r="D454"/>
      <c r="J454"/>
    </row>
    <row r="455" spans="2:10" x14ac:dyDescent="0.25">
      <c r="B455"/>
      <c r="C455"/>
      <c r="D455"/>
      <c r="J455"/>
    </row>
    <row r="456" spans="2:10" x14ac:dyDescent="0.25">
      <c r="B456"/>
      <c r="C456"/>
      <c r="D456"/>
      <c r="J456"/>
    </row>
    <row r="457" spans="2:10" x14ac:dyDescent="0.25">
      <c r="B457"/>
      <c r="C457"/>
      <c r="D457"/>
      <c r="J457"/>
    </row>
    <row r="458" spans="2:10" x14ac:dyDescent="0.25">
      <c r="B458"/>
      <c r="C458"/>
      <c r="D458"/>
      <c r="J458"/>
    </row>
    <row r="459" spans="2:10" x14ac:dyDescent="0.25">
      <c r="B459"/>
      <c r="C459"/>
      <c r="D459"/>
      <c r="J459"/>
    </row>
    <row r="460" spans="2:10" x14ac:dyDescent="0.25">
      <c r="B460"/>
      <c r="C460"/>
      <c r="D460"/>
      <c r="J460"/>
    </row>
    <row r="461" spans="2:10" x14ac:dyDescent="0.25">
      <c r="B461"/>
      <c r="C461"/>
      <c r="D461"/>
      <c r="J461"/>
    </row>
    <row r="462" spans="2:10" x14ac:dyDescent="0.25">
      <c r="B462"/>
      <c r="C462"/>
      <c r="D462"/>
      <c r="J462"/>
    </row>
    <row r="463" spans="2:10" x14ac:dyDescent="0.25">
      <c r="B463"/>
      <c r="C463"/>
      <c r="D463"/>
      <c r="J463"/>
    </row>
    <row r="464" spans="2:10" x14ac:dyDescent="0.25">
      <c r="B464"/>
      <c r="C464"/>
      <c r="D464"/>
      <c r="J464"/>
    </row>
    <row r="465" spans="2:10" x14ac:dyDescent="0.25">
      <c r="B465"/>
      <c r="C465"/>
      <c r="D465"/>
      <c r="J465"/>
    </row>
    <row r="466" spans="2:10" x14ac:dyDescent="0.25">
      <c r="B466"/>
      <c r="C466"/>
      <c r="D466"/>
      <c r="J466"/>
    </row>
    <row r="467" spans="2:10" x14ac:dyDescent="0.25">
      <c r="B467"/>
      <c r="C467"/>
      <c r="D467"/>
      <c r="J467"/>
    </row>
    <row r="468" spans="2:10" x14ac:dyDescent="0.25">
      <c r="B468"/>
      <c r="C468"/>
      <c r="D468"/>
      <c r="J468"/>
    </row>
    <row r="469" spans="2:10" x14ac:dyDescent="0.25">
      <c r="B469"/>
      <c r="C469"/>
      <c r="D469"/>
      <c r="J469"/>
    </row>
    <row r="470" spans="2:10" x14ac:dyDescent="0.25">
      <c r="B470"/>
      <c r="C470"/>
      <c r="D470"/>
      <c r="J470"/>
    </row>
    <row r="471" spans="2:10" x14ac:dyDescent="0.25">
      <c r="B471"/>
      <c r="C471"/>
      <c r="D471"/>
      <c r="J471"/>
    </row>
    <row r="472" spans="2:10" x14ac:dyDescent="0.25">
      <c r="B472"/>
      <c r="C472"/>
      <c r="D472"/>
      <c r="J472"/>
    </row>
    <row r="473" spans="2:10" x14ac:dyDescent="0.25">
      <c r="B473"/>
      <c r="C473"/>
      <c r="D473"/>
      <c r="J473"/>
    </row>
    <row r="474" spans="2:10" x14ac:dyDescent="0.25">
      <c r="B474"/>
      <c r="C474"/>
      <c r="D474"/>
      <c r="J474"/>
    </row>
    <row r="475" spans="2:10" x14ac:dyDescent="0.25">
      <c r="B475"/>
      <c r="C475"/>
      <c r="D475"/>
      <c r="J475"/>
    </row>
    <row r="476" spans="2:10" x14ac:dyDescent="0.25">
      <c r="B476"/>
      <c r="C476"/>
      <c r="D476"/>
      <c r="J476"/>
    </row>
    <row r="477" spans="2:10" x14ac:dyDescent="0.25">
      <c r="B477"/>
      <c r="C477"/>
      <c r="D477"/>
      <c r="J477"/>
    </row>
    <row r="478" spans="2:10" x14ac:dyDescent="0.25">
      <c r="B478"/>
      <c r="C478"/>
      <c r="D478"/>
      <c r="J478"/>
    </row>
    <row r="479" spans="2:10" x14ac:dyDescent="0.25">
      <c r="B479"/>
      <c r="C479"/>
      <c r="D479"/>
      <c r="J479"/>
    </row>
    <row r="480" spans="2:10" x14ac:dyDescent="0.25">
      <c r="B480"/>
      <c r="C480"/>
      <c r="D480"/>
      <c r="J480"/>
    </row>
    <row r="481" spans="2:10" x14ac:dyDescent="0.25">
      <c r="B481"/>
      <c r="C481"/>
      <c r="D481"/>
      <c r="J481"/>
    </row>
    <row r="482" spans="2:10" x14ac:dyDescent="0.25">
      <c r="B482"/>
      <c r="C482"/>
      <c r="D482"/>
      <c r="J482"/>
    </row>
    <row r="483" spans="2:10" x14ac:dyDescent="0.25">
      <c r="B483"/>
      <c r="C483"/>
      <c r="D483"/>
      <c r="J483"/>
    </row>
    <row r="484" spans="2:10" x14ac:dyDescent="0.25">
      <c r="B484"/>
      <c r="C484"/>
      <c r="D484"/>
      <c r="J484"/>
    </row>
    <row r="485" spans="2:10" x14ac:dyDescent="0.25">
      <c r="B485"/>
      <c r="C485"/>
      <c r="D485"/>
      <c r="J485"/>
    </row>
    <row r="486" spans="2:10" x14ac:dyDescent="0.25">
      <c r="B486"/>
      <c r="C486"/>
      <c r="D486"/>
      <c r="J486"/>
    </row>
    <row r="487" spans="2:10" x14ac:dyDescent="0.25">
      <c r="B487"/>
      <c r="C487"/>
      <c r="D487"/>
      <c r="J487"/>
    </row>
    <row r="488" spans="2:10" x14ac:dyDescent="0.25">
      <c r="B488"/>
      <c r="C488"/>
      <c r="D488"/>
      <c r="J488"/>
    </row>
    <row r="489" spans="2:10" x14ac:dyDescent="0.25">
      <c r="B489"/>
      <c r="C489"/>
      <c r="D489"/>
      <c r="J489"/>
    </row>
    <row r="490" spans="2:10" x14ac:dyDescent="0.25">
      <c r="B490"/>
      <c r="C490"/>
      <c r="D490"/>
      <c r="J490"/>
    </row>
    <row r="491" spans="2:10" x14ac:dyDescent="0.25">
      <c r="B491"/>
      <c r="C491"/>
      <c r="D491"/>
      <c r="J491"/>
    </row>
    <row r="492" spans="2:10" x14ac:dyDescent="0.25">
      <c r="B492"/>
      <c r="C492"/>
      <c r="D492"/>
      <c r="J492"/>
    </row>
    <row r="493" spans="2:10" x14ac:dyDescent="0.25">
      <c r="B493"/>
      <c r="C493"/>
      <c r="D493"/>
      <c r="J493"/>
    </row>
    <row r="494" spans="2:10" x14ac:dyDescent="0.25">
      <c r="B494"/>
      <c r="C494"/>
      <c r="D494"/>
      <c r="J494"/>
    </row>
    <row r="495" spans="2:10" x14ac:dyDescent="0.25">
      <c r="B495"/>
      <c r="C495"/>
      <c r="D495"/>
      <c r="J495"/>
    </row>
    <row r="496" spans="2:10" x14ac:dyDescent="0.25">
      <c r="B496"/>
      <c r="C496"/>
      <c r="D496"/>
      <c r="J496"/>
    </row>
    <row r="497" spans="2:10" x14ac:dyDescent="0.25">
      <c r="B497"/>
      <c r="C497"/>
      <c r="D497"/>
      <c r="J497"/>
    </row>
    <row r="498" spans="2:10" x14ac:dyDescent="0.25">
      <c r="B498"/>
      <c r="C498"/>
      <c r="D498"/>
      <c r="J498"/>
    </row>
    <row r="499" spans="2:10" x14ac:dyDescent="0.25">
      <c r="B499"/>
      <c r="C499"/>
      <c r="D499"/>
      <c r="J499"/>
    </row>
    <row r="500" spans="2:10" x14ac:dyDescent="0.25">
      <c r="B500"/>
      <c r="C500"/>
      <c r="D500"/>
      <c r="J500"/>
    </row>
    <row r="501" spans="2:10" x14ac:dyDescent="0.25">
      <c r="B501"/>
      <c r="C501"/>
      <c r="D501"/>
      <c r="J501"/>
    </row>
    <row r="502" spans="2:10" x14ac:dyDescent="0.25">
      <c r="B502"/>
      <c r="C502"/>
      <c r="D502"/>
      <c r="J502"/>
    </row>
    <row r="503" spans="2:10" x14ac:dyDescent="0.25">
      <c r="B503"/>
      <c r="C503"/>
      <c r="D503"/>
      <c r="J503"/>
    </row>
    <row r="504" spans="2:10" x14ac:dyDescent="0.25">
      <c r="B504"/>
      <c r="C504"/>
      <c r="D504"/>
      <c r="J504"/>
    </row>
    <row r="505" spans="2:10" x14ac:dyDescent="0.25">
      <c r="B505"/>
      <c r="C505"/>
      <c r="D505"/>
      <c r="J505"/>
    </row>
    <row r="506" spans="2:10" x14ac:dyDescent="0.25">
      <c r="B506"/>
      <c r="C506"/>
      <c r="D506"/>
      <c r="J506"/>
    </row>
    <row r="507" spans="2:10" x14ac:dyDescent="0.25">
      <c r="B507"/>
      <c r="C507"/>
      <c r="D507"/>
      <c r="J507"/>
    </row>
    <row r="508" spans="2:10" x14ac:dyDescent="0.25">
      <c r="B508"/>
      <c r="C508"/>
      <c r="D508"/>
      <c r="J508"/>
    </row>
    <row r="509" spans="2:10" x14ac:dyDescent="0.25">
      <c r="B509"/>
      <c r="C509"/>
      <c r="D509"/>
      <c r="J509"/>
    </row>
    <row r="510" spans="2:10" x14ac:dyDescent="0.25">
      <c r="B510"/>
      <c r="C510"/>
      <c r="D510"/>
      <c r="J510"/>
    </row>
    <row r="511" spans="2:10" x14ac:dyDescent="0.25">
      <c r="B511"/>
      <c r="C511"/>
      <c r="D511"/>
      <c r="J511"/>
    </row>
    <row r="512" spans="2:10" x14ac:dyDescent="0.25">
      <c r="B512"/>
      <c r="C512"/>
      <c r="D512"/>
      <c r="J512"/>
    </row>
    <row r="513" spans="2:10" x14ac:dyDescent="0.25">
      <c r="B513"/>
      <c r="C513"/>
      <c r="D513"/>
      <c r="J513"/>
    </row>
    <row r="514" spans="2:10" x14ac:dyDescent="0.25">
      <c r="B514"/>
      <c r="C514"/>
      <c r="D514"/>
      <c r="J514"/>
    </row>
    <row r="515" spans="2:10" x14ac:dyDescent="0.25">
      <c r="B515"/>
      <c r="C515"/>
      <c r="D515"/>
      <c r="J515"/>
    </row>
    <row r="516" spans="2:10" x14ac:dyDescent="0.25">
      <c r="B516"/>
      <c r="C516"/>
      <c r="D516"/>
      <c r="J516"/>
    </row>
    <row r="517" spans="2:10" x14ac:dyDescent="0.25">
      <c r="B517"/>
      <c r="C517"/>
      <c r="D517"/>
      <c r="J517"/>
    </row>
    <row r="518" spans="2:10" x14ac:dyDescent="0.25">
      <c r="B518"/>
      <c r="C518"/>
      <c r="D518"/>
      <c r="J518"/>
    </row>
    <row r="519" spans="2:10" x14ac:dyDescent="0.25">
      <c r="B519"/>
      <c r="C519"/>
      <c r="D519"/>
      <c r="J519"/>
    </row>
    <row r="520" spans="2:10" x14ac:dyDescent="0.25">
      <c r="B520"/>
      <c r="C520"/>
      <c r="D520"/>
      <c r="J520"/>
    </row>
    <row r="521" spans="2:10" x14ac:dyDescent="0.25">
      <c r="B521"/>
      <c r="C521"/>
      <c r="D521"/>
      <c r="J521"/>
    </row>
    <row r="522" spans="2:10" x14ac:dyDescent="0.25">
      <c r="B522"/>
      <c r="C522"/>
      <c r="D522"/>
      <c r="J522"/>
    </row>
    <row r="523" spans="2:10" x14ac:dyDescent="0.25">
      <c r="B523"/>
      <c r="C523"/>
      <c r="D523"/>
      <c r="J523"/>
    </row>
    <row r="524" spans="2:10" x14ac:dyDescent="0.25">
      <c r="B524"/>
      <c r="C524"/>
      <c r="D524"/>
      <c r="J524"/>
    </row>
    <row r="525" spans="2:10" x14ac:dyDescent="0.25">
      <c r="B525"/>
      <c r="C525"/>
      <c r="D525"/>
      <c r="J525"/>
    </row>
    <row r="526" spans="2:10" x14ac:dyDescent="0.25">
      <c r="B526"/>
      <c r="C526"/>
      <c r="D526"/>
      <c r="J526"/>
    </row>
    <row r="527" spans="2:10" x14ac:dyDescent="0.25">
      <c r="B527"/>
      <c r="C527"/>
      <c r="D527"/>
      <c r="J527"/>
    </row>
    <row r="528" spans="2:10" x14ac:dyDescent="0.25">
      <c r="B528"/>
      <c r="C528"/>
      <c r="D528"/>
      <c r="J528"/>
    </row>
    <row r="529" spans="2:10" x14ac:dyDescent="0.25">
      <c r="B529"/>
      <c r="C529"/>
      <c r="D529"/>
      <c r="J529"/>
    </row>
    <row r="530" spans="2:10" x14ac:dyDescent="0.25">
      <c r="B530"/>
      <c r="C530"/>
      <c r="D530"/>
      <c r="J530"/>
    </row>
    <row r="531" spans="2:10" x14ac:dyDescent="0.25">
      <c r="B531"/>
      <c r="C531"/>
      <c r="D531"/>
      <c r="J531"/>
    </row>
    <row r="532" spans="2:10" x14ac:dyDescent="0.25">
      <c r="B532"/>
      <c r="C532"/>
      <c r="D532"/>
      <c r="J532"/>
    </row>
    <row r="533" spans="2:10" x14ac:dyDescent="0.25">
      <c r="B533"/>
      <c r="C533"/>
      <c r="D533"/>
      <c r="J533"/>
    </row>
    <row r="534" spans="2:10" x14ac:dyDescent="0.25">
      <c r="B534"/>
      <c r="C534"/>
      <c r="D534"/>
      <c r="J534"/>
    </row>
    <row r="535" spans="2:10" x14ac:dyDescent="0.25">
      <c r="B535"/>
      <c r="C535"/>
      <c r="D535"/>
      <c r="J535"/>
    </row>
    <row r="536" spans="2:10" x14ac:dyDescent="0.25">
      <c r="B536"/>
      <c r="C536"/>
      <c r="D536"/>
      <c r="J536"/>
    </row>
    <row r="537" spans="2:10" x14ac:dyDescent="0.25">
      <c r="B537"/>
      <c r="C537"/>
      <c r="D537"/>
      <c r="J537"/>
    </row>
    <row r="538" spans="2:10" x14ac:dyDescent="0.25">
      <c r="B538"/>
      <c r="C538"/>
      <c r="D538"/>
      <c r="J538"/>
    </row>
    <row r="539" spans="2:10" x14ac:dyDescent="0.25">
      <c r="B539"/>
      <c r="C539"/>
      <c r="D539"/>
      <c r="J539"/>
    </row>
    <row r="540" spans="2:10" x14ac:dyDescent="0.25">
      <c r="B540"/>
      <c r="C540"/>
      <c r="D540"/>
      <c r="J540"/>
    </row>
    <row r="541" spans="2:10" x14ac:dyDescent="0.25">
      <c r="B541"/>
      <c r="C541"/>
      <c r="D541"/>
      <c r="J541"/>
    </row>
    <row r="542" spans="2:10" x14ac:dyDescent="0.25">
      <c r="B542"/>
      <c r="C542"/>
      <c r="D542"/>
      <c r="J542"/>
    </row>
    <row r="543" spans="2:10" x14ac:dyDescent="0.25">
      <c r="B543"/>
      <c r="C543"/>
      <c r="D543"/>
      <c r="J543"/>
    </row>
    <row r="544" spans="2:10" x14ac:dyDescent="0.25">
      <c r="B544"/>
      <c r="C544"/>
      <c r="D544"/>
      <c r="J544"/>
    </row>
    <row r="545" spans="2:10" x14ac:dyDescent="0.25">
      <c r="B545"/>
      <c r="C545"/>
      <c r="D545"/>
      <c r="J545"/>
    </row>
    <row r="546" spans="2:10" x14ac:dyDescent="0.25">
      <c r="B546"/>
      <c r="C546"/>
      <c r="D546"/>
      <c r="J546"/>
    </row>
    <row r="547" spans="2:10" x14ac:dyDescent="0.25">
      <c r="B547"/>
      <c r="C547"/>
      <c r="D547"/>
      <c r="J547"/>
    </row>
    <row r="548" spans="2:10" x14ac:dyDescent="0.25">
      <c r="B548"/>
      <c r="C548"/>
      <c r="D548"/>
      <c r="J548"/>
    </row>
    <row r="549" spans="2:10" x14ac:dyDescent="0.25">
      <c r="B549"/>
      <c r="C549"/>
      <c r="D549"/>
      <c r="J549"/>
    </row>
    <row r="550" spans="2:10" x14ac:dyDescent="0.25">
      <c r="B550"/>
      <c r="C550"/>
      <c r="D550"/>
      <c r="J550"/>
    </row>
    <row r="551" spans="2:10" x14ac:dyDescent="0.25">
      <c r="B551"/>
      <c r="C551"/>
      <c r="D551"/>
      <c r="J551"/>
    </row>
    <row r="552" spans="2:10" x14ac:dyDescent="0.25">
      <c r="B552"/>
      <c r="C552"/>
      <c r="D552"/>
      <c r="J552"/>
    </row>
    <row r="553" spans="2:10" x14ac:dyDescent="0.25">
      <c r="B553"/>
      <c r="C553"/>
      <c r="D553"/>
      <c r="J553"/>
    </row>
    <row r="554" spans="2:10" x14ac:dyDescent="0.25">
      <c r="B554"/>
      <c r="C554"/>
      <c r="D554"/>
      <c r="J554"/>
    </row>
    <row r="555" spans="2:10" x14ac:dyDescent="0.25">
      <c r="B555"/>
      <c r="C555"/>
      <c r="D555"/>
      <c r="J555"/>
    </row>
    <row r="556" spans="2:10" x14ac:dyDescent="0.25">
      <c r="B556"/>
      <c r="C556"/>
      <c r="D556"/>
      <c r="J556"/>
    </row>
    <row r="557" spans="2:10" x14ac:dyDescent="0.25">
      <c r="B557"/>
      <c r="C557"/>
      <c r="D557"/>
      <c r="J557"/>
    </row>
    <row r="558" spans="2:10" x14ac:dyDescent="0.25">
      <c r="B558"/>
      <c r="C558"/>
      <c r="D558"/>
      <c r="J558"/>
    </row>
    <row r="559" spans="2:10" x14ac:dyDescent="0.25">
      <c r="B559"/>
      <c r="C559"/>
      <c r="D559"/>
      <c r="J559"/>
    </row>
    <row r="560" spans="2:10" x14ac:dyDescent="0.25">
      <c r="B560"/>
      <c r="C560"/>
      <c r="D560"/>
      <c r="J560"/>
    </row>
    <row r="561" spans="2:10" x14ac:dyDescent="0.25">
      <c r="B561"/>
      <c r="C561"/>
      <c r="D561"/>
      <c r="J561"/>
    </row>
    <row r="562" spans="2:10" x14ac:dyDescent="0.25">
      <c r="B562"/>
      <c r="C562"/>
      <c r="D562"/>
      <c r="J562"/>
    </row>
    <row r="563" spans="2:10" x14ac:dyDescent="0.25">
      <c r="B563"/>
      <c r="C563"/>
      <c r="D563"/>
      <c r="J563"/>
    </row>
    <row r="564" spans="2:10" x14ac:dyDescent="0.25">
      <c r="B564"/>
      <c r="C564"/>
      <c r="D564"/>
      <c r="J564"/>
    </row>
    <row r="565" spans="2:10" x14ac:dyDescent="0.25">
      <c r="B565"/>
      <c r="C565"/>
      <c r="D565"/>
      <c r="J565"/>
    </row>
    <row r="566" spans="2:10" x14ac:dyDescent="0.25">
      <c r="B566"/>
      <c r="C566"/>
      <c r="D566"/>
      <c r="J566"/>
    </row>
    <row r="567" spans="2:10" x14ac:dyDescent="0.25">
      <c r="B567"/>
      <c r="C567"/>
      <c r="D567"/>
      <c r="J567"/>
    </row>
    <row r="568" spans="2:10" x14ac:dyDescent="0.25">
      <c r="B568"/>
      <c r="C568"/>
      <c r="D568"/>
      <c r="J568"/>
    </row>
    <row r="569" spans="2:10" x14ac:dyDescent="0.25">
      <c r="B569"/>
      <c r="C569"/>
      <c r="D569"/>
      <c r="J569"/>
    </row>
    <row r="570" spans="2:10" x14ac:dyDescent="0.25">
      <c r="B570"/>
      <c r="C570"/>
      <c r="D570"/>
      <c r="J570"/>
    </row>
    <row r="571" spans="2:10" x14ac:dyDescent="0.25">
      <c r="B571"/>
      <c r="C571"/>
      <c r="D571"/>
      <c r="J571"/>
    </row>
    <row r="572" spans="2:10" x14ac:dyDescent="0.25">
      <c r="B572"/>
      <c r="C572"/>
      <c r="D572"/>
      <c r="J572"/>
    </row>
    <row r="573" spans="2:10" x14ac:dyDescent="0.25">
      <c r="B573"/>
      <c r="C573"/>
      <c r="D573"/>
      <c r="J573"/>
    </row>
    <row r="574" spans="2:10" x14ac:dyDescent="0.25">
      <c r="B574"/>
      <c r="C574"/>
      <c r="D574"/>
      <c r="J574"/>
    </row>
    <row r="575" spans="2:10" x14ac:dyDescent="0.25">
      <c r="B575"/>
      <c r="C575"/>
      <c r="D575"/>
      <c r="J575"/>
    </row>
    <row r="576" spans="2:10" x14ac:dyDescent="0.25">
      <c r="B576"/>
      <c r="C576"/>
      <c r="D576"/>
      <c r="J576"/>
    </row>
    <row r="577" spans="2:10" x14ac:dyDescent="0.25">
      <c r="B577"/>
      <c r="C577"/>
      <c r="D577"/>
      <c r="J577"/>
    </row>
    <row r="578" spans="2:10" x14ac:dyDescent="0.25">
      <c r="B578"/>
      <c r="C578"/>
      <c r="D578"/>
      <c r="J578"/>
    </row>
    <row r="579" spans="2:10" x14ac:dyDescent="0.25">
      <c r="B579"/>
      <c r="C579"/>
      <c r="D579"/>
      <c r="J579"/>
    </row>
    <row r="580" spans="2:10" x14ac:dyDescent="0.25">
      <c r="B580"/>
      <c r="C580"/>
      <c r="D580"/>
      <c r="J580"/>
    </row>
    <row r="581" spans="2:10" x14ac:dyDescent="0.25">
      <c r="B581"/>
      <c r="C581"/>
      <c r="D581"/>
      <c r="J581"/>
    </row>
    <row r="582" spans="2:10" x14ac:dyDescent="0.25">
      <c r="B582"/>
      <c r="C582"/>
      <c r="D582"/>
      <c r="J582"/>
    </row>
    <row r="583" spans="2:10" x14ac:dyDescent="0.25">
      <c r="B583"/>
      <c r="C583"/>
      <c r="D583"/>
      <c r="J583"/>
    </row>
    <row r="584" spans="2:10" x14ac:dyDescent="0.25">
      <c r="B584"/>
      <c r="C584"/>
      <c r="D584"/>
      <c r="J584"/>
    </row>
    <row r="585" spans="2:10" x14ac:dyDescent="0.25">
      <c r="B585"/>
      <c r="C585"/>
      <c r="D585"/>
      <c r="J585"/>
    </row>
    <row r="586" spans="2:10" x14ac:dyDescent="0.25">
      <c r="B586"/>
      <c r="C586"/>
      <c r="D586"/>
      <c r="J586"/>
    </row>
    <row r="587" spans="2:10" x14ac:dyDescent="0.25">
      <c r="B587"/>
      <c r="C587"/>
      <c r="D587"/>
      <c r="J587"/>
    </row>
    <row r="588" spans="2:10" x14ac:dyDescent="0.25">
      <c r="B588"/>
      <c r="C588"/>
      <c r="D588"/>
      <c r="J588"/>
    </row>
    <row r="589" spans="2:10" x14ac:dyDescent="0.25">
      <c r="B589"/>
      <c r="C589"/>
      <c r="D589"/>
      <c r="J589"/>
    </row>
    <row r="590" spans="2:10" x14ac:dyDescent="0.25">
      <c r="B590"/>
      <c r="C590"/>
      <c r="D590"/>
      <c r="J590"/>
    </row>
    <row r="591" spans="2:10" x14ac:dyDescent="0.25">
      <c r="B591"/>
      <c r="C591"/>
      <c r="D591"/>
      <c r="J591"/>
    </row>
    <row r="592" spans="2:10" x14ac:dyDescent="0.25">
      <c r="B592"/>
      <c r="C592"/>
      <c r="D592"/>
      <c r="J592"/>
    </row>
    <row r="593" spans="2:10" x14ac:dyDescent="0.25">
      <c r="B593"/>
      <c r="C593"/>
      <c r="D593"/>
      <c r="J593"/>
    </row>
    <row r="594" spans="2:10" x14ac:dyDescent="0.25">
      <c r="B594"/>
      <c r="C594"/>
      <c r="D594"/>
      <c r="J594"/>
    </row>
    <row r="595" spans="2:10" x14ac:dyDescent="0.25">
      <c r="B595"/>
      <c r="C595"/>
      <c r="D595"/>
      <c r="J595"/>
    </row>
    <row r="596" spans="2:10" x14ac:dyDescent="0.25">
      <c r="B596"/>
      <c r="C596"/>
      <c r="D596"/>
      <c r="J596"/>
    </row>
    <row r="597" spans="2:10" x14ac:dyDescent="0.25">
      <c r="B597"/>
      <c r="C597"/>
      <c r="D597"/>
      <c r="J597"/>
    </row>
    <row r="598" spans="2:10" x14ac:dyDescent="0.25">
      <c r="B598"/>
      <c r="C598"/>
      <c r="D598"/>
      <c r="J598"/>
    </row>
    <row r="599" spans="2:10" x14ac:dyDescent="0.25">
      <c r="B599"/>
      <c r="C599"/>
      <c r="D599"/>
      <c r="J599"/>
    </row>
    <row r="600" spans="2:10" x14ac:dyDescent="0.25">
      <c r="B600"/>
      <c r="C600"/>
      <c r="D600"/>
      <c r="J600"/>
    </row>
    <row r="601" spans="2:10" x14ac:dyDescent="0.25">
      <c r="B601"/>
      <c r="C601"/>
      <c r="D601"/>
      <c r="J601"/>
    </row>
    <row r="602" spans="2:10" x14ac:dyDescent="0.25">
      <c r="B602"/>
      <c r="C602"/>
      <c r="D602"/>
      <c r="J602"/>
    </row>
    <row r="603" spans="2:10" x14ac:dyDescent="0.25">
      <c r="B603"/>
      <c r="C603"/>
      <c r="D603"/>
      <c r="J603"/>
    </row>
    <row r="604" spans="2:10" x14ac:dyDescent="0.25">
      <c r="B604"/>
      <c r="C604"/>
      <c r="D604"/>
      <c r="J604"/>
    </row>
    <row r="605" spans="2:10" x14ac:dyDescent="0.25">
      <c r="B605"/>
      <c r="C605"/>
      <c r="D605"/>
      <c r="J605"/>
    </row>
    <row r="606" spans="2:10" x14ac:dyDescent="0.25">
      <c r="B606"/>
      <c r="C606"/>
      <c r="D606"/>
      <c r="J606"/>
    </row>
    <row r="607" spans="2:10" x14ac:dyDescent="0.25">
      <c r="B607"/>
      <c r="C607"/>
      <c r="D607"/>
      <c r="J607"/>
    </row>
    <row r="608" spans="2:10" x14ac:dyDescent="0.25">
      <c r="B608"/>
      <c r="C608"/>
      <c r="D608"/>
      <c r="J608"/>
    </row>
    <row r="609" spans="2:10" x14ac:dyDescent="0.25">
      <c r="B609"/>
      <c r="C609"/>
      <c r="D609"/>
      <c r="J609"/>
    </row>
    <row r="610" spans="2:10" x14ac:dyDescent="0.25">
      <c r="B610"/>
      <c r="C610"/>
      <c r="D610"/>
      <c r="J610"/>
    </row>
    <row r="611" spans="2:10" x14ac:dyDescent="0.25">
      <c r="B611"/>
      <c r="C611"/>
      <c r="D611"/>
      <c r="J611"/>
    </row>
    <row r="612" spans="2:10" x14ac:dyDescent="0.25">
      <c r="B612"/>
      <c r="C612"/>
      <c r="D612"/>
      <c r="J612"/>
    </row>
    <row r="613" spans="2:10" x14ac:dyDescent="0.25">
      <c r="B613"/>
      <c r="C613"/>
      <c r="D613"/>
      <c r="J613"/>
    </row>
    <row r="614" spans="2:10" x14ac:dyDescent="0.25">
      <c r="B614"/>
      <c r="C614"/>
      <c r="D614"/>
      <c r="J614"/>
    </row>
    <row r="615" spans="2:10" x14ac:dyDescent="0.25">
      <c r="B615"/>
      <c r="C615"/>
      <c r="D615"/>
      <c r="J615"/>
    </row>
    <row r="616" spans="2:10" x14ac:dyDescent="0.25">
      <c r="B616"/>
      <c r="C616"/>
      <c r="D616"/>
      <c r="J616"/>
    </row>
    <row r="617" spans="2:10" x14ac:dyDescent="0.25">
      <c r="B617"/>
      <c r="C617"/>
      <c r="D617"/>
      <c r="J617"/>
    </row>
    <row r="618" spans="2:10" x14ac:dyDescent="0.25">
      <c r="B618"/>
      <c r="C618"/>
      <c r="D618"/>
      <c r="J618"/>
    </row>
    <row r="619" spans="2:10" x14ac:dyDescent="0.25">
      <c r="B619"/>
      <c r="C619"/>
      <c r="D619"/>
      <c r="J619"/>
    </row>
    <row r="620" spans="2:10" x14ac:dyDescent="0.25">
      <c r="B620"/>
      <c r="C620"/>
      <c r="D620"/>
      <c r="J620"/>
    </row>
    <row r="621" spans="2:10" x14ac:dyDescent="0.25">
      <c r="B621"/>
      <c r="C621"/>
      <c r="D621"/>
      <c r="J621"/>
    </row>
    <row r="622" spans="2:10" x14ac:dyDescent="0.25">
      <c r="B622"/>
      <c r="C622"/>
      <c r="D622"/>
      <c r="J622"/>
    </row>
    <row r="623" spans="2:10" x14ac:dyDescent="0.25">
      <c r="B623"/>
      <c r="C623"/>
      <c r="D623"/>
      <c r="J623"/>
    </row>
    <row r="624" spans="2:10" x14ac:dyDescent="0.25">
      <c r="B624"/>
      <c r="C624"/>
      <c r="D624"/>
      <c r="J624"/>
    </row>
    <row r="625" spans="2:10" x14ac:dyDescent="0.25">
      <c r="B625"/>
      <c r="C625"/>
      <c r="D625"/>
      <c r="J625"/>
    </row>
    <row r="626" spans="2:10" x14ac:dyDescent="0.25">
      <c r="B626"/>
      <c r="C626"/>
      <c r="D626"/>
      <c r="J626"/>
    </row>
    <row r="627" spans="2:10" x14ac:dyDescent="0.25">
      <c r="B627"/>
      <c r="C627"/>
      <c r="D627"/>
      <c r="J627"/>
    </row>
    <row r="628" spans="2:10" x14ac:dyDescent="0.25">
      <c r="B628"/>
      <c r="C628"/>
    </row>
    <row r="629" spans="2:10" x14ac:dyDescent="0.25">
      <c r="B629"/>
      <c r="C629"/>
    </row>
    <row r="630" spans="2:10" x14ac:dyDescent="0.25">
      <c r="B630"/>
      <c r="C630"/>
    </row>
    <row r="631" spans="2:10" x14ac:dyDescent="0.25">
      <c r="B631"/>
      <c r="C631"/>
    </row>
    <row r="632" spans="2:10" x14ac:dyDescent="0.25">
      <c r="B632"/>
      <c r="C632"/>
    </row>
    <row r="633" spans="2:10" x14ac:dyDescent="0.25">
      <c r="B633"/>
      <c r="C633"/>
    </row>
    <row r="634" spans="2:10" x14ac:dyDescent="0.25">
      <c r="B634"/>
      <c r="C634"/>
    </row>
    <row r="635" spans="2:10" x14ac:dyDescent="0.25">
      <c r="B635"/>
      <c r="C635"/>
    </row>
    <row r="636" spans="2:10" x14ac:dyDescent="0.25">
      <c r="B636"/>
      <c r="C636"/>
    </row>
    <row r="637" spans="2:10" x14ac:dyDescent="0.25">
      <c r="B637"/>
      <c r="C637"/>
    </row>
    <row r="638" spans="2:10" x14ac:dyDescent="0.25">
      <c r="B638"/>
      <c r="C638"/>
    </row>
    <row r="639" spans="2:10" x14ac:dyDescent="0.25">
      <c r="B639"/>
      <c r="C639"/>
    </row>
    <row r="640" spans="2:10" x14ac:dyDescent="0.25">
      <c r="B640"/>
      <c r="C640"/>
    </row>
    <row r="641" spans="2:3" x14ac:dyDescent="0.25">
      <c r="B641"/>
      <c r="C641"/>
    </row>
    <row r="642" spans="2:3" x14ac:dyDescent="0.25">
      <c r="B642"/>
      <c r="C642"/>
    </row>
    <row r="643" spans="2:3" x14ac:dyDescent="0.25">
      <c r="B643"/>
      <c r="C643"/>
    </row>
    <row r="644" spans="2:3" x14ac:dyDescent="0.25">
      <c r="B644"/>
      <c r="C644"/>
    </row>
    <row r="645" spans="2:3" x14ac:dyDescent="0.25">
      <c r="B645"/>
      <c r="C645"/>
    </row>
    <row r="646" spans="2:3" x14ac:dyDescent="0.25">
      <c r="B646"/>
      <c r="C646"/>
    </row>
    <row r="647" spans="2:3" x14ac:dyDescent="0.25">
      <c r="B647"/>
      <c r="C647"/>
    </row>
    <row r="648" spans="2:3" x14ac:dyDescent="0.25">
      <c r="B648"/>
      <c r="C648"/>
    </row>
    <row r="649" spans="2:3" x14ac:dyDescent="0.25">
      <c r="B649"/>
      <c r="C649"/>
    </row>
    <row r="650" spans="2:3" x14ac:dyDescent="0.25">
      <c r="B650"/>
      <c r="C650"/>
    </row>
    <row r="651" spans="2:3" x14ac:dyDescent="0.25">
      <c r="B651"/>
      <c r="C651"/>
    </row>
    <row r="652" spans="2:3" x14ac:dyDescent="0.25">
      <c r="B652"/>
      <c r="C652"/>
    </row>
    <row r="653" spans="2:3" x14ac:dyDescent="0.25">
      <c r="B653"/>
      <c r="C653"/>
    </row>
    <row r="654" spans="2:3" x14ac:dyDescent="0.25">
      <c r="B654"/>
      <c r="C654"/>
    </row>
    <row r="655" spans="2:3" x14ac:dyDescent="0.25">
      <c r="B655"/>
      <c r="C655"/>
    </row>
    <row r="656" spans="2:3" x14ac:dyDescent="0.25">
      <c r="B656"/>
      <c r="C656"/>
    </row>
    <row r="657" spans="2:3" x14ac:dyDescent="0.25">
      <c r="B657"/>
      <c r="C657"/>
    </row>
    <row r="658" spans="2:3" x14ac:dyDescent="0.25">
      <c r="B658"/>
      <c r="C658"/>
    </row>
    <row r="659" spans="2:3" x14ac:dyDescent="0.25">
      <c r="B659"/>
      <c r="C659"/>
    </row>
    <row r="660" spans="2:3" x14ac:dyDescent="0.25">
      <c r="B660"/>
      <c r="C660"/>
    </row>
    <row r="661" spans="2:3" x14ac:dyDescent="0.25">
      <c r="B661"/>
      <c r="C661"/>
    </row>
    <row r="662" spans="2:3" x14ac:dyDescent="0.25">
      <c r="B662"/>
      <c r="C662"/>
    </row>
    <row r="663" spans="2:3" x14ac:dyDescent="0.25">
      <c r="B663"/>
      <c r="C663"/>
    </row>
    <row r="664" spans="2:3" x14ac:dyDescent="0.25">
      <c r="B664"/>
      <c r="C664"/>
    </row>
    <row r="665" spans="2:3" x14ac:dyDescent="0.25">
      <c r="B665"/>
      <c r="C665"/>
    </row>
    <row r="666" spans="2:3" x14ac:dyDescent="0.25">
      <c r="B666"/>
      <c r="C666"/>
    </row>
    <row r="667" spans="2:3" x14ac:dyDescent="0.25">
      <c r="B667"/>
      <c r="C667"/>
    </row>
    <row r="668" spans="2:3" x14ac:dyDescent="0.25">
      <c r="B668"/>
      <c r="C668"/>
    </row>
    <row r="669" spans="2:3" x14ac:dyDescent="0.25">
      <c r="B669"/>
      <c r="C669"/>
    </row>
    <row r="670" spans="2:3" x14ac:dyDescent="0.25">
      <c r="B670"/>
      <c r="C670"/>
    </row>
    <row r="671" spans="2:3" x14ac:dyDescent="0.25">
      <c r="B671"/>
      <c r="C671"/>
    </row>
    <row r="672" spans="2:3" x14ac:dyDescent="0.25">
      <c r="B672"/>
      <c r="C672"/>
    </row>
    <row r="673" spans="2:3" x14ac:dyDescent="0.25">
      <c r="B673"/>
      <c r="C673"/>
    </row>
    <row r="674" spans="2:3" x14ac:dyDescent="0.25">
      <c r="B674"/>
      <c r="C674"/>
    </row>
    <row r="675" spans="2:3" x14ac:dyDescent="0.25">
      <c r="B675"/>
      <c r="C675"/>
    </row>
    <row r="676" spans="2:3" x14ac:dyDescent="0.25">
      <c r="B676"/>
      <c r="C676"/>
    </row>
    <row r="677" spans="2:3" x14ac:dyDescent="0.25">
      <c r="B677"/>
      <c r="C677"/>
    </row>
    <row r="678" spans="2:3" x14ac:dyDescent="0.25">
      <c r="B678"/>
      <c r="C678"/>
    </row>
    <row r="679" spans="2:3" x14ac:dyDescent="0.25">
      <c r="B679"/>
      <c r="C679"/>
    </row>
    <row r="680" spans="2:3" x14ac:dyDescent="0.25">
      <c r="B680"/>
      <c r="C680"/>
    </row>
    <row r="681" spans="2:3" x14ac:dyDescent="0.25">
      <c r="B681"/>
      <c r="C681"/>
    </row>
    <row r="682" spans="2:3" x14ac:dyDescent="0.25">
      <c r="B682"/>
      <c r="C682"/>
    </row>
    <row r="683" spans="2:3" x14ac:dyDescent="0.25">
      <c r="B683"/>
      <c r="C683"/>
    </row>
    <row r="684" spans="2:3" x14ac:dyDescent="0.25">
      <c r="B684"/>
      <c r="C684"/>
    </row>
    <row r="685" spans="2:3" x14ac:dyDescent="0.25">
      <c r="B685"/>
      <c r="C685"/>
    </row>
    <row r="686" spans="2:3" x14ac:dyDescent="0.25">
      <c r="B686"/>
      <c r="C686"/>
    </row>
    <row r="687" spans="2:3" x14ac:dyDescent="0.25">
      <c r="B687"/>
      <c r="C687"/>
    </row>
    <row r="688" spans="2:3" x14ac:dyDescent="0.25">
      <c r="B688"/>
      <c r="C688"/>
    </row>
    <row r="689" spans="2:3" x14ac:dyDescent="0.25">
      <c r="B689"/>
      <c r="C689"/>
    </row>
    <row r="690" spans="2:3" x14ac:dyDescent="0.25">
      <c r="B690"/>
      <c r="C690"/>
    </row>
    <row r="691" spans="2:3" x14ac:dyDescent="0.25">
      <c r="B691"/>
      <c r="C691"/>
    </row>
    <row r="692" spans="2:3" x14ac:dyDescent="0.25">
      <c r="B692"/>
      <c r="C692"/>
    </row>
    <row r="693" spans="2:3" x14ac:dyDescent="0.25">
      <c r="B693"/>
      <c r="C693"/>
    </row>
    <row r="694" spans="2:3" x14ac:dyDescent="0.25">
      <c r="B694"/>
      <c r="C694"/>
    </row>
    <row r="695" spans="2:3" x14ac:dyDescent="0.25">
      <c r="B695"/>
      <c r="C695"/>
    </row>
    <row r="696" spans="2:3" x14ac:dyDescent="0.25">
      <c r="B696"/>
      <c r="C696"/>
    </row>
    <row r="697" spans="2:3" x14ac:dyDescent="0.25">
      <c r="B697"/>
      <c r="C697"/>
    </row>
    <row r="698" spans="2:3" x14ac:dyDescent="0.25">
      <c r="B698"/>
      <c r="C698"/>
    </row>
    <row r="699" spans="2:3" x14ac:dyDescent="0.25">
      <c r="B699"/>
      <c r="C699"/>
    </row>
    <row r="700" spans="2:3" x14ac:dyDescent="0.25">
      <c r="B700"/>
      <c r="C700"/>
    </row>
    <row r="701" spans="2:3" x14ac:dyDescent="0.25">
      <c r="B701"/>
      <c r="C701"/>
    </row>
    <row r="702" spans="2:3" x14ac:dyDescent="0.25">
      <c r="B702"/>
      <c r="C702"/>
    </row>
    <row r="703" spans="2:3" x14ac:dyDescent="0.25">
      <c r="B703"/>
      <c r="C703"/>
    </row>
    <row r="704" spans="2:3" x14ac:dyDescent="0.25">
      <c r="B704"/>
      <c r="C704"/>
    </row>
    <row r="705" spans="2:3" x14ac:dyDescent="0.25">
      <c r="B705"/>
      <c r="C705"/>
    </row>
    <row r="706" spans="2:3" x14ac:dyDescent="0.25">
      <c r="B706"/>
      <c r="C706"/>
    </row>
    <row r="707" spans="2:3" x14ac:dyDescent="0.25">
      <c r="B707"/>
      <c r="C707"/>
    </row>
    <row r="708" spans="2:3" x14ac:dyDescent="0.25">
      <c r="B708"/>
      <c r="C708"/>
    </row>
    <row r="709" spans="2:3" x14ac:dyDescent="0.25">
      <c r="B709"/>
      <c r="C709"/>
    </row>
    <row r="710" spans="2:3" x14ac:dyDescent="0.25">
      <c r="B710"/>
      <c r="C710"/>
    </row>
    <row r="711" spans="2:3" x14ac:dyDescent="0.25">
      <c r="B711"/>
      <c r="C711"/>
    </row>
    <row r="712" spans="2:3" x14ac:dyDescent="0.25">
      <c r="B712"/>
      <c r="C712"/>
    </row>
    <row r="713" spans="2:3" x14ac:dyDescent="0.25">
      <c r="B713"/>
      <c r="C713"/>
    </row>
    <row r="714" spans="2:3" x14ac:dyDescent="0.25">
      <c r="B714"/>
      <c r="C714"/>
    </row>
    <row r="715" spans="2:3" x14ac:dyDescent="0.25">
      <c r="B715"/>
      <c r="C715"/>
    </row>
    <row r="716" spans="2:3" x14ac:dyDescent="0.25">
      <c r="B716"/>
      <c r="C716"/>
    </row>
    <row r="717" spans="2:3" x14ac:dyDescent="0.25">
      <c r="B717"/>
      <c r="C717"/>
    </row>
    <row r="718" spans="2:3" x14ac:dyDescent="0.25">
      <c r="B718"/>
      <c r="C718"/>
    </row>
    <row r="719" spans="2:3" x14ac:dyDescent="0.25">
      <c r="B719"/>
      <c r="C719"/>
    </row>
    <row r="720" spans="2:3" x14ac:dyDescent="0.25">
      <c r="B720"/>
      <c r="C720"/>
    </row>
    <row r="721" spans="2:3" x14ac:dyDescent="0.25">
      <c r="B721"/>
      <c r="C721"/>
    </row>
    <row r="722" spans="2:3" x14ac:dyDescent="0.25">
      <c r="B722"/>
      <c r="C722"/>
    </row>
    <row r="723" spans="2:3" x14ac:dyDescent="0.25">
      <c r="B723"/>
      <c r="C723"/>
    </row>
    <row r="724" spans="2:3" x14ac:dyDescent="0.25">
      <c r="B724"/>
      <c r="C724"/>
    </row>
    <row r="725" spans="2:3" x14ac:dyDescent="0.25">
      <c r="B725"/>
      <c r="C725"/>
    </row>
    <row r="726" spans="2:3" x14ac:dyDescent="0.25">
      <c r="B726"/>
      <c r="C726"/>
    </row>
    <row r="727" spans="2:3" x14ac:dyDescent="0.25">
      <c r="B727"/>
      <c r="C727"/>
    </row>
    <row r="728" spans="2:3" x14ac:dyDescent="0.25">
      <c r="B728"/>
      <c r="C728"/>
    </row>
    <row r="729" spans="2:3" x14ac:dyDescent="0.25">
      <c r="B729"/>
      <c r="C729"/>
    </row>
    <row r="730" spans="2:3" x14ac:dyDescent="0.25">
      <c r="B730"/>
      <c r="C730"/>
    </row>
    <row r="731" spans="2:3" x14ac:dyDescent="0.25">
      <c r="B731"/>
      <c r="C731"/>
    </row>
    <row r="732" spans="2:3" x14ac:dyDescent="0.25">
      <c r="B732"/>
      <c r="C732"/>
    </row>
    <row r="733" spans="2:3" x14ac:dyDescent="0.25">
      <c r="B733"/>
      <c r="C733"/>
    </row>
    <row r="734" spans="2:3" x14ac:dyDescent="0.25">
      <c r="B734"/>
      <c r="C734"/>
    </row>
    <row r="735" spans="2:3" x14ac:dyDescent="0.25">
      <c r="B735"/>
      <c r="C735"/>
    </row>
    <row r="736" spans="2:3" x14ac:dyDescent="0.25">
      <c r="B736"/>
      <c r="C736"/>
    </row>
    <row r="737" spans="2:3" x14ac:dyDescent="0.25">
      <c r="B737"/>
      <c r="C737"/>
    </row>
    <row r="738" spans="2:3" x14ac:dyDescent="0.25">
      <c r="B738"/>
      <c r="C738"/>
    </row>
    <row r="739" spans="2:3" x14ac:dyDescent="0.25">
      <c r="B739"/>
      <c r="C739"/>
    </row>
    <row r="740" spans="2:3" x14ac:dyDescent="0.25">
      <c r="B740"/>
      <c r="C740"/>
    </row>
    <row r="741" spans="2:3" x14ac:dyDescent="0.25">
      <c r="B741"/>
      <c r="C741"/>
    </row>
    <row r="742" spans="2:3" x14ac:dyDescent="0.25">
      <c r="B742"/>
      <c r="C742"/>
    </row>
    <row r="743" spans="2:3" x14ac:dyDescent="0.25">
      <c r="B743"/>
      <c r="C743"/>
    </row>
    <row r="744" spans="2:3" x14ac:dyDescent="0.25">
      <c r="B744"/>
      <c r="C744"/>
    </row>
    <row r="745" spans="2:3" x14ac:dyDescent="0.25">
      <c r="B745"/>
      <c r="C745"/>
    </row>
    <row r="746" spans="2:3" x14ac:dyDescent="0.25">
      <c r="B746"/>
      <c r="C746"/>
    </row>
    <row r="747" spans="2:3" x14ac:dyDescent="0.25">
      <c r="B747"/>
      <c r="C747"/>
    </row>
    <row r="748" spans="2:3" x14ac:dyDescent="0.25">
      <c r="B748"/>
      <c r="C748"/>
    </row>
    <row r="749" spans="2:3" x14ac:dyDescent="0.25">
      <c r="B749"/>
      <c r="C749"/>
    </row>
    <row r="750" spans="2:3" x14ac:dyDescent="0.25">
      <c r="B750"/>
      <c r="C750"/>
    </row>
    <row r="751" spans="2:3" x14ac:dyDescent="0.25">
      <c r="B751"/>
      <c r="C751"/>
    </row>
    <row r="752" spans="2:3" x14ac:dyDescent="0.25">
      <c r="B752"/>
      <c r="C752"/>
    </row>
    <row r="753" spans="2:3" x14ac:dyDescent="0.25">
      <c r="B753"/>
      <c r="C753"/>
    </row>
    <row r="754" spans="2:3" x14ac:dyDescent="0.25">
      <c r="B754"/>
      <c r="C754"/>
    </row>
    <row r="755" spans="2:3" x14ac:dyDescent="0.25">
      <c r="B755"/>
      <c r="C755"/>
    </row>
    <row r="756" spans="2:3" x14ac:dyDescent="0.25">
      <c r="B756"/>
      <c r="C756"/>
    </row>
    <row r="757" spans="2:3" x14ac:dyDescent="0.25">
      <c r="B757"/>
      <c r="C757"/>
    </row>
    <row r="758" spans="2:3" x14ac:dyDescent="0.25">
      <c r="B758"/>
      <c r="C758"/>
    </row>
    <row r="759" spans="2:3" x14ac:dyDescent="0.25">
      <c r="B759"/>
      <c r="C759"/>
    </row>
    <row r="760" spans="2:3" x14ac:dyDescent="0.25">
      <c r="B760"/>
      <c r="C760"/>
    </row>
    <row r="761" spans="2:3" x14ac:dyDescent="0.25">
      <c r="B761"/>
      <c r="C761"/>
    </row>
    <row r="762" spans="2:3" x14ac:dyDescent="0.25">
      <c r="B762"/>
      <c r="C762"/>
    </row>
    <row r="763" spans="2:3" x14ac:dyDescent="0.25">
      <c r="B763"/>
      <c r="C763"/>
    </row>
    <row r="764" spans="2:3" x14ac:dyDescent="0.25">
      <c r="B764"/>
      <c r="C764"/>
    </row>
    <row r="765" spans="2:3" x14ac:dyDescent="0.25">
      <c r="B765"/>
      <c r="C765"/>
    </row>
    <row r="766" spans="2:3" x14ac:dyDescent="0.25">
      <c r="B766"/>
      <c r="C766"/>
    </row>
    <row r="767" spans="2:3" x14ac:dyDescent="0.25">
      <c r="B767"/>
      <c r="C767"/>
    </row>
    <row r="768" spans="2:3" x14ac:dyDescent="0.25">
      <c r="B768"/>
      <c r="C768"/>
    </row>
    <row r="769" spans="2:3" x14ac:dyDescent="0.25">
      <c r="B769"/>
      <c r="C769"/>
    </row>
    <row r="770" spans="2:3" x14ac:dyDescent="0.25">
      <c r="B770"/>
      <c r="C770"/>
    </row>
    <row r="771" spans="2:3" x14ac:dyDescent="0.25">
      <c r="B771"/>
      <c r="C771"/>
    </row>
    <row r="772" spans="2:3" x14ac:dyDescent="0.25">
      <c r="B772"/>
      <c r="C772"/>
    </row>
    <row r="773" spans="2:3" x14ac:dyDescent="0.25">
      <c r="B773"/>
      <c r="C773"/>
    </row>
    <row r="774" spans="2:3" x14ac:dyDescent="0.25">
      <c r="B774"/>
      <c r="C774"/>
    </row>
    <row r="775" spans="2:3" x14ac:dyDescent="0.25">
      <c r="B775"/>
      <c r="C775"/>
    </row>
    <row r="776" spans="2:3" x14ac:dyDescent="0.25">
      <c r="B776"/>
      <c r="C776"/>
    </row>
    <row r="777" spans="2:3" x14ac:dyDescent="0.25">
      <c r="B777"/>
      <c r="C777"/>
    </row>
    <row r="778" spans="2:3" x14ac:dyDescent="0.25">
      <c r="B778"/>
      <c r="C778"/>
    </row>
    <row r="779" spans="2:3" x14ac:dyDescent="0.25">
      <c r="B779"/>
      <c r="C779"/>
    </row>
    <row r="780" spans="2:3" x14ac:dyDescent="0.25">
      <c r="B780"/>
      <c r="C780"/>
    </row>
    <row r="781" spans="2:3" x14ac:dyDescent="0.25">
      <c r="B781"/>
      <c r="C781"/>
    </row>
    <row r="782" spans="2:3" x14ac:dyDescent="0.25">
      <c r="B782"/>
      <c r="C782"/>
    </row>
    <row r="783" spans="2:3" x14ac:dyDescent="0.25">
      <c r="B783"/>
      <c r="C783"/>
    </row>
    <row r="784" spans="2:3" x14ac:dyDescent="0.25">
      <c r="B784"/>
      <c r="C784"/>
    </row>
    <row r="785" spans="2:3" x14ac:dyDescent="0.25">
      <c r="B785"/>
      <c r="C785"/>
    </row>
    <row r="786" spans="2:3" x14ac:dyDescent="0.25">
      <c r="B786"/>
      <c r="C786"/>
    </row>
    <row r="787" spans="2:3" x14ac:dyDescent="0.25">
      <c r="B787"/>
      <c r="C787"/>
    </row>
    <row r="788" spans="2:3" x14ac:dyDescent="0.25">
      <c r="B788"/>
      <c r="C788"/>
    </row>
    <row r="789" spans="2:3" x14ac:dyDescent="0.25">
      <c r="B789"/>
      <c r="C789"/>
    </row>
    <row r="790" spans="2:3" x14ac:dyDescent="0.25">
      <c r="B790"/>
      <c r="C790"/>
    </row>
    <row r="791" spans="2:3" x14ac:dyDescent="0.25">
      <c r="B791"/>
      <c r="C791"/>
    </row>
    <row r="792" spans="2:3" x14ac:dyDescent="0.25">
      <c r="B792"/>
      <c r="C792"/>
    </row>
    <row r="793" spans="2:3" x14ac:dyDescent="0.25">
      <c r="B793"/>
      <c r="C793"/>
    </row>
    <row r="794" spans="2:3" x14ac:dyDescent="0.25">
      <c r="B794"/>
      <c r="C794"/>
    </row>
    <row r="795" spans="2:3" x14ac:dyDescent="0.25">
      <c r="B795"/>
      <c r="C795"/>
    </row>
    <row r="796" spans="2:3" x14ac:dyDescent="0.25">
      <c r="B796"/>
      <c r="C796"/>
    </row>
    <row r="797" spans="2:3" x14ac:dyDescent="0.25">
      <c r="B797"/>
      <c r="C797"/>
    </row>
    <row r="798" spans="2:3" x14ac:dyDescent="0.25">
      <c r="B798"/>
      <c r="C798"/>
    </row>
    <row r="799" spans="2:3" x14ac:dyDescent="0.25">
      <c r="B799"/>
      <c r="C799"/>
    </row>
    <row r="800" spans="2:3" x14ac:dyDescent="0.25">
      <c r="B800"/>
      <c r="C800"/>
    </row>
    <row r="801" spans="2:3" x14ac:dyDescent="0.25">
      <c r="B801"/>
      <c r="C801"/>
    </row>
    <row r="802" spans="2:3" x14ac:dyDescent="0.25">
      <c r="B802"/>
      <c r="C802"/>
    </row>
    <row r="803" spans="2:3" x14ac:dyDescent="0.25">
      <c r="B803"/>
      <c r="C803"/>
    </row>
    <row r="804" spans="2:3" x14ac:dyDescent="0.25">
      <c r="B804"/>
      <c r="C804"/>
    </row>
    <row r="805" spans="2:3" x14ac:dyDescent="0.25">
      <c r="B805"/>
      <c r="C805"/>
    </row>
    <row r="806" spans="2:3" x14ac:dyDescent="0.25">
      <c r="B806"/>
      <c r="C806"/>
    </row>
    <row r="807" spans="2:3" x14ac:dyDescent="0.25">
      <c r="B807"/>
      <c r="C807"/>
    </row>
    <row r="808" spans="2:3" x14ac:dyDescent="0.25">
      <c r="B808"/>
      <c r="C808"/>
    </row>
    <row r="809" spans="2:3" x14ac:dyDescent="0.25">
      <c r="B809"/>
      <c r="C809"/>
    </row>
    <row r="810" spans="2:3" x14ac:dyDescent="0.25">
      <c r="B810"/>
      <c r="C810"/>
    </row>
    <row r="811" spans="2:3" x14ac:dyDescent="0.25">
      <c r="B811"/>
      <c r="C811"/>
    </row>
    <row r="812" spans="2:3" x14ac:dyDescent="0.25">
      <c r="B812"/>
      <c r="C812"/>
    </row>
    <row r="813" spans="2:3" x14ac:dyDescent="0.25">
      <c r="B813"/>
      <c r="C813"/>
    </row>
    <row r="814" spans="2:3" x14ac:dyDescent="0.25">
      <c r="B814"/>
      <c r="C814"/>
    </row>
    <row r="815" spans="2:3" x14ac:dyDescent="0.25">
      <c r="B815"/>
      <c r="C815"/>
    </row>
    <row r="816" spans="2:3" x14ac:dyDescent="0.25">
      <c r="B816"/>
      <c r="C816"/>
    </row>
    <row r="817" spans="2:3" x14ac:dyDescent="0.25">
      <c r="B817"/>
      <c r="C817"/>
    </row>
    <row r="818" spans="2:3" x14ac:dyDescent="0.25">
      <c r="B818"/>
      <c r="C818"/>
    </row>
    <row r="819" spans="2:3" x14ac:dyDescent="0.25">
      <c r="B819"/>
      <c r="C819"/>
    </row>
    <row r="820" spans="2:3" x14ac:dyDescent="0.25">
      <c r="B820"/>
      <c r="C820"/>
    </row>
    <row r="821" spans="2:3" x14ac:dyDescent="0.25">
      <c r="B821"/>
      <c r="C821"/>
    </row>
    <row r="822" spans="2:3" x14ac:dyDescent="0.25">
      <c r="B822"/>
      <c r="C822"/>
    </row>
    <row r="823" spans="2:3" x14ac:dyDescent="0.25">
      <c r="B823"/>
      <c r="C823"/>
    </row>
    <row r="824" spans="2:3" x14ac:dyDescent="0.25">
      <c r="B824"/>
      <c r="C824"/>
    </row>
    <row r="825" spans="2:3" x14ac:dyDescent="0.25">
      <c r="B825"/>
      <c r="C825"/>
    </row>
    <row r="826" spans="2:3" x14ac:dyDescent="0.25">
      <c r="B826"/>
      <c r="C826"/>
    </row>
    <row r="827" spans="2:3" x14ac:dyDescent="0.25">
      <c r="B827"/>
      <c r="C827"/>
    </row>
    <row r="828" spans="2:3" x14ac:dyDescent="0.25">
      <c r="B828"/>
      <c r="C828"/>
    </row>
    <row r="829" spans="2:3" x14ac:dyDescent="0.25">
      <c r="B829"/>
      <c r="C829"/>
    </row>
    <row r="830" spans="2:3" x14ac:dyDescent="0.25">
      <c r="B830"/>
      <c r="C830"/>
    </row>
    <row r="831" spans="2:3" x14ac:dyDescent="0.25">
      <c r="B831"/>
      <c r="C831"/>
    </row>
    <row r="832" spans="2:3" x14ac:dyDescent="0.25">
      <c r="B832"/>
      <c r="C832"/>
    </row>
    <row r="833" spans="2:3" x14ac:dyDescent="0.25">
      <c r="B833"/>
      <c r="C833"/>
    </row>
    <row r="834" spans="2:3" x14ac:dyDescent="0.25">
      <c r="B834"/>
      <c r="C834"/>
    </row>
    <row r="835" spans="2:3" x14ac:dyDescent="0.25">
      <c r="B835"/>
      <c r="C835"/>
    </row>
    <row r="836" spans="2:3" x14ac:dyDescent="0.25">
      <c r="B836"/>
      <c r="C836"/>
    </row>
    <row r="837" spans="2:3" x14ac:dyDescent="0.25">
      <c r="B837"/>
      <c r="C837"/>
    </row>
    <row r="838" spans="2:3" x14ac:dyDescent="0.25">
      <c r="B838"/>
      <c r="C838"/>
    </row>
    <row r="839" spans="2:3" x14ac:dyDescent="0.25">
      <c r="B839"/>
      <c r="C839"/>
    </row>
    <row r="840" spans="2:3" x14ac:dyDescent="0.25">
      <c r="B840"/>
      <c r="C840"/>
    </row>
    <row r="841" spans="2:3" x14ac:dyDescent="0.25">
      <c r="B841"/>
      <c r="C841"/>
    </row>
    <row r="842" spans="2:3" x14ac:dyDescent="0.25">
      <c r="B842"/>
      <c r="C842"/>
    </row>
    <row r="843" spans="2:3" x14ac:dyDescent="0.25">
      <c r="B843"/>
      <c r="C843"/>
    </row>
    <row r="844" spans="2:3" x14ac:dyDescent="0.25">
      <c r="B844"/>
      <c r="C844"/>
    </row>
    <row r="845" spans="2:3" x14ac:dyDescent="0.25">
      <c r="B845"/>
      <c r="C845"/>
    </row>
    <row r="846" spans="2:3" x14ac:dyDescent="0.25">
      <c r="B846"/>
      <c r="C846"/>
    </row>
    <row r="847" spans="2:3" x14ac:dyDescent="0.25">
      <c r="B847"/>
      <c r="C847"/>
    </row>
    <row r="848" spans="2:3" x14ac:dyDescent="0.25">
      <c r="B848"/>
      <c r="C848"/>
    </row>
    <row r="849" spans="2:3" x14ac:dyDescent="0.25">
      <c r="B849"/>
      <c r="C849"/>
    </row>
    <row r="850" spans="2:3" x14ac:dyDescent="0.25">
      <c r="B850"/>
      <c r="C850"/>
    </row>
    <row r="851" spans="2:3" x14ac:dyDescent="0.25">
      <c r="B851"/>
      <c r="C851"/>
    </row>
    <row r="852" spans="2:3" x14ac:dyDescent="0.25">
      <c r="B852"/>
      <c r="C852"/>
    </row>
    <row r="853" spans="2:3" x14ac:dyDescent="0.25">
      <c r="B853"/>
      <c r="C853"/>
    </row>
    <row r="854" spans="2:3" x14ac:dyDescent="0.25">
      <c r="B854"/>
      <c r="C854"/>
    </row>
    <row r="855" spans="2:3" x14ac:dyDescent="0.25">
      <c r="B855"/>
      <c r="C855"/>
    </row>
    <row r="856" spans="2:3" x14ac:dyDescent="0.25">
      <c r="B856"/>
      <c r="C856"/>
    </row>
    <row r="857" spans="2:3" x14ac:dyDescent="0.25">
      <c r="B857"/>
      <c r="C857"/>
    </row>
    <row r="858" spans="2:3" x14ac:dyDescent="0.25">
      <c r="B858"/>
      <c r="C858"/>
    </row>
    <row r="859" spans="2:3" x14ac:dyDescent="0.25">
      <c r="B859"/>
      <c r="C859"/>
    </row>
    <row r="860" spans="2:3" x14ac:dyDescent="0.25">
      <c r="B860"/>
      <c r="C860"/>
    </row>
    <row r="861" spans="2:3" x14ac:dyDescent="0.25">
      <c r="B861"/>
      <c r="C861"/>
    </row>
    <row r="862" spans="2:3" x14ac:dyDescent="0.25">
      <c r="B862"/>
      <c r="C862"/>
    </row>
    <row r="863" spans="2:3" x14ac:dyDescent="0.25">
      <c r="B863"/>
      <c r="C863"/>
    </row>
    <row r="864" spans="2:3" x14ac:dyDescent="0.25">
      <c r="B864"/>
      <c r="C864"/>
    </row>
    <row r="865" spans="2:3" x14ac:dyDescent="0.25">
      <c r="B865"/>
      <c r="C865"/>
    </row>
    <row r="866" spans="2:3" x14ac:dyDescent="0.25">
      <c r="B866"/>
      <c r="C866"/>
    </row>
    <row r="867" spans="2:3" x14ac:dyDescent="0.25">
      <c r="B867"/>
      <c r="C867"/>
    </row>
    <row r="868" spans="2:3" x14ac:dyDescent="0.25">
      <c r="B868"/>
      <c r="C868"/>
    </row>
    <row r="869" spans="2:3" x14ac:dyDescent="0.25">
      <c r="B869"/>
      <c r="C869"/>
    </row>
    <row r="870" spans="2:3" x14ac:dyDescent="0.25">
      <c r="B870"/>
      <c r="C870"/>
    </row>
    <row r="871" spans="2:3" x14ac:dyDescent="0.25">
      <c r="B871"/>
      <c r="C871"/>
    </row>
    <row r="872" spans="2:3" x14ac:dyDescent="0.25">
      <c r="B872"/>
      <c r="C872"/>
    </row>
    <row r="873" spans="2:3" x14ac:dyDescent="0.25">
      <c r="B873"/>
      <c r="C873"/>
    </row>
    <row r="874" spans="2:3" x14ac:dyDescent="0.25">
      <c r="B874"/>
      <c r="C874"/>
    </row>
    <row r="875" spans="2:3" x14ac:dyDescent="0.25">
      <c r="B875"/>
      <c r="C875"/>
    </row>
    <row r="876" spans="2:3" x14ac:dyDescent="0.25">
      <c r="B876"/>
      <c r="C876"/>
    </row>
    <row r="877" spans="2:3" x14ac:dyDescent="0.25">
      <c r="B877"/>
      <c r="C877"/>
    </row>
    <row r="878" spans="2:3" x14ac:dyDescent="0.25">
      <c r="B878"/>
      <c r="C878"/>
    </row>
    <row r="879" spans="2:3" x14ac:dyDescent="0.25">
      <c r="B879"/>
      <c r="C879"/>
    </row>
    <row r="880" spans="2:3" x14ac:dyDescent="0.25">
      <c r="B880"/>
      <c r="C880"/>
    </row>
    <row r="881" spans="2:3" x14ac:dyDescent="0.25">
      <c r="B881"/>
      <c r="C881"/>
    </row>
    <row r="882" spans="2:3" x14ac:dyDescent="0.25">
      <c r="B882"/>
      <c r="C882"/>
    </row>
    <row r="883" spans="2:3" x14ac:dyDescent="0.25">
      <c r="B883"/>
      <c r="C883"/>
    </row>
    <row r="884" spans="2:3" x14ac:dyDescent="0.25">
      <c r="B884"/>
      <c r="C884"/>
    </row>
    <row r="885" spans="2:3" x14ac:dyDescent="0.25">
      <c r="B885"/>
      <c r="C885"/>
    </row>
    <row r="886" spans="2:3" x14ac:dyDescent="0.25">
      <c r="B886"/>
      <c r="C886"/>
    </row>
    <row r="887" spans="2:3" x14ac:dyDescent="0.25">
      <c r="B887"/>
      <c r="C887"/>
    </row>
    <row r="888" spans="2:3" x14ac:dyDescent="0.25">
      <c r="B888"/>
      <c r="C888"/>
    </row>
    <row r="889" spans="2:3" x14ac:dyDescent="0.25">
      <c r="B889"/>
      <c r="C889"/>
    </row>
    <row r="890" spans="2:3" x14ac:dyDescent="0.25">
      <c r="B890"/>
      <c r="C890"/>
    </row>
    <row r="891" spans="2:3" x14ac:dyDescent="0.25">
      <c r="B891"/>
      <c r="C891"/>
    </row>
    <row r="892" spans="2:3" x14ac:dyDescent="0.25">
      <c r="B892"/>
      <c r="C892"/>
    </row>
    <row r="893" spans="2:3" x14ac:dyDescent="0.25">
      <c r="B893"/>
      <c r="C893"/>
    </row>
    <row r="894" spans="2:3" x14ac:dyDescent="0.25">
      <c r="B894"/>
      <c r="C894"/>
    </row>
    <row r="895" spans="2:3" x14ac:dyDescent="0.25">
      <c r="B895"/>
      <c r="C895"/>
    </row>
    <row r="896" spans="2:3" x14ac:dyDescent="0.25">
      <c r="B896"/>
      <c r="C896"/>
    </row>
    <row r="897" spans="2:3" x14ac:dyDescent="0.25">
      <c r="B897"/>
      <c r="C897"/>
    </row>
    <row r="898" spans="2:3" x14ac:dyDescent="0.25">
      <c r="B898"/>
      <c r="C898"/>
    </row>
    <row r="899" spans="2:3" x14ac:dyDescent="0.25">
      <c r="B899"/>
      <c r="C899"/>
    </row>
    <row r="900" spans="2:3" x14ac:dyDescent="0.25">
      <c r="B900"/>
      <c r="C900"/>
    </row>
    <row r="901" spans="2:3" x14ac:dyDescent="0.25">
      <c r="B901"/>
      <c r="C901"/>
    </row>
    <row r="902" spans="2:3" x14ac:dyDescent="0.25">
      <c r="B902"/>
      <c r="C902"/>
    </row>
    <row r="903" spans="2:3" x14ac:dyDescent="0.25">
      <c r="B903"/>
      <c r="C903"/>
    </row>
    <row r="904" spans="2:3" x14ac:dyDescent="0.25">
      <c r="B904"/>
      <c r="C904"/>
    </row>
    <row r="905" spans="2:3" x14ac:dyDescent="0.25">
      <c r="B905"/>
      <c r="C905"/>
    </row>
    <row r="906" spans="2:3" x14ac:dyDescent="0.25">
      <c r="B906"/>
      <c r="C906"/>
    </row>
    <row r="907" spans="2:3" x14ac:dyDescent="0.25">
      <c r="B907"/>
      <c r="C907"/>
    </row>
    <row r="908" spans="2:3" x14ac:dyDescent="0.25">
      <c r="B908"/>
      <c r="C908"/>
    </row>
    <row r="909" spans="2:3" x14ac:dyDescent="0.25">
      <c r="B909"/>
      <c r="C909"/>
    </row>
    <row r="910" spans="2:3" x14ac:dyDescent="0.25">
      <c r="B910"/>
      <c r="C910"/>
    </row>
    <row r="911" spans="2:3" x14ac:dyDescent="0.25">
      <c r="B911"/>
      <c r="C911"/>
    </row>
    <row r="912" spans="2:3" x14ac:dyDescent="0.25">
      <c r="B912"/>
      <c r="C912"/>
    </row>
    <row r="913" spans="2:3" x14ac:dyDescent="0.25">
      <c r="B913"/>
      <c r="C913"/>
    </row>
    <row r="914" spans="2:3" x14ac:dyDescent="0.25">
      <c r="B914"/>
      <c r="C914"/>
    </row>
    <row r="915" spans="2:3" x14ac:dyDescent="0.25">
      <c r="B915"/>
      <c r="C915"/>
    </row>
    <row r="916" spans="2:3" x14ac:dyDescent="0.25">
      <c r="B916"/>
      <c r="C916"/>
    </row>
    <row r="917" spans="2:3" x14ac:dyDescent="0.25">
      <c r="B917"/>
      <c r="C917"/>
    </row>
    <row r="918" spans="2:3" x14ac:dyDescent="0.25">
      <c r="B918"/>
      <c r="C918"/>
    </row>
    <row r="919" spans="2:3" x14ac:dyDescent="0.25">
      <c r="B919"/>
      <c r="C919"/>
    </row>
    <row r="920" spans="2:3" x14ac:dyDescent="0.25">
      <c r="B920"/>
      <c r="C920"/>
    </row>
    <row r="921" spans="2:3" x14ac:dyDescent="0.25">
      <c r="B921"/>
      <c r="C921"/>
    </row>
    <row r="922" spans="2:3" x14ac:dyDescent="0.25">
      <c r="B922"/>
      <c r="C922"/>
    </row>
    <row r="923" spans="2:3" x14ac:dyDescent="0.25">
      <c r="B923"/>
      <c r="C923"/>
    </row>
    <row r="924" spans="2:3" x14ac:dyDescent="0.25">
      <c r="B924"/>
      <c r="C924"/>
    </row>
    <row r="925" spans="2:3" x14ac:dyDescent="0.25">
      <c r="B925"/>
      <c r="C925"/>
    </row>
    <row r="926" spans="2:3" x14ac:dyDescent="0.25">
      <c r="B926"/>
      <c r="C926"/>
    </row>
    <row r="927" spans="2:3" x14ac:dyDescent="0.25">
      <c r="B927"/>
      <c r="C927"/>
    </row>
    <row r="928" spans="2:3" x14ac:dyDescent="0.25">
      <c r="B928"/>
      <c r="C928"/>
    </row>
    <row r="929" spans="2:3" x14ac:dyDescent="0.25">
      <c r="B929"/>
      <c r="C929"/>
    </row>
    <row r="930" spans="2:3" x14ac:dyDescent="0.25">
      <c r="B930"/>
      <c r="C930"/>
    </row>
    <row r="931" spans="2:3" x14ac:dyDescent="0.25">
      <c r="B931"/>
      <c r="C931"/>
    </row>
    <row r="932" spans="2:3" x14ac:dyDescent="0.25">
      <c r="B932"/>
      <c r="C932"/>
    </row>
    <row r="933" spans="2:3" x14ac:dyDescent="0.25">
      <c r="B933"/>
      <c r="C933"/>
    </row>
    <row r="934" spans="2:3" x14ac:dyDescent="0.25">
      <c r="B934"/>
      <c r="C934"/>
    </row>
    <row r="935" spans="2:3" x14ac:dyDescent="0.25">
      <c r="B935"/>
      <c r="C935"/>
    </row>
    <row r="936" spans="2:3" x14ac:dyDescent="0.25">
      <c r="B936"/>
      <c r="C936"/>
    </row>
    <row r="937" spans="2:3" x14ac:dyDescent="0.25">
      <c r="B937"/>
      <c r="C937"/>
    </row>
    <row r="938" spans="2:3" x14ac:dyDescent="0.25">
      <c r="B938"/>
      <c r="C938"/>
    </row>
    <row r="939" spans="2:3" x14ac:dyDescent="0.25">
      <c r="B939"/>
      <c r="C939"/>
    </row>
    <row r="940" spans="2:3" x14ac:dyDescent="0.25">
      <c r="B940"/>
      <c r="C940"/>
    </row>
    <row r="941" spans="2:3" x14ac:dyDescent="0.25">
      <c r="B941"/>
      <c r="C941"/>
    </row>
    <row r="942" spans="2:3" x14ac:dyDescent="0.25">
      <c r="B942"/>
      <c r="C942"/>
    </row>
    <row r="943" spans="2:3" x14ac:dyDescent="0.25">
      <c r="B943"/>
      <c r="C943"/>
    </row>
    <row r="944" spans="2:3" x14ac:dyDescent="0.25">
      <c r="B944"/>
      <c r="C944"/>
    </row>
    <row r="945" spans="2:3" x14ac:dyDescent="0.25">
      <c r="B945"/>
      <c r="C945"/>
    </row>
    <row r="946" spans="2:3" x14ac:dyDescent="0.25">
      <c r="B946"/>
      <c r="C946"/>
    </row>
    <row r="947" spans="2:3" x14ac:dyDescent="0.25">
      <c r="B947"/>
      <c r="C947"/>
    </row>
    <row r="948" spans="2:3" x14ac:dyDescent="0.25">
      <c r="B948"/>
      <c r="C948"/>
    </row>
    <row r="949" spans="2:3" x14ac:dyDescent="0.25">
      <c r="B949"/>
      <c r="C949"/>
    </row>
    <row r="950" spans="2:3" x14ac:dyDescent="0.25">
      <c r="B950"/>
      <c r="C950"/>
    </row>
    <row r="951" spans="2:3" x14ac:dyDescent="0.25">
      <c r="B951"/>
      <c r="C951"/>
    </row>
    <row r="952" spans="2:3" x14ac:dyDescent="0.25">
      <c r="B952"/>
      <c r="C952"/>
    </row>
    <row r="953" spans="2:3" x14ac:dyDescent="0.25">
      <c r="B953"/>
      <c r="C953"/>
    </row>
    <row r="954" spans="2:3" x14ac:dyDescent="0.25">
      <c r="B954"/>
      <c r="C954"/>
    </row>
    <row r="955" spans="2:3" x14ac:dyDescent="0.25">
      <c r="B955"/>
      <c r="C955"/>
    </row>
    <row r="956" spans="2:3" x14ac:dyDescent="0.25">
      <c r="B956"/>
      <c r="C956"/>
    </row>
    <row r="957" spans="2:3" x14ac:dyDescent="0.25">
      <c r="B957"/>
      <c r="C957"/>
    </row>
    <row r="958" spans="2:3" x14ac:dyDescent="0.25">
      <c r="B958"/>
      <c r="C958"/>
    </row>
    <row r="959" spans="2:3" x14ac:dyDescent="0.25">
      <c r="B959"/>
      <c r="C959"/>
    </row>
    <row r="960" spans="2:3" x14ac:dyDescent="0.25">
      <c r="B960"/>
      <c r="C960"/>
    </row>
    <row r="961" spans="2:3" x14ac:dyDescent="0.25">
      <c r="B961"/>
      <c r="C961"/>
    </row>
    <row r="962" spans="2:3" x14ac:dyDescent="0.25">
      <c r="B962"/>
      <c r="C962"/>
    </row>
    <row r="963" spans="2:3" x14ac:dyDescent="0.25">
      <c r="B963"/>
      <c r="C963"/>
    </row>
    <row r="964" spans="2:3" x14ac:dyDescent="0.25">
      <c r="B964"/>
      <c r="C964"/>
    </row>
    <row r="965" spans="2:3" x14ac:dyDescent="0.25">
      <c r="B965"/>
      <c r="C965"/>
    </row>
    <row r="966" spans="2:3" x14ac:dyDescent="0.25">
      <c r="B966"/>
      <c r="C966"/>
    </row>
    <row r="967" spans="2:3" x14ac:dyDescent="0.25">
      <c r="B967"/>
      <c r="C967"/>
    </row>
    <row r="968" spans="2:3" x14ac:dyDescent="0.25">
      <c r="B968"/>
      <c r="C968"/>
    </row>
    <row r="969" spans="2:3" x14ac:dyDescent="0.25">
      <c r="B969"/>
      <c r="C969"/>
    </row>
    <row r="970" spans="2:3" x14ac:dyDescent="0.25">
      <c r="B970"/>
      <c r="C970"/>
    </row>
    <row r="971" spans="2:3" x14ac:dyDescent="0.25">
      <c r="B971"/>
      <c r="C971"/>
    </row>
    <row r="972" spans="2:3" x14ac:dyDescent="0.25">
      <c r="B972"/>
      <c r="C972"/>
    </row>
    <row r="973" spans="2:3" x14ac:dyDescent="0.25">
      <c r="B973"/>
      <c r="C973"/>
    </row>
    <row r="974" spans="2:3" x14ac:dyDescent="0.25">
      <c r="B974"/>
      <c r="C974"/>
    </row>
    <row r="975" spans="2:3" x14ac:dyDescent="0.25">
      <c r="B975"/>
      <c r="C975"/>
    </row>
    <row r="976" spans="2:3" x14ac:dyDescent="0.25">
      <c r="B976"/>
      <c r="C976"/>
    </row>
    <row r="977" spans="2:3" x14ac:dyDescent="0.25">
      <c r="B977"/>
      <c r="C977"/>
    </row>
    <row r="978" spans="2:3" x14ac:dyDescent="0.25">
      <c r="B978"/>
      <c r="C978"/>
    </row>
    <row r="979" spans="2:3" x14ac:dyDescent="0.25">
      <c r="B979"/>
      <c r="C979"/>
    </row>
    <row r="980" spans="2:3" x14ac:dyDescent="0.25">
      <c r="B980"/>
      <c r="C980"/>
    </row>
    <row r="981" spans="2:3" x14ac:dyDescent="0.25">
      <c r="B981"/>
      <c r="C981"/>
    </row>
    <row r="982" spans="2:3" x14ac:dyDescent="0.25">
      <c r="B982"/>
      <c r="C982"/>
    </row>
    <row r="983" spans="2:3" x14ac:dyDescent="0.25">
      <c r="B983"/>
      <c r="C983"/>
    </row>
    <row r="984" spans="2:3" x14ac:dyDescent="0.25">
      <c r="B984"/>
      <c r="C984"/>
    </row>
    <row r="985" spans="2:3" x14ac:dyDescent="0.25">
      <c r="B985"/>
      <c r="C985"/>
    </row>
    <row r="986" spans="2:3" x14ac:dyDescent="0.25">
      <c r="B986"/>
      <c r="C986"/>
    </row>
    <row r="987" spans="2:3" x14ac:dyDescent="0.25">
      <c r="B987"/>
      <c r="C987"/>
    </row>
    <row r="988" spans="2:3" x14ac:dyDescent="0.25">
      <c r="B988"/>
      <c r="C988"/>
    </row>
    <row r="989" spans="2:3" x14ac:dyDescent="0.25">
      <c r="B989"/>
      <c r="C989"/>
    </row>
    <row r="990" spans="2:3" x14ac:dyDescent="0.25">
      <c r="B990"/>
      <c r="C990"/>
    </row>
    <row r="991" spans="2:3" x14ac:dyDescent="0.25">
      <c r="B991"/>
      <c r="C991"/>
    </row>
    <row r="992" spans="2:3" x14ac:dyDescent="0.25">
      <c r="B992"/>
      <c r="C992"/>
    </row>
    <row r="993" spans="2:3" x14ac:dyDescent="0.25">
      <c r="B993"/>
      <c r="C993"/>
    </row>
    <row r="994" spans="2:3" x14ac:dyDescent="0.25">
      <c r="B994"/>
      <c r="C994"/>
    </row>
    <row r="995" spans="2:3" x14ac:dyDescent="0.25">
      <c r="B995"/>
      <c r="C995"/>
    </row>
    <row r="996" spans="2:3" x14ac:dyDescent="0.25">
      <c r="B996"/>
      <c r="C996"/>
    </row>
    <row r="997" spans="2:3" x14ac:dyDescent="0.25">
      <c r="B997"/>
      <c r="C997"/>
    </row>
    <row r="998" spans="2:3" x14ac:dyDescent="0.25">
      <c r="B998"/>
      <c r="C998"/>
    </row>
    <row r="999" spans="2:3" x14ac:dyDescent="0.25">
      <c r="B999"/>
      <c r="C999"/>
    </row>
    <row r="1000" spans="2:3" x14ac:dyDescent="0.25">
      <c r="B1000"/>
      <c r="C1000"/>
    </row>
    <row r="1001" spans="2:3" x14ac:dyDescent="0.25">
      <c r="B1001"/>
      <c r="C1001"/>
    </row>
    <row r="1002" spans="2:3" x14ac:dyDescent="0.25">
      <c r="B1002"/>
      <c r="C1002"/>
    </row>
    <row r="1003" spans="2:3" x14ac:dyDescent="0.25">
      <c r="B1003"/>
      <c r="C1003"/>
    </row>
    <row r="1004" spans="2:3" x14ac:dyDescent="0.25">
      <c r="B1004"/>
      <c r="C1004"/>
    </row>
    <row r="1005" spans="2:3" x14ac:dyDescent="0.25">
      <c r="B1005"/>
      <c r="C1005"/>
    </row>
    <row r="1006" spans="2:3" x14ac:dyDescent="0.25">
      <c r="B1006"/>
      <c r="C1006"/>
    </row>
    <row r="1007" spans="2:3" x14ac:dyDescent="0.25">
      <c r="B1007"/>
      <c r="C1007"/>
    </row>
    <row r="1008" spans="2:3" x14ac:dyDescent="0.25">
      <c r="B1008"/>
      <c r="C1008"/>
    </row>
    <row r="1009" spans="2:3" x14ac:dyDescent="0.25">
      <c r="B1009"/>
      <c r="C1009"/>
    </row>
    <row r="1010" spans="2:3" x14ac:dyDescent="0.25">
      <c r="B1010"/>
      <c r="C1010"/>
    </row>
    <row r="1011" spans="2:3" x14ac:dyDescent="0.25">
      <c r="B1011"/>
      <c r="C1011"/>
    </row>
    <row r="1012" spans="2:3" x14ac:dyDescent="0.25">
      <c r="B1012"/>
      <c r="C1012"/>
    </row>
    <row r="1013" spans="2:3" x14ac:dyDescent="0.25">
      <c r="B1013"/>
      <c r="C1013"/>
    </row>
    <row r="1014" spans="2:3" x14ac:dyDescent="0.25">
      <c r="B1014"/>
      <c r="C1014"/>
    </row>
    <row r="1015" spans="2:3" x14ac:dyDescent="0.25">
      <c r="B1015"/>
      <c r="C1015"/>
    </row>
    <row r="1016" spans="2:3" x14ac:dyDescent="0.25">
      <c r="B1016"/>
      <c r="C1016"/>
    </row>
    <row r="1017" spans="2:3" x14ac:dyDescent="0.25">
      <c r="B1017"/>
      <c r="C1017"/>
    </row>
    <row r="1018" spans="2:3" x14ac:dyDescent="0.25">
      <c r="B1018"/>
      <c r="C1018"/>
    </row>
    <row r="1019" spans="2:3" x14ac:dyDescent="0.25">
      <c r="B1019"/>
      <c r="C1019"/>
    </row>
    <row r="1020" spans="2:3" x14ac:dyDescent="0.25">
      <c r="B1020"/>
      <c r="C1020"/>
    </row>
    <row r="1021" spans="2:3" x14ac:dyDescent="0.25">
      <c r="B1021"/>
      <c r="C1021"/>
    </row>
    <row r="1022" spans="2:3" x14ac:dyDescent="0.25">
      <c r="B1022"/>
      <c r="C1022"/>
    </row>
    <row r="1023" spans="2:3" x14ac:dyDescent="0.25">
      <c r="B1023"/>
      <c r="C1023"/>
    </row>
    <row r="1024" spans="2:3" x14ac:dyDescent="0.25">
      <c r="B1024"/>
      <c r="C1024"/>
    </row>
    <row r="1025" spans="2:3" x14ac:dyDescent="0.25">
      <c r="B1025"/>
      <c r="C1025"/>
    </row>
    <row r="1026" spans="2:3" x14ac:dyDescent="0.25">
      <c r="B1026"/>
      <c r="C1026"/>
    </row>
    <row r="1027" spans="2:3" x14ac:dyDescent="0.25">
      <c r="B1027"/>
      <c r="C1027"/>
    </row>
    <row r="1028" spans="2:3" x14ac:dyDescent="0.25">
      <c r="B1028"/>
      <c r="C1028"/>
    </row>
    <row r="1029" spans="2:3" x14ac:dyDescent="0.25">
      <c r="B1029"/>
      <c r="C1029"/>
    </row>
    <row r="1030" spans="2:3" x14ac:dyDescent="0.25">
      <c r="B1030"/>
      <c r="C1030"/>
    </row>
    <row r="1031" spans="2:3" x14ac:dyDescent="0.25">
      <c r="B1031"/>
      <c r="C1031"/>
    </row>
    <row r="1032" spans="2:3" x14ac:dyDescent="0.25">
      <c r="B1032"/>
      <c r="C1032"/>
    </row>
    <row r="1033" spans="2:3" x14ac:dyDescent="0.25">
      <c r="B1033"/>
      <c r="C1033"/>
    </row>
    <row r="1034" spans="2:3" x14ac:dyDescent="0.25">
      <c r="B1034"/>
      <c r="C1034"/>
    </row>
    <row r="1035" spans="2:3" x14ac:dyDescent="0.25">
      <c r="B1035"/>
      <c r="C1035"/>
    </row>
    <row r="1036" spans="2:3" x14ac:dyDescent="0.25">
      <c r="B1036"/>
      <c r="C1036"/>
    </row>
    <row r="1037" spans="2:3" x14ac:dyDescent="0.25">
      <c r="B1037"/>
      <c r="C1037"/>
    </row>
    <row r="1038" spans="2:3" x14ac:dyDescent="0.25">
      <c r="B1038"/>
      <c r="C1038"/>
    </row>
    <row r="1039" spans="2:3" x14ac:dyDescent="0.25">
      <c r="B1039"/>
      <c r="C1039"/>
    </row>
    <row r="1040" spans="2:3" x14ac:dyDescent="0.25">
      <c r="B1040"/>
      <c r="C1040"/>
    </row>
    <row r="1041" spans="2:3" x14ac:dyDescent="0.25">
      <c r="B1041"/>
      <c r="C1041"/>
    </row>
    <row r="1042" spans="2:3" x14ac:dyDescent="0.25">
      <c r="B1042"/>
      <c r="C1042"/>
    </row>
    <row r="1043" spans="2:3" x14ac:dyDescent="0.25">
      <c r="B1043"/>
      <c r="C1043"/>
    </row>
    <row r="1044" spans="2:3" x14ac:dyDescent="0.25">
      <c r="B1044"/>
      <c r="C1044"/>
    </row>
    <row r="1045" spans="2:3" x14ac:dyDescent="0.25">
      <c r="B1045"/>
      <c r="C1045"/>
    </row>
    <row r="1046" spans="2:3" x14ac:dyDescent="0.25">
      <c r="B1046"/>
      <c r="C1046"/>
    </row>
    <row r="1047" spans="2:3" x14ac:dyDescent="0.25">
      <c r="B1047"/>
      <c r="C1047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D69C9-5A99-459F-B2DF-C7DA51DFD1C2}">
  <sheetPr>
    <tabColor theme="4" tint="-0.249977111117893"/>
  </sheetPr>
  <dimension ref="A1:S4053"/>
  <sheetViews>
    <sheetView showGridLines="0" workbookViewId="0">
      <pane ySplit="5" topLeftCell="A6" activePane="bottomLeft" state="frozen"/>
      <selection pane="bottomLeft" activeCell="O3" sqref="O3"/>
    </sheetView>
  </sheetViews>
  <sheetFormatPr defaultRowHeight="15" x14ac:dyDescent="0.25"/>
  <cols>
    <col min="1" max="1" width="11.140625" style="87" bestFit="1" customWidth="1"/>
    <col min="2" max="2" width="11.42578125" style="87" bestFit="1" customWidth="1"/>
    <col min="3" max="3" width="12.42578125" style="87" bestFit="1" customWidth="1"/>
    <col min="4" max="4" width="12.7109375" style="87" bestFit="1" customWidth="1"/>
    <col min="5" max="5" width="11.140625" style="87" bestFit="1" customWidth="1"/>
    <col min="6" max="6" width="12.85546875" style="87" bestFit="1" customWidth="1"/>
    <col min="7" max="7" width="17.140625" style="87" bestFit="1" customWidth="1"/>
    <col min="8" max="8" width="19.7109375" style="87" bestFit="1" customWidth="1"/>
    <col min="9" max="9" width="15.7109375" style="87" bestFit="1" customWidth="1"/>
    <col min="10" max="10" width="30" style="87" bestFit="1" customWidth="1"/>
    <col min="11" max="11" width="15.140625" style="87" bestFit="1" customWidth="1"/>
    <col min="12" max="12" width="81.140625" style="87" bestFit="1" customWidth="1"/>
    <col min="13" max="13" width="27.5703125" style="87" bestFit="1" customWidth="1"/>
    <col min="14" max="14" width="5.7109375" style="87" bestFit="1" customWidth="1"/>
    <col min="15" max="15" width="12.140625" style="87" bestFit="1" customWidth="1"/>
    <col min="16" max="16" width="20" style="87" bestFit="1" customWidth="1"/>
    <col min="17" max="17" width="28.7109375" style="87" bestFit="1" customWidth="1"/>
    <col min="18" max="18" width="6.5703125" style="87" bestFit="1" customWidth="1"/>
    <col min="19" max="19" width="6.140625" style="87" bestFit="1" customWidth="1"/>
    <col min="20" max="16384" width="9.140625" style="87"/>
  </cols>
  <sheetData>
    <row r="1" spans="1:19" s="3" customFormat="1" ht="18.75" x14ac:dyDescent="0.25">
      <c r="A1" s="48" t="s">
        <v>1333</v>
      </c>
    </row>
    <row r="2" spans="1:19" s="3" customFormat="1" x14ac:dyDescent="0.25">
      <c r="M2" s="87"/>
      <c r="N2" s="87"/>
      <c r="O2" s="87"/>
      <c r="Q2" s="111" t="s">
        <v>266</v>
      </c>
      <c r="R2" s="171">
        <f>SUM(VIEW_IV_2019_DEMANDA_DISTRIBUIDORES[EQ])</f>
        <v>524742.5</v>
      </c>
      <c r="S2" s="171">
        <f>SUM(VIEW_IV_2019_DEMANDA_DISTRIBUIDORES[UN])</f>
        <v>128230</v>
      </c>
    </row>
    <row r="3" spans="1:19" s="3" customFormat="1" x14ac:dyDescent="0.25">
      <c r="M3" s="87"/>
      <c r="N3" s="87"/>
      <c r="O3" s="87"/>
      <c r="Q3" s="111" t="s">
        <v>1324</v>
      </c>
      <c r="R3" s="172">
        <f>SUBTOTAL(9,VIEW_IV_2019_DEMANDA_DISTRIBUIDORES[EQ])</f>
        <v>524742.5</v>
      </c>
      <c r="S3" s="172">
        <f>SUBTOTAL(9,VIEW_IV_2019_DEMANDA_DISTRIBUIDORES[UN])</f>
        <v>128230</v>
      </c>
    </row>
    <row r="4" spans="1:19" s="3" customFormat="1" ht="12.75" x14ac:dyDescent="0.25"/>
    <row r="5" spans="1:19" x14ac:dyDescent="0.25">
      <c r="A5" s="87" t="s">
        <v>0</v>
      </c>
      <c r="B5" s="87" t="s">
        <v>1</v>
      </c>
      <c r="C5" s="87" t="s">
        <v>2</v>
      </c>
      <c r="D5" s="87" t="s">
        <v>3</v>
      </c>
      <c r="E5" s="87" t="s">
        <v>4</v>
      </c>
      <c r="F5" s="87" t="s">
        <v>5</v>
      </c>
      <c r="G5" s="87" t="s">
        <v>6</v>
      </c>
      <c r="H5" s="87" t="s">
        <v>7</v>
      </c>
      <c r="I5" s="87" t="s">
        <v>8</v>
      </c>
      <c r="J5" s="87" t="s">
        <v>1326</v>
      </c>
      <c r="K5" s="87" t="s">
        <v>9</v>
      </c>
      <c r="L5" s="87" t="s">
        <v>10</v>
      </c>
      <c r="M5" s="87" t="s">
        <v>1336</v>
      </c>
      <c r="N5" s="87" t="s">
        <v>12</v>
      </c>
      <c r="O5" s="87" t="s">
        <v>13</v>
      </c>
      <c r="P5" s="87" t="s">
        <v>14</v>
      </c>
      <c r="Q5" t="s">
        <v>1348</v>
      </c>
      <c r="R5" s="176" t="s">
        <v>15</v>
      </c>
      <c r="S5" t="s">
        <v>1337</v>
      </c>
    </row>
    <row r="6" spans="1:19" x14ac:dyDescent="0.25">
      <c r="A6" s="87">
        <v>2019</v>
      </c>
      <c r="B6" s="87">
        <v>7</v>
      </c>
      <c r="C6" s="173" t="s">
        <v>16</v>
      </c>
      <c r="D6" s="173" t="s">
        <v>17</v>
      </c>
      <c r="E6" s="173" t="s">
        <v>18</v>
      </c>
      <c r="F6" s="173" t="s">
        <v>16</v>
      </c>
      <c r="G6" s="87" t="b">
        <v>1</v>
      </c>
      <c r="H6" s="87" t="b">
        <v>0</v>
      </c>
      <c r="I6" s="87" t="b">
        <v>0</v>
      </c>
      <c r="J6" s="173" t="s">
        <v>1512</v>
      </c>
      <c r="K6" s="174">
        <v>11114987760</v>
      </c>
      <c r="L6" s="173" t="s">
        <v>1069</v>
      </c>
      <c r="M6" s="173" t="s">
        <v>131</v>
      </c>
      <c r="N6" s="173" t="s">
        <v>61</v>
      </c>
      <c r="O6" s="87">
        <v>70</v>
      </c>
      <c r="P6" s="173" t="s">
        <v>20</v>
      </c>
      <c r="Q6" s="1" t="s">
        <v>1338</v>
      </c>
      <c r="R6" s="175">
        <v>15</v>
      </c>
      <c r="S6">
        <v>3</v>
      </c>
    </row>
    <row r="7" spans="1:19" x14ac:dyDescent="0.25">
      <c r="A7" s="87">
        <v>2019</v>
      </c>
      <c r="B7" s="87">
        <v>7</v>
      </c>
      <c r="C7" s="173" t="s">
        <v>16</v>
      </c>
      <c r="D7" s="173" t="s">
        <v>17</v>
      </c>
      <c r="E7" s="173" t="s">
        <v>18</v>
      </c>
      <c r="F7" s="173" t="s">
        <v>16</v>
      </c>
      <c r="G7" s="87" t="b">
        <v>1</v>
      </c>
      <c r="H7" s="87" t="b">
        <v>0</v>
      </c>
      <c r="I7" s="87" t="b">
        <v>0</v>
      </c>
      <c r="J7" s="173" t="s">
        <v>453</v>
      </c>
      <c r="K7" s="174">
        <v>12371009253</v>
      </c>
      <c r="L7" s="173" t="s">
        <v>1128</v>
      </c>
      <c r="M7" s="173" t="s">
        <v>1129</v>
      </c>
      <c r="N7" s="173" t="s">
        <v>52</v>
      </c>
      <c r="O7" s="87">
        <v>73</v>
      </c>
      <c r="P7" s="173" t="s">
        <v>26</v>
      </c>
      <c r="Q7" s="1" t="s">
        <v>1339</v>
      </c>
      <c r="R7" s="175">
        <v>16</v>
      </c>
      <c r="S7">
        <v>8</v>
      </c>
    </row>
    <row r="8" spans="1:19" x14ac:dyDescent="0.25">
      <c r="A8" s="87">
        <v>2019</v>
      </c>
      <c r="B8" s="87">
        <v>7</v>
      </c>
      <c r="C8" s="173" t="s">
        <v>16</v>
      </c>
      <c r="D8" s="173" t="s">
        <v>17</v>
      </c>
      <c r="E8" s="173" t="s">
        <v>18</v>
      </c>
      <c r="F8" s="173" t="s">
        <v>16</v>
      </c>
      <c r="G8" s="87" t="b">
        <v>1</v>
      </c>
      <c r="H8" s="87" t="b">
        <v>0</v>
      </c>
      <c r="I8" s="87" t="b">
        <v>0</v>
      </c>
      <c r="J8" s="173" t="s">
        <v>453</v>
      </c>
      <c r="K8" s="174">
        <v>12371009253</v>
      </c>
      <c r="L8" s="173" t="s">
        <v>1128</v>
      </c>
      <c r="M8" s="173" t="s">
        <v>1129</v>
      </c>
      <c r="N8" s="173" t="s">
        <v>52</v>
      </c>
      <c r="O8" s="87">
        <v>73</v>
      </c>
      <c r="P8" s="173" t="s">
        <v>26</v>
      </c>
      <c r="Q8" s="1" t="s">
        <v>1340</v>
      </c>
      <c r="R8" s="175">
        <v>8</v>
      </c>
      <c r="S8">
        <v>8</v>
      </c>
    </row>
    <row r="9" spans="1:19" x14ac:dyDescent="0.25">
      <c r="A9" s="87">
        <v>2019</v>
      </c>
      <c r="B9" s="87">
        <v>7</v>
      </c>
      <c r="C9" s="173" t="s">
        <v>16</v>
      </c>
      <c r="D9" s="173" t="s">
        <v>17</v>
      </c>
      <c r="E9" s="173" t="s">
        <v>18</v>
      </c>
      <c r="F9" s="173" t="s">
        <v>16</v>
      </c>
      <c r="G9" s="87" t="b">
        <v>1</v>
      </c>
      <c r="H9" s="87" t="b">
        <v>0</v>
      </c>
      <c r="I9" s="87" t="b">
        <v>0</v>
      </c>
      <c r="J9" s="173" t="s">
        <v>453</v>
      </c>
      <c r="K9" s="174">
        <v>17376968601</v>
      </c>
      <c r="L9" s="173" t="s">
        <v>1130</v>
      </c>
      <c r="M9" s="173" t="s">
        <v>53</v>
      </c>
      <c r="N9" s="173" t="s">
        <v>54</v>
      </c>
      <c r="O9" s="87">
        <v>66</v>
      </c>
      <c r="P9" s="173" t="s">
        <v>28</v>
      </c>
      <c r="Q9" s="1" t="s">
        <v>1341</v>
      </c>
      <c r="R9" s="175">
        <v>24</v>
      </c>
      <c r="S9">
        <v>24</v>
      </c>
    </row>
    <row r="10" spans="1:19" x14ac:dyDescent="0.25">
      <c r="A10" s="87">
        <v>2019</v>
      </c>
      <c r="B10" s="87">
        <v>7</v>
      </c>
      <c r="C10" s="173" t="s">
        <v>16</v>
      </c>
      <c r="D10" s="173" t="s">
        <v>17</v>
      </c>
      <c r="E10" s="173" t="s">
        <v>18</v>
      </c>
      <c r="F10" s="173" t="s">
        <v>16</v>
      </c>
      <c r="G10" s="87" t="b">
        <v>1</v>
      </c>
      <c r="H10" s="87" t="b">
        <v>0</v>
      </c>
      <c r="I10" s="87" t="b">
        <v>0</v>
      </c>
      <c r="J10" s="173" t="s">
        <v>1512</v>
      </c>
      <c r="K10" s="174">
        <v>23941593838</v>
      </c>
      <c r="L10" s="173" t="s">
        <v>555</v>
      </c>
      <c r="M10" s="173" t="s">
        <v>29</v>
      </c>
      <c r="N10" s="173" t="s">
        <v>19</v>
      </c>
      <c r="O10" s="87">
        <v>73</v>
      </c>
      <c r="P10" s="173" t="s">
        <v>26</v>
      </c>
      <c r="Q10" s="1" t="s">
        <v>1342</v>
      </c>
      <c r="R10" s="175">
        <v>48</v>
      </c>
      <c r="S10">
        <v>12</v>
      </c>
    </row>
    <row r="11" spans="1:19" x14ac:dyDescent="0.25">
      <c r="A11" s="87">
        <v>2019</v>
      </c>
      <c r="B11" s="87">
        <v>7</v>
      </c>
      <c r="C11" s="173" t="s">
        <v>16</v>
      </c>
      <c r="D11" s="173" t="s">
        <v>17</v>
      </c>
      <c r="E11" s="173" t="s">
        <v>18</v>
      </c>
      <c r="F11" s="173" t="s">
        <v>16</v>
      </c>
      <c r="G11" s="87" t="b">
        <v>1</v>
      </c>
      <c r="H11" s="87" t="b">
        <v>0</v>
      </c>
      <c r="I11" s="87" t="b">
        <v>0</v>
      </c>
      <c r="J11" s="173" t="s">
        <v>1512</v>
      </c>
      <c r="K11" s="174">
        <v>23941593838</v>
      </c>
      <c r="L11" s="173" t="s">
        <v>555</v>
      </c>
      <c r="M11" s="173" t="s">
        <v>29</v>
      </c>
      <c r="N11" s="173" t="s">
        <v>19</v>
      </c>
      <c r="O11" s="87">
        <v>73</v>
      </c>
      <c r="P11" s="173" t="s">
        <v>26</v>
      </c>
      <c r="Q11" s="1" t="s">
        <v>1340</v>
      </c>
      <c r="R11" s="175">
        <v>12</v>
      </c>
      <c r="S11">
        <v>12</v>
      </c>
    </row>
    <row r="12" spans="1:19" x14ac:dyDescent="0.25">
      <c r="A12" s="87">
        <v>2019</v>
      </c>
      <c r="B12" s="87">
        <v>7</v>
      </c>
      <c r="C12" s="173" t="s">
        <v>16</v>
      </c>
      <c r="D12" s="173" t="s">
        <v>17</v>
      </c>
      <c r="E12" s="173" t="s">
        <v>18</v>
      </c>
      <c r="F12" s="173" t="s">
        <v>16</v>
      </c>
      <c r="G12" s="87" t="b">
        <v>1</v>
      </c>
      <c r="H12" s="87" t="b">
        <v>0</v>
      </c>
      <c r="I12" s="87" t="b">
        <v>0</v>
      </c>
      <c r="J12" s="173" t="s">
        <v>491</v>
      </c>
      <c r="K12" s="174">
        <v>49791000144</v>
      </c>
      <c r="L12" s="173" t="s">
        <v>743</v>
      </c>
      <c r="M12" s="173" t="s">
        <v>739</v>
      </c>
      <c r="N12" s="173" t="s">
        <v>55</v>
      </c>
      <c r="O12" s="87">
        <v>62</v>
      </c>
      <c r="P12" s="173" t="s">
        <v>27</v>
      </c>
      <c r="Q12" s="1" t="s">
        <v>1343</v>
      </c>
      <c r="R12" s="175">
        <v>4</v>
      </c>
      <c r="S12">
        <v>4</v>
      </c>
    </row>
    <row r="13" spans="1:19" x14ac:dyDescent="0.25">
      <c r="A13" s="87">
        <v>2019</v>
      </c>
      <c r="B13" s="87">
        <v>7</v>
      </c>
      <c r="C13" s="173" t="s">
        <v>16</v>
      </c>
      <c r="D13" s="173" t="s">
        <v>17</v>
      </c>
      <c r="E13" s="173" t="s">
        <v>18</v>
      </c>
      <c r="F13" s="173" t="s">
        <v>16</v>
      </c>
      <c r="G13" s="87" t="b">
        <v>1</v>
      </c>
      <c r="H13" s="87" t="b">
        <v>0</v>
      </c>
      <c r="I13" s="87" t="b">
        <v>0</v>
      </c>
      <c r="J13" s="173" t="s">
        <v>491</v>
      </c>
      <c r="K13" s="174">
        <v>49791000144</v>
      </c>
      <c r="L13" s="173" t="s">
        <v>743</v>
      </c>
      <c r="M13" s="173" t="s">
        <v>739</v>
      </c>
      <c r="N13" s="173" t="s">
        <v>55</v>
      </c>
      <c r="O13" s="87">
        <v>64</v>
      </c>
      <c r="P13" s="173" t="s">
        <v>25</v>
      </c>
      <c r="Q13" s="1" t="s">
        <v>1344</v>
      </c>
      <c r="R13" s="175">
        <v>13</v>
      </c>
      <c r="S13">
        <v>13</v>
      </c>
    </row>
    <row r="14" spans="1:19" x14ac:dyDescent="0.25">
      <c r="A14" s="87">
        <v>2019</v>
      </c>
      <c r="B14" s="87">
        <v>7</v>
      </c>
      <c r="C14" s="173" t="s">
        <v>16</v>
      </c>
      <c r="D14" s="173" t="s">
        <v>17</v>
      </c>
      <c r="E14" s="173" t="s">
        <v>18</v>
      </c>
      <c r="F14" s="173" t="s">
        <v>16</v>
      </c>
      <c r="G14" s="87" t="b">
        <v>1</v>
      </c>
      <c r="H14" s="87" t="b">
        <v>0</v>
      </c>
      <c r="I14" s="87" t="b">
        <v>0</v>
      </c>
      <c r="J14" s="173" t="s">
        <v>453</v>
      </c>
      <c r="K14" s="174">
        <v>83925694404</v>
      </c>
      <c r="L14" s="173" t="s">
        <v>746</v>
      </c>
      <c r="M14" s="173" t="s">
        <v>747</v>
      </c>
      <c r="N14" s="173" t="s">
        <v>56</v>
      </c>
      <c r="O14" s="87">
        <v>66</v>
      </c>
      <c r="P14" s="173" t="s">
        <v>28</v>
      </c>
      <c r="Q14" s="1" t="s">
        <v>1341</v>
      </c>
      <c r="R14" s="175">
        <v>24</v>
      </c>
      <c r="S14">
        <v>24</v>
      </c>
    </row>
    <row r="15" spans="1:19" x14ac:dyDescent="0.25">
      <c r="A15" s="87">
        <v>2019</v>
      </c>
      <c r="B15" s="87">
        <v>7</v>
      </c>
      <c r="C15" s="173" t="s">
        <v>16</v>
      </c>
      <c r="D15" s="173" t="s">
        <v>17</v>
      </c>
      <c r="E15" s="173" t="s">
        <v>18</v>
      </c>
      <c r="F15" s="173" t="s">
        <v>16</v>
      </c>
      <c r="G15" s="87" t="b">
        <v>1</v>
      </c>
      <c r="H15" s="87" t="b">
        <v>0</v>
      </c>
      <c r="I15" s="87" t="b">
        <v>0</v>
      </c>
      <c r="J15" s="173" t="s">
        <v>453</v>
      </c>
      <c r="K15" s="174">
        <v>91777186234</v>
      </c>
      <c r="L15" s="173" t="s">
        <v>1133</v>
      </c>
      <c r="M15" s="173" t="s">
        <v>1129</v>
      </c>
      <c r="N15" s="173" t="s">
        <v>52</v>
      </c>
      <c r="O15" s="87">
        <v>73</v>
      </c>
      <c r="P15" s="173" t="s">
        <v>26</v>
      </c>
      <c r="Q15" s="1" t="s">
        <v>1342</v>
      </c>
      <c r="R15" s="175">
        <v>36</v>
      </c>
      <c r="S15">
        <v>9</v>
      </c>
    </row>
    <row r="16" spans="1:19" x14ac:dyDescent="0.25">
      <c r="A16" s="87">
        <v>2019</v>
      </c>
      <c r="B16" s="87">
        <v>7</v>
      </c>
      <c r="C16" s="173" t="s">
        <v>16</v>
      </c>
      <c r="D16" s="173" t="s">
        <v>17</v>
      </c>
      <c r="E16" s="173" t="s">
        <v>18</v>
      </c>
      <c r="F16" s="173" t="s">
        <v>16</v>
      </c>
      <c r="G16" s="87" t="b">
        <v>1</v>
      </c>
      <c r="H16" s="87" t="b">
        <v>0</v>
      </c>
      <c r="I16" s="87" t="b">
        <v>0</v>
      </c>
      <c r="J16" s="173" t="s">
        <v>478</v>
      </c>
      <c r="K16" s="174">
        <v>132229000180</v>
      </c>
      <c r="L16" s="173" t="s">
        <v>1135</v>
      </c>
      <c r="M16" s="173" t="s">
        <v>58</v>
      </c>
      <c r="N16" s="173" t="s">
        <v>54</v>
      </c>
      <c r="O16" s="87">
        <v>70</v>
      </c>
      <c r="P16" s="173" t="s">
        <v>20</v>
      </c>
      <c r="Q16" s="1" t="s">
        <v>1338</v>
      </c>
      <c r="R16" s="175">
        <v>120</v>
      </c>
      <c r="S16">
        <v>24</v>
      </c>
    </row>
    <row r="17" spans="1:19" x14ac:dyDescent="0.25">
      <c r="A17" s="87">
        <v>2019</v>
      </c>
      <c r="B17" s="87">
        <v>7</v>
      </c>
      <c r="C17" s="173" t="s">
        <v>16</v>
      </c>
      <c r="D17" s="173" t="s">
        <v>17</v>
      </c>
      <c r="E17" s="173" t="s">
        <v>18</v>
      </c>
      <c r="F17" s="173" t="s">
        <v>16</v>
      </c>
      <c r="G17" s="87" t="b">
        <v>1</v>
      </c>
      <c r="H17" s="87" t="b">
        <v>0</v>
      </c>
      <c r="I17" s="87" t="b">
        <v>0</v>
      </c>
      <c r="J17" s="173" t="s">
        <v>470</v>
      </c>
      <c r="K17" s="174">
        <v>304148000110</v>
      </c>
      <c r="L17" s="173" t="s">
        <v>932</v>
      </c>
      <c r="M17" s="173" t="s">
        <v>933</v>
      </c>
      <c r="N17" s="173" t="s">
        <v>57</v>
      </c>
      <c r="O17" s="87">
        <v>73</v>
      </c>
      <c r="P17" s="173" t="s">
        <v>26</v>
      </c>
      <c r="Q17" s="1" t="s">
        <v>1342</v>
      </c>
      <c r="R17" s="175">
        <v>48</v>
      </c>
      <c r="S17">
        <v>12</v>
      </c>
    </row>
    <row r="18" spans="1:19" x14ac:dyDescent="0.25">
      <c r="A18" s="87">
        <v>2019</v>
      </c>
      <c r="B18" s="87">
        <v>7</v>
      </c>
      <c r="C18" s="173" t="s">
        <v>16</v>
      </c>
      <c r="D18" s="173" t="s">
        <v>17</v>
      </c>
      <c r="E18" s="173" t="s">
        <v>18</v>
      </c>
      <c r="F18" s="173" t="s">
        <v>16</v>
      </c>
      <c r="G18" s="87" t="b">
        <v>1</v>
      </c>
      <c r="H18" s="87" t="b">
        <v>0</v>
      </c>
      <c r="I18" s="87" t="b">
        <v>0</v>
      </c>
      <c r="J18" s="173" t="s">
        <v>1330</v>
      </c>
      <c r="K18" s="174">
        <v>394544020291</v>
      </c>
      <c r="L18" s="173" t="s">
        <v>1072</v>
      </c>
      <c r="M18" s="173" t="s">
        <v>131</v>
      </c>
      <c r="N18" s="173" t="s">
        <v>61</v>
      </c>
      <c r="O18" s="87">
        <v>64</v>
      </c>
      <c r="P18" s="173" t="s">
        <v>25</v>
      </c>
      <c r="Q18" s="1" t="s">
        <v>1344</v>
      </c>
      <c r="R18" s="175">
        <v>60</v>
      </c>
      <c r="S18">
        <v>60</v>
      </c>
    </row>
    <row r="19" spans="1:19" x14ac:dyDescent="0.25">
      <c r="A19" s="87">
        <v>2019</v>
      </c>
      <c r="B19" s="87">
        <v>7</v>
      </c>
      <c r="C19" s="173" t="s">
        <v>16</v>
      </c>
      <c r="D19" s="173" t="s">
        <v>17</v>
      </c>
      <c r="E19" s="173" t="s">
        <v>18</v>
      </c>
      <c r="F19" s="173" t="s">
        <v>16</v>
      </c>
      <c r="G19" s="87" t="b">
        <v>1</v>
      </c>
      <c r="H19" s="87" t="b">
        <v>0</v>
      </c>
      <c r="I19" s="87" t="b">
        <v>0</v>
      </c>
      <c r="J19" s="173" t="s">
        <v>1330</v>
      </c>
      <c r="K19" s="174">
        <v>394544020372</v>
      </c>
      <c r="L19" s="173" t="s">
        <v>1073</v>
      </c>
      <c r="M19" s="173" t="s">
        <v>131</v>
      </c>
      <c r="N19" s="173" t="s">
        <v>61</v>
      </c>
      <c r="O19" s="87">
        <v>70</v>
      </c>
      <c r="P19" s="173" t="s">
        <v>20</v>
      </c>
      <c r="Q19" s="1" t="s">
        <v>1338</v>
      </c>
      <c r="R19" s="175">
        <v>390</v>
      </c>
      <c r="S19">
        <v>78</v>
      </c>
    </row>
    <row r="20" spans="1:19" x14ac:dyDescent="0.25">
      <c r="A20" s="87">
        <v>2019</v>
      </c>
      <c r="B20" s="87">
        <v>7</v>
      </c>
      <c r="C20" s="173" t="s">
        <v>16</v>
      </c>
      <c r="D20" s="173" t="s">
        <v>17</v>
      </c>
      <c r="E20" s="173" t="s">
        <v>18</v>
      </c>
      <c r="F20" s="173" t="s">
        <v>16</v>
      </c>
      <c r="G20" s="87" t="b">
        <v>1</v>
      </c>
      <c r="H20" s="87" t="b">
        <v>0</v>
      </c>
      <c r="I20" s="87" t="b">
        <v>0</v>
      </c>
      <c r="J20" s="173" t="s">
        <v>1330</v>
      </c>
      <c r="K20" s="174">
        <v>394544020453</v>
      </c>
      <c r="L20" s="173" t="s">
        <v>1074</v>
      </c>
      <c r="M20" s="173" t="s">
        <v>131</v>
      </c>
      <c r="N20" s="173" t="s">
        <v>61</v>
      </c>
      <c r="O20" s="87">
        <v>70</v>
      </c>
      <c r="P20" s="173" t="s">
        <v>20</v>
      </c>
      <c r="Q20" s="1" t="s">
        <v>1338</v>
      </c>
      <c r="R20" s="175">
        <v>600</v>
      </c>
      <c r="S20">
        <v>120</v>
      </c>
    </row>
    <row r="21" spans="1:19" x14ac:dyDescent="0.25">
      <c r="A21" s="87">
        <v>2019</v>
      </c>
      <c r="B21" s="87">
        <v>7</v>
      </c>
      <c r="C21" s="173" t="s">
        <v>16</v>
      </c>
      <c r="D21" s="173" t="s">
        <v>17</v>
      </c>
      <c r="E21" s="173" t="s">
        <v>18</v>
      </c>
      <c r="F21" s="173" t="s">
        <v>16</v>
      </c>
      <c r="G21" s="87" t="b">
        <v>1</v>
      </c>
      <c r="H21" s="87" t="b">
        <v>0</v>
      </c>
      <c r="I21" s="87" t="b">
        <v>0</v>
      </c>
      <c r="J21" s="173" t="s">
        <v>1330</v>
      </c>
      <c r="K21" s="174">
        <v>394544021000</v>
      </c>
      <c r="L21" s="173" t="s">
        <v>1075</v>
      </c>
      <c r="M21" s="173" t="s">
        <v>131</v>
      </c>
      <c r="N21" s="173" t="s">
        <v>61</v>
      </c>
      <c r="O21" s="87">
        <v>70</v>
      </c>
      <c r="P21" s="173" t="s">
        <v>20</v>
      </c>
      <c r="Q21" s="1" t="s">
        <v>1338</v>
      </c>
      <c r="R21" s="175">
        <v>150</v>
      </c>
      <c r="S21">
        <v>30</v>
      </c>
    </row>
    <row r="22" spans="1:19" x14ac:dyDescent="0.25">
      <c r="A22" s="87">
        <v>2019</v>
      </c>
      <c r="B22" s="87">
        <v>7</v>
      </c>
      <c r="C22" s="173" t="s">
        <v>16</v>
      </c>
      <c r="D22" s="173" t="s">
        <v>17</v>
      </c>
      <c r="E22" s="173" t="s">
        <v>18</v>
      </c>
      <c r="F22" s="173" t="s">
        <v>16</v>
      </c>
      <c r="G22" s="87" t="b">
        <v>1</v>
      </c>
      <c r="H22" s="87" t="b">
        <v>0</v>
      </c>
      <c r="I22" s="87" t="b">
        <v>0</v>
      </c>
      <c r="J22" s="173" t="s">
        <v>1330</v>
      </c>
      <c r="K22" s="174">
        <v>394544021344</v>
      </c>
      <c r="L22" s="173" t="s">
        <v>1076</v>
      </c>
      <c r="M22" s="173" t="s">
        <v>131</v>
      </c>
      <c r="N22" s="173" t="s">
        <v>61</v>
      </c>
      <c r="O22" s="87">
        <v>62</v>
      </c>
      <c r="P22" s="173" t="s">
        <v>27</v>
      </c>
      <c r="Q22" s="1" t="s">
        <v>1343</v>
      </c>
      <c r="R22" s="175">
        <v>190</v>
      </c>
      <c r="S22">
        <v>190</v>
      </c>
    </row>
    <row r="23" spans="1:19" x14ac:dyDescent="0.25">
      <c r="A23" s="87">
        <v>2019</v>
      </c>
      <c r="B23" s="87">
        <v>7</v>
      </c>
      <c r="C23" s="173" t="s">
        <v>16</v>
      </c>
      <c r="D23" s="173" t="s">
        <v>17</v>
      </c>
      <c r="E23" s="173" t="s">
        <v>18</v>
      </c>
      <c r="F23" s="173" t="s">
        <v>16</v>
      </c>
      <c r="G23" s="87" t="b">
        <v>1</v>
      </c>
      <c r="H23" s="87" t="b">
        <v>0</v>
      </c>
      <c r="I23" s="87" t="b">
        <v>0</v>
      </c>
      <c r="J23" s="173" t="s">
        <v>1330</v>
      </c>
      <c r="K23" s="174">
        <v>394544021344</v>
      </c>
      <c r="L23" s="173" t="s">
        <v>1076</v>
      </c>
      <c r="M23" s="173" t="s">
        <v>131</v>
      </c>
      <c r="N23" s="173" t="s">
        <v>61</v>
      </c>
      <c r="O23" s="87">
        <v>64</v>
      </c>
      <c r="P23" s="173" t="s">
        <v>25</v>
      </c>
      <c r="Q23" s="1" t="s">
        <v>1344</v>
      </c>
      <c r="R23" s="175">
        <v>70</v>
      </c>
      <c r="S23">
        <v>70</v>
      </c>
    </row>
    <row r="24" spans="1:19" x14ac:dyDescent="0.25">
      <c r="A24" s="87">
        <v>2019</v>
      </c>
      <c r="B24" s="87">
        <v>7</v>
      </c>
      <c r="C24" s="173" t="s">
        <v>16</v>
      </c>
      <c r="D24" s="173" t="s">
        <v>17</v>
      </c>
      <c r="E24" s="173" t="s">
        <v>18</v>
      </c>
      <c r="F24" s="173" t="s">
        <v>16</v>
      </c>
      <c r="G24" s="87" t="b">
        <v>1</v>
      </c>
      <c r="H24" s="87" t="b">
        <v>0</v>
      </c>
      <c r="I24" s="87" t="b">
        <v>0</v>
      </c>
      <c r="J24" s="173" t="s">
        <v>463</v>
      </c>
      <c r="K24" s="174">
        <v>410960000120</v>
      </c>
      <c r="L24" s="173" t="s">
        <v>1137</v>
      </c>
      <c r="M24" s="173" t="s">
        <v>58</v>
      </c>
      <c r="N24" s="173" t="s">
        <v>54</v>
      </c>
      <c r="O24" s="87">
        <v>70</v>
      </c>
      <c r="P24" s="173" t="s">
        <v>20</v>
      </c>
      <c r="Q24" s="1" t="s">
        <v>1345</v>
      </c>
      <c r="R24" s="175">
        <v>150</v>
      </c>
      <c r="S24">
        <v>15</v>
      </c>
    </row>
    <row r="25" spans="1:19" x14ac:dyDescent="0.25">
      <c r="A25" s="87">
        <v>2019</v>
      </c>
      <c r="B25" s="87">
        <v>7</v>
      </c>
      <c r="C25" s="173" t="s">
        <v>16</v>
      </c>
      <c r="D25" s="173" t="s">
        <v>17</v>
      </c>
      <c r="E25" s="173" t="s">
        <v>18</v>
      </c>
      <c r="F25" s="173" t="s">
        <v>16</v>
      </c>
      <c r="G25" s="87" t="b">
        <v>1</v>
      </c>
      <c r="H25" s="87" t="b">
        <v>0</v>
      </c>
      <c r="I25" s="87" t="b">
        <v>0</v>
      </c>
      <c r="J25" s="173" t="s">
        <v>463</v>
      </c>
      <c r="K25" s="174">
        <v>410960000120</v>
      </c>
      <c r="L25" s="173" t="s">
        <v>1137</v>
      </c>
      <c r="M25" s="173" t="s">
        <v>58</v>
      </c>
      <c r="N25" s="173" t="s">
        <v>54</v>
      </c>
      <c r="O25" s="87">
        <v>70</v>
      </c>
      <c r="P25" s="173" t="s">
        <v>20</v>
      </c>
      <c r="Q25" s="1" t="s">
        <v>1338</v>
      </c>
      <c r="R25" s="175">
        <v>75</v>
      </c>
      <c r="S25">
        <v>15</v>
      </c>
    </row>
    <row r="26" spans="1:19" x14ac:dyDescent="0.25">
      <c r="A26" s="87">
        <v>2019</v>
      </c>
      <c r="B26" s="87">
        <v>7</v>
      </c>
      <c r="C26" s="173" t="s">
        <v>16</v>
      </c>
      <c r="D26" s="173" t="s">
        <v>17</v>
      </c>
      <c r="E26" s="173" t="s">
        <v>18</v>
      </c>
      <c r="F26" s="173" t="s">
        <v>16</v>
      </c>
      <c r="G26" s="87" t="b">
        <v>1</v>
      </c>
      <c r="H26" s="87" t="b">
        <v>0</v>
      </c>
      <c r="I26" s="87" t="b">
        <v>0</v>
      </c>
      <c r="J26" s="173" t="s">
        <v>451</v>
      </c>
      <c r="K26" s="174">
        <v>410960000120</v>
      </c>
      <c r="L26" s="173" t="s">
        <v>1137</v>
      </c>
      <c r="M26" s="173" t="s">
        <v>58</v>
      </c>
      <c r="N26" s="173" t="s">
        <v>54</v>
      </c>
      <c r="O26" s="87">
        <v>70</v>
      </c>
      <c r="P26" s="173" t="s">
        <v>20</v>
      </c>
      <c r="Q26" s="1" t="s">
        <v>1345</v>
      </c>
      <c r="R26" s="175">
        <v>260</v>
      </c>
      <c r="S26">
        <v>26</v>
      </c>
    </row>
    <row r="27" spans="1:19" x14ac:dyDescent="0.25">
      <c r="A27" s="87">
        <v>2019</v>
      </c>
      <c r="B27" s="87">
        <v>7</v>
      </c>
      <c r="C27" s="173" t="s">
        <v>16</v>
      </c>
      <c r="D27" s="173" t="s">
        <v>17</v>
      </c>
      <c r="E27" s="173" t="s">
        <v>18</v>
      </c>
      <c r="F27" s="173" t="s">
        <v>16</v>
      </c>
      <c r="G27" s="87" t="b">
        <v>1</v>
      </c>
      <c r="H27" s="87" t="b">
        <v>0</v>
      </c>
      <c r="I27" s="87" t="b">
        <v>0</v>
      </c>
      <c r="J27" s="173" t="s">
        <v>451</v>
      </c>
      <c r="K27" s="174">
        <v>410960000120</v>
      </c>
      <c r="L27" s="173" t="s">
        <v>1137</v>
      </c>
      <c r="M27" s="173" t="s">
        <v>58</v>
      </c>
      <c r="N27" s="173" t="s">
        <v>54</v>
      </c>
      <c r="O27" s="87">
        <v>70</v>
      </c>
      <c r="P27" s="173" t="s">
        <v>20</v>
      </c>
      <c r="Q27" s="1" t="s">
        <v>1346</v>
      </c>
      <c r="R27" s="175">
        <v>2.5</v>
      </c>
      <c r="S27">
        <v>1</v>
      </c>
    </row>
    <row r="28" spans="1:19" x14ac:dyDescent="0.25">
      <c r="A28" s="87">
        <v>2019</v>
      </c>
      <c r="B28" s="87">
        <v>7</v>
      </c>
      <c r="C28" s="173" t="s">
        <v>16</v>
      </c>
      <c r="D28" s="173" t="s">
        <v>17</v>
      </c>
      <c r="E28" s="173" t="s">
        <v>18</v>
      </c>
      <c r="F28" s="173" t="s">
        <v>16</v>
      </c>
      <c r="G28" s="87" t="b">
        <v>1</v>
      </c>
      <c r="H28" s="87" t="b">
        <v>0</v>
      </c>
      <c r="I28" s="87" t="b">
        <v>0</v>
      </c>
      <c r="J28" s="173" t="s">
        <v>451</v>
      </c>
      <c r="K28" s="174">
        <v>410960000120</v>
      </c>
      <c r="L28" s="173" t="s">
        <v>1137</v>
      </c>
      <c r="M28" s="173" t="s">
        <v>58</v>
      </c>
      <c r="N28" s="173" t="s">
        <v>54</v>
      </c>
      <c r="O28" s="87">
        <v>70</v>
      </c>
      <c r="P28" s="173" t="s">
        <v>20</v>
      </c>
      <c r="Q28" s="1" t="s">
        <v>1338</v>
      </c>
      <c r="R28" s="175">
        <v>395</v>
      </c>
      <c r="S28">
        <v>79</v>
      </c>
    </row>
    <row r="29" spans="1:19" x14ac:dyDescent="0.25">
      <c r="A29" s="87">
        <v>2019</v>
      </c>
      <c r="B29" s="87">
        <v>7</v>
      </c>
      <c r="C29" s="173" t="s">
        <v>16</v>
      </c>
      <c r="D29" s="173" t="s">
        <v>17</v>
      </c>
      <c r="E29" s="173" t="s">
        <v>18</v>
      </c>
      <c r="F29" s="173" t="s">
        <v>16</v>
      </c>
      <c r="G29" s="87" t="b">
        <v>1</v>
      </c>
      <c r="H29" s="87" t="b">
        <v>0</v>
      </c>
      <c r="I29" s="87" t="b">
        <v>0</v>
      </c>
      <c r="J29" s="173" t="s">
        <v>451</v>
      </c>
      <c r="K29" s="174">
        <v>410960000120</v>
      </c>
      <c r="L29" s="173" t="s">
        <v>1137</v>
      </c>
      <c r="M29" s="173" t="s">
        <v>58</v>
      </c>
      <c r="N29" s="173" t="s">
        <v>54</v>
      </c>
      <c r="O29" s="87">
        <v>73</v>
      </c>
      <c r="P29" s="173" t="s">
        <v>26</v>
      </c>
      <c r="Q29" s="1" t="s">
        <v>1342</v>
      </c>
      <c r="R29" s="175">
        <v>32</v>
      </c>
      <c r="S29">
        <v>8</v>
      </c>
    </row>
    <row r="30" spans="1:19" x14ac:dyDescent="0.25">
      <c r="A30" s="87">
        <v>2019</v>
      </c>
      <c r="B30" s="87">
        <v>7</v>
      </c>
      <c r="C30" s="173" t="s">
        <v>16</v>
      </c>
      <c r="D30" s="173" t="s">
        <v>17</v>
      </c>
      <c r="E30" s="173" t="s">
        <v>18</v>
      </c>
      <c r="F30" s="173" t="s">
        <v>16</v>
      </c>
      <c r="G30" s="87" t="b">
        <v>1</v>
      </c>
      <c r="H30" s="87" t="b">
        <v>0</v>
      </c>
      <c r="I30" s="87" t="b">
        <v>0</v>
      </c>
      <c r="J30" s="173" t="s">
        <v>451</v>
      </c>
      <c r="K30" s="174">
        <v>410960000120</v>
      </c>
      <c r="L30" s="173" t="s">
        <v>1137</v>
      </c>
      <c r="M30" s="173" t="s">
        <v>58</v>
      </c>
      <c r="N30" s="173" t="s">
        <v>54</v>
      </c>
      <c r="O30" s="87">
        <v>73</v>
      </c>
      <c r="P30" s="173" t="s">
        <v>26</v>
      </c>
      <c r="Q30" s="1" t="s">
        <v>1340</v>
      </c>
      <c r="R30" s="175">
        <v>4</v>
      </c>
      <c r="S30">
        <v>4</v>
      </c>
    </row>
    <row r="31" spans="1:19" x14ac:dyDescent="0.25">
      <c r="A31" s="87">
        <v>2019</v>
      </c>
      <c r="B31" s="87">
        <v>7</v>
      </c>
      <c r="C31" s="173" t="s">
        <v>16</v>
      </c>
      <c r="D31" s="173" t="s">
        <v>17</v>
      </c>
      <c r="E31" s="173" t="s">
        <v>18</v>
      </c>
      <c r="F31" s="173" t="s">
        <v>16</v>
      </c>
      <c r="G31" s="87" t="b">
        <v>1</v>
      </c>
      <c r="H31" s="87" t="b">
        <v>0</v>
      </c>
      <c r="I31" s="87" t="b">
        <v>0</v>
      </c>
      <c r="J31" s="173" t="s">
        <v>468</v>
      </c>
      <c r="K31" s="174">
        <v>418954000119</v>
      </c>
      <c r="L31" s="173" t="s">
        <v>751</v>
      </c>
      <c r="M31" s="173" t="s">
        <v>745</v>
      </c>
      <c r="N31" s="173" t="s">
        <v>59</v>
      </c>
      <c r="O31" s="87">
        <v>64</v>
      </c>
      <c r="P31" s="173" t="s">
        <v>25</v>
      </c>
      <c r="Q31" s="1" t="s">
        <v>1344</v>
      </c>
      <c r="R31" s="175">
        <v>10</v>
      </c>
      <c r="S31">
        <v>10</v>
      </c>
    </row>
    <row r="32" spans="1:19" x14ac:dyDescent="0.25">
      <c r="A32" s="87">
        <v>2019</v>
      </c>
      <c r="B32" s="87">
        <v>7</v>
      </c>
      <c r="C32" s="173" t="s">
        <v>16</v>
      </c>
      <c r="D32" s="173" t="s">
        <v>17</v>
      </c>
      <c r="E32" s="173" t="s">
        <v>18</v>
      </c>
      <c r="F32" s="173" t="s">
        <v>16</v>
      </c>
      <c r="G32" s="87" t="b">
        <v>1</v>
      </c>
      <c r="H32" s="87" t="b">
        <v>0</v>
      </c>
      <c r="I32" s="87" t="b">
        <v>0</v>
      </c>
      <c r="J32" s="173" t="s">
        <v>460</v>
      </c>
      <c r="K32" s="174">
        <v>437007000175</v>
      </c>
      <c r="L32" s="173" t="s">
        <v>1038</v>
      </c>
      <c r="M32" s="173" t="s">
        <v>1039</v>
      </c>
      <c r="N32" s="173" t="s">
        <v>61</v>
      </c>
      <c r="O32" s="87">
        <v>70</v>
      </c>
      <c r="P32" s="173" t="s">
        <v>20</v>
      </c>
      <c r="Q32" s="1" t="s">
        <v>1338</v>
      </c>
      <c r="R32" s="175">
        <v>25</v>
      </c>
      <c r="S32">
        <v>5</v>
      </c>
    </row>
    <row r="33" spans="1:19" x14ac:dyDescent="0.25">
      <c r="A33" s="87">
        <v>2019</v>
      </c>
      <c r="B33" s="87">
        <v>7</v>
      </c>
      <c r="C33" s="173" t="s">
        <v>16</v>
      </c>
      <c r="D33" s="173" t="s">
        <v>17</v>
      </c>
      <c r="E33" s="173" t="s">
        <v>18</v>
      </c>
      <c r="F33" s="173" t="s">
        <v>16</v>
      </c>
      <c r="G33" s="87" t="b">
        <v>1</v>
      </c>
      <c r="H33" s="87" t="b">
        <v>0</v>
      </c>
      <c r="I33" s="87" t="b">
        <v>0</v>
      </c>
      <c r="J33" s="173" t="s">
        <v>477</v>
      </c>
      <c r="K33" s="174">
        <v>437007000175</v>
      </c>
      <c r="L33" s="173" t="s">
        <v>1038</v>
      </c>
      <c r="M33" s="173" t="s">
        <v>1039</v>
      </c>
      <c r="N33" s="173" t="s">
        <v>61</v>
      </c>
      <c r="O33" s="87">
        <v>70</v>
      </c>
      <c r="P33" s="173" t="s">
        <v>20</v>
      </c>
      <c r="Q33" s="1" t="s">
        <v>1338</v>
      </c>
      <c r="R33" s="175">
        <v>270</v>
      </c>
      <c r="S33">
        <v>54</v>
      </c>
    </row>
    <row r="34" spans="1:19" x14ac:dyDescent="0.25">
      <c r="A34" s="87">
        <v>2019</v>
      </c>
      <c r="B34" s="87">
        <v>7</v>
      </c>
      <c r="C34" s="173" t="s">
        <v>16</v>
      </c>
      <c r="D34" s="173" t="s">
        <v>17</v>
      </c>
      <c r="E34" s="173" t="s">
        <v>18</v>
      </c>
      <c r="F34" s="173" t="s">
        <v>16</v>
      </c>
      <c r="G34" s="87" t="b">
        <v>1</v>
      </c>
      <c r="H34" s="87" t="b">
        <v>0</v>
      </c>
      <c r="I34" s="87" t="b">
        <v>0</v>
      </c>
      <c r="J34" s="173" t="s">
        <v>451</v>
      </c>
      <c r="K34" s="174">
        <v>437007000175</v>
      </c>
      <c r="L34" s="173" t="s">
        <v>1038</v>
      </c>
      <c r="M34" s="173" t="s">
        <v>1039</v>
      </c>
      <c r="N34" s="173" t="s">
        <v>61</v>
      </c>
      <c r="O34" s="87">
        <v>70</v>
      </c>
      <c r="P34" s="173" t="s">
        <v>20</v>
      </c>
      <c r="Q34" s="1" t="s">
        <v>1346</v>
      </c>
      <c r="R34" s="175">
        <v>5</v>
      </c>
      <c r="S34">
        <v>2</v>
      </c>
    </row>
    <row r="35" spans="1:19" x14ac:dyDescent="0.25">
      <c r="A35" s="87">
        <v>2019</v>
      </c>
      <c r="B35" s="87">
        <v>7</v>
      </c>
      <c r="C35" s="173" t="s">
        <v>16</v>
      </c>
      <c r="D35" s="173" t="s">
        <v>17</v>
      </c>
      <c r="E35" s="173" t="s">
        <v>18</v>
      </c>
      <c r="F35" s="173" t="s">
        <v>16</v>
      </c>
      <c r="G35" s="87" t="b">
        <v>1</v>
      </c>
      <c r="H35" s="87" t="b">
        <v>0</v>
      </c>
      <c r="I35" s="87" t="b">
        <v>0</v>
      </c>
      <c r="J35" s="173" t="s">
        <v>1512</v>
      </c>
      <c r="K35" s="174">
        <v>437007000175</v>
      </c>
      <c r="L35" s="173" t="s">
        <v>1038</v>
      </c>
      <c r="M35" s="173" t="s">
        <v>1039</v>
      </c>
      <c r="N35" s="173" t="s">
        <v>61</v>
      </c>
      <c r="O35" s="87">
        <v>70</v>
      </c>
      <c r="P35" s="173" t="s">
        <v>20</v>
      </c>
      <c r="Q35" s="1" t="s">
        <v>1338</v>
      </c>
      <c r="R35" s="175">
        <v>120</v>
      </c>
      <c r="S35">
        <v>24</v>
      </c>
    </row>
    <row r="36" spans="1:19" x14ac:dyDescent="0.25">
      <c r="A36" s="87">
        <v>2019</v>
      </c>
      <c r="B36" s="87">
        <v>7</v>
      </c>
      <c r="C36" s="173" t="s">
        <v>16</v>
      </c>
      <c r="D36" s="173" t="s">
        <v>17</v>
      </c>
      <c r="E36" s="173" t="s">
        <v>18</v>
      </c>
      <c r="F36" s="173" t="s">
        <v>16</v>
      </c>
      <c r="G36" s="87" t="b">
        <v>1</v>
      </c>
      <c r="H36" s="87" t="b">
        <v>0</v>
      </c>
      <c r="I36" s="87" t="b">
        <v>0</v>
      </c>
      <c r="J36" s="173" t="s">
        <v>464</v>
      </c>
      <c r="K36" s="174">
        <v>437007000175</v>
      </c>
      <c r="L36" s="173" t="s">
        <v>1038</v>
      </c>
      <c r="M36" s="173" t="s">
        <v>1039</v>
      </c>
      <c r="N36" s="173" t="s">
        <v>61</v>
      </c>
      <c r="O36" s="87">
        <v>73</v>
      </c>
      <c r="P36" s="173" t="s">
        <v>26</v>
      </c>
      <c r="Q36" s="1" t="s">
        <v>1340</v>
      </c>
      <c r="R36" s="175">
        <v>-30</v>
      </c>
      <c r="S36">
        <v>-30</v>
      </c>
    </row>
    <row r="37" spans="1:19" x14ac:dyDescent="0.25">
      <c r="A37" s="87">
        <v>2019</v>
      </c>
      <c r="B37" s="87">
        <v>7</v>
      </c>
      <c r="C37" s="173" t="s">
        <v>16</v>
      </c>
      <c r="D37" s="173" t="s">
        <v>17</v>
      </c>
      <c r="E37" s="173" t="s">
        <v>18</v>
      </c>
      <c r="F37" s="173" t="s">
        <v>16</v>
      </c>
      <c r="G37" s="87" t="b">
        <v>1</v>
      </c>
      <c r="H37" s="87" t="b">
        <v>0</v>
      </c>
      <c r="I37" s="87" t="b">
        <v>0</v>
      </c>
      <c r="J37" s="173" t="s">
        <v>477</v>
      </c>
      <c r="K37" s="174">
        <v>437007000175</v>
      </c>
      <c r="L37" s="173" t="s">
        <v>1038</v>
      </c>
      <c r="M37" s="173" t="s">
        <v>1039</v>
      </c>
      <c r="N37" s="173" t="s">
        <v>61</v>
      </c>
      <c r="O37" s="87">
        <v>73</v>
      </c>
      <c r="P37" s="173" t="s">
        <v>26</v>
      </c>
      <c r="Q37" s="1" t="s">
        <v>1342</v>
      </c>
      <c r="R37" s="175">
        <v>228</v>
      </c>
      <c r="S37">
        <v>57</v>
      </c>
    </row>
    <row r="38" spans="1:19" x14ac:dyDescent="0.25">
      <c r="A38" s="87">
        <v>2019</v>
      </c>
      <c r="B38" s="87">
        <v>7</v>
      </c>
      <c r="C38" s="173" t="s">
        <v>16</v>
      </c>
      <c r="D38" s="173" t="s">
        <v>17</v>
      </c>
      <c r="E38" s="173" t="s">
        <v>18</v>
      </c>
      <c r="F38" s="173" t="s">
        <v>16</v>
      </c>
      <c r="G38" s="87" t="b">
        <v>1</v>
      </c>
      <c r="H38" s="87" t="b">
        <v>0</v>
      </c>
      <c r="I38" s="87" t="b">
        <v>0</v>
      </c>
      <c r="J38" s="173" t="s">
        <v>1512</v>
      </c>
      <c r="K38" s="174">
        <v>437007000175</v>
      </c>
      <c r="L38" s="173" t="s">
        <v>1038</v>
      </c>
      <c r="M38" s="173" t="s">
        <v>1039</v>
      </c>
      <c r="N38" s="173" t="s">
        <v>61</v>
      </c>
      <c r="O38" s="87">
        <v>73</v>
      </c>
      <c r="P38" s="173" t="s">
        <v>26</v>
      </c>
      <c r="Q38" s="1" t="s">
        <v>1342</v>
      </c>
      <c r="R38" s="175">
        <v>160</v>
      </c>
      <c r="S38">
        <v>40</v>
      </c>
    </row>
    <row r="39" spans="1:19" x14ac:dyDescent="0.25">
      <c r="A39" s="87">
        <v>2019</v>
      </c>
      <c r="B39" s="87">
        <v>7</v>
      </c>
      <c r="C39" s="173" t="s">
        <v>16</v>
      </c>
      <c r="D39" s="173" t="s">
        <v>17</v>
      </c>
      <c r="E39" s="173" t="s">
        <v>18</v>
      </c>
      <c r="F39" s="173" t="s">
        <v>16</v>
      </c>
      <c r="G39" s="87" t="b">
        <v>1</v>
      </c>
      <c r="H39" s="87" t="b">
        <v>0</v>
      </c>
      <c r="I39" s="87" t="b">
        <v>0</v>
      </c>
      <c r="J39" s="173" t="s">
        <v>470</v>
      </c>
      <c r="K39" s="174">
        <v>461479001992</v>
      </c>
      <c r="L39" s="173" t="s">
        <v>559</v>
      </c>
      <c r="M39" s="173" t="s">
        <v>29</v>
      </c>
      <c r="N39" s="173" t="s">
        <v>19</v>
      </c>
      <c r="O39" s="87">
        <v>64</v>
      </c>
      <c r="P39" s="173" t="s">
        <v>25</v>
      </c>
      <c r="Q39" s="1" t="s">
        <v>1344</v>
      </c>
      <c r="R39" s="175">
        <v>6</v>
      </c>
      <c r="S39">
        <v>6</v>
      </c>
    </row>
    <row r="40" spans="1:19" x14ac:dyDescent="0.25">
      <c r="A40" s="87">
        <v>2019</v>
      </c>
      <c r="B40" s="87">
        <v>7</v>
      </c>
      <c r="C40" s="173" t="s">
        <v>16</v>
      </c>
      <c r="D40" s="173" t="s">
        <v>17</v>
      </c>
      <c r="E40" s="173" t="s">
        <v>18</v>
      </c>
      <c r="F40" s="173" t="s">
        <v>16</v>
      </c>
      <c r="G40" s="87" t="b">
        <v>1</v>
      </c>
      <c r="H40" s="87" t="b">
        <v>0</v>
      </c>
      <c r="I40" s="87" t="b">
        <v>0</v>
      </c>
      <c r="J40" s="173" t="s">
        <v>451</v>
      </c>
      <c r="K40" s="174">
        <v>461479004584</v>
      </c>
      <c r="L40" s="173" t="s">
        <v>560</v>
      </c>
      <c r="M40" s="173" t="s">
        <v>29</v>
      </c>
      <c r="N40" s="173" t="s">
        <v>19</v>
      </c>
      <c r="O40" s="87">
        <v>70</v>
      </c>
      <c r="P40" s="173" t="s">
        <v>20</v>
      </c>
      <c r="Q40" s="1" t="s">
        <v>1346</v>
      </c>
      <c r="R40" s="175">
        <v>225</v>
      </c>
      <c r="S40">
        <v>90</v>
      </c>
    </row>
    <row r="41" spans="1:19" x14ac:dyDescent="0.25">
      <c r="A41" s="87">
        <v>2019</v>
      </c>
      <c r="B41" s="87">
        <v>7</v>
      </c>
      <c r="C41" s="173" t="s">
        <v>16</v>
      </c>
      <c r="D41" s="173" t="s">
        <v>17</v>
      </c>
      <c r="E41" s="173" t="s">
        <v>18</v>
      </c>
      <c r="F41" s="173" t="s">
        <v>16</v>
      </c>
      <c r="G41" s="87" t="b">
        <v>1</v>
      </c>
      <c r="H41" s="87" t="b">
        <v>0</v>
      </c>
      <c r="I41" s="87" t="b">
        <v>0</v>
      </c>
      <c r="J41" s="173" t="s">
        <v>455</v>
      </c>
      <c r="K41" s="174">
        <v>511816000180</v>
      </c>
      <c r="L41" s="173" t="s">
        <v>754</v>
      </c>
      <c r="M41" s="173" t="s">
        <v>739</v>
      </c>
      <c r="N41" s="173" t="s">
        <v>55</v>
      </c>
      <c r="O41" s="87">
        <v>64</v>
      </c>
      <c r="P41" s="173" t="s">
        <v>25</v>
      </c>
      <c r="Q41" s="1" t="s">
        <v>1344</v>
      </c>
      <c r="R41" s="175">
        <v>8</v>
      </c>
      <c r="S41">
        <v>8</v>
      </c>
    </row>
    <row r="42" spans="1:19" x14ac:dyDescent="0.25">
      <c r="A42" s="87">
        <v>2019</v>
      </c>
      <c r="B42" s="87">
        <v>7</v>
      </c>
      <c r="C42" s="173" t="s">
        <v>16</v>
      </c>
      <c r="D42" s="173" t="s">
        <v>17</v>
      </c>
      <c r="E42" s="173" t="s">
        <v>18</v>
      </c>
      <c r="F42" s="173" t="s">
        <v>16</v>
      </c>
      <c r="G42" s="87" t="b">
        <v>1</v>
      </c>
      <c r="H42" s="87" t="b">
        <v>0</v>
      </c>
      <c r="I42" s="87" t="b">
        <v>0</v>
      </c>
      <c r="J42" s="173" t="s">
        <v>468</v>
      </c>
      <c r="K42" s="174">
        <v>520237000101</v>
      </c>
      <c r="L42" s="173" t="s">
        <v>755</v>
      </c>
      <c r="M42" s="173" t="s">
        <v>739</v>
      </c>
      <c r="N42" s="173" t="s">
        <v>55</v>
      </c>
      <c r="O42" s="87">
        <v>70</v>
      </c>
      <c r="P42" s="173" t="s">
        <v>20</v>
      </c>
      <c r="Q42" s="1" t="s">
        <v>1338</v>
      </c>
      <c r="R42" s="175">
        <v>35</v>
      </c>
      <c r="S42">
        <v>7</v>
      </c>
    </row>
    <row r="43" spans="1:19" x14ac:dyDescent="0.25">
      <c r="A43" s="87">
        <v>2019</v>
      </c>
      <c r="B43" s="87">
        <v>7</v>
      </c>
      <c r="C43" s="173" t="s">
        <v>16</v>
      </c>
      <c r="D43" s="173" t="s">
        <v>17</v>
      </c>
      <c r="E43" s="173" t="s">
        <v>18</v>
      </c>
      <c r="F43" s="173" t="s">
        <v>16</v>
      </c>
      <c r="G43" s="87" t="b">
        <v>1</v>
      </c>
      <c r="H43" s="87" t="b">
        <v>0</v>
      </c>
      <c r="I43" s="87" t="b">
        <v>0</v>
      </c>
      <c r="J43" s="173" t="s">
        <v>468</v>
      </c>
      <c r="K43" s="174">
        <v>520237000101</v>
      </c>
      <c r="L43" s="173" t="s">
        <v>755</v>
      </c>
      <c r="M43" s="173" t="s">
        <v>739</v>
      </c>
      <c r="N43" s="173" t="s">
        <v>55</v>
      </c>
      <c r="O43" s="87">
        <v>73</v>
      </c>
      <c r="P43" s="173" t="s">
        <v>26</v>
      </c>
      <c r="Q43" s="1" t="s">
        <v>1339</v>
      </c>
      <c r="R43" s="175">
        <v>18</v>
      </c>
      <c r="S43">
        <v>9</v>
      </c>
    </row>
    <row r="44" spans="1:19" x14ac:dyDescent="0.25">
      <c r="A44" s="87">
        <v>2019</v>
      </c>
      <c r="B44" s="87">
        <v>7</v>
      </c>
      <c r="C44" s="173" t="s">
        <v>16</v>
      </c>
      <c r="D44" s="173" t="s">
        <v>17</v>
      </c>
      <c r="E44" s="173" t="s">
        <v>18</v>
      </c>
      <c r="F44" s="173" t="s">
        <v>16</v>
      </c>
      <c r="G44" s="87" t="b">
        <v>1</v>
      </c>
      <c r="H44" s="87" t="b">
        <v>0</v>
      </c>
      <c r="I44" s="87" t="b">
        <v>0</v>
      </c>
      <c r="J44" s="173" t="s">
        <v>468</v>
      </c>
      <c r="K44" s="174">
        <v>520237000101</v>
      </c>
      <c r="L44" s="173" t="s">
        <v>755</v>
      </c>
      <c r="M44" s="173" t="s">
        <v>739</v>
      </c>
      <c r="N44" s="173" t="s">
        <v>55</v>
      </c>
      <c r="O44" s="87">
        <v>73</v>
      </c>
      <c r="P44" s="173" t="s">
        <v>26</v>
      </c>
      <c r="Q44" s="1" t="s">
        <v>1342</v>
      </c>
      <c r="R44" s="175">
        <v>80</v>
      </c>
      <c r="S44">
        <v>20</v>
      </c>
    </row>
    <row r="45" spans="1:19" x14ac:dyDescent="0.25">
      <c r="A45" s="87">
        <v>2019</v>
      </c>
      <c r="B45" s="87">
        <v>7</v>
      </c>
      <c r="C45" s="173" t="s">
        <v>16</v>
      </c>
      <c r="D45" s="173" t="s">
        <v>17</v>
      </c>
      <c r="E45" s="173" t="s">
        <v>18</v>
      </c>
      <c r="F45" s="173" t="s">
        <v>16</v>
      </c>
      <c r="G45" s="87" t="b">
        <v>1</v>
      </c>
      <c r="H45" s="87" t="b">
        <v>0</v>
      </c>
      <c r="I45" s="87" t="b">
        <v>0</v>
      </c>
      <c r="J45" s="173" t="s">
        <v>468</v>
      </c>
      <c r="K45" s="174">
        <v>520237000101</v>
      </c>
      <c r="L45" s="173" t="s">
        <v>755</v>
      </c>
      <c r="M45" s="173" t="s">
        <v>739</v>
      </c>
      <c r="N45" s="173" t="s">
        <v>55</v>
      </c>
      <c r="O45" s="87">
        <v>73</v>
      </c>
      <c r="P45" s="173" t="s">
        <v>26</v>
      </c>
      <c r="Q45" s="1" t="s">
        <v>1340</v>
      </c>
      <c r="R45" s="175">
        <v>4</v>
      </c>
      <c r="S45">
        <v>4</v>
      </c>
    </row>
    <row r="46" spans="1:19" x14ac:dyDescent="0.25">
      <c r="A46" s="87">
        <v>2019</v>
      </c>
      <c r="B46" s="87">
        <v>7</v>
      </c>
      <c r="C46" s="173" t="s">
        <v>16</v>
      </c>
      <c r="D46" s="173" t="s">
        <v>17</v>
      </c>
      <c r="E46" s="173" t="s">
        <v>18</v>
      </c>
      <c r="F46" s="173" t="s">
        <v>16</v>
      </c>
      <c r="G46" s="87" t="b">
        <v>1</v>
      </c>
      <c r="H46" s="87" t="b">
        <v>0</v>
      </c>
      <c r="I46" s="87" t="b">
        <v>0</v>
      </c>
      <c r="J46" s="173" t="s">
        <v>477</v>
      </c>
      <c r="K46" s="174">
        <v>521197000104</v>
      </c>
      <c r="L46" s="173" t="s">
        <v>1040</v>
      </c>
      <c r="M46" s="173" t="s">
        <v>1039</v>
      </c>
      <c r="N46" s="173" t="s">
        <v>61</v>
      </c>
      <c r="O46" s="87">
        <v>70</v>
      </c>
      <c r="P46" s="173" t="s">
        <v>20</v>
      </c>
      <c r="Q46" s="1" t="s">
        <v>1346</v>
      </c>
      <c r="R46" s="175">
        <v>12.5</v>
      </c>
      <c r="S46">
        <v>5</v>
      </c>
    </row>
    <row r="47" spans="1:19" x14ac:dyDescent="0.25">
      <c r="A47" s="87">
        <v>2019</v>
      </c>
      <c r="B47" s="87">
        <v>7</v>
      </c>
      <c r="C47" s="173" t="s">
        <v>16</v>
      </c>
      <c r="D47" s="173" t="s">
        <v>17</v>
      </c>
      <c r="E47" s="173" t="s">
        <v>18</v>
      </c>
      <c r="F47" s="173" t="s">
        <v>16</v>
      </c>
      <c r="G47" s="87" t="b">
        <v>1</v>
      </c>
      <c r="H47" s="87" t="b">
        <v>0</v>
      </c>
      <c r="I47" s="87" t="b">
        <v>0</v>
      </c>
      <c r="J47" s="173" t="s">
        <v>477</v>
      </c>
      <c r="K47" s="174">
        <v>521197000104</v>
      </c>
      <c r="L47" s="173" t="s">
        <v>1040</v>
      </c>
      <c r="M47" s="173" t="s">
        <v>1039</v>
      </c>
      <c r="N47" s="173" t="s">
        <v>61</v>
      </c>
      <c r="O47" s="87">
        <v>70</v>
      </c>
      <c r="P47" s="173" t="s">
        <v>20</v>
      </c>
      <c r="Q47" s="1" t="s">
        <v>1338</v>
      </c>
      <c r="R47" s="175">
        <v>225</v>
      </c>
      <c r="S47">
        <v>45</v>
      </c>
    </row>
    <row r="48" spans="1:19" x14ac:dyDescent="0.25">
      <c r="A48" s="87">
        <v>2019</v>
      </c>
      <c r="B48" s="87">
        <v>7</v>
      </c>
      <c r="C48" s="173" t="s">
        <v>16</v>
      </c>
      <c r="D48" s="173" t="s">
        <v>17</v>
      </c>
      <c r="E48" s="173" t="s">
        <v>18</v>
      </c>
      <c r="F48" s="173" t="s">
        <v>16</v>
      </c>
      <c r="G48" s="87" t="b">
        <v>1</v>
      </c>
      <c r="H48" s="87" t="b">
        <v>0</v>
      </c>
      <c r="I48" s="87" t="b">
        <v>0</v>
      </c>
      <c r="J48" s="173" t="s">
        <v>464</v>
      </c>
      <c r="K48" s="174">
        <v>610980000144</v>
      </c>
      <c r="L48" s="173" t="s">
        <v>756</v>
      </c>
      <c r="M48" s="173" t="s">
        <v>739</v>
      </c>
      <c r="N48" s="173" t="s">
        <v>55</v>
      </c>
      <c r="O48" s="87">
        <v>64</v>
      </c>
      <c r="P48" s="173" t="s">
        <v>25</v>
      </c>
      <c r="Q48" s="1" t="s">
        <v>1344</v>
      </c>
      <c r="R48" s="175">
        <v>24</v>
      </c>
      <c r="S48">
        <v>24</v>
      </c>
    </row>
    <row r="49" spans="1:19" x14ac:dyDescent="0.25">
      <c r="A49" s="87">
        <v>2019</v>
      </c>
      <c r="B49" s="87">
        <v>7</v>
      </c>
      <c r="C49" s="173" t="s">
        <v>16</v>
      </c>
      <c r="D49" s="173" t="s">
        <v>17</v>
      </c>
      <c r="E49" s="173" t="s">
        <v>18</v>
      </c>
      <c r="F49" s="173" t="s">
        <v>16</v>
      </c>
      <c r="G49" s="87" t="b">
        <v>1</v>
      </c>
      <c r="H49" s="87" t="b">
        <v>0</v>
      </c>
      <c r="I49" s="87" t="b">
        <v>0</v>
      </c>
      <c r="J49" s="173" t="s">
        <v>470</v>
      </c>
      <c r="K49" s="174">
        <v>820737000150</v>
      </c>
      <c r="L49" s="173" t="s">
        <v>757</v>
      </c>
      <c r="M49" s="173" t="s">
        <v>62</v>
      </c>
      <c r="N49" s="173" t="s">
        <v>63</v>
      </c>
      <c r="O49" s="87">
        <v>64</v>
      </c>
      <c r="P49" s="173" t="s">
        <v>25</v>
      </c>
      <c r="Q49" s="1" t="s">
        <v>1344</v>
      </c>
      <c r="R49" s="175">
        <v>30</v>
      </c>
      <c r="S49">
        <v>30</v>
      </c>
    </row>
    <row r="50" spans="1:19" x14ac:dyDescent="0.25">
      <c r="A50" s="87">
        <v>2019</v>
      </c>
      <c r="B50" s="87">
        <v>7</v>
      </c>
      <c r="C50" s="173" t="s">
        <v>16</v>
      </c>
      <c r="D50" s="173" t="s">
        <v>17</v>
      </c>
      <c r="E50" s="173" t="s">
        <v>18</v>
      </c>
      <c r="F50" s="173" t="s">
        <v>16</v>
      </c>
      <c r="G50" s="87" t="b">
        <v>1</v>
      </c>
      <c r="H50" s="87" t="b">
        <v>0</v>
      </c>
      <c r="I50" s="87" t="b">
        <v>0</v>
      </c>
      <c r="J50" s="173" t="s">
        <v>495</v>
      </c>
      <c r="K50" s="174">
        <v>840048000450</v>
      </c>
      <c r="L50" s="173" t="s">
        <v>637</v>
      </c>
      <c r="M50" s="173" t="s">
        <v>30</v>
      </c>
      <c r="N50" s="173" t="s">
        <v>19</v>
      </c>
      <c r="O50" s="87">
        <v>70</v>
      </c>
      <c r="P50" s="173" t="s">
        <v>20</v>
      </c>
      <c r="Q50" s="1" t="s">
        <v>1345</v>
      </c>
      <c r="R50" s="175">
        <v>70</v>
      </c>
      <c r="S50">
        <v>7</v>
      </c>
    </row>
    <row r="51" spans="1:19" x14ac:dyDescent="0.25">
      <c r="A51" s="87">
        <v>2019</v>
      </c>
      <c r="B51" s="87">
        <v>7</v>
      </c>
      <c r="C51" s="173" t="s">
        <v>16</v>
      </c>
      <c r="D51" s="173" t="s">
        <v>17</v>
      </c>
      <c r="E51" s="173" t="s">
        <v>18</v>
      </c>
      <c r="F51" s="173" t="s">
        <v>16</v>
      </c>
      <c r="G51" s="87" t="b">
        <v>1</v>
      </c>
      <c r="H51" s="87" t="b">
        <v>0</v>
      </c>
      <c r="I51" s="87" t="b">
        <v>0</v>
      </c>
      <c r="J51" s="173" t="s">
        <v>495</v>
      </c>
      <c r="K51" s="174">
        <v>840048000450</v>
      </c>
      <c r="L51" s="173" t="s">
        <v>637</v>
      </c>
      <c r="M51" s="173" t="s">
        <v>30</v>
      </c>
      <c r="N51" s="173" t="s">
        <v>19</v>
      </c>
      <c r="O51" s="87">
        <v>70</v>
      </c>
      <c r="P51" s="173" t="s">
        <v>20</v>
      </c>
      <c r="Q51" s="1" t="s">
        <v>1338</v>
      </c>
      <c r="R51" s="175">
        <v>15</v>
      </c>
      <c r="S51">
        <v>3</v>
      </c>
    </row>
    <row r="52" spans="1:19" x14ac:dyDescent="0.25">
      <c r="A52" s="87">
        <v>2019</v>
      </c>
      <c r="B52" s="87">
        <v>7</v>
      </c>
      <c r="C52" s="173" t="s">
        <v>16</v>
      </c>
      <c r="D52" s="173" t="s">
        <v>17</v>
      </c>
      <c r="E52" s="173" t="s">
        <v>18</v>
      </c>
      <c r="F52" s="173" t="s">
        <v>16</v>
      </c>
      <c r="G52" s="87" t="b">
        <v>1</v>
      </c>
      <c r="H52" s="87" t="b">
        <v>0</v>
      </c>
      <c r="I52" s="87" t="b">
        <v>0</v>
      </c>
      <c r="J52" s="173" t="s">
        <v>464</v>
      </c>
      <c r="K52" s="174">
        <v>860841000179</v>
      </c>
      <c r="L52" s="173" t="s">
        <v>758</v>
      </c>
      <c r="M52" s="173" t="s">
        <v>64</v>
      </c>
      <c r="N52" s="173" t="s">
        <v>65</v>
      </c>
      <c r="O52" s="87">
        <v>64</v>
      </c>
      <c r="P52" s="173" t="s">
        <v>25</v>
      </c>
      <c r="Q52" s="1" t="s">
        <v>1344</v>
      </c>
      <c r="R52" s="175">
        <v>2</v>
      </c>
      <c r="S52">
        <v>2</v>
      </c>
    </row>
    <row r="53" spans="1:19" x14ac:dyDescent="0.25">
      <c r="A53" s="87">
        <v>2019</v>
      </c>
      <c r="B53" s="87">
        <v>7</v>
      </c>
      <c r="C53" s="173" t="s">
        <v>16</v>
      </c>
      <c r="D53" s="173" t="s">
        <v>17</v>
      </c>
      <c r="E53" s="173" t="s">
        <v>18</v>
      </c>
      <c r="F53" s="173" t="s">
        <v>16</v>
      </c>
      <c r="G53" s="87" t="b">
        <v>1</v>
      </c>
      <c r="H53" s="87" t="b">
        <v>0</v>
      </c>
      <c r="I53" s="87" t="b">
        <v>0</v>
      </c>
      <c r="J53" s="173" t="s">
        <v>492</v>
      </c>
      <c r="K53" s="174">
        <v>942063000167</v>
      </c>
      <c r="L53" s="173" t="s">
        <v>934</v>
      </c>
      <c r="M53" s="173" t="s">
        <v>94</v>
      </c>
      <c r="N53" s="173" t="s">
        <v>57</v>
      </c>
      <c r="O53" s="87">
        <v>70</v>
      </c>
      <c r="P53" s="173" t="s">
        <v>20</v>
      </c>
      <c r="Q53" s="1" t="s">
        <v>1338</v>
      </c>
      <c r="R53" s="175">
        <v>1075</v>
      </c>
      <c r="S53">
        <v>215</v>
      </c>
    </row>
    <row r="54" spans="1:19" x14ac:dyDescent="0.25">
      <c r="A54" s="87">
        <v>2019</v>
      </c>
      <c r="B54" s="87">
        <v>7</v>
      </c>
      <c r="C54" s="173" t="s">
        <v>16</v>
      </c>
      <c r="D54" s="173" t="s">
        <v>17</v>
      </c>
      <c r="E54" s="173" t="s">
        <v>18</v>
      </c>
      <c r="F54" s="173" t="s">
        <v>16</v>
      </c>
      <c r="G54" s="87" t="b">
        <v>1</v>
      </c>
      <c r="H54" s="87" t="b">
        <v>0</v>
      </c>
      <c r="I54" s="87" t="b">
        <v>0</v>
      </c>
      <c r="J54" s="173" t="s">
        <v>452</v>
      </c>
      <c r="K54" s="174">
        <v>942063000167</v>
      </c>
      <c r="L54" s="173" t="s">
        <v>934</v>
      </c>
      <c r="M54" s="173" t="s">
        <v>94</v>
      </c>
      <c r="N54" s="173" t="s">
        <v>57</v>
      </c>
      <c r="O54" s="87">
        <v>70</v>
      </c>
      <c r="P54" s="173" t="s">
        <v>20</v>
      </c>
      <c r="Q54" s="1" t="s">
        <v>1345</v>
      </c>
      <c r="R54" s="175">
        <v>40</v>
      </c>
      <c r="S54">
        <v>4</v>
      </c>
    </row>
    <row r="55" spans="1:19" x14ac:dyDescent="0.25">
      <c r="A55" s="87">
        <v>2019</v>
      </c>
      <c r="B55" s="87">
        <v>7</v>
      </c>
      <c r="C55" s="173" t="s">
        <v>16</v>
      </c>
      <c r="D55" s="173" t="s">
        <v>17</v>
      </c>
      <c r="E55" s="173" t="s">
        <v>18</v>
      </c>
      <c r="F55" s="173" t="s">
        <v>16</v>
      </c>
      <c r="G55" s="87" t="b">
        <v>1</v>
      </c>
      <c r="H55" s="87" t="b">
        <v>0</v>
      </c>
      <c r="I55" s="87" t="b">
        <v>0</v>
      </c>
      <c r="J55" s="173" t="s">
        <v>468</v>
      </c>
      <c r="K55" s="174">
        <v>1011865000116</v>
      </c>
      <c r="L55" s="173" t="s">
        <v>759</v>
      </c>
      <c r="M55" s="173" t="s">
        <v>745</v>
      </c>
      <c r="N55" s="173" t="s">
        <v>59</v>
      </c>
      <c r="O55" s="87">
        <v>70</v>
      </c>
      <c r="P55" s="173" t="s">
        <v>20</v>
      </c>
      <c r="Q55" s="1" t="s">
        <v>1338</v>
      </c>
      <c r="R55" s="175">
        <v>350</v>
      </c>
      <c r="S55">
        <v>70</v>
      </c>
    </row>
    <row r="56" spans="1:19" x14ac:dyDescent="0.25">
      <c r="A56" s="87">
        <v>2019</v>
      </c>
      <c r="B56" s="87">
        <v>7</v>
      </c>
      <c r="C56" s="173" t="s">
        <v>16</v>
      </c>
      <c r="D56" s="173" t="s">
        <v>17</v>
      </c>
      <c r="E56" s="173" t="s">
        <v>18</v>
      </c>
      <c r="F56" s="173" t="s">
        <v>16</v>
      </c>
      <c r="G56" s="87" t="b">
        <v>1</v>
      </c>
      <c r="H56" s="87" t="b">
        <v>0</v>
      </c>
      <c r="I56" s="87" t="b">
        <v>0</v>
      </c>
      <c r="J56" s="173" t="s">
        <v>470</v>
      </c>
      <c r="K56" s="174">
        <v>1125832000105</v>
      </c>
      <c r="L56" s="173" t="s">
        <v>935</v>
      </c>
      <c r="M56" s="173" t="s">
        <v>930</v>
      </c>
      <c r="N56" s="173" t="s">
        <v>68</v>
      </c>
      <c r="O56" s="87">
        <v>70</v>
      </c>
      <c r="P56" s="173" t="s">
        <v>20</v>
      </c>
      <c r="Q56" s="1" t="s">
        <v>1338</v>
      </c>
      <c r="R56" s="175">
        <v>120</v>
      </c>
      <c r="S56">
        <v>24</v>
      </c>
    </row>
    <row r="57" spans="1:19" x14ac:dyDescent="0.25">
      <c r="A57" s="87">
        <v>2019</v>
      </c>
      <c r="B57" s="87">
        <v>7</v>
      </c>
      <c r="C57" s="173" t="s">
        <v>16</v>
      </c>
      <c r="D57" s="173" t="s">
        <v>17</v>
      </c>
      <c r="E57" s="173" t="s">
        <v>18</v>
      </c>
      <c r="F57" s="173" t="s">
        <v>16</v>
      </c>
      <c r="G57" s="87" t="b">
        <v>1</v>
      </c>
      <c r="H57" s="87" t="b">
        <v>0</v>
      </c>
      <c r="I57" s="87" t="b">
        <v>0</v>
      </c>
      <c r="J57" s="173" t="s">
        <v>449</v>
      </c>
      <c r="K57" s="174">
        <v>1140803000104</v>
      </c>
      <c r="L57" s="173" t="s">
        <v>936</v>
      </c>
      <c r="M57" s="173" t="s">
        <v>66</v>
      </c>
      <c r="N57" s="173" t="s">
        <v>67</v>
      </c>
      <c r="O57" s="87">
        <v>73</v>
      </c>
      <c r="P57" s="173" t="s">
        <v>26</v>
      </c>
      <c r="Q57" s="1" t="s">
        <v>1342</v>
      </c>
      <c r="R57" s="175">
        <v>32</v>
      </c>
      <c r="S57">
        <v>8</v>
      </c>
    </row>
    <row r="58" spans="1:19" x14ac:dyDescent="0.25">
      <c r="A58" s="87">
        <v>2019</v>
      </c>
      <c r="B58" s="87">
        <v>7</v>
      </c>
      <c r="C58" s="173" t="s">
        <v>16</v>
      </c>
      <c r="D58" s="173" t="s">
        <v>17</v>
      </c>
      <c r="E58" s="173" t="s">
        <v>18</v>
      </c>
      <c r="F58" s="173" t="s">
        <v>16</v>
      </c>
      <c r="G58" s="87" t="b">
        <v>1</v>
      </c>
      <c r="H58" s="87" t="b">
        <v>0</v>
      </c>
      <c r="I58" s="87" t="b">
        <v>0</v>
      </c>
      <c r="J58" s="173" t="s">
        <v>468</v>
      </c>
      <c r="K58" s="174">
        <v>1326206000179</v>
      </c>
      <c r="L58" s="173" t="s">
        <v>761</v>
      </c>
      <c r="M58" s="173" t="s">
        <v>762</v>
      </c>
      <c r="N58" s="173" t="s">
        <v>59</v>
      </c>
      <c r="O58" s="87">
        <v>73</v>
      </c>
      <c r="P58" s="173" t="s">
        <v>26</v>
      </c>
      <c r="Q58" s="1" t="s">
        <v>1342</v>
      </c>
      <c r="R58" s="175">
        <v>8</v>
      </c>
      <c r="S58">
        <v>2</v>
      </c>
    </row>
    <row r="59" spans="1:19" x14ac:dyDescent="0.25">
      <c r="A59" s="87">
        <v>2019</v>
      </c>
      <c r="B59" s="87">
        <v>7</v>
      </c>
      <c r="C59" s="173" t="s">
        <v>16</v>
      </c>
      <c r="D59" s="173" t="s">
        <v>17</v>
      </c>
      <c r="E59" s="173" t="s">
        <v>18</v>
      </c>
      <c r="F59" s="173" t="s">
        <v>16</v>
      </c>
      <c r="G59" s="87" t="b">
        <v>1</v>
      </c>
      <c r="H59" s="87" t="b">
        <v>0</v>
      </c>
      <c r="I59" s="87" t="b">
        <v>0</v>
      </c>
      <c r="J59" s="173" t="s">
        <v>468</v>
      </c>
      <c r="K59" s="174">
        <v>1326206000179</v>
      </c>
      <c r="L59" s="173" t="s">
        <v>761</v>
      </c>
      <c r="M59" s="173" t="s">
        <v>762</v>
      </c>
      <c r="N59" s="173" t="s">
        <v>59</v>
      </c>
      <c r="O59" s="87">
        <v>73</v>
      </c>
      <c r="P59" s="173" t="s">
        <v>26</v>
      </c>
      <c r="Q59" s="1" t="s">
        <v>1340</v>
      </c>
      <c r="R59" s="175">
        <v>2</v>
      </c>
      <c r="S59">
        <v>2</v>
      </c>
    </row>
    <row r="60" spans="1:19" x14ac:dyDescent="0.25">
      <c r="A60" s="87">
        <v>2019</v>
      </c>
      <c r="B60" s="87">
        <v>7</v>
      </c>
      <c r="C60" s="173" t="s">
        <v>16</v>
      </c>
      <c r="D60" s="173" t="s">
        <v>17</v>
      </c>
      <c r="E60" s="173" t="s">
        <v>18</v>
      </c>
      <c r="F60" s="173" t="s">
        <v>16</v>
      </c>
      <c r="G60" s="87" t="b">
        <v>1</v>
      </c>
      <c r="H60" s="87" t="b">
        <v>0</v>
      </c>
      <c r="I60" s="87" t="b">
        <v>0</v>
      </c>
      <c r="J60" s="173" t="s">
        <v>468</v>
      </c>
      <c r="K60" s="174">
        <v>1383835000130</v>
      </c>
      <c r="L60" s="173" t="s">
        <v>763</v>
      </c>
      <c r="M60" s="173" t="s">
        <v>114</v>
      </c>
      <c r="N60" s="173" t="s">
        <v>69</v>
      </c>
      <c r="O60" s="87">
        <v>70</v>
      </c>
      <c r="P60" s="173" t="s">
        <v>20</v>
      </c>
      <c r="Q60" s="1" t="s">
        <v>1338</v>
      </c>
      <c r="R60" s="175">
        <v>30</v>
      </c>
      <c r="S60">
        <v>6</v>
      </c>
    </row>
    <row r="61" spans="1:19" x14ac:dyDescent="0.25">
      <c r="A61" s="87">
        <v>2019</v>
      </c>
      <c r="B61" s="87">
        <v>7</v>
      </c>
      <c r="C61" s="173" t="s">
        <v>16</v>
      </c>
      <c r="D61" s="173" t="s">
        <v>17</v>
      </c>
      <c r="E61" s="173" t="s">
        <v>18</v>
      </c>
      <c r="F61" s="173" t="s">
        <v>16</v>
      </c>
      <c r="G61" s="87" t="b">
        <v>1</v>
      </c>
      <c r="H61" s="87" t="b">
        <v>0</v>
      </c>
      <c r="I61" s="87" t="b">
        <v>0</v>
      </c>
      <c r="J61" s="173" t="s">
        <v>470</v>
      </c>
      <c r="K61" s="174">
        <v>1396804000114</v>
      </c>
      <c r="L61" s="173" t="s">
        <v>1140</v>
      </c>
      <c r="M61" s="173" t="s">
        <v>97</v>
      </c>
      <c r="N61" s="173" t="s">
        <v>98</v>
      </c>
      <c r="O61" s="87">
        <v>70</v>
      </c>
      <c r="P61" s="173" t="s">
        <v>20</v>
      </c>
      <c r="Q61" s="1" t="s">
        <v>1338</v>
      </c>
      <c r="R61" s="175">
        <v>40</v>
      </c>
      <c r="S61">
        <v>8</v>
      </c>
    </row>
    <row r="62" spans="1:19" x14ac:dyDescent="0.25">
      <c r="A62" s="87">
        <v>2019</v>
      </c>
      <c r="B62" s="87">
        <v>7</v>
      </c>
      <c r="C62" s="173" t="s">
        <v>16</v>
      </c>
      <c r="D62" s="173" t="s">
        <v>17</v>
      </c>
      <c r="E62" s="173" t="s">
        <v>18</v>
      </c>
      <c r="F62" s="173" t="s">
        <v>16</v>
      </c>
      <c r="G62" s="87" t="b">
        <v>1</v>
      </c>
      <c r="H62" s="87" t="b">
        <v>0</v>
      </c>
      <c r="I62" s="87" t="b">
        <v>0</v>
      </c>
      <c r="J62" s="173" t="s">
        <v>470</v>
      </c>
      <c r="K62" s="174">
        <v>1454407000151</v>
      </c>
      <c r="L62" s="173" t="s">
        <v>764</v>
      </c>
      <c r="M62" s="173" t="s">
        <v>742</v>
      </c>
      <c r="N62" s="173" t="s">
        <v>91</v>
      </c>
      <c r="O62" s="87">
        <v>70</v>
      </c>
      <c r="P62" s="173" t="s">
        <v>20</v>
      </c>
      <c r="Q62" s="1" t="s">
        <v>1338</v>
      </c>
      <c r="R62" s="175">
        <v>300</v>
      </c>
      <c r="S62">
        <v>60</v>
      </c>
    </row>
    <row r="63" spans="1:19" x14ac:dyDescent="0.25">
      <c r="A63" s="87">
        <v>2019</v>
      </c>
      <c r="B63" s="87">
        <v>7</v>
      </c>
      <c r="C63" s="173" t="s">
        <v>16</v>
      </c>
      <c r="D63" s="173" t="s">
        <v>17</v>
      </c>
      <c r="E63" s="173" t="s">
        <v>18</v>
      </c>
      <c r="F63" s="173" t="s">
        <v>16</v>
      </c>
      <c r="G63" s="87" t="b">
        <v>1</v>
      </c>
      <c r="H63" s="87" t="b">
        <v>0</v>
      </c>
      <c r="I63" s="87" t="b">
        <v>0</v>
      </c>
      <c r="J63" s="173" t="s">
        <v>468</v>
      </c>
      <c r="K63" s="174">
        <v>1454407000151</v>
      </c>
      <c r="L63" s="173" t="s">
        <v>764</v>
      </c>
      <c r="M63" s="173" t="s">
        <v>742</v>
      </c>
      <c r="N63" s="173" t="s">
        <v>91</v>
      </c>
      <c r="O63" s="87">
        <v>70</v>
      </c>
      <c r="P63" s="173" t="s">
        <v>20</v>
      </c>
      <c r="Q63" s="1" t="s">
        <v>1338</v>
      </c>
      <c r="R63" s="175">
        <v>55</v>
      </c>
      <c r="S63">
        <v>11</v>
      </c>
    </row>
    <row r="64" spans="1:19" x14ac:dyDescent="0.25">
      <c r="A64" s="87">
        <v>2019</v>
      </c>
      <c r="B64" s="87">
        <v>7</v>
      </c>
      <c r="C64" s="173" t="s">
        <v>16</v>
      </c>
      <c r="D64" s="173" t="s">
        <v>17</v>
      </c>
      <c r="E64" s="173" t="s">
        <v>18</v>
      </c>
      <c r="F64" s="173" t="s">
        <v>16</v>
      </c>
      <c r="G64" s="87" t="b">
        <v>1</v>
      </c>
      <c r="H64" s="87" t="b">
        <v>0</v>
      </c>
      <c r="I64" s="87" t="b">
        <v>0</v>
      </c>
      <c r="J64" s="173" t="s">
        <v>1512</v>
      </c>
      <c r="K64" s="174">
        <v>1454407000151</v>
      </c>
      <c r="L64" s="173" t="s">
        <v>764</v>
      </c>
      <c r="M64" s="173" t="s">
        <v>742</v>
      </c>
      <c r="N64" s="173" t="s">
        <v>91</v>
      </c>
      <c r="O64" s="87">
        <v>70</v>
      </c>
      <c r="P64" s="173" t="s">
        <v>20</v>
      </c>
      <c r="Q64" s="1" t="s">
        <v>1338</v>
      </c>
      <c r="R64" s="175">
        <v>125</v>
      </c>
      <c r="S64">
        <v>25</v>
      </c>
    </row>
    <row r="65" spans="1:19" x14ac:dyDescent="0.25">
      <c r="A65" s="87">
        <v>2019</v>
      </c>
      <c r="B65" s="87">
        <v>7</v>
      </c>
      <c r="C65" s="173" t="s">
        <v>16</v>
      </c>
      <c r="D65" s="173" t="s">
        <v>17</v>
      </c>
      <c r="E65" s="173" t="s">
        <v>18</v>
      </c>
      <c r="F65" s="173" t="s">
        <v>16</v>
      </c>
      <c r="G65" s="87" t="b">
        <v>1</v>
      </c>
      <c r="H65" s="87" t="b">
        <v>0</v>
      </c>
      <c r="I65" s="87" t="b">
        <v>0</v>
      </c>
      <c r="J65" s="173" t="s">
        <v>464</v>
      </c>
      <c r="K65" s="174">
        <v>1507901000137</v>
      </c>
      <c r="L65" s="173" t="s">
        <v>765</v>
      </c>
      <c r="M65" s="173" t="s">
        <v>62</v>
      </c>
      <c r="N65" s="173" t="s">
        <v>63</v>
      </c>
      <c r="O65" s="87">
        <v>62</v>
      </c>
      <c r="P65" s="173" t="s">
        <v>27</v>
      </c>
      <c r="Q65" s="1" t="s">
        <v>1343</v>
      </c>
      <c r="R65" s="175">
        <v>3</v>
      </c>
      <c r="S65">
        <v>3</v>
      </c>
    </row>
    <row r="66" spans="1:19" x14ac:dyDescent="0.25">
      <c r="A66" s="87">
        <v>2019</v>
      </c>
      <c r="B66" s="87">
        <v>7</v>
      </c>
      <c r="C66" s="173" t="s">
        <v>16</v>
      </c>
      <c r="D66" s="173" t="s">
        <v>17</v>
      </c>
      <c r="E66" s="173" t="s">
        <v>18</v>
      </c>
      <c r="F66" s="173" t="s">
        <v>16</v>
      </c>
      <c r="G66" s="87" t="b">
        <v>1</v>
      </c>
      <c r="H66" s="87" t="b">
        <v>0</v>
      </c>
      <c r="I66" s="87" t="b">
        <v>0</v>
      </c>
      <c r="J66" s="173" t="s">
        <v>460</v>
      </c>
      <c r="K66" s="174">
        <v>1507901000137</v>
      </c>
      <c r="L66" s="173" t="s">
        <v>765</v>
      </c>
      <c r="M66" s="173" t="s">
        <v>62</v>
      </c>
      <c r="N66" s="173" t="s">
        <v>63</v>
      </c>
      <c r="O66" s="87">
        <v>64</v>
      </c>
      <c r="P66" s="173" t="s">
        <v>25</v>
      </c>
      <c r="Q66" s="1" t="s">
        <v>1344</v>
      </c>
      <c r="R66" s="175">
        <v>10</v>
      </c>
      <c r="S66">
        <v>10</v>
      </c>
    </row>
    <row r="67" spans="1:19" x14ac:dyDescent="0.25">
      <c r="A67" s="87">
        <v>2019</v>
      </c>
      <c r="B67" s="87">
        <v>7</v>
      </c>
      <c r="C67" s="173" t="s">
        <v>16</v>
      </c>
      <c r="D67" s="173" t="s">
        <v>17</v>
      </c>
      <c r="E67" s="173" t="s">
        <v>18</v>
      </c>
      <c r="F67" s="173" t="s">
        <v>16</v>
      </c>
      <c r="G67" s="87" t="b">
        <v>1</v>
      </c>
      <c r="H67" s="87" t="b">
        <v>0</v>
      </c>
      <c r="I67" s="87" t="b">
        <v>0</v>
      </c>
      <c r="J67" s="173" t="s">
        <v>449</v>
      </c>
      <c r="K67" s="174">
        <v>1517626000132</v>
      </c>
      <c r="L67" s="173" t="s">
        <v>937</v>
      </c>
      <c r="M67" s="173" t="s">
        <v>938</v>
      </c>
      <c r="N67" s="173" t="s">
        <v>68</v>
      </c>
      <c r="O67" s="87">
        <v>73</v>
      </c>
      <c r="P67" s="173" t="s">
        <v>26</v>
      </c>
      <c r="Q67" s="1" t="s">
        <v>1342</v>
      </c>
      <c r="R67" s="175">
        <v>12</v>
      </c>
      <c r="S67">
        <v>3</v>
      </c>
    </row>
    <row r="68" spans="1:19" x14ac:dyDescent="0.25">
      <c r="A68" s="87">
        <v>2019</v>
      </c>
      <c r="B68" s="87">
        <v>7</v>
      </c>
      <c r="C68" s="173" t="s">
        <v>16</v>
      </c>
      <c r="D68" s="173" t="s">
        <v>17</v>
      </c>
      <c r="E68" s="173" t="s">
        <v>18</v>
      </c>
      <c r="F68" s="173" t="s">
        <v>16</v>
      </c>
      <c r="G68" s="87" t="b">
        <v>1</v>
      </c>
      <c r="H68" s="87" t="b">
        <v>0</v>
      </c>
      <c r="I68" s="87" t="b">
        <v>0</v>
      </c>
      <c r="J68" s="173" t="s">
        <v>464</v>
      </c>
      <c r="K68" s="174">
        <v>1554266000300</v>
      </c>
      <c r="L68" s="173" t="s">
        <v>940</v>
      </c>
      <c r="M68" s="173" t="s">
        <v>113</v>
      </c>
      <c r="N68" s="173" t="s">
        <v>68</v>
      </c>
      <c r="O68" s="87">
        <v>70</v>
      </c>
      <c r="P68" s="173" t="s">
        <v>20</v>
      </c>
      <c r="Q68" s="1" t="s">
        <v>1338</v>
      </c>
      <c r="R68" s="175">
        <v>35</v>
      </c>
      <c r="S68">
        <v>7</v>
      </c>
    </row>
    <row r="69" spans="1:19" x14ac:dyDescent="0.25">
      <c r="A69" s="87">
        <v>2019</v>
      </c>
      <c r="B69" s="87">
        <v>7</v>
      </c>
      <c r="C69" s="173" t="s">
        <v>16</v>
      </c>
      <c r="D69" s="173" t="s">
        <v>17</v>
      </c>
      <c r="E69" s="173" t="s">
        <v>18</v>
      </c>
      <c r="F69" s="173" t="s">
        <v>16</v>
      </c>
      <c r="G69" s="87" t="b">
        <v>1</v>
      </c>
      <c r="H69" s="87" t="b">
        <v>0</v>
      </c>
      <c r="I69" s="87" t="b">
        <v>0</v>
      </c>
      <c r="J69" s="173" t="s">
        <v>470</v>
      </c>
      <c r="K69" s="174">
        <v>1613433006892</v>
      </c>
      <c r="L69" s="173" t="s">
        <v>638</v>
      </c>
      <c r="M69" s="173" t="s">
        <v>639</v>
      </c>
      <c r="N69" s="173" t="s">
        <v>19</v>
      </c>
      <c r="O69" s="87">
        <v>70</v>
      </c>
      <c r="P69" s="173" t="s">
        <v>20</v>
      </c>
      <c r="Q69" s="1" t="s">
        <v>1338</v>
      </c>
      <c r="R69" s="175">
        <v>1200</v>
      </c>
      <c r="S69">
        <v>240</v>
      </c>
    </row>
    <row r="70" spans="1:19" x14ac:dyDescent="0.25">
      <c r="A70" s="87">
        <v>2019</v>
      </c>
      <c r="B70" s="87">
        <v>7</v>
      </c>
      <c r="C70" s="173" t="s">
        <v>16</v>
      </c>
      <c r="D70" s="173" t="s">
        <v>17</v>
      </c>
      <c r="E70" s="173" t="s">
        <v>18</v>
      </c>
      <c r="F70" s="173" t="s">
        <v>16</v>
      </c>
      <c r="G70" s="87" t="b">
        <v>1</v>
      </c>
      <c r="H70" s="87" t="b">
        <v>0</v>
      </c>
      <c r="I70" s="87" t="b">
        <v>0</v>
      </c>
      <c r="J70" s="173" t="s">
        <v>451</v>
      </c>
      <c r="K70" s="174">
        <v>1682668000129</v>
      </c>
      <c r="L70" s="173" t="s">
        <v>769</v>
      </c>
      <c r="M70" s="173" t="s">
        <v>739</v>
      </c>
      <c r="N70" s="173" t="s">
        <v>55</v>
      </c>
      <c r="O70" s="87">
        <v>70</v>
      </c>
      <c r="P70" s="173" t="s">
        <v>20</v>
      </c>
      <c r="Q70" s="1" t="s">
        <v>1346</v>
      </c>
      <c r="R70" s="175">
        <v>25</v>
      </c>
      <c r="S70">
        <v>10</v>
      </c>
    </row>
    <row r="71" spans="1:19" x14ac:dyDescent="0.25">
      <c r="A71" s="87">
        <v>2019</v>
      </c>
      <c r="B71" s="87">
        <v>7</v>
      </c>
      <c r="C71" s="173" t="s">
        <v>16</v>
      </c>
      <c r="D71" s="173" t="s">
        <v>17</v>
      </c>
      <c r="E71" s="173" t="s">
        <v>18</v>
      </c>
      <c r="F71" s="173" t="s">
        <v>16</v>
      </c>
      <c r="G71" s="87" t="b">
        <v>1</v>
      </c>
      <c r="H71" s="87" t="b">
        <v>0</v>
      </c>
      <c r="I71" s="87" t="b">
        <v>0</v>
      </c>
      <c r="J71" s="173" t="s">
        <v>451</v>
      </c>
      <c r="K71" s="174">
        <v>1682668000129</v>
      </c>
      <c r="L71" s="173" t="s">
        <v>769</v>
      </c>
      <c r="M71" s="173" t="s">
        <v>739</v>
      </c>
      <c r="N71" s="173" t="s">
        <v>55</v>
      </c>
      <c r="O71" s="87">
        <v>70</v>
      </c>
      <c r="P71" s="173" t="s">
        <v>20</v>
      </c>
      <c r="Q71" s="1" t="s">
        <v>1338</v>
      </c>
      <c r="R71" s="175">
        <v>25</v>
      </c>
      <c r="S71">
        <v>5</v>
      </c>
    </row>
    <row r="72" spans="1:19" x14ac:dyDescent="0.25">
      <c r="A72" s="87">
        <v>2019</v>
      </c>
      <c r="B72" s="87">
        <v>7</v>
      </c>
      <c r="C72" s="173" t="s">
        <v>16</v>
      </c>
      <c r="D72" s="173" t="s">
        <v>17</v>
      </c>
      <c r="E72" s="173" t="s">
        <v>18</v>
      </c>
      <c r="F72" s="173" t="s">
        <v>16</v>
      </c>
      <c r="G72" s="87" t="b">
        <v>1</v>
      </c>
      <c r="H72" s="87" t="b">
        <v>0</v>
      </c>
      <c r="I72" s="87" t="b">
        <v>0</v>
      </c>
      <c r="J72" s="173" t="s">
        <v>470</v>
      </c>
      <c r="K72" s="174">
        <v>1757351000104</v>
      </c>
      <c r="L72" s="173" t="s">
        <v>771</v>
      </c>
      <c r="M72" s="173" t="s">
        <v>772</v>
      </c>
      <c r="N72" s="173" t="s">
        <v>69</v>
      </c>
      <c r="O72" s="87">
        <v>64</v>
      </c>
      <c r="P72" s="173" t="s">
        <v>25</v>
      </c>
      <c r="Q72" s="1" t="s">
        <v>1344</v>
      </c>
      <c r="R72" s="175">
        <v>6</v>
      </c>
      <c r="S72">
        <v>6</v>
      </c>
    </row>
    <row r="73" spans="1:19" x14ac:dyDescent="0.25">
      <c r="A73" s="87">
        <v>2019</v>
      </c>
      <c r="B73" s="87">
        <v>7</v>
      </c>
      <c r="C73" s="173" t="s">
        <v>16</v>
      </c>
      <c r="D73" s="173" t="s">
        <v>17</v>
      </c>
      <c r="E73" s="173" t="s">
        <v>18</v>
      </c>
      <c r="F73" s="173" t="s">
        <v>16</v>
      </c>
      <c r="G73" s="87" t="b">
        <v>1</v>
      </c>
      <c r="H73" s="87" t="b">
        <v>0</v>
      </c>
      <c r="I73" s="87" t="b">
        <v>0</v>
      </c>
      <c r="J73" s="173" t="s">
        <v>491</v>
      </c>
      <c r="K73" s="174">
        <v>2284062000440</v>
      </c>
      <c r="L73" s="173" t="s">
        <v>775</v>
      </c>
      <c r="M73" s="173" t="s">
        <v>70</v>
      </c>
      <c r="N73" s="173" t="s">
        <v>71</v>
      </c>
      <c r="O73" s="87">
        <v>64</v>
      </c>
      <c r="P73" s="173" t="s">
        <v>25</v>
      </c>
      <c r="Q73" s="1" t="s">
        <v>1344</v>
      </c>
      <c r="R73" s="175">
        <v>21</v>
      </c>
      <c r="S73">
        <v>21</v>
      </c>
    </row>
    <row r="74" spans="1:19" x14ac:dyDescent="0.25">
      <c r="A74" s="87">
        <v>2019</v>
      </c>
      <c r="B74" s="87">
        <v>7</v>
      </c>
      <c r="C74" s="173" t="s">
        <v>16</v>
      </c>
      <c r="D74" s="173" t="s">
        <v>17</v>
      </c>
      <c r="E74" s="173" t="s">
        <v>18</v>
      </c>
      <c r="F74" s="173" t="s">
        <v>16</v>
      </c>
      <c r="G74" s="87" t="b">
        <v>1</v>
      </c>
      <c r="H74" s="87" t="b">
        <v>0</v>
      </c>
      <c r="I74" s="87" t="b">
        <v>0</v>
      </c>
      <c r="J74" s="173" t="s">
        <v>491</v>
      </c>
      <c r="K74" s="174">
        <v>2284062000521</v>
      </c>
      <c r="L74" s="173" t="s">
        <v>1077</v>
      </c>
      <c r="M74" s="173" t="s">
        <v>131</v>
      </c>
      <c r="N74" s="173" t="s">
        <v>61</v>
      </c>
      <c r="O74" s="87">
        <v>62</v>
      </c>
      <c r="P74" s="173" t="s">
        <v>27</v>
      </c>
      <c r="Q74" s="1" t="s">
        <v>1343</v>
      </c>
      <c r="R74" s="175">
        <v>1</v>
      </c>
      <c r="S74">
        <v>1</v>
      </c>
    </row>
    <row r="75" spans="1:19" x14ac:dyDescent="0.25">
      <c r="A75" s="87">
        <v>2019</v>
      </c>
      <c r="B75" s="87">
        <v>7</v>
      </c>
      <c r="C75" s="173" t="s">
        <v>16</v>
      </c>
      <c r="D75" s="173" t="s">
        <v>17</v>
      </c>
      <c r="E75" s="173" t="s">
        <v>18</v>
      </c>
      <c r="F75" s="173" t="s">
        <v>16</v>
      </c>
      <c r="G75" s="87" t="b">
        <v>1</v>
      </c>
      <c r="H75" s="87" t="b">
        <v>0</v>
      </c>
      <c r="I75" s="87" t="b">
        <v>0</v>
      </c>
      <c r="J75" s="173" t="s">
        <v>491</v>
      </c>
      <c r="K75" s="174">
        <v>2284062000521</v>
      </c>
      <c r="L75" s="173" t="s">
        <v>1077</v>
      </c>
      <c r="M75" s="173" t="s">
        <v>131</v>
      </c>
      <c r="N75" s="173" t="s">
        <v>61</v>
      </c>
      <c r="O75" s="87">
        <v>64</v>
      </c>
      <c r="P75" s="173" t="s">
        <v>25</v>
      </c>
      <c r="Q75" s="1" t="s">
        <v>1344</v>
      </c>
      <c r="R75" s="175">
        <v>8</v>
      </c>
      <c r="S75">
        <v>8</v>
      </c>
    </row>
    <row r="76" spans="1:19" x14ac:dyDescent="0.25">
      <c r="A76" s="87">
        <v>2019</v>
      </c>
      <c r="B76" s="87">
        <v>7</v>
      </c>
      <c r="C76" s="173" t="s">
        <v>16</v>
      </c>
      <c r="D76" s="173" t="s">
        <v>17</v>
      </c>
      <c r="E76" s="173" t="s">
        <v>18</v>
      </c>
      <c r="F76" s="173" t="s">
        <v>16</v>
      </c>
      <c r="G76" s="87" t="b">
        <v>1</v>
      </c>
      <c r="H76" s="87" t="b">
        <v>0</v>
      </c>
      <c r="I76" s="87" t="b">
        <v>0</v>
      </c>
      <c r="J76" s="173" t="s">
        <v>453</v>
      </c>
      <c r="K76" s="174">
        <v>2284062001170</v>
      </c>
      <c r="L76" s="173" t="s">
        <v>776</v>
      </c>
      <c r="M76" s="173" t="s">
        <v>777</v>
      </c>
      <c r="N76" s="173" t="s">
        <v>72</v>
      </c>
      <c r="O76" s="87">
        <v>62</v>
      </c>
      <c r="P76" s="173" t="s">
        <v>27</v>
      </c>
      <c r="Q76" s="1" t="s">
        <v>1343</v>
      </c>
      <c r="R76" s="175">
        <v>5</v>
      </c>
      <c r="S76">
        <v>5</v>
      </c>
    </row>
    <row r="77" spans="1:19" x14ac:dyDescent="0.25">
      <c r="A77" s="87">
        <v>2019</v>
      </c>
      <c r="B77" s="87">
        <v>7</v>
      </c>
      <c r="C77" s="173" t="s">
        <v>16</v>
      </c>
      <c r="D77" s="173" t="s">
        <v>17</v>
      </c>
      <c r="E77" s="173" t="s">
        <v>18</v>
      </c>
      <c r="F77" s="173" t="s">
        <v>16</v>
      </c>
      <c r="G77" s="87" t="b">
        <v>1</v>
      </c>
      <c r="H77" s="87" t="b">
        <v>0</v>
      </c>
      <c r="I77" s="87" t="b">
        <v>0</v>
      </c>
      <c r="J77" s="173" t="s">
        <v>451</v>
      </c>
      <c r="K77" s="174">
        <v>2383508000494</v>
      </c>
      <c r="L77" s="173" t="s">
        <v>562</v>
      </c>
      <c r="M77" s="173" t="s">
        <v>29</v>
      </c>
      <c r="N77" s="173" t="s">
        <v>19</v>
      </c>
      <c r="O77" s="87">
        <v>73</v>
      </c>
      <c r="P77" s="173" t="s">
        <v>26</v>
      </c>
      <c r="Q77" s="1" t="s">
        <v>1339</v>
      </c>
      <c r="R77" s="175">
        <v>6</v>
      </c>
      <c r="S77">
        <v>3</v>
      </c>
    </row>
    <row r="78" spans="1:19" x14ac:dyDescent="0.25">
      <c r="A78" s="87">
        <v>2019</v>
      </c>
      <c r="B78" s="87">
        <v>7</v>
      </c>
      <c r="C78" s="173" t="s">
        <v>16</v>
      </c>
      <c r="D78" s="173" t="s">
        <v>17</v>
      </c>
      <c r="E78" s="173" t="s">
        <v>18</v>
      </c>
      <c r="F78" s="173" t="s">
        <v>16</v>
      </c>
      <c r="G78" s="87" t="b">
        <v>1</v>
      </c>
      <c r="H78" s="87" t="b">
        <v>0</v>
      </c>
      <c r="I78" s="87" t="b">
        <v>0</v>
      </c>
      <c r="J78" s="173" t="s">
        <v>451</v>
      </c>
      <c r="K78" s="174">
        <v>2383508000494</v>
      </c>
      <c r="L78" s="173" t="s">
        <v>562</v>
      </c>
      <c r="M78" s="173" t="s">
        <v>29</v>
      </c>
      <c r="N78" s="173" t="s">
        <v>19</v>
      </c>
      <c r="O78" s="87">
        <v>73</v>
      </c>
      <c r="P78" s="173" t="s">
        <v>26</v>
      </c>
      <c r="Q78" s="1" t="s">
        <v>1342</v>
      </c>
      <c r="R78" s="175">
        <v>24</v>
      </c>
      <c r="S78">
        <v>6</v>
      </c>
    </row>
    <row r="79" spans="1:19" x14ac:dyDescent="0.25">
      <c r="A79" s="87">
        <v>2019</v>
      </c>
      <c r="B79" s="87">
        <v>7</v>
      </c>
      <c r="C79" s="173" t="s">
        <v>16</v>
      </c>
      <c r="D79" s="173" t="s">
        <v>17</v>
      </c>
      <c r="E79" s="173" t="s">
        <v>18</v>
      </c>
      <c r="F79" s="173" t="s">
        <v>16</v>
      </c>
      <c r="G79" s="87" t="b">
        <v>1</v>
      </c>
      <c r="H79" s="87" t="b">
        <v>0</v>
      </c>
      <c r="I79" s="87" t="b">
        <v>0</v>
      </c>
      <c r="J79" s="173" t="s">
        <v>451</v>
      </c>
      <c r="K79" s="174">
        <v>2383508000494</v>
      </c>
      <c r="L79" s="173" t="s">
        <v>562</v>
      </c>
      <c r="M79" s="173" t="s">
        <v>29</v>
      </c>
      <c r="N79" s="173" t="s">
        <v>19</v>
      </c>
      <c r="O79" s="87">
        <v>73</v>
      </c>
      <c r="P79" s="173" t="s">
        <v>26</v>
      </c>
      <c r="Q79" s="1" t="s">
        <v>1340</v>
      </c>
      <c r="R79" s="175">
        <v>1</v>
      </c>
      <c r="S79">
        <v>1</v>
      </c>
    </row>
    <row r="80" spans="1:19" x14ac:dyDescent="0.25">
      <c r="A80" s="87">
        <v>2019</v>
      </c>
      <c r="B80" s="87">
        <v>7</v>
      </c>
      <c r="C80" s="173" t="s">
        <v>16</v>
      </c>
      <c r="D80" s="173" t="s">
        <v>17</v>
      </c>
      <c r="E80" s="173" t="s">
        <v>18</v>
      </c>
      <c r="F80" s="173" t="s">
        <v>16</v>
      </c>
      <c r="G80" s="87" t="b">
        <v>1</v>
      </c>
      <c r="H80" s="87" t="b">
        <v>0</v>
      </c>
      <c r="I80" s="87" t="b">
        <v>0</v>
      </c>
      <c r="J80" s="173" t="s">
        <v>468</v>
      </c>
      <c r="K80" s="174">
        <v>2476067000122</v>
      </c>
      <c r="L80" s="173" t="s">
        <v>778</v>
      </c>
      <c r="M80" s="173" t="s">
        <v>745</v>
      </c>
      <c r="N80" s="173" t="s">
        <v>59</v>
      </c>
      <c r="O80" s="87">
        <v>70</v>
      </c>
      <c r="P80" s="173" t="s">
        <v>20</v>
      </c>
      <c r="Q80" s="1" t="s">
        <v>1338</v>
      </c>
      <c r="R80" s="175">
        <v>15</v>
      </c>
      <c r="S80">
        <v>3</v>
      </c>
    </row>
    <row r="81" spans="1:19" x14ac:dyDescent="0.25">
      <c r="A81" s="87">
        <v>2019</v>
      </c>
      <c r="B81" s="87">
        <v>7</v>
      </c>
      <c r="C81" s="173" t="s">
        <v>16</v>
      </c>
      <c r="D81" s="173" t="s">
        <v>17</v>
      </c>
      <c r="E81" s="173" t="s">
        <v>18</v>
      </c>
      <c r="F81" s="173" t="s">
        <v>16</v>
      </c>
      <c r="G81" s="87" t="b">
        <v>1</v>
      </c>
      <c r="H81" s="87" t="b">
        <v>0</v>
      </c>
      <c r="I81" s="87" t="b">
        <v>0</v>
      </c>
      <c r="J81" s="173" t="s">
        <v>468</v>
      </c>
      <c r="K81" s="174">
        <v>2476067000203</v>
      </c>
      <c r="L81" s="173" t="s">
        <v>779</v>
      </c>
      <c r="M81" s="173" t="s">
        <v>745</v>
      </c>
      <c r="N81" s="173" t="s">
        <v>59</v>
      </c>
      <c r="O81" s="87">
        <v>73</v>
      </c>
      <c r="P81" s="173" t="s">
        <v>26</v>
      </c>
      <c r="Q81" s="1" t="s">
        <v>1342</v>
      </c>
      <c r="R81" s="175">
        <v>16</v>
      </c>
      <c r="S81">
        <v>4</v>
      </c>
    </row>
    <row r="82" spans="1:19" x14ac:dyDescent="0.25">
      <c r="A82" s="87">
        <v>2019</v>
      </c>
      <c r="B82" s="87">
        <v>7</v>
      </c>
      <c r="C82" s="173" t="s">
        <v>16</v>
      </c>
      <c r="D82" s="173" t="s">
        <v>17</v>
      </c>
      <c r="E82" s="173" t="s">
        <v>18</v>
      </c>
      <c r="F82" s="173" t="s">
        <v>16</v>
      </c>
      <c r="G82" s="87" t="b">
        <v>1</v>
      </c>
      <c r="H82" s="87" t="b">
        <v>0</v>
      </c>
      <c r="I82" s="87" t="b">
        <v>0</v>
      </c>
      <c r="J82" s="173" t="s">
        <v>491</v>
      </c>
      <c r="K82" s="174">
        <v>2476067000203</v>
      </c>
      <c r="L82" s="173" t="s">
        <v>779</v>
      </c>
      <c r="M82" s="173" t="s">
        <v>745</v>
      </c>
      <c r="N82" s="173" t="s">
        <v>59</v>
      </c>
      <c r="O82" s="87">
        <v>73</v>
      </c>
      <c r="P82" s="173" t="s">
        <v>26</v>
      </c>
      <c r="Q82" s="1" t="s">
        <v>1340</v>
      </c>
      <c r="R82" s="175">
        <v>4</v>
      </c>
      <c r="S82">
        <v>4</v>
      </c>
    </row>
    <row r="83" spans="1:19" x14ac:dyDescent="0.25">
      <c r="A83" s="87">
        <v>2019</v>
      </c>
      <c r="B83" s="87">
        <v>7</v>
      </c>
      <c r="C83" s="173" t="s">
        <v>16</v>
      </c>
      <c r="D83" s="173" t="s">
        <v>17</v>
      </c>
      <c r="E83" s="173" t="s">
        <v>18</v>
      </c>
      <c r="F83" s="173" t="s">
        <v>16</v>
      </c>
      <c r="G83" s="87" t="b">
        <v>1</v>
      </c>
      <c r="H83" s="87" t="b">
        <v>0</v>
      </c>
      <c r="I83" s="87" t="b">
        <v>0</v>
      </c>
      <c r="J83" s="173" t="s">
        <v>460</v>
      </c>
      <c r="K83" s="174">
        <v>2476067000394</v>
      </c>
      <c r="L83" s="173" t="s">
        <v>780</v>
      </c>
      <c r="M83" s="173" t="s">
        <v>745</v>
      </c>
      <c r="N83" s="173" t="s">
        <v>59</v>
      </c>
      <c r="O83" s="87">
        <v>70</v>
      </c>
      <c r="P83" s="173" t="s">
        <v>20</v>
      </c>
      <c r="Q83" s="1" t="s">
        <v>1338</v>
      </c>
      <c r="R83" s="175">
        <v>30</v>
      </c>
      <c r="S83">
        <v>6</v>
      </c>
    </row>
    <row r="84" spans="1:19" x14ac:dyDescent="0.25">
      <c r="A84" s="87">
        <v>2019</v>
      </c>
      <c r="B84" s="87">
        <v>7</v>
      </c>
      <c r="C84" s="173" t="s">
        <v>16</v>
      </c>
      <c r="D84" s="173" t="s">
        <v>17</v>
      </c>
      <c r="E84" s="173" t="s">
        <v>18</v>
      </c>
      <c r="F84" s="173" t="s">
        <v>16</v>
      </c>
      <c r="G84" s="87" t="b">
        <v>1</v>
      </c>
      <c r="H84" s="87" t="b">
        <v>0</v>
      </c>
      <c r="I84" s="87" t="b">
        <v>0</v>
      </c>
      <c r="J84" s="173" t="s">
        <v>464</v>
      </c>
      <c r="K84" s="174">
        <v>2476067000394</v>
      </c>
      <c r="L84" s="173" t="s">
        <v>780</v>
      </c>
      <c r="M84" s="173" t="s">
        <v>745</v>
      </c>
      <c r="N84" s="173" t="s">
        <v>59</v>
      </c>
      <c r="O84" s="87">
        <v>70</v>
      </c>
      <c r="P84" s="173" t="s">
        <v>20</v>
      </c>
      <c r="Q84" s="1" t="s">
        <v>1346</v>
      </c>
      <c r="R84" s="175">
        <v>2.5</v>
      </c>
      <c r="S84">
        <v>1</v>
      </c>
    </row>
    <row r="85" spans="1:19" x14ac:dyDescent="0.25">
      <c r="A85" s="87">
        <v>2019</v>
      </c>
      <c r="B85" s="87">
        <v>7</v>
      </c>
      <c r="C85" s="173" t="s">
        <v>16</v>
      </c>
      <c r="D85" s="173" t="s">
        <v>17</v>
      </c>
      <c r="E85" s="173" t="s">
        <v>18</v>
      </c>
      <c r="F85" s="173" t="s">
        <v>16</v>
      </c>
      <c r="G85" s="87" t="b">
        <v>1</v>
      </c>
      <c r="H85" s="87" t="b">
        <v>0</v>
      </c>
      <c r="I85" s="87" t="b">
        <v>0</v>
      </c>
      <c r="J85" s="173" t="s">
        <v>468</v>
      </c>
      <c r="K85" s="174">
        <v>2476067000394</v>
      </c>
      <c r="L85" s="173" t="s">
        <v>780</v>
      </c>
      <c r="M85" s="173" t="s">
        <v>745</v>
      </c>
      <c r="N85" s="173" t="s">
        <v>59</v>
      </c>
      <c r="O85" s="87">
        <v>70</v>
      </c>
      <c r="P85" s="173" t="s">
        <v>20</v>
      </c>
      <c r="Q85" s="1" t="s">
        <v>1338</v>
      </c>
      <c r="R85" s="175">
        <v>85</v>
      </c>
      <c r="S85">
        <v>17</v>
      </c>
    </row>
    <row r="86" spans="1:19" x14ac:dyDescent="0.25">
      <c r="A86" s="87">
        <v>2019</v>
      </c>
      <c r="B86" s="87">
        <v>7</v>
      </c>
      <c r="C86" s="173" t="s">
        <v>16</v>
      </c>
      <c r="D86" s="173" t="s">
        <v>17</v>
      </c>
      <c r="E86" s="173" t="s">
        <v>18</v>
      </c>
      <c r="F86" s="173" t="s">
        <v>16</v>
      </c>
      <c r="G86" s="87" t="b">
        <v>1</v>
      </c>
      <c r="H86" s="87" t="b">
        <v>0</v>
      </c>
      <c r="I86" s="87" t="b">
        <v>0</v>
      </c>
      <c r="J86" s="173" t="s">
        <v>491</v>
      </c>
      <c r="K86" s="174">
        <v>2560878000107</v>
      </c>
      <c r="L86" s="173" t="s">
        <v>781</v>
      </c>
      <c r="M86" s="173" t="s">
        <v>739</v>
      </c>
      <c r="N86" s="173" t="s">
        <v>55</v>
      </c>
      <c r="O86" s="87">
        <v>62</v>
      </c>
      <c r="P86" s="173" t="s">
        <v>27</v>
      </c>
      <c r="Q86" s="1" t="s">
        <v>1343</v>
      </c>
      <c r="R86" s="175">
        <v>1</v>
      </c>
      <c r="S86">
        <v>1</v>
      </c>
    </row>
    <row r="87" spans="1:19" x14ac:dyDescent="0.25">
      <c r="A87" s="87">
        <v>2019</v>
      </c>
      <c r="B87" s="87">
        <v>7</v>
      </c>
      <c r="C87" s="173" t="s">
        <v>16</v>
      </c>
      <c r="D87" s="173" t="s">
        <v>17</v>
      </c>
      <c r="E87" s="173" t="s">
        <v>18</v>
      </c>
      <c r="F87" s="173" t="s">
        <v>16</v>
      </c>
      <c r="G87" s="87" t="b">
        <v>1</v>
      </c>
      <c r="H87" s="87" t="b">
        <v>0</v>
      </c>
      <c r="I87" s="87" t="b">
        <v>0</v>
      </c>
      <c r="J87" s="173" t="s">
        <v>464</v>
      </c>
      <c r="K87" s="174">
        <v>2560878000107</v>
      </c>
      <c r="L87" s="173" t="s">
        <v>781</v>
      </c>
      <c r="M87" s="173" t="s">
        <v>739</v>
      </c>
      <c r="N87" s="173" t="s">
        <v>55</v>
      </c>
      <c r="O87" s="87">
        <v>64</v>
      </c>
      <c r="P87" s="173" t="s">
        <v>25</v>
      </c>
      <c r="Q87" s="1" t="s">
        <v>1344</v>
      </c>
      <c r="R87" s="175">
        <v>7</v>
      </c>
      <c r="S87">
        <v>7</v>
      </c>
    </row>
    <row r="88" spans="1:19" x14ac:dyDescent="0.25">
      <c r="A88" s="87">
        <v>2019</v>
      </c>
      <c r="B88" s="87">
        <v>7</v>
      </c>
      <c r="C88" s="173" t="s">
        <v>16</v>
      </c>
      <c r="D88" s="173" t="s">
        <v>17</v>
      </c>
      <c r="E88" s="173" t="s">
        <v>18</v>
      </c>
      <c r="F88" s="173" t="s">
        <v>16</v>
      </c>
      <c r="G88" s="87" t="b">
        <v>1</v>
      </c>
      <c r="H88" s="87" t="b">
        <v>0</v>
      </c>
      <c r="I88" s="87" t="b">
        <v>0</v>
      </c>
      <c r="J88" s="173" t="s">
        <v>460</v>
      </c>
      <c r="K88" s="174">
        <v>2560878000107</v>
      </c>
      <c r="L88" s="173" t="s">
        <v>781</v>
      </c>
      <c r="M88" s="173" t="s">
        <v>739</v>
      </c>
      <c r="N88" s="173" t="s">
        <v>55</v>
      </c>
      <c r="O88" s="87">
        <v>70</v>
      </c>
      <c r="P88" s="173" t="s">
        <v>20</v>
      </c>
      <c r="Q88" s="1" t="s">
        <v>1338</v>
      </c>
      <c r="R88" s="175">
        <v>40</v>
      </c>
      <c r="S88">
        <v>8</v>
      </c>
    </row>
    <row r="89" spans="1:19" x14ac:dyDescent="0.25">
      <c r="A89" s="87">
        <v>2019</v>
      </c>
      <c r="B89" s="87">
        <v>7</v>
      </c>
      <c r="C89" s="173" t="s">
        <v>16</v>
      </c>
      <c r="D89" s="173" t="s">
        <v>17</v>
      </c>
      <c r="E89" s="173" t="s">
        <v>18</v>
      </c>
      <c r="F89" s="173" t="s">
        <v>16</v>
      </c>
      <c r="G89" s="87" t="b">
        <v>1</v>
      </c>
      <c r="H89" s="87" t="b">
        <v>0</v>
      </c>
      <c r="I89" s="87" t="b">
        <v>0</v>
      </c>
      <c r="J89" s="173" t="s">
        <v>455</v>
      </c>
      <c r="K89" s="174">
        <v>2560878000107</v>
      </c>
      <c r="L89" s="173" t="s">
        <v>781</v>
      </c>
      <c r="M89" s="173" t="s">
        <v>739</v>
      </c>
      <c r="N89" s="173" t="s">
        <v>55</v>
      </c>
      <c r="O89" s="87">
        <v>70</v>
      </c>
      <c r="P89" s="173" t="s">
        <v>20</v>
      </c>
      <c r="Q89" s="1" t="s">
        <v>1338</v>
      </c>
      <c r="R89" s="175">
        <v>30</v>
      </c>
      <c r="S89">
        <v>6</v>
      </c>
    </row>
    <row r="90" spans="1:19" x14ac:dyDescent="0.25">
      <c r="A90" s="87">
        <v>2019</v>
      </c>
      <c r="B90" s="87">
        <v>7</v>
      </c>
      <c r="C90" s="173" t="s">
        <v>16</v>
      </c>
      <c r="D90" s="173" t="s">
        <v>17</v>
      </c>
      <c r="E90" s="173" t="s">
        <v>18</v>
      </c>
      <c r="F90" s="173" t="s">
        <v>16</v>
      </c>
      <c r="G90" s="87" t="b">
        <v>1</v>
      </c>
      <c r="H90" s="87" t="b">
        <v>0</v>
      </c>
      <c r="I90" s="87" t="b">
        <v>0</v>
      </c>
      <c r="J90" s="173" t="s">
        <v>468</v>
      </c>
      <c r="K90" s="174">
        <v>2560878000107</v>
      </c>
      <c r="L90" s="173" t="s">
        <v>781</v>
      </c>
      <c r="M90" s="173" t="s">
        <v>739</v>
      </c>
      <c r="N90" s="173" t="s">
        <v>55</v>
      </c>
      <c r="O90" s="87">
        <v>70</v>
      </c>
      <c r="P90" s="173" t="s">
        <v>20</v>
      </c>
      <c r="Q90" s="1" t="s">
        <v>1338</v>
      </c>
      <c r="R90" s="175">
        <v>175</v>
      </c>
      <c r="S90">
        <v>35</v>
      </c>
    </row>
    <row r="91" spans="1:19" x14ac:dyDescent="0.25">
      <c r="A91" s="87">
        <v>2019</v>
      </c>
      <c r="B91" s="87">
        <v>7</v>
      </c>
      <c r="C91" s="173" t="s">
        <v>16</v>
      </c>
      <c r="D91" s="173" t="s">
        <v>17</v>
      </c>
      <c r="E91" s="173" t="s">
        <v>18</v>
      </c>
      <c r="F91" s="173" t="s">
        <v>16</v>
      </c>
      <c r="G91" s="87" t="b">
        <v>1</v>
      </c>
      <c r="H91" s="87" t="b">
        <v>0</v>
      </c>
      <c r="I91" s="87" t="b">
        <v>0</v>
      </c>
      <c r="J91" s="173" t="s">
        <v>1512</v>
      </c>
      <c r="K91" s="174">
        <v>2560878000107</v>
      </c>
      <c r="L91" s="173" t="s">
        <v>781</v>
      </c>
      <c r="M91" s="173" t="s">
        <v>739</v>
      </c>
      <c r="N91" s="173" t="s">
        <v>55</v>
      </c>
      <c r="O91" s="87">
        <v>70</v>
      </c>
      <c r="P91" s="173" t="s">
        <v>20</v>
      </c>
      <c r="Q91" s="1" t="s">
        <v>1338</v>
      </c>
      <c r="R91" s="175">
        <v>30</v>
      </c>
      <c r="S91">
        <v>6</v>
      </c>
    </row>
    <row r="92" spans="1:19" x14ac:dyDescent="0.25">
      <c r="A92" s="87">
        <v>2019</v>
      </c>
      <c r="B92" s="87">
        <v>7</v>
      </c>
      <c r="C92" s="173" t="s">
        <v>16</v>
      </c>
      <c r="D92" s="173" t="s">
        <v>17</v>
      </c>
      <c r="E92" s="173" t="s">
        <v>18</v>
      </c>
      <c r="F92" s="173" t="s">
        <v>16</v>
      </c>
      <c r="G92" s="87" t="b">
        <v>1</v>
      </c>
      <c r="H92" s="87" t="b">
        <v>0</v>
      </c>
      <c r="I92" s="87" t="b">
        <v>0</v>
      </c>
      <c r="J92" s="173" t="s">
        <v>463</v>
      </c>
      <c r="K92" s="174">
        <v>2623693000102</v>
      </c>
      <c r="L92" s="173" t="s">
        <v>1142</v>
      </c>
      <c r="M92" s="173" t="s">
        <v>58</v>
      </c>
      <c r="N92" s="173" t="s">
        <v>54</v>
      </c>
      <c r="O92" s="87">
        <v>70</v>
      </c>
      <c r="P92" s="173" t="s">
        <v>20</v>
      </c>
      <c r="Q92" s="1" t="s">
        <v>1345</v>
      </c>
      <c r="R92" s="175">
        <v>20</v>
      </c>
      <c r="S92">
        <v>2</v>
      </c>
    </row>
    <row r="93" spans="1:19" x14ac:dyDescent="0.25">
      <c r="A93" s="87">
        <v>2019</v>
      </c>
      <c r="B93" s="87">
        <v>7</v>
      </c>
      <c r="C93" s="173" t="s">
        <v>16</v>
      </c>
      <c r="D93" s="173" t="s">
        <v>17</v>
      </c>
      <c r="E93" s="173" t="s">
        <v>18</v>
      </c>
      <c r="F93" s="173" t="s">
        <v>16</v>
      </c>
      <c r="G93" s="87" t="b">
        <v>1</v>
      </c>
      <c r="H93" s="87" t="b">
        <v>0</v>
      </c>
      <c r="I93" s="87" t="b">
        <v>0</v>
      </c>
      <c r="J93" s="173" t="s">
        <v>463</v>
      </c>
      <c r="K93" s="174">
        <v>2643405000173</v>
      </c>
      <c r="L93" s="173" t="s">
        <v>642</v>
      </c>
      <c r="M93" s="173" t="s">
        <v>643</v>
      </c>
      <c r="N93" s="173" t="s">
        <v>19</v>
      </c>
      <c r="O93" s="87">
        <v>73</v>
      </c>
      <c r="P93" s="173" t="s">
        <v>26</v>
      </c>
      <c r="Q93" s="1" t="s">
        <v>1339</v>
      </c>
      <c r="R93" s="175">
        <v>6</v>
      </c>
      <c r="S93">
        <v>3</v>
      </c>
    </row>
    <row r="94" spans="1:19" x14ac:dyDescent="0.25">
      <c r="A94" s="87">
        <v>2019</v>
      </c>
      <c r="B94" s="87">
        <v>7</v>
      </c>
      <c r="C94" s="173" t="s">
        <v>16</v>
      </c>
      <c r="D94" s="173" t="s">
        <v>17</v>
      </c>
      <c r="E94" s="173" t="s">
        <v>18</v>
      </c>
      <c r="F94" s="173" t="s">
        <v>16</v>
      </c>
      <c r="G94" s="87" t="b">
        <v>1</v>
      </c>
      <c r="H94" s="87" t="b">
        <v>0</v>
      </c>
      <c r="I94" s="87" t="b">
        <v>0</v>
      </c>
      <c r="J94" s="173" t="s">
        <v>470</v>
      </c>
      <c r="K94" s="174">
        <v>2837922000183</v>
      </c>
      <c r="L94" s="173" t="s">
        <v>563</v>
      </c>
      <c r="M94" s="173" t="s">
        <v>29</v>
      </c>
      <c r="N94" s="173" t="s">
        <v>19</v>
      </c>
      <c r="O94" s="87">
        <v>73</v>
      </c>
      <c r="P94" s="173" t="s">
        <v>26</v>
      </c>
      <c r="Q94" s="1" t="s">
        <v>1342</v>
      </c>
      <c r="R94" s="175">
        <v>48</v>
      </c>
      <c r="S94">
        <v>12</v>
      </c>
    </row>
    <row r="95" spans="1:19" x14ac:dyDescent="0.25">
      <c r="A95" s="87">
        <v>2019</v>
      </c>
      <c r="B95" s="87">
        <v>7</v>
      </c>
      <c r="C95" s="173" t="s">
        <v>16</v>
      </c>
      <c r="D95" s="173" t="s">
        <v>17</v>
      </c>
      <c r="E95" s="173" t="s">
        <v>18</v>
      </c>
      <c r="F95" s="173" t="s">
        <v>16</v>
      </c>
      <c r="G95" s="87" t="b">
        <v>1</v>
      </c>
      <c r="H95" s="87" t="b">
        <v>0</v>
      </c>
      <c r="I95" s="87" t="b">
        <v>0</v>
      </c>
      <c r="J95" s="173" t="s">
        <v>470</v>
      </c>
      <c r="K95" s="174">
        <v>2837922000183</v>
      </c>
      <c r="L95" s="173" t="s">
        <v>563</v>
      </c>
      <c r="M95" s="173" t="s">
        <v>29</v>
      </c>
      <c r="N95" s="173" t="s">
        <v>19</v>
      </c>
      <c r="O95" s="87">
        <v>73</v>
      </c>
      <c r="P95" s="173" t="s">
        <v>26</v>
      </c>
      <c r="Q95" s="1" t="s">
        <v>1340</v>
      </c>
      <c r="R95" s="175">
        <v>4</v>
      </c>
      <c r="S95">
        <v>4</v>
      </c>
    </row>
    <row r="96" spans="1:19" x14ac:dyDescent="0.25">
      <c r="A96" s="87">
        <v>2019</v>
      </c>
      <c r="B96" s="87">
        <v>7</v>
      </c>
      <c r="C96" s="173" t="s">
        <v>16</v>
      </c>
      <c r="D96" s="173" t="s">
        <v>17</v>
      </c>
      <c r="E96" s="173" t="s">
        <v>18</v>
      </c>
      <c r="F96" s="173" t="s">
        <v>16</v>
      </c>
      <c r="G96" s="87" t="b">
        <v>1</v>
      </c>
      <c r="H96" s="87" t="b">
        <v>0</v>
      </c>
      <c r="I96" s="87" t="b">
        <v>0</v>
      </c>
      <c r="J96" s="173" t="s">
        <v>450</v>
      </c>
      <c r="K96" s="174">
        <v>2837922000183</v>
      </c>
      <c r="L96" s="173" t="s">
        <v>563</v>
      </c>
      <c r="M96" s="173" t="s">
        <v>29</v>
      </c>
      <c r="N96" s="173" t="s">
        <v>19</v>
      </c>
      <c r="O96" s="87">
        <v>73</v>
      </c>
      <c r="P96" s="173" t="s">
        <v>26</v>
      </c>
      <c r="Q96" s="1" t="s">
        <v>1342</v>
      </c>
      <c r="R96" s="175">
        <v>48</v>
      </c>
      <c r="S96">
        <v>12</v>
      </c>
    </row>
    <row r="97" spans="1:19" x14ac:dyDescent="0.25">
      <c r="A97" s="87">
        <v>2019</v>
      </c>
      <c r="B97" s="87">
        <v>7</v>
      </c>
      <c r="C97" s="173" t="s">
        <v>16</v>
      </c>
      <c r="D97" s="173" t="s">
        <v>17</v>
      </c>
      <c r="E97" s="173" t="s">
        <v>18</v>
      </c>
      <c r="F97" s="173" t="s">
        <v>16</v>
      </c>
      <c r="G97" s="87" t="b">
        <v>1</v>
      </c>
      <c r="H97" s="87" t="b">
        <v>0</v>
      </c>
      <c r="I97" s="87" t="b">
        <v>0</v>
      </c>
      <c r="J97" s="173" t="s">
        <v>452</v>
      </c>
      <c r="K97" s="174">
        <v>2862447000286</v>
      </c>
      <c r="L97" s="173" t="s">
        <v>942</v>
      </c>
      <c r="M97" s="173" t="s">
        <v>94</v>
      </c>
      <c r="N97" s="173" t="s">
        <v>57</v>
      </c>
      <c r="O97" s="87">
        <v>70</v>
      </c>
      <c r="P97" s="173" t="s">
        <v>20</v>
      </c>
      <c r="Q97" s="1" t="s">
        <v>1345</v>
      </c>
      <c r="R97" s="175">
        <v>40</v>
      </c>
      <c r="S97">
        <v>4</v>
      </c>
    </row>
    <row r="98" spans="1:19" x14ac:dyDescent="0.25">
      <c r="A98" s="87">
        <v>2019</v>
      </c>
      <c r="B98" s="87">
        <v>7</v>
      </c>
      <c r="C98" s="173" t="s">
        <v>16</v>
      </c>
      <c r="D98" s="173" t="s">
        <v>17</v>
      </c>
      <c r="E98" s="173" t="s">
        <v>18</v>
      </c>
      <c r="F98" s="173" t="s">
        <v>16</v>
      </c>
      <c r="G98" s="87" t="b">
        <v>1</v>
      </c>
      <c r="H98" s="87" t="b">
        <v>0</v>
      </c>
      <c r="I98" s="87" t="b">
        <v>0</v>
      </c>
      <c r="J98" s="173" t="s">
        <v>477</v>
      </c>
      <c r="K98" s="174">
        <v>2864097000106</v>
      </c>
      <c r="L98" s="173" t="s">
        <v>1078</v>
      </c>
      <c r="M98" s="173" t="s">
        <v>131</v>
      </c>
      <c r="N98" s="173" t="s">
        <v>61</v>
      </c>
      <c r="O98" s="87">
        <v>70</v>
      </c>
      <c r="P98" s="173" t="s">
        <v>20</v>
      </c>
      <c r="Q98" s="1" t="s">
        <v>1338</v>
      </c>
      <c r="R98" s="175">
        <v>315</v>
      </c>
      <c r="S98">
        <v>63</v>
      </c>
    </row>
    <row r="99" spans="1:19" x14ac:dyDescent="0.25">
      <c r="A99" s="87">
        <v>2019</v>
      </c>
      <c r="B99" s="87">
        <v>7</v>
      </c>
      <c r="C99" s="173" t="s">
        <v>16</v>
      </c>
      <c r="D99" s="173" t="s">
        <v>17</v>
      </c>
      <c r="E99" s="173" t="s">
        <v>18</v>
      </c>
      <c r="F99" s="173" t="s">
        <v>16</v>
      </c>
      <c r="G99" s="87" t="b">
        <v>1</v>
      </c>
      <c r="H99" s="87" t="b">
        <v>0</v>
      </c>
      <c r="I99" s="87" t="b">
        <v>0</v>
      </c>
      <c r="J99" s="173" t="s">
        <v>464</v>
      </c>
      <c r="K99" s="174">
        <v>3533726000773</v>
      </c>
      <c r="L99" s="173" t="s">
        <v>787</v>
      </c>
      <c r="M99" s="173" t="s">
        <v>772</v>
      </c>
      <c r="N99" s="173" t="s">
        <v>69</v>
      </c>
      <c r="O99" s="87">
        <v>70</v>
      </c>
      <c r="P99" s="173" t="s">
        <v>20</v>
      </c>
      <c r="Q99" s="1" t="s">
        <v>1338</v>
      </c>
      <c r="R99" s="175">
        <v>30</v>
      </c>
      <c r="S99">
        <v>6</v>
      </c>
    </row>
    <row r="100" spans="1:19" x14ac:dyDescent="0.25">
      <c r="A100" s="87">
        <v>2019</v>
      </c>
      <c r="B100" s="87">
        <v>7</v>
      </c>
      <c r="C100" s="173" t="s">
        <v>16</v>
      </c>
      <c r="D100" s="173" t="s">
        <v>17</v>
      </c>
      <c r="E100" s="173" t="s">
        <v>18</v>
      </c>
      <c r="F100" s="173" t="s">
        <v>16</v>
      </c>
      <c r="G100" s="87" t="b">
        <v>1</v>
      </c>
      <c r="H100" s="87" t="b">
        <v>0</v>
      </c>
      <c r="I100" s="87" t="b">
        <v>0</v>
      </c>
      <c r="J100" s="173" t="s">
        <v>470</v>
      </c>
      <c r="K100" s="174">
        <v>3533726001583</v>
      </c>
      <c r="L100" s="173" t="s">
        <v>788</v>
      </c>
      <c r="M100" s="173" t="s">
        <v>789</v>
      </c>
      <c r="N100" s="173" t="s">
        <v>69</v>
      </c>
      <c r="O100" s="87">
        <v>70</v>
      </c>
      <c r="P100" s="173" t="s">
        <v>20</v>
      </c>
      <c r="Q100" s="1" t="s">
        <v>1338</v>
      </c>
      <c r="R100" s="175">
        <v>130</v>
      </c>
      <c r="S100">
        <v>26</v>
      </c>
    </row>
    <row r="101" spans="1:19" x14ac:dyDescent="0.25">
      <c r="A101" s="87">
        <v>2019</v>
      </c>
      <c r="B101" s="87">
        <v>7</v>
      </c>
      <c r="C101" s="173" t="s">
        <v>16</v>
      </c>
      <c r="D101" s="173" t="s">
        <v>17</v>
      </c>
      <c r="E101" s="173" t="s">
        <v>18</v>
      </c>
      <c r="F101" s="173" t="s">
        <v>16</v>
      </c>
      <c r="G101" s="87" t="b">
        <v>1</v>
      </c>
      <c r="H101" s="87" t="b">
        <v>0</v>
      </c>
      <c r="I101" s="87" t="b">
        <v>0</v>
      </c>
      <c r="J101" s="173" t="s">
        <v>470</v>
      </c>
      <c r="K101" s="174">
        <v>3533726001583</v>
      </c>
      <c r="L101" s="173" t="s">
        <v>788</v>
      </c>
      <c r="M101" s="173" t="s">
        <v>789</v>
      </c>
      <c r="N101" s="173" t="s">
        <v>69</v>
      </c>
      <c r="O101" s="87">
        <v>73</v>
      </c>
      <c r="P101" s="173" t="s">
        <v>26</v>
      </c>
      <c r="Q101" s="1" t="s">
        <v>1342</v>
      </c>
      <c r="R101" s="175">
        <v>36</v>
      </c>
      <c r="S101">
        <v>9</v>
      </c>
    </row>
    <row r="102" spans="1:19" x14ac:dyDescent="0.25">
      <c r="A102" s="87">
        <v>2019</v>
      </c>
      <c r="B102" s="87">
        <v>7</v>
      </c>
      <c r="C102" s="173" t="s">
        <v>16</v>
      </c>
      <c r="D102" s="173" t="s">
        <v>17</v>
      </c>
      <c r="E102" s="173" t="s">
        <v>18</v>
      </c>
      <c r="F102" s="173" t="s">
        <v>16</v>
      </c>
      <c r="G102" s="87" t="b">
        <v>1</v>
      </c>
      <c r="H102" s="87" t="b">
        <v>0</v>
      </c>
      <c r="I102" s="87" t="b">
        <v>0</v>
      </c>
      <c r="J102" s="173" t="s">
        <v>492</v>
      </c>
      <c r="K102" s="174">
        <v>3824198000116</v>
      </c>
      <c r="L102" s="173" t="s">
        <v>944</v>
      </c>
      <c r="M102" s="173" t="s">
        <v>94</v>
      </c>
      <c r="N102" s="173" t="s">
        <v>57</v>
      </c>
      <c r="O102" s="87">
        <v>70</v>
      </c>
      <c r="P102" s="173" t="s">
        <v>20</v>
      </c>
      <c r="Q102" s="1" t="s">
        <v>1338</v>
      </c>
      <c r="R102" s="175">
        <v>250</v>
      </c>
      <c r="S102">
        <v>50</v>
      </c>
    </row>
    <row r="103" spans="1:19" x14ac:dyDescent="0.25">
      <c r="A103" s="87">
        <v>2019</v>
      </c>
      <c r="B103" s="87">
        <v>7</v>
      </c>
      <c r="C103" s="173" t="s">
        <v>16</v>
      </c>
      <c r="D103" s="173" t="s">
        <v>17</v>
      </c>
      <c r="E103" s="173" t="s">
        <v>18</v>
      </c>
      <c r="F103" s="173" t="s">
        <v>16</v>
      </c>
      <c r="G103" s="87" t="b">
        <v>1</v>
      </c>
      <c r="H103" s="87" t="b">
        <v>0</v>
      </c>
      <c r="I103" s="87" t="b">
        <v>0</v>
      </c>
      <c r="J103" s="173" t="s">
        <v>451</v>
      </c>
      <c r="K103" s="174">
        <v>3850913000195</v>
      </c>
      <c r="L103" s="173" t="s">
        <v>945</v>
      </c>
      <c r="M103" s="173" t="s">
        <v>94</v>
      </c>
      <c r="N103" s="173" t="s">
        <v>57</v>
      </c>
      <c r="O103" s="87">
        <v>70</v>
      </c>
      <c r="P103" s="173" t="s">
        <v>20</v>
      </c>
      <c r="Q103" s="1" t="s">
        <v>1345</v>
      </c>
      <c r="R103" s="175">
        <v>300</v>
      </c>
      <c r="S103">
        <v>30</v>
      </c>
    </row>
    <row r="104" spans="1:19" x14ac:dyDescent="0.25">
      <c r="A104" s="87">
        <v>2019</v>
      </c>
      <c r="B104" s="87">
        <v>7</v>
      </c>
      <c r="C104" s="173" t="s">
        <v>16</v>
      </c>
      <c r="D104" s="173" t="s">
        <v>17</v>
      </c>
      <c r="E104" s="173" t="s">
        <v>18</v>
      </c>
      <c r="F104" s="173" t="s">
        <v>16</v>
      </c>
      <c r="G104" s="87" t="b">
        <v>1</v>
      </c>
      <c r="H104" s="87" t="b">
        <v>0</v>
      </c>
      <c r="I104" s="87" t="b">
        <v>0</v>
      </c>
      <c r="J104" s="173" t="s">
        <v>451</v>
      </c>
      <c r="K104" s="174">
        <v>3850913000195</v>
      </c>
      <c r="L104" s="173" t="s">
        <v>945</v>
      </c>
      <c r="M104" s="173" t="s">
        <v>94</v>
      </c>
      <c r="N104" s="173" t="s">
        <v>57</v>
      </c>
      <c r="O104" s="87">
        <v>70</v>
      </c>
      <c r="P104" s="173" t="s">
        <v>20</v>
      </c>
      <c r="Q104" s="1" t="s">
        <v>1338</v>
      </c>
      <c r="R104" s="175">
        <v>265</v>
      </c>
      <c r="S104">
        <v>53</v>
      </c>
    </row>
    <row r="105" spans="1:19" x14ac:dyDescent="0.25">
      <c r="A105" s="87">
        <v>2019</v>
      </c>
      <c r="B105" s="87">
        <v>7</v>
      </c>
      <c r="C105" s="173" t="s">
        <v>16</v>
      </c>
      <c r="D105" s="173" t="s">
        <v>17</v>
      </c>
      <c r="E105" s="173" t="s">
        <v>18</v>
      </c>
      <c r="F105" s="173" t="s">
        <v>16</v>
      </c>
      <c r="G105" s="87" t="b">
        <v>1</v>
      </c>
      <c r="H105" s="87" t="b">
        <v>0</v>
      </c>
      <c r="I105" s="87" t="b">
        <v>0</v>
      </c>
      <c r="J105" s="173" t="s">
        <v>452</v>
      </c>
      <c r="K105" s="174">
        <v>3850913000195</v>
      </c>
      <c r="L105" s="173" t="s">
        <v>945</v>
      </c>
      <c r="M105" s="173" t="s">
        <v>94</v>
      </c>
      <c r="N105" s="173" t="s">
        <v>57</v>
      </c>
      <c r="O105" s="87">
        <v>70</v>
      </c>
      <c r="P105" s="173" t="s">
        <v>20</v>
      </c>
      <c r="Q105" s="1" t="s">
        <v>1345</v>
      </c>
      <c r="R105" s="175">
        <v>100</v>
      </c>
      <c r="S105">
        <v>10</v>
      </c>
    </row>
    <row r="106" spans="1:19" x14ac:dyDescent="0.25">
      <c r="A106" s="87">
        <v>2019</v>
      </c>
      <c r="B106" s="87">
        <v>7</v>
      </c>
      <c r="C106" s="173" t="s">
        <v>16</v>
      </c>
      <c r="D106" s="173" t="s">
        <v>17</v>
      </c>
      <c r="E106" s="173" t="s">
        <v>18</v>
      </c>
      <c r="F106" s="173" t="s">
        <v>16</v>
      </c>
      <c r="G106" s="87" t="b">
        <v>1</v>
      </c>
      <c r="H106" s="87" t="b">
        <v>0</v>
      </c>
      <c r="I106" s="87" t="b">
        <v>0</v>
      </c>
      <c r="J106" s="173" t="s">
        <v>470</v>
      </c>
      <c r="K106" s="174">
        <v>3858924000111</v>
      </c>
      <c r="L106" s="173" t="s">
        <v>791</v>
      </c>
      <c r="M106" s="173" t="s">
        <v>115</v>
      </c>
      <c r="N106" s="173" t="s">
        <v>71</v>
      </c>
      <c r="O106" s="87">
        <v>70</v>
      </c>
      <c r="P106" s="173" t="s">
        <v>20</v>
      </c>
      <c r="Q106" s="1" t="s">
        <v>1338</v>
      </c>
      <c r="R106" s="175">
        <v>120</v>
      </c>
      <c r="S106">
        <v>24</v>
      </c>
    </row>
    <row r="107" spans="1:19" x14ac:dyDescent="0.25">
      <c r="A107" s="87">
        <v>2019</v>
      </c>
      <c r="B107" s="87">
        <v>7</v>
      </c>
      <c r="C107" s="173" t="s">
        <v>16</v>
      </c>
      <c r="D107" s="173" t="s">
        <v>17</v>
      </c>
      <c r="E107" s="173" t="s">
        <v>18</v>
      </c>
      <c r="F107" s="173" t="s">
        <v>16</v>
      </c>
      <c r="G107" s="87" t="b">
        <v>1</v>
      </c>
      <c r="H107" s="87" t="b">
        <v>0</v>
      </c>
      <c r="I107" s="87" t="b">
        <v>0</v>
      </c>
      <c r="J107" s="173" t="s">
        <v>450</v>
      </c>
      <c r="K107" s="174">
        <v>3872790000193</v>
      </c>
      <c r="L107" s="173" t="s">
        <v>564</v>
      </c>
      <c r="M107" s="173" t="s">
        <v>29</v>
      </c>
      <c r="N107" s="173" t="s">
        <v>19</v>
      </c>
      <c r="O107" s="87">
        <v>73</v>
      </c>
      <c r="P107" s="173" t="s">
        <v>26</v>
      </c>
      <c r="Q107" s="1" t="s">
        <v>1342</v>
      </c>
      <c r="R107" s="175">
        <v>8</v>
      </c>
      <c r="S107">
        <v>2</v>
      </c>
    </row>
    <row r="108" spans="1:19" x14ac:dyDescent="0.25">
      <c r="A108" s="87">
        <v>2019</v>
      </c>
      <c r="B108" s="87">
        <v>7</v>
      </c>
      <c r="C108" s="173" t="s">
        <v>16</v>
      </c>
      <c r="D108" s="173" t="s">
        <v>17</v>
      </c>
      <c r="E108" s="173" t="s">
        <v>18</v>
      </c>
      <c r="F108" s="173" t="s">
        <v>16</v>
      </c>
      <c r="G108" s="87" t="b">
        <v>1</v>
      </c>
      <c r="H108" s="87" t="b">
        <v>0</v>
      </c>
      <c r="I108" s="87" t="b">
        <v>0</v>
      </c>
      <c r="J108" s="173" t="s">
        <v>455</v>
      </c>
      <c r="K108" s="174">
        <v>3925419000142</v>
      </c>
      <c r="L108" s="173" t="s">
        <v>795</v>
      </c>
      <c r="M108" s="173" t="s">
        <v>772</v>
      </c>
      <c r="N108" s="173" t="s">
        <v>69</v>
      </c>
      <c r="O108" s="87">
        <v>64</v>
      </c>
      <c r="P108" s="173" t="s">
        <v>25</v>
      </c>
      <c r="Q108" s="1" t="s">
        <v>1344</v>
      </c>
      <c r="R108" s="175">
        <v>13</v>
      </c>
      <c r="S108">
        <v>13</v>
      </c>
    </row>
    <row r="109" spans="1:19" x14ac:dyDescent="0.25">
      <c r="A109" s="87">
        <v>2019</v>
      </c>
      <c r="B109" s="87">
        <v>7</v>
      </c>
      <c r="C109" s="173" t="s">
        <v>16</v>
      </c>
      <c r="D109" s="173" t="s">
        <v>17</v>
      </c>
      <c r="E109" s="173" t="s">
        <v>18</v>
      </c>
      <c r="F109" s="173" t="s">
        <v>16</v>
      </c>
      <c r="G109" s="87" t="b">
        <v>1</v>
      </c>
      <c r="H109" s="87" t="b">
        <v>0</v>
      </c>
      <c r="I109" s="87" t="b">
        <v>0</v>
      </c>
      <c r="J109" s="173" t="s">
        <v>468</v>
      </c>
      <c r="K109" s="174">
        <v>3989821000190</v>
      </c>
      <c r="L109" s="173" t="s">
        <v>796</v>
      </c>
      <c r="M109" s="173" t="s">
        <v>739</v>
      </c>
      <c r="N109" s="173" t="s">
        <v>55</v>
      </c>
      <c r="O109" s="87">
        <v>70</v>
      </c>
      <c r="P109" s="173" t="s">
        <v>20</v>
      </c>
      <c r="Q109" s="1" t="s">
        <v>1338</v>
      </c>
      <c r="R109" s="175">
        <v>245</v>
      </c>
      <c r="S109">
        <v>49</v>
      </c>
    </row>
    <row r="110" spans="1:19" x14ac:dyDescent="0.25">
      <c r="A110" s="87">
        <v>2019</v>
      </c>
      <c r="B110" s="87">
        <v>7</v>
      </c>
      <c r="C110" s="173" t="s">
        <v>16</v>
      </c>
      <c r="D110" s="173" t="s">
        <v>17</v>
      </c>
      <c r="E110" s="173" t="s">
        <v>18</v>
      </c>
      <c r="F110" s="173" t="s">
        <v>16</v>
      </c>
      <c r="G110" s="87" t="b">
        <v>1</v>
      </c>
      <c r="H110" s="87" t="b">
        <v>0</v>
      </c>
      <c r="I110" s="87" t="b">
        <v>0</v>
      </c>
      <c r="J110" s="173" t="s">
        <v>463</v>
      </c>
      <c r="K110" s="174">
        <v>4036348000190</v>
      </c>
      <c r="L110" s="173" t="s">
        <v>565</v>
      </c>
      <c r="M110" s="173" t="s">
        <v>29</v>
      </c>
      <c r="N110" s="173" t="s">
        <v>19</v>
      </c>
      <c r="O110" s="87">
        <v>70</v>
      </c>
      <c r="P110" s="173" t="s">
        <v>20</v>
      </c>
      <c r="Q110" s="1" t="s">
        <v>1345</v>
      </c>
      <c r="R110" s="175">
        <v>500</v>
      </c>
      <c r="S110">
        <v>50</v>
      </c>
    </row>
    <row r="111" spans="1:19" x14ac:dyDescent="0.25">
      <c r="A111" s="87">
        <v>2019</v>
      </c>
      <c r="B111" s="87">
        <v>7</v>
      </c>
      <c r="C111" s="173" t="s">
        <v>16</v>
      </c>
      <c r="D111" s="173" t="s">
        <v>17</v>
      </c>
      <c r="E111" s="173" t="s">
        <v>18</v>
      </c>
      <c r="F111" s="173" t="s">
        <v>16</v>
      </c>
      <c r="G111" s="87" t="b">
        <v>1</v>
      </c>
      <c r="H111" s="87" t="b">
        <v>0</v>
      </c>
      <c r="I111" s="87" t="b">
        <v>0</v>
      </c>
      <c r="J111" s="173" t="s">
        <v>463</v>
      </c>
      <c r="K111" s="174">
        <v>4036348000190</v>
      </c>
      <c r="L111" s="173" t="s">
        <v>565</v>
      </c>
      <c r="M111" s="173" t="s">
        <v>29</v>
      </c>
      <c r="N111" s="173" t="s">
        <v>19</v>
      </c>
      <c r="O111" s="87">
        <v>70</v>
      </c>
      <c r="P111" s="173" t="s">
        <v>20</v>
      </c>
      <c r="Q111" s="1" t="s">
        <v>1338</v>
      </c>
      <c r="R111" s="175">
        <v>15</v>
      </c>
      <c r="S111">
        <v>3</v>
      </c>
    </row>
    <row r="112" spans="1:19" x14ac:dyDescent="0.25">
      <c r="A112" s="87">
        <v>2019</v>
      </c>
      <c r="B112" s="87">
        <v>7</v>
      </c>
      <c r="C112" s="173" t="s">
        <v>16</v>
      </c>
      <c r="D112" s="173" t="s">
        <v>17</v>
      </c>
      <c r="E112" s="173" t="s">
        <v>18</v>
      </c>
      <c r="F112" s="173" t="s">
        <v>16</v>
      </c>
      <c r="G112" s="87" t="b">
        <v>1</v>
      </c>
      <c r="H112" s="87" t="b">
        <v>0</v>
      </c>
      <c r="I112" s="87" t="b">
        <v>0</v>
      </c>
      <c r="J112" s="173" t="s">
        <v>460</v>
      </c>
      <c r="K112" s="174">
        <v>4201372001028</v>
      </c>
      <c r="L112" s="173" t="s">
        <v>1145</v>
      </c>
      <c r="M112" s="173" t="s">
        <v>1129</v>
      </c>
      <c r="N112" s="173" t="s">
        <v>52</v>
      </c>
      <c r="O112" s="87">
        <v>73</v>
      </c>
      <c r="P112" s="173" t="s">
        <v>26</v>
      </c>
      <c r="Q112" s="1" t="s">
        <v>1342</v>
      </c>
      <c r="R112" s="175">
        <v>40</v>
      </c>
      <c r="S112">
        <v>10</v>
      </c>
    </row>
    <row r="113" spans="1:19" x14ac:dyDescent="0.25">
      <c r="A113" s="87">
        <v>2019</v>
      </c>
      <c r="B113" s="87">
        <v>7</v>
      </c>
      <c r="C113" s="173" t="s">
        <v>16</v>
      </c>
      <c r="D113" s="173" t="s">
        <v>17</v>
      </c>
      <c r="E113" s="173" t="s">
        <v>18</v>
      </c>
      <c r="F113" s="173" t="s">
        <v>16</v>
      </c>
      <c r="G113" s="87" t="b">
        <v>1</v>
      </c>
      <c r="H113" s="87" t="b">
        <v>0</v>
      </c>
      <c r="I113" s="87" t="b">
        <v>0</v>
      </c>
      <c r="J113" s="173" t="s">
        <v>463</v>
      </c>
      <c r="K113" s="174">
        <v>4275687000129</v>
      </c>
      <c r="L113" s="173" t="s">
        <v>645</v>
      </c>
      <c r="M113" s="173" t="s">
        <v>31</v>
      </c>
      <c r="N113" s="173" t="s">
        <v>19</v>
      </c>
      <c r="O113" s="87">
        <v>73</v>
      </c>
      <c r="P113" s="173" t="s">
        <v>26</v>
      </c>
      <c r="Q113" s="1" t="s">
        <v>1342</v>
      </c>
      <c r="R113" s="175">
        <v>32</v>
      </c>
      <c r="S113">
        <v>8</v>
      </c>
    </row>
    <row r="114" spans="1:19" x14ac:dyDescent="0.25">
      <c r="A114" s="87">
        <v>2019</v>
      </c>
      <c r="B114" s="87">
        <v>7</v>
      </c>
      <c r="C114" s="173" t="s">
        <v>16</v>
      </c>
      <c r="D114" s="173" t="s">
        <v>17</v>
      </c>
      <c r="E114" s="173" t="s">
        <v>18</v>
      </c>
      <c r="F114" s="173" t="s">
        <v>16</v>
      </c>
      <c r="G114" s="87" t="b">
        <v>1</v>
      </c>
      <c r="H114" s="87" t="b">
        <v>0</v>
      </c>
      <c r="I114" s="87" t="b">
        <v>0</v>
      </c>
      <c r="J114" s="173" t="s">
        <v>463</v>
      </c>
      <c r="K114" s="174">
        <v>4275687000129</v>
      </c>
      <c r="L114" s="173" t="s">
        <v>645</v>
      </c>
      <c r="M114" s="173" t="s">
        <v>31</v>
      </c>
      <c r="N114" s="173" t="s">
        <v>19</v>
      </c>
      <c r="O114" s="87">
        <v>73</v>
      </c>
      <c r="P114" s="173" t="s">
        <v>26</v>
      </c>
      <c r="Q114" s="1" t="s">
        <v>1340</v>
      </c>
      <c r="R114" s="175">
        <v>4</v>
      </c>
      <c r="S114">
        <v>4</v>
      </c>
    </row>
    <row r="115" spans="1:19" x14ac:dyDescent="0.25">
      <c r="A115" s="87">
        <v>2019</v>
      </c>
      <c r="B115" s="87">
        <v>7</v>
      </c>
      <c r="C115" s="173" t="s">
        <v>16</v>
      </c>
      <c r="D115" s="173" t="s">
        <v>17</v>
      </c>
      <c r="E115" s="173" t="s">
        <v>18</v>
      </c>
      <c r="F115" s="173" t="s">
        <v>16</v>
      </c>
      <c r="G115" s="87" t="b">
        <v>1</v>
      </c>
      <c r="H115" s="87" t="b">
        <v>0</v>
      </c>
      <c r="I115" s="87" t="b">
        <v>0</v>
      </c>
      <c r="J115" s="173" t="s">
        <v>460</v>
      </c>
      <c r="K115" s="174">
        <v>4602792000125</v>
      </c>
      <c r="L115" s="173" t="s">
        <v>797</v>
      </c>
      <c r="M115" s="173" t="s">
        <v>73</v>
      </c>
      <c r="N115" s="173" t="s">
        <v>74</v>
      </c>
      <c r="O115" s="87">
        <v>64</v>
      </c>
      <c r="P115" s="173" t="s">
        <v>25</v>
      </c>
      <c r="Q115" s="1" t="s">
        <v>1344</v>
      </c>
      <c r="R115" s="175">
        <v>2</v>
      </c>
      <c r="S115">
        <v>2</v>
      </c>
    </row>
    <row r="116" spans="1:19" x14ac:dyDescent="0.25">
      <c r="A116" s="87">
        <v>2019</v>
      </c>
      <c r="B116" s="87">
        <v>7</v>
      </c>
      <c r="C116" s="173" t="s">
        <v>16</v>
      </c>
      <c r="D116" s="173" t="s">
        <v>17</v>
      </c>
      <c r="E116" s="173" t="s">
        <v>18</v>
      </c>
      <c r="F116" s="173" t="s">
        <v>16</v>
      </c>
      <c r="G116" s="87" t="b">
        <v>1</v>
      </c>
      <c r="H116" s="87" t="b">
        <v>0</v>
      </c>
      <c r="I116" s="87" t="b">
        <v>0</v>
      </c>
      <c r="J116" s="173" t="s">
        <v>492</v>
      </c>
      <c r="K116" s="174">
        <v>4670913000176</v>
      </c>
      <c r="L116" s="173" t="s">
        <v>949</v>
      </c>
      <c r="M116" s="173" t="s">
        <v>930</v>
      </c>
      <c r="N116" s="173" t="s">
        <v>68</v>
      </c>
      <c r="O116" s="87">
        <v>70</v>
      </c>
      <c r="P116" s="173" t="s">
        <v>20</v>
      </c>
      <c r="Q116" s="1" t="s">
        <v>1338</v>
      </c>
      <c r="R116" s="175">
        <v>215</v>
      </c>
      <c r="S116">
        <v>43</v>
      </c>
    </row>
    <row r="117" spans="1:19" x14ac:dyDescent="0.25">
      <c r="A117" s="87">
        <v>2019</v>
      </c>
      <c r="B117" s="87">
        <v>7</v>
      </c>
      <c r="C117" s="173" t="s">
        <v>16</v>
      </c>
      <c r="D117" s="173" t="s">
        <v>17</v>
      </c>
      <c r="E117" s="173" t="s">
        <v>18</v>
      </c>
      <c r="F117" s="173" t="s">
        <v>16</v>
      </c>
      <c r="G117" s="87" t="b">
        <v>1</v>
      </c>
      <c r="H117" s="87" t="b">
        <v>0</v>
      </c>
      <c r="I117" s="87" t="b">
        <v>0</v>
      </c>
      <c r="J117" s="173" t="s">
        <v>460</v>
      </c>
      <c r="K117" s="174">
        <v>4966545000370</v>
      </c>
      <c r="L117" s="173" t="s">
        <v>1148</v>
      </c>
      <c r="M117" s="173" t="s">
        <v>1129</v>
      </c>
      <c r="N117" s="173" t="s">
        <v>52</v>
      </c>
      <c r="O117" s="87">
        <v>70</v>
      </c>
      <c r="P117" s="173" t="s">
        <v>20</v>
      </c>
      <c r="Q117" s="1" t="s">
        <v>1338</v>
      </c>
      <c r="R117" s="175">
        <v>40</v>
      </c>
      <c r="S117">
        <v>8</v>
      </c>
    </row>
    <row r="118" spans="1:19" x14ac:dyDescent="0.25">
      <c r="A118" s="87">
        <v>2019</v>
      </c>
      <c r="B118" s="87">
        <v>7</v>
      </c>
      <c r="C118" s="173" t="s">
        <v>16</v>
      </c>
      <c r="D118" s="173" t="s">
        <v>17</v>
      </c>
      <c r="E118" s="173" t="s">
        <v>18</v>
      </c>
      <c r="F118" s="173" t="s">
        <v>16</v>
      </c>
      <c r="G118" s="87" t="b">
        <v>1</v>
      </c>
      <c r="H118" s="87" t="b">
        <v>0</v>
      </c>
      <c r="I118" s="87" t="b">
        <v>0</v>
      </c>
      <c r="J118" s="173" t="s">
        <v>470</v>
      </c>
      <c r="K118" s="174">
        <v>4966545000370</v>
      </c>
      <c r="L118" s="173" t="s">
        <v>1148</v>
      </c>
      <c r="M118" s="173" t="s">
        <v>1129</v>
      </c>
      <c r="N118" s="173" t="s">
        <v>52</v>
      </c>
      <c r="O118" s="87">
        <v>70</v>
      </c>
      <c r="P118" s="173" t="s">
        <v>20</v>
      </c>
      <c r="Q118" s="1" t="s">
        <v>1338</v>
      </c>
      <c r="R118" s="175">
        <v>40</v>
      </c>
      <c r="S118">
        <v>8</v>
      </c>
    </row>
    <row r="119" spans="1:19" x14ac:dyDescent="0.25">
      <c r="A119" s="87">
        <v>2019</v>
      </c>
      <c r="B119" s="87">
        <v>7</v>
      </c>
      <c r="C119" s="173" t="s">
        <v>16</v>
      </c>
      <c r="D119" s="173" t="s">
        <v>17</v>
      </c>
      <c r="E119" s="173" t="s">
        <v>18</v>
      </c>
      <c r="F119" s="173" t="s">
        <v>16</v>
      </c>
      <c r="G119" s="87" t="b">
        <v>1</v>
      </c>
      <c r="H119" s="87" t="b">
        <v>0</v>
      </c>
      <c r="I119" s="87" t="b">
        <v>0</v>
      </c>
      <c r="J119" s="173" t="s">
        <v>451</v>
      </c>
      <c r="K119" s="174">
        <v>5469172000122</v>
      </c>
      <c r="L119" s="173" t="s">
        <v>799</v>
      </c>
      <c r="M119" s="173" t="s">
        <v>75</v>
      </c>
      <c r="N119" s="173" t="s">
        <v>74</v>
      </c>
      <c r="O119" s="87">
        <v>64</v>
      </c>
      <c r="P119" s="173" t="s">
        <v>25</v>
      </c>
      <c r="Q119" s="1" t="s">
        <v>1344</v>
      </c>
      <c r="R119" s="175">
        <v>6</v>
      </c>
      <c r="S119">
        <v>6</v>
      </c>
    </row>
    <row r="120" spans="1:19" x14ac:dyDescent="0.25">
      <c r="A120" s="87">
        <v>2019</v>
      </c>
      <c r="B120" s="87">
        <v>7</v>
      </c>
      <c r="C120" s="173" t="s">
        <v>16</v>
      </c>
      <c r="D120" s="173" t="s">
        <v>17</v>
      </c>
      <c r="E120" s="173" t="s">
        <v>18</v>
      </c>
      <c r="F120" s="173" t="s">
        <v>16</v>
      </c>
      <c r="G120" s="87" t="b">
        <v>1</v>
      </c>
      <c r="H120" s="87" t="b">
        <v>0</v>
      </c>
      <c r="I120" s="87" t="b">
        <v>0</v>
      </c>
      <c r="J120" s="173" t="s">
        <v>464</v>
      </c>
      <c r="K120" s="174">
        <v>5816630000152</v>
      </c>
      <c r="L120" s="173" t="s">
        <v>803</v>
      </c>
      <c r="M120" s="173" t="s">
        <v>75</v>
      </c>
      <c r="N120" s="173" t="s">
        <v>74</v>
      </c>
      <c r="O120" s="87">
        <v>64</v>
      </c>
      <c r="P120" s="173" t="s">
        <v>25</v>
      </c>
      <c r="Q120" s="1" t="s">
        <v>1344</v>
      </c>
      <c r="R120" s="175">
        <v>18</v>
      </c>
      <c r="S120">
        <v>18</v>
      </c>
    </row>
    <row r="121" spans="1:19" x14ac:dyDescent="0.25">
      <c r="A121" s="87">
        <v>2019</v>
      </c>
      <c r="B121" s="87">
        <v>7</v>
      </c>
      <c r="C121" s="173" t="s">
        <v>16</v>
      </c>
      <c r="D121" s="173" t="s">
        <v>17</v>
      </c>
      <c r="E121" s="173" t="s">
        <v>18</v>
      </c>
      <c r="F121" s="173" t="s">
        <v>16</v>
      </c>
      <c r="G121" s="87" t="b">
        <v>1</v>
      </c>
      <c r="H121" s="87" t="b">
        <v>0</v>
      </c>
      <c r="I121" s="87" t="b">
        <v>0</v>
      </c>
      <c r="J121" s="173" t="s">
        <v>1330</v>
      </c>
      <c r="K121" s="174">
        <v>5816630000152</v>
      </c>
      <c r="L121" s="173" t="s">
        <v>803</v>
      </c>
      <c r="M121" s="173" t="s">
        <v>75</v>
      </c>
      <c r="N121" s="173" t="s">
        <v>74</v>
      </c>
      <c r="O121" s="87">
        <v>70</v>
      </c>
      <c r="P121" s="173" t="s">
        <v>20</v>
      </c>
      <c r="Q121" s="1" t="s">
        <v>1346</v>
      </c>
      <c r="R121" s="175">
        <v>150</v>
      </c>
      <c r="S121">
        <v>60</v>
      </c>
    </row>
    <row r="122" spans="1:19" x14ac:dyDescent="0.25">
      <c r="A122" s="87">
        <v>2019</v>
      </c>
      <c r="B122" s="87">
        <v>7</v>
      </c>
      <c r="C122" s="173" t="s">
        <v>16</v>
      </c>
      <c r="D122" s="173" t="s">
        <v>17</v>
      </c>
      <c r="E122" s="173" t="s">
        <v>18</v>
      </c>
      <c r="F122" s="173" t="s">
        <v>16</v>
      </c>
      <c r="G122" s="87" t="b">
        <v>1</v>
      </c>
      <c r="H122" s="87" t="b">
        <v>0</v>
      </c>
      <c r="I122" s="87" t="b">
        <v>0</v>
      </c>
      <c r="J122" s="173" t="s">
        <v>455</v>
      </c>
      <c r="K122" s="174">
        <v>5831510000124</v>
      </c>
      <c r="L122" s="173" t="s">
        <v>567</v>
      </c>
      <c r="M122" s="173" t="s">
        <v>29</v>
      </c>
      <c r="N122" s="173" t="s">
        <v>19</v>
      </c>
      <c r="O122" s="87">
        <v>70</v>
      </c>
      <c r="P122" s="173" t="s">
        <v>20</v>
      </c>
      <c r="Q122" s="1" t="s">
        <v>1338</v>
      </c>
      <c r="R122" s="175">
        <v>55</v>
      </c>
      <c r="S122">
        <v>11</v>
      </c>
    </row>
    <row r="123" spans="1:19" x14ac:dyDescent="0.25">
      <c r="A123" s="87">
        <v>2019</v>
      </c>
      <c r="B123" s="87">
        <v>7</v>
      </c>
      <c r="C123" s="173" t="s">
        <v>16</v>
      </c>
      <c r="D123" s="173" t="s">
        <v>17</v>
      </c>
      <c r="E123" s="173" t="s">
        <v>18</v>
      </c>
      <c r="F123" s="173" t="s">
        <v>16</v>
      </c>
      <c r="G123" s="87" t="b">
        <v>1</v>
      </c>
      <c r="H123" s="87" t="b">
        <v>0</v>
      </c>
      <c r="I123" s="87" t="b">
        <v>0</v>
      </c>
      <c r="J123" s="173" t="s">
        <v>451</v>
      </c>
      <c r="K123" s="174">
        <v>5831510000124</v>
      </c>
      <c r="L123" s="173" t="s">
        <v>567</v>
      </c>
      <c r="M123" s="173" t="s">
        <v>29</v>
      </c>
      <c r="N123" s="173" t="s">
        <v>19</v>
      </c>
      <c r="O123" s="87">
        <v>70</v>
      </c>
      <c r="P123" s="173" t="s">
        <v>20</v>
      </c>
      <c r="Q123" s="1" t="s">
        <v>1338</v>
      </c>
      <c r="R123" s="175">
        <v>140</v>
      </c>
      <c r="S123">
        <v>28</v>
      </c>
    </row>
    <row r="124" spans="1:19" x14ac:dyDescent="0.25">
      <c r="A124" s="87">
        <v>2019</v>
      </c>
      <c r="B124" s="87">
        <v>7</v>
      </c>
      <c r="C124" s="173" t="s">
        <v>16</v>
      </c>
      <c r="D124" s="173" t="s">
        <v>17</v>
      </c>
      <c r="E124" s="173" t="s">
        <v>18</v>
      </c>
      <c r="F124" s="173" t="s">
        <v>16</v>
      </c>
      <c r="G124" s="87" t="b">
        <v>1</v>
      </c>
      <c r="H124" s="87" t="b">
        <v>0</v>
      </c>
      <c r="I124" s="87" t="b">
        <v>0</v>
      </c>
      <c r="J124" s="173" t="s">
        <v>464</v>
      </c>
      <c r="K124" s="174">
        <v>5867015000175</v>
      </c>
      <c r="L124" s="173" t="s">
        <v>804</v>
      </c>
      <c r="M124" s="173" t="s">
        <v>76</v>
      </c>
      <c r="N124" s="173" t="s">
        <v>77</v>
      </c>
      <c r="O124" s="87">
        <v>73</v>
      </c>
      <c r="P124" s="173" t="s">
        <v>26</v>
      </c>
      <c r="Q124" s="1" t="s">
        <v>1340</v>
      </c>
      <c r="R124" s="175">
        <v>8</v>
      </c>
      <c r="S124">
        <v>8</v>
      </c>
    </row>
    <row r="125" spans="1:19" x14ac:dyDescent="0.25">
      <c r="A125" s="87">
        <v>2019</v>
      </c>
      <c r="B125" s="87">
        <v>7</v>
      </c>
      <c r="C125" s="173" t="s">
        <v>16</v>
      </c>
      <c r="D125" s="173" t="s">
        <v>17</v>
      </c>
      <c r="E125" s="173" t="s">
        <v>18</v>
      </c>
      <c r="F125" s="173" t="s">
        <v>16</v>
      </c>
      <c r="G125" s="87" t="b">
        <v>1</v>
      </c>
      <c r="H125" s="87" t="b">
        <v>0</v>
      </c>
      <c r="I125" s="87" t="b">
        <v>0</v>
      </c>
      <c r="J125" s="173" t="s">
        <v>460</v>
      </c>
      <c r="K125" s="174">
        <v>5868278000280</v>
      </c>
      <c r="L125" s="173" t="s">
        <v>805</v>
      </c>
      <c r="M125" s="173" t="s">
        <v>76</v>
      </c>
      <c r="N125" s="173" t="s">
        <v>77</v>
      </c>
      <c r="O125" s="87">
        <v>64</v>
      </c>
      <c r="P125" s="173" t="s">
        <v>25</v>
      </c>
      <c r="Q125" s="1" t="s">
        <v>1344</v>
      </c>
      <c r="R125" s="175">
        <v>20</v>
      </c>
      <c r="S125">
        <v>20</v>
      </c>
    </row>
    <row r="126" spans="1:19" x14ac:dyDescent="0.25">
      <c r="A126" s="87">
        <v>2019</v>
      </c>
      <c r="B126" s="87">
        <v>7</v>
      </c>
      <c r="C126" s="173" t="s">
        <v>16</v>
      </c>
      <c r="D126" s="173" t="s">
        <v>17</v>
      </c>
      <c r="E126" s="173" t="s">
        <v>18</v>
      </c>
      <c r="F126" s="173" t="s">
        <v>16</v>
      </c>
      <c r="G126" s="87" t="b">
        <v>1</v>
      </c>
      <c r="H126" s="87" t="b">
        <v>0</v>
      </c>
      <c r="I126" s="87" t="b">
        <v>0</v>
      </c>
      <c r="J126" s="173" t="s">
        <v>460</v>
      </c>
      <c r="K126" s="174">
        <v>5868278000280</v>
      </c>
      <c r="L126" s="173" t="s">
        <v>805</v>
      </c>
      <c r="M126" s="173" t="s">
        <v>76</v>
      </c>
      <c r="N126" s="173" t="s">
        <v>77</v>
      </c>
      <c r="O126" s="87">
        <v>70</v>
      </c>
      <c r="P126" s="173" t="s">
        <v>20</v>
      </c>
      <c r="Q126" s="1" t="s">
        <v>1338</v>
      </c>
      <c r="R126" s="175">
        <v>80</v>
      </c>
      <c r="S126">
        <v>16</v>
      </c>
    </row>
    <row r="127" spans="1:19" x14ac:dyDescent="0.25">
      <c r="A127" s="87">
        <v>2019</v>
      </c>
      <c r="B127" s="87">
        <v>7</v>
      </c>
      <c r="C127" s="173" t="s">
        <v>16</v>
      </c>
      <c r="D127" s="173" t="s">
        <v>17</v>
      </c>
      <c r="E127" s="173" t="s">
        <v>18</v>
      </c>
      <c r="F127" s="173" t="s">
        <v>16</v>
      </c>
      <c r="G127" s="87" t="b">
        <v>1</v>
      </c>
      <c r="H127" s="87" t="b">
        <v>0</v>
      </c>
      <c r="I127" s="87" t="b">
        <v>0</v>
      </c>
      <c r="J127" s="173" t="s">
        <v>470</v>
      </c>
      <c r="K127" s="174">
        <v>5868278000280</v>
      </c>
      <c r="L127" s="173" t="s">
        <v>805</v>
      </c>
      <c r="M127" s="173" t="s">
        <v>76</v>
      </c>
      <c r="N127" s="173" t="s">
        <v>77</v>
      </c>
      <c r="O127" s="87">
        <v>73</v>
      </c>
      <c r="P127" s="173" t="s">
        <v>26</v>
      </c>
      <c r="Q127" s="1" t="s">
        <v>1342</v>
      </c>
      <c r="R127" s="175">
        <v>16</v>
      </c>
      <c r="S127">
        <v>4</v>
      </c>
    </row>
    <row r="128" spans="1:19" x14ac:dyDescent="0.25">
      <c r="A128" s="87">
        <v>2019</v>
      </c>
      <c r="B128" s="87">
        <v>7</v>
      </c>
      <c r="C128" s="173" t="s">
        <v>16</v>
      </c>
      <c r="D128" s="173" t="s">
        <v>17</v>
      </c>
      <c r="E128" s="173" t="s">
        <v>18</v>
      </c>
      <c r="F128" s="173" t="s">
        <v>16</v>
      </c>
      <c r="G128" s="87" t="b">
        <v>1</v>
      </c>
      <c r="H128" s="87" t="b">
        <v>0</v>
      </c>
      <c r="I128" s="87" t="b">
        <v>0</v>
      </c>
      <c r="J128" s="173" t="s">
        <v>460</v>
      </c>
      <c r="K128" s="174">
        <v>5874946000109</v>
      </c>
      <c r="L128" s="173" t="s">
        <v>806</v>
      </c>
      <c r="M128" s="173" t="s">
        <v>76</v>
      </c>
      <c r="N128" s="173" t="s">
        <v>77</v>
      </c>
      <c r="O128" s="87">
        <v>62</v>
      </c>
      <c r="P128" s="173" t="s">
        <v>27</v>
      </c>
      <c r="Q128" s="1" t="s">
        <v>1343</v>
      </c>
      <c r="R128" s="175">
        <v>6</v>
      </c>
      <c r="S128">
        <v>6</v>
      </c>
    </row>
    <row r="129" spans="1:19" x14ac:dyDescent="0.25">
      <c r="A129" s="87">
        <v>2019</v>
      </c>
      <c r="B129" s="87">
        <v>7</v>
      </c>
      <c r="C129" s="173" t="s">
        <v>16</v>
      </c>
      <c r="D129" s="173" t="s">
        <v>17</v>
      </c>
      <c r="E129" s="173" t="s">
        <v>18</v>
      </c>
      <c r="F129" s="173" t="s">
        <v>16</v>
      </c>
      <c r="G129" s="87" t="b">
        <v>1</v>
      </c>
      <c r="H129" s="87" t="b">
        <v>0</v>
      </c>
      <c r="I129" s="87" t="b">
        <v>0</v>
      </c>
      <c r="J129" s="173" t="s">
        <v>460</v>
      </c>
      <c r="K129" s="174">
        <v>5874946000109</v>
      </c>
      <c r="L129" s="173" t="s">
        <v>806</v>
      </c>
      <c r="M129" s="173" t="s">
        <v>76</v>
      </c>
      <c r="N129" s="173" t="s">
        <v>77</v>
      </c>
      <c r="O129" s="87">
        <v>64</v>
      </c>
      <c r="P129" s="173" t="s">
        <v>25</v>
      </c>
      <c r="Q129" s="1" t="s">
        <v>1344</v>
      </c>
      <c r="R129" s="175">
        <v>2</v>
      </c>
      <c r="S129">
        <v>2</v>
      </c>
    </row>
    <row r="130" spans="1:19" x14ac:dyDescent="0.25">
      <c r="A130" s="87">
        <v>2019</v>
      </c>
      <c r="B130" s="87">
        <v>7</v>
      </c>
      <c r="C130" s="173" t="s">
        <v>16</v>
      </c>
      <c r="D130" s="173" t="s">
        <v>17</v>
      </c>
      <c r="E130" s="173" t="s">
        <v>18</v>
      </c>
      <c r="F130" s="173" t="s">
        <v>16</v>
      </c>
      <c r="G130" s="87" t="b">
        <v>1</v>
      </c>
      <c r="H130" s="87" t="b">
        <v>0</v>
      </c>
      <c r="I130" s="87" t="b">
        <v>0</v>
      </c>
      <c r="J130" s="173" t="s">
        <v>470</v>
      </c>
      <c r="K130" s="174">
        <v>6033403000113</v>
      </c>
      <c r="L130" s="173" t="s">
        <v>646</v>
      </c>
      <c r="M130" s="173" t="s">
        <v>647</v>
      </c>
      <c r="N130" s="173" t="s">
        <v>19</v>
      </c>
      <c r="O130" s="87">
        <v>70</v>
      </c>
      <c r="P130" s="173" t="s">
        <v>20</v>
      </c>
      <c r="Q130" s="1" t="s">
        <v>1338</v>
      </c>
      <c r="R130" s="175">
        <v>20</v>
      </c>
      <c r="S130">
        <v>4</v>
      </c>
    </row>
    <row r="131" spans="1:19" x14ac:dyDescent="0.25">
      <c r="A131" s="87">
        <v>2019</v>
      </c>
      <c r="B131" s="87">
        <v>7</v>
      </c>
      <c r="C131" s="173" t="s">
        <v>16</v>
      </c>
      <c r="D131" s="173" t="s">
        <v>17</v>
      </c>
      <c r="E131" s="173" t="s">
        <v>18</v>
      </c>
      <c r="F131" s="173" t="s">
        <v>16</v>
      </c>
      <c r="G131" s="87" t="b">
        <v>1</v>
      </c>
      <c r="H131" s="87" t="b">
        <v>0</v>
      </c>
      <c r="I131" s="87" t="b">
        <v>0</v>
      </c>
      <c r="J131" s="173" t="s">
        <v>491</v>
      </c>
      <c r="K131" s="174">
        <v>6047087000139</v>
      </c>
      <c r="L131" s="173" t="s">
        <v>568</v>
      </c>
      <c r="M131" s="173" t="s">
        <v>29</v>
      </c>
      <c r="N131" s="173" t="s">
        <v>19</v>
      </c>
      <c r="O131" s="87">
        <v>64</v>
      </c>
      <c r="P131" s="173" t="s">
        <v>25</v>
      </c>
      <c r="Q131" s="1" t="s">
        <v>1344</v>
      </c>
      <c r="R131" s="175">
        <v>2</v>
      </c>
      <c r="S131">
        <v>2</v>
      </c>
    </row>
    <row r="132" spans="1:19" x14ac:dyDescent="0.25">
      <c r="A132" s="87">
        <v>2019</v>
      </c>
      <c r="B132" s="87">
        <v>7</v>
      </c>
      <c r="C132" s="173" t="s">
        <v>16</v>
      </c>
      <c r="D132" s="173" t="s">
        <v>17</v>
      </c>
      <c r="E132" s="173" t="s">
        <v>18</v>
      </c>
      <c r="F132" s="173" t="s">
        <v>16</v>
      </c>
      <c r="G132" s="87" t="b">
        <v>1</v>
      </c>
      <c r="H132" s="87" t="b">
        <v>0</v>
      </c>
      <c r="I132" s="87" t="b">
        <v>0</v>
      </c>
      <c r="J132" s="173" t="s">
        <v>491</v>
      </c>
      <c r="K132" s="174">
        <v>6047087000210</v>
      </c>
      <c r="L132" s="173" t="s">
        <v>569</v>
      </c>
      <c r="M132" s="173" t="s">
        <v>29</v>
      </c>
      <c r="N132" s="173" t="s">
        <v>19</v>
      </c>
      <c r="O132" s="87">
        <v>62</v>
      </c>
      <c r="P132" s="173" t="s">
        <v>27</v>
      </c>
      <c r="Q132" s="1" t="s">
        <v>1343</v>
      </c>
      <c r="R132" s="175">
        <v>10</v>
      </c>
      <c r="S132">
        <v>10</v>
      </c>
    </row>
    <row r="133" spans="1:19" x14ac:dyDescent="0.25">
      <c r="A133" s="87">
        <v>2019</v>
      </c>
      <c r="B133" s="87">
        <v>7</v>
      </c>
      <c r="C133" s="173" t="s">
        <v>16</v>
      </c>
      <c r="D133" s="173" t="s">
        <v>17</v>
      </c>
      <c r="E133" s="173" t="s">
        <v>18</v>
      </c>
      <c r="F133" s="173" t="s">
        <v>16</v>
      </c>
      <c r="G133" s="87" t="b">
        <v>1</v>
      </c>
      <c r="H133" s="87" t="b">
        <v>0</v>
      </c>
      <c r="I133" s="87" t="b">
        <v>0</v>
      </c>
      <c r="J133" s="173" t="s">
        <v>491</v>
      </c>
      <c r="K133" s="174">
        <v>6047087000210</v>
      </c>
      <c r="L133" s="173" t="s">
        <v>569</v>
      </c>
      <c r="M133" s="173" t="s">
        <v>29</v>
      </c>
      <c r="N133" s="173" t="s">
        <v>19</v>
      </c>
      <c r="O133" s="87">
        <v>64</v>
      </c>
      <c r="P133" s="173" t="s">
        <v>25</v>
      </c>
      <c r="Q133" s="1" t="s">
        <v>1344</v>
      </c>
      <c r="R133" s="175">
        <v>43</v>
      </c>
      <c r="S133">
        <v>43</v>
      </c>
    </row>
    <row r="134" spans="1:19" x14ac:dyDescent="0.25">
      <c r="A134" s="87">
        <v>2019</v>
      </c>
      <c r="B134" s="87">
        <v>7</v>
      </c>
      <c r="C134" s="173" t="s">
        <v>16</v>
      </c>
      <c r="D134" s="173" t="s">
        <v>17</v>
      </c>
      <c r="E134" s="173" t="s">
        <v>18</v>
      </c>
      <c r="F134" s="173" t="s">
        <v>16</v>
      </c>
      <c r="G134" s="87" t="b">
        <v>1</v>
      </c>
      <c r="H134" s="87" t="b">
        <v>0</v>
      </c>
      <c r="I134" s="87" t="b">
        <v>0</v>
      </c>
      <c r="J134" s="173" t="s">
        <v>491</v>
      </c>
      <c r="K134" s="174">
        <v>6047087000996</v>
      </c>
      <c r="L134" s="173" t="s">
        <v>1080</v>
      </c>
      <c r="M134" s="173" t="s">
        <v>131</v>
      </c>
      <c r="N134" s="173" t="s">
        <v>61</v>
      </c>
      <c r="O134" s="87">
        <v>62</v>
      </c>
      <c r="P134" s="173" t="s">
        <v>27</v>
      </c>
      <c r="Q134" s="1" t="s">
        <v>1343</v>
      </c>
      <c r="R134" s="175">
        <v>20</v>
      </c>
      <c r="S134">
        <v>20</v>
      </c>
    </row>
    <row r="135" spans="1:19" x14ac:dyDescent="0.25">
      <c r="A135" s="87">
        <v>2019</v>
      </c>
      <c r="B135" s="87">
        <v>7</v>
      </c>
      <c r="C135" s="173" t="s">
        <v>16</v>
      </c>
      <c r="D135" s="173" t="s">
        <v>17</v>
      </c>
      <c r="E135" s="173" t="s">
        <v>18</v>
      </c>
      <c r="F135" s="173" t="s">
        <v>16</v>
      </c>
      <c r="G135" s="87" t="b">
        <v>1</v>
      </c>
      <c r="H135" s="87" t="b">
        <v>0</v>
      </c>
      <c r="I135" s="87" t="b">
        <v>0</v>
      </c>
      <c r="J135" s="173" t="s">
        <v>491</v>
      </c>
      <c r="K135" s="174">
        <v>6047087000996</v>
      </c>
      <c r="L135" s="173" t="s">
        <v>1080</v>
      </c>
      <c r="M135" s="173" t="s">
        <v>131</v>
      </c>
      <c r="N135" s="173" t="s">
        <v>61</v>
      </c>
      <c r="O135" s="87">
        <v>64</v>
      </c>
      <c r="P135" s="173" t="s">
        <v>25</v>
      </c>
      <c r="Q135" s="1" t="s">
        <v>1344</v>
      </c>
      <c r="R135" s="175">
        <v>30</v>
      </c>
      <c r="S135">
        <v>30</v>
      </c>
    </row>
    <row r="136" spans="1:19" x14ac:dyDescent="0.25">
      <c r="A136" s="87">
        <v>2019</v>
      </c>
      <c r="B136" s="87">
        <v>7</v>
      </c>
      <c r="C136" s="173" t="s">
        <v>16</v>
      </c>
      <c r="D136" s="173" t="s">
        <v>17</v>
      </c>
      <c r="E136" s="173" t="s">
        <v>18</v>
      </c>
      <c r="F136" s="173" t="s">
        <v>16</v>
      </c>
      <c r="G136" s="87" t="b">
        <v>1</v>
      </c>
      <c r="H136" s="87" t="b">
        <v>0</v>
      </c>
      <c r="I136" s="87" t="b">
        <v>0</v>
      </c>
      <c r="J136" s="173" t="s">
        <v>491</v>
      </c>
      <c r="K136" s="174">
        <v>6047087001020</v>
      </c>
      <c r="L136" s="173" t="s">
        <v>1081</v>
      </c>
      <c r="M136" s="173" t="s">
        <v>131</v>
      </c>
      <c r="N136" s="173" t="s">
        <v>61</v>
      </c>
      <c r="O136" s="87">
        <v>62</v>
      </c>
      <c r="P136" s="173" t="s">
        <v>27</v>
      </c>
      <c r="Q136" s="1" t="s">
        <v>1343</v>
      </c>
      <c r="R136" s="175">
        <v>100</v>
      </c>
      <c r="S136">
        <v>100</v>
      </c>
    </row>
    <row r="137" spans="1:19" x14ac:dyDescent="0.25">
      <c r="A137" s="87">
        <v>2019</v>
      </c>
      <c r="B137" s="87">
        <v>7</v>
      </c>
      <c r="C137" s="173" t="s">
        <v>16</v>
      </c>
      <c r="D137" s="173" t="s">
        <v>17</v>
      </c>
      <c r="E137" s="173" t="s">
        <v>18</v>
      </c>
      <c r="F137" s="173" t="s">
        <v>16</v>
      </c>
      <c r="G137" s="87" t="b">
        <v>1</v>
      </c>
      <c r="H137" s="87" t="b">
        <v>0</v>
      </c>
      <c r="I137" s="87" t="b">
        <v>0</v>
      </c>
      <c r="J137" s="173" t="s">
        <v>491</v>
      </c>
      <c r="K137" s="174">
        <v>6047087001020</v>
      </c>
      <c r="L137" s="173" t="s">
        <v>1081</v>
      </c>
      <c r="M137" s="173" t="s">
        <v>131</v>
      </c>
      <c r="N137" s="173" t="s">
        <v>61</v>
      </c>
      <c r="O137" s="87">
        <v>64</v>
      </c>
      <c r="P137" s="173" t="s">
        <v>25</v>
      </c>
      <c r="Q137" s="1" t="s">
        <v>1344</v>
      </c>
      <c r="R137" s="175">
        <v>80</v>
      </c>
      <c r="S137">
        <v>80</v>
      </c>
    </row>
    <row r="138" spans="1:19" x14ac:dyDescent="0.25">
      <c r="A138" s="87">
        <v>2019</v>
      </c>
      <c r="B138" s="87">
        <v>7</v>
      </c>
      <c r="C138" s="173" t="s">
        <v>16</v>
      </c>
      <c r="D138" s="173" t="s">
        <v>17</v>
      </c>
      <c r="E138" s="173" t="s">
        <v>18</v>
      </c>
      <c r="F138" s="173" t="s">
        <v>16</v>
      </c>
      <c r="G138" s="87" t="b">
        <v>1</v>
      </c>
      <c r="H138" s="87" t="b">
        <v>0</v>
      </c>
      <c r="I138" s="87" t="b">
        <v>0</v>
      </c>
      <c r="J138" s="173" t="s">
        <v>491</v>
      </c>
      <c r="K138" s="174">
        <v>6047087001372</v>
      </c>
      <c r="L138" s="173" t="s">
        <v>1041</v>
      </c>
      <c r="M138" s="173" t="s">
        <v>78</v>
      </c>
      <c r="N138" s="173" t="s">
        <v>61</v>
      </c>
      <c r="O138" s="87">
        <v>62</v>
      </c>
      <c r="P138" s="173" t="s">
        <v>27</v>
      </c>
      <c r="Q138" s="1" t="s">
        <v>1343</v>
      </c>
      <c r="R138" s="175">
        <v>12</v>
      </c>
      <c r="S138">
        <v>12</v>
      </c>
    </row>
    <row r="139" spans="1:19" x14ac:dyDescent="0.25">
      <c r="A139" s="87">
        <v>2019</v>
      </c>
      <c r="B139" s="87">
        <v>7</v>
      </c>
      <c r="C139" s="173" t="s">
        <v>16</v>
      </c>
      <c r="D139" s="173" t="s">
        <v>17</v>
      </c>
      <c r="E139" s="173" t="s">
        <v>18</v>
      </c>
      <c r="F139" s="173" t="s">
        <v>16</v>
      </c>
      <c r="G139" s="87" t="b">
        <v>1</v>
      </c>
      <c r="H139" s="87" t="b">
        <v>0</v>
      </c>
      <c r="I139" s="87" t="b">
        <v>0</v>
      </c>
      <c r="J139" s="173" t="s">
        <v>491</v>
      </c>
      <c r="K139" s="174">
        <v>6047087002697</v>
      </c>
      <c r="L139" s="173" t="s">
        <v>1082</v>
      </c>
      <c r="M139" s="173" t="s">
        <v>131</v>
      </c>
      <c r="N139" s="173" t="s">
        <v>61</v>
      </c>
      <c r="O139" s="87">
        <v>62</v>
      </c>
      <c r="P139" s="173" t="s">
        <v>27</v>
      </c>
      <c r="Q139" s="1" t="s">
        <v>1343</v>
      </c>
      <c r="R139" s="175">
        <v>14</v>
      </c>
      <c r="S139">
        <v>14</v>
      </c>
    </row>
    <row r="140" spans="1:19" x14ac:dyDescent="0.25">
      <c r="A140" s="87">
        <v>2019</v>
      </c>
      <c r="B140" s="87">
        <v>7</v>
      </c>
      <c r="C140" s="173" t="s">
        <v>16</v>
      </c>
      <c r="D140" s="173" t="s">
        <v>17</v>
      </c>
      <c r="E140" s="173" t="s">
        <v>18</v>
      </c>
      <c r="F140" s="173" t="s">
        <v>16</v>
      </c>
      <c r="G140" s="87" t="b">
        <v>1</v>
      </c>
      <c r="H140" s="87" t="b">
        <v>0</v>
      </c>
      <c r="I140" s="87" t="b">
        <v>0</v>
      </c>
      <c r="J140" s="173" t="s">
        <v>491</v>
      </c>
      <c r="K140" s="174">
        <v>6047087002697</v>
      </c>
      <c r="L140" s="173" t="s">
        <v>1082</v>
      </c>
      <c r="M140" s="173" t="s">
        <v>131</v>
      </c>
      <c r="N140" s="173" t="s">
        <v>61</v>
      </c>
      <c r="O140" s="87">
        <v>64</v>
      </c>
      <c r="P140" s="173" t="s">
        <v>25</v>
      </c>
      <c r="Q140" s="1" t="s">
        <v>1344</v>
      </c>
      <c r="R140" s="175">
        <v>8</v>
      </c>
      <c r="S140">
        <v>8</v>
      </c>
    </row>
    <row r="141" spans="1:19" x14ac:dyDescent="0.25">
      <c r="A141" s="87">
        <v>2019</v>
      </c>
      <c r="B141" s="87">
        <v>7</v>
      </c>
      <c r="C141" s="173" t="s">
        <v>16</v>
      </c>
      <c r="D141" s="173" t="s">
        <v>17</v>
      </c>
      <c r="E141" s="173" t="s">
        <v>18</v>
      </c>
      <c r="F141" s="173" t="s">
        <v>16</v>
      </c>
      <c r="G141" s="87" t="b">
        <v>1</v>
      </c>
      <c r="H141" s="87" t="b">
        <v>0</v>
      </c>
      <c r="I141" s="87" t="b">
        <v>0</v>
      </c>
      <c r="J141" s="173" t="s">
        <v>477</v>
      </c>
      <c r="K141" s="174">
        <v>6047087003073</v>
      </c>
      <c r="L141" s="173" t="s">
        <v>649</v>
      </c>
      <c r="M141" s="173" t="s">
        <v>650</v>
      </c>
      <c r="N141" s="173" t="s">
        <v>19</v>
      </c>
      <c r="O141" s="87">
        <v>66</v>
      </c>
      <c r="P141" s="173" t="s">
        <v>28</v>
      </c>
      <c r="Q141" s="1" t="s">
        <v>1341</v>
      </c>
      <c r="R141" s="175">
        <v>2</v>
      </c>
      <c r="S141">
        <v>2</v>
      </c>
    </row>
    <row r="142" spans="1:19" x14ac:dyDescent="0.25">
      <c r="A142" s="87">
        <v>2019</v>
      </c>
      <c r="B142" s="87">
        <v>7</v>
      </c>
      <c r="C142" s="173" t="s">
        <v>16</v>
      </c>
      <c r="D142" s="173" t="s">
        <v>17</v>
      </c>
      <c r="E142" s="173" t="s">
        <v>18</v>
      </c>
      <c r="F142" s="173" t="s">
        <v>16</v>
      </c>
      <c r="G142" s="87" t="b">
        <v>1</v>
      </c>
      <c r="H142" s="87" t="b">
        <v>0</v>
      </c>
      <c r="I142" s="87" t="b">
        <v>0</v>
      </c>
      <c r="J142" s="173" t="s">
        <v>463</v>
      </c>
      <c r="K142" s="174">
        <v>6047087003073</v>
      </c>
      <c r="L142" s="173" t="s">
        <v>649</v>
      </c>
      <c r="M142" s="173" t="s">
        <v>650</v>
      </c>
      <c r="N142" s="173" t="s">
        <v>19</v>
      </c>
      <c r="O142" s="87">
        <v>70</v>
      </c>
      <c r="P142" s="173" t="s">
        <v>20</v>
      </c>
      <c r="Q142" s="1" t="s">
        <v>1338</v>
      </c>
      <c r="R142" s="175">
        <v>250</v>
      </c>
      <c r="S142">
        <v>50</v>
      </c>
    </row>
    <row r="143" spans="1:19" x14ac:dyDescent="0.25">
      <c r="A143" s="87">
        <v>2019</v>
      </c>
      <c r="B143" s="87">
        <v>7</v>
      </c>
      <c r="C143" s="173" t="s">
        <v>16</v>
      </c>
      <c r="D143" s="173" t="s">
        <v>17</v>
      </c>
      <c r="E143" s="173" t="s">
        <v>18</v>
      </c>
      <c r="F143" s="173" t="s">
        <v>16</v>
      </c>
      <c r="G143" s="87" t="b">
        <v>1</v>
      </c>
      <c r="H143" s="87" t="b">
        <v>0</v>
      </c>
      <c r="I143" s="87" t="b">
        <v>0</v>
      </c>
      <c r="J143" s="173" t="s">
        <v>450</v>
      </c>
      <c r="K143" s="174">
        <v>6047087003073</v>
      </c>
      <c r="L143" s="173" t="s">
        <v>649</v>
      </c>
      <c r="M143" s="173" t="s">
        <v>650</v>
      </c>
      <c r="N143" s="173" t="s">
        <v>19</v>
      </c>
      <c r="O143" s="87">
        <v>73</v>
      </c>
      <c r="P143" s="173" t="s">
        <v>26</v>
      </c>
      <c r="Q143" s="1" t="s">
        <v>1342</v>
      </c>
      <c r="R143" s="175">
        <v>24</v>
      </c>
      <c r="S143">
        <v>6</v>
      </c>
    </row>
    <row r="144" spans="1:19" x14ac:dyDescent="0.25">
      <c r="A144" s="87">
        <v>2019</v>
      </c>
      <c r="B144" s="87">
        <v>7</v>
      </c>
      <c r="C144" s="173" t="s">
        <v>16</v>
      </c>
      <c r="D144" s="173" t="s">
        <v>17</v>
      </c>
      <c r="E144" s="173" t="s">
        <v>18</v>
      </c>
      <c r="F144" s="173" t="s">
        <v>16</v>
      </c>
      <c r="G144" s="87" t="b">
        <v>1</v>
      </c>
      <c r="H144" s="87" t="b">
        <v>0</v>
      </c>
      <c r="I144" s="87" t="b">
        <v>0</v>
      </c>
      <c r="J144" s="173" t="s">
        <v>451</v>
      </c>
      <c r="K144" s="174">
        <v>6047087003073</v>
      </c>
      <c r="L144" s="173" t="s">
        <v>649</v>
      </c>
      <c r="M144" s="173" t="s">
        <v>650</v>
      </c>
      <c r="N144" s="173" t="s">
        <v>19</v>
      </c>
      <c r="O144" s="87">
        <v>73</v>
      </c>
      <c r="P144" s="173" t="s">
        <v>26</v>
      </c>
      <c r="Q144" s="1" t="s">
        <v>1342</v>
      </c>
      <c r="R144" s="175">
        <v>24</v>
      </c>
      <c r="S144">
        <v>6</v>
      </c>
    </row>
    <row r="145" spans="1:19" x14ac:dyDescent="0.25">
      <c r="A145" s="87">
        <v>2019</v>
      </c>
      <c r="B145" s="87">
        <v>7</v>
      </c>
      <c r="C145" s="173" t="s">
        <v>16</v>
      </c>
      <c r="D145" s="173" t="s">
        <v>17</v>
      </c>
      <c r="E145" s="173" t="s">
        <v>18</v>
      </c>
      <c r="F145" s="173" t="s">
        <v>16</v>
      </c>
      <c r="G145" s="87" t="b">
        <v>1</v>
      </c>
      <c r="H145" s="87" t="b">
        <v>0</v>
      </c>
      <c r="I145" s="87" t="b">
        <v>0</v>
      </c>
      <c r="J145" s="173" t="s">
        <v>491</v>
      </c>
      <c r="K145" s="174">
        <v>6047087003316</v>
      </c>
      <c r="L145" s="173" t="s">
        <v>1083</v>
      </c>
      <c r="M145" s="173" t="s">
        <v>131</v>
      </c>
      <c r="N145" s="173" t="s">
        <v>61</v>
      </c>
      <c r="O145" s="87">
        <v>62</v>
      </c>
      <c r="P145" s="173" t="s">
        <v>27</v>
      </c>
      <c r="Q145" s="1" t="s">
        <v>1343</v>
      </c>
      <c r="R145" s="175">
        <v>1</v>
      </c>
      <c r="S145">
        <v>1</v>
      </c>
    </row>
    <row r="146" spans="1:19" x14ac:dyDescent="0.25">
      <c r="A146" s="87">
        <v>2019</v>
      </c>
      <c r="B146" s="87">
        <v>7</v>
      </c>
      <c r="C146" s="173" t="s">
        <v>16</v>
      </c>
      <c r="D146" s="173" t="s">
        <v>17</v>
      </c>
      <c r="E146" s="173" t="s">
        <v>18</v>
      </c>
      <c r="F146" s="173" t="s">
        <v>16</v>
      </c>
      <c r="G146" s="87" t="b">
        <v>1</v>
      </c>
      <c r="H146" s="87" t="b">
        <v>0</v>
      </c>
      <c r="I146" s="87" t="b">
        <v>0</v>
      </c>
      <c r="J146" s="173" t="s">
        <v>491</v>
      </c>
      <c r="K146" s="174">
        <v>6047087003316</v>
      </c>
      <c r="L146" s="173" t="s">
        <v>1083</v>
      </c>
      <c r="M146" s="173" t="s">
        <v>131</v>
      </c>
      <c r="N146" s="173" t="s">
        <v>61</v>
      </c>
      <c r="O146" s="87">
        <v>64</v>
      </c>
      <c r="P146" s="173" t="s">
        <v>25</v>
      </c>
      <c r="Q146" s="1" t="s">
        <v>1344</v>
      </c>
      <c r="R146" s="175">
        <v>3</v>
      </c>
      <c r="S146">
        <v>3</v>
      </c>
    </row>
    <row r="147" spans="1:19" x14ac:dyDescent="0.25">
      <c r="A147" s="87">
        <v>2019</v>
      </c>
      <c r="B147" s="87">
        <v>7</v>
      </c>
      <c r="C147" s="173" t="s">
        <v>16</v>
      </c>
      <c r="D147" s="173" t="s">
        <v>17</v>
      </c>
      <c r="E147" s="173" t="s">
        <v>18</v>
      </c>
      <c r="F147" s="173" t="s">
        <v>16</v>
      </c>
      <c r="G147" s="87" t="b">
        <v>1</v>
      </c>
      <c r="H147" s="87" t="b">
        <v>0</v>
      </c>
      <c r="I147" s="87" t="b">
        <v>0</v>
      </c>
      <c r="J147" s="173" t="s">
        <v>491</v>
      </c>
      <c r="K147" s="174">
        <v>6047087003820</v>
      </c>
      <c r="L147" s="173" t="s">
        <v>570</v>
      </c>
      <c r="M147" s="173" t="s">
        <v>29</v>
      </c>
      <c r="N147" s="173" t="s">
        <v>19</v>
      </c>
      <c r="O147" s="87">
        <v>62</v>
      </c>
      <c r="P147" s="173" t="s">
        <v>27</v>
      </c>
      <c r="Q147" s="1" t="s">
        <v>1343</v>
      </c>
      <c r="R147" s="175">
        <v>6</v>
      </c>
      <c r="S147">
        <v>6</v>
      </c>
    </row>
    <row r="148" spans="1:19" x14ac:dyDescent="0.25">
      <c r="A148" s="87">
        <v>2019</v>
      </c>
      <c r="B148" s="87">
        <v>7</v>
      </c>
      <c r="C148" s="173" t="s">
        <v>16</v>
      </c>
      <c r="D148" s="173" t="s">
        <v>17</v>
      </c>
      <c r="E148" s="173" t="s">
        <v>18</v>
      </c>
      <c r="F148" s="173" t="s">
        <v>16</v>
      </c>
      <c r="G148" s="87" t="b">
        <v>1</v>
      </c>
      <c r="H148" s="87" t="b">
        <v>0</v>
      </c>
      <c r="I148" s="87" t="b">
        <v>0</v>
      </c>
      <c r="J148" s="173" t="s">
        <v>491</v>
      </c>
      <c r="K148" s="174">
        <v>6047087003820</v>
      </c>
      <c r="L148" s="173" t="s">
        <v>570</v>
      </c>
      <c r="M148" s="173" t="s">
        <v>29</v>
      </c>
      <c r="N148" s="173" t="s">
        <v>19</v>
      </c>
      <c r="O148" s="87">
        <v>64</v>
      </c>
      <c r="P148" s="173" t="s">
        <v>25</v>
      </c>
      <c r="Q148" s="1" t="s">
        <v>1344</v>
      </c>
      <c r="R148" s="175">
        <v>3</v>
      </c>
      <c r="S148">
        <v>3</v>
      </c>
    </row>
    <row r="149" spans="1:19" x14ac:dyDescent="0.25">
      <c r="A149" s="87">
        <v>2019</v>
      </c>
      <c r="B149" s="87">
        <v>7</v>
      </c>
      <c r="C149" s="173" t="s">
        <v>16</v>
      </c>
      <c r="D149" s="173" t="s">
        <v>17</v>
      </c>
      <c r="E149" s="173" t="s">
        <v>18</v>
      </c>
      <c r="F149" s="173" t="s">
        <v>16</v>
      </c>
      <c r="G149" s="87" t="b">
        <v>1</v>
      </c>
      <c r="H149" s="87" t="b">
        <v>0</v>
      </c>
      <c r="I149" s="87" t="b">
        <v>0</v>
      </c>
      <c r="J149" s="173" t="s">
        <v>491</v>
      </c>
      <c r="K149" s="174">
        <v>6047087004126</v>
      </c>
      <c r="L149" s="173" t="s">
        <v>810</v>
      </c>
      <c r="M149" s="173" t="s">
        <v>739</v>
      </c>
      <c r="N149" s="173" t="s">
        <v>55</v>
      </c>
      <c r="O149" s="87">
        <v>64</v>
      </c>
      <c r="P149" s="173" t="s">
        <v>25</v>
      </c>
      <c r="Q149" s="1" t="s">
        <v>1344</v>
      </c>
      <c r="R149" s="175">
        <v>3</v>
      </c>
      <c r="S149">
        <v>3</v>
      </c>
    </row>
    <row r="150" spans="1:19" x14ac:dyDescent="0.25">
      <c r="A150" s="87">
        <v>2019</v>
      </c>
      <c r="B150" s="87">
        <v>7</v>
      </c>
      <c r="C150" s="173" t="s">
        <v>16</v>
      </c>
      <c r="D150" s="173" t="s">
        <v>17</v>
      </c>
      <c r="E150" s="173" t="s">
        <v>18</v>
      </c>
      <c r="F150" s="173" t="s">
        <v>16</v>
      </c>
      <c r="G150" s="87" t="b">
        <v>1</v>
      </c>
      <c r="H150" s="87" t="b">
        <v>0</v>
      </c>
      <c r="I150" s="87" t="b">
        <v>0</v>
      </c>
      <c r="J150" s="173" t="s">
        <v>491</v>
      </c>
      <c r="K150" s="174">
        <v>6047087004207</v>
      </c>
      <c r="L150" s="173" t="s">
        <v>811</v>
      </c>
      <c r="M150" s="173" t="s">
        <v>739</v>
      </c>
      <c r="N150" s="173" t="s">
        <v>55</v>
      </c>
      <c r="O150" s="87">
        <v>64</v>
      </c>
      <c r="P150" s="173" t="s">
        <v>25</v>
      </c>
      <c r="Q150" s="1" t="s">
        <v>1344</v>
      </c>
      <c r="R150" s="175">
        <v>45</v>
      </c>
      <c r="S150">
        <v>45</v>
      </c>
    </row>
    <row r="151" spans="1:19" x14ac:dyDescent="0.25">
      <c r="A151" s="87">
        <v>2019</v>
      </c>
      <c r="B151" s="87">
        <v>7</v>
      </c>
      <c r="C151" s="173" t="s">
        <v>16</v>
      </c>
      <c r="D151" s="173" t="s">
        <v>17</v>
      </c>
      <c r="E151" s="173" t="s">
        <v>18</v>
      </c>
      <c r="F151" s="173" t="s">
        <v>16</v>
      </c>
      <c r="G151" s="87" t="b">
        <v>1</v>
      </c>
      <c r="H151" s="87" t="b">
        <v>0</v>
      </c>
      <c r="I151" s="87" t="b">
        <v>0</v>
      </c>
      <c r="J151" s="173" t="s">
        <v>491</v>
      </c>
      <c r="K151" s="174">
        <v>6047087007656</v>
      </c>
      <c r="L151" s="173" t="s">
        <v>651</v>
      </c>
      <c r="M151" s="173" t="s">
        <v>32</v>
      </c>
      <c r="N151" s="173" t="s">
        <v>19</v>
      </c>
      <c r="O151" s="87">
        <v>62</v>
      </c>
      <c r="P151" s="173" t="s">
        <v>27</v>
      </c>
      <c r="Q151" s="1" t="s">
        <v>1343</v>
      </c>
      <c r="R151" s="175">
        <v>9</v>
      </c>
      <c r="S151">
        <v>9</v>
      </c>
    </row>
    <row r="152" spans="1:19" x14ac:dyDescent="0.25">
      <c r="A152" s="87">
        <v>2019</v>
      </c>
      <c r="B152" s="87">
        <v>7</v>
      </c>
      <c r="C152" s="173" t="s">
        <v>16</v>
      </c>
      <c r="D152" s="173" t="s">
        <v>17</v>
      </c>
      <c r="E152" s="173" t="s">
        <v>18</v>
      </c>
      <c r="F152" s="173" t="s">
        <v>16</v>
      </c>
      <c r="G152" s="87" t="b">
        <v>1</v>
      </c>
      <c r="H152" s="87" t="b">
        <v>0</v>
      </c>
      <c r="I152" s="87" t="b">
        <v>0</v>
      </c>
      <c r="J152" s="173" t="s">
        <v>460</v>
      </c>
      <c r="K152" s="174">
        <v>6047087009276</v>
      </c>
      <c r="L152" s="173" t="s">
        <v>812</v>
      </c>
      <c r="M152" s="173" t="s">
        <v>70</v>
      </c>
      <c r="N152" s="173" t="s">
        <v>71</v>
      </c>
      <c r="O152" s="87">
        <v>70</v>
      </c>
      <c r="P152" s="173" t="s">
        <v>20</v>
      </c>
      <c r="Q152" s="1" t="s">
        <v>1338</v>
      </c>
      <c r="R152" s="175">
        <v>300</v>
      </c>
      <c r="S152">
        <v>60</v>
      </c>
    </row>
    <row r="153" spans="1:19" x14ac:dyDescent="0.25">
      <c r="A153" s="87">
        <v>2019</v>
      </c>
      <c r="B153" s="87">
        <v>7</v>
      </c>
      <c r="C153" s="173" t="s">
        <v>16</v>
      </c>
      <c r="D153" s="173" t="s">
        <v>17</v>
      </c>
      <c r="E153" s="173" t="s">
        <v>18</v>
      </c>
      <c r="F153" s="173" t="s">
        <v>16</v>
      </c>
      <c r="G153" s="87" t="b">
        <v>1</v>
      </c>
      <c r="H153" s="87" t="b">
        <v>0</v>
      </c>
      <c r="I153" s="87" t="b">
        <v>0</v>
      </c>
      <c r="J153" s="173" t="s">
        <v>470</v>
      </c>
      <c r="K153" s="174">
        <v>6070425000153</v>
      </c>
      <c r="L153" s="173" t="s">
        <v>1150</v>
      </c>
      <c r="M153" s="173" t="s">
        <v>1151</v>
      </c>
      <c r="N153" s="173" t="s">
        <v>79</v>
      </c>
      <c r="O153" s="87">
        <v>73</v>
      </c>
      <c r="P153" s="173" t="s">
        <v>26</v>
      </c>
      <c r="Q153" s="1" t="s">
        <v>1339</v>
      </c>
      <c r="R153" s="175">
        <v>8</v>
      </c>
      <c r="S153">
        <v>4</v>
      </c>
    </row>
    <row r="154" spans="1:19" x14ac:dyDescent="0.25">
      <c r="A154" s="87">
        <v>2019</v>
      </c>
      <c r="B154" s="87">
        <v>7</v>
      </c>
      <c r="C154" s="173" t="s">
        <v>16</v>
      </c>
      <c r="D154" s="173" t="s">
        <v>17</v>
      </c>
      <c r="E154" s="173" t="s">
        <v>18</v>
      </c>
      <c r="F154" s="173" t="s">
        <v>16</v>
      </c>
      <c r="G154" s="87" t="b">
        <v>1</v>
      </c>
      <c r="H154" s="87" t="b">
        <v>0</v>
      </c>
      <c r="I154" s="87" t="b">
        <v>0</v>
      </c>
      <c r="J154" s="173" t="s">
        <v>470</v>
      </c>
      <c r="K154" s="174">
        <v>6070425000153</v>
      </c>
      <c r="L154" s="173" t="s">
        <v>1150</v>
      </c>
      <c r="M154" s="173" t="s">
        <v>1151</v>
      </c>
      <c r="N154" s="173" t="s">
        <v>79</v>
      </c>
      <c r="O154" s="87">
        <v>73</v>
      </c>
      <c r="P154" s="173" t="s">
        <v>26</v>
      </c>
      <c r="Q154" s="1" t="s">
        <v>1340</v>
      </c>
      <c r="R154" s="175">
        <v>4</v>
      </c>
      <c r="S154">
        <v>4</v>
      </c>
    </row>
    <row r="155" spans="1:19" x14ac:dyDescent="0.25">
      <c r="A155" s="87">
        <v>2019</v>
      </c>
      <c r="B155" s="87">
        <v>7</v>
      </c>
      <c r="C155" s="173" t="s">
        <v>16</v>
      </c>
      <c r="D155" s="173" t="s">
        <v>17</v>
      </c>
      <c r="E155" s="173" t="s">
        <v>18</v>
      </c>
      <c r="F155" s="173" t="s">
        <v>16</v>
      </c>
      <c r="G155" s="87" t="b">
        <v>1</v>
      </c>
      <c r="H155" s="87" t="b">
        <v>0</v>
      </c>
      <c r="I155" s="87" t="b">
        <v>0</v>
      </c>
      <c r="J155" s="173" t="s">
        <v>468</v>
      </c>
      <c r="K155" s="174">
        <v>6190522000180</v>
      </c>
      <c r="L155" s="173" t="s">
        <v>813</v>
      </c>
      <c r="M155" s="173" t="s">
        <v>80</v>
      </c>
      <c r="N155" s="173" t="s">
        <v>59</v>
      </c>
      <c r="O155" s="87">
        <v>66</v>
      </c>
      <c r="P155" s="173" t="s">
        <v>28</v>
      </c>
      <c r="Q155" s="1" t="s">
        <v>1341</v>
      </c>
      <c r="R155" s="175">
        <v>24</v>
      </c>
      <c r="S155">
        <v>24</v>
      </c>
    </row>
    <row r="156" spans="1:19" x14ac:dyDescent="0.25">
      <c r="A156" s="87">
        <v>2019</v>
      </c>
      <c r="B156" s="87">
        <v>7</v>
      </c>
      <c r="C156" s="173" t="s">
        <v>16</v>
      </c>
      <c r="D156" s="173" t="s">
        <v>17</v>
      </c>
      <c r="E156" s="173" t="s">
        <v>18</v>
      </c>
      <c r="F156" s="173" t="s">
        <v>16</v>
      </c>
      <c r="G156" s="87" t="b">
        <v>1</v>
      </c>
      <c r="H156" s="87" t="b">
        <v>0</v>
      </c>
      <c r="I156" s="87" t="b">
        <v>0</v>
      </c>
      <c r="J156" s="173" t="s">
        <v>450</v>
      </c>
      <c r="K156" s="174">
        <v>6209132000104</v>
      </c>
      <c r="L156" s="173" t="s">
        <v>653</v>
      </c>
      <c r="M156" s="173" t="s">
        <v>654</v>
      </c>
      <c r="N156" s="173" t="s">
        <v>19</v>
      </c>
      <c r="O156" s="87">
        <v>70</v>
      </c>
      <c r="P156" s="173" t="s">
        <v>20</v>
      </c>
      <c r="Q156" s="1" t="s">
        <v>1338</v>
      </c>
      <c r="R156" s="175">
        <v>75</v>
      </c>
      <c r="S156">
        <v>15</v>
      </c>
    </row>
    <row r="157" spans="1:19" x14ac:dyDescent="0.25">
      <c r="A157" s="87">
        <v>2019</v>
      </c>
      <c r="B157" s="87">
        <v>7</v>
      </c>
      <c r="C157" s="173" t="s">
        <v>16</v>
      </c>
      <c r="D157" s="173" t="s">
        <v>17</v>
      </c>
      <c r="E157" s="173" t="s">
        <v>18</v>
      </c>
      <c r="F157" s="173" t="s">
        <v>16</v>
      </c>
      <c r="G157" s="87" t="b">
        <v>1</v>
      </c>
      <c r="H157" s="87" t="b">
        <v>0</v>
      </c>
      <c r="I157" s="87" t="b">
        <v>0</v>
      </c>
      <c r="J157" s="173" t="s">
        <v>464</v>
      </c>
      <c r="K157" s="174">
        <v>6555031000276</v>
      </c>
      <c r="L157" s="173" t="s">
        <v>815</v>
      </c>
      <c r="M157" s="173" t="s">
        <v>81</v>
      </c>
      <c r="N157" s="173" t="s">
        <v>82</v>
      </c>
      <c r="O157" s="87">
        <v>73</v>
      </c>
      <c r="P157" s="173" t="s">
        <v>26</v>
      </c>
      <c r="Q157" s="1" t="s">
        <v>1342</v>
      </c>
      <c r="R157" s="175">
        <v>12</v>
      </c>
      <c r="S157">
        <v>3</v>
      </c>
    </row>
    <row r="158" spans="1:19" x14ac:dyDescent="0.25">
      <c r="A158" s="87">
        <v>2019</v>
      </c>
      <c r="B158" s="87">
        <v>7</v>
      </c>
      <c r="C158" s="173" t="s">
        <v>16</v>
      </c>
      <c r="D158" s="173" t="s">
        <v>17</v>
      </c>
      <c r="E158" s="173" t="s">
        <v>18</v>
      </c>
      <c r="F158" s="173" t="s">
        <v>16</v>
      </c>
      <c r="G158" s="87" t="b">
        <v>1</v>
      </c>
      <c r="H158" s="87" t="b">
        <v>0</v>
      </c>
      <c r="I158" s="87" t="b">
        <v>0</v>
      </c>
      <c r="J158" s="173" t="s">
        <v>478</v>
      </c>
      <c r="K158" s="174">
        <v>7039651000134</v>
      </c>
      <c r="L158" s="173" t="s">
        <v>1153</v>
      </c>
      <c r="M158" s="173" t="s">
        <v>116</v>
      </c>
      <c r="N158" s="173" t="s">
        <v>98</v>
      </c>
      <c r="O158" s="87">
        <v>70</v>
      </c>
      <c r="P158" s="173" t="s">
        <v>20</v>
      </c>
      <c r="Q158" s="1" t="s">
        <v>1338</v>
      </c>
      <c r="R158" s="175">
        <v>15</v>
      </c>
      <c r="S158">
        <v>3</v>
      </c>
    </row>
    <row r="159" spans="1:19" x14ac:dyDescent="0.25">
      <c r="A159" s="87">
        <v>2019</v>
      </c>
      <c r="B159" s="87">
        <v>7</v>
      </c>
      <c r="C159" s="173" t="s">
        <v>16</v>
      </c>
      <c r="D159" s="173" t="s">
        <v>17</v>
      </c>
      <c r="E159" s="173" t="s">
        <v>18</v>
      </c>
      <c r="F159" s="173" t="s">
        <v>16</v>
      </c>
      <c r="G159" s="87" t="b">
        <v>1</v>
      </c>
      <c r="H159" s="87" t="b">
        <v>0</v>
      </c>
      <c r="I159" s="87" t="b">
        <v>0</v>
      </c>
      <c r="J159" s="173" t="s">
        <v>470</v>
      </c>
      <c r="K159" s="174">
        <v>7045325000130</v>
      </c>
      <c r="L159" s="173" t="s">
        <v>571</v>
      </c>
      <c r="M159" s="173" t="s">
        <v>29</v>
      </c>
      <c r="N159" s="173" t="s">
        <v>19</v>
      </c>
      <c r="O159" s="87">
        <v>73</v>
      </c>
      <c r="P159" s="173" t="s">
        <v>26</v>
      </c>
      <c r="Q159" s="1" t="s">
        <v>1342</v>
      </c>
      <c r="R159" s="175">
        <v>96</v>
      </c>
      <c r="S159">
        <v>24</v>
      </c>
    </row>
    <row r="160" spans="1:19" x14ac:dyDescent="0.25">
      <c r="A160" s="87">
        <v>2019</v>
      </c>
      <c r="B160" s="87">
        <v>7</v>
      </c>
      <c r="C160" s="173" t="s">
        <v>16</v>
      </c>
      <c r="D160" s="173" t="s">
        <v>17</v>
      </c>
      <c r="E160" s="173" t="s">
        <v>18</v>
      </c>
      <c r="F160" s="173" t="s">
        <v>16</v>
      </c>
      <c r="G160" s="87" t="b">
        <v>1</v>
      </c>
      <c r="H160" s="87" t="b">
        <v>0</v>
      </c>
      <c r="I160" s="87" t="b">
        <v>0</v>
      </c>
      <c r="J160" s="173" t="s">
        <v>452</v>
      </c>
      <c r="K160" s="174">
        <v>7088017000191</v>
      </c>
      <c r="L160" s="173" t="s">
        <v>952</v>
      </c>
      <c r="M160" s="173" t="s">
        <v>117</v>
      </c>
      <c r="N160" s="173" t="s">
        <v>57</v>
      </c>
      <c r="O160" s="87">
        <v>70</v>
      </c>
      <c r="P160" s="173" t="s">
        <v>20</v>
      </c>
      <c r="Q160" s="1" t="s">
        <v>1338</v>
      </c>
      <c r="R160" s="175">
        <v>120</v>
      </c>
      <c r="S160">
        <v>24</v>
      </c>
    </row>
    <row r="161" spans="1:19" x14ac:dyDescent="0.25">
      <c r="A161" s="87">
        <v>2019</v>
      </c>
      <c r="B161" s="87">
        <v>7</v>
      </c>
      <c r="C161" s="173" t="s">
        <v>16</v>
      </c>
      <c r="D161" s="173" t="s">
        <v>17</v>
      </c>
      <c r="E161" s="173" t="s">
        <v>18</v>
      </c>
      <c r="F161" s="173" t="s">
        <v>16</v>
      </c>
      <c r="G161" s="87" t="b">
        <v>1</v>
      </c>
      <c r="H161" s="87" t="b">
        <v>0</v>
      </c>
      <c r="I161" s="87" t="b">
        <v>0</v>
      </c>
      <c r="J161" s="173" t="s">
        <v>460</v>
      </c>
      <c r="K161" s="174">
        <v>7272404000183</v>
      </c>
      <c r="L161" s="173" t="s">
        <v>817</v>
      </c>
      <c r="M161" s="173" t="s">
        <v>76</v>
      </c>
      <c r="N161" s="173" t="s">
        <v>77</v>
      </c>
      <c r="O161" s="87">
        <v>70</v>
      </c>
      <c r="P161" s="173" t="s">
        <v>20</v>
      </c>
      <c r="Q161" s="1" t="s">
        <v>1338</v>
      </c>
      <c r="R161" s="175">
        <v>120</v>
      </c>
      <c r="S161">
        <v>24</v>
      </c>
    </row>
    <row r="162" spans="1:19" x14ac:dyDescent="0.25">
      <c r="A162" s="87">
        <v>2019</v>
      </c>
      <c r="B162" s="87">
        <v>7</v>
      </c>
      <c r="C162" s="173" t="s">
        <v>16</v>
      </c>
      <c r="D162" s="173" t="s">
        <v>17</v>
      </c>
      <c r="E162" s="173" t="s">
        <v>18</v>
      </c>
      <c r="F162" s="173" t="s">
        <v>16</v>
      </c>
      <c r="G162" s="87" t="b">
        <v>1</v>
      </c>
      <c r="H162" s="87" t="b">
        <v>0</v>
      </c>
      <c r="I162" s="87" t="b">
        <v>0</v>
      </c>
      <c r="J162" s="173" t="s">
        <v>1330</v>
      </c>
      <c r="K162" s="174">
        <v>7272636000212</v>
      </c>
      <c r="L162" s="173" t="s">
        <v>818</v>
      </c>
      <c r="M162" s="173" t="s">
        <v>76</v>
      </c>
      <c r="N162" s="173" t="s">
        <v>77</v>
      </c>
      <c r="O162" s="87">
        <v>62</v>
      </c>
      <c r="P162" s="173" t="s">
        <v>27</v>
      </c>
      <c r="Q162" s="1" t="s">
        <v>1343</v>
      </c>
      <c r="R162" s="175">
        <v>30</v>
      </c>
      <c r="S162">
        <v>30</v>
      </c>
    </row>
    <row r="163" spans="1:19" x14ac:dyDescent="0.25">
      <c r="A163" s="87">
        <v>2019</v>
      </c>
      <c r="B163" s="87">
        <v>7</v>
      </c>
      <c r="C163" s="173" t="s">
        <v>16</v>
      </c>
      <c r="D163" s="173" t="s">
        <v>17</v>
      </c>
      <c r="E163" s="173" t="s">
        <v>18</v>
      </c>
      <c r="F163" s="173" t="s">
        <v>16</v>
      </c>
      <c r="G163" s="87" t="b">
        <v>1</v>
      </c>
      <c r="H163" s="87" t="b">
        <v>0</v>
      </c>
      <c r="I163" s="87" t="b">
        <v>0</v>
      </c>
      <c r="J163" s="173" t="s">
        <v>452</v>
      </c>
      <c r="K163" s="174">
        <v>7404052000172</v>
      </c>
      <c r="L163" s="173" t="s">
        <v>953</v>
      </c>
      <c r="M163" s="173" t="s">
        <v>94</v>
      </c>
      <c r="N163" s="173" t="s">
        <v>57</v>
      </c>
      <c r="O163" s="87">
        <v>70</v>
      </c>
      <c r="P163" s="173" t="s">
        <v>20</v>
      </c>
      <c r="Q163" s="1" t="s">
        <v>1338</v>
      </c>
      <c r="R163" s="175">
        <v>30</v>
      </c>
      <c r="S163">
        <v>6</v>
      </c>
    </row>
    <row r="164" spans="1:19" x14ac:dyDescent="0.25">
      <c r="A164" s="87">
        <v>2019</v>
      </c>
      <c r="B164" s="87">
        <v>7</v>
      </c>
      <c r="C164" s="173" t="s">
        <v>16</v>
      </c>
      <c r="D164" s="173" t="s">
        <v>17</v>
      </c>
      <c r="E164" s="173" t="s">
        <v>18</v>
      </c>
      <c r="F164" s="173" t="s">
        <v>16</v>
      </c>
      <c r="G164" s="87" t="b">
        <v>1</v>
      </c>
      <c r="H164" s="87" t="b">
        <v>0</v>
      </c>
      <c r="I164" s="87" t="b">
        <v>0</v>
      </c>
      <c r="J164" s="173" t="s">
        <v>495</v>
      </c>
      <c r="K164" s="174">
        <v>7404052000172</v>
      </c>
      <c r="L164" s="173" t="s">
        <v>953</v>
      </c>
      <c r="M164" s="173" t="s">
        <v>94</v>
      </c>
      <c r="N164" s="173" t="s">
        <v>57</v>
      </c>
      <c r="O164" s="87">
        <v>70</v>
      </c>
      <c r="P164" s="173" t="s">
        <v>20</v>
      </c>
      <c r="Q164" s="1" t="s">
        <v>1338</v>
      </c>
      <c r="R164" s="175">
        <v>75</v>
      </c>
      <c r="S164">
        <v>15</v>
      </c>
    </row>
    <row r="165" spans="1:19" x14ac:dyDescent="0.25">
      <c r="A165" s="87">
        <v>2019</v>
      </c>
      <c r="B165" s="87">
        <v>7</v>
      </c>
      <c r="C165" s="173" t="s">
        <v>16</v>
      </c>
      <c r="D165" s="173" t="s">
        <v>17</v>
      </c>
      <c r="E165" s="173" t="s">
        <v>18</v>
      </c>
      <c r="F165" s="173" t="s">
        <v>16</v>
      </c>
      <c r="G165" s="87" t="b">
        <v>1</v>
      </c>
      <c r="H165" s="87" t="b">
        <v>0</v>
      </c>
      <c r="I165" s="87" t="b">
        <v>0</v>
      </c>
      <c r="J165" s="173" t="s">
        <v>1330</v>
      </c>
      <c r="K165" s="174">
        <v>7734165000136</v>
      </c>
      <c r="L165" s="173" t="s">
        <v>954</v>
      </c>
      <c r="M165" s="173" t="s">
        <v>94</v>
      </c>
      <c r="N165" s="173" t="s">
        <v>57</v>
      </c>
      <c r="O165" s="87">
        <v>70</v>
      </c>
      <c r="P165" s="173" t="s">
        <v>20</v>
      </c>
      <c r="Q165" s="1" t="s">
        <v>1345</v>
      </c>
      <c r="R165" s="175">
        <v>3000</v>
      </c>
      <c r="S165">
        <v>300</v>
      </c>
    </row>
    <row r="166" spans="1:19" x14ac:dyDescent="0.25">
      <c r="A166" s="87">
        <v>2019</v>
      </c>
      <c r="B166" s="87">
        <v>7</v>
      </c>
      <c r="C166" s="173" t="s">
        <v>16</v>
      </c>
      <c r="D166" s="173" t="s">
        <v>17</v>
      </c>
      <c r="E166" s="173" t="s">
        <v>18</v>
      </c>
      <c r="F166" s="173" t="s">
        <v>16</v>
      </c>
      <c r="G166" s="87" t="b">
        <v>1</v>
      </c>
      <c r="H166" s="87" t="b">
        <v>0</v>
      </c>
      <c r="I166" s="87" t="b">
        <v>0</v>
      </c>
      <c r="J166" s="173" t="s">
        <v>452</v>
      </c>
      <c r="K166" s="174">
        <v>7734165000136</v>
      </c>
      <c r="L166" s="173" t="s">
        <v>954</v>
      </c>
      <c r="M166" s="173" t="s">
        <v>94</v>
      </c>
      <c r="N166" s="173" t="s">
        <v>57</v>
      </c>
      <c r="O166" s="87">
        <v>70</v>
      </c>
      <c r="P166" s="173" t="s">
        <v>20</v>
      </c>
      <c r="Q166" s="1" t="s">
        <v>1345</v>
      </c>
      <c r="R166" s="175">
        <v>1500</v>
      </c>
      <c r="S166">
        <v>150</v>
      </c>
    </row>
    <row r="167" spans="1:19" x14ac:dyDescent="0.25">
      <c r="A167" s="87">
        <v>2019</v>
      </c>
      <c r="B167" s="87">
        <v>7</v>
      </c>
      <c r="C167" s="173" t="s">
        <v>16</v>
      </c>
      <c r="D167" s="173" t="s">
        <v>17</v>
      </c>
      <c r="E167" s="173" t="s">
        <v>18</v>
      </c>
      <c r="F167" s="173" t="s">
        <v>16</v>
      </c>
      <c r="G167" s="87" t="b">
        <v>1</v>
      </c>
      <c r="H167" s="87" t="b">
        <v>0</v>
      </c>
      <c r="I167" s="87" t="b">
        <v>0</v>
      </c>
      <c r="J167" s="173" t="s">
        <v>470</v>
      </c>
      <c r="K167" s="174">
        <v>7794623001528</v>
      </c>
      <c r="L167" s="173" t="s">
        <v>1042</v>
      </c>
      <c r="M167" s="173" t="s">
        <v>1043</v>
      </c>
      <c r="N167" s="173" t="s">
        <v>61</v>
      </c>
      <c r="O167" s="87">
        <v>73</v>
      </c>
      <c r="P167" s="173" t="s">
        <v>26</v>
      </c>
      <c r="Q167" s="1" t="s">
        <v>1339</v>
      </c>
      <c r="R167" s="175">
        <v>4</v>
      </c>
      <c r="S167">
        <v>2</v>
      </c>
    </row>
    <row r="168" spans="1:19" x14ac:dyDescent="0.25">
      <c r="A168" s="87">
        <v>2019</v>
      </c>
      <c r="B168" s="87">
        <v>7</v>
      </c>
      <c r="C168" s="173" t="s">
        <v>16</v>
      </c>
      <c r="D168" s="173" t="s">
        <v>17</v>
      </c>
      <c r="E168" s="173" t="s">
        <v>18</v>
      </c>
      <c r="F168" s="173" t="s">
        <v>16</v>
      </c>
      <c r="G168" s="87" t="b">
        <v>1</v>
      </c>
      <c r="H168" s="87" t="b">
        <v>0</v>
      </c>
      <c r="I168" s="87" t="b">
        <v>0</v>
      </c>
      <c r="J168" s="173" t="s">
        <v>470</v>
      </c>
      <c r="K168" s="174">
        <v>7794623001528</v>
      </c>
      <c r="L168" s="173" t="s">
        <v>1042</v>
      </c>
      <c r="M168" s="173" t="s">
        <v>1043</v>
      </c>
      <c r="N168" s="173" t="s">
        <v>61</v>
      </c>
      <c r="O168" s="87">
        <v>73</v>
      </c>
      <c r="P168" s="173" t="s">
        <v>26</v>
      </c>
      <c r="Q168" s="1" t="s">
        <v>1342</v>
      </c>
      <c r="R168" s="175">
        <v>24</v>
      </c>
      <c r="S168">
        <v>6</v>
      </c>
    </row>
    <row r="169" spans="1:19" x14ac:dyDescent="0.25">
      <c r="A169" s="87">
        <v>2019</v>
      </c>
      <c r="B169" s="87">
        <v>7</v>
      </c>
      <c r="C169" s="173" t="s">
        <v>16</v>
      </c>
      <c r="D169" s="173" t="s">
        <v>17</v>
      </c>
      <c r="E169" s="173" t="s">
        <v>18</v>
      </c>
      <c r="F169" s="173" t="s">
        <v>16</v>
      </c>
      <c r="G169" s="87" t="b">
        <v>1</v>
      </c>
      <c r="H169" s="87" t="b">
        <v>0</v>
      </c>
      <c r="I169" s="87" t="b">
        <v>0</v>
      </c>
      <c r="J169" s="173" t="s">
        <v>470</v>
      </c>
      <c r="K169" s="174">
        <v>7794623002257</v>
      </c>
      <c r="L169" s="173" t="s">
        <v>955</v>
      </c>
      <c r="M169" s="173" t="s">
        <v>956</v>
      </c>
      <c r="N169" s="173" t="s">
        <v>57</v>
      </c>
      <c r="O169" s="87">
        <v>70</v>
      </c>
      <c r="P169" s="173" t="s">
        <v>20</v>
      </c>
      <c r="Q169" s="1" t="s">
        <v>1338</v>
      </c>
      <c r="R169" s="175">
        <v>515</v>
      </c>
      <c r="S169">
        <v>103</v>
      </c>
    </row>
    <row r="170" spans="1:19" x14ac:dyDescent="0.25">
      <c r="A170" s="87">
        <v>2019</v>
      </c>
      <c r="B170" s="87">
        <v>7</v>
      </c>
      <c r="C170" s="173" t="s">
        <v>16</v>
      </c>
      <c r="D170" s="173" t="s">
        <v>17</v>
      </c>
      <c r="E170" s="173" t="s">
        <v>18</v>
      </c>
      <c r="F170" s="173" t="s">
        <v>16</v>
      </c>
      <c r="G170" s="87" t="b">
        <v>1</v>
      </c>
      <c r="H170" s="87" t="b">
        <v>0</v>
      </c>
      <c r="I170" s="87" t="b">
        <v>0</v>
      </c>
      <c r="J170" s="173" t="s">
        <v>470</v>
      </c>
      <c r="K170" s="174">
        <v>7794623004896</v>
      </c>
      <c r="L170" s="173" t="s">
        <v>1084</v>
      </c>
      <c r="M170" s="173" t="s">
        <v>131</v>
      </c>
      <c r="N170" s="173" t="s">
        <v>61</v>
      </c>
      <c r="O170" s="87">
        <v>70</v>
      </c>
      <c r="P170" s="173" t="s">
        <v>20</v>
      </c>
      <c r="Q170" s="1" t="s">
        <v>1338</v>
      </c>
      <c r="R170" s="175">
        <v>1850</v>
      </c>
      <c r="S170">
        <v>370</v>
      </c>
    </row>
    <row r="171" spans="1:19" x14ac:dyDescent="0.25">
      <c r="A171" s="87">
        <v>2019</v>
      </c>
      <c r="B171" s="87">
        <v>7</v>
      </c>
      <c r="C171" s="173" t="s">
        <v>16</v>
      </c>
      <c r="D171" s="173" t="s">
        <v>17</v>
      </c>
      <c r="E171" s="173" t="s">
        <v>18</v>
      </c>
      <c r="F171" s="173" t="s">
        <v>16</v>
      </c>
      <c r="G171" s="87" t="b">
        <v>1</v>
      </c>
      <c r="H171" s="87" t="b">
        <v>0</v>
      </c>
      <c r="I171" s="87" t="b">
        <v>0</v>
      </c>
      <c r="J171" s="173" t="s">
        <v>470</v>
      </c>
      <c r="K171" s="174">
        <v>7794623005191</v>
      </c>
      <c r="L171" s="173" t="s">
        <v>821</v>
      </c>
      <c r="M171" s="173" t="s">
        <v>739</v>
      </c>
      <c r="N171" s="173" t="s">
        <v>55</v>
      </c>
      <c r="O171" s="87">
        <v>70</v>
      </c>
      <c r="P171" s="173" t="s">
        <v>20</v>
      </c>
      <c r="Q171" s="1" t="s">
        <v>1338</v>
      </c>
      <c r="R171" s="175">
        <v>25</v>
      </c>
      <c r="S171">
        <v>5</v>
      </c>
    </row>
    <row r="172" spans="1:19" x14ac:dyDescent="0.25">
      <c r="A172" s="87">
        <v>2019</v>
      </c>
      <c r="B172" s="87">
        <v>7</v>
      </c>
      <c r="C172" s="173" t="s">
        <v>16</v>
      </c>
      <c r="D172" s="173" t="s">
        <v>17</v>
      </c>
      <c r="E172" s="173" t="s">
        <v>18</v>
      </c>
      <c r="F172" s="173" t="s">
        <v>16</v>
      </c>
      <c r="G172" s="87" t="b">
        <v>1</v>
      </c>
      <c r="H172" s="87" t="b">
        <v>0</v>
      </c>
      <c r="I172" s="87" t="b">
        <v>0</v>
      </c>
      <c r="J172" s="173" t="s">
        <v>464</v>
      </c>
      <c r="K172" s="174">
        <v>7835044000180</v>
      </c>
      <c r="L172" s="173" t="s">
        <v>822</v>
      </c>
      <c r="M172" s="173" t="s">
        <v>76</v>
      </c>
      <c r="N172" s="173" t="s">
        <v>77</v>
      </c>
      <c r="O172" s="87">
        <v>62</v>
      </c>
      <c r="P172" s="173" t="s">
        <v>27</v>
      </c>
      <c r="Q172" s="1" t="s">
        <v>1343</v>
      </c>
      <c r="R172" s="175">
        <v>10</v>
      </c>
      <c r="S172">
        <v>10</v>
      </c>
    </row>
    <row r="173" spans="1:19" x14ac:dyDescent="0.25">
      <c r="A173" s="87">
        <v>2019</v>
      </c>
      <c r="B173" s="87">
        <v>7</v>
      </c>
      <c r="C173" s="173" t="s">
        <v>16</v>
      </c>
      <c r="D173" s="173" t="s">
        <v>17</v>
      </c>
      <c r="E173" s="173" t="s">
        <v>18</v>
      </c>
      <c r="F173" s="173" t="s">
        <v>16</v>
      </c>
      <c r="G173" s="87" t="b">
        <v>1</v>
      </c>
      <c r="H173" s="87" t="b">
        <v>0</v>
      </c>
      <c r="I173" s="87" t="b">
        <v>0</v>
      </c>
      <c r="J173" s="173" t="s">
        <v>470</v>
      </c>
      <c r="K173" s="174">
        <v>8100676000592</v>
      </c>
      <c r="L173" s="173" t="s">
        <v>572</v>
      </c>
      <c r="M173" s="173" t="s">
        <v>29</v>
      </c>
      <c r="N173" s="173" t="s">
        <v>19</v>
      </c>
      <c r="O173" s="87">
        <v>70</v>
      </c>
      <c r="P173" s="173" t="s">
        <v>20</v>
      </c>
      <c r="Q173" s="1" t="s">
        <v>1338</v>
      </c>
      <c r="R173" s="175">
        <v>130</v>
      </c>
      <c r="S173">
        <v>26</v>
      </c>
    </row>
    <row r="174" spans="1:19" x14ac:dyDescent="0.25">
      <c r="A174" s="87">
        <v>2019</v>
      </c>
      <c r="B174" s="87">
        <v>7</v>
      </c>
      <c r="C174" s="173" t="s">
        <v>16</v>
      </c>
      <c r="D174" s="173" t="s">
        <v>17</v>
      </c>
      <c r="E174" s="173" t="s">
        <v>18</v>
      </c>
      <c r="F174" s="173" t="s">
        <v>16</v>
      </c>
      <c r="G174" s="87" t="b">
        <v>1</v>
      </c>
      <c r="H174" s="87" t="b">
        <v>0</v>
      </c>
      <c r="I174" s="87" t="b">
        <v>0</v>
      </c>
      <c r="J174" s="173" t="s">
        <v>470</v>
      </c>
      <c r="K174" s="174">
        <v>8100676000835</v>
      </c>
      <c r="L174" s="173" t="s">
        <v>573</v>
      </c>
      <c r="M174" s="173" t="s">
        <v>29</v>
      </c>
      <c r="N174" s="173" t="s">
        <v>19</v>
      </c>
      <c r="O174" s="87">
        <v>70</v>
      </c>
      <c r="P174" s="173" t="s">
        <v>20</v>
      </c>
      <c r="Q174" s="1" t="s">
        <v>1338</v>
      </c>
      <c r="R174" s="175">
        <v>25</v>
      </c>
      <c r="S174">
        <v>5</v>
      </c>
    </row>
    <row r="175" spans="1:19" x14ac:dyDescent="0.25">
      <c r="A175" s="87">
        <v>2019</v>
      </c>
      <c r="B175" s="87">
        <v>7</v>
      </c>
      <c r="C175" s="173" t="s">
        <v>16</v>
      </c>
      <c r="D175" s="173" t="s">
        <v>17</v>
      </c>
      <c r="E175" s="173" t="s">
        <v>18</v>
      </c>
      <c r="F175" s="173" t="s">
        <v>16</v>
      </c>
      <c r="G175" s="87" t="b">
        <v>1</v>
      </c>
      <c r="H175" s="87" t="b">
        <v>0</v>
      </c>
      <c r="I175" s="87" t="b">
        <v>0</v>
      </c>
      <c r="J175" s="173" t="s">
        <v>470</v>
      </c>
      <c r="K175" s="174">
        <v>8100676002102</v>
      </c>
      <c r="L175" s="173" t="s">
        <v>1085</v>
      </c>
      <c r="M175" s="173" t="s">
        <v>131</v>
      </c>
      <c r="N175" s="173" t="s">
        <v>61</v>
      </c>
      <c r="O175" s="87">
        <v>62</v>
      </c>
      <c r="P175" s="173" t="s">
        <v>27</v>
      </c>
      <c r="Q175" s="1" t="s">
        <v>1343</v>
      </c>
      <c r="R175" s="175">
        <v>19</v>
      </c>
      <c r="S175">
        <v>19</v>
      </c>
    </row>
    <row r="176" spans="1:19" x14ac:dyDescent="0.25">
      <c r="A176" s="87">
        <v>2019</v>
      </c>
      <c r="B176" s="87">
        <v>7</v>
      </c>
      <c r="C176" s="173" t="s">
        <v>16</v>
      </c>
      <c r="D176" s="173" t="s">
        <v>17</v>
      </c>
      <c r="E176" s="173" t="s">
        <v>18</v>
      </c>
      <c r="F176" s="173" t="s">
        <v>16</v>
      </c>
      <c r="G176" s="87" t="b">
        <v>1</v>
      </c>
      <c r="H176" s="87" t="b">
        <v>0</v>
      </c>
      <c r="I176" s="87" t="b">
        <v>0</v>
      </c>
      <c r="J176" s="173" t="s">
        <v>470</v>
      </c>
      <c r="K176" s="174">
        <v>8100676002102</v>
      </c>
      <c r="L176" s="173" t="s">
        <v>1085</v>
      </c>
      <c r="M176" s="173" t="s">
        <v>131</v>
      </c>
      <c r="N176" s="173" t="s">
        <v>61</v>
      </c>
      <c r="O176" s="87">
        <v>64</v>
      </c>
      <c r="P176" s="173" t="s">
        <v>25</v>
      </c>
      <c r="Q176" s="1" t="s">
        <v>1344</v>
      </c>
      <c r="R176" s="175">
        <v>31</v>
      </c>
      <c r="S176">
        <v>31</v>
      </c>
    </row>
    <row r="177" spans="1:19" x14ac:dyDescent="0.25">
      <c r="A177" s="87">
        <v>2019</v>
      </c>
      <c r="B177" s="87">
        <v>7</v>
      </c>
      <c r="C177" s="173" t="s">
        <v>16</v>
      </c>
      <c r="D177" s="173" t="s">
        <v>17</v>
      </c>
      <c r="E177" s="173" t="s">
        <v>18</v>
      </c>
      <c r="F177" s="173" t="s">
        <v>16</v>
      </c>
      <c r="G177" s="87" t="b">
        <v>1</v>
      </c>
      <c r="H177" s="87" t="b">
        <v>0</v>
      </c>
      <c r="I177" s="87" t="b">
        <v>0</v>
      </c>
      <c r="J177" s="173" t="s">
        <v>470</v>
      </c>
      <c r="K177" s="174">
        <v>8100676002455</v>
      </c>
      <c r="L177" s="173" t="s">
        <v>574</v>
      </c>
      <c r="M177" s="173" t="s">
        <v>29</v>
      </c>
      <c r="N177" s="173" t="s">
        <v>19</v>
      </c>
      <c r="O177" s="87">
        <v>64</v>
      </c>
      <c r="P177" s="173" t="s">
        <v>25</v>
      </c>
      <c r="Q177" s="1" t="s">
        <v>1344</v>
      </c>
      <c r="R177" s="175">
        <v>3</v>
      </c>
      <c r="S177">
        <v>3</v>
      </c>
    </row>
    <row r="178" spans="1:19" x14ac:dyDescent="0.25">
      <c r="A178" s="87">
        <v>2019</v>
      </c>
      <c r="B178" s="87">
        <v>7</v>
      </c>
      <c r="C178" s="173" t="s">
        <v>16</v>
      </c>
      <c r="D178" s="173" t="s">
        <v>17</v>
      </c>
      <c r="E178" s="173" t="s">
        <v>18</v>
      </c>
      <c r="F178" s="173" t="s">
        <v>16</v>
      </c>
      <c r="G178" s="87" t="b">
        <v>1</v>
      </c>
      <c r="H178" s="87" t="b">
        <v>0</v>
      </c>
      <c r="I178" s="87" t="b">
        <v>0</v>
      </c>
      <c r="J178" s="173" t="s">
        <v>470</v>
      </c>
      <c r="K178" s="174">
        <v>8100676002455</v>
      </c>
      <c r="L178" s="173" t="s">
        <v>574</v>
      </c>
      <c r="M178" s="173" t="s">
        <v>29</v>
      </c>
      <c r="N178" s="173" t="s">
        <v>19</v>
      </c>
      <c r="O178" s="87">
        <v>70</v>
      </c>
      <c r="P178" s="173" t="s">
        <v>20</v>
      </c>
      <c r="Q178" s="1" t="s">
        <v>1338</v>
      </c>
      <c r="R178" s="175">
        <v>340</v>
      </c>
      <c r="S178">
        <v>68</v>
      </c>
    </row>
    <row r="179" spans="1:19" x14ac:dyDescent="0.25">
      <c r="A179" s="87">
        <v>2019</v>
      </c>
      <c r="B179" s="87">
        <v>7</v>
      </c>
      <c r="C179" s="173" t="s">
        <v>16</v>
      </c>
      <c r="D179" s="173" t="s">
        <v>17</v>
      </c>
      <c r="E179" s="173" t="s">
        <v>18</v>
      </c>
      <c r="F179" s="173" t="s">
        <v>16</v>
      </c>
      <c r="G179" s="87" t="b">
        <v>1</v>
      </c>
      <c r="H179" s="87" t="b">
        <v>0</v>
      </c>
      <c r="I179" s="87" t="b">
        <v>0</v>
      </c>
      <c r="J179" s="173" t="s">
        <v>491</v>
      </c>
      <c r="K179" s="174">
        <v>8319329000121</v>
      </c>
      <c r="L179" s="173" t="s">
        <v>823</v>
      </c>
      <c r="M179" s="173" t="s">
        <v>62</v>
      </c>
      <c r="N179" s="173" t="s">
        <v>63</v>
      </c>
      <c r="O179" s="87">
        <v>64</v>
      </c>
      <c r="P179" s="173" t="s">
        <v>25</v>
      </c>
      <c r="Q179" s="1" t="s">
        <v>1344</v>
      </c>
      <c r="R179" s="175">
        <v>4</v>
      </c>
      <c r="S179">
        <v>4</v>
      </c>
    </row>
    <row r="180" spans="1:19" x14ac:dyDescent="0.25">
      <c r="A180" s="87">
        <v>2019</v>
      </c>
      <c r="B180" s="87">
        <v>7</v>
      </c>
      <c r="C180" s="173" t="s">
        <v>16</v>
      </c>
      <c r="D180" s="173" t="s">
        <v>17</v>
      </c>
      <c r="E180" s="173" t="s">
        <v>18</v>
      </c>
      <c r="F180" s="173" t="s">
        <v>16</v>
      </c>
      <c r="G180" s="87" t="b">
        <v>1</v>
      </c>
      <c r="H180" s="87" t="b">
        <v>0</v>
      </c>
      <c r="I180" s="87" t="b">
        <v>0</v>
      </c>
      <c r="J180" s="173" t="s">
        <v>455</v>
      </c>
      <c r="K180" s="174">
        <v>8337586000196</v>
      </c>
      <c r="L180" s="173" t="s">
        <v>824</v>
      </c>
      <c r="M180" s="173" t="s">
        <v>62</v>
      </c>
      <c r="N180" s="173" t="s">
        <v>63</v>
      </c>
      <c r="O180" s="87">
        <v>64</v>
      </c>
      <c r="P180" s="173" t="s">
        <v>25</v>
      </c>
      <c r="Q180" s="1" t="s">
        <v>1344</v>
      </c>
      <c r="R180" s="175">
        <v>1</v>
      </c>
      <c r="S180">
        <v>1</v>
      </c>
    </row>
    <row r="181" spans="1:19" x14ac:dyDescent="0.25">
      <c r="A181" s="87">
        <v>2019</v>
      </c>
      <c r="B181" s="87">
        <v>7</v>
      </c>
      <c r="C181" s="173" t="s">
        <v>16</v>
      </c>
      <c r="D181" s="173" t="s">
        <v>17</v>
      </c>
      <c r="E181" s="173" t="s">
        <v>18</v>
      </c>
      <c r="F181" s="173" t="s">
        <v>16</v>
      </c>
      <c r="G181" s="87" t="b">
        <v>1</v>
      </c>
      <c r="H181" s="87" t="b">
        <v>0</v>
      </c>
      <c r="I181" s="87" t="b">
        <v>0</v>
      </c>
      <c r="J181" s="173" t="s">
        <v>460</v>
      </c>
      <c r="K181" s="174">
        <v>8380701000610</v>
      </c>
      <c r="L181" s="173" t="s">
        <v>825</v>
      </c>
      <c r="M181" s="173" t="s">
        <v>62</v>
      </c>
      <c r="N181" s="173" t="s">
        <v>63</v>
      </c>
      <c r="O181" s="87">
        <v>70</v>
      </c>
      <c r="P181" s="173" t="s">
        <v>20</v>
      </c>
      <c r="Q181" s="1" t="s">
        <v>1338</v>
      </c>
      <c r="R181" s="175">
        <v>250</v>
      </c>
      <c r="S181">
        <v>50</v>
      </c>
    </row>
    <row r="182" spans="1:19" x14ac:dyDescent="0.25">
      <c r="A182" s="87">
        <v>2019</v>
      </c>
      <c r="B182" s="87">
        <v>7</v>
      </c>
      <c r="C182" s="173" t="s">
        <v>16</v>
      </c>
      <c r="D182" s="173" t="s">
        <v>17</v>
      </c>
      <c r="E182" s="173" t="s">
        <v>18</v>
      </c>
      <c r="F182" s="173" t="s">
        <v>16</v>
      </c>
      <c r="G182" s="87" t="b">
        <v>1</v>
      </c>
      <c r="H182" s="87" t="b">
        <v>0</v>
      </c>
      <c r="I182" s="87" t="b">
        <v>0</v>
      </c>
      <c r="J182" s="173" t="s">
        <v>463</v>
      </c>
      <c r="K182" s="174">
        <v>8438844000392</v>
      </c>
      <c r="L182" s="173" t="s">
        <v>575</v>
      </c>
      <c r="M182" s="173" t="s">
        <v>29</v>
      </c>
      <c r="N182" s="173" t="s">
        <v>19</v>
      </c>
      <c r="O182" s="87">
        <v>73</v>
      </c>
      <c r="P182" s="173" t="s">
        <v>26</v>
      </c>
      <c r="Q182" s="1" t="s">
        <v>1340</v>
      </c>
      <c r="R182" s="175">
        <v>2</v>
      </c>
      <c r="S182">
        <v>2</v>
      </c>
    </row>
    <row r="183" spans="1:19" x14ac:dyDescent="0.25">
      <c r="A183" s="87">
        <v>2019</v>
      </c>
      <c r="B183" s="87">
        <v>7</v>
      </c>
      <c r="C183" s="173" t="s">
        <v>16</v>
      </c>
      <c r="D183" s="173" t="s">
        <v>17</v>
      </c>
      <c r="E183" s="173" t="s">
        <v>18</v>
      </c>
      <c r="F183" s="173" t="s">
        <v>16</v>
      </c>
      <c r="G183" s="87" t="b">
        <v>1</v>
      </c>
      <c r="H183" s="87" t="b">
        <v>0</v>
      </c>
      <c r="I183" s="87" t="b">
        <v>0</v>
      </c>
      <c r="J183" s="173" t="s">
        <v>1330</v>
      </c>
      <c r="K183" s="174">
        <v>8597121000174</v>
      </c>
      <c r="L183" s="173" t="s">
        <v>957</v>
      </c>
      <c r="M183" s="173" t="s">
        <v>94</v>
      </c>
      <c r="N183" s="173" t="s">
        <v>57</v>
      </c>
      <c r="O183" s="87">
        <v>70</v>
      </c>
      <c r="P183" s="173" t="s">
        <v>20</v>
      </c>
      <c r="Q183" s="1" t="s">
        <v>1338</v>
      </c>
      <c r="R183" s="175">
        <v>14000</v>
      </c>
      <c r="S183">
        <v>2800</v>
      </c>
    </row>
    <row r="184" spans="1:19" x14ac:dyDescent="0.25">
      <c r="A184" s="87">
        <v>2019</v>
      </c>
      <c r="B184" s="87">
        <v>7</v>
      </c>
      <c r="C184" s="173" t="s">
        <v>16</v>
      </c>
      <c r="D184" s="173" t="s">
        <v>17</v>
      </c>
      <c r="E184" s="173" t="s">
        <v>18</v>
      </c>
      <c r="F184" s="173" t="s">
        <v>16</v>
      </c>
      <c r="G184" s="87" t="b">
        <v>1</v>
      </c>
      <c r="H184" s="87" t="b">
        <v>0</v>
      </c>
      <c r="I184" s="87" t="b">
        <v>0</v>
      </c>
      <c r="J184" s="173" t="s">
        <v>460</v>
      </c>
      <c r="K184" s="174">
        <v>8680639000681</v>
      </c>
      <c r="L184" s="173" t="s">
        <v>827</v>
      </c>
      <c r="M184" s="173" t="s">
        <v>747</v>
      </c>
      <c r="N184" s="173" t="s">
        <v>56</v>
      </c>
      <c r="O184" s="87">
        <v>70</v>
      </c>
      <c r="P184" s="173" t="s">
        <v>20</v>
      </c>
      <c r="Q184" s="1" t="s">
        <v>1338</v>
      </c>
      <c r="R184" s="175">
        <v>80</v>
      </c>
      <c r="S184">
        <v>16</v>
      </c>
    </row>
    <row r="185" spans="1:19" x14ac:dyDescent="0.25">
      <c r="A185" s="87">
        <v>2019</v>
      </c>
      <c r="B185" s="87">
        <v>7</v>
      </c>
      <c r="C185" s="173" t="s">
        <v>16</v>
      </c>
      <c r="D185" s="173" t="s">
        <v>17</v>
      </c>
      <c r="E185" s="173" t="s">
        <v>18</v>
      </c>
      <c r="F185" s="173" t="s">
        <v>16</v>
      </c>
      <c r="G185" s="87" t="b">
        <v>1</v>
      </c>
      <c r="H185" s="87" t="b">
        <v>0</v>
      </c>
      <c r="I185" s="87" t="b">
        <v>0</v>
      </c>
      <c r="J185" s="173" t="s">
        <v>460</v>
      </c>
      <c r="K185" s="174">
        <v>8680639000681</v>
      </c>
      <c r="L185" s="173" t="s">
        <v>827</v>
      </c>
      <c r="M185" s="173" t="s">
        <v>747</v>
      </c>
      <c r="N185" s="173" t="s">
        <v>56</v>
      </c>
      <c r="O185" s="87">
        <v>73</v>
      </c>
      <c r="P185" s="173" t="s">
        <v>26</v>
      </c>
      <c r="Q185" s="1" t="s">
        <v>1342</v>
      </c>
      <c r="R185" s="175">
        <v>36</v>
      </c>
      <c r="S185">
        <v>9</v>
      </c>
    </row>
    <row r="186" spans="1:19" x14ac:dyDescent="0.25">
      <c r="A186" s="87">
        <v>2019</v>
      </c>
      <c r="B186" s="87">
        <v>7</v>
      </c>
      <c r="C186" s="173" t="s">
        <v>16</v>
      </c>
      <c r="D186" s="173" t="s">
        <v>17</v>
      </c>
      <c r="E186" s="173" t="s">
        <v>18</v>
      </c>
      <c r="F186" s="173" t="s">
        <v>16</v>
      </c>
      <c r="G186" s="87" t="b">
        <v>1</v>
      </c>
      <c r="H186" s="87" t="b">
        <v>0</v>
      </c>
      <c r="I186" s="87" t="b">
        <v>0</v>
      </c>
      <c r="J186" s="173" t="s">
        <v>491</v>
      </c>
      <c r="K186" s="174">
        <v>8850962000222</v>
      </c>
      <c r="L186" s="173" t="s">
        <v>1086</v>
      </c>
      <c r="M186" s="173" t="s">
        <v>131</v>
      </c>
      <c r="N186" s="173" t="s">
        <v>61</v>
      </c>
      <c r="O186" s="87">
        <v>62</v>
      </c>
      <c r="P186" s="173" t="s">
        <v>27</v>
      </c>
      <c r="Q186" s="1" t="s">
        <v>1343</v>
      </c>
      <c r="R186" s="175">
        <v>1</v>
      </c>
      <c r="S186">
        <v>1</v>
      </c>
    </row>
    <row r="187" spans="1:19" x14ac:dyDescent="0.25">
      <c r="A187" s="87">
        <v>2019</v>
      </c>
      <c r="B187" s="87">
        <v>7</v>
      </c>
      <c r="C187" s="173" t="s">
        <v>16</v>
      </c>
      <c r="D187" s="173" t="s">
        <v>17</v>
      </c>
      <c r="E187" s="173" t="s">
        <v>18</v>
      </c>
      <c r="F187" s="173" t="s">
        <v>16</v>
      </c>
      <c r="G187" s="87" t="b">
        <v>1</v>
      </c>
      <c r="H187" s="87" t="b">
        <v>0</v>
      </c>
      <c r="I187" s="87" t="b">
        <v>0</v>
      </c>
      <c r="J187" s="173" t="s">
        <v>491</v>
      </c>
      <c r="K187" s="174">
        <v>8850962000222</v>
      </c>
      <c r="L187" s="173" t="s">
        <v>1086</v>
      </c>
      <c r="M187" s="173" t="s">
        <v>131</v>
      </c>
      <c r="N187" s="173" t="s">
        <v>61</v>
      </c>
      <c r="O187" s="87">
        <v>64</v>
      </c>
      <c r="P187" s="173" t="s">
        <v>25</v>
      </c>
      <c r="Q187" s="1" t="s">
        <v>1344</v>
      </c>
      <c r="R187" s="175">
        <v>1</v>
      </c>
      <c r="S187">
        <v>1</v>
      </c>
    </row>
    <row r="188" spans="1:19" x14ac:dyDescent="0.25">
      <c r="A188" s="87">
        <v>2019</v>
      </c>
      <c r="B188" s="87">
        <v>7</v>
      </c>
      <c r="C188" s="173" t="s">
        <v>16</v>
      </c>
      <c r="D188" s="173" t="s">
        <v>17</v>
      </c>
      <c r="E188" s="173" t="s">
        <v>18</v>
      </c>
      <c r="F188" s="173" t="s">
        <v>16</v>
      </c>
      <c r="G188" s="87" t="b">
        <v>1</v>
      </c>
      <c r="H188" s="87" t="b">
        <v>0</v>
      </c>
      <c r="I188" s="87" t="b">
        <v>0</v>
      </c>
      <c r="J188" s="173" t="s">
        <v>451</v>
      </c>
      <c r="K188" s="174">
        <v>8871521000126</v>
      </c>
      <c r="L188" s="173" t="s">
        <v>577</v>
      </c>
      <c r="M188" s="173" t="s">
        <v>29</v>
      </c>
      <c r="N188" s="173" t="s">
        <v>19</v>
      </c>
      <c r="O188" s="87">
        <v>70</v>
      </c>
      <c r="P188" s="173" t="s">
        <v>20</v>
      </c>
      <c r="Q188" s="1" t="s">
        <v>1338</v>
      </c>
      <c r="R188" s="175">
        <v>60</v>
      </c>
      <c r="S188">
        <v>12</v>
      </c>
    </row>
    <row r="189" spans="1:19" x14ac:dyDescent="0.25">
      <c r="A189" s="87">
        <v>2019</v>
      </c>
      <c r="B189" s="87">
        <v>7</v>
      </c>
      <c r="C189" s="173" t="s">
        <v>16</v>
      </c>
      <c r="D189" s="173" t="s">
        <v>17</v>
      </c>
      <c r="E189" s="173" t="s">
        <v>18</v>
      </c>
      <c r="F189" s="173" t="s">
        <v>16</v>
      </c>
      <c r="G189" s="87" t="b">
        <v>1</v>
      </c>
      <c r="H189" s="87" t="b">
        <v>0</v>
      </c>
      <c r="I189" s="87" t="b">
        <v>0</v>
      </c>
      <c r="J189" s="173" t="s">
        <v>450</v>
      </c>
      <c r="K189" s="174">
        <v>9087150000230</v>
      </c>
      <c r="L189" s="173" t="s">
        <v>958</v>
      </c>
      <c r="M189" s="173" t="s">
        <v>83</v>
      </c>
      <c r="N189" s="173" t="s">
        <v>67</v>
      </c>
      <c r="O189" s="87">
        <v>73</v>
      </c>
      <c r="P189" s="173" t="s">
        <v>26</v>
      </c>
      <c r="Q189" s="1" t="s">
        <v>1339</v>
      </c>
      <c r="R189" s="175">
        <v>8</v>
      </c>
      <c r="S189">
        <v>4</v>
      </c>
    </row>
    <row r="190" spans="1:19" x14ac:dyDescent="0.25">
      <c r="A190" s="87">
        <v>2019</v>
      </c>
      <c r="B190" s="87">
        <v>7</v>
      </c>
      <c r="C190" s="173" t="s">
        <v>16</v>
      </c>
      <c r="D190" s="173" t="s">
        <v>17</v>
      </c>
      <c r="E190" s="173" t="s">
        <v>18</v>
      </c>
      <c r="F190" s="173" t="s">
        <v>16</v>
      </c>
      <c r="G190" s="87" t="b">
        <v>1</v>
      </c>
      <c r="H190" s="87" t="b">
        <v>0</v>
      </c>
      <c r="I190" s="87" t="b">
        <v>0</v>
      </c>
      <c r="J190" s="173" t="s">
        <v>451</v>
      </c>
      <c r="K190" s="174">
        <v>9104513000974</v>
      </c>
      <c r="L190" s="173" t="s">
        <v>830</v>
      </c>
      <c r="M190" s="173" t="s">
        <v>739</v>
      </c>
      <c r="N190" s="173" t="s">
        <v>55</v>
      </c>
      <c r="O190" s="87">
        <v>70</v>
      </c>
      <c r="P190" s="173" t="s">
        <v>20</v>
      </c>
      <c r="Q190" s="1" t="s">
        <v>1345</v>
      </c>
      <c r="R190" s="175">
        <v>30</v>
      </c>
      <c r="S190">
        <v>3</v>
      </c>
    </row>
    <row r="191" spans="1:19" x14ac:dyDescent="0.25">
      <c r="A191" s="87">
        <v>2019</v>
      </c>
      <c r="B191" s="87">
        <v>7</v>
      </c>
      <c r="C191" s="173" t="s">
        <v>16</v>
      </c>
      <c r="D191" s="173" t="s">
        <v>17</v>
      </c>
      <c r="E191" s="173" t="s">
        <v>18</v>
      </c>
      <c r="F191" s="173" t="s">
        <v>16</v>
      </c>
      <c r="G191" s="87" t="b">
        <v>1</v>
      </c>
      <c r="H191" s="87" t="b">
        <v>0</v>
      </c>
      <c r="I191" s="87" t="b">
        <v>0</v>
      </c>
      <c r="J191" s="173" t="s">
        <v>451</v>
      </c>
      <c r="K191" s="174">
        <v>9104513000974</v>
      </c>
      <c r="L191" s="173" t="s">
        <v>830</v>
      </c>
      <c r="M191" s="173" t="s">
        <v>739</v>
      </c>
      <c r="N191" s="173" t="s">
        <v>55</v>
      </c>
      <c r="O191" s="87">
        <v>70</v>
      </c>
      <c r="P191" s="173" t="s">
        <v>20</v>
      </c>
      <c r="Q191" s="1" t="s">
        <v>1346</v>
      </c>
      <c r="R191" s="175">
        <v>130</v>
      </c>
      <c r="S191">
        <v>52</v>
      </c>
    </row>
    <row r="192" spans="1:19" x14ac:dyDescent="0.25">
      <c r="A192" s="87">
        <v>2019</v>
      </c>
      <c r="B192" s="87">
        <v>7</v>
      </c>
      <c r="C192" s="173" t="s">
        <v>16</v>
      </c>
      <c r="D192" s="173" t="s">
        <v>17</v>
      </c>
      <c r="E192" s="173" t="s">
        <v>18</v>
      </c>
      <c r="F192" s="173" t="s">
        <v>16</v>
      </c>
      <c r="G192" s="87" t="b">
        <v>1</v>
      </c>
      <c r="H192" s="87" t="b">
        <v>0</v>
      </c>
      <c r="I192" s="87" t="b">
        <v>0</v>
      </c>
      <c r="J192" s="173" t="s">
        <v>451</v>
      </c>
      <c r="K192" s="174">
        <v>9104513000974</v>
      </c>
      <c r="L192" s="173" t="s">
        <v>830</v>
      </c>
      <c r="M192" s="173" t="s">
        <v>739</v>
      </c>
      <c r="N192" s="173" t="s">
        <v>55</v>
      </c>
      <c r="O192" s="87">
        <v>70</v>
      </c>
      <c r="P192" s="173" t="s">
        <v>20</v>
      </c>
      <c r="Q192" s="1" t="s">
        <v>1338</v>
      </c>
      <c r="R192" s="175">
        <v>345</v>
      </c>
      <c r="S192">
        <v>69</v>
      </c>
    </row>
    <row r="193" spans="1:19" x14ac:dyDescent="0.25">
      <c r="A193" s="87">
        <v>2019</v>
      </c>
      <c r="B193" s="87">
        <v>7</v>
      </c>
      <c r="C193" s="173" t="s">
        <v>16</v>
      </c>
      <c r="D193" s="173" t="s">
        <v>17</v>
      </c>
      <c r="E193" s="173" t="s">
        <v>18</v>
      </c>
      <c r="F193" s="173" t="s">
        <v>16</v>
      </c>
      <c r="G193" s="87" t="b">
        <v>1</v>
      </c>
      <c r="H193" s="87" t="b">
        <v>0</v>
      </c>
      <c r="I193" s="87" t="b">
        <v>0</v>
      </c>
      <c r="J193" s="173" t="s">
        <v>1512</v>
      </c>
      <c r="K193" s="174">
        <v>9219138000584</v>
      </c>
      <c r="L193" s="173" t="s">
        <v>1088</v>
      </c>
      <c r="M193" s="173" t="s">
        <v>131</v>
      </c>
      <c r="N193" s="173" t="s">
        <v>61</v>
      </c>
      <c r="O193" s="87">
        <v>62</v>
      </c>
      <c r="P193" s="173" t="s">
        <v>27</v>
      </c>
      <c r="Q193" s="1" t="s">
        <v>1343</v>
      </c>
      <c r="R193" s="175">
        <v>4</v>
      </c>
      <c r="S193">
        <v>4</v>
      </c>
    </row>
    <row r="194" spans="1:19" x14ac:dyDescent="0.25">
      <c r="A194" s="87">
        <v>2019</v>
      </c>
      <c r="B194" s="87">
        <v>7</v>
      </c>
      <c r="C194" s="173" t="s">
        <v>16</v>
      </c>
      <c r="D194" s="173" t="s">
        <v>17</v>
      </c>
      <c r="E194" s="173" t="s">
        <v>18</v>
      </c>
      <c r="F194" s="173" t="s">
        <v>16</v>
      </c>
      <c r="G194" s="87" t="b">
        <v>1</v>
      </c>
      <c r="H194" s="87" t="b">
        <v>0</v>
      </c>
      <c r="I194" s="87" t="b">
        <v>0</v>
      </c>
      <c r="J194" s="173" t="s">
        <v>478</v>
      </c>
      <c r="K194" s="174">
        <v>9219138000584</v>
      </c>
      <c r="L194" s="173" t="s">
        <v>1088</v>
      </c>
      <c r="M194" s="173" t="s">
        <v>131</v>
      </c>
      <c r="N194" s="173" t="s">
        <v>61</v>
      </c>
      <c r="O194" s="87">
        <v>70</v>
      </c>
      <c r="P194" s="173" t="s">
        <v>20</v>
      </c>
      <c r="Q194" s="1" t="s">
        <v>1338</v>
      </c>
      <c r="R194" s="175">
        <v>30</v>
      </c>
      <c r="S194">
        <v>6</v>
      </c>
    </row>
    <row r="195" spans="1:19" x14ac:dyDescent="0.25">
      <c r="A195" s="87">
        <v>2019</v>
      </c>
      <c r="B195" s="87">
        <v>7</v>
      </c>
      <c r="C195" s="173" t="s">
        <v>16</v>
      </c>
      <c r="D195" s="173" t="s">
        <v>17</v>
      </c>
      <c r="E195" s="173" t="s">
        <v>18</v>
      </c>
      <c r="F195" s="173" t="s">
        <v>16</v>
      </c>
      <c r="G195" s="87" t="b">
        <v>1</v>
      </c>
      <c r="H195" s="87" t="b">
        <v>0</v>
      </c>
      <c r="I195" s="87" t="b">
        <v>0</v>
      </c>
      <c r="J195" s="173" t="s">
        <v>477</v>
      </c>
      <c r="K195" s="174">
        <v>9219138000584</v>
      </c>
      <c r="L195" s="173" t="s">
        <v>1088</v>
      </c>
      <c r="M195" s="173" t="s">
        <v>131</v>
      </c>
      <c r="N195" s="173" t="s">
        <v>61</v>
      </c>
      <c r="O195" s="87">
        <v>70</v>
      </c>
      <c r="P195" s="173" t="s">
        <v>20</v>
      </c>
      <c r="Q195" s="1" t="s">
        <v>1338</v>
      </c>
      <c r="R195" s="175">
        <v>390</v>
      </c>
      <c r="S195">
        <v>78</v>
      </c>
    </row>
    <row r="196" spans="1:19" x14ac:dyDescent="0.25">
      <c r="A196" s="87">
        <v>2019</v>
      </c>
      <c r="B196" s="87">
        <v>7</v>
      </c>
      <c r="C196" s="173" t="s">
        <v>16</v>
      </c>
      <c r="D196" s="173" t="s">
        <v>17</v>
      </c>
      <c r="E196" s="173" t="s">
        <v>18</v>
      </c>
      <c r="F196" s="173" t="s">
        <v>16</v>
      </c>
      <c r="G196" s="87" t="b">
        <v>1</v>
      </c>
      <c r="H196" s="87" t="b">
        <v>0</v>
      </c>
      <c r="I196" s="87" t="b">
        <v>0</v>
      </c>
      <c r="J196" s="173" t="s">
        <v>450</v>
      </c>
      <c r="K196" s="174">
        <v>9219138000584</v>
      </c>
      <c r="L196" s="173" t="s">
        <v>1088</v>
      </c>
      <c r="M196" s="173" t="s">
        <v>131</v>
      </c>
      <c r="N196" s="173" t="s">
        <v>61</v>
      </c>
      <c r="O196" s="87">
        <v>73</v>
      </c>
      <c r="P196" s="173" t="s">
        <v>26</v>
      </c>
      <c r="Q196" s="1" t="s">
        <v>1342</v>
      </c>
      <c r="R196" s="175">
        <v>28</v>
      </c>
      <c r="S196">
        <v>7</v>
      </c>
    </row>
    <row r="197" spans="1:19" x14ac:dyDescent="0.25">
      <c r="A197" s="87">
        <v>2019</v>
      </c>
      <c r="B197" s="87">
        <v>7</v>
      </c>
      <c r="C197" s="173" t="s">
        <v>16</v>
      </c>
      <c r="D197" s="173" t="s">
        <v>17</v>
      </c>
      <c r="E197" s="173" t="s">
        <v>18</v>
      </c>
      <c r="F197" s="173" t="s">
        <v>16</v>
      </c>
      <c r="G197" s="87" t="b">
        <v>1</v>
      </c>
      <c r="H197" s="87" t="b">
        <v>0</v>
      </c>
      <c r="I197" s="87" t="b">
        <v>0</v>
      </c>
      <c r="J197" s="173" t="s">
        <v>477</v>
      </c>
      <c r="K197" s="174">
        <v>9219138000584</v>
      </c>
      <c r="L197" s="173" t="s">
        <v>1088</v>
      </c>
      <c r="M197" s="173" t="s">
        <v>131</v>
      </c>
      <c r="N197" s="173" t="s">
        <v>61</v>
      </c>
      <c r="O197" s="87">
        <v>73</v>
      </c>
      <c r="P197" s="173" t="s">
        <v>26</v>
      </c>
      <c r="Q197" s="1" t="s">
        <v>1342</v>
      </c>
      <c r="R197" s="175">
        <v>56</v>
      </c>
      <c r="S197">
        <v>14</v>
      </c>
    </row>
    <row r="198" spans="1:19" x14ac:dyDescent="0.25">
      <c r="A198" s="87">
        <v>2019</v>
      </c>
      <c r="B198" s="87">
        <v>7</v>
      </c>
      <c r="C198" s="173" t="s">
        <v>16</v>
      </c>
      <c r="D198" s="173" t="s">
        <v>17</v>
      </c>
      <c r="E198" s="173" t="s">
        <v>18</v>
      </c>
      <c r="F198" s="173" t="s">
        <v>16</v>
      </c>
      <c r="G198" s="87" t="b">
        <v>1</v>
      </c>
      <c r="H198" s="87" t="b">
        <v>0</v>
      </c>
      <c r="I198" s="87" t="b">
        <v>0</v>
      </c>
      <c r="J198" s="173" t="s">
        <v>449</v>
      </c>
      <c r="K198" s="174">
        <v>9572216000287</v>
      </c>
      <c r="L198" s="173" t="s">
        <v>960</v>
      </c>
      <c r="M198" s="173" t="s">
        <v>118</v>
      </c>
      <c r="N198" s="173" t="s">
        <v>67</v>
      </c>
      <c r="O198" s="87">
        <v>70</v>
      </c>
      <c r="P198" s="173" t="s">
        <v>20</v>
      </c>
      <c r="Q198" s="1" t="s">
        <v>1338</v>
      </c>
      <c r="R198" s="175">
        <v>90</v>
      </c>
      <c r="S198">
        <v>18</v>
      </c>
    </row>
    <row r="199" spans="1:19" x14ac:dyDescent="0.25">
      <c r="A199" s="87">
        <v>2019</v>
      </c>
      <c r="B199" s="87">
        <v>7</v>
      </c>
      <c r="C199" s="173" t="s">
        <v>16</v>
      </c>
      <c r="D199" s="173" t="s">
        <v>17</v>
      </c>
      <c r="E199" s="173" t="s">
        <v>18</v>
      </c>
      <c r="F199" s="173" t="s">
        <v>16</v>
      </c>
      <c r="G199" s="87" t="b">
        <v>1</v>
      </c>
      <c r="H199" s="87" t="b">
        <v>0</v>
      </c>
      <c r="I199" s="87" t="b">
        <v>0</v>
      </c>
      <c r="J199" s="173" t="s">
        <v>491</v>
      </c>
      <c r="K199" s="174">
        <v>9578217000158</v>
      </c>
      <c r="L199" s="173" t="s">
        <v>1089</v>
      </c>
      <c r="M199" s="173" t="s">
        <v>131</v>
      </c>
      <c r="N199" s="173" t="s">
        <v>61</v>
      </c>
      <c r="O199" s="87">
        <v>62</v>
      </c>
      <c r="P199" s="173" t="s">
        <v>27</v>
      </c>
      <c r="Q199" s="1" t="s">
        <v>1343</v>
      </c>
      <c r="R199" s="175">
        <v>4</v>
      </c>
      <c r="S199">
        <v>4</v>
      </c>
    </row>
    <row r="200" spans="1:19" x14ac:dyDescent="0.25">
      <c r="A200" s="87">
        <v>2019</v>
      </c>
      <c r="B200" s="87">
        <v>7</v>
      </c>
      <c r="C200" s="173" t="s">
        <v>16</v>
      </c>
      <c r="D200" s="173" t="s">
        <v>17</v>
      </c>
      <c r="E200" s="173" t="s">
        <v>18</v>
      </c>
      <c r="F200" s="173" t="s">
        <v>16</v>
      </c>
      <c r="G200" s="87" t="b">
        <v>1</v>
      </c>
      <c r="H200" s="87" t="b">
        <v>0</v>
      </c>
      <c r="I200" s="87" t="b">
        <v>0</v>
      </c>
      <c r="J200" s="173" t="s">
        <v>491</v>
      </c>
      <c r="K200" s="174">
        <v>9578217000158</v>
      </c>
      <c r="L200" s="173" t="s">
        <v>1089</v>
      </c>
      <c r="M200" s="173" t="s">
        <v>131</v>
      </c>
      <c r="N200" s="173" t="s">
        <v>61</v>
      </c>
      <c r="O200" s="87">
        <v>64</v>
      </c>
      <c r="P200" s="173" t="s">
        <v>25</v>
      </c>
      <c r="Q200" s="1" t="s">
        <v>1344</v>
      </c>
      <c r="R200" s="175">
        <v>3</v>
      </c>
      <c r="S200">
        <v>3</v>
      </c>
    </row>
    <row r="201" spans="1:19" x14ac:dyDescent="0.25">
      <c r="A201" s="87">
        <v>2019</v>
      </c>
      <c r="B201" s="87">
        <v>7</v>
      </c>
      <c r="C201" s="173" t="s">
        <v>16</v>
      </c>
      <c r="D201" s="173" t="s">
        <v>17</v>
      </c>
      <c r="E201" s="173" t="s">
        <v>18</v>
      </c>
      <c r="F201" s="173" t="s">
        <v>16</v>
      </c>
      <c r="G201" s="87" t="b">
        <v>1</v>
      </c>
      <c r="H201" s="87" t="b">
        <v>0</v>
      </c>
      <c r="I201" s="87" t="b">
        <v>0</v>
      </c>
      <c r="J201" s="173" t="s">
        <v>449</v>
      </c>
      <c r="K201" s="174">
        <v>9605231000284</v>
      </c>
      <c r="L201" s="173" t="s">
        <v>962</v>
      </c>
      <c r="M201" s="173" t="s">
        <v>87</v>
      </c>
      <c r="N201" s="173" t="s">
        <v>67</v>
      </c>
      <c r="O201" s="87">
        <v>70</v>
      </c>
      <c r="P201" s="173" t="s">
        <v>20</v>
      </c>
      <c r="Q201" s="1" t="s">
        <v>1338</v>
      </c>
      <c r="R201" s="175">
        <v>100</v>
      </c>
      <c r="S201">
        <v>20</v>
      </c>
    </row>
    <row r="202" spans="1:19" x14ac:dyDescent="0.25">
      <c r="A202" s="87">
        <v>2019</v>
      </c>
      <c r="B202" s="87">
        <v>7</v>
      </c>
      <c r="C202" s="173" t="s">
        <v>16</v>
      </c>
      <c r="D202" s="173" t="s">
        <v>17</v>
      </c>
      <c r="E202" s="173" t="s">
        <v>18</v>
      </c>
      <c r="F202" s="173" t="s">
        <v>16</v>
      </c>
      <c r="G202" s="87" t="b">
        <v>1</v>
      </c>
      <c r="H202" s="87" t="b">
        <v>0</v>
      </c>
      <c r="I202" s="87" t="b">
        <v>0</v>
      </c>
      <c r="J202" s="173" t="s">
        <v>1512</v>
      </c>
      <c r="K202" s="174">
        <v>9609235000230</v>
      </c>
      <c r="L202" s="173" t="s">
        <v>1090</v>
      </c>
      <c r="M202" s="173" t="s">
        <v>131</v>
      </c>
      <c r="N202" s="173" t="s">
        <v>61</v>
      </c>
      <c r="O202" s="87">
        <v>70</v>
      </c>
      <c r="P202" s="173" t="s">
        <v>20</v>
      </c>
      <c r="Q202" s="1" t="s">
        <v>1338</v>
      </c>
      <c r="R202" s="175">
        <v>450</v>
      </c>
      <c r="S202">
        <v>90</v>
      </c>
    </row>
    <row r="203" spans="1:19" x14ac:dyDescent="0.25">
      <c r="A203" s="87">
        <v>2019</v>
      </c>
      <c r="B203" s="87">
        <v>7</v>
      </c>
      <c r="C203" s="173" t="s">
        <v>16</v>
      </c>
      <c r="D203" s="173" t="s">
        <v>17</v>
      </c>
      <c r="E203" s="173" t="s">
        <v>18</v>
      </c>
      <c r="F203" s="173" t="s">
        <v>16</v>
      </c>
      <c r="G203" s="87" t="b">
        <v>1</v>
      </c>
      <c r="H203" s="87" t="b">
        <v>0</v>
      </c>
      <c r="I203" s="87" t="b">
        <v>0</v>
      </c>
      <c r="J203" s="173" t="s">
        <v>477</v>
      </c>
      <c r="K203" s="174">
        <v>10211939000230</v>
      </c>
      <c r="L203" s="173" t="s">
        <v>579</v>
      </c>
      <c r="M203" s="173" t="s">
        <v>29</v>
      </c>
      <c r="N203" s="173" t="s">
        <v>19</v>
      </c>
      <c r="O203" s="87">
        <v>73</v>
      </c>
      <c r="P203" s="173" t="s">
        <v>26</v>
      </c>
      <c r="Q203" s="1" t="s">
        <v>1339</v>
      </c>
      <c r="R203" s="175">
        <v>8</v>
      </c>
      <c r="S203">
        <v>4</v>
      </c>
    </row>
    <row r="204" spans="1:19" x14ac:dyDescent="0.25">
      <c r="A204" s="87">
        <v>2019</v>
      </c>
      <c r="B204" s="87">
        <v>7</v>
      </c>
      <c r="C204" s="173" t="s">
        <v>16</v>
      </c>
      <c r="D204" s="173" t="s">
        <v>17</v>
      </c>
      <c r="E204" s="173" t="s">
        <v>18</v>
      </c>
      <c r="F204" s="173" t="s">
        <v>16</v>
      </c>
      <c r="G204" s="87" t="b">
        <v>1</v>
      </c>
      <c r="H204" s="87" t="b">
        <v>0</v>
      </c>
      <c r="I204" s="87" t="b">
        <v>0</v>
      </c>
      <c r="J204" s="173" t="s">
        <v>463</v>
      </c>
      <c r="K204" s="174">
        <v>10323381000101</v>
      </c>
      <c r="L204" s="173" t="s">
        <v>580</v>
      </c>
      <c r="M204" s="173" t="s">
        <v>29</v>
      </c>
      <c r="N204" s="173" t="s">
        <v>19</v>
      </c>
      <c r="O204" s="87">
        <v>73</v>
      </c>
      <c r="P204" s="173" t="s">
        <v>26</v>
      </c>
      <c r="Q204" s="1" t="s">
        <v>1340</v>
      </c>
      <c r="R204" s="175">
        <v>3</v>
      </c>
      <c r="S204">
        <v>3</v>
      </c>
    </row>
    <row r="205" spans="1:19" x14ac:dyDescent="0.25">
      <c r="A205" s="87">
        <v>2019</v>
      </c>
      <c r="B205" s="87">
        <v>7</v>
      </c>
      <c r="C205" s="173" t="s">
        <v>16</v>
      </c>
      <c r="D205" s="173" t="s">
        <v>17</v>
      </c>
      <c r="E205" s="173" t="s">
        <v>18</v>
      </c>
      <c r="F205" s="173" t="s">
        <v>16</v>
      </c>
      <c r="G205" s="87" t="b">
        <v>1</v>
      </c>
      <c r="H205" s="87" t="b">
        <v>0</v>
      </c>
      <c r="I205" s="87" t="b">
        <v>0</v>
      </c>
      <c r="J205" s="173" t="s">
        <v>450</v>
      </c>
      <c r="K205" s="174">
        <v>10447300000177</v>
      </c>
      <c r="L205" s="173" t="s">
        <v>658</v>
      </c>
      <c r="M205" s="173" t="s">
        <v>33</v>
      </c>
      <c r="N205" s="173" t="s">
        <v>19</v>
      </c>
      <c r="O205" s="87">
        <v>73</v>
      </c>
      <c r="P205" s="173" t="s">
        <v>26</v>
      </c>
      <c r="Q205" s="1" t="s">
        <v>1339</v>
      </c>
      <c r="R205" s="175">
        <v>4</v>
      </c>
      <c r="S205">
        <v>2</v>
      </c>
    </row>
    <row r="206" spans="1:19" x14ac:dyDescent="0.25">
      <c r="A206" s="87">
        <v>2019</v>
      </c>
      <c r="B206" s="87">
        <v>7</v>
      </c>
      <c r="C206" s="173" t="s">
        <v>16</v>
      </c>
      <c r="D206" s="173" t="s">
        <v>17</v>
      </c>
      <c r="E206" s="173" t="s">
        <v>18</v>
      </c>
      <c r="F206" s="173" t="s">
        <v>16</v>
      </c>
      <c r="G206" s="87" t="b">
        <v>1</v>
      </c>
      <c r="H206" s="87" t="b">
        <v>0</v>
      </c>
      <c r="I206" s="87" t="b">
        <v>0</v>
      </c>
      <c r="J206" s="173" t="s">
        <v>450</v>
      </c>
      <c r="K206" s="174">
        <v>10468341000140</v>
      </c>
      <c r="L206" s="173" t="s">
        <v>581</v>
      </c>
      <c r="M206" s="173" t="s">
        <v>29</v>
      </c>
      <c r="N206" s="173" t="s">
        <v>19</v>
      </c>
      <c r="O206" s="87">
        <v>70</v>
      </c>
      <c r="P206" s="173" t="s">
        <v>20</v>
      </c>
      <c r="Q206" s="1" t="s">
        <v>1338</v>
      </c>
      <c r="R206" s="175">
        <v>560</v>
      </c>
      <c r="S206">
        <v>112</v>
      </c>
    </row>
    <row r="207" spans="1:19" x14ac:dyDescent="0.25">
      <c r="A207" s="87">
        <v>2019</v>
      </c>
      <c r="B207" s="87">
        <v>7</v>
      </c>
      <c r="C207" s="173" t="s">
        <v>16</v>
      </c>
      <c r="D207" s="173" t="s">
        <v>17</v>
      </c>
      <c r="E207" s="173" t="s">
        <v>18</v>
      </c>
      <c r="F207" s="173" t="s">
        <v>16</v>
      </c>
      <c r="G207" s="87" t="b">
        <v>1</v>
      </c>
      <c r="H207" s="87" t="b">
        <v>0</v>
      </c>
      <c r="I207" s="87" t="b">
        <v>0</v>
      </c>
      <c r="J207" s="173" t="s">
        <v>463</v>
      </c>
      <c r="K207" s="174">
        <v>10468341000140</v>
      </c>
      <c r="L207" s="173" t="s">
        <v>581</v>
      </c>
      <c r="M207" s="173" t="s">
        <v>29</v>
      </c>
      <c r="N207" s="173" t="s">
        <v>19</v>
      </c>
      <c r="O207" s="87">
        <v>70</v>
      </c>
      <c r="P207" s="173" t="s">
        <v>20</v>
      </c>
      <c r="Q207" s="1" t="s">
        <v>1338</v>
      </c>
      <c r="R207" s="175">
        <v>1505</v>
      </c>
      <c r="S207">
        <v>301</v>
      </c>
    </row>
    <row r="208" spans="1:19" x14ac:dyDescent="0.25">
      <c r="A208" s="87">
        <v>2019</v>
      </c>
      <c r="B208" s="87">
        <v>7</v>
      </c>
      <c r="C208" s="173" t="s">
        <v>16</v>
      </c>
      <c r="D208" s="173" t="s">
        <v>17</v>
      </c>
      <c r="E208" s="173" t="s">
        <v>18</v>
      </c>
      <c r="F208" s="173" t="s">
        <v>16</v>
      </c>
      <c r="G208" s="87" t="b">
        <v>1</v>
      </c>
      <c r="H208" s="87" t="b">
        <v>0</v>
      </c>
      <c r="I208" s="87" t="b">
        <v>0</v>
      </c>
      <c r="J208" s="173" t="s">
        <v>463</v>
      </c>
      <c r="K208" s="174">
        <v>10468341000140</v>
      </c>
      <c r="L208" s="173" t="s">
        <v>581</v>
      </c>
      <c r="M208" s="173" t="s">
        <v>29</v>
      </c>
      <c r="N208" s="173" t="s">
        <v>19</v>
      </c>
      <c r="O208" s="87">
        <v>73</v>
      </c>
      <c r="P208" s="173" t="s">
        <v>26</v>
      </c>
      <c r="Q208" s="1" t="s">
        <v>1342</v>
      </c>
      <c r="R208" s="175">
        <v>36</v>
      </c>
      <c r="S208">
        <v>9</v>
      </c>
    </row>
    <row r="209" spans="1:19" x14ac:dyDescent="0.25">
      <c r="A209" s="87">
        <v>2019</v>
      </c>
      <c r="B209" s="87">
        <v>7</v>
      </c>
      <c r="C209" s="173" t="s">
        <v>16</v>
      </c>
      <c r="D209" s="173" t="s">
        <v>17</v>
      </c>
      <c r="E209" s="173" t="s">
        <v>18</v>
      </c>
      <c r="F209" s="173" t="s">
        <v>16</v>
      </c>
      <c r="G209" s="87" t="b">
        <v>1</v>
      </c>
      <c r="H209" s="87" t="b">
        <v>0</v>
      </c>
      <c r="I209" s="87" t="b">
        <v>0</v>
      </c>
      <c r="J209" s="173" t="s">
        <v>463</v>
      </c>
      <c r="K209" s="174">
        <v>10468341000220</v>
      </c>
      <c r="L209" s="173" t="s">
        <v>582</v>
      </c>
      <c r="M209" s="173" t="s">
        <v>29</v>
      </c>
      <c r="N209" s="173" t="s">
        <v>19</v>
      </c>
      <c r="O209" s="87">
        <v>70</v>
      </c>
      <c r="P209" s="173" t="s">
        <v>20</v>
      </c>
      <c r="Q209" s="1" t="s">
        <v>1338</v>
      </c>
      <c r="R209" s="175">
        <v>635</v>
      </c>
      <c r="S209">
        <v>127</v>
      </c>
    </row>
    <row r="210" spans="1:19" x14ac:dyDescent="0.25">
      <c r="A210" s="87">
        <v>2019</v>
      </c>
      <c r="B210" s="87">
        <v>7</v>
      </c>
      <c r="C210" s="173" t="s">
        <v>16</v>
      </c>
      <c r="D210" s="173" t="s">
        <v>17</v>
      </c>
      <c r="E210" s="173" t="s">
        <v>18</v>
      </c>
      <c r="F210" s="173" t="s">
        <v>16</v>
      </c>
      <c r="G210" s="87" t="b">
        <v>1</v>
      </c>
      <c r="H210" s="87" t="b">
        <v>0</v>
      </c>
      <c r="I210" s="87" t="b">
        <v>0</v>
      </c>
      <c r="J210" s="173" t="s">
        <v>463</v>
      </c>
      <c r="K210" s="174">
        <v>10468341000220</v>
      </c>
      <c r="L210" s="173" t="s">
        <v>582</v>
      </c>
      <c r="M210" s="173" t="s">
        <v>29</v>
      </c>
      <c r="N210" s="173" t="s">
        <v>19</v>
      </c>
      <c r="O210" s="87">
        <v>73</v>
      </c>
      <c r="P210" s="173" t="s">
        <v>26</v>
      </c>
      <c r="Q210" s="1" t="s">
        <v>1342</v>
      </c>
      <c r="R210" s="175">
        <v>12</v>
      </c>
      <c r="S210">
        <v>3</v>
      </c>
    </row>
    <row r="211" spans="1:19" x14ac:dyDescent="0.25">
      <c r="A211" s="87">
        <v>2019</v>
      </c>
      <c r="B211" s="87">
        <v>7</v>
      </c>
      <c r="C211" s="173" t="s">
        <v>16</v>
      </c>
      <c r="D211" s="173" t="s">
        <v>17</v>
      </c>
      <c r="E211" s="173" t="s">
        <v>18</v>
      </c>
      <c r="F211" s="173" t="s">
        <v>16</v>
      </c>
      <c r="G211" s="87" t="b">
        <v>1</v>
      </c>
      <c r="H211" s="87" t="b">
        <v>0</v>
      </c>
      <c r="I211" s="87" t="b">
        <v>0</v>
      </c>
      <c r="J211" s="173" t="s">
        <v>470</v>
      </c>
      <c r="K211" s="174">
        <v>10475230000160</v>
      </c>
      <c r="L211" s="173" t="s">
        <v>583</v>
      </c>
      <c r="M211" s="173" t="s">
        <v>29</v>
      </c>
      <c r="N211" s="173" t="s">
        <v>19</v>
      </c>
      <c r="O211" s="87">
        <v>70</v>
      </c>
      <c r="P211" s="173" t="s">
        <v>20</v>
      </c>
      <c r="Q211" s="1" t="s">
        <v>1338</v>
      </c>
      <c r="R211" s="175">
        <v>45</v>
      </c>
      <c r="S211">
        <v>9</v>
      </c>
    </row>
    <row r="212" spans="1:19" x14ac:dyDescent="0.25">
      <c r="A212" s="87">
        <v>2019</v>
      </c>
      <c r="B212" s="87">
        <v>7</v>
      </c>
      <c r="C212" s="173" t="s">
        <v>16</v>
      </c>
      <c r="D212" s="173" t="s">
        <v>17</v>
      </c>
      <c r="E212" s="173" t="s">
        <v>18</v>
      </c>
      <c r="F212" s="173" t="s">
        <v>16</v>
      </c>
      <c r="G212" s="87" t="b">
        <v>1</v>
      </c>
      <c r="H212" s="87" t="b">
        <v>0</v>
      </c>
      <c r="I212" s="87" t="b">
        <v>0</v>
      </c>
      <c r="J212" s="173" t="s">
        <v>1330</v>
      </c>
      <c r="K212" s="174">
        <v>10572048000209</v>
      </c>
      <c r="L212" s="173" t="s">
        <v>833</v>
      </c>
      <c r="M212" s="173" t="s">
        <v>70</v>
      </c>
      <c r="N212" s="173" t="s">
        <v>71</v>
      </c>
      <c r="O212" s="87">
        <v>70</v>
      </c>
      <c r="P212" s="173" t="s">
        <v>20</v>
      </c>
      <c r="Q212" s="1" t="s">
        <v>1338</v>
      </c>
      <c r="R212" s="175">
        <v>1535</v>
      </c>
      <c r="S212">
        <v>307</v>
      </c>
    </row>
    <row r="213" spans="1:19" x14ac:dyDescent="0.25">
      <c r="A213" s="87">
        <v>2019</v>
      </c>
      <c r="B213" s="87">
        <v>7</v>
      </c>
      <c r="C213" s="173" t="s">
        <v>16</v>
      </c>
      <c r="D213" s="173" t="s">
        <v>17</v>
      </c>
      <c r="E213" s="173" t="s">
        <v>18</v>
      </c>
      <c r="F213" s="173" t="s">
        <v>16</v>
      </c>
      <c r="G213" s="87" t="b">
        <v>1</v>
      </c>
      <c r="H213" s="87" t="b">
        <v>0</v>
      </c>
      <c r="I213" s="87" t="b">
        <v>0</v>
      </c>
      <c r="J213" s="173" t="s">
        <v>470</v>
      </c>
      <c r="K213" s="174">
        <v>10839561000132</v>
      </c>
      <c r="L213" s="173" t="s">
        <v>834</v>
      </c>
      <c r="M213" s="173" t="s">
        <v>70</v>
      </c>
      <c r="N213" s="173" t="s">
        <v>71</v>
      </c>
      <c r="O213" s="87">
        <v>73</v>
      </c>
      <c r="P213" s="173" t="s">
        <v>26</v>
      </c>
      <c r="Q213" s="1" t="s">
        <v>1342</v>
      </c>
      <c r="R213" s="175">
        <v>60</v>
      </c>
      <c r="S213">
        <v>15</v>
      </c>
    </row>
    <row r="214" spans="1:19" x14ac:dyDescent="0.25">
      <c r="A214" s="87">
        <v>2019</v>
      </c>
      <c r="B214" s="87">
        <v>7</v>
      </c>
      <c r="C214" s="173" t="s">
        <v>16</v>
      </c>
      <c r="D214" s="173" t="s">
        <v>17</v>
      </c>
      <c r="E214" s="173" t="s">
        <v>18</v>
      </c>
      <c r="F214" s="173" t="s">
        <v>16</v>
      </c>
      <c r="G214" s="87" t="b">
        <v>1</v>
      </c>
      <c r="H214" s="87" t="b">
        <v>0</v>
      </c>
      <c r="I214" s="87" t="b">
        <v>0</v>
      </c>
      <c r="J214" s="173" t="s">
        <v>460</v>
      </c>
      <c r="K214" s="174">
        <v>10892164000124</v>
      </c>
      <c r="L214" s="173" t="s">
        <v>835</v>
      </c>
      <c r="M214" s="173" t="s">
        <v>70</v>
      </c>
      <c r="N214" s="173" t="s">
        <v>71</v>
      </c>
      <c r="O214" s="87">
        <v>62</v>
      </c>
      <c r="P214" s="173" t="s">
        <v>27</v>
      </c>
      <c r="Q214" s="1" t="s">
        <v>1343</v>
      </c>
      <c r="R214" s="175">
        <v>3</v>
      </c>
      <c r="S214">
        <v>3</v>
      </c>
    </row>
    <row r="215" spans="1:19" x14ac:dyDescent="0.25">
      <c r="A215" s="87">
        <v>2019</v>
      </c>
      <c r="B215" s="87">
        <v>7</v>
      </c>
      <c r="C215" s="173" t="s">
        <v>16</v>
      </c>
      <c r="D215" s="173" t="s">
        <v>17</v>
      </c>
      <c r="E215" s="173" t="s">
        <v>18</v>
      </c>
      <c r="F215" s="173" t="s">
        <v>16</v>
      </c>
      <c r="G215" s="87" t="b">
        <v>1</v>
      </c>
      <c r="H215" s="87" t="b">
        <v>0</v>
      </c>
      <c r="I215" s="87" t="b">
        <v>0</v>
      </c>
      <c r="J215" s="173" t="s">
        <v>464</v>
      </c>
      <c r="K215" s="174">
        <v>10892164000124</v>
      </c>
      <c r="L215" s="173" t="s">
        <v>835</v>
      </c>
      <c r="M215" s="173" t="s">
        <v>70</v>
      </c>
      <c r="N215" s="173" t="s">
        <v>71</v>
      </c>
      <c r="O215" s="87">
        <v>62</v>
      </c>
      <c r="P215" s="173" t="s">
        <v>27</v>
      </c>
      <c r="Q215" s="1" t="s">
        <v>1343</v>
      </c>
      <c r="R215" s="175">
        <v>10</v>
      </c>
      <c r="S215">
        <v>10</v>
      </c>
    </row>
    <row r="216" spans="1:19" x14ac:dyDescent="0.25">
      <c r="A216" s="87">
        <v>2019</v>
      </c>
      <c r="B216" s="87">
        <v>7</v>
      </c>
      <c r="C216" s="173" t="s">
        <v>16</v>
      </c>
      <c r="D216" s="173" t="s">
        <v>17</v>
      </c>
      <c r="E216" s="173" t="s">
        <v>18</v>
      </c>
      <c r="F216" s="173" t="s">
        <v>16</v>
      </c>
      <c r="G216" s="87" t="b">
        <v>1</v>
      </c>
      <c r="H216" s="87" t="b">
        <v>0</v>
      </c>
      <c r="I216" s="87" t="b">
        <v>0</v>
      </c>
      <c r="J216" s="173" t="s">
        <v>491</v>
      </c>
      <c r="K216" s="174">
        <v>10892164000124</v>
      </c>
      <c r="L216" s="173" t="s">
        <v>835</v>
      </c>
      <c r="M216" s="173" t="s">
        <v>70</v>
      </c>
      <c r="N216" s="173" t="s">
        <v>71</v>
      </c>
      <c r="O216" s="87">
        <v>62</v>
      </c>
      <c r="P216" s="173" t="s">
        <v>27</v>
      </c>
      <c r="Q216" s="1" t="s">
        <v>1343</v>
      </c>
      <c r="R216" s="175">
        <v>4</v>
      </c>
      <c r="S216">
        <v>4</v>
      </c>
    </row>
    <row r="217" spans="1:19" x14ac:dyDescent="0.25">
      <c r="A217" s="87">
        <v>2019</v>
      </c>
      <c r="B217" s="87">
        <v>7</v>
      </c>
      <c r="C217" s="173" t="s">
        <v>16</v>
      </c>
      <c r="D217" s="173" t="s">
        <v>17</v>
      </c>
      <c r="E217" s="173" t="s">
        <v>18</v>
      </c>
      <c r="F217" s="173" t="s">
        <v>16</v>
      </c>
      <c r="G217" s="87" t="b">
        <v>1</v>
      </c>
      <c r="H217" s="87" t="b">
        <v>0</v>
      </c>
      <c r="I217" s="87" t="b">
        <v>0</v>
      </c>
      <c r="J217" s="173" t="s">
        <v>460</v>
      </c>
      <c r="K217" s="174">
        <v>10892164000124</v>
      </c>
      <c r="L217" s="173" t="s">
        <v>835</v>
      </c>
      <c r="M217" s="173" t="s">
        <v>70</v>
      </c>
      <c r="N217" s="173" t="s">
        <v>71</v>
      </c>
      <c r="O217" s="87">
        <v>64</v>
      </c>
      <c r="P217" s="173" t="s">
        <v>25</v>
      </c>
      <c r="Q217" s="1" t="s">
        <v>1344</v>
      </c>
      <c r="R217" s="175">
        <v>20</v>
      </c>
      <c r="S217">
        <v>20</v>
      </c>
    </row>
    <row r="218" spans="1:19" x14ac:dyDescent="0.25">
      <c r="A218" s="87">
        <v>2019</v>
      </c>
      <c r="B218" s="87">
        <v>7</v>
      </c>
      <c r="C218" s="173" t="s">
        <v>16</v>
      </c>
      <c r="D218" s="173" t="s">
        <v>17</v>
      </c>
      <c r="E218" s="173" t="s">
        <v>18</v>
      </c>
      <c r="F218" s="173" t="s">
        <v>16</v>
      </c>
      <c r="G218" s="87" t="b">
        <v>1</v>
      </c>
      <c r="H218" s="87" t="b">
        <v>0</v>
      </c>
      <c r="I218" s="87" t="b">
        <v>0</v>
      </c>
      <c r="J218" s="173" t="s">
        <v>464</v>
      </c>
      <c r="K218" s="174">
        <v>10892164000124</v>
      </c>
      <c r="L218" s="173" t="s">
        <v>835</v>
      </c>
      <c r="M218" s="173" t="s">
        <v>70</v>
      </c>
      <c r="N218" s="173" t="s">
        <v>71</v>
      </c>
      <c r="O218" s="87">
        <v>64</v>
      </c>
      <c r="P218" s="173" t="s">
        <v>25</v>
      </c>
      <c r="Q218" s="1" t="s">
        <v>1344</v>
      </c>
      <c r="R218" s="175">
        <v>20</v>
      </c>
      <c r="S218">
        <v>20</v>
      </c>
    </row>
    <row r="219" spans="1:19" x14ac:dyDescent="0.25">
      <c r="A219" s="87">
        <v>2019</v>
      </c>
      <c r="B219" s="87">
        <v>7</v>
      </c>
      <c r="C219" s="173" t="s">
        <v>16</v>
      </c>
      <c r="D219" s="173" t="s">
        <v>17</v>
      </c>
      <c r="E219" s="173" t="s">
        <v>18</v>
      </c>
      <c r="F219" s="173" t="s">
        <v>16</v>
      </c>
      <c r="G219" s="87" t="b">
        <v>1</v>
      </c>
      <c r="H219" s="87" t="b">
        <v>0</v>
      </c>
      <c r="I219" s="87" t="b">
        <v>0</v>
      </c>
      <c r="J219" s="173" t="s">
        <v>491</v>
      </c>
      <c r="K219" s="174">
        <v>10892164000124</v>
      </c>
      <c r="L219" s="173" t="s">
        <v>835</v>
      </c>
      <c r="M219" s="173" t="s">
        <v>70</v>
      </c>
      <c r="N219" s="173" t="s">
        <v>71</v>
      </c>
      <c r="O219" s="87">
        <v>64</v>
      </c>
      <c r="P219" s="173" t="s">
        <v>25</v>
      </c>
      <c r="Q219" s="1" t="s">
        <v>1344</v>
      </c>
      <c r="R219" s="175">
        <v>5</v>
      </c>
      <c r="S219">
        <v>5</v>
      </c>
    </row>
    <row r="220" spans="1:19" x14ac:dyDescent="0.25">
      <c r="A220" s="87">
        <v>2019</v>
      </c>
      <c r="B220" s="87">
        <v>7</v>
      </c>
      <c r="C220" s="173" t="s">
        <v>16</v>
      </c>
      <c r="D220" s="173" t="s">
        <v>17</v>
      </c>
      <c r="E220" s="173" t="s">
        <v>18</v>
      </c>
      <c r="F220" s="173" t="s">
        <v>16</v>
      </c>
      <c r="G220" s="87" t="b">
        <v>1</v>
      </c>
      <c r="H220" s="87" t="b">
        <v>0</v>
      </c>
      <c r="I220" s="87" t="b">
        <v>0</v>
      </c>
      <c r="J220" s="173" t="s">
        <v>460</v>
      </c>
      <c r="K220" s="174">
        <v>10988301000129</v>
      </c>
      <c r="L220" s="173" t="s">
        <v>837</v>
      </c>
      <c r="M220" s="173" t="s">
        <v>70</v>
      </c>
      <c r="N220" s="173" t="s">
        <v>71</v>
      </c>
      <c r="O220" s="87">
        <v>64</v>
      </c>
      <c r="P220" s="173" t="s">
        <v>25</v>
      </c>
      <c r="Q220" s="1" t="s">
        <v>1344</v>
      </c>
      <c r="R220" s="175">
        <v>10</v>
      </c>
      <c r="S220">
        <v>10</v>
      </c>
    </row>
    <row r="221" spans="1:19" x14ac:dyDescent="0.25">
      <c r="A221" s="87">
        <v>2019</v>
      </c>
      <c r="B221" s="87">
        <v>7</v>
      </c>
      <c r="C221" s="173" t="s">
        <v>16</v>
      </c>
      <c r="D221" s="173" t="s">
        <v>17</v>
      </c>
      <c r="E221" s="173" t="s">
        <v>18</v>
      </c>
      <c r="F221" s="173" t="s">
        <v>16</v>
      </c>
      <c r="G221" s="87" t="b">
        <v>1</v>
      </c>
      <c r="H221" s="87" t="b">
        <v>0</v>
      </c>
      <c r="I221" s="87" t="b">
        <v>0</v>
      </c>
      <c r="J221" s="173" t="s">
        <v>453</v>
      </c>
      <c r="K221" s="174">
        <v>11006293000130</v>
      </c>
      <c r="L221" s="173" t="s">
        <v>838</v>
      </c>
      <c r="M221" s="173" t="s">
        <v>777</v>
      </c>
      <c r="N221" s="173" t="s">
        <v>72</v>
      </c>
      <c r="O221" s="87">
        <v>70</v>
      </c>
      <c r="P221" s="173" t="s">
        <v>20</v>
      </c>
      <c r="Q221" s="1" t="s">
        <v>1338</v>
      </c>
      <c r="R221" s="175">
        <v>500</v>
      </c>
      <c r="S221">
        <v>100</v>
      </c>
    </row>
    <row r="222" spans="1:19" x14ac:dyDescent="0.25">
      <c r="A222" s="87">
        <v>2019</v>
      </c>
      <c r="B222" s="87">
        <v>7</v>
      </c>
      <c r="C222" s="173" t="s">
        <v>16</v>
      </c>
      <c r="D222" s="173" t="s">
        <v>17</v>
      </c>
      <c r="E222" s="173" t="s">
        <v>18</v>
      </c>
      <c r="F222" s="173" t="s">
        <v>16</v>
      </c>
      <c r="G222" s="87" t="b">
        <v>1</v>
      </c>
      <c r="H222" s="87" t="b">
        <v>0</v>
      </c>
      <c r="I222" s="87" t="b">
        <v>0</v>
      </c>
      <c r="J222" s="173" t="s">
        <v>468</v>
      </c>
      <c r="K222" s="174">
        <v>11006293000130</v>
      </c>
      <c r="L222" s="173" t="s">
        <v>838</v>
      </c>
      <c r="M222" s="173" t="s">
        <v>777</v>
      </c>
      <c r="N222" s="173" t="s">
        <v>72</v>
      </c>
      <c r="O222" s="87">
        <v>73</v>
      </c>
      <c r="P222" s="173" t="s">
        <v>26</v>
      </c>
      <c r="Q222" s="1" t="s">
        <v>1339</v>
      </c>
      <c r="R222" s="175">
        <v>40</v>
      </c>
      <c r="S222">
        <v>20</v>
      </c>
    </row>
    <row r="223" spans="1:19" x14ac:dyDescent="0.25">
      <c r="A223" s="87">
        <v>2019</v>
      </c>
      <c r="B223" s="87">
        <v>7</v>
      </c>
      <c r="C223" s="173" t="s">
        <v>16</v>
      </c>
      <c r="D223" s="173" t="s">
        <v>17</v>
      </c>
      <c r="E223" s="173" t="s">
        <v>18</v>
      </c>
      <c r="F223" s="173" t="s">
        <v>16</v>
      </c>
      <c r="G223" s="87" t="b">
        <v>1</v>
      </c>
      <c r="H223" s="87" t="b">
        <v>0</v>
      </c>
      <c r="I223" s="87" t="b">
        <v>0</v>
      </c>
      <c r="J223" s="173" t="s">
        <v>477</v>
      </c>
      <c r="K223" s="174">
        <v>11279865000155</v>
      </c>
      <c r="L223" s="173" t="s">
        <v>1091</v>
      </c>
      <c r="M223" s="173" t="s">
        <v>131</v>
      </c>
      <c r="N223" s="173" t="s">
        <v>61</v>
      </c>
      <c r="O223" s="87">
        <v>64</v>
      </c>
      <c r="P223" s="173" t="s">
        <v>25</v>
      </c>
      <c r="Q223" s="1" t="s">
        <v>1344</v>
      </c>
      <c r="R223" s="175">
        <v>8</v>
      </c>
      <c r="S223">
        <v>8</v>
      </c>
    </row>
    <row r="224" spans="1:19" x14ac:dyDescent="0.25">
      <c r="A224" s="87">
        <v>2019</v>
      </c>
      <c r="B224" s="87">
        <v>7</v>
      </c>
      <c r="C224" s="173" t="s">
        <v>16</v>
      </c>
      <c r="D224" s="173" t="s">
        <v>17</v>
      </c>
      <c r="E224" s="173" t="s">
        <v>18</v>
      </c>
      <c r="F224" s="173" t="s">
        <v>16</v>
      </c>
      <c r="G224" s="87" t="b">
        <v>1</v>
      </c>
      <c r="H224" s="87" t="b">
        <v>0</v>
      </c>
      <c r="I224" s="87" t="b">
        <v>0</v>
      </c>
      <c r="J224" s="173" t="s">
        <v>491</v>
      </c>
      <c r="K224" s="174">
        <v>11452240000143</v>
      </c>
      <c r="L224" s="173" t="s">
        <v>844</v>
      </c>
      <c r="M224" s="173" t="s">
        <v>70</v>
      </c>
      <c r="N224" s="173" t="s">
        <v>71</v>
      </c>
      <c r="O224" s="87">
        <v>62</v>
      </c>
      <c r="P224" s="173" t="s">
        <v>27</v>
      </c>
      <c r="Q224" s="1" t="s">
        <v>1343</v>
      </c>
      <c r="R224" s="175">
        <v>6</v>
      </c>
      <c r="S224">
        <v>6</v>
      </c>
    </row>
    <row r="225" spans="1:19" x14ac:dyDescent="0.25">
      <c r="A225" s="87">
        <v>2019</v>
      </c>
      <c r="B225" s="87">
        <v>7</v>
      </c>
      <c r="C225" s="173" t="s">
        <v>16</v>
      </c>
      <c r="D225" s="173" t="s">
        <v>17</v>
      </c>
      <c r="E225" s="173" t="s">
        <v>18</v>
      </c>
      <c r="F225" s="173" t="s">
        <v>16</v>
      </c>
      <c r="G225" s="87" t="b">
        <v>1</v>
      </c>
      <c r="H225" s="87" t="b">
        <v>0</v>
      </c>
      <c r="I225" s="87" t="b">
        <v>0</v>
      </c>
      <c r="J225" s="173" t="s">
        <v>470</v>
      </c>
      <c r="K225" s="174">
        <v>11859927000106</v>
      </c>
      <c r="L225" s="173" t="s">
        <v>846</v>
      </c>
      <c r="M225" s="173" t="s">
        <v>739</v>
      </c>
      <c r="N225" s="173" t="s">
        <v>55</v>
      </c>
      <c r="O225" s="87">
        <v>73</v>
      </c>
      <c r="P225" s="173" t="s">
        <v>26</v>
      </c>
      <c r="Q225" s="1" t="s">
        <v>1339</v>
      </c>
      <c r="R225" s="175">
        <v>16</v>
      </c>
      <c r="S225">
        <v>8</v>
      </c>
    </row>
    <row r="226" spans="1:19" x14ac:dyDescent="0.25">
      <c r="A226" s="87">
        <v>2019</v>
      </c>
      <c r="B226" s="87">
        <v>7</v>
      </c>
      <c r="C226" s="173" t="s">
        <v>16</v>
      </c>
      <c r="D226" s="173" t="s">
        <v>17</v>
      </c>
      <c r="E226" s="173" t="s">
        <v>18</v>
      </c>
      <c r="F226" s="173" t="s">
        <v>16</v>
      </c>
      <c r="G226" s="87" t="b">
        <v>1</v>
      </c>
      <c r="H226" s="87" t="b">
        <v>0</v>
      </c>
      <c r="I226" s="87" t="b">
        <v>0</v>
      </c>
      <c r="J226" s="173" t="s">
        <v>470</v>
      </c>
      <c r="K226" s="174">
        <v>11859927000106</v>
      </c>
      <c r="L226" s="173" t="s">
        <v>846</v>
      </c>
      <c r="M226" s="173" t="s">
        <v>739</v>
      </c>
      <c r="N226" s="173" t="s">
        <v>55</v>
      </c>
      <c r="O226" s="87">
        <v>73</v>
      </c>
      <c r="P226" s="173" t="s">
        <v>26</v>
      </c>
      <c r="Q226" s="1" t="s">
        <v>1340</v>
      </c>
      <c r="R226" s="175">
        <v>1</v>
      </c>
      <c r="S226">
        <v>1</v>
      </c>
    </row>
    <row r="227" spans="1:19" x14ac:dyDescent="0.25">
      <c r="A227" s="87">
        <v>2019</v>
      </c>
      <c r="B227" s="87">
        <v>7</v>
      </c>
      <c r="C227" s="173" t="s">
        <v>16</v>
      </c>
      <c r="D227" s="173" t="s">
        <v>17</v>
      </c>
      <c r="E227" s="173" t="s">
        <v>18</v>
      </c>
      <c r="F227" s="173" t="s">
        <v>16</v>
      </c>
      <c r="G227" s="87" t="b">
        <v>1</v>
      </c>
      <c r="H227" s="87" t="b">
        <v>0</v>
      </c>
      <c r="I227" s="87" t="b">
        <v>0</v>
      </c>
      <c r="J227" s="173" t="s">
        <v>464</v>
      </c>
      <c r="K227" s="174">
        <v>11859927000106</v>
      </c>
      <c r="L227" s="173" t="s">
        <v>846</v>
      </c>
      <c r="M227" s="173" t="s">
        <v>739</v>
      </c>
      <c r="N227" s="173" t="s">
        <v>55</v>
      </c>
      <c r="O227" s="87">
        <v>73</v>
      </c>
      <c r="P227" s="173" t="s">
        <v>26</v>
      </c>
      <c r="Q227" s="1" t="s">
        <v>1339</v>
      </c>
      <c r="R227" s="175">
        <v>18</v>
      </c>
      <c r="S227">
        <v>9</v>
      </c>
    </row>
    <row r="228" spans="1:19" x14ac:dyDescent="0.25">
      <c r="A228" s="87">
        <v>2019</v>
      </c>
      <c r="B228" s="87">
        <v>7</v>
      </c>
      <c r="C228" s="173" t="s">
        <v>16</v>
      </c>
      <c r="D228" s="173" t="s">
        <v>17</v>
      </c>
      <c r="E228" s="173" t="s">
        <v>18</v>
      </c>
      <c r="F228" s="173" t="s">
        <v>16</v>
      </c>
      <c r="G228" s="87" t="b">
        <v>1</v>
      </c>
      <c r="H228" s="87" t="b">
        <v>0</v>
      </c>
      <c r="I228" s="87" t="b">
        <v>0</v>
      </c>
      <c r="J228" s="173" t="s">
        <v>464</v>
      </c>
      <c r="K228" s="174">
        <v>11859927000106</v>
      </c>
      <c r="L228" s="173" t="s">
        <v>846</v>
      </c>
      <c r="M228" s="173" t="s">
        <v>739</v>
      </c>
      <c r="N228" s="173" t="s">
        <v>55</v>
      </c>
      <c r="O228" s="87">
        <v>73</v>
      </c>
      <c r="P228" s="173" t="s">
        <v>26</v>
      </c>
      <c r="Q228" s="1" t="s">
        <v>1340</v>
      </c>
      <c r="R228" s="175">
        <v>4</v>
      </c>
      <c r="S228">
        <v>4</v>
      </c>
    </row>
    <row r="229" spans="1:19" x14ac:dyDescent="0.25">
      <c r="A229" s="87">
        <v>2019</v>
      </c>
      <c r="B229" s="87">
        <v>7</v>
      </c>
      <c r="C229" s="173" t="s">
        <v>16</v>
      </c>
      <c r="D229" s="173" t="s">
        <v>17</v>
      </c>
      <c r="E229" s="173" t="s">
        <v>18</v>
      </c>
      <c r="F229" s="173" t="s">
        <v>16</v>
      </c>
      <c r="G229" s="87" t="b">
        <v>1</v>
      </c>
      <c r="H229" s="87" t="b">
        <v>0</v>
      </c>
      <c r="I229" s="87" t="b">
        <v>0</v>
      </c>
      <c r="J229" s="173" t="s">
        <v>491</v>
      </c>
      <c r="K229" s="174">
        <v>11859927000106</v>
      </c>
      <c r="L229" s="173" t="s">
        <v>846</v>
      </c>
      <c r="M229" s="173" t="s">
        <v>739</v>
      </c>
      <c r="N229" s="173" t="s">
        <v>55</v>
      </c>
      <c r="O229" s="87">
        <v>73</v>
      </c>
      <c r="P229" s="173" t="s">
        <v>26</v>
      </c>
      <c r="Q229" s="1" t="s">
        <v>1339</v>
      </c>
      <c r="R229" s="175">
        <v>4</v>
      </c>
      <c r="S229">
        <v>2</v>
      </c>
    </row>
    <row r="230" spans="1:19" x14ac:dyDescent="0.25">
      <c r="A230" s="87">
        <v>2019</v>
      </c>
      <c r="B230" s="87">
        <v>7</v>
      </c>
      <c r="C230" s="173" t="s">
        <v>16</v>
      </c>
      <c r="D230" s="173" t="s">
        <v>17</v>
      </c>
      <c r="E230" s="173" t="s">
        <v>18</v>
      </c>
      <c r="F230" s="173" t="s">
        <v>16</v>
      </c>
      <c r="G230" s="87" t="b">
        <v>1</v>
      </c>
      <c r="H230" s="87" t="b">
        <v>0</v>
      </c>
      <c r="I230" s="87" t="b">
        <v>0</v>
      </c>
      <c r="J230" s="173" t="s">
        <v>491</v>
      </c>
      <c r="K230" s="174">
        <v>11859927000106</v>
      </c>
      <c r="L230" s="173" t="s">
        <v>846</v>
      </c>
      <c r="M230" s="173" t="s">
        <v>739</v>
      </c>
      <c r="N230" s="173" t="s">
        <v>55</v>
      </c>
      <c r="O230" s="87">
        <v>73</v>
      </c>
      <c r="P230" s="173" t="s">
        <v>26</v>
      </c>
      <c r="Q230" s="1" t="s">
        <v>1340</v>
      </c>
      <c r="R230" s="175">
        <v>1</v>
      </c>
      <c r="S230">
        <v>1</v>
      </c>
    </row>
    <row r="231" spans="1:19" x14ac:dyDescent="0.25">
      <c r="A231" s="87">
        <v>2019</v>
      </c>
      <c r="B231" s="87">
        <v>7</v>
      </c>
      <c r="C231" s="173" t="s">
        <v>16</v>
      </c>
      <c r="D231" s="173" t="s">
        <v>17</v>
      </c>
      <c r="E231" s="173" t="s">
        <v>18</v>
      </c>
      <c r="F231" s="173" t="s">
        <v>16</v>
      </c>
      <c r="G231" s="87" t="b">
        <v>1</v>
      </c>
      <c r="H231" s="87" t="b">
        <v>0</v>
      </c>
      <c r="I231" s="87" t="b">
        <v>0</v>
      </c>
      <c r="J231" s="173" t="s">
        <v>460</v>
      </c>
      <c r="K231" s="174">
        <v>12361267000517</v>
      </c>
      <c r="L231" s="173" t="s">
        <v>849</v>
      </c>
      <c r="M231" s="173" t="s">
        <v>84</v>
      </c>
      <c r="N231" s="173" t="s">
        <v>85</v>
      </c>
      <c r="O231" s="87">
        <v>70</v>
      </c>
      <c r="P231" s="173" t="s">
        <v>20</v>
      </c>
      <c r="Q231" s="1" t="s">
        <v>1338</v>
      </c>
      <c r="R231" s="175">
        <v>20</v>
      </c>
      <c r="S231">
        <v>4</v>
      </c>
    </row>
    <row r="232" spans="1:19" x14ac:dyDescent="0.25">
      <c r="A232" s="87">
        <v>2019</v>
      </c>
      <c r="B232" s="87">
        <v>7</v>
      </c>
      <c r="C232" s="173" t="s">
        <v>16</v>
      </c>
      <c r="D232" s="173" t="s">
        <v>17</v>
      </c>
      <c r="E232" s="173" t="s">
        <v>18</v>
      </c>
      <c r="F232" s="173" t="s">
        <v>16</v>
      </c>
      <c r="G232" s="87" t="b">
        <v>1</v>
      </c>
      <c r="H232" s="87" t="b">
        <v>0</v>
      </c>
      <c r="I232" s="87" t="b">
        <v>0</v>
      </c>
      <c r="J232" s="173" t="s">
        <v>460</v>
      </c>
      <c r="K232" s="174">
        <v>12361267009140</v>
      </c>
      <c r="L232" s="173" t="s">
        <v>858</v>
      </c>
      <c r="M232" s="173" t="s">
        <v>859</v>
      </c>
      <c r="N232" s="173" t="s">
        <v>63</v>
      </c>
      <c r="O232" s="87">
        <v>70</v>
      </c>
      <c r="P232" s="173" t="s">
        <v>20</v>
      </c>
      <c r="Q232" s="1" t="s">
        <v>1338</v>
      </c>
      <c r="R232" s="175">
        <v>10</v>
      </c>
      <c r="S232">
        <v>2</v>
      </c>
    </row>
    <row r="233" spans="1:19" x14ac:dyDescent="0.25">
      <c r="A233" s="87">
        <v>2019</v>
      </c>
      <c r="B233" s="87">
        <v>7</v>
      </c>
      <c r="C233" s="173" t="s">
        <v>16</v>
      </c>
      <c r="D233" s="173" t="s">
        <v>17</v>
      </c>
      <c r="E233" s="173" t="s">
        <v>18</v>
      </c>
      <c r="F233" s="173" t="s">
        <v>16</v>
      </c>
      <c r="G233" s="87" t="b">
        <v>1</v>
      </c>
      <c r="H233" s="87" t="b">
        <v>0</v>
      </c>
      <c r="I233" s="87" t="b">
        <v>0</v>
      </c>
      <c r="J233" s="173" t="s">
        <v>460</v>
      </c>
      <c r="K233" s="174">
        <v>12361267010318</v>
      </c>
      <c r="L233" s="173" t="s">
        <v>861</v>
      </c>
      <c r="M233" s="173" t="s">
        <v>75</v>
      </c>
      <c r="N233" s="173" t="s">
        <v>74</v>
      </c>
      <c r="O233" s="87">
        <v>64</v>
      </c>
      <c r="P233" s="173" t="s">
        <v>25</v>
      </c>
      <c r="Q233" s="1" t="s">
        <v>1344</v>
      </c>
      <c r="R233" s="175">
        <v>7</v>
      </c>
      <c r="S233">
        <v>7</v>
      </c>
    </row>
    <row r="234" spans="1:19" x14ac:dyDescent="0.25">
      <c r="A234" s="87">
        <v>2019</v>
      </c>
      <c r="B234" s="87">
        <v>7</v>
      </c>
      <c r="C234" s="173" t="s">
        <v>16</v>
      </c>
      <c r="D234" s="173" t="s">
        <v>17</v>
      </c>
      <c r="E234" s="173" t="s">
        <v>18</v>
      </c>
      <c r="F234" s="173" t="s">
        <v>16</v>
      </c>
      <c r="G234" s="87" t="b">
        <v>1</v>
      </c>
      <c r="H234" s="87" t="b">
        <v>0</v>
      </c>
      <c r="I234" s="87" t="b">
        <v>0</v>
      </c>
      <c r="J234" s="173" t="s">
        <v>460</v>
      </c>
      <c r="K234" s="174">
        <v>12361267010318</v>
      </c>
      <c r="L234" s="173" t="s">
        <v>861</v>
      </c>
      <c r="M234" s="173" t="s">
        <v>75</v>
      </c>
      <c r="N234" s="173" t="s">
        <v>74</v>
      </c>
      <c r="O234" s="87">
        <v>70</v>
      </c>
      <c r="P234" s="173" t="s">
        <v>20</v>
      </c>
      <c r="Q234" s="1" t="s">
        <v>1338</v>
      </c>
      <c r="R234" s="175">
        <v>290</v>
      </c>
      <c r="S234">
        <v>58</v>
      </c>
    </row>
    <row r="235" spans="1:19" x14ac:dyDescent="0.25">
      <c r="A235" s="87">
        <v>2019</v>
      </c>
      <c r="B235" s="87">
        <v>7</v>
      </c>
      <c r="C235" s="173" t="s">
        <v>16</v>
      </c>
      <c r="D235" s="173" t="s">
        <v>17</v>
      </c>
      <c r="E235" s="173" t="s">
        <v>18</v>
      </c>
      <c r="F235" s="173" t="s">
        <v>16</v>
      </c>
      <c r="G235" s="87" t="b">
        <v>1</v>
      </c>
      <c r="H235" s="87" t="b">
        <v>0</v>
      </c>
      <c r="I235" s="87" t="b">
        <v>0</v>
      </c>
      <c r="J235" s="173" t="s">
        <v>460</v>
      </c>
      <c r="K235" s="174">
        <v>12361267011632</v>
      </c>
      <c r="L235" s="173" t="s">
        <v>1160</v>
      </c>
      <c r="M235" s="173" t="s">
        <v>109</v>
      </c>
      <c r="N235" s="173" t="s">
        <v>110</v>
      </c>
      <c r="O235" s="87">
        <v>70</v>
      </c>
      <c r="P235" s="173" t="s">
        <v>20</v>
      </c>
      <c r="Q235" s="1" t="s">
        <v>1338</v>
      </c>
      <c r="R235" s="175">
        <v>125</v>
      </c>
      <c r="S235">
        <v>25</v>
      </c>
    </row>
    <row r="236" spans="1:19" x14ac:dyDescent="0.25">
      <c r="A236" s="87">
        <v>2019</v>
      </c>
      <c r="B236" s="87">
        <v>7</v>
      </c>
      <c r="C236" s="173" t="s">
        <v>16</v>
      </c>
      <c r="D236" s="173" t="s">
        <v>17</v>
      </c>
      <c r="E236" s="173" t="s">
        <v>18</v>
      </c>
      <c r="F236" s="173" t="s">
        <v>16</v>
      </c>
      <c r="G236" s="87" t="b">
        <v>1</v>
      </c>
      <c r="H236" s="87" t="b">
        <v>0</v>
      </c>
      <c r="I236" s="87" t="b">
        <v>0</v>
      </c>
      <c r="J236" s="173" t="s">
        <v>460</v>
      </c>
      <c r="K236" s="174">
        <v>12361267011802</v>
      </c>
      <c r="L236" s="173" t="s">
        <v>863</v>
      </c>
      <c r="M236" s="173" t="s">
        <v>76</v>
      </c>
      <c r="N236" s="173" t="s">
        <v>77</v>
      </c>
      <c r="O236" s="87">
        <v>62</v>
      </c>
      <c r="P236" s="173" t="s">
        <v>27</v>
      </c>
      <c r="Q236" s="1" t="s">
        <v>1343</v>
      </c>
      <c r="R236" s="175">
        <v>6</v>
      </c>
      <c r="S236">
        <v>6</v>
      </c>
    </row>
    <row r="237" spans="1:19" x14ac:dyDescent="0.25">
      <c r="A237" s="87">
        <v>2019</v>
      </c>
      <c r="B237" s="87">
        <v>7</v>
      </c>
      <c r="C237" s="173" t="s">
        <v>16</v>
      </c>
      <c r="D237" s="173" t="s">
        <v>17</v>
      </c>
      <c r="E237" s="173" t="s">
        <v>18</v>
      </c>
      <c r="F237" s="173" t="s">
        <v>16</v>
      </c>
      <c r="G237" s="87" t="b">
        <v>1</v>
      </c>
      <c r="H237" s="87" t="b">
        <v>0</v>
      </c>
      <c r="I237" s="87" t="b">
        <v>0</v>
      </c>
      <c r="J237" s="173" t="s">
        <v>460</v>
      </c>
      <c r="K237" s="174">
        <v>12361267011802</v>
      </c>
      <c r="L237" s="173" t="s">
        <v>863</v>
      </c>
      <c r="M237" s="173" t="s">
        <v>76</v>
      </c>
      <c r="N237" s="173" t="s">
        <v>77</v>
      </c>
      <c r="O237" s="87">
        <v>64</v>
      </c>
      <c r="P237" s="173" t="s">
        <v>25</v>
      </c>
      <c r="Q237" s="1" t="s">
        <v>1344</v>
      </c>
      <c r="R237" s="175">
        <v>4</v>
      </c>
      <c r="S237">
        <v>4</v>
      </c>
    </row>
    <row r="238" spans="1:19" x14ac:dyDescent="0.25">
      <c r="A238" s="87">
        <v>2019</v>
      </c>
      <c r="B238" s="87">
        <v>7</v>
      </c>
      <c r="C238" s="173" t="s">
        <v>16</v>
      </c>
      <c r="D238" s="173" t="s">
        <v>17</v>
      </c>
      <c r="E238" s="173" t="s">
        <v>18</v>
      </c>
      <c r="F238" s="173" t="s">
        <v>16</v>
      </c>
      <c r="G238" s="87" t="b">
        <v>1</v>
      </c>
      <c r="H238" s="87" t="b">
        <v>0</v>
      </c>
      <c r="I238" s="87" t="b">
        <v>0</v>
      </c>
      <c r="J238" s="173" t="s">
        <v>470</v>
      </c>
      <c r="K238" s="174">
        <v>12442737000496</v>
      </c>
      <c r="L238" s="173" t="s">
        <v>865</v>
      </c>
      <c r="M238" s="173" t="s">
        <v>742</v>
      </c>
      <c r="N238" s="173" t="s">
        <v>91</v>
      </c>
      <c r="O238" s="87">
        <v>70</v>
      </c>
      <c r="P238" s="173" t="s">
        <v>20</v>
      </c>
      <c r="Q238" s="1" t="s">
        <v>1338</v>
      </c>
      <c r="R238" s="175">
        <v>400</v>
      </c>
      <c r="S238">
        <v>80</v>
      </c>
    </row>
    <row r="239" spans="1:19" x14ac:dyDescent="0.25">
      <c r="A239" s="87">
        <v>2019</v>
      </c>
      <c r="B239" s="87">
        <v>7</v>
      </c>
      <c r="C239" s="173" t="s">
        <v>16</v>
      </c>
      <c r="D239" s="173" t="s">
        <v>17</v>
      </c>
      <c r="E239" s="173" t="s">
        <v>18</v>
      </c>
      <c r="F239" s="173" t="s">
        <v>16</v>
      </c>
      <c r="G239" s="87" t="b">
        <v>1</v>
      </c>
      <c r="H239" s="87" t="b">
        <v>0</v>
      </c>
      <c r="I239" s="87" t="b">
        <v>0</v>
      </c>
      <c r="J239" s="173" t="s">
        <v>460</v>
      </c>
      <c r="K239" s="174">
        <v>12568570000161</v>
      </c>
      <c r="L239" s="173" t="s">
        <v>866</v>
      </c>
      <c r="M239" s="173" t="s">
        <v>76</v>
      </c>
      <c r="N239" s="173" t="s">
        <v>77</v>
      </c>
      <c r="O239" s="87">
        <v>70</v>
      </c>
      <c r="P239" s="173" t="s">
        <v>20</v>
      </c>
      <c r="Q239" s="1" t="s">
        <v>1338</v>
      </c>
      <c r="R239" s="175">
        <v>130</v>
      </c>
      <c r="S239">
        <v>26</v>
      </c>
    </row>
    <row r="240" spans="1:19" x14ac:dyDescent="0.25">
      <c r="A240" s="87">
        <v>2019</v>
      </c>
      <c r="B240" s="87">
        <v>7</v>
      </c>
      <c r="C240" s="173" t="s">
        <v>16</v>
      </c>
      <c r="D240" s="173" t="s">
        <v>17</v>
      </c>
      <c r="E240" s="173" t="s">
        <v>18</v>
      </c>
      <c r="F240" s="173" t="s">
        <v>16</v>
      </c>
      <c r="G240" s="87" t="b">
        <v>1</v>
      </c>
      <c r="H240" s="87" t="b">
        <v>0</v>
      </c>
      <c r="I240" s="87" t="b">
        <v>0</v>
      </c>
      <c r="J240" s="173" t="s">
        <v>455</v>
      </c>
      <c r="K240" s="174">
        <v>13016092000140</v>
      </c>
      <c r="L240" s="173" t="s">
        <v>867</v>
      </c>
      <c r="M240" s="173" t="s">
        <v>75</v>
      </c>
      <c r="N240" s="173" t="s">
        <v>74</v>
      </c>
      <c r="O240" s="87">
        <v>64</v>
      </c>
      <c r="P240" s="173" t="s">
        <v>25</v>
      </c>
      <c r="Q240" s="1" t="s">
        <v>1344</v>
      </c>
      <c r="R240" s="175">
        <v>10</v>
      </c>
      <c r="S240">
        <v>10</v>
      </c>
    </row>
    <row r="241" spans="1:19" x14ac:dyDescent="0.25">
      <c r="A241" s="87">
        <v>2019</v>
      </c>
      <c r="B241" s="87">
        <v>7</v>
      </c>
      <c r="C241" s="173" t="s">
        <v>16</v>
      </c>
      <c r="D241" s="173" t="s">
        <v>17</v>
      </c>
      <c r="E241" s="173" t="s">
        <v>18</v>
      </c>
      <c r="F241" s="173" t="s">
        <v>16</v>
      </c>
      <c r="G241" s="87" t="b">
        <v>1</v>
      </c>
      <c r="H241" s="87" t="b">
        <v>0</v>
      </c>
      <c r="I241" s="87" t="b">
        <v>0</v>
      </c>
      <c r="J241" s="173" t="s">
        <v>472</v>
      </c>
      <c r="K241" s="174">
        <v>13016332000106</v>
      </c>
      <c r="L241" s="173" t="s">
        <v>868</v>
      </c>
      <c r="M241" s="173" t="s">
        <v>84</v>
      </c>
      <c r="N241" s="173" t="s">
        <v>85</v>
      </c>
      <c r="O241" s="87">
        <v>62</v>
      </c>
      <c r="P241" s="173" t="s">
        <v>27</v>
      </c>
      <c r="Q241" s="1" t="s">
        <v>1343</v>
      </c>
      <c r="R241" s="175">
        <v>3</v>
      </c>
      <c r="S241">
        <v>3</v>
      </c>
    </row>
    <row r="242" spans="1:19" x14ac:dyDescent="0.25">
      <c r="A242" s="87">
        <v>2019</v>
      </c>
      <c r="B242" s="87">
        <v>7</v>
      </c>
      <c r="C242" s="173" t="s">
        <v>16</v>
      </c>
      <c r="D242" s="173" t="s">
        <v>17</v>
      </c>
      <c r="E242" s="173" t="s">
        <v>18</v>
      </c>
      <c r="F242" s="173" t="s">
        <v>16</v>
      </c>
      <c r="G242" s="87" t="b">
        <v>1</v>
      </c>
      <c r="H242" s="87" t="b">
        <v>0</v>
      </c>
      <c r="I242" s="87" t="b">
        <v>0</v>
      </c>
      <c r="J242" s="173" t="s">
        <v>472</v>
      </c>
      <c r="K242" s="174">
        <v>13016332000106</v>
      </c>
      <c r="L242" s="173" t="s">
        <v>868</v>
      </c>
      <c r="M242" s="173" t="s">
        <v>84</v>
      </c>
      <c r="N242" s="173" t="s">
        <v>85</v>
      </c>
      <c r="O242" s="87">
        <v>70</v>
      </c>
      <c r="P242" s="173" t="s">
        <v>20</v>
      </c>
      <c r="Q242" s="1" t="s">
        <v>1338</v>
      </c>
      <c r="R242" s="175">
        <v>15</v>
      </c>
      <c r="S242">
        <v>3</v>
      </c>
    </row>
    <row r="243" spans="1:19" x14ac:dyDescent="0.25">
      <c r="A243" s="87">
        <v>2019</v>
      </c>
      <c r="B243" s="87">
        <v>7</v>
      </c>
      <c r="C243" s="173" t="s">
        <v>16</v>
      </c>
      <c r="D243" s="173" t="s">
        <v>17</v>
      </c>
      <c r="E243" s="173" t="s">
        <v>18</v>
      </c>
      <c r="F243" s="173" t="s">
        <v>16</v>
      </c>
      <c r="G243" s="87" t="b">
        <v>1</v>
      </c>
      <c r="H243" s="87" t="b">
        <v>0</v>
      </c>
      <c r="I243" s="87" t="b">
        <v>0</v>
      </c>
      <c r="J243" s="173" t="s">
        <v>472</v>
      </c>
      <c r="K243" s="174">
        <v>13131370000100</v>
      </c>
      <c r="L243" s="173" t="s">
        <v>870</v>
      </c>
      <c r="M243" s="173" t="s">
        <v>84</v>
      </c>
      <c r="N243" s="173" t="s">
        <v>85</v>
      </c>
      <c r="O243" s="87">
        <v>70</v>
      </c>
      <c r="P243" s="173" t="s">
        <v>20</v>
      </c>
      <c r="Q243" s="1" t="s">
        <v>1338</v>
      </c>
      <c r="R243" s="175">
        <v>550</v>
      </c>
      <c r="S243">
        <v>110</v>
      </c>
    </row>
    <row r="244" spans="1:19" x14ac:dyDescent="0.25">
      <c r="A244" s="87">
        <v>2019</v>
      </c>
      <c r="B244" s="87">
        <v>7</v>
      </c>
      <c r="C244" s="173" t="s">
        <v>16</v>
      </c>
      <c r="D244" s="173" t="s">
        <v>17</v>
      </c>
      <c r="E244" s="173" t="s">
        <v>18</v>
      </c>
      <c r="F244" s="173" t="s">
        <v>16</v>
      </c>
      <c r="G244" s="87" t="b">
        <v>1</v>
      </c>
      <c r="H244" s="87" t="b">
        <v>0</v>
      </c>
      <c r="I244" s="87" t="b">
        <v>0</v>
      </c>
      <c r="J244" s="173" t="s">
        <v>472</v>
      </c>
      <c r="K244" s="174">
        <v>13131370000100</v>
      </c>
      <c r="L244" s="173" t="s">
        <v>870</v>
      </c>
      <c r="M244" s="173" t="s">
        <v>84</v>
      </c>
      <c r="N244" s="173" t="s">
        <v>85</v>
      </c>
      <c r="O244" s="87">
        <v>73</v>
      </c>
      <c r="P244" s="173" t="s">
        <v>26</v>
      </c>
      <c r="Q244" s="1" t="s">
        <v>1339</v>
      </c>
      <c r="R244" s="175">
        <v>8</v>
      </c>
      <c r="S244">
        <v>4</v>
      </c>
    </row>
    <row r="245" spans="1:19" x14ac:dyDescent="0.25">
      <c r="A245" s="87">
        <v>2019</v>
      </c>
      <c r="B245" s="87">
        <v>7</v>
      </c>
      <c r="C245" s="173" t="s">
        <v>16</v>
      </c>
      <c r="D245" s="173" t="s">
        <v>17</v>
      </c>
      <c r="E245" s="173" t="s">
        <v>18</v>
      </c>
      <c r="F245" s="173" t="s">
        <v>16</v>
      </c>
      <c r="G245" s="87" t="b">
        <v>1</v>
      </c>
      <c r="H245" s="87" t="b">
        <v>0</v>
      </c>
      <c r="I245" s="87" t="b">
        <v>0</v>
      </c>
      <c r="J245" s="173" t="s">
        <v>472</v>
      </c>
      <c r="K245" s="174">
        <v>13131370000100</v>
      </c>
      <c r="L245" s="173" t="s">
        <v>870</v>
      </c>
      <c r="M245" s="173" t="s">
        <v>84</v>
      </c>
      <c r="N245" s="173" t="s">
        <v>85</v>
      </c>
      <c r="O245" s="87">
        <v>73</v>
      </c>
      <c r="P245" s="173" t="s">
        <v>26</v>
      </c>
      <c r="Q245" s="1" t="s">
        <v>1342</v>
      </c>
      <c r="R245" s="175">
        <v>40</v>
      </c>
      <c r="S245">
        <v>10</v>
      </c>
    </row>
    <row r="246" spans="1:19" x14ac:dyDescent="0.25">
      <c r="A246" s="87">
        <v>2019</v>
      </c>
      <c r="B246" s="87">
        <v>7</v>
      </c>
      <c r="C246" s="173" t="s">
        <v>16</v>
      </c>
      <c r="D246" s="173" t="s">
        <v>17</v>
      </c>
      <c r="E246" s="173" t="s">
        <v>18</v>
      </c>
      <c r="F246" s="173" t="s">
        <v>16</v>
      </c>
      <c r="G246" s="87" t="b">
        <v>1</v>
      </c>
      <c r="H246" s="87" t="b">
        <v>0</v>
      </c>
      <c r="I246" s="87" t="b">
        <v>0</v>
      </c>
      <c r="J246" s="173" t="s">
        <v>472</v>
      </c>
      <c r="K246" s="174">
        <v>13131370000100</v>
      </c>
      <c r="L246" s="173" t="s">
        <v>870</v>
      </c>
      <c r="M246" s="173" t="s">
        <v>84</v>
      </c>
      <c r="N246" s="173" t="s">
        <v>85</v>
      </c>
      <c r="O246" s="87">
        <v>73</v>
      </c>
      <c r="P246" s="173" t="s">
        <v>26</v>
      </c>
      <c r="Q246" s="1" t="s">
        <v>1340</v>
      </c>
      <c r="R246" s="175">
        <v>12</v>
      </c>
      <c r="S246">
        <v>12</v>
      </c>
    </row>
    <row r="247" spans="1:19" x14ac:dyDescent="0.25">
      <c r="A247" s="87">
        <v>2019</v>
      </c>
      <c r="B247" s="87">
        <v>7</v>
      </c>
      <c r="C247" s="173" t="s">
        <v>16</v>
      </c>
      <c r="D247" s="173" t="s">
        <v>17</v>
      </c>
      <c r="E247" s="173" t="s">
        <v>18</v>
      </c>
      <c r="F247" s="173" t="s">
        <v>16</v>
      </c>
      <c r="G247" s="87" t="b">
        <v>1</v>
      </c>
      <c r="H247" s="87" t="b">
        <v>0</v>
      </c>
      <c r="I247" s="87" t="b">
        <v>0</v>
      </c>
      <c r="J247" s="173" t="s">
        <v>455</v>
      </c>
      <c r="K247" s="174">
        <v>13284872000170</v>
      </c>
      <c r="L247" s="173" t="s">
        <v>872</v>
      </c>
      <c r="M247" s="173" t="s">
        <v>873</v>
      </c>
      <c r="N247" s="173" t="s">
        <v>74</v>
      </c>
      <c r="O247" s="87">
        <v>70</v>
      </c>
      <c r="P247" s="173" t="s">
        <v>20</v>
      </c>
      <c r="Q247" s="1" t="s">
        <v>1338</v>
      </c>
      <c r="R247" s="175">
        <v>5</v>
      </c>
      <c r="S247">
        <v>1</v>
      </c>
    </row>
    <row r="248" spans="1:19" x14ac:dyDescent="0.25">
      <c r="A248" s="87">
        <v>2019</v>
      </c>
      <c r="B248" s="87">
        <v>7</v>
      </c>
      <c r="C248" s="173" t="s">
        <v>16</v>
      </c>
      <c r="D248" s="173" t="s">
        <v>17</v>
      </c>
      <c r="E248" s="173" t="s">
        <v>18</v>
      </c>
      <c r="F248" s="173" t="s">
        <v>16</v>
      </c>
      <c r="G248" s="87" t="b">
        <v>1</v>
      </c>
      <c r="H248" s="87" t="b">
        <v>0</v>
      </c>
      <c r="I248" s="87" t="b">
        <v>0</v>
      </c>
      <c r="J248" s="173" t="s">
        <v>491</v>
      </c>
      <c r="K248" s="174">
        <v>13356779000124</v>
      </c>
      <c r="L248" s="173" t="s">
        <v>874</v>
      </c>
      <c r="M248" s="173" t="s">
        <v>84</v>
      </c>
      <c r="N248" s="173" t="s">
        <v>85</v>
      </c>
      <c r="O248" s="87">
        <v>62</v>
      </c>
      <c r="P248" s="173" t="s">
        <v>27</v>
      </c>
      <c r="Q248" s="1" t="s">
        <v>1343</v>
      </c>
      <c r="R248" s="175">
        <v>4</v>
      </c>
      <c r="S248">
        <v>4</v>
      </c>
    </row>
    <row r="249" spans="1:19" x14ac:dyDescent="0.25">
      <c r="A249" s="87">
        <v>2019</v>
      </c>
      <c r="B249" s="87">
        <v>7</v>
      </c>
      <c r="C249" s="173" t="s">
        <v>16</v>
      </c>
      <c r="D249" s="173" t="s">
        <v>17</v>
      </c>
      <c r="E249" s="173" t="s">
        <v>18</v>
      </c>
      <c r="F249" s="173" t="s">
        <v>16</v>
      </c>
      <c r="G249" s="87" t="b">
        <v>1</v>
      </c>
      <c r="H249" s="87" t="b">
        <v>0</v>
      </c>
      <c r="I249" s="87" t="b">
        <v>0</v>
      </c>
      <c r="J249" s="173" t="s">
        <v>450</v>
      </c>
      <c r="K249" s="174">
        <v>13718999000150</v>
      </c>
      <c r="L249" s="173" t="s">
        <v>584</v>
      </c>
      <c r="M249" s="173" t="s">
        <v>29</v>
      </c>
      <c r="N249" s="173" t="s">
        <v>19</v>
      </c>
      <c r="O249" s="87">
        <v>73</v>
      </c>
      <c r="P249" s="173" t="s">
        <v>26</v>
      </c>
      <c r="Q249" s="1" t="s">
        <v>1342</v>
      </c>
      <c r="R249" s="175">
        <v>4</v>
      </c>
      <c r="S249">
        <v>1</v>
      </c>
    </row>
    <row r="250" spans="1:19" x14ac:dyDescent="0.25">
      <c r="A250" s="87">
        <v>2019</v>
      </c>
      <c r="B250" s="87">
        <v>7</v>
      </c>
      <c r="C250" s="173" t="s">
        <v>16</v>
      </c>
      <c r="D250" s="173" t="s">
        <v>17</v>
      </c>
      <c r="E250" s="173" t="s">
        <v>18</v>
      </c>
      <c r="F250" s="173" t="s">
        <v>16</v>
      </c>
      <c r="G250" s="87" t="b">
        <v>1</v>
      </c>
      <c r="H250" s="87" t="b">
        <v>0</v>
      </c>
      <c r="I250" s="87" t="b">
        <v>0</v>
      </c>
      <c r="J250" s="173" t="s">
        <v>450</v>
      </c>
      <c r="K250" s="174">
        <v>13718999001041</v>
      </c>
      <c r="L250" s="173" t="s">
        <v>662</v>
      </c>
      <c r="M250" s="173" t="s">
        <v>647</v>
      </c>
      <c r="N250" s="173" t="s">
        <v>19</v>
      </c>
      <c r="O250" s="87">
        <v>73</v>
      </c>
      <c r="P250" s="173" t="s">
        <v>26</v>
      </c>
      <c r="Q250" s="1" t="s">
        <v>1342</v>
      </c>
      <c r="R250" s="175">
        <v>4</v>
      </c>
      <c r="S250">
        <v>1</v>
      </c>
    </row>
    <row r="251" spans="1:19" x14ac:dyDescent="0.25">
      <c r="A251" s="87">
        <v>2019</v>
      </c>
      <c r="B251" s="87">
        <v>7</v>
      </c>
      <c r="C251" s="173" t="s">
        <v>16</v>
      </c>
      <c r="D251" s="173" t="s">
        <v>17</v>
      </c>
      <c r="E251" s="173" t="s">
        <v>18</v>
      </c>
      <c r="F251" s="173" t="s">
        <v>16</v>
      </c>
      <c r="G251" s="87" t="b">
        <v>1</v>
      </c>
      <c r="H251" s="87" t="b">
        <v>0</v>
      </c>
      <c r="I251" s="87" t="b">
        <v>0</v>
      </c>
      <c r="J251" s="173" t="s">
        <v>491</v>
      </c>
      <c r="K251" s="174">
        <v>13952064000134</v>
      </c>
      <c r="L251" s="173" t="s">
        <v>875</v>
      </c>
      <c r="M251" s="173" t="s">
        <v>75</v>
      </c>
      <c r="N251" s="173" t="s">
        <v>74</v>
      </c>
      <c r="O251" s="87">
        <v>62</v>
      </c>
      <c r="P251" s="173" t="s">
        <v>27</v>
      </c>
      <c r="Q251" s="1" t="s">
        <v>1343</v>
      </c>
      <c r="R251" s="175">
        <v>3</v>
      </c>
      <c r="S251">
        <v>3</v>
      </c>
    </row>
    <row r="252" spans="1:19" x14ac:dyDescent="0.25">
      <c r="A252" s="87">
        <v>2019</v>
      </c>
      <c r="B252" s="87">
        <v>7</v>
      </c>
      <c r="C252" s="173" t="s">
        <v>16</v>
      </c>
      <c r="D252" s="173" t="s">
        <v>17</v>
      </c>
      <c r="E252" s="173" t="s">
        <v>18</v>
      </c>
      <c r="F252" s="173" t="s">
        <v>16</v>
      </c>
      <c r="G252" s="87" t="b">
        <v>1</v>
      </c>
      <c r="H252" s="87" t="b">
        <v>0</v>
      </c>
      <c r="I252" s="87" t="b">
        <v>0</v>
      </c>
      <c r="J252" s="173" t="s">
        <v>455</v>
      </c>
      <c r="K252" s="174">
        <v>14074546000100</v>
      </c>
      <c r="L252" s="173" t="s">
        <v>876</v>
      </c>
      <c r="M252" s="173" t="s">
        <v>86</v>
      </c>
      <c r="N252" s="173" t="s">
        <v>74</v>
      </c>
      <c r="O252" s="87">
        <v>64</v>
      </c>
      <c r="P252" s="173" t="s">
        <v>25</v>
      </c>
      <c r="Q252" s="1" t="s">
        <v>1344</v>
      </c>
      <c r="R252" s="175">
        <v>1</v>
      </c>
      <c r="S252">
        <v>1</v>
      </c>
    </row>
    <row r="253" spans="1:19" x14ac:dyDescent="0.25">
      <c r="A253" s="87">
        <v>2019</v>
      </c>
      <c r="B253" s="87">
        <v>7</v>
      </c>
      <c r="C253" s="173" t="s">
        <v>16</v>
      </c>
      <c r="D253" s="173" t="s">
        <v>17</v>
      </c>
      <c r="E253" s="173" t="s">
        <v>18</v>
      </c>
      <c r="F253" s="173" t="s">
        <v>16</v>
      </c>
      <c r="G253" s="87" t="b">
        <v>1</v>
      </c>
      <c r="H253" s="87" t="b">
        <v>0</v>
      </c>
      <c r="I253" s="87" t="b">
        <v>0</v>
      </c>
      <c r="J253" s="173" t="s">
        <v>478</v>
      </c>
      <c r="K253" s="174">
        <v>14408631000159</v>
      </c>
      <c r="L253" s="173" t="s">
        <v>1163</v>
      </c>
      <c r="M253" s="173" t="s">
        <v>1164</v>
      </c>
      <c r="N253" s="173" t="s">
        <v>54</v>
      </c>
      <c r="O253" s="87">
        <v>73</v>
      </c>
      <c r="P253" s="173" t="s">
        <v>26</v>
      </c>
      <c r="Q253" s="1" t="s">
        <v>1339</v>
      </c>
      <c r="R253" s="175">
        <v>8</v>
      </c>
      <c r="S253">
        <v>4</v>
      </c>
    </row>
    <row r="254" spans="1:19" x14ac:dyDescent="0.25">
      <c r="A254" s="87">
        <v>2019</v>
      </c>
      <c r="B254" s="87">
        <v>7</v>
      </c>
      <c r="C254" s="173" t="s">
        <v>16</v>
      </c>
      <c r="D254" s="173" t="s">
        <v>17</v>
      </c>
      <c r="E254" s="173" t="s">
        <v>18</v>
      </c>
      <c r="F254" s="173" t="s">
        <v>16</v>
      </c>
      <c r="G254" s="87" t="b">
        <v>1</v>
      </c>
      <c r="H254" s="87" t="b">
        <v>0</v>
      </c>
      <c r="I254" s="87" t="b">
        <v>0</v>
      </c>
      <c r="J254" s="173" t="s">
        <v>450</v>
      </c>
      <c r="K254" s="174">
        <v>15016827000160</v>
      </c>
      <c r="L254" s="173" t="s">
        <v>877</v>
      </c>
      <c r="M254" s="173" t="s">
        <v>772</v>
      </c>
      <c r="N254" s="173" t="s">
        <v>69</v>
      </c>
      <c r="O254" s="87">
        <v>62</v>
      </c>
      <c r="P254" s="173" t="s">
        <v>27</v>
      </c>
      <c r="Q254" s="1" t="s">
        <v>1343</v>
      </c>
      <c r="R254" s="175">
        <v>4</v>
      </c>
      <c r="S254">
        <v>4</v>
      </c>
    </row>
    <row r="255" spans="1:19" x14ac:dyDescent="0.25">
      <c r="A255" s="87">
        <v>2019</v>
      </c>
      <c r="B255" s="87">
        <v>7</v>
      </c>
      <c r="C255" s="173" t="s">
        <v>16</v>
      </c>
      <c r="D255" s="173" t="s">
        <v>17</v>
      </c>
      <c r="E255" s="173" t="s">
        <v>18</v>
      </c>
      <c r="F255" s="173" t="s">
        <v>16</v>
      </c>
      <c r="G255" s="87" t="b">
        <v>1</v>
      </c>
      <c r="H255" s="87" t="b">
        <v>0</v>
      </c>
      <c r="I255" s="87" t="b">
        <v>0</v>
      </c>
      <c r="J255" s="173" t="s">
        <v>455</v>
      </c>
      <c r="K255" s="174">
        <v>15016827000160</v>
      </c>
      <c r="L255" s="173" t="s">
        <v>877</v>
      </c>
      <c r="M255" s="173" t="s">
        <v>772</v>
      </c>
      <c r="N255" s="173" t="s">
        <v>69</v>
      </c>
      <c r="O255" s="87">
        <v>64</v>
      </c>
      <c r="P255" s="173" t="s">
        <v>25</v>
      </c>
      <c r="Q255" s="1" t="s">
        <v>1344</v>
      </c>
      <c r="R255" s="175">
        <v>10</v>
      </c>
      <c r="S255">
        <v>10</v>
      </c>
    </row>
    <row r="256" spans="1:19" x14ac:dyDescent="0.25">
      <c r="A256" s="87">
        <v>2019</v>
      </c>
      <c r="B256" s="87">
        <v>7</v>
      </c>
      <c r="C256" s="173" t="s">
        <v>16</v>
      </c>
      <c r="D256" s="173" t="s">
        <v>17</v>
      </c>
      <c r="E256" s="173" t="s">
        <v>18</v>
      </c>
      <c r="F256" s="173" t="s">
        <v>16</v>
      </c>
      <c r="G256" s="87" t="b">
        <v>1</v>
      </c>
      <c r="H256" s="87" t="b">
        <v>0</v>
      </c>
      <c r="I256" s="87" t="b">
        <v>0</v>
      </c>
      <c r="J256" s="173" t="s">
        <v>456</v>
      </c>
      <c r="K256" s="174">
        <v>15126437000224</v>
      </c>
      <c r="L256" s="173" t="s">
        <v>878</v>
      </c>
      <c r="M256" s="173" t="s">
        <v>81</v>
      </c>
      <c r="N256" s="173" t="s">
        <v>82</v>
      </c>
      <c r="O256" s="87">
        <v>64</v>
      </c>
      <c r="P256" s="173" t="s">
        <v>25</v>
      </c>
      <c r="Q256" s="1" t="s">
        <v>1344</v>
      </c>
      <c r="R256" s="175">
        <v>5</v>
      </c>
      <c r="S256">
        <v>5</v>
      </c>
    </row>
    <row r="257" spans="1:19" x14ac:dyDescent="0.25">
      <c r="A257" s="87">
        <v>2019</v>
      </c>
      <c r="B257" s="87">
        <v>7</v>
      </c>
      <c r="C257" s="173" t="s">
        <v>16</v>
      </c>
      <c r="D257" s="173" t="s">
        <v>17</v>
      </c>
      <c r="E257" s="173" t="s">
        <v>18</v>
      </c>
      <c r="F257" s="173" t="s">
        <v>16</v>
      </c>
      <c r="G257" s="87" t="b">
        <v>1</v>
      </c>
      <c r="H257" s="87" t="b">
        <v>0</v>
      </c>
      <c r="I257" s="87" t="b">
        <v>0</v>
      </c>
      <c r="J257" s="173" t="s">
        <v>453</v>
      </c>
      <c r="K257" s="174">
        <v>15126437000496</v>
      </c>
      <c r="L257" s="173" t="s">
        <v>880</v>
      </c>
      <c r="M257" s="173" t="s">
        <v>777</v>
      </c>
      <c r="N257" s="173" t="s">
        <v>72</v>
      </c>
      <c r="O257" s="87">
        <v>62</v>
      </c>
      <c r="P257" s="173" t="s">
        <v>27</v>
      </c>
      <c r="Q257" s="1" t="s">
        <v>1343</v>
      </c>
      <c r="R257" s="175">
        <v>1</v>
      </c>
      <c r="S257">
        <v>1</v>
      </c>
    </row>
    <row r="258" spans="1:19" x14ac:dyDescent="0.25">
      <c r="A258" s="87">
        <v>2019</v>
      </c>
      <c r="B258" s="87">
        <v>7</v>
      </c>
      <c r="C258" s="173" t="s">
        <v>16</v>
      </c>
      <c r="D258" s="173" t="s">
        <v>17</v>
      </c>
      <c r="E258" s="173" t="s">
        <v>18</v>
      </c>
      <c r="F258" s="173" t="s">
        <v>16</v>
      </c>
      <c r="G258" s="87" t="b">
        <v>1</v>
      </c>
      <c r="H258" s="87" t="b">
        <v>0</v>
      </c>
      <c r="I258" s="87" t="b">
        <v>0</v>
      </c>
      <c r="J258" s="173" t="s">
        <v>1330</v>
      </c>
      <c r="K258" s="174">
        <v>15126437000739</v>
      </c>
      <c r="L258" s="173" t="s">
        <v>881</v>
      </c>
      <c r="M258" s="173" t="s">
        <v>62</v>
      </c>
      <c r="N258" s="173" t="s">
        <v>63</v>
      </c>
      <c r="O258" s="87">
        <v>64</v>
      </c>
      <c r="P258" s="173" t="s">
        <v>25</v>
      </c>
      <c r="Q258" s="1" t="s">
        <v>1344</v>
      </c>
      <c r="R258" s="175">
        <v>100</v>
      </c>
      <c r="S258">
        <v>100</v>
      </c>
    </row>
    <row r="259" spans="1:19" x14ac:dyDescent="0.25">
      <c r="A259" s="87">
        <v>2019</v>
      </c>
      <c r="B259" s="87">
        <v>7</v>
      </c>
      <c r="C259" s="173" t="s">
        <v>16</v>
      </c>
      <c r="D259" s="173" t="s">
        <v>17</v>
      </c>
      <c r="E259" s="173" t="s">
        <v>18</v>
      </c>
      <c r="F259" s="173" t="s">
        <v>16</v>
      </c>
      <c r="G259" s="87" t="b">
        <v>1</v>
      </c>
      <c r="H259" s="87" t="b">
        <v>0</v>
      </c>
      <c r="I259" s="87" t="b">
        <v>0</v>
      </c>
      <c r="J259" s="173" t="s">
        <v>1330</v>
      </c>
      <c r="K259" s="174">
        <v>15126437001972</v>
      </c>
      <c r="L259" s="173" t="s">
        <v>966</v>
      </c>
      <c r="M259" s="173" t="s">
        <v>87</v>
      </c>
      <c r="N259" s="173" t="s">
        <v>67</v>
      </c>
      <c r="O259" s="87">
        <v>64</v>
      </c>
      <c r="P259" s="173" t="s">
        <v>25</v>
      </c>
      <c r="Q259" s="1" t="s">
        <v>1344</v>
      </c>
      <c r="R259" s="175">
        <v>15</v>
      </c>
      <c r="S259">
        <v>15</v>
      </c>
    </row>
    <row r="260" spans="1:19" x14ac:dyDescent="0.25">
      <c r="A260" s="87">
        <v>2019</v>
      </c>
      <c r="B260" s="87">
        <v>7</v>
      </c>
      <c r="C260" s="173" t="s">
        <v>16</v>
      </c>
      <c r="D260" s="173" t="s">
        <v>17</v>
      </c>
      <c r="E260" s="173" t="s">
        <v>18</v>
      </c>
      <c r="F260" s="173" t="s">
        <v>16</v>
      </c>
      <c r="G260" s="87" t="b">
        <v>1</v>
      </c>
      <c r="H260" s="87" t="b">
        <v>0</v>
      </c>
      <c r="I260" s="87" t="b">
        <v>0</v>
      </c>
      <c r="J260" s="173" t="s">
        <v>491</v>
      </c>
      <c r="K260" s="174">
        <v>15153745000249</v>
      </c>
      <c r="L260" s="173" t="s">
        <v>887</v>
      </c>
      <c r="M260" s="173" t="s">
        <v>75</v>
      </c>
      <c r="N260" s="173" t="s">
        <v>74</v>
      </c>
      <c r="O260" s="87">
        <v>62</v>
      </c>
      <c r="P260" s="173" t="s">
        <v>27</v>
      </c>
      <c r="Q260" s="1" t="s">
        <v>1343</v>
      </c>
      <c r="R260" s="175">
        <v>2</v>
      </c>
      <c r="S260">
        <v>2</v>
      </c>
    </row>
    <row r="261" spans="1:19" x14ac:dyDescent="0.25">
      <c r="A261" s="87">
        <v>2019</v>
      </c>
      <c r="B261" s="87">
        <v>7</v>
      </c>
      <c r="C261" s="173" t="s">
        <v>16</v>
      </c>
      <c r="D261" s="173" t="s">
        <v>17</v>
      </c>
      <c r="E261" s="173" t="s">
        <v>18</v>
      </c>
      <c r="F261" s="173" t="s">
        <v>16</v>
      </c>
      <c r="G261" s="87" t="b">
        <v>1</v>
      </c>
      <c r="H261" s="87" t="b">
        <v>0</v>
      </c>
      <c r="I261" s="87" t="b">
        <v>0</v>
      </c>
      <c r="J261" s="173" t="s">
        <v>460</v>
      </c>
      <c r="K261" s="174">
        <v>15153745002705</v>
      </c>
      <c r="L261" s="173" t="s">
        <v>888</v>
      </c>
      <c r="M261" s="173" t="s">
        <v>75</v>
      </c>
      <c r="N261" s="173" t="s">
        <v>74</v>
      </c>
      <c r="O261" s="87">
        <v>64</v>
      </c>
      <c r="P261" s="173" t="s">
        <v>25</v>
      </c>
      <c r="Q261" s="1" t="s">
        <v>1344</v>
      </c>
      <c r="R261" s="175">
        <v>5</v>
      </c>
      <c r="S261">
        <v>5</v>
      </c>
    </row>
    <row r="262" spans="1:19" x14ac:dyDescent="0.25">
      <c r="A262" s="87">
        <v>2019</v>
      </c>
      <c r="B262" s="87">
        <v>7</v>
      </c>
      <c r="C262" s="173" t="s">
        <v>16</v>
      </c>
      <c r="D262" s="173" t="s">
        <v>17</v>
      </c>
      <c r="E262" s="173" t="s">
        <v>18</v>
      </c>
      <c r="F262" s="173" t="s">
        <v>16</v>
      </c>
      <c r="G262" s="87" t="b">
        <v>1</v>
      </c>
      <c r="H262" s="87" t="b">
        <v>0</v>
      </c>
      <c r="I262" s="87" t="b">
        <v>0</v>
      </c>
      <c r="J262" s="173" t="s">
        <v>451</v>
      </c>
      <c r="K262" s="174">
        <v>15153745002705</v>
      </c>
      <c r="L262" s="173" t="s">
        <v>888</v>
      </c>
      <c r="M262" s="173" t="s">
        <v>75</v>
      </c>
      <c r="N262" s="173" t="s">
        <v>74</v>
      </c>
      <c r="O262" s="87">
        <v>64</v>
      </c>
      <c r="P262" s="173" t="s">
        <v>25</v>
      </c>
      <c r="Q262" s="1" t="s">
        <v>1344</v>
      </c>
      <c r="R262" s="175">
        <v>4</v>
      </c>
      <c r="S262">
        <v>4</v>
      </c>
    </row>
    <row r="263" spans="1:19" x14ac:dyDescent="0.25">
      <c r="A263" s="87">
        <v>2019</v>
      </c>
      <c r="B263" s="87">
        <v>7</v>
      </c>
      <c r="C263" s="173" t="s">
        <v>16</v>
      </c>
      <c r="D263" s="173" t="s">
        <v>17</v>
      </c>
      <c r="E263" s="173" t="s">
        <v>18</v>
      </c>
      <c r="F263" s="173" t="s">
        <v>16</v>
      </c>
      <c r="G263" s="87" t="b">
        <v>1</v>
      </c>
      <c r="H263" s="87" t="b">
        <v>0</v>
      </c>
      <c r="I263" s="87" t="b">
        <v>0</v>
      </c>
      <c r="J263" s="173" t="s">
        <v>491</v>
      </c>
      <c r="K263" s="174">
        <v>15153745002705</v>
      </c>
      <c r="L263" s="173" t="s">
        <v>888</v>
      </c>
      <c r="M263" s="173" t="s">
        <v>75</v>
      </c>
      <c r="N263" s="173" t="s">
        <v>74</v>
      </c>
      <c r="O263" s="87">
        <v>64</v>
      </c>
      <c r="P263" s="173" t="s">
        <v>25</v>
      </c>
      <c r="Q263" s="1" t="s">
        <v>1344</v>
      </c>
      <c r="R263" s="175">
        <v>2</v>
      </c>
      <c r="S263">
        <v>2</v>
      </c>
    </row>
    <row r="264" spans="1:19" x14ac:dyDescent="0.25">
      <c r="A264" s="87">
        <v>2019</v>
      </c>
      <c r="B264" s="87">
        <v>7</v>
      </c>
      <c r="C264" s="173" t="s">
        <v>16</v>
      </c>
      <c r="D264" s="173" t="s">
        <v>17</v>
      </c>
      <c r="E264" s="173" t="s">
        <v>18</v>
      </c>
      <c r="F264" s="173" t="s">
        <v>16</v>
      </c>
      <c r="G264" s="87" t="b">
        <v>1</v>
      </c>
      <c r="H264" s="87" t="b">
        <v>0</v>
      </c>
      <c r="I264" s="87" t="b">
        <v>0</v>
      </c>
      <c r="J264" s="173" t="s">
        <v>460</v>
      </c>
      <c r="K264" s="174">
        <v>15166416000151</v>
      </c>
      <c r="L264" s="173" t="s">
        <v>889</v>
      </c>
      <c r="M264" s="173" t="s">
        <v>75</v>
      </c>
      <c r="N264" s="173" t="s">
        <v>74</v>
      </c>
      <c r="O264" s="87">
        <v>62</v>
      </c>
      <c r="P264" s="173" t="s">
        <v>27</v>
      </c>
      <c r="Q264" s="1" t="s">
        <v>1343</v>
      </c>
      <c r="R264" s="175">
        <v>11</v>
      </c>
      <c r="S264">
        <v>11</v>
      </c>
    </row>
    <row r="265" spans="1:19" x14ac:dyDescent="0.25">
      <c r="A265" s="87">
        <v>2019</v>
      </c>
      <c r="B265" s="87">
        <v>7</v>
      </c>
      <c r="C265" s="173" t="s">
        <v>16</v>
      </c>
      <c r="D265" s="173" t="s">
        <v>17</v>
      </c>
      <c r="E265" s="173" t="s">
        <v>18</v>
      </c>
      <c r="F265" s="173" t="s">
        <v>16</v>
      </c>
      <c r="G265" s="87" t="b">
        <v>1</v>
      </c>
      <c r="H265" s="87" t="b">
        <v>0</v>
      </c>
      <c r="I265" s="87" t="b">
        <v>0</v>
      </c>
      <c r="J265" s="173" t="s">
        <v>460</v>
      </c>
      <c r="K265" s="174">
        <v>15166416000151</v>
      </c>
      <c r="L265" s="173" t="s">
        <v>889</v>
      </c>
      <c r="M265" s="173" t="s">
        <v>75</v>
      </c>
      <c r="N265" s="173" t="s">
        <v>74</v>
      </c>
      <c r="O265" s="87">
        <v>64</v>
      </c>
      <c r="P265" s="173" t="s">
        <v>25</v>
      </c>
      <c r="Q265" s="1" t="s">
        <v>1344</v>
      </c>
      <c r="R265" s="175">
        <v>17</v>
      </c>
      <c r="S265">
        <v>17</v>
      </c>
    </row>
    <row r="266" spans="1:19" x14ac:dyDescent="0.25">
      <c r="A266" s="87">
        <v>2019</v>
      </c>
      <c r="B266" s="87">
        <v>7</v>
      </c>
      <c r="C266" s="173" t="s">
        <v>16</v>
      </c>
      <c r="D266" s="173" t="s">
        <v>17</v>
      </c>
      <c r="E266" s="173" t="s">
        <v>18</v>
      </c>
      <c r="F266" s="173" t="s">
        <v>16</v>
      </c>
      <c r="G266" s="87" t="b">
        <v>1</v>
      </c>
      <c r="H266" s="87" t="b">
        <v>0</v>
      </c>
      <c r="I266" s="87" t="b">
        <v>0</v>
      </c>
      <c r="J266" s="173" t="s">
        <v>464</v>
      </c>
      <c r="K266" s="174">
        <v>15170723000106</v>
      </c>
      <c r="L266" s="173" t="s">
        <v>890</v>
      </c>
      <c r="M266" s="173" t="s">
        <v>75</v>
      </c>
      <c r="N266" s="173" t="s">
        <v>74</v>
      </c>
      <c r="O266" s="87">
        <v>62</v>
      </c>
      <c r="P266" s="173" t="s">
        <v>27</v>
      </c>
      <c r="Q266" s="1" t="s">
        <v>1343</v>
      </c>
      <c r="R266" s="175">
        <v>1</v>
      </c>
      <c r="S266">
        <v>1</v>
      </c>
    </row>
    <row r="267" spans="1:19" x14ac:dyDescent="0.25">
      <c r="A267" s="87">
        <v>2019</v>
      </c>
      <c r="B267" s="87">
        <v>7</v>
      </c>
      <c r="C267" s="173" t="s">
        <v>16</v>
      </c>
      <c r="D267" s="173" t="s">
        <v>17</v>
      </c>
      <c r="E267" s="173" t="s">
        <v>18</v>
      </c>
      <c r="F267" s="173" t="s">
        <v>16</v>
      </c>
      <c r="G267" s="87" t="b">
        <v>1</v>
      </c>
      <c r="H267" s="87" t="b">
        <v>0</v>
      </c>
      <c r="I267" s="87" t="b">
        <v>0</v>
      </c>
      <c r="J267" s="173" t="s">
        <v>464</v>
      </c>
      <c r="K267" s="174">
        <v>15170723000106</v>
      </c>
      <c r="L267" s="173" t="s">
        <v>890</v>
      </c>
      <c r="M267" s="173" t="s">
        <v>75</v>
      </c>
      <c r="N267" s="173" t="s">
        <v>74</v>
      </c>
      <c r="O267" s="87">
        <v>64</v>
      </c>
      <c r="P267" s="173" t="s">
        <v>25</v>
      </c>
      <c r="Q267" s="1" t="s">
        <v>1344</v>
      </c>
      <c r="R267" s="175">
        <v>10</v>
      </c>
      <c r="S267">
        <v>10</v>
      </c>
    </row>
    <row r="268" spans="1:19" x14ac:dyDescent="0.25">
      <c r="A268" s="87">
        <v>2019</v>
      </c>
      <c r="B268" s="87">
        <v>7</v>
      </c>
      <c r="C268" s="173" t="s">
        <v>16</v>
      </c>
      <c r="D268" s="173" t="s">
        <v>17</v>
      </c>
      <c r="E268" s="173" t="s">
        <v>18</v>
      </c>
      <c r="F268" s="173" t="s">
        <v>16</v>
      </c>
      <c r="G268" s="87" t="b">
        <v>1</v>
      </c>
      <c r="H268" s="87" t="b">
        <v>0</v>
      </c>
      <c r="I268" s="87" t="b">
        <v>0</v>
      </c>
      <c r="J268" s="173" t="s">
        <v>455</v>
      </c>
      <c r="K268" s="174">
        <v>15170723000106</v>
      </c>
      <c r="L268" s="173" t="s">
        <v>890</v>
      </c>
      <c r="M268" s="173" t="s">
        <v>75</v>
      </c>
      <c r="N268" s="173" t="s">
        <v>74</v>
      </c>
      <c r="O268" s="87">
        <v>64</v>
      </c>
      <c r="P268" s="173" t="s">
        <v>25</v>
      </c>
      <c r="Q268" s="1" t="s">
        <v>1344</v>
      </c>
      <c r="R268" s="175">
        <v>1</v>
      </c>
      <c r="S268">
        <v>1</v>
      </c>
    </row>
    <row r="269" spans="1:19" x14ac:dyDescent="0.25">
      <c r="A269" s="87">
        <v>2019</v>
      </c>
      <c r="B269" s="87">
        <v>7</v>
      </c>
      <c r="C269" s="173" t="s">
        <v>16</v>
      </c>
      <c r="D269" s="173" t="s">
        <v>17</v>
      </c>
      <c r="E269" s="173" t="s">
        <v>18</v>
      </c>
      <c r="F269" s="173" t="s">
        <v>16</v>
      </c>
      <c r="G269" s="87" t="b">
        <v>1</v>
      </c>
      <c r="H269" s="87" t="b">
        <v>0</v>
      </c>
      <c r="I269" s="87" t="b">
        <v>0</v>
      </c>
      <c r="J269" s="173" t="s">
        <v>460</v>
      </c>
      <c r="K269" s="174">
        <v>15170723000106</v>
      </c>
      <c r="L269" s="173" t="s">
        <v>890</v>
      </c>
      <c r="M269" s="173" t="s">
        <v>75</v>
      </c>
      <c r="N269" s="173" t="s">
        <v>74</v>
      </c>
      <c r="O269" s="87">
        <v>70</v>
      </c>
      <c r="P269" s="173" t="s">
        <v>20</v>
      </c>
      <c r="Q269" s="1" t="s">
        <v>1338</v>
      </c>
      <c r="R269" s="175">
        <v>300</v>
      </c>
      <c r="S269">
        <v>60</v>
      </c>
    </row>
    <row r="270" spans="1:19" x14ac:dyDescent="0.25">
      <c r="A270" s="87">
        <v>2019</v>
      </c>
      <c r="B270" s="87">
        <v>7</v>
      </c>
      <c r="C270" s="173" t="s">
        <v>16</v>
      </c>
      <c r="D270" s="173" t="s">
        <v>17</v>
      </c>
      <c r="E270" s="173" t="s">
        <v>18</v>
      </c>
      <c r="F270" s="173" t="s">
        <v>16</v>
      </c>
      <c r="G270" s="87" t="b">
        <v>1</v>
      </c>
      <c r="H270" s="87" t="b">
        <v>0</v>
      </c>
      <c r="I270" s="87" t="b">
        <v>0</v>
      </c>
      <c r="J270" s="173" t="s">
        <v>455</v>
      </c>
      <c r="K270" s="174">
        <v>15170723000530</v>
      </c>
      <c r="L270" s="173" t="s">
        <v>891</v>
      </c>
      <c r="M270" s="173" t="s">
        <v>86</v>
      </c>
      <c r="N270" s="173" t="s">
        <v>74</v>
      </c>
      <c r="O270" s="87">
        <v>64</v>
      </c>
      <c r="P270" s="173" t="s">
        <v>25</v>
      </c>
      <c r="Q270" s="1" t="s">
        <v>1344</v>
      </c>
      <c r="R270" s="175">
        <v>1</v>
      </c>
      <c r="S270">
        <v>1</v>
      </c>
    </row>
    <row r="271" spans="1:19" x14ac:dyDescent="0.25">
      <c r="A271" s="87">
        <v>2019</v>
      </c>
      <c r="B271" s="87">
        <v>7</v>
      </c>
      <c r="C271" s="173" t="s">
        <v>16</v>
      </c>
      <c r="D271" s="173" t="s">
        <v>17</v>
      </c>
      <c r="E271" s="173" t="s">
        <v>18</v>
      </c>
      <c r="F271" s="173" t="s">
        <v>16</v>
      </c>
      <c r="G271" s="87" t="b">
        <v>1</v>
      </c>
      <c r="H271" s="87" t="b">
        <v>0</v>
      </c>
      <c r="I271" s="87" t="b">
        <v>0</v>
      </c>
      <c r="J271" s="173" t="s">
        <v>1330</v>
      </c>
      <c r="K271" s="174">
        <v>15180714000368</v>
      </c>
      <c r="L271" s="173" t="s">
        <v>893</v>
      </c>
      <c r="M271" s="173" t="s">
        <v>75</v>
      </c>
      <c r="N271" s="173" t="s">
        <v>74</v>
      </c>
      <c r="O271" s="87">
        <v>64</v>
      </c>
      <c r="P271" s="173" t="s">
        <v>25</v>
      </c>
      <c r="Q271" s="1" t="s">
        <v>1344</v>
      </c>
      <c r="R271" s="175">
        <v>12</v>
      </c>
      <c r="S271">
        <v>12</v>
      </c>
    </row>
    <row r="272" spans="1:19" x14ac:dyDescent="0.25">
      <c r="A272" s="87">
        <v>2019</v>
      </c>
      <c r="B272" s="87">
        <v>7</v>
      </c>
      <c r="C272" s="173" t="s">
        <v>16</v>
      </c>
      <c r="D272" s="173" t="s">
        <v>17</v>
      </c>
      <c r="E272" s="173" t="s">
        <v>18</v>
      </c>
      <c r="F272" s="173" t="s">
        <v>16</v>
      </c>
      <c r="G272" s="87" t="b">
        <v>1</v>
      </c>
      <c r="H272" s="87" t="b">
        <v>0</v>
      </c>
      <c r="I272" s="87" t="b">
        <v>0</v>
      </c>
      <c r="J272" s="173" t="s">
        <v>464</v>
      </c>
      <c r="K272" s="174">
        <v>15180714000520</v>
      </c>
      <c r="L272" s="173" t="s">
        <v>894</v>
      </c>
      <c r="M272" s="173" t="s">
        <v>75</v>
      </c>
      <c r="N272" s="173" t="s">
        <v>74</v>
      </c>
      <c r="O272" s="87">
        <v>62</v>
      </c>
      <c r="P272" s="173" t="s">
        <v>27</v>
      </c>
      <c r="Q272" s="1" t="s">
        <v>1343</v>
      </c>
      <c r="R272" s="175">
        <v>5</v>
      </c>
      <c r="S272">
        <v>5</v>
      </c>
    </row>
    <row r="273" spans="1:19" x14ac:dyDescent="0.25">
      <c r="A273" s="87">
        <v>2019</v>
      </c>
      <c r="B273" s="87">
        <v>7</v>
      </c>
      <c r="C273" s="173" t="s">
        <v>16</v>
      </c>
      <c r="D273" s="173" t="s">
        <v>17</v>
      </c>
      <c r="E273" s="173" t="s">
        <v>18</v>
      </c>
      <c r="F273" s="173" t="s">
        <v>16</v>
      </c>
      <c r="G273" s="87" t="b">
        <v>1</v>
      </c>
      <c r="H273" s="87" t="b">
        <v>0</v>
      </c>
      <c r="I273" s="87" t="b">
        <v>0</v>
      </c>
      <c r="J273" s="173" t="s">
        <v>455</v>
      </c>
      <c r="K273" s="174">
        <v>15194004000125</v>
      </c>
      <c r="L273" s="173" t="s">
        <v>895</v>
      </c>
      <c r="M273" s="173" t="s">
        <v>75</v>
      </c>
      <c r="N273" s="173" t="s">
        <v>74</v>
      </c>
      <c r="O273" s="87">
        <v>64</v>
      </c>
      <c r="P273" s="173" t="s">
        <v>25</v>
      </c>
      <c r="Q273" s="1" t="s">
        <v>1344</v>
      </c>
      <c r="R273" s="175">
        <v>2</v>
      </c>
      <c r="S273">
        <v>2</v>
      </c>
    </row>
    <row r="274" spans="1:19" x14ac:dyDescent="0.25">
      <c r="A274" s="87">
        <v>2019</v>
      </c>
      <c r="B274" s="87">
        <v>7</v>
      </c>
      <c r="C274" s="173" t="s">
        <v>16</v>
      </c>
      <c r="D274" s="173" t="s">
        <v>17</v>
      </c>
      <c r="E274" s="173" t="s">
        <v>18</v>
      </c>
      <c r="F274" s="173" t="s">
        <v>16</v>
      </c>
      <c r="G274" s="87" t="b">
        <v>1</v>
      </c>
      <c r="H274" s="87" t="b">
        <v>0</v>
      </c>
      <c r="I274" s="87" t="b">
        <v>0</v>
      </c>
      <c r="J274" s="173" t="s">
        <v>460</v>
      </c>
      <c r="K274" s="174">
        <v>15242761000127</v>
      </c>
      <c r="L274" s="173" t="s">
        <v>896</v>
      </c>
      <c r="M274" s="173" t="s">
        <v>75</v>
      </c>
      <c r="N274" s="173" t="s">
        <v>74</v>
      </c>
      <c r="O274" s="87">
        <v>70</v>
      </c>
      <c r="P274" s="173" t="s">
        <v>20</v>
      </c>
      <c r="Q274" s="1" t="s">
        <v>1338</v>
      </c>
      <c r="R274" s="175">
        <v>100</v>
      </c>
      <c r="S274">
        <v>20</v>
      </c>
    </row>
    <row r="275" spans="1:19" x14ac:dyDescent="0.25">
      <c r="A275" s="87">
        <v>2019</v>
      </c>
      <c r="B275" s="87">
        <v>7</v>
      </c>
      <c r="C275" s="173" t="s">
        <v>16</v>
      </c>
      <c r="D275" s="173" t="s">
        <v>17</v>
      </c>
      <c r="E275" s="173" t="s">
        <v>18</v>
      </c>
      <c r="F275" s="173" t="s">
        <v>16</v>
      </c>
      <c r="G275" s="87" t="b">
        <v>1</v>
      </c>
      <c r="H275" s="87" t="b">
        <v>0</v>
      </c>
      <c r="I275" s="87" t="b">
        <v>0</v>
      </c>
      <c r="J275" s="173" t="s">
        <v>460</v>
      </c>
      <c r="K275" s="174">
        <v>15242761000127</v>
      </c>
      <c r="L275" s="173" t="s">
        <v>896</v>
      </c>
      <c r="M275" s="173" t="s">
        <v>75</v>
      </c>
      <c r="N275" s="173" t="s">
        <v>74</v>
      </c>
      <c r="O275" s="87">
        <v>73</v>
      </c>
      <c r="P275" s="173" t="s">
        <v>26</v>
      </c>
      <c r="Q275" s="1" t="s">
        <v>1342</v>
      </c>
      <c r="R275" s="175">
        <v>100</v>
      </c>
      <c r="S275">
        <v>25</v>
      </c>
    </row>
    <row r="276" spans="1:19" x14ac:dyDescent="0.25">
      <c r="A276" s="87">
        <v>2019</v>
      </c>
      <c r="B276" s="87">
        <v>7</v>
      </c>
      <c r="C276" s="173" t="s">
        <v>16</v>
      </c>
      <c r="D276" s="173" t="s">
        <v>17</v>
      </c>
      <c r="E276" s="173" t="s">
        <v>18</v>
      </c>
      <c r="F276" s="173" t="s">
        <v>16</v>
      </c>
      <c r="G276" s="87" t="b">
        <v>1</v>
      </c>
      <c r="H276" s="87" t="b">
        <v>0</v>
      </c>
      <c r="I276" s="87" t="b">
        <v>0</v>
      </c>
      <c r="J276" s="173" t="s">
        <v>460</v>
      </c>
      <c r="K276" s="174">
        <v>15242761000127</v>
      </c>
      <c r="L276" s="173" t="s">
        <v>896</v>
      </c>
      <c r="M276" s="173" t="s">
        <v>75</v>
      </c>
      <c r="N276" s="173" t="s">
        <v>74</v>
      </c>
      <c r="O276" s="87">
        <v>73</v>
      </c>
      <c r="P276" s="173" t="s">
        <v>26</v>
      </c>
      <c r="Q276" s="1" t="s">
        <v>1340</v>
      </c>
      <c r="R276" s="175">
        <v>14</v>
      </c>
      <c r="S276">
        <v>14</v>
      </c>
    </row>
    <row r="277" spans="1:19" x14ac:dyDescent="0.25">
      <c r="A277" s="87">
        <v>2019</v>
      </c>
      <c r="B277" s="87">
        <v>7</v>
      </c>
      <c r="C277" s="173" t="s">
        <v>16</v>
      </c>
      <c r="D277" s="173" t="s">
        <v>17</v>
      </c>
      <c r="E277" s="173" t="s">
        <v>18</v>
      </c>
      <c r="F277" s="173" t="s">
        <v>16</v>
      </c>
      <c r="G277" s="87" t="b">
        <v>1</v>
      </c>
      <c r="H277" s="87" t="b">
        <v>0</v>
      </c>
      <c r="I277" s="87" t="b">
        <v>0</v>
      </c>
      <c r="J277" s="173" t="s">
        <v>472</v>
      </c>
      <c r="K277" s="174">
        <v>15592785000106</v>
      </c>
      <c r="L277" s="173" t="s">
        <v>897</v>
      </c>
      <c r="M277" s="173" t="s">
        <v>84</v>
      </c>
      <c r="N277" s="173" t="s">
        <v>85</v>
      </c>
      <c r="O277" s="87">
        <v>70</v>
      </c>
      <c r="P277" s="173" t="s">
        <v>20</v>
      </c>
      <c r="Q277" s="1" t="s">
        <v>1338</v>
      </c>
      <c r="R277" s="175">
        <v>100</v>
      </c>
      <c r="S277">
        <v>20</v>
      </c>
    </row>
    <row r="278" spans="1:19" x14ac:dyDescent="0.25">
      <c r="A278" s="87">
        <v>2019</v>
      </c>
      <c r="B278" s="87">
        <v>7</v>
      </c>
      <c r="C278" s="173" t="s">
        <v>16</v>
      </c>
      <c r="D278" s="173" t="s">
        <v>17</v>
      </c>
      <c r="E278" s="173" t="s">
        <v>18</v>
      </c>
      <c r="F278" s="173" t="s">
        <v>16</v>
      </c>
      <c r="G278" s="87" t="b">
        <v>1</v>
      </c>
      <c r="H278" s="87" t="b">
        <v>0</v>
      </c>
      <c r="I278" s="87" t="b">
        <v>0</v>
      </c>
      <c r="J278" s="173" t="s">
        <v>450</v>
      </c>
      <c r="K278" s="174">
        <v>16676520000159</v>
      </c>
      <c r="L278" s="173" t="s">
        <v>1168</v>
      </c>
      <c r="M278" s="173" t="s">
        <v>58</v>
      </c>
      <c r="N278" s="173" t="s">
        <v>54</v>
      </c>
      <c r="O278" s="87">
        <v>66</v>
      </c>
      <c r="P278" s="173" t="s">
        <v>28</v>
      </c>
      <c r="Q278" s="1" t="s">
        <v>1341</v>
      </c>
      <c r="R278" s="175">
        <v>2</v>
      </c>
      <c r="S278">
        <v>2</v>
      </c>
    </row>
    <row r="279" spans="1:19" x14ac:dyDescent="0.25">
      <c r="A279" s="87">
        <v>2019</v>
      </c>
      <c r="B279" s="87">
        <v>7</v>
      </c>
      <c r="C279" s="173" t="s">
        <v>16</v>
      </c>
      <c r="D279" s="173" t="s">
        <v>17</v>
      </c>
      <c r="E279" s="173" t="s">
        <v>18</v>
      </c>
      <c r="F279" s="173" t="s">
        <v>16</v>
      </c>
      <c r="G279" s="87" t="b">
        <v>1</v>
      </c>
      <c r="H279" s="87" t="b">
        <v>0</v>
      </c>
      <c r="I279" s="87" t="b">
        <v>0</v>
      </c>
      <c r="J279" s="173" t="s">
        <v>468</v>
      </c>
      <c r="K279" s="174">
        <v>16739984000167</v>
      </c>
      <c r="L279" s="173" t="s">
        <v>900</v>
      </c>
      <c r="M279" s="173" t="s">
        <v>739</v>
      </c>
      <c r="N279" s="173" t="s">
        <v>55</v>
      </c>
      <c r="O279" s="87">
        <v>73</v>
      </c>
      <c r="P279" s="173" t="s">
        <v>26</v>
      </c>
      <c r="Q279" s="1" t="s">
        <v>1339</v>
      </c>
      <c r="R279" s="175">
        <v>20</v>
      </c>
      <c r="S279">
        <v>10</v>
      </c>
    </row>
    <row r="280" spans="1:19" x14ac:dyDescent="0.25">
      <c r="A280" s="87">
        <v>2019</v>
      </c>
      <c r="B280" s="87">
        <v>7</v>
      </c>
      <c r="C280" s="173" t="s">
        <v>16</v>
      </c>
      <c r="D280" s="173" t="s">
        <v>17</v>
      </c>
      <c r="E280" s="173" t="s">
        <v>18</v>
      </c>
      <c r="F280" s="173" t="s">
        <v>16</v>
      </c>
      <c r="G280" s="87" t="b">
        <v>1</v>
      </c>
      <c r="H280" s="87" t="b">
        <v>0</v>
      </c>
      <c r="I280" s="87" t="b">
        <v>0</v>
      </c>
      <c r="J280" s="173" t="s">
        <v>468</v>
      </c>
      <c r="K280" s="174">
        <v>16739984000167</v>
      </c>
      <c r="L280" s="173" t="s">
        <v>900</v>
      </c>
      <c r="M280" s="173" t="s">
        <v>739</v>
      </c>
      <c r="N280" s="173" t="s">
        <v>55</v>
      </c>
      <c r="O280" s="87">
        <v>73</v>
      </c>
      <c r="P280" s="173" t="s">
        <v>26</v>
      </c>
      <c r="Q280" s="1" t="s">
        <v>1342</v>
      </c>
      <c r="R280" s="175">
        <v>16</v>
      </c>
      <c r="S280">
        <v>4</v>
      </c>
    </row>
    <row r="281" spans="1:19" x14ac:dyDescent="0.25">
      <c r="A281" s="87">
        <v>2019</v>
      </c>
      <c r="B281" s="87">
        <v>7</v>
      </c>
      <c r="C281" s="173" t="s">
        <v>16</v>
      </c>
      <c r="D281" s="173" t="s">
        <v>17</v>
      </c>
      <c r="E281" s="173" t="s">
        <v>18</v>
      </c>
      <c r="F281" s="173" t="s">
        <v>16</v>
      </c>
      <c r="G281" s="87" t="b">
        <v>1</v>
      </c>
      <c r="H281" s="87" t="b">
        <v>0</v>
      </c>
      <c r="I281" s="87" t="b">
        <v>0</v>
      </c>
      <c r="J281" s="173" t="s">
        <v>468</v>
      </c>
      <c r="K281" s="174">
        <v>16739984000167</v>
      </c>
      <c r="L281" s="173" t="s">
        <v>900</v>
      </c>
      <c r="M281" s="173" t="s">
        <v>739</v>
      </c>
      <c r="N281" s="173" t="s">
        <v>55</v>
      </c>
      <c r="O281" s="87">
        <v>73</v>
      </c>
      <c r="P281" s="173" t="s">
        <v>26</v>
      </c>
      <c r="Q281" s="1" t="s">
        <v>1340</v>
      </c>
      <c r="R281" s="175">
        <v>5</v>
      </c>
      <c r="S281">
        <v>5</v>
      </c>
    </row>
    <row r="282" spans="1:19" x14ac:dyDescent="0.25">
      <c r="A282" s="87">
        <v>2019</v>
      </c>
      <c r="B282" s="87">
        <v>7</v>
      </c>
      <c r="C282" s="173" t="s">
        <v>16</v>
      </c>
      <c r="D282" s="173" t="s">
        <v>17</v>
      </c>
      <c r="E282" s="173" t="s">
        <v>18</v>
      </c>
      <c r="F282" s="173" t="s">
        <v>16</v>
      </c>
      <c r="G282" s="87" t="b">
        <v>1</v>
      </c>
      <c r="H282" s="87" t="b">
        <v>0</v>
      </c>
      <c r="I282" s="87" t="b">
        <v>0</v>
      </c>
      <c r="J282" s="173" t="s">
        <v>449</v>
      </c>
      <c r="K282" s="174">
        <v>17034086000176</v>
      </c>
      <c r="L282" s="173" t="s">
        <v>968</v>
      </c>
      <c r="M282" s="173" t="s">
        <v>969</v>
      </c>
      <c r="N282" s="173" t="s">
        <v>68</v>
      </c>
      <c r="O282" s="87">
        <v>64</v>
      </c>
      <c r="P282" s="173" t="s">
        <v>25</v>
      </c>
      <c r="Q282" s="1" t="s">
        <v>1344</v>
      </c>
      <c r="R282" s="175">
        <v>5</v>
      </c>
      <c r="S282">
        <v>5</v>
      </c>
    </row>
    <row r="283" spans="1:19" x14ac:dyDescent="0.25">
      <c r="A283" s="87">
        <v>2019</v>
      </c>
      <c r="B283" s="87">
        <v>7</v>
      </c>
      <c r="C283" s="173" t="s">
        <v>16</v>
      </c>
      <c r="D283" s="173" t="s">
        <v>17</v>
      </c>
      <c r="E283" s="173" t="s">
        <v>18</v>
      </c>
      <c r="F283" s="173" t="s">
        <v>16</v>
      </c>
      <c r="G283" s="87" t="b">
        <v>1</v>
      </c>
      <c r="H283" s="87" t="b">
        <v>0</v>
      </c>
      <c r="I283" s="87" t="b">
        <v>0</v>
      </c>
      <c r="J283" s="173" t="s">
        <v>470</v>
      </c>
      <c r="K283" s="174">
        <v>17087591000189</v>
      </c>
      <c r="L283" s="173" t="s">
        <v>1170</v>
      </c>
      <c r="M283" s="173" t="s">
        <v>1171</v>
      </c>
      <c r="N283" s="173" t="s">
        <v>54</v>
      </c>
      <c r="O283" s="87">
        <v>62</v>
      </c>
      <c r="P283" s="173" t="s">
        <v>27</v>
      </c>
      <c r="Q283" s="1" t="s">
        <v>1343</v>
      </c>
      <c r="R283" s="175">
        <v>5</v>
      </c>
      <c r="S283">
        <v>5</v>
      </c>
    </row>
    <row r="284" spans="1:19" x14ac:dyDescent="0.25">
      <c r="A284" s="87">
        <v>2019</v>
      </c>
      <c r="B284" s="87">
        <v>7</v>
      </c>
      <c r="C284" s="173" t="s">
        <v>16</v>
      </c>
      <c r="D284" s="173" t="s">
        <v>17</v>
      </c>
      <c r="E284" s="173" t="s">
        <v>18</v>
      </c>
      <c r="F284" s="173" t="s">
        <v>16</v>
      </c>
      <c r="G284" s="87" t="b">
        <v>1</v>
      </c>
      <c r="H284" s="87" t="b">
        <v>0</v>
      </c>
      <c r="I284" s="87" t="b">
        <v>0</v>
      </c>
      <c r="J284" s="173" t="s">
        <v>477</v>
      </c>
      <c r="K284" s="174">
        <v>17087591000189</v>
      </c>
      <c r="L284" s="173" t="s">
        <v>1170</v>
      </c>
      <c r="M284" s="173" t="s">
        <v>1171</v>
      </c>
      <c r="N284" s="173" t="s">
        <v>54</v>
      </c>
      <c r="O284" s="87">
        <v>62</v>
      </c>
      <c r="P284" s="173" t="s">
        <v>27</v>
      </c>
      <c r="Q284" s="1" t="s">
        <v>1343</v>
      </c>
      <c r="R284" s="175">
        <v>2</v>
      </c>
      <c r="S284">
        <v>2</v>
      </c>
    </row>
    <row r="285" spans="1:19" x14ac:dyDescent="0.25">
      <c r="A285" s="87">
        <v>2019</v>
      </c>
      <c r="B285" s="87">
        <v>7</v>
      </c>
      <c r="C285" s="173" t="s">
        <v>16</v>
      </c>
      <c r="D285" s="173" t="s">
        <v>17</v>
      </c>
      <c r="E285" s="173" t="s">
        <v>18</v>
      </c>
      <c r="F285" s="173" t="s">
        <v>16</v>
      </c>
      <c r="G285" s="87" t="b">
        <v>1</v>
      </c>
      <c r="H285" s="87" t="b">
        <v>0</v>
      </c>
      <c r="I285" s="87" t="b">
        <v>0</v>
      </c>
      <c r="J285" s="173" t="s">
        <v>464</v>
      </c>
      <c r="K285" s="174">
        <v>17214149000176</v>
      </c>
      <c r="L285" s="173" t="s">
        <v>1172</v>
      </c>
      <c r="M285" s="173" t="s">
        <v>58</v>
      </c>
      <c r="N285" s="173" t="s">
        <v>54</v>
      </c>
      <c r="O285" s="87">
        <v>62</v>
      </c>
      <c r="P285" s="173" t="s">
        <v>27</v>
      </c>
      <c r="Q285" s="1" t="s">
        <v>1343</v>
      </c>
      <c r="R285" s="175">
        <v>10</v>
      </c>
      <c r="S285">
        <v>10</v>
      </c>
    </row>
    <row r="286" spans="1:19" x14ac:dyDescent="0.25">
      <c r="A286" s="87">
        <v>2019</v>
      </c>
      <c r="B286" s="87">
        <v>7</v>
      </c>
      <c r="C286" s="173" t="s">
        <v>16</v>
      </c>
      <c r="D286" s="173" t="s">
        <v>17</v>
      </c>
      <c r="E286" s="173" t="s">
        <v>18</v>
      </c>
      <c r="F286" s="173" t="s">
        <v>16</v>
      </c>
      <c r="G286" s="87" t="b">
        <v>1</v>
      </c>
      <c r="H286" s="87" t="b">
        <v>0</v>
      </c>
      <c r="I286" s="87" t="b">
        <v>0</v>
      </c>
      <c r="J286" s="173" t="s">
        <v>478</v>
      </c>
      <c r="K286" s="174">
        <v>17689407000928</v>
      </c>
      <c r="L286" s="173" t="s">
        <v>1174</v>
      </c>
      <c r="M286" s="173" t="s">
        <v>88</v>
      </c>
      <c r="N286" s="173" t="s">
        <v>54</v>
      </c>
      <c r="O286" s="87">
        <v>73</v>
      </c>
      <c r="P286" s="173" t="s">
        <v>26</v>
      </c>
      <c r="Q286" s="1" t="s">
        <v>1340</v>
      </c>
      <c r="R286" s="175">
        <v>4</v>
      </c>
      <c r="S286">
        <v>4</v>
      </c>
    </row>
    <row r="287" spans="1:19" x14ac:dyDescent="0.25">
      <c r="A287" s="87">
        <v>2019</v>
      </c>
      <c r="B287" s="87">
        <v>7</v>
      </c>
      <c r="C287" s="173" t="s">
        <v>16</v>
      </c>
      <c r="D287" s="173" t="s">
        <v>17</v>
      </c>
      <c r="E287" s="173" t="s">
        <v>18</v>
      </c>
      <c r="F287" s="173" t="s">
        <v>16</v>
      </c>
      <c r="G287" s="87" t="b">
        <v>1</v>
      </c>
      <c r="H287" s="87" t="b">
        <v>0</v>
      </c>
      <c r="I287" s="87" t="b">
        <v>0</v>
      </c>
      <c r="J287" s="173" t="s">
        <v>477</v>
      </c>
      <c r="K287" s="174">
        <v>18010750000100</v>
      </c>
      <c r="L287" s="173" t="s">
        <v>1092</v>
      </c>
      <c r="M287" s="173" t="s">
        <v>131</v>
      </c>
      <c r="N287" s="173" t="s">
        <v>61</v>
      </c>
      <c r="O287" s="87">
        <v>70</v>
      </c>
      <c r="P287" s="173" t="s">
        <v>20</v>
      </c>
      <c r="Q287" s="1" t="s">
        <v>1345</v>
      </c>
      <c r="R287" s="175">
        <v>150</v>
      </c>
      <c r="S287">
        <v>15</v>
      </c>
    </row>
    <row r="288" spans="1:19" x14ac:dyDescent="0.25">
      <c r="A288" s="87">
        <v>2019</v>
      </c>
      <c r="B288" s="87">
        <v>7</v>
      </c>
      <c r="C288" s="173" t="s">
        <v>16</v>
      </c>
      <c r="D288" s="173" t="s">
        <v>17</v>
      </c>
      <c r="E288" s="173" t="s">
        <v>18</v>
      </c>
      <c r="F288" s="173" t="s">
        <v>16</v>
      </c>
      <c r="G288" s="87" t="b">
        <v>1</v>
      </c>
      <c r="H288" s="87" t="b">
        <v>0</v>
      </c>
      <c r="I288" s="87" t="b">
        <v>0</v>
      </c>
      <c r="J288" s="173" t="s">
        <v>463</v>
      </c>
      <c r="K288" s="174">
        <v>18180008000142</v>
      </c>
      <c r="L288" s="173" t="s">
        <v>585</v>
      </c>
      <c r="M288" s="173" t="s">
        <v>29</v>
      </c>
      <c r="N288" s="173" t="s">
        <v>19</v>
      </c>
      <c r="O288" s="87">
        <v>64</v>
      </c>
      <c r="P288" s="173" t="s">
        <v>25</v>
      </c>
      <c r="Q288" s="1" t="s">
        <v>1344</v>
      </c>
      <c r="R288" s="175">
        <v>2</v>
      </c>
      <c r="S288">
        <v>2</v>
      </c>
    </row>
    <row r="289" spans="1:19" x14ac:dyDescent="0.25">
      <c r="A289" s="87">
        <v>2019</v>
      </c>
      <c r="B289" s="87">
        <v>7</v>
      </c>
      <c r="C289" s="173" t="s">
        <v>16</v>
      </c>
      <c r="D289" s="173" t="s">
        <v>17</v>
      </c>
      <c r="E289" s="173" t="s">
        <v>18</v>
      </c>
      <c r="F289" s="173" t="s">
        <v>16</v>
      </c>
      <c r="G289" s="87" t="b">
        <v>1</v>
      </c>
      <c r="H289" s="87" t="b">
        <v>0</v>
      </c>
      <c r="I289" s="87" t="b">
        <v>0</v>
      </c>
      <c r="J289" s="173" t="s">
        <v>450</v>
      </c>
      <c r="K289" s="174">
        <v>18321477000134</v>
      </c>
      <c r="L289" s="173" t="s">
        <v>664</v>
      </c>
      <c r="M289" s="173" t="s">
        <v>650</v>
      </c>
      <c r="N289" s="173" t="s">
        <v>19</v>
      </c>
      <c r="O289" s="87">
        <v>73</v>
      </c>
      <c r="P289" s="173" t="s">
        <v>26</v>
      </c>
      <c r="Q289" s="1" t="s">
        <v>1342</v>
      </c>
      <c r="R289" s="175">
        <v>48</v>
      </c>
      <c r="S289">
        <v>12</v>
      </c>
    </row>
    <row r="290" spans="1:19" x14ac:dyDescent="0.25">
      <c r="A290" s="87">
        <v>2019</v>
      </c>
      <c r="B290" s="87">
        <v>7</v>
      </c>
      <c r="C290" s="173" t="s">
        <v>16</v>
      </c>
      <c r="D290" s="173" t="s">
        <v>17</v>
      </c>
      <c r="E290" s="173" t="s">
        <v>18</v>
      </c>
      <c r="F290" s="173" t="s">
        <v>16</v>
      </c>
      <c r="G290" s="87" t="b">
        <v>1</v>
      </c>
      <c r="H290" s="87" t="b">
        <v>0</v>
      </c>
      <c r="I290" s="87" t="b">
        <v>0</v>
      </c>
      <c r="J290" s="173" t="s">
        <v>450</v>
      </c>
      <c r="K290" s="174">
        <v>18484378000173</v>
      </c>
      <c r="L290" s="173" t="s">
        <v>1176</v>
      </c>
      <c r="M290" s="173" t="s">
        <v>1171</v>
      </c>
      <c r="N290" s="173" t="s">
        <v>54</v>
      </c>
      <c r="O290" s="87">
        <v>62</v>
      </c>
      <c r="P290" s="173" t="s">
        <v>27</v>
      </c>
      <c r="Q290" s="1" t="s">
        <v>1343</v>
      </c>
      <c r="R290" s="175">
        <v>1</v>
      </c>
      <c r="S290">
        <v>1</v>
      </c>
    </row>
    <row r="291" spans="1:19" x14ac:dyDescent="0.25">
      <c r="A291" s="87">
        <v>2019</v>
      </c>
      <c r="B291" s="87">
        <v>7</v>
      </c>
      <c r="C291" s="173" t="s">
        <v>16</v>
      </c>
      <c r="D291" s="173" t="s">
        <v>17</v>
      </c>
      <c r="E291" s="173" t="s">
        <v>18</v>
      </c>
      <c r="F291" s="173" t="s">
        <v>16</v>
      </c>
      <c r="G291" s="87" t="b">
        <v>1</v>
      </c>
      <c r="H291" s="87" t="b">
        <v>0</v>
      </c>
      <c r="I291" s="87" t="b">
        <v>0</v>
      </c>
      <c r="J291" s="173" t="s">
        <v>464</v>
      </c>
      <c r="K291" s="174">
        <v>18484378000173</v>
      </c>
      <c r="L291" s="173" t="s">
        <v>1176</v>
      </c>
      <c r="M291" s="173" t="s">
        <v>1171</v>
      </c>
      <c r="N291" s="173" t="s">
        <v>54</v>
      </c>
      <c r="O291" s="87">
        <v>62</v>
      </c>
      <c r="P291" s="173" t="s">
        <v>27</v>
      </c>
      <c r="Q291" s="1" t="s">
        <v>1343</v>
      </c>
      <c r="R291" s="175">
        <v>2</v>
      </c>
      <c r="S291">
        <v>2</v>
      </c>
    </row>
    <row r="292" spans="1:19" x14ac:dyDescent="0.25">
      <c r="A292" s="87">
        <v>2019</v>
      </c>
      <c r="B292" s="87">
        <v>7</v>
      </c>
      <c r="C292" s="173" t="s">
        <v>16</v>
      </c>
      <c r="D292" s="173" t="s">
        <v>17</v>
      </c>
      <c r="E292" s="173" t="s">
        <v>18</v>
      </c>
      <c r="F292" s="173" t="s">
        <v>16</v>
      </c>
      <c r="G292" s="87" t="b">
        <v>1</v>
      </c>
      <c r="H292" s="87" t="b">
        <v>0</v>
      </c>
      <c r="I292" s="87" t="b">
        <v>0</v>
      </c>
      <c r="J292" s="173" t="s">
        <v>450</v>
      </c>
      <c r="K292" s="174">
        <v>19803199000114</v>
      </c>
      <c r="L292" s="173" t="s">
        <v>587</v>
      </c>
      <c r="M292" s="173" t="s">
        <v>29</v>
      </c>
      <c r="N292" s="173" t="s">
        <v>19</v>
      </c>
      <c r="O292" s="87">
        <v>62</v>
      </c>
      <c r="P292" s="173" t="s">
        <v>27</v>
      </c>
      <c r="Q292" s="1" t="s">
        <v>1343</v>
      </c>
      <c r="R292" s="175">
        <v>1</v>
      </c>
      <c r="S292">
        <v>1</v>
      </c>
    </row>
    <row r="293" spans="1:19" x14ac:dyDescent="0.25">
      <c r="A293" s="87">
        <v>2019</v>
      </c>
      <c r="B293" s="87">
        <v>7</v>
      </c>
      <c r="C293" s="173" t="s">
        <v>16</v>
      </c>
      <c r="D293" s="173" t="s">
        <v>17</v>
      </c>
      <c r="E293" s="173" t="s">
        <v>18</v>
      </c>
      <c r="F293" s="173" t="s">
        <v>16</v>
      </c>
      <c r="G293" s="87" t="b">
        <v>1</v>
      </c>
      <c r="H293" s="87" t="b">
        <v>0</v>
      </c>
      <c r="I293" s="87" t="b">
        <v>0</v>
      </c>
      <c r="J293" s="173" t="s">
        <v>463</v>
      </c>
      <c r="K293" s="174">
        <v>19803199000114</v>
      </c>
      <c r="L293" s="173" t="s">
        <v>587</v>
      </c>
      <c r="M293" s="173" t="s">
        <v>29</v>
      </c>
      <c r="N293" s="173" t="s">
        <v>19</v>
      </c>
      <c r="O293" s="87">
        <v>70</v>
      </c>
      <c r="P293" s="173" t="s">
        <v>20</v>
      </c>
      <c r="Q293" s="1" t="s">
        <v>1338</v>
      </c>
      <c r="R293" s="175">
        <v>50</v>
      </c>
      <c r="S293">
        <v>10</v>
      </c>
    </row>
    <row r="294" spans="1:19" x14ac:dyDescent="0.25">
      <c r="A294" s="87">
        <v>2019</v>
      </c>
      <c r="B294" s="87">
        <v>7</v>
      </c>
      <c r="C294" s="173" t="s">
        <v>16</v>
      </c>
      <c r="D294" s="173" t="s">
        <v>17</v>
      </c>
      <c r="E294" s="173" t="s">
        <v>18</v>
      </c>
      <c r="F294" s="173" t="s">
        <v>16</v>
      </c>
      <c r="G294" s="87" t="b">
        <v>1</v>
      </c>
      <c r="H294" s="87" t="b">
        <v>0</v>
      </c>
      <c r="I294" s="87" t="b">
        <v>0</v>
      </c>
      <c r="J294" s="173" t="s">
        <v>470</v>
      </c>
      <c r="K294" s="174">
        <v>19878404000100</v>
      </c>
      <c r="L294" s="173" t="s">
        <v>1184</v>
      </c>
      <c r="M294" s="173" t="s">
        <v>89</v>
      </c>
      <c r="N294" s="173" t="s">
        <v>54</v>
      </c>
      <c r="O294" s="87">
        <v>73</v>
      </c>
      <c r="P294" s="173" t="s">
        <v>26</v>
      </c>
      <c r="Q294" s="1" t="s">
        <v>1342</v>
      </c>
      <c r="R294" s="175">
        <v>120</v>
      </c>
      <c r="S294">
        <v>30</v>
      </c>
    </row>
    <row r="295" spans="1:19" x14ac:dyDescent="0.25">
      <c r="A295" s="87">
        <v>2019</v>
      </c>
      <c r="B295" s="87">
        <v>7</v>
      </c>
      <c r="C295" s="173" t="s">
        <v>16</v>
      </c>
      <c r="D295" s="173" t="s">
        <v>17</v>
      </c>
      <c r="E295" s="173" t="s">
        <v>18</v>
      </c>
      <c r="F295" s="173" t="s">
        <v>16</v>
      </c>
      <c r="G295" s="87" t="b">
        <v>1</v>
      </c>
      <c r="H295" s="87" t="b">
        <v>0</v>
      </c>
      <c r="I295" s="87" t="b">
        <v>0</v>
      </c>
      <c r="J295" s="173" t="s">
        <v>470</v>
      </c>
      <c r="K295" s="174">
        <v>20150900000122</v>
      </c>
      <c r="L295" s="173" t="s">
        <v>1185</v>
      </c>
      <c r="M295" s="173" t="s">
        <v>1171</v>
      </c>
      <c r="N295" s="173" t="s">
        <v>54</v>
      </c>
      <c r="O295" s="87">
        <v>73</v>
      </c>
      <c r="P295" s="173" t="s">
        <v>26</v>
      </c>
      <c r="Q295" s="1" t="s">
        <v>1339</v>
      </c>
      <c r="R295" s="175">
        <v>2</v>
      </c>
      <c r="S295">
        <v>1</v>
      </c>
    </row>
    <row r="296" spans="1:19" x14ac:dyDescent="0.25">
      <c r="A296" s="87">
        <v>2019</v>
      </c>
      <c r="B296" s="87">
        <v>7</v>
      </c>
      <c r="C296" s="173" t="s">
        <v>16</v>
      </c>
      <c r="D296" s="173" t="s">
        <v>17</v>
      </c>
      <c r="E296" s="173" t="s">
        <v>18</v>
      </c>
      <c r="F296" s="173" t="s">
        <v>16</v>
      </c>
      <c r="G296" s="87" t="b">
        <v>1</v>
      </c>
      <c r="H296" s="87" t="b">
        <v>0</v>
      </c>
      <c r="I296" s="87" t="b">
        <v>0</v>
      </c>
      <c r="J296" s="173" t="s">
        <v>470</v>
      </c>
      <c r="K296" s="174">
        <v>20150900000122</v>
      </c>
      <c r="L296" s="173" t="s">
        <v>1185</v>
      </c>
      <c r="M296" s="173" t="s">
        <v>1171</v>
      </c>
      <c r="N296" s="173" t="s">
        <v>54</v>
      </c>
      <c r="O296" s="87">
        <v>73</v>
      </c>
      <c r="P296" s="173" t="s">
        <v>26</v>
      </c>
      <c r="Q296" s="1" t="s">
        <v>1342</v>
      </c>
      <c r="R296" s="175">
        <v>4</v>
      </c>
      <c r="S296">
        <v>1</v>
      </c>
    </row>
    <row r="297" spans="1:19" x14ac:dyDescent="0.25">
      <c r="A297" s="87">
        <v>2019</v>
      </c>
      <c r="B297" s="87">
        <v>7</v>
      </c>
      <c r="C297" s="173" t="s">
        <v>16</v>
      </c>
      <c r="D297" s="173" t="s">
        <v>17</v>
      </c>
      <c r="E297" s="173" t="s">
        <v>18</v>
      </c>
      <c r="F297" s="173" t="s">
        <v>16</v>
      </c>
      <c r="G297" s="87" t="b">
        <v>1</v>
      </c>
      <c r="H297" s="87" t="b">
        <v>0</v>
      </c>
      <c r="I297" s="87" t="b">
        <v>0</v>
      </c>
      <c r="J297" s="173" t="s">
        <v>470</v>
      </c>
      <c r="K297" s="174">
        <v>20207543000191</v>
      </c>
      <c r="L297" s="173" t="s">
        <v>1186</v>
      </c>
      <c r="M297" s="173" t="s">
        <v>1171</v>
      </c>
      <c r="N297" s="173" t="s">
        <v>54</v>
      </c>
      <c r="O297" s="87">
        <v>70</v>
      </c>
      <c r="P297" s="173" t="s">
        <v>20</v>
      </c>
      <c r="Q297" s="1" t="s">
        <v>1338</v>
      </c>
      <c r="R297" s="175">
        <v>310</v>
      </c>
      <c r="S297">
        <v>62</v>
      </c>
    </row>
    <row r="298" spans="1:19" x14ac:dyDescent="0.25">
      <c r="A298" s="87">
        <v>2019</v>
      </c>
      <c r="B298" s="87">
        <v>7</v>
      </c>
      <c r="C298" s="173" t="s">
        <v>16</v>
      </c>
      <c r="D298" s="173" t="s">
        <v>17</v>
      </c>
      <c r="E298" s="173" t="s">
        <v>18</v>
      </c>
      <c r="F298" s="173" t="s">
        <v>16</v>
      </c>
      <c r="G298" s="87" t="b">
        <v>1</v>
      </c>
      <c r="H298" s="87" t="b">
        <v>0</v>
      </c>
      <c r="I298" s="87" t="b">
        <v>0</v>
      </c>
      <c r="J298" s="173" t="s">
        <v>450</v>
      </c>
      <c r="K298" s="174">
        <v>20812223000241</v>
      </c>
      <c r="L298" s="173" t="s">
        <v>588</v>
      </c>
      <c r="M298" s="173" t="s">
        <v>29</v>
      </c>
      <c r="N298" s="173" t="s">
        <v>19</v>
      </c>
      <c r="O298" s="87">
        <v>73</v>
      </c>
      <c r="P298" s="173" t="s">
        <v>26</v>
      </c>
      <c r="Q298" s="1" t="s">
        <v>1339</v>
      </c>
      <c r="R298" s="175">
        <v>2</v>
      </c>
      <c r="S298">
        <v>1</v>
      </c>
    </row>
    <row r="299" spans="1:19" x14ac:dyDescent="0.25">
      <c r="A299" s="87">
        <v>2019</v>
      </c>
      <c r="B299" s="87">
        <v>7</v>
      </c>
      <c r="C299" s="173" t="s">
        <v>16</v>
      </c>
      <c r="D299" s="173" t="s">
        <v>17</v>
      </c>
      <c r="E299" s="173" t="s">
        <v>18</v>
      </c>
      <c r="F299" s="173" t="s">
        <v>16</v>
      </c>
      <c r="G299" s="87" t="b">
        <v>1</v>
      </c>
      <c r="H299" s="87" t="b">
        <v>0</v>
      </c>
      <c r="I299" s="87" t="b">
        <v>0</v>
      </c>
      <c r="J299" s="173" t="s">
        <v>450</v>
      </c>
      <c r="K299" s="174">
        <v>20812223000241</v>
      </c>
      <c r="L299" s="173" t="s">
        <v>588</v>
      </c>
      <c r="M299" s="173" t="s">
        <v>29</v>
      </c>
      <c r="N299" s="173" t="s">
        <v>19</v>
      </c>
      <c r="O299" s="87">
        <v>73</v>
      </c>
      <c r="P299" s="173" t="s">
        <v>26</v>
      </c>
      <c r="Q299" s="1" t="s">
        <v>1342</v>
      </c>
      <c r="R299" s="175">
        <v>8</v>
      </c>
      <c r="S299">
        <v>2</v>
      </c>
    </row>
    <row r="300" spans="1:19" x14ac:dyDescent="0.25">
      <c r="A300" s="87">
        <v>2019</v>
      </c>
      <c r="B300" s="87">
        <v>7</v>
      </c>
      <c r="C300" s="173" t="s">
        <v>16</v>
      </c>
      <c r="D300" s="173" t="s">
        <v>17</v>
      </c>
      <c r="E300" s="173" t="s">
        <v>18</v>
      </c>
      <c r="F300" s="173" t="s">
        <v>16</v>
      </c>
      <c r="G300" s="87" t="b">
        <v>1</v>
      </c>
      <c r="H300" s="87" t="b">
        <v>0</v>
      </c>
      <c r="I300" s="87" t="b">
        <v>0</v>
      </c>
      <c r="J300" s="173" t="s">
        <v>470</v>
      </c>
      <c r="K300" s="174">
        <v>21040696000311</v>
      </c>
      <c r="L300" s="173" t="s">
        <v>1190</v>
      </c>
      <c r="M300" s="173" t="s">
        <v>1191</v>
      </c>
      <c r="N300" s="173" t="s">
        <v>54</v>
      </c>
      <c r="O300" s="87">
        <v>62</v>
      </c>
      <c r="P300" s="173" t="s">
        <v>27</v>
      </c>
      <c r="Q300" s="1" t="s">
        <v>1343</v>
      </c>
      <c r="R300" s="175">
        <v>2</v>
      </c>
      <c r="S300">
        <v>2</v>
      </c>
    </row>
    <row r="301" spans="1:19" x14ac:dyDescent="0.25">
      <c r="A301" s="87">
        <v>2019</v>
      </c>
      <c r="B301" s="87">
        <v>7</v>
      </c>
      <c r="C301" s="173" t="s">
        <v>16</v>
      </c>
      <c r="D301" s="173" t="s">
        <v>17</v>
      </c>
      <c r="E301" s="173" t="s">
        <v>18</v>
      </c>
      <c r="F301" s="173" t="s">
        <v>16</v>
      </c>
      <c r="G301" s="87" t="b">
        <v>1</v>
      </c>
      <c r="H301" s="87" t="b">
        <v>0</v>
      </c>
      <c r="I301" s="87" t="b">
        <v>0</v>
      </c>
      <c r="J301" s="173" t="s">
        <v>1512</v>
      </c>
      <c r="K301" s="174">
        <v>21109731000140</v>
      </c>
      <c r="L301" s="173" t="s">
        <v>1093</v>
      </c>
      <c r="M301" s="173" t="s">
        <v>131</v>
      </c>
      <c r="N301" s="173" t="s">
        <v>61</v>
      </c>
      <c r="O301" s="87">
        <v>73</v>
      </c>
      <c r="P301" s="173" t="s">
        <v>26</v>
      </c>
      <c r="Q301" s="1" t="s">
        <v>1342</v>
      </c>
      <c r="R301" s="175">
        <v>112</v>
      </c>
      <c r="S301">
        <v>28</v>
      </c>
    </row>
    <row r="302" spans="1:19" x14ac:dyDescent="0.25">
      <c r="A302" s="87">
        <v>2019</v>
      </c>
      <c r="B302" s="87">
        <v>7</v>
      </c>
      <c r="C302" s="173" t="s">
        <v>16</v>
      </c>
      <c r="D302" s="173" t="s">
        <v>17</v>
      </c>
      <c r="E302" s="173" t="s">
        <v>18</v>
      </c>
      <c r="F302" s="173" t="s">
        <v>16</v>
      </c>
      <c r="G302" s="87" t="b">
        <v>1</v>
      </c>
      <c r="H302" s="87" t="b">
        <v>0</v>
      </c>
      <c r="I302" s="87" t="b">
        <v>0</v>
      </c>
      <c r="J302" s="173" t="s">
        <v>470</v>
      </c>
      <c r="K302" s="174">
        <v>21265360000195</v>
      </c>
      <c r="L302" s="173" t="s">
        <v>1094</v>
      </c>
      <c r="M302" s="173" t="s">
        <v>131</v>
      </c>
      <c r="N302" s="173" t="s">
        <v>61</v>
      </c>
      <c r="O302" s="87">
        <v>73</v>
      </c>
      <c r="P302" s="173" t="s">
        <v>26</v>
      </c>
      <c r="Q302" s="1" t="s">
        <v>1342</v>
      </c>
      <c r="R302" s="175">
        <v>16</v>
      </c>
      <c r="S302">
        <v>4</v>
      </c>
    </row>
    <row r="303" spans="1:19" x14ac:dyDescent="0.25">
      <c r="A303" s="87">
        <v>2019</v>
      </c>
      <c r="B303" s="87">
        <v>7</v>
      </c>
      <c r="C303" s="173" t="s">
        <v>16</v>
      </c>
      <c r="D303" s="173" t="s">
        <v>17</v>
      </c>
      <c r="E303" s="173" t="s">
        <v>18</v>
      </c>
      <c r="F303" s="173" t="s">
        <v>16</v>
      </c>
      <c r="G303" s="87" t="b">
        <v>1</v>
      </c>
      <c r="H303" s="87" t="b">
        <v>0</v>
      </c>
      <c r="I303" s="87" t="b">
        <v>0</v>
      </c>
      <c r="J303" s="173" t="s">
        <v>450</v>
      </c>
      <c r="K303" s="174">
        <v>21371777000132</v>
      </c>
      <c r="L303" s="173" t="s">
        <v>589</v>
      </c>
      <c r="M303" s="173" t="s">
        <v>29</v>
      </c>
      <c r="N303" s="173" t="s">
        <v>19</v>
      </c>
      <c r="O303" s="87">
        <v>62</v>
      </c>
      <c r="P303" s="173" t="s">
        <v>27</v>
      </c>
      <c r="Q303" s="1" t="s">
        <v>1343</v>
      </c>
      <c r="R303" s="175">
        <v>8</v>
      </c>
      <c r="S303">
        <v>8</v>
      </c>
    </row>
    <row r="304" spans="1:19" x14ac:dyDescent="0.25">
      <c r="A304" s="87">
        <v>2019</v>
      </c>
      <c r="B304" s="87">
        <v>7</v>
      </c>
      <c r="C304" s="173" t="s">
        <v>16</v>
      </c>
      <c r="D304" s="173" t="s">
        <v>17</v>
      </c>
      <c r="E304" s="173" t="s">
        <v>18</v>
      </c>
      <c r="F304" s="173" t="s">
        <v>16</v>
      </c>
      <c r="G304" s="87" t="b">
        <v>1</v>
      </c>
      <c r="H304" s="87" t="b">
        <v>0</v>
      </c>
      <c r="I304" s="87" t="b">
        <v>0</v>
      </c>
      <c r="J304" s="173" t="s">
        <v>463</v>
      </c>
      <c r="K304" s="174">
        <v>21371777000132</v>
      </c>
      <c r="L304" s="173" t="s">
        <v>589</v>
      </c>
      <c r="M304" s="173" t="s">
        <v>29</v>
      </c>
      <c r="N304" s="173" t="s">
        <v>19</v>
      </c>
      <c r="O304" s="87">
        <v>70</v>
      </c>
      <c r="P304" s="173" t="s">
        <v>20</v>
      </c>
      <c r="Q304" s="1" t="s">
        <v>1338</v>
      </c>
      <c r="R304" s="175">
        <v>175</v>
      </c>
      <c r="S304">
        <v>35</v>
      </c>
    </row>
    <row r="305" spans="1:19" x14ac:dyDescent="0.25">
      <c r="A305" s="87">
        <v>2019</v>
      </c>
      <c r="B305" s="87">
        <v>7</v>
      </c>
      <c r="C305" s="173" t="s">
        <v>16</v>
      </c>
      <c r="D305" s="173" t="s">
        <v>17</v>
      </c>
      <c r="E305" s="173" t="s">
        <v>18</v>
      </c>
      <c r="F305" s="173" t="s">
        <v>16</v>
      </c>
      <c r="G305" s="87" t="b">
        <v>1</v>
      </c>
      <c r="H305" s="87" t="b">
        <v>0</v>
      </c>
      <c r="I305" s="87" t="b">
        <v>0</v>
      </c>
      <c r="J305" s="173" t="s">
        <v>492</v>
      </c>
      <c r="K305" s="174">
        <v>21998635000108</v>
      </c>
      <c r="L305" s="173" t="s">
        <v>971</v>
      </c>
      <c r="M305" s="173" t="s">
        <v>112</v>
      </c>
      <c r="N305" s="173" t="s">
        <v>57</v>
      </c>
      <c r="O305" s="87">
        <v>70</v>
      </c>
      <c r="P305" s="173" t="s">
        <v>20</v>
      </c>
      <c r="Q305" s="1" t="s">
        <v>1338</v>
      </c>
      <c r="R305" s="175">
        <v>20</v>
      </c>
      <c r="S305">
        <v>4</v>
      </c>
    </row>
    <row r="306" spans="1:19" x14ac:dyDescent="0.25">
      <c r="A306" s="87">
        <v>2019</v>
      </c>
      <c r="B306" s="87">
        <v>7</v>
      </c>
      <c r="C306" s="173" t="s">
        <v>16</v>
      </c>
      <c r="D306" s="173" t="s">
        <v>17</v>
      </c>
      <c r="E306" s="173" t="s">
        <v>18</v>
      </c>
      <c r="F306" s="173" t="s">
        <v>16</v>
      </c>
      <c r="G306" s="87" t="b">
        <v>1</v>
      </c>
      <c r="H306" s="87" t="b">
        <v>0</v>
      </c>
      <c r="I306" s="87" t="b">
        <v>0</v>
      </c>
      <c r="J306" s="173" t="s">
        <v>470</v>
      </c>
      <c r="K306" s="174">
        <v>23278898000160</v>
      </c>
      <c r="L306" s="173" t="s">
        <v>1194</v>
      </c>
      <c r="M306" s="173" t="s">
        <v>119</v>
      </c>
      <c r="N306" s="173" t="s">
        <v>54</v>
      </c>
      <c r="O306" s="87">
        <v>70</v>
      </c>
      <c r="P306" s="173" t="s">
        <v>20</v>
      </c>
      <c r="Q306" s="1" t="s">
        <v>1338</v>
      </c>
      <c r="R306" s="175">
        <v>120</v>
      </c>
      <c r="S306">
        <v>24</v>
      </c>
    </row>
    <row r="307" spans="1:19" x14ac:dyDescent="0.25">
      <c r="A307" s="87">
        <v>2019</v>
      </c>
      <c r="B307" s="87">
        <v>7</v>
      </c>
      <c r="C307" s="173" t="s">
        <v>16</v>
      </c>
      <c r="D307" s="173" t="s">
        <v>17</v>
      </c>
      <c r="E307" s="173" t="s">
        <v>18</v>
      </c>
      <c r="F307" s="173" t="s">
        <v>16</v>
      </c>
      <c r="G307" s="87" t="b">
        <v>1</v>
      </c>
      <c r="H307" s="87" t="b">
        <v>0</v>
      </c>
      <c r="I307" s="87" t="b">
        <v>0</v>
      </c>
      <c r="J307" s="173" t="s">
        <v>450</v>
      </c>
      <c r="K307" s="174">
        <v>23338387000196</v>
      </c>
      <c r="L307" s="173" t="s">
        <v>1195</v>
      </c>
      <c r="M307" s="173" t="s">
        <v>90</v>
      </c>
      <c r="N307" s="173" t="s">
        <v>54</v>
      </c>
      <c r="O307" s="87">
        <v>73</v>
      </c>
      <c r="P307" s="173" t="s">
        <v>26</v>
      </c>
      <c r="Q307" s="1" t="s">
        <v>1340</v>
      </c>
      <c r="R307" s="175">
        <v>5</v>
      </c>
      <c r="S307">
        <v>5</v>
      </c>
    </row>
    <row r="308" spans="1:19" x14ac:dyDescent="0.25">
      <c r="A308" s="87">
        <v>2019</v>
      </c>
      <c r="B308" s="87">
        <v>7</v>
      </c>
      <c r="C308" s="173" t="s">
        <v>16</v>
      </c>
      <c r="D308" s="173" t="s">
        <v>17</v>
      </c>
      <c r="E308" s="173" t="s">
        <v>18</v>
      </c>
      <c r="F308" s="173" t="s">
        <v>16</v>
      </c>
      <c r="G308" s="87" t="b">
        <v>1</v>
      </c>
      <c r="H308" s="87" t="b">
        <v>0</v>
      </c>
      <c r="I308" s="87" t="b">
        <v>0</v>
      </c>
      <c r="J308" s="173" t="s">
        <v>463</v>
      </c>
      <c r="K308" s="174">
        <v>23338387000196</v>
      </c>
      <c r="L308" s="173" t="s">
        <v>1195</v>
      </c>
      <c r="M308" s="173" t="s">
        <v>90</v>
      </c>
      <c r="N308" s="173" t="s">
        <v>54</v>
      </c>
      <c r="O308" s="87">
        <v>73</v>
      </c>
      <c r="P308" s="173" t="s">
        <v>26</v>
      </c>
      <c r="Q308" s="1" t="s">
        <v>1340</v>
      </c>
      <c r="R308" s="175">
        <v>5</v>
      </c>
      <c r="S308">
        <v>5</v>
      </c>
    </row>
    <row r="309" spans="1:19" x14ac:dyDescent="0.25">
      <c r="A309" s="87">
        <v>2019</v>
      </c>
      <c r="B309" s="87">
        <v>7</v>
      </c>
      <c r="C309" s="173" t="s">
        <v>16</v>
      </c>
      <c r="D309" s="173" t="s">
        <v>17</v>
      </c>
      <c r="E309" s="173" t="s">
        <v>18</v>
      </c>
      <c r="F309" s="173" t="s">
        <v>16</v>
      </c>
      <c r="G309" s="87" t="b">
        <v>1</v>
      </c>
      <c r="H309" s="87" t="b">
        <v>0</v>
      </c>
      <c r="I309" s="87" t="b">
        <v>0</v>
      </c>
      <c r="J309" s="173" t="s">
        <v>477</v>
      </c>
      <c r="K309" s="174">
        <v>24217779000160</v>
      </c>
      <c r="L309" s="173" t="s">
        <v>1097</v>
      </c>
      <c r="M309" s="173" t="s">
        <v>131</v>
      </c>
      <c r="N309" s="173" t="s">
        <v>61</v>
      </c>
      <c r="O309" s="87">
        <v>64</v>
      </c>
      <c r="P309" s="173" t="s">
        <v>25</v>
      </c>
      <c r="Q309" s="1" t="s">
        <v>1344</v>
      </c>
      <c r="R309" s="175">
        <v>6</v>
      </c>
      <c r="S309">
        <v>6</v>
      </c>
    </row>
    <row r="310" spans="1:19" x14ac:dyDescent="0.25">
      <c r="A310" s="87">
        <v>2019</v>
      </c>
      <c r="B310" s="87">
        <v>7</v>
      </c>
      <c r="C310" s="173" t="s">
        <v>16</v>
      </c>
      <c r="D310" s="173" t="s">
        <v>17</v>
      </c>
      <c r="E310" s="173" t="s">
        <v>18</v>
      </c>
      <c r="F310" s="173" t="s">
        <v>16</v>
      </c>
      <c r="G310" s="87" t="b">
        <v>1</v>
      </c>
      <c r="H310" s="87" t="b">
        <v>0</v>
      </c>
      <c r="I310" s="87" t="b">
        <v>0</v>
      </c>
      <c r="J310" s="173" t="s">
        <v>460</v>
      </c>
      <c r="K310" s="174">
        <v>24232886008303</v>
      </c>
      <c r="L310" s="173" t="s">
        <v>1198</v>
      </c>
      <c r="M310" s="173" t="s">
        <v>1199</v>
      </c>
      <c r="N310" s="173" t="s">
        <v>52</v>
      </c>
      <c r="O310" s="87">
        <v>62</v>
      </c>
      <c r="P310" s="173" t="s">
        <v>27</v>
      </c>
      <c r="Q310" s="1" t="s">
        <v>1343</v>
      </c>
      <c r="R310" s="175">
        <v>3</v>
      </c>
      <c r="S310">
        <v>3</v>
      </c>
    </row>
    <row r="311" spans="1:19" x14ac:dyDescent="0.25">
      <c r="A311" s="87">
        <v>2019</v>
      </c>
      <c r="B311" s="87">
        <v>7</v>
      </c>
      <c r="C311" s="173" t="s">
        <v>16</v>
      </c>
      <c r="D311" s="173" t="s">
        <v>17</v>
      </c>
      <c r="E311" s="173" t="s">
        <v>18</v>
      </c>
      <c r="F311" s="173" t="s">
        <v>16</v>
      </c>
      <c r="G311" s="87" t="b">
        <v>1</v>
      </c>
      <c r="H311" s="87" t="b">
        <v>0</v>
      </c>
      <c r="I311" s="87" t="b">
        <v>0</v>
      </c>
      <c r="J311" s="173" t="s">
        <v>460</v>
      </c>
      <c r="K311" s="174">
        <v>24232886008303</v>
      </c>
      <c r="L311" s="173" t="s">
        <v>1198</v>
      </c>
      <c r="M311" s="173" t="s">
        <v>1199</v>
      </c>
      <c r="N311" s="173" t="s">
        <v>52</v>
      </c>
      <c r="O311" s="87">
        <v>64</v>
      </c>
      <c r="P311" s="173" t="s">
        <v>25</v>
      </c>
      <c r="Q311" s="1" t="s">
        <v>1344</v>
      </c>
      <c r="R311" s="175">
        <v>3</v>
      </c>
      <c r="S311">
        <v>3</v>
      </c>
    </row>
    <row r="312" spans="1:19" x14ac:dyDescent="0.25">
      <c r="A312" s="87">
        <v>2019</v>
      </c>
      <c r="B312" s="87">
        <v>7</v>
      </c>
      <c r="C312" s="173" t="s">
        <v>16</v>
      </c>
      <c r="D312" s="173" t="s">
        <v>17</v>
      </c>
      <c r="E312" s="173" t="s">
        <v>18</v>
      </c>
      <c r="F312" s="173" t="s">
        <v>16</v>
      </c>
      <c r="G312" s="87" t="b">
        <v>1</v>
      </c>
      <c r="H312" s="87" t="b">
        <v>0</v>
      </c>
      <c r="I312" s="87" t="b">
        <v>0</v>
      </c>
      <c r="J312" s="173" t="s">
        <v>1512</v>
      </c>
      <c r="K312" s="174">
        <v>24464109000229</v>
      </c>
      <c r="L312" s="173" t="s">
        <v>905</v>
      </c>
      <c r="M312" s="173" t="s">
        <v>742</v>
      </c>
      <c r="N312" s="173" t="s">
        <v>91</v>
      </c>
      <c r="O312" s="87">
        <v>66</v>
      </c>
      <c r="P312" s="173" t="s">
        <v>28</v>
      </c>
      <c r="Q312" s="1" t="s">
        <v>1341</v>
      </c>
      <c r="R312" s="175">
        <v>50</v>
      </c>
      <c r="S312">
        <v>50</v>
      </c>
    </row>
    <row r="313" spans="1:19" x14ac:dyDescent="0.25">
      <c r="A313" s="87">
        <v>2019</v>
      </c>
      <c r="B313" s="87">
        <v>7</v>
      </c>
      <c r="C313" s="173" t="s">
        <v>16</v>
      </c>
      <c r="D313" s="173" t="s">
        <v>17</v>
      </c>
      <c r="E313" s="173" t="s">
        <v>18</v>
      </c>
      <c r="F313" s="173" t="s">
        <v>16</v>
      </c>
      <c r="G313" s="87" t="b">
        <v>1</v>
      </c>
      <c r="H313" s="87" t="b">
        <v>0</v>
      </c>
      <c r="I313" s="87" t="b">
        <v>0</v>
      </c>
      <c r="J313" s="173" t="s">
        <v>468</v>
      </c>
      <c r="K313" s="174">
        <v>24676884000752</v>
      </c>
      <c r="L313" s="173" t="s">
        <v>906</v>
      </c>
      <c r="M313" s="173" t="s">
        <v>907</v>
      </c>
      <c r="N313" s="173" t="s">
        <v>69</v>
      </c>
      <c r="O313" s="87">
        <v>70</v>
      </c>
      <c r="P313" s="173" t="s">
        <v>20</v>
      </c>
      <c r="Q313" s="1" t="s">
        <v>1338</v>
      </c>
      <c r="R313" s="175">
        <v>25</v>
      </c>
      <c r="S313">
        <v>5</v>
      </c>
    </row>
    <row r="314" spans="1:19" x14ac:dyDescent="0.25">
      <c r="A314" s="87">
        <v>2019</v>
      </c>
      <c r="B314" s="87">
        <v>7</v>
      </c>
      <c r="C314" s="173" t="s">
        <v>16</v>
      </c>
      <c r="D314" s="173" t="s">
        <v>17</v>
      </c>
      <c r="E314" s="173" t="s">
        <v>18</v>
      </c>
      <c r="F314" s="173" t="s">
        <v>16</v>
      </c>
      <c r="G314" s="87" t="b">
        <v>1</v>
      </c>
      <c r="H314" s="87" t="b">
        <v>0</v>
      </c>
      <c r="I314" s="87" t="b">
        <v>0</v>
      </c>
      <c r="J314" s="173" t="s">
        <v>463</v>
      </c>
      <c r="K314" s="174">
        <v>25026561000190</v>
      </c>
      <c r="L314" s="173" t="s">
        <v>666</v>
      </c>
      <c r="M314" s="173" t="s">
        <v>34</v>
      </c>
      <c r="N314" s="173" t="s">
        <v>19</v>
      </c>
      <c r="O314" s="87">
        <v>70</v>
      </c>
      <c r="P314" s="173" t="s">
        <v>20</v>
      </c>
      <c r="Q314" s="1" t="s">
        <v>1338</v>
      </c>
      <c r="R314" s="175">
        <v>25</v>
      </c>
      <c r="S314">
        <v>5</v>
      </c>
    </row>
    <row r="315" spans="1:19" x14ac:dyDescent="0.25">
      <c r="A315" s="87">
        <v>2019</v>
      </c>
      <c r="B315" s="87">
        <v>7</v>
      </c>
      <c r="C315" s="173" t="s">
        <v>16</v>
      </c>
      <c r="D315" s="173" t="s">
        <v>17</v>
      </c>
      <c r="E315" s="173" t="s">
        <v>18</v>
      </c>
      <c r="F315" s="173" t="s">
        <v>16</v>
      </c>
      <c r="G315" s="87" t="b">
        <v>1</v>
      </c>
      <c r="H315" s="87" t="b">
        <v>0</v>
      </c>
      <c r="I315" s="87" t="b">
        <v>0</v>
      </c>
      <c r="J315" s="173" t="s">
        <v>1330</v>
      </c>
      <c r="K315" s="174">
        <v>25648387000207</v>
      </c>
      <c r="L315" s="173" t="s">
        <v>1201</v>
      </c>
      <c r="M315" s="173" t="s">
        <v>1171</v>
      </c>
      <c r="N315" s="173" t="s">
        <v>54</v>
      </c>
      <c r="O315" s="87">
        <v>70</v>
      </c>
      <c r="P315" s="173" t="s">
        <v>20</v>
      </c>
      <c r="Q315" s="1" t="s">
        <v>1338</v>
      </c>
      <c r="R315" s="175">
        <v>400</v>
      </c>
      <c r="S315">
        <v>80</v>
      </c>
    </row>
    <row r="316" spans="1:19" x14ac:dyDescent="0.25">
      <c r="A316" s="87">
        <v>2019</v>
      </c>
      <c r="B316" s="87">
        <v>7</v>
      </c>
      <c r="C316" s="173" t="s">
        <v>16</v>
      </c>
      <c r="D316" s="173" t="s">
        <v>17</v>
      </c>
      <c r="E316" s="173" t="s">
        <v>18</v>
      </c>
      <c r="F316" s="173" t="s">
        <v>16</v>
      </c>
      <c r="G316" s="87" t="b">
        <v>1</v>
      </c>
      <c r="H316" s="87" t="b">
        <v>0</v>
      </c>
      <c r="I316" s="87" t="b">
        <v>0</v>
      </c>
      <c r="J316" s="173" t="s">
        <v>449</v>
      </c>
      <c r="K316" s="174">
        <v>26947257000149</v>
      </c>
      <c r="L316" s="173" t="s">
        <v>973</v>
      </c>
      <c r="M316" s="173" t="s">
        <v>83</v>
      </c>
      <c r="N316" s="173" t="s">
        <v>67</v>
      </c>
      <c r="O316" s="87">
        <v>62</v>
      </c>
      <c r="P316" s="173" t="s">
        <v>27</v>
      </c>
      <c r="Q316" s="1" t="s">
        <v>1343</v>
      </c>
      <c r="R316" s="175">
        <v>6</v>
      </c>
      <c r="S316">
        <v>6</v>
      </c>
    </row>
    <row r="317" spans="1:19" x14ac:dyDescent="0.25">
      <c r="A317" s="87">
        <v>2019</v>
      </c>
      <c r="B317" s="87">
        <v>7</v>
      </c>
      <c r="C317" s="173" t="s">
        <v>16</v>
      </c>
      <c r="D317" s="173" t="s">
        <v>17</v>
      </c>
      <c r="E317" s="173" t="s">
        <v>18</v>
      </c>
      <c r="F317" s="173" t="s">
        <v>16</v>
      </c>
      <c r="G317" s="87" t="b">
        <v>1</v>
      </c>
      <c r="H317" s="87" t="b">
        <v>0</v>
      </c>
      <c r="I317" s="87" t="b">
        <v>0</v>
      </c>
      <c r="J317" s="173" t="s">
        <v>1330</v>
      </c>
      <c r="K317" s="174">
        <v>27080605001591</v>
      </c>
      <c r="L317" s="173" t="s">
        <v>1207</v>
      </c>
      <c r="M317" s="173" t="s">
        <v>97</v>
      </c>
      <c r="N317" s="173" t="s">
        <v>98</v>
      </c>
      <c r="O317" s="87">
        <v>70</v>
      </c>
      <c r="P317" s="173" t="s">
        <v>20</v>
      </c>
      <c r="Q317" s="1" t="s">
        <v>1338</v>
      </c>
      <c r="R317" s="175">
        <v>1000</v>
      </c>
      <c r="S317">
        <v>200</v>
      </c>
    </row>
    <row r="318" spans="1:19" x14ac:dyDescent="0.25">
      <c r="A318" s="87">
        <v>2019</v>
      </c>
      <c r="B318" s="87">
        <v>7</v>
      </c>
      <c r="C318" s="173" t="s">
        <v>16</v>
      </c>
      <c r="D318" s="173" t="s">
        <v>17</v>
      </c>
      <c r="E318" s="173" t="s">
        <v>18</v>
      </c>
      <c r="F318" s="173" t="s">
        <v>16</v>
      </c>
      <c r="G318" s="87" t="b">
        <v>1</v>
      </c>
      <c r="H318" s="87" t="b">
        <v>0</v>
      </c>
      <c r="I318" s="87" t="b">
        <v>0</v>
      </c>
      <c r="J318" s="173" t="s">
        <v>491</v>
      </c>
      <c r="K318" s="174">
        <v>27372066000169</v>
      </c>
      <c r="L318" s="173" t="s">
        <v>908</v>
      </c>
      <c r="M318" s="173" t="s">
        <v>75</v>
      </c>
      <c r="N318" s="173" t="s">
        <v>74</v>
      </c>
      <c r="O318" s="87">
        <v>64</v>
      </c>
      <c r="P318" s="173" t="s">
        <v>25</v>
      </c>
      <c r="Q318" s="1" t="s">
        <v>1344</v>
      </c>
      <c r="R318" s="175">
        <v>17</v>
      </c>
      <c r="S318">
        <v>17</v>
      </c>
    </row>
    <row r="319" spans="1:19" x14ac:dyDescent="0.25">
      <c r="A319" s="87">
        <v>2019</v>
      </c>
      <c r="B319" s="87">
        <v>7</v>
      </c>
      <c r="C319" s="173" t="s">
        <v>16</v>
      </c>
      <c r="D319" s="173" t="s">
        <v>17</v>
      </c>
      <c r="E319" s="173" t="s">
        <v>18</v>
      </c>
      <c r="F319" s="173" t="s">
        <v>16</v>
      </c>
      <c r="G319" s="87" t="b">
        <v>1</v>
      </c>
      <c r="H319" s="87" t="b">
        <v>0</v>
      </c>
      <c r="I319" s="87" t="b">
        <v>0</v>
      </c>
      <c r="J319" s="173" t="s">
        <v>491</v>
      </c>
      <c r="K319" s="174">
        <v>27901222000131</v>
      </c>
      <c r="L319" s="173" t="s">
        <v>1098</v>
      </c>
      <c r="M319" s="173" t="s">
        <v>131</v>
      </c>
      <c r="N319" s="173" t="s">
        <v>61</v>
      </c>
      <c r="O319" s="87">
        <v>62</v>
      </c>
      <c r="P319" s="173" t="s">
        <v>27</v>
      </c>
      <c r="Q319" s="1" t="s">
        <v>1343</v>
      </c>
      <c r="R319" s="175">
        <v>5</v>
      </c>
      <c r="S319">
        <v>5</v>
      </c>
    </row>
    <row r="320" spans="1:19" x14ac:dyDescent="0.25">
      <c r="A320" s="87">
        <v>2019</v>
      </c>
      <c r="B320" s="87">
        <v>7</v>
      </c>
      <c r="C320" s="173" t="s">
        <v>16</v>
      </c>
      <c r="D320" s="173" t="s">
        <v>17</v>
      </c>
      <c r="E320" s="173" t="s">
        <v>18</v>
      </c>
      <c r="F320" s="173" t="s">
        <v>16</v>
      </c>
      <c r="G320" s="87" t="b">
        <v>1</v>
      </c>
      <c r="H320" s="87" t="b">
        <v>0</v>
      </c>
      <c r="I320" s="87" t="b">
        <v>0</v>
      </c>
      <c r="J320" s="173" t="s">
        <v>468</v>
      </c>
      <c r="K320" s="174">
        <v>28000107000159</v>
      </c>
      <c r="L320" s="173" t="s">
        <v>1099</v>
      </c>
      <c r="M320" s="173" t="s">
        <v>131</v>
      </c>
      <c r="N320" s="173" t="s">
        <v>61</v>
      </c>
      <c r="O320" s="87">
        <v>70</v>
      </c>
      <c r="P320" s="173" t="s">
        <v>20</v>
      </c>
      <c r="Q320" s="1" t="s">
        <v>1338</v>
      </c>
      <c r="R320" s="175">
        <v>120</v>
      </c>
      <c r="S320">
        <v>24</v>
      </c>
    </row>
    <row r="321" spans="1:19" x14ac:dyDescent="0.25">
      <c r="A321" s="87">
        <v>2019</v>
      </c>
      <c r="B321" s="87">
        <v>7</v>
      </c>
      <c r="C321" s="173" t="s">
        <v>16</v>
      </c>
      <c r="D321" s="173" t="s">
        <v>17</v>
      </c>
      <c r="E321" s="173" t="s">
        <v>18</v>
      </c>
      <c r="F321" s="173" t="s">
        <v>16</v>
      </c>
      <c r="G321" s="87" t="b">
        <v>1</v>
      </c>
      <c r="H321" s="87" t="b">
        <v>0</v>
      </c>
      <c r="I321" s="87" t="b">
        <v>0</v>
      </c>
      <c r="J321" s="173" t="s">
        <v>468</v>
      </c>
      <c r="K321" s="174">
        <v>28000107000159</v>
      </c>
      <c r="L321" s="173" t="s">
        <v>1099</v>
      </c>
      <c r="M321" s="173" t="s">
        <v>131</v>
      </c>
      <c r="N321" s="173" t="s">
        <v>61</v>
      </c>
      <c r="O321" s="87">
        <v>73</v>
      </c>
      <c r="P321" s="173" t="s">
        <v>26</v>
      </c>
      <c r="Q321" s="1" t="s">
        <v>1339</v>
      </c>
      <c r="R321" s="175">
        <v>12</v>
      </c>
      <c r="S321">
        <v>6</v>
      </c>
    </row>
    <row r="322" spans="1:19" x14ac:dyDescent="0.25">
      <c r="A322" s="87">
        <v>2019</v>
      </c>
      <c r="B322" s="87">
        <v>7</v>
      </c>
      <c r="C322" s="173" t="s">
        <v>16</v>
      </c>
      <c r="D322" s="173" t="s">
        <v>17</v>
      </c>
      <c r="E322" s="173" t="s">
        <v>18</v>
      </c>
      <c r="F322" s="173" t="s">
        <v>16</v>
      </c>
      <c r="G322" s="87" t="b">
        <v>1</v>
      </c>
      <c r="H322" s="87" t="b">
        <v>0</v>
      </c>
      <c r="I322" s="87" t="b">
        <v>0</v>
      </c>
      <c r="J322" s="173" t="s">
        <v>468</v>
      </c>
      <c r="K322" s="174">
        <v>28000107000159</v>
      </c>
      <c r="L322" s="173" t="s">
        <v>1099</v>
      </c>
      <c r="M322" s="173" t="s">
        <v>131</v>
      </c>
      <c r="N322" s="173" t="s">
        <v>61</v>
      </c>
      <c r="O322" s="87">
        <v>73</v>
      </c>
      <c r="P322" s="173" t="s">
        <v>26</v>
      </c>
      <c r="Q322" s="1" t="s">
        <v>1342</v>
      </c>
      <c r="R322" s="175">
        <v>72</v>
      </c>
      <c r="S322">
        <v>18</v>
      </c>
    </row>
    <row r="323" spans="1:19" x14ac:dyDescent="0.25">
      <c r="A323" s="87">
        <v>2019</v>
      </c>
      <c r="B323" s="87">
        <v>7</v>
      </c>
      <c r="C323" s="173" t="s">
        <v>16</v>
      </c>
      <c r="D323" s="173" t="s">
        <v>17</v>
      </c>
      <c r="E323" s="173" t="s">
        <v>18</v>
      </c>
      <c r="F323" s="173" t="s">
        <v>16</v>
      </c>
      <c r="G323" s="87" t="b">
        <v>1</v>
      </c>
      <c r="H323" s="87" t="b">
        <v>0</v>
      </c>
      <c r="I323" s="87" t="b">
        <v>0</v>
      </c>
      <c r="J323" s="173" t="s">
        <v>451</v>
      </c>
      <c r="K323" s="174">
        <v>28000107000159</v>
      </c>
      <c r="L323" s="173" t="s">
        <v>1099</v>
      </c>
      <c r="M323" s="173" t="s">
        <v>131</v>
      </c>
      <c r="N323" s="173" t="s">
        <v>61</v>
      </c>
      <c r="O323" s="87">
        <v>73</v>
      </c>
      <c r="P323" s="173" t="s">
        <v>26</v>
      </c>
      <c r="Q323" s="1" t="s">
        <v>1339</v>
      </c>
      <c r="R323" s="175">
        <v>2</v>
      </c>
      <c r="S323">
        <v>1</v>
      </c>
    </row>
    <row r="324" spans="1:19" x14ac:dyDescent="0.25">
      <c r="A324" s="87">
        <v>2019</v>
      </c>
      <c r="B324" s="87">
        <v>7</v>
      </c>
      <c r="C324" s="173" t="s">
        <v>16</v>
      </c>
      <c r="D324" s="173" t="s">
        <v>17</v>
      </c>
      <c r="E324" s="173" t="s">
        <v>18</v>
      </c>
      <c r="F324" s="173" t="s">
        <v>16</v>
      </c>
      <c r="G324" s="87" t="b">
        <v>1</v>
      </c>
      <c r="H324" s="87" t="b">
        <v>0</v>
      </c>
      <c r="I324" s="87" t="b">
        <v>0</v>
      </c>
      <c r="J324" s="173" t="s">
        <v>451</v>
      </c>
      <c r="K324" s="174">
        <v>28000107000159</v>
      </c>
      <c r="L324" s="173" t="s">
        <v>1099</v>
      </c>
      <c r="M324" s="173" t="s">
        <v>131</v>
      </c>
      <c r="N324" s="173" t="s">
        <v>61</v>
      </c>
      <c r="O324" s="87">
        <v>73</v>
      </c>
      <c r="P324" s="173" t="s">
        <v>26</v>
      </c>
      <c r="Q324" s="1" t="s">
        <v>1342</v>
      </c>
      <c r="R324" s="175">
        <v>64</v>
      </c>
      <c r="S324">
        <v>16</v>
      </c>
    </row>
    <row r="325" spans="1:19" x14ac:dyDescent="0.25">
      <c r="A325" s="87">
        <v>2019</v>
      </c>
      <c r="B325" s="87">
        <v>7</v>
      </c>
      <c r="C325" s="173" t="s">
        <v>16</v>
      </c>
      <c r="D325" s="173" t="s">
        <v>17</v>
      </c>
      <c r="E325" s="173" t="s">
        <v>18</v>
      </c>
      <c r="F325" s="173" t="s">
        <v>16</v>
      </c>
      <c r="G325" s="87" t="b">
        <v>1</v>
      </c>
      <c r="H325" s="87" t="b">
        <v>0</v>
      </c>
      <c r="I325" s="87" t="b">
        <v>0</v>
      </c>
      <c r="J325" s="173" t="s">
        <v>478</v>
      </c>
      <c r="K325" s="174">
        <v>28137925000106</v>
      </c>
      <c r="L325" s="173" t="s">
        <v>1210</v>
      </c>
      <c r="M325" s="173" t="s">
        <v>1157</v>
      </c>
      <c r="N325" s="173" t="s">
        <v>98</v>
      </c>
      <c r="O325" s="87">
        <v>70</v>
      </c>
      <c r="P325" s="173" t="s">
        <v>20</v>
      </c>
      <c r="Q325" s="1" t="s">
        <v>1338</v>
      </c>
      <c r="R325" s="175">
        <v>100</v>
      </c>
      <c r="S325">
        <v>20</v>
      </c>
    </row>
    <row r="326" spans="1:19" x14ac:dyDescent="0.25">
      <c r="A326" s="87">
        <v>2019</v>
      </c>
      <c r="B326" s="87">
        <v>7</v>
      </c>
      <c r="C326" s="173" t="s">
        <v>16</v>
      </c>
      <c r="D326" s="173" t="s">
        <v>17</v>
      </c>
      <c r="E326" s="173" t="s">
        <v>18</v>
      </c>
      <c r="F326" s="173" t="s">
        <v>16</v>
      </c>
      <c r="G326" s="87" t="b">
        <v>1</v>
      </c>
      <c r="H326" s="87" t="b">
        <v>0</v>
      </c>
      <c r="I326" s="87" t="b">
        <v>0</v>
      </c>
      <c r="J326" s="173" t="s">
        <v>491</v>
      </c>
      <c r="K326" s="174">
        <v>28290788000137</v>
      </c>
      <c r="L326" s="173" t="s">
        <v>591</v>
      </c>
      <c r="M326" s="173" t="s">
        <v>29</v>
      </c>
      <c r="N326" s="173" t="s">
        <v>19</v>
      </c>
      <c r="O326" s="87">
        <v>62</v>
      </c>
      <c r="P326" s="173" t="s">
        <v>27</v>
      </c>
      <c r="Q326" s="1" t="s">
        <v>1343</v>
      </c>
      <c r="R326" s="175">
        <v>34</v>
      </c>
      <c r="S326">
        <v>34</v>
      </c>
    </row>
    <row r="327" spans="1:19" x14ac:dyDescent="0.25">
      <c r="A327" s="87">
        <v>2019</v>
      </c>
      <c r="B327" s="87">
        <v>7</v>
      </c>
      <c r="C327" s="173" t="s">
        <v>16</v>
      </c>
      <c r="D327" s="173" t="s">
        <v>17</v>
      </c>
      <c r="E327" s="173" t="s">
        <v>18</v>
      </c>
      <c r="F327" s="173" t="s">
        <v>16</v>
      </c>
      <c r="G327" s="87" t="b">
        <v>1</v>
      </c>
      <c r="H327" s="87" t="b">
        <v>0</v>
      </c>
      <c r="I327" s="87" t="b">
        <v>0</v>
      </c>
      <c r="J327" s="173" t="s">
        <v>468</v>
      </c>
      <c r="K327" s="174">
        <v>28290788000307</v>
      </c>
      <c r="L327" s="173" t="s">
        <v>592</v>
      </c>
      <c r="M327" s="173" t="s">
        <v>29</v>
      </c>
      <c r="N327" s="173" t="s">
        <v>19</v>
      </c>
      <c r="O327" s="87">
        <v>73</v>
      </c>
      <c r="P327" s="173" t="s">
        <v>26</v>
      </c>
      <c r="Q327" s="1" t="s">
        <v>1342</v>
      </c>
      <c r="R327" s="175">
        <v>24</v>
      </c>
      <c r="S327">
        <v>6</v>
      </c>
    </row>
    <row r="328" spans="1:19" x14ac:dyDescent="0.25">
      <c r="A328" s="87">
        <v>2019</v>
      </c>
      <c r="B328" s="87">
        <v>7</v>
      </c>
      <c r="C328" s="173" t="s">
        <v>16</v>
      </c>
      <c r="D328" s="173" t="s">
        <v>17</v>
      </c>
      <c r="E328" s="173" t="s">
        <v>18</v>
      </c>
      <c r="F328" s="173" t="s">
        <v>16</v>
      </c>
      <c r="G328" s="87" t="b">
        <v>1</v>
      </c>
      <c r="H328" s="87" t="b">
        <v>0</v>
      </c>
      <c r="I328" s="87" t="b">
        <v>0</v>
      </c>
      <c r="J328" s="173" t="s">
        <v>468</v>
      </c>
      <c r="K328" s="174">
        <v>28481233000172</v>
      </c>
      <c r="L328" s="173" t="s">
        <v>910</v>
      </c>
      <c r="M328" s="173" t="s">
        <v>739</v>
      </c>
      <c r="N328" s="173" t="s">
        <v>55</v>
      </c>
      <c r="O328" s="87">
        <v>64</v>
      </c>
      <c r="P328" s="173" t="s">
        <v>25</v>
      </c>
      <c r="Q328" s="1" t="s">
        <v>1344</v>
      </c>
      <c r="R328" s="175">
        <v>130</v>
      </c>
      <c r="S328">
        <v>130</v>
      </c>
    </row>
    <row r="329" spans="1:19" x14ac:dyDescent="0.25">
      <c r="A329" s="87">
        <v>2019</v>
      </c>
      <c r="B329" s="87">
        <v>7</v>
      </c>
      <c r="C329" s="173" t="s">
        <v>16</v>
      </c>
      <c r="D329" s="173" t="s">
        <v>17</v>
      </c>
      <c r="E329" s="173" t="s">
        <v>18</v>
      </c>
      <c r="F329" s="173" t="s">
        <v>16</v>
      </c>
      <c r="G329" s="87" t="b">
        <v>1</v>
      </c>
      <c r="H329" s="87" t="b">
        <v>0</v>
      </c>
      <c r="I329" s="87" t="b">
        <v>0</v>
      </c>
      <c r="J329" s="173" t="s">
        <v>464</v>
      </c>
      <c r="K329" s="174">
        <v>28602407000108</v>
      </c>
      <c r="L329" s="173" t="s">
        <v>1100</v>
      </c>
      <c r="M329" s="173" t="s">
        <v>131</v>
      </c>
      <c r="N329" s="173" t="s">
        <v>61</v>
      </c>
      <c r="O329" s="87">
        <v>64</v>
      </c>
      <c r="P329" s="173" t="s">
        <v>25</v>
      </c>
      <c r="Q329" s="1" t="s">
        <v>1344</v>
      </c>
      <c r="R329" s="175">
        <v>1</v>
      </c>
      <c r="S329">
        <v>1</v>
      </c>
    </row>
    <row r="330" spans="1:19" x14ac:dyDescent="0.25">
      <c r="A330" s="87">
        <v>2019</v>
      </c>
      <c r="B330" s="87">
        <v>7</v>
      </c>
      <c r="C330" s="173" t="s">
        <v>16</v>
      </c>
      <c r="D330" s="173" t="s">
        <v>17</v>
      </c>
      <c r="E330" s="173" t="s">
        <v>18</v>
      </c>
      <c r="F330" s="173" t="s">
        <v>16</v>
      </c>
      <c r="G330" s="87" t="b">
        <v>1</v>
      </c>
      <c r="H330" s="87" t="b">
        <v>0</v>
      </c>
      <c r="I330" s="87" t="b">
        <v>0</v>
      </c>
      <c r="J330" s="173" t="s">
        <v>477</v>
      </c>
      <c r="K330" s="174">
        <v>28806545000532</v>
      </c>
      <c r="L330" s="173" t="s">
        <v>1050</v>
      </c>
      <c r="M330" s="173" t="s">
        <v>1051</v>
      </c>
      <c r="N330" s="173" t="s">
        <v>61</v>
      </c>
      <c r="O330" s="87">
        <v>73</v>
      </c>
      <c r="P330" s="173" t="s">
        <v>26</v>
      </c>
      <c r="Q330" s="1" t="s">
        <v>1342</v>
      </c>
      <c r="R330" s="175">
        <v>120</v>
      </c>
      <c r="S330">
        <v>30</v>
      </c>
    </row>
    <row r="331" spans="1:19" x14ac:dyDescent="0.25">
      <c r="A331" s="87">
        <v>2019</v>
      </c>
      <c r="B331" s="87">
        <v>7</v>
      </c>
      <c r="C331" s="173" t="s">
        <v>16</v>
      </c>
      <c r="D331" s="173" t="s">
        <v>17</v>
      </c>
      <c r="E331" s="173" t="s">
        <v>18</v>
      </c>
      <c r="F331" s="173" t="s">
        <v>16</v>
      </c>
      <c r="G331" s="87" t="b">
        <v>1</v>
      </c>
      <c r="H331" s="87" t="b">
        <v>0</v>
      </c>
      <c r="I331" s="87" t="b">
        <v>0</v>
      </c>
      <c r="J331" s="173" t="s">
        <v>1512</v>
      </c>
      <c r="K331" s="174">
        <v>28806545000532</v>
      </c>
      <c r="L331" s="173" t="s">
        <v>1050</v>
      </c>
      <c r="M331" s="173" t="s">
        <v>1051</v>
      </c>
      <c r="N331" s="173" t="s">
        <v>61</v>
      </c>
      <c r="O331" s="87">
        <v>73</v>
      </c>
      <c r="P331" s="173" t="s">
        <v>26</v>
      </c>
      <c r="Q331" s="1" t="s">
        <v>1342</v>
      </c>
      <c r="R331" s="175">
        <v>8</v>
      </c>
      <c r="S331">
        <v>2</v>
      </c>
    </row>
    <row r="332" spans="1:19" x14ac:dyDescent="0.25">
      <c r="A332" s="87">
        <v>2019</v>
      </c>
      <c r="B332" s="87">
        <v>7</v>
      </c>
      <c r="C332" s="173" t="s">
        <v>16</v>
      </c>
      <c r="D332" s="173" t="s">
        <v>17</v>
      </c>
      <c r="E332" s="173" t="s">
        <v>18</v>
      </c>
      <c r="F332" s="173" t="s">
        <v>16</v>
      </c>
      <c r="G332" s="87" t="b">
        <v>1</v>
      </c>
      <c r="H332" s="87" t="b">
        <v>0</v>
      </c>
      <c r="I332" s="87" t="b">
        <v>0</v>
      </c>
      <c r="J332" s="173" t="s">
        <v>491</v>
      </c>
      <c r="K332" s="174">
        <v>29072642000188</v>
      </c>
      <c r="L332" s="173" t="s">
        <v>1052</v>
      </c>
      <c r="M332" s="173" t="s">
        <v>92</v>
      </c>
      <c r="N332" s="173" t="s">
        <v>61</v>
      </c>
      <c r="O332" s="87">
        <v>64</v>
      </c>
      <c r="P332" s="173" t="s">
        <v>25</v>
      </c>
      <c r="Q332" s="1" t="s">
        <v>1344</v>
      </c>
      <c r="R332" s="175">
        <v>2</v>
      </c>
      <c r="S332">
        <v>2</v>
      </c>
    </row>
    <row r="333" spans="1:19" x14ac:dyDescent="0.25">
      <c r="A333" s="87">
        <v>2019</v>
      </c>
      <c r="B333" s="87">
        <v>7</v>
      </c>
      <c r="C333" s="173" t="s">
        <v>16</v>
      </c>
      <c r="D333" s="173" t="s">
        <v>17</v>
      </c>
      <c r="E333" s="173" t="s">
        <v>18</v>
      </c>
      <c r="F333" s="173" t="s">
        <v>16</v>
      </c>
      <c r="G333" s="87" t="b">
        <v>1</v>
      </c>
      <c r="H333" s="87" t="b">
        <v>0</v>
      </c>
      <c r="I333" s="87" t="b">
        <v>0</v>
      </c>
      <c r="J333" s="173" t="s">
        <v>477</v>
      </c>
      <c r="K333" s="174">
        <v>29135795000208</v>
      </c>
      <c r="L333" s="173" t="s">
        <v>1053</v>
      </c>
      <c r="M333" s="173" t="s">
        <v>120</v>
      </c>
      <c r="N333" s="173" t="s">
        <v>61</v>
      </c>
      <c r="O333" s="87">
        <v>70</v>
      </c>
      <c r="P333" s="173" t="s">
        <v>20</v>
      </c>
      <c r="Q333" s="1" t="s">
        <v>1338</v>
      </c>
      <c r="R333" s="175">
        <v>100</v>
      </c>
      <c r="S333">
        <v>20</v>
      </c>
    </row>
    <row r="334" spans="1:19" x14ac:dyDescent="0.25">
      <c r="A334" s="87">
        <v>2019</v>
      </c>
      <c r="B334" s="87">
        <v>7</v>
      </c>
      <c r="C334" s="173" t="s">
        <v>16</v>
      </c>
      <c r="D334" s="173" t="s">
        <v>17</v>
      </c>
      <c r="E334" s="173" t="s">
        <v>18</v>
      </c>
      <c r="F334" s="173" t="s">
        <v>16</v>
      </c>
      <c r="G334" s="87" t="b">
        <v>1</v>
      </c>
      <c r="H334" s="87" t="b">
        <v>0</v>
      </c>
      <c r="I334" s="87" t="b">
        <v>0</v>
      </c>
      <c r="J334" s="173" t="s">
        <v>491</v>
      </c>
      <c r="K334" s="174">
        <v>29259736000403</v>
      </c>
      <c r="L334" s="173" t="s">
        <v>1101</v>
      </c>
      <c r="M334" s="173" t="s">
        <v>131</v>
      </c>
      <c r="N334" s="173" t="s">
        <v>61</v>
      </c>
      <c r="O334" s="87">
        <v>64</v>
      </c>
      <c r="P334" s="173" t="s">
        <v>25</v>
      </c>
      <c r="Q334" s="1" t="s">
        <v>1344</v>
      </c>
      <c r="R334" s="175">
        <v>5</v>
      </c>
      <c r="S334">
        <v>5</v>
      </c>
    </row>
    <row r="335" spans="1:19" x14ac:dyDescent="0.25">
      <c r="A335" s="87">
        <v>2019</v>
      </c>
      <c r="B335" s="87">
        <v>7</v>
      </c>
      <c r="C335" s="173" t="s">
        <v>16</v>
      </c>
      <c r="D335" s="173" t="s">
        <v>17</v>
      </c>
      <c r="E335" s="173" t="s">
        <v>18</v>
      </c>
      <c r="F335" s="173" t="s">
        <v>16</v>
      </c>
      <c r="G335" s="87" t="b">
        <v>1</v>
      </c>
      <c r="H335" s="87" t="b">
        <v>0</v>
      </c>
      <c r="I335" s="87" t="b">
        <v>0</v>
      </c>
      <c r="J335" s="173" t="s">
        <v>477</v>
      </c>
      <c r="K335" s="174">
        <v>29259736000403</v>
      </c>
      <c r="L335" s="173" t="s">
        <v>1101</v>
      </c>
      <c r="M335" s="173" t="s">
        <v>131</v>
      </c>
      <c r="N335" s="173" t="s">
        <v>61</v>
      </c>
      <c r="O335" s="87">
        <v>73</v>
      </c>
      <c r="P335" s="173" t="s">
        <v>26</v>
      </c>
      <c r="Q335" s="1" t="s">
        <v>1342</v>
      </c>
      <c r="R335" s="175">
        <v>32</v>
      </c>
      <c r="S335">
        <v>8</v>
      </c>
    </row>
    <row r="336" spans="1:19" x14ac:dyDescent="0.25">
      <c r="A336" s="87">
        <v>2019</v>
      </c>
      <c r="B336" s="87">
        <v>7</v>
      </c>
      <c r="C336" s="173" t="s">
        <v>16</v>
      </c>
      <c r="D336" s="173" t="s">
        <v>17</v>
      </c>
      <c r="E336" s="173" t="s">
        <v>18</v>
      </c>
      <c r="F336" s="173" t="s">
        <v>16</v>
      </c>
      <c r="G336" s="87" t="b">
        <v>1</v>
      </c>
      <c r="H336" s="87" t="b">
        <v>0</v>
      </c>
      <c r="I336" s="87" t="b">
        <v>0</v>
      </c>
      <c r="J336" s="173" t="s">
        <v>1512</v>
      </c>
      <c r="K336" s="174">
        <v>29259736000403</v>
      </c>
      <c r="L336" s="173" t="s">
        <v>1101</v>
      </c>
      <c r="M336" s="173" t="s">
        <v>131</v>
      </c>
      <c r="N336" s="173" t="s">
        <v>61</v>
      </c>
      <c r="O336" s="87">
        <v>73</v>
      </c>
      <c r="P336" s="173" t="s">
        <v>26</v>
      </c>
      <c r="Q336" s="1" t="s">
        <v>1342</v>
      </c>
      <c r="R336" s="175">
        <v>8</v>
      </c>
      <c r="S336">
        <v>2</v>
      </c>
    </row>
    <row r="337" spans="1:19" x14ac:dyDescent="0.25">
      <c r="A337" s="87">
        <v>2019</v>
      </c>
      <c r="B337" s="87">
        <v>7</v>
      </c>
      <c r="C337" s="173" t="s">
        <v>16</v>
      </c>
      <c r="D337" s="173" t="s">
        <v>17</v>
      </c>
      <c r="E337" s="173" t="s">
        <v>18</v>
      </c>
      <c r="F337" s="173" t="s">
        <v>16</v>
      </c>
      <c r="G337" s="87" t="b">
        <v>1</v>
      </c>
      <c r="H337" s="87" t="b">
        <v>0</v>
      </c>
      <c r="I337" s="87" t="b">
        <v>0</v>
      </c>
      <c r="J337" s="173" t="s">
        <v>470</v>
      </c>
      <c r="K337" s="174">
        <v>29435005002687</v>
      </c>
      <c r="L337" s="173" t="s">
        <v>593</v>
      </c>
      <c r="M337" s="173" t="s">
        <v>29</v>
      </c>
      <c r="N337" s="173" t="s">
        <v>19</v>
      </c>
      <c r="O337" s="87">
        <v>70</v>
      </c>
      <c r="P337" s="173" t="s">
        <v>20</v>
      </c>
      <c r="Q337" s="1" t="s">
        <v>1338</v>
      </c>
      <c r="R337" s="175">
        <v>500</v>
      </c>
      <c r="S337">
        <v>100</v>
      </c>
    </row>
    <row r="338" spans="1:19" x14ac:dyDescent="0.25">
      <c r="A338" s="87">
        <v>2019</v>
      </c>
      <c r="B338" s="87">
        <v>7</v>
      </c>
      <c r="C338" s="173" t="s">
        <v>16</v>
      </c>
      <c r="D338" s="173" t="s">
        <v>17</v>
      </c>
      <c r="E338" s="173" t="s">
        <v>18</v>
      </c>
      <c r="F338" s="173" t="s">
        <v>16</v>
      </c>
      <c r="G338" s="87" t="b">
        <v>1</v>
      </c>
      <c r="H338" s="87" t="b">
        <v>0</v>
      </c>
      <c r="I338" s="87" t="b">
        <v>0</v>
      </c>
      <c r="J338" s="173" t="s">
        <v>470</v>
      </c>
      <c r="K338" s="174">
        <v>29435005004540</v>
      </c>
      <c r="L338" s="173" t="s">
        <v>594</v>
      </c>
      <c r="M338" s="173" t="s">
        <v>29</v>
      </c>
      <c r="N338" s="173" t="s">
        <v>19</v>
      </c>
      <c r="O338" s="87">
        <v>70</v>
      </c>
      <c r="P338" s="173" t="s">
        <v>20</v>
      </c>
      <c r="Q338" s="1" t="s">
        <v>1338</v>
      </c>
      <c r="R338" s="175">
        <v>500</v>
      </c>
      <c r="S338">
        <v>100</v>
      </c>
    </row>
    <row r="339" spans="1:19" x14ac:dyDescent="0.25">
      <c r="A339" s="87">
        <v>2019</v>
      </c>
      <c r="B339" s="87">
        <v>7</v>
      </c>
      <c r="C339" s="173" t="s">
        <v>16</v>
      </c>
      <c r="D339" s="173" t="s">
        <v>17</v>
      </c>
      <c r="E339" s="173" t="s">
        <v>18</v>
      </c>
      <c r="F339" s="173" t="s">
        <v>16</v>
      </c>
      <c r="G339" s="87" t="b">
        <v>1</v>
      </c>
      <c r="H339" s="87" t="b">
        <v>0</v>
      </c>
      <c r="I339" s="87" t="b">
        <v>0</v>
      </c>
      <c r="J339" s="173" t="s">
        <v>470</v>
      </c>
      <c r="K339" s="174">
        <v>29435005004620</v>
      </c>
      <c r="L339" s="173" t="s">
        <v>911</v>
      </c>
      <c r="M339" s="173" t="s">
        <v>739</v>
      </c>
      <c r="N339" s="173" t="s">
        <v>55</v>
      </c>
      <c r="O339" s="87">
        <v>62</v>
      </c>
      <c r="P339" s="173" t="s">
        <v>27</v>
      </c>
      <c r="Q339" s="1" t="s">
        <v>1343</v>
      </c>
      <c r="R339" s="175">
        <v>5</v>
      </c>
      <c r="S339">
        <v>5</v>
      </c>
    </row>
    <row r="340" spans="1:19" x14ac:dyDescent="0.25">
      <c r="A340" s="87">
        <v>2019</v>
      </c>
      <c r="B340" s="87">
        <v>7</v>
      </c>
      <c r="C340" s="173" t="s">
        <v>16</v>
      </c>
      <c r="D340" s="173" t="s">
        <v>17</v>
      </c>
      <c r="E340" s="173" t="s">
        <v>18</v>
      </c>
      <c r="F340" s="173" t="s">
        <v>16</v>
      </c>
      <c r="G340" s="87" t="b">
        <v>1</v>
      </c>
      <c r="H340" s="87" t="b">
        <v>0</v>
      </c>
      <c r="I340" s="87" t="b">
        <v>0</v>
      </c>
      <c r="J340" s="173" t="s">
        <v>470</v>
      </c>
      <c r="K340" s="174">
        <v>29435005004620</v>
      </c>
      <c r="L340" s="173" t="s">
        <v>911</v>
      </c>
      <c r="M340" s="173" t="s">
        <v>739</v>
      </c>
      <c r="N340" s="173" t="s">
        <v>55</v>
      </c>
      <c r="O340" s="87">
        <v>64</v>
      </c>
      <c r="P340" s="173" t="s">
        <v>25</v>
      </c>
      <c r="Q340" s="1" t="s">
        <v>1344</v>
      </c>
      <c r="R340" s="175">
        <v>10</v>
      </c>
      <c r="S340">
        <v>10</v>
      </c>
    </row>
    <row r="341" spans="1:19" x14ac:dyDescent="0.25">
      <c r="A341" s="87">
        <v>2019</v>
      </c>
      <c r="B341" s="87">
        <v>7</v>
      </c>
      <c r="C341" s="173" t="s">
        <v>16</v>
      </c>
      <c r="D341" s="173" t="s">
        <v>17</v>
      </c>
      <c r="E341" s="173" t="s">
        <v>18</v>
      </c>
      <c r="F341" s="173" t="s">
        <v>16</v>
      </c>
      <c r="G341" s="87" t="b">
        <v>1</v>
      </c>
      <c r="H341" s="87" t="b">
        <v>0</v>
      </c>
      <c r="I341" s="87" t="b">
        <v>0</v>
      </c>
      <c r="J341" s="173" t="s">
        <v>470</v>
      </c>
      <c r="K341" s="174">
        <v>29435005005198</v>
      </c>
      <c r="L341" s="173" t="s">
        <v>1102</v>
      </c>
      <c r="M341" s="173" t="s">
        <v>131</v>
      </c>
      <c r="N341" s="173" t="s">
        <v>61</v>
      </c>
      <c r="O341" s="87">
        <v>62</v>
      </c>
      <c r="P341" s="173" t="s">
        <v>27</v>
      </c>
      <c r="Q341" s="1" t="s">
        <v>1343</v>
      </c>
      <c r="R341" s="175">
        <v>17</v>
      </c>
      <c r="S341">
        <v>17</v>
      </c>
    </row>
    <row r="342" spans="1:19" x14ac:dyDescent="0.25">
      <c r="A342" s="87">
        <v>2019</v>
      </c>
      <c r="B342" s="87">
        <v>7</v>
      </c>
      <c r="C342" s="173" t="s">
        <v>16</v>
      </c>
      <c r="D342" s="173" t="s">
        <v>17</v>
      </c>
      <c r="E342" s="173" t="s">
        <v>18</v>
      </c>
      <c r="F342" s="173" t="s">
        <v>16</v>
      </c>
      <c r="G342" s="87" t="b">
        <v>1</v>
      </c>
      <c r="H342" s="87" t="b">
        <v>0</v>
      </c>
      <c r="I342" s="87" t="b">
        <v>0</v>
      </c>
      <c r="J342" s="173" t="s">
        <v>470</v>
      </c>
      <c r="K342" s="174">
        <v>29435005005198</v>
      </c>
      <c r="L342" s="173" t="s">
        <v>1102</v>
      </c>
      <c r="M342" s="173" t="s">
        <v>131</v>
      </c>
      <c r="N342" s="173" t="s">
        <v>61</v>
      </c>
      <c r="O342" s="87">
        <v>64</v>
      </c>
      <c r="P342" s="173" t="s">
        <v>25</v>
      </c>
      <c r="Q342" s="1" t="s">
        <v>1344</v>
      </c>
      <c r="R342" s="175">
        <v>16</v>
      </c>
      <c r="S342">
        <v>16</v>
      </c>
    </row>
    <row r="343" spans="1:19" x14ac:dyDescent="0.25">
      <c r="A343" s="87">
        <v>2019</v>
      </c>
      <c r="B343" s="87">
        <v>7</v>
      </c>
      <c r="C343" s="173" t="s">
        <v>16</v>
      </c>
      <c r="D343" s="173" t="s">
        <v>17</v>
      </c>
      <c r="E343" s="173" t="s">
        <v>18</v>
      </c>
      <c r="F343" s="173" t="s">
        <v>16</v>
      </c>
      <c r="G343" s="87" t="b">
        <v>1</v>
      </c>
      <c r="H343" s="87" t="b">
        <v>0</v>
      </c>
      <c r="I343" s="87" t="b">
        <v>0</v>
      </c>
      <c r="J343" s="173" t="s">
        <v>470</v>
      </c>
      <c r="K343" s="174">
        <v>29435005005600</v>
      </c>
      <c r="L343" s="173" t="s">
        <v>974</v>
      </c>
      <c r="M343" s="173" t="s">
        <v>94</v>
      </c>
      <c r="N343" s="173" t="s">
        <v>57</v>
      </c>
      <c r="O343" s="87">
        <v>70</v>
      </c>
      <c r="P343" s="173" t="s">
        <v>20</v>
      </c>
      <c r="Q343" s="1" t="s">
        <v>1338</v>
      </c>
      <c r="R343" s="175">
        <v>180</v>
      </c>
      <c r="S343">
        <v>36</v>
      </c>
    </row>
    <row r="344" spans="1:19" x14ac:dyDescent="0.25">
      <c r="A344" s="87">
        <v>2019</v>
      </c>
      <c r="B344" s="87">
        <v>7</v>
      </c>
      <c r="C344" s="173" t="s">
        <v>16</v>
      </c>
      <c r="D344" s="173" t="s">
        <v>17</v>
      </c>
      <c r="E344" s="173" t="s">
        <v>18</v>
      </c>
      <c r="F344" s="173" t="s">
        <v>16</v>
      </c>
      <c r="G344" s="87" t="b">
        <v>1</v>
      </c>
      <c r="H344" s="87" t="b">
        <v>0</v>
      </c>
      <c r="I344" s="87" t="b">
        <v>0</v>
      </c>
      <c r="J344" s="173" t="s">
        <v>470</v>
      </c>
      <c r="K344" s="174">
        <v>29435005005783</v>
      </c>
      <c r="L344" s="173" t="s">
        <v>1104</v>
      </c>
      <c r="M344" s="173" t="s">
        <v>131</v>
      </c>
      <c r="N344" s="173" t="s">
        <v>61</v>
      </c>
      <c r="O344" s="87">
        <v>70</v>
      </c>
      <c r="P344" s="173" t="s">
        <v>20</v>
      </c>
      <c r="Q344" s="1" t="s">
        <v>1338</v>
      </c>
      <c r="R344" s="175">
        <v>225</v>
      </c>
      <c r="S344">
        <v>45</v>
      </c>
    </row>
    <row r="345" spans="1:19" x14ac:dyDescent="0.25">
      <c r="A345" s="87">
        <v>2019</v>
      </c>
      <c r="B345" s="87">
        <v>7</v>
      </c>
      <c r="C345" s="173" t="s">
        <v>16</v>
      </c>
      <c r="D345" s="173" t="s">
        <v>17</v>
      </c>
      <c r="E345" s="173" t="s">
        <v>18</v>
      </c>
      <c r="F345" s="173" t="s">
        <v>16</v>
      </c>
      <c r="G345" s="87" t="b">
        <v>1</v>
      </c>
      <c r="H345" s="87" t="b">
        <v>0</v>
      </c>
      <c r="I345" s="87" t="b">
        <v>0</v>
      </c>
      <c r="J345" s="173" t="s">
        <v>470</v>
      </c>
      <c r="K345" s="174">
        <v>29435005006160</v>
      </c>
      <c r="L345" s="173" t="s">
        <v>1105</v>
      </c>
      <c r="M345" s="173" t="s">
        <v>131</v>
      </c>
      <c r="N345" s="173" t="s">
        <v>61</v>
      </c>
      <c r="O345" s="87">
        <v>62</v>
      </c>
      <c r="P345" s="173" t="s">
        <v>27</v>
      </c>
      <c r="Q345" s="1" t="s">
        <v>1343</v>
      </c>
      <c r="R345" s="175">
        <v>6</v>
      </c>
      <c r="S345">
        <v>6</v>
      </c>
    </row>
    <row r="346" spans="1:19" x14ac:dyDescent="0.25">
      <c r="A346" s="87">
        <v>2019</v>
      </c>
      <c r="B346" s="87">
        <v>7</v>
      </c>
      <c r="C346" s="173" t="s">
        <v>16</v>
      </c>
      <c r="D346" s="173" t="s">
        <v>17</v>
      </c>
      <c r="E346" s="173" t="s">
        <v>18</v>
      </c>
      <c r="F346" s="173" t="s">
        <v>16</v>
      </c>
      <c r="G346" s="87" t="b">
        <v>1</v>
      </c>
      <c r="H346" s="87" t="b">
        <v>0</v>
      </c>
      <c r="I346" s="87" t="b">
        <v>0</v>
      </c>
      <c r="J346" s="173" t="s">
        <v>470</v>
      </c>
      <c r="K346" s="174">
        <v>29435005006160</v>
      </c>
      <c r="L346" s="173" t="s">
        <v>1105</v>
      </c>
      <c r="M346" s="173" t="s">
        <v>131</v>
      </c>
      <c r="N346" s="173" t="s">
        <v>61</v>
      </c>
      <c r="O346" s="87">
        <v>64</v>
      </c>
      <c r="P346" s="173" t="s">
        <v>25</v>
      </c>
      <c r="Q346" s="1" t="s">
        <v>1344</v>
      </c>
      <c r="R346" s="175">
        <v>5</v>
      </c>
      <c r="S346">
        <v>5</v>
      </c>
    </row>
    <row r="347" spans="1:19" x14ac:dyDescent="0.25">
      <c r="A347" s="87">
        <v>2019</v>
      </c>
      <c r="B347" s="87">
        <v>7</v>
      </c>
      <c r="C347" s="173" t="s">
        <v>16</v>
      </c>
      <c r="D347" s="173" t="s">
        <v>17</v>
      </c>
      <c r="E347" s="173" t="s">
        <v>18</v>
      </c>
      <c r="F347" s="173" t="s">
        <v>16</v>
      </c>
      <c r="G347" s="87" t="b">
        <v>1</v>
      </c>
      <c r="H347" s="87" t="b">
        <v>0</v>
      </c>
      <c r="I347" s="87" t="b">
        <v>0</v>
      </c>
      <c r="J347" s="173" t="s">
        <v>470</v>
      </c>
      <c r="K347" s="174">
        <v>29435005006160</v>
      </c>
      <c r="L347" s="173" t="s">
        <v>1105</v>
      </c>
      <c r="M347" s="173" t="s">
        <v>131</v>
      </c>
      <c r="N347" s="173" t="s">
        <v>61</v>
      </c>
      <c r="O347" s="87">
        <v>70</v>
      </c>
      <c r="P347" s="173" t="s">
        <v>20</v>
      </c>
      <c r="Q347" s="1" t="s">
        <v>1338</v>
      </c>
      <c r="R347" s="175">
        <v>50</v>
      </c>
      <c r="S347">
        <v>10</v>
      </c>
    </row>
    <row r="348" spans="1:19" x14ac:dyDescent="0.25">
      <c r="A348" s="87">
        <v>2019</v>
      </c>
      <c r="B348" s="87">
        <v>7</v>
      </c>
      <c r="C348" s="173" t="s">
        <v>16</v>
      </c>
      <c r="D348" s="173" t="s">
        <v>17</v>
      </c>
      <c r="E348" s="173" t="s">
        <v>18</v>
      </c>
      <c r="F348" s="173" t="s">
        <v>16</v>
      </c>
      <c r="G348" s="87" t="b">
        <v>1</v>
      </c>
      <c r="H348" s="87" t="b">
        <v>0</v>
      </c>
      <c r="I348" s="87" t="b">
        <v>0</v>
      </c>
      <c r="J348" s="173" t="s">
        <v>470</v>
      </c>
      <c r="K348" s="174">
        <v>29435005007484</v>
      </c>
      <c r="L348" s="173" t="s">
        <v>912</v>
      </c>
      <c r="M348" s="173" t="s">
        <v>76</v>
      </c>
      <c r="N348" s="173" t="s">
        <v>77</v>
      </c>
      <c r="O348" s="87">
        <v>62</v>
      </c>
      <c r="P348" s="173" t="s">
        <v>27</v>
      </c>
      <c r="Q348" s="1" t="s">
        <v>1343</v>
      </c>
      <c r="R348" s="175">
        <v>7</v>
      </c>
      <c r="S348">
        <v>7</v>
      </c>
    </row>
    <row r="349" spans="1:19" x14ac:dyDescent="0.25">
      <c r="A349" s="87">
        <v>2019</v>
      </c>
      <c r="B349" s="87">
        <v>7</v>
      </c>
      <c r="C349" s="173" t="s">
        <v>16</v>
      </c>
      <c r="D349" s="173" t="s">
        <v>17</v>
      </c>
      <c r="E349" s="173" t="s">
        <v>18</v>
      </c>
      <c r="F349" s="173" t="s">
        <v>16</v>
      </c>
      <c r="G349" s="87" t="b">
        <v>1</v>
      </c>
      <c r="H349" s="87" t="b">
        <v>0</v>
      </c>
      <c r="I349" s="87" t="b">
        <v>0</v>
      </c>
      <c r="J349" s="173" t="s">
        <v>470</v>
      </c>
      <c r="K349" s="174">
        <v>29435005007484</v>
      </c>
      <c r="L349" s="173" t="s">
        <v>912</v>
      </c>
      <c r="M349" s="173" t="s">
        <v>76</v>
      </c>
      <c r="N349" s="173" t="s">
        <v>77</v>
      </c>
      <c r="O349" s="87">
        <v>64</v>
      </c>
      <c r="P349" s="173" t="s">
        <v>25</v>
      </c>
      <c r="Q349" s="1" t="s">
        <v>1344</v>
      </c>
      <c r="R349" s="175">
        <v>36</v>
      </c>
      <c r="S349">
        <v>36</v>
      </c>
    </row>
    <row r="350" spans="1:19" x14ac:dyDescent="0.25">
      <c r="A350" s="87">
        <v>2019</v>
      </c>
      <c r="B350" s="87">
        <v>7</v>
      </c>
      <c r="C350" s="173" t="s">
        <v>16</v>
      </c>
      <c r="D350" s="173" t="s">
        <v>17</v>
      </c>
      <c r="E350" s="173" t="s">
        <v>18</v>
      </c>
      <c r="F350" s="173" t="s">
        <v>16</v>
      </c>
      <c r="G350" s="87" t="b">
        <v>1</v>
      </c>
      <c r="H350" s="87" t="b">
        <v>0</v>
      </c>
      <c r="I350" s="87" t="b">
        <v>0</v>
      </c>
      <c r="J350" s="173" t="s">
        <v>470</v>
      </c>
      <c r="K350" s="174">
        <v>29435005007484</v>
      </c>
      <c r="L350" s="173" t="s">
        <v>912</v>
      </c>
      <c r="M350" s="173" t="s">
        <v>76</v>
      </c>
      <c r="N350" s="173" t="s">
        <v>77</v>
      </c>
      <c r="O350" s="87">
        <v>70</v>
      </c>
      <c r="P350" s="173" t="s">
        <v>20</v>
      </c>
      <c r="Q350" s="1" t="s">
        <v>1338</v>
      </c>
      <c r="R350" s="175">
        <v>15</v>
      </c>
      <c r="S350">
        <v>3</v>
      </c>
    </row>
    <row r="351" spans="1:19" x14ac:dyDescent="0.25">
      <c r="A351" s="87">
        <v>2019</v>
      </c>
      <c r="B351" s="87">
        <v>7</v>
      </c>
      <c r="C351" s="173" t="s">
        <v>16</v>
      </c>
      <c r="D351" s="173" t="s">
        <v>17</v>
      </c>
      <c r="E351" s="173" t="s">
        <v>18</v>
      </c>
      <c r="F351" s="173" t="s">
        <v>16</v>
      </c>
      <c r="G351" s="87" t="b">
        <v>1</v>
      </c>
      <c r="H351" s="87" t="b">
        <v>0</v>
      </c>
      <c r="I351" s="87" t="b">
        <v>0</v>
      </c>
      <c r="J351" s="173" t="s">
        <v>470</v>
      </c>
      <c r="K351" s="174">
        <v>29435005008022</v>
      </c>
      <c r="L351" s="173" t="s">
        <v>668</v>
      </c>
      <c r="M351" s="173" t="s">
        <v>35</v>
      </c>
      <c r="N351" s="173" t="s">
        <v>19</v>
      </c>
      <c r="O351" s="87">
        <v>70</v>
      </c>
      <c r="P351" s="173" t="s">
        <v>20</v>
      </c>
      <c r="Q351" s="1" t="s">
        <v>1338</v>
      </c>
      <c r="R351" s="175">
        <v>60</v>
      </c>
      <c r="S351">
        <v>12</v>
      </c>
    </row>
    <row r="352" spans="1:19" x14ac:dyDescent="0.25">
      <c r="A352" s="87">
        <v>2019</v>
      </c>
      <c r="B352" s="87">
        <v>7</v>
      </c>
      <c r="C352" s="173" t="s">
        <v>16</v>
      </c>
      <c r="D352" s="173" t="s">
        <v>17</v>
      </c>
      <c r="E352" s="173" t="s">
        <v>18</v>
      </c>
      <c r="F352" s="173" t="s">
        <v>16</v>
      </c>
      <c r="G352" s="87" t="b">
        <v>1</v>
      </c>
      <c r="H352" s="87" t="b">
        <v>0</v>
      </c>
      <c r="I352" s="87" t="b">
        <v>0</v>
      </c>
      <c r="J352" s="173" t="s">
        <v>470</v>
      </c>
      <c r="K352" s="174">
        <v>29435005008294</v>
      </c>
      <c r="L352" s="173" t="s">
        <v>671</v>
      </c>
      <c r="M352" s="173" t="s">
        <v>36</v>
      </c>
      <c r="N352" s="173" t="s">
        <v>19</v>
      </c>
      <c r="O352" s="87">
        <v>70</v>
      </c>
      <c r="P352" s="173" t="s">
        <v>20</v>
      </c>
      <c r="Q352" s="1" t="s">
        <v>1338</v>
      </c>
      <c r="R352" s="175">
        <v>245</v>
      </c>
      <c r="S352">
        <v>49</v>
      </c>
    </row>
    <row r="353" spans="1:19" x14ac:dyDescent="0.25">
      <c r="A353" s="87">
        <v>2019</v>
      </c>
      <c r="B353" s="87">
        <v>7</v>
      </c>
      <c r="C353" s="173" t="s">
        <v>16</v>
      </c>
      <c r="D353" s="173" t="s">
        <v>17</v>
      </c>
      <c r="E353" s="173" t="s">
        <v>18</v>
      </c>
      <c r="F353" s="173" t="s">
        <v>16</v>
      </c>
      <c r="G353" s="87" t="b">
        <v>1</v>
      </c>
      <c r="H353" s="87" t="b">
        <v>0</v>
      </c>
      <c r="I353" s="87" t="b">
        <v>0</v>
      </c>
      <c r="J353" s="173" t="s">
        <v>470</v>
      </c>
      <c r="K353" s="174">
        <v>29435005008456</v>
      </c>
      <c r="L353" s="173" t="s">
        <v>672</v>
      </c>
      <c r="M353" s="173" t="s">
        <v>33</v>
      </c>
      <c r="N353" s="173" t="s">
        <v>19</v>
      </c>
      <c r="O353" s="87">
        <v>70</v>
      </c>
      <c r="P353" s="173" t="s">
        <v>20</v>
      </c>
      <c r="Q353" s="1" t="s">
        <v>1338</v>
      </c>
      <c r="R353" s="175">
        <v>125</v>
      </c>
      <c r="S353">
        <v>25</v>
      </c>
    </row>
    <row r="354" spans="1:19" x14ac:dyDescent="0.25">
      <c r="A354" s="87">
        <v>2019</v>
      </c>
      <c r="B354" s="87">
        <v>7</v>
      </c>
      <c r="C354" s="173" t="s">
        <v>16</v>
      </c>
      <c r="D354" s="173" t="s">
        <v>17</v>
      </c>
      <c r="E354" s="173" t="s">
        <v>18</v>
      </c>
      <c r="F354" s="173" t="s">
        <v>16</v>
      </c>
      <c r="G354" s="87" t="b">
        <v>1</v>
      </c>
      <c r="H354" s="87" t="b">
        <v>0</v>
      </c>
      <c r="I354" s="87" t="b">
        <v>0</v>
      </c>
      <c r="J354" s="173" t="s">
        <v>470</v>
      </c>
      <c r="K354" s="174">
        <v>29435005009851</v>
      </c>
      <c r="L354" s="173" t="s">
        <v>913</v>
      </c>
      <c r="M354" s="173" t="s">
        <v>62</v>
      </c>
      <c r="N354" s="173" t="s">
        <v>63</v>
      </c>
      <c r="O354" s="87">
        <v>64</v>
      </c>
      <c r="P354" s="173" t="s">
        <v>25</v>
      </c>
      <c r="Q354" s="1" t="s">
        <v>1344</v>
      </c>
      <c r="R354" s="175">
        <v>15</v>
      </c>
      <c r="S354">
        <v>15</v>
      </c>
    </row>
    <row r="355" spans="1:19" x14ac:dyDescent="0.25">
      <c r="A355" s="87">
        <v>2019</v>
      </c>
      <c r="B355" s="87">
        <v>7</v>
      </c>
      <c r="C355" s="173" t="s">
        <v>16</v>
      </c>
      <c r="D355" s="173" t="s">
        <v>17</v>
      </c>
      <c r="E355" s="173" t="s">
        <v>18</v>
      </c>
      <c r="F355" s="173" t="s">
        <v>16</v>
      </c>
      <c r="G355" s="87" t="b">
        <v>1</v>
      </c>
      <c r="H355" s="87" t="b">
        <v>0</v>
      </c>
      <c r="I355" s="87" t="b">
        <v>0</v>
      </c>
      <c r="J355" s="173" t="s">
        <v>470</v>
      </c>
      <c r="K355" s="174">
        <v>29435005009851</v>
      </c>
      <c r="L355" s="173" t="s">
        <v>913</v>
      </c>
      <c r="M355" s="173" t="s">
        <v>62</v>
      </c>
      <c r="N355" s="173" t="s">
        <v>63</v>
      </c>
      <c r="O355" s="87">
        <v>70</v>
      </c>
      <c r="P355" s="173" t="s">
        <v>20</v>
      </c>
      <c r="Q355" s="1" t="s">
        <v>1338</v>
      </c>
      <c r="R355" s="175">
        <v>175</v>
      </c>
      <c r="S355">
        <v>35</v>
      </c>
    </row>
    <row r="356" spans="1:19" x14ac:dyDescent="0.25">
      <c r="A356" s="87">
        <v>2019</v>
      </c>
      <c r="B356" s="87">
        <v>7</v>
      </c>
      <c r="C356" s="173" t="s">
        <v>16</v>
      </c>
      <c r="D356" s="173" t="s">
        <v>17</v>
      </c>
      <c r="E356" s="173" t="s">
        <v>18</v>
      </c>
      <c r="F356" s="173" t="s">
        <v>16</v>
      </c>
      <c r="G356" s="87" t="b">
        <v>1</v>
      </c>
      <c r="H356" s="87" t="b">
        <v>0</v>
      </c>
      <c r="I356" s="87" t="b">
        <v>0</v>
      </c>
      <c r="J356" s="173" t="s">
        <v>470</v>
      </c>
      <c r="K356" s="174">
        <v>29435005009932</v>
      </c>
      <c r="L356" s="173" t="s">
        <v>595</v>
      </c>
      <c r="M356" s="173" t="s">
        <v>29</v>
      </c>
      <c r="N356" s="173" t="s">
        <v>19</v>
      </c>
      <c r="O356" s="87">
        <v>62</v>
      </c>
      <c r="P356" s="173" t="s">
        <v>27</v>
      </c>
      <c r="Q356" s="1" t="s">
        <v>1343</v>
      </c>
      <c r="R356" s="175">
        <v>6</v>
      </c>
      <c r="S356">
        <v>6</v>
      </c>
    </row>
    <row r="357" spans="1:19" x14ac:dyDescent="0.25">
      <c r="A357" s="87">
        <v>2019</v>
      </c>
      <c r="B357" s="87">
        <v>7</v>
      </c>
      <c r="C357" s="173" t="s">
        <v>16</v>
      </c>
      <c r="D357" s="173" t="s">
        <v>17</v>
      </c>
      <c r="E357" s="173" t="s">
        <v>18</v>
      </c>
      <c r="F357" s="173" t="s">
        <v>16</v>
      </c>
      <c r="G357" s="87" t="b">
        <v>1</v>
      </c>
      <c r="H357" s="87" t="b">
        <v>0</v>
      </c>
      <c r="I357" s="87" t="b">
        <v>0</v>
      </c>
      <c r="J357" s="173" t="s">
        <v>470</v>
      </c>
      <c r="K357" s="174">
        <v>29435005009932</v>
      </c>
      <c r="L357" s="173" t="s">
        <v>595</v>
      </c>
      <c r="M357" s="173" t="s">
        <v>29</v>
      </c>
      <c r="N357" s="173" t="s">
        <v>19</v>
      </c>
      <c r="O357" s="87">
        <v>64</v>
      </c>
      <c r="P357" s="173" t="s">
        <v>25</v>
      </c>
      <c r="Q357" s="1" t="s">
        <v>1344</v>
      </c>
      <c r="R357" s="175">
        <v>4</v>
      </c>
      <c r="S357">
        <v>4</v>
      </c>
    </row>
    <row r="358" spans="1:19" x14ac:dyDescent="0.25">
      <c r="A358" s="87">
        <v>2019</v>
      </c>
      <c r="B358" s="87">
        <v>7</v>
      </c>
      <c r="C358" s="173" t="s">
        <v>16</v>
      </c>
      <c r="D358" s="173" t="s">
        <v>17</v>
      </c>
      <c r="E358" s="173" t="s">
        <v>18</v>
      </c>
      <c r="F358" s="173" t="s">
        <v>16</v>
      </c>
      <c r="G358" s="87" t="b">
        <v>1</v>
      </c>
      <c r="H358" s="87" t="b">
        <v>0</v>
      </c>
      <c r="I358" s="87" t="b">
        <v>0</v>
      </c>
      <c r="J358" s="173" t="s">
        <v>470</v>
      </c>
      <c r="K358" s="174">
        <v>29435005009932</v>
      </c>
      <c r="L358" s="173" t="s">
        <v>595</v>
      </c>
      <c r="M358" s="173" t="s">
        <v>29</v>
      </c>
      <c r="N358" s="173" t="s">
        <v>19</v>
      </c>
      <c r="O358" s="87">
        <v>70</v>
      </c>
      <c r="P358" s="173" t="s">
        <v>20</v>
      </c>
      <c r="Q358" s="1" t="s">
        <v>1338</v>
      </c>
      <c r="R358" s="175">
        <v>350</v>
      </c>
      <c r="S358">
        <v>70</v>
      </c>
    </row>
    <row r="359" spans="1:19" x14ac:dyDescent="0.25">
      <c r="A359" s="87">
        <v>2019</v>
      </c>
      <c r="B359" s="87">
        <v>7</v>
      </c>
      <c r="C359" s="173" t="s">
        <v>16</v>
      </c>
      <c r="D359" s="173" t="s">
        <v>17</v>
      </c>
      <c r="E359" s="173" t="s">
        <v>18</v>
      </c>
      <c r="F359" s="173" t="s">
        <v>16</v>
      </c>
      <c r="G359" s="87" t="b">
        <v>1</v>
      </c>
      <c r="H359" s="87" t="b">
        <v>0</v>
      </c>
      <c r="I359" s="87" t="b">
        <v>0</v>
      </c>
      <c r="J359" s="173" t="s">
        <v>452</v>
      </c>
      <c r="K359" s="174">
        <v>30117769000155</v>
      </c>
      <c r="L359" s="173" t="s">
        <v>976</v>
      </c>
      <c r="M359" s="173" t="s">
        <v>94</v>
      </c>
      <c r="N359" s="173" t="s">
        <v>57</v>
      </c>
      <c r="O359" s="87">
        <v>70</v>
      </c>
      <c r="P359" s="173" t="s">
        <v>20</v>
      </c>
      <c r="Q359" s="1" t="s">
        <v>1338</v>
      </c>
      <c r="R359" s="175">
        <v>215</v>
      </c>
      <c r="S359">
        <v>43</v>
      </c>
    </row>
    <row r="360" spans="1:19" x14ac:dyDescent="0.25">
      <c r="A360" s="87">
        <v>2019</v>
      </c>
      <c r="B360" s="87">
        <v>7</v>
      </c>
      <c r="C360" s="173" t="s">
        <v>16</v>
      </c>
      <c r="D360" s="173" t="s">
        <v>17</v>
      </c>
      <c r="E360" s="173" t="s">
        <v>18</v>
      </c>
      <c r="F360" s="173" t="s">
        <v>16</v>
      </c>
      <c r="G360" s="87" t="b">
        <v>1</v>
      </c>
      <c r="H360" s="87" t="b">
        <v>0</v>
      </c>
      <c r="I360" s="87" t="b">
        <v>0</v>
      </c>
      <c r="J360" s="173" t="s">
        <v>495</v>
      </c>
      <c r="K360" s="174">
        <v>30117769000155</v>
      </c>
      <c r="L360" s="173" t="s">
        <v>976</v>
      </c>
      <c r="M360" s="173" t="s">
        <v>94</v>
      </c>
      <c r="N360" s="173" t="s">
        <v>57</v>
      </c>
      <c r="O360" s="87">
        <v>70</v>
      </c>
      <c r="P360" s="173" t="s">
        <v>20</v>
      </c>
      <c r="Q360" s="1" t="s">
        <v>1338</v>
      </c>
      <c r="R360" s="175">
        <v>50</v>
      </c>
      <c r="S360">
        <v>10</v>
      </c>
    </row>
    <row r="361" spans="1:19" x14ac:dyDescent="0.25">
      <c r="A361" s="87">
        <v>2019</v>
      </c>
      <c r="B361" s="87">
        <v>7</v>
      </c>
      <c r="C361" s="173" t="s">
        <v>16</v>
      </c>
      <c r="D361" s="173" t="s">
        <v>17</v>
      </c>
      <c r="E361" s="173" t="s">
        <v>18</v>
      </c>
      <c r="F361" s="173" t="s">
        <v>16</v>
      </c>
      <c r="G361" s="87" t="b">
        <v>1</v>
      </c>
      <c r="H361" s="87" t="b">
        <v>0</v>
      </c>
      <c r="I361" s="87" t="b">
        <v>0</v>
      </c>
      <c r="J361" s="173" t="s">
        <v>491</v>
      </c>
      <c r="K361" s="174">
        <v>31635857000101</v>
      </c>
      <c r="L361" s="173" t="s">
        <v>1106</v>
      </c>
      <c r="M361" s="173" t="s">
        <v>131</v>
      </c>
      <c r="N361" s="173" t="s">
        <v>61</v>
      </c>
      <c r="O361" s="87">
        <v>62</v>
      </c>
      <c r="P361" s="173" t="s">
        <v>27</v>
      </c>
      <c r="Q361" s="1" t="s">
        <v>1343</v>
      </c>
      <c r="R361" s="175">
        <v>1</v>
      </c>
      <c r="S361">
        <v>1</v>
      </c>
    </row>
    <row r="362" spans="1:19" x14ac:dyDescent="0.25">
      <c r="A362" s="87">
        <v>2019</v>
      </c>
      <c r="B362" s="87">
        <v>7</v>
      </c>
      <c r="C362" s="173" t="s">
        <v>16</v>
      </c>
      <c r="D362" s="173" t="s">
        <v>17</v>
      </c>
      <c r="E362" s="173" t="s">
        <v>18</v>
      </c>
      <c r="F362" s="173" t="s">
        <v>16</v>
      </c>
      <c r="G362" s="87" t="b">
        <v>1</v>
      </c>
      <c r="H362" s="87" t="b">
        <v>0</v>
      </c>
      <c r="I362" s="87" t="b">
        <v>0</v>
      </c>
      <c r="J362" s="173" t="s">
        <v>491</v>
      </c>
      <c r="K362" s="174">
        <v>31635857000292</v>
      </c>
      <c r="L362" s="173" t="s">
        <v>1107</v>
      </c>
      <c r="M362" s="173" t="s">
        <v>131</v>
      </c>
      <c r="N362" s="173" t="s">
        <v>61</v>
      </c>
      <c r="O362" s="87">
        <v>62</v>
      </c>
      <c r="P362" s="173" t="s">
        <v>27</v>
      </c>
      <c r="Q362" s="1" t="s">
        <v>1343</v>
      </c>
      <c r="R362" s="175">
        <v>7</v>
      </c>
      <c r="S362">
        <v>7</v>
      </c>
    </row>
    <row r="363" spans="1:19" x14ac:dyDescent="0.25">
      <c r="A363" s="87">
        <v>2019</v>
      </c>
      <c r="B363" s="87">
        <v>7</v>
      </c>
      <c r="C363" s="173" t="s">
        <v>16</v>
      </c>
      <c r="D363" s="173" t="s">
        <v>17</v>
      </c>
      <c r="E363" s="173" t="s">
        <v>18</v>
      </c>
      <c r="F363" s="173" t="s">
        <v>16</v>
      </c>
      <c r="G363" s="87" t="b">
        <v>1</v>
      </c>
      <c r="H363" s="87" t="b">
        <v>0</v>
      </c>
      <c r="I363" s="87" t="b">
        <v>0</v>
      </c>
      <c r="J363" s="173" t="s">
        <v>477</v>
      </c>
      <c r="K363" s="174">
        <v>31635857000292</v>
      </c>
      <c r="L363" s="173" t="s">
        <v>1107</v>
      </c>
      <c r="M363" s="173" t="s">
        <v>131</v>
      </c>
      <c r="N363" s="173" t="s">
        <v>61</v>
      </c>
      <c r="O363" s="87">
        <v>73</v>
      </c>
      <c r="P363" s="173" t="s">
        <v>26</v>
      </c>
      <c r="Q363" s="1" t="s">
        <v>1342</v>
      </c>
      <c r="R363" s="175">
        <v>12</v>
      </c>
      <c r="S363">
        <v>3</v>
      </c>
    </row>
    <row r="364" spans="1:19" x14ac:dyDescent="0.25">
      <c r="A364" s="87">
        <v>2019</v>
      </c>
      <c r="B364" s="87">
        <v>7</v>
      </c>
      <c r="C364" s="173" t="s">
        <v>16</v>
      </c>
      <c r="D364" s="173" t="s">
        <v>17</v>
      </c>
      <c r="E364" s="173" t="s">
        <v>18</v>
      </c>
      <c r="F364" s="173" t="s">
        <v>16</v>
      </c>
      <c r="G364" s="87" t="b">
        <v>1</v>
      </c>
      <c r="H364" s="87" t="b">
        <v>0</v>
      </c>
      <c r="I364" s="87" t="b">
        <v>0</v>
      </c>
      <c r="J364" s="173" t="s">
        <v>491</v>
      </c>
      <c r="K364" s="174">
        <v>32154700000127</v>
      </c>
      <c r="L364" s="173" t="s">
        <v>1109</v>
      </c>
      <c r="M364" s="173" t="s">
        <v>131</v>
      </c>
      <c r="N364" s="173" t="s">
        <v>61</v>
      </c>
      <c r="O364" s="87">
        <v>62</v>
      </c>
      <c r="P364" s="173" t="s">
        <v>27</v>
      </c>
      <c r="Q364" s="1" t="s">
        <v>1343</v>
      </c>
      <c r="R364" s="175">
        <v>5</v>
      </c>
      <c r="S364">
        <v>5</v>
      </c>
    </row>
    <row r="365" spans="1:19" x14ac:dyDescent="0.25">
      <c r="A365" s="87">
        <v>2019</v>
      </c>
      <c r="B365" s="87">
        <v>7</v>
      </c>
      <c r="C365" s="173" t="s">
        <v>16</v>
      </c>
      <c r="D365" s="173" t="s">
        <v>17</v>
      </c>
      <c r="E365" s="173" t="s">
        <v>18</v>
      </c>
      <c r="F365" s="173" t="s">
        <v>16</v>
      </c>
      <c r="G365" s="87" t="b">
        <v>1</v>
      </c>
      <c r="H365" s="87" t="b">
        <v>0</v>
      </c>
      <c r="I365" s="87" t="b">
        <v>0</v>
      </c>
      <c r="J365" s="173" t="s">
        <v>455</v>
      </c>
      <c r="K365" s="174">
        <v>32154700000127</v>
      </c>
      <c r="L365" s="173" t="s">
        <v>1109</v>
      </c>
      <c r="M365" s="173" t="s">
        <v>131</v>
      </c>
      <c r="N365" s="173" t="s">
        <v>61</v>
      </c>
      <c r="O365" s="87">
        <v>64</v>
      </c>
      <c r="P365" s="173" t="s">
        <v>25</v>
      </c>
      <c r="Q365" s="1" t="s">
        <v>1344</v>
      </c>
      <c r="R365" s="175">
        <v>8</v>
      </c>
      <c r="S365">
        <v>8</v>
      </c>
    </row>
    <row r="366" spans="1:19" x14ac:dyDescent="0.25">
      <c r="A366" s="87">
        <v>2019</v>
      </c>
      <c r="B366" s="87">
        <v>7</v>
      </c>
      <c r="C366" s="173" t="s">
        <v>16</v>
      </c>
      <c r="D366" s="173" t="s">
        <v>17</v>
      </c>
      <c r="E366" s="173" t="s">
        <v>18</v>
      </c>
      <c r="F366" s="173" t="s">
        <v>16</v>
      </c>
      <c r="G366" s="87" t="b">
        <v>1</v>
      </c>
      <c r="H366" s="87" t="b">
        <v>0</v>
      </c>
      <c r="I366" s="87" t="b">
        <v>0</v>
      </c>
      <c r="J366" s="173" t="s">
        <v>464</v>
      </c>
      <c r="K366" s="174">
        <v>33000167000101</v>
      </c>
      <c r="L366" s="173" t="s">
        <v>1110</v>
      </c>
      <c r="M366" s="173" t="s">
        <v>131</v>
      </c>
      <c r="N366" s="173" t="s">
        <v>61</v>
      </c>
      <c r="O366" s="87">
        <v>70</v>
      </c>
      <c r="P366" s="173" t="s">
        <v>20</v>
      </c>
      <c r="Q366" s="1" t="s">
        <v>1338</v>
      </c>
      <c r="R366" s="175">
        <v>140</v>
      </c>
      <c r="S366">
        <v>28</v>
      </c>
    </row>
    <row r="367" spans="1:19" x14ac:dyDescent="0.25">
      <c r="A367" s="87">
        <v>2019</v>
      </c>
      <c r="B367" s="87">
        <v>7</v>
      </c>
      <c r="C367" s="173" t="s">
        <v>16</v>
      </c>
      <c r="D367" s="173" t="s">
        <v>17</v>
      </c>
      <c r="E367" s="173" t="s">
        <v>18</v>
      </c>
      <c r="F367" s="173" t="s">
        <v>16</v>
      </c>
      <c r="G367" s="87" t="b">
        <v>1</v>
      </c>
      <c r="H367" s="87" t="b">
        <v>0</v>
      </c>
      <c r="I367" s="87" t="b">
        <v>0</v>
      </c>
      <c r="J367" s="173" t="s">
        <v>477</v>
      </c>
      <c r="K367" s="174">
        <v>33419482000259</v>
      </c>
      <c r="L367" s="173" t="s">
        <v>1111</v>
      </c>
      <c r="M367" s="173" t="s">
        <v>131</v>
      </c>
      <c r="N367" s="173" t="s">
        <v>61</v>
      </c>
      <c r="O367" s="87">
        <v>62</v>
      </c>
      <c r="P367" s="173" t="s">
        <v>27</v>
      </c>
      <c r="Q367" s="1" t="s">
        <v>1343</v>
      </c>
      <c r="R367" s="175">
        <v>11</v>
      </c>
      <c r="S367">
        <v>11</v>
      </c>
    </row>
    <row r="368" spans="1:19" x14ac:dyDescent="0.25">
      <c r="A368" s="87">
        <v>2019</v>
      </c>
      <c r="B368" s="87">
        <v>7</v>
      </c>
      <c r="C368" s="173" t="s">
        <v>16</v>
      </c>
      <c r="D368" s="173" t="s">
        <v>17</v>
      </c>
      <c r="E368" s="173" t="s">
        <v>18</v>
      </c>
      <c r="F368" s="173" t="s">
        <v>16</v>
      </c>
      <c r="G368" s="87" t="b">
        <v>1</v>
      </c>
      <c r="H368" s="87" t="b">
        <v>0</v>
      </c>
      <c r="I368" s="87" t="b">
        <v>0</v>
      </c>
      <c r="J368" s="173" t="s">
        <v>477</v>
      </c>
      <c r="K368" s="174">
        <v>33419482000259</v>
      </c>
      <c r="L368" s="173" t="s">
        <v>1111</v>
      </c>
      <c r="M368" s="173" t="s">
        <v>131</v>
      </c>
      <c r="N368" s="173" t="s">
        <v>61</v>
      </c>
      <c r="O368" s="87">
        <v>64</v>
      </c>
      <c r="P368" s="173" t="s">
        <v>25</v>
      </c>
      <c r="Q368" s="1" t="s">
        <v>1344</v>
      </c>
      <c r="R368" s="175">
        <v>5</v>
      </c>
      <c r="S368">
        <v>5</v>
      </c>
    </row>
    <row r="369" spans="1:19" x14ac:dyDescent="0.25">
      <c r="A369" s="87">
        <v>2019</v>
      </c>
      <c r="B369" s="87">
        <v>7</v>
      </c>
      <c r="C369" s="173" t="s">
        <v>16</v>
      </c>
      <c r="D369" s="173" t="s">
        <v>17</v>
      </c>
      <c r="E369" s="173" t="s">
        <v>18</v>
      </c>
      <c r="F369" s="173" t="s">
        <v>16</v>
      </c>
      <c r="G369" s="87" t="b">
        <v>1</v>
      </c>
      <c r="H369" s="87" t="b">
        <v>0</v>
      </c>
      <c r="I369" s="87" t="b">
        <v>0</v>
      </c>
      <c r="J369" s="173" t="s">
        <v>451</v>
      </c>
      <c r="K369" s="174">
        <v>33419482000259</v>
      </c>
      <c r="L369" s="173" t="s">
        <v>1111</v>
      </c>
      <c r="M369" s="173" t="s">
        <v>131</v>
      </c>
      <c r="N369" s="173" t="s">
        <v>61</v>
      </c>
      <c r="O369" s="87">
        <v>64</v>
      </c>
      <c r="P369" s="173" t="s">
        <v>25</v>
      </c>
      <c r="Q369" s="1" t="s">
        <v>1344</v>
      </c>
      <c r="R369" s="175">
        <v>4</v>
      </c>
      <c r="S369">
        <v>4</v>
      </c>
    </row>
    <row r="370" spans="1:19" x14ac:dyDescent="0.25">
      <c r="A370" s="87">
        <v>2019</v>
      </c>
      <c r="B370" s="87">
        <v>7</v>
      </c>
      <c r="C370" s="173" t="s">
        <v>16</v>
      </c>
      <c r="D370" s="173" t="s">
        <v>17</v>
      </c>
      <c r="E370" s="173" t="s">
        <v>18</v>
      </c>
      <c r="F370" s="173" t="s">
        <v>16</v>
      </c>
      <c r="G370" s="87" t="b">
        <v>1</v>
      </c>
      <c r="H370" s="87" t="b">
        <v>0</v>
      </c>
      <c r="I370" s="87" t="b">
        <v>0</v>
      </c>
      <c r="J370" s="173" t="s">
        <v>450</v>
      </c>
      <c r="K370" s="174">
        <v>33419482000259</v>
      </c>
      <c r="L370" s="173" t="s">
        <v>1111</v>
      </c>
      <c r="M370" s="173" t="s">
        <v>131</v>
      </c>
      <c r="N370" s="173" t="s">
        <v>61</v>
      </c>
      <c r="O370" s="87">
        <v>70</v>
      </c>
      <c r="P370" s="173" t="s">
        <v>20</v>
      </c>
      <c r="Q370" s="1" t="s">
        <v>1338</v>
      </c>
      <c r="R370" s="175">
        <v>10</v>
      </c>
      <c r="S370">
        <v>2</v>
      </c>
    </row>
    <row r="371" spans="1:19" x14ac:dyDescent="0.25">
      <c r="A371" s="87">
        <v>2019</v>
      </c>
      <c r="B371" s="87">
        <v>7</v>
      </c>
      <c r="C371" s="173" t="s">
        <v>16</v>
      </c>
      <c r="D371" s="173" t="s">
        <v>17</v>
      </c>
      <c r="E371" s="173" t="s">
        <v>18</v>
      </c>
      <c r="F371" s="173" t="s">
        <v>16</v>
      </c>
      <c r="G371" s="87" t="b">
        <v>1</v>
      </c>
      <c r="H371" s="87" t="b">
        <v>0</v>
      </c>
      <c r="I371" s="87" t="b">
        <v>0</v>
      </c>
      <c r="J371" s="173" t="s">
        <v>1330</v>
      </c>
      <c r="K371" s="174">
        <v>33663683002674</v>
      </c>
      <c r="L371" s="173" t="s">
        <v>1113</v>
      </c>
      <c r="M371" s="173" t="s">
        <v>131</v>
      </c>
      <c r="N371" s="173" t="s">
        <v>61</v>
      </c>
      <c r="O371" s="87">
        <v>64</v>
      </c>
      <c r="P371" s="173" t="s">
        <v>25</v>
      </c>
      <c r="Q371" s="1" t="s">
        <v>1344</v>
      </c>
      <c r="R371" s="175">
        <v>2</v>
      </c>
      <c r="S371">
        <v>2</v>
      </c>
    </row>
    <row r="372" spans="1:19" x14ac:dyDescent="0.25">
      <c r="A372" s="87">
        <v>2019</v>
      </c>
      <c r="B372" s="87">
        <v>7</v>
      </c>
      <c r="C372" s="173" t="s">
        <v>16</v>
      </c>
      <c r="D372" s="173" t="s">
        <v>17</v>
      </c>
      <c r="E372" s="173" t="s">
        <v>18</v>
      </c>
      <c r="F372" s="173" t="s">
        <v>16</v>
      </c>
      <c r="G372" s="87" t="b">
        <v>1</v>
      </c>
      <c r="H372" s="87" t="b">
        <v>0</v>
      </c>
      <c r="I372" s="87" t="b">
        <v>0</v>
      </c>
      <c r="J372" s="173" t="s">
        <v>1330</v>
      </c>
      <c r="K372" s="174">
        <v>33663683005347</v>
      </c>
      <c r="L372" s="173" t="s">
        <v>1114</v>
      </c>
      <c r="M372" s="173" t="s">
        <v>131</v>
      </c>
      <c r="N372" s="173" t="s">
        <v>61</v>
      </c>
      <c r="O372" s="87">
        <v>70</v>
      </c>
      <c r="P372" s="173" t="s">
        <v>20</v>
      </c>
      <c r="Q372" s="1" t="s">
        <v>1338</v>
      </c>
      <c r="R372" s="175">
        <v>800</v>
      </c>
      <c r="S372">
        <v>160</v>
      </c>
    </row>
    <row r="373" spans="1:19" x14ac:dyDescent="0.25">
      <c r="A373" s="87">
        <v>2019</v>
      </c>
      <c r="B373" s="87">
        <v>7</v>
      </c>
      <c r="C373" s="173" t="s">
        <v>16</v>
      </c>
      <c r="D373" s="173" t="s">
        <v>17</v>
      </c>
      <c r="E373" s="173" t="s">
        <v>18</v>
      </c>
      <c r="F373" s="173" t="s">
        <v>16</v>
      </c>
      <c r="G373" s="87" t="b">
        <v>1</v>
      </c>
      <c r="H373" s="87" t="b">
        <v>0</v>
      </c>
      <c r="I373" s="87" t="b">
        <v>0</v>
      </c>
      <c r="J373" s="173" t="s">
        <v>1330</v>
      </c>
      <c r="K373" s="174">
        <v>33781055000216</v>
      </c>
      <c r="L373" s="173" t="s">
        <v>1116</v>
      </c>
      <c r="M373" s="173" t="s">
        <v>131</v>
      </c>
      <c r="N373" s="173" t="s">
        <v>61</v>
      </c>
      <c r="O373" s="87">
        <v>70</v>
      </c>
      <c r="P373" s="173" t="s">
        <v>20</v>
      </c>
      <c r="Q373" s="1" t="s">
        <v>1346</v>
      </c>
      <c r="R373" s="175">
        <v>20</v>
      </c>
      <c r="S373">
        <v>8</v>
      </c>
    </row>
    <row r="374" spans="1:19" x14ac:dyDescent="0.25">
      <c r="A374" s="87">
        <v>2019</v>
      </c>
      <c r="B374" s="87">
        <v>7</v>
      </c>
      <c r="C374" s="173" t="s">
        <v>16</v>
      </c>
      <c r="D374" s="173" t="s">
        <v>17</v>
      </c>
      <c r="E374" s="173" t="s">
        <v>18</v>
      </c>
      <c r="F374" s="173" t="s">
        <v>16</v>
      </c>
      <c r="G374" s="87" t="b">
        <v>1</v>
      </c>
      <c r="H374" s="87" t="b">
        <v>0</v>
      </c>
      <c r="I374" s="87" t="b">
        <v>0</v>
      </c>
      <c r="J374" s="173" t="s">
        <v>1330</v>
      </c>
      <c r="K374" s="174">
        <v>33781055000216</v>
      </c>
      <c r="L374" s="173" t="s">
        <v>1116</v>
      </c>
      <c r="M374" s="173" t="s">
        <v>131</v>
      </c>
      <c r="N374" s="173" t="s">
        <v>61</v>
      </c>
      <c r="O374" s="87">
        <v>70</v>
      </c>
      <c r="P374" s="173" t="s">
        <v>20</v>
      </c>
      <c r="Q374" s="1" t="s">
        <v>1338</v>
      </c>
      <c r="R374" s="175">
        <v>250</v>
      </c>
      <c r="S374">
        <v>50</v>
      </c>
    </row>
    <row r="375" spans="1:19" x14ac:dyDescent="0.25">
      <c r="A375" s="87">
        <v>2019</v>
      </c>
      <c r="B375" s="87">
        <v>7</v>
      </c>
      <c r="C375" s="173" t="s">
        <v>16</v>
      </c>
      <c r="D375" s="173" t="s">
        <v>17</v>
      </c>
      <c r="E375" s="173" t="s">
        <v>18</v>
      </c>
      <c r="F375" s="173" t="s">
        <v>16</v>
      </c>
      <c r="G375" s="87" t="b">
        <v>1</v>
      </c>
      <c r="H375" s="87" t="b">
        <v>0</v>
      </c>
      <c r="I375" s="87" t="b">
        <v>0</v>
      </c>
      <c r="J375" s="173" t="s">
        <v>478</v>
      </c>
      <c r="K375" s="174">
        <v>33927377000140</v>
      </c>
      <c r="L375" s="173" t="s">
        <v>1117</v>
      </c>
      <c r="M375" s="173" t="s">
        <v>131</v>
      </c>
      <c r="N375" s="173" t="s">
        <v>61</v>
      </c>
      <c r="O375" s="87">
        <v>70</v>
      </c>
      <c r="P375" s="173" t="s">
        <v>20</v>
      </c>
      <c r="Q375" s="1" t="s">
        <v>1338</v>
      </c>
      <c r="R375" s="175">
        <v>-5</v>
      </c>
      <c r="S375">
        <v>-1</v>
      </c>
    </row>
    <row r="376" spans="1:19" x14ac:dyDescent="0.25">
      <c r="A376" s="87">
        <v>2019</v>
      </c>
      <c r="B376" s="87">
        <v>7</v>
      </c>
      <c r="C376" s="173" t="s">
        <v>16</v>
      </c>
      <c r="D376" s="173" t="s">
        <v>17</v>
      </c>
      <c r="E376" s="173" t="s">
        <v>18</v>
      </c>
      <c r="F376" s="173" t="s">
        <v>16</v>
      </c>
      <c r="G376" s="87" t="b">
        <v>1</v>
      </c>
      <c r="H376" s="87" t="b">
        <v>0</v>
      </c>
      <c r="I376" s="87" t="b">
        <v>0</v>
      </c>
      <c r="J376" s="173" t="s">
        <v>455</v>
      </c>
      <c r="K376" s="174">
        <v>35830868000446</v>
      </c>
      <c r="L376" s="173" t="s">
        <v>1060</v>
      </c>
      <c r="M376" s="173" t="s">
        <v>1061</v>
      </c>
      <c r="N376" s="173" t="s">
        <v>61</v>
      </c>
      <c r="O376" s="87">
        <v>64</v>
      </c>
      <c r="P376" s="173" t="s">
        <v>25</v>
      </c>
      <c r="Q376" s="1" t="s">
        <v>1344</v>
      </c>
      <c r="R376" s="175">
        <v>3</v>
      </c>
      <c r="S376">
        <v>3</v>
      </c>
    </row>
    <row r="377" spans="1:19" x14ac:dyDescent="0.25">
      <c r="A377" s="87">
        <v>2019</v>
      </c>
      <c r="B377" s="87">
        <v>7</v>
      </c>
      <c r="C377" s="173" t="s">
        <v>16</v>
      </c>
      <c r="D377" s="173" t="s">
        <v>17</v>
      </c>
      <c r="E377" s="173" t="s">
        <v>18</v>
      </c>
      <c r="F377" s="173" t="s">
        <v>16</v>
      </c>
      <c r="G377" s="87" t="b">
        <v>1</v>
      </c>
      <c r="H377" s="87" t="b">
        <v>0</v>
      </c>
      <c r="I377" s="87" t="b">
        <v>0</v>
      </c>
      <c r="J377" s="173" t="s">
        <v>450</v>
      </c>
      <c r="K377" s="174">
        <v>37108388000159</v>
      </c>
      <c r="L377" s="173" t="s">
        <v>916</v>
      </c>
      <c r="M377" s="173" t="s">
        <v>739</v>
      </c>
      <c r="N377" s="173" t="s">
        <v>55</v>
      </c>
      <c r="O377" s="87">
        <v>62</v>
      </c>
      <c r="P377" s="173" t="s">
        <v>27</v>
      </c>
      <c r="Q377" s="1" t="s">
        <v>1343</v>
      </c>
      <c r="R377" s="175">
        <v>11</v>
      </c>
      <c r="S377">
        <v>11</v>
      </c>
    </row>
    <row r="378" spans="1:19" x14ac:dyDescent="0.25">
      <c r="A378" s="87">
        <v>2019</v>
      </c>
      <c r="B378" s="87">
        <v>7</v>
      </c>
      <c r="C378" s="173" t="s">
        <v>16</v>
      </c>
      <c r="D378" s="173" t="s">
        <v>17</v>
      </c>
      <c r="E378" s="173" t="s">
        <v>18</v>
      </c>
      <c r="F378" s="173" t="s">
        <v>16</v>
      </c>
      <c r="G378" s="87" t="b">
        <v>1</v>
      </c>
      <c r="H378" s="87" t="b">
        <v>0</v>
      </c>
      <c r="I378" s="87" t="b">
        <v>0</v>
      </c>
      <c r="J378" s="173" t="s">
        <v>464</v>
      </c>
      <c r="K378" s="174">
        <v>37108388000159</v>
      </c>
      <c r="L378" s="173" t="s">
        <v>916</v>
      </c>
      <c r="M378" s="173" t="s">
        <v>739</v>
      </c>
      <c r="N378" s="173" t="s">
        <v>55</v>
      </c>
      <c r="O378" s="87">
        <v>62</v>
      </c>
      <c r="P378" s="173" t="s">
        <v>27</v>
      </c>
      <c r="Q378" s="1" t="s">
        <v>1343</v>
      </c>
      <c r="R378" s="175">
        <v>4</v>
      </c>
      <c r="S378">
        <v>4</v>
      </c>
    </row>
    <row r="379" spans="1:19" x14ac:dyDescent="0.25">
      <c r="A379" s="87">
        <v>2019</v>
      </c>
      <c r="B379" s="87">
        <v>7</v>
      </c>
      <c r="C379" s="173" t="s">
        <v>16</v>
      </c>
      <c r="D379" s="173" t="s">
        <v>17</v>
      </c>
      <c r="E379" s="173" t="s">
        <v>18</v>
      </c>
      <c r="F379" s="173" t="s">
        <v>16</v>
      </c>
      <c r="G379" s="87" t="b">
        <v>1</v>
      </c>
      <c r="H379" s="87" t="b">
        <v>0</v>
      </c>
      <c r="I379" s="87" t="b">
        <v>0</v>
      </c>
      <c r="J379" s="173" t="s">
        <v>468</v>
      </c>
      <c r="K379" s="174">
        <v>37108388000159</v>
      </c>
      <c r="L379" s="173" t="s">
        <v>916</v>
      </c>
      <c r="M379" s="173" t="s">
        <v>739</v>
      </c>
      <c r="N379" s="173" t="s">
        <v>55</v>
      </c>
      <c r="O379" s="87">
        <v>64</v>
      </c>
      <c r="P379" s="173" t="s">
        <v>25</v>
      </c>
      <c r="Q379" s="1" t="s">
        <v>1344</v>
      </c>
      <c r="R379" s="175">
        <v>37</v>
      </c>
      <c r="S379">
        <v>37</v>
      </c>
    </row>
    <row r="380" spans="1:19" x14ac:dyDescent="0.25">
      <c r="A380" s="87">
        <v>2019</v>
      </c>
      <c r="B380" s="87">
        <v>7</v>
      </c>
      <c r="C380" s="173" t="s">
        <v>16</v>
      </c>
      <c r="D380" s="173" t="s">
        <v>17</v>
      </c>
      <c r="E380" s="173" t="s">
        <v>18</v>
      </c>
      <c r="F380" s="173" t="s">
        <v>16</v>
      </c>
      <c r="G380" s="87" t="b">
        <v>1</v>
      </c>
      <c r="H380" s="87" t="b">
        <v>0</v>
      </c>
      <c r="I380" s="87" t="b">
        <v>0</v>
      </c>
      <c r="J380" s="173" t="s">
        <v>455</v>
      </c>
      <c r="K380" s="174">
        <v>38000485000196</v>
      </c>
      <c r="L380" s="173" t="s">
        <v>917</v>
      </c>
      <c r="M380" s="173" t="s">
        <v>739</v>
      </c>
      <c r="N380" s="173" t="s">
        <v>55</v>
      </c>
      <c r="O380" s="87">
        <v>64</v>
      </c>
      <c r="P380" s="173" t="s">
        <v>25</v>
      </c>
      <c r="Q380" s="1" t="s">
        <v>1344</v>
      </c>
      <c r="R380" s="175">
        <v>3</v>
      </c>
      <c r="S380">
        <v>3</v>
      </c>
    </row>
    <row r="381" spans="1:19" x14ac:dyDescent="0.25">
      <c r="A381" s="87">
        <v>2019</v>
      </c>
      <c r="B381" s="87">
        <v>7</v>
      </c>
      <c r="C381" s="173" t="s">
        <v>16</v>
      </c>
      <c r="D381" s="173" t="s">
        <v>17</v>
      </c>
      <c r="E381" s="173" t="s">
        <v>18</v>
      </c>
      <c r="F381" s="173" t="s">
        <v>16</v>
      </c>
      <c r="G381" s="87" t="b">
        <v>1</v>
      </c>
      <c r="H381" s="87" t="b">
        <v>0</v>
      </c>
      <c r="I381" s="87" t="b">
        <v>0</v>
      </c>
      <c r="J381" s="173" t="s">
        <v>470</v>
      </c>
      <c r="K381" s="174">
        <v>39086160000130</v>
      </c>
      <c r="L381" s="173" t="s">
        <v>1119</v>
      </c>
      <c r="M381" s="173" t="s">
        <v>131</v>
      </c>
      <c r="N381" s="173" t="s">
        <v>61</v>
      </c>
      <c r="O381" s="87">
        <v>70</v>
      </c>
      <c r="P381" s="173" t="s">
        <v>20</v>
      </c>
      <c r="Q381" s="1" t="s">
        <v>1338</v>
      </c>
      <c r="R381" s="175">
        <v>200</v>
      </c>
      <c r="S381">
        <v>40</v>
      </c>
    </row>
    <row r="382" spans="1:19" x14ac:dyDescent="0.25">
      <c r="A382" s="87">
        <v>2019</v>
      </c>
      <c r="B382" s="87">
        <v>7</v>
      </c>
      <c r="C382" s="173" t="s">
        <v>16</v>
      </c>
      <c r="D382" s="173" t="s">
        <v>17</v>
      </c>
      <c r="E382" s="173" t="s">
        <v>18</v>
      </c>
      <c r="F382" s="173" t="s">
        <v>16</v>
      </c>
      <c r="G382" s="87" t="b">
        <v>1</v>
      </c>
      <c r="H382" s="87" t="b">
        <v>0</v>
      </c>
      <c r="I382" s="87" t="b">
        <v>0</v>
      </c>
      <c r="J382" s="173" t="s">
        <v>470</v>
      </c>
      <c r="K382" s="174">
        <v>39086160000130</v>
      </c>
      <c r="L382" s="173" t="s">
        <v>1119</v>
      </c>
      <c r="M382" s="173" t="s">
        <v>131</v>
      </c>
      <c r="N382" s="173" t="s">
        <v>61</v>
      </c>
      <c r="O382" s="87">
        <v>73</v>
      </c>
      <c r="P382" s="173" t="s">
        <v>26</v>
      </c>
      <c r="Q382" s="1" t="s">
        <v>1342</v>
      </c>
      <c r="R382" s="175">
        <v>100</v>
      </c>
      <c r="S382">
        <v>25</v>
      </c>
    </row>
    <row r="383" spans="1:19" x14ac:dyDescent="0.25">
      <c r="A383" s="87">
        <v>2019</v>
      </c>
      <c r="B383" s="87">
        <v>7</v>
      </c>
      <c r="C383" s="173" t="s">
        <v>16</v>
      </c>
      <c r="D383" s="173" t="s">
        <v>17</v>
      </c>
      <c r="E383" s="173" t="s">
        <v>18</v>
      </c>
      <c r="F383" s="173" t="s">
        <v>16</v>
      </c>
      <c r="G383" s="87" t="b">
        <v>1</v>
      </c>
      <c r="H383" s="87" t="b">
        <v>0</v>
      </c>
      <c r="I383" s="87" t="b">
        <v>0</v>
      </c>
      <c r="J383" s="173" t="s">
        <v>478</v>
      </c>
      <c r="K383" s="174">
        <v>39387477000107</v>
      </c>
      <c r="L383" s="173" t="s">
        <v>1218</v>
      </c>
      <c r="M383" s="173" t="s">
        <v>1157</v>
      </c>
      <c r="N383" s="173" t="s">
        <v>98</v>
      </c>
      <c r="O383" s="87">
        <v>70</v>
      </c>
      <c r="P383" s="173" t="s">
        <v>20</v>
      </c>
      <c r="Q383" s="1" t="s">
        <v>1338</v>
      </c>
      <c r="R383" s="175">
        <v>180</v>
      </c>
      <c r="S383">
        <v>36</v>
      </c>
    </row>
    <row r="384" spans="1:19" x14ac:dyDescent="0.25">
      <c r="A384" s="87">
        <v>2019</v>
      </c>
      <c r="B384" s="87">
        <v>7</v>
      </c>
      <c r="C384" s="173" t="s">
        <v>16</v>
      </c>
      <c r="D384" s="173" t="s">
        <v>17</v>
      </c>
      <c r="E384" s="173" t="s">
        <v>18</v>
      </c>
      <c r="F384" s="173" t="s">
        <v>16</v>
      </c>
      <c r="G384" s="87" t="b">
        <v>1</v>
      </c>
      <c r="H384" s="87" t="b">
        <v>0</v>
      </c>
      <c r="I384" s="87" t="b">
        <v>0</v>
      </c>
      <c r="J384" s="173" t="s">
        <v>470</v>
      </c>
      <c r="K384" s="174">
        <v>41781949000234</v>
      </c>
      <c r="L384" s="173" t="s">
        <v>1219</v>
      </c>
      <c r="M384" s="173" t="s">
        <v>1220</v>
      </c>
      <c r="N384" s="173" t="s">
        <v>54</v>
      </c>
      <c r="O384" s="87">
        <v>70</v>
      </c>
      <c r="P384" s="173" t="s">
        <v>20</v>
      </c>
      <c r="Q384" s="1" t="s">
        <v>1338</v>
      </c>
      <c r="R384" s="175">
        <v>150</v>
      </c>
      <c r="S384">
        <v>30</v>
      </c>
    </row>
    <row r="385" spans="1:19" x14ac:dyDescent="0.25">
      <c r="A385" s="87">
        <v>2019</v>
      </c>
      <c r="B385" s="87">
        <v>7</v>
      </c>
      <c r="C385" s="173" t="s">
        <v>16</v>
      </c>
      <c r="D385" s="173" t="s">
        <v>17</v>
      </c>
      <c r="E385" s="173" t="s">
        <v>18</v>
      </c>
      <c r="F385" s="173" t="s">
        <v>16</v>
      </c>
      <c r="G385" s="87" t="b">
        <v>1</v>
      </c>
      <c r="H385" s="87" t="b">
        <v>0</v>
      </c>
      <c r="I385" s="87" t="b">
        <v>0</v>
      </c>
      <c r="J385" s="173" t="s">
        <v>470</v>
      </c>
      <c r="K385" s="174">
        <v>43293604002120</v>
      </c>
      <c r="L385" s="173" t="s">
        <v>673</v>
      </c>
      <c r="M385" s="173" t="s">
        <v>674</v>
      </c>
      <c r="N385" s="173" t="s">
        <v>19</v>
      </c>
      <c r="O385" s="87">
        <v>70</v>
      </c>
      <c r="P385" s="173" t="s">
        <v>20</v>
      </c>
      <c r="Q385" s="1" t="s">
        <v>1338</v>
      </c>
      <c r="R385" s="175">
        <v>120</v>
      </c>
      <c r="S385">
        <v>24</v>
      </c>
    </row>
    <row r="386" spans="1:19" x14ac:dyDescent="0.25">
      <c r="A386" s="87">
        <v>2019</v>
      </c>
      <c r="B386" s="87">
        <v>7</v>
      </c>
      <c r="C386" s="173" t="s">
        <v>16</v>
      </c>
      <c r="D386" s="173" t="s">
        <v>17</v>
      </c>
      <c r="E386" s="173" t="s">
        <v>18</v>
      </c>
      <c r="F386" s="173" t="s">
        <v>16</v>
      </c>
      <c r="G386" s="87" t="b">
        <v>1</v>
      </c>
      <c r="H386" s="87" t="b">
        <v>0</v>
      </c>
      <c r="I386" s="87" t="b">
        <v>0</v>
      </c>
      <c r="J386" s="173" t="s">
        <v>470</v>
      </c>
      <c r="K386" s="174">
        <v>43643139000409</v>
      </c>
      <c r="L386" s="173" t="s">
        <v>596</v>
      </c>
      <c r="M386" s="173" t="s">
        <v>29</v>
      </c>
      <c r="N386" s="173" t="s">
        <v>19</v>
      </c>
      <c r="O386" s="87">
        <v>70</v>
      </c>
      <c r="P386" s="173" t="s">
        <v>20</v>
      </c>
      <c r="Q386" s="1" t="s">
        <v>1338</v>
      </c>
      <c r="R386" s="175">
        <v>120</v>
      </c>
      <c r="S386">
        <v>24</v>
      </c>
    </row>
    <row r="387" spans="1:19" x14ac:dyDescent="0.25">
      <c r="A387" s="87">
        <v>2019</v>
      </c>
      <c r="B387" s="87">
        <v>7</v>
      </c>
      <c r="C387" s="173" t="s">
        <v>16</v>
      </c>
      <c r="D387" s="173" t="s">
        <v>17</v>
      </c>
      <c r="E387" s="173" t="s">
        <v>18</v>
      </c>
      <c r="F387" s="173" t="s">
        <v>16</v>
      </c>
      <c r="G387" s="87" t="b">
        <v>1</v>
      </c>
      <c r="H387" s="87" t="b">
        <v>0</v>
      </c>
      <c r="I387" s="87" t="b">
        <v>0</v>
      </c>
      <c r="J387" s="173" t="s">
        <v>464</v>
      </c>
      <c r="K387" s="174">
        <v>43643139000409</v>
      </c>
      <c r="L387" s="173" t="s">
        <v>596</v>
      </c>
      <c r="M387" s="173" t="s">
        <v>29</v>
      </c>
      <c r="N387" s="173" t="s">
        <v>19</v>
      </c>
      <c r="O387" s="87">
        <v>70</v>
      </c>
      <c r="P387" s="173" t="s">
        <v>20</v>
      </c>
      <c r="Q387" s="1" t="s">
        <v>1338</v>
      </c>
      <c r="R387" s="175">
        <v>40</v>
      </c>
      <c r="S387">
        <v>8</v>
      </c>
    </row>
    <row r="388" spans="1:19" x14ac:dyDescent="0.25">
      <c r="A388" s="87">
        <v>2019</v>
      </c>
      <c r="B388" s="87">
        <v>7</v>
      </c>
      <c r="C388" s="173" t="s">
        <v>16</v>
      </c>
      <c r="D388" s="173" t="s">
        <v>17</v>
      </c>
      <c r="E388" s="173" t="s">
        <v>18</v>
      </c>
      <c r="F388" s="173" t="s">
        <v>16</v>
      </c>
      <c r="G388" s="87" t="b">
        <v>1</v>
      </c>
      <c r="H388" s="87" t="b">
        <v>0</v>
      </c>
      <c r="I388" s="87" t="b">
        <v>0</v>
      </c>
      <c r="J388" s="173" t="s">
        <v>450</v>
      </c>
      <c r="K388" s="174">
        <v>44456036000311</v>
      </c>
      <c r="L388" s="173" t="s">
        <v>675</v>
      </c>
      <c r="M388" s="173" t="s">
        <v>37</v>
      </c>
      <c r="N388" s="173" t="s">
        <v>19</v>
      </c>
      <c r="O388" s="87">
        <v>62</v>
      </c>
      <c r="P388" s="173" t="s">
        <v>27</v>
      </c>
      <c r="Q388" s="1" t="s">
        <v>1343</v>
      </c>
      <c r="R388" s="175">
        <v>2</v>
      </c>
      <c r="S388">
        <v>2</v>
      </c>
    </row>
    <row r="389" spans="1:19" x14ac:dyDescent="0.25">
      <c r="A389" s="87">
        <v>2019</v>
      </c>
      <c r="B389" s="87">
        <v>7</v>
      </c>
      <c r="C389" s="173" t="s">
        <v>16</v>
      </c>
      <c r="D389" s="173" t="s">
        <v>17</v>
      </c>
      <c r="E389" s="173" t="s">
        <v>18</v>
      </c>
      <c r="F389" s="173" t="s">
        <v>16</v>
      </c>
      <c r="G389" s="87" t="b">
        <v>1</v>
      </c>
      <c r="H389" s="87" t="b">
        <v>0</v>
      </c>
      <c r="I389" s="87" t="b">
        <v>0</v>
      </c>
      <c r="J389" s="173" t="s">
        <v>463</v>
      </c>
      <c r="K389" s="174">
        <v>44456036000311</v>
      </c>
      <c r="L389" s="173" t="s">
        <v>675</v>
      </c>
      <c r="M389" s="173" t="s">
        <v>37</v>
      </c>
      <c r="N389" s="173" t="s">
        <v>19</v>
      </c>
      <c r="O389" s="87">
        <v>62</v>
      </c>
      <c r="P389" s="173" t="s">
        <v>27</v>
      </c>
      <c r="Q389" s="1" t="s">
        <v>1343</v>
      </c>
      <c r="R389" s="175">
        <v>2</v>
      </c>
      <c r="S389">
        <v>2</v>
      </c>
    </row>
    <row r="390" spans="1:19" x14ac:dyDescent="0.25">
      <c r="A390" s="87">
        <v>2019</v>
      </c>
      <c r="B390" s="87">
        <v>7</v>
      </c>
      <c r="C390" s="173" t="s">
        <v>16</v>
      </c>
      <c r="D390" s="173" t="s">
        <v>17</v>
      </c>
      <c r="E390" s="173" t="s">
        <v>18</v>
      </c>
      <c r="F390" s="173" t="s">
        <v>16</v>
      </c>
      <c r="G390" s="87" t="b">
        <v>1</v>
      </c>
      <c r="H390" s="87" t="b">
        <v>0</v>
      </c>
      <c r="I390" s="87" t="b">
        <v>0</v>
      </c>
      <c r="J390" s="173" t="s">
        <v>491</v>
      </c>
      <c r="K390" s="174">
        <v>44456036000311</v>
      </c>
      <c r="L390" s="173" t="s">
        <v>675</v>
      </c>
      <c r="M390" s="173" t="s">
        <v>37</v>
      </c>
      <c r="N390" s="173" t="s">
        <v>19</v>
      </c>
      <c r="O390" s="87">
        <v>62</v>
      </c>
      <c r="P390" s="173" t="s">
        <v>27</v>
      </c>
      <c r="Q390" s="1" t="s">
        <v>1343</v>
      </c>
      <c r="R390" s="175">
        <v>4</v>
      </c>
      <c r="S390">
        <v>4</v>
      </c>
    </row>
    <row r="391" spans="1:19" x14ac:dyDescent="0.25">
      <c r="A391" s="87">
        <v>2019</v>
      </c>
      <c r="B391" s="87">
        <v>7</v>
      </c>
      <c r="C391" s="173" t="s">
        <v>16</v>
      </c>
      <c r="D391" s="173" t="s">
        <v>17</v>
      </c>
      <c r="E391" s="173" t="s">
        <v>18</v>
      </c>
      <c r="F391" s="173" t="s">
        <v>16</v>
      </c>
      <c r="G391" s="87" t="b">
        <v>1</v>
      </c>
      <c r="H391" s="87" t="b">
        <v>0</v>
      </c>
      <c r="I391" s="87" t="b">
        <v>0</v>
      </c>
      <c r="J391" s="173" t="s">
        <v>463</v>
      </c>
      <c r="K391" s="174">
        <v>44456036000311</v>
      </c>
      <c r="L391" s="173" t="s">
        <v>675</v>
      </c>
      <c r="M391" s="173" t="s">
        <v>37</v>
      </c>
      <c r="N391" s="173" t="s">
        <v>19</v>
      </c>
      <c r="O391" s="87">
        <v>64</v>
      </c>
      <c r="P391" s="173" t="s">
        <v>25</v>
      </c>
      <c r="Q391" s="1" t="s">
        <v>1344</v>
      </c>
      <c r="R391" s="175">
        <v>2</v>
      </c>
      <c r="S391">
        <v>2</v>
      </c>
    </row>
    <row r="392" spans="1:19" x14ac:dyDescent="0.25">
      <c r="A392" s="87">
        <v>2019</v>
      </c>
      <c r="B392" s="87">
        <v>7</v>
      </c>
      <c r="C392" s="173" t="s">
        <v>16</v>
      </c>
      <c r="D392" s="173" t="s">
        <v>17</v>
      </c>
      <c r="E392" s="173" t="s">
        <v>18</v>
      </c>
      <c r="F392" s="173" t="s">
        <v>16</v>
      </c>
      <c r="G392" s="87" t="b">
        <v>1</v>
      </c>
      <c r="H392" s="87" t="b">
        <v>0</v>
      </c>
      <c r="I392" s="87" t="b">
        <v>0</v>
      </c>
      <c r="J392" s="173" t="s">
        <v>450</v>
      </c>
      <c r="K392" s="174">
        <v>44531788000138</v>
      </c>
      <c r="L392" s="173" t="s">
        <v>676</v>
      </c>
      <c r="M392" s="173" t="s">
        <v>38</v>
      </c>
      <c r="N392" s="173" t="s">
        <v>19</v>
      </c>
      <c r="O392" s="87">
        <v>73</v>
      </c>
      <c r="P392" s="173" t="s">
        <v>26</v>
      </c>
      <c r="Q392" s="1" t="s">
        <v>1339</v>
      </c>
      <c r="R392" s="175">
        <v>24</v>
      </c>
      <c r="S392">
        <v>12</v>
      </c>
    </row>
    <row r="393" spans="1:19" x14ac:dyDescent="0.25">
      <c r="A393" s="87">
        <v>2019</v>
      </c>
      <c r="B393" s="87">
        <v>7</v>
      </c>
      <c r="C393" s="173" t="s">
        <v>16</v>
      </c>
      <c r="D393" s="173" t="s">
        <v>17</v>
      </c>
      <c r="E393" s="173" t="s">
        <v>18</v>
      </c>
      <c r="F393" s="173" t="s">
        <v>16</v>
      </c>
      <c r="G393" s="87" t="b">
        <v>1</v>
      </c>
      <c r="H393" s="87" t="b">
        <v>0</v>
      </c>
      <c r="I393" s="87" t="b">
        <v>0</v>
      </c>
      <c r="J393" s="173" t="s">
        <v>450</v>
      </c>
      <c r="K393" s="174">
        <v>44531788000138</v>
      </c>
      <c r="L393" s="173" t="s">
        <v>676</v>
      </c>
      <c r="M393" s="173" t="s">
        <v>38</v>
      </c>
      <c r="N393" s="173" t="s">
        <v>19</v>
      </c>
      <c r="O393" s="87">
        <v>73</v>
      </c>
      <c r="P393" s="173" t="s">
        <v>26</v>
      </c>
      <c r="Q393" s="1" t="s">
        <v>1342</v>
      </c>
      <c r="R393" s="175">
        <v>96</v>
      </c>
      <c r="S393">
        <v>24</v>
      </c>
    </row>
    <row r="394" spans="1:19" x14ac:dyDescent="0.25">
      <c r="A394" s="87">
        <v>2019</v>
      </c>
      <c r="B394" s="87">
        <v>7</v>
      </c>
      <c r="C394" s="173" t="s">
        <v>16</v>
      </c>
      <c r="D394" s="173" t="s">
        <v>17</v>
      </c>
      <c r="E394" s="173" t="s">
        <v>18</v>
      </c>
      <c r="F394" s="173" t="s">
        <v>16</v>
      </c>
      <c r="G394" s="87" t="b">
        <v>1</v>
      </c>
      <c r="H394" s="87" t="b">
        <v>0</v>
      </c>
      <c r="I394" s="87" t="b">
        <v>0</v>
      </c>
      <c r="J394" s="173" t="s">
        <v>463</v>
      </c>
      <c r="K394" s="174">
        <v>44649812005520</v>
      </c>
      <c r="L394" s="173" t="s">
        <v>598</v>
      </c>
      <c r="M394" s="173" t="s">
        <v>29</v>
      </c>
      <c r="N394" s="173" t="s">
        <v>19</v>
      </c>
      <c r="O394" s="87">
        <v>70</v>
      </c>
      <c r="P394" s="173" t="s">
        <v>20</v>
      </c>
      <c r="Q394" s="1" t="s">
        <v>1345</v>
      </c>
      <c r="R394" s="175">
        <v>10</v>
      </c>
      <c r="S394">
        <v>1</v>
      </c>
    </row>
    <row r="395" spans="1:19" x14ac:dyDescent="0.25">
      <c r="A395" s="87">
        <v>2019</v>
      </c>
      <c r="B395" s="87">
        <v>7</v>
      </c>
      <c r="C395" s="173" t="s">
        <v>16</v>
      </c>
      <c r="D395" s="173" t="s">
        <v>17</v>
      </c>
      <c r="E395" s="173" t="s">
        <v>18</v>
      </c>
      <c r="F395" s="173" t="s">
        <v>16</v>
      </c>
      <c r="G395" s="87" t="b">
        <v>1</v>
      </c>
      <c r="H395" s="87" t="b">
        <v>0</v>
      </c>
      <c r="I395" s="87" t="b">
        <v>0</v>
      </c>
      <c r="J395" s="173" t="s">
        <v>463</v>
      </c>
      <c r="K395" s="174">
        <v>44649812019238</v>
      </c>
      <c r="L395" s="173" t="s">
        <v>679</v>
      </c>
      <c r="M395" s="173" t="s">
        <v>33</v>
      </c>
      <c r="N395" s="173" t="s">
        <v>19</v>
      </c>
      <c r="O395" s="87">
        <v>73</v>
      </c>
      <c r="P395" s="173" t="s">
        <v>26</v>
      </c>
      <c r="Q395" s="1" t="s">
        <v>1342</v>
      </c>
      <c r="R395" s="175">
        <v>8</v>
      </c>
      <c r="S395">
        <v>2</v>
      </c>
    </row>
    <row r="396" spans="1:19" x14ac:dyDescent="0.25">
      <c r="A396" s="87">
        <v>2019</v>
      </c>
      <c r="B396" s="87">
        <v>7</v>
      </c>
      <c r="C396" s="173" t="s">
        <v>16</v>
      </c>
      <c r="D396" s="173" t="s">
        <v>17</v>
      </c>
      <c r="E396" s="173" t="s">
        <v>18</v>
      </c>
      <c r="F396" s="173" t="s">
        <v>16</v>
      </c>
      <c r="G396" s="87" t="b">
        <v>1</v>
      </c>
      <c r="H396" s="87" t="b">
        <v>0</v>
      </c>
      <c r="I396" s="87" t="b">
        <v>0</v>
      </c>
      <c r="J396" s="173" t="s">
        <v>470</v>
      </c>
      <c r="K396" s="174">
        <v>44663631000590</v>
      </c>
      <c r="L396" s="173" t="s">
        <v>680</v>
      </c>
      <c r="M396" s="173" t="s">
        <v>39</v>
      </c>
      <c r="N396" s="173" t="s">
        <v>19</v>
      </c>
      <c r="O396" s="87">
        <v>70</v>
      </c>
      <c r="P396" s="173" t="s">
        <v>20</v>
      </c>
      <c r="Q396" s="1" t="s">
        <v>1338</v>
      </c>
      <c r="R396" s="175">
        <v>90</v>
      </c>
      <c r="S396">
        <v>18</v>
      </c>
    </row>
    <row r="397" spans="1:19" x14ac:dyDescent="0.25">
      <c r="A397" s="87">
        <v>2019</v>
      </c>
      <c r="B397" s="87">
        <v>7</v>
      </c>
      <c r="C397" s="173" t="s">
        <v>16</v>
      </c>
      <c r="D397" s="173" t="s">
        <v>17</v>
      </c>
      <c r="E397" s="173" t="s">
        <v>18</v>
      </c>
      <c r="F397" s="173" t="s">
        <v>16</v>
      </c>
      <c r="G397" s="87" t="b">
        <v>1</v>
      </c>
      <c r="H397" s="87" t="b">
        <v>0</v>
      </c>
      <c r="I397" s="87" t="b">
        <v>0</v>
      </c>
      <c r="J397" s="173" t="s">
        <v>492</v>
      </c>
      <c r="K397" s="174">
        <v>44663631000590</v>
      </c>
      <c r="L397" s="173" t="s">
        <v>680</v>
      </c>
      <c r="M397" s="173" t="s">
        <v>39</v>
      </c>
      <c r="N397" s="173" t="s">
        <v>19</v>
      </c>
      <c r="O397" s="87">
        <v>70</v>
      </c>
      <c r="P397" s="173" t="s">
        <v>20</v>
      </c>
      <c r="Q397" s="1" t="s">
        <v>1338</v>
      </c>
      <c r="R397" s="175">
        <v>135</v>
      </c>
      <c r="S397">
        <v>27</v>
      </c>
    </row>
    <row r="398" spans="1:19" x14ac:dyDescent="0.25">
      <c r="A398" s="87">
        <v>2019</v>
      </c>
      <c r="B398" s="87">
        <v>7</v>
      </c>
      <c r="C398" s="173" t="s">
        <v>16</v>
      </c>
      <c r="D398" s="173" t="s">
        <v>17</v>
      </c>
      <c r="E398" s="173" t="s">
        <v>18</v>
      </c>
      <c r="F398" s="173" t="s">
        <v>16</v>
      </c>
      <c r="G398" s="87" t="b">
        <v>1</v>
      </c>
      <c r="H398" s="87" t="b">
        <v>0</v>
      </c>
      <c r="I398" s="87" t="b">
        <v>0</v>
      </c>
      <c r="J398" s="173" t="s">
        <v>463</v>
      </c>
      <c r="K398" s="174">
        <v>44663631000590</v>
      </c>
      <c r="L398" s="173" t="s">
        <v>680</v>
      </c>
      <c r="M398" s="173" t="s">
        <v>39</v>
      </c>
      <c r="N398" s="173" t="s">
        <v>19</v>
      </c>
      <c r="O398" s="87">
        <v>73</v>
      </c>
      <c r="P398" s="173" t="s">
        <v>26</v>
      </c>
      <c r="Q398" s="1" t="s">
        <v>1342</v>
      </c>
      <c r="R398" s="175">
        <v>32</v>
      </c>
      <c r="S398">
        <v>8</v>
      </c>
    </row>
    <row r="399" spans="1:19" x14ac:dyDescent="0.25">
      <c r="A399" s="87">
        <v>2019</v>
      </c>
      <c r="B399" s="87">
        <v>7</v>
      </c>
      <c r="C399" s="173" t="s">
        <v>16</v>
      </c>
      <c r="D399" s="173" t="s">
        <v>17</v>
      </c>
      <c r="E399" s="173" t="s">
        <v>18</v>
      </c>
      <c r="F399" s="173" t="s">
        <v>16</v>
      </c>
      <c r="G399" s="87" t="b">
        <v>1</v>
      </c>
      <c r="H399" s="87" t="b">
        <v>0</v>
      </c>
      <c r="I399" s="87" t="b">
        <v>0</v>
      </c>
      <c r="J399" s="173" t="s">
        <v>491</v>
      </c>
      <c r="K399" s="174">
        <v>44803922000293</v>
      </c>
      <c r="L399" s="173" t="s">
        <v>681</v>
      </c>
      <c r="M399" s="173" t="s">
        <v>40</v>
      </c>
      <c r="N399" s="173" t="s">
        <v>19</v>
      </c>
      <c r="O399" s="87">
        <v>73</v>
      </c>
      <c r="P399" s="173" t="s">
        <v>26</v>
      </c>
      <c r="Q399" s="1" t="s">
        <v>1340</v>
      </c>
      <c r="R399" s="175">
        <v>6</v>
      </c>
      <c r="S399">
        <v>6</v>
      </c>
    </row>
    <row r="400" spans="1:19" x14ac:dyDescent="0.25">
      <c r="A400" s="87">
        <v>2019</v>
      </c>
      <c r="B400" s="87">
        <v>7</v>
      </c>
      <c r="C400" s="173" t="s">
        <v>16</v>
      </c>
      <c r="D400" s="173" t="s">
        <v>17</v>
      </c>
      <c r="E400" s="173" t="s">
        <v>18</v>
      </c>
      <c r="F400" s="173" t="s">
        <v>16</v>
      </c>
      <c r="G400" s="87" t="b">
        <v>1</v>
      </c>
      <c r="H400" s="87" t="b">
        <v>0</v>
      </c>
      <c r="I400" s="87" t="b">
        <v>0</v>
      </c>
      <c r="J400" s="173" t="s">
        <v>470</v>
      </c>
      <c r="K400" s="174">
        <v>45118429001279</v>
      </c>
      <c r="L400" s="173" t="s">
        <v>683</v>
      </c>
      <c r="M400" s="173" t="s">
        <v>41</v>
      </c>
      <c r="N400" s="173" t="s">
        <v>19</v>
      </c>
      <c r="O400" s="87">
        <v>70</v>
      </c>
      <c r="P400" s="173" t="s">
        <v>20</v>
      </c>
      <c r="Q400" s="1" t="s">
        <v>1338</v>
      </c>
      <c r="R400" s="175">
        <v>50</v>
      </c>
      <c r="S400">
        <v>10</v>
      </c>
    </row>
    <row r="401" spans="1:19" x14ac:dyDescent="0.25">
      <c r="A401" s="87">
        <v>2019</v>
      </c>
      <c r="B401" s="87">
        <v>7</v>
      </c>
      <c r="C401" s="173" t="s">
        <v>16</v>
      </c>
      <c r="D401" s="173" t="s">
        <v>17</v>
      </c>
      <c r="E401" s="173" t="s">
        <v>18</v>
      </c>
      <c r="F401" s="173" t="s">
        <v>16</v>
      </c>
      <c r="G401" s="87" t="b">
        <v>1</v>
      </c>
      <c r="H401" s="87" t="b">
        <v>0</v>
      </c>
      <c r="I401" s="87" t="b">
        <v>0</v>
      </c>
      <c r="J401" s="173" t="s">
        <v>463</v>
      </c>
      <c r="K401" s="174">
        <v>45118429001279</v>
      </c>
      <c r="L401" s="173" t="s">
        <v>683</v>
      </c>
      <c r="M401" s="173" t="s">
        <v>41</v>
      </c>
      <c r="N401" s="173" t="s">
        <v>19</v>
      </c>
      <c r="O401" s="87">
        <v>70</v>
      </c>
      <c r="P401" s="173" t="s">
        <v>20</v>
      </c>
      <c r="Q401" s="1" t="s">
        <v>1338</v>
      </c>
      <c r="R401" s="175">
        <v>50</v>
      </c>
      <c r="S401">
        <v>10</v>
      </c>
    </row>
    <row r="402" spans="1:19" x14ac:dyDescent="0.25">
      <c r="A402" s="87">
        <v>2019</v>
      </c>
      <c r="B402" s="87">
        <v>7</v>
      </c>
      <c r="C402" s="173" t="s">
        <v>16</v>
      </c>
      <c r="D402" s="173" t="s">
        <v>17</v>
      </c>
      <c r="E402" s="173" t="s">
        <v>18</v>
      </c>
      <c r="F402" s="173" t="s">
        <v>16</v>
      </c>
      <c r="G402" s="87" t="b">
        <v>1</v>
      </c>
      <c r="H402" s="87" t="b">
        <v>0</v>
      </c>
      <c r="I402" s="87" t="b">
        <v>0</v>
      </c>
      <c r="J402" s="173" t="s">
        <v>450</v>
      </c>
      <c r="K402" s="174">
        <v>45118429001279</v>
      </c>
      <c r="L402" s="173" t="s">
        <v>683</v>
      </c>
      <c r="M402" s="173" t="s">
        <v>41</v>
      </c>
      <c r="N402" s="173" t="s">
        <v>19</v>
      </c>
      <c r="O402" s="87">
        <v>73</v>
      </c>
      <c r="P402" s="173" t="s">
        <v>26</v>
      </c>
      <c r="Q402" s="1" t="s">
        <v>1339</v>
      </c>
      <c r="R402" s="175">
        <v>4</v>
      </c>
      <c r="S402">
        <v>2</v>
      </c>
    </row>
    <row r="403" spans="1:19" x14ac:dyDescent="0.25">
      <c r="A403" s="87">
        <v>2019</v>
      </c>
      <c r="B403" s="87">
        <v>7</v>
      </c>
      <c r="C403" s="173" t="s">
        <v>16</v>
      </c>
      <c r="D403" s="173" t="s">
        <v>17</v>
      </c>
      <c r="E403" s="173" t="s">
        <v>18</v>
      </c>
      <c r="F403" s="173" t="s">
        <v>16</v>
      </c>
      <c r="G403" s="87" t="b">
        <v>1</v>
      </c>
      <c r="H403" s="87" t="b">
        <v>0</v>
      </c>
      <c r="I403" s="87" t="b">
        <v>0</v>
      </c>
      <c r="J403" s="173" t="s">
        <v>450</v>
      </c>
      <c r="K403" s="174">
        <v>45118429001279</v>
      </c>
      <c r="L403" s="173" t="s">
        <v>683</v>
      </c>
      <c r="M403" s="173" t="s">
        <v>41</v>
      </c>
      <c r="N403" s="173" t="s">
        <v>19</v>
      </c>
      <c r="O403" s="87">
        <v>73</v>
      </c>
      <c r="P403" s="173" t="s">
        <v>26</v>
      </c>
      <c r="Q403" s="1" t="s">
        <v>1340</v>
      </c>
      <c r="R403" s="175">
        <v>2</v>
      </c>
      <c r="S403">
        <v>2</v>
      </c>
    </row>
    <row r="404" spans="1:19" x14ac:dyDescent="0.25">
      <c r="A404" s="87">
        <v>2019</v>
      </c>
      <c r="B404" s="87">
        <v>7</v>
      </c>
      <c r="C404" s="173" t="s">
        <v>16</v>
      </c>
      <c r="D404" s="173" t="s">
        <v>17</v>
      </c>
      <c r="E404" s="173" t="s">
        <v>18</v>
      </c>
      <c r="F404" s="173" t="s">
        <v>16</v>
      </c>
      <c r="G404" s="87" t="b">
        <v>1</v>
      </c>
      <c r="H404" s="87" t="b">
        <v>0</v>
      </c>
      <c r="I404" s="87" t="b">
        <v>0</v>
      </c>
      <c r="J404" s="173" t="s">
        <v>491</v>
      </c>
      <c r="K404" s="174">
        <v>45118429001279</v>
      </c>
      <c r="L404" s="173" t="s">
        <v>683</v>
      </c>
      <c r="M404" s="173" t="s">
        <v>41</v>
      </c>
      <c r="N404" s="173" t="s">
        <v>19</v>
      </c>
      <c r="O404" s="87">
        <v>73</v>
      </c>
      <c r="P404" s="173" t="s">
        <v>26</v>
      </c>
      <c r="Q404" s="1" t="s">
        <v>1339</v>
      </c>
      <c r="R404" s="175">
        <v>4</v>
      </c>
      <c r="S404">
        <v>2</v>
      </c>
    </row>
    <row r="405" spans="1:19" x14ac:dyDescent="0.25">
      <c r="A405" s="87">
        <v>2019</v>
      </c>
      <c r="B405" s="87">
        <v>7</v>
      </c>
      <c r="C405" s="173" t="s">
        <v>16</v>
      </c>
      <c r="D405" s="173" t="s">
        <v>17</v>
      </c>
      <c r="E405" s="173" t="s">
        <v>18</v>
      </c>
      <c r="F405" s="173" t="s">
        <v>16</v>
      </c>
      <c r="G405" s="87" t="b">
        <v>1</v>
      </c>
      <c r="H405" s="87" t="b">
        <v>0</v>
      </c>
      <c r="I405" s="87" t="b">
        <v>0</v>
      </c>
      <c r="J405" s="173" t="s">
        <v>491</v>
      </c>
      <c r="K405" s="174">
        <v>45118429001279</v>
      </c>
      <c r="L405" s="173" t="s">
        <v>683</v>
      </c>
      <c r="M405" s="173" t="s">
        <v>41</v>
      </c>
      <c r="N405" s="173" t="s">
        <v>19</v>
      </c>
      <c r="O405" s="87">
        <v>73</v>
      </c>
      <c r="P405" s="173" t="s">
        <v>26</v>
      </c>
      <c r="Q405" s="1" t="s">
        <v>1340</v>
      </c>
      <c r="R405" s="175">
        <v>2</v>
      </c>
      <c r="S405">
        <v>2</v>
      </c>
    </row>
    <row r="406" spans="1:19" x14ac:dyDescent="0.25">
      <c r="A406" s="87">
        <v>2019</v>
      </c>
      <c r="B406" s="87">
        <v>7</v>
      </c>
      <c r="C406" s="173" t="s">
        <v>16</v>
      </c>
      <c r="D406" s="173" t="s">
        <v>17</v>
      </c>
      <c r="E406" s="173" t="s">
        <v>18</v>
      </c>
      <c r="F406" s="173" t="s">
        <v>16</v>
      </c>
      <c r="G406" s="87" t="b">
        <v>1</v>
      </c>
      <c r="H406" s="87" t="b">
        <v>0</v>
      </c>
      <c r="I406" s="87" t="b">
        <v>0</v>
      </c>
      <c r="J406" s="173" t="s">
        <v>463</v>
      </c>
      <c r="K406" s="174">
        <v>45184066000117</v>
      </c>
      <c r="L406" s="173" t="s">
        <v>684</v>
      </c>
      <c r="M406" s="173" t="s">
        <v>650</v>
      </c>
      <c r="N406" s="173" t="s">
        <v>19</v>
      </c>
      <c r="O406" s="87">
        <v>73</v>
      </c>
      <c r="P406" s="173" t="s">
        <v>26</v>
      </c>
      <c r="Q406" s="1" t="s">
        <v>1342</v>
      </c>
      <c r="R406" s="175">
        <v>8</v>
      </c>
      <c r="S406">
        <v>2</v>
      </c>
    </row>
    <row r="407" spans="1:19" x14ac:dyDescent="0.25">
      <c r="A407" s="87">
        <v>2019</v>
      </c>
      <c r="B407" s="87">
        <v>7</v>
      </c>
      <c r="C407" s="173" t="s">
        <v>16</v>
      </c>
      <c r="D407" s="173" t="s">
        <v>17</v>
      </c>
      <c r="E407" s="173" t="s">
        <v>18</v>
      </c>
      <c r="F407" s="173" t="s">
        <v>16</v>
      </c>
      <c r="G407" s="87" t="b">
        <v>1</v>
      </c>
      <c r="H407" s="87" t="b">
        <v>0</v>
      </c>
      <c r="I407" s="87" t="b">
        <v>0</v>
      </c>
      <c r="J407" s="173" t="s">
        <v>463</v>
      </c>
      <c r="K407" s="174">
        <v>45184066000117</v>
      </c>
      <c r="L407" s="173" t="s">
        <v>684</v>
      </c>
      <c r="M407" s="173" t="s">
        <v>650</v>
      </c>
      <c r="N407" s="173" t="s">
        <v>19</v>
      </c>
      <c r="O407" s="87">
        <v>73</v>
      </c>
      <c r="P407" s="173" t="s">
        <v>26</v>
      </c>
      <c r="Q407" s="1" t="s">
        <v>1340</v>
      </c>
      <c r="R407" s="175">
        <v>6</v>
      </c>
      <c r="S407">
        <v>6</v>
      </c>
    </row>
    <row r="408" spans="1:19" x14ac:dyDescent="0.25">
      <c r="A408" s="87">
        <v>2019</v>
      </c>
      <c r="B408" s="87">
        <v>7</v>
      </c>
      <c r="C408" s="173" t="s">
        <v>16</v>
      </c>
      <c r="D408" s="173" t="s">
        <v>17</v>
      </c>
      <c r="E408" s="173" t="s">
        <v>18</v>
      </c>
      <c r="F408" s="173" t="s">
        <v>16</v>
      </c>
      <c r="G408" s="87" t="b">
        <v>1</v>
      </c>
      <c r="H408" s="87" t="b">
        <v>0</v>
      </c>
      <c r="I408" s="87" t="b">
        <v>0</v>
      </c>
      <c r="J408" s="173" t="s">
        <v>470</v>
      </c>
      <c r="K408" s="174">
        <v>45232246000550</v>
      </c>
      <c r="L408" s="173" t="s">
        <v>685</v>
      </c>
      <c r="M408" s="173" t="s">
        <v>639</v>
      </c>
      <c r="N408" s="173" t="s">
        <v>19</v>
      </c>
      <c r="O408" s="87">
        <v>70</v>
      </c>
      <c r="P408" s="173" t="s">
        <v>20</v>
      </c>
      <c r="Q408" s="1" t="s">
        <v>1338</v>
      </c>
      <c r="R408" s="175">
        <v>15</v>
      </c>
      <c r="S408">
        <v>3</v>
      </c>
    </row>
    <row r="409" spans="1:19" x14ac:dyDescent="0.25">
      <c r="A409" s="87">
        <v>2019</v>
      </c>
      <c r="B409" s="87">
        <v>7</v>
      </c>
      <c r="C409" s="173" t="s">
        <v>16</v>
      </c>
      <c r="D409" s="173" t="s">
        <v>17</v>
      </c>
      <c r="E409" s="173" t="s">
        <v>18</v>
      </c>
      <c r="F409" s="173" t="s">
        <v>16</v>
      </c>
      <c r="G409" s="87" t="b">
        <v>1</v>
      </c>
      <c r="H409" s="87" t="b">
        <v>0</v>
      </c>
      <c r="I409" s="87" t="b">
        <v>0</v>
      </c>
      <c r="J409" s="173" t="s">
        <v>463</v>
      </c>
      <c r="K409" s="174">
        <v>45232246000550</v>
      </c>
      <c r="L409" s="173" t="s">
        <v>685</v>
      </c>
      <c r="M409" s="173" t="s">
        <v>639</v>
      </c>
      <c r="N409" s="173" t="s">
        <v>19</v>
      </c>
      <c r="O409" s="87">
        <v>70</v>
      </c>
      <c r="P409" s="173" t="s">
        <v>20</v>
      </c>
      <c r="Q409" s="1" t="s">
        <v>1338</v>
      </c>
      <c r="R409" s="175">
        <v>220</v>
      </c>
      <c r="S409">
        <v>44</v>
      </c>
    </row>
    <row r="410" spans="1:19" x14ac:dyDescent="0.25">
      <c r="A410" s="87">
        <v>2019</v>
      </c>
      <c r="B410" s="87">
        <v>7</v>
      </c>
      <c r="C410" s="173" t="s">
        <v>16</v>
      </c>
      <c r="D410" s="173" t="s">
        <v>17</v>
      </c>
      <c r="E410" s="173" t="s">
        <v>18</v>
      </c>
      <c r="F410" s="173" t="s">
        <v>16</v>
      </c>
      <c r="G410" s="87" t="b">
        <v>1</v>
      </c>
      <c r="H410" s="87" t="b">
        <v>0</v>
      </c>
      <c r="I410" s="87" t="b">
        <v>0</v>
      </c>
      <c r="J410" s="173" t="s">
        <v>463</v>
      </c>
      <c r="K410" s="174">
        <v>45232246000550</v>
      </c>
      <c r="L410" s="173" t="s">
        <v>685</v>
      </c>
      <c r="M410" s="173" t="s">
        <v>639</v>
      </c>
      <c r="N410" s="173" t="s">
        <v>19</v>
      </c>
      <c r="O410" s="87">
        <v>73</v>
      </c>
      <c r="P410" s="173" t="s">
        <v>26</v>
      </c>
      <c r="Q410" s="1" t="s">
        <v>1339</v>
      </c>
      <c r="R410" s="175">
        <v>24</v>
      </c>
      <c r="S410">
        <v>12</v>
      </c>
    </row>
    <row r="411" spans="1:19" x14ac:dyDescent="0.25">
      <c r="A411" s="87">
        <v>2019</v>
      </c>
      <c r="B411" s="87">
        <v>7</v>
      </c>
      <c r="C411" s="173" t="s">
        <v>16</v>
      </c>
      <c r="D411" s="173" t="s">
        <v>17</v>
      </c>
      <c r="E411" s="173" t="s">
        <v>18</v>
      </c>
      <c r="F411" s="173" t="s">
        <v>16</v>
      </c>
      <c r="G411" s="87" t="b">
        <v>1</v>
      </c>
      <c r="H411" s="87" t="b">
        <v>0</v>
      </c>
      <c r="I411" s="87" t="b">
        <v>0</v>
      </c>
      <c r="J411" s="173" t="s">
        <v>463</v>
      </c>
      <c r="K411" s="174">
        <v>45232246000550</v>
      </c>
      <c r="L411" s="173" t="s">
        <v>685</v>
      </c>
      <c r="M411" s="173" t="s">
        <v>639</v>
      </c>
      <c r="N411" s="173" t="s">
        <v>19</v>
      </c>
      <c r="O411" s="87">
        <v>73</v>
      </c>
      <c r="P411" s="173" t="s">
        <v>26</v>
      </c>
      <c r="Q411" s="1" t="s">
        <v>1340</v>
      </c>
      <c r="R411" s="175">
        <v>11</v>
      </c>
      <c r="S411">
        <v>11</v>
      </c>
    </row>
    <row r="412" spans="1:19" x14ac:dyDescent="0.25">
      <c r="A412" s="87">
        <v>2019</v>
      </c>
      <c r="B412" s="87">
        <v>7</v>
      </c>
      <c r="C412" s="173" t="s">
        <v>16</v>
      </c>
      <c r="D412" s="173" t="s">
        <v>17</v>
      </c>
      <c r="E412" s="173" t="s">
        <v>18</v>
      </c>
      <c r="F412" s="173" t="s">
        <v>16</v>
      </c>
      <c r="G412" s="87" t="b">
        <v>1</v>
      </c>
      <c r="H412" s="87" t="b">
        <v>0</v>
      </c>
      <c r="I412" s="87" t="b">
        <v>0</v>
      </c>
      <c r="J412" s="173" t="s">
        <v>450</v>
      </c>
      <c r="K412" s="174">
        <v>45359213000576</v>
      </c>
      <c r="L412" s="173" t="s">
        <v>686</v>
      </c>
      <c r="M412" s="173" t="s">
        <v>687</v>
      </c>
      <c r="N412" s="173" t="s">
        <v>19</v>
      </c>
      <c r="O412" s="87">
        <v>73</v>
      </c>
      <c r="P412" s="173" t="s">
        <v>26</v>
      </c>
      <c r="Q412" s="1" t="s">
        <v>1339</v>
      </c>
      <c r="R412" s="175">
        <v>8</v>
      </c>
      <c r="S412">
        <v>4</v>
      </c>
    </row>
    <row r="413" spans="1:19" x14ac:dyDescent="0.25">
      <c r="A413" s="87">
        <v>2019</v>
      </c>
      <c r="B413" s="87">
        <v>7</v>
      </c>
      <c r="C413" s="173" t="s">
        <v>16</v>
      </c>
      <c r="D413" s="173" t="s">
        <v>17</v>
      </c>
      <c r="E413" s="173" t="s">
        <v>18</v>
      </c>
      <c r="F413" s="173" t="s">
        <v>16</v>
      </c>
      <c r="G413" s="87" t="b">
        <v>1</v>
      </c>
      <c r="H413" s="87" t="b">
        <v>0</v>
      </c>
      <c r="I413" s="87" t="b">
        <v>0</v>
      </c>
      <c r="J413" s="173" t="s">
        <v>450</v>
      </c>
      <c r="K413" s="174">
        <v>45359213000576</v>
      </c>
      <c r="L413" s="173" t="s">
        <v>686</v>
      </c>
      <c r="M413" s="173" t="s">
        <v>687</v>
      </c>
      <c r="N413" s="173" t="s">
        <v>19</v>
      </c>
      <c r="O413" s="87">
        <v>73</v>
      </c>
      <c r="P413" s="173" t="s">
        <v>26</v>
      </c>
      <c r="Q413" s="1" t="s">
        <v>1342</v>
      </c>
      <c r="R413" s="175">
        <v>32</v>
      </c>
      <c r="S413">
        <v>8</v>
      </c>
    </row>
    <row r="414" spans="1:19" x14ac:dyDescent="0.25">
      <c r="A414" s="87">
        <v>2019</v>
      </c>
      <c r="B414" s="87">
        <v>7</v>
      </c>
      <c r="C414" s="173" t="s">
        <v>16</v>
      </c>
      <c r="D414" s="173" t="s">
        <v>17</v>
      </c>
      <c r="E414" s="173" t="s">
        <v>18</v>
      </c>
      <c r="F414" s="173" t="s">
        <v>16</v>
      </c>
      <c r="G414" s="87" t="b">
        <v>1</v>
      </c>
      <c r="H414" s="87" t="b">
        <v>0</v>
      </c>
      <c r="I414" s="87" t="b">
        <v>0</v>
      </c>
      <c r="J414" s="173" t="s">
        <v>450</v>
      </c>
      <c r="K414" s="174">
        <v>45399961000230</v>
      </c>
      <c r="L414" s="173" t="s">
        <v>688</v>
      </c>
      <c r="M414" s="173" t="s">
        <v>42</v>
      </c>
      <c r="N414" s="173" t="s">
        <v>19</v>
      </c>
      <c r="O414" s="87">
        <v>70</v>
      </c>
      <c r="P414" s="173" t="s">
        <v>20</v>
      </c>
      <c r="Q414" s="1" t="s">
        <v>1338</v>
      </c>
      <c r="R414" s="175">
        <v>275</v>
      </c>
      <c r="S414">
        <v>55</v>
      </c>
    </row>
    <row r="415" spans="1:19" x14ac:dyDescent="0.25">
      <c r="A415" s="87">
        <v>2019</v>
      </c>
      <c r="B415" s="87">
        <v>7</v>
      </c>
      <c r="C415" s="173" t="s">
        <v>16</v>
      </c>
      <c r="D415" s="173" t="s">
        <v>17</v>
      </c>
      <c r="E415" s="173" t="s">
        <v>18</v>
      </c>
      <c r="F415" s="173" t="s">
        <v>16</v>
      </c>
      <c r="G415" s="87" t="b">
        <v>1</v>
      </c>
      <c r="H415" s="87" t="b">
        <v>0</v>
      </c>
      <c r="I415" s="87" t="b">
        <v>0</v>
      </c>
      <c r="J415" s="173" t="s">
        <v>463</v>
      </c>
      <c r="K415" s="174">
        <v>45399961000230</v>
      </c>
      <c r="L415" s="173" t="s">
        <v>688</v>
      </c>
      <c r="M415" s="173" t="s">
        <v>42</v>
      </c>
      <c r="N415" s="173" t="s">
        <v>19</v>
      </c>
      <c r="O415" s="87">
        <v>70</v>
      </c>
      <c r="P415" s="173" t="s">
        <v>20</v>
      </c>
      <c r="Q415" s="1" t="s">
        <v>1338</v>
      </c>
      <c r="R415" s="175">
        <v>450</v>
      </c>
      <c r="S415">
        <v>90</v>
      </c>
    </row>
    <row r="416" spans="1:19" x14ac:dyDescent="0.25">
      <c r="A416" s="87">
        <v>2019</v>
      </c>
      <c r="B416" s="87">
        <v>7</v>
      </c>
      <c r="C416" s="173" t="s">
        <v>16</v>
      </c>
      <c r="D416" s="173" t="s">
        <v>17</v>
      </c>
      <c r="E416" s="173" t="s">
        <v>18</v>
      </c>
      <c r="F416" s="173" t="s">
        <v>16</v>
      </c>
      <c r="G416" s="87" t="b">
        <v>1</v>
      </c>
      <c r="H416" s="87" t="b">
        <v>0</v>
      </c>
      <c r="I416" s="87" t="b">
        <v>0</v>
      </c>
      <c r="J416" s="173" t="s">
        <v>1330</v>
      </c>
      <c r="K416" s="174">
        <v>45780103000150</v>
      </c>
      <c r="L416" s="173" t="s">
        <v>689</v>
      </c>
      <c r="M416" s="173" t="s">
        <v>678</v>
      </c>
      <c r="N416" s="173" t="s">
        <v>19</v>
      </c>
      <c r="O416" s="87">
        <v>70</v>
      </c>
      <c r="P416" s="173" t="s">
        <v>20</v>
      </c>
      <c r="Q416" s="1" t="s">
        <v>1338</v>
      </c>
      <c r="R416" s="175">
        <v>730</v>
      </c>
      <c r="S416">
        <v>146</v>
      </c>
    </row>
    <row r="417" spans="1:19" x14ac:dyDescent="0.25">
      <c r="A417" s="87">
        <v>2019</v>
      </c>
      <c r="B417" s="87">
        <v>7</v>
      </c>
      <c r="C417" s="173" t="s">
        <v>16</v>
      </c>
      <c r="D417" s="173" t="s">
        <v>17</v>
      </c>
      <c r="E417" s="173" t="s">
        <v>18</v>
      </c>
      <c r="F417" s="173" t="s">
        <v>16</v>
      </c>
      <c r="G417" s="87" t="b">
        <v>1</v>
      </c>
      <c r="H417" s="87" t="b">
        <v>0</v>
      </c>
      <c r="I417" s="87" t="b">
        <v>0</v>
      </c>
      <c r="J417" s="173" t="s">
        <v>492</v>
      </c>
      <c r="K417" s="174">
        <v>46009718000140</v>
      </c>
      <c r="L417" s="173" t="s">
        <v>690</v>
      </c>
      <c r="M417" s="173" t="s">
        <v>33</v>
      </c>
      <c r="N417" s="173" t="s">
        <v>19</v>
      </c>
      <c r="O417" s="87">
        <v>70</v>
      </c>
      <c r="P417" s="173" t="s">
        <v>20</v>
      </c>
      <c r="Q417" s="1" t="s">
        <v>1338</v>
      </c>
      <c r="R417" s="175">
        <v>160</v>
      </c>
      <c r="S417">
        <v>32</v>
      </c>
    </row>
    <row r="418" spans="1:19" x14ac:dyDescent="0.25">
      <c r="A418" s="87">
        <v>2019</v>
      </c>
      <c r="B418" s="87">
        <v>7</v>
      </c>
      <c r="C418" s="173" t="s">
        <v>16</v>
      </c>
      <c r="D418" s="173" t="s">
        <v>17</v>
      </c>
      <c r="E418" s="173" t="s">
        <v>18</v>
      </c>
      <c r="F418" s="173" t="s">
        <v>16</v>
      </c>
      <c r="G418" s="87" t="b">
        <v>1</v>
      </c>
      <c r="H418" s="87" t="b">
        <v>0</v>
      </c>
      <c r="I418" s="87" t="b">
        <v>0</v>
      </c>
      <c r="J418" s="173" t="s">
        <v>448</v>
      </c>
      <c r="K418" s="174">
        <v>46009718000140</v>
      </c>
      <c r="L418" s="173" t="s">
        <v>690</v>
      </c>
      <c r="M418" s="173" t="s">
        <v>33</v>
      </c>
      <c r="N418" s="173" t="s">
        <v>19</v>
      </c>
      <c r="O418" s="87">
        <v>70</v>
      </c>
      <c r="P418" s="173" t="s">
        <v>20</v>
      </c>
      <c r="Q418" s="1" t="s">
        <v>1338</v>
      </c>
      <c r="R418" s="175">
        <v>700</v>
      </c>
      <c r="S418">
        <v>140</v>
      </c>
    </row>
    <row r="419" spans="1:19" x14ac:dyDescent="0.25">
      <c r="A419" s="87">
        <v>2019</v>
      </c>
      <c r="B419" s="87">
        <v>7</v>
      </c>
      <c r="C419" s="173" t="s">
        <v>16</v>
      </c>
      <c r="D419" s="173" t="s">
        <v>17</v>
      </c>
      <c r="E419" s="173" t="s">
        <v>18</v>
      </c>
      <c r="F419" s="173" t="s">
        <v>16</v>
      </c>
      <c r="G419" s="87" t="b">
        <v>1</v>
      </c>
      <c r="H419" s="87" t="b">
        <v>0</v>
      </c>
      <c r="I419" s="87" t="b">
        <v>0</v>
      </c>
      <c r="J419" s="173" t="s">
        <v>450</v>
      </c>
      <c r="K419" s="174">
        <v>46009718000140</v>
      </c>
      <c r="L419" s="173" t="s">
        <v>690</v>
      </c>
      <c r="M419" s="173" t="s">
        <v>33</v>
      </c>
      <c r="N419" s="173" t="s">
        <v>19</v>
      </c>
      <c r="O419" s="87">
        <v>73</v>
      </c>
      <c r="P419" s="173" t="s">
        <v>26</v>
      </c>
      <c r="Q419" s="1" t="s">
        <v>1339</v>
      </c>
      <c r="R419" s="175">
        <v>12</v>
      </c>
      <c r="S419">
        <v>6</v>
      </c>
    </row>
    <row r="420" spans="1:19" x14ac:dyDescent="0.25">
      <c r="A420" s="87">
        <v>2019</v>
      </c>
      <c r="B420" s="87">
        <v>7</v>
      </c>
      <c r="C420" s="173" t="s">
        <v>16</v>
      </c>
      <c r="D420" s="173" t="s">
        <v>17</v>
      </c>
      <c r="E420" s="173" t="s">
        <v>18</v>
      </c>
      <c r="F420" s="173" t="s">
        <v>16</v>
      </c>
      <c r="G420" s="87" t="b">
        <v>1</v>
      </c>
      <c r="H420" s="87" t="b">
        <v>0</v>
      </c>
      <c r="I420" s="87" t="b">
        <v>0</v>
      </c>
      <c r="J420" s="173" t="s">
        <v>491</v>
      </c>
      <c r="K420" s="174">
        <v>46009718000140</v>
      </c>
      <c r="L420" s="173" t="s">
        <v>690</v>
      </c>
      <c r="M420" s="173" t="s">
        <v>33</v>
      </c>
      <c r="N420" s="173" t="s">
        <v>19</v>
      </c>
      <c r="O420" s="87">
        <v>73</v>
      </c>
      <c r="P420" s="173" t="s">
        <v>26</v>
      </c>
      <c r="Q420" s="1" t="s">
        <v>1339</v>
      </c>
      <c r="R420" s="175">
        <v>22</v>
      </c>
      <c r="S420">
        <v>11</v>
      </c>
    </row>
    <row r="421" spans="1:19" x14ac:dyDescent="0.25">
      <c r="A421" s="87">
        <v>2019</v>
      </c>
      <c r="B421" s="87">
        <v>7</v>
      </c>
      <c r="C421" s="173" t="s">
        <v>16</v>
      </c>
      <c r="D421" s="173" t="s">
        <v>17</v>
      </c>
      <c r="E421" s="173" t="s">
        <v>18</v>
      </c>
      <c r="F421" s="173" t="s">
        <v>16</v>
      </c>
      <c r="G421" s="87" t="b">
        <v>1</v>
      </c>
      <c r="H421" s="87" t="b">
        <v>0</v>
      </c>
      <c r="I421" s="87" t="b">
        <v>0</v>
      </c>
      <c r="J421" s="173" t="s">
        <v>470</v>
      </c>
      <c r="K421" s="174">
        <v>46020301000269</v>
      </c>
      <c r="L421" s="173" t="s">
        <v>691</v>
      </c>
      <c r="M421" s="173" t="s">
        <v>33</v>
      </c>
      <c r="N421" s="173" t="s">
        <v>19</v>
      </c>
      <c r="O421" s="87">
        <v>73</v>
      </c>
      <c r="P421" s="173" t="s">
        <v>26</v>
      </c>
      <c r="Q421" s="1" t="s">
        <v>1342</v>
      </c>
      <c r="R421" s="175">
        <v>24</v>
      </c>
      <c r="S421">
        <v>6</v>
      </c>
    </row>
    <row r="422" spans="1:19" x14ac:dyDescent="0.25">
      <c r="A422" s="87">
        <v>2019</v>
      </c>
      <c r="B422" s="87">
        <v>7</v>
      </c>
      <c r="C422" s="173" t="s">
        <v>16</v>
      </c>
      <c r="D422" s="173" t="s">
        <v>17</v>
      </c>
      <c r="E422" s="173" t="s">
        <v>18</v>
      </c>
      <c r="F422" s="173" t="s">
        <v>16</v>
      </c>
      <c r="G422" s="87" t="b">
        <v>1</v>
      </c>
      <c r="H422" s="87" t="b">
        <v>0</v>
      </c>
      <c r="I422" s="87" t="b">
        <v>0</v>
      </c>
      <c r="J422" s="173" t="s">
        <v>470</v>
      </c>
      <c r="K422" s="174">
        <v>46020301000269</v>
      </c>
      <c r="L422" s="173" t="s">
        <v>691</v>
      </c>
      <c r="M422" s="173" t="s">
        <v>33</v>
      </c>
      <c r="N422" s="173" t="s">
        <v>19</v>
      </c>
      <c r="O422" s="87">
        <v>73</v>
      </c>
      <c r="P422" s="173" t="s">
        <v>26</v>
      </c>
      <c r="Q422" s="1" t="s">
        <v>1340</v>
      </c>
      <c r="R422" s="175">
        <v>6</v>
      </c>
      <c r="S422">
        <v>6</v>
      </c>
    </row>
    <row r="423" spans="1:19" x14ac:dyDescent="0.25">
      <c r="A423" s="87">
        <v>2019</v>
      </c>
      <c r="B423" s="87">
        <v>7</v>
      </c>
      <c r="C423" s="173" t="s">
        <v>16</v>
      </c>
      <c r="D423" s="173" t="s">
        <v>17</v>
      </c>
      <c r="E423" s="173" t="s">
        <v>18</v>
      </c>
      <c r="F423" s="173" t="s">
        <v>16</v>
      </c>
      <c r="G423" s="87" t="b">
        <v>1</v>
      </c>
      <c r="H423" s="87" t="b">
        <v>0</v>
      </c>
      <c r="I423" s="87" t="b">
        <v>0</v>
      </c>
      <c r="J423" s="173" t="s">
        <v>448</v>
      </c>
      <c r="K423" s="174">
        <v>46020301000269</v>
      </c>
      <c r="L423" s="173" t="s">
        <v>691</v>
      </c>
      <c r="M423" s="173" t="s">
        <v>33</v>
      </c>
      <c r="N423" s="173" t="s">
        <v>19</v>
      </c>
      <c r="O423" s="87">
        <v>73</v>
      </c>
      <c r="P423" s="173" t="s">
        <v>26</v>
      </c>
      <c r="Q423" s="1" t="s">
        <v>1342</v>
      </c>
      <c r="R423" s="175">
        <v>20</v>
      </c>
      <c r="S423">
        <v>5</v>
      </c>
    </row>
    <row r="424" spans="1:19" x14ac:dyDescent="0.25">
      <c r="A424" s="87">
        <v>2019</v>
      </c>
      <c r="B424" s="87">
        <v>7</v>
      </c>
      <c r="C424" s="173" t="s">
        <v>16</v>
      </c>
      <c r="D424" s="173" t="s">
        <v>17</v>
      </c>
      <c r="E424" s="173" t="s">
        <v>18</v>
      </c>
      <c r="F424" s="173" t="s">
        <v>16</v>
      </c>
      <c r="G424" s="87" t="b">
        <v>1</v>
      </c>
      <c r="H424" s="87" t="b">
        <v>0</v>
      </c>
      <c r="I424" s="87" t="b">
        <v>0</v>
      </c>
      <c r="J424" s="173" t="s">
        <v>448</v>
      </c>
      <c r="K424" s="174">
        <v>46124624000111</v>
      </c>
      <c r="L424" s="173" t="s">
        <v>693</v>
      </c>
      <c r="M424" s="173" t="s">
        <v>33</v>
      </c>
      <c r="N424" s="173" t="s">
        <v>19</v>
      </c>
      <c r="O424" s="87">
        <v>70</v>
      </c>
      <c r="P424" s="173" t="s">
        <v>20</v>
      </c>
      <c r="Q424" s="1" t="s">
        <v>1338</v>
      </c>
      <c r="R424" s="175">
        <v>545</v>
      </c>
      <c r="S424">
        <v>109</v>
      </c>
    </row>
    <row r="425" spans="1:19" x14ac:dyDescent="0.25">
      <c r="A425" s="87">
        <v>2019</v>
      </c>
      <c r="B425" s="87">
        <v>7</v>
      </c>
      <c r="C425" s="173" t="s">
        <v>16</v>
      </c>
      <c r="D425" s="173" t="s">
        <v>17</v>
      </c>
      <c r="E425" s="173" t="s">
        <v>18</v>
      </c>
      <c r="F425" s="173" t="s">
        <v>16</v>
      </c>
      <c r="G425" s="87" t="b">
        <v>1</v>
      </c>
      <c r="H425" s="87" t="b">
        <v>0</v>
      </c>
      <c r="I425" s="87" t="b">
        <v>0</v>
      </c>
      <c r="J425" s="173" t="s">
        <v>448</v>
      </c>
      <c r="K425" s="174">
        <v>46124624000111</v>
      </c>
      <c r="L425" s="173" t="s">
        <v>693</v>
      </c>
      <c r="M425" s="173" t="s">
        <v>33</v>
      </c>
      <c r="N425" s="173" t="s">
        <v>19</v>
      </c>
      <c r="O425" s="87">
        <v>73</v>
      </c>
      <c r="P425" s="173" t="s">
        <v>26</v>
      </c>
      <c r="Q425" s="1" t="s">
        <v>1342</v>
      </c>
      <c r="R425" s="175">
        <v>208</v>
      </c>
      <c r="S425">
        <v>52</v>
      </c>
    </row>
    <row r="426" spans="1:19" x14ac:dyDescent="0.25">
      <c r="A426" s="87">
        <v>2019</v>
      </c>
      <c r="B426" s="87">
        <v>7</v>
      </c>
      <c r="C426" s="173" t="s">
        <v>16</v>
      </c>
      <c r="D426" s="173" t="s">
        <v>17</v>
      </c>
      <c r="E426" s="173" t="s">
        <v>18</v>
      </c>
      <c r="F426" s="173" t="s">
        <v>16</v>
      </c>
      <c r="G426" s="87" t="b">
        <v>1</v>
      </c>
      <c r="H426" s="87" t="b">
        <v>0</v>
      </c>
      <c r="I426" s="87" t="b">
        <v>0</v>
      </c>
      <c r="J426" s="173" t="s">
        <v>448</v>
      </c>
      <c r="K426" s="174">
        <v>46124624002599</v>
      </c>
      <c r="L426" s="173" t="s">
        <v>694</v>
      </c>
      <c r="M426" s="173" t="s">
        <v>695</v>
      </c>
      <c r="N426" s="173" t="s">
        <v>19</v>
      </c>
      <c r="O426" s="87">
        <v>70</v>
      </c>
      <c r="P426" s="173" t="s">
        <v>20</v>
      </c>
      <c r="Q426" s="1" t="s">
        <v>1338</v>
      </c>
      <c r="R426" s="175">
        <v>400</v>
      </c>
      <c r="S426">
        <v>80</v>
      </c>
    </row>
    <row r="427" spans="1:19" x14ac:dyDescent="0.25">
      <c r="A427" s="87">
        <v>2019</v>
      </c>
      <c r="B427" s="87">
        <v>7</v>
      </c>
      <c r="C427" s="173" t="s">
        <v>16</v>
      </c>
      <c r="D427" s="173" t="s">
        <v>17</v>
      </c>
      <c r="E427" s="173" t="s">
        <v>18</v>
      </c>
      <c r="F427" s="173" t="s">
        <v>16</v>
      </c>
      <c r="G427" s="87" t="b">
        <v>1</v>
      </c>
      <c r="H427" s="87" t="b">
        <v>0</v>
      </c>
      <c r="I427" s="87" t="b">
        <v>0</v>
      </c>
      <c r="J427" s="173" t="s">
        <v>448</v>
      </c>
      <c r="K427" s="174">
        <v>46124624002599</v>
      </c>
      <c r="L427" s="173" t="s">
        <v>694</v>
      </c>
      <c r="M427" s="173" t="s">
        <v>695</v>
      </c>
      <c r="N427" s="173" t="s">
        <v>19</v>
      </c>
      <c r="O427" s="87">
        <v>73</v>
      </c>
      <c r="P427" s="173" t="s">
        <v>26</v>
      </c>
      <c r="Q427" s="1" t="s">
        <v>1342</v>
      </c>
      <c r="R427" s="175">
        <v>120</v>
      </c>
      <c r="S427">
        <v>30</v>
      </c>
    </row>
    <row r="428" spans="1:19" x14ac:dyDescent="0.25">
      <c r="A428" s="87">
        <v>2019</v>
      </c>
      <c r="B428" s="87">
        <v>7</v>
      </c>
      <c r="C428" s="173" t="s">
        <v>16</v>
      </c>
      <c r="D428" s="173" t="s">
        <v>17</v>
      </c>
      <c r="E428" s="173" t="s">
        <v>18</v>
      </c>
      <c r="F428" s="173" t="s">
        <v>16</v>
      </c>
      <c r="G428" s="87" t="b">
        <v>1</v>
      </c>
      <c r="H428" s="87" t="b">
        <v>0</v>
      </c>
      <c r="I428" s="87" t="b">
        <v>0</v>
      </c>
      <c r="J428" s="173" t="s">
        <v>1330</v>
      </c>
      <c r="K428" s="174">
        <v>46374500003533</v>
      </c>
      <c r="L428" s="173" t="s">
        <v>696</v>
      </c>
      <c r="M428" s="173" t="s">
        <v>639</v>
      </c>
      <c r="N428" s="173" t="s">
        <v>19</v>
      </c>
      <c r="O428" s="87">
        <v>70</v>
      </c>
      <c r="P428" s="173" t="s">
        <v>20</v>
      </c>
      <c r="Q428" s="1" t="s">
        <v>1338</v>
      </c>
      <c r="R428" s="175">
        <v>1000</v>
      </c>
      <c r="S428">
        <v>200</v>
      </c>
    </row>
    <row r="429" spans="1:19" x14ac:dyDescent="0.25">
      <c r="A429" s="87">
        <v>2019</v>
      </c>
      <c r="B429" s="87">
        <v>7</v>
      </c>
      <c r="C429" s="173" t="s">
        <v>16</v>
      </c>
      <c r="D429" s="173" t="s">
        <v>17</v>
      </c>
      <c r="E429" s="173" t="s">
        <v>18</v>
      </c>
      <c r="F429" s="173" t="s">
        <v>16</v>
      </c>
      <c r="G429" s="87" t="b">
        <v>1</v>
      </c>
      <c r="H429" s="87" t="b">
        <v>0</v>
      </c>
      <c r="I429" s="87" t="b">
        <v>0</v>
      </c>
      <c r="J429" s="173" t="s">
        <v>492</v>
      </c>
      <c r="K429" s="174">
        <v>47074851000819</v>
      </c>
      <c r="L429" s="173" t="s">
        <v>702</v>
      </c>
      <c r="M429" s="173" t="s">
        <v>41</v>
      </c>
      <c r="N429" s="173" t="s">
        <v>19</v>
      </c>
      <c r="O429" s="87">
        <v>70</v>
      </c>
      <c r="P429" s="173" t="s">
        <v>20</v>
      </c>
      <c r="Q429" s="1" t="s">
        <v>1338</v>
      </c>
      <c r="R429" s="175">
        <v>40</v>
      </c>
      <c r="S429">
        <v>8</v>
      </c>
    </row>
    <row r="430" spans="1:19" x14ac:dyDescent="0.25">
      <c r="A430" s="87">
        <v>2019</v>
      </c>
      <c r="B430" s="87">
        <v>7</v>
      </c>
      <c r="C430" s="173" t="s">
        <v>16</v>
      </c>
      <c r="D430" s="173" t="s">
        <v>17</v>
      </c>
      <c r="E430" s="173" t="s">
        <v>18</v>
      </c>
      <c r="F430" s="173" t="s">
        <v>16</v>
      </c>
      <c r="G430" s="87" t="b">
        <v>1</v>
      </c>
      <c r="H430" s="87" t="b">
        <v>0</v>
      </c>
      <c r="I430" s="87" t="b">
        <v>0</v>
      </c>
      <c r="J430" s="173" t="s">
        <v>450</v>
      </c>
      <c r="K430" s="174">
        <v>47074851000819</v>
      </c>
      <c r="L430" s="173" t="s">
        <v>702</v>
      </c>
      <c r="M430" s="173" t="s">
        <v>41</v>
      </c>
      <c r="N430" s="173" t="s">
        <v>19</v>
      </c>
      <c r="O430" s="87">
        <v>73</v>
      </c>
      <c r="P430" s="173" t="s">
        <v>26</v>
      </c>
      <c r="Q430" s="1" t="s">
        <v>1340</v>
      </c>
      <c r="R430" s="175">
        <v>6</v>
      </c>
      <c r="S430">
        <v>6</v>
      </c>
    </row>
    <row r="431" spans="1:19" x14ac:dyDescent="0.25">
      <c r="A431" s="87">
        <v>2019</v>
      </c>
      <c r="B431" s="87">
        <v>7</v>
      </c>
      <c r="C431" s="173" t="s">
        <v>16</v>
      </c>
      <c r="D431" s="173" t="s">
        <v>17</v>
      </c>
      <c r="E431" s="173" t="s">
        <v>18</v>
      </c>
      <c r="F431" s="173" t="s">
        <v>16</v>
      </c>
      <c r="G431" s="87" t="b">
        <v>1</v>
      </c>
      <c r="H431" s="87" t="b">
        <v>0</v>
      </c>
      <c r="I431" s="87" t="b">
        <v>0</v>
      </c>
      <c r="J431" s="173" t="s">
        <v>463</v>
      </c>
      <c r="K431" s="174">
        <v>47074851000819</v>
      </c>
      <c r="L431" s="173" t="s">
        <v>702</v>
      </c>
      <c r="M431" s="173" t="s">
        <v>41</v>
      </c>
      <c r="N431" s="173" t="s">
        <v>19</v>
      </c>
      <c r="O431" s="87">
        <v>73</v>
      </c>
      <c r="P431" s="173" t="s">
        <v>26</v>
      </c>
      <c r="Q431" s="1" t="s">
        <v>1340</v>
      </c>
      <c r="R431" s="175">
        <v>6</v>
      </c>
      <c r="S431">
        <v>6</v>
      </c>
    </row>
    <row r="432" spans="1:19" x14ac:dyDescent="0.25">
      <c r="A432" s="87">
        <v>2019</v>
      </c>
      <c r="B432" s="87">
        <v>7</v>
      </c>
      <c r="C432" s="173" t="s">
        <v>16</v>
      </c>
      <c r="D432" s="173" t="s">
        <v>17</v>
      </c>
      <c r="E432" s="173" t="s">
        <v>18</v>
      </c>
      <c r="F432" s="173" t="s">
        <v>16</v>
      </c>
      <c r="G432" s="87" t="b">
        <v>1</v>
      </c>
      <c r="H432" s="87" t="b">
        <v>0</v>
      </c>
      <c r="I432" s="87" t="b">
        <v>0</v>
      </c>
      <c r="J432" s="173" t="s">
        <v>1330</v>
      </c>
      <c r="K432" s="174">
        <v>48468284000171</v>
      </c>
      <c r="L432" s="173" t="s">
        <v>705</v>
      </c>
      <c r="M432" s="173" t="s">
        <v>43</v>
      </c>
      <c r="N432" s="173" t="s">
        <v>19</v>
      </c>
      <c r="O432" s="87">
        <v>70</v>
      </c>
      <c r="P432" s="173" t="s">
        <v>20</v>
      </c>
      <c r="Q432" s="1" t="s">
        <v>1338</v>
      </c>
      <c r="R432" s="175">
        <v>100</v>
      </c>
      <c r="S432">
        <v>20</v>
      </c>
    </row>
    <row r="433" spans="1:19" x14ac:dyDescent="0.25">
      <c r="A433" s="87">
        <v>2019</v>
      </c>
      <c r="B433" s="87">
        <v>7</v>
      </c>
      <c r="C433" s="173" t="s">
        <v>16</v>
      </c>
      <c r="D433" s="173" t="s">
        <v>17</v>
      </c>
      <c r="E433" s="173" t="s">
        <v>18</v>
      </c>
      <c r="F433" s="173" t="s">
        <v>16</v>
      </c>
      <c r="G433" s="87" t="b">
        <v>1</v>
      </c>
      <c r="H433" s="87" t="b">
        <v>0</v>
      </c>
      <c r="I433" s="87" t="b">
        <v>0</v>
      </c>
      <c r="J433" s="173" t="s">
        <v>463</v>
      </c>
      <c r="K433" s="174">
        <v>50486026000160</v>
      </c>
      <c r="L433" s="173" t="s">
        <v>706</v>
      </c>
      <c r="M433" s="173" t="s">
        <v>44</v>
      </c>
      <c r="N433" s="173" t="s">
        <v>19</v>
      </c>
      <c r="O433" s="87">
        <v>70</v>
      </c>
      <c r="P433" s="173" t="s">
        <v>20</v>
      </c>
      <c r="Q433" s="1" t="s">
        <v>1338</v>
      </c>
      <c r="R433" s="175">
        <v>100</v>
      </c>
      <c r="S433">
        <v>20</v>
      </c>
    </row>
    <row r="434" spans="1:19" x14ac:dyDescent="0.25">
      <c r="A434" s="87">
        <v>2019</v>
      </c>
      <c r="B434" s="87">
        <v>7</v>
      </c>
      <c r="C434" s="173" t="s">
        <v>16</v>
      </c>
      <c r="D434" s="173" t="s">
        <v>17</v>
      </c>
      <c r="E434" s="173" t="s">
        <v>18</v>
      </c>
      <c r="F434" s="173" t="s">
        <v>16</v>
      </c>
      <c r="G434" s="87" t="b">
        <v>1</v>
      </c>
      <c r="H434" s="87" t="b">
        <v>0</v>
      </c>
      <c r="I434" s="87" t="b">
        <v>0</v>
      </c>
      <c r="J434" s="173" t="s">
        <v>470</v>
      </c>
      <c r="K434" s="174">
        <v>51722957010226</v>
      </c>
      <c r="L434" s="173" t="s">
        <v>603</v>
      </c>
      <c r="M434" s="173" t="s">
        <v>29</v>
      </c>
      <c r="N434" s="173" t="s">
        <v>19</v>
      </c>
      <c r="O434" s="87">
        <v>70</v>
      </c>
      <c r="P434" s="173" t="s">
        <v>20</v>
      </c>
      <c r="Q434" s="1" t="s">
        <v>1338</v>
      </c>
      <c r="R434" s="175">
        <v>535</v>
      </c>
      <c r="S434">
        <v>107</v>
      </c>
    </row>
    <row r="435" spans="1:19" x14ac:dyDescent="0.25">
      <c r="A435" s="87">
        <v>2019</v>
      </c>
      <c r="B435" s="87">
        <v>7</v>
      </c>
      <c r="C435" s="173" t="s">
        <v>16</v>
      </c>
      <c r="D435" s="173" t="s">
        <v>17</v>
      </c>
      <c r="E435" s="173" t="s">
        <v>18</v>
      </c>
      <c r="F435" s="173" t="s">
        <v>16</v>
      </c>
      <c r="G435" s="87" t="b">
        <v>1</v>
      </c>
      <c r="H435" s="87" t="b">
        <v>0</v>
      </c>
      <c r="I435" s="87" t="b">
        <v>0</v>
      </c>
      <c r="J435" s="173" t="s">
        <v>470</v>
      </c>
      <c r="K435" s="174">
        <v>51722957010226</v>
      </c>
      <c r="L435" s="173" t="s">
        <v>603</v>
      </c>
      <c r="M435" s="173" t="s">
        <v>29</v>
      </c>
      <c r="N435" s="173" t="s">
        <v>19</v>
      </c>
      <c r="O435" s="87">
        <v>73</v>
      </c>
      <c r="P435" s="173" t="s">
        <v>26</v>
      </c>
      <c r="Q435" s="1" t="s">
        <v>1339</v>
      </c>
      <c r="R435" s="175">
        <v>2</v>
      </c>
      <c r="S435">
        <v>1</v>
      </c>
    </row>
    <row r="436" spans="1:19" x14ac:dyDescent="0.25">
      <c r="A436" s="87">
        <v>2019</v>
      </c>
      <c r="B436" s="87">
        <v>7</v>
      </c>
      <c r="C436" s="173" t="s">
        <v>16</v>
      </c>
      <c r="D436" s="173" t="s">
        <v>17</v>
      </c>
      <c r="E436" s="173" t="s">
        <v>18</v>
      </c>
      <c r="F436" s="173" t="s">
        <v>16</v>
      </c>
      <c r="G436" s="87" t="b">
        <v>1</v>
      </c>
      <c r="H436" s="87" t="b">
        <v>0</v>
      </c>
      <c r="I436" s="87" t="b">
        <v>0</v>
      </c>
      <c r="J436" s="173" t="s">
        <v>470</v>
      </c>
      <c r="K436" s="174">
        <v>51722957010226</v>
      </c>
      <c r="L436" s="173" t="s">
        <v>603</v>
      </c>
      <c r="M436" s="173" t="s">
        <v>29</v>
      </c>
      <c r="N436" s="173" t="s">
        <v>19</v>
      </c>
      <c r="O436" s="87">
        <v>73</v>
      </c>
      <c r="P436" s="173" t="s">
        <v>26</v>
      </c>
      <c r="Q436" s="1" t="s">
        <v>1340</v>
      </c>
      <c r="R436" s="175">
        <v>3</v>
      </c>
      <c r="S436">
        <v>3</v>
      </c>
    </row>
    <row r="437" spans="1:19" x14ac:dyDescent="0.25">
      <c r="A437" s="87">
        <v>2019</v>
      </c>
      <c r="B437" s="87">
        <v>7</v>
      </c>
      <c r="C437" s="173" t="s">
        <v>16</v>
      </c>
      <c r="D437" s="173" t="s">
        <v>17</v>
      </c>
      <c r="E437" s="173" t="s">
        <v>18</v>
      </c>
      <c r="F437" s="173" t="s">
        <v>16</v>
      </c>
      <c r="G437" s="87" t="b">
        <v>1</v>
      </c>
      <c r="H437" s="87" t="b">
        <v>0</v>
      </c>
      <c r="I437" s="87" t="b">
        <v>0</v>
      </c>
      <c r="J437" s="173" t="s">
        <v>491</v>
      </c>
      <c r="K437" s="174">
        <v>51722957010226</v>
      </c>
      <c r="L437" s="173" t="s">
        <v>603</v>
      </c>
      <c r="M437" s="173" t="s">
        <v>29</v>
      </c>
      <c r="N437" s="173" t="s">
        <v>19</v>
      </c>
      <c r="O437" s="87">
        <v>73</v>
      </c>
      <c r="P437" s="173" t="s">
        <v>26</v>
      </c>
      <c r="Q437" s="1" t="s">
        <v>1339</v>
      </c>
      <c r="R437" s="175">
        <v>2</v>
      </c>
      <c r="S437">
        <v>1</v>
      </c>
    </row>
    <row r="438" spans="1:19" x14ac:dyDescent="0.25">
      <c r="A438" s="87">
        <v>2019</v>
      </c>
      <c r="B438" s="87">
        <v>7</v>
      </c>
      <c r="C438" s="173" t="s">
        <v>16</v>
      </c>
      <c r="D438" s="173" t="s">
        <v>17</v>
      </c>
      <c r="E438" s="173" t="s">
        <v>18</v>
      </c>
      <c r="F438" s="173" t="s">
        <v>16</v>
      </c>
      <c r="G438" s="87" t="b">
        <v>1</v>
      </c>
      <c r="H438" s="87" t="b">
        <v>0</v>
      </c>
      <c r="I438" s="87" t="b">
        <v>0</v>
      </c>
      <c r="J438" s="173" t="s">
        <v>470</v>
      </c>
      <c r="K438" s="174">
        <v>51722957012512</v>
      </c>
      <c r="L438" s="173" t="s">
        <v>604</v>
      </c>
      <c r="M438" s="173" t="s">
        <v>29</v>
      </c>
      <c r="N438" s="173" t="s">
        <v>19</v>
      </c>
      <c r="O438" s="87">
        <v>70</v>
      </c>
      <c r="P438" s="173" t="s">
        <v>20</v>
      </c>
      <c r="Q438" s="1" t="s">
        <v>1338</v>
      </c>
      <c r="R438" s="175">
        <v>65</v>
      </c>
      <c r="S438">
        <v>13</v>
      </c>
    </row>
    <row r="439" spans="1:19" x14ac:dyDescent="0.25">
      <c r="A439" s="87">
        <v>2019</v>
      </c>
      <c r="B439" s="87">
        <v>7</v>
      </c>
      <c r="C439" s="173" t="s">
        <v>16</v>
      </c>
      <c r="D439" s="173" t="s">
        <v>17</v>
      </c>
      <c r="E439" s="173" t="s">
        <v>18</v>
      </c>
      <c r="F439" s="173" t="s">
        <v>16</v>
      </c>
      <c r="G439" s="87" t="b">
        <v>1</v>
      </c>
      <c r="H439" s="87" t="b">
        <v>0</v>
      </c>
      <c r="I439" s="87" t="b">
        <v>0</v>
      </c>
      <c r="J439" s="173" t="s">
        <v>448</v>
      </c>
      <c r="K439" s="174">
        <v>51877926000109</v>
      </c>
      <c r="L439" s="173" t="s">
        <v>711</v>
      </c>
      <c r="M439" s="173" t="s">
        <v>33</v>
      </c>
      <c r="N439" s="173" t="s">
        <v>19</v>
      </c>
      <c r="O439" s="87">
        <v>70</v>
      </c>
      <c r="P439" s="173" t="s">
        <v>20</v>
      </c>
      <c r="Q439" s="1" t="s">
        <v>1338</v>
      </c>
      <c r="R439" s="175">
        <v>165</v>
      </c>
      <c r="S439">
        <v>33</v>
      </c>
    </row>
    <row r="440" spans="1:19" x14ac:dyDescent="0.25">
      <c r="A440" s="87">
        <v>2019</v>
      </c>
      <c r="B440" s="87">
        <v>7</v>
      </c>
      <c r="C440" s="173" t="s">
        <v>16</v>
      </c>
      <c r="D440" s="173" t="s">
        <v>17</v>
      </c>
      <c r="E440" s="173" t="s">
        <v>18</v>
      </c>
      <c r="F440" s="173" t="s">
        <v>16</v>
      </c>
      <c r="G440" s="87" t="b">
        <v>1</v>
      </c>
      <c r="H440" s="87" t="b">
        <v>0</v>
      </c>
      <c r="I440" s="87" t="b">
        <v>0</v>
      </c>
      <c r="J440" s="173" t="s">
        <v>1330</v>
      </c>
      <c r="K440" s="174">
        <v>51885242000140</v>
      </c>
      <c r="L440" s="173" t="s">
        <v>712</v>
      </c>
      <c r="M440" s="173" t="s">
        <v>33</v>
      </c>
      <c r="N440" s="173" t="s">
        <v>19</v>
      </c>
      <c r="O440" s="87">
        <v>73</v>
      </c>
      <c r="P440" s="173" t="s">
        <v>26</v>
      </c>
      <c r="Q440" s="1" t="s">
        <v>1339</v>
      </c>
      <c r="R440" s="175">
        <v>240</v>
      </c>
      <c r="S440">
        <v>120</v>
      </c>
    </row>
    <row r="441" spans="1:19" x14ac:dyDescent="0.25">
      <c r="A441" s="87">
        <v>2019</v>
      </c>
      <c r="B441" s="87">
        <v>7</v>
      </c>
      <c r="C441" s="173" t="s">
        <v>16</v>
      </c>
      <c r="D441" s="173" t="s">
        <v>17</v>
      </c>
      <c r="E441" s="173" t="s">
        <v>18</v>
      </c>
      <c r="F441" s="173" t="s">
        <v>16</v>
      </c>
      <c r="G441" s="87" t="b">
        <v>1</v>
      </c>
      <c r="H441" s="87" t="b">
        <v>0</v>
      </c>
      <c r="I441" s="87" t="b">
        <v>0</v>
      </c>
      <c r="J441" s="173" t="s">
        <v>450</v>
      </c>
      <c r="K441" s="174">
        <v>53221255004995</v>
      </c>
      <c r="L441" s="173" t="s">
        <v>1123</v>
      </c>
      <c r="M441" s="173" t="s">
        <v>131</v>
      </c>
      <c r="N441" s="173" t="s">
        <v>61</v>
      </c>
      <c r="O441" s="87">
        <v>62</v>
      </c>
      <c r="P441" s="173" t="s">
        <v>27</v>
      </c>
      <c r="Q441" s="1" t="s">
        <v>1343</v>
      </c>
      <c r="R441" s="175">
        <v>2</v>
      </c>
      <c r="S441">
        <v>2</v>
      </c>
    </row>
    <row r="442" spans="1:19" x14ac:dyDescent="0.25">
      <c r="A442" s="87">
        <v>2019</v>
      </c>
      <c r="B442" s="87">
        <v>7</v>
      </c>
      <c r="C442" s="173" t="s">
        <v>16</v>
      </c>
      <c r="D442" s="173" t="s">
        <v>17</v>
      </c>
      <c r="E442" s="173" t="s">
        <v>18</v>
      </c>
      <c r="F442" s="173" t="s">
        <v>16</v>
      </c>
      <c r="G442" s="87" t="b">
        <v>1</v>
      </c>
      <c r="H442" s="87" t="b">
        <v>0</v>
      </c>
      <c r="I442" s="87" t="b">
        <v>0</v>
      </c>
      <c r="J442" s="173" t="s">
        <v>470</v>
      </c>
      <c r="K442" s="174">
        <v>54012406000385</v>
      </c>
      <c r="L442" s="173" t="s">
        <v>718</v>
      </c>
      <c r="M442" s="173" t="s">
        <v>45</v>
      </c>
      <c r="N442" s="173" t="s">
        <v>19</v>
      </c>
      <c r="O442" s="87">
        <v>70</v>
      </c>
      <c r="P442" s="173" t="s">
        <v>20</v>
      </c>
      <c r="Q442" s="1" t="s">
        <v>1338</v>
      </c>
      <c r="R442" s="175">
        <v>70</v>
      </c>
      <c r="S442">
        <v>14</v>
      </c>
    </row>
    <row r="443" spans="1:19" x14ac:dyDescent="0.25">
      <c r="A443" s="87">
        <v>2019</v>
      </c>
      <c r="B443" s="87">
        <v>7</v>
      </c>
      <c r="C443" s="173" t="s">
        <v>16</v>
      </c>
      <c r="D443" s="173" t="s">
        <v>17</v>
      </c>
      <c r="E443" s="173" t="s">
        <v>18</v>
      </c>
      <c r="F443" s="173" t="s">
        <v>16</v>
      </c>
      <c r="G443" s="87" t="b">
        <v>1</v>
      </c>
      <c r="H443" s="87" t="b">
        <v>0</v>
      </c>
      <c r="I443" s="87" t="b">
        <v>0</v>
      </c>
      <c r="J443" s="173" t="s">
        <v>450</v>
      </c>
      <c r="K443" s="174">
        <v>55980148000121</v>
      </c>
      <c r="L443" s="173" t="s">
        <v>720</v>
      </c>
      <c r="M443" s="173" t="s">
        <v>639</v>
      </c>
      <c r="N443" s="173" t="s">
        <v>19</v>
      </c>
      <c r="O443" s="87">
        <v>73</v>
      </c>
      <c r="P443" s="173" t="s">
        <v>26</v>
      </c>
      <c r="Q443" s="1" t="s">
        <v>1340</v>
      </c>
      <c r="R443" s="175">
        <v>1</v>
      </c>
      <c r="S443">
        <v>1</v>
      </c>
    </row>
    <row r="444" spans="1:19" x14ac:dyDescent="0.25">
      <c r="A444" s="87">
        <v>2019</v>
      </c>
      <c r="B444" s="87">
        <v>7</v>
      </c>
      <c r="C444" s="173" t="s">
        <v>16</v>
      </c>
      <c r="D444" s="173" t="s">
        <v>17</v>
      </c>
      <c r="E444" s="173" t="s">
        <v>18</v>
      </c>
      <c r="F444" s="173" t="s">
        <v>16</v>
      </c>
      <c r="G444" s="87" t="b">
        <v>1</v>
      </c>
      <c r="H444" s="87" t="b">
        <v>0</v>
      </c>
      <c r="I444" s="87" t="b">
        <v>0</v>
      </c>
      <c r="J444" s="173" t="s">
        <v>450</v>
      </c>
      <c r="K444" s="174">
        <v>56577059000606</v>
      </c>
      <c r="L444" s="173" t="s">
        <v>606</v>
      </c>
      <c r="M444" s="173" t="s">
        <v>29</v>
      </c>
      <c r="N444" s="173" t="s">
        <v>19</v>
      </c>
      <c r="O444" s="87">
        <v>64</v>
      </c>
      <c r="P444" s="173" t="s">
        <v>25</v>
      </c>
      <c r="Q444" s="1" t="s">
        <v>1344</v>
      </c>
      <c r="R444" s="175">
        <v>30</v>
      </c>
      <c r="S444">
        <v>30</v>
      </c>
    </row>
    <row r="445" spans="1:19" x14ac:dyDescent="0.25">
      <c r="A445" s="87">
        <v>2019</v>
      </c>
      <c r="B445" s="87">
        <v>7</v>
      </c>
      <c r="C445" s="173" t="s">
        <v>16</v>
      </c>
      <c r="D445" s="173" t="s">
        <v>17</v>
      </c>
      <c r="E445" s="173" t="s">
        <v>18</v>
      </c>
      <c r="F445" s="173" t="s">
        <v>16</v>
      </c>
      <c r="G445" s="87" t="b">
        <v>1</v>
      </c>
      <c r="H445" s="87" t="b">
        <v>0</v>
      </c>
      <c r="I445" s="87" t="b">
        <v>0</v>
      </c>
      <c r="J445" s="173" t="s">
        <v>470</v>
      </c>
      <c r="K445" s="174">
        <v>57394710000160</v>
      </c>
      <c r="L445" s="173" t="s">
        <v>607</v>
      </c>
      <c r="M445" s="173" t="s">
        <v>29</v>
      </c>
      <c r="N445" s="173" t="s">
        <v>19</v>
      </c>
      <c r="O445" s="87">
        <v>70</v>
      </c>
      <c r="P445" s="173" t="s">
        <v>20</v>
      </c>
      <c r="Q445" s="1" t="s">
        <v>1338</v>
      </c>
      <c r="R445" s="175">
        <v>25</v>
      </c>
      <c r="S445">
        <v>5</v>
      </c>
    </row>
    <row r="446" spans="1:19" x14ac:dyDescent="0.25">
      <c r="A446" s="87">
        <v>2019</v>
      </c>
      <c r="B446" s="87">
        <v>7</v>
      </c>
      <c r="C446" s="173" t="s">
        <v>16</v>
      </c>
      <c r="D446" s="173" t="s">
        <v>17</v>
      </c>
      <c r="E446" s="173" t="s">
        <v>18</v>
      </c>
      <c r="F446" s="173" t="s">
        <v>16</v>
      </c>
      <c r="G446" s="87" t="b">
        <v>1</v>
      </c>
      <c r="H446" s="87" t="b">
        <v>0</v>
      </c>
      <c r="I446" s="87" t="b">
        <v>0</v>
      </c>
      <c r="J446" s="173" t="s">
        <v>1330</v>
      </c>
      <c r="K446" s="174">
        <v>57722118000302</v>
      </c>
      <c r="L446" s="173" t="s">
        <v>723</v>
      </c>
      <c r="M446" s="173" t="s">
        <v>639</v>
      </c>
      <c r="N446" s="173" t="s">
        <v>19</v>
      </c>
      <c r="O446" s="87">
        <v>70</v>
      </c>
      <c r="P446" s="173" t="s">
        <v>20</v>
      </c>
      <c r="Q446" s="1" t="s">
        <v>1338</v>
      </c>
      <c r="R446" s="175">
        <v>1650</v>
      </c>
      <c r="S446">
        <v>330</v>
      </c>
    </row>
    <row r="447" spans="1:19" x14ac:dyDescent="0.25">
      <c r="A447" s="87">
        <v>2019</v>
      </c>
      <c r="B447" s="87">
        <v>7</v>
      </c>
      <c r="C447" s="173" t="s">
        <v>16</v>
      </c>
      <c r="D447" s="173" t="s">
        <v>17</v>
      </c>
      <c r="E447" s="173" t="s">
        <v>18</v>
      </c>
      <c r="F447" s="173" t="s">
        <v>16</v>
      </c>
      <c r="G447" s="87" t="b">
        <v>1</v>
      </c>
      <c r="H447" s="87" t="b">
        <v>0</v>
      </c>
      <c r="I447" s="87" t="b">
        <v>0</v>
      </c>
      <c r="J447" s="173" t="s">
        <v>450</v>
      </c>
      <c r="K447" s="174">
        <v>58229691001070</v>
      </c>
      <c r="L447" s="173" t="s">
        <v>725</v>
      </c>
      <c r="M447" s="173" t="s">
        <v>35</v>
      </c>
      <c r="N447" s="173" t="s">
        <v>19</v>
      </c>
      <c r="O447" s="87">
        <v>73</v>
      </c>
      <c r="P447" s="173" t="s">
        <v>26</v>
      </c>
      <c r="Q447" s="1" t="s">
        <v>1342</v>
      </c>
      <c r="R447" s="175">
        <v>48</v>
      </c>
      <c r="S447">
        <v>12</v>
      </c>
    </row>
    <row r="448" spans="1:19" x14ac:dyDescent="0.25">
      <c r="A448" s="87">
        <v>2019</v>
      </c>
      <c r="B448" s="87">
        <v>7</v>
      </c>
      <c r="C448" s="173" t="s">
        <v>16</v>
      </c>
      <c r="D448" s="173" t="s">
        <v>17</v>
      </c>
      <c r="E448" s="173" t="s">
        <v>18</v>
      </c>
      <c r="F448" s="173" t="s">
        <v>16</v>
      </c>
      <c r="G448" s="87" t="b">
        <v>1</v>
      </c>
      <c r="H448" s="87" t="b">
        <v>0</v>
      </c>
      <c r="I448" s="87" t="b">
        <v>0</v>
      </c>
      <c r="J448" s="173" t="s">
        <v>451</v>
      </c>
      <c r="K448" s="174">
        <v>59481028000130</v>
      </c>
      <c r="L448" s="173" t="s">
        <v>608</v>
      </c>
      <c r="M448" s="173" t="s">
        <v>29</v>
      </c>
      <c r="N448" s="173" t="s">
        <v>19</v>
      </c>
      <c r="O448" s="87">
        <v>70</v>
      </c>
      <c r="P448" s="173" t="s">
        <v>20</v>
      </c>
      <c r="Q448" s="1" t="s">
        <v>1338</v>
      </c>
      <c r="R448" s="175">
        <v>10</v>
      </c>
      <c r="S448">
        <v>2</v>
      </c>
    </row>
    <row r="449" spans="1:19" x14ac:dyDescent="0.25">
      <c r="A449" s="87">
        <v>2019</v>
      </c>
      <c r="B449" s="87">
        <v>7</v>
      </c>
      <c r="C449" s="173" t="s">
        <v>16</v>
      </c>
      <c r="D449" s="173" t="s">
        <v>17</v>
      </c>
      <c r="E449" s="173" t="s">
        <v>18</v>
      </c>
      <c r="F449" s="173" t="s">
        <v>16</v>
      </c>
      <c r="G449" s="87" t="b">
        <v>1</v>
      </c>
      <c r="H449" s="87" t="b">
        <v>0</v>
      </c>
      <c r="I449" s="87" t="b">
        <v>0</v>
      </c>
      <c r="J449" s="173" t="s">
        <v>463</v>
      </c>
      <c r="K449" s="174">
        <v>59970947000178</v>
      </c>
      <c r="L449" s="173" t="s">
        <v>726</v>
      </c>
      <c r="M449" s="173" t="s">
        <v>643</v>
      </c>
      <c r="N449" s="173" t="s">
        <v>19</v>
      </c>
      <c r="O449" s="87">
        <v>62</v>
      </c>
      <c r="P449" s="173" t="s">
        <v>27</v>
      </c>
      <c r="Q449" s="1" t="s">
        <v>1343</v>
      </c>
      <c r="R449" s="175">
        <v>1</v>
      </c>
      <c r="S449">
        <v>1</v>
      </c>
    </row>
    <row r="450" spans="1:19" x14ac:dyDescent="0.25">
      <c r="A450" s="87">
        <v>2019</v>
      </c>
      <c r="B450" s="87">
        <v>7</v>
      </c>
      <c r="C450" s="173" t="s">
        <v>16</v>
      </c>
      <c r="D450" s="173" t="s">
        <v>17</v>
      </c>
      <c r="E450" s="173" t="s">
        <v>18</v>
      </c>
      <c r="F450" s="173" t="s">
        <v>16</v>
      </c>
      <c r="G450" s="87" t="b">
        <v>1</v>
      </c>
      <c r="H450" s="87" t="b">
        <v>0</v>
      </c>
      <c r="I450" s="87" t="b">
        <v>0</v>
      </c>
      <c r="J450" s="173" t="s">
        <v>463</v>
      </c>
      <c r="K450" s="174">
        <v>59972307000105</v>
      </c>
      <c r="L450" s="173" t="s">
        <v>727</v>
      </c>
      <c r="M450" s="173" t="s">
        <v>643</v>
      </c>
      <c r="N450" s="173" t="s">
        <v>19</v>
      </c>
      <c r="O450" s="87">
        <v>64</v>
      </c>
      <c r="P450" s="173" t="s">
        <v>25</v>
      </c>
      <c r="Q450" s="1" t="s">
        <v>1344</v>
      </c>
      <c r="R450" s="175">
        <v>2</v>
      </c>
      <c r="S450">
        <v>2</v>
      </c>
    </row>
    <row r="451" spans="1:19" x14ac:dyDescent="0.25">
      <c r="A451" s="87">
        <v>2019</v>
      </c>
      <c r="B451" s="87">
        <v>7</v>
      </c>
      <c r="C451" s="173" t="s">
        <v>16</v>
      </c>
      <c r="D451" s="173" t="s">
        <v>17</v>
      </c>
      <c r="E451" s="173" t="s">
        <v>18</v>
      </c>
      <c r="F451" s="173" t="s">
        <v>16</v>
      </c>
      <c r="G451" s="87" t="b">
        <v>1</v>
      </c>
      <c r="H451" s="87" t="b">
        <v>0</v>
      </c>
      <c r="I451" s="87" t="b">
        <v>0</v>
      </c>
      <c r="J451" s="173" t="s">
        <v>1330</v>
      </c>
      <c r="K451" s="174">
        <v>60003761000129</v>
      </c>
      <c r="L451" s="173" t="s">
        <v>728</v>
      </c>
      <c r="M451" s="173" t="s">
        <v>643</v>
      </c>
      <c r="N451" s="173" t="s">
        <v>19</v>
      </c>
      <c r="O451" s="87">
        <v>64</v>
      </c>
      <c r="P451" s="173" t="s">
        <v>25</v>
      </c>
      <c r="Q451" s="1" t="s">
        <v>1344</v>
      </c>
      <c r="R451" s="175">
        <v>10</v>
      </c>
      <c r="S451">
        <v>10</v>
      </c>
    </row>
    <row r="452" spans="1:19" x14ac:dyDescent="0.25">
      <c r="A452" s="87">
        <v>2019</v>
      </c>
      <c r="B452" s="87">
        <v>7</v>
      </c>
      <c r="C452" s="173" t="s">
        <v>16</v>
      </c>
      <c r="D452" s="173" t="s">
        <v>17</v>
      </c>
      <c r="E452" s="173" t="s">
        <v>18</v>
      </c>
      <c r="F452" s="173" t="s">
        <v>16</v>
      </c>
      <c r="G452" s="87" t="b">
        <v>1</v>
      </c>
      <c r="H452" s="87" t="b">
        <v>0</v>
      </c>
      <c r="I452" s="87" t="b">
        <v>0</v>
      </c>
      <c r="J452" s="173" t="s">
        <v>463</v>
      </c>
      <c r="K452" s="174">
        <v>60214517000962</v>
      </c>
      <c r="L452" s="173" t="s">
        <v>729</v>
      </c>
      <c r="M452" s="173" t="s">
        <v>650</v>
      </c>
      <c r="N452" s="173" t="s">
        <v>19</v>
      </c>
      <c r="O452" s="87">
        <v>70</v>
      </c>
      <c r="P452" s="173" t="s">
        <v>20</v>
      </c>
      <c r="Q452" s="1" t="s">
        <v>1338</v>
      </c>
      <c r="R452" s="175">
        <v>90</v>
      </c>
      <c r="S452">
        <v>18</v>
      </c>
    </row>
    <row r="453" spans="1:19" x14ac:dyDescent="0.25">
      <c r="A453" s="87">
        <v>2019</v>
      </c>
      <c r="B453" s="87">
        <v>7</v>
      </c>
      <c r="C453" s="173" t="s">
        <v>16</v>
      </c>
      <c r="D453" s="173" t="s">
        <v>17</v>
      </c>
      <c r="E453" s="173" t="s">
        <v>18</v>
      </c>
      <c r="F453" s="173" t="s">
        <v>16</v>
      </c>
      <c r="G453" s="87" t="b">
        <v>1</v>
      </c>
      <c r="H453" s="87" t="b">
        <v>0</v>
      </c>
      <c r="I453" s="87" t="b">
        <v>0</v>
      </c>
      <c r="J453" s="173" t="s">
        <v>463</v>
      </c>
      <c r="K453" s="174">
        <v>60214517001691</v>
      </c>
      <c r="L453" s="173" t="s">
        <v>732</v>
      </c>
      <c r="M453" s="173" t="s">
        <v>650</v>
      </c>
      <c r="N453" s="173" t="s">
        <v>19</v>
      </c>
      <c r="O453" s="87">
        <v>70</v>
      </c>
      <c r="P453" s="173" t="s">
        <v>20</v>
      </c>
      <c r="Q453" s="1" t="s">
        <v>1338</v>
      </c>
      <c r="R453" s="175">
        <v>150</v>
      </c>
      <c r="S453">
        <v>30</v>
      </c>
    </row>
    <row r="454" spans="1:19" x14ac:dyDescent="0.25">
      <c r="A454" s="87">
        <v>2019</v>
      </c>
      <c r="B454" s="87">
        <v>7</v>
      </c>
      <c r="C454" s="173" t="s">
        <v>16</v>
      </c>
      <c r="D454" s="173" t="s">
        <v>17</v>
      </c>
      <c r="E454" s="173" t="s">
        <v>18</v>
      </c>
      <c r="F454" s="173" t="s">
        <v>16</v>
      </c>
      <c r="G454" s="87" t="b">
        <v>1</v>
      </c>
      <c r="H454" s="87" t="b">
        <v>0</v>
      </c>
      <c r="I454" s="87" t="b">
        <v>0</v>
      </c>
      <c r="J454" s="173" t="s">
        <v>1330</v>
      </c>
      <c r="K454" s="174">
        <v>60448040000122</v>
      </c>
      <c r="L454" s="173" t="s">
        <v>609</v>
      </c>
      <c r="M454" s="173" t="s">
        <v>29</v>
      </c>
      <c r="N454" s="173" t="s">
        <v>19</v>
      </c>
      <c r="O454" s="87">
        <v>62</v>
      </c>
      <c r="P454" s="173" t="s">
        <v>27</v>
      </c>
      <c r="Q454" s="1" t="s">
        <v>1343</v>
      </c>
      <c r="R454" s="175">
        <v>55</v>
      </c>
      <c r="S454">
        <v>55</v>
      </c>
    </row>
    <row r="455" spans="1:19" x14ac:dyDescent="0.25">
      <c r="A455" s="87">
        <v>2019</v>
      </c>
      <c r="B455" s="87">
        <v>7</v>
      </c>
      <c r="C455" s="173" t="s">
        <v>16</v>
      </c>
      <c r="D455" s="173" t="s">
        <v>17</v>
      </c>
      <c r="E455" s="173" t="s">
        <v>18</v>
      </c>
      <c r="F455" s="173" t="s">
        <v>16</v>
      </c>
      <c r="G455" s="87" t="b">
        <v>1</v>
      </c>
      <c r="H455" s="87" t="b">
        <v>0</v>
      </c>
      <c r="I455" s="87" t="b">
        <v>0</v>
      </c>
      <c r="J455" s="173" t="s">
        <v>1330</v>
      </c>
      <c r="K455" s="174">
        <v>60448040000122</v>
      </c>
      <c r="L455" s="173" t="s">
        <v>609</v>
      </c>
      <c r="M455" s="173" t="s">
        <v>29</v>
      </c>
      <c r="N455" s="173" t="s">
        <v>19</v>
      </c>
      <c r="O455" s="87">
        <v>64</v>
      </c>
      <c r="P455" s="173" t="s">
        <v>25</v>
      </c>
      <c r="Q455" s="1" t="s">
        <v>1344</v>
      </c>
      <c r="R455" s="175">
        <v>60</v>
      </c>
      <c r="S455">
        <v>60</v>
      </c>
    </row>
    <row r="456" spans="1:19" x14ac:dyDescent="0.25">
      <c r="A456" s="87">
        <v>2019</v>
      </c>
      <c r="B456" s="87">
        <v>7</v>
      </c>
      <c r="C456" s="173" t="s">
        <v>16</v>
      </c>
      <c r="D456" s="173" t="s">
        <v>17</v>
      </c>
      <c r="E456" s="173" t="s">
        <v>18</v>
      </c>
      <c r="F456" s="173" t="s">
        <v>16</v>
      </c>
      <c r="G456" s="87" t="b">
        <v>1</v>
      </c>
      <c r="H456" s="87" t="b">
        <v>0</v>
      </c>
      <c r="I456" s="87" t="b">
        <v>0</v>
      </c>
      <c r="J456" s="173" t="s">
        <v>450</v>
      </c>
      <c r="K456" s="174">
        <v>60453024000390</v>
      </c>
      <c r="L456" s="173" t="s">
        <v>610</v>
      </c>
      <c r="M456" s="173" t="s">
        <v>29</v>
      </c>
      <c r="N456" s="173" t="s">
        <v>19</v>
      </c>
      <c r="O456" s="87">
        <v>62</v>
      </c>
      <c r="P456" s="173" t="s">
        <v>27</v>
      </c>
      <c r="Q456" s="1" t="s">
        <v>1343</v>
      </c>
      <c r="R456" s="175">
        <v>10</v>
      </c>
      <c r="S456">
        <v>10</v>
      </c>
    </row>
    <row r="457" spans="1:19" x14ac:dyDescent="0.25">
      <c r="A457" s="87">
        <v>2019</v>
      </c>
      <c r="B457" s="87">
        <v>7</v>
      </c>
      <c r="C457" s="173" t="s">
        <v>16</v>
      </c>
      <c r="D457" s="173" t="s">
        <v>17</v>
      </c>
      <c r="E457" s="173" t="s">
        <v>18</v>
      </c>
      <c r="F457" s="173" t="s">
        <v>16</v>
      </c>
      <c r="G457" s="87" t="b">
        <v>1</v>
      </c>
      <c r="H457" s="87" t="b">
        <v>0</v>
      </c>
      <c r="I457" s="87" t="b">
        <v>0</v>
      </c>
      <c r="J457" s="173" t="s">
        <v>450</v>
      </c>
      <c r="K457" s="174">
        <v>60453024000390</v>
      </c>
      <c r="L457" s="173" t="s">
        <v>610</v>
      </c>
      <c r="M457" s="173" t="s">
        <v>29</v>
      </c>
      <c r="N457" s="173" t="s">
        <v>19</v>
      </c>
      <c r="O457" s="87">
        <v>64</v>
      </c>
      <c r="P457" s="173" t="s">
        <v>25</v>
      </c>
      <c r="Q457" s="1" t="s">
        <v>1344</v>
      </c>
      <c r="R457" s="175">
        <v>5</v>
      </c>
      <c r="S457">
        <v>5</v>
      </c>
    </row>
    <row r="458" spans="1:19" x14ac:dyDescent="0.25">
      <c r="A458" s="87">
        <v>2019</v>
      </c>
      <c r="B458" s="87">
        <v>7</v>
      </c>
      <c r="C458" s="173" t="s">
        <v>16</v>
      </c>
      <c r="D458" s="173" t="s">
        <v>17</v>
      </c>
      <c r="E458" s="173" t="s">
        <v>18</v>
      </c>
      <c r="F458" s="173" t="s">
        <v>16</v>
      </c>
      <c r="G458" s="87" t="b">
        <v>1</v>
      </c>
      <c r="H458" s="87" t="b">
        <v>0</v>
      </c>
      <c r="I458" s="87" t="b">
        <v>0</v>
      </c>
      <c r="J458" s="173" t="s">
        <v>492</v>
      </c>
      <c r="K458" s="174">
        <v>60552098000111</v>
      </c>
      <c r="L458" s="173" t="s">
        <v>611</v>
      </c>
      <c r="M458" s="173" t="s">
        <v>29</v>
      </c>
      <c r="N458" s="173" t="s">
        <v>19</v>
      </c>
      <c r="O458" s="87">
        <v>70</v>
      </c>
      <c r="P458" s="173" t="s">
        <v>20</v>
      </c>
      <c r="Q458" s="1" t="s">
        <v>1338</v>
      </c>
      <c r="R458" s="175">
        <v>150</v>
      </c>
      <c r="S458">
        <v>30</v>
      </c>
    </row>
    <row r="459" spans="1:19" x14ac:dyDescent="0.25">
      <c r="A459" s="87">
        <v>2019</v>
      </c>
      <c r="B459" s="87">
        <v>7</v>
      </c>
      <c r="C459" s="173" t="s">
        <v>16</v>
      </c>
      <c r="D459" s="173" t="s">
        <v>17</v>
      </c>
      <c r="E459" s="173" t="s">
        <v>18</v>
      </c>
      <c r="F459" s="173" t="s">
        <v>16</v>
      </c>
      <c r="G459" s="87" t="b">
        <v>1</v>
      </c>
      <c r="H459" s="87" t="b">
        <v>0</v>
      </c>
      <c r="I459" s="87" t="b">
        <v>0</v>
      </c>
      <c r="J459" s="173" t="s">
        <v>463</v>
      </c>
      <c r="K459" s="174">
        <v>60552098000111</v>
      </c>
      <c r="L459" s="173" t="s">
        <v>611</v>
      </c>
      <c r="M459" s="173" t="s">
        <v>29</v>
      </c>
      <c r="N459" s="173" t="s">
        <v>19</v>
      </c>
      <c r="O459" s="87">
        <v>70</v>
      </c>
      <c r="P459" s="173" t="s">
        <v>20</v>
      </c>
      <c r="Q459" s="1" t="s">
        <v>1338</v>
      </c>
      <c r="R459" s="175">
        <v>75</v>
      </c>
      <c r="S459">
        <v>15</v>
      </c>
    </row>
    <row r="460" spans="1:19" x14ac:dyDescent="0.25">
      <c r="A460" s="87">
        <v>2019</v>
      </c>
      <c r="B460" s="87">
        <v>7</v>
      </c>
      <c r="C460" s="173" t="s">
        <v>16</v>
      </c>
      <c r="D460" s="173" t="s">
        <v>17</v>
      </c>
      <c r="E460" s="173" t="s">
        <v>18</v>
      </c>
      <c r="F460" s="173" t="s">
        <v>16</v>
      </c>
      <c r="G460" s="87" t="b">
        <v>1</v>
      </c>
      <c r="H460" s="87" t="b">
        <v>0</v>
      </c>
      <c r="I460" s="87" t="b">
        <v>0</v>
      </c>
      <c r="J460" s="173" t="s">
        <v>463</v>
      </c>
      <c r="K460" s="174">
        <v>60678604000113</v>
      </c>
      <c r="L460" s="173" t="s">
        <v>612</v>
      </c>
      <c r="M460" s="173" t="s">
        <v>29</v>
      </c>
      <c r="N460" s="173" t="s">
        <v>19</v>
      </c>
      <c r="O460" s="87">
        <v>62</v>
      </c>
      <c r="P460" s="173" t="s">
        <v>27</v>
      </c>
      <c r="Q460" s="1" t="s">
        <v>1343</v>
      </c>
      <c r="R460" s="175">
        <v>42</v>
      </c>
      <c r="S460">
        <v>42</v>
      </c>
    </row>
    <row r="461" spans="1:19" x14ac:dyDescent="0.25">
      <c r="A461" s="87">
        <v>2019</v>
      </c>
      <c r="B461" s="87">
        <v>7</v>
      </c>
      <c r="C461" s="173" t="s">
        <v>16</v>
      </c>
      <c r="D461" s="173" t="s">
        <v>17</v>
      </c>
      <c r="E461" s="173" t="s">
        <v>18</v>
      </c>
      <c r="F461" s="173" t="s">
        <v>16</v>
      </c>
      <c r="G461" s="87" t="b">
        <v>1</v>
      </c>
      <c r="H461" s="87" t="b">
        <v>0</v>
      </c>
      <c r="I461" s="87" t="b">
        <v>0</v>
      </c>
      <c r="J461" s="173" t="s">
        <v>463</v>
      </c>
      <c r="K461" s="174">
        <v>60678604000113</v>
      </c>
      <c r="L461" s="173" t="s">
        <v>612</v>
      </c>
      <c r="M461" s="173" t="s">
        <v>29</v>
      </c>
      <c r="N461" s="173" t="s">
        <v>19</v>
      </c>
      <c r="O461" s="87">
        <v>64</v>
      </c>
      <c r="P461" s="173" t="s">
        <v>25</v>
      </c>
      <c r="Q461" s="1" t="s">
        <v>1344</v>
      </c>
      <c r="R461" s="175">
        <v>2</v>
      </c>
      <c r="S461">
        <v>2</v>
      </c>
    </row>
    <row r="462" spans="1:19" x14ac:dyDescent="0.25">
      <c r="A462" s="87">
        <v>2019</v>
      </c>
      <c r="B462" s="87">
        <v>7</v>
      </c>
      <c r="C462" s="173" t="s">
        <v>16</v>
      </c>
      <c r="D462" s="173" t="s">
        <v>17</v>
      </c>
      <c r="E462" s="173" t="s">
        <v>18</v>
      </c>
      <c r="F462" s="173" t="s">
        <v>16</v>
      </c>
      <c r="G462" s="87" t="b">
        <v>1</v>
      </c>
      <c r="H462" s="87" t="b">
        <v>0</v>
      </c>
      <c r="I462" s="87" t="b">
        <v>0</v>
      </c>
      <c r="J462" s="173" t="s">
        <v>450</v>
      </c>
      <c r="K462" s="174">
        <v>60726502000126</v>
      </c>
      <c r="L462" s="173" t="s">
        <v>613</v>
      </c>
      <c r="M462" s="173" t="s">
        <v>29</v>
      </c>
      <c r="N462" s="173" t="s">
        <v>19</v>
      </c>
      <c r="O462" s="87">
        <v>62</v>
      </c>
      <c r="P462" s="173" t="s">
        <v>27</v>
      </c>
      <c r="Q462" s="1" t="s">
        <v>1343</v>
      </c>
      <c r="R462" s="175">
        <v>6</v>
      </c>
      <c r="S462">
        <v>6</v>
      </c>
    </row>
    <row r="463" spans="1:19" x14ac:dyDescent="0.25">
      <c r="A463" s="87">
        <v>2019</v>
      </c>
      <c r="B463" s="87">
        <v>7</v>
      </c>
      <c r="C463" s="173" t="s">
        <v>16</v>
      </c>
      <c r="D463" s="173" t="s">
        <v>17</v>
      </c>
      <c r="E463" s="173" t="s">
        <v>18</v>
      </c>
      <c r="F463" s="173" t="s">
        <v>16</v>
      </c>
      <c r="G463" s="87" t="b">
        <v>1</v>
      </c>
      <c r="H463" s="87" t="b">
        <v>0</v>
      </c>
      <c r="I463" s="87" t="b">
        <v>0</v>
      </c>
      <c r="J463" s="173" t="s">
        <v>450</v>
      </c>
      <c r="K463" s="174">
        <v>60726502000126</v>
      </c>
      <c r="L463" s="173" t="s">
        <v>613</v>
      </c>
      <c r="M463" s="173" t="s">
        <v>29</v>
      </c>
      <c r="N463" s="173" t="s">
        <v>19</v>
      </c>
      <c r="O463" s="87">
        <v>64</v>
      </c>
      <c r="P463" s="173" t="s">
        <v>25</v>
      </c>
      <c r="Q463" s="1" t="s">
        <v>1344</v>
      </c>
      <c r="R463" s="175">
        <v>3</v>
      </c>
      <c r="S463">
        <v>3</v>
      </c>
    </row>
    <row r="464" spans="1:19" x14ac:dyDescent="0.25">
      <c r="A464" s="87">
        <v>2019</v>
      </c>
      <c r="B464" s="87">
        <v>7</v>
      </c>
      <c r="C464" s="173" t="s">
        <v>16</v>
      </c>
      <c r="D464" s="173" t="s">
        <v>17</v>
      </c>
      <c r="E464" s="173" t="s">
        <v>18</v>
      </c>
      <c r="F464" s="173" t="s">
        <v>16</v>
      </c>
      <c r="G464" s="87" t="b">
        <v>1</v>
      </c>
      <c r="H464" s="87" t="b">
        <v>0</v>
      </c>
      <c r="I464" s="87" t="b">
        <v>0</v>
      </c>
      <c r="J464" s="173" t="s">
        <v>463</v>
      </c>
      <c r="K464" s="174">
        <v>60726502000126</v>
      </c>
      <c r="L464" s="173" t="s">
        <v>613</v>
      </c>
      <c r="M464" s="173" t="s">
        <v>29</v>
      </c>
      <c r="N464" s="173" t="s">
        <v>19</v>
      </c>
      <c r="O464" s="87">
        <v>70</v>
      </c>
      <c r="P464" s="173" t="s">
        <v>20</v>
      </c>
      <c r="Q464" s="1" t="s">
        <v>1338</v>
      </c>
      <c r="R464" s="175">
        <v>390</v>
      </c>
      <c r="S464">
        <v>78</v>
      </c>
    </row>
    <row r="465" spans="1:19" x14ac:dyDescent="0.25">
      <c r="A465" s="87">
        <v>2019</v>
      </c>
      <c r="B465" s="87">
        <v>7</v>
      </c>
      <c r="C465" s="173" t="s">
        <v>16</v>
      </c>
      <c r="D465" s="173" t="s">
        <v>17</v>
      </c>
      <c r="E465" s="173" t="s">
        <v>18</v>
      </c>
      <c r="F465" s="173" t="s">
        <v>16</v>
      </c>
      <c r="G465" s="87" t="b">
        <v>1</v>
      </c>
      <c r="H465" s="87" t="b">
        <v>0</v>
      </c>
      <c r="I465" s="87" t="b">
        <v>0</v>
      </c>
      <c r="J465" s="173" t="s">
        <v>450</v>
      </c>
      <c r="K465" s="174">
        <v>60726502000711</v>
      </c>
      <c r="L465" s="173" t="s">
        <v>614</v>
      </c>
      <c r="M465" s="173" t="s">
        <v>29</v>
      </c>
      <c r="N465" s="173" t="s">
        <v>19</v>
      </c>
      <c r="O465" s="87">
        <v>62</v>
      </c>
      <c r="P465" s="173" t="s">
        <v>27</v>
      </c>
      <c r="Q465" s="1" t="s">
        <v>1343</v>
      </c>
      <c r="R465" s="175">
        <v>5</v>
      </c>
      <c r="S465">
        <v>5</v>
      </c>
    </row>
    <row r="466" spans="1:19" x14ac:dyDescent="0.25">
      <c r="A466" s="87">
        <v>2019</v>
      </c>
      <c r="B466" s="87">
        <v>7</v>
      </c>
      <c r="C466" s="173" t="s">
        <v>16</v>
      </c>
      <c r="D466" s="173" t="s">
        <v>17</v>
      </c>
      <c r="E466" s="173" t="s">
        <v>18</v>
      </c>
      <c r="F466" s="173" t="s">
        <v>16</v>
      </c>
      <c r="G466" s="87" t="b">
        <v>1</v>
      </c>
      <c r="H466" s="87" t="b">
        <v>0</v>
      </c>
      <c r="I466" s="87" t="b">
        <v>0</v>
      </c>
      <c r="J466" s="173" t="s">
        <v>470</v>
      </c>
      <c r="K466" s="174">
        <v>60777901000116</v>
      </c>
      <c r="L466" s="173" t="s">
        <v>616</v>
      </c>
      <c r="M466" s="173" t="s">
        <v>29</v>
      </c>
      <c r="N466" s="173" t="s">
        <v>19</v>
      </c>
      <c r="O466" s="87">
        <v>70</v>
      </c>
      <c r="P466" s="173" t="s">
        <v>20</v>
      </c>
      <c r="Q466" s="1" t="s">
        <v>1338</v>
      </c>
      <c r="R466" s="175">
        <v>1650</v>
      </c>
      <c r="S466">
        <v>330</v>
      </c>
    </row>
    <row r="467" spans="1:19" x14ac:dyDescent="0.25">
      <c r="A467" s="87">
        <v>2019</v>
      </c>
      <c r="B467" s="87">
        <v>7</v>
      </c>
      <c r="C467" s="173" t="s">
        <v>16</v>
      </c>
      <c r="D467" s="173" t="s">
        <v>17</v>
      </c>
      <c r="E467" s="173" t="s">
        <v>18</v>
      </c>
      <c r="F467" s="173" t="s">
        <v>16</v>
      </c>
      <c r="G467" s="87" t="b">
        <v>1</v>
      </c>
      <c r="H467" s="87" t="b">
        <v>0</v>
      </c>
      <c r="I467" s="87" t="b">
        <v>0</v>
      </c>
      <c r="J467" s="173" t="s">
        <v>470</v>
      </c>
      <c r="K467" s="174">
        <v>60884855000316</v>
      </c>
      <c r="L467" s="173" t="s">
        <v>617</v>
      </c>
      <c r="M467" s="173" t="s">
        <v>29</v>
      </c>
      <c r="N467" s="173" t="s">
        <v>19</v>
      </c>
      <c r="O467" s="87">
        <v>62</v>
      </c>
      <c r="P467" s="173" t="s">
        <v>27</v>
      </c>
      <c r="Q467" s="1" t="s">
        <v>1343</v>
      </c>
      <c r="R467" s="175">
        <v>38</v>
      </c>
      <c r="S467">
        <v>38</v>
      </c>
    </row>
    <row r="468" spans="1:19" x14ac:dyDescent="0.25">
      <c r="A468" s="87">
        <v>2019</v>
      </c>
      <c r="B468" s="87">
        <v>7</v>
      </c>
      <c r="C468" s="173" t="s">
        <v>16</v>
      </c>
      <c r="D468" s="173" t="s">
        <v>17</v>
      </c>
      <c r="E468" s="173" t="s">
        <v>18</v>
      </c>
      <c r="F468" s="173" t="s">
        <v>16</v>
      </c>
      <c r="G468" s="87" t="b">
        <v>1</v>
      </c>
      <c r="H468" s="87" t="b">
        <v>0</v>
      </c>
      <c r="I468" s="87" t="b">
        <v>0</v>
      </c>
      <c r="J468" s="173" t="s">
        <v>470</v>
      </c>
      <c r="K468" s="174">
        <v>60884855000316</v>
      </c>
      <c r="L468" s="173" t="s">
        <v>617</v>
      </c>
      <c r="M468" s="173" t="s">
        <v>29</v>
      </c>
      <c r="N468" s="173" t="s">
        <v>19</v>
      </c>
      <c r="O468" s="87">
        <v>64</v>
      </c>
      <c r="P468" s="173" t="s">
        <v>25</v>
      </c>
      <c r="Q468" s="1" t="s">
        <v>1344</v>
      </c>
      <c r="R468" s="175">
        <v>8</v>
      </c>
      <c r="S468">
        <v>8</v>
      </c>
    </row>
    <row r="469" spans="1:19" x14ac:dyDescent="0.25">
      <c r="A469" s="87">
        <v>2019</v>
      </c>
      <c r="B469" s="87">
        <v>7</v>
      </c>
      <c r="C469" s="173" t="s">
        <v>16</v>
      </c>
      <c r="D469" s="173" t="s">
        <v>17</v>
      </c>
      <c r="E469" s="173" t="s">
        <v>18</v>
      </c>
      <c r="F469" s="173" t="s">
        <v>16</v>
      </c>
      <c r="G469" s="87" t="b">
        <v>1</v>
      </c>
      <c r="H469" s="87" t="b">
        <v>0</v>
      </c>
      <c r="I469" s="87" t="b">
        <v>0</v>
      </c>
      <c r="J469" s="173" t="s">
        <v>470</v>
      </c>
      <c r="K469" s="174">
        <v>60884855000316</v>
      </c>
      <c r="L469" s="173" t="s">
        <v>617</v>
      </c>
      <c r="M469" s="173" t="s">
        <v>29</v>
      </c>
      <c r="N469" s="173" t="s">
        <v>19</v>
      </c>
      <c r="O469" s="87">
        <v>70</v>
      </c>
      <c r="P469" s="173" t="s">
        <v>20</v>
      </c>
      <c r="Q469" s="1" t="s">
        <v>1338</v>
      </c>
      <c r="R469" s="175">
        <v>1930</v>
      </c>
      <c r="S469">
        <v>386</v>
      </c>
    </row>
    <row r="470" spans="1:19" x14ac:dyDescent="0.25">
      <c r="A470" s="87">
        <v>2019</v>
      </c>
      <c r="B470" s="87">
        <v>7</v>
      </c>
      <c r="C470" s="173" t="s">
        <v>16</v>
      </c>
      <c r="D470" s="173" t="s">
        <v>17</v>
      </c>
      <c r="E470" s="173" t="s">
        <v>18</v>
      </c>
      <c r="F470" s="173" t="s">
        <v>16</v>
      </c>
      <c r="G470" s="87" t="b">
        <v>1</v>
      </c>
      <c r="H470" s="87" t="b">
        <v>0</v>
      </c>
      <c r="I470" s="87" t="b">
        <v>0</v>
      </c>
      <c r="J470" s="173" t="s">
        <v>470</v>
      </c>
      <c r="K470" s="174">
        <v>60884855001207</v>
      </c>
      <c r="L470" s="173" t="s">
        <v>1065</v>
      </c>
      <c r="M470" s="173" t="s">
        <v>1039</v>
      </c>
      <c r="N470" s="173" t="s">
        <v>61</v>
      </c>
      <c r="O470" s="87">
        <v>62</v>
      </c>
      <c r="P470" s="173" t="s">
        <v>27</v>
      </c>
      <c r="Q470" s="1" t="s">
        <v>1343</v>
      </c>
      <c r="R470" s="175">
        <v>24</v>
      </c>
      <c r="S470">
        <v>24</v>
      </c>
    </row>
    <row r="471" spans="1:19" x14ac:dyDescent="0.25">
      <c r="A471" s="87">
        <v>2019</v>
      </c>
      <c r="B471" s="87">
        <v>7</v>
      </c>
      <c r="C471" s="173" t="s">
        <v>16</v>
      </c>
      <c r="D471" s="173" t="s">
        <v>17</v>
      </c>
      <c r="E471" s="173" t="s">
        <v>18</v>
      </c>
      <c r="F471" s="173" t="s">
        <v>16</v>
      </c>
      <c r="G471" s="87" t="b">
        <v>1</v>
      </c>
      <c r="H471" s="87" t="b">
        <v>0</v>
      </c>
      <c r="I471" s="87" t="b">
        <v>0</v>
      </c>
      <c r="J471" s="173" t="s">
        <v>470</v>
      </c>
      <c r="K471" s="174">
        <v>60884855001207</v>
      </c>
      <c r="L471" s="173" t="s">
        <v>1065</v>
      </c>
      <c r="M471" s="173" t="s">
        <v>1039</v>
      </c>
      <c r="N471" s="173" t="s">
        <v>61</v>
      </c>
      <c r="O471" s="87">
        <v>64</v>
      </c>
      <c r="P471" s="173" t="s">
        <v>25</v>
      </c>
      <c r="Q471" s="1" t="s">
        <v>1344</v>
      </c>
      <c r="R471" s="175">
        <v>83</v>
      </c>
      <c r="S471">
        <v>83</v>
      </c>
    </row>
    <row r="472" spans="1:19" x14ac:dyDescent="0.25">
      <c r="A472" s="87">
        <v>2019</v>
      </c>
      <c r="B472" s="87">
        <v>7</v>
      </c>
      <c r="C472" s="173" t="s">
        <v>16</v>
      </c>
      <c r="D472" s="173" t="s">
        <v>17</v>
      </c>
      <c r="E472" s="173" t="s">
        <v>18</v>
      </c>
      <c r="F472" s="173" t="s">
        <v>16</v>
      </c>
      <c r="G472" s="87" t="b">
        <v>1</v>
      </c>
      <c r="H472" s="87" t="b">
        <v>0</v>
      </c>
      <c r="I472" s="87" t="b">
        <v>0</v>
      </c>
      <c r="J472" s="173" t="s">
        <v>470</v>
      </c>
      <c r="K472" s="174">
        <v>60884855001207</v>
      </c>
      <c r="L472" s="173" t="s">
        <v>1065</v>
      </c>
      <c r="M472" s="173" t="s">
        <v>1039</v>
      </c>
      <c r="N472" s="173" t="s">
        <v>61</v>
      </c>
      <c r="O472" s="87">
        <v>70</v>
      </c>
      <c r="P472" s="173" t="s">
        <v>20</v>
      </c>
      <c r="Q472" s="1" t="s">
        <v>1338</v>
      </c>
      <c r="R472" s="175">
        <v>440</v>
      </c>
      <c r="S472">
        <v>88</v>
      </c>
    </row>
    <row r="473" spans="1:19" x14ac:dyDescent="0.25">
      <c r="A473" s="87">
        <v>2019</v>
      </c>
      <c r="B473" s="87">
        <v>7</v>
      </c>
      <c r="C473" s="173" t="s">
        <v>16</v>
      </c>
      <c r="D473" s="173" t="s">
        <v>17</v>
      </c>
      <c r="E473" s="173" t="s">
        <v>18</v>
      </c>
      <c r="F473" s="173" t="s">
        <v>16</v>
      </c>
      <c r="G473" s="87" t="b">
        <v>1</v>
      </c>
      <c r="H473" s="87" t="b">
        <v>0</v>
      </c>
      <c r="I473" s="87" t="b">
        <v>0</v>
      </c>
      <c r="J473" s="173" t="s">
        <v>478</v>
      </c>
      <c r="K473" s="174">
        <v>60884855001207</v>
      </c>
      <c r="L473" s="173" t="s">
        <v>1065</v>
      </c>
      <c r="M473" s="173" t="s">
        <v>1039</v>
      </c>
      <c r="N473" s="173" t="s">
        <v>61</v>
      </c>
      <c r="O473" s="87">
        <v>73</v>
      </c>
      <c r="P473" s="173" t="s">
        <v>26</v>
      </c>
      <c r="Q473" s="1" t="s">
        <v>1339</v>
      </c>
      <c r="R473" s="175">
        <v>2</v>
      </c>
      <c r="S473">
        <v>1</v>
      </c>
    </row>
    <row r="474" spans="1:19" x14ac:dyDescent="0.25">
      <c r="A474" s="87">
        <v>2019</v>
      </c>
      <c r="B474" s="87">
        <v>7</v>
      </c>
      <c r="C474" s="173" t="s">
        <v>16</v>
      </c>
      <c r="D474" s="173" t="s">
        <v>17</v>
      </c>
      <c r="E474" s="173" t="s">
        <v>18</v>
      </c>
      <c r="F474" s="173" t="s">
        <v>16</v>
      </c>
      <c r="G474" s="87" t="b">
        <v>1</v>
      </c>
      <c r="H474" s="87" t="b">
        <v>0</v>
      </c>
      <c r="I474" s="87" t="b">
        <v>0</v>
      </c>
      <c r="J474" s="173" t="s">
        <v>478</v>
      </c>
      <c r="K474" s="174">
        <v>60884855001207</v>
      </c>
      <c r="L474" s="173" t="s">
        <v>1065</v>
      </c>
      <c r="M474" s="173" t="s">
        <v>1039</v>
      </c>
      <c r="N474" s="173" t="s">
        <v>61</v>
      </c>
      <c r="O474" s="87">
        <v>73</v>
      </c>
      <c r="P474" s="173" t="s">
        <v>26</v>
      </c>
      <c r="Q474" s="1" t="s">
        <v>1340</v>
      </c>
      <c r="R474" s="175">
        <v>1</v>
      </c>
      <c r="S474">
        <v>1</v>
      </c>
    </row>
    <row r="475" spans="1:19" x14ac:dyDescent="0.25">
      <c r="A475" s="87">
        <v>2019</v>
      </c>
      <c r="B475" s="87">
        <v>7</v>
      </c>
      <c r="C475" s="173" t="s">
        <v>16</v>
      </c>
      <c r="D475" s="173" t="s">
        <v>17</v>
      </c>
      <c r="E475" s="173" t="s">
        <v>18</v>
      </c>
      <c r="F475" s="173" t="s">
        <v>16</v>
      </c>
      <c r="G475" s="87" t="b">
        <v>1</v>
      </c>
      <c r="H475" s="87" t="b">
        <v>0</v>
      </c>
      <c r="I475" s="87" t="b">
        <v>0</v>
      </c>
      <c r="J475" s="173" t="s">
        <v>470</v>
      </c>
      <c r="K475" s="174">
        <v>60884855001207</v>
      </c>
      <c r="L475" s="173" t="s">
        <v>1065</v>
      </c>
      <c r="M475" s="173" t="s">
        <v>1039</v>
      </c>
      <c r="N475" s="173" t="s">
        <v>61</v>
      </c>
      <c r="O475" s="87">
        <v>73</v>
      </c>
      <c r="P475" s="173" t="s">
        <v>26</v>
      </c>
      <c r="Q475" s="1" t="s">
        <v>1340</v>
      </c>
      <c r="R475" s="175">
        <v>1</v>
      </c>
      <c r="S475">
        <v>1</v>
      </c>
    </row>
    <row r="476" spans="1:19" x14ac:dyDescent="0.25">
      <c r="A476" s="87">
        <v>2019</v>
      </c>
      <c r="B476" s="87">
        <v>7</v>
      </c>
      <c r="C476" s="173" t="s">
        <v>16</v>
      </c>
      <c r="D476" s="173" t="s">
        <v>17</v>
      </c>
      <c r="E476" s="173" t="s">
        <v>18</v>
      </c>
      <c r="F476" s="173" t="s">
        <v>16</v>
      </c>
      <c r="G476" s="87" t="b">
        <v>1</v>
      </c>
      <c r="H476" s="87" t="b">
        <v>0</v>
      </c>
      <c r="I476" s="87" t="b">
        <v>0</v>
      </c>
      <c r="J476" s="173" t="s">
        <v>450</v>
      </c>
      <c r="K476" s="174">
        <v>60884855001207</v>
      </c>
      <c r="L476" s="173" t="s">
        <v>1065</v>
      </c>
      <c r="M476" s="173" t="s">
        <v>1039</v>
      </c>
      <c r="N476" s="173" t="s">
        <v>61</v>
      </c>
      <c r="O476" s="87">
        <v>73</v>
      </c>
      <c r="P476" s="173" t="s">
        <v>26</v>
      </c>
      <c r="Q476" s="1" t="s">
        <v>1339</v>
      </c>
      <c r="R476" s="175">
        <v>12</v>
      </c>
      <c r="S476">
        <v>6</v>
      </c>
    </row>
    <row r="477" spans="1:19" x14ac:dyDescent="0.25">
      <c r="A477" s="87">
        <v>2019</v>
      </c>
      <c r="B477" s="87">
        <v>7</v>
      </c>
      <c r="C477" s="173" t="s">
        <v>16</v>
      </c>
      <c r="D477" s="173" t="s">
        <v>17</v>
      </c>
      <c r="E477" s="173" t="s">
        <v>18</v>
      </c>
      <c r="F477" s="173" t="s">
        <v>16</v>
      </c>
      <c r="G477" s="87" t="b">
        <v>1</v>
      </c>
      <c r="H477" s="87" t="b">
        <v>0</v>
      </c>
      <c r="I477" s="87" t="b">
        <v>0</v>
      </c>
      <c r="J477" s="173" t="s">
        <v>450</v>
      </c>
      <c r="K477" s="174">
        <v>60884855001207</v>
      </c>
      <c r="L477" s="173" t="s">
        <v>1065</v>
      </c>
      <c r="M477" s="173" t="s">
        <v>1039</v>
      </c>
      <c r="N477" s="173" t="s">
        <v>61</v>
      </c>
      <c r="O477" s="87">
        <v>73</v>
      </c>
      <c r="P477" s="173" t="s">
        <v>26</v>
      </c>
      <c r="Q477" s="1" t="s">
        <v>1340</v>
      </c>
      <c r="R477" s="175">
        <v>2</v>
      </c>
      <c r="S477">
        <v>2</v>
      </c>
    </row>
    <row r="478" spans="1:19" x14ac:dyDescent="0.25">
      <c r="A478" s="87">
        <v>2019</v>
      </c>
      <c r="B478" s="87">
        <v>7</v>
      </c>
      <c r="C478" s="173" t="s">
        <v>16</v>
      </c>
      <c r="D478" s="173" t="s">
        <v>17</v>
      </c>
      <c r="E478" s="173" t="s">
        <v>18</v>
      </c>
      <c r="F478" s="173" t="s">
        <v>16</v>
      </c>
      <c r="G478" s="87" t="b">
        <v>1</v>
      </c>
      <c r="H478" s="87" t="b">
        <v>0</v>
      </c>
      <c r="I478" s="87" t="b">
        <v>0</v>
      </c>
      <c r="J478" s="173" t="s">
        <v>470</v>
      </c>
      <c r="K478" s="174">
        <v>60884855001630</v>
      </c>
      <c r="L478" s="173" t="s">
        <v>1124</v>
      </c>
      <c r="M478" s="173" t="s">
        <v>131</v>
      </c>
      <c r="N478" s="173" t="s">
        <v>61</v>
      </c>
      <c r="O478" s="87">
        <v>62</v>
      </c>
      <c r="P478" s="173" t="s">
        <v>27</v>
      </c>
      <c r="Q478" s="1" t="s">
        <v>1343</v>
      </c>
      <c r="R478" s="175">
        <v>25</v>
      </c>
      <c r="S478">
        <v>25</v>
      </c>
    </row>
    <row r="479" spans="1:19" x14ac:dyDescent="0.25">
      <c r="A479" s="87">
        <v>2019</v>
      </c>
      <c r="B479" s="87">
        <v>7</v>
      </c>
      <c r="C479" s="173" t="s">
        <v>16</v>
      </c>
      <c r="D479" s="173" t="s">
        <v>17</v>
      </c>
      <c r="E479" s="173" t="s">
        <v>18</v>
      </c>
      <c r="F479" s="173" t="s">
        <v>16</v>
      </c>
      <c r="G479" s="87" t="b">
        <v>1</v>
      </c>
      <c r="H479" s="87" t="b">
        <v>0</v>
      </c>
      <c r="I479" s="87" t="b">
        <v>0</v>
      </c>
      <c r="J479" s="173" t="s">
        <v>470</v>
      </c>
      <c r="K479" s="174">
        <v>60884855001630</v>
      </c>
      <c r="L479" s="173" t="s">
        <v>1124</v>
      </c>
      <c r="M479" s="173" t="s">
        <v>131</v>
      </c>
      <c r="N479" s="173" t="s">
        <v>61</v>
      </c>
      <c r="O479" s="87">
        <v>64</v>
      </c>
      <c r="P479" s="173" t="s">
        <v>25</v>
      </c>
      <c r="Q479" s="1" t="s">
        <v>1344</v>
      </c>
      <c r="R479" s="175">
        <v>9</v>
      </c>
      <c r="S479">
        <v>9</v>
      </c>
    </row>
    <row r="480" spans="1:19" x14ac:dyDescent="0.25">
      <c r="A480" s="87">
        <v>2019</v>
      </c>
      <c r="B480" s="87">
        <v>7</v>
      </c>
      <c r="C480" s="173" t="s">
        <v>16</v>
      </c>
      <c r="D480" s="173" t="s">
        <v>17</v>
      </c>
      <c r="E480" s="173" t="s">
        <v>18</v>
      </c>
      <c r="F480" s="173" t="s">
        <v>16</v>
      </c>
      <c r="G480" s="87" t="b">
        <v>1</v>
      </c>
      <c r="H480" s="87" t="b">
        <v>0</v>
      </c>
      <c r="I480" s="87" t="b">
        <v>0</v>
      </c>
      <c r="J480" s="173" t="s">
        <v>470</v>
      </c>
      <c r="K480" s="174">
        <v>60884855001630</v>
      </c>
      <c r="L480" s="173" t="s">
        <v>1124</v>
      </c>
      <c r="M480" s="173" t="s">
        <v>131</v>
      </c>
      <c r="N480" s="173" t="s">
        <v>61</v>
      </c>
      <c r="O480" s="87">
        <v>70</v>
      </c>
      <c r="P480" s="173" t="s">
        <v>20</v>
      </c>
      <c r="Q480" s="1" t="s">
        <v>1338</v>
      </c>
      <c r="R480" s="175">
        <v>375</v>
      </c>
      <c r="S480">
        <v>75</v>
      </c>
    </row>
    <row r="481" spans="1:19" x14ac:dyDescent="0.25">
      <c r="A481" s="87">
        <v>2019</v>
      </c>
      <c r="B481" s="87">
        <v>7</v>
      </c>
      <c r="C481" s="173" t="s">
        <v>16</v>
      </c>
      <c r="D481" s="173" t="s">
        <v>17</v>
      </c>
      <c r="E481" s="173" t="s">
        <v>18</v>
      </c>
      <c r="F481" s="173" t="s">
        <v>16</v>
      </c>
      <c r="G481" s="87" t="b">
        <v>1</v>
      </c>
      <c r="H481" s="87" t="b">
        <v>0</v>
      </c>
      <c r="I481" s="87" t="b">
        <v>0</v>
      </c>
      <c r="J481" s="173" t="s">
        <v>470</v>
      </c>
      <c r="K481" s="174">
        <v>60884855002289</v>
      </c>
      <c r="L481" s="173" t="s">
        <v>920</v>
      </c>
      <c r="M481" s="173" t="s">
        <v>739</v>
      </c>
      <c r="N481" s="173" t="s">
        <v>55</v>
      </c>
      <c r="O481" s="87">
        <v>62</v>
      </c>
      <c r="P481" s="173" t="s">
        <v>27</v>
      </c>
      <c r="Q481" s="1" t="s">
        <v>1343</v>
      </c>
      <c r="R481" s="175">
        <v>11</v>
      </c>
      <c r="S481">
        <v>11</v>
      </c>
    </row>
    <row r="482" spans="1:19" x14ac:dyDescent="0.25">
      <c r="A482" s="87">
        <v>2019</v>
      </c>
      <c r="B482" s="87">
        <v>7</v>
      </c>
      <c r="C482" s="173" t="s">
        <v>16</v>
      </c>
      <c r="D482" s="173" t="s">
        <v>17</v>
      </c>
      <c r="E482" s="173" t="s">
        <v>18</v>
      </c>
      <c r="F482" s="173" t="s">
        <v>16</v>
      </c>
      <c r="G482" s="87" t="b">
        <v>1</v>
      </c>
      <c r="H482" s="87" t="b">
        <v>0</v>
      </c>
      <c r="I482" s="87" t="b">
        <v>0</v>
      </c>
      <c r="J482" s="173" t="s">
        <v>470</v>
      </c>
      <c r="K482" s="174">
        <v>60884855002289</v>
      </c>
      <c r="L482" s="173" t="s">
        <v>920</v>
      </c>
      <c r="M482" s="173" t="s">
        <v>739</v>
      </c>
      <c r="N482" s="173" t="s">
        <v>55</v>
      </c>
      <c r="O482" s="87">
        <v>64</v>
      </c>
      <c r="P482" s="173" t="s">
        <v>25</v>
      </c>
      <c r="Q482" s="1" t="s">
        <v>1344</v>
      </c>
      <c r="R482" s="175">
        <v>90</v>
      </c>
      <c r="S482">
        <v>90</v>
      </c>
    </row>
    <row r="483" spans="1:19" x14ac:dyDescent="0.25">
      <c r="A483" s="87">
        <v>2019</v>
      </c>
      <c r="B483" s="87">
        <v>7</v>
      </c>
      <c r="C483" s="173" t="s">
        <v>16</v>
      </c>
      <c r="D483" s="173" t="s">
        <v>17</v>
      </c>
      <c r="E483" s="173" t="s">
        <v>18</v>
      </c>
      <c r="F483" s="173" t="s">
        <v>16</v>
      </c>
      <c r="G483" s="87" t="b">
        <v>1</v>
      </c>
      <c r="H483" s="87" t="b">
        <v>0</v>
      </c>
      <c r="I483" s="87" t="b">
        <v>0</v>
      </c>
      <c r="J483" s="173" t="s">
        <v>470</v>
      </c>
      <c r="K483" s="174">
        <v>60884855002289</v>
      </c>
      <c r="L483" s="173" t="s">
        <v>920</v>
      </c>
      <c r="M483" s="173" t="s">
        <v>739</v>
      </c>
      <c r="N483" s="173" t="s">
        <v>55</v>
      </c>
      <c r="O483" s="87">
        <v>70</v>
      </c>
      <c r="P483" s="173" t="s">
        <v>20</v>
      </c>
      <c r="Q483" s="1" t="s">
        <v>1338</v>
      </c>
      <c r="R483" s="175">
        <v>370</v>
      </c>
      <c r="S483">
        <v>74</v>
      </c>
    </row>
    <row r="484" spans="1:19" x14ac:dyDescent="0.25">
      <c r="A484" s="87">
        <v>2019</v>
      </c>
      <c r="B484" s="87">
        <v>7</v>
      </c>
      <c r="C484" s="173" t="s">
        <v>16</v>
      </c>
      <c r="D484" s="173" t="s">
        <v>17</v>
      </c>
      <c r="E484" s="173" t="s">
        <v>18</v>
      </c>
      <c r="F484" s="173" t="s">
        <v>16</v>
      </c>
      <c r="G484" s="87" t="b">
        <v>1</v>
      </c>
      <c r="H484" s="87" t="b">
        <v>0</v>
      </c>
      <c r="I484" s="87" t="b">
        <v>0</v>
      </c>
      <c r="J484" s="173" t="s">
        <v>477</v>
      </c>
      <c r="K484" s="174">
        <v>60922168000348</v>
      </c>
      <c r="L484" s="173" t="s">
        <v>1125</v>
      </c>
      <c r="M484" s="173" t="s">
        <v>131</v>
      </c>
      <c r="N484" s="173" t="s">
        <v>61</v>
      </c>
      <c r="O484" s="87">
        <v>62</v>
      </c>
      <c r="P484" s="173" t="s">
        <v>27</v>
      </c>
      <c r="Q484" s="1" t="s">
        <v>1343</v>
      </c>
      <c r="R484" s="175">
        <v>2</v>
      </c>
      <c r="S484">
        <v>2</v>
      </c>
    </row>
    <row r="485" spans="1:19" x14ac:dyDescent="0.25">
      <c r="A485" s="87">
        <v>2019</v>
      </c>
      <c r="B485" s="87">
        <v>7</v>
      </c>
      <c r="C485" s="173" t="s">
        <v>16</v>
      </c>
      <c r="D485" s="173" t="s">
        <v>17</v>
      </c>
      <c r="E485" s="173" t="s">
        <v>18</v>
      </c>
      <c r="F485" s="173" t="s">
        <v>16</v>
      </c>
      <c r="G485" s="87" t="b">
        <v>1</v>
      </c>
      <c r="H485" s="87" t="b">
        <v>0</v>
      </c>
      <c r="I485" s="87" t="b">
        <v>0</v>
      </c>
      <c r="J485" s="173" t="s">
        <v>477</v>
      </c>
      <c r="K485" s="174">
        <v>60922168000348</v>
      </c>
      <c r="L485" s="173" t="s">
        <v>1125</v>
      </c>
      <c r="M485" s="173" t="s">
        <v>131</v>
      </c>
      <c r="N485" s="173" t="s">
        <v>61</v>
      </c>
      <c r="O485" s="87">
        <v>64</v>
      </c>
      <c r="P485" s="173" t="s">
        <v>25</v>
      </c>
      <c r="Q485" s="1" t="s">
        <v>1344</v>
      </c>
      <c r="R485" s="175">
        <v>3</v>
      </c>
      <c r="S485">
        <v>3</v>
      </c>
    </row>
    <row r="486" spans="1:19" x14ac:dyDescent="0.25">
      <c r="A486" s="87">
        <v>2019</v>
      </c>
      <c r="B486" s="87">
        <v>7</v>
      </c>
      <c r="C486" s="173" t="s">
        <v>16</v>
      </c>
      <c r="D486" s="173" t="s">
        <v>17</v>
      </c>
      <c r="E486" s="173" t="s">
        <v>18</v>
      </c>
      <c r="F486" s="173" t="s">
        <v>16</v>
      </c>
      <c r="G486" s="87" t="b">
        <v>1</v>
      </c>
      <c r="H486" s="87" t="b">
        <v>0</v>
      </c>
      <c r="I486" s="87" t="b">
        <v>0</v>
      </c>
      <c r="J486" s="173" t="s">
        <v>477</v>
      </c>
      <c r="K486" s="174">
        <v>60922168000348</v>
      </c>
      <c r="L486" s="173" t="s">
        <v>1125</v>
      </c>
      <c r="M486" s="173" t="s">
        <v>131</v>
      </c>
      <c r="N486" s="173" t="s">
        <v>61</v>
      </c>
      <c r="O486" s="87">
        <v>70</v>
      </c>
      <c r="P486" s="173" t="s">
        <v>20</v>
      </c>
      <c r="Q486" s="1" t="s">
        <v>1338</v>
      </c>
      <c r="R486" s="175">
        <v>120</v>
      </c>
      <c r="S486">
        <v>24</v>
      </c>
    </row>
    <row r="487" spans="1:19" x14ac:dyDescent="0.25">
      <c r="A487" s="87">
        <v>2019</v>
      </c>
      <c r="B487" s="87">
        <v>7</v>
      </c>
      <c r="C487" s="173" t="s">
        <v>16</v>
      </c>
      <c r="D487" s="173" t="s">
        <v>17</v>
      </c>
      <c r="E487" s="173" t="s">
        <v>18</v>
      </c>
      <c r="F487" s="173" t="s">
        <v>16</v>
      </c>
      <c r="G487" s="87" t="b">
        <v>1</v>
      </c>
      <c r="H487" s="87" t="b">
        <v>0</v>
      </c>
      <c r="I487" s="87" t="b">
        <v>0</v>
      </c>
      <c r="J487" s="173" t="s">
        <v>492</v>
      </c>
      <c r="K487" s="174">
        <v>60922168000348</v>
      </c>
      <c r="L487" s="173" t="s">
        <v>1125</v>
      </c>
      <c r="M487" s="173" t="s">
        <v>131</v>
      </c>
      <c r="N487" s="173" t="s">
        <v>61</v>
      </c>
      <c r="O487" s="87">
        <v>70</v>
      </c>
      <c r="P487" s="173" t="s">
        <v>20</v>
      </c>
      <c r="Q487" s="1" t="s">
        <v>1338</v>
      </c>
      <c r="R487" s="175">
        <v>210</v>
      </c>
      <c r="S487">
        <v>42</v>
      </c>
    </row>
    <row r="488" spans="1:19" x14ac:dyDescent="0.25">
      <c r="A488" s="87">
        <v>2019</v>
      </c>
      <c r="B488" s="87">
        <v>7</v>
      </c>
      <c r="C488" s="173" t="s">
        <v>16</v>
      </c>
      <c r="D488" s="173" t="s">
        <v>17</v>
      </c>
      <c r="E488" s="173" t="s">
        <v>18</v>
      </c>
      <c r="F488" s="173" t="s">
        <v>16</v>
      </c>
      <c r="G488" s="87" t="b">
        <v>1</v>
      </c>
      <c r="H488" s="87" t="b">
        <v>0</v>
      </c>
      <c r="I488" s="87" t="b">
        <v>0</v>
      </c>
      <c r="J488" s="173" t="s">
        <v>492</v>
      </c>
      <c r="K488" s="174">
        <v>60922168000771</v>
      </c>
      <c r="L488" s="173" t="s">
        <v>618</v>
      </c>
      <c r="M488" s="173" t="s">
        <v>29</v>
      </c>
      <c r="N488" s="173" t="s">
        <v>19</v>
      </c>
      <c r="O488" s="87">
        <v>70</v>
      </c>
      <c r="P488" s="173" t="s">
        <v>20</v>
      </c>
      <c r="Q488" s="1" t="s">
        <v>1338</v>
      </c>
      <c r="R488" s="175">
        <v>350</v>
      </c>
      <c r="S488">
        <v>70</v>
      </c>
    </row>
    <row r="489" spans="1:19" x14ac:dyDescent="0.25">
      <c r="A489" s="87">
        <v>2019</v>
      </c>
      <c r="B489" s="87">
        <v>7</v>
      </c>
      <c r="C489" s="173" t="s">
        <v>16</v>
      </c>
      <c r="D489" s="173" t="s">
        <v>17</v>
      </c>
      <c r="E489" s="173" t="s">
        <v>18</v>
      </c>
      <c r="F489" s="173" t="s">
        <v>16</v>
      </c>
      <c r="G489" s="87" t="b">
        <v>1</v>
      </c>
      <c r="H489" s="87" t="b">
        <v>0</v>
      </c>
      <c r="I489" s="87" t="b">
        <v>0</v>
      </c>
      <c r="J489" s="173" t="s">
        <v>478</v>
      </c>
      <c r="K489" s="174">
        <v>60922168000771</v>
      </c>
      <c r="L489" s="173" t="s">
        <v>618</v>
      </c>
      <c r="M489" s="173" t="s">
        <v>29</v>
      </c>
      <c r="N489" s="173" t="s">
        <v>19</v>
      </c>
      <c r="O489" s="87">
        <v>73</v>
      </c>
      <c r="P489" s="173" t="s">
        <v>26</v>
      </c>
      <c r="Q489" s="1" t="s">
        <v>1339</v>
      </c>
      <c r="R489" s="175">
        <v>2</v>
      </c>
      <c r="S489">
        <v>1</v>
      </c>
    </row>
    <row r="490" spans="1:19" x14ac:dyDescent="0.25">
      <c r="A490" s="87">
        <v>2019</v>
      </c>
      <c r="B490" s="87">
        <v>7</v>
      </c>
      <c r="C490" s="173" t="s">
        <v>16</v>
      </c>
      <c r="D490" s="173" t="s">
        <v>17</v>
      </c>
      <c r="E490" s="173" t="s">
        <v>18</v>
      </c>
      <c r="F490" s="173" t="s">
        <v>16</v>
      </c>
      <c r="G490" s="87" t="b">
        <v>1</v>
      </c>
      <c r="H490" s="87" t="b">
        <v>0</v>
      </c>
      <c r="I490" s="87" t="b">
        <v>0</v>
      </c>
      <c r="J490" s="173" t="s">
        <v>470</v>
      </c>
      <c r="K490" s="174">
        <v>60922168000771</v>
      </c>
      <c r="L490" s="173" t="s">
        <v>618</v>
      </c>
      <c r="M490" s="173" t="s">
        <v>29</v>
      </c>
      <c r="N490" s="173" t="s">
        <v>19</v>
      </c>
      <c r="O490" s="87">
        <v>73</v>
      </c>
      <c r="P490" s="173" t="s">
        <v>26</v>
      </c>
      <c r="Q490" s="1" t="s">
        <v>1339</v>
      </c>
      <c r="R490" s="175">
        <v>2</v>
      </c>
      <c r="S490">
        <v>1</v>
      </c>
    </row>
    <row r="491" spans="1:19" x14ac:dyDescent="0.25">
      <c r="A491" s="87">
        <v>2019</v>
      </c>
      <c r="B491" s="87">
        <v>7</v>
      </c>
      <c r="C491" s="173" t="s">
        <v>16</v>
      </c>
      <c r="D491" s="173" t="s">
        <v>17</v>
      </c>
      <c r="E491" s="173" t="s">
        <v>18</v>
      </c>
      <c r="F491" s="173" t="s">
        <v>16</v>
      </c>
      <c r="G491" s="87" t="b">
        <v>1</v>
      </c>
      <c r="H491" s="87" t="b">
        <v>0</v>
      </c>
      <c r="I491" s="87" t="b">
        <v>0</v>
      </c>
      <c r="J491" s="173" t="s">
        <v>450</v>
      </c>
      <c r="K491" s="174">
        <v>60922168000771</v>
      </c>
      <c r="L491" s="173" t="s">
        <v>618</v>
      </c>
      <c r="M491" s="173" t="s">
        <v>29</v>
      </c>
      <c r="N491" s="173" t="s">
        <v>19</v>
      </c>
      <c r="O491" s="87">
        <v>73</v>
      </c>
      <c r="P491" s="173" t="s">
        <v>26</v>
      </c>
      <c r="Q491" s="1" t="s">
        <v>1339</v>
      </c>
      <c r="R491" s="175">
        <v>6</v>
      </c>
      <c r="S491">
        <v>3</v>
      </c>
    </row>
    <row r="492" spans="1:19" x14ac:dyDescent="0.25">
      <c r="A492" s="87">
        <v>2019</v>
      </c>
      <c r="B492" s="87">
        <v>7</v>
      </c>
      <c r="C492" s="173" t="s">
        <v>16</v>
      </c>
      <c r="D492" s="173" t="s">
        <v>17</v>
      </c>
      <c r="E492" s="173" t="s">
        <v>18</v>
      </c>
      <c r="F492" s="173" t="s">
        <v>16</v>
      </c>
      <c r="G492" s="87" t="b">
        <v>1</v>
      </c>
      <c r="H492" s="87" t="b">
        <v>0</v>
      </c>
      <c r="I492" s="87" t="b">
        <v>0</v>
      </c>
      <c r="J492" s="173" t="s">
        <v>450</v>
      </c>
      <c r="K492" s="174">
        <v>60922168000771</v>
      </c>
      <c r="L492" s="173" t="s">
        <v>618</v>
      </c>
      <c r="M492" s="173" t="s">
        <v>29</v>
      </c>
      <c r="N492" s="173" t="s">
        <v>19</v>
      </c>
      <c r="O492" s="87">
        <v>73</v>
      </c>
      <c r="P492" s="173" t="s">
        <v>26</v>
      </c>
      <c r="Q492" s="1" t="s">
        <v>1340</v>
      </c>
      <c r="R492" s="175">
        <v>2</v>
      </c>
      <c r="S492">
        <v>2</v>
      </c>
    </row>
    <row r="493" spans="1:19" x14ac:dyDescent="0.25">
      <c r="A493" s="87">
        <v>2019</v>
      </c>
      <c r="B493" s="87">
        <v>7</v>
      </c>
      <c r="C493" s="173" t="s">
        <v>16</v>
      </c>
      <c r="D493" s="173" t="s">
        <v>17</v>
      </c>
      <c r="E493" s="173" t="s">
        <v>18</v>
      </c>
      <c r="F493" s="173" t="s">
        <v>16</v>
      </c>
      <c r="G493" s="87" t="b">
        <v>1</v>
      </c>
      <c r="H493" s="87" t="b">
        <v>0</v>
      </c>
      <c r="I493" s="87" t="b">
        <v>0</v>
      </c>
      <c r="J493" s="173" t="s">
        <v>463</v>
      </c>
      <c r="K493" s="174">
        <v>60922168000771</v>
      </c>
      <c r="L493" s="173" t="s">
        <v>618</v>
      </c>
      <c r="M493" s="173" t="s">
        <v>29</v>
      </c>
      <c r="N493" s="173" t="s">
        <v>19</v>
      </c>
      <c r="O493" s="87">
        <v>73</v>
      </c>
      <c r="P493" s="173" t="s">
        <v>26</v>
      </c>
      <c r="Q493" s="1" t="s">
        <v>1339</v>
      </c>
      <c r="R493" s="175">
        <v>4</v>
      </c>
      <c r="S493">
        <v>2</v>
      </c>
    </row>
    <row r="494" spans="1:19" x14ac:dyDescent="0.25">
      <c r="A494" s="87">
        <v>2019</v>
      </c>
      <c r="B494" s="87">
        <v>7</v>
      </c>
      <c r="C494" s="173" t="s">
        <v>16</v>
      </c>
      <c r="D494" s="173" t="s">
        <v>17</v>
      </c>
      <c r="E494" s="173" t="s">
        <v>18</v>
      </c>
      <c r="F494" s="173" t="s">
        <v>16</v>
      </c>
      <c r="G494" s="87" t="b">
        <v>1</v>
      </c>
      <c r="H494" s="87" t="b">
        <v>0</v>
      </c>
      <c r="I494" s="87" t="b">
        <v>0</v>
      </c>
      <c r="J494" s="173" t="s">
        <v>478</v>
      </c>
      <c r="K494" s="174">
        <v>60922168004335</v>
      </c>
      <c r="L494" s="173" t="s">
        <v>619</v>
      </c>
      <c r="M494" s="173" t="s">
        <v>29</v>
      </c>
      <c r="N494" s="173" t="s">
        <v>19</v>
      </c>
      <c r="O494" s="87">
        <v>70</v>
      </c>
      <c r="P494" s="173" t="s">
        <v>20</v>
      </c>
      <c r="Q494" s="1" t="s">
        <v>1338</v>
      </c>
      <c r="R494" s="175">
        <v>5</v>
      </c>
      <c r="S494">
        <v>1</v>
      </c>
    </row>
    <row r="495" spans="1:19" x14ac:dyDescent="0.25">
      <c r="A495" s="87">
        <v>2019</v>
      </c>
      <c r="B495" s="87">
        <v>7</v>
      </c>
      <c r="C495" s="173" t="s">
        <v>16</v>
      </c>
      <c r="D495" s="173" t="s">
        <v>17</v>
      </c>
      <c r="E495" s="173" t="s">
        <v>18</v>
      </c>
      <c r="F495" s="173" t="s">
        <v>16</v>
      </c>
      <c r="G495" s="87" t="b">
        <v>1</v>
      </c>
      <c r="H495" s="87" t="b">
        <v>0</v>
      </c>
      <c r="I495" s="87" t="b">
        <v>0</v>
      </c>
      <c r="J495" s="173" t="s">
        <v>452</v>
      </c>
      <c r="K495" s="174">
        <v>60922168005226</v>
      </c>
      <c r="L495" s="173" t="s">
        <v>977</v>
      </c>
      <c r="M495" s="173" t="s">
        <v>93</v>
      </c>
      <c r="N495" s="173" t="s">
        <v>68</v>
      </c>
      <c r="O495" s="87">
        <v>64</v>
      </c>
      <c r="P495" s="173" t="s">
        <v>25</v>
      </c>
      <c r="Q495" s="1" t="s">
        <v>1344</v>
      </c>
      <c r="R495" s="175">
        <v>1</v>
      </c>
      <c r="S495">
        <v>1</v>
      </c>
    </row>
    <row r="496" spans="1:19" x14ac:dyDescent="0.25">
      <c r="A496" s="87">
        <v>2019</v>
      </c>
      <c r="B496" s="87">
        <v>7</v>
      </c>
      <c r="C496" s="173" t="s">
        <v>16</v>
      </c>
      <c r="D496" s="173" t="s">
        <v>17</v>
      </c>
      <c r="E496" s="173" t="s">
        <v>18</v>
      </c>
      <c r="F496" s="173" t="s">
        <v>16</v>
      </c>
      <c r="G496" s="87" t="b">
        <v>1</v>
      </c>
      <c r="H496" s="87" t="b">
        <v>0</v>
      </c>
      <c r="I496" s="87" t="b">
        <v>0</v>
      </c>
      <c r="J496" s="173" t="s">
        <v>470</v>
      </c>
      <c r="K496" s="174">
        <v>60961422000155</v>
      </c>
      <c r="L496" s="173" t="s">
        <v>620</v>
      </c>
      <c r="M496" s="173" t="s">
        <v>29</v>
      </c>
      <c r="N496" s="173" t="s">
        <v>19</v>
      </c>
      <c r="O496" s="87">
        <v>62</v>
      </c>
      <c r="P496" s="173" t="s">
        <v>27</v>
      </c>
      <c r="Q496" s="1" t="s">
        <v>1343</v>
      </c>
      <c r="R496" s="175">
        <v>13</v>
      </c>
      <c r="S496">
        <v>13</v>
      </c>
    </row>
    <row r="497" spans="1:19" x14ac:dyDescent="0.25">
      <c r="A497" s="87">
        <v>2019</v>
      </c>
      <c r="B497" s="87">
        <v>7</v>
      </c>
      <c r="C497" s="173" t="s">
        <v>16</v>
      </c>
      <c r="D497" s="173" t="s">
        <v>17</v>
      </c>
      <c r="E497" s="173" t="s">
        <v>18</v>
      </c>
      <c r="F497" s="173" t="s">
        <v>16</v>
      </c>
      <c r="G497" s="87" t="b">
        <v>1</v>
      </c>
      <c r="H497" s="87" t="b">
        <v>0</v>
      </c>
      <c r="I497" s="87" t="b">
        <v>0</v>
      </c>
      <c r="J497" s="173" t="s">
        <v>450</v>
      </c>
      <c r="K497" s="174">
        <v>60961422000155</v>
      </c>
      <c r="L497" s="173" t="s">
        <v>620</v>
      </c>
      <c r="M497" s="173" t="s">
        <v>29</v>
      </c>
      <c r="N497" s="173" t="s">
        <v>19</v>
      </c>
      <c r="O497" s="87">
        <v>64</v>
      </c>
      <c r="P497" s="173" t="s">
        <v>25</v>
      </c>
      <c r="Q497" s="1" t="s">
        <v>1344</v>
      </c>
      <c r="R497" s="175">
        <v>10</v>
      </c>
      <c r="S497">
        <v>10</v>
      </c>
    </row>
    <row r="498" spans="1:19" x14ac:dyDescent="0.25">
      <c r="A498" s="87">
        <v>2019</v>
      </c>
      <c r="B498" s="87">
        <v>7</v>
      </c>
      <c r="C498" s="173" t="s">
        <v>16</v>
      </c>
      <c r="D498" s="173" t="s">
        <v>17</v>
      </c>
      <c r="E498" s="173" t="s">
        <v>18</v>
      </c>
      <c r="F498" s="173" t="s">
        <v>16</v>
      </c>
      <c r="G498" s="87" t="b">
        <v>1</v>
      </c>
      <c r="H498" s="87" t="b">
        <v>0</v>
      </c>
      <c r="I498" s="87" t="b">
        <v>0</v>
      </c>
      <c r="J498" s="173" t="s">
        <v>450</v>
      </c>
      <c r="K498" s="174">
        <v>60961422000155</v>
      </c>
      <c r="L498" s="173" t="s">
        <v>620</v>
      </c>
      <c r="M498" s="173" t="s">
        <v>29</v>
      </c>
      <c r="N498" s="173" t="s">
        <v>19</v>
      </c>
      <c r="O498" s="87">
        <v>70</v>
      </c>
      <c r="P498" s="173" t="s">
        <v>20</v>
      </c>
      <c r="Q498" s="1" t="s">
        <v>1338</v>
      </c>
      <c r="R498" s="175">
        <v>20</v>
      </c>
      <c r="S498">
        <v>4</v>
      </c>
    </row>
    <row r="499" spans="1:19" x14ac:dyDescent="0.25">
      <c r="A499" s="87">
        <v>2019</v>
      </c>
      <c r="B499" s="87">
        <v>7</v>
      </c>
      <c r="C499" s="173" t="s">
        <v>16</v>
      </c>
      <c r="D499" s="173" t="s">
        <v>17</v>
      </c>
      <c r="E499" s="173" t="s">
        <v>18</v>
      </c>
      <c r="F499" s="173" t="s">
        <v>16</v>
      </c>
      <c r="G499" s="87" t="b">
        <v>1</v>
      </c>
      <c r="H499" s="87" t="b">
        <v>0</v>
      </c>
      <c r="I499" s="87" t="b">
        <v>0</v>
      </c>
      <c r="J499" s="173" t="s">
        <v>450</v>
      </c>
      <c r="K499" s="174">
        <v>60961968000106</v>
      </c>
      <c r="L499" s="173" t="s">
        <v>621</v>
      </c>
      <c r="M499" s="173" t="s">
        <v>29</v>
      </c>
      <c r="N499" s="173" t="s">
        <v>19</v>
      </c>
      <c r="O499" s="87">
        <v>70</v>
      </c>
      <c r="P499" s="173" t="s">
        <v>20</v>
      </c>
      <c r="Q499" s="1" t="s">
        <v>1338</v>
      </c>
      <c r="R499" s="175">
        <v>1100</v>
      </c>
      <c r="S499">
        <v>220</v>
      </c>
    </row>
    <row r="500" spans="1:19" x14ac:dyDescent="0.25">
      <c r="A500" s="87">
        <v>2019</v>
      </c>
      <c r="B500" s="87">
        <v>7</v>
      </c>
      <c r="C500" s="173" t="s">
        <v>16</v>
      </c>
      <c r="D500" s="173" t="s">
        <v>17</v>
      </c>
      <c r="E500" s="173" t="s">
        <v>18</v>
      </c>
      <c r="F500" s="173" t="s">
        <v>16</v>
      </c>
      <c r="G500" s="87" t="b">
        <v>1</v>
      </c>
      <c r="H500" s="87" t="b">
        <v>0</v>
      </c>
      <c r="I500" s="87" t="b">
        <v>0</v>
      </c>
      <c r="J500" s="173" t="s">
        <v>492</v>
      </c>
      <c r="K500" s="174">
        <v>60961968000106</v>
      </c>
      <c r="L500" s="173" t="s">
        <v>621</v>
      </c>
      <c r="M500" s="173" t="s">
        <v>29</v>
      </c>
      <c r="N500" s="173" t="s">
        <v>19</v>
      </c>
      <c r="O500" s="87">
        <v>70</v>
      </c>
      <c r="P500" s="173" t="s">
        <v>20</v>
      </c>
      <c r="Q500" s="1" t="s">
        <v>1338</v>
      </c>
      <c r="R500" s="175">
        <v>175</v>
      </c>
      <c r="S500">
        <v>35</v>
      </c>
    </row>
    <row r="501" spans="1:19" x14ac:dyDescent="0.25">
      <c r="A501" s="87">
        <v>2019</v>
      </c>
      <c r="B501" s="87">
        <v>7</v>
      </c>
      <c r="C501" s="173" t="s">
        <v>16</v>
      </c>
      <c r="D501" s="173" t="s">
        <v>17</v>
      </c>
      <c r="E501" s="173" t="s">
        <v>18</v>
      </c>
      <c r="F501" s="173" t="s">
        <v>16</v>
      </c>
      <c r="G501" s="87" t="b">
        <v>1</v>
      </c>
      <c r="H501" s="87" t="b">
        <v>0</v>
      </c>
      <c r="I501" s="87" t="b">
        <v>0</v>
      </c>
      <c r="J501" s="173" t="s">
        <v>463</v>
      </c>
      <c r="K501" s="174">
        <v>60961968000106</v>
      </c>
      <c r="L501" s="173" t="s">
        <v>621</v>
      </c>
      <c r="M501" s="173" t="s">
        <v>29</v>
      </c>
      <c r="N501" s="173" t="s">
        <v>19</v>
      </c>
      <c r="O501" s="87">
        <v>70</v>
      </c>
      <c r="P501" s="173" t="s">
        <v>20</v>
      </c>
      <c r="Q501" s="1" t="s">
        <v>1338</v>
      </c>
      <c r="R501" s="175">
        <v>550</v>
      </c>
      <c r="S501">
        <v>110</v>
      </c>
    </row>
    <row r="502" spans="1:19" x14ac:dyDescent="0.25">
      <c r="A502" s="87">
        <v>2019</v>
      </c>
      <c r="B502" s="87">
        <v>7</v>
      </c>
      <c r="C502" s="173" t="s">
        <v>16</v>
      </c>
      <c r="D502" s="173" t="s">
        <v>17</v>
      </c>
      <c r="E502" s="173" t="s">
        <v>18</v>
      </c>
      <c r="F502" s="173" t="s">
        <v>16</v>
      </c>
      <c r="G502" s="87" t="b">
        <v>1</v>
      </c>
      <c r="H502" s="87" t="b">
        <v>0</v>
      </c>
      <c r="I502" s="87" t="b">
        <v>0</v>
      </c>
      <c r="J502" s="173" t="s">
        <v>495</v>
      </c>
      <c r="K502" s="174">
        <v>60975174000363</v>
      </c>
      <c r="L502" s="173" t="s">
        <v>623</v>
      </c>
      <c r="M502" s="173" t="s">
        <v>29</v>
      </c>
      <c r="N502" s="173" t="s">
        <v>19</v>
      </c>
      <c r="O502" s="87">
        <v>70</v>
      </c>
      <c r="P502" s="173" t="s">
        <v>20</v>
      </c>
      <c r="Q502" s="1" t="s">
        <v>1338</v>
      </c>
      <c r="R502" s="175">
        <v>150</v>
      </c>
      <c r="S502">
        <v>30</v>
      </c>
    </row>
    <row r="503" spans="1:19" x14ac:dyDescent="0.25">
      <c r="A503" s="87">
        <v>2019</v>
      </c>
      <c r="B503" s="87">
        <v>7</v>
      </c>
      <c r="C503" s="173" t="s">
        <v>16</v>
      </c>
      <c r="D503" s="173" t="s">
        <v>17</v>
      </c>
      <c r="E503" s="173" t="s">
        <v>18</v>
      </c>
      <c r="F503" s="173" t="s">
        <v>16</v>
      </c>
      <c r="G503" s="87" t="b">
        <v>1</v>
      </c>
      <c r="H503" s="87" t="b">
        <v>0</v>
      </c>
      <c r="I503" s="87" t="b">
        <v>0</v>
      </c>
      <c r="J503" s="173" t="s">
        <v>464</v>
      </c>
      <c r="K503" s="174">
        <v>60975737001204</v>
      </c>
      <c r="L503" s="173" t="s">
        <v>625</v>
      </c>
      <c r="M503" s="173" t="s">
        <v>29</v>
      </c>
      <c r="N503" s="173" t="s">
        <v>19</v>
      </c>
      <c r="O503" s="87">
        <v>64</v>
      </c>
      <c r="P503" s="173" t="s">
        <v>25</v>
      </c>
      <c r="Q503" s="1" t="s">
        <v>1344</v>
      </c>
      <c r="R503" s="175">
        <v>6</v>
      </c>
      <c r="S503">
        <v>6</v>
      </c>
    </row>
    <row r="504" spans="1:19" x14ac:dyDescent="0.25">
      <c r="A504" s="87">
        <v>2019</v>
      </c>
      <c r="B504" s="87">
        <v>7</v>
      </c>
      <c r="C504" s="173" t="s">
        <v>16</v>
      </c>
      <c r="D504" s="173" t="s">
        <v>17</v>
      </c>
      <c r="E504" s="173" t="s">
        <v>18</v>
      </c>
      <c r="F504" s="173" t="s">
        <v>16</v>
      </c>
      <c r="G504" s="87" t="b">
        <v>1</v>
      </c>
      <c r="H504" s="87" t="b">
        <v>0</v>
      </c>
      <c r="I504" s="87" t="b">
        <v>0</v>
      </c>
      <c r="J504" s="173" t="s">
        <v>464</v>
      </c>
      <c r="K504" s="174">
        <v>60975737003509</v>
      </c>
      <c r="L504" s="173" t="s">
        <v>921</v>
      </c>
      <c r="M504" s="173" t="s">
        <v>76</v>
      </c>
      <c r="N504" s="173" t="s">
        <v>77</v>
      </c>
      <c r="O504" s="87">
        <v>62</v>
      </c>
      <c r="P504" s="173" t="s">
        <v>27</v>
      </c>
      <c r="Q504" s="1" t="s">
        <v>1343</v>
      </c>
      <c r="R504" s="175">
        <v>12</v>
      </c>
      <c r="S504">
        <v>12</v>
      </c>
    </row>
    <row r="505" spans="1:19" x14ac:dyDescent="0.25">
      <c r="A505" s="87">
        <v>2019</v>
      </c>
      <c r="B505" s="87">
        <v>7</v>
      </c>
      <c r="C505" s="173" t="s">
        <v>16</v>
      </c>
      <c r="D505" s="173" t="s">
        <v>17</v>
      </c>
      <c r="E505" s="173" t="s">
        <v>18</v>
      </c>
      <c r="F505" s="173" t="s">
        <v>16</v>
      </c>
      <c r="G505" s="87" t="b">
        <v>1</v>
      </c>
      <c r="H505" s="87" t="b">
        <v>0</v>
      </c>
      <c r="I505" s="87" t="b">
        <v>0</v>
      </c>
      <c r="J505" s="173" t="s">
        <v>464</v>
      </c>
      <c r="K505" s="174">
        <v>60975737003509</v>
      </c>
      <c r="L505" s="173" t="s">
        <v>921</v>
      </c>
      <c r="M505" s="173" t="s">
        <v>76</v>
      </c>
      <c r="N505" s="173" t="s">
        <v>77</v>
      </c>
      <c r="O505" s="87">
        <v>64</v>
      </c>
      <c r="P505" s="173" t="s">
        <v>25</v>
      </c>
      <c r="Q505" s="1" t="s">
        <v>1344</v>
      </c>
      <c r="R505" s="175">
        <v>4</v>
      </c>
      <c r="S505">
        <v>4</v>
      </c>
    </row>
    <row r="506" spans="1:19" x14ac:dyDescent="0.25">
      <c r="A506" s="87">
        <v>2019</v>
      </c>
      <c r="B506" s="87">
        <v>7</v>
      </c>
      <c r="C506" s="173" t="s">
        <v>16</v>
      </c>
      <c r="D506" s="173" t="s">
        <v>17</v>
      </c>
      <c r="E506" s="173" t="s">
        <v>18</v>
      </c>
      <c r="F506" s="173" t="s">
        <v>16</v>
      </c>
      <c r="G506" s="87" t="b">
        <v>1</v>
      </c>
      <c r="H506" s="87" t="b">
        <v>0</v>
      </c>
      <c r="I506" s="87" t="b">
        <v>0</v>
      </c>
      <c r="J506" s="173" t="s">
        <v>463</v>
      </c>
      <c r="K506" s="174">
        <v>61213674000240</v>
      </c>
      <c r="L506" s="173" t="s">
        <v>629</v>
      </c>
      <c r="M506" s="173" t="s">
        <v>29</v>
      </c>
      <c r="N506" s="173" t="s">
        <v>19</v>
      </c>
      <c r="O506" s="87">
        <v>62</v>
      </c>
      <c r="P506" s="173" t="s">
        <v>27</v>
      </c>
      <c r="Q506" s="1" t="s">
        <v>1343</v>
      </c>
      <c r="R506" s="175">
        <v>1</v>
      </c>
      <c r="S506">
        <v>1</v>
      </c>
    </row>
    <row r="507" spans="1:19" x14ac:dyDescent="0.25">
      <c r="A507" s="87">
        <v>2019</v>
      </c>
      <c r="B507" s="87">
        <v>7</v>
      </c>
      <c r="C507" s="173" t="s">
        <v>16</v>
      </c>
      <c r="D507" s="173" t="s">
        <v>17</v>
      </c>
      <c r="E507" s="173" t="s">
        <v>18</v>
      </c>
      <c r="F507" s="173" t="s">
        <v>16</v>
      </c>
      <c r="G507" s="87" t="b">
        <v>1</v>
      </c>
      <c r="H507" s="87" t="b">
        <v>0</v>
      </c>
      <c r="I507" s="87" t="b">
        <v>0</v>
      </c>
      <c r="J507" s="173" t="s">
        <v>463</v>
      </c>
      <c r="K507" s="174">
        <v>61213674000240</v>
      </c>
      <c r="L507" s="173" t="s">
        <v>629</v>
      </c>
      <c r="M507" s="173" t="s">
        <v>29</v>
      </c>
      <c r="N507" s="173" t="s">
        <v>19</v>
      </c>
      <c r="O507" s="87">
        <v>64</v>
      </c>
      <c r="P507" s="173" t="s">
        <v>25</v>
      </c>
      <c r="Q507" s="1" t="s">
        <v>1344</v>
      </c>
      <c r="R507" s="175">
        <v>3</v>
      </c>
      <c r="S507">
        <v>3</v>
      </c>
    </row>
    <row r="508" spans="1:19" x14ac:dyDescent="0.25">
      <c r="A508" s="87">
        <v>2019</v>
      </c>
      <c r="B508" s="87">
        <v>7</v>
      </c>
      <c r="C508" s="173" t="s">
        <v>16</v>
      </c>
      <c r="D508" s="173" t="s">
        <v>17</v>
      </c>
      <c r="E508" s="173" t="s">
        <v>18</v>
      </c>
      <c r="F508" s="173" t="s">
        <v>16</v>
      </c>
      <c r="G508" s="87" t="b">
        <v>1</v>
      </c>
      <c r="H508" s="87" t="b">
        <v>0</v>
      </c>
      <c r="I508" s="87" t="b">
        <v>0</v>
      </c>
      <c r="J508" s="173" t="s">
        <v>450</v>
      </c>
      <c r="K508" s="174">
        <v>61213674000240</v>
      </c>
      <c r="L508" s="173" t="s">
        <v>629</v>
      </c>
      <c r="M508" s="173" t="s">
        <v>29</v>
      </c>
      <c r="N508" s="173" t="s">
        <v>19</v>
      </c>
      <c r="O508" s="87">
        <v>70</v>
      </c>
      <c r="P508" s="173" t="s">
        <v>20</v>
      </c>
      <c r="Q508" s="1" t="s">
        <v>1338</v>
      </c>
      <c r="R508" s="175">
        <v>5</v>
      </c>
      <c r="S508">
        <v>1</v>
      </c>
    </row>
    <row r="509" spans="1:19" x14ac:dyDescent="0.25">
      <c r="A509" s="87">
        <v>2019</v>
      </c>
      <c r="B509" s="87">
        <v>7</v>
      </c>
      <c r="C509" s="173" t="s">
        <v>16</v>
      </c>
      <c r="D509" s="173" t="s">
        <v>17</v>
      </c>
      <c r="E509" s="173" t="s">
        <v>18</v>
      </c>
      <c r="F509" s="173" t="s">
        <v>16</v>
      </c>
      <c r="G509" s="87" t="b">
        <v>1</v>
      </c>
      <c r="H509" s="87" t="b">
        <v>0</v>
      </c>
      <c r="I509" s="87" t="b">
        <v>0</v>
      </c>
      <c r="J509" s="173" t="s">
        <v>450</v>
      </c>
      <c r="K509" s="174">
        <v>61213674000240</v>
      </c>
      <c r="L509" s="173" t="s">
        <v>629</v>
      </c>
      <c r="M509" s="173" t="s">
        <v>29</v>
      </c>
      <c r="N509" s="173" t="s">
        <v>19</v>
      </c>
      <c r="O509" s="87">
        <v>73</v>
      </c>
      <c r="P509" s="173" t="s">
        <v>26</v>
      </c>
      <c r="Q509" s="1" t="s">
        <v>1342</v>
      </c>
      <c r="R509" s="175">
        <v>4</v>
      </c>
      <c r="S509">
        <v>1</v>
      </c>
    </row>
    <row r="510" spans="1:19" x14ac:dyDescent="0.25">
      <c r="A510" s="87">
        <v>2019</v>
      </c>
      <c r="B510" s="87">
        <v>7</v>
      </c>
      <c r="C510" s="173" t="s">
        <v>16</v>
      </c>
      <c r="D510" s="173" t="s">
        <v>17</v>
      </c>
      <c r="E510" s="173" t="s">
        <v>18</v>
      </c>
      <c r="F510" s="173" t="s">
        <v>16</v>
      </c>
      <c r="G510" s="87" t="b">
        <v>1</v>
      </c>
      <c r="H510" s="87" t="b">
        <v>0</v>
      </c>
      <c r="I510" s="87" t="b">
        <v>0</v>
      </c>
      <c r="J510" s="173" t="s">
        <v>450</v>
      </c>
      <c r="K510" s="174">
        <v>61213674000240</v>
      </c>
      <c r="L510" s="173" t="s">
        <v>629</v>
      </c>
      <c r="M510" s="173" t="s">
        <v>29</v>
      </c>
      <c r="N510" s="173" t="s">
        <v>19</v>
      </c>
      <c r="O510" s="87">
        <v>73</v>
      </c>
      <c r="P510" s="173" t="s">
        <v>26</v>
      </c>
      <c r="Q510" s="1" t="s">
        <v>1340</v>
      </c>
      <c r="R510" s="175">
        <v>2</v>
      </c>
      <c r="S510">
        <v>2</v>
      </c>
    </row>
    <row r="511" spans="1:19" x14ac:dyDescent="0.25">
      <c r="A511" s="87">
        <v>2019</v>
      </c>
      <c r="B511" s="87">
        <v>7</v>
      </c>
      <c r="C511" s="173" t="s">
        <v>16</v>
      </c>
      <c r="D511" s="173" t="s">
        <v>17</v>
      </c>
      <c r="E511" s="173" t="s">
        <v>18</v>
      </c>
      <c r="F511" s="173" t="s">
        <v>16</v>
      </c>
      <c r="G511" s="87" t="b">
        <v>1</v>
      </c>
      <c r="H511" s="87" t="b">
        <v>0</v>
      </c>
      <c r="I511" s="87" t="b">
        <v>0</v>
      </c>
      <c r="J511" s="173" t="s">
        <v>463</v>
      </c>
      <c r="K511" s="174">
        <v>61213674000240</v>
      </c>
      <c r="L511" s="173" t="s">
        <v>629</v>
      </c>
      <c r="M511" s="173" t="s">
        <v>29</v>
      </c>
      <c r="N511" s="173" t="s">
        <v>19</v>
      </c>
      <c r="O511" s="87">
        <v>73</v>
      </c>
      <c r="P511" s="173" t="s">
        <v>26</v>
      </c>
      <c r="Q511" s="1" t="s">
        <v>1339</v>
      </c>
      <c r="R511" s="175">
        <v>8</v>
      </c>
      <c r="S511">
        <v>4</v>
      </c>
    </row>
    <row r="512" spans="1:19" x14ac:dyDescent="0.25">
      <c r="A512" s="87">
        <v>2019</v>
      </c>
      <c r="B512" s="87">
        <v>7</v>
      </c>
      <c r="C512" s="173" t="s">
        <v>16</v>
      </c>
      <c r="D512" s="173" t="s">
        <v>17</v>
      </c>
      <c r="E512" s="173" t="s">
        <v>18</v>
      </c>
      <c r="F512" s="173" t="s">
        <v>16</v>
      </c>
      <c r="G512" s="87" t="b">
        <v>1</v>
      </c>
      <c r="H512" s="87" t="b">
        <v>0</v>
      </c>
      <c r="I512" s="87" t="b">
        <v>0</v>
      </c>
      <c r="J512" s="173" t="s">
        <v>463</v>
      </c>
      <c r="K512" s="174">
        <v>61213674000240</v>
      </c>
      <c r="L512" s="173" t="s">
        <v>629</v>
      </c>
      <c r="M512" s="173" t="s">
        <v>29</v>
      </c>
      <c r="N512" s="173" t="s">
        <v>19</v>
      </c>
      <c r="O512" s="87">
        <v>73</v>
      </c>
      <c r="P512" s="173" t="s">
        <v>26</v>
      </c>
      <c r="Q512" s="1" t="s">
        <v>1342</v>
      </c>
      <c r="R512" s="175">
        <v>28</v>
      </c>
      <c r="S512">
        <v>7</v>
      </c>
    </row>
    <row r="513" spans="1:19" x14ac:dyDescent="0.25">
      <c r="A513" s="87">
        <v>2019</v>
      </c>
      <c r="B513" s="87">
        <v>7</v>
      </c>
      <c r="C513" s="173" t="s">
        <v>16</v>
      </c>
      <c r="D513" s="173" t="s">
        <v>17</v>
      </c>
      <c r="E513" s="173" t="s">
        <v>18</v>
      </c>
      <c r="F513" s="173" t="s">
        <v>16</v>
      </c>
      <c r="G513" s="87" t="b">
        <v>1</v>
      </c>
      <c r="H513" s="87" t="b">
        <v>0</v>
      </c>
      <c r="I513" s="87" t="b">
        <v>0</v>
      </c>
      <c r="J513" s="173" t="s">
        <v>463</v>
      </c>
      <c r="K513" s="174">
        <v>61213674000240</v>
      </c>
      <c r="L513" s="173" t="s">
        <v>629</v>
      </c>
      <c r="M513" s="173" t="s">
        <v>29</v>
      </c>
      <c r="N513" s="173" t="s">
        <v>19</v>
      </c>
      <c r="O513" s="87">
        <v>73</v>
      </c>
      <c r="P513" s="173" t="s">
        <v>26</v>
      </c>
      <c r="Q513" s="1" t="s">
        <v>1340</v>
      </c>
      <c r="R513" s="175">
        <v>7</v>
      </c>
      <c r="S513">
        <v>7</v>
      </c>
    </row>
    <row r="514" spans="1:19" x14ac:dyDescent="0.25">
      <c r="A514" s="87">
        <v>2019</v>
      </c>
      <c r="B514" s="87">
        <v>7</v>
      </c>
      <c r="C514" s="173" t="s">
        <v>16</v>
      </c>
      <c r="D514" s="173" t="s">
        <v>17</v>
      </c>
      <c r="E514" s="173" t="s">
        <v>18</v>
      </c>
      <c r="F514" s="173" t="s">
        <v>16</v>
      </c>
      <c r="G514" s="87" t="b">
        <v>1</v>
      </c>
      <c r="H514" s="87" t="b">
        <v>0</v>
      </c>
      <c r="I514" s="87" t="b">
        <v>0</v>
      </c>
      <c r="J514" s="173" t="s">
        <v>1330</v>
      </c>
      <c r="K514" s="174">
        <v>61590410000124</v>
      </c>
      <c r="L514" s="173" t="s">
        <v>630</v>
      </c>
      <c r="M514" s="173" t="s">
        <v>29</v>
      </c>
      <c r="N514" s="173" t="s">
        <v>19</v>
      </c>
      <c r="O514" s="87">
        <v>70</v>
      </c>
      <c r="P514" s="173" t="s">
        <v>20</v>
      </c>
      <c r="Q514" s="1" t="s">
        <v>1338</v>
      </c>
      <c r="R514" s="175">
        <v>1180</v>
      </c>
      <c r="S514">
        <v>236</v>
      </c>
    </row>
    <row r="515" spans="1:19" x14ac:dyDescent="0.25">
      <c r="A515" s="87">
        <v>2019</v>
      </c>
      <c r="B515" s="87">
        <v>7</v>
      </c>
      <c r="C515" s="173" t="s">
        <v>16</v>
      </c>
      <c r="D515" s="173" t="s">
        <v>17</v>
      </c>
      <c r="E515" s="173" t="s">
        <v>18</v>
      </c>
      <c r="F515" s="173" t="s">
        <v>16</v>
      </c>
      <c r="G515" s="87" t="b">
        <v>1</v>
      </c>
      <c r="H515" s="87" t="b">
        <v>0</v>
      </c>
      <c r="I515" s="87" t="b">
        <v>0</v>
      </c>
      <c r="J515" s="173" t="s">
        <v>463</v>
      </c>
      <c r="K515" s="174">
        <v>61590410000124</v>
      </c>
      <c r="L515" s="173" t="s">
        <v>630</v>
      </c>
      <c r="M515" s="173" t="s">
        <v>29</v>
      </c>
      <c r="N515" s="173" t="s">
        <v>19</v>
      </c>
      <c r="O515" s="87">
        <v>70</v>
      </c>
      <c r="P515" s="173" t="s">
        <v>20</v>
      </c>
      <c r="Q515" s="1" t="s">
        <v>1338</v>
      </c>
      <c r="R515" s="175">
        <v>1180</v>
      </c>
      <c r="S515">
        <v>236</v>
      </c>
    </row>
    <row r="516" spans="1:19" x14ac:dyDescent="0.25">
      <c r="A516" s="87">
        <v>2019</v>
      </c>
      <c r="B516" s="87">
        <v>7</v>
      </c>
      <c r="C516" s="173" t="s">
        <v>16</v>
      </c>
      <c r="D516" s="173" t="s">
        <v>17</v>
      </c>
      <c r="E516" s="173" t="s">
        <v>18</v>
      </c>
      <c r="F516" s="173" t="s">
        <v>16</v>
      </c>
      <c r="G516" s="87" t="b">
        <v>1</v>
      </c>
      <c r="H516" s="87" t="b">
        <v>0</v>
      </c>
      <c r="I516" s="87" t="b">
        <v>0</v>
      </c>
      <c r="J516" s="173" t="s">
        <v>468</v>
      </c>
      <c r="K516" s="174">
        <v>61590410000558</v>
      </c>
      <c r="L516" s="173" t="s">
        <v>922</v>
      </c>
      <c r="M516" s="173" t="s">
        <v>739</v>
      </c>
      <c r="N516" s="173" t="s">
        <v>55</v>
      </c>
      <c r="O516" s="87">
        <v>73</v>
      </c>
      <c r="P516" s="173" t="s">
        <v>26</v>
      </c>
      <c r="Q516" s="1" t="s">
        <v>1342</v>
      </c>
      <c r="R516" s="175">
        <v>16</v>
      </c>
      <c r="S516">
        <v>4</v>
      </c>
    </row>
    <row r="517" spans="1:19" x14ac:dyDescent="0.25">
      <c r="A517" s="87">
        <v>2019</v>
      </c>
      <c r="B517" s="87">
        <v>7</v>
      </c>
      <c r="C517" s="173" t="s">
        <v>16</v>
      </c>
      <c r="D517" s="173" t="s">
        <v>17</v>
      </c>
      <c r="E517" s="173" t="s">
        <v>18</v>
      </c>
      <c r="F517" s="173" t="s">
        <v>16</v>
      </c>
      <c r="G517" s="87" t="b">
        <v>1</v>
      </c>
      <c r="H517" s="87" t="b">
        <v>0</v>
      </c>
      <c r="I517" s="87" t="b">
        <v>0</v>
      </c>
      <c r="J517" s="173" t="s">
        <v>1330</v>
      </c>
      <c r="K517" s="174">
        <v>61590410001287</v>
      </c>
      <c r="L517" s="173" t="s">
        <v>923</v>
      </c>
      <c r="M517" s="173" t="s">
        <v>739</v>
      </c>
      <c r="N517" s="173" t="s">
        <v>55</v>
      </c>
      <c r="O517" s="87">
        <v>70</v>
      </c>
      <c r="P517" s="173" t="s">
        <v>20</v>
      </c>
      <c r="Q517" s="1" t="s">
        <v>1338</v>
      </c>
      <c r="R517" s="175">
        <v>550</v>
      </c>
      <c r="S517">
        <v>110</v>
      </c>
    </row>
    <row r="518" spans="1:19" x14ac:dyDescent="0.25">
      <c r="A518" s="87">
        <v>2019</v>
      </c>
      <c r="B518" s="87">
        <v>7</v>
      </c>
      <c r="C518" s="173" t="s">
        <v>16</v>
      </c>
      <c r="D518" s="173" t="s">
        <v>17</v>
      </c>
      <c r="E518" s="173" t="s">
        <v>18</v>
      </c>
      <c r="F518" s="173" t="s">
        <v>16</v>
      </c>
      <c r="G518" s="87" t="b">
        <v>1</v>
      </c>
      <c r="H518" s="87" t="b">
        <v>0</v>
      </c>
      <c r="I518" s="87" t="b">
        <v>0</v>
      </c>
      <c r="J518" s="173" t="s">
        <v>470</v>
      </c>
      <c r="K518" s="174">
        <v>61590410001287</v>
      </c>
      <c r="L518" s="173" t="s">
        <v>923</v>
      </c>
      <c r="M518" s="173" t="s">
        <v>739</v>
      </c>
      <c r="N518" s="173" t="s">
        <v>55</v>
      </c>
      <c r="O518" s="87">
        <v>70</v>
      </c>
      <c r="P518" s="173" t="s">
        <v>20</v>
      </c>
      <c r="Q518" s="1" t="s">
        <v>1338</v>
      </c>
      <c r="R518" s="175">
        <v>60</v>
      </c>
      <c r="S518">
        <v>12</v>
      </c>
    </row>
    <row r="519" spans="1:19" x14ac:dyDescent="0.25">
      <c r="A519" s="87">
        <v>2019</v>
      </c>
      <c r="B519" s="87">
        <v>7</v>
      </c>
      <c r="C519" s="173" t="s">
        <v>16</v>
      </c>
      <c r="D519" s="173" t="s">
        <v>17</v>
      </c>
      <c r="E519" s="173" t="s">
        <v>18</v>
      </c>
      <c r="F519" s="173" t="s">
        <v>16</v>
      </c>
      <c r="G519" s="87" t="b">
        <v>1</v>
      </c>
      <c r="H519" s="87" t="b">
        <v>0</v>
      </c>
      <c r="I519" s="87" t="b">
        <v>0</v>
      </c>
      <c r="J519" s="173" t="s">
        <v>1330</v>
      </c>
      <c r="K519" s="174">
        <v>61599908000158</v>
      </c>
      <c r="L519" s="173" t="s">
        <v>631</v>
      </c>
      <c r="M519" s="173" t="s">
        <v>29</v>
      </c>
      <c r="N519" s="173" t="s">
        <v>19</v>
      </c>
      <c r="O519" s="87">
        <v>62</v>
      </c>
      <c r="P519" s="173" t="s">
        <v>27</v>
      </c>
      <c r="Q519" s="1" t="s">
        <v>1343</v>
      </c>
      <c r="R519" s="175">
        <v>30</v>
      </c>
      <c r="S519">
        <v>30</v>
      </c>
    </row>
    <row r="520" spans="1:19" x14ac:dyDescent="0.25">
      <c r="A520" s="87">
        <v>2019</v>
      </c>
      <c r="B520" s="87">
        <v>7</v>
      </c>
      <c r="C520" s="173" t="s">
        <v>16</v>
      </c>
      <c r="D520" s="173" t="s">
        <v>17</v>
      </c>
      <c r="E520" s="173" t="s">
        <v>18</v>
      </c>
      <c r="F520" s="173" t="s">
        <v>16</v>
      </c>
      <c r="G520" s="87" t="b">
        <v>1</v>
      </c>
      <c r="H520" s="87" t="b">
        <v>0</v>
      </c>
      <c r="I520" s="87" t="b">
        <v>0</v>
      </c>
      <c r="J520" s="173" t="s">
        <v>1330</v>
      </c>
      <c r="K520" s="174">
        <v>61599908000158</v>
      </c>
      <c r="L520" s="173" t="s">
        <v>631</v>
      </c>
      <c r="M520" s="173" t="s">
        <v>29</v>
      </c>
      <c r="N520" s="173" t="s">
        <v>19</v>
      </c>
      <c r="O520" s="87">
        <v>64</v>
      </c>
      <c r="P520" s="173" t="s">
        <v>25</v>
      </c>
      <c r="Q520" s="1" t="s">
        <v>1344</v>
      </c>
      <c r="R520" s="175">
        <v>50</v>
      </c>
      <c r="S520">
        <v>50</v>
      </c>
    </row>
    <row r="521" spans="1:19" x14ac:dyDescent="0.25">
      <c r="A521" s="87">
        <v>2019</v>
      </c>
      <c r="B521" s="87">
        <v>7</v>
      </c>
      <c r="C521" s="173" t="s">
        <v>16</v>
      </c>
      <c r="D521" s="173" t="s">
        <v>17</v>
      </c>
      <c r="E521" s="173" t="s">
        <v>18</v>
      </c>
      <c r="F521" s="173" t="s">
        <v>16</v>
      </c>
      <c r="G521" s="87" t="b">
        <v>1</v>
      </c>
      <c r="H521" s="87" t="b">
        <v>0</v>
      </c>
      <c r="I521" s="87" t="b">
        <v>0</v>
      </c>
      <c r="J521" s="173" t="s">
        <v>463</v>
      </c>
      <c r="K521" s="174">
        <v>61599908000158</v>
      </c>
      <c r="L521" s="173" t="s">
        <v>631</v>
      </c>
      <c r="M521" s="173" t="s">
        <v>29</v>
      </c>
      <c r="N521" s="173" t="s">
        <v>19</v>
      </c>
      <c r="O521" s="87">
        <v>64</v>
      </c>
      <c r="P521" s="173" t="s">
        <v>25</v>
      </c>
      <c r="Q521" s="1" t="s">
        <v>1344</v>
      </c>
      <c r="R521" s="175">
        <v>80</v>
      </c>
      <c r="S521">
        <v>80</v>
      </c>
    </row>
    <row r="522" spans="1:19" x14ac:dyDescent="0.25">
      <c r="A522" s="87">
        <v>2019</v>
      </c>
      <c r="B522" s="87">
        <v>7</v>
      </c>
      <c r="C522" s="173" t="s">
        <v>16</v>
      </c>
      <c r="D522" s="173" t="s">
        <v>17</v>
      </c>
      <c r="E522" s="173" t="s">
        <v>18</v>
      </c>
      <c r="F522" s="173" t="s">
        <v>16</v>
      </c>
      <c r="G522" s="87" t="b">
        <v>1</v>
      </c>
      <c r="H522" s="87" t="b">
        <v>0</v>
      </c>
      <c r="I522" s="87" t="b">
        <v>0</v>
      </c>
      <c r="J522" s="173" t="s">
        <v>470</v>
      </c>
      <c r="K522" s="174">
        <v>61849980001087</v>
      </c>
      <c r="L522" s="173" t="s">
        <v>632</v>
      </c>
      <c r="M522" s="173" t="s">
        <v>29</v>
      </c>
      <c r="N522" s="173" t="s">
        <v>19</v>
      </c>
      <c r="O522" s="87">
        <v>70</v>
      </c>
      <c r="P522" s="173" t="s">
        <v>20</v>
      </c>
      <c r="Q522" s="1" t="s">
        <v>1338</v>
      </c>
      <c r="R522" s="175">
        <v>40</v>
      </c>
      <c r="S522">
        <v>8</v>
      </c>
    </row>
    <row r="523" spans="1:19" x14ac:dyDescent="0.25">
      <c r="A523" s="87">
        <v>2019</v>
      </c>
      <c r="B523" s="87">
        <v>7</v>
      </c>
      <c r="C523" s="173" t="s">
        <v>16</v>
      </c>
      <c r="D523" s="173" t="s">
        <v>17</v>
      </c>
      <c r="E523" s="173" t="s">
        <v>18</v>
      </c>
      <c r="F523" s="173" t="s">
        <v>16</v>
      </c>
      <c r="G523" s="87" t="b">
        <v>1</v>
      </c>
      <c r="H523" s="87" t="b">
        <v>0</v>
      </c>
      <c r="I523" s="87" t="b">
        <v>0</v>
      </c>
      <c r="J523" s="173" t="s">
        <v>463</v>
      </c>
      <c r="K523" s="174">
        <v>62106505000192</v>
      </c>
      <c r="L523" s="173" t="s">
        <v>633</v>
      </c>
      <c r="M523" s="173" t="s">
        <v>29</v>
      </c>
      <c r="N523" s="173" t="s">
        <v>19</v>
      </c>
      <c r="O523" s="87">
        <v>62</v>
      </c>
      <c r="P523" s="173" t="s">
        <v>27</v>
      </c>
      <c r="Q523" s="1" t="s">
        <v>1343</v>
      </c>
      <c r="R523" s="175">
        <v>2</v>
      </c>
      <c r="S523">
        <v>2</v>
      </c>
    </row>
    <row r="524" spans="1:19" x14ac:dyDescent="0.25">
      <c r="A524" s="87">
        <v>2019</v>
      </c>
      <c r="B524" s="87">
        <v>7</v>
      </c>
      <c r="C524" s="173" t="s">
        <v>16</v>
      </c>
      <c r="D524" s="173" t="s">
        <v>17</v>
      </c>
      <c r="E524" s="173" t="s">
        <v>18</v>
      </c>
      <c r="F524" s="173" t="s">
        <v>16</v>
      </c>
      <c r="G524" s="87" t="b">
        <v>1</v>
      </c>
      <c r="H524" s="87" t="b">
        <v>0</v>
      </c>
      <c r="I524" s="87" t="b">
        <v>0</v>
      </c>
      <c r="J524" s="173" t="s">
        <v>463</v>
      </c>
      <c r="K524" s="174">
        <v>62779145000190</v>
      </c>
      <c r="L524" s="173" t="s">
        <v>634</v>
      </c>
      <c r="M524" s="173" t="s">
        <v>29</v>
      </c>
      <c r="N524" s="173" t="s">
        <v>19</v>
      </c>
      <c r="O524" s="87">
        <v>64</v>
      </c>
      <c r="P524" s="173" t="s">
        <v>25</v>
      </c>
      <c r="Q524" s="1" t="s">
        <v>1344</v>
      </c>
      <c r="R524" s="175">
        <v>2</v>
      </c>
      <c r="S524">
        <v>2</v>
      </c>
    </row>
    <row r="525" spans="1:19" x14ac:dyDescent="0.25">
      <c r="A525" s="87">
        <v>2019</v>
      </c>
      <c r="B525" s="87">
        <v>7</v>
      </c>
      <c r="C525" s="173" t="s">
        <v>16</v>
      </c>
      <c r="D525" s="173" t="s">
        <v>17</v>
      </c>
      <c r="E525" s="173" t="s">
        <v>18</v>
      </c>
      <c r="F525" s="173" t="s">
        <v>16</v>
      </c>
      <c r="G525" s="87" t="b">
        <v>1</v>
      </c>
      <c r="H525" s="87" t="b">
        <v>0</v>
      </c>
      <c r="I525" s="87" t="b">
        <v>0</v>
      </c>
      <c r="J525" s="173" t="s">
        <v>464</v>
      </c>
      <c r="K525" s="174">
        <v>63326243000487</v>
      </c>
      <c r="L525" s="173" t="s">
        <v>924</v>
      </c>
      <c r="M525" s="173" t="s">
        <v>81</v>
      </c>
      <c r="N525" s="173" t="s">
        <v>82</v>
      </c>
      <c r="O525" s="87">
        <v>70</v>
      </c>
      <c r="P525" s="173" t="s">
        <v>20</v>
      </c>
      <c r="Q525" s="1" t="s">
        <v>1346</v>
      </c>
      <c r="R525" s="175">
        <v>2.5</v>
      </c>
      <c r="S525">
        <v>1</v>
      </c>
    </row>
    <row r="526" spans="1:19" x14ac:dyDescent="0.25">
      <c r="A526" s="87">
        <v>2019</v>
      </c>
      <c r="B526" s="87">
        <v>7</v>
      </c>
      <c r="C526" s="173" t="s">
        <v>16</v>
      </c>
      <c r="D526" s="173" t="s">
        <v>17</v>
      </c>
      <c r="E526" s="173" t="s">
        <v>18</v>
      </c>
      <c r="F526" s="173" t="s">
        <v>16</v>
      </c>
      <c r="G526" s="87" t="b">
        <v>1</v>
      </c>
      <c r="H526" s="87" t="b">
        <v>0</v>
      </c>
      <c r="I526" s="87" t="b">
        <v>0</v>
      </c>
      <c r="J526" s="173" t="s">
        <v>477</v>
      </c>
      <c r="K526" s="174">
        <v>68709211000212</v>
      </c>
      <c r="L526" s="173" t="s">
        <v>1066</v>
      </c>
      <c r="M526" s="173" t="s">
        <v>92</v>
      </c>
      <c r="N526" s="173" t="s">
        <v>61</v>
      </c>
      <c r="O526" s="87">
        <v>70</v>
      </c>
      <c r="P526" s="173" t="s">
        <v>20</v>
      </c>
      <c r="Q526" s="1" t="s">
        <v>1345</v>
      </c>
      <c r="R526" s="175">
        <v>260</v>
      </c>
      <c r="S526">
        <v>26</v>
      </c>
    </row>
    <row r="527" spans="1:19" x14ac:dyDescent="0.25">
      <c r="A527" s="87">
        <v>2019</v>
      </c>
      <c r="B527" s="87">
        <v>7</v>
      </c>
      <c r="C527" s="173" t="s">
        <v>16</v>
      </c>
      <c r="D527" s="173" t="s">
        <v>17</v>
      </c>
      <c r="E527" s="173" t="s">
        <v>18</v>
      </c>
      <c r="F527" s="173" t="s">
        <v>16</v>
      </c>
      <c r="G527" s="87" t="b">
        <v>1</v>
      </c>
      <c r="H527" s="87" t="b">
        <v>0</v>
      </c>
      <c r="I527" s="87" t="b">
        <v>0</v>
      </c>
      <c r="J527" s="173" t="s">
        <v>477</v>
      </c>
      <c r="K527" s="174">
        <v>68709211000212</v>
      </c>
      <c r="L527" s="173" t="s">
        <v>1066</v>
      </c>
      <c r="M527" s="173" t="s">
        <v>92</v>
      </c>
      <c r="N527" s="173" t="s">
        <v>61</v>
      </c>
      <c r="O527" s="87">
        <v>70</v>
      </c>
      <c r="P527" s="173" t="s">
        <v>20</v>
      </c>
      <c r="Q527" s="1" t="s">
        <v>1338</v>
      </c>
      <c r="R527" s="175">
        <v>40</v>
      </c>
      <c r="S527">
        <v>8</v>
      </c>
    </row>
    <row r="528" spans="1:19" x14ac:dyDescent="0.25">
      <c r="A528" s="87">
        <v>2019</v>
      </c>
      <c r="B528" s="87">
        <v>7</v>
      </c>
      <c r="C528" s="173" t="s">
        <v>16</v>
      </c>
      <c r="D528" s="173" t="s">
        <v>17</v>
      </c>
      <c r="E528" s="173" t="s">
        <v>18</v>
      </c>
      <c r="F528" s="173" t="s">
        <v>16</v>
      </c>
      <c r="G528" s="87" t="b">
        <v>1</v>
      </c>
      <c r="H528" s="87" t="b">
        <v>0</v>
      </c>
      <c r="I528" s="87" t="b">
        <v>0</v>
      </c>
      <c r="J528" s="173" t="s">
        <v>450</v>
      </c>
      <c r="K528" s="174">
        <v>72101124000506</v>
      </c>
      <c r="L528" s="173" t="s">
        <v>1126</v>
      </c>
      <c r="M528" s="173" t="s">
        <v>131</v>
      </c>
      <c r="N528" s="173" t="s">
        <v>61</v>
      </c>
      <c r="O528" s="87">
        <v>73</v>
      </c>
      <c r="P528" s="173" t="s">
        <v>26</v>
      </c>
      <c r="Q528" s="1" t="s">
        <v>1342</v>
      </c>
      <c r="R528" s="175">
        <v>140</v>
      </c>
      <c r="S528">
        <v>35</v>
      </c>
    </row>
    <row r="529" spans="1:19" x14ac:dyDescent="0.25">
      <c r="A529" s="87">
        <v>2019</v>
      </c>
      <c r="B529" s="87">
        <v>7</v>
      </c>
      <c r="C529" s="173" t="s">
        <v>16</v>
      </c>
      <c r="D529" s="173" t="s">
        <v>17</v>
      </c>
      <c r="E529" s="173" t="s">
        <v>18</v>
      </c>
      <c r="F529" s="173" t="s">
        <v>16</v>
      </c>
      <c r="G529" s="87" t="b">
        <v>1</v>
      </c>
      <c r="H529" s="87" t="b">
        <v>0</v>
      </c>
      <c r="I529" s="87" t="b">
        <v>0</v>
      </c>
      <c r="J529" s="173" t="s">
        <v>450</v>
      </c>
      <c r="K529" s="174">
        <v>72101124000506</v>
      </c>
      <c r="L529" s="173" t="s">
        <v>1126</v>
      </c>
      <c r="M529" s="173" t="s">
        <v>131</v>
      </c>
      <c r="N529" s="173" t="s">
        <v>61</v>
      </c>
      <c r="O529" s="87">
        <v>73</v>
      </c>
      <c r="P529" s="173" t="s">
        <v>26</v>
      </c>
      <c r="Q529" s="1" t="s">
        <v>1340</v>
      </c>
      <c r="R529" s="175">
        <v>1</v>
      </c>
      <c r="S529">
        <v>1</v>
      </c>
    </row>
    <row r="530" spans="1:19" x14ac:dyDescent="0.25">
      <c r="A530" s="87">
        <v>2019</v>
      </c>
      <c r="B530" s="87">
        <v>7</v>
      </c>
      <c r="C530" s="173" t="s">
        <v>16</v>
      </c>
      <c r="D530" s="173" t="s">
        <v>17</v>
      </c>
      <c r="E530" s="173" t="s">
        <v>18</v>
      </c>
      <c r="F530" s="173" t="s">
        <v>16</v>
      </c>
      <c r="G530" s="87" t="b">
        <v>1</v>
      </c>
      <c r="H530" s="87" t="b">
        <v>0</v>
      </c>
      <c r="I530" s="87" t="b">
        <v>0</v>
      </c>
      <c r="J530" s="173" t="s">
        <v>477</v>
      </c>
      <c r="K530" s="174">
        <v>72101124000506</v>
      </c>
      <c r="L530" s="173" t="s">
        <v>1126</v>
      </c>
      <c r="M530" s="173" t="s">
        <v>131</v>
      </c>
      <c r="N530" s="173" t="s">
        <v>61</v>
      </c>
      <c r="O530" s="87">
        <v>73</v>
      </c>
      <c r="P530" s="173" t="s">
        <v>26</v>
      </c>
      <c r="Q530" s="1" t="s">
        <v>1339</v>
      </c>
      <c r="R530" s="175">
        <v>8</v>
      </c>
      <c r="S530">
        <v>4</v>
      </c>
    </row>
    <row r="531" spans="1:19" x14ac:dyDescent="0.25">
      <c r="A531" s="87">
        <v>2019</v>
      </c>
      <c r="B531" s="87">
        <v>7</v>
      </c>
      <c r="C531" s="173" t="s">
        <v>16</v>
      </c>
      <c r="D531" s="173" t="s">
        <v>17</v>
      </c>
      <c r="E531" s="173" t="s">
        <v>18</v>
      </c>
      <c r="F531" s="173" t="s">
        <v>16</v>
      </c>
      <c r="G531" s="87" t="b">
        <v>1</v>
      </c>
      <c r="H531" s="87" t="b">
        <v>0</v>
      </c>
      <c r="I531" s="87" t="b">
        <v>0</v>
      </c>
      <c r="J531" s="173" t="s">
        <v>451</v>
      </c>
      <c r="K531" s="174">
        <v>72101124000506</v>
      </c>
      <c r="L531" s="173" t="s">
        <v>1126</v>
      </c>
      <c r="M531" s="173" t="s">
        <v>131</v>
      </c>
      <c r="N531" s="173" t="s">
        <v>61</v>
      </c>
      <c r="O531" s="87">
        <v>73</v>
      </c>
      <c r="P531" s="173" t="s">
        <v>26</v>
      </c>
      <c r="Q531" s="1" t="s">
        <v>1339</v>
      </c>
      <c r="R531" s="175">
        <v>4</v>
      </c>
      <c r="S531">
        <v>2</v>
      </c>
    </row>
    <row r="532" spans="1:19" x14ac:dyDescent="0.25">
      <c r="A532" s="87">
        <v>2019</v>
      </c>
      <c r="B532" s="87">
        <v>7</v>
      </c>
      <c r="C532" s="173" t="s">
        <v>16</v>
      </c>
      <c r="D532" s="173" t="s">
        <v>17</v>
      </c>
      <c r="E532" s="173" t="s">
        <v>18</v>
      </c>
      <c r="F532" s="173" t="s">
        <v>16</v>
      </c>
      <c r="G532" s="87" t="b">
        <v>1</v>
      </c>
      <c r="H532" s="87" t="b">
        <v>0</v>
      </c>
      <c r="I532" s="87" t="b">
        <v>0</v>
      </c>
      <c r="J532" s="173" t="s">
        <v>451</v>
      </c>
      <c r="K532" s="174">
        <v>72101124000506</v>
      </c>
      <c r="L532" s="173" t="s">
        <v>1126</v>
      </c>
      <c r="M532" s="173" t="s">
        <v>131</v>
      </c>
      <c r="N532" s="173" t="s">
        <v>61</v>
      </c>
      <c r="O532" s="87">
        <v>73</v>
      </c>
      <c r="P532" s="173" t="s">
        <v>26</v>
      </c>
      <c r="Q532" s="1" t="s">
        <v>1342</v>
      </c>
      <c r="R532" s="175">
        <v>76</v>
      </c>
      <c r="S532">
        <v>19</v>
      </c>
    </row>
    <row r="533" spans="1:19" x14ac:dyDescent="0.25">
      <c r="A533" s="87">
        <v>2019</v>
      </c>
      <c r="B533" s="87">
        <v>7</v>
      </c>
      <c r="C533" s="173" t="s">
        <v>16</v>
      </c>
      <c r="D533" s="173" t="s">
        <v>17</v>
      </c>
      <c r="E533" s="173" t="s">
        <v>18</v>
      </c>
      <c r="F533" s="173" t="s">
        <v>16</v>
      </c>
      <c r="G533" s="87" t="b">
        <v>1</v>
      </c>
      <c r="H533" s="87" t="b">
        <v>0</v>
      </c>
      <c r="I533" s="87" t="b">
        <v>0</v>
      </c>
      <c r="J533" s="173" t="s">
        <v>1512</v>
      </c>
      <c r="K533" s="174">
        <v>73696718000219</v>
      </c>
      <c r="L533" s="173" t="s">
        <v>1127</v>
      </c>
      <c r="M533" s="173" t="s">
        <v>131</v>
      </c>
      <c r="N533" s="173" t="s">
        <v>61</v>
      </c>
      <c r="O533" s="87">
        <v>62</v>
      </c>
      <c r="P533" s="173" t="s">
        <v>27</v>
      </c>
      <c r="Q533" s="1" t="s">
        <v>1343</v>
      </c>
      <c r="R533" s="175">
        <v>9</v>
      </c>
      <c r="S533">
        <v>9</v>
      </c>
    </row>
    <row r="534" spans="1:19" x14ac:dyDescent="0.25">
      <c r="A534" s="87">
        <v>2019</v>
      </c>
      <c r="B534" s="87">
        <v>7</v>
      </c>
      <c r="C534" s="173" t="s">
        <v>16</v>
      </c>
      <c r="D534" s="173" t="s">
        <v>17</v>
      </c>
      <c r="E534" s="173" t="s">
        <v>18</v>
      </c>
      <c r="F534" s="173" t="s">
        <v>16</v>
      </c>
      <c r="G534" s="87" t="b">
        <v>1</v>
      </c>
      <c r="H534" s="87" t="b">
        <v>0</v>
      </c>
      <c r="I534" s="87" t="b">
        <v>0</v>
      </c>
      <c r="J534" s="173" t="s">
        <v>455</v>
      </c>
      <c r="K534" s="174">
        <v>73696718000219</v>
      </c>
      <c r="L534" s="173" t="s">
        <v>1127</v>
      </c>
      <c r="M534" s="173" t="s">
        <v>131</v>
      </c>
      <c r="N534" s="173" t="s">
        <v>61</v>
      </c>
      <c r="O534" s="87">
        <v>64</v>
      </c>
      <c r="P534" s="173" t="s">
        <v>25</v>
      </c>
      <c r="Q534" s="1" t="s">
        <v>1344</v>
      </c>
      <c r="R534" s="175">
        <v>3</v>
      </c>
      <c r="S534">
        <v>3</v>
      </c>
    </row>
    <row r="535" spans="1:19" x14ac:dyDescent="0.25">
      <c r="A535" s="87">
        <v>2019</v>
      </c>
      <c r="B535" s="87">
        <v>7</v>
      </c>
      <c r="C535" s="173" t="s">
        <v>16</v>
      </c>
      <c r="D535" s="173" t="s">
        <v>17</v>
      </c>
      <c r="E535" s="173" t="s">
        <v>18</v>
      </c>
      <c r="F535" s="173" t="s">
        <v>16</v>
      </c>
      <c r="G535" s="87" t="b">
        <v>1</v>
      </c>
      <c r="H535" s="87" t="b">
        <v>0</v>
      </c>
      <c r="I535" s="87" t="b">
        <v>0</v>
      </c>
      <c r="J535" s="173" t="s">
        <v>452</v>
      </c>
      <c r="K535" s="174">
        <v>73863342000109</v>
      </c>
      <c r="L535" s="173" t="s">
        <v>978</v>
      </c>
      <c r="M535" s="173" t="s">
        <v>121</v>
      </c>
      <c r="N535" s="173" t="s">
        <v>57</v>
      </c>
      <c r="O535" s="87">
        <v>70</v>
      </c>
      <c r="P535" s="173" t="s">
        <v>20</v>
      </c>
      <c r="Q535" s="1" t="s">
        <v>1345</v>
      </c>
      <c r="R535" s="175">
        <v>10</v>
      </c>
      <c r="S535">
        <v>1</v>
      </c>
    </row>
    <row r="536" spans="1:19" x14ac:dyDescent="0.25">
      <c r="A536" s="87">
        <v>2019</v>
      </c>
      <c r="B536" s="87">
        <v>7</v>
      </c>
      <c r="C536" s="173" t="s">
        <v>16</v>
      </c>
      <c r="D536" s="173" t="s">
        <v>17</v>
      </c>
      <c r="E536" s="173" t="s">
        <v>18</v>
      </c>
      <c r="F536" s="173" t="s">
        <v>16</v>
      </c>
      <c r="G536" s="87" t="b">
        <v>1</v>
      </c>
      <c r="H536" s="87" t="b">
        <v>0</v>
      </c>
      <c r="I536" s="87" t="b">
        <v>0</v>
      </c>
      <c r="J536" s="173" t="s">
        <v>464</v>
      </c>
      <c r="K536" s="174">
        <v>74031865000151</v>
      </c>
      <c r="L536" s="173" t="s">
        <v>926</v>
      </c>
      <c r="M536" s="173" t="s">
        <v>76</v>
      </c>
      <c r="N536" s="173" t="s">
        <v>77</v>
      </c>
      <c r="O536" s="87">
        <v>62</v>
      </c>
      <c r="P536" s="173" t="s">
        <v>27</v>
      </c>
      <c r="Q536" s="1" t="s">
        <v>1343</v>
      </c>
      <c r="R536" s="175">
        <v>420</v>
      </c>
      <c r="S536">
        <v>420</v>
      </c>
    </row>
    <row r="537" spans="1:19" x14ac:dyDescent="0.25">
      <c r="A537" s="87">
        <v>2019</v>
      </c>
      <c r="B537" s="87">
        <v>7</v>
      </c>
      <c r="C537" s="173" t="s">
        <v>16</v>
      </c>
      <c r="D537" s="173" t="s">
        <v>17</v>
      </c>
      <c r="E537" s="173" t="s">
        <v>18</v>
      </c>
      <c r="F537" s="173" t="s">
        <v>16</v>
      </c>
      <c r="G537" s="87" t="b">
        <v>1</v>
      </c>
      <c r="H537" s="87" t="b">
        <v>0</v>
      </c>
      <c r="I537" s="87" t="b">
        <v>0</v>
      </c>
      <c r="J537" s="173" t="s">
        <v>460</v>
      </c>
      <c r="K537" s="174">
        <v>74031865000151</v>
      </c>
      <c r="L537" s="173" t="s">
        <v>926</v>
      </c>
      <c r="M537" s="173" t="s">
        <v>76</v>
      </c>
      <c r="N537" s="173" t="s">
        <v>77</v>
      </c>
      <c r="O537" s="87">
        <v>64</v>
      </c>
      <c r="P537" s="173" t="s">
        <v>25</v>
      </c>
      <c r="Q537" s="1" t="s">
        <v>1344</v>
      </c>
      <c r="R537" s="175">
        <v>100</v>
      </c>
      <c r="S537">
        <v>100</v>
      </c>
    </row>
    <row r="538" spans="1:19" x14ac:dyDescent="0.25">
      <c r="A538" s="87">
        <v>2019</v>
      </c>
      <c r="B538" s="87">
        <v>7</v>
      </c>
      <c r="C538" s="173" t="s">
        <v>16</v>
      </c>
      <c r="D538" s="173" t="s">
        <v>17</v>
      </c>
      <c r="E538" s="173" t="s">
        <v>18</v>
      </c>
      <c r="F538" s="173" t="s">
        <v>16</v>
      </c>
      <c r="G538" s="87" t="b">
        <v>1</v>
      </c>
      <c r="H538" s="87" t="b">
        <v>0</v>
      </c>
      <c r="I538" s="87" t="b">
        <v>0</v>
      </c>
      <c r="J538" s="173" t="s">
        <v>452</v>
      </c>
      <c r="K538" s="174">
        <v>75222224001895</v>
      </c>
      <c r="L538" s="173" t="s">
        <v>981</v>
      </c>
      <c r="M538" s="173" t="s">
        <v>121</v>
      </c>
      <c r="N538" s="173" t="s">
        <v>57</v>
      </c>
      <c r="O538" s="87">
        <v>70</v>
      </c>
      <c r="P538" s="173" t="s">
        <v>20</v>
      </c>
      <c r="Q538" s="1" t="s">
        <v>1338</v>
      </c>
      <c r="R538" s="175">
        <v>600</v>
      </c>
      <c r="S538">
        <v>120</v>
      </c>
    </row>
    <row r="539" spans="1:19" x14ac:dyDescent="0.25">
      <c r="A539" s="87">
        <v>2019</v>
      </c>
      <c r="B539" s="87">
        <v>7</v>
      </c>
      <c r="C539" s="173" t="s">
        <v>16</v>
      </c>
      <c r="D539" s="173" t="s">
        <v>17</v>
      </c>
      <c r="E539" s="173" t="s">
        <v>18</v>
      </c>
      <c r="F539" s="173" t="s">
        <v>16</v>
      </c>
      <c r="G539" s="87" t="b">
        <v>1</v>
      </c>
      <c r="H539" s="87" t="b">
        <v>0</v>
      </c>
      <c r="I539" s="87" t="b">
        <v>0</v>
      </c>
      <c r="J539" s="173" t="s">
        <v>452</v>
      </c>
      <c r="K539" s="174">
        <v>76555069000143</v>
      </c>
      <c r="L539" s="173" t="s">
        <v>983</v>
      </c>
      <c r="M539" s="173" t="s">
        <v>94</v>
      </c>
      <c r="N539" s="173" t="s">
        <v>57</v>
      </c>
      <c r="O539" s="87">
        <v>62</v>
      </c>
      <c r="P539" s="173" t="s">
        <v>27</v>
      </c>
      <c r="Q539" s="1" t="s">
        <v>1343</v>
      </c>
      <c r="R539" s="175">
        <v>2</v>
      </c>
      <c r="S539">
        <v>2</v>
      </c>
    </row>
    <row r="540" spans="1:19" x14ac:dyDescent="0.25">
      <c r="A540" s="87">
        <v>2019</v>
      </c>
      <c r="B540" s="87">
        <v>7</v>
      </c>
      <c r="C540" s="173" t="s">
        <v>16</v>
      </c>
      <c r="D540" s="173" t="s">
        <v>17</v>
      </c>
      <c r="E540" s="173" t="s">
        <v>18</v>
      </c>
      <c r="F540" s="173" t="s">
        <v>16</v>
      </c>
      <c r="G540" s="87" t="b">
        <v>1</v>
      </c>
      <c r="H540" s="87" t="b">
        <v>0</v>
      </c>
      <c r="I540" s="87" t="b">
        <v>0</v>
      </c>
      <c r="J540" s="173" t="s">
        <v>464</v>
      </c>
      <c r="K540" s="174">
        <v>76562198000169</v>
      </c>
      <c r="L540" s="173" t="s">
        <v>984</v>
      </c>
      <c r="M540" s="173" t="s">
        <v>94</v>
      </c>
      <c r="N540" s="173" t="s">
        <v>57</v>
      </c>
      <c r="O540" s="87">
        <v>70</v>
      </c>
      <c r="P540" s="173" t="s">
        <v>20</v>
      </c>
      <c r="Q540" s="1" t="s">
        <v>1346</v>
      </c>
      <c r="R540" s="175">
        <v>2.5</v>
      </c>
      <c r="S540">
        <v>1</v>
      </c>
    </row>
    <row r="541" spans="1:19" x14ac:dyDescent="0.25">
      <c r="A541" s="87">
        <v>2019</v>
      </c>
      <c r="B541" s="87">
        <v>7</v>
      </c>
      <c r="C541" s="173" t="s">
        <v>16</v>
      </c>
      <c r="D541" s="173" t="s">
        <v>17</v>
      </c>
      <c r="E541" s="173" t="s">
        <v>18</v>
      </c>
      <c r="F541" s="173" t="s">
        <v>16</v>
      </c>
      <c r="G541" s="87" t="b">
        <v>1</v>
      </c>
      <c r="H541" s="87" t="b">
        <v>0</v>
      </c>
      <c r="I541" s="87" t="b">
        <v>0</v>
      </c>
      <c r="J541" s="173" t="s">
        <v>452</v>
      </c>
      <c r="K541" s="174">
        <v>76562198000169</v>
      </c>
      <c r="L541" s="173" t="s">
        <v>984</v>
      </c>
      <c r="M541" s="173" t="s">
        <v>94</v>
      </c>
      <c r="N541" s="173" t="s">
        <v>57</v>
      </c>
      <c r="O541" s="87">
        <v>70</v>
      </c>
      <c r="P541" s="173" t="s">
        <v>20</v>
      </c>
      <c r="Q541" s="1" t="s">
        <v>1338</v>
      </c>
      <c r="R541" s="175">
        <v>25</v>
      </c>
      <c r="S541">
        <v>5</v>
      </c>
    </row>
    <row r="542" spans="1:19" x14ac:dyDescent="0.25">
      <c r="A542" s="87">
        <v>2019</v>
      </c>
      <c r="B542" s="87">
        <v>7</v>
      </c>
      <c r="C542" s="173" t="s">
        <v>16</v>
      </c>
      <c r="D542" s="173" t="s">
        <v>17</v>
      </c>
      <c r="E542" s="173" t="s">
        <v>18</v>
      </c>
      <c r="F542" s="173" t="s">
        <v>16</v>
      </c>
      <c r="G542" s="87" t="b">
        <v>1</v>
      </c>
      <c r="H542" s="87" t="b">
        <v>0</v>
      </c>
      <c r="I542" s="87" t="b">
        <v>0</v>
      </c>
      <c r="J542" s="173" t="s">
        <v>470</v>
      </c>
      <c r="K542" s="174">
        <v>76591569000130</v>
      </c>
      <c r="L542" s="173" t="s">
        <v>985</v>
      </c>
      <c r="M542" s="173" t="s">
        <v>94</v>
      </c>
      <c r="N542" s="173" t="s">
        <v>57</v>
      </c>
      <c r="O542" s="87">
        <v>70</v>
      </c>
      <c r="P542" s="173" t="s">
        <v>20</v>
      </c>
      <c r="Q542" s="1" t="s">
        <v>1338</v>
      </c>
      <c r="R542" s="175">
        <v>200</v>
      </c>
      <c r="S542">
        <v>40</v>
      </c>
    </row>
    <row r="543" spans="1:19" x14ac:dyDescent="0.25">
      <c r="A543" s="87">
        <v>2019</v>
      </c>
      <c r="B543" s="87">
        <v>7</v>
      </c>
      <c r="C543" s="173" t="s">
        <v>16</v>
      </c>
      <c r="D543" s="173" t="s">
        <v>17</v>
      </c>
      <c r="E543" s="173" t="s">
        <v>18</v>
      </c>
      <c r="F543" s="173" t="s">
        <v>16</v>
      </c>
      <c r="G543" s="87" t="b">
        <v>1</v>
      </c>
      <c r="H543" s="87" t="b">
        <v>0</v>
      </c>
      <c r="I543" s="87" t="b">
        <v>0</v>
      </c>
      <c r="J543" s="173" t="s">
        <v>449</v>
      </c>
      <c r="K543" s="174">
        <v>76591569000130</v>
      </c>
      <c r="L543" s="173" t="s">
        <v>985</v>
      </c>
      <c r="M543" s="173" t="s">
        <v>94</v>
      </c>
      <c r="N543" s="173" t="s">
        <v>57</v>
      </c>
      <c r="O543" s="87">
        <v>73</v>
      </c>
      <c r="P543" s="173" t="s">
        <v>26</v>
      </c>
      <c r="Q543" s="1" t="s">
        <v>1342</v>
      </c>
      <c r="R543" s="175">
        <v>24</v>
      </c>
      <c r="S543">
        <v>6</v>
      </c>
    </row>
    <row r="544" spans="1:19" x14ac:dyDescent="0.25">
      <c r="A544" s="87">
        <v>2019</v>
      </c>
      <c r="B544" s="87">
        <v>7</v>
      </c>
      <c r="C544" s="173" t="s">
        <v>16</v>
      </c>
      <c r="D544" s="173" t="s">
        <v>17</v>
      </c>
      <c r="E544" s="173" t="s">
        <v>18</v>
      </c>
      <c r="F544" s="173" t="s">
        <v>16</v>
      </c>
      <c r="G544" s="87" t="b">
        <v>1</v>
      </c>
      <c r="H544" s="87" t="b">
        <v>0</v>
      </c>
      <c r="I544" s="87" t="b">
        <v>0</v>
      </c>
      <c r="J544" s="173" t="s">
        <v>452</v>
      </c>
      <c r="K544" s="174">
        <v>76659820002367</v>
      </c>
      <c r="L544" s="173" t="s">
        <v>986</v>
      </c>
      <c r="M544" s="173" t="s">
        <v>94</v>
      </c>
      <c r="N544" s="173" t="s">
        <v>57</v>
      </c>
      <c r="O544" s="87">
        <v>70</v>
      </c>
      <c r="P544" s="173" t="s">
        <v>20</v>
      </c>
      <c r="Q544" s="1" t="s">
        <v>1338</v>
      </c>
      <c r="R544" s="175">
        <v>40</v>
      </c>
      <c r="S544">
        <v>8</v>
      </c>
    </row>
    <row r="545" spans="1:19" x14ac:dyDescent="0.25">
      <c r="A545" s="87">
        <v>2019</v>
      </c>
      <c r="B545" s="87">
        <v>7</v>
      </c>
      <c r="C545" s="173" t="s">
        <v>16</v>
      </c>
      <c r="D545" s="173" t="s">
        <v>17</v>
      </c>
      <c r="E545" s="173" t="s">
        <v>18</v>
      </c>
      <c r="F545" s="173" t="s">
        <v>16</v>
      </c>
      <c r="G545" s="87" t="b">
        <v>1</v>
      </c>
      <c r="H545" s="87" t="b">
        <v>0</v>
      </c>
      <c r="I545" s="87" t="b">
        <v>0</v>
      </c>
      <c r="J545" s="173" t="s">
        <v>492</v>
      </c>
      <c r="K545" s="174">
        <v>77265361000194</v>
      </c>
      <c r="L545" s="173" t="s">
        <v>987</v>
      </c>
      <c r="M545" s="173" t="s">
        <v>988</v>
      </c>
      <c r="N545" s="173" t="s">
        <v>57</v>
      </c>
      <c r="O545" s="87">
        <v>70</v>
      </c>
      <c r="P545" s="173" t="s">
        <v>20</v>
      </c>
      <c r="Q545" s="1" t="s">
        <v>1338</v>
      </c>
      <c r="R545" s="175">
        <v>100</v>
      </c>
      <c r="S545">
        <v>20</v>
      </c>
    </row>
    <row r="546" spans="1:19" x14ac:dyDescent="0.25">
      <c r="A546" s="87">
        <v>2019</v>
      </c>
      <c r="B546" s="87">
        <v>7</v>
      </c>
      <c r="C546" s="173" t="s">
        <v>16</v>
      </c>
      <c r="D546" s="173" t="s">
        <v>17</v>
      </c>
      <c r="E546" s="173" t="s">
        <v>18</v>
      </c>
      <c r="F546" s="173" t="s">
        <v>16</v>
      </c>
      <c r="G546" s="87" t="b">
        <v>1</v>
      </c>
      <c r="H546" s="87" t="b">
        <v>0</v>
      </c>
      <c r="I546" s="87" t="b">
        <v>0</v>
      </c>
      <c r="J546" s="173" t="s">
        <v>464</v>
      </c>
      <c r="K546" s="174">
        <v>77858611001414</v>
      </c>
      <c r="L546" s="173" t="s">
        <v>991</v>
      </c>
      <c r="M546" s="173" t="s">
        <v>969</v>
      </c>
      <c r="N546" s="173" t="s">
        <v>68</v>
      </c>
      <c r="O546" s="87">
        <v>70</v>
      </c>
      <c r="P546" s="173" t="s">
        <v>20</v>
      </c>
      <c r="Q546" s="1" t="s">
        <v>1338</v>
      </c>
      <c r="R546" s="175">
        <v>200</v>
      </c>
      <c r="S546">
        <v>40</v>
      </c>
    </row>
    <row r="547" spans="1:19" x14ac:dyDescent="0.25">
      <c r="A547" s="87">
        <v>2019</v>
      </c>
      <c r="B547" s="87">
        <v>7</v>
      </c>
      <c r="C547" s="173" t="s">
        <v>16</v>
      </c>
      <c r="D547" s="173" t="s">
        <v>17</v>
      </c>
      <c r="E547" s="173" t="s">
        <v>18</v>
      </c>
      <c r="F547" s="173" t="s">
        <v>16</v>
      </c>
      <c r="G547" s="87" t="b">
        <v>1</v>
      </c>
      <c r="H547" s="87" t="b">
        <v>0</v>
      </c>
      <c r="I547" s="87" t="b">
        <v>0</v>
      </c>
      <c r="J547" s="173" t="s">
        <v>492</v>
      </c>
      <c r="K547" s="174">
        <v>80490618000116</v>
      </c>
      <c r="L547" s="173" t="s">
        <v>997</v>
      </c>
      <c r="M547" s="173" t="s">
        <v>998</v>
      </c>
      <c r="N547" s="173" t="s">
        <v>68</v>
      </c>
      <c r="O547" s="87">
        <v>70</v>
      </c>
      <c r="P547" s="173" t="s">
        <v>20</v>
      </c>
      <c r="Q547" s="1" t="s">
        <v>1338</v>
      </c>
      <c r="R547" s="175">
        <v>80</v>
      </c>
      <c r="S547">
        <v>16</v>
      </c>
    </row>
    <row r="548" spans="1:19" x14ac:dyDescent="0.25">
      <c r="A548" s="87">
        <v>2019</v>
      </c>
      <c r="B548" s="87">
        <v>7</v>
      </c>
      <c r="C548" s="173" t="s">
        <v>16</v>
      </c>
      <c r="D548" s="173" t="s">
        <v>17</v>
      </c>
      <c r="E548" s="173" t="s">
        <v>18</v>
      </c>
      <c r="F548" s="173" t="s">
        <v>16</v>
      </c>
      <c r="G548" s="87" t="b">
        <v>1</v>
      </c>
      <c r="H548" s="87" t="b">
        <v>0</v>
      </c>
      <c r="I548" s="87" t="b">
        <v>0</v>
      </c>
      <c r="J548" s="173" t="s">
        <v>449</v>
      </c>
      <c r="K548" s="174">
        <v>80673411000187</v>
      </c>
      <c r="L548" s="173" t="s">
        <v>999</v>
      </c>
      <c r="M548" s="173" t="s">
        <v>930</v>
      </c>
      <c r="N548" s="173" t="s">
        <v>68</v>
      </c>
      <c r="O548" s="87">
        <v>66</v>
      </c>
      <c r="P548" s="173" t="s">
        <v>28</v>
      </c>
      <c r="Q548" s="1" t="s">
        <v>1341</v>
      </c>
      <c r="R548" s="175">
        <v>74</v>
      </c>
      <c r="S548">
        <v>74</v>
      </c>
    </row>
    <row r="549" spans="1:19" x14ac:dyDescent="0.25">
      <c r="A549" s="87">
        <v>2019</v>
      </c>
      <c r="B549" s="87">
        <v>7</v>
      </c>
      <c r="C549" s="173" t="s">
        <v>16</v>
      </c>
      <c r="D549" s="173" t="s">
        <v>17</v>
      </c>
      <c r="E549" s="173" t="s">
        <v>18</v>
      </c>
      <c r="F549" s="173" t="s">
        <v>16</v>
      </c>
      <c r="G549" s="87" t="b">
        <v>1</v>
      </c>
      <c r="H549" s="87" t="b">
        <v>0</v>
      </c>
      <c r="I549" s="87" t="b">
        <v>0</v>
      </c>
      <c r="J549" s="173" t="s">
        <v>449</v>
      </c>
      <c r="K549" s="174">
        <v>80673411000187</v>
      </c>
      <c r="L549" s="173" t="s">
        <v>999</v>
      </c>
      <c r="M549" s="173" t="s">
        <v>930</v>
      </c>
      <c r="N549" s="173" t="s">
        <v>68</v>
      </c>
      <c r="O549" s="87">
        <v>70</v>
      </c>
      <c r="P549" s="173" t="s">
        <v>20</v>
      </c>
      <c r="Q549" s="1" t="s">
        <v>1345</v>
      </c>
      <c r="R549" s="175">
        <v>240</v>
      </c>
      <c r="S549">
        <v>24</v>
      </c>
    </row>
    <row r="550" spans="1:19" x14ac:dyDescent="0.25">
      <c r="A550" s="87">
        <v>2019</v>
      </c>
      <c r="B550" s="87">
        <v>7</v>
      </c>
      <c r="C550" s="173" t="s">
        <v>16</v>
      </c>
      <c r="D550" s="173" t="s">
        <v>17</v>
      </c>
      <c r="E550" s="173" t="s">
        <v>18</v>
      </c>
      <c r="F550" s="173" t="s">
        <v>16</v>
      </c>
      <c r="G550" s="87" t="b">
        <v>1</v>
      </c>
      <c r="H550" s="87" t="b">
        <v>0</v>
      </c>
      <c r="I550" s="87" t="b">
        <v>0</v>
      </c>
      <c r="J550" s="173" t="s">
        <v>492</v>
      </c>
      <c r="K550" s="174">
        <v>82624776000651</v>
      </c>
      <c r="L550" s="173" t="s">
        <v>1007</v>
      </c>
      <c r="M550" s="173" t="s">
        <v>93</v>
      </c>
      <c r="N550" s="173" t="s">
        <v>68</v>
      </c>
      <c r="O550" s="87">
        <v>70</v>
      </c>
      <c r="P550" s="173" t="s">
        <v>20</v>
      </c>
      <c r="Q550" s="1" t="s">
        <v>1338</v>
      </c>
      <c r="R550" s="175">
        <v>300</v>
      </c>
      <c r="S550">
        <v>60</v>
      </c>
    </row>
    <row r="551" spans="1:19" x14ac:dyDescent="0.25">
      <c r="A551" s="87">
        <v>2019</v>
      </c>
      <c r="B551" s="87">
        <v>7</v>
      </c>
      <c r="C551" s="173" t="s">
        <v>16</v>
      </c>
      <c r="D551" s="173" t="s">
        <v>17</v>
      </c>
      <c r="E551" s="173" t="s">
        <v>18</v>
      </c>
      <c r="F551" s="173" t="s">
        <v>16</v>
      </c>
      <c r="G551" s="87" t="b">
        <v>1</v>
      </c>
      <c r="H551" s="87" t="b">
        <v>0</v>
      </c>
      <c r="I551" s="87" t="b">
        <v>0</v>
      </c>
      <c r="J551" s="173" t="s">
        <v>495</v>
      </c>
      <c r="K551" s="174">
        <v>82624776000651</v>
      </c>
      <c r="L551" s="173" t="s">
        <v>1007</v>
      </c>
      <c r="M551" s="173" t="s">
        <v>93</v>
      </c>
      <c r="N551" s="173" t="s">
        <v>68</v>
      </c>
      <c r="O551" s="87">
        <v>70</v>
      </c>
      <c r="P551" s="173" t="s">
        <v>20</v>
      </c>
      <c r="Q551" s="1" t="s">
        <v>1338</v>
      </c>
      <c r="R551" s="175">
        <v>150</v>
      </c>
      <c r="S551">
        <v>30</v>
      </c>
    </row>
    <row r="552" spans="1:19" x14ac:dyDescent="0.25">
      <c r="A552" s="87">
        <v>2019</v>
      </c>
      <c r="B552" s="87">
        <v>7</v>
      </c>
      <c r="C552" s="173" t="s">
        <v>16</v>
      </c>
      <c r="D552" s="173" t="s">
        <v>17</v>
      </c>
      <c r="E552" s="173" t="s">
        <v>18</v>
      </c>
      <c r="F552" s="173" t="s">
        <v>16</v>
      </c>
      <c r="G552" s="87" t="b">
        <v>1</v>
      </c>
      <c r="H552" s="87" t="b">
        <v>0</v>
      </c>
      <c r="I552" s="87" t="b">
        <v>0</v>
      </c>
      <c r="J552" s="173" t="s">
        <v>470</v>
      </c>
      <c r="K552" s="174">
        <v>83367342000252</v>
      </c>
      <c r="L552" s="173" t="s">
        <v>1237</v>
      </c>
      <c r="M552" s="173" t="s">
        <v>1129</v>
      </c>
      <c r="N552" s="173" t="s">
        <v>52</v>
      </c>
      <c r="O552" s="87">
        <v>70</v>
      </c>
      <c r="P552" s="173" t="s">
        <v>20</v>
      </c>
      <c r="Q552" s="1" t="s">
        <v>1338</v>
      </c>
      <c r="R552" s="175">
        <v>25</v>
      </c>
      <c r="S552">
        <v>5</v>
      </c>
    </row>
    <row r="553" spans="1:19" x14ac:dyDescent="0.25">
      <c r="A553" s="87">
        <v>2019</v>
      </c>
      <c r="B553" s="87">
        <v>7</v>
      </c>
      <c r="C553" s="173" t="s">
        <v>16</v>
      </c>
      <c r="D553" s="173" t="s">
        <v>17</v>
      </c>
      <c r="E553" s="173" t="s">
        <v>18</v>
      </c>
      <c r="F553" s="173" t="s">
        <v>16</v>
      </c>
      <c r="G553" s="87" t="b">
        <v>1</v>
      </c>
      <c r="H553" s="87" t="b">
        <v>0</v>
      </c>
      <c r="I553" s="87" t="b">
        <v>0</v>
      </c>
      <c r="J553" s="173" t="s">
        <v>492</v>
      </c>
      <c r="K553" s="174">
        <v>83884999000106</v>
      </c>
      <c r="L553" s="173" t="s">
        <v>1009</v>
      </c>
      <c r="M553" s="173" t="s">
        <v>930</v>
      </c>
      <c r="N553" s="173" t="s">
        <v>68</v>
      </c>
      <c r="O553" s="87">
        <v>70</v>
      </c>
      <c r="P553" s="173" t="s">
        <v>20</v>
      </c>
      <c r="Q553" s="1" t="s">
        <v>1338</v>
      </c>
      <c r="R553" s="175">
        <v>25</v>
      </c>
      <c r="S553">
        <v>5</v>
      </c>
    </row>
    <row r="554" spans="1:19" x14ac:dyDescent="0.25">
      <c r="A554" s="87">
        <v>2019</v>
      </c>
      <c r="B554" s="87">
        <v>7</v>
      </c>
      <c r="C554" s="173" t="s">
        <v>16</v>
      </c>
      <c r="D554" s="173" t="s">
        <v>17</v>
      </c>
      <c r="E554" s="173" t="s">
        <v>18</v>
      </c>
      <c r="F554" s="173" t="s">
        <v>16</v>
      </c>
      <c r="G554" s="87" t="b">
        <v>1</v>
      </c>
      <c r="H554" s="87" t="b">
        <v>0</v>
      </c>
      <c r="I554" s="87" t="b">
        <v>0</v>
      </c>
      <c r="J554" s="173" t="s">
        <v>495</v>
      </c>
      <c r="K554" s="174">
        <v>83884999000106</v>
      </c>
      <c r="L554" s="173" t="s">
        <v>1009</v>
      </c>
      <c r="M554" s="173" t="s">
        <v>930</v>
      </c>
      <c r="N554" s="173" t="s">
        <v>68</v>
      </c>
      <c r="O554" s="87">
        <v>70</v>
      </c>
      <c r="P554" s="173" t="s">
        <v>20</v>
      </c>
      <c r="Q554" s="1" t="s">
        <v>1338</v>
      </c>
      <c r="R554" s="175">
        <v>275</v>
      </c>
      <c r="S554">
        <v>55</v>
      </c>
    </row>
    <row r="555" spans="1:19" x14ac:dyDescent="0.25">
      <c r="A555" s="87">
        <v>2019</v>
      </c>
      <c r="B555" s="87">
        <v>7</v>
      </c>
      <c r="C555" s="173" t="s">
        <v>16</v>
      </c>
      <c r="D555" s="173" t="s">
        <v>17</v>
      </c>
      <c r="E555" s="173" t="s">
        <v>18</v>
      </c>
      <c r="F555" s="173" t="s">
        <v>16</v>
      </c>
      <c r="G555" s="87" t="b">
        <v>1</v>
      </c>
      <c r="H555" s="87" t="b">
        <v>0</v>
      </c>
      <c r="I555" s="87" t="b">
        <v>0</v>
      </c>
      <c r="J555" s="173" t="s">
        <v>449</v>
      </c>
      <c r="K555" s="174">
        <v>83899526000425</v>
      </c>
      <c r="L555" s="173" t="s">
        <v>1010</v>
      </c>
      <c r="M555" s="173" t="s">
        <v>930</v>
      </c>
      <c r="N555" s="173" t="s">
        <v>68</v>
      </c>
      <c r="O555" s="87">
        <v>62</v>
      </c>
      <c r="P555" s="173" t="s">
        <v>27</v>
      </c>
      <c r="Q555" s="1" t="s">
        <v>1343</v>
      </c>
      <c r="R555" s="175">
        <v>17</v>
      </c>
      <c r="S555">
        <v>17</v>
      </c>
    </row>
    <row r="556" spans="1:19" x14ac:dyDescent="0.25">
      <c r="A556" s="87">
        <v>2019</v>
      </c>
      <c r="B556" s="87">
        <v>7</v>
      </c>
      <c r="C556" s="173" t="s">
        <v>16</v>
      </c>
      <c r="D556" s="173" t="s">
        <v>17</v>
      </c>
      <c r="E556" s="173" t="s">
        <v>18</v>
      </c>
      <c r="F556" s="173" t="s">
        <v>16</v>
      </c>
      <c r="G556" s="87" t="b">
        <v>1</v>
      </c>
      <c r="H556" s="87" t="b">
        <v>0</v>
      </c>
      <c r="I556" s="87" t="b">
        <v>0</v>
      </c>
      <c r="J556" s="173" t="s">
        <v>450</v>
      </c>
      <c r="K556" s="174">
        <v>85377174000392</v>
      </c>
      <c r="L556" s="173" t="s">
        <v>1012</v>
      </c>
      <c r="M556" s="173" t="s">
        <v>938</v>
      </c>
      <c r="N556" s="173" t="s">
        <v>68</v>
      </c>
      <c r="O556" s="87">
        <v>73</v>
      </c>
      <c r="P556" s="173" t="s">
        <v>26</v>
      </c>
      <c r="Q556" s="1" t="s">
        <v>1340</v>
      </c>
      <c r="R556" s="175">
        <v>3</v>
      </c>
      <c r="S556">
        <v>3</v>
      </c>
    </row>
    <row r="557" spans="1:19" x14ac:dyDescent="0.25">
      <c r="A557" s="87">
        <v>2019</v>
      </c>
      <c r="B557" s="87">
        <v>7</v>
      </c>
      <c r="C557" s="173" t="s">
        <v>16</v>
      </c>
      <c r="D557" s="173" t="s">
        <v>17</v>
      </c>
      <c r="E557" s="173" t="s">
        <v>18</v>
      </c>
      <c r="F557" s="173" t="s">
        <v>16</v>
      </c>
      <c r="G557" s="87" t="b">
        <v>1</v>
      </c>
      <c r="H557" s="87" t="b">
        <v>0</v>
      </c>
      <c r="I557" s="87" t="b">
        <v>0</v>
      </c>
      <c r="J557" s="173" t="s">
        <v>464</v>
      </c>
      <c r="K557" s="174">
        <v>85377174000392</v>
      </c>
      <c r="L557" s="173" t="s">
        <v>1012</v>
      </c>
      <c r="M557" s="173" t="s">
        <v>938</v>
      </c>
      <c r="N557" s="173" t="s">
        <v>68</v>
      </c>
      <c r="O557" s="87">
        <v>73</v>
      </c>
      <c r="P557" s="173" t="s">
        <v>26</v>
      </c>
      <c r="Q557" s="1" t="s">
        <v>1340</v>
      </c>
      <c r="R557" s="175">
        <v>3</v>
      </c>
      <c r="S557">
        <v>3</v>
      </c>
    </row>
    <row r="558" spans="1:19" x14ac:dyDescent="0.25">
      <c r="A558" s="87">
        <v>2019</v>
      </c>
      <c r="B558" s="87">
        <v>7</v>
      </c>
      <c r="C558" s="173" t="s">
        <v>16</v>
      </c>
      <c r="D558" s="173" t="s">
        <v>17</v>
      </c>
      <c r="E558" s="173" t="s">
        <v>18</v>
      </c>
      <c r="F558" s="173" t="s">
        <v>16</v>
      </c>
      <c r="G558" s="87" t="b">
        <v>1</v>
      </c>
      <c r="H558" s="87" t="b">
        <v>0</v>
      </c>
      <c r="I558" s="87" t="b">
        <v>0</v>
      </c>
      <c r="J558" s="173" t="s">
        <v>481</v>
      </c>
      <c r="K558" s="174">
        <v>85377174000392</v>
      </c>
      <c r="L558" s="173" t="s">
        <v>1012</v>
      </c>
      <c r="M558" s="173" t="s">
        <v>938</v>
      </c>
      <c r="N558" s="173" t="s">
        <v>68</v>
      </c>
      <c r="O558" s="87">
        <v>73</v>
      </c>
      <c r="P558" s="173" t="s">
        <v>26</v>
      </c>
      <c r="Q558" s="1" t="s">
        <v>1340</v>
      </c>
      <c r="R558" s="175">
        <v>9</v>
      </c>
      <c r="S558">
        <v>9</v>
      </c>
    </row>
    <row r="559" spans="1:19" x14ac:dyDescent="0.25">
      <c r="A559" s="87">
        <v>2019</v>
      </c>
      <c r="B559" s="87">
        <v>7</v>
      </c>
      <c r="C559" s="173" t="s">
        <v>16</v>
      </c>
      <c r="D559" s="173" t="s">
        <v>17</v>
      </c>
      <c r="E559" s="173" t="s">
        <v>18</v>
      </c>
      <c r="F559" s="173" t="s">
        <v>16</v>
      </c>
      <c r="G559" s="87" t="b">
        <v>1</v>
      </c>
      <c r="H559" s="87" t="b">
        <v>0</v>
      </c>
      <c r="I559" s="87" t="b">
        <v>0</v>
      </c>
      <c r="J559" s="173" t="s">
        <v>449</v>
      </c>
      <c r="K559" s="174">
        <v>87020517000120</v>
      </c>
      <c r="L559" s="173" t="s">
        <v>1013</v>
      </c>
      <c r="M559" s="173" t="s">
        <v>83</v>
      </c>
      <c r="N559" s="173" t="s">
        <v>67</v>
      </c>
      <c r="O559" s="87">
        <v>62</v>
      </c>
      <c r="P559" s="173" t="s">
        <v>27</v>
      </c>
      <c r="Q559" s="1" t="s">
        <v>1343</v>
      </c>
      <c r="R559" s="175">
        <v>25</v>
      </c>
      <c r="S559">
        <v>25</v>
      </c>
    </row>
    <row r="560" spans="1:19" x14ac:dyDescent="0.25">
      <c r="A560" s="87">
        <v>2019</v>
      </c>
      <c r="B560" s="87">
        <v>7</v>
      </c>
      <c r="C560" s="173" t="s">
        <v>16</v>
      </c>
      <c r="D560" s="173" t="s">
        <v>17</v>
      </c>
      <c r="E560" s="173" t="s">
        <v>18</v>
      </c>
      <c r="F560" s="173" t="s">
        <v>16</v>
      </c>
      <c r="G560" s="87" t="b">
        <v>1</v>
      </c>
      <c r="H560" s="87" t="b">
        <v>0</v>
      </c>
      <c r="I560" s="87" t="b">
        <v>0</v>
      </c>
      <c r="J560" s="173" t="s">
        <v>1330</v>
      </c>
      <c r="K560" s="174">
        <v>87020517000120</v>
      </c>
      <c r="L560" s="173" t="s">
        <v>1013</v>
      </c>
      <c r="M560" s="173" t="s">
        <v>83</v>
      </c>
      <c r="N560" s="173" t="s">
        <v>67</v>
      </c>
      <c r="O560" s="87">
        <v>64</v>
      </c>
      <c r="P560" s="173" t="s">
        <v>25</v>
      </c>
      <c r="Q560" s="1" t="s">
        <v>1344</v>
      </c>
      <c r="R560" s="175">
        <v>10</v>
      </c>
      <c r="S560">
        <v>10</v>
      </c>
    </row>
    <row r="561" spans="1:19" x14ac:dyDescent="0.25">
      <c r="A561" s="87">
        <v>2019</v>
      </c>
      <c r="B561" s="87">
        <v>7</v>
      </c>
      <c r="C561" s="173" t="s">
        <v>16</v>
      </c>
      <c r="D561" s="173" t="s">
        <v>17</v>
      </c>
      <c r="E561" s="173" t="s">
        <v>18</v>
      </c>
      <c r="F561" s="173" t="s">
        <v>16</v>
      </c>
      <c r="G561" s="87" t="b">
        <v>1</v>
      </c>
      <c r="H561" s="87" t="b">
        <v>0</v>
      </c>
      <c r="I561" s="87" t="b">
        <v>0</v>
      </c>
      <c r="J561" s="173" t="s">
        <v>449</v>
      </c>
      <c r="K561" s="174">
        <v>87317764001084</v>
      </c>
      <c r="L561" s="173" t="s">
        <v>1015</v>
      </c>
      <c r="M561" s="173" t="s">
        <v>83</v>
      </c>
      <c r="N561" s="173" t="s">
        <v>67</v>
      </c>
      <c r="O561" s="87">
        <v>70</v>
      </c>
      <c r="P561" s="173" t="s">
        <v>20</v>
      </c>
      <c r="Q561" s="1" t="s">
        <v>1345</v>
      </c>
      <c r="R561" s="175">
        <v>300</v>
      </c>
      <c r="S561">
        <v>30</v>
      </c>
    </row>
    <row r="562" spans="1:19" x14ac:dyDescent="0.25">
      <c r="A562" s="87">
        <v>2019</v>
      </c>
      <c r="B562" s="87">
        <v>7</v>
      </c>
      <c r="C562" s="173" t="s">
        <v>16</v>
      </c>
      <c r="D562" s="173" t="s">
        <v>17</v>
      </c>
      <c r="E562" s="173" t="s">
        <v>18</v>
      </c>
      <c r="F562" s="173" t="s">
        <v>16</v>
      </c>
      <c r="G562" s="87" t="b">
        <v>1</v>
      </c>
      <c r="H562" s="87" t="b">
        <v>0</v>
      </c>
      <c r="I562" s="87" t="b">
        <v>0</v>
      </c>
      <c r="J562" s="173" t="s">
        <v>449</v>
      </c>
      <c r="K562" s="174">
        <v>87317764001084</v>
      </c>
      <c r="L562" s="173" t="s">
        <v>1015</v>
      </c>
      <c r="M562" s="173" t="s">
        <v>83</v>
      </c>
      <c r="N562" s="173" t="s">
        <v>67</v>
      </c>
      <c r="O562" s="87">
        <v>70</v>
      </c>
      <c r="P562" s="173" t="s">
        <v>20</v>
      </c>
      <c r="Q562" s="1" t="s">
        <v>1338</v>
      </c>
      <c r="R562" s="175">
        <v>30</v>
      </c>
      <c r="S562">
        <v>6</v>
      </c>
    </row>
    <row r="563" spans="1:19" x14ac:dyDescent="0.25">
      <c r="A563" s="87">
        <v>2019</v>
      </c>
      <c r="B563" s="87">
        <v>7</v>
      </c>
      <c r="C563" s="173" t="s">
        <v>16</v>
      </c>
      <c r="D563" s="173" t="s">
        <v>17</v>
      </c>
      <c r="E563" s="173" t="s">
        <v>18</v>
      </c>
      <c r="F563" s="173" t="s">
        <v>16</v>
      </c>
      <c r="G563" s="87" t="b">
        <v>1</v>
      </c>
      <c r="H563" s="87" t="b">
        <v>0</v>
      </c>
      <c r="I563" s="87" t="b">
        <v>0</v>
      </c>
      <c r="J563" s="173" t="s">
        <v>449</v>
      </c>
      <c r="K563" s="174">
        <v>87547444000120</v>
      </c>
      <c r="L563" s="173" t="s">
        <v>1017</v>
      </c>
      <c r="M563" s="173" t="s">
        <v>1018</v>
      </c>
      <c r="N563" s="173" t="s">
        <v>67</v>
      </c>
      <c r="O563" s="87">
        <v>64</v>
      </c>
      <c r="P563" s="173" t="s">
        <v>25</v>
      </c>
      <c r="Q563" s="1" t="s">
        <v>1344</v>
      </c>
      <c r="R563" s="175">
        <v>2</v>
      </c>
      <c r="S563">
        <v>2</v>
      </c>
    </row>
    <row r="564" spans="1:19" x14ac:dyDescent="0.25">
      <c r="A564" s="87">
        <v>2019</v>
      </c>
      <c r="B564" s="87">
        <v>7</v>
      </c>
      <c r="C564" s="173" t="s">
        <v>16</v>
      </c>
      <c r="D564" s="173" t="s">
        <v>17</v>
      </c>
      <c r="E564" s="173" t="s">
        <v>18</v>
      </c>
      <c r="F564" s="173" t="s">
        <v>16</v>
      </c>
      <c r="G564" s="87" t="b">
        <v>1</v>
      </c>
      <c r="H564" s="87" t="b">
        <v>0</v>
      </c>
      <c r="I564" s="87" t="b">
        <v>0</v>
      </c>
      <c r="J564" s="173" t="s">
        <v>449</v>
      </c>
      <c r="K564" s="174">
        <v>87607149000626</v>
      </c>
      <c r="L564" s="173" t="s">
        <v>1019</v>
      </c>
      <c r="M564" s="173" t="s">
        <v>96</v>
      </c>
      <c r="N564" s="173" t="s">
        <v>67</v>
      </c>
      <c r="O564" s="87">
        <v>70</v>
      </c>
      <c r="P564" s="173" t="s">
        <v>20</v>
      </c>
      <c r="Q564" s="1" t="s">
        <v>1345</v>
      </c>
      <c r="R564" s="175">
        <v>180</v>
      </c>
      <c r="S564">
        <v>18</v>
      </c>
    </row>
    <row r="565" spans="1:19" x14ac:dyDescent="0.25">
      <c r="A565" s="87">
        <v>2019</v>
      </c>
      <c r="B565" s="87">
        <v>7</v>
      </c>
      <c r="C565" s="173" t="s">
        <v>16</v>
      </c>
      <c r="D565" s="173" t="s">
        <v>17</v>
      </c>
      <c r="E565" s="173" t="s">
        <v>18</v>
      </c>
      <c r="F565" s="173" t="s">
        <v>16</v>
      </c>
      <c r="G565" s="87" t="b">
        <v>1</v>
      </c>
      <c r="H565" s="87" t="b">
        <v>0</v>
      </c>
      <c r="I565" s="87" t="b">
        <v>0</v>
      </c>
      <c r="J565" s="173" t="s">
        <v>495</v>
      </c>
      <c r="K565" s="174">
        <v>87607149000626</v>
      </c>
      <c r="L565" s="173" t="s">
        <v>1019</v>
      </c>
      <c r="M565" s="173" t="s">
        <v>96</v>
      </c>
      <c r="N565" s="173" t="s">
        <v>67</v>
      </c>
      <c r="O565" s="87">
        <v>70</v>
      </c>
      <c r="P565" s="173" t="s">
        <v>20</v>
      </c>
      <c r="Q565" s="1" t="s">
        <v>1345</v>
      </c>
      <c r="R565" s="175">
        <v>60</v>
      </c>
      <c r="S565">
        <v>6</v>
      </c>
    </row>
    <row r="566" spans="1:19" x14ac:dyDescent="0.25">
      <c r="A566" s="87">
        <v>2019</v>
      </c>
      <c r="B566" s="87">
        <v>7</v>
      </c>
      <c r="C566" s="173" t="s">
        <v>16</v>
      </c>
      <c r="D566" s="173" t="s">
        <v>17</v>
      </c>
      <c r="E566" s="173" t="s">
        <v>18</v>
      </c>
      <c r="F566" s="173" t="s">
        <v>16</v>
      </c>
      <c r="G566" s="87" t="b">
        <v>1</v>
      </c>
      <c r="H566" s="87" t="b">
        <v>0</v>
      </c>
      <c r="I566" s="87" t="b">
        <v>0</v>
      </c>
      <c r="J566" s="173" t="s">
        <v>449</v>
      </c>
      <c r="K566" s="174">
        <v>87827689002405</v>
      </c>
      <c r="L566" s="173" t="s">
        <v>1021</v>
      </c>
      <c r="M566" s="173" t="s">
        <v>66</v>
      </c>
      <c r="N566" s="173" t="s">
        <v>67</v>
      </c>
      <c r="O566" s="87">
        <v>70</v>
      </c>
      <c r="P566" s="173" t="s">
        <v>20</v>
      </c>
      <c r="Q566" s="1" t="s">
        <v>1345</v>
      </c>
      <c r="R566" s="175">
        <v>90</v>
      </c>
      <c r="S566">
        <v>9</v>
      </c>
    </row>
    <row r="567" spans="1:19" x14ac:dyDescent="0.25">
      <c r="A567" s="87">
        <v>2019</v>
      </c>
      <c r="B567" s="87">
        <v>7</v>
      </c>
      <c r="C567" s="173" t="s">
        <v>16</v>
      </c>
      <c r="D567" s="173" t="s">
        <v>17</v>
      </c>
      <c r="E567" s="173" t="s">
        <v>18</v>
      </c>
      <c r="F567" s="173" t="s">
        <v>16</v>
      </c>
      <c r="G567" s="87" t="b">
        <v>1</v>
      </c>
      <c r="H567" s="87" t="b">
        <v>0</v>
      </c>
      <c r="I567" s="87" t="b">
        <v>0</v>
      </c>
      <c r="J567" s="173" t="s">
        <v>449</v>
      </c>
      <c r="K567" s="174">
        <v>87827689002405</v>
      </c>
      <c r="L567" s="173" t="s">
        <v>1021</v>
      </c>
      <c r="M567" s="173" t="s">
        <v>66</v>
      </c>
      <c r="N567" s="173" t="s">
        <v>67</v>
      </c>
      <c r="O567" s="87">
        <v>73</v>
      </c>
      <c r="P567" s="173" t="s">
        <v>26</v>
      </c>
      <c r="Q567" s="1" t="s">
        <v>1339</v>
      </c>
      <c r="R567" s="175">
        <v>28</v>
      </c>
      <c r="S567">
        <v>14</v>
      </c>
    </row>
    <row r="568" spans="1:19" x14ac:dyDescent="0.25">
      <c r="A568" s="87">
        <v>2019</v>
      </c>
      <c r="B568" s="87">
        <v>7</v>
      </c>
      <c r="C568" s="173" t="s">
        <v>16</v>
      </c>
      <c r="D568" s="173" t="s">
        <v>17</v>
      </c>
      <c r="E568" s="173" t="s">
        <v>18</v>
      </c>
      <c r="F568" s="173" t="s">
        <v>16</v>
      </c>
      <c r="G568" s="87" t="b">
        <v>1</v>
      </c>
      <c r="H568" s="87" t="b">
        <v>0</v>
      </c>
      <c r="I568" s="87" t="b">
        <v>0</v>
      </c>
      <c r="J568" s="173" t="s">
        <v>449</v>
      </c>
      <c r="K568" s="174">
        <v>87827689002405</v>
      </c>
      <c r="L568" s="173" t="s">
        <v>1021</v>
      </c>
      <c r="M568" s="173" t="s">
        <v>66</v>
      </c>
      <c r="N568" s="173" t="s">
        <v>67</v>
      </c>
      <c r="O568" s="87">
        <v>73</v>
      </c>
      <c r="P568" s="173" t="s">
        <v>26</v>
      </c>
      <c r="Q568" s="1" t="s">
        <v>1342</v>
      </c>
      <c r="R568" s="175">
        <v>8</v>
      </c>
      <c r="S568">
        <v>2</v>
      </c>
    </row>
    <row r="569" spans="1:19" x14ac:dyDescent="0.25">
      <c r="A569" s="87">
        <v>2019</v>
      </c>
      <c r="B569" s="87">
        <v>7</v>
      </c>
      <c r="C569" s="173" t="s">
        <v>16</v>
      </c>
      <c r="D569" s="173" t="s">
        <v>17</v>
      </c>
      <c r="E569" s="173" t="s">
        <v>18</v>
      </c>
      <c r="F569" s="173" t="s">
        <v>16</v>
      </c>
      <c r="G569" s="87" t="b">
        <v>1</v>
      </c>
      <c r="H569" s="87" t="b">
        <v>0</v>
      </c>
      <c r="I569" s="87" t="b">
        <v>0</v>
      </c>
      <c r="J569" s="173" t="s">
        <v>449</v>
      </c>
      <c r="K569" s="174">
        <v>87827689002405</v>
      </c>
      <c r="L569" s="173" t="s">
        <v>1021</v>
      </c>
      <c r="M569" s="173" t="s">
        <v>66</v>
      </c>
      <c r="N569" s="173" t="s">
        <v>67</v>
      </c>
      <c r="O569" s="87">
        <v>73</v>
      </c>
      <c r="P569" s="173" t="s">
        <v>26</v>
      </c>
      <c r="Q569" s="1" t="s">
        <v>1340</v>
      </c>
      <c r="R569" s="175">
        <v>2</v>
      </c>
      <c r="S569">
        <v>2</v>
      </c>
    </row>
    <row r="570" spans="1:19" x14ac:dyDescent="0.25">
      <c r="A570" s="87">
        <v>2019</v>
      </c>
      <c r="B570" s="87">
        <v>7</v>
      </c>
      <c r="C570" s="173" t="s">
        <v>16</v>
      </c>
      <c r="D570" s="173" t="s">
        <v>17</v>
      </c>
      <c r="E570" s="173" t="s">
        <v>18</v>
      </c>
      <c r="F570" s="173" t="s">
        <v>16</v>
      </c>
      <c r="G570" s="87" t="b">
        <v>1</v>
      </c>
      <c r="H570" s="87" t="b">
        <v>0</v>
      </c>
      <c r="I570" s="87" t="b">
        <v>0</v>
      </c>
      <c r="J570" s="173" t="s">
        <v>439</v>
      </c>
      <c r="K570" s="174">
        <v>87958625000149</v>
      </c>
      <c r="L570" s="173" t="s">
        <v>1022</v>
      </c>
      <c r="M570" s="173" t="s">
        <v>83</v>
      </c>
      <c r="N570" s="173" t="s">
        <v>67</v>
      </c>
      <c r="O570" s="87">
        <v>66</v>
      </c>
      <c r="P570" s="173" t="s">
        <v>28</v>
      </c>
      <c r="Q570" s="1" t="s">
        <v>1341</v>
      </c>
      <c r="R570" s="175">
        <v>12</v>
      </c>
      <c r="S570">
        <v>12</v>
      </c>
    </row>
    <row r="571" spans="1:19" x14ac:dyDescent="0.25">
      <c r="A571" s="87">
        <v>2019</v>
      </c>
      <c r="B571" s="87">
        <v>7</v>
      </c>
      <c r="C571" s="173" t="s">
        <v>16</v>
      </c>
      <c r="D571" s="173" t="s">
        <v>17</v>
      </c>
      <c r="E571" s="173" t="s">
        <v>18</v>
      </c>
      <c r="F571" s="173" t="s">
        <v>16</v>
      </c>
      <c r="G571" s="87" t="b">
        <v>1</v>
      </c>
      <c r="H571" s="87" t="b">
        <v>0</v>
      </c>
      <c r="I571" s="87" t="b">
        <v>0</v>
      </c>
      <c r="J571" s="173" t="s">
        <v>449</v>
      </c>
      <c r="K571" s="174">
        <v>88625686002443</v>
      </c>
      <c r="L571" s="173" t="s">
        <v>1023</v>
      </c>
      <c r="M571" s="173" t="s">
        <v>83</v>
      </c>
      <c r="N571" s="173" t="s">
        <v>67</v>
      </c>
      <c r="O571" s="87">
        <v>62</v>
      </c>
      <c r="P571" s="173" t="s">
        <v>27</v>
      </c>
      <c r="Q571" s="1" t="s">
        <v>1343</v>
      </c>
      <c r="R571" s="175">
        <v>5</v>
      </c>
      <c r="S571">
        <v>5</v>
      </c>
    </row>
    <row r="572" spans="1:19" x14ac:dyDescent="0.25">
      <c r="A572" s="87">
        <v>2019</v>
      </c>
      <c r="B572" s="87">
        <v>7</v>
      </c>
      <c r="C572" s="173" t="s">
        <v>16</v>
      </c>
      <c r="D572" s="173" t="s">
        <v>17</v>
      </c>
      <c r="E572" s="173" t="s">
        <v>18</v>
      </c>
      <c r="F572" s="173" t="s">
        <v>16</v>
      </c>
      <c r="G572" s="87" t="b">
        <v>1</v>
      </c>
      <c r="H572" s="87" t="b">
        <v>0</v>
      </c>
      <c r="I572" s="87" t="b">
        <v>0</v>
      </c>
      <c r="J572" s="173" t="s">
        <v>451</v>
      </c>
      <c r="K572" s="174">
        <v>88625686002443</v>
      </c>
      <c r="L572" s="173" t="s">
        <v>1023</v>
      </c>
      <c r="M572" s="173" t="s">
        <v>83</v>
      </c>
      <c r="N572" s="173" t="s">
        <v>67</v>
      </c>
      <c r="O572" s="87">
        <v>64</v>
      </c>
      <c r="P572" s="173" t="s">
        <v>25</v>
      </c>
      <c r="Q572" s="1" t="s">
        <v>1344</v>
      </c>
      <c r="R572" s="175">
        <v>24</v>
      </c>
      <c r="S572">
        <v>24</v>
      </c>
    </row>
    <row r="573" spans="1:19" x14ac:dyDescent="0.25">
      <c r="A573" s="87">
        <v>2019</v>
      </c>
      <c r="B573" s="87">
        <v>7</v>
      </c>
      <c r="C573" s="173" t="s">
        <v>16</v>
      </c>
      <c r="D573" s="173" t="s">
        <v>17</v>
      </c>
      <c r="E573" s="173" t="s">
        <v>18</v>
      </c>
      <c r="F573" s="173" t="s">
        <v>16</v>
      </c>
      <c r="G573" s="87" t="b">
        <v>1</v>
      </c>
      <c r="H573" s="87" t="b">
        <v>0</v>
      </c>
      <c r="I573" s="87" t="b">
        <v>0</v>
      </c>
      <c r="J573" s="173" t="s">
        <v>449</v>
      </c>
      <c r="K573" s="174">
        <v>88630413000796</v>
      </c>
      <c r="L573" s="173" t="s">
        <v>1024</v>
      </c>
      <c r="M573" s="173" t="s">
        <v>83</v>
      </c>
      <c r="N573" s="173" t="s">
        <v>67</v>
      </c>
      <c r="O573" s="87">
        <v>62</v>
      </c>
      <c r="P573" s="173" t="s">
        <v>27</v>
      </c>
      <c r="Q573" s="1" t="s">
        <v>1343</v>
      </c>
      <c r="R573" s="175">
        <v>14</v>
      </c>
      <c r="S573">
        <v>14</v>
      </c>
    </row>
    <row r="574" spans="1:19" x14ac:dyDescent="0.25">
      <c r="A574" s="87">
        <v>2019</v>
      </c>
      <c r="B574" s="87">
        <v>7</v>
      </c>
      <c r="C574" s="173" t="s">
        <v>16</v>
      </c>
      <c r="D574" s="173" t="s">
        <v>17</v>
      </c>
      <c r="E574" s="173" t="s">
        <v>18</v>
      </c>
      <c r="F574" s="173" t="s">
        <v>16</v>
      </c>
      <c r="G574" s="87" t="b">
        <v>1</v>
      </c>
      <c r="H574" s="87" t="b">
        <v>0</v>
      </c>
      <c r="I574" s="87" t="b">
        <v>0</v>
      </c>
      <c r="J574" s="173" t="s">
        <v>449</v>
      </c>
      <c r="K574" s="174">
        <v>88630413000796</v>
      </c>
      <c r="L574" s="173" t="s">
        <v>1024</v>
      </c>
      <c r="M574" s="173" t="s">
        <v>83</v>
      </c>
      <c r="N574" s="173" t="s">
        <v>67</v>
      </c>
      <c r="O574" s="87">
        <v>64</v>
      </c>
      <c r="P574" s="173" t="s">
        <v>25</v>
      </c>
      <c r="Q574" s="1" t="s">
        <v>1344</v>
      </c>
      <c r="R574" s="175">
        <v>6</v>
      </c>
      <c r="S574">
        <v>6</v>
      </c>
    </row>
    <row r="575" spans="1:19" x14ac:dyDescent="0.25">
      <c r="A575" s="87">
        <v>2019</v>
      </c>
      <c r="B575" s="87">
        <v>7</v>
      </c>
      <c r="C575" s="173" t="s">
        <v>16</v>
      </c>
      <c r="D575" s="173" t="s">
        <v>17</v>
      </c>
      <c r="E575" s="173" t="s">
        <v>18</v>
      </c>
      <c r="F575" s="173" t="s">
        <v>16</v>
      </c>
      <c r="G575" s="87" t="b">
        <v>1</v>
      </c>
      <c r="H575" s="87" t="b">
        <v>0</v>
      </c>
      <c r="I575" s="87" t="b">
        <v>0</v>
      </c>
      <c r="J575" s="173" t="s">
        <v>470</v>
      </c>
      <c r="K575" s="174">
        <v>92021062000360</v>
      </c>
      <c r="L575" s="173" t="s">
        <v>1027</v>
      </c>
      <c r="M575" s="173" t="s">
        <v>96</v>
      </c>
      <c r="N575" s="173" t="s">
        <v>67</v>
      </c>
      <c r="O575" s="87">
        <v>73</v>
      </c>
      <c r="P575" s="173" t="s">
        <v>26</v>
      </c>
      <c r="Q575" s="1" t="s">
        <v>1339</v>
      </c>
      <c r="R575" s="175">
        <v>48</v>
      </c>
      <c r="S575">
        <v>24</v>
      </c>
    </row>
    <row r="576" spans="1:19" x14ac:dyDescent="0.25">
      <c r="A576" s="87">
        <v>2019</v>
      </c>
      <c r="B576" s="87">
        <v>7</v>
      </c>
      <c r="C576" s="173" t="s">
        <v>16</v>
      </c>
      <c r="D576" s="173" t="s">
        <v>17</v>
      </c>
      <c r="E576" s="173" t="s">
        <v>18</v>
      </c>
      <c r="F576" s="173" t="s">
        <v>16</v>
      </c>
      <c r="G576" s="87" t="b">
        <v>1</v>
      </c>
      <c r="H576" s="87" t="b">
        <v>0</v>
      </c>
      <c r="I576" s="87" t="b">
        <v>0</v>
      </c>
      <c r="J576" s="173" t="s">
        <v>470</v>
      </c>
      <c r="K576" s="174">
        <v>92021062000360</v>
      </c>
      <c r="L576" s="173" t="s">
        <v>1027</v>
      </c>
      <c r="M576" s="173" t="s">
        <v>96</v>
      </c>
      <c r="N576" s="173" t="s">
        <v>67</v>
      </c>
      <c r="O576" s="87">
        <v>73</v>
      </c>
      <c r="P576" s="173" t="s">
        <v>26</v>
      </c>
      <c r="Q576" s="1" t="s">
        <v>1342</v>
      </c>
      <c r="R576" s="175">
        <v>96</v>
      </c>
      <c r="S576">
        <v>24</v>
      </c>
    </row>
    <row r="577" spans="1:19" x14ac:dyDescent="0.25">
      <c r="A577" s="87">
        <v>2019</v>
      </c>
      <c r="B577" s="87">
        <v>7</v>
      </c>
      <c r="C577" s="173" t="s">
        <v>16</v>
      </c>
      <c r="D577" s="173" t="s">
        <v>17</v>
      </c>
      <c r="E577" s="173" t="s">
        <v>18</v>
      </c>
      <c r="F577" s="173" t="s">
        <v>16</v>
      </c>
      <c r="G577" s="87" t="b">
        <v>1</v>
      </c>
      <c r="H577" s="87" t="b">
        <v>0</v>
      </c>
      <c r="I577" s="87" t="b">
        <v>0</v>
      </c>
      <c r="J577" s="173" t="s">
        <v>449</v>
      </c>
      <c r="K577" s="174">
        <v>92685833000151</v>
      </c>
      <c r="L577" s="173" t="s">
        <v>1029</v>
      </c>
      <c r="M577" s="173" t="s">
        <v>83</v>
      </c>
      <c r="N577" s="173" t="s">
        <v>67</v>
      </c>
      <c r="O577" s="87">
        <v>62</v>
      </c>
      <c r="P577" s="173" t="s">
        <v>27</v>
      </c>
      <c r="Q577" s="1" t="s">
        <v>1343</v>
      </c>
      <c r="R577" s="175">
        <v>10</v>
      </c>
      <c r="S577">
        <v>10</v>
      </c>
    </row>
    <row r="578" spans="1:19" x14ac:dyDescent="0.25">
      <c r="A578" s="87">
        <v>2019</v>
      </c>
      <c r="B578" s="87">
        <v>7</v>
      </c>
      <c r="C578" s="173" t="s">
        <v>16</v>
      </c>
      <c r="D578" s="173" t="s">
        <v>17</v>
      </c>
      <c r="E578" s="173" t="s">
        <v>18</v>
      </c>
      <c r="F578" s="173" t="s">
        <v>16</v>
      </c>
      <c r="G578" s="87" t="b">
        <v>1</v>
      </c>
      <c r="H578" s="87" t="b">
        <v>0</v>
      </c>
      <c r="I578" s="87" t="b">
        <v>0</v>
      </c>
      <c r="J578" s="173" t="s">
        <v>464</v>
      </c>
      <c r="K578" s="174">
        <v>92685833000151</v>
      </c>
      <c r="L578" s="173" t="s">
        <v>1029</v>
      </c>
      <c r="M578" s="173" t="s">
        <v>83</v>
      </c>
      <c r="N578" s="173" t="s">
        <v>67</v>
      </c>
      <c r="O578" s="87">
        <v>62</v>
      </c>
      <c r="P578" s="173" t="s">
        <v>27</v>
      </c>
      <c r="Q578" s="1" t="s">
        <v>1343</v>
      </c>
      <c r="R578" s="175">
        <v>30</v>
      </c>
      <c r="S578">
        <v>30</v>
      </c>
    </row>
    <row r="579" spans="1:19" x14ac:dyDescent="0.25">
      <c r="A579" s="87">
        <v>2019</v>
      </c>
      <c r="B579" s="87">
        <v>7</v>
      </c>
      <c r="C579" s="173" t="s">
        <v>16</v>
      </c>
      <c r="D579" s="173" t="s">
        <v>17</v>
      </c>
      <c r="E579" s="173" t="s">
        <v>18</v>
      </c>
      <c r="F579" s="173" t="s">
        <v>16</v>
      </c>
      <c r="G579" s="87" t="b">
        <v>1</v>
      </c>
      <c r="H579" s="87" t="b">
        <v>0</v>
      </c>
      <c r="I579" s="87" t="b">
        <v>0</v>
      </c>
      <c r="J579" s="173" t="s">
        <v>464</v>
      </c>
      <c r="K579" s="174">
        <v>92685833000151</v>
      </c>
      <c r="L579" s="173" t="s">
        <v>1029</v>
      </c>
      <c r="M579" s="173" t="s">
        <v>83</v>
      </c>
      <c r="N579" s="173" t="s">
        <v>67</v>
      </c>
      <c r="O579" s="87">
        <v>64</v>
      </c>
      <c r="P579" s="173" t="s">
        <v>25</v>
      </c>
      <c r="Q579" s="1" t="s">
        <v>1344</v>
      </c>
      <c r="R579" s="175">
        <v>16</v>
      </c>
      <c r="S579">
        <v>16</v>
      </c>
    </row>
    <row r="580" spans="1:19" x14ac:dyDescent="0.25">
      <c r="A580" s="87">
        <v>2019</v>
      </c>
      <c r="B580" s="87">
        <v>7</v>
      </c>
      <c r="C580" s="173" t="s">
        <v>16</v>
      </c>
      <c r="D580" s="173" t="s">
        <v>17</v>
      </c>
      <c r="E580" s="173" t="s">
        <v>18</v>
      </c>
      <c r="F580" s="173" t="s">
        <v>16</v>
      </c>
      <c r="G580" s="87" t="b">
        <v>1</v>
      </c>
      <c r="H580" s="87" t="b">
        <v>0</v>
      </c>
      <c r="I580" s="87" t="b">
        <v>0</v>
      </c>
      <c r="J580" s="173" t="s">
        <v>449</v>
      </c>
      <c r="K580" s="174">
        <v>92685833000151</v>
      </c>
      <c r="L580" s="173" t="s">
        <v>1029</v>
      </c>
      <c r="M580" s="173" t="s">
        <v>83</v>
      </c>
      <c r="N580" s="173" t="s">
        <v>67</v>
      </c>
      <c r="O580" s="87">
        <v>73</v>
      </c>
      <c r="P580" s="173" t="s">
        <v>26</v>
      </c>
      <c r="Q580" s="1" t="s">
        <v>1340</v>
      </c>
      <c r="R580" s="175">
        <v>4</v>
      </c>
      <c r="S580">
        <v>4</v>
      </c>
    </row>
    <row r="581" spans="1:19" x14ac:dyDescent="0.25">
      <c r="A581" s="87">
        <v>2019</v>
      </c>
      <c r="B581" s="87">
        <v>7</v>
      </c>
      <c r="C581" s="173" t="s">
        <v>16</v>
      </c>
      <c r="D581" s="173" t="s">
        <v>17</v>
      </c>
      <c r="E581" s="173" t="s">
        <v>18</v>
      </c>
      <c r="F581" s="173" t="s">
        <v>16</v>
      </c>
      <c r="G581" s="87" t="b">
        <v>1</v>
      </c>
      <c r="H581" s="87" t="b">
        <v>0</v>
      </c>
      <c r="I581" s="87" t="b">
        <v>0</v>
      </c>
      <c r="J581" s="173" t="s">
        <v>449</v>
      </c>
      <c r="K581" s="174">
        <v>92741016000254</v>
      </c>
      <c r="L581" s="173" t="s">
        <v>1030</v>
      </c>
      <c r="M581" s="173" t="s">
        <v>83</v>
      </c>
      <c r="N581" s="173" t="s">
        <v>67</v>
      </c>
      <c r="O581" s="87">
        <v>64</v>
      </c>
      <c r="P581" s="173" t="s">
        <v>25</v>
      </c>
      <c r="Q581" s="1" t="s">
        <v>1344</v>
      </c>
      <c r="R581" s="175">
        <v>5</v>
      </c>
      <c r="S581">
        <v>5</v>
      </c>
    </row>
    <row r="582" spans="1:19" x14ac:dyDescent="0.25">
      <c r="A582" s="87">
        <v>2019</v>
      </c>
      <c r="B582" s="87">
        <v>7</v>
      </c>
      <c r="C582" s="173" t="s">
        <v>16</v>
      </c>
      <c r="D582" s="173" t="s">
        <v>17</v>
      </c>
      <c r="E582" s="173" t="s">
        <v>18</v>
      </c>
      <c r="F582" s="173" t="s">
        <v>16</v>
      </c>
      <c r="G582" s="87" t="b">
        <v>1</v>
      </c>
      <c r="H582" s="87" t="b">
        <v>0</v>
      </c>
      <c r="I582" s="87" t="b">
        <v>0</v>
      </c>
      <c r="J582" s="173" t="s">
        <v>1330</v>
      </c>
      <c r="K582" s="174">
        <v>92787118000391</v>
      </c>
      <c r="L582" s="173" t="s">
        <v>1032</v>
      </c>
      <c r="M582" s="173" t="s">
        <v>83</v>
      </c>
      <c r="N582" s="173" t="s">
        <v>67</v>
      </c>
      <c r="O582" s="87">
        <v>64</v>
      </c>
      <c r="P582" s="173" t="s">
        <v>25</v>
      </c>
      <c r="Q582" s="1" t="s">
        <v>1344</v>
      </c>
      <c r="R582" s="175">
        <v>12</v>
      </c>
      <c r="S582">
        <v>12</v>
      </c>
    </row>
    <row r="583" spans="1:19" x14ac:dyDescent="0.25">
      <c r="A583" s="87">
        <v>2019</v>
      </c>
      <c r="B583" s="87">
        <v>7</v>
      </c>
      <c r="C583" s="173" t="s">
        <v>16</v>
      </c>
      <c r="D583" s="173" t="s">
        <v>17</v>
      </c>
      <c r="E583" s="173" t="s">
        <v>18</v>
      </c>
      <c r="F583" s="173" t="s">
        <v>16</v>
      </c>
      <c r="G583" s="87" t="b">
        <v>1</v>
      </c>
      <c r="H583" s="87" t="b">
        <v>0</v>
      </c>
      <c r="I583" s="87" t="b">
        <v>0</v>
      </c>
      <c r="J583" s="173" t="s">
        <v>449</v>
      </c>
      <c r="K583" s="174">
        <v>92815000000168</v>
      </c>
      <c r="L583" s="173" t="s">
        <v>1033</v>
      </c>
      <c r="M583" s="173" t="s">
        <v>83</v>
      </c>
      <c r="N583" s="173" t="s">
        <v>67</v>
      </c>
      <c r="O583" s="87">
        <v>62</v>
      </c>
      <c r="P583" s="173" t="s">
        <v>27</v>
      </c>
      <c r="Q583" s="1" t="s">
        <v>1343</v>
      </c>
      <c r="R583" s="175">
        <v>62</v>
      </c>
      <c r="S583">
        <v>62</v>
      </c>
    </row>
    <row r="584" spans="1:19" x14ac:dyDescent="0.25">
      <c r="A584" s="87">
        <v>2019</v>
      </c>
      <c r="B584" s="87">
        <v>7</v>
      </c>
      <c r="C584" s="173" t="s">
        <v>16</v>
      </c>
      <c r="D584" s="173" t="s">
        <v>17</v>
      </c>
      <c r="E584" s="173" t="s">
        <v>18</v>
      </c>
      <c r="F584" s="173" t="s">
        <v>16</v>
      </c>
      <c r="G584" s="87" t="b">
        <v>1</v>
      </c>
      <c r="H584" s="87" t="b">
        <v>0</v>
      </c>
      <c r="I584" s="87" t="b">
        <v>0</v>
      </c>
      <c r="J584" s="173" t="s">
        <v>449</v>
      </c>
      <c r="K584" s="174">
        <v>92815000000168</v>
      </c>
      <c r="L584" s="173" t="s">
        <v>1033</v>
      </c>
      <c r="M584" s="173" t="s">
        <v>83</v>
      </c>
      <c r="N584" s="173" t="s">
        <v>67</v>
      </c>
      <c r="O584" s="87">
        <v>64</v>
      </c>
      <c r="P584" s="173" t="s">
        <v>25</v>
      </c>
      <c r="Q584" s="1" t="s">
        <v>1344</v>
      </c>
      <c r="R584" s="175">
        <v>8</v>
      </c>
      <c r="S584">
        <v>8</v>
      </c>
    </row>
    <row r="585" spans="1:19" x14ac:dyDescent="0.25">
      <c r="A585" s="87">
        <v>2019</v>
      </c>
      <c r="B585" s="87">
        <v>7</v>
      </c>
      <c r="C585" s="173" t="s">
        <v>16</v>
      </c>
      <c r="D585" s="173" t="s">
        <v>17</v>
      </c>
      <c r="E585" s="173" t="s">
        <v>18</v>
      </c>
      <c r="F585" s="173" t="s">
        <v>16</v>
      </c>
      <c r="G585" s="87" t="b">
        <v>1</v>
      </c>
      <c r="H585" s="87" t="b">
        <v>0</v>
      </c>
      <c r="I585" s="87" t="b">
        <v>0</v>
      </c>
      <c r="J585" s="173" t="s">
        <v>449</v>
      </c>
      <c r="K585" s="174">
        <v>92815000000168</v>
      </c>
      <c r="L585" s="173" t="s">
        <v>1033</v>
      </c>
      <c r="M585" s="173" t="s">
        <v>83</v>
      </c>
      <c r="N585" s="173" t="s">
        <v>67</v>
      </c>
      <c r="O585" s="87">
        <v>73</v>
      </c>
      <c r="P585" s="173" t="s">
        <v>26</v>
      </c>
      <c r="Q585" s="1" t="s">
        <v>1339</v>
      </c>
      <c r="R585" s="175">
        <v>38</v>
      </c>
      <c r="S585">
        <v>19</v>
      </c>
    </row>
    <row r="586" spans="1:19" x14ac:dyDescent="0.25">
      <c r="A586" s="87">
        <v>2019</v>
      </c>
      <c r="B586" s="87">
        <v>7</v>
      </c>
      <c r="C586" s="173" t="s">
        <v>16</v>
      </c>
      <c r="D586" s="173" t="s">
        <v>17</v>
      </c>
      <c r="E586" s="173" t="s">
        <v>18</v>
      </c>
      <c r="F586" s="173" t="s">
        <v>16</v>
      </c>
      <c r="G586" s="87" t="b">
        <v>1</v>
      </c>
      <c r="H586" s="87" t="b">
        <v>0</v>
      </c>
      <c r="I586" s="87" t="b">
        <v>0</v>
      </c>
      <c r="J586" s="173" t="s">
        <v>449</v>
      </c>
      <c r="K586" s="174">
        <v>92898550000198</v>
      </c>
      <c r="L586" s="173" t="s">
        <v>1034</v>
      </c>
      <c r="M586" s="173" t="s">
        <v>83</v>
      </c>
      <c r="N586" s="173" t="s">
        <v>67</v>
      </c>
      <c r="O586" s="87">
        <v>64</v>
      </c>
      <c r="P586" s="173" t="s">
        <v>25</v>
      </c>
      <c r="Q586" s="1" t="s">
        <v>1344</v>
      </c>
      <c r="R586" s="175">
        <v>8</v>
      </c>
      <c r="S586">
        <v>8</v>
      </c>
    </row>
    <row r="587" spans="1:19" x14ac:dyDescent="0.25">
      <c r="A587" s="87">
        <v>2019</v>
      </c>
      <c r="B587" s="87">
        <v>7</v>
      </c>
      <c r="C587" s="173" t="s">
        <v>16</v>
      </c>
      <c r="D587" s="173" t="s">
        <v>17</v>
      </c>
      <c r="E587" s="173" t="s">
        <v>18</v>
      </c>
      <c r="F587" s="173" t="s">
        <v>16</v>
      </c>
      <c r="G587" s="87" t="b">
        <v>1</v>
      </c>
      <c r="H587" s="87" t="b">
        <v>0</v>
      </c>
      <c r="I587" s="87" t="b">
        <v>0</v>
      </c>
      <c r="J587" s="173" t="s">
        <v>439</v>
      </c>
      <c r="K587" s="174">
        <v>92898550000198</v>
      </c>
      <c r="L587" s="173" t="s">
        <v>1034</v>
      </c>
      <c r="M587" s="173" t="s">
        <v>83</v>
      </c>
      <c r="N587" s="173" t="s">
        <v>67</v>
      </c>
      <c r="O587" s="87">
        <v>64</v>
      </c>
      <c r="P587" s="173" t="s">
        <v>25</v>
      </c>
      <c r="Q587" s="1" t="s">
        <v>1344</v>
      </c>
      <c r="R587" s="175">
        <v>6</v>
      </c>
      <c r="S587">
        <v>6</v>
      </c>
    </row>
    <row r="588" spans="1:19" x14ac:dyDescent="0.25">
      <c r="A588" s="87">
        <v>2019</v>
      </c>
      <c r="B588" s="87">
        <v>7</v>
      </c>
      <c r="C588" s="173" t="s">
        <v>16</v>
      </c>
      <c r="D588" s="173" t="s">
        <v>17</v>
      </c>
      <c r="E588" s="173" t="s">
        <v>18</v>
      </c>
      <c r="F588" s="173" t="s">
        <v>16</v>
      </c>
      <c r="G588" s="87" t="b">
        <v>1</v>
      </c>
      <c r="H588" s="87" t="b">
        <v>0</v>
      </c>
      <c r="I588" s="87" t="b">
        <v>0</v>
      </c>
      <c r="J588" s="173" t="s">
        <v>478</v>
      </c>
      <c r="K588" s="174">
        <v>92898550000600</v>
      </c>
      <c r="L588" s="173" t="s">
        <v>927</v>
      </c>
      <c r="M588" s="173" t="s">
        <v>739</v>
      </c>
      <c r="N588" s="173" t="s">
        <v>55</v>
      </c>
      <c r="O588" s="87">
        <v>64</v>
      </c>
      <c r="P588" s="173" t="s">
        <v>25</v>
      </c>
      <c r="Q588" s="1" t="s">
        <v>1344</v>
      </c>
      <c r="R588" s="175">
        <v>4</v>
      </c>
      <c r="S588">
        <v>4</v>
      </c>
    </row>
    <row r="589" spans="1:19" x14ac:dyDescent="0.25">
      <c r="A589" s="87">
        <v>2019</v>
      </c>
      <c r="B589" s="87">
        <v>7</v>
      </c>
      <c r="C589" s="173" t="s">
        <v>16</v>
      </c>
      <c r="D589" s="173" t="s">
        <v>17</v>
      </c>
      <c r="E589" s="173" t="s">
        <v>18</v>
      </c>
      <c r="F589" s="173" t="s">
        <v>16</v>
      </c>
      <c r="G589" s="87" t="b">
        <v>1</v>
      </c>
      <c r="H589" s="87" t="b">
        <v>0</v>
      </c>
      <c r="I589" s="87" t="b">
        <v>0</v>
      </c>
      <c r="J589" s="173" t="s">
        <v>492</v>
      </c>
      <c r="K589" s="174">
        <v>94831294000147</v>
      </c>
      <c r="L589" s="173" t="s">
        <v>1036</v>
      </c>
      <c r="M589" s="173" t="s">
        <v>83</v>
      </c>
      <c r="N589" s="173" t="s">
        <v>67</v>
      </c>
      <c r="O589" s="87">
        <v>70</v>
      </c>
      <c r="P589" s="173" t="s">
        <v>20</v>
      </c>
      <c r="Q589" s="1" t="s">
        <v>1338</v>
      </c>
      <c r="R589" s="175">
        <v>30</v>
      </c>
      <c r="S589">
        <v>6</v>
      </c>
    </row>
    <row r="590" spans="1:19" x14ac:dyDescent="0.25">
      <c r="A590" s="87">
        <v>2019</v>
      </c>
      <c r="B590" s="87">
        <v>7</v>
      </c>
      <c r="C590" s="173" t="s">
        <v>16</v>
      </c>
      <c r="D590" s="173" t="s">
        <v>17</v>
      </c>
      <c r="E590" s="173" t="s">
        <v>18</v>
      </c>
      <c r="F590" s="173" t="s">
        <v>16</v>
      </c>
      <c r="G590" s="87" t="b">
        <v>1</v>
      </c>
      <c r="H590" s="87" t="b">
        <v>0</v>
      </c>
      <c r="I590" s="87" t="b">
        <v>0</v>
      </c>
      <c r="J590" s="173" t="s">
        <v>464</v>
      </c>
      <c r="K590" s="174">
        <v>95610887000146</v>
      </c>
      <c r="L590" s="173" t="s">
        <v>1037</v>
      </c>
      <c r="M590" s="173" t="s">
        <v>87</v>
      </c>
      <c r="N590" s="173" t="s">
        <v>67</v>
      </c>
      <c r="O590" s="87">
        <v>62</v>
      </c>
      <c r="P590" s="173" t="s">
        <v>27</v>
      </c>
      <c r="Q590" s="1" t="s">
        <v>1343</v>
      </c>
      <c r="R590" s="175">
        <v>4</v>
      </c>
      <c r="S590">
        <v>4</v>
      </c>
    </row>
    <row r="591" spans="1:19" x14ac:dyDescent="0.25">
      <c r="A591" s="87">
        <v>2019</v>
      </c>
      <c r="B591" s="87">
        <v>7</v>
      </c>
      <c r="C591" s="173" t="s">
        <v>16</v>
      </c>
      <c r="D591" s="173" t="s">
        <v>17</v>
      </c>
      <c r="E591" s="173" t="s">
        <v>18</v>
      </c>
      <c r="F591" s="173" t="s">
        <v>16</v>
      </c>
      <c r="G591" s="87" t="b">
        <v>1</v>
      </c>
      <c r="H591" s="87" t="b">
        <v>0</v>
      </c>
      <c r="I591" s="87" t="b">
        <v>0</v>
      </c>
      <c r="J591" s="173" t="s">
        <v>470</v>
      </c>
      <c r="K591" s="174">
        <v>95610887000146</v>
      </c>
      <c r="L591" s="173" t="s">
        <v>1037</v>
      </c>
      <c r="M591" s="173" t="s">
        <v>87</v>
      </c>
      <c r="N591" s="173" t="s">
        <v>67</v>
      </c>
      <c r="O591" s="87">
        <v>70</v>
      </c>
      <c r="P591" s="173" t="s">
        <v>20</v>
      </c>
      <c r="Q591" s="1" t="s">
        <v>1338</v>
      </c>
      <c r="R591" s="175">
        <v>300</v>
      </c>
      <c r="S591">
        <v>60</v>
      </c>
    </row>
    <row r="592" spans="1:19" x14ac:dyDescent="0.25">
      <c r="A592" s="87">
        <v>2019</v>
      </c>
      <c r="B592" s="87">
        <v>8</v>
      </c>
      <c r="C592" s="173" t="s">
        <v>16</v>
      </c>
      <c r="D592" s="173" t="s">
        <v>21</v>
      </c>
      <c r="E592" s="173" t="s">
        <v>18</v>
      </c>
      <c r="F592" s="173" t="s">
        <v>16</v>
      </c>
      <c r="G592" s="87" t="b">
        <v>1</v>
      </c>
      <c r="H592" s="87" t="b">
        <v>0</v>
      </c>
      <c r="I592" s="87" t="b">
        <v>0</v>
      </c>
      <c r="J592" s="173" t="s">
        <v>453</v>
      </c>
      <c r="K592" s="174">
        <v>700386513</v>
      </c>
      <c r="L592" s="173" t="s">
        <v>735</v>
      </c>
      <c r="M592" s="173" t="s">
        <v>736</v>
      </c>
      <c r="N592" s="173" t="s">
        <v>85</v>
      </c>
      <c r="O592" s="87">
        <v>66</v>
      </c>
      <c r="P592" s="173" t="s">
        <v>28</v>
      </c>
      <c r="Q592" s="1" t="s">
        <v>1341</v>
      </c>
      <c r="R592" s="175">
        <v>4</v>
      </c>
      <c r="S592">
        <v>4</v>
      </c>
    </row>
    <row r="593" spans="1:19" x14ac:dyDescent="0.25">
      <c r="A593" s="87">
        <v>2019</v>
      </c>
      <c r="B593" s="87">
        <v>8</v>
      </c>
      <c r="C593" s="173" t="s">
        <v>16</v>
      </c>
      <c r="D593" s="173" t="s">
        <v>21</v>
      </c>
      <c r="E593" s="173" t="s">
        <v>18</v>
      </c>
      <c r="F593" s="173" t="s">
        <v>16</v>
      </c>
      <c r="G593" s="87" t="b">
        <v>1</v>
      </c>
      <c r="H593" s="87" t="b">
        <v>0</v>
      </c>
      <c r="I593" s="87" t="b">
        <v>0</v>
      </c>
      <c r="J593" s="173" t="s">
        <v>468</v>
      </c>
      <c r="K593" s="174">
        <v>25841000153</v>
      </c>
      <c r="L593" s="173" t="s">
        <v>738</v>
      </c>
      <c r="M593" s="173" t="s">
        <v>739</v>
      </c>
      <c r="N593" s="173" t="s">
        <v>55</v>
      </c>
      <c r="O593" s="87">
        <v>70</v>
      </c>
      <c r="P593" s="173" t="s">
        <v>20</v>
      </c>
      <c r="Q593" s="1" t="s">
        <v>1345</v>
      </c>
      <c r="R593" s="175">
        <v>120</v>
      </c>
      <c r="S593">
        <v>12</v>
      </c>
    </row>
    <row r="594" spans="1:19" x14ac:dyDescent="0.25">
      <c r="A594" s="87">
        <v>2019</v>
      </c>
      <c r="B594" s="87">
        <v>8</v>
      </c>
      <c r="C594" s="173" t="s">
        <v>16</v>
      </c>
      <c r="D594" s="173" t="s">
        <v>21</v>
      </c>
      <c r="E594" s="173" t="s">
        <v>18</v>
      </c>
      <c r="F594" s="173" t="s">
        <v>16</v>
      </c>
      <c r="G594" s="87" t="b">
        <v>1</v>
      </c>
      <c r="H594" s="87" t="b">
        <v>0</v>
      </c>
      <c r="I594" s="87" t="b">
        <v>0</v>
      </c>
      <c r="J594" s="173" t="s">
        <v>491</v>
      </c>
      <c r="K594" s="174">
        <v>49791000144</v>
      </c>
      <c r="L594" s="173" t="s">
        <v>743</v>
      </c>
      <c r="M594" s="173" t="s">
        <v>739</v>
      </c>
      <c r="N594" s="173" t="s">
        <v>55</v>
      </c>
      <c r="O594" s="87">
        <v>62</v>
      </c>
      <c r="P594" s="173" t="s">
        <v>27</v>
      </c>
      <c r="Q594" s="1" t="s">
        <v>1343</v>
      </c>
      <c r="R594" s="175">
        <v>4</v>
      </c>
      <c r="S594">
        <v>4</v>
      </c>
    </row>
    <row r="595" spans="1:19" x14ac:dyDescent="0.25">
      <c r="A595" s="87">
        <v>2019</v>
      </c>
      <c r="B595" s="87">
        <v>8</v>
      </c>
      <c r="C595" s="173" t="s">
        <v>16</v>
      </c>
      <c r="D595" s="173" t="s">
        <v>21</v>
      </c>
      <c r="E595" s="173" t="s">
        <v>18</v>
      </c>
      <c r="F595" s="173" t="s">
        <v>16</v>
      </c>
      <c r="G595" s="87" t="b">
        <v>1</v>
      </c>
      <c r="H595" s="87" t="b">
        <v>0</v>
      </c>
      <c r="I595" s="87" t="b">
        <v>0</v>
      </c>
      <c r="J595" s="173" t="s">
        <v>491</v>
      </c>
      <c r="K595" s="174">
        <v>49791000144</v>
      </c>
      <c r="L595" s="173" t="s">
        <v>743</v>
      </c>
      <c r="M595" s="173" t="s">
        <v>739</v>
      </c>
      <c r="N595" s="173" t="s">
        <v>55</v>
      </c>
      <c r="O595" s="87">
        <v>64</v>
      </c>
      <c r="P595" s="173" t="s">
        <v>25</v>
      </c>
      <c r="Q595" s="1" t="s">
        <v>1344</v>
      </c>
      <c r="R595" s="175">
        <v>9</v>
      </c>
      <c r="S595">
        <v>9</v>
      </c>
    </row>
    <row r="596" spans="1:19" x14ac:dyDescent="0.25">
      <c r="A596" s="87">
        <v>2019</v>
      </c>
      <c r="B596" s="87">
        <v>8</v>
      </c>
      <c r="C596" s="173" t="s">
        <v>16</v>
      </c>
      <c r="D596" s="173" t="s">
        <v>21</v>
      </c>
      <c r="E596" s="173" t="s">
        <v>18</v>
      </c>
      <c r="F596" s="173" t="s">
        <v>16</v>
      </c>
      <c r="G596" s="87" t="b">
        <v>1</v>
      </c>
      <c r="H596" s="87" t="b">
        <v>0</v>
      </c>
      <c r="I596" s="87" t="b">
        <v>0</v>
      </c>
      <c r="J596" s="173" t="s">
        <v>468</v>
      </c>
      <c r="K596" s="174">
        <v>53629000108</v>
      </c>
      <c r="L596" s="173" t="s">
        <v>744</v>
      </c>
      <c r="M596" s="173" t="s">
        <v>745</v>
      </c>
      <c r="N596" s="173" t="s">
        <v>59</v>
      </c>
      <c r="O596" s="87">
        <v>70</v>
      </c>
      <c r="P596" s="173" t="s">
        <v>20</v>
      </c>
      <c r="Q596" s="1" t="s">
        <v>1338</v>
      </c>
      <c r="R596" s="175">
        <v>0</v>
      </c>
      <c r="S596">
        <v>0</v>
      </c>
    </row>
    <row r="597" spans="1:19" x14ac:dyDescent="0.25">
      <c r="A597" s="87">
        <v>2019</v>
      </c>
      <c r="B597" s="87">
        <v>8</v>
      </c>
      <c r="C597" s="173" t="s">
        <v>16</v>
      </c>
      <c r="D597" s="173" t="s">
        <v>21</v>
      </c>
      <c r="E597" s="173" t="s">
        <v>18</v>
      </c>
      <c r="F597" s="173" t="s">
        <v>16</v>
      </c>
      <c r="G597" s="87" t="b">
        <v>1</v>
      </c>
      <c r="H597" s="87" t="b">
        <v>0</v>
      </c>
      <c r="I597" s="87" t="b">
        <v>0</v>
      </c>
      <c r="J597" s="173" t="s">
        <v>453</v>
      </c>
      <c r="K597" s="174">
        <v>70306453673</v>
      </c>
      <c r="L597" s="173" t="s">
        <v>1131</v>
      </c>
      <c r="M597" s="173" t="s">
        <v>1132</v>
      </c>
      <c r="N597" s="173" t="s">
        <v>54</v>
      </c>
      <c r="O597" s="87">
        <v>66</v>
      </c>
      <c r="P597" s="173" t="s">
        <v>28</v>
      </c>
      <c r="Q597" s="1" t="s">
        <v>1341</v>
      </c>
      <c r="R597" s="175">
        <v>20</v>
      </c>
      <c r="S597">
        <v>20</v>
      </c>
    </row>
    <row r="598" spans="1:19" x14ac:dyDescent="0.25">
      <c r="A598" s="87">
        <v>2019</v>
      </c>
      <c r="B598" s="87">
        <v>8</v>
      </c>
      <c r="C598" s="173" t="s">
        <v>16</v>
      </c>
      <c r="D598" s="173" t="s">
        <v>21</v>
      </c>
      <c r="E598" s="173" t="s">
        <v>18</v>
      </c>
      <c r="F598" s="173" t="s">
        <v>16</v>
      </c>
      <c r="G598" s="87" t="b">
        <v>1</v>
      </c>
      <c r="H598" s="87" t="b">
        <v>0</v>
      </c>
      <c r="I598" s="87" t="b">
        <v>0</v>
      </c>
      <c r="J598" s="173" t="s">
        <v>1512</v>
      </c>
      <c r="K598" s="174">
        <v>82854246004</v>
      </c>
      <c r="L598" s="173" t="s">
        <v>931</v>
      </c>
      <c r="M598" s="173" t="s">
        <v>83</v>
      </c>
      <c r="N598" s="173" t="s">
        <v>67</v>
      </c>
      <c r="O598" s="87">
        <v>73</v>
      </c>
      <c r="P598" s="173" t="s">
        <v>26</v>
      </c>
      <c r="Q598" s="1" t="s">
        <v>1342</v>
      </c>
      <c r="R598" s="175">
        <v>64</v>
      </c>
      <c r="S598">
        <v>16</v>
      </c>
    </row>
    <row r="599" spans="1:19" x14ac:dyDescent="0.25">
      <c r="A599" s="87">
        <v>2019</v>
      </c>
      <c r="B599" s="87">
        <v>8</v>
      </c>
      <c r="C599" s="173" t="s">
        <v>16</v>
      </c>
      <c r="D599" s="173" t="s">
        <v>21</v>
      </c>
      <c r="E599" s="173" t="s">
        <v>18</v>
      </c>
      <c r="F599" s="173" t="s">
        <v>16</v>
      </c>
      <c r="G599" s="87" t="b">
        <v>1</v>
      </c>
      <c r="H599" s="87" t="b">
        <v>0</v>
      </c>
      <c r="I599" s="87" t="b">
        <v>0</v>
      </c>
      <c r="J599" s="173" t="s">
        <v>478</v>
      </c>
      <c r="K599" s="174">
        <v>132229000180</v>
      </c>
      <c r="L599" s="173" t="s">
        <v>1135</v>
      </c>
      <c r="M599" s="173" t="s">
        <v>58</v>
      </c>
      <c r="N599" s="173" t="s">
        <v>54</v>
      </c>
      <c r="O599" s="87">
        <v>70</v>
      </c>
      <c r="P599" s="173" t="s">
        <v>20</v>
      </c>
      <c r="Q599" s="1" t="s">
        <v>1338</v>
      </c>
      <c r="R599" s="175">
        <v>110</v>
      </c>
      <c r="S599">
        <v>22</v>
      </c>
    </row>
    <row r="600" spans="1:19" x14ac:dyDescent="0.25">
      <c r="A600" s="87">
        <v>2019</v>
      </c>
      <c r="B600" s="87">
        <v>8</v>
      </c>
      <c r="C600" s="173" t="s">
        <v>16</v>
      </c>
      <c r="D600" s="173" t="s">
        <v>21</v>
      </c>
      <c r="E600" s="173" t="s">
        <v>18</v>
      </c>
      <c r="F600" s="173" t="s">
        <v>16</v>
      </c>
      <c r="G600" s="87" t="b">
        <v>1</v>
      </c>
      <c r="H600" s="87" t="b">
        <v>0</v>
      </c>
      <c r="I600" s="87" t="b">
        <v>0</v>
      </c>
      <c r="J600" s="173" t="s">
        <v>464</v>
      </c>
      <c r="K600" s="174">
        <v>132229000180</v>
      </c>
      <c r="L600" s="173" t="s">
        <v>1135</v>
      </c>
      <c r="M600" s="173" t="s">
        <v>58</v>
      </c>
      <c r="N600" s="173" t="s">
        <v>54</v>
      </c>
      <c r="O600" s="87">
        <v>70</v>
      </c>
      <c r="P600" s="173" t="s">
        <v>20</v>
      </c>
      <c r="Q600" s="1" t="s">
        <v>1338</v>
      </c>
      <c r="R600" s="175">
        <v>70</v>
      </c>
      <c r="S600">
        <v>14</v>
      </c>
    </row>
    <row r="601" spans="1:19" x14ac:dyDescent="0.25">
      <c r="A601" s="87">
        <v>2019</v>
      </c>
      <c r="B601" s="87">
        <v>8</v>
      </c>
      <c r="C601" s="173" t="s">
        <v>16</v>
      </c>
      <c r="D601" s="173" t="s">
        <v>21</v>
      </c>
      <c r="E601" s="173" t="s">
        <v>18</v>
      </c>
      <c r="F601" s="173" t="s">
        <v>16</v>
      </c>
      <c r="G601" s="87" t="b">
        <v>1</v>
      </c>
      <c r="H601" s="87" t="b">
        <v>0</v>
      </c>
      <c r="I601" s="87" t="b">
        <v>0</v>
      </c>
      <c r="J601" s="173" t="s">
        <v>1512</v>
      </c>
      <c r="K601" s="174">
        <v>394502014870</v>
      </c>
      <c r="L601" s="173" t="s">
        <v>1070</v>
      </c>
      <c r="M601" s="173" t="s">
        <v>131</v>
      </c>
      <c r="N601" s="173" t="s">
        <v>61</v>
      </c>
      <c r="O601" s="87">
        <v>64</v>
      </c>
      <c r="P601" s="173" t="s">
        <v>25</v>
      </c>
      <c r="Q601" s="1" t="s">
        <v>1344</v>
      </c>
      <c r="R601" s="175">
        <v>10</v>
      </c>
      <c r="S601">
        <v>10</v>
      </c>
    </row>
    <row r="602" spans="1:19" x14ac:dyDescent="0.25">
      <c r="A602" s="87">
        <v>2019</v>
      </c>
      <c r="B602" s="87">
        <v>8</v>
      </c>
      <c r="C602" s="173" t="s">
        <v>16</v>
      </c>
      <c r="D602" s="173" t="s">
        <v>21</v>
      </c>
      <c r="E602" s="173" t="s">
        <v>18</v>
      </c>
      <c r="F602" s="173" t="s">
        <v>16</v>
      </c>
      <c r="G602" s="87" t="b">
        <v>1</v>
      </c>
      <c r="H602" s="87" t="b">
        <v>0</v>
      </c>
      <c r="I602" s="87" t="b">
        <v>0</v>
      </c>
      <c r="J602" s="173" t="s">
        <v>1330</v>
      </c>
      <c r="K602" s="174">
        <v>394544000851</v>
      </c>
      <c r="L602" s="173" t="s">
        <v>1136</v>
      </c>
      <c r="M602" s="173" t="s">
        <v>739</v>
      </c>
      <c r="N602" s="173" t="s">
        <v>55</v>
      </c>
      <c r="O602" s="87">
        <v>66</v>
      </c>
      <c r="P602" s="173" t="s">
        <v>28</v>
      </c>
      <c r="Q602" s="1" t="s">
        <v>1341</v>
      </c>
      <c r="R602" s="175">
        <v>12</v>
      </c>
      <c r="S602">
        <v>12</v>
      </c>
    </row>
    <row r="603" spans="1:19" x14ac:dyDescent="0.25">
      <c r="A603" s="87">
        <v>2019</v>
      </c>
      <c r="B603" s="87">
        <v>8</v>
      </c>
      <c r="C603" s="173" t="s">
        <v>16</v>
      </c>
      <c r="D603" s="173" t="s">
        <v>21</v>
      </c>
      <c r="E603" s="173" t="s">
        <v>18</v>
      </c>
      <c r="F603" s="173" t="s">
        <v>16</v>
      </c>
      <c r="G603" s="87" t="b">
        <v>1</v>
      </c>
      <c r="H603" s="87" t="b">
        <v>0</v>
      </c>
      <c r="I603" s="87" t="b">
        <v>0</v>
      </c>
      <c r="J603" s="173" t="s">
        <v>1330</v>
      </c>
      <c r="K603" s="174">
        <v>394544000851</v>
      </c>
      <c r="L603" s="173" t="s">
        <v>1136</v>
      </c>
      <c r="M603" s="173" t="s">
        <v>739</v>
      </c>
      <c r="N603" s="173" t="s">
        <v>55</v>
      </c>
      <c r="O603" s="87">
        <v>70</v>
      </c>
      <c r="P603" s="173" t="s">
        <v>20</v>
      </c>
      <c r="Q603" s="1" t="s">
        <v>1338</v>
      </c>
      <c r="R603" s="175">
        <v>630</v>
      </c>
      <c r="S603">
        <v>126</v>
      </c>
    </row>
    <row r="604" spans="1:19" x14ac:dyDescent="0.25">
      <c r="A604" s="87">
        <v>2019</v>
      </c>
      <c r="B604" s="87">
        <v>8</v>
      </c>
      <c r="C604" s="173" t="s">
        <v>16</v>
      </c>
      <c r="D604" s="173" t="s">
        <v>21</v>
      </c>
      <c r="E604" s="173" t="s">
        <v>18</v>
      </c>
      <c r="F604" s="173" t="s">
        <v>16</v>
      </c>
      <c r="G604" s="87" t="b">
        <v>1</v>
      </c>
      <c r="H604" s="87" t="b">
        <v>0</v>
      </c>
      <c r="I604" s="87" t="b">
        <v>0</v>
      </c>
      <c r="J604" s="173" t="s">
        <v>1330</v>
      </c>
      <c r="K604" s="174">
        <v>394544017150</v>
      </c>
      <c r="L604" s="173" t="s">
        <v>1071</v>
      </c>
      <c r="M604" s="173" t="s">
        <v>131</v>
      </c>
      <c r="N604" s="173" t="s">
        <v>61</v>
      </c>
      <c r="O604" s="87">
        <v>64</v>
      </c>
      <c r="P604" s="173" t="s">
        <v>25</v>
      </c>
      <c r="Q604" s="1" t="s">
        <v>1344</v>
      </c>
      <c r="R604" s="175">
        <v>20</v>
      </c>
      <c r="S604">
        <v>20</v>
      </c>
    </row>
    <row r="605" spans="1:19" x14ac:dyDescent="0.25">
      <c r="A605" s="87">
        <v>2019</v>
      </c>
      <c r="B605" s="87">
        <v>8</v>
      </c>
      <c r="C605" s="173" t="s">
        <v>16</v>
      </c>
      <c r="D605" s="173" t="s">
        <v>21</v>
      </c>
      <c r="E605" s="173" t="s">
        <v>18</v>
      </c>
      <c r="F605" s="173" t="s">
        <v>16</v>
      </c>
      <c r="G605" s="87" t="b">
        <v>1</v>
      </c>
      <c r="H605" s="87" t="b">
        <v>0</v>
      </c>
      <c r="I605" s="87" t="b">
        <v>0</v>
      </c>
      <c r="J605" s="173" t="s">
        <v>451</v>
      </c>
      <c r="K605" s="174">
        <v>410960000120</v>
      </c>
      <c r="L605" s="173" t="s">
        <v>1137</v>
      </c>
      <c r="M605" s="173" t="s">
        <v>58</v>
      </c>
      <c r="N605" s="173" t="s">
        <v>54</v>
      </c>
      <c r="O605" s="87">
        <v>70</v>
      </c>
      <c r="P605" s="173" t="s">
        <v>20</v>
      </c>
      <c r="Q605" s="1" t="s">
        <v>1346</v>
      </c>
      <c r="R605" s="175">
        <v>5</v>
      </c>
      <c r="S605">
        <v>2</v>
      </c>
    </row>
    <row r="606" spans="1:19" x14ac:dyDescent="0.25">
      <c r="A606" s="87">
        <v>2019</v>
      </c>
      <c r="B606" s="87">
        <v>8</v>
      </c>
      <c r="C606" s="173" t="s">
        <v>16</v>
      </c>
      <c r="D606" s="173" t="s">
        <v>21</v>
      </c>
      <c r="E606" s="173" t="s">
        <v>18</v>
      </c>
      <c r="F606" s="173" t="s">
        <v>16</v>
      </c>
      <c r="G606" s="87" t="b">
        <v>1</v>
      </c>
      <c r="H606" s="87" t="b">
        <v>0</v>
      </c>
      <c r="I606" s="87" t="b">
        <v>0</v>
      </c>
      <c r="J606" s="173" t="s">
        <v>451</v>
      </c>
      <c r="K606" s="174">
        <v>410960000120</v>
      </c>
      <c r="L606" s="173" t="s">
        <v>1137</v>
      </c>
      <c r="M606" s="173" t="s">
        <v>58</v>
      </c>
      <c r="N606" s="173" t="s">
        <v>54</v>
      </c>
      <c r="O606" s="87">
        <v>70</v>
      </c>
      <c r="P606" s="173" t="s">
        <v>20</v>
      </c>
      <c r="Q606" s="1" t="s">
        <v>1338</v>
      </c>
      <c r="R606" s="175">
        <v>680</v>
      </c>
      <c r="S606">
        <v>136</v>
      </c>
    </row>
    <row r="607" spans="1:19" x14ac:dyDescent="0.25">
      <c r="A607" s="87">
        <v>2019</v>
      </c>
      <c r="B607" s="87">
        <v>8</v>
      </c>
      <c r="C607" s="173" t="s">
        <v>16</v>
      </c>
      <c r="D607" s="173" t="s">
        <v>21</v>
      </c>
      <c r="E607" s="173" t="s">
        <v>18</v>
      </c>
      <c r="F607" s="173" t="s">
        <v>16</v>
      </c>
      <c r="G607" s="87" t="b">
        <v>1</v>
      </c>
      <c r="H607" s="87" t="b">
        <v>0</v>
      </c>
      <c r="I607" s="87" t="b">
        <v>0</v>
      </c>
      <c r="J607" s="173" t="s">
        <v>451</v>
      </c>
      <c r="K607" s="174">
        <v>410960000120</v>
      </c>
      <c r="L607" s="173" t="s">
        <v>1137</v>
      </c>
      <c r="M607" s="173" t="s">
        <v>58</v>
      </c>
      <c r="N607" s="173" t="s">
        <v>54</v>
      </c>
      <c r="O607" s="87">
        <v>73</v>
      </c>
      <c r="P607" s="173" t="s">
        <v>26</v>
      </c>
      <c r="Q607" s="1" t="s">
        <v>1342</v>
      </c>
      <c r="R607" s="175">
        <v>60</v>
      </c>
      <c r="S607">
        <v>15</v>
      </c>
    </row>
    <row r="608" spans="1:19" x14ac:dyDescent="0.25">
      <c r="A608" s="87">
        <v>2019</v>
      </c>
      <c r="B608" s="87">
        <v>8</v>
      </c>
      <c r="C608" s="173" t="s">
        <v>16</v>
      </c>
      <c r="D608" s="173" t="s">
        <v>21</v>
      </c>
      <c r="E608" s="173" t="s">
        <v>18</v>
      </c>
      <c r="F608" s="173" t="s">
        <v>16</v>
      </c>
      <c r="G608" s="87" t="b">
        <v>1</v>
      </c>
      <c r="H608" s="87" t="b">
        <v>0</v>
      </c>
      <c r="I608" s="87" t="b">
        <v>0</v>
      </c>
      <c r="J608" s="173" t="s">
        <v>451</v>
      </c>
      <c r="K608" s="174">
        <v>410960000120</v>
      </c>
      <c r="L608" s="173" t="s">
        <v>1137</v>
      </c>
      <c r="M608" s="173" t="s">
        <v>58</v>
      </c>
      <c r="N608" s="173" t="s">
        <v>54</v>
      </c>
      <c r="O608" s="87">
        <v>73</v>
      </c>
      <c r="P608" s="173" t="s">
        <v>26</v>
      </c>
      <c r="Q608" s="1" t="s">
        <v>1340</v>
      </c>
      <c r="R608" s="175">
        <v>4</v>
      </c>
      <c r="S608">
        <v>4</v>
      </c>
    </row>
    <row r="609" spans="1:19" x14ac:dyDescent="0.25">
      <c r="A609" s="87">
        <v>2019</v>
      </c>
      <c r="B609" s="87">
        <v>8</v>
      </c>
      <c r="C609" s="173" t="s">
        <v>16</v>
      </c>
      <c r="D609" s="173" t="s">
        <v>21</v>
      </c>
      <c r="E609" s="173" t="s">
        <v>18</v>
      </c>
      <c r="F609" s="173" t="s">
        <v>16</v>
      </c>
      <c r="G609" s="87" t="b">
        <v>1</v>
      </c>
      <c r="H609" s="87" t="b">
        <v>0</v>
      </c>
      <c r="I609" s="87" t="b">
        <v>0</v>
      </c>
      <c r="J609" s="173" t="s">
        <v>468</v>
      </c>
      <c r="K609" s="174">
        <v>418954000119</v>
      </c>
      <c r="L609" s="173" t="s">
        <v>751</v>
      </c>
      <c r="M609" s="173" t="s">
        <v>745</v>
      </c>
      <c r="N609" s="173" t="s">
        <v>59</v>
      </c>
      <c r="O609" s="87">
        <v>64</v>
      </c>
      <c r="P609" s="173" t="s">
        <v>25</v>
      </c>
      <c r="Q609" s="1" t="s">
        <v>1344</v>
      </c>
      <c r="R609" s="175">
        <v>10</v>
      </c>
      <c r="S609">
        <v>10</v>
      </c>
    </row>
    <row r="610" spans="1:19" x14ac:dyDescent="0.25">
      <c r="A610" s="87">
        <v>2019</v>
      </c>
      <c r="B610" s="87">
        <v>8</v>
      </c>
      <c r="C610" s="173" t="s">
        <v>16</v>
      </c>
      <c r="D610" s="173" t="s">
        <v>21</v>
      </c>
      <c r="E610" s="173" t="s">
        <v>18</v>
      </c>
      <c r="F610" s="173" t="s">
        <v>16</v>
      </c>
      <c r="G610" s="87" t="b">
        <v>1</v>
      </c>
      <c r="H610" s="87" t="b">
        <v>0</v>
      </c>
      <c r="I610" s="87" t="b">
        <v>0</v>
      </c>
      <c r="J610" s="173" t="s">
        <v>477</v>
      </c>
      <c r="K610" s="174">
        <v>437007000175</v>
      </c>
      <c r="L610" s="173" t="s">
        <v>1038</v>
      </c>
      <c r="M610" s="173" t="s">
        <v>1039</v>
      </c>
      <c r="N610" s="173" t="s">
        <v>61</v>
      </c>
      <c r="O610" s="87">
        <v>70</v>
      </c>
      <c r="P610" s="173" t="s">
        <v>20</v>
      </c>
      <c r="Q610" s="1" t="s">
        <v>1338</v>
      </c>
      <c r="R610" s="175">
        <v>505</v>
      </c>
      <c r="S610">
        <v>101</v>
      </c>
    </row>
    <row r="611" spans="1:19" x14ac:dyDescent="0.25">
      <c r="A611" s="87">
        <v>2019</v>
      </c>
      <c r="B611" s="87">
        <v>8</v>
      </c>
      <c r="C611" s="173" t="s">
        <v>16</v>
      </c>
      <c r="D611" s="173" t="s">
        <v>21</v>
      </c>
      <c r="E611" s="173" t="s">
        <v>18</v>
      </c>
      <c r="F611" s="173" t="s">
        <v>16</v>
      </c>
      <c r="G611" s="87" t="b">
        <v>1</v>
      </c>
      <c r="H611" s="87" t="b">
        <v>0</v>
      </c>
      <c r="I611" s="87" t="b">
        <v>0</v>
      </c>
      <c r="J611" s="173" t="s">
        <v>477</v>
      </c>
      <c r="K611" s="174">
        <v>437007000175</v>
      </c>
      <c r="L611" s="173" t="s">
        <v>1038</v>
      </c>
      <c r="M611" s="173" t="s">
        <v>1039</v>
      </c>
      <c r="N611" s="173" t="s">
        <v>61</v>
      </c>
      <c r="O611" s="87">
        <v>73</v>
      </c>
      <c r="P611" s="173" t="s">
        <v>26</v>
      </c>
      <c r="Q611" s="1" t="s">
        <v>1339</v>
      </c>
      <c r="R611" s="175">
        <v>52</v>
      </c>
      <c r="S611">
        <v>26</v>
      </c>
    </row>
    <row r="612" spans="1:19" x14ac:dyDescent="0.25">
      <c r="A612" s="87">
        <v>2019</v>
      </c>
      <c r="B612" s="87">
        <v>8</v>
      </c>
      <c r="C612" s="173" t="s">
        <v>16</v>
      </c>
      <c r="D612" s="173" t="s">
        <v>21</v>
      </c>
      <c r="E612" s="173" t="s">
        <v>18</v>
      </c>
      <c r="F612" s="173" t="s">
        <v>16</v>
      </c>
      <c r="G612" s="87" t="b">
        <v>1</v>
      </c>
      <c r="H612" s="87" t="b">
        <v>0</v>
      </c>
      <c r="I612" s="87" t="b">
        <v>0</v>
      </c>
      <c r="J612" s="173" t="s">
        <v>477</v>
      </c>
      <c r="K612" s="174">
        <v>437007000175</v>
      </c>
      <c r="L612" s="173" t="s">
        <v>1038</v>
      </c>
      <c r="M612" s="173" t="s">
        <v>1039</v>
      </c>
      <c r="N612" s="173" t="s">
        <v>61</v>
      </c>
      <c r="O612" s="87">
        <v>73</v>
      </c>
      <c r="P612" s="173" t="s">
        <v>26</v>
      </c>
      <c r="Q612" s="1" t="s">
        <v>1342</v>
      </c>
      <c r="R612" s="175">
        <v>40</v>
      </c>
      <c r="S612">
        <v>10</v>
      </c>
    </row>
    <row r="613" spans="1:19" x14ac:dyDescent="0.25">
      <c r="A613" s="87">
        <v>2019</v>
      </c>
      <c r="B613" s="87">
        <v>8</v>
      </c>
      <c r="C613" s="173" t="s">
        <v>16</v>
      </c>
      <c r="D613" s="173" t="s">
        <v>21</v>
      </c>
      <c r="E613" s="173" t="s">
        <v>18</v>
      </c>
      <c r="F613" s="173" t="s">
        <v>16</v>
      </c>
      <c r="G613" s="87" t="b">
        <v>1</v>
      </c>
      <c r="H613" s="87" t="b">
        <v>0</v>
      </c>
      <c r="I613" s="87" t="b">
        <v>0</v>
      </c>
      <c r="J613" s="173" t="s">
        <v>491</v>
      </c>
      <c r="K613" s="174">
        <v>437007000175</v>
      </c>
      <c r="L613" s="173" t="s">
        <v>1038</v>
      </c>
      <c r="M613" s="173" t="s">
        <v>1039</v>
      </c>
      <c r="N613" s="173" t="s">
        <v>61</v>
      </c>
      <c r="O613" s="87">
        <v>73</v>
      </c>
      <c r="P613" s="173" t="s">
        <v>26</v>
      </c>
      <c r="Q613" s="1" t="s">
        <v>1339</v>
      </c>
      <c r="R613" s="175">
        <v>32</v>
      </c>
      <c r="S613">
        <v>16</v>
      </c>
    </row>
    <row r="614" spans="1:19" x14ac:dyDescent="0.25">
      <c r="A614" s="87">
        <v>2019</v>
      </c>
      <c r="B614" s="87">
        <v>8</v>
      </c>
      <c r="C614" s="173" t="s">
        <v>16</v>
      </c>
      <c r="D614" s="173" t="s">
        <v>21</v>
      </c>
      <c r="E614" s="173" t="s">
        <v>18</v>
      </c>
      <c r="F614" s="173" t="s">
        <v>16</v>
      </c>
      <c r="G614" s="87" t="b">
        <v>1</v>
      </c>
      <c r="H614" s="87" t="b">
        <v>0</v>
      </c>
      <c r="I614" s="87" t="b">
        <v>0</v>
      </c>
      <c r="J614" s="173" t="s">
        <v>1512</v>
      </c>
      <c r="K614" s="174">
        <v>437007000175</v>
      </c>
      <c r="L614" s="173" t="s">
        <v>1038</v>
      </c>
      <c r="M614" s="173" t="s">
        <v>1039</v>
      </c>
      <c r="N614" s="173" t="s">
        <v>61</v>
      </c>
      <c r="O614" s="87">
        <v>73</v>
      </c>
      <c r="P614" s="173" t="s">
        <v>26</v>
      </c>
      <c r="Q614" s="1" t="s">
        <v>1342</v>
      </c>
      <c r="R614" s="175">
        <v>104</v>
      </c>
      <c r="S614">
        <v>26</v>
      </c>
    </row>
    <row r="615" spans="1:19" x14ac:dyDescent="0.25">
      <c r="A615" s="87">
        <v>2019</v>
      </c>
      <c r="B615" s="87">
        <v>8</v>
      </c>
      <c r="C615" s="173" t="s">
        <v>16</v>
      </c>
      <c r="D615" s="173" t="s">
        <v>21</v>
      </c>
      <c r="E615" s="173" t="s">
        <v>18</v>
      </c>
      <c r="F615" s="173" t="s">
        <v>16</v>
      </c>
      <c r="G615" s="87" t="b">
        <v>1</v>
      </c>
      <c r="H615" s="87" t="b">
        <v>0</v>
      </c>
      <c r="I615" s="87" t="b">
        <v>0</v>
      </c>
      <c r="J615" s="173" t="s">
        <v>491</v>
      </c>
      <c r="K615" s="174">
        <v>511816000180</v>
      </c>
      <c r="L615" s="173" t="s">
        <v>754</v>
      </c>
      <c r="M615" s="173" t="s">
        <v>739</v>
      </c>
      <c r="N615" s="173" t="s">
        <v>55</v>
      </c>
      <c r="O615" s="87">
        <v>62</v>
      </c>
      <c r="P615" s="173" t="s">
        <v>27</v>
      </c>
      <c r="Q615" s="1" t="s">
        <v>1343</v>
      </c>
      <c r="R615" s="175">
        <v>4</v>
      </c>
      <c r="S615">
        <v>4</v>
      </c>
    </row>
    <row r="616" spans="1:19" x14ac:dyDescent="0.25">
      <c r="A616" s="87">
        <v>2019</v>
      </c>
      <c r="B616" s="87">
        <v>8</v>
      </c>
      <c r="C616" s="173" t="s">
        <v>16</v>
      </c>
      <c r="D616" s="173" t="s">
        <v>21</v>
      </c>
      <c r="E616" s="173" t="s">
        <v>18</v>
      </c>
      <c r="F616" s="173" t="s">
        <v>16</v>
      </c>
      <c r="G616" s="87" t="b">
        <v>1</v>
      </c>
      <c r="H616" s="87" t="b">
        <v>0</v>
      </c>
      <c r="I616" s="87" t="b">
        <v>0</v>
      </c>
      <c r="J616" s="173" t="s">
        <v>468</v>
      </c>
      <c r="K616" s="174">
        <v>520237000101</v>
      </c>
      <c r="L616" s="173" t="s">
        <v>755</v>
      </c>
      <c r="M616" s="173" t="s">
        <v>739</v>
      </c>
      <c r="N616" s="173" t="s">
        <v>55</v>
      </c>
      <c r="O616" s="87">
        <v>70</v>
      </c>
      <c r="P616" s="173" t="s">
        <v>20</v>
      </c>
      <c r="Q616" s="1" t="s">
        <v>1338</v>
      </c>
      <c r="R616" s="175">
        <v>800</v>
      </c>
      <c r="S616">
        <v>160</v>
      </c>
    </row>
    <row r="617" spans="1:19" x14ac:dyDescent="0.25">
      <c r="A617" s="87">
        <v>2019</v>
      </c>
      <c r="B617" s="87">
        <v>8</v>
      </c>
      <c r="C617" s="173" t="s">
        <v>16</v>
      </c>
      <c r="D617" s="173" t="s">
        <v>21</v>
      </c>
      <c r="E617" s="173" t="s">
        <v>18</v>
      </c>
      <c r="F617" s="173" t="s">
        <v>16</v>
      </c>
      <c r="G617" s="87" t="b">
        <v>1</v>
      </c>
      <c r="H617" s="87" t="b">
        <v>0</v>
      </c>
      <c r="I617" s="87" t="b">
        <v>0</v>
      </c>
      <c r="J617" s="173" t="s">
        <v>468</v>
      </c>
      <c r="K617" s="174">
        <v>520237000101</v>
      </c>
      <c r="L617" s="173" t="s">
        <v>755</v>
      </c>
      <c r="M617" s="173" t="s">
        <v>739</v>
      </c>
      <c r="N617" s="173" t="s">
        <v>55</v>
      </c>
      <c r="O617" s="87">
        <v>73</v>
      </c>
      <c r="P617" s="173" t="s">
        <v>26</v>
      </c>
      <c r="Q617" s="1" t="s">
        <v>1339</v>
      </c>
      <c r="R617" s="175">
        <v>28</v>
      </c>
      <c r="S617">
        <v>14</v>
      </c>
    </row>
    <row r="618" spans="1:19" x14ac:dyDescent="0.25">
      <c r="A618" s="87">
        <v>2019</v>
      </c>
      <c r="B618" s="87">
        <v>8</v>
      </c>
      <c r="C618" s="173" t="s">
        <v>16</v>
      </c>
      <c r="D618" s="173" t="s">
        <v>21</v>
      </c>
      <c r="E618" s="173" t="s">
        <v>18</v>
      </c>
      <c r="F618" s="173" t="s">
        <v>16</v>
      </c>
      <c r="G618" s="87" t="b">
        <v>1</v>
      </c>
      <c r="H618" s="87" t="b">
        <v>0</v>
      </c>
      <c r="I618" s="87" t="b">
        <v>0</v>
      </c>
      <c r="J618" s="173" t="s">
        <v>468</v>
      </c>
      <c r="K618" s="174">
        <v>520237000101</v>
      </c>
      <c r="L618" s="173" t="s">
        <v>755</v>
      </c>
      <c r="M618" s="173" t="s">
        <v>739</v>
      </c>
      <c r="N618" s="173" t="s">
        <v>55</v>
      </c>
      <c r="O618" s="87">
        <v>73</v>
      </c>
      <c r="P618" s="173" t="s">
        <v>26</v>
      </c>
      <c r="Q618" s="1" t="s">
        <v>1342</v>
      </c>
      <c r="R618" s="175">
        <v>224</v>
      </c>
      <c r="S618">
        <v>56</v>
      </c>
    </row>
    <row r="619" spans="1:19" x14ac:dyDescent="0.25">
      <c r="A619" s="87">
        <v>2019</v>
      </c>
      <c r="B619" s="87">
        <v>8</v>
      </c>
      <c r="C619" s="173" t="s">
        <v>16</v>
      </c>
      <c r="D619" s="173" t="s">
        <v>21</v>
      </c>
      <c r="E619" s="173" t="s">
        <v>18</v>
      </c>
      <c r="F619" s="173" t="s">
        <v>16</v>
      </c>
      <c r="G619" s="87" t="b">
        <v>1</v>
      </c>
      <c r="H619" s="87" t="b">
        <v>0</v>
      </c>
      <c r="I619" s="87" t="b">
        <v>0</v>
      </c>
      <c r="J619" s="173" t="s">
        <v>468</v>
      </c>
      <c r="K619" s="174">
        <v>520237000101</v>
      </c>
      <c r="L619" s="173" t="s">
        <v>755</v>
      </c>
      <c r="M619" s="173" t="s">
        <v>739</v>
      </c>
      <c r="N619" s="173" t="s">
        <v>55</v>
      </c>
      <c r="O619" s="87">
        <v>73</v>
      </c>
      <c r="P619" s="173" t="s">
        <v>26</v>
      </c>
      <c r="Q619" s="1" t="s">
        <v>1340</v>
      </c>
      <c r="R619" s="175">
        <v>7</v>
      </c>
      <c r="S619">
        <v>7</v>
      </c>
    </row>
    <row r="620" spans="1:19" x14ac:dyDescent="0.25">
      <c r="A620" s="87">
        <v>2019</v>
      </c>
      <c r="B620" s="87">
        <v>8</v>
      </c>
      <c r="C620" s="173" t="s">
        <v>16</v>
      </c>
      <c r="D620" s="173" t="s">
        <v>21</v>
      </c>
      <c r="E620" s="173" t="s">
        <v>18</v>
      </c>
      <c r="F620" s="173" t="s">
        <v>16</v>
      </c>
      <c r="G620" s="87" t="b">
        <v>1</v>
      </c>
      <c r="H620" s="87" t="b">
        <v>0</v>
      </c>
      <c r="I620" s="87" t="b">
        <v>0</v>
      </c>
      <c r="J620" s="173" t="s">
        <v>477</v>
      </c>
      <c r="K620" s="174">
        <v>521197000104</v>
      </c>
      <c r="L620" s="173" t="s">
        <v>1040</v>
      </c>
      <c r="M620" s="173" t="s">
        <v>1039</v>
      </c>
      <c r="N620" s="173" t="s">
        <v>61</v>
      </c>
      <c r="O620" s="87">
        <v>70</v>
      </c>
      <c r="P620" s="173" t="s">
        <v>20</v>
      </c>
      <c r="Q620" s="1" t="s">
        <v>1338</v>
      </c>
      <c r="R620" s="175">
        <v>225</v>
      </c>
      <c r="S620">
        <v>45</v>
      </c>
    </row>
    <row r="621" spans="1:19" x14ac:dyDescent="0.25">
      <c r="A621" s="87">
        <v>2019</v>
      </c>
      <c r="B621" s="87">
        <v>8</v>
      </c>
      <c r="C621" s="173" t="s">
        <v>16</v>
      </c>
      <c r="D621" s="173" t="s">
        <v>21</v>
      </c>
      <c r="E621" s="173" t="s">
        <v>18</v>
      </c>
      <c r="F621" s="173" t="s">
        <v>16</v>
      </c>
      <c r="G621" s="87" t="b">
        <v>1</v>
      </c>
      <c r="H621" s="87" t="b">
        <v>0</v>
      </c>
      <c r="I621" s="87" t="b">
        <v>0</v>
      </c>
      <c r="J621" s="173" t="s">
        <v>451</v>
      </c>
      <c r="K621" s="174">
        <v>521197000104</v>
      </c>
      <c r="L621" s="173" t="s">
        <v>1040</v>
      </c>
      <c r="M621" s="173" t="s">
        <v>1039</v>
      </c>
      <c r="N621" s="173" t="s">
        <v>61</v>
      </c>
      <c r="O621" s="87">
        <v>70</v>
      </c>
      <c r="P621" s="173" t="s">
        <v>20</v>
      </c>
      <c r="Q621" s="1" t="s">
        <v>1346</v>
      </c>
      <c r="R621" s="175">
        <v>12.5</v>
      </c>
      <c r="S621">
        <v>5</v>
      </c>
    </row>
    <row r="622" spans="1:19" x14ac:dyDescent="0.25">
      <c r="A622" s="87">
        <v>2019</v>
      </c>
      <c r="B622" s="87">
        <v>8</v>
      </c>
      <c r="C622" s="173" t="s">
        <v>16</v>
      </c>
      <c r="D622" s="173" t="s">
        <v>21</v>
      </c>
      <c r="E622" s="173" t="s">
        <v>18</v>
      </c>
      <c r="F622" s="173" t="s">
        <v>16</v>
      </c>
      <c r="G622" s="87" t="b">
        <v>1</v>
      </c>
      <c r="H622" s="87" t="b">
        <v>0</v>
      </c>
      <c r="I622" s="87" t="b">
        <v>0</v>
      </c>
      <c r="J622" s="173" t="s">
        <v>491</v>
      </c>
      <c r="K622" s="174">
        <v>521197000104</v>
      </c>
      <c r="L622" s="173" t="s">
        <v>1040</v>
      </c>
      <c r="M622" s="173" t="s">
        <v>1039</v>
      </c>
      <c r="N622" s="173" t="s">
        <v>61</v>
      </c>
      <c r="O622" s="87">
        <v>70</v>
      </c>
      <c r="P622" s="173" t="s">
        <v>20</v>
      </c>
      <c r="Q622" s="1" t="s">
        <v>1338</v>
      </c>
      <c r="R622" s="175">
        <v>400</v>
      </c>
      <c r="S622">
        <v>80</v>
      </c>
    </row>
    <row r="623" spans="1:19" x14ac:dyDescent="0.25">
      <c r="A623" s="87">
        <v>2019</v>
      </c>
      <c r="B623" s="87">
        <v>8</v>
      </c>
      <c r="C623" s="173" t="s">
        <v>16</v>
      </c>
      <c r="D623" s="173" t="s">
        <v>21</v>
      </c>
      <c r="E623" s="173" t="s">
        <v>18</v>
      </c>
      <c r="F623" s="173" t="s">
        <v>16</v>
      </c>
      <c r="G623" s="87" t="b">
        <v>1</v>
      </c>
      <c r="H623" s="87" t="b">
        <v>0</v>
      </c>
      <c r="I623" s="87" t="b">
        <v>0</v>
      </c>
      <c r="J623" s="173" t="s">
        <v>468</v>
      </c>
      <c r="K623" s="174">
        <v>610980000144</v>
      </c>
      <c r="L623" s="173" t="s">
        <v>756</v>
      </c>
      <c r="M623" s="173" t="s">
        <v>739</v>
      </c>
      <c r="N623" s="173" t="s">
        <v>55</v>
      </c>
      <c r="O623" s="87">
        <v>64</v>
      </c>
      <c r="P623" s="173" t="s">
        <v>25</v>
      </c>
      <c r="Q623" s="1" t="s">
        <v>1344</v>
      </c>
      <c r="R623" s="175">
        <v>5</v>
      </c>
      <c r="S623">
        <v>5</v>
      </c>
    </row>
    <row r="624" spans="1:19" x14ac:dyDescent="0.25">
      <c r="A624" s="87">
        <v>2019</v>
      </c>
      <c r="B624" s="87">
        <v>8</v>
      </c>
      <c r="C624" s="173" t="s">
        <v>16</v>
      </c>
      <c r="D624" s="173" t="s">
        <v>21</v>
      </c>
      <c r="E624" s="173" t="s">
        <v>18</v>
      </c>
      <c r="F624" s="173" t="s">
        <v>16</v>
      </c>
      <c r="G624" s="87" t="b">
        <v>1</v>
      </c>
      <c r="H624" s="87" t="b">
        <v>0</v>
      </c>
      <c r="I624" s="87" t="b">
        <v>0</v>
      </c>
      <c r="J624" s="173" t="s">
        <v>468</v>
      </c>
      <c r="K624" s="174">
        <v>610980000144</v>
      </c>
      <c r="L624" s="173" t="s">
        <v>756</v>
      </c>
      <c r="M624" s="173" t="s">
        <v>739</v>
      </c>
      <c r="N624" s="173" t="s">
        <v>55</v>
      </c>
      <c r="O624" s="87">
        <v>70</v>
      </c>
      <c r="P624" s="173" t="s">
        <v>20</v>
      </c>
      <c r="Q624" s="1" t="s">
        <v>1338</v>
      </c>
      <c r="R624" s="175">
        <v>150</v>
      </c>
      <c r="S624">
        <v>30</v>
      </c>
    </row>
    <row r="625" spans="1:19" x14ac:dyDescent="0.25">
      <c r="A625" s="87">
        <v>2019</v>
      </c>
      <c r="B625" s="87">
        <v>8</v>
      </c>
      <c r="C625" s="173" t="s">
        <v>16</v>
      </c>
      <c r="D625" s="173" t="s">
        <v>21</v>
      </c>
      <c r="E625" s="173" t="s">
        <v>18</v>
      </c>
      <c r="F625" s="173" t="s">
        <v>16</v>
      </c>
      <c r="G625" s="87" t="b">
        <v>1</v>
      </c>
      <c r="H625" s="87" t="b">
        <v>0</v>
      </c>
      <c r="I625" s="87" t="b">
        <v>0</v>
      </c>
      <c r="J625" s="173" t="s">
        <v>460</v>
      </c>
      <c r="K625" s="174">
        <v>820737000150</v>
      </c>
      <c r="L625" s="173" t="s">
        <v>757</v>
      </c>
      <c r="M625" s="173" t="s">
        <v>62</v>
      </c>
      <c r="N625" s="173" t="s">
        <v>63</v>
      </c>
      <c r="O625" s="87">
        <v>64</v>
      </c>
      <c r="P625" s="173" t="s">
        <v>25</v>
      </c>
      <c r="Q625" s="1" t="s">
        <v>1344</v>
      </c>
      <c r="R625" s="175">
        <v>20</v>
      </c>
      <c r="S625">
        <v>20</v>
      </c>
    </row>
    <row r="626" spans="1:19" x14ac:dyDescent="0.25">
      <c r="A626" s="87">
        <v>2019</v>
      </c>
      <c r="B626" s="87">
        <v>8</v>
      </c>
      <c r="C626" s="173" t="s">
        <v>16</v>
      </c>
      <c r="D626" s="173" t="s">
        <v>21</v>
      </c>
      <c r="E626" s="173" t="s">
        <v>18</v>
      </c>
      <c r="F626" s="173" t="s">
        <v>16</v>
      </c>
      <c r="G626" s="87" t="b">
        <v>1</v>
      </c>
      <c r="H626" s="87" t="b">
        <v>0</v>
      </c>
      <c r="I626" s="87" t="b">
        <v>0</v>
      </c>
      <c r="J626" s="173" t="s">
        <v>470</v>
      </c>
      <c r="K626" s="174">
        <v>820737000150</v>
      </c>
      <c r="L626" s="173" t="s">
        <v>757</v>
      </c>
      <c r="M626" s="173" t="s">
        <v>62</v>
      </c>
      <c r="N626" s="173" t="s">
        <v>63</v>
      </c>
      <c r="O626" s="87">
        <v>64</v>
      </c>
      <c r="P626" s="173" t="s">
        <v>25</v>
      </c>
      <c r="Q626" s="1" t="s">
        <v>1344</v>
      </c>
      <c r="R626" s="175">
        <v>75</v>
      </c>
      <c r="S626">
        <v>75</v>
      </c>
    </row>
    <row r="627" spans="1:19" x14ac:dyDescent="0.25">
      <c r="A627" s="87">
        <v>2019</v>
      </c>
      <c r="B627" s="87">
        <v>8</v>
      </c>
      <c r="C627" s="173" t="s">
        <v>16</v>
      </c>
      <c r="D627" s="173" t="s">
        <v>21</v>
      </c>
      <c r="E627" s="173" t="s">
        <v>18</v>
      </c>
      <c r="F627" s="173" t="s">
        <v>16</v>
      </c>
      <c r="G627" s="87" t="b">
        <v>1</v>
      </c>
      <c r="H627" s="87" t="b">
        <v>0</v>
      </c>
      <c r="I627" s="87" t="b">
        <v>0</v>
      </c>
      <c r="J627" s="173" t="s">
        <v>464</v>
      </c>
      <c r="K627" s="174">
        <v>820737000150</v>
      </c>
      <c r="L627" s="173" t="s">
        <v>757</v>
      </c>
      <c r="M627" s="173" t="s">
        <v>62</v>
      </c>
      <c r="N627" s="173" t="s">
        <v>63</v>
      </c>
      <c r="O627" s="87">
        <v>64</v>
      </c>
      <c r="P627" s="173" t="s">
        <v>25</v>
      </c>
      <c r="Q627" s="1" t="s">
        <v>1344</v>
      </c>
      <c r="R627" s="175">
        <v>20</v>
      </c>
      <c r="S627">
        <v>20</v>
      </c>
    </row>
    <row r="628" spans="1:19" x14ac:dyDescent="0.25">
      <c r="A628" s="87">
        <v>2019</v>
      </c>
      <c r="B628" s="87">
        <v>8</v>
      </c>
      <c r="C628" s="173" t="s">
        <v>16</v>
      </c>
      <c r="D628" s="173" t="s">
        <v>21</v>
      </c>
      <c r="E628" s="173" t="s">
        <v>18</v>
      </c>
      <c r="F628" s="173" t="s">
        <v>16</v>
      </c>
      <c r="G628" s="87" t="b">
        <v>1</v>
      </c>
      <c r="H628" s="87" t="b">
        <v>0</v>
      </c>
      <c r="I628" s="87" t="b">
        <v>0</v>
      </c>
      <c r="J628" s="173" t="s">
        <v>451</v>
      </c>
      <c r="K628" s="174">
        <v>820737000150</v>
      </c>
      <c r="L628" s="173" t="s">
        <v>757</v>
      </c>
      <c r="M628" s="173" t="s">
        <v>62</v>
      </c>
      <c r="N628" s="173" t="s">
        <v>63</v>
      </c>
      <c r="O628" s="87">
        <v>64</v>
      </c>
      <c r="P628" s="173" t="s">
        <v>25</v>
      </c>
      <c r="Q628" s="1" t="s">
        <v>1344</v>
      </c>
      <c r="R628" s="175">
        <v>58</v>
      </c>
      <c r="S628">
        <v>58</v>
      </c>
    </row>
    <row r="629" spans="1:19" x14ac:dyDescent="0.25">
      <c r="A629" s="87">
        <v>2019</v>
      </c>
      <c r="B629" s="87">
        <v>8</v>
      </c>
      <c r="C629" s="173" t="s">
        <v>16</v>
      </c>
      <c r="D629" s="173" t="s">
        <v>21</v>
      </c>
      <c r="E629" s="173" t="s">
        <v>18</v>
      </c>
      <c r="F629" s="173" t="s">
        <v>16</v>
      </c>
      <c r="G629" s="87" t="b">
        <v>1</v>
      </c>
      <c r="H629" s="87" t="b">
        <v>0</v>
      </c>
      <c r="I629" s="87" t="b">
        <v>0</v>
      </c>
      <c r="J629" s="173" t="s">
        <v>495</v>
      </c>
      <c r="K629" s="174">
        <v>840048000450</v>
      </c>
      <c r="L629" s="173" t="s">
        <v>637</v>
      </c>
      <c r="M629" s="173" t="s">
        <v>30</v>
      </c>
      <c r="N629" s="173" t="s">
        <v>19</v>
      </c>
      <c r="O629" s="87">
        <v>70</v>
      </c>
      <c r="P629" s="173" t="s">
        <v>20</v>
      </c>
      <c r="Q629" s="1" t="s">
        <v>1338</v>
      </c>
      <c r="R629" s="175">
        <v>5</v>
      </c>
      <c r="S629">
        <v>1</v>
      </c>
    </row>
    <row r="630" spans="1:19" x14ac:dyDescent="0.25">
      <c r="A630" s="87">
        <v>2019</v>
      </c>
      <c r="B630" s="87">
        <v>8</v>
      </c>
      <c r="C630" s="173" t="s">
        <v>16</v>
      </c>
      <c r="D630" s="173" t="s">
        <v>21</v>
      </c>
      <c r="E630" s="173" t="s">
        <v>18</v>
      </c>
      <c r="F630" s="173" t="s">
        <v>16</v>
      </c>
      <c r="G630" s="87" t="b">
        <v>1</v>
      </c>
      <c r="H630" s="87" t="b">
        <v>0</v>
      </c>
      <c r="I630" s="87" t="b">
        <v>0</v>
      </c>
      <c r="J630" s="173" t="s">
        <v>464</v>
      </c>
      <c r="K630" s="174">
        <v>860841000179</v>
      </c>
      <c r="L630" s="173" t="s">
        <v>758</v>
      </c>
      <c r="M630" s="173" t="s">
        <v>64</v>
      </c>
      <c r="N630" s="173" t="s">
        <v>65</v>
      </c>
      <c r="O630" s="87">
        <v>64</v>
      </c>
      <c r="P630" s="173" t="s">
        <v>25</v>
      </c>
      <c r="Q630" s="1" t="s">
        <v>1344</v>
      </c>
      <c r="R630" s="175">
        <v>-2</v>
      </c>
      <c r="S630">
        <v>-2</v>
      </c>
    </row>
    <row r="631" spans="1:19" x14ac:dyDescent="0.25">
      <c r="A631" s="87">
        <v>2019</v>
      </c>
      <c r="B631" s="87">
        <v>8</v>
      </c>
      <c r="C631" s="173" t="s">
        <v>16</v>
      </c>
      <c r="D631" s="173" t="s">
        <v>21</v>
      </c>
      <c r="E631" s="173" t="s">
        <v>18</v>
      </c>
      <c r="F631" s="173" t="s">
        <v>16</v>
      </c>
      <c r="G631" s="87" t="b">
        <v>1</v>
      </c>
      <c r="H631" s="87" t="b">
        <v>0</v>
      </c>
      <c r="I631" s="87" t="b">
        <v>0</v>
      </c>
      <c r="J631" s="173" t="s">
        <v>492</v>
      </c>
      <c r="K631" s="174">
        <v>942063000167</v>
      </c>
      <c r="L631" s="173" t="s">
        <v>934</v>
      </c>
      <c r="M631" s="173" t="s">
        <v>94</v>
      </c>
      <c r="N631" s="173" t="s">
        <v>57</v>
      </c>
      <c r="O631" s="87">
        <v>70</v>
      </c>
      <c r="P631" s="173" t="s">
        <v>20</v>
      </c>
      <c r="Q631" s="1" t="s">
        <v>1338</v>
      </c>
      <c r="R631" s="175">
        <v>1505</v>
      </c>
      <c r="S631">
        <v>301</v>
      </c>
    </row>
    <row r="632" spans="1:19" x14ac:dyDescent="0.25">
      <c r="A632" s="87">
        <v>2019</v>
      </c>
      <c r="B632" s="87">
        <v>8</v>
      </c>
      <c r="C632" s="173" t="s">
        <v>16</v>
      </c>
      <c r="D632" s="173" t="s">
        <v>21</v>
      </c>
      <c r="E632" s="173" t="s">
        <v>18</v>
      </c>
      <c r="F632" s="173" t="s">
        <v>16</v>
      </c>
      <c r="G632" s="87" t="b">
        <v>1</v>
      </c>
      <c r="H632" s="87" t="b">
        <v>0</v>
      </c>
      <c r="I632" s="87" t="b">
        <v>0</v>
      </c>
      <c r="J632" s="173" t="s">
        <v>495</v>
      </c>
      <c r="K632" s="174">
        <v>942063000167</v>
      </c>
      <c r="L632" s="173" t="s">
        <v>934</v>
      </c>
      <c r="M632" s="173" t="s">
        <v>94</v>
      </c>
      <c r="N632" s="173" t="s">
        <v>57</v>
      </c>
      <c r="O632" s="87">
        <v>70</v>
      </c>
      <c r="P632" s="173" t="s">
        <v>20</v>
      </c>
      <c r="Q632" s="1" t="s">
        <v>1338</v>
      </c>
      <c r="R632" s="175">
        <v>250</v>
      </c>
      <c r="S632">
        <v>50</v>
      </c>
    </row>
    <row r="633" spans="1:19" x14ac:dyDescent="0.25">
      <c r="A633" s="87">
        <v>2019</v>
      </c>
      <c r="B633" s="87">
        <v>8</v>
      </c>
      <c r="C633" s="173" t="s">
        <v>16</v>
      </c>
      <c r="D633" s="173" t="s">
        <v>21</v>
      </c>
      <c r="E633" s="173" t="s">
        <v>18</v>
      </c>
      <c r="F633" s="173" t="s">
        <v>16</v>
      </c>
      <c r="G633" s="87" t="b">
        <v>1</v>
      </c>
      <c r="H633" s="87" t="b">
        <v>0</v>
      </c>
      <c r="I633" s="87" t="b">
        <v>0</v>
      </c>
      <c r="J633" s="173" t="s">
        <v>468</v>
      </c>
      <c r="K633" s="174">
        <v>1011865000116</v>
      </c>
      <c r="L633" s="173" t="s">
        <v>759</v>
      </c>
      <c r="M633" s="173" t="s">
        <v>745</v>
      </c>
      <c r="N633" s="173" t="s">
        <v>59</v>
      </c>
      <c r="O633" s="87">
        <v>70</v>
      </c>
      <c r="P633" s="173" t="s">
        <v>20</v>
      </c>
      <c r="Q633" s="1" t="s">
        <v>1338</v>
      </c>
      <c r="R633" s="175">
        <v>350</v>
      </c>
      <c r="S633">
        <v>70</v>
      </c>
    </row>
    <row r="634" spans="1:19" x14ac:dyDescent="0.25">
      <c r="A634" s="87">
        <v>2019</v>
      </c>
      <c r="B634" s="87">
        <v>8</v>
      </c>
      <c r="C634" s="173" t="s">
        <v>16</v>
      </c>
      <c r="D634" s="173" t="s">
        <v>21</v>
      </c>
      <c r="E634" s="173" t="s">
        <v>18</v>
      </c>
      <c r="F634" s="173" t="s">
        <v>16</v>
      </c>
      <c r="G634" s="87" t="b">
        <v>1</v>
      </c>
      <c r="H634" s="87" t="b">
        <v>0</v>
      </c>
      <c r="I634" s="87" t="b">
        <v>0</v>
      </c>
      <c r="J634" s="173" t="s">
        <v>470</v>
      </c>
      <c r="K634" s="174">
        <v>1125832000105</v>
      </c>
      <c r="L634" s="173" t="s">
        <v>935</v>
      </c>
      <c r="M634" s="173" t="s">
        <v>930</v>
      </c>
      <c r="N634" s="173" t="s">
        <v>68</v>
      </c>
      <c r="O634" s="87">
        <v>70</v>
      </c>
      <c r="P634" s="173" t="s">
        <v>20</v>
      </c>
      <c r="Q634" s="1" t="s">
        <v>1338</v>
      </c>
      <c r="R634" s="175">
        <v>60</v>
      </c>
      <c r="S634">
        <v>12</v>
      </c>
    </row>
    <row r="635" spans="1:19" x14ac:dyDescent="0.25">
      <c r="A635" s="87">
        <v>2019</v>
      </c>
      <c r="B635" s="87">
        <v>8</v>
      </c>
      <c r="C635" s="173" t="s">
        <v>16</v>
      </c>
      <c r="D635" s="173" t="s">
        <v>21</v>
      </c>
      <c r="E635" s="173" t="s">
        <v>18</v>
      </c>
      <c r="F635" s="173" t="s">
        <v>16</v>
      </c>
      <c r="G635" s="87" t="b">
        <v>1</v>
      </c>
      <c r="H635" s="87" t="b">
        <v>0</v>
      </c>
      <c r="I635" s="87" t="b">
        <v>0</v>
      </c>
      <c r="J635" s="173" t="s">
        <v>450</v>
      </c>
      <c r="K635" s="174">
        <v>1326206000179</v>
      </c>
      <c r="L635" s="173" t="s">
        <v>761</v>
      </c>
      <c r="M635" s="173" t="s">
        <v>762</v>
      </c>
      <c r="N635" s="173" t="s">
        <v>59</v>
      </c>
      <c r="O635" s="87">
        <v>70</v>
      </c>
      <c r="P635" s="173" t="s">
        <v>20</v>
      </c>
      <c r="Q635" s="1" t="s">
        <v>1338</v>
      </c>
      <c r="R635" s="175">
        <v>50</v>
      </c>
      <c r="S635">
        <v>10</v>
      </c>
    </row>
    <row r="636" spans="1:19" x14ac:dyDescent="0.25">
      <c r="A636" s="87">
        <v>2019</v>
      </c>
      <c r="B636" s="87">
        <v>8</v>
      </c>
      <c r="C636" s="173" t="s">
        <v>16</v>
      </c>
      <c r="D636" s="173" t="s">
        <v>21</v>
      </c>
      <c r="E636" s="173" t="s">
        <v>18</v>
      </c>
      <c r="F636" s="173" t="s">
        <v>16</v>
      </c>
      <c r="G636" s="87" t="b">
        <v>1</v>
      </c>
      <c r="H636" s="87" t="b">
        <v>0</v>
      </c>
      <c r="I636" s="87" t="b">
        <v>0</v>
      </c>
      <c r="J636" s="173" t="s">
        <v>468</v>
      </c>
      <c r="K636" s="174">
        <v>1326206000179</v>
      </c>
      <c r="L636" s="173" t="s">
        <v>761</v>
      </c>
      <c r="M636" s="173" t="s">
        <v>762</v>
      </c>
      <c r="N636" s="173" t="s">
        <v>59</v>
      </c>
      <c r="O636" s="87">
        <v>73</v>
      </c>
      <c r="P636" s="173" t="s">
        <v>26</v>
      </c>
      <c r="Q636" s="1" t="s">
        <v>1342</v>
      </c>
      <c r="R636" s="175">
        <v>16</v>
      </c>
      <c r="S636">
        <v>4</v>
      </c>
    </row>
    <row r="637" spans="1:19" x14ac:dyDescent="0.25">
      <c r="A637" s="87">
        <v>2019</v>
      </c>
      <c r="B637" s="87">
        <v>8</v>
      </c>
      <c r="C637" s="173" t="s">
        <v>16</v>
      </c>
      <c r="D637" s="173" t="s">
        <v>21</v>
      </c>
      <c r="E637" s="173" t="s">
        <v>18</v>
      </c>
      <c r="F637" s="173" t="s">
        <v>16</v>
      </c>
      <c r="G637" s="87" t="b">
        <v>1</v>
      </c>
      <c r="H637" s="87" t="b">
        <v>0</v>
      </c>
      <c r="I637" s="87" t="b">
        <v>0</v>
      </c>
      <c r="J637" s="173" t="s">
        <v>468</v>
      </c>
      <c r="K637" s="174">
        <v>1326206000179</v>
      </c>
      <c r="L637" s="173" t="s">
        <v>761</v>
      </c>
      <c r="M637" s="173" t="s">
        <v>762</v>
      </c>
      <c r="N637" s="173" t="s">
        <v>59</v>
      </c>
      <c r="O637" s="87">
        <v>73</v>
      </c>
      <c r="P637" s="173" t="s">
        <v>26</v>
      </c>
      <c r="Q637" s="1" t="s">
        <v>1340</v>
      </c>
      <c r="R637" s="175">
        <v>2</v>
      </c>
      <c r="S637">
        <v>2</v>
      </c>
    </row>
    <row r="638" spans="1:19" x14ac:dyDescent="0.25">
      <c r="A638" s="87">
        <v>2019</v>
      </c>
      <c r="B638" s="87">
        <v>8</v>
      </c>
      <c r="C638" s="173" t="s">
        <v>16</v>
      </c>
      <c r="D638" s="173" t="s">
        <v>21</v>
      </c>
      <c r="E638" s="173" t="s">
        <v>18</v>
      </c>
      <c r="F638" s="173" t="s">
        <v>16</v>
      </c>
      <c r="G638" s="87" t="b">
        <v>1</v>
      </c>
      <c r="H638" s="87" t="b">
        <v>0</v>
      </c>
      <c r="I638" s="87" t="b">
        <v>0</v>
      </c>
      <c r="J638" s="173" t="s">
        <v>478</v>
      </c>
      <c r="K638" s="174">
        <v>1396804000114</v>
      </c>
      <c r="L638" s="173" t="s">
        <v>1140</v>
      </c>
      <c r="M638" s="173" t="s">
        <v>97</v>
      </c>
      <c r="N638" s="173" t="s">
        <v>98</v>
      </c>
      <c r="O638" s="87">
        <v>70</v>
      </c>
      <c r="P638" s="173" t="s">
        <v>20</v>
      </c>
      <c r="Q638" s="1" t="s">
        <v>1338</v>
      </c>
      <c r="R638" s="175">
        <v>25</v>
      </c>
      <c r="S638">
        <v>5</v>
      </c>
    </row>
    <row r="639" spans="1:19" x14ac:dyDescent="0.25">
      <c r="A639" s="87">
        <v>2019</v>
      </c>
      <c r="B639" s="87">
        <v>8</v>
      </c>
      <c r="C639" s="173" t="s">
        <v>16</v>
      </c>
      <c r="D639" s="173" t="s">
        <v>21</v>
      </c>
      <c r="E639" s="173" t="s">
        <v>18</v>
      </c>
      <c r="F639" s="173" t="s">
        <v>16</v>
      </c>
      <c r="G639" s="87" t="b">
        <v>1</v>
      </c>
      <c r="H639" s="87" t="b">
        <v>0</v>
      </c>
      <c r="I639" s="87" t="b">
        <v>0</v>
      </c>
      <c r="J639" s="173" t="s">
        <v>460</v>
      </c>
      <c r="K639" s="174">
        <v>1454407000151</v>
      </c>
      <c r="L639" s="173" t="s">
        <v>764</v>
      </c>
      <c r="M639" s="173" t="s">
        <v>742</v>
      </c>
      <c r="N639" s="173" t="s">
        <v>91</v>
      </c>
      <c r="O639" s="87">
        <v>70</v>
      </c>
      <c r="P639" s="173" t="s">
        <v>20</v>
      </c>
      <c r="Q639" s="1" t="s">
        <v>1338</v>
      </c>
      <c r="R639" s="175">
        <v>275</v>
      </c>
      <c r="S639">
        <v>55</v>
      </c>
    </row>
    <row r="640" spans="1:19" x14ac:dyDescent="0.25">
      <c r="A640" s="87">
        <v>2019</v>
      </c>
      <c r="B640" s="87">
        <v>8</v>
      </c>
      <c r="C640" s="173" t="s">
        <v>16</v>
      </c>
      <c r="D640" s="173" t="s">
        <v>21</v>
      </c>
      <c r="E640" s="173" t="s">
        <v>18</v>
      </c>
      <c r="F640" s="173" t="s">
        <v>16</v>
      </c>
      <c r="G640" s="87" t="b">
        <v>1</v>
      </c>
      <c r="H640" s="87" t="b">
        <v>0</v>
      </c>
      <c r="I640" s="87" t="b">
        <v>0</v>
      </c>
      <c r="J640" s="173" t="s">
        <v>468</v>
      </c>
      <c r="K640" s="174">
        <v>1454407000151</v>
      </c>
      <c r="L640" s="173" t="s">
        <v>764</v>
      </c>
      <c r="M640" s="173" t="s">
        <v>742</v>
      </c>
      <c r="N640" s="173" t="s">
        <v>91</v>
      </c>
      <c r="O640" s="87">
        <v>70</v>
      </c>
      <c r="P640" s="173" t="s">
        <v>20</v>
      </c>
      <c r="Q640" s="1" t="s">
        <v>1338</v>
      </c>
      <c r="R640" s="175">
        <v>225</v>
      </c>
      <c r="S640">
        <v>45</v>
      </c>
    </row>
    <row r="641" spans="1:19" x14ac:dyDescent="0.25">
      <c r="A641" s="87">
        <v>2019</v>
      </c>
      <c r="B641" s="87">
        <v>8</v>
      </c>
      <c r="C641" s="173" t="s">
        <v>16</v>
      </c>
      <c r="D641" s="173" t="s">
        <v>21</v>
      </c>
      <c r="E641" s="173" t="s">
        <v>18</v>
      </c>
      <c r="F641" s="173" t="s">
        <v>16</v>
      </c>
      <c r="G641" s="87" t="b">
        <v>1</v>
      </c>
      <c r="H641" s="87" t="b">
        <v>0</v>
      </c>
      <c r="I641" s="87" t="b">
        <v>0</v>
      </c>
      <c r="J641" s="173" t="s">
        <v>449</v>
      </c>
      <c r="K641" s="174">
        <v>1517626000132</v>
      </c>
      <c r="L641" s="173" t="s">
        <v>937</v>
      </c>
      <c r="M641" s="173" t="s">
        <v>938</v>
      </c>
      <c r="N641" s="173" t="s">
        <v>68</v>
      </c>
      <c r="O641" s="87">
        <v>70</v>
      </c>
      <c r="P641" s="173" t="s">
        <v>20</v>
      </c>
      <c r="Q641" s="1" t="s">
        <v>1345</v>
      </c>
      <c r="R641" s="175">
        <v>190</v>
      </c>
      <c r="S641">
        <v>19</v>
      </c>
    </row>
    <row r="642" spans="1:19" x14ac:dyDescent="0.25">
      <c r="A642" s="87">
        <v>2019</v>
      </c>
      <c r="B642" s="87">
        <v>8</v>
      </c>
      <c r="C642" s="173" t="s">
        <v>16</v>
      </c>
      <c r="D642" s="173" t="s">
        <v>21</v>
      </c>
      <c r="E642" s="173" t="s">
        <v>18</v>
      </c>
      <c r="F642" s="173" t="s">
        <v>16</v>
      </c>
      <c r="G642" s="87" t="b">
        <v>1</v>
      </c>
      <c r="H642" s="87" t="b">
        <v>0</v>
      </c>
      <c r="I642" s="87" t="b">
        <v>0</v>
      </c>
      <c r="J642" s="173" t="s">
        <v>470</v>
      </c>
      <c r="K642" s="174">
        <v>1554266000300</v>
      </c>
      <c r="L642" s="173" t="s">
        <v>940</v>
      </c>
      <c r="M642" s="173" t="s">
        <v>113</v>
      </c>
      <c r="N642" s="173" t="s">
        <v>68</v>
      </c>
      <c r="O642" s="87">
        <v>70</v>
      </c>
      <c r="P642" s="173" t="s">
        <v>20</v>
      </c>
      <c r="Q642" s="1" t="s">
        <v>1338</v>
      </c>
      <c r="R642" s="175">
        <v>35</v>
      </c>
      <c r="S642">
        <v>7</v>
      </c>
    </row>
    <row r="643" spans="1:19" x14ac:dyDescent="0.25">
      <c r="A643" s="87">
        <v>2019</v>
      </c>
      <c r="B643" s="87">
        <v>8</v>
      </c>
      <c r="C643" s="173" t="s">
        <v>16</v>
      </c>
      <c r="D643" s="173" t="s">
        <v>21</v>
      </c>
      <c r="E643" s="173" t="s">
        <v>18</v>
      </c>
      <c r="F643" s="173" t="s">
        <v>16</v>
      </c>
      <c r="G643" s="87" t="b">
        <v>1</v>
      </c>
      <c r="H643" s="87" t="b">
        <v>0</v>
      </c>
      <c r="I643" s="87" t="b">
        <v>0</v>
      </c>
      <c r="J643" s="173" t="s">
        <v>492</v>
      </c>
      <c r="K643" s="174">
        <v>1554266000300</v>
      </c>
      <c r="L643" s="173" t="s">
        <v>940</v>
      </c>
      <c r="M643" s="173" t="s">
        <v>113</v>
      </c>
      <c r="N643" s="173" t="s">
        <v>68</v>
      </c>
      <c r="O643" s="87">
        <v>70</v>
      </c>
      <c r="P643" s="173" t="s">
        <v>20</v>
      </c>
      <c r="Q643" s="1" t="s">
        <v>1338</v>
      </c>
      <c r="R643" s="175">
        <v>105</v>
      </c>
      <c r="S643">
        <v>21</v>
      </c>
    </row>
    <row r="644" spans="1:19" x14ac:dyDescent="0.25">
      <c r="A644" s="87">
        <v>2019</v>
      </c>
      <c r="B644" s="87">
        <v>8</v>
      </c>
      <c r="C644" s="173" t="s">
        <v>16</v>
      </c>
      <c r="D644" s="173" t="s">
        <v>21</v>
      </c>
      <c r="E644" s="173" t="s">
        <v>18</v>
      </c>
      <c r="F644" s="173" t="s">
        <v>16</v>
      </c>
      <c r="G644" s="87" t="b">
        <v>1</v>
      </c>
      <c r="H644" s="87" t="b">
        <v>0</v>
      </c>
      <c r="I644" s="87" t="b">
        <v>0</v>
      </c>
      <c r="J644" s="173" t="s">
        <v>468</v>
      </c>
      <c r="K644" s="174">
        <v>1602408000104</v>
      </c>
      <c r="L644" s="173" t="s">
        <v>767</v>
      </c>
      <c r="M644" s="173" t="s">
        <v>739</v>
      </c>
      <c r="N644" s="173" t="s">
        <v>55</v>
      </c>
      <c r="O644" s="87">
        <v>70</v>
      </c>
      <c r="P644" s="173" t="s">
        <v>20</v>
      </c>
      <c r="Q644" s="1" t="s">
        <v>1338</v>
      </c>
      <c r="R644" s="175">
        <v>250</v>
      </c>
      <c r="S644">
        <v>50</v>
      </c>
    </row>
    <row r="645" spans="1:19" x14ac:dyDescent="0.25">
      <c r="A645" s="87">
        <v>2019</v>
      </c>
      <c r="B645" s="87">
        <v>8</v>
      </c>
      <c r="C645" s="173" t="s">
        <v>16</v>
      </c>
      <c r="D645" s="173" t="s">
        <v>21</v>
      </c>
      <c r="E645" s="173" t="s">
        <v>18</v>
      </c>
      <c r="F645" s="173" t="s">
        <v>16</v>
      </c>
      <c r="G645" s="87" t="b">
        <v>1</v>
      </c>
      <c r="H645" s="87" t="b">
        <v>0</v>
      </c>
      <c r="I645" s="87" t="b">
        <v>0</v>
      </c>
      <c r="J645" s="173" t="s">
        <v>470</v>
      </c>
      <c r="K645" s="174">
        <v>1613433006892</v>
      </c>
      <c r="L645" s="173" t="s">
        <v>638</v>
      </c>
      <c r="M645" s="173" t="s">
        <v>639</v>
      </c>
      <c r="N645" s="173" t="s">
        <v>19</v>
      </c>
      <c r="O645" s="87">
        <v>70</v>
      </c>
      <c r="P645" s="173" t="s">
        <v>20</v>
      </c>
      <c r="Q645" s="1" t="s">
        <v>1338</v>
      </c>
      <c r="R645" s="175">
        <v>450</v>
      </c>
      <c r="S645">
        <v>90</v>
      </c>
    </row>
    <row r="646" spans="1:19" x14ac:dyDescent="0.25">
      <c r="A646" s="87">
        <v>2019</v>
      </c>
      <c r="B646" s="87">
        <v>8</v>
      </c>
      <c r="C646" s="173" t="s">
        <v>16</v>
      </c>
      <c r="D646" s="173" t="s">
        <v>21</v>
      </c>
      <c r="E646" s="173" t="s">
        <v>18</v>
      </c>
      <c r="F646" s="173" t="s">
        <v>16</v>
      </c>
      <c r="G646" s="87" t="b">
        <v>1</v>
      </c>
      <c r="H646" s="87" t="b">
        <v>0</v>
      </c>
      <c r="I646" s="87" t="b">
        <v>0</v>
      </c>
      <c r="J646" s="173" t="s">
        <v>451</v>
      </c>
      <c r="K646" s="174">
        <v>1682668000129</v>
      </c>
      <c r="L646" s="173" t="s">
        <v>769</v>
      </c>
      <c r="M646" s="173" t="s">
        <v>739</v>
      </c>
      <c r="N646" s="173" t="s">
        <v>55</v>
      </c>
      <c r="O646" s="87">
        <v>70</v>
      </c>
      <c r="P646" s="173" t="s">
        <v>20</v>
      </c>
      <c r="Q646" s="1" t="s">
        <v>1338</v>
      </c>
      <c r="R646" s="175">
        <v>25</v>
      </c>
      <c r="S646">
        <v>5</v>
      </c>
    </row>
    <row r="647" spans="1:19" x14ac:dyDescent="0.25">
      <c r="A647" s="87">
        <v>2019</v>
      </c>
      <c r="B647" s="87">
        <v>8</v>
      </c>
      <c r="C647" s="173" t="s">
        <v>16</v>
      </c>
      <c r="D647" s="173" t="s">
        <v>21</v>
      </c>
      <c r="E647" s="173" t="s">
        <v>18</v>
      </c>
      <c r="F647" s="173" t="s">
        <v>16</v>
      </c>
      <c r="G647" s="87" t="b">
        <v>1</v>
      </c>
      <c r="H647" s="87" t="b">
        <v>0</v>
      </c>
      <c r="I647" s="87" t="b">
        <v>0</v>
      </c>
      <c r="J647" s="173" t="s">
        <v>468</v>
      </c>
      <c r="K647" s="174">
        <v>1757351000104</v>
      </c>
      <c r="L647" s="173" t="s">
        <v>771</v>
      </c>
      <c r="M647" s="173" t="s">
        <v>772</v>
      </c>
      <c r="N647" s="173" t="s">
        <v>69</v>
      </c>
      <c r="O647" s="87">
        <v>64</v>
      </c>
      <c r="P647" s="173" t="s">
        <v>25</v>
      </c>
      <c r="Q647" s="1" t="s">
        <v>1344</v>
      </c>
      <c r="R647" s="175">
        <v>10</v>
      </c>
      <c r="S647">
        <v>10</v>
      </c>
    </row>
    <row r="648" spans="1:19" x14ac:dyDescent="0.25">
      <c r="A648" s="87">
        <v>2019</v>
      </c>
      <c r="B648" s="87">
        <v>8</v>
      </c>
      <c r="C648" s="173" t="s">
        <v>16</v>
      </c>
      <c r="D648" s="173" t="s">
        <v>21</v>
      </c>
      <c r="E648" s="173" t="s">
        <v>18</v>
      </c>
      <c r="F648" s="173" t="s">
        <v>16</v>
      </c>
      <c r="G648" s="87" t="b">
        <v>1</v>
      </c>
      <c r="H648" s="87" t="b">
        <v>0</v>
      </c>
      <c r="I648" s="87" t="b">
        <v>0</v>
      </c>
      <c r="J648" s="173" t="s">
        <v>464</v>
      </c>
      <c r="K648" s="174">
        <v>1880344000103</v>
      </c>
      <c r="L648" s="173" t="s">
        <v>941</v>
      </c>
      <c r="M648" s="173" t="s">
        <v>93</v>
      </c>
      <c r="N648" s="173" t="s">
        <v>68</v>
      </c>
      <c r="O648" s="87">
        <v>70</v>
      </c>
      <c r="P648" s="173" t="s">
        <v>20</v>
      </c>
      <c r="Q648" s="1" t="s">
        <v>1338</v>
      </c>
      <c r="R648" s="175">
        <v>70</v>
      </c>
      <c r="S648">
        <v>14</v>
      </c>
    </row>
    <row r="649" spans="1:19" x14ac:dyDescent="0.25">
      <c r="A649" s="87">
        <v>2019</v>
      </c>
      <c r="B649" s="87">
        <v>8</v>
      </c>
      <c r="C649" s="173" t="s">
        <v>16</v>
      </c>
      <c r="D649" s="173" t="s">
        <v>21</v>
      </c>
      <c r="E649" s="173" t="s">
        <v>18</v>
      </c>
      <c r="F649" s="173" t="s">
        <v>16</v>
      </c>
      <c r="G649" s="87" t="b">
        <v>1</v>
      </c>
      <c r="H649" s="87" t="b">
        <v>0</v>
      </c>
      <c r="I649" s="87" t="b">
        <v>0</v>
      </c>
      <c r="J649" s="173" t="s">
        <v>460</v>
      </c>
      <c r="K649" s="174">
        <v>2109397000180</v>
      </c>
      <c r="L649" s="173" t="s">
        <v>773</v>
      </c>
      <c r="M649" s="173" t="s">
        <v>62</v>
      </c>
      <c r="N649" s="173" t="s">
        <v>63</v>
      </c>
      <c r="O649" s="87">
        <v>64</v>
      </c>
      <c r="P649" s="173" t="s">
        <v>25</v>
      </c>
      <c r="Q649" s="1" t="s">
        <v>1344</v>
      </c>
      <c r="R649" s="175">
        <v>30</v>
      </c>
      <c r="S649">
        <v>30</v>
      </c>
    </row>
    <row r="650" spans="1:19" x14ac:dyDescent="0.25">
      <c r="A650" s="87">
        <v>2019</v>
      </c>
      <c r="B650" s="87">
        <v>8</v>
      </c>
      <c r="C650" s="173" t="s">
        <v>16</v>
      </c>
      <c r="D650" s="173" t="s">
        <v>21</v>
      </c>
      <c r="E650" s="173" t="s">
        <v>18</v>
      </c>
      <c r="F650" s="173" t="s">
        <v>16</v>
      </c>
      <c r="G650" s="87" t="b">
        <v>1</v>
      </c>
      <c r="H650" s="87" t="b">
        <v>0</v>
      </c>
      <c r="I650" s="87" t="b">
        <v>0</v>
      </c>
      <c r="J650" s="173" t="s">
        <v>491</v>
      </c>
      <c r="K650" s="174">
        <v>2284062000106</v>
      </c>
      <c r="L650" s="173" t="s">
        <v>774</v>
      </c>
      <c r="M650" s="173" t="s">
        <v>70</v>
      </c>
      <c r="N650" s="173" t="s">
        <v>71</v>
      </c>
      <c r="O650" s="87">
        <v>62</v>
      </c>
      <c r="P650" s="173" t="s">
        <v>27</v>
      </c>
      <c r="Q650" s="1" t="s">
        <v>1343</v>
      </c>
      <c r="R650" s="175">
        <v>4</v>
      </c>
      <c r="S650">
        <v>4</v>
      </c>
    </row>
    <row r="651" spans="1:19" x14ac:dyDescent="0.25">
      <c r="A651" s="87">
        <v>2019</v>
      </c>
      <c r="B651" s="87">
        <v>8</v>
      </c>
      <c r="C651" s="173" t="s">
        <v>16</v>
      </c>
      <c r="D651" s="173" t="s">
        <v>21</v>
      </c>
      <c r="E651" s="173" t="s">
        <v>18</v>
      </c>
      <c r="F651" s="173" t="s">
        <v>16</v>
      </c>
      <c r="G651" s="87" t="b">
        <v>1</v>
      </c>
      <c r="H651" s="87" t="b">
        <v>0</v>
      </c>
      <c r="I651" s="87" t="b">
        <v>0</v>
      </c>
      <c r="J651" s="173" t="s">
        <v>491</v>
      </c>
      <c r="K651" s="174">
        <v>2284062000106</v>
      </c>
      <c r="L651" s="173" t="s">
        <v>774</v>
      </c>
      <c r="M651" s="173" t="s">
        <v>70</v>
      </c>
      <c r="N651" s="173" t="s">
        <v>71</v>
      </c>
      <c r="O651" s="87">
        <v>64</v>
      </c>
      <c r="P651" s="173" t="s">
        <v>25</v>
      </c>
      <c r="Q651" s="1" t="s">
        <v>1344</v>
      </c>
      <c r="R651" s="175">
        <v>6</v>
      </c>
      <c r="S651">
        <v>6</v>
      </c>
    </row>
    <row r="652" spans="1:19" x14ac:dyDescent="0.25">
      <c r="A652" s="87">
        <v>2019</v>
      </c>
      <c r="B652" s="87">
        <v>8</v>
      </c>
      <c r="C652" s="173" t="s">
        <v>16</v>
      </c>
      <c r="D652" s="173" t="s">
        <v>21</v>
      </c>
      <c r="E652" s="173" t="s">
        <v>18</v>
      </c>
      <c r="F652" s="173" t="s">
        <v>16</v>
      </c>
      <c r="G652" s="87" t="b">
        <v>1</v>
      </c>
      <c r="H652" s="87" t="b">
        <v>0</v>
      </c>
      <c r="I652" s="87" t="b">
        <v>0</v>
      </c>
      <c r="J652" s="173" t="s">
        <v>491</v>
      </c>
      <c r="K652" s="174">
        <v>2284062000440</v>
      </c>
      <c r="L652" s="173" t="s">
        <v>775</v>
      </c>
      <c r="M652" s="173" t="s">
        <v>70</v>
      </c>
      <c r="N652" s="173" t="s">
        <v>71</v>
      </c>
      <c r="O652" s="87">
        <v>64</v>
      </c>
      <c r="P652" s="173" t="s">
        <v>25</v>
      </c>
      <c r="Q652" s="1" t="s">
        <v>1344</v>
      </c>
      <c r="R652" s="175">
        <v>55</v>
      </c>
      <c r="S652">
        <v>55</v>
      </c>
    </row>
    <row r="653" spans="1:19" x14ac:dyDescent="0.25">
      <c r="A653" s="87">
        <v>2019</v>
      </c>
      <c r="B653" s="87">
        <v>8</v>
      </c>
      <c r="C653" s="173" t="s">
        <v>16</v>
      </c>
      <c r="D653" s="173" t="s">
        <v>21</v>
      </c>
      <c r="E653" s="173" t="s">
        <v>18</v>
      </c>
      <c r="F653" s="173" t="s">
        <v>16</v>
      </c>
      <c r="G653" s="87" t="b">
        <v>1</v>
      </c>
      <c r="H653" s="87" t="b">
        <v>0</v>
      </c>
      <c r="I653" s="87" t="b">
        <v>0</v>
      </c>
      <c r="J653" s="173" t="s">
        <v>477</v>
      </c>
      <c r="K653" s="174">
        <v>2284062000521</v>
      </c>
      <c r="L653" s="173" t="s">
        <v>1077</v>
      </c>
      <c r="M653" s="173" t="s">
        <v>131</v>
      </c>
      <c r="N653" s="173" t="s">
        <v>61</v>
      </c>
      <c r="O653" s="87">
        <v>62</v>
      </c>
      <c r="P653" s="173" t="s">
        <v>27</v>
      </c>
      <c r="Q653" s="1" t="s">
        <v>1343</v>
      </c>
      <c r="R653" s="175">
        <v>3</v>
      </c>
      <c r="S653">
        <v>3</v>
      </c>
    </row>
    <row r="654" spans="1:19" x14ac:dyDescent="0.25">
      <c r="A654" s="87">
        <v>2019</v>
      </c>
      <c r="B654" s="87">
        <v>8</v>
      </c>
      <c r="C654" s="173" t="s">
        <v>16</v>
      </c>
      <c r="D654" s="173" t="s">
        <v>21</v>
      </c>
      <c r="E654" s="173" t="s">
        <v>18</v>
      </c>
      <c r="F654" s="173" t="s">
        <v>16</v>
      </c>
      <c r="G654" s="87" t="b">
        <v>1</v>
      </c>
      <c r="H654" s="87" t="b">
        <v>0</v>
      </c>
      <c r="I654" s="87" t="b">
        <v>0</v>
      </c>
      <c r="J654" s="173" t="s">
        <v>491</v>
      </c>
      <c r="K654" s="174">
        <v>2284062000521</v>
      </c>
      <c r="L654" s="173" t="s">
        <v>1077</v>
      </c>
      <c r="M654" s="173" t="s">
        <v>131</v>
      </c>
      <c r="N654" s="173" t="s">
        <v>61</v>
      </c>
      <c r="O654" s="87">
        <v>64</v>
      </c>
      <c r="P654" s="173" t="s">
        <v>25</v>
      </c>
      <c r="Q654" s="1" t="s">
        <v>1344</v>
      </c>
      <c r="R654" s="175">
        <v>22</v>
      </c>
      <c r="S654">
        <v>22</v>
      </c>
    </row>
    <row r="655" spans="1:19" x14ac:dyDescent="0.25">
      <c r="A655" s="87">
        <v>2019</v>
      </c>
      <c r="B655" s="87">
        <v>8</v>
      </c>
      <c r="C655" s="173" t="s">
        <v>16</v>
      </c>
      <c r="D655" s="173" t="s">
        <v>21</v>
      </c>
      <c r="E655" s="173" t="s">
        <v>18</v>
      </c>
      <c r="F655" s="173" t="s">
        <v>16</v>
      </c>
      <c r="G655" s="87" t="b">
        <v>1</v>
      </c>
      <c r="H655" s="87" t="b">
        <v>0</v>
      </c>
      <c r="I655" s="87" t="b">
        <v>0</v>
      </c>
      <c r="J655" s="173" t="s">
        <v>491</v>
      </c>
      <c r="K655" s="174">
        <v>2284062001170</v>
      </c>
      <c r="L655" s="173" t="s">
        <v>776</v>
      </c>
      <c r="M655" s="173" t="s">
        <v>777</v>
      </c>
      <c r="N655" s="173" t="s">
        <v>72</v>
      </c>
      <c r="O655" s="87">
        <v>64</v>
      </c>
      <c r="P655" s="173" t="s">
        <v>25</v>
      </c>
      <c r="Q655" s="1" t="s">
        <v>1344</v>
      </c>
      <c r="R655" s="175">
        <v>4</v>
      </c>
      <c r="S655">
        <v>4</v>
      </c>
    </row>
    <row r="656" spans="1:19" x14ac:dyDescent="0.25">
      <c r="A656" s="87">
        <v>2019</v>
      </c>
      <c r="B656" s="87">
        <v>8</v>
      </c>
      <c r="C656" s="173" t="s">
        <v>16</v>
      </c>
      <c r="D656" s="173" t="s">
        <v>21</v>
      </c>
      <c r="E656" s="173" t="s">
        <v>18</v>
      </c>
      <c r="F656" s="173" t="s">
        <v>16</v>
      </c>
      <c r="G656" s="87" t="b">
        <v>1</v>
      </c>
      <c r="H656" s="87" t="b">
        <v>0</v>
      </c>
      <c r="I656" s="87" t="b">
        <v>0</v>
      </c>
      <c r="J656" s="173" t="s">
        <v>468</v>
      </c>
      <c r="K656" s="174">
        <v>2284062001170</v>
      </c>
      <c r="L656" s="173" t="s">
        <v>776</v>
      </c>
      <c r="M656" s="173" t="s">
        <v>777</v>
      </c>
      <c r="N656" s="173" t="s">
        <v>72</v>
      </c>
      <c r="O656" s="87">
        <v>70</v>
      </c>
      <c r="P656" s="173" t="s">
        <v>20</v>
      </c>
      <c r="Q656" s="1" t="s">
        <v>1338</v>
      </c>
      <c r="R656" s="175">
        <v>150</v>
      </c>
      <c r="S656">
        <v>30</v>
      </c>
    </row>
    <row r="657" spans="1:19" x14ac:dyDescent="0.25">
      <c r="A657" s="87">
        <v>2019</v>
      </c>
      <c r="B657" s="87">
        <v>8</v>
      </c>
      <c r="C657" s="173" t="s">
        <v>16</v>
      </c>
      <c r="D657" s="173" t="s">
        <v>21</v>
      </c>
      <c r="E657" s="173" t="s">
        <v>18</v>
      </c>
      <c r="F657" s="173" t="s">
        <v>16</v>
      </c>
      <c r="G657" s="87" t="b">
        <v>1</v>
      </c>
      <c r="H657" s="87" t="b">
        <v>0</v>
      </c>
      <c r="I657" s="87" t="b">
        <v>0</v>
      </c>
      <c r="J657" s="173" t="s">
        <v>491</v>
      </c>
      <c r="K657" s="174">
        <v>2383508000494</v>
      </c>
      <c r="L657" s="173" t="s">
        <v>562</v>
      </c>
      <c r="M657" s="173" t="s">
        <v>29</v>
      </c>
      <c r="N657" s="173" t="s">
        <v>19</v>
      </c>
      <c r="O657" s="87">
        <v>70</v>
      </c>
      <c r="P657" s="173" t="s">
        <v>20</v>
      </c>
      <c r="Q657" s="1" t="s">
        <v>1338</v>
      </c>
      <c r="R657" s="175">
        <v>280</v>
      </c>
      <c r="S657">
        <v>56</v>
      </c>
    </row>
    <row r="658" spans="1:19" x14ac:dyDescent="0.25">
      <c r="A658" s="87">
        <v>2019</v>
      </c>
      <c r="B658" s="87">
        <v>8</v>
      </c>
      <c r="C658" s="173" t="s">
        <v>16</v>
      </c>
      <c r="D658" s="173" t="s">
        <v>21</v>
      </c>
      <c r="E658" s="173" t="s">
        <v>18</v>
      </c>
      <c r="F658" s="173" t="s">
        <v>16</v>
      </c>
      <c r="G658" s="87" t="b">
        <v>1</v>
      </c>
      <c r="H658" s="87" t="b">
        <v>0</v>
      </c>
      <c r="I658" s="87" t="b">
        <v>0</v>
      </c>
      <c r="J658" s="173" t="s">
        <v>451</v>
      </c>
      <c r="K658" s="174">
        <v>2383508000494</v>
      </c>
      <c r="L658" s="173" t="s">
        <v>562</v>
      </c>
      <c r="M658" s="173" t="s">
        <v>29</v>
      </c>
      <c r="N658" s="173" t="s">
        <v>19</v>
      </c>
      <c r="O658" s="87">
        <v>73</v>
      </c>
      <c r="P658" s="173" t="s">
        <v>26</v>
      </c>
      <c r="Q658" s="1" t="s">
        <v>1339</v>
      </c>
      <c r="R658" s="175">
        <v>4</v>
      </c>
      <c r="S658">
        <v>2</v>
      </c>
    </row>
    <row r="659" spans="1:19" x14ac:dyDescent="0.25">
      <c r="A659" s="87">
        <v>2019</v>
      </c>
      <c r="B659" s="87">
        <v>8</v>
      </c>
      <c r="C659" s="173" t="s">
        <v>16</v>
      </c>
      <c r="D659" s="173" t="s">
        <v>21</v>
      </c>
      <c r="E659" s="173" t="s">
        <v>18</v>
      </c>
      <c r="F659" s="173" t="s">
        <v>16</v>
      </c>
      <c r="G659" s="87" t="b">
        <v>1</v>
      </c>
      <c r="H659" s="87" t="b">
        <v>0</v>
      </c>
      <c r="I659" s="87" t="b">
        <v>0</v>
      </c>
      <c r="J659" s="173" t="s">
        <v>451</v>
      </c>
      <c r="K659" s="174">
        <v>2383508000494</v>
      </c>
      <c r="L659" s="173" t="s">
        <v>562</v>
      </c>
      <c r="M659" s="173" t="s">
        <v>29</v>
      </c>
      <c r="N659" s="173" t="s">
        <v>19</v>
      </c>
      <c r="O659" s="87">
        <v>73</v>
      </c>
      <c r="P659" s="173" t="s">
        <v>26</v>
      </c>
      <c r="Q659" s="1" t="s">
        <v>1342</v>
      </c>
      <c r="R659" s="175">
        <v>32</v>
      </c>
      <c r="S659">
        <v>8</v>
      </c>
    </row>
    <row r="660" spans="1:19" x14ac:dyDescent="0.25">
      <c r="A660" s="87">
        <v>2019</v>
      </c>
      <c r="B660" s="87">
        <v>8</v>
      </c>
      <c r="C660" s="173" t="s">
        <v>16</v>
      </c>
      <c r="D660" s="173" t="s">
        <v>21</v>
      </c>
      <c r="E660" s="173" t="s">
        <v>18</v>
      </c>
      <c r="F660" s="173" t="s">
        <v>16</v>
      </c>
      <c r="G660" s="87" t="b">
        <v>1</v>
      </c>
      <c r="H660" s="87" t="b">
        <v>0</v>
      </c>
      <c r="I660" s="87" t="b">
        <v>0</v>
      </c>
      <c r="J660" s="173" t="s">
        <v>451</v>
      </c>
      <c r="K660" s="174">
        <v>2383508000494</v>
      </c>
      <c r="L660" s="173" t="s">
        <v>562</v>
      </c>
      <c r="M660" s="173" t="s">
        <v>29</v>
      </c>
      <c r="N660" s="173" t="s">
        <v>19</v>
      </c>
      <c r="O660" s="87">
        <v>73</v>
      </c>
      <c r="P660" s="173" t="s">
        <v>26</v>
      </c>
      <c r="Q660" s="1" t="s">
        <v>1340</v>
      </c>
      <c r="R660" s="175">
        <v>3</v>
      </c>
      <c r="S660">
        <v>3</v>
      </c>
    </row>
    <row r="661" spans="1:19" x14ac:dyDescent="0.25">
      <c r="A661" s="87">
        <v>2019</v>
      </c>
      <c r="B661" s="87">
        <v>8</v>
      </c>
      <c r="C661" s="173" t="s">
        <v>16</v>
      </c>
      <c r="D661" s="173" t="s">
        <v>21</v>
      </c>
      <c r="E661" s="173" t="s">
        <v>18</v>
      </c>
      <c r="F661" s="173" t="s">
        <v>16</v>
      </c>
      <c r="G661" s="87" t="b">
        <v>1</v>
      </c>
      <c r="H661" s="87" t="b">
        <v>0</v>
      </c>
      <c r="I661" s="87" t="b">
        <v>0</v>
      </c>
      <c r="J661" s="173" t="s">
        <v>468</v>
      </c>
      <c r="K661" s="174">
        <v>2476067000203</v>
      </c>
      <c r="L661" s="173" t="s">
        <v>779</v>
      </c>
      <c r="M661" s="173" t="s">
        <v>745</v>
      </c>
      <c r="N661" s="173" t="s">
        <v>59</v>
      </c>
      <c r="O661" s="87">
        <v>73</v>
      </c>
      <c r="P661" s="173" t="s">
        <v>26</v>
      </c>
      <c r="Q661" s="1" t="s">
        <v>1342</v>
      </c>
      <c r="R661" s="175">
        <v>32</v>
      </c>
      <c r="S661">
        <v>8</v>
      </c>
    </row>
    <row r="662" spans="1:19" x14ac:dyDescent="0.25">
      <c r="A662" s="87">
        <v>2019</v>
      </c>
      <c r="B662" s="87">
        <v>8</v>
      </c>
      <c r="C662" s="173" t="s">
        <v>16</v>
      </c>
      <c r="D662" s="173" t="s">
        <v>21</v>
      </c>
      <c r="E662" s="173" t="s">
        <v>18</v>
      </c>
      <c r="F662" s="173" t="s">
        <v>16</v>
      </c>
      <c r="G662" s="87" t="b">
        <v>1</v>
      </c>
      <c r="H662" s="87" t="b">
        <v>0</v>
      </c>
      <c r="I662" s="87" t="b">
        <v>0</v>
      </c>
      <c r="J662" s="173" t="s">
        <v>463</v>
      </c>
      <c r="K662" s="174">
        <v>2476067000203</v>
      </c>
      <c r="L662" s="173" t="s">
        <v>779</v>
      </c>
      <c r="M662" s="173" t="s">
        <v>745</v>
      </c>
      <c r="N662" s="173" t="s">
        <v>59</v>
      </c>
      <c r="O662" s="87">
        <v>73</v>
      </c>
      <c r="P662" s="173" t="s">
        <v>26</v>
      </c>
      <c r="Q662" s="1" t="s">
        <v>1340</v>
      </c>
      <c r="R662" s="175">
        <v>8</v>
      </c>
      <c r="S662">
        <v>8</v>
      </c>
    </row>
    <row r="663" spans="1:19" x14ac:dyDescent="0.25">
      <c r="A663" s="87">
        <v>2019</v>
      </c>
      <c r="B663" s="87">
        <v>8</v>
      </c>
      <c r="C663" s="173" t="s">
        <v>16</v>
      </c>
      <c r="D663" s="173" t="s">
        <v>21</v>
      </c>
      <c r="E663" s="173" t="s">
        <v>18</v>
      </c>
      <c r="F663" s="173" t="s">
        <v>16</v>
      </c>
      <c r="G663" s="87" t="b">
        <v>1</v>
      </c>
      <c r="H663" s="87" t="b">
        <v>0</v>
      </c>
      <c r="I663" s="87" t="b">
        <v>0</v>
      </c>
      <c r="J663" s="173" t="s">
        <v>460</v>
      </c>
      <c r="K663" s="174">
        <v>2476067000394</v>
      </c>
      <c r="L663" s="173" t="s">
        <v>780</v>
      </c>
      <c r="M663" s="173" t="s">
        <v>745</v>
      </c>
      <c r="N663" s="173" t="s">
        <v>59</v>
      </c>
      <c r="O663" s="87">
        <v>70</v>
      </c>
      <c r="P663" s="173" t="s">
        <v>20</v>
      </c>
      <c r="Q663" s="1" t="s">
        <v>1338</v>
      </c>
      <c r="R663" s="175">
        <v>75</v>
      </c>
      <c r="S663">
        <v>15</v>
      </c>
    </row>
    <row r="664" spans="1:19" x14ac:dyDescent="0.25">
      <c r="A664" s="87">
        <v>2019</v>
      </c>
      <c r="B664" s="87">
        <v>8</v>
      </c>
      <c r="C664" s="173" t="s">
        <v>16</v>
      </c>
      <c r="D664" s="173" t="s">
        <v>21</v>
      </c>
      <c r="E664" s="173" t="s">
        <v>18</v>
      </c>
      <c r="F664" s="173" t="s">
        <v>16</v>
      </c>
      <c r="G664" s="87" t="b">
        <v>1</v>
      </c>
      <c r="H664" s="87" t="b">
        <v>0</v>
      </c>
      <c r="I664" s="87" t="b">
        <v>0</v>
      </c>
      <c r="J664" s="173" t="s">
        <v>468</v>
      </c>
      <c r="K664" s="174">
        <v>2560878000107</v>
      </c>
      <c r="L664" s="173" t="s">
        <v>781</v>
      </c>
      <c r="M664" s="173" t="s">
        <v>739</v>
      </c>
      <c r="N664" s="173" t="s">
        <v>55</v>
      </c>
      <c r="O664" s="87">
        <v>70</v>
      </c>
      <c r="P664" s="173" t="s">
        <v>20</v>
      </c>
      <c r="Q664" s="1" t="s">
        <v>1338</v>
      </c>
      <c r="R664" s="175">
        <v>30</v>
      </c>
      <c r="S664">
        <v>6</v>
      </c>
    </row>
    <row r="665" spans="1:19" x14ac:dyDescent="0.25">
      <c r="A665" s="87">
        <v>2019</v>
      </c>
      <c r="B665" s="87">
        <v>8</v>
      </c>
      <c r="C665" s="173" t="s">
        <v>16</v>
      </c>
      <c r="D665" s="173" t="s">
        <v>21</v>
      </c>
      <c r="E665" s="173" t="s">
        <v>18</v>
      </c>
      <c r="F665" s="173" t="s">
        <v>16</v>
      </c>
      <c r="G665" s="87" t="b">
        <v>1</v>
      </c>
      <c r="H665" s="87" t="b">
        <v>0</v>
      </c>
      <c r="I665" s="87" t="b">
        <v>0</v>
      </c>
      <c r="J665" s="173" t="s">
        <v>468</v>
      </c>
      <c r="K665" s="174">
        <v>2560878000107</v>
      </c>
      <c r="L665" s="173" t="s">
        <v>781</v>
      </c>
      <c r="M665" s="173" t="s">
        <v>739</v>
      </c>
      <c r="N665" s="173" t="s">
        <v>55</v>
      </c>
      <c r="O665" s="87">
        <v>73</v>
      </c>
      <c r="P665" s="173" t="s">
        <v>26</v>
      </c>
      <c r="Q665" s="1" t="s">
        <v>1340</v>
      </c>
      <c r="R665" s="175">
        <v>1</v>
      </c>
      <c r="S665">
        <v>1</v>
      </c>
    </row>
    <row r="666" spans="1:19" x14ac:dyDescent="0.25">
      <c r="A666" s="87">
        <v>2019</v>
      </c>
      <c r="B666" s="87">
        <v>8</v>
      </c>
      <c r="C666" s="173" t="s">
        <v>16</v>
      </c>
      <c r="D666" s="173" t="s">
        <v>21</v>
      </c>
      <c r="E666" s="173" t="s">
        <v>18</v>
      </c>
      <c r="F666" s="173" t="s">
        <v>16</v>
      </c>
      <c r="G666" s="87" t="b">
        <v>1</v>
      </c>
      <c r="H666" s="87" t="b">
        <v>0</v>
      </c>
      <c r="I666" s="87" t="b">
        <v>0</v>
      </c>
      <c r="J666" s="173" t="s">
        <v>450</v>
      </c>
      <c r="K666" s="174">
        <v>2643405000173</v>
      </c>
      <c r="L666" s="173" t="s">
        <v>642</v>
      </c>
      <c r="M666" s="173" t="s">
        <v>643</v>
      </c>
      <c r="N666" s="173" t="s">
        <v>19</v>
      </c>
      <c r="O666" s="87">
        <v>73</v>
      </c>
      <c r="P666" s="173" t="s">
        <v>26</v>
      </c>
      <c r="Q666" s="1" t="s">
        <v>1339</v>
      </c>
      <c r="R666" s="175">
        <v>12</v>
      </c>
      <c r="S666">
        <v>6</v>
      </c>
    </row>
    <row r="667" spans="1:19" x14ac:dyDescent="0.25">
      <c r="A667" s="87">
        <v>2019</v>
      </c>
      <c r="B667" s="87">
        <v>8</v>
      </c>
      <c r="C667" s="173" t="s">
        <v>16</v>
      </c>
      <c r="D667" s="173" t="s">
        <v>21</v>
      </c>
      <c r="E667" s="173" t="s">
        <v>18</v>
      </c>
      <c r="F667" s="173" t="s">
        <v>16</v>
      </c>
      <c r="G667" s="87" t="b">
        <v>1</v>
      </c>
      <c r="H667" s="87" t="b">
        <v>0</v>
      </c>
      <c r="I667" s="87" t="b">
        <v>0</v>
      </c>
      <c r="J667" s="173" t="s">
        <v>470</v>
      </c>
      <c r="K667" s="174">
        <v>2837922000183</v>
      </c>
      <c r="L667" s="173" t="s">
        <v>563</v>
      </c>
      <c r="M667" s="173" t="s">
        <v>29</v>
      </c>
      <c r="N667" s="173" t="s">
        <v>19</v>
      </c>
      <c r="O667" s="87">
        <v>73</v>
      </c>
      <c r="P667" s="173" t="s">
        <v>26</v>
      </c>
      <c r="Q667" s="1" t="s">
        <v>1340</v>
      </c>
      <c r="R667" s="175">
        <v>2</v>
      </c>
      <c r="S667">
        <v>2</v>
      </c>
    </row>
    <row r="668" spans="1:19" x14ac:dyDescent="0.25">
      <c r="A668" s="87">
        <v>2019</v>
      </c>
      <c r="B668" s="87">
        <v>8</v>
      </c>
      <c r="C668" s="173" t="s">
        <v>16</v>
      </c>
      <c r="D668" s="173" t="s">
        <v>21</v>
      </c>
      <c r="E668" s="173" t="s">
        <v>18</v>
      </c>
      <c r="F668" s="173" t="s">
        <v>16</v>
      </c>
      <c r="G668" s="87" t="b">
        <v>1</v>
      </c>
      <c r="H668" s="87" t="b">
        <v>0</v>
      </c>
      <c r="I668" s="87" t="b">
        <v>0</v>
      </c>
      <c r="J668" s="173" t="s">
        <v>450</v>
      </c>
      <c r="K668" s="174">
        <v>2837922000183</v>
      </c>
      <c r="L668" s="173" t="s">
        <v>563</v>
      </c>
      <c r="M668" s="173" t="s">
        <v>29</v>
      </c>
      <c r="N668" s="173" t="s">
        <v>19</v>
      </c>
      <c r="O668" s="87">
        <v>73</v>
      </c>
      <c r="P668" s="173" t="s">
        <v>26</v>
      </c>
      <c r="Q668" s="1" t="s">
        <v>1342</v>
      </c>
      <c r="R668" s="175">
        <v>48</v>
      </c>
      <c r="S668">
        <v>12</v>
      </c>
    </row>
    <row r="669" spans="1:19" x14ac:dyDescent="0.25">
      <c r="A669" s="87">
        <v>2019</v>
      </c>
      <c r="B669" s="87">
        <v>8</v>
      </c>
      <c r="C669" s="173" t="s">
        <v>16</v>
      </c>
      <c r="D669" s="173" t="s">
        <v>21</v>
      </c>
      <c r="E669" s="173" t="s">
        <v>18</v>
      </c>
      <c r="F669" s="173" t="s">
        <v>16</v>
      </c>
      <c r="G669" s="87" t="b">
        <v>1</v>
      </c>
      <c r="H669" s="87" t="b">
        <v>0</v>
      </c>
      <c r="I669" s="87" t="b">
        <v>0</v>
      </c>
      <c r="J669" s="173" t="s">
        <v>450</v>
      </c>
      <c r="K669" s="174">
        <v>2837922000183</v>
      </c>
      <c r="L669" s="173" t="s">
        <v>563</v>
      </c>
      <c r="M669" s="173" t="s">
        <v>29</v>
      </c>
      <c r="N669" s="173" t="s">
        <v>19</v>
      </c>
      <c r="O669" s="87">
        <v>73</v>
      </c>
      <c r="P669" s="173" t="s">
        <v>26</v>
      </c>
      <c r="Q669" s="1" t="s">
        <v>1340</v>
      </c>
      <c r="R669" s="175">
        <v>2</v>
      </c>
      <c r="S669">
        <v>2</v>
      </c>
    </row>
    <row r="670" spans="1:19" x14ac:dyDescent="0.25">
      <c r="A670" s="87">
        <v>2019</v>
      </c>
      <c r="B670" s="87">
        <v>8</v>
      </c>
      <c r="C670" s="173" t="s">
        <v>16</v>
      </c>
      <c r="D670" s="173" t="s">
        <v>21</v>
      </c>
      <c r="E670" s="173" t="s">
        <v>18</v>
      </c>
      <c r="F670" s="173" t="s">
        <v>16</v>
      </c>
      <c r="G670" s="87" t="b">
        <v>1</v>
      </c>
      <c r="H670" s="87" t="b">
        <v>0</v>
      </c>
      <c r="I670" s="87" t="b">
        <v>0</v>
      </c>
      <c r="J670" s="173" t="s">
        <v>463</v>
      </c>
      <c r="K670" s="174">
        <v>2837922000183</v>
      </c>
      <c r="L670" s="173" t="s">
        <v>563</v>
      </c>
      <c r="M670" s="173" t="s">
        <v>29</v>
      </c>
      <c r="N670" s="173" t="s">
        <v>19</v>
      </c>
      <c r="O670" s="87">
        <v>73</v>
      </c>
      <c r="P670" s="173" t="s">
        <v>26</v>
      </c>
      <c r="Q670" s="1" t="s">
        <v>1342</v>
      </c>
      <c r="R670" s="175">
        <v>48</v>
      </c>
      <c r="S670">
        <v>12</v>
      </c>
    </row>
    <row r="671" spans="1:19" x14ac:dyDescent="0.25">
      <c r="A671" s="87">
        <v>2019</v>
      </c>
      <c r="B671" s="87">
        <v>8</v>
      </c>
      <c r="C671" s="173" t="s">
        <v>16</v>
      </c>
      <c r="D671" s="173" t="s">
        <v>21</v>
      </c>
      <c r="E671" s="173" t="s">
        <v>18</v>
      </c>
      <c r="F671" s="173" t="s">
        <v>16</v>
      </c>
      <c r="G671" s="87" t="b">
        <v>1</v>
      </c>
      <c r="H671" s="87" t="b">
        <v>0</v>
      </c>
      <c r="I671" s="87" t="b">
        <v>0</v>
      </c>
      <c r="J671" s="173" t="s">
        <v>477</v>
      </c>
      <c r="K671" s="174">
        <v>2864097000106</v>
      </c>
      <c r="L671" s="173" t="s">
        <v>1078</v>
      </c>
      <c r="M671" s="173" t="s">
        <v>131</v>
      </c>
      <c r="N671" s="173" t="s">
        <v>61</v>
      </c>
      <c r="O671" s="87">
        <v>70</v>
      </c>
      <c r="P671" s="173" t="s">
        <v>20</v>
      </c>
      <c r="Q671" s="1" t="s">
        <v>1338</v>
      </c>
      <c r="R671" s="175">
        <v>150</v>
      </c>
      <c r="S671">
        <v>30</v>
      </c>
    </row>
    <row r="672" spans="1:19" x14ac:dyDescent="0.25">
      <c r="A672" s="87">
        <v>2019</v>
      </c>
      <c r="B672" s="87">
        <v>8</v>
      </c>
      <c r="C672" s="173" t="s">
        <v>16</v>
      </c>
      <c r="D672" s="173" t="s">
        <v>21</v>
      </c>
      <c r="E672" s="173" t="s">
        <v>18</v>
      </c>
      <c r="F672" s="173" t="s">
        <v>16</v>
      </c>
      <c r="G672" s="87" t="b">
        <v>1</v>
      </c>
      <c r="H672" s="87" t="b">
        <v>0</v>
      </c>
      <c r="I672" s="87" t="b">
        <v>0</v>
      </c>
      <c r="J672" s="173" t="s">
        <v>472</v>
      </c>
      <c r="K672" s="174">
        <v>3091003000176</v>
      </c>
      <c r="L672" s="173" t="s">
        <v>782</v>
      </c>
      <c r="M672" s="173" t="s">
        <v>84</v>
      </c>
      <c r="N672" s="173" t="s">
        <v>85</v>
      </c>
      <c r="O672" s="87">
        <v>70</v>
      </c>
      <c r="P672" s="173" t="s">
        <v>20</v>
      </c>
      <c r="Q672" s="1" t="s">
        <v>1338</v>
      </c>
      <c r="R672" s="175">
        <v>175</v>
      </c>
      <c r="S672">
        <v>35</v>
      </c>
    </row>
    <row r="673" spans="1:19" x14ac:dyDescent="0.25">
      <c r="A673" s="87">
        <v>2019</v>
      </c>
      <c r="B673" s="87">
        <v>8</v>
      </c>
      <c r="C673" s="173" t="s">
        <v>16</v>
      </c>
      <c r="D673" s="173" t="s">
        <v>21</v>
      </c>
      <c r="E673" s="173" t="s">
        <v>18</v>
      </c>
      <c r="F673" s="173" t="s">
        <v>16</v>
      </c>
      <c r="G673" s="87" t="b">
        <v>1</v>
      </c>
      <c r="H673" s="87" t="b">
        <v>0</v>
      </c>
      <c r="I673" s="87" t="b">
        <v>0</v>
      </c>
      <c r="J673" s="173" t="s">
        <v>461</v>
      </c>
      <c r="K673" s="174">
        <v>3210872000172</v>
      </c>
      <c r="L673" s="173" t="s">
        <v>783</v>
      </c>
      <c r="M673" s="173" t="s">
        <v>122</v>
      </c>
      <c r="N673" s="173" t="s">
        <v>72</v>
      </c>
      <c r="O673" s="87">
        <v>70</v>
      </c>
      <c r="P673" s="173" t="s">
        <v>20</v>
      </c>
      <c r="Q673" s="1" t="s">
        <v>1338</v>
      </c>
      <c r="R673" s="175">
        <v>5</v>
      </c>
      <c r="S673">
        <v>1</v>
      </c>
    </row>
    <row r="674" spans="1:19" x14ac:dyDescent="0.25">
      <c r="A674" s="87">
        <v>2019</v>
      </c>
      <c r="B674" s="87">
        <v>8</v>
      </c>
      <c r="C674" s="173" t="s">
        <v>16</v>
      </c>
      <c r="D674" s="173" t="s">
        <v>21</v>
      </c>
      <c r="E674" s="173" t="s">
        <v>18</v>
      </c>
      <c r="F674" s="173" t="s">
        <v>16</v>
      </c>
      <c r="G674" s="87" t="b">
        <v>1</v>
      </c>
      <c r="H674" s="87" t="b">
        <v>0</v>
      </c>
      <c r="I674" s="87" t="b">
        <v>0</v>
      </c>
      <c r="J674" s="173" t="s">
        <v>464</v>
      </c>
      <c r="K674" s="174">
        <v>3376102000102</v>
      </c>
      <c r="L674" s="173" t="s">
        <v>786</v>
      </c>
      <c r="M674" s="173" t="s">
        <v>75</v>
      </c>
      <c r="N674" s="173" t="s">
        <v>74</v>
      </c>
      <c r="O674" s="87">
        <v>62</v>
      </c>
      <c r="P674" s="173" t="s">
        <v>27</v>
      </c>
      <c r="Q674" s="1" t="s">
        <v>1343</v>
      </c>
      <c r="R674" s="175">
        <v>3</v>
      </c>
      <c r="S674">
        <v>3</v>
      </c>
    </row>
    <row r="675" spans="1:19" x14ac:dyDescent="0.25">
      <c r="A675" s="87">
        <v>2019</v>
      </c>
      <c r="B675" s="87">
        <v>8</v>
      </c>
      <c r="C675" s="173" t="s">
        <v>16</v>
      </c>
      <c r="D675" s="173" t="s">
        <v>21</v>
      </c>
      <c r="E675" s="173" t="s">
        <v>18</v>
      </c>
      <c r="F675" s="173" t="s">
        <v>16</v>
      </c>
      <c r="G675" s="87" t="b">
        <v>1</v>
      </c>
      <c r="H675" s="87" t="b">
        <v>0</v>
      </c>
      <c r="I675" s="87" t="b">
        <v>0</v>
      </c>
      <c r="J675" s="173" t="s">
        <v>470</v>
      </c>
      <c r="K675" s="174">
        <v>3533726000773</v>
      </c>
      <c r="L675" s="173" t="s">
        <v>787</v>
      </c>
      <c r="M675" s="173" t="s">
        <v>772</v>
      </c>
      <c r="N675" s="173" t="s">
        <v>69</v>
      </c>
      <c r="O675" s="87">
        <v>70</v>
      </c>
      <c r="P675" s="173" t="s">
        <v>20</v>
      </c>
      <c r="Q675" s="1" t="s">
        <v>1338</v>
      </c>
      <c r="R675" s="175">
        <v>90</v>
      </c>
      <c r="S675">
        <v>18</v>
      </c>
    </row>
    <row r="676" spans="1:19" x14ac:dyDescent="0.25">
      <c r="A676" s="87">
        <v>2019</v>
      </c>
      <c r="B676" s="87">
        <v>8</v>
      </c>
      <c r="C676" s="173" t="s">
        <v>16</v>
      </c>
      <c r="D676" s="173" t="s">
        <v>21</v>
      </c>
      <c r="E676" s="173" t="s">
        <v>18</v>
      </c>
      <c r="F676" s="173" t="s">
        <v>16</v>
      </c>
      <c r="G676" s="87" t="b">
        <v>1</v>
      </c>
      <c r="H676" s="87" t="b">
        <v>0</v>
      </c>
      <c r="I676" s="87" t="b">
        <v>0</v>
      </c>
      <c r="J676" s="173" t="s">
        <v>468</v>
      </c>
      <c r="K676" s="174">
        <v>3533726001583</v>
      </c>
      <c r="L676" s="173" t="s">
        <v>788</v>
      </c>
      <c r="M676" s="173" t="s">
        <v>789</v>
      </c>
      <c r="N676" s="173" t="s">
        <v>69</v>
      </c>
      <c r="O676" s="87">
        <v>70</v>
      </c>
      <c r="P676" s="173" t="s">
        <v>20</v>
      </c>
      <c r="Q676" s="1" t="s">
        <v>1338</v>
      </c>
      <c r="R676" s="175">
        <v>30</v>
      </c>
      <c r="S676">
        <v>6</v>
      </c>
    </row>
    <row r="677" spans="1:19" x14ac:dyDescent="0.25">
      <c r="A677" s="87">
        <v>2019</v>
      </c>
      <c r="B677" s="87">
        <v>8</v>
      </c>
      <c r="C677" s="173" t="s">
        <v>16</v>
      </c>
      <c r="D677" s="173" t="s">
        <v>21</v>
      </c>
      <c r="E677" s="173" t="s">
        <v>18</v>
      </c>
      <c r="F677" s="173" t="s">
        <v>16</v>
      </c>
      <c r="G677" s="87" t="b">
        <v>1</v>
      </c>
      <c r="H677" s="87" t="b">
        <v>0</v>
      </c>
      <c r="I677" s="87" t="b">
        <v>0</v>
      </c>
      <c r="J677" s="173" t="s">
        <v>492</v>
      </c>
      <c r="K677" s="174">
        <v>3824198000116</v>
      </c>
      <c r="L677" s="173" t="s">
        <v>944</v>
      </c>
      <c r="M677" s="173" t="s">
        <v>94</v>
      </c>
      <c r="N677" s="173" t="s">
        <v>57</v>
      </c>
      <c r="O677" s="87">
        <v>70</v>
      </c>
      <c r="P677" s="173" t="s">
        <v>20</v>
      </c>
      <c r="Q677" s="1" t="s">
        <v>1338</v>
      </c>
      <c r="R677" s="175">
        <v>250</v>
      </c>
      <c r="S677">
        <v>50</v>
      </c>
    </row>
    <row r="678" spans="1:19" x14ac:dyDescent="0.25">
      <c r="A678" s="87">
        <v>2019</v>
      </c>
      <c r="B678" s="87">
        <v>8</v>
      </c>
      <c r="C678" s="173" t="s">
        <v>16</v>
      </c>
      <c r="D678" s="173" t="s">
        <v>21</v>
      </c>
      <c r="E678" s="173" t="s">
        <v>18</v>
      </c>
      <c r="F678" s="173" t="s">
        <v>16</v>
      </c>
      <c r="G678" s="87" t="b">
        <v>1</v>
      </c>
      <c r="H678" s="87" t="b">
        <v>0</v>
      </c>
      <c r="I678" s="87" t="b">
        <v>0</v>
      </c>
      <c r="J678" s="173" t="s">
        <v>451</v>
      </c>
      <c r="K678" s="174">
        <v>3850913000195</v>
      </c>
      <c r="L678" s="173" t="s">
        <v>945</v>
      </c>
      <c r="M678" s="173" t="s">
        <v>94</v>
      </c>
      <c r="N678" s="173" t="s">
        <v>57</v>
      </c>
      <c r="O678" s="87">
        <v>70</v>
      </c>
      <c r="P678" s="173" t="s">
        <v>20</v>
      </c>
      <c r="Q678" s="1" t="s">
        <v>1338</v>
      </c>
      <c r="R678" s="175">
        <v>520</v>
      </c>
      <c r="S678">
        <v>104</v>
      </c>
    </row>
    <row r="679" spans="1:19" x14ac:dyDescent="0.25">
      <c r="A679" s="87">
        <v>2019</v>
      </c>
      <c r="B679" s="87">
        <v>8</v>
      </c>
      <c r="C679" s="173" t="s">
        <v>16</v>
      </c>
      <c r="D679" s="173" t="s">
        <v>21</v>
      </c>
      <c r="E679" s="173" t="s">
        <v>18</v>
      </c>
      <c r="F679" s="173" t="s">
        <v>16</v>
      </c>
      <c r="G679" s="87" t="b">
        <v>1</v>
      </c>
      <c r="H679" s="87" t="b">
        <v>0</v>
      </c>
      <c r="I679" s="87" t="b">
        <v>0</v>
      </c>
      <c r="J679" s="173" t="s">
        <v>1330</v>
      </c>
      <c r="K679" s="174">
        <v>3866223000124</v>
      </c>
      <c r="L679" s="173" t="s">
        <v>792</v>
      </c>
      <c r="M679" s="173" t="s">
        <v>742</v>
      </c>
      <c r="N679" s="173" t="s">
        <v>91</v>
      </c>
      <c r="O679" s="87">
        <v>70</v>
      </c>
      <c r="P679" s="173" t="s">
        <v>20</v>
      </c>
      <c r="Q679" s="1" t="s">
        <v>1338</v>
      </c>
      <c r="R679" s="175">
        <v>1075</v>
      </c>
      <c r="S679">
        <v>215</v>
      </c>
    </row>
    <row r="680" spans="1:19" x14ac:dyDescent="0.25">
      <c r="A680" s="87">
        <v>2019</v>
      </c>
      <c r="B680" s="87">
        <v>8</v>
      </c>
      <c r="C680" s="173" t="s">
        <v>16</v>
      </c>
      <c r="D680" s="173" t="s">
        <v>21</v>
      </c>
      <c r="E680" s="173" t="s">
        <v>18</v>
      </c>
      <c r="F680" s="173" t="s">
        <v>16</v>
      </c>
      <c r="G680" s="87" t="b">
        <v>1</v>
      </c>
      <c r="H680" s="87" t="b">
        <v>0</v>
      </c>
      <c r="I680" s="87" t="b">
        <v>0</v>
      </c>
      <c r="J680" s="173" t="s">
        <v>460</v>
      </c>
      <c r="K680" s="174">
        <v>3866223000124</v>
      </c>
      <c r="L680" s="173" t="s">
        <v>792</v>
      </c>
      <c r="M680" s="173" t="s">
        <v>742</v>
      </c>
      <c r="N680" s="173" t="s">
        <v>91</v>
      </c>
      <c r="O680" s="87">
        <v>70</v>
      </c>
      <c r="P680" s="173" t="s">
        <v>20</v>
      </c>
      <c r="Q680" s="1" t="s">
        <v>1338</v>
      </c>
      <c r="R680" s="175">
        <v>665</v>
      </c>
      <c r="S680">
        <v>133</v>
      </c>
    </row>
    <row r="681" spans="1:19" x14ac:dyDescent="0.25">
      <c r="A681" s="87">
        <v>2019</v>
      </c>
      <c r="B681" s="87">
        <v>8</v>
      </c>
      <c r="C681" s="173" t="s">
        <v>16</v>
      </c>
      <c r="D681" s="173" t="s">
        <v>21</v>
      </c>
      <c r="E681" s="173" t="s">
        <v>18</v>
      </c>
      <c r="F681" s="173" t="s">
        <v>16</v>
      </c>
      <c r="G681" s="87" t="b">
        <v>1</v>
      </c>
      <c r="H681" s="87" t="b">
        <v>0</v>
      </c>
      <c r="I681" s="87" t="b">
        <v>0</v>
      </c>
      <c r="J681" s="173" t="s">
        <v>450</v>
      </c>
      <c r="K681" s="174">
        <v>3872790000193</v>
      </c>
      <c r="L681" s="173" t="s">
        <v>564</v>
      </c>
      <c r="M681" s="173" t="s">
        <v>29</v>
      </c>
      <c r="N681" s="173" t="s">
        <v>19</v>
      </c>
      <c r="O681" s="87">
        <v>73</v>
      </c>
      <c r="P681" s="173" t="s">
        <v>26</v>
      </c>
      <c r="Q681" s="1" t="s">
        <v>1342</v>
      </c>
      <c r="R681" s="175">
        <v>8</v>
      </c>
      <c r="S681">
        <v>2</v>
      </c>
    </row>
    <row r="682" spans="1:19" x14ac:dyDescent="0.25">
      <c r="A682" s="87">
        <v>2019</v>
      </c>
      <c r="B682" s="87">
        <v>8</v>
      </c>
      <c r="C682" s="173" t="s">
        <v>16</v>
      </c>
      <c r="D682" s="173" t="s">
        <v>21</v>
      </c>
      <c r="E682" s="173" t="s">
        <v>18</v>
      </c>
      <c r="F682" s="173" t="s">
        <v>16</v>
      </c>
      <c r="G682" s="87" t="b">
        <v>1</v>
      </c>
      <c r="H682" s="87" t="b">
        <v>0</v>
      </c>
      <c r="I682" s="87" t="b">
        <v>0</v>
      </c>
      <c r="J682" s="173" t="s">
        <v>455</v>
      </c>
      <c r="K682" s="174">
        <v>3925419000142</v>
      </c>
      <c r="L682" s="173" t="s">
        <v>795</v>
      </c>
      <c r="M682" s="173" t="s">
        <v>772</v>
      </c>
      <c r="N682" s="173" t="s">
        <v>69</v>
      </c>
      <c r="O682" s="87">
        <v>64</v>
      </c>
      <c r="P682" s="173" t="s">
        <v>25</v>
      </c>
      <c r="Q682" s="1" t="s">
        <v>1344</v>
      </c>
      <c r="R682" s="175">
        <v>8</v>
      </c>
      <c r="S682">
        <v>8</v>
      </c>
    </row>
    <row r="683" spans="1:19" x14ac:dyDescent="0.25">
      <c r="A683" s="87">
        <v>2019</v>
      </c>
      <c r="B683" s="87">
        <v>8</v>
      </c>
      <c r="C683" s="173" t="s">
        <v>16</v>
      </c>
      <c r="D683" s="173" t="s">
        <v>21</v>
      </c>
      <c r="E683" s="173" t="s">
        <v>18</v>
      </c>
      <c r="F683" s="173" t="s">
        <v>16</v>
      </c>
      <c r="G683" s="87" t="b">
        <v>1</v>
      </c>
      <c r="H683" s="87" t="b">
        <v>0</v>
      </c>
      <c r="I683" s="87" t="b">
        <v>0</v>
      </c>
      <c r="J683" s="173" t="s">
        <v>468</v>
      </c>
      <c r="K683" s="174">
        <v>3989821000190</v>
      </c>
      <c r="L683" s="173" t="s">
        <v>796</v>
      </c>
      <c r="M683" s="173" t="s">
        <v>739</v>
      </c>
      <c r="N683" s="173" t="s">
        <v>55</v>
      </c>
      <c r="O683" s="87">
        <v>70</v>
      </c>
      <c r="P683" s="173" t="s">
        <v>20</v>
      </c>
      <c r="Q683" s="1" t="s">
        <v>1338</v>
      </c>
      <c r="R683" s="175">
        <v>260</v>
      </c>
      <c r="S683">
        <v>52</v>
      </c>
    </row>
    <row r="684" spans="1:19" x14ac:dyDescent="0.25">
      <c r="A684" s="87">
        <v>2019</v>
      </c>
      <c r="B684" s="87">
        <v>8</v>
      </c>
      <c r="C684" s="173" t="s">
        <v>16</v>
      </c>
      <c r="D684" s="173" t="s">
        <v>21</v>
      </c>
      <c r="E684" s="173" t="s">
        <v>18</v>
      </c>
      <c r="F684" s="173" t="s">
        <v>16</v>
      </c>
      <c r="G684" s="87" t="b">
        <v>1</v>
      </c>
      <c r="H684" s="87" t="b">
        <v>0</v>
      </c>
      <c r="I684" s="87" t="b">
        <v>0</v>
      </c>
      <c r="J684" s="173" t="s">
        <v>491</v>
      </c>
      <c r="K684" s="174">
        <v>3989821000190</v>
      </c>
      <c r="L684" s="173" t="s">
        <v>796</v>
      </c>
      <c r="M684" s="173" t="s">
        <v>739</v>
      </c>
      <c r="N684" s="173" t="s">
        <v>55</v>
      </c>
      <c r="O684" s="87">
        <v>70</v>
      </c>
      <c r="P684" s="173" t="s">
        <v>20</v>
      </c>
      <c r="Q684" s="1" t="s">
        <v>1338</v>
      </c>
      <c r="R684" s="175">
        <v>100</v>
      </c>
      <c r="S684">
        <v>20</v>
      </c>
    </row>
    <row r="685" spans="1:19" x14ac:dyDescent="0.25">
      <c r="A685" s="87">
        <v>2019</v>
      </c>
      <c r="B685" s="87">
        <v>8</v>
      </c>
      <c r="C685" s="173" t="s">
        <v>16</v>
      </c>
      <c r="D685" s="173" t="s">
        <v>21</v>
      </c>
      <c r="E685" s="173" t="s">
        <v>18</v>
      </c>
      <c r="F685" s="173" t="s">
        <v>16</v>
      </c>
      <c r="G685" s="87" t="b">
        <v>1</v>
      </c>
      <c r="H685" s="87" t="b">
        <v>0</v>
      </c>
      <c r="I685" s="87" t="b">
        <v>0</v>
      </c>
      <c r="J685" s="173" t="s">
        <v>463</v>
      </c>
      <c r="K685" s="174">
        <v>4036348000190</v>
      </c>
      <c r="L685" s="173" t="s">
        <v>565</v>
      </c>
      <c r="M685" s="173" t="s">
        <v>29</v>
      </c>
      <c r="N685" s="173" t="s">
        <v>19</v>
      </c>
      <c r="O685" s="87">
        <v>70</v>
      </c>
      <c r="P685" s="173" t="s">
        <v>20</v>
      </c>
      <c r="Q685" s="1" t="s">
        <v>1345</v>
      </c>
      <c r="R685" s="175">
        <v>160</v>
      </c>
      <c r="S685">
        <v>16</v>
      </c>
    </row>
    <row r="686" spans="1:19" x14ac:dyDescent="0.25">
      <c r="A686" s="87">
        <v>2019</v>
      </c>
      <c r="B686" s="87">
        <v>8</v>
      </c>
      <c r="C686" s="173" t="s">
        <v>16</v>
      </c>
      <c r="D686" s="173" t="s">
        <v>21</v>
      </c>
      <c r="E686" s="173" t="s">
        <v>18</v>
      </c>
      <c r="F686" s="173" t="s">
        <v>16</v>
      </c>
      <c r="G686" s="87" t="b">
        <v>1</v>
      </c>
      <c r="H686" s="87" t="b">
        <v>0</v>
      </c>
      <c r="I686" s="87" t="b">
        <v>0</v>
      </c>
      <c r="J686" s="173" t="s">
        <v>463</v>
      </c>
      <c r="K686" s="174">
        <v>4036348000190</v>
      </c>
      <c r="L686" s="173" t="s">
        <v>565</v>
      </c>
      <c r="M686" s="173" t="s">
        <v>29</v>
      </c>
      <c r="N686" s="173" t="s">
        <v>19</v>
      </c>
      <c r="O686" s="87">
        <v>70</v>
      </c>
      <c r="P686" s="173" t="s">
        <v>20</v>
      </c>
      <c r="Q686" s="1" t="s">
        <v>1338</v>
      </c>
      <c r="R686" s="175">
        <v>30</v>
      </c>
      <c r="S686">
        <v>6</v>
      </c>
    </row>
    <row r="687" spans="1:19" x14ac:dyDescent="0.25">
      <c r="A687" s="87">
        <v>2019</v>
      </c>
      <c r="B687" s="87">
        <v>8</v>
      </c>
      <c r="C687" s="173" t="s">
        <v>16</v>
      </c>
      <c r="D687" s="173" t="s">
        <v>21</v>
      </c>
      <c r="E687" s="173" t="s">
        <v>18</v>
      </c>
      <c r="F687" s="173" t="s">
        <v>16</v>
      </c>
      <c r="G687" s="87" t="b">
        <v>1</v>
      </c>
      <c r="H687" s="87" t="b">
        <v>0</v>
      </c>
      <c r="I687" s="87" t="b">
        <v>0</v>
      </c>
      <c r="J687" s="173" t="s">
        <v>451</v>
      </c>
      <c r="K687" s="174">
        <v>4036348000190</v>
      </c>
      <c r="L687" s="173" t="s">
        <v>565</v>
      </c>
      <c r="M687" s="173" t="s">
        <v>29</v>
      </c>
      <c r="N687" s="173" t="s">
        <v>19</v>
      </c>
      <c r="O687" s="87">
        <v>70</v>
      </c>
      <c r="P687" s="173" t="s">
        <v>20</v>
      </c>
      <c r="Q687" s="1" t="s">
        <v>1345</v>
      </c>
      <c r="R687" s="175">
        <v>130</v>
      </c>
      <c r="S687">
        <v>13</v>
      </c>
    </row>
    <row r="688" spans="1:19" x14ac:dyDescent="0.25">
      <c r="A688" s="87">
        <v>2019</v>
      </c>
      <c r="B688" s="87">
        <v>8</v>
      </c>
      <c r="C688" s="173" t="s">
        <v>16</v>
      </c>
      <c r="D688" s="173" t="s">
        <v>21</v>
      </c>
      <c r="E688" s="173" t="s">
        <v>18</v>
      </c>
      <c r="F688" s="173" t="s">
        <v>16</v>
      </c>
      <c r="G688" s="87" t="b">
        <v>1</v>
      </c>
      <c r="H688" s="87" t="b">
        <v>0</v>
      </c>
      <c r="I688" s="87" t="b">
        <v>0</v>
      </c>
      <c r="J688" s="173" t="s">
        <v>460</v>
      </c>
      <c r="K688" s="174">
        <v>4201372001028</v>
      </c>
      <c r="L688" s="173" t="s">
        <v>1145</v>
      </c>
      <c r="M688" s="173" t="s">
        <v>1129</v>
      </c>
      <c r="N688" s="173" t="s">
        <v>52</v>
      </c>
      <c r="O688" s="87">
        <v>73</v>
      </c>
      <c r="P688" s="173" t="s">
        <v>26</v>
      </c>
      <c r="Q688" s="1" t="s">
        <v>1339</v>
      </c>
      <c r="R688" s="175">
        <v>12</v>
      </c>
      <c r="S688">
        <v>6</v>
      </c>
    </row>
    <row r="689" spans="1:19" x14ac:dyDescent="0.25">
      <c r="A689" s="87">
        <v>2019</v>
      </c>
      <c r="B689" s="87">
        <v>8</v>
      </c>
      <c r="C689" s="173" t="s">
        <v>16</v>
      </c>
      <c r="D689" s="173" t="s">
        <v>21</v>
      </c>
      <c r="E689" s="173" t="s">
        <v>18</v>
      </c>
      <c r="F689" s="173" t="s">
        <v>16</v>
      </c>
      <c r="G689" s="87" t="b">
        <v>1</v>
      </c>
      <c r="H689" s="87" t="b">
        <v>0</v>
      </c>
      <c r="I689" s="87" t="b">
        <v>0</v>
      </c>
      <c r="J689" s="173" t="s">
        <v>460</v>
      </c>
      <c r="K689" s="174">
        <v>4201372001028</v>
      </c>
      <c r="L689" s="173" t="s">
        <v>1145</v>
      </c>
      <c r="M689" s="173" t="s">
        <v>1129</v>
      </c>
      <c r="N689" s="173" t="s">
        <v>52</v>
      </c>
      <c r="O689" s="87">
        <v>73</v>
      </c>
      <c r="P689" s="173" t="s">
        <v>26</v>
      </c>
      <c r="Q689" s="1" t="s">
        <v>1342</v>
      </c>
      <c r="R689" s="175">
        <v>40</v>
      </c>
      <c r="S689">
        <v>10</v>
      </c>
    </row>
    <row r="690" spans="1:19" x14ac:dyDescent="0.25">
      <c r="A690" s="87">
        <v>2019</v>
      </c>
      <c r="B690" s="87">
        <v>8</v>
      </c>
      <c r="C690" s="173" t="s">
        <v>16</v>
      </c>
      <c r="D690" s="173" t="s">
        <v>21</v>
      </c>
      <c r="E690" s="173" t="s">
        <v>18</v>
      </c>
      <c r="F690" s="173" t="s">
        <v>16</v>
      </c>
      <c r="G690" s="87" t="b">
        <v>1</v>
      </c>
      <c r="H690" s="87" t="b">
        <v>0</v>
      </c>
      <c r="I690" s="87" t="b">
        <v>0</v>
      </c>
      <c r="J690" s="173" t="s">
        <v>463</v>
      </c>
      <c r="K690" s="174">
        <v>4275687000129</v>
      </c>
      <c r="L690" s="173" t="s">
        <v>645</v>
      </c>
      <c r="M690" s="173" t="s">
        <v>31</v>
      </c>
      <c r="N690" s="173" t="s">
        <v>19</v>
      </c>
      <c r="O690" s="87">
        <v>73</v>
      </c>
      <c r="P690" s="173" t="s">
        <v>26</v>
      </c>
      <c r="Q690" s="1" t="s">
        <v>1342</v>
      </c>
      <c r="R690" s="175">
        <v>12</v>
      </c>
      <c r="S690">
        <v>3</v>
      </c>
    </row>
    <row r="691" spans="1:19" x14ac:dyDescent="0.25">
      <c r="A691" s="87">
        <v>2019</v>
      </c>
      <c r="B691" s="87">
        <v>8</v>
      </c>
      <c r="C691" s="173" t="s">
        <v>16</v>
      </c>
      <c r="D691" s="173" t="s">
        <v>21</v>
      </c>
      <c r="E691" s="173" t="s">
        <v>18</v>
      </c>
      <c r="F691" s="173" t="s">
        <v>16</v>
      </c>
      <c r="G691" s="87" t="b">
        <v>1</v>
      </c>
      <c r="H691" s="87" t="b">
        <v>0</v>
      </c>
      <c r="I691" s="87" t="b">
        <v>0</v>
      </c>
      <c r="J691" s="173" t="s">
        <v>463</v>
      </c>
      <c r="K691" s="174">
        <v>4275687000129</v>
      </c>
      <c r="L691" s="173" t="s">
        <v>645</v>
      </c>
      <c r="M691" s="173" t="s">
        <v>31</v>
      </c>
      <c r="N691" s="173" t="s">
        <v>19</v>
      </c>
      <c r="O691" s="87">
        <v>73</v>
      </c>
      <c r="P691" s="173" t="s">
        <v>26</v>
      </c>
      <c r="Q691" s="1" t="s">
        <v>1340</v>
      </c>
      <c r="R691" s="175">
        <v>3</v>
      </c>
      <c r="S691">
        <v>3</v>
      </c>
    </row>
    <row r="692" spans="1:19" x14ac:dyDescent="0.25">
      <c r="A692" s="87">
        <v>2019</v>
      </c>
      <c r="B692" s="87">
        <v>8</v>
      </c>
      <c r="C692" s="173" t="s">
        <v>16</v>
      </c>
      <c r="D692" s="173" t="s">
        <v>21</v>
      </c>
      <c r="E692" s="173" t="s">
        <v>18</v>
      </c>
      <c r="F692" s="173" t="s">
        <v>16</v>
      </c>
      <c r="G692" s="87" t="b">
        <v>1</v>
      </c>
      <c r="H692" s="87" t="b">
        <v>0</v>
      </c>
      <c r="I692" s="87" t="b">
        <v>0</v>
      </c>
      <c r="J692" s="173" t="s">
        <v>460</v>
      </c>
      <c r="K692" s="174">
        <v>4602792000125</v>
      </c>
      <c r="L692" s="173" t="s">
        <v>797</v>
      </c>
      <c r="M692" s="173" t="s">
        <v>73</v>
      </c>
      <c r="N692" s="173" t="s">
        <v>74</v>
      </c>
      <c r="O692" s="87">
        <v>64</v>
      </c>
      <c r="P692" s="173" t="s">
        <v>25</v>
      </c>
      <c r="Q692" s="1" t="s">
        <v>1344</v>
      </c>
      <c r="R692" s="175">
        <v>3</v>
      </c>
      <c r="S692">
        <v>3</v>
      </c>
    </row>
    <row r="693" spans="1:19" x14ac:dyDescent="0.25">
      <c r="A693" s="87">
        <v>2019</v>
      </c>
      <c r="B693" s="87">
        <v>8</v>
      </c>
      <c r="C693" s="173" t="s">
        <v>16</v>
      </c>
      <c r="D693" s="173" t="s">
        <v>21</v>
      </c>
      <c r="E693" s="173" t="s">
        <v>18</v>
      </c>
      <c r="F693" s="173" t="s">
        <v>16</v>
      </c>
      <c r="G693" s="87" t="b">
        <v>1</v>
      </c>
      <c r="H693" s="87" t="b">
        <v>0</v>
      </c>
      <c r="I693" s="87" t="b">
        <v>0</v>
      </c>
      <c r="J693" s="173" t="s">
        <v>492</v>
      </c>
      <c r="K693" s="174">
        <v>4670913000176</v>
      </c>
      <c r="L693" s="173" t="s">
        <v>949</v>
      </c>
      <c r="M693" s="173" t="s">
        <v>930</v>
      </c>
      <c r="N693" s="173" t="s">
        <v>68</v>
      </c>
      <c r="O693" s="87">
        <v>70</v>
      </c>
      <c r="P693" s="173" t="s">
        <v>20</v>
      </c>
      <c r="Q693" s="1" t="s">
        <v>1338</v>
      </c>
      <c r="R693" s="175">
        <v>245</v>
      </c>
      <c r="S693">
        <v>49</v>
      </c>
    </row>
    <row r="694" spans="1:19" x14ac:dyDescent="0.25">
      <c r="A694" s="87">
        <v>2019</v>
      </c>
      <c r="B694" s="87">
        <v>8</v>
      </c>
      <c r="C694" s="173" t="s">
        <v>16</v>
      </c>
      <c r="D694" s="173" t="s">
        <v>21</v>
      </c>
      <c r="E694" s="173" t="s">
        <v>18</v>
      </c>
      <c r="F694" s="173" t="s">
        <v>16</v>
      </c>
      <c r="G694" s="87" t="b">
        <v>1</v>
      </c>
      <c r="H694" s="87" t="b">
        <v>0</v>
      </c>
      <c r="I694" s="87" t="b">
        <v>0</v>
      </c>
      <c r="J694" s="173" t="s">
        <v>470</v>
      </c>
      <c r="K694" s="174">
        <v>4762301000103</v>
      </c>
      <c r="L694" s="173" t="s">
        <v>950</v>
      </c>
      <c r="M694" s="173" t="s">
        <v>121</v>
      </c>
      <c r="N694" s="173" t="s">
        <v>57</v>
      </c>
      <c r="O694" s="87">
        <v>70</v>
      </c>
      <c r="P694" s="173" t="s">
        <v>20</v>
      </c>
      <c r="Q694" s="1" t="s">
        <v>1338</v>
      </c>
      <c r="R694" s="175">
        <v>80</v>
      </c>
      <c r="S694">
        <v>16</v>
      </c>
    </row>
    <row r="695" spans="1:19" x14ac:dyDescent="0.25">
      <c r="A695" s="87">
        <v>2019</v>
      </c>
      <c r="B695" s="87">
        <v>8</v>
      </c>
      <c r="C695" s="173" t="s">
        <v>16</v>
      </c>
      <c r="D695" s="173" t="s">
        <v>21</v>
      </c>
      <c r="E695" s="173" t="s">
        <v>18</v>
      </c>
      <c r="F695" s="173" t="s">
        <v>16</v>
      </c>
      <c r="G695" s="87" t="b">
        <v>1</v>
      </c>
      <c r="H695" s="87" t="b">
        <v>0</v>
      </c>
      <c r="I695" s="87" t="b">
        <v>0</v>
      </c>
      <c r="J695" s="173" t="s">
        <v>452</v>
      </c>
      <c r="K695" s="174">
        <v>4762301000103</v>
      </c>
      <c r="L695" s="173" t="s">
        <v>950</v>
      </c>
      <c r="M695" s="173" t="s">
        <v>121</v>
      </c>
      <c r="N695" s="173" t="s">
        <v>57</v>
      </c>
      <c r="O695" s="87">
        <v>70</v>
      </c>
      <c r="P695" s="173" t="s">
        <v>20</v>
      </c>
      <c r="Q695" s="1" t="s">
        <v>1338</v>
      </c>
      <c r="R695" s="175">
        <v>100</v>
      </c>
      <c r="S695">
        <v>20</v>
      </c>
    </row>
    <row r="696" spans="1:19" x14ac:dyDescent="0.25">
      <c r="A696" s="87">
        <v>2019</v>
      </c>
      <c r="B696" s="87">
        <v>8</v>
      </c>
      <c r="C696" s="173" t="s">
        <v>16</v>
      </c>
      <c r="D696" s="173" t="s">
        <v>21</v>
      </c>
      <c r="E696" s="173" t="s">
        <v>18</v>
      </c>
      <c r="F696" s="173" t="s">
        <v>16</v>
      </c>
      <c r="G696" s="87" t="b">
        <v>1</v>
      </c>
      <c r="H696" s="87" t="b">
        <v>0</v>
      </c>
      <c r="I696" s="87" t="b">
        <v>0</v>
      </c>
      <c r="J696" s="173" t="s">
        <v>477</v>
      </c>
      <c r="K696" s="174">
        <v>4786490000154</v>
      </c>
      <c r="L696" s="173" t="s">
        <v>1146</v>
      </c>
      <c r="M696" s="173" t="s">
        <v>97</v>
      </c>
      <c r="N696" s="173" t="s">
        <v>98</v>
      </c>
      <c r="O696" s="87">
        <v>73</v>
      </c>
      <c r="P696" s="173" t="s">
        <v>26</v>
      </c>
      <c r="Q696" s="1" t="s">
        <v>1339</v>
      </c>
      <c r="R696" s="175">
        <v>2</v>
      </c>
      <c r="S696">
        <v>1</v>
      </c>
    </row>
    <row r="697" spans="1:19" x14ac:dyDescent="0.25">
      <c r="A697" s="87">
        <v>2019</v>
      </c>
      <c r="B697" s="87">
        <v>8</v>
      </c>
      <c r="C697" s="173" t="s">
        <v>16</v>
      </c>
      <c r="D697" s="173" t="s">
        <v>21</v>
      </c>
      <c r="E697" s="173" t="s">
        <v>18</v>
      </c>
      <c r="F697" s="173" t="s">
        <v>16</v>
      </c>
      <c r="G697" s="87" t="b">
        <v>1</v>
      </c>
      <c r="H697" s="87" t="b">
        <v>0</v>
      </c>
      <c r="I697" s="87" t="b">
        <v>0</v>
      </c>
      <c r="J697" s="173" t="s">
        <v>477</v>
      </c>
      <c r="K697" s="174">
        <v>4786490000154</v>
      </c>
      <c r="L697" s="173" t="s">
        <v>1146</v>
      </c>
      <c r="M697" s="173" t="s">
        <v>97</v>
      </c>
      <c r="N697" s="173" t="s">
        <v>98</v>
      </c>
      <c r="O697" s="87">
        <v>73</v>
      </c>
      <c r="P697" s="173" t="s">
        <v>26</v>
      </c>
      <c r="Q697" s="1" t="s">
        <v>1342</v>
      </c>
      <c r="R697" s="175">
        <v>12</v>
      </c>
      <c r="S697">
        <v>3</v>
      </c>
    </row>
    <row r="698" spans="1:19" x14ac:dyDescent="0.25">
      <c r="A698" s="87">
        <v>2019</v>
      </c>
      <c r="B698" s="87">
        <v>8</v>
      </c>
      <c r="C698" s="173" t="s">
        <v>16</v>
      </c>
      <c r="D698" s="173" t="s">
        <v>21</v>
      </c>
      <c r="E698" s="173" t="s">
        <v>18</v>
      </c>
      <c r="F698" s="173" t="s">
        <v>16</v>
      </c>
      <c r="G698" s="87" t="b">
        <v>1</v>
      </c>
      <c r="H698" s="87" t="b">
        <v>0</v>
      </c>
      <c r="I698" s="87" t="b">
        <v>0</v>
      </c>
      <c r="J698" s="173" t="s">
        <v>460</v>
      </c>
      <c r="K698" s="174">
        <v>5054929000117</v>
      </c>
      <c r="L698" s="173" t="s">
        <v>1149</v>
      </c>
      <c r="M698" s="173" t="s">
        <v>1129</v>
      </c>
      <c r="N698" s="173" t="s">
        <v>52</v>
      </c>
      <c r="O698" s="87">
        <v>73</v>
      </c>
      <c r="P698" s="173" t="s">
        <v>26</v>
      </c>
      <c r="Q698" s="1" t="s">
        <v>1342</v>
      </c>
      <c r="R698" s="175">
        <v>48</v>
      </c>
      <c r="S698">
        <v>12</v>
      </c>
    </row>
    <row r="699" spans="1:19" x14ac:dyDescent="0.25">
      <c r="A699" s="87">
        <v>2019</v>
      </c>
      <c r="B699" s="87">
        <v>8</v>
      </c>
      <c r="C699" s="173" t="s">
        <v>16</v>
      </c>
      <c r="D699" s="173" t="s">
        <v>21</v>
      </c>
      <c r="E699" s="173" t="s">
        <v>18</v>
      </c>
      <c r="F699" s="173" t="s">
        <v>16</v>
      </c>
      <c r="G699" s="87" t="b">
        <v>1</v>
      </c>
      <c r="H699" s="87" t="b">
        <v>0</v>
      </c>
      <c r="I699" s="87" t="b">
        <v>0</v>
      </c>
      <c r="J699" s="173" t="s">
        <v>464</v>
      </c>
      <c r="K699" s="174">
        <v>5469172000122</v>
      </c>
      <c r="L699" s="173" t="s">
        <v>799</v>
      </c>
      <c r="M699" s="173" t="s">
        <v>75</v>
      </c>
      <c r="N699" s="173" t="s">
        <v>74</v>
      </c>
      <c r="O699" s="87">
        <v>62</v>
      </c>
      <c r="P699" s="173" t="s">
        <v>27</v>
      </c>
      <c r="Q699" s="1" t="s">
        <v>1343</v>
      </c>
      <c r="R699" s="175">
        <v>7</v>
      </c>
      <c r="S699">
        <v>7</v>
      </c>
    </row>
    <row r="700" spans="1:19" x14ac:dyDescent="0.25">
      <c r="A700" s="87">
        <v>2019</v>
      </c>
      <c r="B700" s="87">
        <v>8</v>
      </c>
      <c r="C700" s="173" t="s">
        <v>16</v>
      </c>
      <c r="D700" s="173" t="s">
        <v>21</v>
      </c>
      <c r="E700" s="173" t="s">
        <v>18</v>
      </c>
      <c r="F700" s="173" t="s">
        <v>16</v>
      </c>
      <c r="G700" s="87" t="b">
        <v>1</v>
      </c>
      <c r="H700" s="87" t="b">
        <v>0</v>
      </c>
      <c r="I700" s="87" t="b">
        <v>0</v>
      </c>
      <c r="J700" s="173" t="s">
        <v>455</v>
      </c>
      <c r="K700" s="174">
        <v>5469172000122</v>
      </c>
      <c r="L700" s="173" t="s">
        <v>799</v>
      </c>
      <c r="M700" s="173" t="s">
        <v>75</v>
      </c>
      <c r="N700" s="173" t="s">
        <v>74</v>
      </c>
      <c r="O700" s="87">
        <v>64</v>
      </c>
      <c r="P700" s="173" t="s">
        <v>25</v>
      </c>
      <c r="Q700" s="1" t="s">
        <v>1344</v>
      </c>
      <c r="R700" s="175">
        <v>11</v>
      </c>
      <c r="S700">
        <v>11</v>
      </c>
    </row>
    <row r="701" spans="1:19" x14ac:dyDescent="0.25">
      <c r="A701" s="87">
        <v>2019</v>
      </c>
      <c r="B701" s="87">
        <v>8</v>
      </c>
      <c r="C701" s="173" t="s">
        <v>16</v>
      </c>
      <c r="D701" s="173" t="s">
        <v>21</v>
      </c>
      <c r="E701" s="173" t="s">
        <v>18</v>
      </c>
      <c r="F701" s="173" t="s">
        <v>16</v>
      </c>
      <c r="G701" s="87" t="b">
        <v>1</v>
      </c>
      <c r="H701" s="87" t="b">
        <v>0</v>
      </c>
      <c r="I701" s="87" t="b">
        <v>0</v>
      </c>
      <c r="J701" s="173" t="s">
        <v>460</v>
      </c>
      <c r="K701" s="174">
        <v>5652543000107</v>
      </c>
      <c r="L701" s="173" t="s">
        <v>801</v>
      </c>
      <c r="M701" s="173" t="s">
        <v>802</v>
      </c>
      <c r="N701" s="173" t="s">
        <v>74</v>
      </c>
      <c r="O701" s="87">
        <v>64</v>
      </c>
      <c r="P701" s="173" t="s">
        <v>25</v>
      </c>
      <c r="Q701" s="1" t="s">
        <v>1344</v>
      </c>
      <c r="R701" s="175">
        <v>2</v>
      </c>
      <c r="S701">
        <v>2</v>
      </c>
    </row>
    <row r="702" spans="1:19" x14ac:dyDescent="0.25">
      <c r="A702" s="87">
        <v>2019</v>
      </c>
      <c r="B702" s="87">
        <v>8</v>
      </c>
      <c r="C702" s="173" t="s">
        <v>16</v>
      </c>
      <c r="D702" s="173" t="s">
        <v>21</v>
      </c>
      <c r="E702" s="173" t="s">
        <v>18</v>
      </c>
      <c r="F702" s="173" t="s">
        <v>16</v>
      </c>
      <c r="G702" s="87" t="b">
        <v>1</v>
      </c>
      <c r="H702" s="87" t="b">
        <v>0</v>
      </c>
      <c r="I702" s="87" t="b">
        <v>0</v>
      </c>
      <c r="J702" s="173" t="s">
        <v>464</v>
      </c>
      <c r="K702" s="174">
        <v>5816630000152</v>
      </c>
      <c r="L702" s="173" t="s">
        <v>803</v>
      </c>
      <c r="M702" s="173" t="s">
        <v>75</v>
      </c>
      <c r="N702" s="173" t="s">
        <v>74</v>
      </c>
      <c r="O702" s="87">
        <v>62</v>
      </c>
      <c r="P702" s="173" t="s">
        <v>27</v>
      </c>
      <c r="Q702" s="1" t="s">
        <v>1343</v>
      </c>
      <c r="R702" s="175">
        <v>5</v>
      </c>
      <c r="S702">
        <v>5</v>
      </c>
    </row>
    <row r="703" spans="1:19" x14ac:dyDescent="0.25">
      <c r="A703" s="87">
        <v>2019</v>
      </c>
      <c r="B703" s="87">
        <v>8</v>
      </c>
      <c r="C703" s="173" t="s">
        <v>16</v>
      </c>
      <c r="D703" s="173" t="s">
        <v>21</v>
      </c>
      <c r="E703" s="173" t="s">
        <v>18</v>
      </c>
      <c r="F703" s="173" t="s">
        <v>16</v>
      </c>
      <c r="G703" s="87" t="b">
        <v>1</v>
      </c>
      <c r="H703" s="87" t="b">
        <v>0</v>
      </c>
      <c r="I703" s="87" t="b">
        <v>0</v>
      </c>
      <c r="J703" s="173" t="s">
        <v>475</v>
      </c>
      <c r="K703" s="174">
        <v>5816630000152</v>
      </c>
      <c r="L703" s="173" t="s">
        <v>803</v>
      </c>
      <c r="M703" s="173" t="s">
        <v>75</v>
      </c>
      <c r="N703" s="173" t="s">
        <v>74</v>
      </c>
      <c r="O703" s="87">
        <v>64</v>
      </c>
      <c r="P703" s="173" t="s">
        <v>25</v>
      </c>
      <c r="Q703" s="1" t="s">
        <v>1344</v>
      </c>
      <c r="R703" s="175">
        <v>15</v>
      </c>
      <c r="S703">
        <v>15</v>
      </c>
    </row>
    <row r="704" spans="1:19" x14ac:dyDescent="0.25">
      <c r="A704" s="87">
        <v>2019</v>
      </c>
      <c r="B704" s="87">
        <v>8</v>
      </c>
      <c r="C704" s="173" t="s">
        <v>16</v>
      </c>
      <c r="D704" s="173" t="s">
        <v>21</v>
      </c>
      <c r="E704" s="173" t="s">
        <v>18</v>
      </c>
      <c r="F704" s="173" t="s">
        <v>16</v>
      </c>
      <c r="G704" s="87" t="b">
        <v>1</v>
      </c>
      <c r="H704" s="87" t="b">
        <v>0</v>
      </c>
      <c r="I704" s="87" t="b">
        <v>0</v>
      </c>
      <c r="J704" s="173" t="s">
        <v>1330</v>
      </c>
      <c r="K704" s="174">
        <v>5816630000152</v>
      </c>
      <c r="L704" s="173" t="s">
        <v>803</v>
      </c>
      <c r="M704" s="173" t="s">
        <v>75</v>
      </c>
      <c r="N704" s="173" t="s">
        <v>74</v>
      </c>
      <c r="O704" s="87">
        <v>70</v>
      </c>
      <c r="P704" s="173" t="s">
        <v>20</v>
      </c>
      <c r="Q704" s="1" t="s">
        <v>1346</v>
      </c>
      <c r="R704" s="175">
        <v>345</v>
      </c>
      <c r="S704">
        <v>138</v>
      </c>
    </row>
    <row r="705" spans="1:19" x14ac:dyDescent="0.25">
      <c r="A705" s="87">
        <v>2019</v>
      </c>
      <c r="B705" s="87">
        <v>8</v>
      </c>
      <c r="C705" s="173" t="s">
        <v>16</v>
      </c>
      <c r="D705" s="173" t="s">
        <v>21</v>
      </c>
      <c r="E705" s="173" t="s">
        <v>18</v>
      </c>
      <c r="F705" s="173" t="s">
        <v>16</v>
      </c>
      <c r="G705" s="87" t="b">
        <v>1</v>
      </c>
      <c r="H705" s="87" t="b">
        <v>0</v>
      </c>
      <c r="I705" s="87" t="b">
        <v>0</v>
      </c>
      <c r="J705" s="173" t="s">
        <v>1330</v>
      </c>
      <c r="K705" s="174">
        <v>5816630000152</v>
      </c>
      <c r="L705" s="173" t="s">
        <v>803</v>
      </c>
      <c r="M705" s="173" t="s">
        <v>75</v>
      </c>
      <c r="N705" s="173" t="s">
        <v>74</v>
      </c>
      <c r="O705" s="87">
        <v>70</v>
      </c>
      <c r="P705" s="173" t="s">
        <v>20</v>
      </c>
      <c r="Q705" s="1" t="s">
        <v>1338</v>
      </c>
      <c r="R705" s="175">
        <v>2615</v>
      </c>
      <c r="S705">
        <v>523</v>
      </c>
    </row>
    <row r="706" spans="1:19" x14ac:dyDescent="0.25">
      <c r="A706" s="87">
        <v>2019</v>
      </c>
      <c r="B706" s="87">
        <v>8</v>
      </c>
      <c r="C706" s="173" t="s">
        <v>16</v>
      </c>
      <c r="D706" s="173" t="s">
        <v>21</v>
      </c>
      <c r="E706" s="173" t="s">
        <v>18</v>
      </c>
      <c r="F706" s="173" t="s">
        <v>16</v>
      </c>
      <c r="G706" s="87" t="b">
        <v>1</v>
      </c>
      <c r="H706" s="87" t="b">
        <v>0</v>
      </c>
      <c r="I706" s="87" t="b">
        <v>0</v>
      </c>
      <c r="J706" s="173" t="s">
        <v>450</v>
      </c>
      <c r="K706" s="174">
        <v>5831510000124</v>
      </c>
      <c r="L706" s="173" t="s">
        <v>567</v>
      </c>
      <c r="M706" s="173" t="s">
        <v>29</v>
      </c>
      <c r="N706" s="173" t="s">
        <v>19</v>
      </c>
      <c r="O706" s="87">
        <v>70</v>
      </c>
      <c r="P706" s="173" t="s">
        <v>20</v>
      </c>
      <c r="Q706" s="1" t="s">
        <v>1338</v>
      </c>
      <c r="R706" s="175">
        <v>140</v>
      </c>
      <c r="S706">
        <v>28</v>
      </c>
    </row>
    <row r="707" spans="1:19" x14ac:dyDescent="0.25">
      <c r="A707" s="87">
        <v>2019</v>
      </c>
      <c r="B707" s="87">
        <v>8</v>
      </c>
      <c r="C707" s="173" t="s">
        <v>16</v>
      </c>
      <c r="D707" s="173" t="s">
        <v>21</v>
      </c>
      <c r="E707" s="173" t="s">
        <v>18</v>
      </c>
      <c r="F707" s="173" t="s">
        <v>16</v>
      </c>
      <c r="G707" s="87" t="b">
        <v>1</v>
      </c>
      <c r="H707" s="87" t="b">
        <v>0</v>
      </c>
      <c r="I707" s="87" t="b">
        <v>0</v>
      </c>
      <c r="J707" s="173" t="s">
        <v>450</v>
      </c>
      <c r="K707" s="174">
        <v>5867015000175</v>
      </c>
      <c r="L707" s="173" t="s">
        <v>804</v>
      </c>
      <c r="M707" s="173" t="s">
        <v>76</v>
      </c>
      <c r="N707" s="173" t="s">
        <v>77</v>
      </c>
      <c r="O707" s="87">
        <v>73</v>
      </c>
      <c r="P707" s="173" t="s">
        <v>26</v>
      </c>
      <c r="Q707" s="1" t="s">
        <v>1340</v>
      </c>
      <c r="R707" s="175">
        <v>8</v>
      </c>
      <c r="S707">
        <v>8</v>
      </c>
    </row>
    <row r="708" spans="1:19" x14ac:dyDescent="0.25">
      <c r="A708" s="87">
        <v>2019</v>
      </c>
      <c r="B708" s="87">
        <v>8</v>
      </c>
      <c r="C708" s="173" t="s">
        <v>16</v>
      </c>
      <c r="D708" s="173" t="s">
        <v>21</v>
      </c>
      <c r="E708" s="173" t="s">
        <v>18</v>
      </c>
      <c r="F708" s="173" t="s">
        <v>16</v>
      </c>
      <c r="G708" s="87" t="b">
        <v>1</v>
      </c>
      <c r="H708" s="87" t="b">
        <v>0</v>
      </c>
      <c r="I708" s="87" t="b">
        <v>0</v>
      </c>
      <c r="J708" s="173" t="s">
        <v>464</v>
      </c>
      <c r="K708" s="174">
        <v>5867015000175</v>
      </c>
      <c r="L708" s="173" t="s">
        <v>804</v>
      </c>
      <c r="M708" s="173" t="s">
        <v>76</v>
      </c>
      <c r="N708" s="173" t="s">
        <v>77</v>
      </c>
      <c r="O708" s="87">
        <v>73</v>
      </c>
      <c r="P708" s="173" t="s">
        <v>26</v>
      </c>
      <c r="Q708" s="1" t="s">
        <v>1340</v>
      </c>
      <c r="R708" s="175">
        <v>4</v>
      </c>
      <c r="S708">
        <v>4</v>
      </c>
    </row>
    <row r="709" spans="1:19" x14ac:dyDescent="0.25">
      <c r="A709" s="87">
        <v>2019</v>
      </c>
      <c r="B709" s="87">
        <v>8</v>
      </c>
      <c r="C709" s="173" t="s">
        <v>16</v>
      </c>
      <c r="D709" s="173" t="s">
        <v>21</v>
      </c>
      <c r="E709" s="173" t="s">
        <v>18</v>
      </c>
      <c r="F709" s="173" t="s">
        <v>16</v>
      </c>
      <c r="G709" s="87" t="b">
        <v>1</v>
      </c>
      <c r="H709" s="87" t="b">
        <v>0</v>
      </c>
      <c r="I709" s="87" t="b">
        <v>0</v>
      </c>
      <c r="J709" s="173" t="s">
        <v>460</v>
      </c>
      <c r="K709" s="174">
        <v>5868278000280</v>
      </c>
      <c r="L709" s="173" t="s">
        <v>805</v>
      </c>
      <c r="M709" s="173" t="s">
        <v>76</v>
      </c>
      <c r="N709" s="173" t="s">
        <v>77</v>
      </c>
      <c r="O709" s="87">
        <v>62</v>
      </c>
      <c r="P709" s="173" t="s">
        <v>27</v>
      </c>
      <c r="Q709" s="1" t="s">
        <v>1343</v>
      </c>
      <c r="R709" s="175">
        <v>10</v>
      </c>
      <c r="S709">
        <v>10</v>
      </c>
    </row>
    <row r="710" spans="1:19" x14ac:dyDescent="0.25">
      <c r="A710" s="87">
        <v>2019</v>
      </c>
      <c r="B710" s="87">
        <v>8</v>
      </c>
      <c r="C710" s="173" t="s">
        <v>16</v>
      </c>
      <c r="D710" s="173" t="s">
        <v>21</v>
      </c>
      <c r="E710" s="173" t="s">
        <v>18</v>
      </c>
      <c r="F710" s="173" t="s">
        <v>16</v>
      </c>
      <c r="G710" s="87" t="b">
        <v>1</v>
      </c>
      <c r="H710" s="87" t="b">
        <v>0</v>
      </c>
      <c r="I710" s="87" t="b">
        <v>0</v>
      </c>
      <c r="J710" s="173" t="s">
        <v>460</v>
      </c>
      <c r="K710" s="174">
        <v>5868278000280</v>
      </c>
      <c r="L710" s="173" t="s">
        <v>805</v>
      </c>
      <c r="M710" s="173" t="s">
        <v>76</v>
      </c>
      <c r="N710" s="173" t="s">
        <v>77</v>
      </c>
      <c r="O710" s="87">
        <v>70</v>
      </c>
      <c r="P710" s="173" t="s">
        <v>20</v>
      </c>
      <c r="Q710" s="1" t="s">
        <v>1338</v>
      </c>
      <c r="R710" s="175">
        <v>220</v>
      </c>
      <c r="S710">
        <v>44</v>
      </c>
    </row>
    <row r="711" spans="1:19" x14ac:dyDescent="0.25">
      <c r="A711" s="87">
        <v>2019</v>
      </c>
      <c r="B711" s="87">
        <v>8</v>
      </c>
      <c r="C711" s="173" t="s">
        <v>16</v>
      </c>
      <c r="D711" s="173" t="s">
        <v>21</v>
      </c>
      <c r="E711" s="173" t="s">
        <v>18</v>
      </c>
      <c r="F711" s="173" t="s">
        <v>16</v>
      </c>
      <c r="G711" s="87" t="b">
        <v>1</v>
      </c>
      <c r="H711" s="87" t="b">
        <v>0</v>
      </c>
      <c r="I711" s="87" t="b">
        <v>0</v>
      </c>
      <c r="J711" s="173" t="s">
        <v>453</v>
      </c>
      <c r="K711" s="174">
        <v>5868278000280</v>
      </c>
      <c r="L711" s="173" t="s">
        <v>805</v>
      </c>
      <c r="M711" s="173" t="s">
        <v>76</v>
      </c>
      <c r="N711" s="173" t="s">
        <v>77</v>
      </c>
      <c r="O711" s="87">
        <v>73</v>
      </c>
      <c r="P711" s="173" t="s">
        <v>26</v>
      </c>
      <c r="Q711" s="1" t="s">
        <v>1342</v>
      </c>
      <c r="R711" s="175">
        <v>16</v>
      </c>
      <c r="S711">
        <v>4</v>
      </c>
    </row>
    <row r="712" spans="1:19" x14ac:dyDescent="0.25">
      <c r="A712" s="87">
        <v>2019</v>
      </c>
      <c r="B712" s="87">
        <v>8</v>
      </c>
      <c r="C712" s="173" t="s">
        <v>16</v>
      </c>
      <c r="D712" s="173" t="s">
        <v>21</v>
      </c>
      <c r="E712" s="173" t="s">
        <v>18</v>
      </c>
      <c r="F712" s="173" t="s">
        <v>16</v>
      </c>
      <c r="G712" s="87" t="b">
        <v>1</v>
      </c>
      <c r="H712" s="87" t="b">
        <v>0</v>
      </c>
      <c r="I712" s="87" t="b">
        <v>0</v>
      </c>
      <c r="J712" s="173" t="s">
        <v>470</v>
      </c>
      <c r="K712" s="174">
        <v>5868278000280</v>
      </c>
      <c r="L712" s="173" t="s">
        <v>805</v>
      </c>
      <c r="M712" s="173" t="s">
        <v>76</v>
      </c>
      <c r="N712" s="173" t="s">
        <v>77</v>
      </c>
      <c r="O712" s="87">
        <v>73</v>
      </c>
      <c r="P712" s="173" t="s">
        <v>26</v>
      </c>
      <c r="Q712" s="1" t="s">
        <v>1342</v>
      </c>
      <c r="R712" s="175">
        <v>28</v>
      </c>
      <c r="S712">
        <v>7</v>
      </c>
    </row>
    <row r="713" spans="1:19" x14ac:dyDescent="0.25">
      <c r="A713" s="87">
        <v>2019</v>
      </c>
      <c r="B713" s="87">
        <v>8</v>
      </c>
      <c r="C713" s="173" t="s">
        <v>16</v>
      </c>
      <c r="D713" s="173" t="s">
        <v>21</v>
      </c>
      <c r="E713" s="173" t="s">
        <v>18</v>
      </c>
      <c r="F713" s="173" t="s">
        <v>16</v>
      </c>
      <c r="G713" s="87" t="b">
        <v>1</v>
      </c>
      <c r="H713" s="87" t="b">
        <v>0</v>
      </c>
      <c r="I713" s="87" t="b">
        <v>0</v>
      </c>
      <c r="J713" s="173" t="s">
        <v>464</v>
      </c>
      <c r="K713" s="174">
        <v>5868278000280</v>
      </c>
      <c r="L713" s="173" t="s">
        <v>805</v>
      </c>
      <c r="M713" s="173" t="s">
        <v>76</v>
      </c>
      <c r="N713" s="173" t="s">
        <v>77</v>
      </c>
      <c r="O713" s="87">
        <v>73</v>
      </c>
      <c r="P713" s="173" t="s">
        <v>26</v>
      </c>
      <c r="Q713" s="1" t="s">
        <v>1339</v>
      </c>
      <c r="R713" s="175">
        <v>2</v>
      </c>
      <c r="S713">
        <v>1</v>
      </c>
    </row>
    <row r="714" spans="1:19" x14ac:dyDescent="0.25">
      <c r="A714" s="87">
        <v>2019</v>
      </c>
      <c r="B714" s="87">
        <v>8</v>
      </c>
      <c r="C714" s="173" t="s">
        <v>16</v>
      </c>
      <c r="D714" s="173" t="s">
        <v>21</v>
      </c>
      <c r="E714" s="173" t="s">
        <v>18</v>
      </c>
      <c r="F714" s="173" t="s">
        <v>16</v>
      </c>
      <c r="G714" s="87" t="b">
        <v>1</v>
      </c>
      <c r="H714" s="87" t="b">
        <v>0</v>
      </c>
      <c r="I714" s="87" t="b">
        <v>0</v>
      </c>
      <c r="J714" s="173" t="s">
        <v>460</v>
      </c>
      <c r="K714" s="174">
        <v>5874946000281</v>
      </c>
      <c r="L714" s="173" t="s">
        <v>807</v>
      </c>
      <c r="M714" s="173" t="s">
        <v>76</v>
      </c>
      <c r="N714" s="173" t="s">
        <v>77</v>
      </c>
      <c r="O714" s="87">
        <v>62</v>
      </c>
      <c r="P714" s="173" t="s">
        <v>27</v>
      </c>
      <c r="Q714" s="1" t="s">
        <v>1343</v>
      </c>
      <c r="R714" s="175">
        <v>5</v>
      </c>
      <c r="S714">
        <v>5</v>
      </c>
    </row>
    <row r="715" spans="1:19" x14ac:dyDescent="0.25">
      <c r="A715" s="87">
        <v>2019</v>
      </c>
      <c r="B715" s="87">
        <v>8</v>
      </c>
      <c r="C715" s="173" t="s">
        <v>16</v>
      </c>
      <c r="D715" s="173" t="s">
        <v>21</v>
      </c>
      <c r="E715" s="173" t="s">
        <v>18</v>
      </c>
      <c r="F715" s="173" t="s">
        <v>16</v>
      </c>
      <c r="G715" s="87" t="b">
        <v>1</v>
      </c>
      <c r="H715" s="87" t="b">
        <v>0</v>
      </c>
      <c r="I715" s="87" t="b">
        <v>0</v>
      </c>
      <c r="J715" s="173" t="s">
        <v>460</v>
      </c>
      <c r="K715" s="174">
        <v>5874946000281</v>
      </c>
      <c r="L715" s="173" t="s">
        <v>807</v>
      </c>
      <c r="M715" s="173" t="s">
        <v>76</v>
      </c>
      <c r="N715" s="173" t="s">
        <v>77</v>
      </c>
      <c r="O715" s="87">
        <v>64</v>
      </c>
      <c r="P715" s="173" t="s">
        <v>25</v>
      </c>
      <c r="Q715" s="1" t="s">
        <v>1344</v>
      </c>
      <c r="R715" s="175">
        <v>11</v>
      </c>
      <c r="S715">
        <v>11</v>
      </c>
    </row>
    <row r="716" spans="1:19" x14ac:dyDescent="0.25">
      <c r="A716" s="87">
        <v>2019</v>
      </c>
      <c r="B716" s="87">
        <v>8</v>
      </c>
      <c r="C716" s="173" t="s">
        <v>16</v>
      </c>
      <c r="D716" s="173" t="s">
        <v>21</v>
      </c>
      <c r="E716" s="173" t="s">
        <v>18</v>
      </c>
      <c r="F716" s="173" t="s">
        <v>16</v>
      </c>
      <c r="G716" s="87" t="b">
        <v>1</v>
      </c>
      <c r="H716" s="87" t="b">
        <v>0</v>
      </c>
      <c r="I716" s="87" t="b">
        <v>0</v>
      </c>
      <c r="J716" s="173" t="s">
        <v>470</v>
      </c>
      <c r="K716" s="174">
        <v>6033403000113</v>
      </c>
      <c r="L716" s="173" t="s">
        <v>646</v>
      </c>
      <c r="M716" s="173" t="s">
        <v>647</v>
      </c>
      <c r="N716" s="173" t="s">
        <v>19</v>
      </c>
      <c r="O716" s="87">
        <v>64</v>
      </c>
      <c r="P716" s="173" t="s">
        <v>25</v>
      </c>
      <c r="Q716" s="1" t="s">
        <v>1344</v>
      </c>
      <c r="R716" s="175">
        <v>2</v>
      </c>
      <c r="S716">
        <v>2</v>
      </c>
    </row>
    <row r="717" spans="1:19" x14ac:dyDescent="0.25">
      <c r="A717" s="87">
        <v>2019</v>
      </c>
      <c r="B717" s="87">
        <v>8</v>
      </c>
      <c r="C717" s="173" t="s">
        <v>16</v>
      </c>
      <c r="D717" s="173" t="s">
        <v>21</v>
      </c>
      <c r="E717" s="173" t="s">
        <v>18</v>
      </c>
      <c r="F717" s="173" t="s">
        <v>16</v>
      </c>
      <c r="G717" s="87" t="b">
        <v>1</v>
      </c>
      <c r="H717" s="87" t="b">
        <v>0</v>
      </c>
      <c r="I717" s="87" t="b">
        <v>0</v>
      </c>
      <c r="J717" s="173" t="s">
        <v>450</v>
      </c>
      <c r="K717" s="174">
        <v>6047087000210</v>
      </c>
      <c r="L717" s="173" t="s">
        <v>569</v>
      </c>
      <c r="M717" s="173" t="s">
        <v>29</v>
      </c>
      <c r="N717" s="173" t="s">
        <v>19</v>
      </c>
      <c r="O717" s="87">
        <v>62</v>
      </c>
      <c r="P717" s="173" t="s">
        <v>27</v>
      </c>
      <c r="Q717" s="1" t="s">
        <v>1343</v>
      </c>
      <c r="R717" s="175">
        <v>9</v>
      </c>
      <c r="S717">
        <v>9</v>
      </c>
    </row>
    <row r="718" spans="1:19" x14ac:dyDescent="0.25">
      <c r="A718" s="87">
        <v>2019</v>
      </c>
      <c r="B718" s="87">
        <v>8</v>
      </c>
      <c r="C718" s="173" t="s">
        <v>16</v>
      </c>
      <c r="D718" s="173" t="s">
        <v>21</v>
      </c>
      <c r="E718" s="173" t="s">
        <v>18</v>
      </c>
      <c r="F718" s="173" t="s">
        <v>16</v>
      </c>
      <c r="G718" s="87" t="b">
        <v>1</v>
      </c>
      <c r="H718" s="87" t="b">
        <v>0</v>
      </c>
      <c r="I718" s="87" t="b">
        <v>0</v>
      </c>
      <c r="J718" s="173" t="s">
        <v>477</v>
      </c>
      <c r="K718" s="174">
        <v>6047087000210</v>
      </c>
      <c r="L718" s="173" t="s">
        <v>569</v>
      </c>
      <c r="M718" s="173" t="s">
        <v>29</v>
      </c>
      <c r="N718" s="173" t="s">
        <v>19</v>
      </c>
      <c r="O718" s="87">
        <v>62</v>
      </c>
      <c r="P718" s="173" t="s">
        <v>27</v>
      </c>
      <c r="Q718" s="1" t="s">
        <v>1343</v>
      </c>
      <c r="R718" s="175">
        <v>10</v>
      </c>
      <c r="S718">
        <v>10</v>
      </c>
    </row>
    <row r="719" spans="1:19" x14ac:dyDescent="0.25">
      <c r="A719" s="87">
        <v>2019</v>
      </c>
      <c r="B719" s="87">
        <v>8</v>
      </c>
      <c r="C719" s="173" t="s">
        <v>16</v>
      </c>
      <c r="D719" s="173" t="s">
        <v>21</v>
      </c>
      <c r="E719" s="173" t="s">
        <v>18</v>
      </c>
      <c r="F719" s="173" t="s">
        <v>16</v>
      </c>
      <c r="G719" s="87" t="b">
        <v>1</v>
      </c>
      <c r="H719" s="87" t="b">
        <v>0</v>
      </c>
      <c r="I719" s="87" t="b">
        <v>0</v>
      </c>
      <c r="J719" s="173" t="s">
        <v>491</v>
      </c>
      <c r="K719" s="174">
        <v>6047087000210</v>
      </c>
      <c r="L719" s="173" t="s">
        <v>569</v>
      </c>
      <c r="M719" s="173" t="s">
        <v>29</v>
      </c>
      <c r="N719" s="173" t="s">
        <v>19</v>
      </c>
      <c r="O719" s="87">
        <v>62</v>
      </c>
      <c r="P719" s="173" t="s">
        <v>27</v>
      </c>
      <c r="Q719" s="1" t="s">
        <v>1343</v>
      </c>
      <c r="R719" s="175">
        <v>14</v>
      </c>
      <c r="S719">
        <v>14</v>
      </c>
    </row>
    <row r="720" spans="1:19" x14ac:dyDescent="0.25">
      <c r="A720" s="87">
        <v>2019</v>
      </c>
      <c r="B720" s="87">
        <v>8</v>
      </c>
      <c r="C720" s="173" t="s">
        <v>16</v>
      </c>
      <c r="D720" s="173" t="s">
        <v>21</v>
      </c>
      <c r="E720" s="173" t="s">
        <v>18</v>
      </c>
      <c r="F720" s="173" t="s">
        <v>16</v>
      </c>
      <c r="G720" s="87" t="b">
        <v>1</v>
      </c>
      <c r="H720" s="87" t="b">
        <v>0</v>
      </c>
      <c r="I720" s="87" t="b">
        <v>0</v>
      </c>
      <c r="J720" s="173" t="s">
        <v>491</v>
      </c>
      <c r="K720" s="174">
        <v>6047087000210</v>
      </c>
      <c r="L720" s="173" t="s">
        <v>569</v>
      </c>
      <c r="M720" s="173" t="s">
        <v>29</v>
      </c>
      <c r="N720" s="173" t="s">
        <v>19</v>
      </c>
      <c r="O720" s="87">
        <v>64</v>
      </c>
      <c r="P720" s="173" t="s">
        <v>25</v>
      </c>
      <c r="Q720" s="1" t="s">
        <v>1344</v>
      </c>
      <c r="R720" s="175">
        <v>41</v>
      </c>
      <c r="S720">
        <v>41</v>
      </c>
    </row>
    <row r="721" spans="1:19" x14ac:dyDescent="0.25">
      <c r="A721" s="87">
        <v>2019</v>
      </c>
      <c r="B721" s="87">
        <v>8</v>
      </c>
      <c r="C721" s="173" t="s">
        <v>16</v>
      </c>
      <c r="D721" s="173" t="s">
        <v>21</v>
      </c>
      <c r="E721" s="173" t="s">
        <v>18</v>
      </c>
      <c r="F721" s="173" t="s">
        <v>16</v>
      </c>
      <c r="G721" s="87" t="b">
        <v>1</v>
      </c>
      <c r="H721" s="87" t="b">
        <v>0</v>
      </c>
      <c r="I721" s="87" t="b">
        <v>0</v>
      </c>
      <c r="J721" s="173" t="s">
        <v>491</v>
      </c>
      <c r="K721" s="174">
        <v>6047087000996</v>
      </c>
      <c r="L721" s="173" t="s">
        <v>1080</v>
      </c>
      <c r="M721" s="173" t="s">
        <v>131</v>
      </c>
      <c r="N721" s="173" t="s">
        <v>61</v>
      </c>
      <c r="O721" s="87">
        <v>62</v>
      </c>
      <c r="P721" s="173" t="s">
        <v>27</v>
      </c>
      <c r="Q721" s="1" t="s">
        <v>1343</v>
      </c>
      <c r="R721" s="175">
        <v>10</v>
      </c>
      <c r="S721">
        <v>10</v>
      </c>
    </row>
    <row r="722" spans="1:19" x14ac:dyDescent="0.25">
      <c r="A722" s="87">
        <v>2019</v>
      </c>
      <c r="B722" s="87">
        <v>8</v>
      </c>
      <c r="C722" s="173" t="s">
        <v>16</v>
      </c>
      <c r="D722" s="173" t="s">
        <v>21</v>
      </c>
      <c r="E722" s="173" t="s">
        <v>18</v>
      </c>
      <c r="F722" s="173" t="s">
        <v>16</v>
      </c>
      <c r="G722" s="87" t="b">
        <v>1</v>
      </c>
      <c r="H722" s="87" t="b">
        <v>0</v>
      </c>
      <c r="I722" s="87" t="b">
        <v>0</v>
      </c>
      <c r="J722" s="173" t="s">
        <v>491</v>
      </c>
      <c r="K722" s="174">
        <v>6047087000996</v>
      </c>
      <c r="L722" s="173" t="s">
        <v>1080</v>
      </c>
      <c r="M722" s="173" t="s">
        <v>131</v>
      </c>
      <c r="N722" s="173" t="s">
        <v>61</v>
      </c>
      <c r="O722" s="87">
        <v>64</v>
      </c>
      <c r="P722" s="173" t="s">
        <v>25</v>
      </c>
      <c r="Q722" s="1" t="s">
        <v>1344</v>
      </c>
      <c r="R722" s="175">
        <v>15</v>
      </c>
      <c r="S722">
        <v>15</v>
      </c>
    </row>
    <row r="723" spans="1:19" x14ac:dyDescent="0.25">
      <c r="A723" s="87">
        <v>2019</v>
      </c>
      <c r="B723" s="87">
        <v>8</v>
      </c>
      <c r="C723" s="173" t="s">
        <v>16</v>
      </c>
      <c r="D723" s="173" t="s">
        <v>21</v>
      </c>
      <c r="E723" s="173" t="s">
        <v>18</v>
      </c>
      <c r="F723" s="173" t="s">
        <v>16</v>
      </c>
      <c r="G723" s="87" t="b">
        <v>1</v>
      </c>
      <c r="H723" s="87" t="b">
        <v>0</v>
      </c>
      <c r="I723" s="87" t="b">
        <v>0</v>
      </c>
      <c r="J723" s="173" t="s">
        <v>450</v>
      </c>
      <c r="K723" s="174">
        <v>6047087001020</v>
      </c>
      <c r="L723" s="173" t="s">
        <v>1081</v>
      </c>
      <c r="M723" s="173" t="s">
        <v>131</v>
      </c>
      <c r="N723" s="173" t="s">
        <v>61</v>
      </c>
      <c r="O723" s="87">
        <v>62</v>
      </c>
      <c r="P723" s="173" t="s">
        <v>27</v>
      </c>
      <c r="Q723" s="1" t="s">
        <v>1343</v>
      </c>
      <c r="R723" s="175">
        <v>55</v>
      </c>
      <c r="S723">
        <v>55</v>
      </c>
    </row>
    <row r="724" spans="1:19" x14ac:dyDescent="0.25">
      <c r="A724" s="87">
        <v>2019</v>
      </c>
      <c r="B724" s="87">
        <v>8</v>
      </c>
      <c r="C724" s="173" t="s">
        <v>16</v>
      </c>
      <c r="D724" s="173" t="s">
        <v>21</v>
      </c>
      <c r="E724" s="173" t="s">
        <v>18</v>
      </c>
      <c r="F724" s="173" t="s">
        <v>16</v>
      </c>
      <c r="G724" s="87" t="b">
        <v>1</v>
      </c>
      <c r="H724" s="87" t="b">
        <v>0</v>
      </c>
      <c r="I724" s="87" t="b">
        <v>0</v>
      </c>
      <c r="J724" s="173" t="s">
        <v>491</v>
      </c>
      <c r="K724" s="174">
        <v>6047087001020</v>
      </c>
      <c r="L724" s="173" t="s">
        <v>1081</v>
      </c>
      <c r="M724" s="173" t="s">
        <v>131</v>
      </c>
      <c r="N724" s="173" t="s">
        <v>61</v>
      </c>
      <c r="O724" s="87">
        <v>62</v>
      </c>
      <c r="P724" s="173" t="s">
        <v>27</v>
      </c>
      <c r="Q724" s="1" t="s">
        <v>1343</v>
      </c>
      <c r="R724" s="175">
        <v>65</v>
      </c>
      <c r="S724">
        <v>65</v>
      </c>
    </row>
    <row r="725" spans="1:19" x14ac:dyDescent="0.25">
      <c r="A725" s="87">
        <v>2019</v>
      </c>
      <c r="B725" s="87">
        <v>8</v>
      </c>
      <c r="C725" s="173" t="s">
        <v>16</v>
      </c>
      <c r="D725" s="173" t="s">
        <v>21</v>
      </c>
      <c r="E725" s="173" t="s">
        <v>18</v>
      </c>
      <c r="F725" s="173" t="s">
        <v>16</v>
      </c>
      <c r="G725" s="87" t="b">
        <v>1</v>
      </c>
      <c r="H725" s="87" t="b">
        <v>0</v>
      </c>
      <c r="I725" s="87" t="b">
        <v>0</v>
      </c>
      <c r="J725" s="173" t="s">
        <v>491</v>
      </c>
      <c r="K725" s="174">
        <v>6047087001020</v>
      </c>
      <c r="L725" s="173" t="s">
        <v>1081</v>
      </c>
      <c r="M725" s="173" t="s">
        <v>131</v>
      </c>
      <c r="N725" s="173" t="s">
        <v>61</v>
      </c>
      <c r="O725" s="87">
        <v>64</v>
      </c>
      <c r="P725" s="173" t="s">
        <v>25</v>
      </c>
      <c r="Q725" s="1" t="s">
        <v>1344</v>
      </c>
      <c r="R725" s="175">
        <v>55</v>
      </c>
      <c r="S725">
        <v>55</v>
      </c>
    </row>
    <row r="726" spans="1:19" x14ac:dyDescent="0.25">
      <c r="A726" s="87">
        <v>2019</v>
      </c>
      <c r="B726" s="87">
        <v>8</v>
      </c>
      <c r="C726" s="173" t="s">
        <v>16</v>
      </c>
      <c r="D726" s="173" t="s">
        <v>21</v>
      </c>
      <c r="E726" s="173" t="s">
        <v>18</v>
      </c>
      <c r="F726" s="173" t="s">
        <v>16</v>
      </c>
      <c r="G726" s="87" t="b">
        <v>1</v>
      </c>
      <c r="H726" s="87" t="b">
        <v>0</v>
      </c>
      <c r="I726" s="87" t="b">
        <v>0</v>
      </c>
      <c r="J726" s="173" t="s">
        <v>491</v>
      </c>
      <c r="K726" s="174">
        <v>6047087001372</v>
      </c>
      <c r="L726" s="173" t="s">
        <v>1041</v>
      </c>
      <c r="M726" s="173" t="s">
        <v>78</v>
      </c>
      <c r="N726" s="173" t="s">
        <v>61</v>
      </c>
      <c r="O726" s="87">
        <v>62</v>
      </c>
      <c r="P726" s="173" t="s">
        <v>27</v>
      </c>
      <c r="Q726" s="1" t="s">
        <v>1343</v>
      </c>
      <c r="R726" s="175">
        <v>4</v>
      </c>
      <c r="S726">
        <v>4</v>
      </c>
    </row>
    <row r="727" spans="1:19" x14ac:dyDescent="0.25">
      <c r="A727" s="87">
        <v>2019</v>
      </c>
      <c r="B727" s="87">
        <v>8</v>
      </c>
      <c r="C727" s="173" t="s">
        <v>16</v>
      </c>
      <c r="D727" s="173" t="s">
        <v>21</v>
      </c>
      <c r="E727" s="173" t="s">
        <v>18</v>
      </c>
      <c r="F727" s="173" t="s">
        <v>16</v>
      </c>
      <c r="G727" s="87" t="b">
        <v>1</v>
      </c>
      <c r="H727" s="87" t="b">
        <v>0</v>
      </c>
      <c r="I727" s="87" t="b">
        <v>0</v>
      </c>
      <c r="J727" s="173" t="s">
        <v>491</v>
      </c>
      <c r="K727" s="174">
        <v>6047087001372</v>
      </c>
      <c r="L727" s="173" t="s">
        <v>1041</v>
      </c>
      <c r="M727" s="173" t="s">
        <v>78</v>
      </c>
      <c r="N727" s="173" t="s">
        <v>61</v>
      </c>
      <c r="O727" s="87">
        <v>64</v>
      </c>
      <c r="P727" s="173" t="s">
        <v>25</v>
      </c>
      <c r="Q727" s="1" t="s">
        <v>1344</v>
      </c>
      <c r="R727" s="175">
        <v>3</v>
      </c>
      <c r="S727">
        <v>3</v>
      </c>
    </row>
    <row r="728" spans="1:19" x14ac:dyDescent="0.25">
      <c r="A728" s="87">
        <v>2019</v>
      </c>
      <c r="B728" s="87">
        <v>8</v>
      </c>
      <c r="C728" s="173" t="s">
        <v>16</v>
      </c>
      <c r="D728" s="173" t="s">
        <v>21</v>
      </c>
      <c r="E728" s="173" t="s">
        <v>18</v>
      </c>
      <c r="F728" s="173" t="s">
        <v>16</v>
      </c>
      <c r="G728" s="87" t="b">
        <v>1</v>
      </c>
      <c r="H728" s="87" t="b">
        <v>0</v>
      </c>
      <c r="I728" s="87" t="b">
        <v>0</v>
      </c>
      <c r="J728" s="173" t="s">
        <v>491</v>
      </c>
      <c r="K728" s="174">
        <v>6047087002697</v>
      </c>
      <c r="L728" s="173" t="s">
        <v>1082</v>
      </c>
      <c r="M728" s="173" t="s">
        <v>131</v>
      </c>
      <c r="N728" s="173" t="s">
        <v>61</v>
      </c>
      <c r="O728" s="87">
        <v>62</v>
      </c>
      <c r="P728" s="173" t="s">
        <v>27</v>
      </c>
      <c r="Q728" s="1" t="s">
        <v>1343</v>
      </c>
      <c r="R728" s="175">
        <v>9</v>
      </c>
      <c r="S728">
        <v>9</v>
      </c>
    </row>
    <row r="729" spans="1:19" x14ac:dyDescent="0.25">
      <c r="A729" s="87">
        <v>2019</v>
      </c>
      <c r="B729" s="87">
        <v>8</v>
      </c>
      <c r="C729" s="173" t="s">
        <v>16</v>
      </c>
      <c r="D729" s="173" t="s">
        <v>21</v>
      </c>
      <c r="E729" s="173" t="s">
        <v>18</v>
      </c>
      <c r="F729" s="173" t="s">
        <v>16</v>
      </c>
      <c r="G729" s="87" t="b">
        <v>1</v>
      </c>
      <c r="H729" s="87" t="b">
        <v>0</v>
      </c>
      <c r="I729" s="87" t="b">
        <v>0</v>
      </c>
      <c r="J729" s="173" t="s">
        <v>451</v>
      </c>
      <c r="K729" s="174">
        <v>6047087002697</v>
      </c>
      <c r="L729" s="173" t="s">
        <v>1082</v>
      </c>
      <c r="M729" s="173" t="s">
        <v>131</v>
      </c>
      <c r="N729" s="173" t="s">
        <v>61</v>
      </c>
      <c r="O729" s="87">
        <v>70</v>
      </c>
      <c r="P729" s="173" t="s">
        <v>20</v>
      </c>
      <c r="Q729" s="1" t="s">
        <v>1338</v>
      </c>
      <c r="R729" s="175">
        <v>75</v>
      </c>
      <c r="S729">
        <v>15</v>
      </c>
    </row>
    <row r="730" spans="1:19" x14ac:dyDescent="0.25">
      <c r="A730" s="87">
        <v>2019</v>
      </c>
      <c r="B730" s="87">
        <v>8</v>
      </c>
      <c r="C730" s="173" t="s">
        <v>16</v>
      </c>
      <c r="D730" s="173" t="s">
        <v>21</v>
      </c>
      <c r="E730" s="173" t="s">
        <v>18</v>
      </c>
      <c r="F730" s="173" t="s">
        <v>16</v>
      </c>
      <c r="G730" s="87" t="b">
        <v>1</v>
      </c>
      <c r="H730" s="87" t="b">
        <v>0</v>
      </c>
      <c r="I730" s="87" t="b">
        <v>0</v>
      </c>
      <c r="J730" s="173" t="s">
        <v>477</v>
      </c>
      <c r="K730" s="174">
        <v>6047087003073</v>
      </c>
      <c r="L730" s="173" t="s">
        <v>649</v>
      </c>
      <c r="M730" s="173" t="s">
        <v>650</v>
      </c>
      <c r="N730" s="173" t="s">
        <v>19</v>
      </c>
      <c r="O730" s="87">
        <v>66</v>
      </c>
      <c r="P730" s="173" t="s">
        <v>28</v>
      </c>
      <c r="Q730" s="1" t="s">
        <v>1341</v>
      </c>
      <c r="R730" s="175">
        <v>1</v>
      </c>
      <c r="S730">
        <v>1</v>
      </c>
    </row>
    <row r="731" spans="1:19" x14ac:dyDescent="0.25">
      <c r="A731" s="87">
        <v>2019</v>
      </c>
      <c r="B731" s="87">
        <v>8</v>
      </c>
      <c r="C731" s="173" t="s">
        <v>16</v>
      </c>
      <c r="D731" s="173" t="s">
        <v>21</v>
      </c>
      <c r="E731" s="173" t="s">
        <v>18</v>
      </c>
      <c r="F731" s="173" t="s">
        <v>16</v>
      </c>
      <c r="G731" s="87" t="b">
        <v>1</v>
      </c>
      <c r="H731" s="87" t="b">
        <v>0</v>
      </c>
      <c r="I731" s="87" t="b">
        <v>0</v>
      </c>
      <c r="J731" s="173" t="s">
        <v>451</v>
      </c>
      <c r="K731" s="174">
        <v>6047087003073</v>
      </c>
      <c r="L731" s="173" t="s">
        <v>649</v>
      </c>
      <c r="M731" s="173" t="s">
        <v>650</v>
      </c>
      <c r="N731" s="173" t="s">
        <v>19</v>
      </c>
      <c r="O731" s="87">
        <v>73</v>
      </c>
      <c r="P731" s="173" t="s">
        <v>26</v>
      </c>
      <c r="Q731" s="1" t="s">
        <v>1342</v>
      </c>
      <c r="R731" s="175">
        <v>48</v>
      </c>
      <c r="S731">
        <v>12</v>
      </c>
    </row>
    <row r="732" spans="1:19" x14ac:dyDescent="0.25">
      <c r="A732" s="87">
        <v>2019</v>
      </c>
      <c r="B732" s="87">
        <v>8</v>
      </c>
      <c r="C732" s="173" t="s">
        <v>16</v>
      </c>
      <c r="D732" s="173" t="s">
        <v>21</v>
      </c>
      <c r="E732" s="173" t="s">
        <v>18</v>
      </c>
      <c r="F732" s="173" t="s">
        <v>16</v>
      </c>
      <c r="G732" s="87" t="b">
        <v>1</v>
      </c>
      <c r="H732" s="87" t="b">
        <v>0</v>
      </c>
      <c r="I732" s="87" t="b">
        <v>0</v>
      </c>
      <c r="J732" s="173" t="s">
        <v>477</v>
      </c>
      <c r="K732" s="174">
        <v>6047087003820</v>
      </c>
      <c r="L732" s="173" t="s">
        <v>570</v>
      </c>
      <c r="M732" s="173" t="s">
        <v>29</v>
      </c>
      <c r="N732" s="173" t="s">
        <v>19</v>
      </c>
      <c r="O732" s="87">
        <v>62</v>
      </c>
      <c r="P732" s="173" t="s">
        <v>27</v>
      </c>
      <c r="Q732" s="1" t="s">
        <v>1343</v>
      </c>
      <c r="R732" s="175">
        <v>11</v>
      </c>
      <c r="S732">
        <v>11</v>
      </c>
    </row>
    <row r="733" spans="1:19" x14ac:dyDescent="0.25">
      <c r="A733" s="87">
        <v>2019</v>
      </c>
      <c r="B733" s="87">
        <v>8</v>
      </c>
      <c r="C733" s="173" t="s">
        <v>16</v>
      </c>
      <c r="D733" s="173" t="s">
        <v>21</v>
      </c>
      <c r="E733" s="173" t="s">
        <v>18</v>
      </c>
      <c r="F733" s="173" t="s">
        <v>16</v>
      </c>
      <c r="G733" s="87" t="b">
        <v>1</v>
      </c>
      <c r="H733" s="87" t="b">
        <v>0</v>
      </c>
      <c r="I733" s="87" t="b">
        <v>0</v>
      </c>
      <c r="J733" s="173" t="s">
        <v>491</v>
      </c>
      <c r="K733" s="174">
        <v>6047087003820</v>
      </c>
      <c r="L733" s="173" t="s">
        <v>570</v>
      </c>
      <c r="M733" s="173" t="s">
        <v>29</v>
      </c>
      <c r="N733" s="173" t="s">
        <v>19</v>
      </c>
      <c r="O733" s="87">
        <v>64</v>
      </c>
      <c r="P733" s="173" t="s">
        <v>25</v>
      </c>
      <c r="Q733" s="1" t="s">
        <v>1344</v>
      </c>
      <c r="R733" s="175">
        <v>2</v>
      </c>
      <c r="S733">
        <v>2</v>
      </c>
    </row>
    <row r="734" spans="1:19" x14ac:dyDescent="0.25">
      <c r="A734" s="87">
        <v>2019</v>
      </c>
      <c r="B734" s="87">
        <v>8</v>
      </c>
      <c r="C734" s="173" t="s">
        <v>16</v>
      </c>
      <c r="D734" s="173" t="s">
        <v>21</v>
      </c>
      <c r="E734" s="173" t="s">
        <v>18</v>
      </c>
      <c r="F734" s="173" t="s">
        <v>16</v>
      </c>
      <c r="G734" s="87" t="b">
        <v>1</v>
      </c>
      <c r="H734" s="87" t="b">
        <v>0</v>
      </c>
      <c r="I734" s="87" t="b">
        <v>0</v>
      </c>
      <c r="J734" s="173" t="s">
        <v>491</v>
      </c>
      <c r="K734" s="174">
        <v>6047087004126</v>
      </c>
      <c r="L734" s="173" t="s">
        <v>810</v>
      </c>
      <c r="M734" s="173" t="s">
        <v>739</v>
      </c>
      <c r="N734" s="173" t="s">
        <v>55</v>
      </c>
      <c r="O734" s="87">
        <v>64</v>
      </c>
      <c r="P734" s="173" t="s">
        <v>25</v>
      </c>
      <c r="Q734" s="1" t="s">
        <v>1344</v>
      </c>
      <c r="R734" s="175">
        <v>7</v>
      </c>
      <c r="S734">
        <v>7</v>
      </c>
    </row>
    <row r="735" spans="1:19" x14ac:dyDescent="0.25">
      <c r="A735" s="87">
        <v>2019</v>
      </c>
      <c r="B735" s="87">
        <v>8</v>
      </c>
      <c r="C735" s="173" t="s">
        <v>16</v>
      </c>
      <c r="D735" s="173" t="s">
        <v>21</v>
      </c>
      <c r="E735" s="173" t="s">
        <v>18</v>
      </c>
      <c r="F735" s="173" t="s">
        <v>16</v>
      </c>
      <c r="G735" s="87" t="b">
        <v>1</v>
      </c>
      <c r="H735" s="87" t="b">
        <v>0</v>
      </c>
      <c r="I735" s="87" t="b">
        <v>0</v>
      </c>
      <c r="J735" s="173" t="s">
        <v>468</v>
      </c>
      <c r="K735" s="174">
        <v>6047087004126</v>
      </c>
      <c r="L735" s="173" t="s">
        <v>810</v>
      </c>
      <c r="M735" s="173" t="s">
        <v>739</v>
      </c>
      <c r="N735" s="173" t="s">
        <v>55</v>
      </c>
      <c r="O735" s="87">
        <v>70</v>
      </c>
      <c r="P735" s="173" t="s">
        <v>20</v>
      </c>
      <c r="Q735" s="1" t="s">
        <v>1338</v>
      </c>
      <c r="R735" s="175">
        <v>400</v>
      </c>
      <c r="S735">
        <v>80</v>
      </c>
    </row>
    <row r="736" spans="1:19" x14ac:dyDescent="0.25">
      <c r="A736" s="87">
        <v>2019</v>
      </c>
      <c r="B736" s="87">
        <v>8</v>
      </c>
      <c r="C736" s="173" t="s">
        <v>16</v>
      </c>
      <c r="D736" s="173" t="s">
        <v>21</v>
      </c>
      <c r="E736" s="173" t="s">
        <v>18</v>
      </c>
      <c r="F736" s="173" t="s">
        <v>16</v>
      </c>
      <c r="G736" s="87" t="b">
        <v>1</v>
      </c>
      <c r="H736" s="87" t="b">
        <v>0</v>
      </c>
      <c r="I736" s="87" t="b">
        <v>0</v>
      </c>
      <c r="J736" s="173" t="s">
        <v>491</v>
      </c>
      <c r="K736" s="174">
        <v>6047087004207</v>
      </c>
      <c r="L736" s="173" t="s">
        <v>811</v>
      </c>
      <c r="M736" s="173" t="s">
        <v>739</v>
      </c>
      <c r="N736" s="173" t="s">
        <v>55</v>
      </c>
      <c r="O736" s="87">
        <v>64</v>
      </c>
      <c r="P736" s="173" t="s">
        <v>25</v>
      </c>
      <c r="Q736" s="1" t="s">
        <v>1344</v>
      </c>
      <c r="R736" s="175">
        <v>8</v>
      </c>
      <c r="S736">
        <v>8</v>
      </c>
    </row>
    <row r="737" spans="1:19" x14ac:dyDescent="0.25">
      <c r="A737" s="87">
        <v>2019</v>
      </c>
      <c r="B737" s="87">
        <v>8</v>
      </c>
      <c r="C737" s="173" t="s">
        <v>16</v>
      </c>
      <c r="D737" s="173" t="s">
        <v>21</v>
      </c>
      <c r="E737" s="173" t="s">
        <v>18</v>
      </c>
      <c r="F737" s="173" t="s">
        <v>16</v>
      </c>
      <c r="G737" s="87" t="b">
        <v>1</v>
      </c>
      <c r="H737" s="87" t="b">
        <v>0</v>
      </c>
      <c r="I737" s="87" t="b">
        <v>0</v>
      </c>
      <c r="J737" s="173" t="s">
        <v>477</v>
      </c>
      <c r="K737" s="174">
        <v>6047087007907</v>
      </c>
      <c r="L737" s="173" t="s">
        <v>652</v>
      </c>
      <c r="M737" s="173" t="s">
        <v>647</v>
      </c>
      <c r="N737" s="173" t="s">
        <v>19</v>
      </c>
      <c r="O737" s="87">
        <v>62</v>
      </c>
      <c r="P737" s="173" t="s">
        <v>27</v>
      </c>
      <c r="Q737" s="1" t="s">
        <v>1343</v>
      </c>
      <c r="R737" s="175">
        <v>12</v>
      </c>
      <c r="S737">
        <v>12</v>
      </c>
    </row>
    <row r="738" spans="1:19" x14ac:dyDescent="0.25">
      <c r="A738" s="87">
        <v>2019</v>
      </c>
      <c r="B738" s="87">
        <v>8</v>
      </c>
      <c r="C738" s="173" t="s">
        <v>16</v>
      </c>
      <c r="D738" s="173" t="s">
        <v>21</v>
      </c>
      <c r="E738" s="173" t="s">
        <v>18</v>
      </c>
      <c r="F738" s="173" t="s">
        <v>16</v>
      </c>
      <c r="G738" s="87" t="b">
        <v>1</v>
      </c>
      <c r="H738" s="87" t="b">
        <v>0</v>
      </c>
      <c r="I738" s="87" t="b">
        <v>0</v>
      </c>
      <c r="J738" s="173" t="s">
        <v>491</v>
      </c>
      <c r="K738" s="174">
        <v>6047087009276</v>
      </c>
      <c r="L738" s="173" t="s">
        <v>812</v>
      </c>
      <c r="M738" s="173" t="s">
        <v>70</v>
      </c>
      <c r="N738" s="173" t="s">
        <v>71</v>
      </c>
      <c r="O738" s="87">
        <v>62</v>
      </c>
      <c r="P738" s="173" t="s">
        <v>27</v>
      </c>
      <c r="Q738" s="1" t="s">
        <v>1343</v>
      </c>
      <c r="R738" s="175">
        <v>2</v>
      </c>
      <c r="S738">
        <v>2</v>
      </c>
    </row>
    <row r="739" spans="1:19" x14ac:dyDescent="0.25">
      <c r="A739" s="87">
        <v>2019</v>
      </c>
      <c r="B739" s="87">
        <v>8</v>
      </c>
      <c r="C739" s="173" t="s">
        <v>16</v>
      </c>
      <c r="D739" s="173" t="s">
        <v>21</v>
      </c>
      <c r="E739" s="173" t="s">
        <v>18</v>
      </c>
      <c r="F739" s="173" t="s">
        <v>16</v>
      </c>
      <c r="G739" s="87" t="b">
        <v>1</v>
      </c>
      <c r="H739" s="87" t="b">
        <v>0</v>
      </c>
      <c r="I739" s="87" t="b">
        <v>0</v>
      </c>
      <c r="J739" s="173" t="s">
        <v>453</v>
      </c>
      <c r="K739" s="174">
        <v>6555031000276</v>
      </c>
      <c r="L739" s="173" t="s">
        <v>815</v>
      </c>
      <c r="M739" s="173" t="s">
        <v>81</v>
      </c>
      <c r="N739" s="173" t="s">
        <v>82</v>
      </c>
      <c r="O739" s="87">
        <v>73</v>
      </c>
      <c r="P739" s="173" t="s">
        <v>26</v>
      </c>
      <c r="Q739" s="1" t="s">
        <v>1342</v>
      </c>
      <c r="R739" s="175">
        <v>20</v>
      </c>
      <c r="S739">
        <v>5</v>
      </c>
    </row>
    <row r="740" spans="1:19" x14ac:dyDescent="0.25">
      <c r="A740" s="87">
        <v>2019</v>
      </c>
      <c r="B740" s="87">
        <v>8</v>
      </c>
      <c r="C740" s="173" t="s">
        <v>16</v>
      </c>
      <c r="D740" s="173" t="s">
        <v>21</v>
      </c>
      <c r="E740" s="173" t="s">
        <v>18</v>
      </c>
      <c r="F740" s="173" t="s">
        <v>16</v>
      </c>
      <c r="G740" s="87" t="b">
        <v>1</v>
      </c>
      <c r="H740" s="87" t="b">
        <v>0</v>
      </c>
      <c r="I740" s="87" t="b">
        <v>0</v>
      </c>
      <c r="J740" s="173" t="s">
        <v>463</v>
      </c>
      <c r="K740" s="174">
        <v>7045325000130</v>
      </c>
      <c r="L740" s="173" t="s">
        <v>571</v>
      </c>
      <c r="M740" s="173" t="s">
        <v>29</v>
      </c>
      <c r="N740" s="173" t="s">
        <v>19</v>
      </c>
      <c r="O740" s="87">
        <v>70</v>
      </c>
      <c r="P740" s="173" t="s">
        <v>20</v>
      </c>
      <c r="Q740" s="1" t="s">
        <v>1338</v>
      </c>
      <c r="R740" s="175">
        <v>200</v>
      </c>
      <c r="S740">
        <v>40</v>
      </c>
    </row>
    <row r="741" spans="1:19" x14ac:dyDescent="0.25">
      <c r="A741" s="87">
        <v>2019</v>
      </c>
      <c r="B741" s="87">
        <v>8</v>
      </c>
      <c r="C741" s="173" t="s">
        <v>16</v>
      </c>
      <c r="D741" s="173" t="s">
        <v>21</v>
      </c>
      <c r="E741" s="173" t="s">
        <v>18</v>
      </c>
      <c r="F741" s="173" t="s">
        <v>16</v>
      </c>
      <c r="G741" s="87" t="b">
        <v>1</v>
      </c>
      <c r="H741" s="87" t="b">
        <v>0</v>
      </c>
      <c r="I741" s="87" t="b">
        <v>0</v>
      </c>
      <c r="J741" s="173" t="s">
        <v>470</v>
      </c>
      <c r="K741" s="174">
        <v>7045325000130</v>
      </c>
      <c r="L741" s="173" t="s">
        <v>571</v>
      </c>
      <c r="M741" s="173" t="s">
        <v>29</v>
      </c>
      <c r="N741" s="173" t="s">
        <v>19</v>
      </c>
      <c r="O741" s="87">
        <v>73</v>
      </c>
      <c r="P741" s="173" t="s">
        <v>26</v>
      </c>
      <c r="Q741" s="1" t="s">
        <v>1342</v>
      </c>
      <c r="R741" s="175">
        <v>80</v>
      </c>
      <c r="S741">
        <v>20</v>
      </c>
    </row>
    <row r="742" spans="1:19" x14ac:dyDescent="0.25">
      <c r="A742" s="87">
        <v>2019</v>
      </c>
      <c r="B742" s="87">
        <v>8</v>
      </c>
      <c r="C742" s="173" t="s">
        <v>16</v>
      </c>
      <c r="D742" s="173" t="s">
        <v>21</v>
      </c>
      <c r="E742" s="173" t="s">
        <v>18</v>
      </c>
      <c r="F742" s="173" t="s">
        <v>16</v>
      </c>
      <c r="G742" s="87" t="b">
        <v>1</v>
      </c>
      <c r="H742" s="87" t="b">
        <v>0</v>
      </c>
      <c r="I742" s="87" t="b">
        <v>0</v>
      </c>
      <c r="J742" s="173" t="s">
        <v>460</v>
      </c>
      <c r="K742" s="174">
        <v>7245269000187</v>
      </c>
      <c r="L742" s="173" t="s">
        <v>816</v>
      </c>
      <c r="M742" s="173" t="s">
        <v>76</v>
      </c>
      <c r="N742" s="173" t="s">
        <v>77</v>
      </c>
      <c r="O742" s="87">
        <v>64</v>
      </c>
      <c r="P742" s="173" t="s">
        <v>25</v>
      </c>
      <c r="Q742" s="1" t="s">
        <v>1344</v>
      </c>
      <c r="R742" s="175">
        <v>5</v>
      </c>
      <c r="S742">
        <v>5</v>
      </c>
    </row>
    <row r="743" spans="1:19" x14ac:dyDescent="0.25">
      <c r="A743" s="87">
        <v>2019</v>
      </c>
      <c r="B743" s="87">
        <v>8</v>
      </c>
      <c r="C743" s="173" t="s">
        <v>16</v>
      </c>
      <c r="D743" s="173" t="s">
        <v>21</v>
      </c>
      <c r="E743" s="173" t="s">
        <v>18</v>
      </c>
      <c r="F743" s="173" t="s">
        <v>16</v>
      </c>
      <c r="G743" s="87" t="b">
        <v>1</v>
      </c>
      <c r="H743" s="87" t="b">
        <v>0</v>
      </c>
      <c r="I743" s="87" t="b">
        <v>0</v>
      </c>
      <c r="J743" s="173" t="s">
        <v>464</v>
      </c>
      <c r="K743" s="174">
        <v>7245269000187</v>
      </c>
      <c r="L743" s="173" t="s">
        <v>816</v>
      </c>
      <c r="M743" s="173" t="s">
        <v>76</v>
      </c>
      <c r="N743" s="173" t="s">
        <v>77</v>
      </c>
      <c r="O743" s="87">
        <v>64</v>
      </c>
      <c r="P743" s="173" t="s">
        <v>25</v>
      </c>
      <c r="Q743" s="1" t="s">
        <v>1344</v>
      </c>
      <c r="R743" s="175">
        <v>2</v>
      </c>
      <c r="S743">
        <v>2</v>
      </c>
    </row>
    <row r="744" spans="1:19" x14ac:dyDescent="0.25">
      <c r="A744" s="87">
        <v>2019</v>
      </c>
      <c r="B744" s="87">
        <v>8</v>
      </c>
      <c r="C744" s="173" t="s">
        <v>16</v>
      </c>
      <c r="D744" s="173" t="s">
        <v>21</v>
      </c>
      <c r="E744" s="173" t="s">
        <v>18</v>
      </c>
      <c r="F744" s="173" t="s">
        <v>16</v>
      </c>
      <c r="G744" s="87" t="b">
        <v>1</v>
      </c>
      <c r="H744" s="87" t="b">
        <v>0</v>
      </c>
      <c r="I744" s="87" t="b">
        <v>0</v>
      </c>
      <c r="J744" s="173" t="s">
        <v>495</v>
      </c>
      <c r="K744" s="174">
        <v>7404052000172</v>
      </c>
      <c r="L744" s="173" t="s">
        <v>953</v>
      </c>
      <c r="M744" s="173" t="s">
        <v>94</v>
      </c>
      <c r="N744" s="173" t="s">
        <v>57</v>
      </c>
      <c r="O744" s="87">
        <v>70</v>
      </c>
      <c r="P744" s="173" t="s">
        <v>20</v>
      </c>
      <c r="Q744" s="1" t="s">
        <v>1338</v>
      </c>
      <c r="R744" s="175">
        <v>45</v>
      </c>
      <c r="S744">
        <v>9</v>
      </c>
    </row>
    <row r="745" spans="1:19" x14ac:dyDescent="0.25">
      <c r="A745" s="87">
        <v>2019</v>
      </c>
      <c r="B745" s="87">
        <v>8</v>
      </c>
      <c r="C745" s="173" t="s">
        <v>16</v>
      </c>
      <c r="D745" s="173" t="s">
        <v>21</v>
      </c>
      <c r="E745" s="173" t="s">
        <v>18</v>
      </c>
      <c r="F745" s="173" t="s">
        <v>16</v>
      </c>
      <c r="G745" s="87" t="b">
        <v>1</v>
      </c>
      <c r="H745" s="87" t="b">
        <v>0</v>
      </c>
      <c r="I745" s="87" t="b">
        <v>0</v>
      </c>
      <c r="J745" s="173" t="s">
        <v>1330</v>
      </c>
      <c r="K745" s="174">
        <v>7734165000136</v>
      </c>
      <c r="L745" s="173" t="s">
        <v>954</v>
      </c>
      <c r="M745" s="173" t="s">
        <v>94</v>
      </c>
      <c r="N745" s="173" t="s">
        <v>57</v>
      </c>
      <c r="O745" s="87">
        <v>70</v>
      </c>
      <c r="P745" s="173" t="s">
        <v>20</v>
      </c>
      <c r="Q745" s="1" t="s">
        <v>1345</v>
      </c>
      <c r="R745" s="175">
        <v>2000</v>
      </c>
      <c r="S745">
        <v>200</v>
      </c>
    </row>
    <row r="746" spans="1:19" x14ac:dyDescent="0.25">
      <c r="A746" s="87">
        <v>2019</v>
      </c>
      <c r="B746" s="87">
        <v>8</v>
      </c>
      <c r="C746" s="173" t="s">
        <v>16</v>
      </c>
      <c r="D746" s="173" t="s">
        <v>21</v>
      </c>
      <c r="E746" s="173" t="s">
        <v>18</v>
      </c>
      <c r="F746" s="173" t="s">
        <v>16</v>
      </c>
      <c r="G746" s="87" t="b">
        <v>1</v>
      </c>
      <c r="H746" s="87" t="b">
        <v>0</v>
      </c>
      <c r="I746" s="87" t="b">
        <v>0</v>
      </c>
      <c r="J746" s="173" t="s">
        <v>464</v>
      </c>
      <c r="K746" s="174">
        <v>7734165000136</v>
      </c>
      <c r="L746" s="173" t="s">
        <v>954</v>
      </c>
      <c r="M746" s="173" t="s">
        <v>94</v>
      </c>
      <c r="N746" s="173" t="s">
        <v>57</v>
      </c>
      <c r="O746" s="87">
        <v>70</v>
      </c>
      <c r="P746" s="173" t="s">
        <v>20</v>
      </c>
      <c r="Q746" s="1" t="s">
        <v>1338</v>
      </c>
      <c r="R746" s="175">
        <v>250</v>
      </c>
      <c r="S746">
        <v>50</v>
      </c>
    </row>
    <row r="747" spans="1:19" x14ac:dyDescent="0.25">
      <c r="A747" s="87">
        <v>2019</v>
      </c>
      <c r="B747" s="87">
        <v>8</v>
      </c>
      <c r="C747" s="173" t="s">
        <v>16</v>
      </c>
      <c r="D747" s="173" t="s">
        <v>21</v>
      </c>
      <c r="E747" s="173" t="s">
        <v>18</v>
      </c>
      <c r="F747" s="173" t="s">
        <v>16</v>
      </c>
      <c r="G747" s="87" t="b">
        <v>1</v>
      </c>
      <c r="H747" s="87" t="b">
        <v>0</v>
      </c>
      <c r="I747" s="87" t="b">
        <v>0</v>
      </c>
      <c r="J747" s="173" t="s">
        <v>452</v>
      </c>
      <c r="K747" s="174">
        <v>7734165000136</v>
      </c>
      <c r="L747" s="173" t="s">
        <v>954</v>
      </c>
      <c r="M747" s="173" t="s">
        <v>94</v>
      </c>
      <c r="N747" s="173" t="s">
        <v>57</v>
      </c>
      <c r="O747" s="87">
        <v>70</v>
      </c>
      <c r="P747" s="173" t="s">
        <v>20</v>
      </c>
      <c r="Q747" s="1" t="s">
        <v>1345</v>
      </c>
      <c r="R747" s="175">
        <v>1600</v>
      </c>
      <c r="S747">
        <v>160</v>
      </c>
    </row>
    <row r="748" spans="1:19" x14ac:dyDescent="0.25">
      <c r="A748" s="87">
        <v>2019</v>
      </c>
      <c r="B748" s="87">
        <v>8</v>
      </c>
      <c r="C748" s="173" t="s">
        <v>16</v>
      </c>
      <c r="D748" s="173" t="s">
        <v>21</v>
      </c>
      <c r="E748" s="173" t="s">
        <v>18</v>
      </c>
      <c r="F748" s="173" t="s">
        <v>16</v>
      </c>
      <c r="G748" s="87" t="b">
        <v>1</v>
      </c>
      <c r="H748" s="87" t="b">
        <v>0</v>
      </c>
      <c r="I748" s="87" t="b">
        <v>0</v>
      </c>
      <c r="J748" s="173" t="s">
        <v>452</v>
      </c>
      <c r="K748" s="174">
        <v>7734165000136</v>
      </c>
      <c r="L748" s="173" t="s">
        <v>954</v>
      </c>
      <c r="M748" s="173" t="s">
        <v>94</v>
      </c>
      <c r="N748" s="173" t="s">
        <v>57</v>
      </c>
      <c r="O748" s="87">
        <v>70</v>
      </c>
      <c r="P748" s="173" t="s">
        <v>20</v>
      </c>
      <c r="Q748" s="1" t="s">
        <v>1338</v>
      </c>
      <c r="R748" s="175">
        <v>500</v>
      </c>
      <c r="S748">
        <v>100</v>
      </c>
    </row>
    <row r="749" spans="1:19" x14ac:dyDescent="0.25">
      <c r="A749" s="87">
        <v>2019</v>
      </c>
      <c r="B749" s="87">
        <v>8</v>
      </c>
      <c r="C749" s="173" t="s">
        <v>16</v>
      </c>
      <c r="D749" s="173" t="s">
        <v>21</v>
      </c>
      <c r="E749" s="173" t="s">
        <v>18</v>
      </c>
      <c r="F749" s="173" t="s">
        <v>16</v>
      </c>
      <c r="G749" s="87" t="b">
        <v>1</v>
      </c>
      <c r="H749" s="87" t="b">
        <v>0</v>
      </c>
      <c r="I749" s="87" t="b">
        <v>0</v>
      </c>
      <c r="J749" s="173" t="s">
        <v>477</v>
      </c>
      <c r="K749" s="174">
        <v>7734165000136</v>
      </c>
      <c r="L749" s="173" t="s">
        <v>954</v>
      </c>
      <c r="M749" s="173" t="s">
        <v>94</v>
      </c>
      <c r="N749" s="173" t="s">
        <v>57</v>
      </c>
      <c r="O749" s="87">
        <v>73</v>
      </c>
      <c r="P749" s="173" t="s">
        <v>26</v>
      </c>
      <c r="Q749" s="1" t="s">
        <v>1339</v>
      </c>
      <c r="R749" s="175">
        <v>120</v>
      </c>
      <c r="S749">
        <v>60</v>
      </c>
    </row>
    <row r="750" spans="1:19" x14ac:dyDescent="0.25">
      <c r="A750" s="87">
        <v>2019</v>
      </c>
      <c r="B750" s="87">
        <v>8</v>
      </c>
      <c r="C750" s="173" t="s">
        <v>16</v>
      </c>
      <c r="D750" s="173" t="s">
        <v>21</v>
      </c>
      <c r="E750" s="173" t="s">
        <v>18</v>
      </c>
      <c r="F750" s="173" t="s">
        <v>16</v>
      </c>
      <c r="G750" s="87" t="b">
        <v>1</v>
      </c>
      <c r="H750" s="87" t="b">
        <v>0</v>
      </c>
      <c r="I750" s="87" t="b">
        <v>0</v>
      </c>
      <c r="J750" s="173" t="s">
        <v>455</v>
      </c>
      <c r="K750" s="174">
        <v>7750144000104</v>
      </c>
      <c r="L750" s="173" t="s">
        <v>819</v>
      </c>
      <c r="M750" s="173" t="s">
        <v>777</v>
      </c>
      <c r="N750" s="173" t="s">
        <v>72</v>
      </c>
      <c r="O750" s="87">
        <v>70</v>
      </c>
      <c r="P750" s="173" t="s">
        <v>20</v>
      </c>
      <c r="Q750" s="1" t="s">
        <v>1338</v>
      </c>
      <c r="R750" s="175">
        <v>20</v>
      </c>
      <c r="S750">
        <v>4</v>
      </c>
    </row>
    <row r="751" spans="1:19" x14ac:dyDescent="0.25">
      <c r="A751" s="87">
        <v>2019</v>
      </c>
      <c r="B751" s="87">
        <v>8</v>
      </c>
      <c r="C751" s="173" t="s">
        <v>16</v>
      </c>
      <c r="D751" s="173" t="s">
        <v>21</v>
      </c>
      <c r="E751" s="173" t="s">
        <v>18</v>
      </c>
      <c r="F751" s="173" t="s">
        <v>16</v>
      </c>
      <c r="G751" s="87" t="b">
        <v>1</v>
      </c>
      <c r="H751" s="87" t="b">
        <v>0</v>
      </c>
      <c r="I751" s="87" t="b">
        <v>0</v>
      </c>
      <c r="J751" s="173" t="s">
        <v>460</v>
      </c>
      <c r="K751" s="174">
        <v>7775847000278</v>
      </c>
      <c r="L751" s="173" t="s">
        <v>820</v>
      </c>
      <c r="M751" s="173" t="s">
        <v>123</v>
      </c>
      <c r="N751" s="173" t="s">
        <v>65</v>
      </c>
      <c r="O751" s="87">
        <v>70</v>
      </c>
      <c r="P751" s="173" t="s">
        <v>20</v>
      </c>
      <c r="Q751" s="1" t="s">
        <v>1338</v>
      </c>
      <c r="R751" s="175">
        <v>335</v>
      </c>
      <c r="S751">
        <v>67</v>
      </c>
    </row>
    <row r="752" spans="1:19" x14ac:dyDescent="0.25">
      <c r="A752" s="87">
        <v>2019</v>
      </c>
      <c r="B752" s="87">
        <v>8</v>
      </c>
      <c r="C752" s="173" t="s">
        <v>16</v>
      </c>
      <c r="D752" s="173" t="s">
        <v>21</v>
      </c>
      <c r="E752" s="173" t="s">
        <v>18</v>
      </c>
      <c r="F752" s="173" t="s">
        <v>16</v>
      </c>
      <c r="G752" s="87" t="b">
        <v>1</v>
      </c>
      <c r="H752" s="87" t="b">
        <v>0</v>
      </c>
      <c r="I752" s="87" t="b">
        <v>0</v>
      </c>
      <c r="J752" s="173" t="s">
        <v>470</v>
      </c>
      <c r="K752" s="174">
        <v>7794623001528</v>
      </c>
      <c r="L752" s="173" t="s">
        <v>1042</v>
      </c>
      <c r="M752" s="173" t="s">
        <v>1043</v>
      </c>
      <c r="N752" s="173" t="s">
        <v>61</v>
      </c>
      <c r="O752" s="87">
        <v>73</v>
      </c>
      <c r="P752" s="173" t="s">
        <v>26</v>
      </c>
      <c r="Q752" s="1" t="s">
        <v>1339</v>
      </c>
      <c r="R752" s="175">
        <v>4</v>
      </c>
      <c r="S752">
        <v>2</v>
      </c>
    </row>
    <row r="753" spans="1:19" x14ac:dyDescent="0.25">
      <c r="A753" s="87">
        <v>2019</v>
      </c>
      <c r="B753" s="87">
        <v>8</v>
      </c>
      <c r="C753" s="173" t="s">
        <v>16</v>
      </c>
      <c r="D753" s="173" t="s">
        <v>21</v>
      </c>
      <c r="E753" s="173" t="s">
        <v>18</v>
      </c>
      <c r="F753" s="173" t="s">
        <v>16</v>
      </c>
      <c r="G753" s="87" t="b">
        <v>1</v>
      </c>
      <c r="H753" s="87" t="b">
        <v>0</v>
      </c>
      <c r="I753" s="87" t="b">
        <v>0</v>
      </c>
      <c r="J753" s="173" t="s">
        <v>470</v>
      </c>
      <c r="K753" s="174">
        <v>7794623001528</v>
      </c>
      <c r="L753" s="173" t="s">
        <v>1042</v>
      </c>
      <c r="M753" s="173" t="s">
        <v>1043</v>
      </c>
      <c r="N753" s="173" t="s">
        <v>61</v>
      </c>
      <c r="O753" s="87">
        <v>73</v>
      </c>
      <c r="P753" s="173" t="s">
        <v>26</v>
      </c>
      <c r="Q753" s="1" t="s">
        <v>1342</v>
      </c>
      <c r="R753" s="175">
        <v>24</v>
      </c>
      <c r="S753">
        <v>6</v>
      </c>
    </row>
    <row r="754" spans="1:19" x14ac:dyDescent="0.25">
      <c r="A754" s="87">
        <v>2019</v>
      </c>
      <c r="B754" s="87">
        <v>8</v>
      </c>
      <c r="C754" s="173" t="s">
        <v>16</v>
      </c>
      <c r="D754" s="173" t="s">
        <v>21</v>
      </c>
      <c r="E754" s="173" t="s">
        <v>18</v>
      </c>
      <c r="F754" s="173" t="s">
        <v>16</v>
      </c>
      <c r="G754" s="87" t="b">
        <v>1</v>
      </c>
      <c r="H754" s="87" t="b">
        <v>0</v>
      </c>
      <c r="I754" s="87" t="b">
        <v>0</v>
      </c>
      <c r="J754" s="173" t="s">
        <v>470</v>
      </c>
      <c r="K754" s="174">
        <v>7794623002257</v>
      </c>
      <c r="L754" s="173" t="s">
        <v>955</v>
      </c>
      <c r="M754" s="173" t="s">
        <v>956</v>
      </c>
      <c r="N754" s="173" t="s">
        <v>57</v>
      </c>
      <c r="O754" s="87">
        <v>70</v>
      </c>
      <c r="P754" s="173" t="s">
        <v>20</v>
      </c>
      <c r="Q754" s="1" t="s">
        <v>1338</v>
      </c>
      <c r="R754" s="175">
        <v>415</v>
      </c>
      <c r="S754">
        <v>83</v>
      </c>
    </row>
    <row r="755" spans="1:19" x14ac:dyDescent="0.25">
      <c r="A755" s="87">
        <v>2019</v>
      </c>
      <c r="B755" s="87">
        <v>8</v>
      </c>
      <c r="C755" s="173" t="s">
        <v>16</v>
      </c>
      <c r="D755" s="173" t="s">
        <v>21</v>
      </c>
      <c r="E755" s="173" t="s">
        <v>18</v>
      </c>
      <c r="F755" s="173" t="s">
        <v>16</v>
      </c>
      <c r="G755" s="87" t="b">
        <v>1</v>
      </c>
      <c r="H755" s="87" t="b">
        <v>0</v>
      </c>
      <c r="I755" s="87" t="b">
        <v>0</v>
      </c>
      <c r="J755" s="173" t="s">
        <v>470</v>
      </c>
      <c r="K755" s="174">
        <v>7794623004896</v>
      </c>
      <c r="L755" s="173" t="s">
        <v>1084</v>
      </c>
      <c r="M755" s="173" t="s">
        <v>131</v>
      </c>
      <c r="N755" s="173" t="s">
        <v>61</v>
      </c>
      <c r="O755" s="87">
        <v>70</v>
      </c>
      <c r="P755" s="173" t="s">
        <v>20</v>
      </c>
      <c r="Q755" s="1" t="s">
        <v>1338</v>
      </c>
      <c r="R755" s="175">
        <v>700</v>
      </c>
      <c r="S755">
        <v>140</v>
      </c>
    </row>
    <row r="756" spans="1:19" x14ac:dyDescent="0.25">
      <c r="A756" s="87">
        <v>2019</v>
      </c>
      <c r="B756" s="87">
        <v>8</v>
      </c>
      <c r="C756" s="173" t="s">
        <v>16</v>
      </c>
      <c r="D756" s="173" t="s">
        <v>21</v>
      </c>
      <c r="E756" s="173" t="s">
        <v>18</v>
      </c>
      <c r="F756" s="173" t="s">
        <v>16</v>
      </c>
      <c r="G756" s="87" t="b">
        <v>1</v>
      </c>
      <c r="H756" s="87" t="b">
        <v>0</v>
      </c>
      <c r="I756" s="87" t="b">
        <v>0</v>
      </c>
      <c r="J756" s="173" t="s">
        <v>470</v>
      </c>
      <c r="K756" s="174">
        <v>8100676000592</v>
      </c>
      <c r="L756" s="173" t="s">
        <v>572</v>
      </c>
      <c r="M756" s="173" t="s">
        <v>29</v>
      </c>
      <c r="N756" s="173" t="s">
        <v>19</v>
      </c>
      <c r="O756" s="87">
        <v>70</v>
      </c>
      <c r="P756" s="173" t="s">
        <v>20</v>
      </c>
      <c r="Q756" s="1" t="s">
        <v>1338</v>
      </c>
      <c r="R756" s="175">
        <v>220</v>
      </c>
      <c r="S756">
        <v>44</v>
      </c>
    </row>
    <row r="757" spans="1:19" x14ac:dyDescent="0.25">
      <c r="A757" s="87">
        <v>2019</v>
      </c>
      <c r="B757" s="87">
        <v>8</v>
      </c>
      <c r="C757" s="173" t="s">
        <v>16</v>
      </c>
      <c r="D757" s="173" t="s">
        <v>21</v>
      </c>
      <c r="E757" s="173" t="s">
        <v>18</v>
      </c>
      <c r="F757" s="173" t="s">
        <v>16</v>
      </c>
      <c r="G757" s="87" t="b">
        <v>1</v>
      </c>
      <c r="H757" s="87" t="b">
        <v>0</v>
      </c>
      <c r="I757" s="87" t="b">
        <v>0</v>
      </c>
      <c r="J757" s="173" t="s">
        <v>470</v>
      </c>
      <c r="K757" s="174">
        <v>8100676002102</v>
      </c>
      <c r="L757" s="173" t="s">
        <v>1085</v>
      </c>
      <c r="M757" s="173" t="s">
        <v>131</v>
      </c>
      <c r="N757" s="173" t="s">
        <v>61</v>
      </c>
      <c r="O757" s="87">
        <v>64</v>
      </c>
      <c r="P757" s="173" t="s">
        <v>25</v>
      </c>
      <c r="Q757" s="1" t="s">
        <v>1344</v>
      </c>
      <c r="R757" s="175">
        <v>30</v>
      </c>
      <c r="S757">
        <v>30</v>
      </c>
    </row>
    <row r="758" spans="1:19" x14ac:dyDescent="0.25">
      <c r="A758" s="87">
        <v>2019</v>
      </c>
      <c r="B758" s="87">
        <v>8</v>
      </c>
      <c r="C758" s="173" t="s">
        <v>16</v>
      </c>
      <c r="D758" s="173" t="s">
        <v>21</v>
      </c>
      <c r="E758" s="173" t="s">
        <v>18</v>
      </c>
      <c r="F758" s="173" t="s">
        <v>16</v>
      </c>
      <c r="G758" s="87" t="b">
        <v>1</v>
      </c>
      <c r="H758" s="87" t="b">
        <v>0</v>
      </c>
      <c r="I758" s="87" t="b">
        <v>0</v>
      </c>
      <c r="J758" s="173" t="s">
        <v>470</v>
      </c>
      <c r="K758" s="174">
        <v>8100676002102</v>
      </c>
      <c r="L758" s="173" t="s">
        <v>1085</v>
      </c>
      <c r="M758" s="173" t="s">
        <v>131</v>
      </c>
      <c r="N758" s="173" t="s">
        <v>61</v>
      </c>
      <c r="O758" s="87">
        <v>70</v>
      </c>
      <c r="P758" s="173" t="s">
        <v>20</v>
      </c>
      <c r="Q758" s="1" t="s">
        <v>1338</v>
      </c>
      <c r="R758" s="175">
        <v>400</v>
      </c>
      <c r="S758">
        <v>80</v>
      </c>
    </row>
    <row r="759" spans="1:19" x14ac:dyDescent="0.25">
      <c r="A759" s="87">
        <v>2019</v>
      </c>
      <c r="B759" s="87">
        <v>8</v>
      </c>
      <c r="C759" s="173" t="s">
        <v>16</v>
      </c>
      <c r="D759" s="173" t="s">
        <v>21</v>
      </c>
      <c r="E759" s="173" t="s">
        <v>18</v>
      </c>
      <c r="F759" s="173" t="s">
        <v>16</v>
      </c>
      <c r="G759" s="87" t="b">
        <v>1</v>
      </c>
      <c r="H759" s="87" t="b">
        <v>0</v>
      </c>
      <c r="I759" s="87" t="b">
        <v>0</v>
      </c>
      <c r="J759" s="173" t="s">
        <v>470</v>
      </c>
      <c r="K759" s="174">
        <v>8100676002455</v>
      </c>
      <c r="L759" s="173" t="s">
        <v>574</v>
      </c>
      <c r="M759" s="173" t="s">
        <v>29</v>
      </c>
      <c r="N759" s="173" t="s">
        <v>19</v>
      </c>
      <c r="O759" s="87">
        <v>64</v>
      </c>
      <c r="P759" s="173" t="s">
        <v>25</v>
      </c>
      <c r="Q759" s="1" t="s">
        <v>1344</v>
      </c>
      <c r="R759" s="175">
        <v>8</v>
      </c>
      <c r="S759">
        <v>8</v>
      </c>
    </row>
    <row r="760" spans="1:19" x14ac:dyDescent="0.25">
      <c r="A760" s="87">
        <v>2019</v>
      </c>
      <c r="B760" s="87">
        <v>8</v>
      </c>
      <c r="C760" s="173" t="s">
        <v>16</v>
      </c>
      <c r="D760" s="173" t="s">
        <v>21</v>
      </c>
      <c r="E760" s="173" t="s">
        <v>18</v>
      </c>
      <c r="F760" s="173" t="s">
        <v>16</v>
      </c>
      <c r="G760" s="87" t="b">
        <v>1</v>
      </c>
      <c r="H760" s="87" t="b">
        <v>0</v>
      </c>
      <c r="I760" s="87" t="b">
        <v>0</v>
      </c>
      <c r="J760" s="173" t="s">
        <v>491</v>
      </c>
      <c r="K760" s="174">
        <v>8100676002455</v>
      </c>
      <c r="L760" s="173" t="s">
        <v>574</v>
      </c>
      <c r="M760" s="173" t="s">
        <v>29</v>
      </c>
      <c r="N760" s="173" t="s">
        <v>19</v>
      </c>
      <c r="O760" s="87">
        <v>64</v>
      </c>
      <c r="P760" s="173" t="s">
        <v>25</v>
      </c>
      <c r="Q760" s="1" t="s">
        <v>1344</v>
      </c>
      <c r="R760" s="175">
        <v>4</v>
      </c>
      <c r="S760">
        <v>4</v>
      </c>
    </row>
    <row r="761" spans="1:19" x14ac:dyDescent="0.25">
      <c r="A761" s="87">
        <v>2019</v>
      </c>
      <c r="B761" s="87">
        <v>8</v>
      </c>
      <c r="C761" s="173" t="s">
        <v>16</v>
      </c>
      <c r="D761" s="173" t="s">
        <v>21</v>
      </c>
      <c r="E761" s="173" t="s">
        <v>18</v>
      </c>
      <c r="F761" s="173" t="s">
        <v>16</v>
      </c>
      <c r="G761" s="87" t="b">
        <v>1</v>
      </c>
      <c r="H761" s="87" t="b">
        <v>0</v>
      </c>
      <c r="I761" s="87" t="b">
        <v>0</v>
      </c>
      <c r="J761" s="173" t="s">
        <v>470</v>
      </c>
      <c r="K761" s="174">
        <v>8100676002455</v>
      </c>
      <c r="L761" s="173" t="s">
        <v>574</v>
      </c>
      <c r="M761" s="173" t="s">
        <v>29</v>
      </c>
      <c r="N761" s="173" t="s">
        <v>19</v>
      </c>
      <c r="O761" s="87">
        <v>70</v>
      </c>
      <c r="P761" s="173" t="s">
        <v>20</v>
      </c>
      <c r="Q761" s="1" t="s">
        <v>1338</v>
      </c>
      <c r="R761" s="175">
        <v>525</v>
      </c>
      <c r="S761">
        <v>105</v>
      </c>
    </row>
    <row r="762" spans="1:19" x14ac:dyDescent="0.25">
      <c r="A762" s="87">
        <v>2019</v>
      </c>
      <c r="B762" s="87">
        <v>8</v>
      </c>
      <c r="C762" s="173" t="s">
        <v>16</v>
      </c>
      <c r="D762" s="173" t="s">
        <v>21</v>
      </c>
      <c r="E762" s="173" t="s">
        <v>18</v>
      </c>
      <c r="F762" s="173" t="s">
        <v>16</v>
      </c>
      <c r="G762" s="87" t="b">
        <v>1</v>
      </c>
      <c r="H762" s="87" t="b">
        <v>0</v>
      </c>
      <c r="I762" s="87" t="b">
        <v>0</v>
      </c>
      <c r="J762" s="173" t="s">
        <v>460</v>
      </c>
      <c r="K762" s="174">
        <v>8319329000121</v>
      </c>
      <c r="L762" s="173" t="s">
        <v>823</v>
      </c>
      <c r="M762" s="173" t="s">
        <v>62</v>
      </c>
      <c r="N762" s="173" t="s">
        <v>63</v>
      </c>
      <c r="O762" s="87">
        <v>64</v>
      </c>
      <c r="P762" s="173" t="s">
        <v>25</v>
      </c>
      <c r="Q762" s="1" t="s">
        <v>1344</v>
      </c>
      <c r="R762" s="175">
        <v>20</v>
      </c>
      <c r="S762">
        <v>20</v>
      </c>
    </row>
    <row r="763" spans="1:19" x14ac:dyDescent="0.25">
      <c r="A763" s="87">
        <v>2019</v>
      </c>
      <c r="B763" s="87">
        <v>8</v>
      </c>
      <c r="C763" s="173" t="s">
        <v>16</v>
      </c>
      <c r="D763" s="173" t="s">
        <v>21</v>
      </c>
      <c r="E763" s="173" t="s">
        <v>18</v>
      </c>
      <c r="F763" s="173" t="s">
        <v>16</v>
      </c>
      <c r="G763" s="87" t="b">
        <v>1</v>
      </c>
      <c r="H763" s="87" t="b">
        <v>0</v>
      </c>
      <c r="I763" s="87" t="b">
        <v>0</v>
      </c>
      <c r="J763" s="173" t="s">
        <v>451</v>
      </c>
      <c r="K763" s="174">
        <v>8319329000121</v>
      </c>
      <c r="L763" s="173" t="s">
        <v>823</v>
      </c>
      <c r="M763" s="173" t="s">
        <v>62</v>
      </c>
      <c r="N763" s="173" t="s">
        <v>63</v>
      </c>
      <c r="O763" s="87">
        <v>64</v>
      </c>
      <c r="P763" s="173" t="s">
        <v>25</v>
      </c>
      <c r="Q763" s="1" t="s">
        <v>1344</v>
      </c>
      <c r="R763" s="175">
        <v>6</v>
      </c>
      <c r="S763">
        <v>6</v>
      </c>
    </row>
    <row r="764" spans="1:19" x14ac:dyDescent="0.25">
      <c r="A764" s="87">
        <v>2019</v>
      </c>
      <c r="B764" s="87">
        <v>8</v>
      </c>
      <c r="C764" s="173" t="s">
        <v>16</v>
      </c>
      <c r="D764" s="173" t="s">
        <v>21</v>
      </c>
      <c r="E764" s="173" t="s">
        <v>18</v>
      </c>
      <c r="F764" s="173" t="s">
        <v>16</v>
      </c>
      <c r="G764" s="87" t="b">
        <v>1</v>
      </c>
      <c r="H764" s="87" t="b">
        <v>0</v>
      </c>
      <c r="I764" s="87" t="b">
        <v>0</v>
      </c>
      <c r="J764" s="173" t="s">
        <v>460</v>
      </c>
      <c r="K764" s="174">
        <v>8380701001772</v>
      </c>
      <c r="L764" s="173" t="s">
        <v>826</v>
      </c>
      <c r="M764" s="173" t="s">
        <v>62</v>
      </c>
      <c r="N764" s="173" t="s">
        <v>63</v>
      </c>
      <c r="O764" s="87">
        <v>64</v>
      </c>
      <c r="P764" s="173" t="s">
        <v>25</v>
      </c>
      <c r="Q764" s="1" t="s">
        <v>1344</v>
      </c>
      <c r="R764" s="175">
        <v>50</v>
      </c>
      <c r="S764">
        <v>50</v>
      </c>
    </row>
    <row r="765" spans="1:19" x14ac:dyDescent="0.25">
      <c r="A765" s="87">
        <v>2019</v>
      </c>
      <c r="B765" s="87">
        <v>8</v>
      </c>
      <c r="C765" s="173" t="s">
        <v>16</v>
      </c>
      <c r="D765" s="173" t="s">
        <v>21</v>
      </c>
      <c r="E765" s="173" t="s">
        <v>18</v>
      </c>
      <c r="F765" s="173" t="s">
        <v>16</v>
      </c>
      <c r="G765" s="87" t="b">
        <v>1</v>
      </c>
      <c r="H765" s="87" t="b">
        <v>0</v>
      </c>
      <c r="I765" s="87" t="b">
        <v>0</v>
      </c>
      <c r="J765" s="173" t="s">
        <v>477</v>
      </c>
      <c r="K765" s="174">
        <v>8562523000133</v>
      </c>
      <c r="L765" s="173" t="s">
        <v>1044</v>
      </c>
      <c r="M765" s="173" t="s">
        <v>78</v>
      </c>
      <c r="N765" s="173" t="s">
        <v>61</v>
      </c>
      <c r="O765" s="87">
        <v>62</v>
      </c>
      <c r="P765" s="173" t="s">
        <v>27</v>
      </c>
      <c r="Q765" s="1" t="s">
        <v>1343</v>
      </c>
      <c r="R765" s="175">
        <v>2</v>
      </c>
      <c r="S765">
        <v>2</v>
      </c>
    </row>
    <row r="766" spans="1:19" x14ac:dyDescent="0.25">
      <c r="A766" s="87">
        <v>2019</v>
      </c>
      <c r="B766" s="87">
        <v>8</v>
      </c>
      <c r="C766" s="173" t="s">
        <v>16</v>
      </c>
      <c r="D766" s="173" t="s">
        <v>21</v>
      </c>
      <c r="E766" s="173" t="s">
        <v>18</v>
      </c>
      <c r="F766" s="173" t="s">
        <v>16</v>
      </c>
      <c r="G766" s="87" t="b">
        <v>1</v>
      </c>
      <c r="H766" s="87" t="b">
        <v>0</v>
      </c>
      <c r="I766" s="87" t="b">
        <v>0</v>
      </c>
      <c r="J766" s="173" t="s">
        <v>477</v>
      </c>
      <c r="K766" s="174">
        <v>8562523000133</v>
      </c>
      <c r="L766" s="173" t="s">
        <v>1044</v>
      </c>
      <c r="M766" s="173" t="s">
        <v>78</v>
      </c>
      <c r="N766" s="173" t="s">
        <v>61</v>
      </c>
      <c r="O766" s="87">
        <v>64</v>
      </c>
      <c r="P766" s="173" t="s">
        <v>25</v>
      </c>
      <c r="Q766" s="1" t="s">
        <v>1344</v>
      </c>
      <c r="R766" s="175">
        <v>5</v>
      </c>
      <c r="S766">
        <v>5</v>
      </c>
    </row>
    <row r="767" spans="1:19" x14ac:dyDescent="0.25">
      <c r="A767" s="87">
        <v>2019</v>
      </c>
      <c r="B767" s="87">
        <v>8</v>
      </c>
      <c r="C767" s="173" t="s">
        <v>16</v>
      </c>
      <c r="D767" s="173" t="s">
        <v>21</v>
      </c>
      <c r="E767" s="173" t="s">
        <v>18</v>
      </c>
      <c r="F767" s="173" t="s">
        <v>16</v>
      </c>
      <c r="G767" s="87" t="b">
        <v>1</v>
      </c>
      <c r="H767" s="87" t="b">
        <v>0</v>
      </c>
      <c r="I767" s="87" t="b">
        <v>0</v>
      </c>
      <c r="J767" s="173" t="s">
        <v>452</v>
      </c>
      <c r="K767" s="174">
        <v>8597121000174</v>
      </c>
      <c r="L767" s="173" t="s">
        <v>957</v>
      </c>
      <c r="M767" s="173" t="s">
        <v>94</v>
      </c>
      <c r="N767" s="173" t="s">
        <v>57</v>
      </c>
      <c r="O767" s="87">
        <v>66</v>
      </c>
      <c r="P767" s="173" t="s">
        <v>28</v>
      </c>
      <c r="Q767" s="1" t="s">
        <v>1341</v>
      </c>
      <c r="R767" s="175">
        <v>80</v>
      </c>
      <c r="S767">
        <v>80</v>
      </c>
    </row>
    <row r="768" spans="1:19" x14ac:dyDescent="0.25">
      <c r="A768" s="87">
        <v>2019</v>
      </c>
      <c r="B768" s="87">
        <v>8</v>
      </c>
      <c r="C768" s="173" t="s">
        <v>16</v>
      </c>
      <c r="D768" s="173" t="s">
        <v>21</v>
      </c>
      <c r="E768" s="173" t="s">
        <v>18</v>
      </c>
      <c r="F768" s="173" t="s">
        <v>16</v>
      </c>
      <c r="G768" s="87" t="b">
        <v>1</v>
      </c>
      <c r="H768" s="87" t="b">
        <v>0</v>
      </c>
      <c r="I768" s="87" t="b">
        <v>0</v>
      </c>
      <c r="J768" s="173" t="s">
        <v>491</v>
      </c>
      <c r="K768" s="174">
        <v>8677327000104</v>
      </c>
      <c r="L768" s="173" t="s">
        <v>576</v>
      </c>
      <c r="M768" s="173" t="s">
        <v>29</v>
      </c>
      <c r="N768" s="173" t="s">
        <v>19</v>
      </c>
      <c r="O768" s="87">
        <v>64</v>
      </c>
      <c r="P768" s="173" t="s">
        <v>25</v>
      </c>
      <c r="Q768" s="1" t="s">
        <v>1344</v>
      </c>
      <c r="R768" s="175">
        <v>2</v>
      </c>
      <c r="S768">
        <v>2</v>
      </c>
    </row>
    <row r="769" spans="1:19" x14ac:dyDescent="0.25">
      <c r="A769" s="87">
        <v>2019</v>
      </c>
      <c r="B769" s="87">
        <v>8</v>
      </c>
      <c r="C769" s="173" t="s">
        <v>16</v>
      </c>
      <c r="D769" s="173" t="s">
        <v>21</v>
      </c>
      <c r="E769" s="173" t="s">
        <v>18</v>
      </c>
      <c r="F769" s="173" t="s">
        <v>16</v>
      </c>
      <c r="G769" s="87" t="b">
        <v>1</v>
      </c>
      <c r="H769" s="87" t="b">
        <v>0</v>
      </c>
      <c r="I769" s="87" t="b">
        <v>0</v>
      </c>
      <c r="J769" s="173" t="s">
        <v>460</v>
      </c>
      <c r="K769" s="174">
        <v>8680639000681</v>
      </c>
      <c r="L769" s="173" t="s">
        <v>827</v>
      </c>
      <c r="M769" s="173" t="s">
        <v>747</v>
      </c>
      <c r="N769" s="173" t="s">
        <v>56</v>
      </c>
      <c r="O769" s="87">
        <v>70</v>
      </c>
      <c r="P769" s="173" t="s">
        <v>20</v>
      </c>
      <c r="Q769" s="1" t="s">
        <v>1338</v>
      </c>
      <c r="R769" s="175">
        <v>75</v>
      </c>
      <c r="S769">
        <v>15</v>
      </c>
    </row>
    <row r="770" spans="1:19" x14ac:dyDescent="0.25">
      <c r="A770" s="87">
        <v>2019</v>
      </c>
      <c r="B770" s="87">
        <v>8</v>
      </c>
      <c r="C770" s="173" t="s">
        <v>16</v>
      </c>
      <c r="D770" s="173" t="s">
        <v>21</v>
      </c>
      <c r="E770" s="173" t="s">
        <v>18</v>
      </c>
      <c r="F770" s="173" t="s">
        <v>16</v>
      </c>
      <c r="G770" s="87" t="b">
        <v>1</v>
      </c>
      <c r="H770" s="87" t="b">
        <v>0</v>
      </c>
      <c r="I770" s="87" t="b">
        <v>0</v>
      </c>
      <c r="J770" s="173" t="s">
        <v>455</v>
      </c>
      <c r="K770" s="174">
        <v>8680639000681</v>
      </c>
      <c r="L770" s="173" t="s">
        <v>827</v>
      </c>
      <c r="M770" s="173" t="s">
        <v>747</v>
      </c>
      <c r="N770" s="173" t="s">
        <v>56</v>
      </c>
      <c r="O770" s="87">
        <v>70</v>
      </c>
      <c r="P770" s="173" t="s">
        <v>20</v>
      </c>
      <c r="Q770" s="1" t="s">
        <v>1338</v>
      </c>
      <c r="R770" s="175">
        <v>80</v>
      </c>
      <c r="S770">
        <v>16</v>
      </c>
    </row>
    <row r="771" spans="1:19" x14ac:dyDescent="0.25">
      <c r="A771" s="87">
        <v>2019</v>
      </c>
      <c r="B771" s="87">
        <v>8</v>
      </c>
      <c r="C771" s="173" t="s">
        <v>16</v>
      </c>
      <c r="D771" s="173" t="s">
        <v>21</v>
      </c>
      <c r="E771" s="173" t="s">
        <v>18</v>
      </c>
      <c r="F771" s="173" t="s">
        <v>16</v>
      </c>
      <c r="G771" s="87" t="b">
        <v>1</v>
      </c>
      <c r="H771" s="87" t="b">
        <v>0</v>
      </c>
      <c r="I771" s="87" t="b">
        <v>0</v>
      </c>
      <c r="J771" s="173" t="s">
        <v>491</v>
      </c>
      <c r="K771" s="174">
        <v>8680639000681</v>
      </c>
      <c r="L771" s="173" t="s">
        <v>827</v>
      </c>
      <c r="M771" s="173" t="s">
        <v>747</v>
      </c>
      <c r="N771" s="173" t="s">
        <v>56</v>
      </c>
      <c r="O771" s="87">
        <v>73</v>
      </c>
      <c r="P771" s="173" t="s">
        <v>26</v>
      </c>
      <c r="Q771" s="1" t="s">
        <v>1342</v>
      </c>
      <c r="R771" s="175">
        <v>68</v>
      </c>
      <c r="S771">
        <v>17</v>
      </c>
    </row>
    <row r="772" spans="1:19" x14ac:dyDescent="0.25">
      <c r="A772" s="87">
        <v>2019</v>
      </c>
      <c r="B772" s="87">
        <v>8</v>
      </c>
      <c r="C772" s="173" t="s">
        <v>16</v>
      </c>
      <c r="D772" s="173" t="s">
        <v>21</v>
      </c>
      <c r="E772" s="173" t="s">
        <v>18</v>
      </c>
      <c r="F772" s="173" t="s">
        <v>16</v>
      </c>
      <c r="G772" s="87" t="b">
        <v>1</v>
      </c>
      <c r="H772" s="87" t="b">
        <v>0</v>
      </c>
      <c r="I772" s="87" t="b">
        <v>0</v>
      </c>
      <c r="J772" s="173" t="s">
        <v>477</v>
      </c>
      <c r="K772" s="174">
        <v>8850962000222</v>
      </c>
      <c r="L772" s="173" t="s">
        <v>1086</v>
      </c>
      <c r="M772" s="173" t="s">
        <v>131</v>
      </c>
      <c r="N772" s="173" t="s">
        <v>61</v>
      </c>
      <c r="O772" s="87">
        <v>62</v>
      </c>
      <c r="P772" s="173" t="s">
        <v>27</v>
      </c>
      <c r="Q772" s="1" t="s">
        <v>1343</v>
      </c>
      <c r="R772" s="175">
        <v>16</v>
      </c>
      <c r="S772">
        <v>16</v>
      </c>
    </row>
    <row r="773" spans="1:19" x14ac:dyDescent="0.25">
      <c r="A773" s="87">
        <v>2019</v>
      </c>
      <c r="B773" s="87">
        <v>8</v>
      </c>
      <c r="C773" s="173" t="s">
        <v>16</v>
      </c>
      <c r="D773" s="173" t="s">
        <v>21</v>
      </c>
      <c r="E773" s="173" t="s">
        <v>18</v>
      </c>
      <c r="F773" s="173" t="s">
        <v>16</v>
      </c>
      <c r="G773" s="87" t="b">
        <v>1</v>
      </c>
      <c r="H773" s="87" t="b">
        <v>0</v>
      </c>
      <c r="I773" s="87" t="b">
        <v>0</v>
      </c>
      <c r="J773" s="173" t="s">
        <v>491</v>
      </c>
      <c r="K773" s="174">
        <v>8850962000222</v>
      </c>
      <c r="L773" s="173" t="s">
        <v>1086</v>
      </c>
      <c r="M773" s="173" t="s">
        <v>131</v>
      </c>
      <c r="N773" s="173" t="s">
        <v>61</v>
      </c>
      <c r="O773" s="87">
        <v>64</v>
      </c>
      <c r="P773" s="173" t="s">
        <v>25</v>
      </c>
      <c r="Q773" s="1" t="s">
        <v>1344</v>
      </c>
      <c r="R773" s="175">
        <v>16</v>
      </c>
      <c r="S773">
        <v>16</v>
      </c>
    </row>
    <row r="774" spans="1:19" x14ac:dyDescent="0.25">
      <c r="A774" s="87">
        <v>2019</v>
      </c>
      <c r="B774" s="87">
        <v>8</v>
      </c>
      <c r="C774" s="173" t="s">
        <v>16</v>
      </c>
      <c r="D774" s="173" t="s">
        <v>21</v>
      </c>
      <c r="E774" s="173" t="s">
        <v>18</v>
      </c>
      <c r="F774" s="173" t="s">
        <v>16</v>
      </c>
      <c r="G774" s="87" t="b">
        <v>1</v>
      </c>
      <c r="H774" s="87" t="b">
        <v>0</v>
      </c>
      <c r="I774" s="87" t="b">
        <v>0</v>
      </c>
      <c r="J774" s="173" t="s">
        <v>451</v>
      </c>
      <c r="K774" s="174">
        <v>8871521000126</v>
      </c>
      <c r="L774" s="173" t="s">
        <v>577</v>
      </c>
      <c r="M774" s="173" t="s">
        <v>29</v>
      </c>
      <c r="N774" s="173" t="s">
        <v>19</v>
      </c>
      <c r="O774" s="87">
        <v>70</v>
      </c>
      <c r="P774" s="173" t="s">
        <v>20</v>
      </c>
      <c r="Q774" s="1" t="s">
        <v>1346</v>
      </c>
      <c r="R774" s="175">
        <v>7.5</v>
      </c>
      <c r="S774">
        <v>3</v>
      </c>
    </row>
    <row r="775" spans="1:19" x14ac:dyDescent="0.25">
      <c r="A775" s="87">
        <v>2019</v>
      </c>
      <c r="B775" s="87">
        <v>8</v>
      </c>
      <c r="C775" s="173" t="s">
        <v>16</v>
      </c>
      <c r="D775" s="173" t="s">
        <v>21</v>
      </c>
      <c r="E775" s="173" t="s">
        <v>18</v>
      </c>
      <c r="F775" s="173" t="s">
        <v>16</v>
      </c>
      <c r="G775" s="87" t="b">
        <v>1</v>
      </c>
      <c r="H775" s="87" t="b">
        <v>0</v>
      </c>
      <c r="I775" s="87" t="b">
        <v>0</v>
      </c>
      <c r="J775" s="173" t="s">
        <v>451</v>
      </c>
      <c r="K775" s="174">
        <v>8871521000126</v>
      </c>
      <c r="L775" s="173" t="s">
        <v>577</v>
      </c>
      <c r="M775" s="173" t="s">
        <v>29</v>
      </c>
      <c r="N775" s="173" t="s">
        <v>19</v>
      </c>
      <c r="O775" s="87">
        <v>70</v>
      </c>
      <c r="P775" s="173" t="s">
        <v>20</v>
      </c>
      <c r="Q775" s="1" t="s">
        <v>1338</v>
      </c>
      <c r="R775" s="175">
        <v>390</v>
      </c>
      <c r="S775">
        <v>78</v>
      </c>
    </row>
    <row r="776" spans="1:19" x14ac:dyDescent="0.25">
      <c r="A776" s="87">
        <v>2019</v>
      </c>
      <c r="B776" s="87">
        <v>8</v>
      </c>
      <c r="C776" s="173" t="s">
        <v>16</v>
      </c>
      <c r="D776" s="173" t="s">
        <v>21</v>
      </c>
      <c r="E776" s="173" t="s">
        <v>18</v>
      </c>
      <c r="F776" s="173" t="s">
        <v>16</v>
      </c>
      <c r="G776" s="87" t="b">
        <v>1</v>
      </c>
      <c r="H776" s="87" t="b">
        <v>0</v>
      </c>
      <c r="I776" s="87" t="b">
        <v>0</v>
      </c>
      <c r="J776" s="173" t="s">
        <v>460</v>
      </c>
      <c r="K776" s="174">
        <v>9039744000275</v>
      </c>
      <c r="L776" s="173" t="s">
        <v>829</v>
      </c>
      <c r="M776" s="173" t="s">
        <v>99</v>
      </c>
      <c r="N776" s="173" t="s">
        <v>71</v>
      </c>
      <c r="O776" s="87">
        <v>64</v>
      </c>
      <c r="P776" s="173" t="s">
        <v>25</v>
      </c>
      <c r="Q776" s="1" t="s">
        <v>1344</v>
      </c>
      <c r="R776" s="175">
        <v>1</v>
      </c>
      <c r="S776">
        <v>1</v>
      </c>
    </row>
    <row r="777" spans="1:19" x14ac:dyDescent="0.25">
      <c r="A777" s="87">
        <v>2019</v>
      </c>
      <c r="B777" s="87">
        <v>8</v>
      </c>
      <c r="C777" s="173" t="s">
        <v>16</v>
      </c>
      <c r="D777" s="173" t="s">
        <v>21</v>
      </c>
      <c r="E777" s="173" t="s">
        <v>18</v>
      </c>
      <c r="F777" s="173" t="s">
        <v>16</v>
      </c>
      <c r="G777" s="87" t="b">
        <v>1</v>
      </c>
      <c r="H777" s="87" t="b">
        <v>0</v>
      </c>
      <c r="I777" s="87" t="b">
        <v>0</v>
      </c>
      <c r="J777" s="173" t="s">
        <v>450</v>
      </c>
      <c r="K777" s="174">
        <v>9087150000230</v>
      </c>
      <c r="L777" s="173" t="s">
        <v>958</v>
      </c>
      <c r="M777" s="173" t="s">
        <v>83</v>
      </c>
      <c r="N777" s="173" t="s">
        <v>67</v>
      </c>
      <c r="O777" s="87">
        <v>73</v>
      </c>
      <c r="P777" s="173" t="s">
        <v>26</v>
      </c>
      <c r="Q777" s="1" t="s">
        <v>1339</v>
      </c>
      <c r="R777" s="175">
        <v>10</v>
      </c>
      <c r="S777">
        <v>5</v>
      </c>
    </row>
    <row r="778" spans="1:19" x14ac:dyDescent="0.25">
      <c r="A778" s="87">
        <v>2019</v>
      </c>
      <c r="B778" s="87">
        <v>8</v>
      </c>
      <c r="C778" s="173" t="s">
        <v>16</v>
      </c>
      <c r="D778" s="173" t="s">
        <v>21</v>
      </c>
      <c r="E778" s="173" t="s">
        <v>18</v>
      </c>
      <c r="F778" s="173" t="s">
        <v>16</v>
      </c>
      <c r="G778" s="87" t="b">
        <v>1</v>
      </c>
      <c r="H778" s="87" t="b">
        <v>0</v>
      </c>
      <c r="I778" s="87" t="b">
        <v>0</v>
      </c>
      <c r="J778" s="173" t="s">
        <v>451</v>
      </c>
      <c r="K778" s="174">
        <v>9104513000974</v>
      </c>
      <c r="L778" s="173" t="s">
        <v>830</v>
      </c>
      <c r="M778" s="173" t="s">
        <v>739</v>
      </c>
      <c r="N778" s="173" t="s">
        <v>55</v>
      </c>
      <c r="O778" s="87">
        <v>70</v>
      </c>
      <c r="P778" s="173" t="s">
        <v>20</v>
      </c>
      <c r="Q778" s="1" t="s">
        <v>1338</v>
      </c>
      <c r="R778" s="175">
        <v>170</v>
      </c>
      <c r="S778">
        <v>34</v>
      </c>
    </row>
    <row r="779" spans="1:19" x14ac:dyDescent="0.25">
      <c r="A779" s="87">
        <v>2019</v>
      </c>
      <c r="B779" s="87">
        <v>8</v>
      </c>
      <c r="C779" s="173" t="s">
        <v>16</v>
      </c>
      <c r="D779" s="173" t="s">
        <v>21</v>
      </c>
      <c r="E779" s="173" t="s">
        <v>18</v>
      </c>
      <c r="F779" s="173" t="s">
        <v>16</v>
      </c>
      <c r="G779" s="87" t="b">
        <v>1</v>
      </c>
      <c r="H779" s="87" t="b">
        <v>0</v>
      </c>
      <c r="I779" s="87" t="b">
        <v>0</v>
      </c>
      <c r="J779" s="173" t="s">
        <v>455</v>
      </c>
      <c r="K779" s="174">
        <v>9219138000584</v>
      </c>
      <c r="L779" s="173" t="s">
        <v>1088</v>
      </c>
      <c r="M779" s="173" t="s">
        <v>131</v>
      </c>
      <c r="N779" s="173" t="s">
        <v>61</v>
      </c>
      <c r="O779" s="87">
        <v>64</v>
      </c>
      <c r="P779" s="173" t="s">
        <v>25</v>
      </c>
      <c r="Q779" s="1" t="s">
        <v>1344</v>
      </c>
      <c r="R779" s="175">
        <v>4</v>
      </c>
      <c r="S779">
        <v>4</v>
      </c>
    </row>
    <row r="780" spans="1:19" x14ac:dyDescent="0.25">
      <c r="A780" s="87">
        <v>2019</v>
      </c>
      <c r="B780" s="87">
        <v>8</v>
      </c>
      <c r="C780" s="173" t="s">
        <v>16</v>
      </c>
      <c r="D780" s="173" t="s">
        <v>21</v>
      </c>
      <c r="E780" s="173" t="s">
        <v>18</v>
      </c>
      <c r="F780" s="173" t="s">
        <v>16</v>
      </c>
      <c r="G780" s="87" t="b">
        <v>1</v>
      </c>
      <c r="H780" s="87" t="b">
        <v>0</v>
      </c>
      <c r="I780" s="87" t="b">
        <v>0</v>
      </c>
      <c r="J780" s="173" t="s">
        <v>470</v>
      </c>
      <c r="K780" s="174">
        <v>9219138000584</v>
      </c>
      <c r="L780" s="173" t="s">
        <v>1088</v>
      </c>
      <c r="M780" s="173" t="s">
        <v>131</v>
      </c>
      <c r="N780" s="173" t="s">
        <v>61</v>
      </c>
      <c r="O780" s="87">
        <v>70</v>
      </c>
      <c r="P780" s="173" t="s">
        <v>20</v>
      </c>
      <c r="Q780" s="1" t="s">
        <v>1338</v>
      </c>
      <c r="R780" s="175">
        <v>35</v>
      </c>
      <c r="S780">
        <v>7</v>
      </c>
    </row>
    <row r="781" spans="1:19" x14ac:dyDescent="0.25">
      <c r="A781" s="87">
        <v>2019</v>
      </c>
      <c r="B781" s="87">
        <v>8</v>
      </c>
      <c r="C781" s="173" t="s">
        <v>16</v>
      </c>
      <c r="D781" s="173" t="s">
        <v>21</v>
      </c>
      <c r="E781" s="173" t="s">
        <v>18</v>
      </c>
      <c r="F781" s="173" t="s">
        <v>16</v>
      </c>
      <c r="G781" s="87" t="b">
        <v>1</v>
      </c>
      <c r="H781" s="87" t="b">
        <v>0</v>
      </c>
      <c r="I781" s="87" t="b">
        <v>0</v>
      </c>
      <c r="J781" s="173" t="s">
        <v>477</v>
      </c>
      <c r="K781" s="174">
        <v>9219138000584</v>
      </c>
      <c r="L781" s="173" t="s">
        <v>1088</v>
      </c>
      <c r="M781" s="173" t="s">
        <v>131</v>
      </c>
      <c r="N781" s="173" t="s">
        <v>61</v>
      </c>
      <c r="O781" s="87">
        <v>70</v>
      </c>
      <c r="P781" s="173" t="s">
        <v>20</v>
      </c>
      <c r="Q781" s="1" t="s">
        <v>1338</v>
      </c>
      <c r="R781" s="175">
        <v>635</v>
      </c>
      <c r="S781">
        <v>127</v>
      </c>
    </row>
    <row r="782" spans="1:19" x14ac:dyDescent="0.25">
      <c r="A782" s="87">
        <v>2019</v>
      </c>
      <c r="B782" s="87">
        <v>8</v>
      </c>
      <c r="C782" s="173" t="s">
        <v>16</v>
      </c>
      <c r="D782" s="173" t="s">
        <v>21</v>
      </c>
      <c r="E782" s="173" t="s">
        <v>18</v>
      </c>
      <c r="F782" s="173" t="s">
        <v>16</v>
      </c>
      <c r="G782" s="87" t="b">
        <v>1</v>
      </c>
      <c r="H782" s="87" t="b">
        <v>0</v>
      </c>
      <c r="I782" s="87" t="b">
        <v>0</v>
      </c>
      <c r="J782" s="173" t="s">
        <v>477</v>
      </c>
      <c r="K782" s="174">
        <v>9219138000584</v>
      </c>
      <c r="L782" s="173" t="s">
        <v>1088</v>
      </c>
      <c r="M782" s="173" t="s">
        <v>131</v>
      </c>
      <c r="N782" s="173" t="s">
        <v>61</v>
      </c>
      <c r="O782" s="87">
        <v>73</v>
      </c>
      <c r="P782" s="173" t="s">
        <v>26</v>
      </c>
      <c r="Q782" s="1" t="s">
        <v>1342</v>
      </c>
      <c r="R782" s="175">
        <v>48</v>
      </c>
      <c r="S782">
        <v>12</v>
      </c>
    </row>
    <row r="783" spans="1:19" x14ac:dyDescent="0.25">
      <c r="A783" s="87">
        <v>2019</v>
      </c>
      <c r="B783" s="87">
        <v>8</v>
      </c>
      <c r="C783" s="173" t="s">
        <v>16</v>
      </c>
      <c r="D783" s="173" t="s">
        <v>21</v>
      </c>
      <c r="E783" s="173" t="s">
        <v>18</v>
      </c>
      <c r="F783" s="173" t="s">
        <v>16</v>
      </c>
      <c r="G783" s="87" t="b">
        <v>1</v>
      </c>
      <c r="H783" s="87" t="b">
        <v>0</v>
      </c>
      <c r="I783" s="87" t="b">
        <v>0</v>
      </c>
      <c r="J783" s="173" t="s">
        <v>491</v>
      </c>
      <c r="K783" s="174">
        <v>9219138000584</v>
      </c>
      <c r="L783" s="173" t="s">
        <v>1088</v>
      </c>
      <c r="M783" s="173" t="s">
        <v>131</v>
      </c>
      <c r="N783" s="173" t="s">
        <v>61</v>
      </c>
      <c r="O783" s="87">
        <v>73</v>
      </c>
      <c r="P783" s="173" t="s">
        <v>26</v>
      </c>
      <c r="Q783" s="1" t="s">
        <v>1342</v>
      </c>
      <c r="R783" s="175">
        <v>120</v>
      </c>
      <c r="S783">
        <v>30</v>
      </c>
    </row>
    <row r="784" spans="1:19" x14ac:dyDescent="0.25">
      <c r="A784" s="87">
        <v>2019</v>
      </c>
      <c r="B784" s="87">
        <v>8</v>
      </c>
      <c r="C784" s="173" t="s">
        <v>16</v>
      </c>
      <c r="D784" s="173" t="s">
        <v>21</v>
      </c>
      <c r="E784" s="173" t="s">
        <v>18</v>
      </c>
      <c r="F784" s="173" t="s">
        <v>16</v>
      </c>
      <c r="G784" s="87" t="b">
        <v>1</v>
      </c>
      <c r="H784" s="87" t="b">
        <v>0</v>
      </c>
      <c r="I784" s="87" t="b">
        <v>0</v>
      </c>
      <c r="J784" s="173" t="s">
        <v>1512</v>
      </c>
      <c r="K784" s="174">
        <v>9219138000584</v>
      </c>
      <c r="L784" s="173" t="s">
        <v>1088</v>
      </c>
      <c r="M784" s="173" t="s">
        <v>131</v>
      </c>
      <c r="N784" s="173" t="s">
        <v>61</v>
      </c>
      <c r="O784" s="87">
        <v>73</v>
      </c>
      <c r="P784" s="173" t="s">
        <v>26</v>
      </c>
      <c r="Q784" s="1" t="s">
        <v>1342</v>
      </c>
      <c r="R784" s="175">
        <v>20</v>
      </c>
      <c r="S784">
        <v>5</v>
      </c>
    </row>
    <row r="785" spans="1:19" x14ac:dyDescent="0.25">
      <c r="A785" s="87">
        <v>2019</v>
      </c>
      <c r="B785" s="87">
        <v>8</v>
      </c>
      <c r="C785" s="173" t="s">
        <v>16</v>
      </c>
      <c r="D785" s="173" t="s">
        <v>21</v>
      </c>
      <c r="E785" s="173" t="s">
        <v>18</v>
      </c>
      <c r="F785" s="173" t="s">
        <v>16</v>
      </c>
      <c r="G785" s="87" t="b">
        <v>1</v>
      </c>
      <c r="H785" s="87" t="b">
        <v>0</v>
      </c>
      <c r="I785" s="87" t="b">
        <v>0</v>
      </c>
      <c r="J785" s="173" t="s">
        <v>449</v>
      </c>
      <c r="K785" s="174">
        <v>9549061000268</v>
      </c>
      <c r="L785" s="173" t="s">
        <v>959</v>
      </c>
      <c r="M785" s="173" t="s">
        <v>100</v>
      </c>
      <c r="N785" s="173" t="s">
        <v>67</v>
      </c>
      <c r="O785" s="87">
        <v>64</v>
      </c>
      <c r="P785" s="173" t="s">
        <v>25</v>
      </c>
      <c r="Q785" s="1" t="s">
        <v>1344</v>
      </c>
      <c r="R785" s="175">
        <v>3</v>
      </c>
      <c r="S785">
        <v>3</v>
      </c>
    </row>
    <row r="786" spans="1:19" x14ac:dyDescent="0.25">
      <c r="A786" s="87">
        <v>2019</v>
      </c>
      <c r="B786" s="87">
        <v>8</v>
      </c>
      <c r="C786" s="173" t="s">
        <v>16</v>
      </c>
      <c r="D786" s="173" t="s">
        <v>21</v>
      </c>
      <c r="E786" s="173" t="s">
        <v>18</v>
      </c>
      <c r="F786" s="173" t="s">
        <v>16</v>
      </c>
      <c r="G786" s="87" t="b">
        <v>1</v>
      </c>
      <c r="H786" s="87" t="b">
        <v>0</v>
      </c>
      <c r="I786" s="87" t="b">
        <v>0</v>
      </c>
      <c r="J786" s="173" t="s">
        <v>477</v>
      </c>
      <c r="K786" s="174">
        <v>9578217000158</v>
      </c>
      <c r="L786" s="173" t="s">
        <v>1089</v>
      </c>
      <c r="M786" s="173" t="s">
        <v>131</v>
      </c>
      <c r="N786" s="173" t="s">
        <v>61</v>
      </c>
      <c r="O786" s="87">
        <v>62</v>
      </c>
      <c r="P786" s="173" t="s">
        <v>27</v>
      </c>
      <c r="Q786" s="1" t="s">
        <v>1343</v>
      </c>
      <c r="R786" s="175">
        <v>3</v>
      </c>
      <c r="S786">
        <v>3</v>
      </c>
    </row>
    <row r="787" spans="1:19" x14ac:dyDescent="0.25">
      <c r="A787" s="87">
        <v>2019</v>
      </c>
      <c r="B787" s="87">
        <v>8</v>
      </c>
      <c r="C787" s="173" t="s">
        <v>16</v>
      </c>
      <c r="D787" s="173" t="s">
        <v>21</v>
      </c>
      <c r="E787" s="173" t="s">
        <v>18</v>
      </c>
      <c r="F787" s="173" t="s">
        <v>16</v>
      </c>
      <c r="G787" s="87" t="b">
        <v>1</v>
      </c>
      <c r="H787" s="87" t="b">
        <v>0</v>
      </c>
      <c r="I787" s="87" t="b">
        <v>0</v>
      </c>
      <c r="J787" s="173" t="s">
        <v>491</v>
      </c>
      <c r="K787" s="174">
        <v>9578217000158</v>
      </c>
      <c r="L787" s="173" t="s">
        <v>1089</v>
      </c>
      <c r="M787" s="173" t="s">
        <v>131</v>
      </c>
      <c r="N787" s="173" t="s">
        <v>61</v>
      </c>
      <c r="O787" s="87">
        <v>64</v>
      </c>
      <c r="P787" s="173" t="s">
        <v>25</v>
      </c>
      <c r="Q787" s="1" t="s">
        <v>1344</v>
      </c>
      <c r="R787" s="175">
        <v>4</v>
      </c>
      <c r="S787">
        <v>4</v>
      </c>
    </row>
    <row r="788" spans="1:19" x14ac:dyDescent="0.25">
      <c r="A788" s="87">
        <v>2019</v>
      </c>
      <c r="B788" s="87">
        <v>8</v>
      </c>
      <c r="C788" s="173" t="s">
        <v>16</v>
      </c>
      <c r="D788" s="173" t="s">
        <v>21</v>
      </c>
      <c r="E788" s="173" t="s">
        <v>18</v>
      </c>
      <c r="F788" s="173" t="s">
        <v>16</v>
      </c>
      <c r="G788" s="87" t="b">
        <v>1</v>
      </c>
      <c r="H788" s="87" t="b">
        <v>0</v>
      </c>
      <c r="I788" s="87" t="b">
        <v>0</v>
      </c>
      <c r="J788" s="173" t="s">
        <v>1330</v>
      </c>
      <c r="K788" s="174">
        <v>9579964000291</v>
      </c>
      <c r="L788" s="173" t="s">
        <v>961</v>
      </c>
      <c r="M788" s="173" t="s">
        <v>94</v>
      </c>
      <c r="N788" s="173" t="s">
        <v>57</v>
      </c>
      <c r="O788" s="87">
        <v>70</v>
      </c>
      <c r="P788" s="173" t="s">
        <v>20</v>
      </c>
      <c r="Q788" s="1" t="s">
        <v>1338</v>
      </c>
      <c r="R788" s="175">
        <v>1250</v>
      </c>
      <c r="S788">
        <v>250</v>
      </c>
    </row>
    <row r="789" spans="1:19" x14ac:dyDescent="0.25">
      <c r="A789" s="87">
        <v>2019</v>
      </c>
      <c r="B789" s="87">
        <v>8</v>
      </c>
      <c r="C789" s="173" t="s">
        <v>16</v>
      </c>
      <c r="D789" s="173" t="s">
        <v>21</v>
      </c>
      <c r="E789" s="173" t="s">
        <v>18</v>
      </c>
      <c r="F789" s="173" t="s">
        <v>16</v>
      </c>
      <c r="G789" s="87" t="b">
        <v>1</v>
      </c>
      <c r="H789" s="87" t="b">
        <v>0</v>
      </c>
      <c r="I789" s="87" t="b">
        <v>0</v>
      </c>
      <c r="J789" s="173" t="s">
        <v>477</v>
      </c>
      <c r="K789" s="174">
        <v>10211939000230</v>
      </c>
      <c r="L789" s="173" t="s">
        <v>579</v>
      </c>
      <c r="M789" s="173" t="s">
        <v>29</v>
      </c>
      <c r="N789" s="173" t="s">
        <v>19</v>
      </c>
      <c r="O789" s="87">
        <v>73</v>
      </c>
      <c r="P789" s="173" t="s">
        <v>26</v>
      </c>
      <c r="Q789" s="1" t="s">
        <v>1339</v>
      </c>
      <c r="R789" s="175">
        <v>8</v>
      </c>
      <c r="S789">
        <v>4</v>
      </c>
    </row>
    <row r="790" spans="1:19" x14ac:dyDescent="0.25">
      <c r="A790" s="87">
        <v>2019</v>
      </c>
      <c r="B790" s="87">
        <v>8</v>
      </c>
      <c r="C790" s="173" t="s">
        <v>16</v>
      </c>
      <c r="D790" s="173" t="s">
        <v>21</v>
      </c>
      <c r="E790" s="173" t="s">
        <v>18</v>
      </c>
      <c r="F790" s="173" t="s">
        <v>16</v>
      </c>
      <c r="G790" s="87" t="b">
        <v>1</v>
      </c>
      <c r="H790" s="87" t="b">
        <v>0</v>
      </c>
      <c r="I790" s="87" t="b">
        <v>0</v>
      </c>
      <c r="J790" s="173" t="s">
        <v>463</v>
      </c>
      <c r="K790" s="174">
        <v>10323381000101</v>
      </c>
      <c r="L790" s="173" t="s">
        <v>580</v>
      </c>
      <c r="M790" s="173" t="s">
        <v>29</v>
      </c>
      <c r="N790" s="173" t="s">
        <v>19</v>
      </c>
      <c r="O790" s="87">
        <v>73</v>
      </c>
      <c r="P790" s="173" t="s">
        <v>26</v>
      </c>
      <c r="Q790" s="1" t="s">
        <v>1340</v>
      </c>
      <c r="R790" s="175">
        <v>6</v>
      </c>
      <c r="S790">
        <v>6</v>
      </c>
    </row>
    <row r="791" spans="1:19" x14ac:dyDescent="0.25">
      <c r="A791" s="87">
        <v>2019</v>
      </c>
      <c r="B791" s="87">
        <v>8</v>
      </c>
      <c r="C791" s="173" t="s">
        <v>16</v>
      </c>
      <c r="D791" s="173" t="s">
        <v>21</v>
      </c>
      <c r="E791" s="173" t="s">
        <v>18</v>
      </c>
      <c r="F791" s="173" t="s">
        <v>16</v>
      </c>
      <c r="G791" s="87" t="b">
        <v>1</v>
      </c>
      <c r="H791" s="87" t="b">
        <v>0</v>
      </c>
      <c r="I791" s="87" t="b">
        <v>0</v>
      </c>
      <c r="J791" s="173" t="s">
        <v>464</v>
      </c>
      <c r="K791" s="174">
        <v>10447300000177</v>
      </c>
      <c r="L791" s="173" t="s">
        <v>658</v>
      </c>
      <c r="M791" s="173" t="s">
        <v>33</v>
      </c>
      <c r="N791" s="173" t="s">
        <v>19</v>
      </c>
      <c r="O791" s="87">
        <v>73</v>
      </c>
      <c r="P791" s="173" t="s">
        <v>26</v>
      </c>
      <c r="Q791" s="1" t="s">
        <v>1339</v>
      </c>
      <c r="R791" s="175">
        <v>4</v>
      </c>
      <c r="S791">
        <v>2</v>
      </c>
    </row>
    <row r="792" spans="1:19" x14ac:dyDescent="0.25">
      <c r="A792" s="87">
        <v>2019</v>
      </c>
      <c r="B792" s="87">
        <v>8</v>
      </c>
      <c r="C792" s="173" t="s">
        <v>16</v>
      </c>
      <c r="D792" s="173" t="s">
        <v>21</v>
      </c>
      <c r="E792" s="173" t="s">
        <v>18</v>
      </c>
      <c r="F792" s="173" t="s">
        <v>16</v>
      </c>
      <c r="G792" s="87" t="b">
        <v>1</v>
      </c>
      <c r="H792" s="87" t="b">
        <v>0</v>
      </c>
      <c r="I792" s="87" t="b">
        <v>0</v>
      </c>
      <c r="J792" s="173" t="s">
        <v>450</v>
      </c>
      <c r="K792" s="174">
        <v>10468341000140</v>
      </c>
      <c r="L792" s="173" t="s">
        <v>581</v>
      </c>
      <c r="M792" s="173" t="s">
        <v>29</v>
      </c>
      <c r="N792" s="173" t="s">
        <v>19</v>
      </c>
      <c r="O792" s="87">
        <v>70</v>
      </c>
      <c r="P792" s="173" t="s">
        <v>20</v>
      </c>
      <c r="Q792" s="1" t="s">
        <v>1338</v>
      </c>
      <c r="R792" s="175">
        <v>530</v>
      </c>
      <c r="S792">
        <v>106</v>
      </c>
    </row>
    <row r="793" spans="1:19" x14ac:dyDescent="0.25">
      <c r="A793" s="87">
        <v>2019</v>
      </c>
      <c r="B793" s="87">
        <v>8</v>
      </c>
      <c r="C793" s="173" t="s">
        <v>16</v>
      </c>
      <c r="D793" s="173" t="s">
        <v>21</v>
      </c>
      <c r="E793" s="173" t="s">
        <v>18</v>
      </c>
      <c r="F793" s="173" t="s">
        <v>16</v>
      </c>
      <c r="G793" s="87" t="b">
        <v>1</v>
      </c>
      <c r="H793" s="87" t="b">
        <v>0</v>
      </c>
      <c r="I793" s="87" t="b">
        <v>0</v>
      </c>
      <c r="J793" s="173" t="s">
        <v>463</v>
      </c>
      <c r="K793" s="174">
        <v>10468341000140</v>
      </c>
      <c r="L793" s="173" t="s">
        <v>581</v>
      </c>
      <c r="M793" s="173" t="s">
        <v>29</v>
      </c>
      <c r="N793" s="173" t="s">
        <v>19</v>
      </c>
      <c r="O793" s="87">
        <v>70</v>
      </c>
      <c r="P793" s="173" t="s">
        <v>20</v>
      </c>
      <c r="Q793" s="1" t="s">
        <v>1338</v>
      </c>
      <c r="R793" s="175">
        <v>275</v>
      </c>
      <c r="S793">
        <v>55</v>
      </c>
    </row>
    <row r="794" spans="1:19" x14ac:dyDescent="0.25">
      <c r="A794" s="87">
        <v>2019</v>
      </c>
      <c r="B794" s="87">
        <v>8</v>
      </c>
      <c r="C794" s="173" t="s">
        <v>16</v>
      </c>
      <c r="D794" s="173" t="s">
        <v>21</v>
      </c>
      <c r="E794" s="173" t="s">
        <v>18</v>
      </c>
      <c r="F794" s="173" t="s">
        <v>16</v>
      </c>
      <c r="G794" s="87" t="b">
        <v>1</v>
      </c>
      <c r="H794" s="87" t="b">
        <v>0</v>
      </c>
      <c r="I794" s="87" t="b">
        <v>0</v>
      </c>
      <c r="J794" s="173" t="s">
        <v>463</v>
      </c>
      <c r="K794" s="174">
        <v>10468341000220</v>
      </c>
      <c r="L794" s="173" t="s">
        <v>582</v>
      </c>
      <c r="M794" s="173" t="s">
        <v>29</v>
      </c>
      <c r="N794" s="173" t="s">
        <v>19</v>
      </c>
      <c r="O794" s="87">
        <v>70</v>
      </c>
      <c r="P794" s="173" t="s">
        <v>20</v>
      </c>
      <c r="Q794" s="1" t="s">
        <v>1338</v>
      </c>
      <c r="R794" s="175">
        <v>550</v>
      </c>
      <c r="S794">
        <v>110</v>
      </c>
    </row>
    <row r="795" spans="1:19" x14ac:dyDescent="0.25">
      <c r="A795" s="87">
        <v>2019</v>
      </c>
      <c r="B795" s="87">
        <v>8</v>
      </c>
      <c r="C795" s="173" t="s">
        <v>16</v>
      </c>
      <c r="D795" s="173" t="s">
        <v>21</v>
      </c>
      <c r="E795" s="173" t="s">
        <v>18</v>
      </c>
      <c r="F795" s="173" t="s">
        <v>16</v>
      </c>
      <c r="G795" s="87" t="b">
        <v>1</v>
      </c>
      <c r="H795" s="87" t="b">
        <v>0</v>
      </c>
      <c r="I795" s="87" t="b">
        <v>0</v>
      </c>
      <c r="J795" s="173" t="s">
        <v>463</v>
      </c>
      <c r="K795" s="174">
        <v>10468341000220</v>
      </c>
      <c r="L795" s="173" t="s">
        <v>582</v>
      </c>
      <c r="M795" s="173" t="s">
        <v>29</v>
      </c>
      <c r="N795" s="173" t="s">
        <v>19</v>
      </c>
      <c r="O795" s="87">
        <v>73</v>
      </c>
      <c r="P795" s="173" t="s">
        <v>26</v>
      </c>
      <c r="Q795" s="1" t="s">
        <v>1342</v>
      </c>
      <c r="R795" s="175">
        <v>24</v>
      </c>
      <c r="S795">
        <v>6</v>
      </c>
    </row>
    <row r="796" spans="1:19" x14ac:dyDescent="0.25">
      <c r="A796" s="87">
        <v>2019</v>
      </c>
      <c r="B796" s="87">
        <v>8</v>
      </c>
      <c r="C796" s="173" t="s">
        <v>16</v>
      </c>
      <c r="D796" s="173" t="s">
        <v>21</v>
      </c>
      <c r="E796" s="173" t="s">
        <v>18</v>
      </c>
      <c r="F796" s="173" t="s">
        <v>16</v>
      </c>
      <c r="G796" s="87" t="b">
        <v>1</v>
      </c>
      <c r="H796" s="87" t="b">
        <v>0</v>
      </c>
      <c r="I796" s="87" t="b">
        <v>0</v>
      </c>
      <c r="J796" s="173" t="s">
        <v>450</v>
      </c>
      <c r="K796" s="174">
        <v>10475230000160</v>
      </c>
      <c r="L796" s="173" t="s">
        <v>583</v>
      </c>
      <c r="M796" s="173" t="s">
        <v>29</v>
      </c>
      <c r="N796" s="173" t="s">
        <v>19</v>
      </c>
      <c r="O796" s="87">
        <v>70</v>
      </c>
      <c r="P796" s="173" t="s">
        <v>20</v>
      </c>
      <c r="Q796" s="1" t="s">
        <v>1338</v>
      </c>
      <c r="R796" s="175">
        <v>45</v>
      </c>
      <c r="S796">
        <v>9</v>
      </c>
    </row>
    <row r="797" spans="1:19" x14ac:dyDescent="0.25">
      <c r="A797" s="87">
        <v>2019</v>
      </c>
      <c r="B797" s="87">
        <v>8</v>
      </c>
      <c r="C797" s="173" t="s">
        <v>16</v>
      </c>
      <c r="D797" s="173" t="s">
        <v>21</v>
      </c>
      <c r="E797" s="173" t="s">
        <v>18</v>
      </c>
      <c r="F797" s="173" t="s">
        <v>16</v>
      </c>
      <c r="G797" s="87" t="b">
        <v>1</v>
      </c>
      <c r="H797" s="87" t="b">
        <v>0</v>
      </c>
      <c r="I797" s="87" t="b">
        <v>0</v>
      </c>
      <c r="J797" s="173" t="s">
        <v>455</v>
      </c>
      <c r="K797" s="174">
        <v>10576443000189</v>
      </c>
      <c r="L797" s="173" t="s">
        <v>659</v>
      </c>
      <c r="M797" s="173" t="s">
        <v>643</v>
      </c>
      <c r="N797" s="173" t="s">
        <v>19</v>
      </c>
      <c r="O797" s="87">
        <v>70</v>
      </c>
      <c r="P797" s="173" t="s">
        <v>20</v>
      </c>
      <c r="Q797" s="1" t="s">
        <v>1338</v>
      </c>
      <c r="R797" s="175">
        <v>140</v>
      </c>
      <c r="S797">
        <v>28</v>
      </c>
    </row>
    <row r="798" spans="1:19" x14ac:dyDescent="0.25">
      <c r="A798" s="87">
        <v>2019</v>
      </c>
      <c r="B798" s="87">
        <v>8</v>
      </c>
      <c r="C798" s="173" t="s">
        <v>16</v>
      </c>
      <c r="D798" s="173" t="s">
        <v>21</v>
      </c>
      <c r="E798" s="173" t="s">
        <v>18</v>
      </c>
      <c r="F798" s="173" t="s">
        <v>16</v>
      </c>
      <c r="G798" s="87" t="b">
        <v>1</v>
      </c>
      <c r="H798" s="87" t="b">
        <v>0</v>
      </c>
      <c r="I798" s="87" t="b">
        <v>0</v>
      </c>
      <c r="J798" s="173" t="s">
        <v>470</v>
      </c>
      <c r="K798" s="174">
        <v>10839561000132</v>
      </c>
      <c r="L798" s="173" t="s">
        <v>834</v>
      </c>
      <c r="M798" s="173" t="s">
        <v>70</v>
      </c>
      <c r="N798" s="173" t="s">
        <v>71</v>
      </c>
      <c r="O798" s="87">
        <v>70</v>
      </c>
      <c r="P798" s="173" t="s">
        <v>20</v>
      </c>
      <c r="Q798" s="1" t="s">
        <v>1338</v>
      </c>
      <c r="R798" s="175">
        <v>420</v>
      </c>
      <c r="S798">
        <v>84</v>
      </c>
    </row>
    <row r="799" spans="1:19" x14ac:dyDescent="0.25">
      <c r="A799" s="87">
        <v>2019</v>
      </c>
      <c r="B799" s="87">
        <v>8</v>
      </c>
      <c r="C799" s="173" t="s">
        <v>16</v>
      </c>
      <c r="D799" s="173" t="s">
        <v>21</v>
      </c>
      <c r="E799" s="173" t="s">
        <v>18</v>
      </c>
      <c r="F799" s="173" t="s">
        <v>16</v>
      </c>
      <c r="G799" s="87" t="b">
        <v>1</v>
      </c>
      <c r="H799" s="87" t="b">
        <v>0</v>
      </c>
      <c r="I799" s="87" t="b">
        <v>0</v>
      </c>
      <c r="J799" s="173" t="s">
        <v>470</v>
      </c>
      <c r="K799" s="174">
        <v>10839561000132</v>
      </c>
      <c r="L799" s="173" t="s">
        <v>834</v>
      </c>
      <c r="M799" s="173" t="s">
        <v>70</v>
      </c>
      <c r="N799" s="173" t="s">
        <v>71</v>
      </c>
      <c r="O799" s="87">
        <v>73</v>
      </c>
      <c r="P799" s="173" t="s">
        <v>26</v>
      </c>
      <c r="Q799" s="1" t="s">
        <v>1342</v>
      </c>
      <c r="R799" s="175">
        <v>32</v>
      </c>
      <c r="S799">
        <v>8</v>
      </c>
    </row>
    <row r="800" spans="1:19" x14ac:dyDescent="0.25">
      <c r="A800" s="87">
        <v>2019</v>
      </c>
      <c r="B800" s="87">
        <v>8</v>
      </c>
      <c r="C800" s="173" t="s">
        <v>16</v>
      </c>
      <c r="D800" s="173" t="s">
        <v>21</v>
      </c>
      <c r="E800" s="173" t="s">
        <v>18</v>
      </c>
      <c r="F800" s="173" t="s">
        <v>16</v>
      </c>
      <c r="G800" s="87" t="b">
        <v>1</v>
      </c>
      <c r="H800" s="87" t="b">
        <v>0</v>
      </c>
      <c r="I800" s="87" t="b">
        <v>0</v>
      </c>
      <c r="J800" s="173" t="s">
        <v>451</v>
      </c>
      <c r="K800" s="174">
        <v>10868295000176</v>
      </c>
      <c r="L800" s="173" t="s">
        <v>660</v>
      </c>
      <c r="M800" s="173" t="s">
        <v>35</v>
      </c>
      <c r="N800" s="173" t="s">
        <v>19</v>
      </c>
      <c r="O800" s="87">
        <v>70</v>
      </c>
      <c r="P800" s="173" t="s">
        <v>20</v>
      </c>
      <c r="Q800" s="1" t="s">
        <v>1338</v>
      </c>
      <c r="R800" s="175">
        <v>40</v>
      </c>
      <c r="S800">
        <v>8</v>
      </c>
    </row>
    <row r="801" spans="1:19" x14ac:dyDescent="0.25">
      <c r="A801" s="87">
        <v>2019</v>
      </c>
      <c r="B801" s="87">
        <v>8</v>
      </c>
      <c r="C801" s="173" t="s">
        <v>16</v>
      </c>
      <c r="D801" s="173" t="s">
        <v>21</v>
      </c>
      <c r="E801" s="173" t="s">
        <v>18</v>
      </c>
      <c r="F801" s="173" t="s">
        <v>16</v>
      </c>
      <c r="G801" s="87" t="b">
        <v>1</v>
      </c>
      <c r="H801" s="87" t="b">
        <v>0</v>
      </c>
      <c r="I801" s="87" t="b">
        <v>0</v>
      </c>
      <c r="J801" s="173" t="s">
        <v>468</v>
      </c>
      <c r="K801" s="174">
        <v>10942995000163</v>
      </c>
      <c r="L801" s="173" t="s">
        <v>836</v>
      </c>
      <c r="M801" s="173" t="s">
        <v>739</v>
      </c>
      <c r="N801" s="173" t="s">
        <v>55</v>
      </c>
      <c r="O801" s="87">
        <v>70</v>
      </c>
      <c r="P801" s="173" t="s">
        <v>20</v>
      </c>
      <c r="Q801" s="1" t="s">
        <v>1338</v>
      </c>
      <c r="R801" s="175">
        <v>300</v>
      </c>
      <c r="S801">
        <v>60</v>
      </c>
    </row>
    <row r="802" spans="1:19" x14ac:dyDescent="0.25">
      <c r="A802" s="87">
        <v>2019</v>
      </c>
      <c r="B802" s="87">
        <v>8</v>
      </c>
      <c r="C802" s="173" t="s">
        <v>16</v>
      </c>
      <c r="D802" s="173" t="s">
        <v>21</v>
      </c>
      <c r="E802" s="173" t="s">
        <v>18</v>
      </c>
      <c r="F802" s="173" t="s">
        <v>16</v>
      </c>
      <c r="G802" s="87" t="b">
        <v>1</v>
      </c>
      <c r="H802" s="87" t="b">
        <v>0</v>
      </c>
      <c r="I802" s="87" t="b">
        <v>0</v>
      </c>
      <c r="J802" s="173" t="s">
        <v>1330</v>
      </c>
      <c r="K802" s="174">
        <v>10942995000163</v>
      </c>
      <c r="L802" s="173" t="s">
        <v>836</v>
      </c>
      <c r="M802" s="173" t="s">
        <v>739</v>
      </c>
      <c r="N802" s="173" t="s">
        <v>55</v>
      </c>
      <c r="O802" s="87">
        <v>73</v>
      </c>
      <c r="P802" s="173" t="s">
        <v>26</v>
      </c>
      <c r="Q802" s="1" t="s">
        <v>1342</v>
      </c>
      <c r="R802" s="175">
        <v>40</v>
      </c>
      <c r="S802">
        <v>10</v>
      </c>
    </row>
    <row r="803" spans="1:19" x14ac:dyDescent="0.25">
      <c r="A803" s="87">
        <v>2019</v>
      </c>
      <c r="B803" s="87">
        <v>8</v>
      </c>
      <c r="C803" s="173" t="s">
        <v>16</v>
      </c>
      <c r="D803" s="173" t="s">
        <v>21</v>
      </c>
      <c r="E803" s="173" t="s">
        <v>18</v>
      </c>
      <c r="F803" s="173" t="s">
        <v>16</v>
      </c>
      <c r="G803" s="87" t="b">
        <v>1</v>
      </c>
      <c r="H803" s="87" t="b">
        <v>0</v>
      </c>
      <c r="I803" s="87" t="b">
        <v>0</v>
      </c>
      <c r="J803" s="173" t="s">
        <v>453</v>
      </c>
      <c r="K803" s="174">
        <v>11006293000130</v>
      </c>
      <c r="L803" s="173" t="s">
        <v>838</v>
      </c>
      <c r="M803" s="173" t="s">
        <v>777</v>
      </c>
      <c r="N803" s="173" t="s">
        <v>72</v>
      </c>
      <c r="O803" s="87">
        <v>70</v>
      </c>
      <c r="P803" s="173" t="s">
        <v>20</v>
      </c>
      <c r="Q803" s="1" t="s">
        <v>1338</v>
      </c>
      <c r="R803" s="175">
        <v>500</v>
      </c>
      <c r="S803">
        <v>100</v>
      </c>
    </row>
    <row r="804" spans="1:19" x14ac:dyDescent="0.25">
      <c r="A804" s="87">
        <v>2019</v>
      </c>
      <c r="B804" s="87">
        <v>8</v>
      </c>
      <c r="C804" s="173" t="s">
        <v>16</v>
      </c>
      <c r="D804" s="173" t="s">
        <v>21</v>
      </c>
      <c r="E804" s="173" t="s">
        <v>18</v>
      </c>
      <c r="F804" s="173" t="s">
        <v>16</v>
      </c>
      <c r="G804" s="87" t="b">
        <v>1</v>
      </c>
      <c r="H804" s="87" t="b">
        <v>0</v>
      </c>
      <c r="I804" s="87" t="b">
        <v>0</v>
      </c>
      <c r="J804" s="173" t="s">
        <v>1330</v>
      </c>
      <c r="K804" s="174">
        <v>11022597001597</v>
      </c>
      <c r="L804" s="173" t="s">
        <v>840</v>
      </c>
      <c r="M804" s="173" t="s">
        <v>70</v>
      </c>
      <c r="N804" s="173" t="s">
        <v>71</v>
      </c>
      <c r="O804" s="87">
        <v>64</v>
      </c>
      <c r="P804" s="173" t="s">
        <v>25</v>
      </c>
      <c r="Q804" s="1" t="s">
        <v>1344</v>
      </c>
      <c r="R804" s="175">
        <v>25</v>
      </c>
      <c r="S804">
        <v>25</v>
      </c>
    </row>
    <row r="805" spans="1:19" x14ac:dyDescent="0.25">
      <c r="A805" s="87">
        <v>2019</v>
      </c>
      <c r="B805" s="87">
        <v>8</v>
      </c>
      <c r="C805" s="173" t="s">
        <v>16</v>
      </c>
      <c r="D805" s="173" t="s">
        <v>21</v>
      </c>
      <c r="E805" s="173" t="s">
        <v>18</v>
      </c>
      <c r="F805" s="173" t="s">
        <v>16</v>
      </c>
      <c r="G805" s="87" t="b">
        <v>1</v>
      </c>
      <c r="H805" s="87" t="b">
        <v>0</v>
      </c>
      <c r="I805" s="87" t="b">
        <v>0</v>
      </c>
      <c r="J805" s="173" t="s">
        <v>449</v>
      </c>
      <c r="K805" s="174">
        <v>11055682000156</v>
      </c>
      <c r="L805" s="173" t="s">
        <v>963</v>
      </c>
      <c r="M805" s="173" t="s">
        <v>124</v>
      </c>
      <c r="N805" s="173" t="s">
        <v>67</v>
      </c>
      <c r="O805" s="87">
        <v>70</v>
      </c>
      <c r="P805" s="173" t="s">
        <v>20</v>
      </c>
      <c r="Q805" s="1" t="s">
        <v>1338</v>
      </c>
      <c r="R805" s="175">
        <v>225</v>
      </c>
      <c r="S805">
        <v>45</v>
      </c>
    </row>
    <row r="806" spans="1:19" x14ac:dyDescent="0.25">
      <c r="A806" s="87">
        <v>2019</v>
      </c>
      <c r="B806" s="87">
        <v>8</v>
      </c>
      <c r="C806" s="173" t="s">
        <v>16</v>
      </c>
      <c r="D806" s="173" t="s">
        <v>21</v>
      </c>
      <c r="E806" s="173" t="s">
        <v>18</v>
      </c>
      <c r="F806" s="173" t="s">
        <v>16</v>
      </c>
      <c r="G806" s="87" t="b">
        <v>1</v>
      </c>
      <c r="H806" s="87" t="b">
        <v>0</v>
      </c>
      <c r="I806" s="87" t="b">
        <v>0</v>
      </c>
      <c r="J806" s="173" t="s">
        <v>470</v>
      </c>
      <c r="K806" s="174">
        <v>11214624000470</v>
      </c>
      <c r="L806" s="173" t="s">
        <v>841</v>
      </c>
      <c r="M806" s="173" t="s">
        <v>70</v>
      </c>
      <c r="N806" s="173" t="s">
        <v>71</v>
      </c>
      <c r="O806" s="87">
        <v>70</v>
      </c>
      <c r="P806" s="173" t="s">
        <v>20</v>
      </c>
      <c r="Q806" s="1" t="s">
        <v>1338</v>
      </c>
      <c r="R806" s="175">
        <v>100</v>
      </c>
      <c r="S806">
        <v>20</v>
      </c>
    </row>
    <row r="807" spans="1:19" x14ac:dyDescent="0.25">
      <c r="A807" s="87">
        <v>2019</v>
      </c>
      <c r="B807" s="87">
        <v>8</v>
      </c>
      <c r="C807" s="173" t="s">
        <v>16</v>
      </c>
      <c r="D807" s="173" t="s">
        <v>21</v>
      </c>
      <c r="E807" s="173" t="s">
        <v>18</v>
      </c>
      <c r="F807" s="173" t="s">
        <v>16</v>
      </c>
      <c r="G807" s="87" t="b">
        <v>1</v>
      </c>
      <c r="H807" s="87" t="b">
        <v>0</v>
      </c>
      <c r="I807" s="87" t="b">
        <v>0</v>
      </c>
      <c r="J807" s="173" t="s">
        <v>1330</v>
      </c>
      <c r="K807" s="174">
        <v>11273170000166</v>
      </c>
      <c r="L807" s="173" t="s">
        <v>843</v>
      </c>
      <c r="M807" s="173" t="s">
        <v>81</v>
      </c>
      <c r="N807" s="173" t="s">
        <v>82</v>
      </c>
      <c r="O807" s="87">
        <v>70</v>
      </c>
      <c r="P807" s="173" t="s">
        <v>20</v>
      </c>
      <c r="Q807" s="1" t="s">
        <v>1338</v>
      </c>
      <c r="R807" s="175">
        <v>500</v>
      </c>
      <c r="S807">
        <v>100</v>
      </c>
    </row>
    <row r="808" spans="1:19" x14ac:dyDescent="0.25">
      <c r="A808" s="87">
        <v>2019</v>
      </c>
      <c r="B808" s="87">
        <v>8</v>
      </c>
      <c r="C808" s="173" t="s">
        <v>16</v>
      </c>
      <c r="D808" s="173" t="s">
        <v>21</v>
      </c>
      <c r="E808" s="173" t="s">
        <v>18</v>
      </c>
      <c r="F808" s="173" t="s">
        <v>16</v>
      </c>
      <c r="G808" s="87" t="b">
        <v>1</v>
      </c>
      <c r="H808" s="87" t="b">
        <v>0</v>
      </c>
      <c r="I808" s="87" t="b">
        <v>0</v>
      </c>
      <c r="J808" s="173" t="s">
        <v>460</v>
      </c>
      <c r="K808" s="174">
        <v>11452240000143</v>
      </c>
      <c r="L808" s="173" t="s">
        <v>844</v>
      </c>
      <c r="M808" s="173" t="s">
        <v>70</v>
      </c>
      <c r="N808" s="173" t="s">
        <v>71</v>
      </c>
      <c r="O808" s="87">
        <v>62</v>
      </c>
      <c r="P808" s="173" t="s">
        <v>27</v>
      </c>
      <c r="Q808" s="1" t="s">
        <v>1343</v>
      </c>
      <c r="R808" s="175">
        <v>1</v>
      </c>
      <c r="S808">
        <v>1</v>
      </c>
    </row>
    <row r="809" spans="1:19" x14ac:dyDescent="0.25">
      <c r="A809" s="87">
        <v>2019</v>
      </c>
      <c r="B809" s="87">
        <v>8</v>
      </c>
      <c r="C809" s="173" t="s">
        <v>16</v>
      </c>
      <c r="D809" s="173" t="s">
        <v>21</v>
      </c>
      <c r="E809" s="173" t="s">
        <v>18</v>
      </c>
      <c r="F809" s="173" t="s">
        <v>16</v>
      </c>
      <c r="G809" s="87" t="b">
        <v>1</v>
      </c>
      <c r="H809" s="87" t="b">
        <v>0</v>
      </c>
      <c r="I809" s="87" t="b">
        <v>0</v>
      </c>
      <c r="J809" s="173" t="s">
        <v>478</v>
      </c>
      <c r="K809" s="174">
        <v>11452240000143</v>
      </c>
      <c r="L809" s="173" t="s">
        <v>844</v>
      </c>
      <c r="M809" s="173" t="s">
        <v>70</v>
      </c>
      <c r="N809" s="173" t="s">
        <v>71</v>
      </c>
      <c r="O809" s="87">
        <v>70</v>
      </c>
      <c r="P809" s="173" t="s">
        <v>20</v>
      </c>
      <c r="Q809" s="1" t="s">
        <v>1338</v>
      </c>
      <c r="R809" s="175">
        <v>245</v>
      </c>
      <c r="S809">
        <v>49</v>
      </c>
    </row>
    <row r="810" spans="1:19" x14ac:dyDescent="0.25">
      <c r="A810" s="87">
        <v>2019</v>
      </c>
      <c r="B810" s="87">
        <v>8</v>
      </c>
      <c r="C810" s="173" t="s">
        <v>16</v>
      </c>
      <c r="D810" s="173" t="s">
        <v>21</v>
      </c>
      <c r="E810" s="173" t="s">
        <v>18</v>
      </c>
      <c r="F810" s="173" t="s">
        <v>16</v>
      </c>
      <c r="G810" s="87" t="b">
        <v>1</v>
      </c>
      <c r="H810" s="87" t="b">
        <v>0</v>
      </c>
      <c r="I810" s="87" t="b">
        <v>0</v>
      </c>
      <c r="J810" s="173" t="s">
        <v>470</v>
      </c>
      <c r="K810" s="174">
        <v>11452240000143</v>
      </c>
      <c r="L810" s="173" t="s">
        <v>844</v>
      </c>
      <c r="M810" s="173" t="s">
        <v>70</v>
      </c>
      <c r="N810" s="173" t="s">
        <v>71</v>
      </c>
      <c r="O810" s="87">
        <v>70</v>
      </c>
      <c r="P810" s="173" t="s">
        <v>20</v>
      </c>
      <c r="Q810" s="1" t="s">
        <v>1338</v>
      </c>
      <c r="R810" s="175">
        <v>300</v>
      </c>
      <c r="S810">
        <v>60</v>
      </c>
    </row>
    <row r="811" spans="1:19" x14ac:dyDescent="0.25">
      <c r="A811" s="87">
        <v>2019</v>
      </c>
      <c r="B811" s="87">
        <v>8</v>
      </c>
      <c r="C811" s="173" t="s">
        <v>16</v>
      </c>
      <c r="D811" s="173" t="s">
        <v>21</v>
      </c>
      <c r="E811" s="173" t="s">
        <v>18</v>
      </c>
      <c r="F811" s="173" t="s">
        <v>16</v>
      </c>
      <c r="G811" s="87" t="b">
        <v>1</v>
      </c>
      <c r="H811" s="87" t="b">
        <v>0</v>
      </c>
      <c r="I811" s="87" t="b">
        <v>0</v>
      </c>
      <c r="J811" s="173" t="s">
        <v>1331</v>
      </c>
      <c r="K811" s="174">
        <v>11452240000143</v>
      </c>
      <c r="L811" s="173" t="s">
        <v>844</v>
      </c>
      <c r="M811" s="173" t="s">
        <v>70</v>
      </c>
      <c r="N811" s="173" t="s">
        <v>71</v>
      </c>
      <c r="O811" s="87">
        <v>70</v>
      </c>
      <c r="P811" s="173" t="s">
        <v>20</v>
      </c>
      <c r="Q811" s="1" t="s">
        <v>1338</v>
      </c>
      <c r="R811" s="175">
        <v>90</v>
      </c>
      <c r="S811">
        <v>18</v>
      </c>
    </row>
    <row r="812" spans="1:19" x14ac:dyDescent="0.25">
      <c r="A812" s="87">
        <v>2019</v>
      </c>
      <c r="B812" s="87">
        <v>8</v>
      </c>
      <c r="C812" s="173" t="s">
        <v>16</v>
      </c>
      <c r="D812" s="173" t="s">
        <v>21</v>
      </c>
      <c r="E812" s="173" t="s">
        <v>18</v>
      </c>
      <c r="F812" s="173" t="s">
        <v>16</v>
      </c>
      <c r="G812" s="87" t="b">
        <v>1</v>
      </c>
      <c r="H812" s="87" t="b">
        <v>0</v>
      </c>
      <c r="I812" s="87" t="b">
        <v>0</v>
      </c>
      <c r="J812" s="173" t="s">
        <v>460</v>
      </c>
      <c r="K812" s="174">
        <v>11794674000121</v>
      </c>
      <c r="L812" s="173" t="s">
        <v>845</v>
      </c>
      <c r="M812" s="173" t="s">
        <v>76</v>
      </c>
      <c r="N812" s="173" t="s">
        <v>77</v>
      </c>
      <c r="O812" s="87">
        <v>64</v>
      </c>
      <c r="P812" s="173" t="s">
        <v>25</v>
      </c>
      <c r="Q812" s="1" t="s">
        <v>1344</v>
      </c>
      <c r="R812" s="175">
        <v>25</v>
      </c>
      <c r="S812">
        <v>25</v>
      </c>
    </row>
    <row r="813" spans="1:19" x14ac:dyDescent="0.25">
      <c r="A813" s="87">
        <v>2019</v>
      </c>
      <c r="B813" s="87">
        <v>8</v>
      </c>
      <c r="C813" s="173" t="s">
        <v>16</v>
      </c>
      <c r="D813" s="173" t="s">
        <v>21</v>
      </c>
      <c r="E813" s="173" t="s">
        <v>18</v>
      </c>
      <c r="F813" s="173" t="s">
        <v>16</v>
      </c>
      <c r="G813" s="87" t="b">
        <v>1</v>
      </c>
      <c r="H813" s="87" t="b">
        <v>0</v>
      </c>
      <c r="I813" s="87" t="b">
        <v>0</v>
      </c>
      <c r="J813" s="173" t="s">
        <v>491</v>
      </c>
      <c r="K813" s="174">
        <v>11794674000121</v>
      </c>
      <c r="L813" s="173" t="s">
        <v>845</v>
      </c>
      <c r="M813" s="173" t="s">
        <v>76</v>
      </c>
      <c r="N813" s="173" t="s">
        <v>77</v>
      </c>
      <c r="O813" s="87">
        <v>64</v>
      </c>
      <c r="P813" s="173" t="s">
        <v>25</v>
      </c>
      <c r="Q813" s="1" t="s">
        <v>1344</v>
      </c>
      <c r="R813" s="175">
        <v>25</v>
      </c>
      <c r="S813">
        <v>25</v>
      </c>
    </row>
    <row r="814" spans="1:19" x14ac:dyDescent="0.25">
      <c r="A814" s="87">
        <v>2019</v>
      </c>
      <c r="B814" s="87">
        <v>8</v>
      </c>
      <c r="C814" s="173" t="s">
        <v>16</v>
      </c>
      <c r="D814" s="173" t="s">
        <v>21</v>
      </c>
      <c r="E814" s="173" t="s">
        <v>18</v>
      </c>
      <c r="F814" s="173" t="s">
        <v>16</v>
      </c>
      <c r="G814" s="87" t="b">
        <v>1</v>
      </c>
      <c r="H814" s="87" t="b">
        <v>0</v>
      </c>
      <c r="I814" s="87" t="b">
        <v>0</v>
      </c>
      <c r="J814" s="173" t="s">
        <v>470</v>
      </c>
      <c r="K814" s="174">
        <v>11859927000106</v>
      </c>
      <c r="L814" s="173" t="s">
        <v>846</v>
      </c>
      <c r="M814" s="173" t="s">
        <v>739</v>
      </c>
      <c r="N814" s="173" t="s">
        <v>55</v>
      </c>
      <c r="O814" s="87">
        <v>70</v>
      </c>
      <c r="P814" s="173" t="s">
        <v>20</v>
      </c>
      <c r="Q814" s="1" t="s">
        <v>1338</v>
      </c>
      <c r="R814" s="175">
        <v>30</v>
      </c>
      <c r="S814">
        <v>6</v>
      </c>
    </row>
    <row r="815" spans="1:19" x14ac:dyDescent="0.25">
      <c r="A815" s="87">
        <v>2019</v>
      </c>
      <c r="B815" s="87">
        <v>8</v>
      </c>
      <c r="C815" s="173" t="s">
        <v>16</v>
      </c>
      <c r="D815" s="173" t="s">
        <v>21</v>
      </c>
      <c r="E815" s="173" t="s">
        <v>18</v>
      </c>
      <c r="F815" s="173" t="s">
        <v>16</v>
      </c>
      <c r="G815" s="87" t="b">
        <v>1</v>
      </c>
      <c r="H815" s="87" t="b">
        <v>0</v>
      </c>
      <c r="I815" s="87" t="b">
        <v>0</v>
      </c>
      <c r="J815" s="173" t="s">
        <v>470</v>
      </c>
      <c r="K815" s="174">
        <v>11859927000106</v>
      </c>
      <c r="L815" s="173" t="s">
        <v>846</v>
      </c>
      <c r="M815" s="173" t="s">
        <v>739</v>
      </c>
      <c r="N815" s="173" t="s">
        <v>55</v>
      </c>
      <c r="O815" s="87">
        <v>73</v>
      </c>
      <c r="P815" s="173" t="s">
        <v>26</v>
      </c>
      <c r="Q815" s="1" t="s">
        <v>1339</v>
      </c>
      <c r="R815" s="175">
        <v>24</v>
      </c>
      <c r="S815">
        <v>12</v>
      </c>
    </row>
    <row r="816" spans="1:19" x14ac:dyDescent="0.25">
      <c r="A816" s="87">
        <v>2019</v>
      </c>
      <c r="B816" s="87">
        <v>8</v>
      </c>
      <c r="C816" s="173" t="s">
        <v>16</v>
      </c>
      <c r="D816" s="173" t="s">
        <v>21</v>
      </c>
      <c r="E816" s="173" t="s">
        <v>18</v>
      </c>
      <c r="F816" s="173" t="s">
        <v>16</v>
      </c>
      <c r="G816" s="87" t="b">
        <v>1</v>
      </c>
      <c r="H816" s="87" t="b">
        <v>0</v>
      </c>
      <c r="I816" s="87" t="b">
        <v>0</v>
      </c>
      <c r="J816" s="173" t="s">
        <v>470</v>
      </c>
      <c r="K816" s="174">
        <v>11859927000106</v>
      </c>
      <c r="L816" s="173" t="s">
        <v>846</v>
      </c>
      <c r="M816" s="173" t="s">
        <v>739</v>
      </c>
      <c r="N816" s="173" t="s">
        <v>55</v>
      </c>
      <c r="O816" s="87">
        <v>73</v>
      </c>
      <c r="P816" s="173" t="s">
        <v>26</v>
      </c>
      <c r="Q816" s="1" t="s">
        <v>1340</v>
      </c>
      <c r="R816" s="175">
        <v>20</v>
      </c>
      <c r="S816">
        <v>20</v>
      </c>
    </row>
    <row r="817" spans="1:19" x14ac:dyDescent="0.25">
      <c r="A817" s="87">
        <v>2019</v>
      </c>
      <c r="B817" s="87">
        <v>8</v>
      </c>
      <c r="C817" s="173" t="s">
        <v>16</v>
      </c>
      <c r="D817" s="173" t="s">
        <v>21</v>
      </c>
      <c r="E817" s="173" t="s">
        <v>18</v>
      </c>
      <c r="F817" s="173" t="s">
        <v>16</v>
      </c>
      <c r="G817" s="87" t="b">
        <v>1</v>
      </c>
      <c r="H817" s="87" t="b">
        <v>0</v>
      </c>
      <c r="I817" s="87" t="b">
        <v>0</v>
      </c>
      <c r="J817" s="173" t="s">
        <v>468</v>
      </c>
      <c r="K817" s="174">
        <v>11859927000106</v>
      </c>
      <c r="L817" s="173" t="s">
        <v>846</v>
      </c>
      <c r="M817" s="173" t="s">
        <v>739</v>
      </c>
      <c r="N817" s="173" t="s">
        <v>55</v>
      </c>
      <c r="O817" s="87">
        <v>73</v>
      </c>
      <c r="P817" s="173" t="s">
        <v>26</v>
      </c>
      <c r="Q817" s="1" t="s">
        <v>1340</v>
      </c>
      <c r="R817" s="175">
        <v>5</v>
      </c>
      <c r="S817">
        <v>5</v>
      </c>
    </row>
    <row r="818" spans="1:19" x14ac:dyDescent="0.25">
      <c r="A818" s="87">
        <v>2019</v>
      </c>
      <c r="B818" s="87">
        <v>8</v>
      </c>
      <c r="C818" s="173" t="s">
        <v>16</v>
      </c>
      <c r="D818" s="173" t="s">
        <v>21</v>
      </c>
      <c r="E818" s="173" t="s">
        <v>18</v>
      </c>
      <c r="F818" s="173" t="s">
        <v>16</v>
      </c>
      <c r="G818" s="87" t="b">
        <v>1</v>
      </c>
      <c r="H818" s="87" t="b">
        <v>0</v>
      </c>
      <c r="I818" s="87" t="b">
        <v>0</v>
      </c>
      <c r="J818" s="173" t="s">
        <v>475</v>
      </c>
      <c r="K818" s="174">
        <v>11943553000102</v>
      </c>
      <c r="L818" s="173" t="s">
        <v>847</v>
      </c>
      <c r="M818" s="173" t="s">
        <v>75</v>
      </c>
      <c r="N818" s="173" t="s">
        <v>74</v>
      </c>
      <c r="O818" s="87">
        <v>64</v>
      </c>
      <c r="P818" s="173" t="s">
        <v>25</v>
      </c>
      <c r="Q818" s="1" t="s">
        <v>1344</v>
      </c>
      <c r="R818" s="175">
        <v>2</v>
      </c>
      <c r="S818">
        <v>2</v>
      </c>
    </row>
    <row r="819" spans="1:19" x14ac:dyDescent="0.25">
      <c r="A819" s="87">
        <v>2019</v>
      </c>
      <c r="B819" s="87">
        <v>8</v>
      </c>
      <c r="C819" s="173" t="s">
        <v>16</v>
      </c>
      <c r="D819" s="173" t="s">
        <v>21</v>
      </c>
      <c r="E819" s="173" t="s">
        <v>18</v>
      </c>
      <c r="F819" s="173" t="s">
        <v>16</v>
      </c>
      <c r="G819" s="87" t="b">
        <v>1</v>
      </c>
      <c r="H819" s="87" t="b">
        <v>0</v>
      </c>
      <c r="I819" s="87" t="b">
        <v>0</v>
      </c>
      <c r="J819" s="173" t="s">
        <v>460</v>
      </c>
      <c r="K819" s="174">
        <v>12361267000274</v>
      </c>
      <c r="L819" s="173" t="s">
        <v>1159</v>
      </c>
      <c r="M819" s="173" t="s">
        <v>1129</v>
      </c>
      <c r="N819" s="173" t="s">
        <v>52</v>
      </c>
      <c r="O819" s="87">
        <v>70</v>
      </c>
      <c r="P819" s="173" t="s">
        <v>20</v>
      </c>
      <c r="Q819" s="1" t="s">
        <v>1338</v>
      </c>
      <c r="R819" s="175">
        <v>150</v>
      </c>
      <c r="S819">
        <v>30</v>
      </c>
    </row>
    <row r="820" spans="1:19" x14ac:dyDescent="0.25">
      <c r="A820" s="87">
        <v>2019</v>
      </c>
      <c r="B820" s="87">
        <v>8</v>
      </c>
      <c r="C820" s="173" t="s">
        <v>16</v>
      </c>
      <c r="D820" s="173" t="s">
        <v>21</v>
      </c>
      <c r="E820" s="173" t="s">
        <v>18</v>
      </c>
      <c r="F820" s="173" t="s">
        <v>16</v>
      </c>
      <c r="G820" s="87" t="b">
        <v>1</v>
      </c>
      <c r="H820" s="87" t="b">
        <v>0</v>
      </c>
      <c r="I820" s="87" t="b">
        <v>0</v>
      </c>
      <c r="J820" s="173" t="s">
        <v>460</v>
      </c>
      <c r="K820" s="174">
        <v>12361267000517</v>
      </c>
      <c r="L820" s="173" t="s">
        <v>849</v>
      </c>
      <c r="M820" s="173" t="s">
        <v>84</v>
      </c>
      <c r="N820" s="173" t="s">
        <v>85</v>
      </c>
      <c r="O820" s="87">
        <v>70</v>
      </c>
      <c r="P820" s="173" t="s">
        <v>20</v>
      </c>
      <c r="Q820" s="1" t="s">
        <v>1338</v>
      </c>
      <c r="R820" s="175">
        <v>10</v>
      </c>
      <c r="S820">
        <v>2</v>
      </c>
    </row>
    <row r="821" spans="1:19" x14ac:dyDescent="0.25">
      <c r="A821" s="87">
        <v>2019</v>
      </c>
      <c r="B821" s="87">
        <v>8</v>
      </c>
      <c r="C821" s="173" t="s">
        <v>16</v>
      </c>
      <c r="D821" s="173" t="s">
        <v>21</v>
      </c>
      <c r="E821" s="173" t="s">
        <v>18</v>
      </c>
      <c r="F821" s="173" t="s">
        <v>16</v>
      </c>
      <c r="G821" s="87" t="b">
        <v>1</v>
      </c>
      <c r="H821" s="87" t="b">
        <v>0</v>
      </c>
      <c r="I821" s="87" t="b">
        <v>0</v>
      </c>
      <c r="J821" s="173" t="s">
        <v>472</v>
      </c>
      <c r="K821" s="174">
        <v>12361267000517</v>
      </c>
      <c r="L821" s="173" t="s">
        <v>849</v>
      </c>
      <c r="M821" s="173" t="s">
        <v>84</v>
      </c>
      <c r="N821" s="173" t="s">
        <v>85</v>
      </c>
      <c r="O821" s="87">
        <v>70</v>
      </c>
      <c r="P821" s="173" t="s">
        <v>20</v>
      </c>
      <c r="Q821" s="1" t="s">
        <v>1338</v>
      </c>
      <c r="R821" s="175">
        <v>75</v>
      </c>
      <c r="S821">
        <v>15</v>
      </c>
    </row>
    <row r="822" spans="1:19" x14ac:dyDescent="0.25">
      <c r="A822" s="87">
        <v>2019</v>
      </c>
      <c r="B822" s="87">
        <v>8</v>
      </c>
      <c r="C822" s="173" t="s">
        <v>16</v>
      </c>
      <c r="D822" s="173" t="s">
        <v>21</v>
      </c>
      <c r="E822" s="173" t="s">
        <v>18</v>
      </c>
      <c r="F822" s="173" t="s">
        <v>16</v>
      </c>
      <c r="G822" s="87" t="b">
        <v>1</v>
      </c>
      <c r="H822" s="87" t="b">
        <v>0</v>
      </c>
      <c r="I822" s="87" t="b">
        <v>0</v>
      </c>
      <c r="J822" s="173" t="s">
        <v>460</v>
      </c>
      <c r="K822" s="174">
        <v>12361267004261</v>
      </c>
      <c r="L822" s="173" t="s">
        <v>964</v>
      </c>
      <c r="M822" s="173" t="s">
        <v>125</v>
      </c>
      <c r="N822" s="173" t="s">
        <v>68</v>
      </c>
      <c r="O822" s="87">
        <v>70</v>
      </c>
      <c r="P822" s="173" t="s">
        <v>20</v>
      </c>
      <c r="Q822" s="1" t="s">
        <v>1338</v>
      </c>
      <c r="R822" s="175">
        <v>120</v>
      </c>
      <c r="S822">
        <v>24</v>
      </c>
    </row>
    <row r="823" spans="1:19" x14ac:dyDescent="0.25">
      <c r="A823" s="87">
        <v>2019</v>
      </c>
      <c r="B823" s="87">
        <v>8</v>
      </c>
      <c r="C823" s="173" t="s">
        <v>16</v>
      </c>
      <c r="D823" s="173" t="s">
        <v>21</v>
      </c>
      <c r="E823" s="173" t="s">
        <v>18</v>
      </c>
      <c r="F823" s="173" t="s">
        <v>16</v>
      </c>
      <c r="G823" s="87" t="b">
        <v>1</v>
      </c>
      <c r="H823" s="87" t="b">
        <v>0</v>
      </c>
      <c r="I823" s="87" t="b">
        <v>0</v>
      </c>
      <c r="J823" s="173" t="s">
        <v>460</v>
      </c>
      <c r="K823" s="174">
        <v>12361267007287</v>
      </c>
      <c r="L823" s="173" t="s">
        <v>853</v>
      </c>
      <c r="M823" s="173" t="s">
        <v>70</v>
      </c>
      <c r="N823" s="173" t="s">
        <v>71</v>
      </c>
      <c r="O823" s="87">
        <v>70</v>
      </c>
      <c r="P823" s="173" t="s">
        <v>20</v>
      </c>
      <c r="Q823" s="1" t="s">
        <v>1338</v>
      </c>
      <c r="R823" s="175">
        <v>150</v>
      </c>
      <c r="S823">
        <v>30</v>
      </c>
    </row>
    <row r="824" spans="1:19" x14ac:dyDescent="0.25">
      <c r="A824" s="87">
        <v>2019</v>
      </c>
      <c r="B824" s="87">
        <v>8</v>
      </c>
      <c r="C824" s="173" t="s">
        <v>16</v>
      </c>
      <c r="D824" s="173" t="s">
        <v>21</v>
      </c>
      <c r="E824" s="173" t="s">
        <v>18</v>
      </c>
      <c r="F824" s="173" t="s">
        <v>16</v>
      </c>
      <c r="G824" s="87" t="b">
        <v>1</v>
      </c>
      <c r="H824" s="87" t="b">
        <v>0</v>
      </c>
      <c r="I824" s="87" t="b">
        <v>0</v>
      </c>
      <c r="J824" s="173" t="s">
        <v>460</v>
      </c>
      <c r="K824" s="174">
        <v>12361267009140</v>
      </c>
      <c r="L824" s="173" t="s">
        <v>858</v>
      </c>
      <c r="M824" s="173" t="s">
        <v>859</v>
      </c>
      <c r="N824" s="173" t="s">
        <v>63</v>
      </c>
      <c r="O824" s="87">
        <v>70</v>
      </c>
      <c r="P824" s="173" t="s">
        <v>20</v>
      </c>
      <c r="Q824" s="1" t="s">
        <v>1338</v>
      </c>
      <c r="R824" s="175">
        <v>5</v>
      </c>
      <c r="S824">
        <v>1</v>
      </c>
    </row>
    <row r="825" spans="1:19" x14ac:dyDescent="0.25">
      <c r="A825" s="87">
        <v>2019</v>
      </c>
      <c r="B825" s="87">
        <v>8</v>
      </c>
      <c r="C825" s="173" t="s">
        <v>16</v>
      </c>
      <c r="D825" s="173" t="s">
        <v>21</v>
      </c>
      <c r="E825" s="173" t="s">
        <v>18</v>
      </c>
      <c r="F825" s="173" t="s">
        <v>16</v>
      </c>
      <c r="G825" s="87" t="b">
        <v>1</v>
      </c>
      <c r="H825" s="87" t="b">
        <v>0</v>
      </c>
      <c r="I825" s="87" t="b">
        <v>0</v>
      </c>
      <c r="J825" s="173" t="s">
        <v>460</v>
      </c>
      <c r="K825" s="174">
        <v>12361267009654</v>
      </c>
      <c r="L825" s="173" t="s">
        <v>860</v>
      </c>
      <c r="M825" s="173" t="s">
        <v>62</v>
      </c>
      <c r="N825" s="173" t="s">
        <v>63</v>
      </c>
      <c r="O825" s="87">
        <v>70</v>
      </c>
      <c r="P825" s="173" t="s">
        <v>20</v>
      </c>
      <c r="Q825" s="1" t="s">
        <v>1338</v>
      </c>
      <c r="R825" s="175">
        <v>125</v>
      </c>
      <c r="S825">
        <v>25</v>
      </c>
    </row>
    <row r="826" spans="1:19" x14ac:dyDescent="0.25">
      <c r="A826" s="87">
        <v>2019</v>
      </c>
      <c r="B826" s="87">
        <v>8</v>
      </c>
      <c r="C826" s="173" t="s">
        <v>16</v>
      </c>
      <c r="D826" s="173" t="s">
        <v>21</v>
      </c>
      <c r="E826" s="173" t="s">
        <v>18</v>
      </c>
      <c r="F826" s="173" t="s">
        <v>16</v>
      </c>
      <c r="G826" s="87" t="b">
        <v>1</v>
      </c>
      <c r="H826" s="87" t="b">
        <v>0</v>
      </c>
      <c r="I826" s="87" t="b">
        <v>0</v>
      </c>
      <c r="J826" s="173" t="s">
        <v>460</v>
      </c>
      <c r="K826" s="174">
        <v>12361267010318</v>
      </c>
      <c r="L826" s="173" t="s">
        <v>861</v>
      </c>
      <c r="M826" s="173" t="s">
        <v>75</v>
      </c>
      <c r="N826" s="173" t="s">
        <v>74</v>
      </c>
      <c r="O826" s="87">
        <v>62</v>
      </c>
      <c r="P826" s="173" t="s">
        <v>27</v>
      </c>
      <c r="Q826" s="1" t="s">
        <v>1343</v>
      </c>
      <c r="R826" s="175">
        <v>5</v>
      </c>
      <c r="S826">
        <v>5</v>
      </c>
    </row>
    <row r="827" spans="1:19" x14ac:dyDescent="0.25">
      <c r="A827" s="87">
        <v>2019</v>
      </c>
      <c r="B827" s="87">
        <v>8</v>
      </c>
      <c r="C827" s="173" t="s">
        <v>16</v>
      </c>
      <c r="D827" s="173" t="s">
        <v>21</v>
      </c>
      <c r="E827" s="173" t="s">
        <v>18</v>
      </c>
      <c r="F827" s="173" t="s">
        <v>16</v>
      </c>
      <c r="G827" s="87" t="b">
        <v>1</v>
      </c>
      <c r="H827" s="87" t="b">
        <v>0</v>
      </c>
      <c r="I827" s="87" t="b">
        <v>0</v>
      </c>
      <c r="J827" s="173" t="s">
        <v>460</v>
      </c>
      <c r="K827" s="174">
        <v>12361267010318</v>
      </c>
      <c r="L827" s="173" t="s">
        <v>861</v>
      </c>
      <c r="M827" s="173" t="s">
        <v>75</v>
      </c>
      <c r="N827" s="173" t="s">
        <v>74</v>
      </c>
      <c r="O827" s="87">
        <v>64</v>
      </c>
      <c r="P827" s="173" t="s">
        <v>25</v>
      </c>
      <c r="Q827" s="1" t="s">
        <v>1344</v>
      </c>
      <c r="R827" s="175">
        <v>11</v>
      </c>
      <c r="S827">
        <v>11</v>
      </c>
    </row>
    <row r="828" spans="1:19" x14ac:dyDescent="0.25">
      <c r="A828" s="87">
        <v>2019</v>
      </c>
      <c r="B828" s="87">
        <v>8</v>
      </c>
      <c r="C828" s="173" t="s">
        <v>16</v>
      </c>
      <c r="D828" s="173" t="s">
        <v>21</v>
      </c>
      <c r="E828" s="173" t="s">
        <v>18</v>
      </c>
      <c r="F828" s="173" t="s">
        <v>16</v>
      </c>
      <c r="G828" s="87" t="b">
        <v>1</v>
      </c>
      <c r="H828" s="87" t="b">
        <v>0</v>
      </c>
      <c r="I828" s="87" t="b">
        <v>0</v>
      </c>
      <c r="J828" s="173" t="s">
        <v>460</v>
      </c>
      <c r="K828" s="174">
        <v>12361267010318</v>
      </c>
      <c r="L828" s="173" t="s">
        <v>861</v>
      </c>
      <c r="M828" s="173" t="s">
        <v>75</v>
      </c>
      <c r="N828" s="173" t="s">
        <v>74</v>
      </c>
      <c r="O828" s="87">
        <v>70</v>
      </c>
      <c r="P828" s="173" t="s">
        <v>20</v>
      </c>
      <c r="Q828" s="1" t="s">
        <v>1338</v>
      </c>
      <c r="R828" s="175">
        <v>275</v>
      </c>
      <c r="S828">
        <v>55</v>
      </c>
    </row>
    <row r="829" spans="1:19" x14ac:dyDescent="0.25">
      <c r="A829" s="87">
        <v>2019</v>
      </c>
      <c r="B829" s="87">
        <v>8</v>
      </c>
      <c r="C829" s="173" t="s">
        <v>16</v>
      </c>
      <c r="D829" s="173" t="s">
        <v>21</v>
      </c>
      <c r="E829" s="173" t="s">
        <v>18</v>
      </c>
      <c r="F829" s="173" t="s">
        <v>16</v>
      </c>
      <c r="G829" s="87" t="b">
        <v>1</v>
      </c>
      <c r="H829" s="87" t="b">
        <v>0</v>
      </c>
      <c r="I829" s="87" t="b">
        <v>0</v>
      </c>
      <c r="J829" s="173" t="s">
        <v>460</v>
      </c>
      <c r="K829" s="174">
        <v>12361267010407</v>
      </c>
      <c r="L829" s="173" t="s">
        <v>862</v>
      </c>
      <c r="M829" s="173" t="s">
        <v>86</v>
      </c>
      <c r="N829" s="173" t="s">
        <v>74</v>
      </c>
      <c r="O829" s="87">
        <v>70</v>
      </c>
      <c r="P829" s="173" t="s">
        <v>20</v>
      </c>
      <c r="Q829" s="1" t="s">
        <v>1338</v>
      </c>
      <c r="R829" s="175">
        <v>130</v>
      </c>
      <c r="S829">
        <v>26</v>
      </c>
    </row>
    <row r="830" spans="1:19" x14ac:dyDescent="0.25">
      <c r="A830" s="87">
        <v>2019</v>
      </c>
      <c r="B830" s="87">
        <v>8</v>
      </c>
      <c r="C830" s="173" t="s">
        <v>16</v>
      </c>
      <c r="D830" s="173" t="s">
        <v>21</v>
      </c>
      <c r="E830" s="173" t="s">
        <v>18</v>
      </c>
      <c r="F830" s="173" t="s">
        <v>16</v>
      </c>
      <c r="G830" s="87" t="b">
        <v>1</v>
      </c>
      <c r="H830" s="87" t="b">
        <v>0</v>
      </c>
      <c r="I830" s="87" t="b">
        <v>0</v>
      </c>
      <c r="J830" s="173" t="s">
        <v>470</v>
      </c>
      <c r="K830" s="174">
        <v>12442737000496</v>
      </c>
      <c r="L830" s="173" t="s">
        <v>865</v>
      </c>
      <c r="M830" s="173" t="s">
        <v>742</v>
      </c>
      <c r="N830" s="173" t="s">
        <v>91</v>
      </c>
      <c r="O830" s="87">
        <v>62</v>
      </c>
      <c r="P830" s="173" t="s">
        <v>27</v>
      </c>
      <c r="Q830" s="1" t="s">
        <v>1343</v>
      </c>
      <c r="R830" s="175">
        <v>2</v>
      </c>
      <c r="S830">
        <v>2</v>
      </c>
    </row>
    <row r="831" spans="1:19" x14ac:dyDescent="0.25">
      <c r="A831" s="87">
        <v>2019</v>
      </c>
      <c r="B831" s="87">
        <v>8</v>
      </c>
      <c r="C831" s="173" t="s">
        <v>16</v>
      </c>
      <c r="D831" s="173" t="s">
        <v>21</v>
      </c>
      <c r="E831" s="173" t="s">
        <v>18</v>
      </c>
      <c r="F831" s="173" t="s">
        <v>16</v>
      </c>
      <c r="G831" s="87" t="b">
        <v>1</v>
      </c>
      <c r="H831" s="87" t="b">
        <v>0</v>
      </c>
      <c r="I831" s="87" t="b">
        <v>0</v>
      </c>
      <c r="J831" s="173" t="s">
        <v>470</v>
      </c>
      <c r="K831" s="174">
        <v>12442737000496</v>
      </c>
      <c r="L831" s="173" t="s">
        <v>865</v>
      </c>
      <c r="M831" s="173" t="s">
        <v>742</v>
      </c>
      <c r="N831" s="173" t="s">
        <v>91</v>
      </c>
      <c r="O831" s="87">
        <v>64</v>
      </c>
      <c r="P831" s="173" t="s">
        <v>25</v>
      </c>
      <c r="Q831" s="1" t="s">
        <v>1344</v>
      </c>
      <c r="R831" s="175">
        <v>3</v>
      </c>
      <c r="S831">
        <v>3</v>
      </c>
    </row>
    <row r="832" spans="1:19" x14ac:dyDescent="0.25">
      <c r="A832" s="87">
        <v>2019</v>
      </c>
      <c r="B832" s="87">
        <v>8</v>
      </c>
      <c r="C832" s="173" t="s">
        <v>16</v>
      </c>
      <c r="D832" s="173" t="s">
        <v>21</v>
      </c>
      <c r="E832" s="173" t="s">
        <v>18</v>
      </c>
      <c r="F832" s="173" t="s">
        <v>16</v>
      </c>
      <c r="G832" s="87" t="b">
        <v>1</v>
      </c>
      <c r="H832" s="87" t="b">
        <v>0</v>
      </c>
      <c r="I832" s="87" t="b">
        <v>0</v>
      </c>
      <c r="J832" s="173" t="s">
        <v>470</v>
      </c>
      <c r="K832" s="174">
        <v>12442737000496</v>
      </c>
      <c r="L832" s="173" t="s">
        <v>865</v>
      </c>
      <c r="M832" s="173" t="s">
        <v>742</v>
      </c>
      <c r="N832" s="173" t="s">
        <v>91</v>
      </c>
      <c r="O832" s="87">
        <v>70</v>
      </c>
      <c r="P832" s="173" t="s">
        <v>20</v>
      </c>
      <c r="Q832" s="1" t="s">
        <v>1338</v>
      </c>
      <c r="R832" s="175">
        <v>400</v>
      </c>
      <c r="S832">
        <v>80</v>
      </c>
    </row>
    <row r="833" spans="1:19" x14ac:dyDescent="0.25">
      <c r="A833" s="87">
        <v>2019</v>
      </c>
      <c r="B833" s="87">
        <v>8</v>
      </c>
      <c r="C833" s="173" t="s">
        <v>16</v>
      </c>
      <c r="D833" s="173" t="s">
        <v>21</v>
      </c>
      <c r="E833" s="173" t="s">
        <v>18</v>
      </c>
      <c r="F833" s="173" t="s">
        <v>16</v>
      </c>
      <c r="G833" s="87" t="b">
        <v>1</v>
      </c>
      <c r="H833" s="87" t="b">
        <v>0</v>
      </c>
      <c r="I833" s="87" t="b">
        <v>0</v>
      </c>
      <c r="J833" s="173" t="s">
        <v>470</v>
      </c>
      <c r="K833" s="174">
        <v>12508728000108</v>
      </c>
      <c r="L833" s="173" t="s">
        <v>965</v>
      </c>
      <c r="M833" s="173" t="s">
        <v>87</v>
      </c>
      <c r="N833" s="173" t="s">
        <v>67</v>
      </c>
      <c r="O833" s="87">
        <v>70</v>
      </c>
      <c r="P833" s="173" t="s">
        <v>20</v>
      </c>
      <c r="Q833" s="1" t="s">
        <v>1338</v>
      </c>
      <c r="R833" s="175">
        <v>20</v>
      </c>
      <c r="S833">
        <v>4</v>
      </c>
    </row>
    <row r="834" spans="1:19" x14ac:dyDescent="0.25">
      <c r="A834" s="87">
        <v>2019</v>
      </c>
      <c r="B834" s="87">
        <v>8</v>
      </c>
      <c r="C834" s="173" t="s">
        <v>16</v>
      </c>
      <c r="D834" s="173" t="s">
        <v>21</v>
      </c>
      <c r="E834" s="173" t="s">
        <v>18</v>
      </c>
      <c r="F834" s="173" t="s">
        <v>16</v>
      </c>
      <c r="G834" s="87" t="b">
        <v>1</v>
      </c>
      <c r="H834" s="87" t="b">
        <v>0</v>
      </c>
      <c r="I834" s="87" t="b">
        <v>0</v>
      </c>
      <c r="J834" s="173" t="s">
        <v>455</v>
      </c>
      <c r="K834" s="174">
        <v>12508728000108</v>
      </c>
      <c r="L834" s="173" t="s">
        <v>965</v>
      </c>
      <c r="M834" s="173" t="s">
        <v>87</v>
      </c>
      <c r="N834" s="173" t="s">
        <v>67</v>
      </c>
      <c r="O834" s="87">
        <v>70</v>
      </c>
      <c r="P834" s="173" t="s">
        <v>20</v>
      </c>
      <c r="Q834" s="1" t="s">
        <v>1338</v>
      </c>
      <c r="R834" s="175">
        <v>20</v>
      </c>
      <c r="S834">
        <v>4</v>
      </c>
    </row>
    <row r="835" spans="1:19" x14ac:dyDescent="0.25">
      <c r="A835" s="87">
        <v>2019</v>
      </c>
      <c r="B835" s="87">
        <v>8</v>
      </c>
      <c r="C835" s="173" t="s">
        <v>16</v>
      </c>
      <c r="D835" s="173" t="s">
        <v>21</v>
      </c>
      <c r="E835" s="173" t="s">
        <v>18</v>
      </c>
      <c r="F835" s="173" t="s">
        <v>16</v>
      </c>
      <c r="G835" s="87" t="b">
        <v>1</v>
      </c>
      <c r="H835" s="87" t="b">
        <v>0</v>
      </c>
      <c r="I835" s="87" t="b">
        <v>0</v>
      </c>
      <c r="J835" s="173" t="s">
        <v>460</v>
      </c>
      <c r="K835" s="174">
        <v>12568570000161</v>
      </c>
      <c r="L835" s="173" t="s">
        <v>866</v>
      </c>
      <c r="M835" s="173" t="s">
        <v>76</v>
      </c>
      <c r="N835" s="173" t="s">
        <v>77</v>
      </c>
      <c r="O835" s="87">
        <v>70</v>
      </c>
      <c r="P835" s="173" t="s">
        <v>20</v>
      </c>
      <c r="Q835" s="1" t="s">
        <v>1338</v>
      </c>
      <c r="R835" s="175">
        <v>225</v>
      </c>
      <c r="S835">
        <v>45</v>
      </c>
    </row>
    <row r="836" spans="1:19" x14ac:dyDescent="0.25">
      <c r="A836" s="87">
        <v>2019</v>
      </c>
      <c r="B836" s="87">
        <v>8</v>
      </c>
      <c r="C836" s="173" t="s">
        <v>16</v>
      </c>
      <c r="D836" s="173" t="s">
        <v>21</v>
      </c>
      <c r="E836" s="173" t="s">
        <v>18</v>
      </c>
      <c r="F836" s="173" t="s">
        <v>16</v>
      </c>
      <c r="G836" s="87" t="b">
        <v>1</v>
      </c>
      <c r="H836" s="87" t="b">
        <v>0</v>
      </c>
      <c r="I836" s="87" t="b">
        <v>0</v>
      </c>
      <c r="J836" s="173" t="s">
        <v>455</v>
      </c>
      <c r="K836" s="174">
        <v>13016092000140</v>
      </c>
      <c r="L836" s="173" t="s">
        <v>867</v>
      </c>
      <c r="M836" s="173" t="s">
        <v>75</v>
      </c>
      <c r="N836" s="173" t="s">
        <v>74</v>
      </c>
      <c r="O836" s="87">
        <v>64</v>
      </c>
      <c r="P836" s="173" t="s">
        <v>25</v>
      </c>
      <c r="Q836" s="1" t="s">
        <v>1344</v>
      </c>
      <c r="R836" s="175">
        <v>10</v>
      </c>
      <c r="S836">
        <v>10</v>
      </c>
    </row>
    <row r="837" spans="1:19" x14ac:dyDescent="0.25">
      <c r="A837" s="87">
        <v>2019</v>
      </c>
      <c r="B837" s="87">
        <v>8</v>
      </c>
      <c r="C837" s="173" t="s">
        <v>16</v>
      </c>
      <c r="D837" s="173" t="s">
        <v>21</v>
      </c>
      <c r="E837" s="173" t="s">
        <v>18</v>
      </c>
      <c r="F837" s="173" t="s">
        <v>16</v>
      </c>
      <c r="G837" s="87" t="b">
        <v>1</v>
      </c>
      <c r="H837" s="87" t="b">
        <v>0</v>
      </c>
      <c r="I837" s="87" t="b">
        <v>0</v>
      </c>
      <c r="J837" s="173" t="s">
        <v>470</v>
      </c>
      <c r="K837" s="174">
        <v>13016332000106</v>
      </c>
      <c r="L837" s="173" t="s">
        <v>868</v>
      </c>
      <c r="M837" s="173" t="s">
        <v>84</v>
      </c>
      <c r="N837" s="173" t="s">
        <v>85</v>
      </c>
      <c r="O837" s="87">
        <v>62</v>
      </c>
      <c r="P837" s="173" t="s">
        <v>27</v>
      </c>
      <c r="Q837" s="1" t="s">
        <v>1343</v>
      </c>
      <c r="R837" s="175">
        <v>2</v>
      </c>
      <c r="S837">
        <v>2</v>
      </c>
    </row>
    <row r="838" spans="1:19" x14ac:dyDescent="0.25">
      <c r="A838" s="87">
        <v>2019</v>
      </c>
      <c r="B838" s="87">
        <v>8</v>
      </c>
      <c r="C838" s="173" t="s">
        <v>16</v>
      </c>
      <c r="D838" s="173" t="s">
        <v>21</v>
      </c>
      <c r="E838" s="173" t="s">
        <v>18</v>
      </c>
      <c r="F838" s="173" t="s">
        <v>16</v>
      </c>
      <c r="G838" s="87" t="b">
        <v>1</v>
      </c>
      <c r="H838" s="87" t="b">
        <v>0</v>
      </c>
      <c r="I838" s="87" t="b">
        <v>0</v>
      </c>
      <c r="J838" s="173" t="s">
        <v>464</v>
      </c>
      <c r="K838" s="174">
        <v>13016332000106</v>
      </c>
      <c r="L838" s="173" t="s">
        <v>868</v>
      </c>
      <c r="M838" s="173" t="s">
        <v>84</v>
      </c>
      <c r="N838" s="173" t="s">
        <v>85</v>
      </c>
      <c r="O838" s="87">
        <v>62</v>
      </c>
      <c r="P838" s="173" t="s">
        <v>27</v>
      </c>
      <c r="Q838" s="1" t="s">
        <v>1343</v>
      </c>
      <c r="R838" s="175">
        <v>4</v>
      </c>
      <c r="S838">
        <v>4</v>
      </c>
    </row>
    <row r="839" spans="1:19" x14ac:dyDescent="0.25">
      <c r="A839" s="87">
        <v>2019</v>
      </c>
      <c r="B839" s="87">
        <v>8</v>
      </c>
      <c r="C839" s="173" t="s">
        <v>16</v>
      </c>
      <c r="D839" s="173" t="s">
        <v>21</v>
      </c>
      <c r="E839" s="173" t="s">
        <v>18</v>
      </c>
      <c r="F839" s="173" t="s">
        <v>16</v>
      </c>
      <c r="G839" s="87" t="b">
        <v>1</v>
      </c>
      <c r="H839" s="87" t="b">
        <v>0</v>
      </c>
      <c r="I839" s="87" t="b">
        <v>0</v>
      </c>
      <c r="J839" s="173" t="s">
        <v>472</v>
      </c>
      <c r="K839" s="174">
        <v>13086053000119</v>
      </c>
      <c r="L839" s="173" t="s">
        <v>869</v>
      </c>
      <c r="M839" s="173" t="s">
        <v>84</v>
      </c>
      <c r="N839" s="173" t="s">
        <v>85</v>
      </c>
      <c r="O839" s="87">
        <v>70</v>
      </c>
      <c r="P839" s="173" t="s">
        <v>20</v>
      </c>
      <c r="Q839" s="1" t="s">
        <v>1338</v>
      </c>
      <c r="R839" s="175">
        <v>5</v>
      </c>
      <c r="S839">
        <v>1</v>
      </c>
    </row>
    <row r="840" spans="1:19" x14ac:dyDescent="0.25">
      <c r="A840" s="87">
        <v>2019</v>
      </c>
      <c r="B840" s="87">
        <v>8</v>
      </c>
      <c r="C840" s="173" t="s">
        <v>16</v>
      </c>
      <c r="D840" s="173" t="s">
        <v>21</v>
      </c>
      <c r="E840" s="173" t="s">
        <v>18</v>
      </c>
      <c r="F840" s="173" t="s">
        <v>16</v>
      </c>
      <c r="G840" s="87" t="b">
        <v>1</v>
      </c>
      <c r="H840" s="87" t="b">
        <v>0</v>
      </c>
      <c r="I840" s="87" t="b">
        <v>0</v>
      </c>
      <c r="J840" s="173" t="s">
        <v>472</v>
      </c>
      <c r="K840" s="174">
        <v>13131370000100</v>
      </c>
      <c r="L840" s="173" t="s">
        <v>870</v>
      </c>
      <c r="M840" s="173" t="s">
        <v>84</v>
      </c>
      <c r="N840" s="173" t="s">
        <v>85</v>
      </c>
      <c r="O840" s="87">
        <v>62</v>
      </c>
      <c r="P840" s="173" t="s">
        <v>27</v>
      </c>
      <c r="Q840" s="1" t="s">
        <v>1343</v>
      </c>
      <c r="R840" s="175">
        <v>6</v>
      </c>
      <c r="S840">
        <v>6</v>
      </c>
    </row>
    <row r="841" spans="1:19" x14ac:dyDescent="0.25">
      <c r="A841" s="87">
        <v>2019</v>
      </c>
      <c r="B841" s="87">
        <v>8</v>
      </c>
      <c r="C841" s="173" t="s">
        <v>16</v>
      </c>
      <c r="D841" s="173" t="s">
        <v>21</v>
      </c>
      <c r="E841" s="173" t="s">
        <v>18</v>
      </c>
      <c r="F841" s="173" t="s">
        <v>16</v>
      </c>
      <c r="G841" s="87" t="b">
        <v>1</v>
      </c>
      <c r="H841" s="87" t="b">
        <v>0</v>
      </c>
      <c r="I841" s="87" t="b">
        <v>0</v>
      </c>
      <c r="J841" s="173" t="s">
        <v>472</v>
      </c>
      <c r="K841" s="174">
        <v>13131370000100</v>
      </c>
      <c r="L841" s="173" t="s">
        <v>870</v>
      </c>
      <c r="M841" s="173" t="s">
        <v>84</v>
      </c>
      <c r="N841" s="173" t="s">
        <v>85</v>
      </c>
      <c r="O841" s="87">
        <v>70</v>
      </c>
      <c r="P841" s="173" t="s">
        <v>20</v>
      </c>
      <c r="Q841" s="1" t="s">
        <v>1338</v>
      </c>
      <c r="R841" s="175">
        <v>100</v>
      </c>
      <c r="S841">
        <v>20</v>
      </c>
    </row>
    <row r="842" spans="1:19" x14ac:dyDescent="0.25">
      <c r="A842" s="87">
        <v>2019</v>
      </c>
      <c r="B842" s="87">
        <v>8</v>
      </c>
      <c r="C842" s="173" t="s">
        <v>16</v>
      </c>
      <c r="D842" s="173" t="s">
        <v>21</v>
      </c>
      <c r="E842" s="173" t="s">
        <v>18</v>
      </c>
      <c r="F842" s="173" t="s">
        <v>16</v>
      </c>
      <c r="G842" s="87" t="b">
        <v>1</v>
      </c>
      <c r="H842" s="87" t="b">
        <v>0</v>
      </c>
      <c r="I842" s="87" t="b">
        <v>0</v>
      </c>
      <c r="J842" s="173" t="s">
        <v>491</v>
      </c>
      <c r="K842" s="174">
        <v>13131370000100</v>
      </c>
      <c r="L842" s="173" t="s">
        <v>870</v>
      </c>
      <c r="M842" s="173" t="s">
        <v>84</v>
      </c>
      <c r="N842" s="173" t="s">
        <v>85</v>
      </c>
      <c r="O842" s="87">
        <v>70</v>
      </c>
      <c r="P842" s="173" t="s">
        <v>20</v>
      </c>
      <c r="Q842" s="1" t="s">
        <v>1338</v>
      </c>
      <c r="R842" s="175">
        <v>300</v>
      </c>
      <c r="S842">
        <v>60</v>
      </c>
    </row>
    <row r="843" spans="1:19" x14ac:dyDescent="0.25">
      <c r="A843" s="87">
        <v>2019</v>
      </c>
      <c r="B843" s="87">
        <v>8</v>
      </c>
      <c r="C843" s="173" t="s">
        <v>16</v>
      </c>
      <c r="D843" s="173" t="s">
        <v>21</v>
      </c>
      <c r="E843" s="173" t="s">
        <v>18</v>
      </c>
      <c r="F843" s="173" t="s">
        <v>16</v>
      </c>
      <c r="G843" s="87" t="b">
        <v>1</v>
      </c>
      <c r="H843" s="87" t="b">
        <v>0</v>
      </c>
      <c r="I843" s="87" t="b">
        <v>0</v>
      </c>
      <c r="J843" s="173" t="s">
        <v>472</v>
      </c>
      <c r="K843" s="174">
        <v>13131370000100</v>
      </c>
      <c r="L843" s="173" t="s">
        <v>870</v>
      </c>
      <c r="M843" s="173" t="s">
        <v>84</v>
      </c>
      <c r="N843" s="173" t="s">
        <v>85</v>
      </c>
      <c r="O843" s="87">
        <v>73</v>
      </c>
      <c r="P843" s="173" t="s">
        <v>26</v>
      </c>
      <c r="Q843" s="1" t="s">
        <v>1339</v>
      </c>
      <c r="R843" s="175">
        <v>28</v>
      </c>
      <c r="S843">
        <v>14</v>
      </c>
    </row>
    <row r="844" spans="1:19" x14ac:dyDescent="0.25">
      <c r="A844" s="87">
        <v>2019</v>
      </c>
      <c r="B844" s="87">
        <v>8</v>
      </c>
      <c r="C844" s="173" t="s">
        <v>16</v>
      </c>
      <c r="D844" s="173" t="s">
        <v>21</v>
      </c>
      <c r="E844" s="173" t="s">
        <v>18</v>
      </c>
      <c r="F844" s="173" t="s">
        <v>16</v>
      </c>
      <c r="G844" s="87" t="b">
        <v>1</v>
      </c>
      <c r="H844" s="87" t="b">
        <v>0</v>
      </c>
      <c r="I844" s="87" t="b">
        <v>0</v>
      </c>
      <c r="J844" s="173" t="s">
        <v>472</v>
      </c>
      <c r="K844" s="174">
        <v>13131370000100</v>
      </c>
      <c r="L844" s="173" t="s">
        <v>870</v>
      </c>
      <c r="M844" s="173" t="s">
        <v>84</v>
      </c>
      <c r="N844" s="173" t="s">
        <v>85</v>
      </c>
      <c r="O844" s="87">
        <v>73</v>
      </c>
      <c r="P844" s="173" t="s">
        <v>26</v>
      </c>
      <c r="Q844" s="1" t="s">
        <v>1342</v>
      </c>
      <c r="R844" s="175">
        <v>12</v>
      </c>
      <c r="S844">
        <v>3</v>
      </c>
    </row>
    <row r="845" spans="1:19" x14ac:dyDescent="0.25">
      <c r="A845" s="87">
        <v>2019</v>
      </c>
      <c r="B845" s="87">
        <v>8</v>
      </c>
      <c r="C845" s="173" t="s">
        <v>16</v>
      </c>
      <c r="D845" s="173" t="s">
        <v>21</v>
      </c>
      <c r="E845" s="173" t="s">
        <v>18</v>
      </c>
      <c r="F845" s="173" t="s">
        <v>16</v>
      </c>
      <c r="G845" s="87" t="b">
        <v>1</v>
      </c>
      <c r="H845" s="87" t="b">
        <v>0</v>
      </c>
      <c r="I845" s="87" t="b">
        <v>0</v>
      </c>
      <c r="J845" s="173" t="s">
        <v>472</v>
      </c>
      <c r="K845" s="174">
        <v>13131370000100</v>
      </c>
      <c r="L845" s="173" t="s">
        <v>870</v>
      </c>
      <c r="M845" s="173" t="s">
        <v>84</v>
      </c>
      <c r="N845" s="173" t="s">
        <v>85</v>
      </c>
      <c r="O845" s="87">
        <v>73</v>
      </c>
      <c r="P845" s="173" t="s">
        <v>26</v>
      </c>
      <c r="Q845" s="1" t="s">
        <v>1340</v>
      </c>
      <c r="R845" s="175">
        <v>4</v>
      </c>
      <c r="S845">
        <v>4</v>
      </c>
    </row>
    <row r="846" spans="1:19" x14ac:dyDescent="0.25">
      <c r="A846" s="87">
        <v>2019</v>
      </c>
      <c r="B846" s="87">
        <v>8</v>
      </c>
      <c r="C846" s="173" t="s">
        <v>16</v>
      </c>
      <c r="D846" s="173" t="s">
        <v>21</v>
      </c>
      <c r="E846" s="173" t="s">
        <v>18</v>
      </c>
      <c r="F846" s="173" t="s">
        <v>16</v>
      </c>
      <c r="G846" s="87" t="b">
        <v>1</v>
      </c>
      <c r="H846" s="87" t="b">
        <v>0</v>
      </c>
      <c r="I846" s="87" t="b">
        <v>0</v>
      </c>
      <c r="J846" s="173" t="s">
        <v>453</v>
      </c>
      <c r="K846" s="174">
        <v>13262578000168</v>
      </c>
      <c r="L846" s="173" t="s">
        <v>871</v>
      </c>
      <c r="M846" s="173" t="s">
        <v>62</v>
      </c>
      <c r="N846" s="173" t="s">
        <v>63</v>
      </c>
      <c r="O846" s="87">
        <v>66</v>
      </c>
      <c r="P846" s="173" t="s">
        <v>28</v>
      </c>
      <c r="Q846" s="1" t="s">
        <v>1341</v>
      </c>
      <c r="R846" s="175">
        <v>6</v>
      </c>
      <c r="S846">
        <v>6</v>
      </c>
    </row>
    <row r="847" spans="1:19" x14ac:dyDescent="0.25">
      <c r="A847" s="87">
        <v>2019</v>
      </c>
      <c r="B847" s="87">
        <v>8</v>
      </c>
      <c r="C847" s="173" t="s">
        <v>16</v>
      </c>
      <c r="D847" s="173" t="s">
        <v>21</v>
      </c>
      <c r="E847" s="173" t="s">
        <v>18</v>
      </c>
      <c r="F847" s="173" t="s">
        <v>16</v>
      </c>
      <c r="G847" s="87" t="b">
        <v>1</v>
      </c>
      <c r="H847" s="87" t="b">
        <v>0</v>
      </c>
      <c r="I847" s="87" t="b">
        <v>0</v>
      </c>
      <c r="J847" s="173" t="s">
        <v>455</v>
      </c>
      <c r="K847" s="174">
        <v>13284872000170</v>
      </c>
      <c r="L847" s="173" t="s">
        <v>872</v>
      </c>
      <c r="M847" s="173" t="s">
        <v>873</v>
      </c>
      <c r="N847" s="173" t="s">
        <v>74</v>
      </c>
      <c r="O847" s="87">
        <v>70</v>
      </c>
      <c r="P847" s="173" t="s">
        <v>20</v>
      </c>
      <c r="Q847" s="1" t="s">
        <v>1338</v>
      </c>
      <c r="R847" s="175">
        <v>30</v>
      </c>
      <c r="S847">
        <v>6</v>
      </c>
    </row>
    <row r="848" spans="1:19" x14ac:dyDescent="0.25">
      <c r="A848" s="87">
        <v>2019</v>
      </c>
      <c r="B848" s="87">
        <v>8</v>
      </c>
      <c r="C848" s="173" t="s">
        <v>16</v>
      </c>
      <c r="D848" s="173" t="s">
        <v>21</v>
      </c>
      <c r="E848" s="173" t="s">
        <v>18</v>
      </c>
      <c r="F848" s="173" t="s">
        <v>16</v>
      </c>
      <c r="G848" s="87" t="b">
        <v>1</v>
      </c>
      <c r="H848" s="87" t="b">
        <v>0</v>
      </c>
      <c r="I848" s="87" t="b">
        <v>0</v>
      </c>
      <c r="J848" s="173" t="s">
        <v>450</v>
      </c>
      <c r="K848" s="174">
        <v>13718999000150</v>
      </c>
      <c r="L848" s="173" t="s">
        <v>584</v>
      </c>
      <c r="M848" s="173" t="s">
        <v>29</v>
      </c>
      <c r="N848" s="173" t="s">
        <v>19</v>
      </c>
      <c r="O848" s="87">
        <v>73</v>
      </c>
      <c r="P848" s="173" t="s">
        <v>26</v>
      </c>
      <c r="Q848" s="1" t="s">
        <v>1342</v>
      </c>
      <c r="R848" s="175">
        <v>4</v>
      </c>
      <c r="S848">
        <v>1</v>
      </c>
    </row>
    <row r="849" spans="1:19" x14ac:dyDescent="0.25">
      <c r="A849" s="87">
        <v>2019</v>
      </c>
      <c r="B849" s="87">
        <v>8</v>
      </c>
      <c r="C849" s="173" t="s">
        <v>16</v>
      </c>
      <c r="D849" s="173" t="s">
        <v>21</v>
      </c>
      <c r="E849" s="173" t="s">
        <v>18</v>
      </c>
      <c r="F849" s="173" t="s">
        <v>16</v>
      </c>
      <c r="G849" s="87" t="b">
        <v>1</v>
      </c>
      <c r="H849" s="87" t="b">
        <v>0</v>
      </c>
      <c r="I849" s="87" t="b">
        <v>0</v>
      </c>
      <c r="J849" s="173" t="s">
        <v>450</v>
      </c>
      <c r="K849" s="174">
        <v>13718999001041</v>
      </c>
      <c r="L849" s="173" t="s">
        <v>662</v>
      </c>
      <c r="M849" s="173" t="s">
        <v>647</v>
      </c>
      <c r="N849" s="173" t="s">
        <v>19</v>
      </c>
      <c r="O849" s="87">
        <v>73</v>
      </c>
      <c r="P849" s="173" t="s">
        <v>26</v>
      </c>
      <c r="Q849" s="1" t="s">
        <v>1342</v>
      </c>
      <c r="R849" s="175">
        <v>4</v>
      </c>
      <c r="S849">
        <v>1</v>
      </c>
    </row>
    <row r="850" spans="1:19" x14ac:dyDescent="0.25">
      <c r="A850" s="87">
        <v>2019</v>
      </c>
      <c r="B850" s="87">
        <v>8</v>
      </c>
      <c r="C850" s="173" t="s">
        <v>16</v>
      </c>
      <c r="D850" s="173" t="s">
        <v>21</v>
      </c>
      <c r="E850" s="173" t="s">
        <v>18</v>
      </c>
      <c r="F850" s="173" t="s">
        <v>16</v>
      </c>
      <c r="G850" s="87" t="b">
        <v>1</v>
      </c>
      <c r="H850" s="87" t="b">
        <v>0</v>
      </c>
      <c r="I850" s="87" t="b">
        <v>0</v>
      </c>
      <c r="J850" s="173" t="s">
        <v>464</v>
      </c>
      <c r="K850" s="174">
        <v>13952064000134</v>
      </c>
      <c r="L850" s="173" t="s">
        <v>875</v>
      </c>
      <c r="M850" s="173" t="s">
        <v>75</v>
      </c>
      <c r="N850" s="173" t="s">
        <v>74</v>
      </c>
      <c r="O850" s="87">
        <v>64</v>
      </c>
      <c r="P850" s="173" t="s">
        <v>25</v>
      </c>
      <c r="Q850" s="1" t="s">
        <v>1344</v>
      </c>
      <c r="R850" s="175">
        <v>8</v>
      </c>
      <c r="S850">
        <v>8</v>
      </c>
    </row>
    <row r="851" spans="1:19" x14ac:dyDescent="0.25">
      <c r="A851" s="87">
        <v>2019</v>
      </c>
      <c r="B851" s="87">
        <v>8</v>
      </c>
      <c r="C851" s="173" t="s">
        <v>16</v>
      </c>
      <c r="D851" s="173" t="s">
        <v>21</v>
      </c>
      <c r="E851" s="173" t="s">
        <v>18</v>
      </c>
      <c r="F851" s="173" t="s">
        <v>16</v>
      </c>
      <c r="G851" s="87" t="b">
        <v>1</v>
      </c>
      <c r="H851" s="87" t="b">
        <v>0</v>
      </c>
      <c r="I851" s="87" t="b">
        <v>0</v>
      </c>
      <c r="J851" s="173" t="s">
        <v>451</v>
      </c>
      <c r="K851" s="174">
        <v>14112023000100</v>
      </c>
      <c r="L851" s="173" t="s">
        <v>1161</v>
      </c>
      <c r="M851" s="173" t="s">
        <v>1162</v>
      </c>
      <c r="N851" s="173" t="s">
        <v>52</v>
      </c>
      <c r="O851" s="87">
        <v>70</v>
      </c>
      <c r="P851" s="173" t="s">
        <v>20</v>
      </c>
      <c r="Q851" s="1" t="s">
        <v>1345</v>
      </c>
      <c r="R851" s="175">
        <v>10</v>
      </c>
      <c r="S851">
        <v>1</v>
      </c>
    </row>
    <row r="852" spans="1:19" x14ac:dyDescent="0.25">
      <c r="A852" s="87">
        <v>2019</v>
      </c>
      <c r="B852" s="87">
        <v>8</v>
      </c>
      <c r="C852" s="173" t="s">
        <v>16</v>
      </c>
      <c r="D852" s="173" t="s">
        <v>21</v>
      </c>
      <c r="E852" s="173" t="s">
        <v>18</v>
      </c>
      <c r="F852" s="173" t="s">
        <v>16</v>
      </c>
      <c r="G852" s="87" t="b">
        <v>1</v>
      </c>
      <c r="H852" s="87" t="b">
        <v>0</v>
      </c>
      <c r="I852" s="87" t="b">
        <v>0</v>
      </c>
      <c r="J852" s="173" t="s">
        <v>451</v>
      </c>
      <c r="K852" s="174">
        <v>14112023000100</v>
      </c>
      <c r="L852" s="173" t="s">
        <v>1161</v>
      </c>
      <c r="M852" s="173" t="s">
        <v>1162</v>
      </c>
      <c r="N852" s="173" t="s">
        <v>52</v>
      </c>
      <c r="O852" s="87">
        <v>70</v>
      </c>
      <c r="P852" s="173" t="s">
        <v>20</v>
      </c>
      <c r="Q852" s="1" t="s">
        <v>1346</v>
      </c>
      <c r="R852" s="175">
        <v>2.5</v>
      </c>
      <c r="S852">
        <v>1</v>
      </c>
    </row>
    <row r="853" spans="1:19" x14ac:dyDescent="0.25">
      <c r="A853" s="87">
        <v>2019</v>
      </c>
      <c r="B853" s="87">
        <v>8</v>
      </c>
      <c r="C853" s="173" t="s">
        <v>16</v>
      </c>
      <c r="D853" s="173" t="s">
        <v>21</v>
      </c>
      <c r="E853" s="173" t="s">
        <v>18</v>
      </c>
      <c r="F853" s="173" t="s">
        <v>16</v>
      </c>
      <c r="G853" s="87" t="b">
        <v>1</v>
      </c>
      <c r="H853" s="87" t="b">
        <v>0</v>
      </c>
      <c r="I853" s="87" t="b">
        <v>0</v>
      </c>
      <c r="J853" s="173" t="s">
        <v>451</v>
      </c>
      <c r="K853" s="174">
        <v>14112023000100</v>
      </c>
      <c r="L853" s="173" t="s">
        <v>1161</v>
      </c>
      <c r="M853" s="173" t="s">
        <v>1162</v>
      </c>
      <c r="N853" s="173" t="s">
        <v>52</v>
      </c>
      <c r="O853" s="87">
        <v>70</v>
      </c>
      <c r="P853" s="173" t="s">
        <v>20</v>
      </c>
      <c r="Q853" s="1" t="s">
        <v>1338</v>
      </c>
      <c r="R853" s="175">
        <v>5</v>
      </c>
      <c r="S853">
        <v>1</v>
      </c>
    </row>
    <row r="854" spans="1:19" x14ac:dyDescent="0.25">
      <c r="A854" s="87">
        <v>2019</v>
      </c>
      <c r="B854" s="87">
        <v>8</v>
      </c>
      <c r="C854" s="173" t="s">
        <v>16</v>
      </c>
      <c r="D854" s="173" t="s">
        <v>21</v>
      </c>
      <c r="E854" s="173" t="s">
        <v>18</v>
      </c>
      <c r="F854" s="173" t="s">
        <v>16</v>
      </c>
      <c r="G854" s="87" t="b">
        <v>1</v>
      </c>
      <c r="H854" s="87" t="b">
        <v>0</v>
      </c>
      <c r="I854" s="87" t="b">
        <v>0</v>
      </c>
      <c r="J854" s="173" t="s">
        <v>478</v>
      </c>
      <c r="K854" s="174">
        <v>14408631000159</v>
      </c>
      <c r="L854" s="173" t="s">
        <v>1163</v>
      </c>
      <c r="M854" s="173" t="s">
        <v>1164</v>
      </c>
      <c r="N854" s="173" t="s">
        <v>54</v>
      </c>
      <c r="O854" s="87">
        <v>73</v>
      </c>
      <c r="P854" s="173" t="s">
        <v>26</v>
      </c>
      <c r="Q854" s="1" t="s">
        <v>1339</v>
      </c>
      <c r="R854" s="175">
        <v>4</v>
      </c>
      <c r="S854">
        <v>2</v>
      </c>
    </row>
    <row r="855" spans="1:19" x14ac:dyDescent="0.25">
      <c r="A855" s="87">
        <v>2019</v>
      </c>
      <c r="B855" s="87">
        <v>8</v>
      </c>
      <c r="C855" s="173" t="s">
        <v>16</v>
      </c>
      <c r="D855" s="173" t="s">
        <v>21</v>
      </c>
      <c r="E855" s="173" t="s">
        <v>18</v>
      </c>
      <c r="F855" s="173" t="s">
        <v>16</v>
      </c>
      <c r="G855" s="87" t="b">
        <v>1</v>
      </c>
      <c r="H855" s="87" t="b">
        <v>0</v>
      </c>
      <c r="I855" s="87" t="b">
        <v>0</v>
      </c>
      <c r="J855" s="173" t="s">
        <v>478</v>
      </c>
      <c r="K855" s="174">
        <v>14408631000159</v>
      </c>
      <c r="L855" s="173" t="s">
        <v>1163</v>
      </c>
      <c r="M855" s="173" t="s">
        <v>1164</v>
      </c>
      <c r="N855" s="173" t="s">
        <v>54</v>
      </c>
      <c r="O855" s="87">
        <v>73</v>
      </c>
      <c r="P855" s="173" t="s">
        <v>26</v>
      </c>
      <c r="Q855" s="1" t="s">
        <v>1342</v>
      </c>
      <c r="R855" s="175">
        <v>4</v>
      </c>
      <c r="S855">
        <v>1</v>
      </c>
    </row>
    <row r="856" spans="1:19" x14ac:dyDescent="0.25">
      <c r="A856" s="87">
        <v>2019</v>
      </c>
      <c r="B856" s="87">
        <v>8</v>
      </c>
      <c r="C856" s="173" t="s">
        <v>16</v>
      </c>
      <c r="D856" s="173" t="s">
        <v>21</v>
      </c>
      <c r="E856" s="173" t="s">
        <v>18</v>
      </c>
      <c r="F856" s="173" t="s">
        <v>16</v>
      </c>
      <c r="G856" s="87" t="b">
        <v>1</v>
      </c>
      <c r="H856" s="87" t="b">
        <v>0</v>
      </c>
      <c r="I856" s="87" t="b">
        <v>0</v>
      </c>
      <c r="J856" s="173" t="s">
        <v>1330</v>
      </c>
      <c r="K856" s="174">
        <v>15126437000305</v>
      </c>
      <c r="L856" s="173" t="s">
        <v>879</v>
      </c>
      <c r="M856" s="173" t="s">
        <v>739</v>
      </c>
      <c r="N856" s="173" t="s">
        <v>55</v>
      </c>
      <c r="O856" s="87">
        <v>70</v>
      </c>
      <c r="P856" s="173" t="s">
        <v>20</v>
      </c>
      <c r="Q856" s="1" t="s">
        <v>1338</v>
      </c>
      <c r="R856" s="175">
        <v>550</v>
      </c>
      <c r="S856">
        <v>110</v>
      </c>
    </row>
    <row r="857" spans="1:19" x14ac:dyDescent="0.25">
      <c r="A857" s="87">
        <v>2019</v>
      </c>
      <c r="B857" s="87">
        <v>8</v>
      </c>
      <c r="C857" s="173" t="s">
        <v>16</v>
      </c>
      <c r="D857" s="173" t="s">
        <v>21</v>
      </c>
      <c r="E857" s="173" t="s">
        <v>18</v>
      </c>
      <c r="F857" s="173" t="s">
        <v>16</v>
      </c>
      <c r="G857" s="87" t="b">
        <v>1</v>
      </c>
      <c r="H857" s="87" t="b">
        <v>0</v>
      </c>
      <c r="I857" s="87" t="b">
        <v>0</v>
      </c>
      <c r="J857" s="173" t="s">
        <v>453</v>
      </c>
      <c r="K857" s="174">
        <v>15126437000496</v>
      </c>
      <c r="L857" s="173" t="s">
        <v>880</v>
      </c>
      <c r="M857" s="173" t="s">
        <v>777</v>
      </c>
      <c r="N857" s="173" t="s">
        <v>72</v>
      </c>
      <c r="O857" s="87">
        <v>62</v>
      </c>
      <c r="P857" s="173" t="s">
        <v>27</v>
      </c>
      <c r="Q857" s="1" t="s">
        <v>1343</v>
      </c>
      <c r="R857" s="175">
        <v>9</v>
      </c>
      <c r="S857">
        <v>9</v>
      </c>
    </row>
    <row r="858" spans="1:19" x14ac:dyDescent="0.25">
      <c r="A858" s="87">
        <v>2019</v>
      </c>
      <c r="B858" s="87">
        <v>8</v>
      </c>
      <c r="C858" s="173" t="s">
        <v>16</v>
      </c>
      <c r="D858" s="173" t="s">
        <v>21</v>
      </c>
      <c r="E858" s="173" t="s">
        <v>18</v>
      </c>
      <c r="F858" s="173" t="s">
        <v>16</v>
      </c>
      <c r="G858" s="87" t="b">
        <v>1</v>
      </c>
      <c r="H858" s="87" t="b">
        <v>0</v>
      </c>
      <c r="I858" s="87" t="b">
        <v>0</v>
      </c>
      <c r="J858" s="173" t="s">
        <v>453</v>
      </c>
      <c r="K858" s="174">
        <v>15126437000496</v>
      </c>
      <c r="L858" s="173" t="s">
        <v>880</v>
      </c>
      <c r="M858" s="173" t="s">
        <v>777</v>
      </c>
      <c r="N858" s="173" t="s">
        <v>72</v>
      </c>
      <c r="O858" s="87">
        <v>64</v>
      </c>
      <c r="P858" s="173" t="s">
        <v>25</v>
      </c>
      <c r="Q858" s="1" t="s">
        <v>1344</v>
      </c>
      <c r="R858" s="175">
        <v>4</v>
      </c>
      <c r="S858">
        <v>4</v>
      </c>
    </row>
    <row r="859" spans="1:19" x14ac:dyDescent="0.25">
      <c r="A859" s="87">
        <v>2019</v>
      </c>
      <c r="B859" s="87">
        <v>8</v>
      </c>
      <c r="C859" s="173" t="s">
        <v>16</v>
      </c>
      <c r="D859" s="173" t="s">
        <v>21</v>
      </c>
      <c r="E859" s="173" t="s">
        <v>18</v>
      </c>
      <c r="F859" s="173" t="s">
        <v>16</v>
      </c>
      <c r="G859" s="87" t="b">
        <v>1</v>
      </c>
      <c r="H859" s="87" t="b">
        <v>0</v>
      </c>
      <c r="I859" s="87" t="b">
        <v>0</v>
      </c>
      <c r="J859" s="173" t="s">
        <v>1330</v>
      </c>
      <c r="K859" s="174">
        <v>15126437001468</v>
      </c>
      <c r="L859" s="173" t="s">
        <v>883</v>
      </c>
      <c r="M859" s="173" t="s">
        <v>76</v>
      </c>
      <c r="N859" s="173" t="s">
        <v>77</v>
      </c>
      <c r="O859" s="87">
        <v>64</v>
      </c>
      <c r="P859" s="173" t="s">
        <v>25</v>
      </c>
      <c r="Q859" s="1" t="s">
        <v>1344</v>
      </c>
      <c r="R859" s="175">
        <v>20</v>
      </c>
      <c r="S859">
        <v>20</v>
      </c>
    </row>
    <row r="860" spans="1:19" x14ac:dyDescent="0.25">
      <c r="A860" s="87">
        <v>2019</v>
      </c>
      <c r="B860" s="87">
        <v>8</v>
      </c>
      <c r="C860" s="173" t="s">
        <v>16</v>
      </c>
      <c r="D860" s="173" t="s">
        <v>21</v>
      </c>
      <c r="E860" s="173" t="s">
        <v>18</v>
      </c>
      <c r="F860" s="173" t="s">
        <v>16</v>
      </c>
      <c r="G860" s="87" t="b">
        <v>1</v>
      </c>
      <c r="H860" s="87" t="b">
        <v>0</v>
      </c>
      <c r="I860" s="87" t="b">
        <v>0</v>
      </c>
      <c r="J860" s="173" t="s">
        <v>449</v>
      </c>
      <c r="K860" s="174">
        <v>15126437001972</v>
      </c>
      <c r="L860" s="173" t="s">
        <v>966</v>
      </c>
      <c r="M860" s="173" t="s">
        <v>87</v>
      </c>
      <c r="N860" s="173" t="s">
        <v>67</v>
      </c>
      <c r="O860" s="87">
        <v>62</v>
      </c>
      <c r="P860" s="173" t="s">
        <v>27</v>
      </c>
      <c r="Q860" s="1" t="s">
        <v>1343</v>
      </c>
      <c r="R860" s="175">
        <v>15</v>
      </c>
      <c r="S860">
        <v>15</v>
      </c>
    </row>
    <row r="861" spans="1:19" x14ac:dyDescent="0.25">
      <c r="A861" s="87">
        <v>2019</v>
      </c>
      <c r="B861" s="87">
        <v>8</v>
      </c>
      <c r="C861" s="173" t="s">
        <v>16</v>
      </c>
      <c r="D861" s="173" t="s">
        <v>21</v>
      </c>
      <c r="E861" s="173" t="s">
        <v>18</v>
      </c>
      <c r="F861" s="173" t="s">
        <v>16</v>
      </c>
      <c r="G861" s="87" t="b">
        <v>1</v>
      </c>
      <c r="H861" s="87" t="b">
        <v>0</v>
      </c>
      <c r="I861" s="87" t="b">
        <v>0</v>
      </c>
      <c r="J861" s="173" t="s">
        <v>460</v>
      </c>
      <c r="K861" s="174">
        <v>15140254000182</v>
      </c>
      <c r="L861" s="173" t="s">
        <v>886</v>
      </c>
      <c r="M861" s="173" t="s">
        <v>75</v>
      </c>
      <c r="N861" s="173" t="s">
        <v>74</v>
      </c>
      <c r="O861" s="87">
        <v>73</v>
      </c>
      <c r="P861" s="173" t="s">
        <v>26</v>
      </c>
      <c r="Q861" s="1" t="s">
        <v>1339</v>
      </c>
      <c r="R861" s="175">
        <v>2</v>
      </c>
      <c r="S861">
        <v>1</v>
      </c>
    </row>
    <row r="862" spans="1:19" x14ac:dyDescent="0.25">
      <c r="A862" s="87">
        <v>2019</v>
      </c>
      <c r="B862" s="87">
        <v>8</v>
      </c>
      <c r="C862" s="173" t="s">
        <v>16</v>
      </c>
      <c r="D862" s="173" t="s">
        <v>21</v>
      </c>
      <c r="E862" s="173" t="s">
        <v>18</v>
      </c>
      <c r="F862" s="173" t="s">
        <v>16</v>
      </c>
      <c r="G862" s="87" t="b">
        <v>1</v>
      </c>
      <c r="H862" s="87" t="b">
        <v>0</v>
      </c>
      <c r="I862" s="87" t="b">
        <v>0</v>
      </c>
      <c r="J862" s="173" t="s">
        <v>460</v>
      </c>
      <c r="K862" s="174">
        <v>15153745002705</v>
      </c>
      <c r="L862" s="173" t="s">
        <v>888</v>
      </c>
      <c r="M862" s="173" t="s">
        <v>75</v>
      </c>
      <c r="N862" s="173" t="s">
        <v>74</v>
      </c>
      <c r="O862" s="87">
        <v>64</v>
      </c>
      <c r="P862" s="173" t="s">
        <v>25</v>
      </c>
      <c r="Q862" s="1" t="s">
        <v>1344</v>
      </c>
      <c r="R862" s="175">
        <v>10</v>
      </c>
      <c r="S862">
        <v>10</v>
      </c>
    </row>
    <row r="863" spans="1:19" x14ac:dyDescent="0.25">
      <c r="A863" s="87">
        <v>2019</v>
      </c>
      <c r="B863" s="87">
        <v>8</v>
      </c>
      <c r="C863" s="173" t="s">
        <v>16</v>
      </c>
      <c r="D863" s="173" t="s">
        <v>21</v>
      </c>
      <c r="E863" s="173" t="s">
        <v>18</v>
      </c>
      <c r="F863" s="173" t="s">
        <v>16</v>
      </c>
      <c r="G863" s="87" t="b">
        <v>1</v>
      </c>
      <c r="H863" s="87" t="b">
        <v>0</v>
      </c>
      <c r="I863" s="87" t="b">
        <v>0</v>
      </c>
      <c r="J863" s="173" t="s">
        <v>460</v>
      </c>
      <c r="K863" s="174">
        <v>15166416000151</v>
      </c>
      <c r="L863" s="173" t="s">
        <v>889</v>
      </c>
      <c r="M863" s="173" t="s">
        <v>75</v>
      </c>
      <c r="N863" s="173" t="s">
        <v>74</v>
      </c>
      <c r="O863" s="87">
        <v>62</v>
      </c>
      <c r="P863" s="173" t="s">
        <v>27</v>
      </c>
      <c r="Q863" s="1" t="s">
        <v>1343</v>
      </c>
      <c r="R863" s="175">
        <v>8</v>
      </c>
      <c r="S863">
        <v>8</v>
      </c>
    </row>
    <row r="864" spans="1:19" x14ac:dyDescent="0.25">
      <c r="A864" s="87">
        <v>2019</v>
      </c>
      <c r="B864" s="87">
        <v>8</v>
      </c>
      <c r="C864" s="173" t="s">
        <v>16</v>
      </c>
      <c r="D864" s="173" t="s">
        <v>21</v>
      </c>
      <c r="E864" s="173" t="s">
        <v>18</v>
      </c>
      <c r="F864" s="173" t="s">
        <v>16</v>
      </c>
      <c r="G864" s="87" t="b">
        <v>1</v>
      </c>
      <c r="H864" s="87" t="b">
        <v>0</v>
      </c>
      <c r="I864" s="87" t="b">
        <v>0</v>
      </c>
      <c r="J864" s="173" t="s">
        <v>460</v>
      </c>
      <c r="K864" s="174">
        <v>15166416000151</v>
      </c>
      <c r="L864" s="173" t="s">
        <v>889</v>
      </c>
      <c r="M864" s="173" t="s">
        <v>75</v>
      </c>
      <c r="N864" s="173" t="s">
        <v>74</v>
      </c>
      <c r="O864" s="87">
        <v>64</v>
      </c>
      <c r="P864" s="173" t="s">
        <v>25</v>
      </c>
      <c r="Q864" s="1" t="s">
        <v>1344</v>
      </c>
      <c r="R864" s="175">
        <v>29</v>
      </c>
      <c r="S864">
        <v>29</v>
      </c>
    </row>
    <row r="865" spans="1:19" x14ac:dyDescent="0.25">
      <c r="A865" s="87">
        <v>2019</v>
      </c>
      <c r="B865" s="87">
        <v>8</v>
      </c>
      <c r="C865" s="173" t="s">
        <v>16</v>
      </c>
      <c r="D865" s="173" t="s">
        <v>21</v>
      </c>
      <c r="E865" s="173" t="s">
        <v>18</v>
      </c>
      <c r="F865" s="173" t="s">
        <v>16</v>
      </c>
      <c r="G865" s="87" t="b">
        <v>1</v>
      </c>
      <c r="H865" s="87" t="b">
        <v>0</v>
      </c>
      <c r="I865" s="87" t="b">
        <v>0</v>
      </c>
      <c r="J865" s="173" t="s">
        <v>455</v>
      </c>
      <c r="K865" s="174">
        <v>15194004000125</v>
      </c>
      <c r="L865" s="173" t="s">
        <v>895</v>
      </c>
      <c r="M865" s="173" t="s">
        <v>75</v>
      </c>
      <c r="N865" s="173" t="s">
        <v>74</v>
      </c>
      <c r="O865" s="87">
        <v>64</v>
      </c>
      <c r="P865" s="173" t="s">
        <v>25</v>
      </c>
      <c r="Q865" s="1" t="s">
        <v>1344</v>
      </c>
      <c r="R865" s="175">
        <v>5</v>
      </c>
      <c r="S865">
        <v>5</v>
      </c>
    </row>
    <row r="866" spans="1:19" x14ac:dyDescent="0.25">
      <c r="A866" s="87">
        <v>2019</v>
      </c>
      <c r="B866" s="87">
        <v>8</v>
      </c>
      <c r="C866" s="173" t="s">
        <v>16</v>
      </c>
      <c r="D866" s="173" t="s">
        <v>21</v>
      </c>
      <c r="E866" s="173" t="s">
        <v>18</v>
      </c>
      <c r="F866" s="173" t="s">
        <v>16</v>
      </c>
      <c r="G866" s="87" t="b">
        <v>1</v>
      </c>
      <c r="H866" s="87" t="b">
        <v>0</v>
      </c>
      <c r="I866" s="87" t="b">
        <v>0</v>
      </c>
      <c r="J866" s="173" t="s">
        <v>472</v>
      </c>
      <c r="K866" s="174">
        <v>15592785000106</v>
      </c>
      <c r="L866" s="173" t="s">
        <v>897</v>
      </c>
      <c r="M866" s="173" t="s">
        <v>84</v>
      </c>
      <c r="N866" s="173" t="s">
        <v>85</v>
      </c>
      <c r="O866" s="87">
        <v>70</v>
      </c>
      <c r="P866" s="173" t="s">
        <v>20</v>
      </c>
      <c r="Q866" s="1" t="s">
        <v>1338</v>
      </c>
      <c r="R866" s="175">
        <v>25</v>
      </c>
      <c r="S866">
        <v>5</v>
      </c>
    </row>
    <row r="867" spans="1:19" x14ac:dyDescent="0.25">
      <c r="A867" s="87">
        <v>2019</v>
      </c>
      <c r="B867" s="87">
        <v>8</v>
      </c>
      <c r="C867" s="173" t="s">
        <v>16</v>
      </c>
      <c r="D867" s="173" t="s">
        <v>21</v>
      </c>
      <c r="E867" s="173" t="s">
        <v>18</v>
      </c>
      <c r="F867" s="173" t="s">
        <v>16</v>
      </c>
      <c r="G867" s="87" t="b">
        <v>1</v>
      </c>
      <c r="H867" s="87" t="b">
        <v>0</v>
      </c>
      <c r="I867" s="87" t="b">
        <v>0</v>
      </c>
      <c r="J867" s="173" t="s">
        <v>460</v>
      </c>
      <c r="K867" s="174">
        <v>16064313000577</v>
      </c>
      <c r="L867" s="173" t="s">
        <v>898</v>
      </c>
      <c r="M867" s="173" t="s">
        <v>84</v>
      </c>
      <c r="N867" s="173" t="s">
        <v>85</v>
      </c>
      <c r="O867" s="87">
        <v>73</v>
      </c>
      <c r="P867" s="173" t="s">
        <v>26</v>
      </c>
      <c r="Q867" s="1" t="s">
        <v>1339</v>
      </c>
      <c r="R867" s="175">
        <v>18</v>
      </c>
      <c r="S867">
        <v>9</v>
      </c>
    </row>
    <row r="868" spans="1:19" x14ac:dyDescent="0.25">
      <c r="A868" s="87">
        <v>2019</v>
      </c>
      <c r="B868" s="87">
        <v>8</v>
      </c>
      <c r="C868" s="173" t="s">
        <v>16</v>
      </c>
      <c r="D868" s="173" t="s">
        <v>21</v>
      </c>
      <c r="E868" s="173" t="s">
        <v>18</v>
      </c>
      <c r="F868" s="173" t="s">
        <v>16</v>
      </c>
      <c r="G868" s="87" t="b">
        <v>1</v>
      </c>
      <c r="H868" s="87" t="b">
        <v>0</v>
      </c>
      <c r="I868" s="87" t="b">
        <v>0</v>
      </c>
      <c r="J868" s="173" t="s">
        <v>460</v>
      </c>
      <c r="K868" s="174">
        <v>16064313000577</v>
      </c>
      <c r="L868" s="173" t="s">
        <v>898</v>
      </c>
      <c r="M868" s="173" t="s">
        <v>84</v>
      </c>
      <c r="N868" s="173" t="s">
        <v>85</v>
      </c>
      <c r="O868" s="87">
        <v>73</v>
      </c>
      <c r="P868" s="173" t="s">
        <v>26</v>
      </c>
      <c r="Q868" s="1" t="s">
        <v>1340</v>
      </c>
      <c r="R868" s="175">
        <v>5</v>
      </c>
      <c r="S868">
        <v>5</v>
      </c>
    </row>
    <row r="869" spans="1:19" x14ac:dyDescent="0.25">
      <c r="A869" s="87">
        <v>2019</v>
      </c>
      <c r="B869" s="87">
        <v>8</v>
      </c>
      <c r="C869" s="173" t="s">
        <v>16</v>
      </c>
      <c r="D869" s="173" t="s">
        <v>21</v>
      </c>
      <c r="E869" s="173" t="s">
        <v>18</v>
      </c>
      <c r="F869" s="173" t="s">
        <v>16</v>
      </c>
      <c r="G869" s="87" t="b">
        <v>1</v>
      </c>
      <c r="H869" s="87" t="b">
        <v>0</v>
      </c>
      <c r="I869" s="87" t="b">
        <v>0</v>
      </c>
      <c r="J869" s="173" t="s">
        <v>460</v>
      </c>
      <c r="K869" s="174">
        <v>16475154000250</v>
      </c>
      <c r="L869" s="173" t="s">
        <v>899</v>
      </c>
      <c r="M869" s="173" t="s">
        <v>75</v>
      </c>
      <c r="N869" s="173" t="s">
        <v>74</v>
      </c>
      <c r="O869" s="87">
        <v>64</v>
      </c>
      <c r="P869" s="173" t="s">
        <v>25</v>
      </c>
      <c r="Q869" s="1" t="s">
        <v>1344</v>
      </c>
      <c r="R869" s="175">
        <v>3</v>
      </c>
      <c r="S869">
        <v>3</v>
      </c>
    </row>
    <row r="870" spans="1:19" x14ac:dyDescent="0.25">
      <c r="A870" s="87">
        <v>2019</v>
      </c>
      <c r="B870" s="87">
        <v>8</v>
      </c>
      <c r="C870" s="173" t="s">
        <v>16</v>
      </c>
      <c r="D870" s="173" t="s">
        <v>21</v>
      </c>
      <c r="E870" s="173" t="s">
        <v>18</v>
      </c>
      <c r="F870" s="173" t="s">
        <v>16</v>
      </c>
      <c r="G870" s="87" t="b">
        <v>1</v>
      </c>
      <c r="H870" s="87" t="b">
        <v>0</v>
      </c>
      <c r="I870" s="87" t="b">
        <v>0</v>
      </c>
      <c r="J870" s="173" t="s">
        <v>468</v>
      </c>
      <c r="K870" s="174">
        <v>16739984000167</v>
      </c>
      <c r="L870" s="173" t="s">
        <v>900</v>
      </c>
      <c r="M870" s="173" t="s">
        <v>739</v>
      </c>
      <c r="N870" s="173" t="s">
        <v>55</v>
      </c>
      <c r="O870" s="87">
        <v>73</v>
      </c>
      <c r="P870" s="173" t="s">
        <v>26</v>
      </c>
      <c r="Q870" s="1" t="s">
        <v>1339</v>
      </c>
      <c r="R870" s="175">
        <v>6</v>
      </c>
      <c r="S870">
        <v>3</v>
      </c>
    </row>
    <row r="871" spans="1:19" x14ac:dyDescent="0.25">
      <c r="A871" s="87">
        <v>2019</v>
      </c>
      <c r="B871" s="87">
        <v>8</v>
      </c>
      <c r="C871" s="173" t="s">
        <v>16</v>
      </c>
      <c r="D871" s="173" t="s">
        <v>21</v>
      </c>
      <c r="E871" s="173" t="s">
        <v>18</v>
      </c>
      <c r="F871" s="173" t="s">
        <v>16</v>
      </c>
      <c r="G871" s="87" t="b">
        <v>1</v>
      </c>
      <c r="H871" s="87" t="b">
        <v>0</v>
      </c>
      <c r="I871" s="87" t="b">
        <v>0</v>
      </c>
      <c r="J871" s="173" t="s">
        <v>468</v>
      </c>
      <c r="K871" s="174">
        <v>16739984000167</v>
      </c>
      <c r="L871" s="173" t="s">
        <v>900</v>
      </c>
      <c r="M871" s="173" t="s">
        <v>739</v>
      </c>
      <c r="N871" s="173" t="s">
        <v>55</v>
      </c>
      <c r="O871" s="87">
        <v>73</v>
      </c>
      <c r="P871" s="173" t="s">
        <v>26</v>
      </c>
      <c r="Q871" s="1" t="s">
        <v>1342</v>
      </c>
      <c r="R871" s="175">
        <v>24</v>
      </c>
      <c r="S871">
        <v>6</v>
      </c>
    </row>
    <row r="872" spans="1:19" x14ac:dyDescent="0.25">
      <c r="A872" s="87">
        <v>2019</v>
      </c>
      <c r="B872" s="87">
        <v>8</v>
      </c>
      <c r="C872" s="173" t="s">
        <v>16</v>
      </c>
      <c r="D872" s="173" t="s">
        <v>21</v>
      </c>
      <c r="E872" s="173" t="s">
        <v>18</v>
      </c>
      <c r="F872" s="173" t="s">
        <v>16</v>
      </c>
      <c r="G872" s="87" t="b">
        <v>1</v>
      </c>
      <c r="H872" s="87" t="b">
        <v>0</v>
      </c>
      <c r="I872" s="87" t="b">
        <v>0</v>
      </c>
      <c r="J872" s="173" t="s">
        <v>468</v>
      </c>
      <c r="K872" s="174">
        <v>16739984000167</v>
      </c>
      <c r="L872" s="173" t="s">
        <v>900</v>
      </c>
      <c r="M872" s="173" t="s">
        <v>739</v>
      </c>
      <c r="N872" s="173" t="s">
        <v>55</v>
      </c>
      <c r="O872" s="87">
        <v>73</v>
      </c>
      <c r="P872" s="173" t="s">
        <v>26</v>
      </c>
      <c r="Q872" s="1" t="s">
        <v>1340</v>
      </c>
      <c r="R872" s="175">
        <v>6</v>
      </c>
      <c r="S872">
        <v>6</v>
      </c>
    </row>
    <row r="873" spans="1:19" x14ac:dyDescent="0.25">
      <c r="A873" s="87">
        <v>2019</v>
      </c>
      <c r="B873" s="87">
        <v>8</v>
      </c>
      <c r="C873" s="173" t="s">
        <v>16</v>
      </c>
      <c r="D873" s="173" t="s">
        <v>21</v>
      </c>
      <c r="E873" s="173" t="s">
        <v>18</v>
      </c>
      <c r="F873" s="173" t="s">
        <v>16</v>
      </c>
      <c r="G873" s="87" t="b">
        <v>1</v>
      </c>
      <c r="H873" s="87" t="b">
        <v>0</v>
      </c>
      <c r="I873" s="87" t="b">
        <v>0</v>
      </c>
      <c r="J873" s="173" t="s">
        <v>450</v>
      </c>
      <c r="K873" s="174">
        <v>17214149000176</v>
      </c>
      <c r="L873" s="173" t="s">
        <v>1172</v>
      </c>
      <c r="M873" s="173" t="s">
        <v>58</v>
      </c>
      <c r="N873" s="173" t="s">
        <v>54</v>
      </c>
      <c r="O873" s="87">
        <v>62</v>
      </c>
      <c r="P873" s="173" t="s">
        <v>27</v>
      </c>
      <c r="Q873" s="1" t="s">
        <v>1343</v>
      </c>
      <c r="R873" s="175">
        <v>10</v>
      </c>
      <c r="S873">
        <v>10</v>
      </c>
    </row>
    <row r="874" spans="1:19" x14ac:dyDescent="0.25">
      <c r="A874" s="87">
        <v>2019</v>
      </c>
      <c r="B874" s="87">
        <v>8</v>
      </c>
      <c r="C874" s="173" t="s">
        <v>16</v>
      </c>
      <c r="D874" s="173" t="s">
        <v>21</v>
      </c>
      <c r="E874" s="173" t="s">
        <v>18</v>
      </c>
      <c r="F874" s="173" t="s">
        <v>16</v>
      </c>
      <c r="G874" s="87" t="b">
        <v>1</v>
      </c>
      <c r="H874" s="87" t="b">
        <v>0</v>
      </c>
      <c r="I874" s="87" t="b">
        <v>0</v>
      </c>
      <c r="J874" s="173" t="s">
        <v>464</v>
      </c>
      <c r="K874" s="174">
        <v>17214149000176</v>
      </c>
      <c r="L874" s="173" t="s">
        <v>1172</v>
      </c>
      <c r="M874" s="173" t="s">
        <v>58</v>
      </c>
      <c r="N874" s="173" t="s">
        <v>54</v>
      </c>
      <c r="O874" s="87">
        <v>62</v>
      </c>
      <c r="P874" s="173" t="s">
        <v>27</v>
      </c>
      <c r="Q874" s="1" t="s">
        <v>1343</v>
      </c>
      <c r="R874" s="175">
        <v>8</v>
      </c>
      <c r="S874">
        <v>8</v>
      </c>
    </row>
    <row r="875" spans="1:19" x14ac:dyDescent="0.25">
      <c r="A875" s="87">
        <v>2019</v>
      </c>
      <c r="B875" s="87">
        <v>8</v>
      </c>
      <c r="C875" s="173" t="s">
        <v>16</v>
      </c>
      <c r="D875" s="173" t="s">
        <v>21</v>
      </c>
      <c r="E875" s="173" t="s">
        <v>18</v>
      </c>
      <c r="F875" s="173" t="s">
        <v>16</v>
      </c>
      <c r="G875" s="87" t="b">
        <v>1</v>
      </c>
      <c r="H875" s="87" t="b">
        <v>0</v>
      </c>
      <c r="I875" s="87" t="b">
        <v>0</v>
      </c>
      <c r="J875" s="173" t="s">
        <v>463</v>
      </c>
      <c r="K875" s="174">
        <v>17689407000928</v>
      </c>
      <c r="L875" s="173" t="s">
        <v>1174</v>
      </c>
      <c r="M875" s="173" t="s">
        <v>88</v>
      </c>
      <c r="N875" s="173" t="s">
        <v>54</v>
      </c>
      <c r="O875" s="87">
        <v>73</v>
      </c>
      <c r="P875" s="173" t="s">
        <v>26</v>
      </c>
      <c r="Q875" s="1" t="s">
        <v>1340</v>
      </c>
      <c r="R875" s="175">
        <v>6</v>
      </c>
      <c r="S875">
        <v>6</v>
      </c>
    </row>
    <row r="876" spans="1:19" x14ac:dyDescent="0.25">
      <c r="A876" s="87">
        <v>2019</v>
      </c>
      <c r="B876" s="87">
        <v>8</v>
      </c>
      <c r="C876" s="173" t="s">
        <v>16</v>
      </c>
      <c r="D876" s="173" t="s">
        <v>21</v>
      </c>
      <c r="E876" s="173" t="s">
        <v>18</v>
      </c>
      <c r="F876" s="173" t="s">
        <v>16</v>
      </c>
      <c r="G876" s="87" t="b">
        <v>1</v>
      </c>
      <c r="H876" s="87" t="b">
        <v>0</v>
      </c>
      <c r="I876" s="87" t="b">
        <v>0</v>
      </c>
      <c r="J876" s="173" t="s">
        <v>455</v>
      </c>
      <c r="K876" s="174">
        <v>17774738000613</v>
      </c>
      <c r="L876" s="173" t="s">
        <v>1175</v>
      </c>
      <c r="M876" s="173" t="s">
        <v>126</v>
      </c>
      <c r="N876" s="173" t="s">
        <v>54</v>
      </c>
      <c r="O876" s="87">
        <v>70</v>
      </c>
      <c r="P876" s="173" t="s">
        <v>20</v>
      </c>
      <c r="Q876" s="1" t="s">
        <v>1338</v>
      </c>
      <c r="R876" s="175">
        <v>180</v>
      </c>
      <c r="S876">
        <v>36</v>
      </c>
    </row>
    <row r="877" spans="1:19" x14ac:dyDescent="0.25">
      <c r="A877" s="87">
        <v>2019</v>
      </c>
      <c r="B877" s="87">
        <v>8</v>
      </c>
      <c r="C877" s="173" t="s">
        <v>16</v>
      </c>
      <c r="D877" s="173" t="s">
        <v>21</v>
      </c>
      <c r="E877" s="173" t="s">
        <v>18</v>
      </c>
      <c r="F877" s="173" t="s">
        <v>16</v>
      </c>
      <c r="G877" s="87" t="b">
        <v>1</v>
      </c>
      <c r="H877" s="87" t="b">
        <v>0</v>
      </c>
      <c r="I877" s="87" t="b">
        <v>0</v>
      </c>
      <c r="J877" s="173" t="s">
        <v>455</v>
      </c>
      <c r="K877" s="174">
        <v>18010750000100</v>
      </c>
      <c r="L877" s="173" t="s">
        <v>1092</v>
      </c>
      <c r="M877" s="173" t="s">
        <v>131</v>
      </c>
      <c r="N877" s="173" t="s">
        <v>61</v>
      </c>
      <c r="O877" s="87">
        <v>70</v>
      </c>
      <c r="P877" s="173" t="s">
        <v>20</v>
      </c>
      <c r="Q877" s="1" t="s">
        <v>1338</v>
      </c>
      <c r="R877" s="175">
        <v>125</v>
      </c>
      <c r="S877">
        <v>25</v>
      </c>
    </row>
    <row r="878" spans="1:19" x14ac:dyDescent="0.25">
      <c r="A878" s="87">
        <v>2019</v>
      </c>
      <c r="B878" s="87">
        <v>8</v>
      </c>
      <c r="C878" s="173" t="s">
        <v>16</v>
      </c>
      <c r="D878" s="173" t="s">
        <v>21</v>
      </c>
      <c r="E878" s="173" t="s">
        <v>18</v>
      </c>
      <c r="F878" s="173" t="s">
        <v>16</v>
      </c>
      <c r="G878" s="87" t="b">
        <v>1</v>
      </c>
      <c r="H878" s="87" t="b">
        <v>0</v>
      </c>
      <c r="I878" s="87" t="b">
        <v>0</v>
      </c>
      <c r="J878" s="173" t="s">
        <v>477</v>
      </c>
      <c r="K878" s="174">
        <v>18010750000100</v>
      </c>
      <c r="L878" s="173" t="s">
        <v>1092</v>
      </c>
      <c r="M878" s="173" t="s">
        <v>131</v>
      </c>
      <c r="N878" s="173" t="s">
        <v>61</v>
      </c>
      <c r="O878" s="87">
        <v>70</v>
      </c>
      <c r="P878" s="173" t="s">
        <v>20</v>
      </c>
      <c r="Q878" s="1" t="s">
        <v>1345</v>
      </c>
      <c r="R878" s="175">
        <v>140</v>
      </c>
      <c r="S878">
        <v>14</v>
      </c>
    </row>
    <row r="879" spans="1:19" x14ac:dyDescent="0.25">
      <c r="A879" s="87">
        <v>2019</v>
      </c>
      <c r="B879" s="87">
        <v>8</v>
      </c>
      <c r="C879" s="173" t="s">
        <v>16</v>
      </c>
      <c r="D879" s="173" t="s">
        <v>21</v>
      </c>
      <c r="E879" s="173" t="s">
        <v>18</v>
      </c>
      <c r="F879" s="173" t="s">
        <v>16</v>
      </c>
      <c r="G879" s="87" t="b">
        <v>1</v>
      </c>
      <c r="H879" s="87" t="b">
        <v>0</v>
      </c>
      <c r="I879" s="87" t="b">
        <v>0</v>
      </c>
      <c r="J879" s="173" t="s">
        <v>463</v>
      </c>
      <c r="K879" s="174">
        <v>18290268000170</v>
      </c>
      <c r="L879" s="173" t="s">
        <v>663</v>
      </c>
      <c r="M879" s="173" t="s">
        <v>35</v>
      </c>
      <c r="N879" s="173" t="s">
        <v>19</v>
      </c>
      <c r="O879" s="87">
        <v>64</v>
      </c>
      <c r="P879" s="173" t="s">
        <v>25</v>
      </c>
      <c r="Q879" s="1" t="s">
        <v>1344</v>
      </c>
      <c r="R879" s="175">
        <v>0</v>
      </c>
      <c r="S879">
        <v>0</v>
      </c>
    </row>
    <row r="880" spans="1:19" x14ac:dyDescent="0.25">
      <c r="A880" s="87">
        <v>2019</v>
      </c>
      <c r="B880" s="87">
        <v>8</v>
      </c>
      <c r="C880" s="173" t="s">
        <v>16</v>
      </c>
      <c r="D880" s="173" t="s">
        <v>21</v>
      </c>
      <c r="E880" s="173" t="s">
        <v>18</v>
      </c>
      <c r="F880" s="173" t="s">
        <v>16</v>
      </c>
      <c r="G880" s="87" t="b">
        <v>1</v>
      </c>
      <c r="H880" s="87" t="b">
        <v>0</v>
      </c>
      <c r="I880" s="87" t="b">
        <v>0</v>
      </c>
      <c r="J880" s="173" t="s">
        <v>450</v>
      </c>
      <c r="K880" s="174">
        <v>18321477000134</v>
      </c>
      <c r="L880" s="173" t="s">
        <v>664</v>
      </c>
      <c r="M880" s="173" t="s">
        <v>650</v>
      </c>
      <c r="N880" s="173" t="s">
        <v>19</v>
      </c>
      <c r="O880" s="87">
        <v>73</v>
      </c>
      <c r="P880" s="173" t="s">
        <v>26</v>
      </c>
      <c r="Q880" s="1" t="s">
        <v>1342</v>
      </c>
      <c r="R880" s="175">
        <v>48</v>
      </c>
      <c r="S880">
        <v>12</v>
      </c>
    </row>
    <row r="881" spans="1:19" x14ac:dyDescent="0.25">
      <c r="A881" s="87">
        <v>2019</v>
      </c>
      <c r="B881" s="87">
        <v>8</v>
      </c>
      <c r="C881" s="173" t="s">
        <v>16</v>
      </c>
      <c r="D881" s="173" t="s">
        <v>21</v>
      </c>
      <c r="E881" s="173" t="s">
        <v>18</v>
      </c>
      <c r="F881" s="173" t="s">
        <v>16</v>
      </c>
      <c r="G881" s="87" t="b">
        <v>1</v>
      </c>
      <c r="H881" s="87" t="b">
        <v>0</v>
      </c>
      <c r="I881" s="87" t="b">
        <v>0</v>
      </c>
      <c r="J881" s="173" t="s">
        <v>464</v>
      </c>
      <c r="K881" s="174">
        <v>18484378000173</v>
      </c>
      <c r="L881" s="173" t="s">
        <v>1176</v>
      </c>
      <c r="M881" s="173" t="s">
        <v>1171</v>
      </c>
      <c r="N881" s="173" t="s">
        <v>54</v>
      </c>
      <c r="O881" s="87">
        <v>62</v>
      </c>
      <c r="P881" s="173" t="s">
        <v>27</v>
      </c>
      <c r="Q881" s="1" t="s">
        <v>1343</v>
      </c>
      <c r="R881" s="175">
        <v>2</v>
      </c>
      <c r="S881">
        <v>2</v>
      </c>
    </row>
    <row r="882" spans="1:19" x14ac:dyDescent="0.25">
      <c r="A882" s="87">
        <v>2019</v>
      </c>
      <c r="B882" s="87">
        <v>8</v>
      </c>
      <c r="C882" s="173" t="s">
        <v>16</v>
      </c>
      <c r="D882" s="173" t="s">
        <v>21</v>
      </c>
      <c r="E882" s="173" t="s">
        <v>18</v>
      </c>
      <c r="F882" s="173" t="s">
        <v>16</v>
      </c>
      <c r="G882" s="87" t="b">
        <v>1</v>
      </c>
      <c r="H882" s="87" t="b">
        <v>0</v>
      </c>
      <c r="I882" s="87" t="b">
        <v>0</v>
      </c>
      <c r="J882" s="173" t="s">
        <v>450</v>
      </c>
      <c r="K882" s="174">
        <v>19056055000141</v>
      </c>
      <c r="L882" s="173" t="s">
        <v>586</v>
      </c>
      <c r="M882" s="173" t="s">
        <v>29</v>
      </c>
      <c r="N882" s="173" t="s">
        <v>19</v>
      </c>
      <c r="O882" s="87">
        <v>62</v>
      </c>
      <c r="P882" s="173" t="s">
        <v>27</v>
      </c>
      <c r="Q882" s="1" t="s">
        <v>1343</v>
      </c>
      <c r="R882" s="175">
        <v>3</v>
      </c>
      <c r="S882">
        <v>3</v>
      </c>
    </row>
    <row r="883" spans="1:19" x14ac:dyDescent="0.25">
      <c r="A883" s="87">
        <v>2019</v>
      </c>
      <c r="B883" s="87">
        <v>8</v>
      </c>
      <c r="C883" s="173" t="s">
        <v>16</v>
      </c>
      <c r="D883" s="173" t="s">
        <v>21</v>
      </c>
      <c r="E883" s="173" t="s">
        <v>18</v>
      </c>
      <c r="F883" s="173" t="s">
        <v>16</v>
      </c>
      <c r="G883" s="87" t="b">
        <v>1</v>
      </c>
      <c r="H883" s="87" t="b">
        <v>0</v>
      </c>
      <c r="I883" s="87" t="b">
        <v>0</v>
      </c>
      <c r="J883" s="173" t="s">
        <v>463</v>
      </c>
      <c r="K883" s="174">
        <v>19274091000181</v>
      </c>
      <c r="L883" s="173" t="s">
        <v>1178</v>
      </c>
      <c r="M883" s="173" t="s">
        <v>127</v>
      </c>
      <c r="N883" s="173" t="s">
        <v>54</v>
      </c>
      <c r="O883" s="87">
        <v>70</v>
      </c>
      <c r="P883" s="173" t="s">
        <v>20</v>
      </c>
      <c r="Q883" s="1" t="s">
        <v>1338</v>
      </c>
      <c r="R883" s="175">
        <v>140</v>
      </c>
      <c r="S883">
        <v>28</v>
      </c>
    </row>
    <row r="884" spans="1:19" x14ac:dyDescent="0.25">
      <c r="A884" s="87">
        <v>2019</v>
      </c>
      <c r="B884" s="87">
        <v>8</v>
      </c>
      <c r="C884" s="173" t="s">
        <v>16</v>
      </c>
      <c r="D884" s="173" t="s">
        <v>21</v>
      </c>
      <c r="E884" s="173" t="s">
        <v>18</v>
      </c>
      <c r="F884" s="173" t="s">
        <v>16</v>
      </c>
      <c r="G884" s="87" t="b">
        <v>1</v>
      </c>
      <c r="H884" s="87" t="b">
        <v>0</v>
      </c>
      <c r="I884" s="87" t="b">
        <v>0</v>
      </c>
      <c r="J884" s="173" t="s">
        <v>463</v>
      </c>
      <c r="K884" s="174">
        <v>19803199000114</v>
      </c>
      <c r="L884" s="173" t="s">
        <v>587</v>
      </c>
      <c r="M884" s="173" t="s">
        <v>29</v>
      </c>
      <c r="N884" s="173" t="s">
        <v>19</v>
      </c>
      <c r="O884" s="87">
        <v>62</v>
      </c>
      <c r="P884" s="173" t="s">
        <v>27</v>
      </c>
      <c r="Q884" s="1" t="s">
        <v>1343</v>
      </c>
      <c r="R884" s="175">
        <v>3</v>
      </c>
      <c r="S884">
        <v>3</v>
      </c>
    </row>
    <row r="885" spans="1:19" x14ac:dyDescent="0.25">
      <c r="A885" s="87">
        <v>2019</v>
      </c>
      <c r="B885" s="87">
        <v>8</v>
      </c>
      <c r="C885" s="173" t="s">
        <v>16</v>
      </c>
      <c r="D885" s="173" t="s">
        <v>21</v>
      </c>
      <c r="E885" s="173" t="s">
        <v>18</v>
      </c>
      <c r="F885" s="173" t="s">
        <v>16</v>
      </c>
      <c r="G885" s="87" t="b">
        <v>1</v>
      </c>
      <c r="H885" s="87" t="b">
        <v>0</v>
      </c>
      <c r="I885" s="87" t="b">
        <v>0</v>
      </c>
      <c r="J885" s="173" t="s">
        <v>463</v>
      </c>
      <c r="K885" s="174">
        <v>19803199000114</v>
      </c>
      <c r="L885" s="173" t="s">
        <v>587</v>
      </c>
      <c r="M885" s="173" t="s">
        <v>29</v>
      </c>
      <c r="N885" s="173" t="s">
        <v>19</v>
      </c>
      <c r="O885" s="87">
        <v>64</v>
      </c>
      <c r="P885" s="173" t="s">
        <v>25</v>
      </c>
      <c r="Q885" s="1" t="s">
        <v>1344</v>
      </c>
      <c r="R885" s="175">
        <v>2</v>
      </c>
      <c r="S885">
        <v>2</v>
      </c>
    </row>
    <row r="886" spans="1:19" x14ac:dyDescent="0.25">
      <c r="A886" s="87">
        <v>2019</v>
      </c>
      <c r="B886" s="87">
        <v>8</v>
      </c>
      <c r="C886" s="173" t="s">
        <v>16</v>
      </c>
      <c r="D886" s="173" t="s">
        <v>21</v>
      </c>
      <c r="E886" s="173" t="s">
        <v>18</v>
      </c>
      <c r="F886" s="173" t="s">
        <v>16</v>
      </c>
      <c r="G886" s="87" t="b">
        <v>1</v>
      </c>
      <c r="H886" s="87" t="b">
        <v>0</v>
      </c>
      <c r="I886" s="87" t="b">
        <v>0</v>
      </c>
      <c r="J886" s="173" t="s">
        <v>450</v>
      </c>
      <c r="K886" s="174">
        <v>19803199000114</v>
      </c>
      <c r="L886" s="173" t="s">
        <v>587</v>
      </c>
      <c r="M886" s="173" t="s">
        <v>29</v>
      </c>
      <c r="N886" s="173" t="s">
        <v>19</v>
      </c>
      <c r="O886" s="87">
        <v>70</v>
      </c>
      <c r="P886" s="173" t="s">
        <v>20</v>
      </c>
      <c r="Q886" s="1" t="s">
        <v>1338</v>
      </c>
      <c r="R886" s="175">
        <v>175</v>
      </c>
      <c r="S886">
        <v>35</v>
      </c>
    </row>
    <row r="887" spans="1:19" x14ac:dyDescent="0.25">
      <c r="A887" s="87">
        <v>2019</v>
      </c>
      <c r="B887" s="87">
        <v>8</v>
      </c>
      <c r="C887" s="173" t="s">
        <v>16</v>
      </c>
      <c r="D887" s="173" t="s">
        <v>21</v>
      </c>
      <c r="E887" s="173" t="s">
        <v>18</v>
      </c>
      <c r="F887" s="173" t="s">
        <v>16</v>
      </c>
      <c r="G887" s="87" t="b">
        <v>1</v>
      </c>
      <c r="H887" s="87" t="b">
        <v>0</v>
      </c>
      <c r="I887" s="87" t="b">
        <v>0</v>
      </c>
      <c r="J887" s="173" t="s">
        <v>450</v>
      </c>
      <c r="K887" s="174">
        <v>19878404000100</v>
      </c>
      <c r="L887" s="173" t="s">
        <v>1184</v>
      </c>
      <c r="M887" s="173" t="s">
        <v>89</v>
      </c>
      <c r="N887" s="173" t="s">
        <v>54</v>
      </c>
      <c r="O887" s="87">
        <v>73</v>
      </c>
      <c r="P887" s="173" t="s">
        <v>26</v>
      </c>
      <c r="Q887" s="1" t="s">
        <v>1342</v>
      </c>
      <c r="R887" s="175">
        <v>80</v>
      </c>
      <c r="S887">
        <v>20</v>
      </c>
    </row>
    <row r="888" spans="1:19" x14ac:dyDescent="0.25">
      <c r="A888" s="87">
        <v>2019</v>
      </c>
      <c r="B888" s="87">
        <v>8</v>
      </c>
      <c r="C888" s="173" t="s">
        <v>16</v>
      </c>
      <c r="D888" s="173" t="s">
        <v>21</v>
      </c>
      <c r="E888" s="173" t="s">
        <v>18</v>
      </c>
      <c r="F888" s="173" t="s">
        <v>16</v>
      </c>
      <c r="G888" s="87" t="b">
        <v>1</v>
      </c>
      <c r="H888" s="87" t="b">
        <v>0</v>
      </c>
      <c r="I888" s="87" t="b">
        <v>0</v>
      </c>
      <c r="J888" s="173" t="s">
        <v>450</v>
      </c>
      <c r="K888" s="174">
        <v>20812223000241</v>
      </c>
      <c r="L888" s="173" t="s">
        <v>588</v>
      </c>
      <c r="M888" s="173" t="s">
        <v>29</v>
      </c>
      <c r="N888" s="173" t="s">
        <v>19</v>
      </c>
      <c r="O888" s="87">
        <v>73</v>
      </c>
      <c r="P888" s="173" t="s">
        <v>26</v>
      </c>
      <c r="Q888" s="1" t="s">
        <v>1339</v>
      </c>
      <c r="R888" s="175">
        <v>4</v>
      </c>
      <c r="S888">
        <v>2</v>
      </c>
    </row>
    <row r="889" spans="1:19" x14ac:dyDescent="0.25">
      <c r="A889" s="87">
        <v>2019</v>
      </c>
      <c r="B889" s="87">
        <v>8</v>
      </c>
      <c r="C889" s="173" t="s">
        <v>16</v>
      </c>
      <c r="D889" s="173" t="s">
        <v>21</v>
      </c>
      <c r="E889" s="173" t="s">
        <v>18</v>
      </c>
      <c r="F889" s="173" t="s">
        <v>16</v>
      </c>
      <c r="G889" s="87" t="b">
        <v>1</v>
      </c>
      <c r="H889" s="87" t="b">
        <v>0</v>
      </c>
      <c r="I889" s="87" t="b">
        <v>0</v>
      </c>
      <c r="J889" s="173" t="s">
        <v>450</v>
      </c>
      <c r="K889" s="174">
        <v>20812223000241</v>
      </c>
      <c r="L889" s="173" t="s">
        <v>588</v>
      </c>
      <c r="M889" s="173" t="s">
        <v>29</v>
      </c>
      <c r="N889" s="173" t="s">
        <v>19</v>
      </c>
      <c r="O889" s="87">
        <v>73</v>
      </c>
      <c r="P889" s="173" t="s">
        <v>26</v>
      </c>
      <c r="Q889" s="1" t="s">
        <v>1342</v>
      </c>
      <c r="R889" s="175">
        <v>16</v>
      </c>
      <c r="S889">
        <v>4</v>
      </c>
    </row>
    <row r="890" spans="1:19" x14ac:dyDescent="0.25">
      <c r="A890" s="87">
        <v>2019</v>
      </c>
      <c r="B890" s="87">
        <v>8</v>
      </c>
      <c r="C890" s="173" t="s">
        <v>16</v>
      </c>
      <c r="D890" s="173" t="s">
        <v>21</v>
      </c>
      <c r="E890" s="173" t="s">
        <v>18</v>
      </c>
      <c r="F890" s="173" t="s">
        <v>16</v>
      </c>
      <c r="G890" s="87" t="b">
        <v>1</v>
      </c>
      <c r="H890" s="87" t="b">
        <v>0</v>
      </c>
      <c r="I890" s="87" t="b">
        <v>0</v>
      </c>
      <c r="J890" s="173" t="s">
        <v>470</v>
      </c>
      <c r="K890" s="174">
        <v>20909271000171</v>
      </c>
      <c r="L890" s="173" t="s">
        <v>1189</v>
      </c>
      <c r="M890" s="173" t="s">
        <v>101</v>
      </c>
      <c r="N890" s="173" t="s">
        <v>54</v>
      </c>
      <c r="O890" s="87">
        <v>73</v>
      </c>
      <c r="P890" s="173" t="s">
        <v>26</v>
      </c>
      <c r="Q890" s="1" t="s">
        <v>1340</v>
      </c>
      <c r="R890" s="175">
        <v>40</v>
      </c>
      <c r="S890">
        <v>40</v>
      </c>
    </row>
    <row r="891" spans="1:19" x14ac:dyDescent="0.25">
      <c r="A891" s="87">
        <v>2019</v>
      </c>
      <c r="B891" s="87">
        <v>8</v>
      </c>
      <c r="C891" s="173" t="s">
        <v>16</v>
      </c>
      <c r="D891" s="173" t="s">
        <v>21</v>
      </c>
      <c r="E891" s="173" t="s">
        <v>18</v>
      </c>
      <c r="F891" s="173" t="s">
        <v>16</v>
      </c>
      <c r="G891" s="87" t="b">
        <v>1</v>
      </c>
      <c r="H891" s="87" t="b">
        <v>0</v>
      </c>
      <c r="I891" s="87" t="b">
        <v>0</v>
      </c>
      <c r="J891" s="173" t="s">
        <v>464</v>
      </c>
      <c r="K891" s="174">
        <v>20909271000171</v>
      </c>
      <c r="L891" s="173" t="s">
        <v>1189</v>
      </c>
      <c r="M891" s="173" t="s">
        <v>101</v>
      </c>
      <c r="N891" s="173" t="s">
        <v>54</v>
      </c>
      <c r="O891" s="87">
        <v>73</v>
      </c>
      <c r="P891" s="173" t="s">
        <v>26</v>
      </c>
      <c r="Q891" s="1" t="s">
        <v>1340</v>
      </c>
      <c r="R891" s="175">
        <v>11</v>
      </c>
      <c r="S891">
        <v>11</v>
      </c>
    </row>
    <row r="892" spans="1:19" x14ac:dyDescent="0.25">
      <c r="A892" s="87">
        <v>2019</v>
      </c>
      <c r="B892" s="87">
        <v>8</v>
      </c>
      <c r="C892" s="173" t="s">
        <v>16</v>
      </c>
      <c r="D892" s="173" t="s">
        <v>21</v>
      </c>
      <c r="E892" s="173" t="s">
        <v>18</v>
      </c>
      <c r="F892" s="173" t="s">
        <v>16</v>
      </c>
      <c r="G892" s="87" t="b">
        <v>1</v>
      </c>
      <c r="H892" s="87" t="b">
        <v>0</v>
      </c>
      <c r="I892" s="87" t="b">
        <v>0</v>
      </c>
      <c r="J892" s="173" t="s">
        <v>470</v>
      </c>
      <c r="K892" s="174">
        <v>21040696000311</v>
      </c>
      <c r="L892" s="173" t="s">
        <v>1190</v>
      </c>
      <c r="M892" s="173" t="s">
        <v>1191</v>
      </c>
      <c r="N892" s="173" t="s">
        <v>54</v>
      </c>
      <c r="O892" s="87">
        <v>62</v>
      </c>
      <c r="P892" s="173" t="s">
        <v>27</v>
      </c>
      <c r="Q892" s="1" t="s">
        <v>1343</v>
      </c>
      <c r="R892" s="175">
        <v>5</v>
      </c>
      <c r="S892">
        <v>5</v>
      </c>
    </row>
    <row r="893" spans="1:19" x14ac:dyDescent="0.25">
      <c r="A893" s="87">
        <v>2019</v>
      </c>
      <c r="B893" s="87">
        <v>8</v>
      </c>
      <c r="C893" s="173" t="s">
        <v>16</v>
      </c>
      <c r="D893" s="173" t="s">
        <v>21</v>
      </c>
      <c r="E893" s="173" t="s">
        <v>18</v>
      </c>
      <c r="F893" s="173" t="s">
        <v>16</v>
      </c>
      <c r="G893" s="87" t="b">
        <v>1</v>
      </c>
      <c r="H893" s="87" t="b">
        <v>0</v>
      </c>
      <c r="I893" s="87" t="b">
        <v>0</v>
      </c>
      <c r="J893" s="173" t="s">
        <v>464</v>
      </c>
      <c r="K893" s="174">
        <v>21040696000311</v>
      </c>
      <c r="L893" s="173" t="s">
        <v>1190</v>
      </c>
      <c r="M893" s="173" t="s">
        <v>1191</v>
      </c>
      <c r="N893" s="173" t="s">
        <v>54</v>
      </c>
      <c r="O893" s="87">
        <v>64</v>
      </c>
      <c r="P893" s="173" t="s">
        <v>25</v>
      </c>
      <c r="Q893" s="1" t="s">
        <v>1344</v>
      </c>
      <c r="R893" s="175">
        <v>4</v>
      </c>
      <c r="S893">
        <v>4</v>
      </c>
    </row>
    <row r="894" spans="1:19" x14ac:dyDescent="0.25">
      <c r="A894" s="87">
        <v>2019</v>
      </c>
      <c r="B894" s="87">
        <v>8</v>
      </c>
      <c r="C894" s="173" t="s">
        <v>16</v>
      </c>
      <c r="D894" s="173" t="s">
        <v>21</v>
      </c>
      <c r="E894" s="173" t="s">
        <v>18</v>
      </c>
      <c r="F894" s="173" t="s">
        <v>16</v>
      </c>
      <c r="G894" s="87" t="b">
        <v>1</v>
      </c>
      <c r="H894" s="87" t="b">
        <v>0</v>
      </c>
      <c r="I894" s="87" t="b">
        <v>0</v>
      </c>
      <c r="J894" s="173" t="s">
        <v>468</v>
      </c>
      <c r="K894" s="174">
        <v>21155621000114</v>
      </c>
      <c r="L894" s="173" t="s">
        <v>901</v>
      </c>
      <c r="M894" s="173" t="s">
        <v>902</v>
      </c>
      <c r="N894" s="173" t="s">
        <v>59</v>
      </c>
      <c r="O894" s="87">
        <v>70</v>
      </c>
      <c r="P894" s="173" t="s">
        <v>20</v>
      </c>
      <c r="Q894" s="1" t="s">
        <v>1338</v>
      </c>
      <c r="R894" s="175">
        <v>40</v>
      </c>
      <c r="S894">
        <v>8</v>
      </c>
    </row>
    <row r="895" spans="1:19" x14ac:dyDescent="0.25">
      <c r="A895" s="87">
        <v>2019</v>
      </c>
      <c r="B895" s="87">
        <v>8</v>
      </c>
      <c r="C895" s="173" t="s">
        <v>16</v>
      </c>
      <c r="D895" s="173" t="s">
        <v>21</v>
      </c>
      <c r="E895" s="173" t="s">
        <v>18</v>
      </c>
      <c r="F895" s="173" t="s">
        <v>16</v>
      </c>
      <c r="G895" s="87" t="b">
        <v>1</v>
      </c>
      <c r="H895" s="87" t="b">
        <v>0</v>
      </c>
      <c r="I895" s="87" t="b">
        <v>0</v>
      </c>
      <c r="J895" s="173" t="s">
        <v>470</v>
      </c>
      <c r="K895" s="174">
        <v>21265360000195</v>
      </c>
      <c r="L895" s="173" t="s">
        <v>1094</v>
      </c>
      <c r="M895" s="173" t="s">
        <v>131</v>
      </c>
      <c r="N895" s="173" t="s">
        <v>61</v>
      </c>
      <c r="O895" s="87">
        <v>73</v>
      </c>
      <c r="P895" s="173" t="s">
        <v>26</v>
      </c>
      <c r="Q895" s="1" t="s">
        <v>1342</v>
      </c>
      <c r="R895" s="175">
        <v>16</v>
      </c>
      <c r="S895">
        <v>4</v>
      </c>
    </row>
    <row r="896" spans="1:19" x14ac:dyDescent="0.25">
      <c r="A896" s="87">
        <v>2019</v>
      </c>
      <c r="B896" s="87">
        <v>8</v>
      </c>
      <c r="C896" s="173" t="s">
        <v>16</v>
      </c>
      <c r="D896" s="173" t="s">
        <v>21</v>
      </c>
      <c r="E896" s="173" t="s">
        <v>18</v>
      </c>
      <c r="F896" s="173" t="s">
        <v>16</v>
      </c>
      <c r="G896" s="87" t="b">
        <v>1</v>
      </c>
      <c r="H896" s="87" t="b">
        <v>0</v>
      </c>
      <c r="I896" s="87" t="b">
        <v>0</v>
      </c>
      <c r="J896" s="173" t="s">
        <v>450</v>
      </c>
      <c r="K896" s="174">
        <v>21299615000130</v>
      </c>
      <c r="L896" s="173" t="s">
        <v>1192</v>
      </c>
      <c r="M896" s="173" t="s">
        <v>102</v>
      </c>
      <c r="N896" s="173" t="s">
        <v>54</v>
      </c>
      <c r="O896" s="87">
        <v>66</v>
      </c>
      <c r="P896" s="173" t="s">
        <v>28</v>
      </c>
      <c r="Q896" s="1" t="s">
        <v>1341</v>
      </c>
      <c r="R896" s="175">
        <v>6</v>
      </c>
      <c r="S896">
        <v>6</v>
      </c>
    </row>
    <row r="897" spans="1:19" x14ac:dyDescent="0.25">
      <c r="A897" s="87">
        <v>2019</v>
      </c>
      <c r="B897" s="87">
        <v>8</v>
      </c>
      <c r="C897" s="173" t="s">
        <v>16</v>
      </c>
      <c r="D897" s="173" t="s">
        <v>21</v>
      </c>
      <c r="E897" s="173" t="s">
        <v>18</v>
      </c>
      <c r="F897" s="173" t="s">
        <v>16</v>
      </c>
      <c r="G897" s="87" t="b">
        <v>1</v>
      </c>
      <c r="H897" s="87" t="b">
        <v>0</v>
      </c>
      <c r="I897" s="87" t="b">
        <v>0</v>
      </c>
      <c r="J897" s="173" t="s">
        <v>463</v>
      </c>
      <c r="K897" s="174">
        <v>21371777000132</v>
      </c>
      <c r="L897" s="173" t="s">
        <v>589</v>
      </c>
      <c r="M897" s="173" t="s">
        <v>29</v>
      </c>
      <c r="N897" s="173" t="s">
        <v>19</v>
      </c>
      <c r="O897" s="87">
        <v>62</v>
      </c>
      <c r="P897" s="173" t="s">
        <v>27</v>
      </c>
      <c r="Q897" s="1" t="s">
        <v>1343</v>
      </c>
      <c r="R897" s="175">
        <v>16</v>
      </c>
      <c r="S897">
        <v>16</v>
      </c>
    </row>
    <row r="898" spans="1:19" x14ac:dyDescent="0.25">
      <c r="A898" s="87">
        <v>2019</v>
      </c>
      <c r="B898" s="87">
        <v>8</v>
      </c>
      <c r="C898" s="173" t="s">
        <v>16</v>
      </c>
      <c r="D898" s="173" t="s">
        <v>21</v>
      </c>
      <c r="E898" s="173" t="s">
        <v>18</v>
      </c>
      <c r="F898" s="173" t="s">
        <v>16</v>
      </c>
      <c r="G898" s="87" t="b">
        <v>1</v>
      </c>
      <c r="H898" s="87" t="b">
        <v>0</v>
      </c>
      <c r="I898" s="87" t="b">
        <v>0</v>
      </c>
      <c r="J898" s="173" t="s">
        <v>463</v>
      </c>
      <c r="K898" s="174">
        <v>21371777000132</v>
      </c>
      <c r="L898" s="173" t="s">
        <v>589</v>
      </c>
      <c r="M898" s="173" t="s">
        <v>29</v>
      </c>
      <c r="N898" s="173" t="s">
        <v>19</v>
      </c>
      <c r="O898" s="87">
        <v>64</v>
      </c>
      <c r="P898" s="173" t="s">
        <v>25</v>
      </c>
      <c r="Q898" s="1" t="s">
        <v>1344</v>
      </c>
      <c r="R898" s="175">
        <v>38</v>
      </c>
      <c r="S898">
        <v>38</v>
      </c>
    </row>
    <row r="899" spans="1:19" x14ac:dyDescent="0.25">
      <c r="A899" s="87">
        <v>2019</v>
      </c>
      <c r="B899" s="87">
        <v>8</v>
      </c>
      <c r="C899" s="173" t="s">
        <v>16</v>
      </c>
      <c r="D899" s="173" t="s">
        <v>21</v>
      </c>
      <c r="E899" s="173" t="s">
        <v>18</v>
      </c>
      <c r="F899" s="173" t="s">
        <v>16</v>
      </c>
      <c r="G899" s="87" t="b">
        <v>1</v>
      </c>
      <c r="H899" s="87" t="b">
        <v>0</v>
      </c>
      <c r="I899" s="87" t="b">
        <v>0</v>
      </c>
      <c r="J899" s="173" t="s">
        <v>450</v>
      </c>
      <c r="K899" s="174">
        <v>21371777000132</v>
      </c>
      <c r="L899" s="173" t="s">
        <v>589</v>
      </c>
      <c r="M899" s="173" t="s">
        <v>29</v>
      </c>
      <c r="N899" s="173" t="s">
        <v>19</v>
      </c>
      <c r="O899" s="87">
        <v>70</v>
      </c>
      <c r="P899" s="173" t="s">
        <v>20</v>
      </c>
      <c r="Q899" s="1" t="s">
        <v>1338</v>
      </c>
      <c r="R899" s="175">
        <v>325</v>
      </c>
      <c r="S899">
        <v>65</v>
      </c>
    </row>
    <row r="900" spans="1:19" x14ac:dyDescent="0.25">
      <c r="A900" s="87">
        <v>2019</v>
      </c>
      <c r="B900" s="87">
        <v>8</v>
      </c>
      <c r="C900" s="173" t="s">
        <v>16</v>
      </c>
      <c r="D900" s="173" t="s">
        <v>21</v>
      </c>
      <c r="E900" s="173" t="s">
        <v>18</v>
      </c>
      <c r="F900" s="173" t="s">
        <v>16</v>
      </c>
      <c r="G900" s="87" t="b">
        <v>1</v>
      </c>
      <c r="H900" s="87" t="b">
        <v>0</v>
      </c>
      <c r="I900" s="87" t="b">
        <v>0</v>
      </c>
      <c r="J900" s="173" t="s">
        <v>463</v>
      </c>
      <c r="K900" s="174">
        <v>21371777000132</v>
      </c>
      <c r="L900" s="173" t="s">
        <v>589</v>
      </c>
      <c r="M900" s="173" t="s">
        <v>29</v>
      </c>
      <c r="N900" s="173" t="s">
        <v>19</v>
      </c>
      <c r="O900" s="87">
        <v>70</v>
      </c>
      <c r="P900" s="173" t="s">
        <v>20</v>
      </c>
      <c r="Q900" s="1" t="s">
        <v>1338</v>
      </c>
      <c r="R900" s="175">
        <v>275</v>
      </c>
      <c r="S900">
        <v>55</v>
      </c>
    </row>
    <row r="901" spans="1:19" x14ac:dyDescent="0.25">
      <c r="A901" s="87">
        <v>2019</v>
      </c>
      <c r="B901" s="87">
        <v>8</v>
      </c>
      <c r="C901" s="173" t="s">
        <v>16</v>
      </c>
      <c r="D901" s="173" t="s">
        <v>21</v>
      </c>
      <c r="E901" s="173" t="s">
        <v>18</v>
      </c>
      <c r="F901" s="173" t="s">
        <v>16</v>
      </c>
      <c r="G901" s="87" t="b">
        <v>1</v>
      </c>
      <c r="H901" s="87" t="b">
        <v>0</v>
      </c>
      <c r="I901" s="87" t="b">
        <v>0</v>
      </c>
      <c r="J901" s="173" t="s">
        <v>455</v>
      </c>
      <c r="K901" s="174">
        <v>22400856000197</v>
      </c>
      <c r="L901" s="173" t="s">
        <v>1096</v>
      </c>
      <c r="M901" s="173" t="s">
        <v>131</v>
      </c>
      <c r="N901" s="173" t="s">
        <v>61</v>
      </c>
      <c r="O901" s="87">
        <v>70</v>
      </c>
      <c r="P901" s="173" t="s">
        <v>20</v>
      </c>
      <c r="Q901" s="1" t="s">
        <v>1338</v>
      </c>
      <c r="R901" s="175">
        <v>50</v>
      </c>
      <c r="S901">
        <v>10</v>
      </c>
    </row>
    <row r="902" spans="1:19" x14ac:dyDescent="0.25">
      <c r="A902" s="87">
        <v>2019</v>
      </c>
      <c r="B902" s="87">
        <v>8</v>
      </c>
      <c r="C902" s="173" t="s">
        <v>16</v>
      </c>
      <c r="D902" s="173" t="s">
        <v>21</v>
      </c>
      <c r="E902" s="173" t="s">
        <v>18</v>
      </c>
      <c r="F902" s="173" t="s">
        <v>16</v>
      </c>
      <c r="G902" s="87" t="b">
        <v>1</v>
      </c>
      <c r="H902" s="87" t="b">
        <v>0</v>
      </c>
      <c r="I902" s="87" t="b">
        <v>0</v>
      </c>
      <c r="J902" s="173" t="s">
        <v>470</v>
      </c>
      <c r="K902" s="174">
        <v>23278898000160</v>
      </c>
      <c r="L902" s="173" t="s">
        <v>1194</v>
      </c>
      <c r="M902" s="173" t="s">
        <v>119</v>
      </c>
      <c r="N902" s="173" t="s">
        <v>54</v>
      </c>
      <c r="O902" s="87">
        <v>70</v>
      </c>
      <c r="P902" s="173" t="s">
        <v>20</v>
      </c>
      <c r="Q902" s="1" t="s">
        <v>1338</v>
      </c>
      <c r="R902" s="175">
        <v>120</v>
      </c>
      <c r="S902">
        <v>24</v>
      </c>
    </row>
    <row r="903" spans="1:19" x14ac:dyDescent="0.25">
      <c r="A903" s="87">
        <v>2019</v>
      </c>
      <c r="B903" s="87">
        <v>8</v>
      </c>
      <c r="C903" s="173" t="s">
        <v>16</v>
      </c>
      <c r="D903" s="173" t="s">
        <v>21</v>
      </c>
      <c r="E903" s="173" t="s">
        <v>18</v>
      </c>
      <c r="F903" s="173" t="s">
        <v>16</v>
      </c>
      <c r="G903" s="87" t="b">
        <v>1</v>
      </c>
      <c r="H903" s="87" t="b">
        <v>0</v>
      </c>
      <c r="I903" s="87" t="b">
        <v>0</v>
      </c>
      <c r="J903" s="173" t="s">
        <v>450</v>
      </c>
      <c r="K903" s="174">
        <v>23406564000124</v>
      </c>
      <c r="L903" s="173" t="s">
        <v>1196</v>
      </c>
      <c r="M903" s="173" t="s">
        <v>1197</v>
      </c>
      <c r="N903" s="173" t="s">
        <v>54</v>
      </c>
      <c r="O903" s="87">
        <v>66</v>
      </c>
      <c r="P903" s="173" t="s">
        <v>28</v>
      </c>
      <c r="Q903" s="1" t="s">
        <v>1341</v>
      </c>
      <c r="R903" s="175">
        <v>6</v>
      </c>
      <c r="S903">
        <v>6</v>
      </c>
    </row>
    <row r="904" spans="1:19" x14ac:dyDescent="0.25">
      <c r="A904" s="87">
        <v>2019</v>
      </c>
      <c r="B904" s="87">
        <v>8</v>
      </c>
      <c r="C904" s="173" t="s">
        <v>16</v>
      </c>
      <c r="D904" s="173" t="s">
        <v>21</v>
      </c>
      <c r="E904" s="173" t="s">
        <v>18</v>
      </c>
      <c r="F904" s="173" t="s">
        <v>16</v>
      </c>
      <c r="G904" s="87" t="b">
        <v>1</v>
      </c>
      <c r="H904" s="87" t="b">
        <v>0</v>
      </c>
      <c r="I904" s="87" t="b">
        <v>0</v>
      </c>
      <c r="J904" s="173" t="s">
        <v>1330</v>
      </c>
      <c r="K904" s="174">
        <v>24082016000159</v>
      </c>
      <c r="L904" s="173" t="s">
        <v>665</v>
      </c>
      <c r="M904" s="173" t="s">
        <v>657</v>
      </c>
      <c r="N904" s="173" t="s">
        <v>19</v>
      </c>
      <c r="O904" s="87">
        <v>70</v>
      </c>
      <c r="P904" s="173" t="s">
        <v>20</v>
      </c>
      <c r="Q904" s="1" t="s">
        <v>1338</v>
      </c>
      <c r="R904" s="175">
        <v>2000</v>
      </c>
      <c r="S904">
        <v>400</v>
      </c>
    </row>
    <row r="905" spans="1:19" x14ac:dyDescent="0.25">
      <c r="A905" s="87">
        <v>2019</v>
      </c>
      <c r="B905" s="87">
        <v>8</v>
      </c>
      <c r="C905" s="173" t="s">
        <v>16</v>
      </c>
      <c r="D905" s="173" t="s">
        <v>21</v>
      </c>
      <c r="E905" s="173" t="s">
        <v>18</v>
      </c>
      <c r="F905" s="173" t="s">
        <v>16</v>
      </c>
      <c r="G905" s="87" t="b">
        <v>1</v>
      </c>
      <c r="H905" s="87" t="b">
        <v>0</v>
      </c>
      <c r="I905" s="87" t="b">
        <v>0</v>
      </c>
      <c r="J905" s="173" t="s">
        <v>478</v>
      </c>
      <c r="K905" s="174">
        <v>24217779000160</v>
      </c>
      <c r="L905" s="173" t="s">
        <v>1097</v>
      </c>
      <c r="M905" s="173" t="s">
        <v>131</v>
      </c>
      <c r="N905" s="173" t="s">
        <v>61</v>
      </c>
      <c r="O905" s="87">
        <v>64</v>
      </c>
      <c r="P905" s="173" t="s">
        <v>25</v>
      </c>
      <c r="Q905" s="1" t="s">
        <v>1344</v>
      </c>
      <c r="R905" s="175">
        <v>4</v>
      </c>
      <c r="S905">
        <v>4</v>
      </c>
    </row>
    <row r="906" spans="1:19" x14ac:dyDescent="0.25">
      <c r="A906" s="87">
        <v>2019</v>
      </c>
      <c r="B906" s="87">
        <v>8</v>
      </c>
      <c r="C906" s="173" t="s">
        <v>16</v>
      </c>
      <c r="D906" s="173" t="s">
        <v>21</v>
      </c>
      <c r="E906" s="173" t="s">
        <v>18</v>
      </c>
      <c r="F906" s="173" t="s">
        <v>16</v>
      </c>
      <c r="G906" s="87" t="b">
        <v>1</v>
      </c>
      <c r="H906" s="87" t="b">
        <v>0</v>
      </c>
      <c r="I906" s="87" t="b">
        <v>0</v>
      </c>
      <c r="J906" s="173" t="s">
        <v>460</v>
      </c>
      <c r="K906" s="174">
        <v>24232886008303</v>
      </c>
      <c r="L906" s="173" t="s">
        <v>1198</v>
      </c>
      <c r="M906" s="173" t="s">
        <v>1199</v>
      </c>
      <c r="N906" s="173" t="s">
        <v>52</v>
      </c>
      <c r="O906" s="87">
        <v>64</v>
      </c>
      <c r="P906" s="173" t="s">
        <v>25</v>
      </c>
      <c r="Q906" s="1" t="s">
        <v>1344</v>
      </c>
      <c r="R906" s="175">
        <v>2</v>
      </c>
      <c r="S906">
        <v>2</v>
      </c>
    </row>
    <row r="907" spans="1:19" x14ac:dyDescent="0.25">
      <c r="A907" s="87">
        <v>2019</v>
      </c>
      <c r="B907" s="87">
        <v>8</v>
      </c>
      <c r="C907" s="173" t="s">
        <v>16</v>
      </c>
      <c r="D907" s="173" t="s">
        <v>21</v>
      </c>
      <c r="E907" s="173" t="s">
        <v>18</v>
      </c>
      <c r="F907" s="173" t="s">
        <v>16</v>
      </c>
      <c r="G907" s="87" t="b">
        <v>1</v>
      </c>
      <c r="H907" s="87" t="b">
        <v>0</v>
      </c>
      <c r="I907" s="87" t="b">
        <v>0</v>
      </c>
      <c r="J907" s="173" t="s">
        <v>1512</v>
      </c>
      <c r="K907" s="174">
        <v>24464109000229</v>
      </c>
      <c r="L907" s="173" t="s">
        <v>905</v>
      </c>
      <c r="M907" s="173" t="s">
        <v>742</v>
      </c>
      <c r="N907" s="173" t="s">
        <v>91</v>
      </c>
      <c r="O907" s="87">
        <v>66</v>
      </c>
      <c r="P907" s="173" t="s">
        <v>28</v>
      </c>
      <c r="Q907" s="1" t="s">
        <v>1341</v>
      </c>
      <c r="R907" s="175">
        <v>4</v>
      </c>
      <c r="S907">
        <v>4</v>
      </c>
    </row>
    <row r="908" spans="1:19" x14ac:dyDescent="0.25">
      <c r="A908" s="87">
        <v>2019</v>
      </c>
      <c r="B908" s="87">
        <v>8</v>
      </c>
      <c r="C908" s="173" t="s">
        <v>16</v>
      </c>
      <c r="D908" s="173" t="s">
        <v>21</v>
      </c>
      <c r="E908" s="173" t="s">
        <v>18</v>
      </c>
      <c r="F908" s="173" t="s">
        <v>16</v>
      </c>
      <c r="G908" s="87" t="b">
        <v>1</v>
      </c>
      <c r="H908" s="87" t="b">
        <v>0</v>
      </c>
      <c r="I908" s="87" t="b">
        <v>0</v>
      </c>
      <c r="J908" s="173" t="s">
        <v>463</v>
      </c>
      <c r="K908" s="174">
        <v>25026561000190</v>
      </c>
      <c r="L908" s="173" t="s">
        <v>666</v>
      </c>
      <c r="M908" s="173" t="s">
        <v>34</v>
      </c>
      <c r="N908" s="173" t="s">
        <v>19</v>
      </c>
      <c r="O908" s="87">
        <v>70</v>
      </c>
      <c r="P908" s="173" t="s">
        <v>20</v>
      </c>
      <c r="Q908" s="1" t="s">
        <v>1338</v>
      </c>
      <c r="R908" s="175">
        <v>20</v>
      </c>
      <c r="S908">
        <v>4</v>
      </c>
    </row>
    <row r="909" spans="1:19" x14ac:dyDescent="0.25">
      <c r="A909" s="87">
        <v>2019</v>
      </c>
      <c r="B909" s="87">
        <v>8</v>
      </c>
      <c r="C909" s="173" t="s">
        <v>16</v>
      </c>
      <c r="D909" s="173" t="s">
        <v>21</v>
      </c>
      <c r="E909" s="173" t="s">
        <v>18</v>
      </c>
      <c r="F909" s="173" t="s">
        <v>16</v>
      </c>
      <c r="G909" s="87" t="b">
        <v>1</v>
      </c>
      <c r="H909" s="87" t="b">
        <v>0</v>
      </c>
      <c r="I909" s="87" t="b">
        <v>0</v>
      </c>
      <c r="J909" s="173" t="s">
        <v>1332</v>
      </c>
      <c r="K909" s="174">
        <v>25415993000193</v>
      </c>
      <c r="L909" s="173" t="s">
        <v>1200</v>
      </c>
      <c r="M909" s="173" t="s">
        <v>88</v>
      </c>
      <c r="N909" s="173" t="s">
        <v>54</v>
      </c>
      <c r="O909" s="87">
        <v>62</v>
      </c>
      <c r="P909" s="173" t="s">
        <v>27</v>
      </c>
      <c r="Q909" s="1" t="s">
        <v>1343</v>
      </c>
      <c r="R909" s="175">
        <v>3</v>
      </c>
      <c r="S909">
        <v>3</v>
      </c>
    </row>
    <row r="910" spans="1:19" x14ac:dyDescent="0.25">
      <c r="A910" s="87">
        <v>2019</v>
      </c>
      <c r="B910" s="87">
        <v>8</v>
      </c>
      <c r="C910" s="173" t="s">
        <v>16</v>
      </c>
      <c r="D910" s="173" t="s">
        <v>21</v>
      </c>
      <c r="E910" s="173" t="s">
        <v>18</v>
      </c>
      <c r="F910" s="173" t="s">
        <v>16</v>
      </c>
      <c r="G910" s="87" t="b">
        <v>1</v>
      </c>
      <c r="H910" s="87" t="b">
        <v>0</v>
      </c>
      <c r="I910" s="87" t="b">
        <v>0</v>
      </c>
      <c r="J910" s="173" t="s">
        <v>464</v>
      </c>
      <c r="K910" s="174">
        <v>25761040000187</v>
      </c>
      <c r="L910" s="173" t="s">
        <v>1202</v>
      </c>
      <c r="M910" s="173" t="s">
        <v>1171</v>
      </c>
      <c r="N910" s="173" t="s">
        <v>54</v>
      </c>
      <c r="O910" s="87">
        <v>62</v>
      </c>
      <c r="P910" s="173" t="s">
        <v>27</v>
      </c>
      <c r="Q910" s="1" t="s">
        <v>1343</v>
      </c>
      <c r="R910" s="175">
        <v>2</v>
      </c>
      <c r="S910">
        <v>2</v>
      </c>
    </row>
    <row r="911" spans="1:19" x14ac:dyDescent="0.25">
      <c r="A911" s="87">
        <v>2019</v>
      </c>
      <c r="B911" s="87">
        <v>8</v>
      </c>
      <c r="C911" s="173" t="s">
        <v>16</v>
      </c>
      <c r="D911" s="173" t="s">
        <v>21</v>
      </c>
      <c r="E911" s="173" t="s">
        <v>18</v>
      </c>
      <c r="F911" s="173" t="s">
        <v>16</v>
      </c>
      <c r="G911" s="87" t="b">
        <v>1</v>
      </c>
      <c r="H911" s="87" t="b">
        <v>0</v>
      </c>
      <c r="I911" s="87" t="b">
        <v>0</v>
      </c>
      <c r="J911" s="173" t="s">
        <v>1330</v>
      </c>
      <c r="K911" s="174">
        <v>27080605000358</v>
      </c>
      <c r="L911" s="173" t="s">
        <v>1205</v>
      </c>
      <c r="M911" s="173" t="s">
        <v>1206</v>
      </c>
      <c r="N911" s="173" t="s">
        <v>98</v>
      </c>
      <c r="O911" s="87">
        <v>70</v>
      </c>
      <c r="P911" s="173" t="s">
        <v>20</v>
      </c>
      <c r="Q911" s="1" t="s">
        <v>1338</v>
      </c>
      <c r="R911" s="175">
        <v>300</v>
      </c>
      <c r="S911">
        <v>60</v>
      </c>
    </row>
    <row r="912" spans="1:19" x14ac:dyDescent="0.25">
      <c r="A912" s="87">
        <v>2019</v>
      </c>
      <c r="B912" s="87">
        <v>8</v>
      </c>
      <c r="C912" s="173" t="s">
        <v>16</v>
      </c>
      <c r="D912" s="173" t="s">
        <v>21</v>
      </c>
      <c r="E912" s="173" t="s">
        <v>18</v>
      </c>
      <c r="F912" s="173" t="s">
        <v>16</v>
      </c>
      <c r="G912" s="87" t="b">
        <v>1</v>
      </c>
      <c r="H912" s="87" t="b">
        <v>0</v>
      </c>
      <c r="I912" s="87" t="b">
        <v>0</v>
      </c>
      <c r="J912" s="173" t="s">
        <v>491</v>
      </c>
      <c r="K912" s="174">
        <v>27372066000169</v>
      </c>
      <c r="L912" s="173" t="s">
        <v>908</v>
      </c>
      <c r="M912" s="173" t="s">
        <v>75</v>
      </c>
      <c r="N912" s="173" t="s">
        <v>74</v>
      </c>
      <c r="O912" s="87">
        <v>64</v>
      </c>
      <c r="P912" s="173" t="s">
        <v>25</v>
      </c>
      <c r="Q912" s="1" t="s">
        <v>1344</v>
      </c>
      <c r="R912" s="175">
        <v>4</v>
      </c>
      <c r="S912">
        <v>4</v>
      </c>
    </row>
    <row r="913" spans="1:19" x14ac:dyDescent="0.25">
      <c r="A913" s="87">
        <v>2019</v>
      </c>
      <c r="B913" s="87">
        <v>8</v>
      </c>
      <c r="C913" s="173" t="s">
        <v>16</v>
      </c>
      <c r="D913" s="173" t="s">
        <v>21</v>
      </c>
      <c r="E913" s="173" t="s">
        <v>18</v>
      </c>
      <c r="F913" s="173" t="s">
        <v>16</v>
      </c>
      <c r="G913" s="87" t="b">
        <v>1</v>
      </c>
      <c r="H913" s="87" t="b">
        <v>0</v>
      </c>
      <c r="I913" s="87" t="b">
        <v>0</v>
      </c>
      <c r="J913" s="173" t="s">
        <v>450</v>
      </c>
      <c r="K913" s="174">
        <v>27578434001525</v>
      </c>
      <c r="L913" s="173" t="s">
        <v>1208</v>
      </c>
      <c r="M913" s="173" t="s">
        <v>1157</v>
      </c>
      <c r="N913" s="173" t="s">
        <v>98</v>
      </c>
      <c r="O913" s="87">
        <v>66</v>
      </c>
      <c r="P913" s="173" t="s">
        <v>28</v>
      </c>
      <c r="Q913" s="1" t="s">
        <v>1341</v>
      </c>
      <c r="R913" s="175">
        <v>3</v>
      </c>
      <c r="S913">
        <v>3</v>
      </c>
    </row>
    <row r="914" spans="1:19" x14ac:dyDescent="0.25">
      <c r="A914" s="87">
        <v>2019</v>
      </c>
      <c r="B914" s="87">
        <v>8</v>
      </c>
      <c r="C914" s="173" t="s">
        <v>16</v>
      </c>
      <c r="D914" s="173" t="s">
        <v>21</v>
      </c>
      <c r="E914" s="173" t="s">
        <v>18</v>
      </c>
      <c r="F914" s="173" t="s">
        <v>16</v>
      </c>
      <c r="G914" s="87" t="b">
        <v>1</v>
      </c>
      <c r="H914" s="87" t="b">
        <v>0</v>
      </c>
      <c r="I914" s="87" t="b">
        <v>0</v>
      </c>
      <c r="J914" s="173" t="s">
        <v>464</v>
      </c>
      <c r="K914" s="174">
        <v>27578434001525</v>
      </c>
      <c r="L914" s="173" t="s">
        <v>1208</v>
      </c>
      <c r="M914" s="173" t="s">
        <v>1157</v>
      </c>
      <c r="N914" s="173" t="s">
        <v>98</v>
      </c>
      <c r="O914" s="87">
        <v>66</v>
      </c>
      <c r="P914" s="173" t="s">
        <v>28</v>
      </c>
      <c r="Q914" s="1" t="s">
        <v>1341</v>
      </c>
      <c r="R914" s="175">
        <v>1</v>
      </c>
      <c r="S914">
        <v>1</v>
      </c>
    </row>
    <row r="915" spans="1:19" x14ac:dyDescent="0.25">
      <c r="A915" s="87">
        <v>2019</v>
      </c>
      <c r="B915" s="87">
        <v>8</v>
      </c>
      <c r="C915" s="173" t="s">
        <v>16</v>
      </c>
      <c r="D915" s="173" t="s">
        <v>21</v>
      </c>
      <c r="E915" s="173" t="s">
        <v>18</v>
      </c>
      <c r="F915" s="173" t="s">
        <v>16</v>
      </c>
      <c r="G915" s="87" t="b">
        <v>1</v>
      </c>
      <c r="H915" s="87" t="b">
        <v>0</v>
      </c>
      <c r="I915" s="87" t="b">
        <v>0</v>
      </c>
      <c r="J915" s="173" t="s">
        <v>468</v>
      </c>
      <c r="K915" s="174">
        <v>27578434001525</v>
      </c>
      <c r="L915" s="173" t="s">
        <v>1208</v>
      </c>
      <c r="M915" s="173" t="s">
        <v>1157</v>
      </c>
      <c r="N915" s="173" t="s">
        <v>98</v>
      </c>
      <c r="O915" s="87">
        <v>70</v>
      </c>
      <c r="P915" s="173" t="s">
        <v>20</v>
      </c>
      <c r="Q915" s="1" t="s">
        <v>1338</v>
      </c>
      <c r="R915" s="175">
        <v>1500</v>
      </c>
      <c r="S915">
        <v>300</v>
      </c>
    </row>
    <row r="916" spans="1:19" x14ac:dyDescent="0.25">
      <c r="A916" s="87">
        <v>2019</v>
      </c>
      <c r="B916" s="87">
        <v>8</v>
      </c>
      <c r="C916" s="173" t="s">
        <v>16</v>
      </c>
      <c r="D916" s="173" t="s">
        <v>21</v>
      </c>
      <c r="E916" s="173" t="s">
        <v>18</v>
      </c>
      <c r="F916" s="173" t="s">
        <v>16</v>
      </c>
      <c r="G916" s="87" t="b">
        <v>1</v>
      </c>
      <c r="H916" s="87" t="b">
        <v>0</v>
      </c>
      <c r="I916" s="87" t="b">
        <v>0</v>
      </c>
      <c r="J916" s="173" t="s">
        <v>468</v>
      </c>
      <c r="K916" s="174">
        <v>28000107000159</v>
      </c>
      <c r="L916" s="173" t="s">
        <v>1099</v>
      </c>
      <c r="M916" s="173" t="s">
        <v>131</v>
      </c>
      <c r="N916" s="173" t="s">
        <v>61</v>
      </c>
      <c r="O916" s="87">
        <v>70</v>
      </c>
      <c r="P916" s="173" t="s">
        <v>20</v>
      </c>
      <c r="Q916" s="1" t="s">
        <v>1338</v>
      </c>
      <c r="R916" s="175">
        <v>90</v>
      </c>
      <c r="S916">
        <v>18</v>
      </c>
    </row>
    <row r="917" spans="1:19" x14ac:dyDescent="0.25">
      <c r="A917" s="87">
        <v>2019</v>
      </c>
      <c r="B917" s="87">
        <v>8</v>
      </c>
      <c r="C917" s="173" t="s">
        <v>16</v>
      </c>
      <c r="D917" s="173" t="s">
        <v>21</v>
      </c>
      <c r="E917" s="173" t="s">
        <v>18</v>
      </c>
      <c r="F917" s="173" t="s">
        <v>16</v>
      </c>
      <c r="G917" s="87" t="b">
        <v>1</v>
      </c>
      <c r="H917" s="87" t="b">
        <v>0</v>
      </c>
      <c r="I917" s="87" t="b">
        <v>0</v>
      </c>
      <c r="J917" s="173" t="s">
        <v>468</v>
      </c>
      <c r="K917" s="174">
        <v>28000107000159</v>
      </c>
      <c r="L917" s="173" t="s">
        <v>1099</v>
      </c>
      <c r="M917" s="173" t="s">
        <v>131</v>
      </c>
      <c r="N917" s="173" t="s">
        <v>61</v>
      </c>
      <c r="O917" s="87">
        <v>73</v>
      </c>
      <c r="P917" s="173" t="s">
        <v>26</v>
      </c>
      <c r="Q917" s="1" t="s">
        <v>1342</v>
      </c>
      <c r="R917" s="175">
        <v>76</v>
      </c>
      <c r="S917">
        <v>19</v>
      </c>
    </row>
    <row r="918" spans="1:19" x14ac:dyDescent="0.25">
      <c r="A918" s="87">
        <v>2019</v>
      </c>
      <c r="B918" s="87">
        <v>8</v>
      </c>
      <c r="C918" s="173" t="s">
        <v>16</v>
      </c>
      <c r="D918" s="173" t="s">
        <v>21</v>
      </c>
      <c r="E918" s="173" t="s">
        <v>18</v>
      </c>
      <c r="F918" s="173" t="s">
        <v>16</v>
      </c>
      <c r="G918" s="87" t="b">
        <v>1</v>
      </c>
      <c r="H918" s="87" t="b">
        <v>0</v>
      </c>
      <c r="I918" s="87" t="b">
        <v>0</v>
      </c>
      <c r="J918" s="173" t="s">
        <v>451</v>
      </c>
      <c r="K918" s="174">
        <v>28000107000159</v>
      </c>
      <c r="L918" s="173" t="s">
        <v>1099</v>
      </c>
      <c r="M918" s="173" t="s">
        <v>131</v>
      </c>
      <c r="N918" s="173" t="s">
        <v>61</v>
      </c>
      <c r="O918" s="87">
        <v>73</v>
      </c>
      <c r="P918" s="173" t="s">
        <v>26</v>
      </c>
      <c r="Q918" s="1" t="s">
        <v>1339</v>
      </c>
      <c r="R918" s="175">
        <v>8</v>
      </c>
      <c r="S918">
        <v>4</v>
      </c>
    </row>
    <row r="919" spans="1:19" x14ac:dyDescent="0.25">
      <c r="A919" s="87">
        <v>2019</v>
      </c>
      <c r="B919" s="87">
        <v>8</v>
      </c>
      <c r="C919" s="173" t="s">
        <v>16</v>
      </c>
      <c r="D919" s="173" t="s">
        <v>21</v>
      </c>
      <c r="E919" s="173" t="s">
        <v>18</v>
      </c>
      <c r="F919" s="173" t="s">
        <v>16</v>
      </c>
      <c r="G919" s="87" t="b">
        <v>1</v>
      </c>
      <c r="H919" s="87" t="b">
        <v>0</v>
      </c>
      <c r="I919" s="87" t="b">
        <v>0</v>
      </c>
      <c r="J919" s="173" t="s">
        <v>451</v>
      </c>
      <c r="K919" s="174">
        <v>28000107000159</v>
      </c>
      <c r="L919" s="173" t="s">
        <v>1099</v>
      </c>
      <c r="M919" s="173" t="s">
        <v>131</v>
      </c>
      <c r="N919" s="173" t="s">
        <v>61</v>
      </c>
      <c r="O919" s="87">
        <v>73</v>
      </c>
      <c r="P919" s="173" t="s">
        <v>26</v>
      </c>
      <c r="Q919" s="1" t="s">
        <v>1342</v>
      </c>
      <c r="R919" s="175">
        <v>56</v>
      </c>
      <c r="S919">
        <v>14</v>
      </c>
    </row>
    <row r="920" spans="1:19" x14ac:dyDescent="0.25">
      <c r="A920" s="87">
        <v>2019</v>
      </c>
      <c r="B920" s="87">
        <v>8</v>
      </c>
      <c r="C920" s="173" t="s">
        <v>16</v>
      </c>
      <c r="D920" s="173" t="s">
        <v>21</v>
      </c>
      <c r="E920" s="173" t="s">
        <v>18</v>
      </c>
      <c r="F920" s="173" t="s">
        <v>16</v>
      </c>
      <c r="G920" s="87" t="b">
        <v>1</v>
      </c>
      <c r="H920" s="87" t="b">
        <v>0</v>
      </c>
      <c r="I920" s="87" t="b">
        <v>0</v>
      </c>
      <c r="J920" s="173" t="s">
        <v>477</v>
      </c>
      <c r="K920" s="174">
        <v>28290788000137</v>
      </c>
      <c r="L920" s="173" t="s">
        <v>591</v>
      </c>
      <c r="M920" s="173" t="s">
        <v>29</v>
      </c>
      <c r="N920" s="173" t="s">
        <v>19</v>
      </c>
      <c r="O920" s="87">
        <v>62</v>
      </c>
      <c r="P920" s="173" t="s">
        <v>27</v>
      </c>
      <c r="Q920" s="1" t="s">
        <v>1343</v>
      </c>
      <c r="R920" s="175">
        <v>5</v>
      </c>
      <c r="S920">
        <v>5</v>
      </c>
    </row>
    <row r="921" spans="1:19" x14ac:dyDescent="0.25">
      <c r="A921" s="87">
        <v>2019</v>
      </c>
      <c r="B921" s="87">
        <v>8</v>
      </c>
      <c r="C921" s="173" t="s">
        <v>16</v>
      </c>
      <c r="D921" s="173" t="s">
        <v>21</v>
      </c>
      <c r="E921" s="173" t="s">
        <v>18</v>
      </c>
      <c r="F921" s="173" t="s">
        <v>16</v>
      </c>
      <c r="G921" s="87" t="b">
        <v>1</v>
      </c>
      <c r="H921" s="87" t="b">
        <v>0</v>
      </c>
      <c r="I921" s="87" t="b">
        <v>0</v>
      </c>
      <c r="J921" s="173" t="s">
        <v>491</v>
      </c>
      <c r="K921" s="174">
        <v>28290788000137</v>
      </c>
      <c r="L921" s="173" t="s">
        <v>591</v>
      </c>
      <c r="M921" s="173" t="s">
        <v>29</v>
      </c>
      <c r="N921" s="173" t="s">
        <v>19</v>
      </c>
      <c r="O921" s="87">
        <v>64</v>
      </c>
      <c r="P921" s="173" t="s">
        <v>25</v>
      </c>
      <c r="Q921" s="1" t="s">
        <v>1344</v>
      </c>
      <c r="R921" s="175">
        <v>5</v>
      </c>
      <c r="S921">
        <v>5</v>
      </c>
    </row>
    <row r="922" spans="1:19" x14ac:dyDescent="0.25">
      <c r="A922" s="87">
        <v>2019</v>
      </c>
      <c r="B922" s="87">
        <v>8</v>
      </c>
      <c r="C922" s="173" t="s">
        <v>16</v>
      </c>
      <c r="D922" s="173" t="s">
        <v>21</v>
      </c>
      <c r="E922" s="173" t="s">
        <v>18</v>
      </c>
      <c r="F922" s="173" t="s">
        <v>16</v>
      </c>
      <c r="G922" s="87" t="b">
        <v>1</v>
      </c>
      <c r="H922" s="87" t="b">
        <v>0</v>
      </c>
      <c r="I922" s="87" t="b">
        <v>0</v>
      </c>
      <c r="J922" s="173" t="s">
        <v>468</v>
      </c>
      <c r="K922" s="174">
        <v>28290788000307</v>
      </c>
      <c r="L922" s="173" t="s">
        <v>592</v>
      </c>
      <c r="M922" s="173" t="s">
        <v>29</v>
      </c>
      <c r="N922" s="173" t="s">
        <v>19</v>
      </c>
      <c r="O922" s="87">
        <v>73</v>
      </c>
      <c r="P922" s="173" t="s">
        <v>26</v>
      </c>
      <c r="Q922" s="1" t="s">
        <v>1342</v>
      </c>
      <c r="R922" s="175">
        <v>20</v>
      </c>
      <c r="S922">
        <v>5</v>
      </c>
    </row>
    <row r="923" spans="1:19" x14ac:dyDescent="0.25">
      <c r="A923" s="87">
        <v>2019</v>
      </c>
      <c r="B923" s="87">
        <v>8</v>
      </c>
      <c r="C923" s="173" t="s">
        <v>16</v>
      </c>
      <c r="D923" s="173" t="s">
        <v>21</v>
      </c>
      <c r="E923" s="173" t="s">
        <v>18</v>
      </c>
      <c r="F923" s="173" t="s">
        <v>16</v>
      </c>
      <c r="G923" s="87" t="b">
        <v>1</v>
      </c>
      <c r="H923" s="87" t="b">
        <v>0</v>
      </c>
      <c r="I923" s="87" t="b">
        <v>0</v>
      </c>
      <c r="J923" s="173" t="s">
        <v>470</v>
      </c>
      <c r="K923" s="174">
        <v>28602407000108</v>
      </c>
      <c r="L923" s="173" t="s">
        <v>1100</v>
      </c>
      <c r="M923" s="173" t="s">
        <v>131</v>
      </c>
      <c r="N923" s="173" t="s">
        <v>61</v>
      </c>
      <c r="O923" s="87">
        <v>73</v>
      </c>
      <c r="P923" s="173" t="s">
        <v>26</v>
      </c>
      <c r="Q923" s="1" t="s">
        <v>1339</v>
      </c>
      <c r="R923" s="175">
        <v>4</v>
      </c>
      <c r="S923">
        <v>2</v>
      </c>
    </row>
    <row r="924" spans="1:19" x14ac:dyDescent="0.25">
      <c r="A924" s="87">
        <v>2019</v>
      </c>
      <c r="B924" s="87">
        <v>8</v>
      </c>
      <c r="C924" s="173" t="s">
        <v>16</v>
      </c>
      <c r="D924" s="173" t="s">
        <v>21</v>
      </c>
      <c r="E924" s="173" t="s">
        <v>18</v>
      </c>
      <c r="F924" s="173" t="s">
        <v>16</v>
      </c>
      <c r="G924" s="87" t="b">
        <v>1</v>
      </c>
      <c r="H924" s="87" t="b">
        <v>0</v>
      </c>
      <c r="I924" s="87" t="b">
        <v>0</v>
      </c>
      <c r="J924" s="173" t="s">
        <v>477</v>
      </c>
      <c r="K924" s="174">
        <v>28806545000532</v>
      </c>
      <c r="L924" s="173" t="s">
        <v>1050</v>
      </c>
      <c r="M924" s="173" t="s">
        <v>1051</v>
      </c>
      <c r="N924" s="173" t="s">
        <v>61</v>
      </c>
      <c r="O924" s="87">
        <v>73</v>
      </c>
      <c r="P924" s="173" t="s">
        <v>26</v>
      </c>
      <c r="Q924" s="1" t="s">
        <v>1342</v>
      </c>
      <c r="R924" s="175">
        <v>96</v>
      </c>
      <c r="S924">
        <v>24</v>
      </c>
    </row>
    <row r="925" spans="1:19" x14ac:dyDescent="0.25">
      <c r="A925" s="87">
        <v>2019</v>
      </c>
      <c r="B925" s="87">
        <v>8</v>
      </c>
      <c r="C925" s="173" t="s">
        <v>16</v>
      </c>
      <c r="D925" s="173" t="s">
        <v>21</v>
      </c>
      <c r="E925" s="173" t="s">
        <v>18</v>
      </c>
      <c r="F925" s="173" t="s">
        <v>16</v>
      </c>
      <c r="G925" s="87" t="b">
        <v>1</v>
      </c>
      <c r="H925" s="87" t="b">
        <v>0</v>
      </c>
      <c r="I925" s="87" t="b">
        <v>0</v>
      </c>
      <c r="J925" s="173" t="s">
        <v>477</v>
      </c>
      <c r="K925" s="174">
        <v>29135795000208</v>
      </c>
      <c r="L925" s="173" t="s">
        <v>1053</v>
      </c>
      <c r="M925" s="173" t="s">
        <v>120</v>
      </c>
      <c r="N925" s="173" t="s">
        <v>61</v>
      </c>
      <c r="O925" s="87">
        <v>70</v>
      </c>
      <c r="P925" s="173" t="s">
        <v>20</v>
      </c>
      <c r="Q925" s="1" t="s">
        <v>1338</v>
      </c>
      <c r="R925" s="175">
        <v>200</v>
      </c>
      <c r="S925">
        <v>40</v>
      </c>
    </row>
    <row r="926" spans="1:19" x14ac:dyDescent="0.25">
      <c r="A926" s="87">
        <v>2019</v>
      </c>
      <c r="B926" s="87">
        <v>8</v>
      </c>
      <c r="C926" s="173" t="s">
        <v>16</v>
      </c>
      <c r="D926" s="173" t="s">
        <v>21</v>
      </c>
      <c r="E926" s="173" t="s">
        <v>18</v>
      </c>
      <c r="F926" s="173" t="s">
        <v>16</v>
      </c>
      <c r="G926" s="87" t="b">
        <v>1</v>
      </c>
      <c r="H926" s="87" t="b">
        <v>0</v>
      </c>
      <c r="I926" s="87" t="b">
        <v>0</v>
      </c>
      <c r="J926" s="173" t="s">
        <v>451</v>
      </c>
      <c r="K926" s="174">
        <v>29135795000208</v>
      </c>
      <c r="L926" s="173" t="s">
        <v>1053</v>
      </c>
      <c r="M926" s="173" t="s">
        <v>120</v>
      </c>
      <c r="N926" s="173" t="s">
        <v>61</v>
      </c>
      <c r="O926" s="87">
        <v>70</v>
      </c>
      <c r="P926" s="173" t="s">
        <v>20</v>
      </c>
      <c r="Q926" s="1" t="s">
        <v>1338</v>
      </c>
      <c r="R926" s="175">
        <v>75</v>
      </c>
      <c r="S926">
        <v>15</v>
      </c>
    </row>
    <row r="927" spans="1:19" x14ac:dyDescent="0.25">
      <c r="A927" s="87">
        <v>2019</v>
      </c>
      <c r="B927" s="87">
        <v>8</v>
      </c>
      <c r="C927" s="173" t="s">
        <v>16</v>
      </c>
      <c r="D927" s="173" t="s">
        <v>21</v>
      </c>
      <c r="E927" s="173" t="s">
        <v>18</v>
      </c>
      <c r="F927" s="173" t="s">
        <v>16</v>
      </c>
      <c r="G927" s="87" t="b">
        <v>1</v>
      </c>
      <c r="H927" s="87" t="b">
        <v>0</v>
      </c>
      <c r="I927" s="87" t="b">
        <v>0</v>
      </c>
      <c r="J927" s="173" t="s">
        <v>450</v>
      </c>
      <c r="K927" s="174">
        <v>29259736000403</v>
      </c>
      <c r="L927" s="173" t="s">
        <v>1101</v>
      </c>
      <c r="M927" s="173" t="s">
        <v>131</v>
      </c>
      <c r="N927" s="173" t="s">
        <v>61</v>
      </c>
      <c r="O927" s="87">
        <v>62</v>
      </c>
      <c r="P927" s="173" t="s">
        <v>27</v>
      </c>
      <c r="Q927" s="1" t="s">
        <v>1343</v>
      </c>
      <c r="R927" s="175">
        <v>45</v>
      </c>
      <c r="S927">
        <v>45</v>
      </c>
    </row>
    <row r="928" spans="1:19" x14ac:dyDescent="0.25">
      <c r="A928" s="87">
        <v>2019</v>
      </c>
      <c r="B928" s="87">
        <v>8</v>
      </c>
      <c r="C928" s="173" t="s">
        <v>16</v>
      </c>
      <c r="D928" s="173" t="s">
        <v>21</v>
      </c>
      <c r="E928" s="173" t="s">
        <v>18</v>
      </c>
      <c r="F928" s="173" t="s">
        <v>16</v>
      </c>
      <c r="G928" s="87" t="b">
        <v>1</v>
      </c>
      <c r="H928" s="87" t="b">
        <v>0</v>
      </c>
      <c r="I928" s="87" t="b">
        <v>0</v>
      </c>
      <c r="J928" s="173" t="s">
        <v>1512</v>
      </c>
      <c r="K928" s="174">
        <v>29259736000403</v>
      </c>
      <c r="L928" s="173" t="s">
        <v>1101</v>
      </c>
      <c r="M928" s="173" t="s">
        <v>131</v>
      </c>
      <c r="N928" s="173" t="s">
        <v>61</v>
      </c>
      <c r="O928" s="87">
        <v>62</v>
      </c>
      <c r="P928" s="173" t="s">
        <v>27</v>
      </c>
      <c r="Q928" s="1" t="s">
        <v>1343</v>
      </c>
      <c r="R928" s="175">
        <v>11</v>
      </c>
      <c r="S928">
        <v>11</v>
      </c>
    </row>
    <row r="929" spans="1:19" x14ac:dyDescent="0.25">
      <c r="A929" s="87">
        <v>2019</v>
      </c>
      <c r="B929" s="87">
        <v>8</v>
      </c>
      <c r="C929" s="173" t="s">
        <v>16</v>
      </c>
      <c r="D929" s="173" t="s">
        <v>21</v>
      </c>
      <c r="E929" s="173" t="s">
        <v>18</v>
      </c>
      <c r="F929" s="173" t="s">
        <v>16</v>
      </c>
      <c r="G929" s="87" t="b">
        <v>1</v>
      </c>
      <c r="H929" s="87" t="b">
        <v>0</v>
      </c>
      <c r="I929" s="87" t="b">
        <v>0</v>
      </c>
      <c r="J929" s="173" t="s">
        <v>491</v>
      </c>
      <c r="K929" s="174">
        <v>29259736000403</v>
      </c>
      <c r="L929" s="173" t="s">
        <v>1101</v>
      </c>
      <c r="M929" s="173" t="s">
        <v>131</v>
      </c>
      <c r="N929" s="173" t="s">
        <v>61</v>
      </c>
      <c r="O929" s="87">
        <v>64</v>
      </c>
      <c r="P929" s="173" t="s">
        <v>25</v>
      </c>
      <c r="Q929" s="1" t="s">
        <v>1344</v>
      </c>
      <c r="R929" s="175">
        <v>2</v>
      </c>
      <c r="S929">
        <v>2</v>
      </c>
    </row>
    <row r="930" spans="1:19" x14ac:dyDescent="0.25">
      <c r="A930" s="87">
        <v>2019</v>
      </c>
      <c r="B930" s="87">
        <v>8</v>
      </c>
      <c r="C930" s="173" t="s">
        <v>16</v>
      </c>
      <c r="D930" s="173" t="s">
        <v>21</v>
      </c>
      <c r="E930" s="173" t="s">
        <v>18</v>
      </c>
      <c r="F930" s="173" t="s">
        <v>16</v>
      </c>
      <c r="G930" s="87" t="b">
        <v>1</v>
      </c>
      <c r="H930" s="87" t="b">
        <v>0</v>
      </c>
      <c r="I930" s="87" t="b">
        <v>0</v>
      </c>
      <c r="J930" s="173" t="s">
        <v>477</v>
      </c>
      <c r="K930" s="174">
        <v>29259736000403</v>
      </c>
      <c r="L930" s="173" t="s">
        <v>1101</v>
      </c>
      <c r="M930" s="173" t="s">
        <v>131</v>
      </c>
      <c r="N930" s="173" t="s">
        <v>61</v>
      </c>
      <c r="O930" s="87">
        <v>73</v>
      </c>
      <c r="P930" s="173" t="s">
        <v>26</v>
      </c>
      <c r="Q930" s="1" t="s">
        <v>1342</v>
      </c>
      <c r="R930" s="175">
        <v>16</v>
      </c>
      <c r="S930">
        <v>4</v>
      </c>
    </row>
    <row r="931" spans="1:19" x14ac:dyDescent="0.25">
      <c r="A931" s="87">
        <v>2019</v>
      </c>
      <c r="B931" s="87">
        <v>8</v>
      </c>
      <c r="C931" s="173" t="s">
        <v>16</v>
      </c>
      <c r="D931" s="173" t="s">
        <v>21</v>
      </c>
      <c r="E931" s="173" t="s">
        <v>18</v>
      </c>
      <c r="F931" s="173" t="s">
        <v>16</v>
      </c>
      <c r="G931" s="87" t="b">
        <v>1</v>
      </c>
      <c r="H931" s="87" t="b">
        <v>0</v>
      </c>
      <c r="I931" s="87" t="b">
        <v>0</v>
      </c>
      <c r="J931" s="173" t="s">
        <v>470</v>
      </c>
      <c r="K931" s="174">
        <v>29435005002687</v>
      </c>
      <c r="L931" s="173" t="s">
        <v>593</v>
      </c>
      <c r="M931" s="173" t="s">
        <v>29</v>
      </c>
      <c r="N931" s="173" t="s">
        <v>19</v>
      </c>
      <c r="O931" s="87">
        <v>70</v>
      </c>
      <c r="P931" s="173" t="s">
        <v>20</v>
      </c>
      <c r="Q931" s="1" t="s">
        <v>1338</v>
      </c>
      <c r="R931" s="175">
        <v>1350</v>
      </c>
      <c r="S931">
        <v>270</v>
      </c>
    </row>
    <row r="932" spans="1:19" x14ac:dyDescent="0.25">
      <c r="A932" s="87">
        <v>2019</v>
      </c>
      <c r="B932" s="87">
        <v>8</v>
      </c>
      <c r="C932" s="173" t="s">
        <v>16</v>
      </c>
      <c r="D932" s="173" t="s">
        <v>21</v>
      </c>
      <c r="E932" s="173" t="s">
        <v>18</v>
      </c>
      <c r="F932" s="173" t="s">
        <v>16</v>
      </c>
      <c r="G932" s="87" t="b">
        <v>1</v>
      </c>
      <c r="H932" s="87" t="b">
        <v>0</v>
      </c>
      <c r="I932" s="87" t="b">
        <v>0</v>
      </c>
      <c r="J932" s="173" t="s">
        <v>470</v>
      </c>
      <c r="K932" s="174">
        <v>29435005003497</v>
      </c>
      <c r="L932" s="173" t="s">
        <v>1054</v>
      </c>
      <c r="M932" s="173" t="s">
        <v>78</v>
      </c>
      <c r="N932" s="173" t="s">
        <v>61</v>
      </c>
      <c r="O932" s="87">
        <v>70</v>
      </c>
      <c r="P932" s="173" t="s">
        <v>20</v>
      </c>
      <c r="Q932" s="1" t="s">
        <v>1338</v>
      </c>
      <c r="R932" s="175">
        <v>150</v>
      </c>
      <c r="S932">
        <v>30</v>
      </c>
    </row>
    <row r="933" spans="1:19" x14ac:dyDescent="0.25">
      <c r="A933" s="87">
        <v>2019</v>
      </c>
      <c r="B933" s="87">
        <v>8</v>
      </c>
      <c r="C933" s="173" t="s">
        <v>16</v>
      </c>
      <c r="D933" s="173" t="s">
        <v>21</v>
      </c>
      <c r="E933" s="173" t="s">
        <v>18</v>
      </c>
      <c r="F933" s="173" t="s">
        <v>16</v>
      </c>
      <c r="G933" s="87" t="b">
        <v>1</v>
      </c>
      <c r="H933" s="87" t="b">
        <v>0</v>
      </c>
      <c r="I933" s="87" t="b">
        <v>0</v>
      </c>
      <c r="J933" s="173" t="s">
        <v>470</v>
      </c>
      <c r="K933" s="174">
        <v>29435005004620</v>
      </c>
      <c r="L933" s="173" t="s">
        <v>911</v>
      </c>
      <c r="M933" s="173" t="s">
        <v>739</v>
      </c>
      <c r="N933" s="173" t="s">
        <v>55</v>
      </c>
      <c r="O933" s="87">
        <v>64</v>
      </c>
      <c r="P933" s="173" t="s">
        <v>25</v>
      </c>
      <c r="Q933" s="1" t="s">
        <v>1344</v>
      </c>
      <c r="R933" s="175">
        <v>30</v>
      </c>
      <c r="S933">
        <v>30</v>
      </c>
    </row>
    <row r="934" spans="1:19" x14ac:dyDescent="0.25">
      <c r="A934" s="87">
        <v>2019</v>
      </c>
      <c r="B934" s="87">
        <v>8</v>
      </c>
      <c r="C934" s="173" t="s">
        <v>16</v>
      </c>
      <c r="D934" s="173" t="s">
        <v>21</v>
      </c>
      <c r="E934" s="173" t="s">
        <v>18</v>
      </c>
      <c r="F934" s="173" t="s">
        <v>16</v>
      </c>
      <c r="G934" s="87" t="b">
        <v>1</v>
      </c>
      <c r="H934" s="87" t="b">
        <v>0</v>
      </c>
      <c r="I934" s="87" t="b">
        <v>0</v>
      </c>
      <c r="J934" s="173" t="s">
        <v>470</v>
      </c>
      <c r="K934" s="174">
        <v>29435005005198</v>
      </c>
      <c r="L934" s="173" t="s">
        <v>1102</v>
      </c>
      <c r="M934" s="173" t="s">
        <v>131</v>
      </c>
      <c r="N934" s="173" t="s">
        <v>61</v>
      </c>
      <c r="O934" s="87">
        <v>70</v>
      </c>
      <c r="P934" s="173" t="s">
        <v>20</v>
      </c>
      <c r="Q934" s="1" t="s">
        <v>1338</v>
      </c>
      <c r="R934" s="175">
        <v>200</v>
      </c>
      <c r="S934">
        <v>40</v>
      </c>
    </row>
    <row r="935" spans="1:19" x14ac:dyDescent="0.25">
      <c r="A935" s="87">
        <v>2019</v>
      </c>
      <c r="B935" s="87">
        <v>8</v>
      </c>
      <c r="C935" s="173" t="s">
        <v>16</v>
      </c>
      <c r="D935" s="173" t="s">
        <v>21</v>
      </c>
      <c r="E935" s="173" t="s">
        <v>18</v>
      </c>
      <c r="F935" s="173" t="s">
        <v>16</v>
      </c>
      <c r="G935" s="87" t="b">
        <v>1</v>
      </c>
      <c r="H935" s="87" t="b">
        <v>0</v>
      </c>
      <c r="I935" s="87" t="b">
        <v>0</v>
      </c>
      <c r="J935" s="173" t="s">
        <v>470</v>
      </c>
      <c r="K935" s="174">
        <v>29435005005279</v>
      </c>
      <c r="L935" s="173" t="s">
        <v>1103</v>
      </c>
      <c r="M935" s="173" t="s">
        <v>131</v>
      </c>
      <c r="N935" s="173" t="s">
        <v>61</v>
      </c>
      <c r="O935" s="87">
        <v>64</v>
      </c>
      <c r="P935" s="173" t="s">
        <v>25</v>
      </c>
      <c r="Q935" s="1" t="s">
        <v>1344</v>
      </c>
      <c r="R935" s="175">
        <v>5</v>
      </c>
      <c r="S935">
        <v>5</v>
      </c>
    </row>
    <row r="936" spans="1:19" x14ac:dyDescent="0.25">
      <c r="A936" s="87">
        <v>2019</v>
      </c>
      <c r="B936" s="87">
        <v>8</v>
      </c>
      <c r="C936" s="173" t="s">
        <v>16</v>
      </c>
      <c r="D936" s="173" t="s">
        <v>21</v>
      </c>
      <c r="E936" s="173" t="s">
        <v>18</v>
      </c>
      <c r="F936" s="173" t="s">
        <v>16</v>
      </c>
      <c r="G936" s="87" t="b">
        <v>1</v>
      </c>
      <c r="H936" s="87" t="b">
        <v>0</v>
      </c>
      <c r="I936" s="87" t="b">
        <v>0</v>
      </c>
      <c r="J936" s="173" t="s">
        <v>470</v>
      </c>
      <c r="K936" s="174">
        <v>29435005005600</v>
      </c>
      <c r="L936" s="173" t="s">
        <v>974</v>
      </c>
      <c r="M936" s="173" t="s">
        <v>94</v>
      </c>
      <c r="N936" s="173" t="s">
        <v>57</v>
      </c>
      <c r="O936" s="87">
        <v>70</v>
      </c>
      <c r="P936" s="173" t="s">
        <v>20</v>
      </c>
      <c r="Q936" s="1" t="s">
        <v>1338</v>
      </c>
      <c r="R936" s="175">
        <v>255</v>
      </c>
      <c r="S936">
        <v>51</v>
      </c>
    </row>
    <row r="937" spans="1:19" x14ac:dyDescent="0.25">
      <c r="A937" s="87">
        <v>2019</v>
      </c>
      <c r="B937" s="87">
        <v>8</v>
      </c>
      <c r="C937" s="173" t="s">
        <v>16</v>
      </c>
      <c r="D937" s="173" t="s">
        <v>21</v>
      </c>
      <c r="E937" s="173" t="s">
        <v>18</v>
      </c>
      <c r="F937" s="173" t="s">
        <v>16</v>
      </c>
      <c r="G937" s="87" t="b">
        <v>1</v>
      </c>
      <c r="H937" s="87" t="b">
        <v>0</v>
      </c>
      <c r="I937" s="87" t="b">
        <v>0</v>
      </c>
      <c r="J937" s="173" t="s">
        <v>470</v>
      </c>
      <c r="K937" s="174">
        <v>29435005005783</v>
      </c>
      <c r="L937" s="173" t="s">
        <v>1104</v>
      </c>
      <c r="M937" s="173" t="s">
        <v>131</v>
      </c>
      <c r="N937" s="173" t="s">
        <v>61</v>
      </c>
      <c r="O937" s="87">
        <v>70</v>
      </c>
      <c r="P937" s="173" t="s">
        <v>20</v>
      </c>
      <c r="Q937" s="1" t="s">
        <v>1338</v>
      </c>
      <c r="R937" s="175">
        <v>385</v>
      </c>
      <c r="S937">
        <v>77</v>
      </c>
    </row>
    <row r="938" spans="1:19" x14ac:dyDescent="0.25">
      <c r="A938" s="87">
        <v>2019</v>
      </c>
      <c r="B938" s="87">
        <v>8</v>
      </c>
      <c r="C938" s="173" t="s">
        <v>16</v>
      </c>
      <c r="D938" s="173" t="s">
        <v>21</v>
      </c>
      <c r="E938" s="173" t="s">
        <v>18</v>
      </c>
      <c r="F938" s="173" t="s">
        <v>16</v>
      </c>
      <c r="G938" s="87" t="b">
        <v>1</v>
      </c>
      <c r="H938" s="87" t="b">
        <v>0</v>
      </c>
      <c r="I938" s="87" t="b">
        <v>0</v>
      </c>
      <c r="J938" s="173" t="s">
        <v>470</v>
      </c>
      <c r="K938" s="174">
        <v>29435005006160</v>
      </c>
      <c r="L938" s="173" t="s">
        <v>1105</v>
      </c>
      <c r="M938" s="173" t="s">
        <v>131</v>
      </c>
      <c r="N938" s="173" t="s">
        <v>61</v>
      </c>
      <c r="O938" s="87">
        <v>62</v>
      </c>
      <c r="P938" s="173" t="s">
        <v>27</v>
      </c>
      <c r="Q938" s="1" t="s">
        <v>1343</v>
      </c>
      <c r="R938" s="175">
        <v>4</v>
      </c>
      <c r="S938">
        <v>4</v>
      </c>
    </row>
    <row r="939" spans="1:19" x14ac:dyDescent="0.25">
      <c r="A939" s="87">
        <v>2019</v>
      </c>
      <c r="B939" s="87">
        <v>8</v>
      </c>
      <c r="C939" s="173" t="s">
        <v>16</v>
      </c>
      <c r="D939" s="173" t="s">
        <v>21</v>
      </c>
      <c r="E939" s="173" t="s">
        <v>18</v>
      </c>
      <c r="F939" s="173" t="s">
        <v>16</v>
      </c>
      <c r="G939" s="87" t="b">
        <v>1</v>
      </c>
      <c r="H939" s="87" t="b">
        <v>0</v>
      </c>
      <c r="I939" s="87" t="b">
        <v>0</v>
      </c>
      <c r="J939" s="173" t="s">
        <v>470</v>
      </c>
      <c r="K939" s="174">
        <v>29435005006160</v>
      </c>
      <c r="L939" s="173" t="s">
        <v>1105</v>
      </c>
      <c r="M939" s="173" t="s">
        <v>131</v>
      </c>
      <c r="N939" s="173" t="s">
        <v>61</v>
      </c>
      <c r="O939" s="87">
        <v>64</v>
      </c>
      <c r="P939" s="173" t="s">
        <v>25</v>
      </c>
      <c r="Q939" s="1" t="s">
        <v>1344</v>
      </c>
      <c r="R939" s="175">
        <v>14</v>
      </c>
      <c r="S939">
        <v>14</v>
      </c>
    </row>
    <row r="940" spans="1:19" x14ac:dyDescent="0.25">
      <c r="A940" s="87">
        <v>2019</v>
      </c>
      <c r="B940" s="87">
        <v>8</v>
      </c>
      <c r="C940" s="173" t="s">
        <v>16</v>
      </c>
      <c r="D940" s="173" t="s">
        <v>21</v>
      </c>
      <c r="E940" s="173" t="s">
        <v>18</v>
      </c>
      <c r="F940" s="173" t="s">
        <v>16</v>
      </c>
      <c r="G940" s="87" t="b">
        <v>1</v>
      </c>
      <c r="H940" s="87" t="b">
        <v>0</v>
      </c>
      <c r="I940" s="87" t="b">
        <v>0</v>
      </c>
      <c r="J940" s="173" t="s">
        <v>470</v>
      </c>
      <c r="K940" s="174">
        <v>29435005007484</v>
      </c>
      <c r="L940" s="173" t="s">
        <v>912</v>
      </c>
      <c r="M940" s="173" t="s">
        <v>76</v>
      </c>
      <c r="N940" s="173" t="s">
        <v>77</v>
      </c>
      <c r="O940" s="87">
        <v>70</v>
      </c>
      <c r="P940" s="173" t="s">
        <v>20</v>
      </c>
      <c r="Q940" s="1" t="s">
        <v>1338</v>
      </c>
      <c r="R940" s="175">
        <v>100</v>
      </c>
      <c r="S940">
        <v>20</v>
      </c>
    </row>
    <row r="941" spans="1:19" x14ac:dyDescent="0.25">
      <c r="A941" s="87">
        <v>2019</v>
      </c>
      <c r="B941" s="87">
        <v>8</v>
      </c>
      <c r="C941" s="173" t="s">
        <v>16</v>
      </c>
      <c r="D941" s="173" t="s">
        <v>21</v>
      </c>
      <c r="E941" s="173" t="s">
        <v>18</v>
      </c>
      <c r="F941" s="173" t="s">
        <v>16</v>
      </c>
      <c r="G941" s="87" t="b">
        <v>1</v>
      </c>
      <c r="H941" s="87" t="b">
        <v>0</v>
      </c>
      <c r="I941" s="87" t="b">
        <v>0</v>
      </c>
      <c r="J941" s="173" t="s">
        <v>470</v>
      </c>
      <c r="K941" s="174">
        <v>29435005008294</v>
      </c>
      <c r="L941" s="173" t="s">
        <v>671</v>
      </c>
      <c r="M941" s="173" t="s">
        <v>36</v>
      </c>
      <c r="N941" s="173" t="s">
        <v>19</v>
      </c>
      <c r="O941" s="87">
        <v>70</v>
      </c>
      <c r="P941" s="173" t="s">
        <v>20</v>
      </c>
      <c r="Q941" s="1" t="s">
        <v>1338</v>
      </c>
      <c r="R941" s="175">
        <v>150</v>
      </c>
      <c r="S941">
        <v>30</v>
      </c>
    </row>
    <row r="942" spans="1:19" x14ac:dyDescent="0.25">
      <c r="A942" s="87">
        <v>2019</v>
      </c>
      <c r="B942" s="87">
        <v>8</v>
      </c>
      <c r="C942" s="173" t="s">
        <v>16</v>
      </c>
      <c r="D942" s="173" t="s">
        <v>21</v>
      </c>
      <c r="E942" s="173" t="s">
        <v>18</v>
      </c>
      <c r="F942" s="173" t="s">
        <v>16</v>
      </c>
      <c r="G942" s="87" t="b">
        <v>1</v>
      </c>
      <c r="H942" s="87" t="b">
        <v>0</v>
      </c>
      <c r="I942" s="87" t="b">
        <v>0</v>
      </c>
      <c r="J942" s="173" t="s">
        <v>470</v>
      </c>
      <c r="K942" s="174">
        <v>29435005008456</v>
      </c>
      <c r="L942" s="173" t="s">
        <v>672</v>
      </c>
      <c r="M942" s="173" t="s">
        <v>33</v>
      </c>
      <c r="N942" s="173" t="s">
        <v>19</v>
      </c>
      <c r="O942" s="87">
        <v>70</v>
      </c>
      <c r="P942" s="173" t="s">
        <v>20</v>
      </c>
      <c r="Q942" s="1" t="s">
        <v>1338</v>
      </c>
      <c r="R942" s="175">
        <v>35</v>
      </c>
      <c r="S942">
        <v>7</v>
      </c>
    </row>
    <row r="943" spans="1:19" x14ac:dyDescent="0.25">
      <c r="A943" s="87">
        <v>2019</v>
      </c>
      <c r="B943" s="87">
        <v>8</v>
      </c>
      <c r="C943" s="173" t="s">
        <v>16</v>
      </c>
      <c r="D943" s="173" t="s">
        <v>21</v>
      </c>
      <c r="E943" s="173" t="s">
        <v>18</v>
      </c>
      <c r="F943" s="173" t="s">
        <v>16</v>
      </c>
      <c r="G943" s="87" t="b">
        <v>1</v>
      </c>
      <c r="H943" s="87" t="b">
        <v>0</v>
      </c>
      <c r="I943" s="87" t="b">
        <v>0</v>
      </c>
      <c r="J943" s="173" t="s">
        <v>470</v>
      </c>
      <c r="K943" s="174">
        <v>29435005009851</v>
      </c>
      <c r="L943" s="173" t="s">
        <v>913</v>
      </c>
      <c r="M943" s="173" t="s">
        <v>62</v>
      </c>
      <c r="N943" s="173" t="s">
        <v>63</v>
      </c>
      <c r="O943" s="87">
        <v>64</v>
      </c>
      <c r="P943" s="173" t="s">
        <v>25</v>
      </c>
      <c r="Q943" s="1" t="s">
        <v>1344</v>
      </c>
      <c r="R943" s="175">
        <v>15</v>
      </c>
      <c r="S943">
        <v>15</v>
      </c>
    </row>
    <row r="944" spans="1:19" x14ac:dyDescent="0.25">
      <c r="A944" s="87">
        <v>2019</v>
      </c>
      <c r="B944" s="87">
        <v>8</v>
      </c>
      <c r="C944" s="173" t="s">
        <v>16</v>
      </c>
      <c r="D944" s="173" t="s">
        <v>21</v>
      </c>
      <c r="E944" s="173" t="s">
        <v>18</v>
      </c>
      <c r="F944" s="173" t="s">
        <v>16</v>
      </c>
      <c r="G944" s="87" t="b">
        <v>1</v>
      </c>
      <c r="H944" s="87" t="b">
        <v>0</v>
      </c>
      <c r="I944" s="87" t="b">
        <v>0</v>
      </c>
      <c r="J944" s="173" t="s">
        <v>470</v>
      </c>
      <c r="K944" s="174">
        <v>29435005009851</v>
      </c>
      <c r="L944" s="173" t="s">
        <v>913</v>
      </c>
      <c r="M944" s="173" t="s">
        <v>62</v>
      </c>
      <c r="N944" s="173" t="s">
        <v>63</v>
      </c>
      <c r="O944" s="87">
        <v>70</v>
      </c>
      <c r="P944" s="173" t="s">
        <v>20</v>
      </c>
      <c r="Q944" s="1" t="s">
        <v>1338</v>
      </c>
      <c r="R944" s="175">
        <v>200</v>
      </c>
      <c r="S944">
        <v>40</v>
      </c>
    </row>
    <row r="945" spans="1:19" x14ac:dyDescent="0.25">
      <c r="A945" s="87">
        <v>2019</v>
      </c>
      <c r="B945" s="87">
        <v>8</v>
      </c>
      <c r="C945" s="173" t="s">
        <v>16</v>
      </c>
      <c r="D945" s="173" t="s">
        <v>21</v>
      </c>
      <c r="E945" s="173" t="s">
        <v>18</v>
      </c>
      <c r="F945" s="173" t="s">
        <v>16</v>
      </c>
      <c r="G945" s="87" t="b">
        <v>1</v>
      </c>
      <c r="H945" s="87" t="b">
        <v>0</v>
      </c>
      <c r="I945" s="87" t="b">
        <v>0</v>
      </c>
      <c r="J945" s="173" t="s">
        <v>470</v>
      </c>
      <c r="K945" s="174">
        <v>29435005009932</v>
      </c>
      <c r="L945" s="173" t="s">
        <v>595</v>
      </c>
      <c r="M945" s="173" t="s">
        <v>29</v>
      </c>
      <c r="N945" s="173" t="s">
        <v>19</v>
      </c>
      <c r="O945" s="87">
        <v>62</v>
      </c>
      <c r="P945" s="173" t="s">
        <v>27</v>
      </c>
      <c r="Q945" s="1" t="s">
        <v>1343</v>
      </c>
      <c r="R945" s="175">
        <v>13</v>
      </c>
      <c r="S945">
        <v>13</v>
      </c>
    </row>
    <row r="946" spans="1:19" x14ac:dyDescent="0.25">
      <c r="A946" s="87">
        <v>2019</v>
      </c>
      <c r="B946" s="87">
        <v>8</v>
      </c>
      <c r="C946" s="173" t="s">
        <v>16</v>
      </c>
      <c r="D946" s="173" t="s">
        <v>21</v>
      </c>
      <c r="E946" s="173" t="s">
        <v>18</v>
      </c>
      <c r="F946" s="173" t="s">
        <v>16</v>
      </c>
      <c r="G946" s="87" t="b">
        <v>1</v>
      </c>
      <c r="H946" s="87" t="b">
        <v>0</v>
      </c>
      <c r="I946" s="87" t="b">
        <v>0</v>
      </c>
      <c r="J946" s="173" t="s">
        <v>470</v>
      </c>
      <c r="K946" s="174">
        <v>29435005009932</v>
      </c>
      <c r="L946" s="173" t="s">
        <v>595</v>
      </c>
      <c r="M946" s="173" t="s">
        <v>29</v>
      </c>
      <c r="N946" s="173" t="s">
        <v>19</v>
      </c>
      <c r="O946" s="87">
        <v>70</v>
      </c>
      <c r="P946" s="173" t="s">
        <v>20</v>
      </c>
      <c r="Q946" s="1" t="s">
        <v>1338</v>
      </c>
      <c r="R946" s="175">
        <v>1700</v>
      </c>
      <c r="S946">
        <v>340</v>
      </c>
    </row>
    <row r="947" spans="1:19" x14ac:dyDescent="0.25">
      <c r="A947" s="87">
        <v>2019</v>
      </c>
      <c r="B947" s="87">
        <v>8</v>
      </c>
      <c r="C947" s="173" t="s">
        <v>16</v>
      </c>
      <c r="D947" s="173" t="s">
        <v>21</v>
      </c>
      <c r="E947" s="173" t="s">
        <v>18</v>
      </c>
      <c r="F947" s="173" t="s">
        <v>16</v>
      </c>
      <c r="G947" s="87" t="b">
        <v>1</v>
      </c>
      <c r="H947" s="87" t="b">
        <v>0</v>
      </c>
      <c r="I947" s="87" t="b">
        <v>0</v>
      </c>
      <c r="J947" s="173" t="s">
        <v>477</v>
      </c>
      <c r="K947" s="174">
        <v>29640612000120</v>
      </c>
      <c r="L947" s="173" t="s">
        <v>1055</v>
      </c>
      <c r="M947" s="173" t="s">
        <v>103</v>
      </c>
      <c r="N947" s="173" t="s">
        <v>61</v>
      </c>
      <c r="O947" s="87">
        <v>62</v>
      </c>
      <c r="P947" s="173" t="s">
        <v>27</v>
      </c>
      <c r="Q947" s="1" t="s">
        <v>1343</v>
      </c>
      <c r="R947" s="175">
        <v>1</v>
      </c>
      <c r="S947">
        <v>1</v>
      </c>
    </row>
    <row r="948" spans="1:19" x14ac:dyDescent="0.25">
      <c r="A948" s="87">
        <v>2019</v>
      </c>
      <c r="B948" s="87">
        <v>8</v>
      </c>
      <c r="C948" s="173" t="s">
        <v>16</v>
      </c>
      <c r="D948" s="173" t="s">
        <v>21</v>
      </c>
      <c r="E948" s="173" t="s">
        <v>18</v>
      </c>
      <c r="F948" s="173" t="s">
        <v>16</v>
      </c>
      <c r="G948" s="87" t="b">
        <v>1</v>
      </c>
      <c r="H948" s="87" t="b">
        <v>0</v>
      </c>
      <c r="I948" s="87" t="b">
        <v>0</v>
      </c>
      <c r="J948" s="173" t="s">
        <v>1512</v>
      </c>
      <c r="K948" s="174">
        <v>29908956000178</v>
      </c>
      <c r="L948" s="173" t="s">
        <v>975</v>
      </c>
      <c r="M948" s="173" t="s">
        <v>104</v>
      </c>
      <c r="N948" s="173" t="s">
        <v>67</v>
      </c>
      <c r="O948" s="87">
        <v>66</v>
      </c>
      <c r="P948" s="173" t="s">
        <v>28</v>
      </c>
      <c r="Q948" s="1" t="s">
        <v>1341</v>
      </c>
      <c r="R948" s="175">
        <v>4</v>
      </c>
      <c r="S948">
        <v>4</v>
      </c>
    </row>
    <row r="949" spans="1:19" x14ac:dyDescent="0.25">
      <c r="A949" s="87">
        <v>2019</v>
      </c>
      <c r="B949" s="87">
        <v>8</v>
      </c>
      <c r="C949" s="173" t="s">
        <v>16</v>
      </c>
      <c r="D949" s="173" t="s">
        <v>21</v>
      </c>
      <c r="E949" s="173" t="s">
        <v>18</v>
      </c>
      <c r="F949" s="173" t="s">
        <v>16</v>
      </c>
      <c r="G949" s="87" t="b">
        <v>1</v>
      </c>
      <c r="H949" s="87" t="b">
        <v>0</v>
      </c>
      <c r="I949" s="87" t="b">
        <v>0</v>
      </c>
      <c r="J949" s="173" t="s">
        <v>477</v>
      </c>
      <c r="K949" s="174">
        <v>30079461000162</v>
      </c>
      <c r="L949" s="173" t="s">
        <v>1056</v>
      </c>
      <c r="M949" s="173" t="s">
        <v>1039</v>
      </c>
      <c r="N949" s="173" t="s">
        <v>61</v>
      </c>
      <c r="O949" s="87">
        <v>62</v>
      </c>
      <c r="P949" s="173" t="s">
        <v>27</v>
      </c>
      <c r="Q949" s="1" t="s">
        <v>1343</v>
      </c>
      <c r="R949" s="175">
        <v>2</v>
      </c>
      <c r="S949">
        <v>2</v>
      </c>
    </row>
    <row r="950" spans="1:19" x14ac:dyDescent="0.25">
      <c r="A950" s="87">
        <v>2019</v>
      </c>
      <c r="B950" s="87">
        <v>8</v>
      </c>
      <c r="C950" s="173" t="s">
        <v>16</v>
      </c>
      <c r="D950" s="173" t="s">
        <v>21</v>
      </c>
      <c r="E950" s="173" t="s">
        <v>18</v>
      </c>
      <c r="F950" s="173" t="s">
        <v>16</v>
      </c>
      <c r="G950" s="87" t="b">
        <v>1</v>
      </c>
      <c r="H950" s="87" t="b">
        <v>0</v>
      </c>
      <c r="I950" s="87" t="b">
        <v>0</v>
      </c>
      <c r="J950" s="173" t="s">
        <v>455</v>
      </c>
      <c r="K950" s="174">
        <v>30079461000162</v>
      </c>
      <c r="L950" s="173" t="s">
        <v>1056</v>
      </c>
      <c r="M950" s="173" t="s">
        <v>1039</v>
      </c>
      <c r="N950" s="173" t="s">
        <v>61</v>
      </c>
      <c r="O950" s="87">
        <v>64</v>
      </c>
      <c r="P950" s="173" t="s">
        <v>25</v>
      </c>
      <c r="Q950" s="1" t="s">
        <v>1344</v>
      </c>
      <c r="R950" s="175">
        <v>6</v>
      </c>
      <c r="S950">
        <v>6</v>
      </c>
    </row>
    <row r="951" spans="1:19" x14ac:dyDescent="0.25">
      <c r="A951" s="87">
        <v>2019</v>
      </c>
      <c r="B951" s="87">
        <v>8</v>
      </c>
      <c r="C951" s="173" t="s">
        <v>16</v>
      </c>
      <c r="D951" s="173" t="s">
        <v>21</v>
      </c>
      <c r="E951" s="173" t="s">
        <v>18</v>
      </c>
      <c r="F951" s="173" t="s">
        <v>16</v>
      </c>
      <c r="G951" s="87" t="b">
        <v>1</v>
      </c>
      <c r="H951" s="87" t="b">
        <v>0</v>
      </c>
      <c r="I951" s="87" t="b">
        <v>0</v>
      </c>
      <c r="J951" s="173" t="s">
        <v>477</v>
      </c>
      <c r="K951" s="174">
        <v>30079461000162</v>
      </c>
      <c r="L951" s="173" t="s">
        <v>1056</v>
      </c>
      <c r="M951" s="173" t="s">
        <v>1039</v>
      </c>
      <c r="N951" s="173" t="s">
        <v>61</v>
      </c>
      <c r="O951" s="87">
        <v>64</v>
      </c>
      <c r="P951" s="173" t="s">
        <v>25</v>
      </c>
      <c r="Q951" s="1" t="s">
        <v>1344</v>
      </c>
      <c r="R951" s="175">
        <v>10</v>
      </c>
      <c r="S951">
        <v>10</v>
      </c>
    </row>
    <row r="952" spans="1:19" x14ac:dyDescent="0.25">
      <c r="A952" s="87">
        <v>2019</v>
      </c>
      <c r="B952" s="87">
        <v>8</v>
      </c>
      <c r="C952" s="173" t="s">
        <v>16</v>
      </c>
      <c r="D952" s="173" t="s">
        <v>21</v>
      </c>
      <c r="E952" s="173" t="s">
        <v>18</v>
      </c>
      <c r="F952" s="173" t="s">
        <v>16</v>
      </c>
      <c r="G952" s="87" t="b">
        <v>1</v>
      </c>
      <c r="H952" s="87" t="b">
        <v>0</v>
      </c>
      <c r="I952" s="87" t="b">
        <v>0</v>
      </c>
      <c r="J952" s="173" t="s">
        <v>468</v>
      </c>
      <c r="K952" s="174">
        <v>30135335000188</v>
      </c>
      <c r="L952" s="173" t="s">
        <v>914</v>
      </c>
      <c r="M952" s="173" t="s">
        <v>739</v>
      </c>
      <c r="N952" s="173" t="s">
        <v>55</v>
      </c>
      <c r="O952" s="87">
        <v>70</v>
      </c>
      <c r="P952" s="173" t="s">
        <v>20</v>
      </c>
      <c r="Q952" s="1" t="s">
        <v>1338</v>
      </c>
      <c r="R952" s="175">
        <v>550</v>
      </c>
      <c r="S952">
        <v>110</v>
      </c>
    </row>
    <row r="953" spans="1:19" x14ac:dyDescent="0.25">
      <c r="A953" s="87">
        <v>2019</v>
      </c>
      <c r="B953" s="87">
        <v>8</v>
      </c>
      <c r="C953" s="173" t="s">
        <v>16</v>
      </c>
      <c r="D953" s="173" t="s">
        <v>21</v>
      </c>
      <c r="E953" s="173" t="s">
        <v>18</v>
      </c>
      <c r="F953" s="173" t="s">
        <v>16</v>
      </c>
      <c r="G953" s="87" t="b">
        <v>1</v>
      </c>
      <c r="H953" s="87" t="b">
        <v>0</v>
      </c>
      <c r="I953" s="87" t="b">
        <v>0</v>
      </c>
      <c r="J953" s="173" t="s">
        <v>478</v>
      </c>
      <c r="K953" s="174">
        <v>30537740000122</v>
      </c>
      <c r="L953" s="173" t="s">
        <v>1058</v>
      </c>
      <c r="M953" s="173" t="s">
        <v>120</v>
      </c>
      <c r="N953" s="173" t="s">
        <v>61</v>
      </c>
      <c r="O953" s="87">
        <v>70</v>
      </c>
      <c r="P953" s="173" t="s">
        <v>20</v>
      </c>
      <c r="Q953" s="1" t="s">
        <v>1338</v>
      </c>
      <c r="R953" s="175">
        <v>95</v>
      </c>
      <c r="S953">
        <v>19</v>
      </c>
    </row>
    <row r="954" spans="1:19" x14ac:dyDescent="0.25">
      <c r="A954" s="87">
        <v>2019</v>
      </c>
      <c r="B954" s="87">
        <v>8</v>
      </c>
      <c r="C954" s="173" t="s">
        <v>16</v>
      </c>
      <c r="D954" s="173" t="s">
        <v>21</v>
      </c>
      <c r="E954" s="173" t="s">
        <v>18</v>
      </c>
      <c r="F954" s="173" t="s">
        <v>16</v>
      </c>
      <c r="G954" s="87" t="b">
        <v>1</v>
      </c>
      <c r="H954" s="87" t="b">
        <v>0</v>
      </c>
      <c r="I954" s="87" t="b">
        <v>0</v>
      </c>
      <c r="J954" s="173" t="s">
        <v>477</v>
      </c>
      <c r="K954" s="174">
        <v>30537740000122</v>
      </c>
      <c r="L954" s="173" t="s">
        <v>1058</v>
      </c>
      <c r="M954" s="173" t="s">
        <v>120</v>
      </c>
      <c r="N954" s="173" t="s">
        <v>61</v>
      </c>
      <c r="O954" s="87">
        <v>70</v>
      </c>
      <c r="P954" s="173" t="s">
        <v>20</v>
      </c>
      <c r="Q954" s="1" t="s">
        <v>1338</v>
      </c>
      <c r="R954" s="175">
        <v>120</v>
      </c>
      <c r="S954">
        <v>24</v>
      </c>
    </row>
    <row r="955" spans="1:19" x14ac:dyDescent="0.25">
      <c r="A955" s="87">
        <v>2019</v>
      </c>
      <c r="B955" s="87">
        <v>8</v>
      </c>
      <c r="C955" s="173" t="s">
        <v>16</v>
      </c>
      <c r="D955" s="173" t="s">
        <v>21</v>
      </c>
      <c r="E955" s="173" t="s">
        <v>18</v>
      </c>
      <c r="F955" s="173" t="s">
        <v>16</v>
      </c>
      <c r="G955" s="87" t="b">
        <v>1</v>
      </c>
      <c r="H955" s="87" t="b">
        <v>0</v>
      </c>
      <c r="I955" s="87" t="b">
        <v>0</v>
      </c>
      <c r="J955" s="173" t="s">
        <v>477</v>
      </c>
      <c r="K955" s="174">
        <v>31635857000292</v>
      </c>
      <c r="L955" s="173" t="s">
        <v>1107</v>
      </c>
      <c r="M955" s="173" t="s">
        <v>131</v>
      </c>
      <c r="N955" s="173" t="s">
        <v>61</v>
      </c>
      <c r="O955" s="87">
        <v>73</v>
      </c>
      <c r="P955" s="173" t="s">
        <v>26</v>
      </c>
      <c r="Q955" s="1" t="s">
        <v>1342</v>
      </c>
      <c r="R955" s="175">
        <v>36</v>
      </c>
      <c r="S955">
        <v>9</v>
      </c>
    </row>
    <row r="956" spans="1:19" x14ac:dyDescent="0.25">
      <c r="A956" s="87">
        <v>2019</v>
      </c>
      <c r="B956" s="87">
        <v>8</v>
      </c>
      <c r="C956" s="173" t="s">
        <v>16</v>
      </c>
      <c r="D956" s="173" t="s">
        <v>21</v>
      </c>
      <c r="E956" s="173" t="s">
        <v>18</v>
      </c>
      <c r="F956" s="173" t="s">
        <v>16</v>
      </c>
      <c r="G956" s="87" t="b">
        <v>1</v>
      </c>
      <c r="H956" s="87" t="b">
        <v>0</v>
      </c>
      <c r="I956" s="87" t="b">
        <v>0</v>
      </c>
      <c r="J956" s="173" t="s">
        <v>491</v>
      </c>
      <c r="K956" s="174">
        <v>33000167002155</v>
      </c>
      <c r="L956" s="173" t="s">
        <v>915</v>
      </c>
      <c r="M956" s="173" t="s">
        <v>128</v>
      </c>
      <c r="N956" s="173" t="s">
        <v>59</v>
      </c>
      <c r="O956" s="87">
        <v>70</v>
      </c>
      <c r="P956" s="173" t="s">
        <v>20</v>
      </c>
      <c r="Q956" s="1" t="s">
        <v>1338</v>
      </c>
      <c r="R956" s="175">
        <v>120</v>
      </c>
      <c r="S956">
        <v>24</v>
      </c>
    </row>
    <row r="957" spans="1:19" x14ac:dyDescent="0.25">
      <c r="A957" s="87">
        <v>2019</v>
      </c>
      <c r="B957" s="87">
        <v>8</v>
      </c>
      <c r="C957" s="173" t="s">
        <v>16</v>
      </c>
      <c r="D957" s="173" t="s">
        <v>21</v>
      </c>
      <c r="E957" s="173" t="s">
        <v>18</v>
      </c>
      <c r="F957" s="173" t="s">
        <v>16</v>
      </c>
      <c r="G957" s="87" t="b">
        <v>1</v>
      </c>
      <c r="H957" s="87" t="b">
        <v>0</v>
      </c>
      <c r="I957" s="87" t="b">
        <v>0</v>
      </c>
      <c r="J957" s="173" t="s">
        <v>477</v>
      </c>
      <c r="K957" s="174">
        <v>33419482000259</v>
      </c>
      <c r="L957" s="173" t="s">
        <v>1111</v>
      </c>
      <c r="M957" s="173" t="s">
        <v>131</v>
      </c>
      <c r="N957" s="173" t="s">
        <v>61</v>
      </c>
      <c r="O957" s="87">
        <v>62</v>
      </c>
      <c r="P957" s="173" t="s">
        <v>27</v>
      </c>
      <c r="Q957" s="1" t="s">
        <v>1343</v>
      </c>
      <c r="R957" s="175">
        <v>9</v>
      </c>
      <c r="S957">
        <v>9</v>
      </c>
    </row>
    <row r="958" spans="1:19" x14ac:dyDescent="0.25">
      <c r="A958" s="87">
        <v>2019</v>
      </c>
      <c r="B958" s="87">
        <v>8</v>
      </c>
      <c r="C958" s="173" t="s">
        <v>16</v>
      </c>
      <c r="D958" s="173" t="s">
        <v>21</v>
      </c>
      <c r="E958" s="173" t="s">
        <v>18</v>
      </c>
      <c r="F958" s="173" t="s">
        <v>16</v>
      </c>
      <c r="G958" s="87" t="b">
        <v>1</v>
      </c>
      <c r="H958" s="87" t="b">
        <v>0</v>
      </c>
      <c r="I958" s="87" t="b">
        <v>0</v>
      </c>
      <c r="J958" s="173" t="s">
        <v>477</v>
      </c>
      <c r="K958" s="174">
        <v>33419482000259</v>
      </c>
      <c r="L958" s="173" t="s">
        <v>1111</v>
      </c>
      <c r="M958" s="173" t="s">
        <v>131</v>
      </c>
      <c r="N958" s="173" t="s">
        <v>61</v>
      </c>
      <c r="O958" s="87">
        <v>64</v>
      </c>
      <c r="P958" s="173" t="s">
        <v>25</v>
      </c>
      <c r="Q958" s="1" t="s">
        <v>1344</v>
      </c>
      <c r="R958" s="175">
        <v>2</v>
      </c>
      <c r="S958">
        <v>2</v>
      </c>
    </row>
    <row r="959" spans="1:19" x14ac:dyDescent="0.25">
      <c r="A959" s="87">
        <v>2019</v>
      </c>
      <c r="B959" s="87">
        <v>8</v>
      </c>
      <c r="C959" s="173" t="s">
        <v>16</v>
      </c>
      <c r="D959" s="173" t="s">
        <v>21</v>
      </c>
      <c r="E959" s="173" t="s">
        <v>18</v>
      </c>
      <c r="F959" s="173" t="s">
        <v>16</v>
      </c>
      <c r="G959" s="87" t="b">
        <v>1</v>
      </c>
      <c r="H959" s="87" t="b">
        <v>0</v>
      </c>
      <c r="I959" s="87" t="b">
        <v>0</v>
      </c>
      <c r="J959" s="173" t="s">
        <v>450</v>
      </c>
      <c r="K959" s="174">
        <v>33419482000259</v>
      </c>
      <c r="L959" s="173" t="s">
        <v>1111</v>
      </c>
      <c r="M959" s="173" t="s">
        <v>131</v>
      </c>
      <c r="N959" s="173" t="s">
        <v>61</v>
      </c>
      <c r="O959" s="87">
        <v>70</v>
      </c>
      <c r="P959" s="173" t="s">
        <v>20</v>
      </c>
      <c r="Q959" s="1" t="s">
        <v>1338</v>
      </c>
      <c r="R959" s="175">
        <v>15</v>
      </c>
      <c r="S959">
        <v>3</v>
      </c>
    </row>
    <row r="960" spans="1:19" x14ac:dyDescent="0.25">
      <c r="A960" s="87">
        <v>2019</v>
      </c>
      <c r="B960" s="87">
        <v>8</v>
      </c>
      <c r="C960" s="173" t="s">
        <v>16</v>
      </c>
      <c r="D960" s="173" t="s">
        <v>21</v>
      </c>
      <c r="E960" s="173" t="s">
        <v>18</v>
      </c>
      <c r="F960" s="173" t="s">
        <v>16</v>
      </c>
      <c r="G960" s="87" t="b">
        <v>1</v>
      </c>
      <c r="H960" s="87" t="b">
        <v>0</v>
      </c>
      <c r="I960" s="87" t="b">
        <v>0</v>
      </c>
      <c r="J960" s="173" t="s">
        <v>1330</v>
      </c>
      <c r="K960" s="174">
        <v>33663683005347</v>
      </c>
      <c r="L960" s="173" t="s">
        <v>1114</v>
      </c>
      <c r="M960" s="173" t="s">
        <v>131</v>
      </c>
      <c r="N960" s="173" t="s">
        <v>61</v>
      </c>
      <c r="O960" s="87">
        <v>70</v>
      </c>
      <c r="P960" s="173" t="s">
        <v>20</v>
      </c>
      <c r="Q960" s="1" t="s">
        <v>1338</v>
      </c>
      <c r="R960" s="175">
        <v>800</v>
      </c>
      <c r="S960">
        <v>160</v>
      </c>
    </row>
    <row r="961" spans="1:19" x14ac:dyDescent="0.25">
      <c r="A961" s="87">
        <v>2019</v>
      </c>
      <c r="B961" s="87">
        <v>8</v>
      </c>
      <c r="C961" s="173" t="s">
        <v>16</v>
      </c>
      <c r="D961" s="173" t="s">
        <v>21</v>
      </c>
      <c r="E961" s="173" t="s">
        <v>18</v>
      </c>
      <c r="F961" s="173" t="s">
        <v>16</v>
      </c>
      <c r="G961" s="87" t="b">
        <v>1</v>
      </c>
      <c r="H961" s="87" t="b">
        <v>0</v>
      </c>
      <c r="I961" s="87" t="b">
        <v>0</v>
      </c>
      <c r="J961" s="173" t="s">
        <v>470</v>
      </c>
      <c r="K961" s="174">
        <v>34058123000103</v>
      </c>
      <c r="L961" s="173" t="s">
        <v>1118</v>
      </c>
      <c r="M961" s="173" t="s">
        <v>131</v>
      </c>
      <c r="N961" s="173" t="s">
        <v>61</v>
      </c>
      <c r="O961" s="87">
        <v>62</v>
      </c>
      <c r="P961" s="173" t="s">
        <v>27</v>
      </c>
      <c r="Q961" s="1" t="s">
        <v>1343</v>
      </c>
      <c r="R961" s="175">
        <v>6</v>
      </c>
      <c r="S961">
        <v>6</v>
      </c>
    </row>
    <row r="962" spans="1:19" x14ac:dyDescent="0.25">
      <c r="A962" s="87">
        <v>2019</v>
      </c>
      <c r="B962" s="87">
        <v>8</v>
      </c>
      <c r="C962" s="173" t="s">
        <v>16</v>
      </c>
      <c r="D962" s="173" t="s">
        <v>21</v>
      </c>
      <c r="E962" s="173" t="s">
        <v>18</v>
      </c>
      <c r="F962" s="173" t="s">
        <v>16</v>
      </c>
      <c r="G962" s="87" t="b">
        <v>1</v>
      </c>
      <c r="H962" s="87" t="b">
        <v>0</v>
      </c>
      <c r="I962" s="87" t="b">
        <v>0</v>
      </c>
      <c r="J962" s="173" t="s">
        <v>470</v>
      </c>
      <c r="K962" s="174">
        <v>34058123000103</v>
      </c>
      <c r="L962" s="173" t="s">
        <v>1118</v>
      </c>
      <c r="M962" s="173" t="s">
        <v>131</v>
      </c>
      <c r="N962" s="173" t="s">
        <v>61</v>
      </c>
      <c r="O962" s="87">
        <v>64</v>
      </c>
      <c r="P962" s="173" t="s">
        <v>25</v>
      </c>
      <c r="Q962" s="1" t="s">
        <v>1344</v>
      </c>
      <c r="R962" s="175">
        <v>16</v>
      </c>
      <c r="S962">
        <v>16</v>
      </c>
    </row>
    <row r="963" spans="1:19" x14ac:dyDescent="0.25">
      <c r="A963" s="87">
        <v>2019</v>
      </c>
      <c r="B963" s="87">
        <v>8</v>
      </c>
      <c r="C963" s="173" t="s">
        <v>16</v>
      </c>
      <c r="D963" s="173" t="s">
        <v>21</v>
      </c>
      <c r="E963" s="173" t="s">
        <v>18</v>
      </c>
      <c r="F963" s="173" t="s">
        <v>16</v>
      </c>
      <c r="G963" s="87" t="b">
        <v>1</v>
      </c>
      <c r="H963" s="87" t="b">
        <v>0</v>
      </c>
      <c r="I963" s="87" t="b">
        <v>0</v>
      </c>
      <c r="J963" s="173" t="s">
        <v>450</v>
      </c>
      <c r="K963" s="174">
        <v>35917970000726</v>
      </c>
      <c r="L963" s="173" t="s">
        <v>1062</v>
      </c>
      <c r="M963" s="173" t="s">
        <v>105</v>
      </c>
      <c r="N963" s="173" t="s">
        <v>61</v>
      </c>
      <c r="O963" s="87">
        <v>73</v>
      </c>
      <c r="P963" s="173" t="s">
        <v>26</v>
      </c>
      <c r="Q963" s="1" t="s">
        <v>1342</v>
      </c>
      <c r="R963" s="175">
        <v>12</v>
      </c>
      <c r="S963">
        <v>3</v>
      </c>
    </row>
    <row r="964" spans="1:19" x14ac:dyDescent="0.25">
      <c r="A964" s="87">
        <v>2019</v>
      </c>
      <c r="B964" s="87">
        <v>8</v>
      </c>
      <c r="C964" s="173" t="s">
        <v>16</v>
      </c>
      <c r="D964" s="173" t="s">
        <v>21</v>
      </c>
      <c r="E964" s="173" t="s">
        <v>18</v>
      </c>
      <c r="F964" s="173" t="s">
        <v>16</v>
      </c>
      <c r="G964" s="87" t="b">
        <v>1</v>
      </c>
      <c r="H964" s="87" t="b">
        <v>0</v>
      </c>
      <c r="I964" s="87" t="b">
        <v>0</v>
      </c>
      <c r="J964" s="173" t="s">
        <v>450</v>
      </c>
      <c r="K964" s="174">
        <v>35917970000726</v>
      </c>
      <c r="L964" s="173" t="s">
        <v>1062</v>
      </c>
      <c r="M964" s="173" t="s">
        <v>105</v>
      </c>
      <c r="N964" s="173" t="s">
        <v>61</v>
      </c>
      <c r="O964" s="87">
        <v>73</v>
      </c>
      <c r="P964" s="173" t="s">
        <v>26</v>
      </c>
      <c r="Q964" s="1" t="s">
        <v>1340</v>
      </c>
      <c r="R964" s="175">
        <v>3</v>
      </c>
      <c r="S964">
        <v>3</v>
      </c>
    </row>
    <row r="965" spans="1:19" x14ac:dyDescent="0.25">
      <c r="A965" s="87">
        <v>2019</v>
      </c>
      <c r="B965" s="87">
        <v>8</v>
      </c>
      <c r="C965" s="173" t="s">
        <v>16</v>
      </c>
      <c r="D965" s="173" t="s">
        <v>21</v>
      </c>
      <c r="E965" s="173" t="s">
        <v>18</v>
      </c>
      <c r="F965" s="173" t="s">
        <v>16</v>
      </c>
      <c r="G965" s="87" t="b">
        <v>1</v>
      </c>
      <c r="H965" s="87" t="b">
        <v>0</v>
      </c>
      <c r="I965" s="87" t="b">
        <v>0</v>
      </c>
      <c r="J965" s="173" t="s">
        <v>477</v>
      </c>
      <c r="K965" s="174">
        <v>36238913000198</v>
      </c>
      <c r="L965" s="173" t="s">
        <v>1063</v>
      </c>
      <c r="M965" s="173" t="s">
        <v>1064</v>
      </c>
      <c r="N965" s="173" t="s">
        <v>61</v>
      </c>
      <c r="O965" s="87">
        <v>70</v>
      </c>
      <c r="P965" s="173" t="s">
        <v>20</v>
      </c>
      <c r="Q965" s="1" t="s">
        <v>1338</v>
      </c>
      <c r="R965" s="175">
        <v>125</v>
      </c>
      <c r="S965">
        <v>25</v>
      </c>
    </row>
    <row r="966" spans="1:19" x14ac:dyDescent="0.25">
      <c r="A966" s="87">
        <v>2019</v>
      </c>
      <c r="B966" s="87">
        <v>8</v>
      </c>
      <c r="C966" s="173" t="s">
        <v>16</v>
      </c>
      <c r="D966" s="173" t="s">
        <v>21</v>
      </c>
      <c r="E966" s="173" t="s">
        <v>18</v>
      </c>
      <c r="F966" s="173" t="s">
        <v>16</v>
      </c>
      <c r="G966" s="87" t="b">
        <v>1</v>
      </c>
      <c r="H966" s="87" t="b">
        <v>0</v>
      </c>
      <c r="I966" s="87" t="b">
        <v>0</v>
      </c>
      <c r="J966" s="173" t="s">
        <v>468</v>
      </c>
      <c r="K966" s="174">
        <v>37108388000159</v>
      </c>
      <c r="L966" s="173" t="s">
        <v>916</v>
      </c>
      <c r="M966" s="173" t="s">
        <v>739</v>
      </c>
      <c r="N966" s="173" t="s">
        <v>55</v>
      </c>
      <c r="O966" s="87">
        <v>64</v>
      </c>
      <c r="P966" s="173" t="s">
        <v>25</v>
      </c>
      <c r="Q966" s="1" t="s">
        <v>1344</v>
      </c>
      <c r="R966" s="175">
        <v>30</v>
      </c>
      <c r="S966">
        <v>30</v>
      </c>
    </row>
    <row r="967" spans="1:19" x14ac:dyDescent="0.25">
      <c r="A967" s="87">
        <v>2019</v>
      </c>
      <c r="B967" s="87">
        <v>8</v>
      </c>
      <c r="C967" s="173" t="s">
        <v>16</v>
      </c>
      <c r="D967" s="173" t="s">
        <v>21</v>
      </c>
      <c r="E967" s="173" t="s">
        <v>18</v>
      </c>
      <c r="F967" s="173" t="s">
        <v>16</v>
      </c>
      <c r="G967" s="87" t="b">
        <v>1</v>
      </c>
      <c r="H967" s="87" t="b">
        <v>0</v>
      </c>
      <c r="I967" s="87" t="b">
        <v>0</v>
      </c>
      <c r="J967" s="173" t="s">
        <v>470</v>
      </c>
      <c r="K967" s="174">
        <v>39086160000130</v>
      </c>
      <c r="L967" s="173" t="s">
        <v>1119</v>
      </c>
      <c r="M967" s="173" t="s">
        <v>131</v>
      </c>
      <c r="N967" s="173" t="s">
        <v>61</v>
      </c>
      <c r="O967" s="87">
        <v>70</v>
      </c>
      <c r="P967" s="173" t="s">
        <v>20</v>
      </c>
      <c r="Q967" s="1" t="s">
        <v>1338</v>
      </c>
      <c r="R967" s="175">
        <v>150</v>
      </c>
      <c r="S967">
        <v>30</v>
      </c>
    </row>
    <row r="968" spans="1:19" x14ac:dyDescent="0.25">
      <c r="A968" s="87">
        <v>2019</v>
      </c>
      <c r="B968" s="87">
        <v>8</v>
      </c>
      <c r="C968" s="173" t="s">
        <v>16</v>
      </c>
      <c r="D968" s="173" t="s">
        <v>21</v>
      </c>
      <c r="E968" s="173" t="s">
        <v>18</v>
      </c>
      <c r="F968" s="173" t="s">
        <v>16</v>
      </c>
      <c r="G968" s="87" t="b">
        <v>1</v>
      </c>
      <c r="H968" s="87" t="b">
        <v>0</v>
      </c>
      <c r="I968" s="87" t="b">
        <v>0</v>
      </c>
      <c r="J968" s="173" t="s">
        <v>470</v>
      </c>
      <c r="K968" s="174">
        <v>39086160000130</v>
      </c>
      <c r="L968" s="173" t="s">
        <v>1119</v>
      </c>
      <c r="M968" s="173" t="s">
        <v>131</v>
      </c>
      <c r="N968" s="173" t="s">
        <v>61</v>
      </c>
      <c r="O968" s="87">
        <v>73</v>
      </c>
      <c r="P968" s="173" t="s">
        <v>26</v>
      </c>
      <c r="Q968" s="1" t="s">
        <v>1342</v>
      </c>
      <c r="R968" s="175">
        <v>48</v>
      </c>
      <c r="S968">
        <v>12</v>
      </c>
    </row>
    <row r="969" spans="1:19" x14ac:dyDescent="0.25">
      <c r="A969" s="87">
        <v>2019</v>
      </c>
      <c r="B969" s="87">
        <v>8</v>
      </c>
      <c r="C969" s="173" t="s">
        <v>16</v>
      </c>
      <c r="D969" s="173" t="s">
        <v>21</v>
      </c>
      <c r="E969" s="173" t="s">
        <v>18</v>
      </c>
      <c r="F969" s="173" t="s">
        <v>16</v>
      </c>
      <c r="G969" s="87" t="b">
        <v>1</v>
      </c>
      <c r="H969" s="87" t="b">
        <v>0</v>
      </c>
      <c r="I969" s="87" t="b">
        <v>0</v>
      </c>
      <c r="J969" s="173" t="s">
        <v>478</v>
      </c>
      <c r="K969" s="174">
        <v>39387477000107</v>
      </c>
      <c r="L969" s="173" t="s">
        <v>1218</v>
      </c>
      <c r="M969" s="173" t="s">
        <v>1157</v>
      </c>
      <c r="N969" s="173" t="s">
        <v>98</v>
      </c>
      <c r="O969" s="87">
        <v>70</v>
      </c>
      <c r="P969" s="173" t="s">
        <v>20</v>
      </c>
      <c r="Q969" s="1" t="s">
        <v>1338</v>
      </c>
      <c r="R969" s="175">
        <v>75</v>
      </c>
      <c r="S969">
        <v>15</v>
      </c>
    </row>
    <row r="970" spans="1:19" x14ac:dyDescent="0.25">
      <c r="A970" s="87">
        <v>2019</v>
      </c>
      <c r="B970" s="87">
        <v>8</v>
      </c>
      <c r="C970" s="173" t="s">
        <v>16</v>
      </c>
      <c r="D970" s="173" t="s">
        <v>21</v>
      </c>
      <c r="E970" s="173" t="s">
        <v>18</v>
      </c>
      <c r="F970" s="173" t="s">
        <v>16</v>
      </c>
      <c r="G970" s="87" t="b">
        <v>1</v>
      </c>
      <c r="H970" s="87" t="b">
        <v>0</v>
      </c>
      <c r="I970" s="87" t="b">
        <v>0</v>
      </c>
      <c r="J970" s="173" t="s">
        <v>1512</v>
      </c>
      <c r="K970" s="174">
        <v>40320103000153</v>
      </c>
      <c r="L970" s="173" t="s">
        <v>1121</v>
      </c>
      <c r="M970" s="173" t="s">
        <v>131</v>
      </c>
      <c r="N970" s="173" t="s">
        <v>61</v>
      </c>
      <c r="O970" s="87">
        <v>64</v>
      </c>
      <c r="P970" s="173" t="s">
        <v>25</v>
      </c>
      <c r="Q970" s="1" t="s">
        <v>1344</v>
      </c>
      <c r="R970" s="175">
        <v>5</v>
      </c>
      <c r="S970">
        <v>5</v>
      </c>
    </row>
    <row r="971" spans="1:19" x14ac:dyDescent="0.25">
      <c r="A971" s="87">
        <v>2019</v>
      </c>
      <c r="B971" s="87">
        <v>8</v>
      </c>
      <c r="C971" s="173" t="s">
        <v>16</v>
      </c>
      <c r="D971" s="173" t="s">
        <v>21</v>
      </c>
      <c r="E971" s="173" t="s">
        <v>18</v>
      </c>
      <c r="F971" s="173" t="s">
        <v>16</v>
      </c>
      <c r="G971" s="87" t="b">
        <v>1</v>
      </c>
      <c r="H971" s="87" t="b">
        <v>0</v>
      </c>
      <c r="I971" s="87" t="b">
        <v>0</v>
      </c>
      <c r="J971" s="173" t="s">
        <v>455</v>
      </c>
      <c r="K971" s="174">
        <v>41580077000165</v>
      </c>
      <c r="L971" s="173" t="s">
        <v>918</v>
      </c>
      <c r="M971" s="173" t="s">
        <v>76</v>
      </c>
      <c r="N971" s="173" t="s">
        <v>77</v>
      </c>
      <c r="O971" s="87">
        <v>70</v>
      </c>
      <c r="P971" s="173" t="s">
        <v>20</v>
      </c>
      <c r="Q971" s="1" t="s">
        <v>1338</v>
      </c>
      <c r="R971" s="175">
        <v>35</v>
      </c>
      <c r="S971">
        <v>7</v>
      </c>
    </row>
    <row r="972" spans="1:19" x14ac:dyDescent="0.25">
      <c r="A972" s="87">
        <v>2019</v>
      </c>
      <c r="B972" s="87">
        <v>8</v>
      </c>
      <c r="C972" s="173" t="s">
        <v>16</v>
      </c>
      <c r="D972" s="173" t="s">
        <v>21</v>
      </c>
      <c r="E972" s="173" t="s">
        <v>18</v>
      </c>
      <c r="F972" s="173" t="s">
        <v>16</v>
      </c>
      <c r="G972" s="87" t="b">
        <v>1</v>
      </c>
      <c r="H972" s="87" t="b">
        <v>0</v>
      </c>
      <c r="I972" s="87" t="b">
        <v>0</v>
      </c>
      <c r="J972" s="173" t="s">
        <v>468</v>
      </c>
      <c r="K972" s="174">
        <v>41580077000165</v>
      </c>
      <c r="L972" s="173" t="s">
        <v>918</v>
      </c>
      <c r="M972" s="173" t="s">
        <v>76</v>
      </c>
      <c r="N972" s="173" t="s">
        <v>77</v>
      </c>
      <c r="O972" s="87">
        <v>70</v>
      </c>
      <c r="P972" s="173" t="s">
        <v>20</v>
      </c>
      <c r="Q972" s="1" t="s">
        <v>1338</v>
      </c>
      <c r="R972" s="175">
        <v>40</v>
      </c>
      <c r="S972">
        <v>8</v>
      </c>
    </row>
    <row r="973" spans="1:19" x14ac:dyDescent="0.25">
      <c r="A973" s="87">
        <v>2019</v>
      </c>
      <c r="B973" s="87">
        <v>8</v>
      </c>
      <c r="C973" s="173" t="s">
        <v>16</v>
      </c>
      <c r="D973" s="173" t="s">
        <v>21</v>
      </c>
      <c r="E973" s="173" t="s">
        <v>18</v>
      </c>
      <c r="F973" s="173" t="s">
        <v>16</v>
      </c>
      <c r="G973" s="87" t="b">
        <v>1</v>
      </c>
      <c r="H973" s="87" t="b">
        <v>0</v>
      </c>
      <c r="I973" s="87" t="b">
        <v>0</v>
      </c>
      <c r="J973" s="173" t="s">
        <v>470</v>
      </c>
      <c r="K973" s="174">
        <v>41781949000234</v>
      </c>
      <c r="L973" s="173" t="s">
        <v>1219</v>
      </c>
      <c r="M973" s="173" t="s">
        <v>1220</v>
      </c>
      <c r="N973" s="173" t="s">
        <v>54</v>
      </c>
      <c r="O973" s="87">
        <v>70</v>
      </c>
      <c r="P973" s="173" t="s">
        <v>20</v>
      </c>
      <c r="Q973" s="1" t="s">
        <v>1338</v>
      </c>
      <c r="R973" s="175">
        <v>40</v>
      </c>
      <c r="S973">
        <v>8</v>
      </c>
    </row>
    <row r="974" spans="1:19" x14ac:dyDescent="0.25">
      <c r="A974" s="87">
        <v>2019</v>
      </c>
      <c r="B974" s="87">
        <v>8</v>
      </c>
      <c r="C974" s="173" t="s">
        <v>16</v>
      </c>
      <c r="D974" s="173" t="s">
        <v>21</v>
      </c>
      <c r="E974" s="173" t="s">
        <v>18</v>
      </c>
      <c r="F974" s="173" t="s">
        <v>16</v>
      </c>
      <c r="G974" s="87" t="b">
        <v>1</v>
      </c>
      <c r="H974" s="87" t="b">
        <v>0</v>
      </c>
      <c r="I974" s="87" t="b">
        <v>0</v>
      </c>
      <c r="J974" s="173" t="s">
        <v>470</v>
      </c>
      <c r="K974" s="174">
        <v>42297507000107</v>
      </c>
      <c r="L974" s="173" t="s">
        <v>1122</v>
      </c>
      <c r="M974" s="173" t="s">
        <v>131</v>
      </c>
      <c r="N974" s="173" t="s">
        <v>61</v>
      </c>
      <c r="O974" s="87">
        <v>62</v>
      </c>
      <c r="P974" s="173" t="s">
        <v>27</v>
      </c>
      <c r="Q974" s="1" t="s">
        <v>1343</v>
      </c>
      <c r="R974" s="175">
        <v>4</v>
      </c>
      <c r="S974">
        <v>4</v>
      </c>
    </row>
    <row r="975" spans="1:19" x14ac:dyDescent="0.25">
      <c r="A975" s="87">
        <v>2019</v>
      </c>
      <c r="B975" s="87">
        <v>8</v>
      </c>
      <c r="C975" s="173" t="s">
        <v>16</v>
      </c>
      <c r="D975" s="173" t="s">
        <v>21</v>
      </c>
      <c r="E975" s="173" t="s">
        <v>18</v>
      </c>
      <c r="F975" s="173" t="s">
        <v>16</v>
      </c>
      <c r="G975" s="87" t="b">
        <v>1</v>
      </c>
      <c r="H975" s="87" t="b">
        <v>0</v>
      </c>
      <c r="I975" s="87" t="b">
        <v>0</v>
      </c>
      <c r="J975" s="173" t="s">
        <v>470</v>
      </c>
      <c r="K975" s="174">
        <v>42297507000107</v>
      </c>
      <c r="L975" s="173" t="s">
        <v>1122</v>
      </c>
      <c r="M975" s="173" t="s">
        <v>131</v>
      </c>
      <c r="N975" s="173" t="s">
        <v>61</v>
      </c>
      <c r="O975" s="87">
        <v>64</v>
      </c>
      <c r="P975" s="173" t="s">
        <v>25</v>
      </c>
      <c r="Q975" s="1" t="s">
        <v>1344</v>
      </c>
      <c r="R975" s="175">
        <v>4</v>
      </c>
      <c r="S975">
        <v>4</v>
      </c>
    </row>
    <row r="976" spans="1:19" x14ac:dyDescent="0.25">
      <c r="A976" s="87">
        <v>2019</v>
      </c>
      <c r="B976" s="87">
        <v>8</v>
      </c>
      <c r="C976" s="173" t="s">
        <v>16</v>
      </c>
      <c r="D976" s="173" t="s">
        <v>21</v>
      </c>
      <c r="E976" s="173" t="s">
        <v>18</v>
      </c>
      <c r="F976" s="173" t="s">
        <v>16</v>
      </c>
      <c r="G976" s="87" t="b">
        <v>1</v>
      </c>
      <c r="H976" s="87" t="b">
        <v>0</v>
      </c>
      <c r="I976" s="87" t="b">
        <v>0</v>
      </c>
      <c r="J976" s="173" t="s">
        <v>470</v>
      </c>
      <c r="K976" s="174">
        <v>43293604002120</v>
      </c>
      <c r="L976" s="173" t="s">
        <v>673</v>
      </c>
      <c r="M976" s="173" t="s">
        <v>674</v>
      </c>
      <c r="N976" s="173" t="s">
        <v>19</v>
      </c>
      <c r="O976" s="87">
        <v>70</v>
      </c>
      <c r="P976" s="173" t="s">
        <v>20</v>
      </c>
      <c r="Q976" s="1" t="s">
        <v>1338</v>
      </c>
      <c r="R976" s="175">
        <v>80</v>
      </c>
      <c r="S976">
        <v>16</v>
      </c>
    </row>
    <row r="977" spans="1:19" x14ac:dyDescent="0.25">
      <c r="A977" s="87">
        <v>2019</v>
      </c>
      <c r="B977" s="87">
        <v>8</v>
      </c>
      <c r="C977" s="173" t="s">
        <v>16</v>
      </c>
      <c r="D977" s="173" t="s">
        <v>21</v>
      </c>
      <c r="E977" s="173" t="s">
        <v>18</v>
      </c>
      <c r="F977" s="173" t="s">
        <v>16</v>
      </c>
      <c r="G977" s="87" t="b">
        <v>1</v>
      </c>
      <c r="H977" s="87" t="b">
        <v>0</v>
      </c>
      <c r="I977" s="87" t="b">
        <v>0</v>
      </c>
      <c r="J977" s="173" t="s">
        <v>450</v>
      </c>
      <c r="K977" s="174">
        <v>43643139000409</v>
      </c>
      <c r="L977" s="173" t="s">
        <v>596</v>
      </c>
      <c r="M977" s="173" t="s">
        <v>29</v>
      </c>
      <c r="N977" s="173" t="s">
        <v>19</v>
      </c>
      <c r="O977" s="87">
        <v>70</v>
      </c>
      <c r="P977" s="173" t="s">
        <v>20</v>
      </c>
      <c r="Q977" s="1" t="s">
        <v>1338</v>
      </c>
      <c r="R977" s="175">
        <v>40</v>
      </c>
      <c r="S977">
        <v>8</v>
      </c>
    </row>
    <row r="978" spans="1:19" x14ac:dyDescent="0.25">
      <c r="A978" s="87">
        <v>2019</v>
      </c>
      <c r="B978" s="87">
        <v>8</v>
      </c>
      <c r="C978" s="173" t="s">
        <v>16</v>
      </c>
      <c r="D978" s="173" t="s">
        <v>21</v>
      </c>
      <c r="E978" s="173" t="s">
        <v>18</v>
      </c>
      <c r="F978" s="173" t="s">
        <v>16</v>
      </c>
      <c r="G978" s="87" t="b">
        <v>1</v>
      </c>
      <c r="H978" s="87" t="b">
        <v>0</v>
      </c>
      <c r="I978" s="87" t="b">
        <v>0</v>
      </c>
      <c r="J978" s="173" t="s">
        <v>506</v>
      </c>
      <c r="K978" s="174">
        <v>43643139000409</v>
      </c>
      <c r="L978" s="173" t="s">
        <v>596</v>
      </c>
      <c r="M978" s="173" t="s">
        <v>29</v>
      </c>
      <c r="N978" s="173" t="s">
        <v>19</v>
      </c>
      <c r="O978" s="87">
        <v>70</v>
      </c>
      <c r="P978" s="173" t="s">
        <v>20</v>
      </c>
      <c r="Q978" s="1" t="s">
        <v>1338</v>
      </c>
      <c r="R978" s="175">
        <v>120</v>
      </c>
      <c r="S978">
        <v>24</v>
      </c>
    </row>
    <row r="979" spans="1:19" x14ac:dyDescent="0.25">
      <c r="A979" s="87">
        <v>2019</v>
      </c>
      <c r="B979" s="87">
        <v>8</v>
      </c>
      <c r="C979" s="173" t="s">
        <v>16</v>
      </c>
      <c r="D979" s="173" t="s">
        <v>21</v>
      </c>
      <c r="E979" s="173" t="s">
        <v>18</v>
      </c>
      <c r="F979" s="173" t="s">
        <v>16</v>
      </c>
      <c r="G979" s="87" t="b">
        <v>1</v>
      </c>
      <c r="H979" s="87" t="b">
        <v>0</v>
      </c>
      <c r="I979" s="87" t="b">
        <v>0</v>
      </c>
      <c r="J979" s="173" t="s">
        <v>450</v>
      </c>
      <c r="K979" s="174">
        <v>44456036000311</v>
      </c>
      <c r="L979" s="173" t="s">
        <v>675</v>
      </c>
      <c r="M979" s="173" t="s">
        <v>37</v>
      </c>
      <c r="N979" s="173" t="s">
        <v>19</v>
      </c>
      <c r="O979" s="87">
        <v>62</v>
      </c>
      <c r="P979" s="173" t="s">
        <v>27</v>
      </c>
      <c r="Q979" s="1" t="s">
        <v>1343</v>
      </c>
      <c r="R979" s="175">
        <v>11</v>
      </c>
      <c r="S979">
        <v>11</v>
      </c>
    </row>
    <row r="980" spans="1:19" x14ac:dyDescent="0.25">
      <c r="A980" s="87">
        <v>2019</v>
      </c>
      <c r="B980" s="87">
        <v>8</v>
      </c>
      <c r="C980" s="173" t="s">
        <v>16</v>
      </c>
      <c r="D980" s="173" t="s">
        <v>21</v>
      </c>
      <c r="E980" s="173" t="s">
        <v>18</v>
      </c>
      <c r="F980" s="173" t="s">
        <v>16</v>
      </c>
      <c r="G980" s="87" t="b">
        <v>1</v>
      </c>
      <c r="H980" s="87" t="b">
        <v>0</v>
      </c>
      <c r="I980" s="87" t="b">
        <v>0</v>
      </c>
      <c r="J980" s="173" t="s">
        <v>463</v>
      </c>
      <c r="K980" s="174">
        <v>44456036000311</v>
      </c>
      <c r="L980" s="173" t="s">
        <v>675</v>
      </c>
      <c r="M980" s="173" t="s">
        <v>37</v>
      </c>
      <c r="N980" s="173" t="s">
        <v>19</v>
      </c>
      <c r="O980" s="87">
        <v>62</v>
      </c>
      <c r="P980" s="173" t="s">
        <v>27</v>
      </c>
      <c r="Q980" s="1" t="s">
        <v>1343</v>
      </c>
      <c r="R980" s="175">
        <v>3</v>
      </c>
      <c r="S980">
        <v>3</v>
      </c>
    </row>
    <row r="981" spans="1:19" x14ac:dyDescent="0.25">
      <c r="A981" s="87">
        <v>2019</v>
      </c>
      <c r="B981" s="87">
        <v>8</v>
      </c>
      <c r="C981" s="173" t="s">
        <v>16</v>
      </c>
      <c r="D981" s="173" t="s">
        <v>21</v>
      </c>
      <c r="E981" s="173" t="s">
        <v>18</v>
      </c>
      <c r="F981" s="173" t="s">
        <v>16</v>
      </c>
      <c r="G981" s="87" t="b">
        <v>1</v>
      </c>
      <c r="H981" s="87" t="b">
        <v>0</v>
      </c>
      <c r="I981" s="87" t="b">
        <v>0</v>
      </c>
      <c r="J981" s="173" t="s">
        <v>491</v>
      </c>
      <c r="K981" s="174">
        <v>44456036000311</v>
      </c>
      <c r="L981" s="173" t="s">
        <v>675</v>
      </c>
      <c r="M981" s="173" t="s">
        <v>37</v>
      </c>
      <c r="N981" s="173" t="s">
        <v>19</v>
      </c>
      <c r="O981" s="87">
        <v>62</v>
      </c>
      <c r="P981" s="173" t="s">
        <v>27</v>
      </c>
      <c r="Q981" s="1" t="s">
        <v>1343</v>
      </c>
      <c r="R981" s="175">
        <v>14</v>
      </c>
      <c r="S981">
        <v>14</v>
      </c>
    </row>
    <row r="982" spans="1:19" x14ac:dyDescent="0.25">
      <c r="A982" s="87">
        <v>2019</v>
      </c>
      <c r="B982" s="87">
        <v>8</v>
      </c>
      <c r="C982" s="173" t="s">
        <v>16</v>
      </c>
      <c r="D982" s="173" t="s">
        <v>21</v>
      </c>
      <c r="E982" s="173" t="s">
        <v>18</v>
      </c>
      <c r="F982" s="173" t="s">
        <v>16</v>
      </c>
      <c r="G982" s="87" t="b">
        <v>1</v>
      </c>
      <c r="H982" s="87" t="b">
        <v>0</v>
      </c>
      <c r="I982" s="87" t="b">
        <v>0</v>
      </c>
      <c r="J982" s="173" t="s">
        <v>463</v>
      </c>
      <c r="K982" s="174">
        <v>44456036000311</v>
      </c>
      <c r="L982" s="173" t="s">
        <v>675</v>
      </c>
      <c r="M982" s="173" t="s">
        <v>37</v>
      </c>
      <c r="N982" s="173" t="s">
        <v>19</v>
      </c>
      <c r="O982" s="87">
        <v>64</v>
      </c>
      <c r="P982" s="173" t="s">
        <v>25</v>
      </c>
      <c r="Q982" s="1" t="s">
        <v>1344</v>
      </c>
      <c r="R982" s="175">
        <v>4</v>
      </c>
      <c r="S982">
        <v>4</v>
      </c>
    </row>
    <row r="983" spans="1:19" x14ac:dyDescent="0.25">
      <c r="A983" s="87">
        <v>2019</v>
      </c>
      <c r="B983" s="87">
        <v>8</v>
      </c>
      <c r="C983" s="173" t="s">
        <v>16</v>
      </c>
      <c r="D983" s="173" t="s">
        <v>21</v>
      </c>
      <c r="E983" s="173" t="s">
        <v>18</v>
      </c>
      <c r="F983" s="173" t="s">
        <v>16</v>
      </c>
      <c r="G983" s="87" t="b">
        <v>1</v>
      </c>
      <c r="H983" s="87" t="b">
        <v>0</v>
      </c>
      <c r="I983" s="87" t="b">
        <v>0</v>
      </c>
      <c r="J983" s="173" t="s">
        <v>463</v>
      </c>
      <c r="K983" s="174">
        <v>44649812005520</v>
      </c>
      <c r="L983" s="173" t="s">
        <v>598</v>
      </c>
      <c r="M983" s="173" t="s">
        <v>29</v>
      </c>
      <c r="N983" s="173" t="s">
        <v>19</v>
      </c>
      <c r="O983" s="87">
        <v>70</v>
      </c>
      <c r="P983" s="173" t="s">
        <v>20</v>
      </c>
      <c r="Q983" s="1" t="s">
        <v>1338</v>
      </c>
      <c r="R983" s="175">
        <v>150</v>
      </c>
      <c r="S983">
        <v>30</v>
      </c>
    </row>
    <row r="984" spans="1:19" x14ac:dyDescent="0.25">
      <c r="A984" s="87">
        <v>2019</v>
      </c>
      <c r="B984" s="87">
        <v>8</v>
      </c>
      <c r="C984" s="173" t="s">
        <v>16</v>
      </c>
      <c r="D984" s="173" t="s">
        <v>21</v>
      </c>
      <c r="E984" s="173" t="s">
        <v>18</v>
      </c>
      <c r="F984" s="173" t="s">
        <v>16</v>
      </c>
      <c r="G984" s="87" t="b">
        <v>1</v>
      </c>
      <c r="H984" s="87" t="b">
        <v>0</v>
      </c>
      <c r="I984" s="87" t="b">
        <v>0</v>
      </c>
      <c r="J984" s="173" t="s">
        <v>463</v>
      </c>
      <c r="K984" s="174">
        <v>44649812005520</v>
      </c>
      <c r="L984" s="173" t="s">
        <v>598</v>
      </c>
      <c r="M984" s="173" t="s">
        <v>29</v>
      </c>
      <c r="N984" s="173" t="s">
        <v>19</v>
      </c>
      <c r="O984" s="87">
        <v>73</v>
      </c>
      <c r="P984" s="173" t="s">
        <v>26</v>
      </c>
      <c r="Q984" s="1" t="s">
        <v>1342</v>
      </c>
      <c r="R984" s="175">
        <v>16</v>
      </c>
      <c r="S984">
        <v>4</v>
      </c>
    </row>
    <row r="985" spans="1:19" x14ac:dyDescent="0.25">
      <c r="A985" s="87">
        <v>2019</v>
      </c>
      <c r="B985" s="87">
        <v>8</v>
      </c>
      <c r="C985" s="173" t="s">
        <v>16</v>
      </c>
      <c r="D985" s="173" t="s">
        <v>21</v>
      </c>
      <c r="E985" s="173" t="s">
        <v>18</v>
      </c>
      <c r="F985" s="173" t="s">
        <v>16</v>
      </c>
      <c r="G985" s="87" t="b">
        <v>1</v>
      </c>
      <c r="H985" s="87" t="b">
        <v>0</v>
      </c>
      <c r="I985" s="87" t="b">
        <v>0</v>
      </c>
      <c r="J985" s="173" t="s">
        <v>463</v>
      </c>
      <c r="K985" s="174">
        <v>44649812019238</v>
      </c>
      <c r="L985" s="173" t="s">
        <v>679</v>
      </c>
      <c r="M985" s="173" t="s">
        <v>33</v>
      </c>
      <c r="N985" s="173" t="s">
        <v>19</v>
      </c>
      <c r="O985" s="87">
        <v>73</v>
      </c>
      <c r="P985" s="173" t="s">
        <v>26</v>
      </c>
      <c r="Q985" s="1" t="s">
        <v>1342</v>
      </c>
      <c r="R985" s="175">
        <v>8</v>
      </c>
      <c r="S985">
        <v>2</v>
      </c>
    </row>
    <row r="986" spans="1:19" x14ac:dyDescent="0.25">
      <c r="A986" s="87">
        <v>2019</v>
      </c>
      <c r="B986" s="87">
        <v>8</v>
      </c>
      <c r="C986" s="173" t="s">
        <v>16</v>
      </c>
      <c r="D986" s="173" t="s">
        <v>21</v>
      </c>
      <c r="E986" s="173" t="s">
        <v>18</v>
      </c>
      <c r="F986" s="173" t="s">
        <v>16</v>
      </c>
      <c r="G986" s="87" t="b">
        <v>1</v>
      </c>
      <c r="H986" s="87" t="b">
        <v>0</v>
      </c>
      <c r="I986" s="87" t="b">
        <v>0</v>
      </c>
      <c r="J986" s="173" t="s">
        <v>495</v>
      </c>
      <c r="K986" s="174">
        <v>44663631000590</v>
      </c>
      <c r="L986" s="173" t="s">
        <v>680</v>
      </c>
      <c r="M986" s="173" t="s">
        <v>39</v>
      </c>
      <c r="N986" s="173" t="s">
        <v>19</v>
      </c>
      <c r="O986" s="87">
        <v>70</v>
      </c>
      <c r="P986" s="173" t="s">
        <v>20</v>
      </c>
      <c r="Q986" s="1" t="s">
        <v>1338</v>
      </c>
      <c r="R986" s="175">
        <v>165</v>
      </c>
      <c r="S986">
        <v>33</v>
      </c>
    </row>
    <row r="987" spans="1:19" x14ac:dyDescent="0.25">
      <c r="A987" s="87">
        <v>2019</v>
      </c>
      <c r="B987" s="87">
        <v>8</v>
      </c>
      <c r="C987" s="173" t="s">
        <v>16</v>
      </c>
      <c r="D987" s="173" t="s">
        <v>21</v>
      </c>
      <c r="E987" s="173" t="s">
        <v>18</v>
      </c>
      <c r="F987" s="173" t="s">
        <v>16</v>
      </c>
      <c r="G987" s="87" t="b">
        <v>1</v>
      </c>
      <c r="H987" s="87" t="b">
        <v>0</v>
      </c>
      <c r="I987" s="87" t="b">
        <v>0</v>
      </c>
      <c r="J987" s="173" t="s">
        <v>463</v>
      </c>
      <c r="K987" s="174">
        <v>44663631000590</v>
      </c>
      <c r="L987" s="173" t="s">
        <v>680</v>
      </c>
      <c r="M987" s="173" t="s">
        <v>39</v>
      </c>
      <c r="N987" s="173" t="s">
        <v>19</v>
      </c>
      <c r="O987" s="87">
        <v>73</v>
      </c>
      <c r="P987" s="173" t="s">
        <v>26</v>
      </c>
      <c r="Q987" s="1" t="s">
        <v>1342</v>
      </c>
      <c r="R987" s="175">
        <v>32</v>
      </c>
      <c r="S987">
        <v>8</v>
      </c>
    </row>
    <row r="988" spans="1:19" x14ac:dyDescent="0.25">
      <c r="A988" s="87">
        <v>2019</v>
      </c>
      <c r="B988" s="87">
        <v>8</v>
      </c>
      <c r="C988" s="173" t="s">
        <v>16</v>
      </c>
      <c r="D988" s="173" t="s">
        <v>21</v>
      </c>
      <c r="E988" s="173" t="s">
        <v>18</v>
      </c>
      <c r="F988" s="173" t="s">
        <v>16</v>
      </c>
      <c r="G988" s="87" t="b">
        <v>1</v>
      </c>
      <c r="H988" s="87" t="b">
        <v>0</v>
      </c>
      <c r="I988" s="87" t="b">
        <v>0</v>
      </c>
      <c r="J988" s="173" t="s">
        <v>450</v>
      </c>
      <c r="K988" s="174">
        <v>44803922000293</v>
      </c>
      <c r="L988" s="173" t="s">
        <v>681</v>
      </c>
      <c r="M988" s="173" t="s">
        <v>40</v>
      </c>
      <c r="N988" s="173" t="s">
        <v>19</v>
      </c>
      <c r="O988" s="87">
        <v>73</v>
      </c>
      <c r="P988" s="173" t="s">
        <v>26</v>
      </c>
      <c r="Q988" s="1" t="s">
        <v>1339</v>
      </c>
      <c r="R988" s="175">
        <v>4</v>
      </c>
      <c r="S988">
        <v>2</v>
      </c>
    </row>
    <row r="989" spans="1:19" x14ac:dyDescent="0.25">
      <c r="A989" s="87">
        <v>2019</v>
      </c>
      <c r="B989" s="87">
        <v>8</v>
      </c>
      <c r="C989" s="173" t="s">
        <v>16</v>
      </c>
      <c r="D989" s="173" t="s">
        <v>21</v>
      </c>
      <c r="E989" s="173" t="s">
        <v>18</v>
      </c>
      <c r="F989" s="173" t="s">
        <v>16</v>
      </c>
      <c r="G989" s="87" t="b">
        <v>1</v>
      </c>
      <c r="H989" s="87" t="b">
        <v>0</v>
      </c>
      <c r="I989" s="87" t="b">
        <v>0</v>
      </c>
      <c r="J989" s="173" t="s">
        <v>491</v>
      </c>
      <c r="K989" s="174">
        <v>44803922000293</v>
      </c>
      <c r="L989" s="173" t="s">
        <v>681</v>
      </c>
      <c r="M989" s="173" t="s">
        <v>40</v>
      </c>
      <c r="N989" s="173" t="s">
        <v>19</v>
      </c>
      <c r="O989" s="87">
        <v>73</v>
      </c>
      <c r="P989" s="173" t="s">
        <v>26</v>
      </c>
      <c r="Q989" s="1" t="s">
        <v>1339</v>
      </c>
      <c r="R989" s="175">
        <v>6</v>
      </c>
      <c r="S989">
        <v>3</v>
      </c>
    </row>
    <row r="990" spans="1:19" x14ac:dyDescent="0.25">
      <c r="A990" s="87">
        <v>2019</v>
      </c>
      <c r="B990" s="87">
        <v>8</v>
      </c>
      <c r="C990" s="173" t="s">
        <v>16</v>
      </c>
      <c r="D990" s="173" t="s">
        <v>21</v>
      </c>
      <c r="E990" s="173" t="s">
        <v>18</v>
      </c>
      <c r="F990" s="173" t="s">
        <v>16</v>
      </c>
      <c r="G990" s="87" t="b">
        <v>1</v>
      </c>
      <c r="H990" s="87" t="b">
        <v>0</v>
      </c>
      <c r="I990" s="87" t="b">
        <v>0</v>
      </c>
      <c r="J990" s="173" t="s">
        <v>463</v>
      </c>
      <c r="K990" s="174">
        <v>45184066000117</v>
      </c>
      <c r="L990" s="173" t="s">
        <v>684</v>
      </c>
      <c r="M990" s="173" t="s">
        <v>650</v>
      </c>
      <c r="N990" s="173" t="s">
        <v>19</v>
      </c>
      <c r="O990" s="87">
        <v>70</v>
      </c>
      <c r="P990" s="173" t="s">
        <v>20</v>
      </c>
      <c r="Q990" s="1" t="s">
        <v>1338</v>
      </c>
      <c r="R990" s="175">
        <v>50</v>
      </c>
      <c r="S990">
        <v>10</v>
      </c>
    </row>
    <row r="991" spans="1:19" x14ac:dyDescent="0.25">
      <c r="A991" s="87">
        <v>2019</v>
      </c>
      <c r="B991" s="87">
        <v>8</v>
      </c>
      <c r="C991" s="173" t="s">
        <v>16</v>
      </c>
      <c r="D991" s="173" t="s">
        <v>21</v>
      </c>
      <c r="E991" s="173" t="s">
        <v>18</v>
      </c>
      <c r="F991" s="173" t="s">
        <v>16</v>
      </c>
      <c r="G991" s="87" t="b">
        <v>1</v>
      </c>
      <c r="H991" s="87" t="b">
        <v>0</v>
      </c>
      <c r="I991" s="87" t="b">
        <v>0</v>
      </c>
      <c r="J991" s="173" t="s">
        <v>463</v>
      </c>
      <c r="K991" s="174">
        <v>45184066000117</v>
      </c>
      <c r="L991" s="173" t="s">
        <v>684</v>
      </c>
      <c r="M991" s="173" t="s">
        <v>650</v>
      </c>
      <c r="N991" s="173" t="s">
        <v>19</v>
      </c>
      <c r="O991" s="87">
        <v>73</v>
      </c>
      <c r="P991" s="173" t="s">
        <v>26</v>
      </c>
      <c r="Q991" s="1" t="s">
        <v>1342</v>
      </c>
      <c r="R991" s="175">
        <v>8</v>
      </c>
      <c r="S991">
        <v>2</v>
      </c>
    </row>
    <row r="992" spans="1:19" x14ac:dyDescent="0.25">
      <c r="A992" s="87">
        <v>2019</v>
      </c>
      <c r="B992" s="87">
        <v>8</v>
      </c>
      <c r="C992" s="173" t="s">
        <v>16</v>
      </c>
      <c r="D992" s="173" t="s">
        <v>21</v>
      </c>
      <c r="E992" s="173" t="s">
        <v>18</v>
      </c>
      <c r="F992" s="173" t="s">
        <v>16</v>
      </c>
      <c r="G992" s="87" t="b">
        <v>1</v>
      </c>
      <c r="H992" s="87" t="b">
        <v>0</v>
      </c>
      <c r="I992" s="87" t="b">
        <v>0</v>
      </c>
      <c r="J992" s="173" t="s">
        <v>463</v>
      </c>
      <c r="K992" s="174">
        <v>45184066000117</v>
      </c>
      <c r="L992" s="173" t="s">
        <v>684</v>
      </c>
      <c r="M992" s="173" t="s">
        <v>650</v>
      </c>
      <c r="N992" s="173" t="s">
        <v>19</v>
      </c>
      <c r="O992" s="87">
        <v>73</v>
      </c>
      <c r="P992" s="173" t="s">
        <v>26</v>
      </c>
      <c r="Q992" s="1" t="s">
        <v>1340</v>
      </c>
      <c r="R992" s="175">
        <v>7</v>
      </c>
      <c r="S992">
        <v>7</v>
      </c>
    </row>
    <row r="993" spans="1:19" x14ac:dyDescent="0.25">
      <c r="A993" s="87">
        <v>2019</v>
      </c>
      <c r="B993" s="87">
        <v>8</v>
      </c>
      <c r="C993" s="173" t="s">
        <v>16</v>
      </c>
      <c r="D993" s="173" t="s">
        <v>21</v>
      </c>
      <c r="E993" s="173" t="s">
        <v>18</v>
      </c>
      <c r="F993" s="173" t="s">
        <v>16</v>
      </c>
      <c r="G993" s="87" t="b">
        <v>1</v>
      </c>
      <c r="H993" s="87" t="b">
        <v>0</v>
      </c>
      <c r="I993" s="87" t="b">
        <v>0</v>
      </c>
      <c r="J993" s="173" t="s">
        <v>455</v>
      </c>
      <c r="K993" s="174">
        <v>45232246000550</v>
      </c>
      <c r="L993" s="173" t="s">
        <v>685</v>
      </c>
      <c r="M993" s="173" t="s">
        <v>639</v>
      </c>
      <c r="N993" s="173" t="s">
        <v>19</v>
      </c>
      <c r="O993" s="87">
        <v>70</v>
      </c>
      <c r="P993" s="173" t="s">
        <v>20</v>
      </c>
      <c r="Q993" s="1" t="s">
        <v>1338</v>
      </c>
      <c r="R993" s="175">
        <v>60</v>
      </c>
      <c r="S993">
        <v>12</v>
      </c>
    </row>
    <row r="994" spans="1:19" x14ac:dyDescent="0.25">
      <c r="A994" s="87">
        <v>2019</v>
      </c>
      <c r="B994" s="87">
        <v>8</v>
      </c>
      <c r="C994" s="173" t="s">
        <v>16</v>
      </c>
      <c r="D994" s="173" t="s">
        <v>21</v>
      </c>
      <c r="E994" s="173" t="s">
        <v>18</v>
      </c>
      <c r="F994" s="173" t="s">
        <v>16</v>
      </c>
      <c r="G994" s="87" t="b">
        <v>1</v>
      </c>
      <c r="H994" s="87" t="b">
        <v>0</v>
      </c>
      <c r="I994" s="87" t="b">
        <v>0</v>
      </c>
      <c r="J994" s="173" t="s">
        <v>463</v>
      </c>
      <c r="K994" s="174">
        <v>45232246000550</v>
      </c>
      <c r="L994" s="173" t="s">
        <v>685</v>
      </c>
      <c r="M994" s="173" t="s">
        <v>639</v>
      </c>
      <c r="N994" s="173" t="s">
        <v>19</v>
      </c>
      <c r="O994" s="87">
        <v>73</v>
      </c>
      <c r="P994" s="173" t="s">
        <v>26</v>
      </c>
      <c r="Q994" s="1" t="s">
        <v>1339</v>
      </c>
      <c r="R994" s="175">
        <v>12</v>
      </c>
      <c r="S994">
        <v>6</v>
      </c>
    </row>
    <row r="995" spans="1:19" x14ac:dyDescent="0.25">
      <c r="A995" s="87">
        <v>2019</v>
      </c>
      <c r="B995" s="87">
        <v>8</v>
      </c>
      <c r="C995" s="173" t="s">
        <v>16</v>
      </c>
      <c r="D995" s="173" t="s">
        <v>21</v>
      </c>
      <c r="E995" s="173" t="s">
        <v>18</v>
      </c>
      <c r="F995" s="173" t="s">
        <v>16</v>
      </c>
      <c r="G995" s="87" t="b">
        <v>1</v>
      </c>
      <c r="H995" s="87" t="b">
        <v>0</v>
      </c>
      <c r="I995" s="87" t="b">
        <v>0</v>
      </c>
      <c r="J995" s="173" t="s">
        <v>463</v>
      </c>
      <c r="K995" s="174">
        <v>45232246000550</v>
      </c>
      <c r="L995" s="173" t="s">
        <v>685</v>
      </c>
      <c r="M995" s="173" t="s">
        <v>639</v>
      </c>
      <c r="N995" s="173" t="s">
        <v>19</v>
      </c>
      <c r="O995" s="87">
        <v>73</v>
      </c>
      <c r="P995" s="173" t="s">
        <v>26</v>
      </c>
      <c r="Q995" s="1" t="s">
        <v>1342</v>
      </c>
      <c r="R995" s="175">
        <v>32</v>
      </c>
      <c r="S995">
        <v>8</v>
      </c>
    </row>
    <row r="996" spans="1:19" x14ac:dyDescent="0.25">
      <c r="A996" s="87">
        <v>2019</v>
      </c>
      <c r="B996" s="87">
        <v>8</v>
      </c>
      <c r="C996" s="173" t="s">
        <v>16</v>
      </c>
      <c r="D996" s="173" t="s">
        <v>21</v>
      </c>
      <c r="E996" s="173" t="s">
        <v>18</v>
      </c>
      <c r="F996" s="173" t="s">
        <v>16</v>
      </c>
      <c r="G996" s="87" t="b">
        <v>1</v>
      </c>
      <c r="H996" s="87" t="b">
        <v>0</v>
      </c>
      <c r="I996" s="87" t="b">
        <v>0</v>
      </c>
      <c r="J996" s="173" t="s">
        <v>463</v>
      </c>
      <c r="K996" s="174">
        <v>45232246000550</v>
      </c>
      <c r="L996" s="173" t="s">
        <v>685</v>
      </c>
      <c r="M996" s="173" t="s">
        <v>639</v>
      </c>
      <c r="N996" s="173" t="s">
        <v>19</v>
      </c>
      <c r="O996" s="87">
        <v>73</v>
      </c>
      <c r="P996" s="173" t="s">
        <v>26</v>
      </c>
      <c r="Q996" s="1" t="s">
        <v>1340</v>
      </c>
      <c r="R996" s="175">
        <v>7</v>
      </c>
      <c r="S996">
        <v>7</v>
      </c>
    </row>
    <row r="997" spans="1:19" x14ac:dyDescent="0.25">
      <c r="A997" s="87">
        <v>2019</v>
      </c>
      <c r="B997" s="87">
        <v>8</v>
      </c>
      <c r="C997" s="173" t="s">
        <v>16</v>
      </c>
      <c r="D997" s="173" t="s">
        <v>21</v>
      </c>
      <c r="E997" s="173" t="s">
        <v>18</v>
      </c>
      <c r="F997" s="173" t="s">
        <v>16</v>
      </c>
      <c r="G997" s="87" t="b">
        <v>1</v>
      </c>
      <c r="H997" s="87" t="b">
        <v>0</v>
      </c>
      <c r="I997" s="87" t="b">
        <v>0</v>
      </c>
      <c r="J997" s="173" t="s">
        <v>450</v>
      </c>
      <c r="K997" s="174">
        <v>45359213000576</v>
      </c>
      <c r="L997" s="173" t="s">
        <v>686</v>
      </c>
      <c r="M997" s="173" t="s">
        <v>687</v>
      </c>
      <c r="N997" s="173" t="s">
        <v>19</v>
      </c>
      <c r="O997" s="87">
        <v>73</v>
      </c>
      <c r="P997" s="173" t="s">
        <v>26</v>
      </c>
      <c r="Q997" s="1" t="s">
        <v>1339</v>
      </c>
      <c r="R997" s="175">
        <v>8</v>
      </c>
      <c r="S997">
        <v>4</v>
      </c>
    </row>
    <row r="998" spans="1:19" x14ac:dyDescent="0.25">
      <c r="A998" s="87">
        <v>2019</v>
      </c>
      <c r="B998" s="87">
        <v>8</v>
      </c>
      <c r="C998" s="173" t="s">
        <v>16</v>
      </c>
      <c r="D998" s="173" t="s">
        <v>21</v>
      </c>
      <c r="E998" s="173" t="s">
        <v>18</v>
      </c>
      <c r="F998" s="173" t="s">
        <v>16</v>
      </c>
      <c r="G998" s="87" t="b">
        <v>1</v>
      </c>
      <c r="H998" s="87" t="b">
        <v>0</v>
      </c>
      <c r="I998" s="87" t="b">
        <v>0</v>
      </c>
      <c r="J998" s="173" t="s">
        <v>463</v>
      </c>
      <c r="K998" s="174">
        <v>45359213000576</v>
      </c>
      <c r="L998" s="173" t="s">
        <v>686</v>
      </c>
      <c r="M998" s="173" t="s">
        <v>687</v>
      </c>
      <c r="N998" s="173" t="s">
        <v>19</v>
      </c>
      <c r="O998" s="87">
        <v>73</v>
      </c>
      <c r="P998" s="173" t="s">
        <v>26</v>
      </c>
      <c r="Q998" s="1" t="s">
        <v>1342</v>
      </c>
      <c r="R998" s="175">
        <v>16</v>
      </c>
      <c r="S998">
        <v>4</v>
      </c>
    </row>
    <row r="999" spans="1:19" x14ac:dyDescent="0.25">
      <c r="A999" s="87">
        <v>2019</v>
      </c>
      <c r="B999" s="87">
        <v>8</v>
      </c>
      <c r="C999" s="173" t="s">
        <v>16</v>
      </c>
      <c r="D999" s="173" t="s">
        <v>21</v>
      </c>
      <c r="E999" s="173" t="s">
        <v>18</v>
      </c>
      <c r="F999" s="173" t="s">
        <v>16</v>
      </c>
      <c r="G999" s="87" t="b">
        <v>1</v>
      </c>
      <c r="H999" s="87" t="b">
        <v>0</v>
      </c>
      <c r="I999" s="87" t="b">
        <v>0</v>
      </c>
      <c r="J999" s="173" t="s">
        <v>491</v>
      </c>
      <c r="K999" s="174">
        <v>45359213000576</v>
      </c>
      <c r="L999" s="173" t="s">
        <v>686</v>
      </c>
      <c r="M999" s="173" t="s">
        <v>687</v>
      </c>
      <c r="N999" s="173" t="s">
        <v>19</v>
      </c>
      <c r="O999" s="87">
        <v>73</v>
      </c>
      <c r="P999" s="173" t="s">
        <v>26</v>
      </c>
      <c r="Q999" s="1" t="s">
        <v>1342</v>
      </c>
      <c r="R999" s="175">
        <v>16</v>
      </c>
      <c r="S999">
        <v>4</v>
      </c>
    </row>
    <row r="1000" spans="1:19" x14ac:dyDescent="0.25">
      <c r="A1000" s="87">
        <v>2019</v>
      </c>
      <c r="B1000" s="87">
        <v>8</v>
      </c>
      <c r="C1000" s="173" t="s">
        <v>16</v>
      </c>
      <c r="D1000" s="173" t="s">
        <v>21</v>
      </c>
      <c r="E1000" s="173" t="s">
        <v>18</v>
      </c>
      <c r="F1000" s="173" t="s">
        <v>16</v>
      </c>
      <c r="G1000" s="87" t="b">
        <v>1</v>
      </c>
      <c r="H1000" s="87" t="b">
        <v>0</v>
      </c>
      <c r="I1000" s="87" t="b">
        <v>0</v>
      </c>
      <c r="J1000" s="173" t="s">
        <v>450</v>
      </c>
      <c r="K1000" s="174">
        <v>45399961000230</v>
      </c>
      <c r="L1000" s="173" t="s">
        <v>688</v>
      </c>
      <c r="M1000" s="173" t="s">
        <v>42</v>
      </c>
      <c r="N1000" s="173" t="s">
        <v>19</v>
      </c>
      <c r="O1000" s="87">
        <v>70</v>
      </c>
      <c r="P1000" s="173" t="s">
        <v>20</v>
      </c>
      <c r="Q1000" s="1" t="s">
        <v>1338</v>
      </c>
      <c r="R1000" s="175">
        <v>200</v>
      </c>
      <c r="S1000">
        <v>40</v>
      </c>
    </row>
    <row r="1001" spans="1:19" x14ac:dyDescent="0.25">
      <c r="A1001" s="87">
        <v>2019</v>
      </c>
      <c r="B1001" s="87">
        <v>8</v>
      </c>
      <c r="C1001" s="173" t="s">
        <v>16</v>
      </c>
      <c r="D1001" s="173" t="s">
        <v>21</v>
      </c>
      <c r="E1001" s="173" t="s">
        <v>18</v>
      </c>
      <c r="F1001" s="173" t="s">
        <v>16</v>
      </c>
      <c r="G1001" s="87" t="b">
        <v>1</v>
      </c>
      <c r="H1001" s="87" t="b">
        <v>0</v>
      </c>
      <c r="I1001" s="87" t="b">
        <v>0</v>
      </c>
      <c r="J1001" s="173" t="s">
        <v>463</v>
      </c>
      <c r="K1001" s="174">
        <v>45399961000230</v>
      </c>
      <c r="L1001" s="173" t="s">
        <v>688</v>
      </c>
      <c r="M1001" s="173" t="s">
        <v>42</v>
      </c>
      <c r="N1001" s="173" t="s">
        <v>19</v>
      </c>
      <c r="O1001" s="87">
        <v>70</v>
      </c>
      <c r="P1001" s="173" t="s">
        <v>20</v>
      </c>
      <c r="Q1001" s="1" t="s">
        <v>1338</v>
      </c>
      <c r="R1001" s="175">
        <v>250</v>
      </c>
      <c r="S1001">
        <v>50</v>
      </c>
    </row>
    <row r="1002" spans="1:19" x14ac:dyDescent="0.25">
      <c r="A1002" s="87">
        <v>2019</v>
      </c>
      <c r="B1002" s="87">
        <v>8</v>
      </c>
      <c r="C1002" s="173" t="s">
        <v>16</v>
      </c>
      <c r="D1002" s="173" t="s">
        <v>21</v>
      </c>
      <c r="E1002" s="173" t="s">
        <v>18</v>
      </c>
      <c r="F1002" s="173" t="s">
        <v>16</v>
      </c>
      <c r="G1002" s="87" t="b">
        <v>1</v>
      </c>
      <c r="H1002" s="87" t="b">
        <v>0</v>
      </c>
      <c r="I1002" s="87" t="b">
        <v>0</v>
      </c>
      <c r="J1002" s="173" t="s">
        <v>450</v>
      </c>
      <c r="K1002" s="174">
        <v>46009718000140</v>
      </c>
      <c r="L1002" s="173" t="s">
        <v>690</v>
      </c>
      <c r="M1002" s="173" t="s">
        <v>33</v>
      </c>
      <c r="N1002" s="173" t="s">
        <v>19</v>
      </c>
      <c r="O1002" s="87">
        <v>66</v>
      </c>
      <c r="P1002" s="173" t="s">
        <v>28</v>
      </c>
      <c r="Q1002" s="1" t="s">
        <v>1341</v>
      </c>
      <c r="R1002" s="175">
        <v>3</v>
      </c>
      <c r="S1002">
        <v>3</v>
      </c>
    </row>
    <row r="1003" spans="1:19" x14ac:dyDescent="0.25">
      <c r="A1003" s="87">
        <v>2019</v>
      </c>
      <c r="B1003" s="87">
        <v>8</v>
      </c>
      <c r="C1003" s="173" t="s">
        <v>16</v>
      </c>
      <c r="D1003" s="173" t="s">
        <v>21</v>
      </c>
      <c r="E1003" s="173" t="s">
        <v>18</v>
      </c>
      <c r="F1003" s="173" t="s">
        <v>16</v>
      </c>
      <c r="G1003" s="87" t="b">
        <v>1</v>
      </c>
      <c r="H1003" s="87" t="b">
        <v>0</v>
      </c>
      <c r="I1003" s="87" t="b">
        <v>0</v>
      </c>
      <c r="J1003" s="173" t="s">
        <v>477</v>
      </c>
      <c r="K1003" s="174">
        <v>46009718000140</v>
      </c>
      <c r="L1003" s="173" t="s">
        <v>690</v>
      </c>
      <c r="M1003" s="173" t="s">
        <v>33</v>
      </c>
      <c r="N1003" s="173" t="s">
        <v>19</v>
      </c>
      <c r="O1003" s="87">
        <v>66</v>
      </c>
      <c r="P1003" s="173" t="s">
        <v>28</v>
      </c>
      <c r="Q1003" s="1" t="s">
        <v>1341</v>
      </c>
      <c r="R1003" s="175">
        <v>3</v>
      </c>
      <c r="S1003">
        <v>3</v>
      </c>
    </row>
    <row r="1004" spans="1:19" x14ac:dyDescent="0.25">
      <c r="A1004" s="87">
        <v>2019</v>
      </c>
      <c r="B1004" s="87">
        <v>8</v>
      </c>
      <c r="C1004" s="173" t="s">
        <v>16</v>
      </c>
      <c r="D1004" s="173" t="s">
        <v>21</v>
      </c>
      <c r="E1004" s="173" t="s">
        <v>18</v>
      </c>
      <c r="F1004" s="173" t="s">
        <v>16</v>
      </c>
      <c r="G1004" s="87" t="b">
        <v>1</v>
      </c>
      <c r="H1004" s="87" t="b">
        <v>0</v>
      </c>
      <c r="I1004" s="87" t="b">
        <v>0</v>
      </c>
      <c r="J1004" s="173" t="s">
        <v>464</v>
      </c>
      <c r="K1004" s="174">
        <v>46009718000140</v>
      </c>
      <c r="L1004" s="173" t="s">
        <v>690</v>
      </c>
      <c r="M1004" s="173" t="s">
        <v>33</v>
      </c>
      <c r="N1004" s="173" t="s">
        <v>19</v>
      </c>
      <c r="O1004" s="87">
        <v>70</v>
      </c>
      <c r="P1004" s="173" t="s">
        <v>20</v>
      </c>
      <c r="Q1004" s="1" t="s">
        <v>1338</v>
      </c>
      <c r="R1004" s="175">
        <v>150</v>
      </c>
      <c r="S1004">
        <v>30</v>
      </c>
    </row>
    <row r="1005" spans="1:19" x14ac:dyDescent="0.25">
      <c r="A1005" s="87">
        <v>2019</v>
      </c>
      <c r="B1005" s="87">
        <v>8</v>
      </c>
      <c r="C1005" s="173" t="s">
        <v>16</v>
      </c>
      <c r="D1005" s="173" t="s">
        <v>21</v>
      </c>
      <c r="E1005" s="173" t="s">
        <v>18</v>
      </c>
      <c r="F1005" s="173" t="s">
        <v>16</v>
      </c>
      <c r="G1005" s="87" t="b">
        <v>1</v>
      </c>
      <c r="H1005" s="87" t="b">
        <v>0</v>
      </c>
      <c r="I1005" s="87" t="b">
        <v>0</v>
      </c>
      <c r="J1005" s="173" t="s">
        <v>492</v>
      </c>
      <c r="K1005" s="174">
        <v>46009718000140</v>
      </c>
      <c r="L1005" s="173" t="s">
        <v>690</v>
      </c>
      <c r="M1005" s="173" t="s">
        <v>33</v>
      </c>
      <c r="N1005" s="173" t="s">
        <v>19</v>
      </c>
      <c r="O1005" s="87">
        <v>70</v>
      </c>
      <c r="P1005" s="173" t="s">
        <v>20</v>
      </c>
      <c r="Q1005" s="1" t="s">
        <v>1338</v>
      </c>
      <c r="R1005" s="175">
        <v>300</v>
      </c>
      <c r="S1005">
        <v>60</v>
      </c>
    </row>
    <row r="1006" spans="1:19" x14ac:dyDescent="0.25">
      <c r="A1006" s="87">
        <v>2019</v>
      </c>
      <c r="B1006" s="87">
        <v>8</v>
      </c>
      <c r="C1006" s="173" t="s">
        <v>16</v>
      </c>
      <c r="D1006" s="173" t="s">
        <v>21</v>
      </c>
      <c r="E1006" s="173" t="s">
        <v>18</v>
      </c>
      <c r="F1006" s="173" t="s">
        <v>16</v>
      </c>
      <c r="G1006" s="87" t="b">
        <v>1</v>
      </c>
      <c r="H1006" s="87" t="b">
        <v>0</v>
      </c>
      <c r="I1006" s="87" t="b">
        <v>0</v>
      </c>
      <c r="J1006" s="173" t="s">
        <v>463</v>
      </c>
      <c r="K1006" s="174">
        <v>46009718000140</v>
      </c>
      <c r="L1006" s="173" t="s">
        <v>690</v>
      </c>
      <c r="M1006" s="173" t="s">
        <v>33</v>
      </c>
      <c r="N1006" s="173" t="s">
        <v>19</v>
      </c>
      <c r="O1006" s="87">
        <v>70</v>
      </c>
      <c r="P1006" s="173" t="s">
        <v>20</v>
      </c>
      <c r="Q1006" s="1" t="s">
        <v>1338</v>
      </c>
      <c r="R1006" s="175">
        <v>300</v>
      </c>
      <c r="S1006">
        <v>60</v>
      </c>
    </row>
    <row r="1007" spans="1:19" x14ac:dyDescent="0.25">
      <c r="A1007" s="87">
        <v>2019</v>
      </c>
      <c r="B1007" s="87">
        <v>8</v>
      </c>
      <c r="C1007" s="173" t="s">
        <v>16</v>
      </c>
      <c r="D1007" s="173" t="s">
        <v>21</v>
      </c>
      <c r="E1007" s="173" t="s">
        <v>18</v>
      </c>
      <c r="F1007" s="173" t="s">
        <v>16</v>
      </c>
      <c r="G1007" s="87" t="b">
        <v>1</v>
      </c>
      <c r="H1007" s="87" t="b">
        <v>0</v>
      </c>
      <c r="I1007" s="87" t="b">
        <v>0</v>
      </c>
      <c r="J1007" s="173" t="s">
        <v>448</v>
      </c>
      <c r="K1007" s="174">
        <v>46009718000140</v>
      </c>
      <c r="L1007" s="173" t="s">
        <v>690</v>
      </c>
      <c r="M1007" s="173" t="s">
        <v>33</v>
      </c>
      <c r="N1007" s="173" t="s">
        <v>19</v>
      </c>
      <c r="O1007" s="87">
        <v>70</v>
      </c>
      <c r="P1007" s="173" t="s">
        <v>20</v>
      </c>
      <c r="Q1007" s="1" t="s">
        <v>1338</v>
      </c>
      <c r="R1007" s="175">
        <v>400</v>
      </c>
      <c r="S1007">
        <v>80</v>
      </c>
    </row>
    <row r="1008" spans="1:19" x14ac:dyDescent="0.25">
      <c r="A1008" s="87">
        <v>2019</v>
      </c>
      <c r="B1008" s="87">
        <v>8</v>
      </c>
      <c r="C1008" s="173" t="s">
        <v>16</v>
      </c>
      <c r="D1008" s="173" t="s">
        <v>21</v>
      </c>
      <c r="E1008" s="173" t="s">
        <v>18</v>
      </c>
      <c r="F1008" s="173" t="s">
        <v>16</v>
      </c>
      <c r="G1008" s="87" t="b">
        <v>1</v>
      </c>
      <c r="H1008" s="87" t="b">
        <v>0</v>
      </c>
      <c r="I1008" s="87" t="b">
        <v>0</v>
      </c>
      <c r="J1008" s="173" t="s">
        <v>450</v>
      </c>
      <c r="K1008" s="174">
        <v>46009718000140</v>
      </c>
      <c r="L1008" s="173" t="s">
        <v>690</v>
      </c>
      <c r="M1008" s="173" t="s">
        <v>33</v>
      </c>
      <c r="N1008" s="173" t="s">
        <v>19</v>
      </c>
      <c r="O1008" s="87">
        <v>73</v>
      </c>
      <c r="P1008" s="173" t="s">
        <v>26</v>
      </c>
      <c r="Q1008" s="1" t="s">
        <v>1339</v>
      </c>
      <c r="R1008" s="175">
        <v>22</v>
      </c>
      <c r="S1008">
        <v>11</v>
      </c>
    </row>
    <row r="1009" spans="1:19" x14ac:dyDescent="0.25">
      <c r="A1009" s="87">
        <v>2019</v>
      </c>
      <c r="B1009" s="87">
        <v>8</v>
      </c>
      <c r="C1009" s="173" t="s">
        <v>16</v>
      </c>
      <c r="D1009" s="173" t="s">
        <v>21</v>
      </c>
      <c r="E1009" s="173" t="s">
        <v>18</v>
      </c>
      <c r="F1009" s="173" t="s">
        <v>16</v>
      </c>
      <c r="G1009" s="87" t="b">
        <v>1</v>
      </c>
      <c r="H1009" s="87" t="b">
        <v>0</v>
      </c>
      <c r="I1009" s="87" t="b">
        <v>0</v>
      </c>
      <c r="J1009" s="173" t="s">
        <v>450</v>
      </c>
      <c r="K1009" s="174">
        <v>46009718000140</v>
      </c>
      <c r="L1009" s="173" t="s">
        <v>690</v>
      </c>
      <c r="M1009" s="173" t="s">
        <v>33</v>
      </c>
      <c r="N1009" s="173" t="s">
        <v>19</v>
      </c>
      <c r="O1009" s="87">
        <v>73</v>
      </c>
      <c r="P1009" s="173" t="s">
        <v>26</v>
      </c>
      <c r="Q1009" s="1" t="s">
        <v>1340</v>
      </c>
      <c r="R1009" s="175">
        <v>1</v>
      </c>
      <c r="S1009">
        <v>1</v>
      </c>
    </row>
    <row r="1010" spans="1:19" x14ac:dyDescent="0.25">
      <c r="A1010" s="87">
        <v>2019</v>
      </c>
      <c r="B1010" s="87">
        <v>8</v>
      </c>
      <c r="C1010" s="173" t="s">
        <v>16</v>
      </c>
      <c r="D1010" s="173" t="s">
        <v>21</v>
      </c>
      <c r="E1010" s="173" t="s">
        <v>18</v>
      </c>
      <c r="F1010" s="173" t="s">
        <v>16</v>
      </c>
      <c r="G1010" s="87" t="b">
        <v>1</v>
      </c>
      <c r="H1010" s="87" t="b">
        <v>0</v>
      </c>
      <c r="I1010" s="87" t="b">
        <v>0</v>
      </c>
      <c r="J1010" s="173" t="s">
        <v>463</v>
      </c>
      <c r="K1010" s="174">
        <v>46009718000140</v>
      </c>
      <c r="L1010" s="173" t="s">
        <v>690</v>
      </c>
      <c r="M1010" s="173" t="s">
        <v>33</v>
      </c>
      <c r="N1010" s="173" t="s">
        <v>19</v>
      </c>
      <c r="O1010" s="87">
        <v>73</v>
      </c>
      <c r="P1010" s="173" t="s">
        <v>26</v>
      </c>
      <c r="Q1010" s="1" t="s">
        <v>1342</v>
      </c>
      <c r="R1010" s="175">
        <v>60</v>
      </c>
      <c r="S1010">
        <v>15</v>
      </c>
    </row>
    <row r="1011" spans="1:19" x14ac:dyDescent="0.25">
      <c r="A1011" s="87">
        <v>2019</v>
      </c>
      <c r="B1011" s="87">
        <v>8</v>
      </c>
      <c r="C1011" s="173" t="s">
        <v>16</v>
      </c>
      <c r="D1011" s="173" t="s">
        <v>21</v>
      </c>
      <c r="E1011" s="173" t="s">
        <v>18</v>
      </c>
      <c r="F1011" s="173" t="s">
        <v>16</v>
      </c>
      <c r="G1011" s="87" t="b">
        <v>1</v>
      </c>
      <c r="H1011" s="87" t="b">
        <v>0</v>
      </c>
      <c r="I1011" s="87" t="b">
        <v>0</v>
      </c>
      <c r="J1011" s="173" t="s">
        <v>470</v>
      </c>
      <c r="K1011" s="174">
        <v>46020301000269</v>
      </c>
      <c r="L1011" s="173" t="s">
        <v>691</v>
      </c>
      <c r="M1011" s="173" t="s">
        <v>33</v>
      </c>
      <c r="N1011" s="173" t="s">
        <v>19</v>
      </c>
      <c r="O1011" s="87">
        <v>73</v>
      </c>
      <c r="P1011" s="173" t="s">
        <v>26</v>
      </c>
      <c r="Q1011" s="1" t="s">
        <v>1340</v>
      </c>
      <c r="R1011" s="175">
        <v>3</v>
      </c>
      <c r="S1011">
        <v>3</v>
      </c>
    </row>
    <row r="1012" spans="1:19" x14ac:dyDescent="0.25">
      <c r="A1012" s="87">
        <v>2019</v>
      </c>
      <c r="B1012" s="87">
        <v>8</v>
      </c>
      <c r="C1012" s="173" t="s">
        <v>16</v>
      </c>
      <c r="D1012" s="173" t="s">
        <v>21</v>
      </c>
      <c r="E1012" s="173" t="s">
        <v>18</v>
      </c>
      <c r="F1012" s="173" t="s">
        <v>16</v>
      </c>
      <c r="G1012" s="87" t="b">
        <v>1</v>
      </c>
      <c r="H1012" s="87" t="b">
        <v>0</v>
      </c>
      <c r="I1012" s="87" t="b">
        <v>0</v>
      </c>
      <c r="J1012" s="173" t="s">
        <v>448</v>
      </c>
      <c r="K1012" s="174">
        <v>46020301000269</v>
      </c>
      <c r="L1012" s="173" t="s">
        <v>691</v>
      </c>
      <c r="M1012" s="173" t="s">
        <v>33</v>
      </c>
      <c r="N1012" s="173" t="s">
        <v>19</v>
      </c>
      <c r="O1012" s="87">
        <v>73</v>
      </c>
      <c r="P1012" s="173" t="s">
        <v>26</v>
      </c>
      <c r="Q1012" s="1" t="s">
        <v>1342</v>
      </c>
      <c r="R1012" s="175">
        <v>32</v>
      </c>
      <c r="S1012">
        <v>8</v>
      </c>
    </row>
    <row r="1013" spans="1:19" x14ac:dyDescent="0.25">
      <c r="A1013" s="87">
        <v>2019</v>
      </c>
      <c r="B1013" s="87">
        <v>8</v>
      </c>
      <c r="C1013" s="173" t="s">
        <v>16</v>
      </c>
      <c r="D1013" s="173" t="s">
        <v>21</v>
      </c>
      <c r="E1013" s="173" t="s">
        <v>18</v>
      </c>
      <c r="F1013" s="173" t="s">
        <v>16</v>
      </c>
      <c r="G1013" s="87" t="b">
        <v>1</v>
      </c>
      <c r="H1013" s="87" t="b">
        <v>0</v>
      </c>
      <c r="I1013" s="87" t="b">
        <v>0</v>
      </c>
      <c r="J1013" s="173" t="s">
        <v>450</v>
      </c>
      <c r="K1013" s="174">
        <v>46068425000133</v>
      </c>
      <c r="L1013" s="173" t="s">
        <v>692</v>
      </c>
      <c r="M1013" s="173" t="s">
        <v>33</v>
      </c>
      <c r="N1013" s="173" t="s">
        <v>19</v>
      </c>
      <c r="O1013" s="87">
        <v>66</v>
      </c>
      <c r="P1013" s="173" t="s">
        <v>28</v>
      </c>
      <c r="Q1013" s="1" t="s">
        <v>1341</v>
      </c>
      <c r="R1013" s="175">
        <v>2</v>
      </c>
      <c r="S1013">
        <v>2</v>
      </c>
    </row>
    <row r="1014" spans="1:19" x14ac:dyDescent="0.25">
      <c r="A1014" s="87">
        <v>2019</v>
      </c>
      <c r="B1014" s="87">
        <v>8</v>
      </c>
      <c r="C1014" s="173" t="s">
        <v>16</v>
      </c>
      <c r="D1014" s="173" t="s">
        <v>21</v>
      </c>
      <c r="E1014" s="173" t="s">
        <v>18</v>
      </c>
      <c r="F1014" s="173" t="s">
        <v>16</v>
      </c>
      <c r="G1014" s="87" t="b">
        <v>1</v>
      </c>
      <c r="H1014" s="87" t="b">
        <v>0</v>
      </c>
      <c r="I1014" s="87" t="b">
        <v>0</v>
      </c>
      <c r="J1014" s="173" t="s">
        <v>448</v>
      </c>
      <c r="K1014" s="174">
        <v>46124624000111</v>
      </c>
      <c r="L1014" s="173" t="s">
        <v>693</v>
      </c>
      <c r="M1014" s="173" t="s">
        <v>33</v>
      </c>
      <c r="N1014" s="173" t="s">
        <v>19</v>
      </c>
      <c r="O1014" s="87">
        <v>70</v>
      </c>
      <c r="P1014" s="173" t="s">
        <v>20</v>
      </c>
      <c r="Q1014" s="1" t="s">
        <v>1338</v>
      </c>
      <c r="R1014" s="175">
        <v>340</v>
      </c>
      <c r="S1014">
        <v>68</v>
      </c>
    </row>
    <row r="1015" spans="1:19" x14ac:dyDescent="0.25">
      <c r="A1015" s="87">
        <v>2019</v>
      </c>
      <c r="B1015" s="87">
        <v>8</v>
      </c>
      <c r="C1015" s="173" t="s">
        <v>16</v>
      </c>
      <c r="D1015" s="173" t="s">
        <v>21</v>
      </c>
      <c r="E1015" s="173" t="s">
        <v>18</v>
      </c>
      <c r="F1015" s="173" t="s">
        <v>16</v>
      </c>
      <c r="G1015" s="87" t="b">
        <v>1</v>
      </c>
      <c r="H1015" s="87" t="b">
        <v>0</v>
      </c>
      <c r="I1015" s="87" t="b">
        <v>0</v>
      </c>
      <c r="J1015" s="173" t="s">
        <v>448</v>
      </c>
      <c r="K1015" s="174">
        <v>46124624000111</v>
      </c>
      <c r="L1015" s="173" t="s">
        <v>693</v>
      </c>
      <c r="M1015" s="173" t="s">
        <v>33</v>
      </c>
      <c r="N1015" s="173" t="s">
        <v>19</v>
      </c>
      <c r="O1015" s="87">
        <v>73</v>
      </c>
      <c r="P1015" s="173" t="s">
        <v>26</v>
      </c>
      <c r="Q1015" s="1" t="s">
        <v>1342</v>
      </c>
      <c r="R1015" s="175">
        <v>48</v>
      </c>
      <c r="S1015">
        <v>12</v>
      </c>
    </row>
    <row r="1016" spans="1:19" x14ac:dyDescent="0.25">
      <c r="A1016" s="87">
        <v>2019</v>
      </c>
      <c r="B1016" s="87">
        <v>8</v>
      </c>
      <c r="C1016" s="173" t="s">
        <v>16</v>
      </c>
      <c r="D1016" s="173" t="s">
        <v>21</v>
      </c>
      <c r="E1016" s="173" t="s">
        <v>18</v>
      </c>
      <c r="F1016" s="173" t="s">
        <v>16</v>
      </c>
      <c r="G1016" s="87" t="b">
        <v>1</v>
      </c>
      <c r="H1016" s="87" t="b">
        <v>0</v>
      </c>
      <c r="I1016" s="87" t="b">
        <v>0</v>
      </c>
      <c r="J1016" s="173" t="s">
        <v>448</v>
      </c>
      <c r="K1016" s="174">
        <v>46124624002599</v>
      </c>
      <c r="L1016" s="173" t="s">
        <v>694</v>
      </c>
      <c r="M1016" s="173" t="s">
        <v>695</v>
      </c>
      <c r="N1016" s="173" t="s">
        <v>19</v>
      </c>
      <c r="O1016" s="87">
        <v>70</v>
      </c>
      <c r="P1016" s="173" t="s">
        <v>20</v>
      </c>
      <c r="Q1016" s="1" t="s">
        <v>1338</v>
      </c>
      <c r="R1016" s="175">
        <v>700</v>
      </c>
      <c r="S1016">
        <v>140</v>
      </c>
    </row>
    <row r="1017" spans="1:19" x14ac:dyDescent="0.25">
      <c r="A1017" s="87">
        <v>2019</v>
      </c>
      <c r="B1017" s="87">
        <v>8</v>
      </c>
      <c r="C1017" s="173" t="s">
        <v>16</v>
      </c>
      <c r="D1017" s="173" t="s">
        <v>21</v>
      </c>
      <c r="E1017" s="173" t="s">
        <v>18</v>
      </c>
      <c r="F1017" s="173" t="s">
        <v>16</v>
      </c>
      <c r="G1017" s="87" t="b">
        <v>1</v>
      </c>
      <c r="H1017" s="87" t="b">
        <v>0</v>
      </c>
      <c r="I1017" s="87" t="b">
        <v>0</v>
      </c>
      <c r="J1017" s="173" t="s">
        <v>448</v>
      </c>
      <c r="K1017" s="174">
        <v>46124624002599</v>
      </c>
      <c r="L1017" s="173" t="s">
        <v>694</v>
      </c>
      <c r="M1017" s="173" t="s">
        <v>695</v>
      </c>
      <c r="N1017" s="173" t="s">
        <v>19</v>
      </c>
      <c r="O1017" s="87">
        <v>73</v>
      </c>
      <c r="P1017" s="173" t="s">
        <v>26</v>
      </c>
      <c r="Q1017" s="1" t="s">
        <v>1342</v>
      </c>
      <c r="R1017" s="175">
        <v>240</v>
      </c>
      <c r="S1017">
        <v>60</v>
      </c>
    </row>
    <row r="1018" spans="1:19" x14ac:dyDescent="0.25">
      <c r="A1018" s="87">
        <v>2019</v>
      </c>
      <c r="B1018" s="87">
        <v>8</v>
      </c>
      <c r="C1018" s="173" t="s">
        <v>16</v>
      </c>
      <c r="D1018" s="173" t="s">
        <v>21</v>
      </c>
      <c r="E1018" s="173" t="s">
        <v>18</v>
      </c>
      <c r="F1018" s="173" t="s">
        <v>16</v>
      </c>
      <c r="G1018" s="87" t="b">
        <v>1</v>
      </c>
      <c r="H1018" s="87" t="b">
        <v>0</v>
      </c>
      <c r="I1018" s="87" t="b">
        <v>0</v>
      </c>
      <c r="J1018" s="173" t="s">
        <v>1330</v>
      </c>
      <c r="K1018" s="174">
        <v>46374500003886</v>
      </c>
      <c r="L1018" s="173" t="s">
        <v>697</v>
      </c>
      <c r="M1018" s="173" t="s">
        <v>698</v>
      </c>
      <c r="N1018" s="173" t="s">
        <v>19</v>
      </c>
      <c r="O1018" s="87">
        <v>66</v>
      </c>
      <c r="P1018" s="173" t="s">
        <v>28</v>
      </c>
      <c r="Q1018" s="1" t="s">
        <v>1341</v>
      </c>
      <c r="R1018" s="175">
        <v>18</v>
      </c>
      <c r="S1018">
        <v>18</v>
      </c>
    </row>
    <row r="1019" spans="1:19" x14ac:dyDescent="0.25">
      <c r="A1019" s="87">
        <v>2019</v>
      </c>
      <c r="B1019" s="87">
        <v>8</v>
      </c>
      <c r="C1019" s="173" t="s">
        <v>16</v>
      </c>
      <c r="D1019" s="173" t="s">
        <v>21</v>
      </c>
      <c r="E1019" s="173" t="s">
        <v>18</v>
      </c>
      <c r="F1019" s="173" t="s">
        <v>16</v>
      </c>
      <c r="G1019" s="87" t="b">
        <v>1</v>
      </c>
      <c r="H1019" s="87" t="b">
        <v>0</v>
      </c>
      <c r="I1019" s="87" t="b">
        <v>0</v>
      </c>
      <c r="J1019" s="173" t="s">
        <v>1330</v>
      </c>
      <c r="K1019" s="174">
        <v>46374500009060</v>
      </c>
      <c r="L1019" s="173" t="s">
        <v>699</v>
      </c>
      <c r="M1019" s="173" t="s">
        <v>40</v>
      </c>
      <c r="N1019" s="173" t="s">
        <v>19</v>
      </c>
      <c r="O1019" s="87">
        <v>70</v>
      </c>
      <c r="P1019" s="173" t="s">
        <v>20</v>
      </c>
      <c r="Q1019" s="1" t="s">
        <v>1338</v>
      </c>
      <c r="R1019" s="175">
        <v>300</v>
      </c>
      <c r="S1019">
        <v>60</v>
      </c>
    </row>
    <row r="1020" spans="1:19" x14ac:dyDescent="0.25">
      <c r="A1020" s="87">
        <v>2019</v>
      </c>
      <c r="B1020" s="87">
        <v>8</v>
      </c>
      <c r="C1020" s="173" t="s">
        <v>16</v>
      </c>
      <c r="D1020" s="173" t="s">
        <v>21</v>
      </c>
      <c r="E1020" s="173" t="s">
        <v>18</v>
      </c>
      <c r="F1020" s="173" t="s">
        <v>16</v>
      </c>
      <c r="G1020" s="87" t="b">
        <v>1</v>
      </c>
      <c r="H1020" s="87" t="b">
        <v>0</v>
      </c>
      <c r="I1020" s="87" t="b">
        <v>0</v>
      </c>
      <c r="J1020" s="173" t="s">
        <v>1330</v>
      </c>
      <c r="K1020" s="174">
        <v>46374500026231</v>
      </c>
      <c r="L1020" s="173" t="s">
        <v>601</v>
      </c>
      <c r="M1020" s="173" t="s">
        <v>29</v>
      </c>
      <c r="N1020" s="173" t="s">
        <v>19</v>
      </c>
      <c r="O1020" s="87">
        <v>70</v>
      </c>
      <c r="P1020" s="173" t="s">
        <v>20</v>
      </c>
      <c r="Q1020" s="1" t="s">
        <v>1338</v>
      </c>
      <c r="R1020" s="175">
        <v>20285</v>
      </c>
      <c r="S1020">
        <v>4057</v>
      </c>
    </row>
    <row r="1021" spans="1:19" x14ac:dyDescent="0.25">
      <c r="A1021" s="87">
        <v>2019</v>
      </c>
      <c r="B1021" s="87">
        <v>8</v>
      </c>
      <c r="C1021" s="173" t="s">
        <v>16</v>
      </c>
      <c r="D1021" s="173" t="s">
        <v>21</v>
      </c>
      <c r="E1021" s="173" t="s">
        <v>18</v>
      </c>
      <c r="F1021" s="173" t="s">
        <v>16</v>
      </c>
      <c r="G1021" s="87" t="b">
        <v>1</v>
      </c>
      <c r="H1021" s="87" t="b">
        <v>0</v>
      </c>
      <c r="I1021" s="87" t="b">
        <v>0</v>
      </c>
      <c r="J1021" s="173" t="s">
        <v>450</v>
      </c>
      <c r="K1021" s="174">
        <v>47074851000819</v>
      </c>
      <c r="L1021" s="173" t="s">
        <v>702</v>
      </c>
      <c r="M1021" s="173" t="s">
        <v>41</v>
      </c>
      <c r="N1021" s="173" t="s">
        <v>19</v>
      </c>
      <c r="O1021" s="87">
        <v>73</v>
      </c>
      <c r="P1021" s="173" t="s">
        <v>26</v>
      </c>
      <c r="Q1021" s="1" t="s">
        <v>1340</v>
      </c>
      <c r="R1021" s="175">
        <v>6</v>
      </c>
      <c r="S1021">
        <v>6</v>
      </c>
    </row>
    <row r="1022" spans="1:19" x14ac:dyDescent="0.25">
      <c r="A1022" s="87">
        <v>2019</v>
      </c>
      <c r="B1022" s="87">
        <v>8</v>
      </c>
      <c r="C1022" s="173" t="s">
        <v>16</v>
      </c>
      <c r="D1022" s="173" t="s">
        <v>21</v>
      </c>
      <c r="E1022" s="173" t="s">
        <v>18</v>
      </c>
      <c r="F1022" s="173" t="s">
        <v>16</v>
      </c>
      <c r="G1022" s="87" t="b">
        <v>1</v>
      </c>
      <c r="H1022" s="87" t="b">
        <v>0</v>
      </c>
      <c r="I1022" s="87" t="b">
        <v>0</v>
      </c>
      <c r="J1022" s="173" t="s">
        <v>463</v>
      </c>
      <c r="K1022" s="174">
        <v>48310098000100</v>
      </c>
      <c r="L1022" s="173" t="s">
        <v>704</v>
      </c>
      <c r="M1022" s="173" t="s">
        <v>643</v>
      </c>
      <c r="N1022" s="173" t="s">
        <v>19</v>
      </c>
      <c r="O1022" s="87">
        <v>64</v>
      </c>
      <c r="P1022" s="173" t="s">
        <v>25</v>
      </c>
      <c r="Q1022" s="1" t="s">
        <v>1344</v>
      </c>
      <c r="R1022" s="175">
        <v>1</v>
      </c>
      <c r="S1022">
        <v>1</v>
      </c>
    </row>
    <row r="1023" spans="1:19" x14ac:dyDescent="0.25">
      <c r="A1023" s="87">
        <v>2019</v>
      </c>
      <c r="B1023" s="87">
        <v>8</v>
      </c>
      <c r="C1023" s="173" t="s">
        <v>16</v>
      </c>
      <c r="D1023" s="173" t="s">
        <v>21</v>
      </c>
      <c r="E1023" s="173" t="s">
        <v>18</v>
      </c>
      <c r="F1023" s="173" t="s">
        <v>16</v>
      </c>
      <c r="G1023" s="87" t="b">
        <v>1</v>
      </c>
      <c r="H1023" s="87" t="b">
        <v>0</v>
      </c>
      <c r="I1023" s="87" t="b">
        <v>0</v>
      </c>
      <c r="J1023" s="173" t="s">
        <v>463</v>
      </c>
      <c r="K1023" s="174">
        <v>50486026000160</v>
      </c>
      <c r="L1023" s="173" t="s">
        <v>706</v>
      </c>
      <c r="M1023" s="173" t="s">
        <v>44</v>
      </c>
      <c r="N1023" s="173" t="s">
        <v>19</v>
      </c>
      <c r="O1023" s="87">
        <v>70</v>
      </c>
      <c r="P1023" s="173" t="s">
        <v>20</v>
      </c>
      <c r="Q1023" s="1" t="s">
        <v>1338</v>
      </c>
      <c r="R1023" s="175">
        <v>100</v>
      </c>
      <c r="S1023">
        <v>20</v>
      </c>
    </row>
    <row r="1024" spans="1:19" x14ac:dyDescent="0.25">
      <c r="A1024" s="87">
        <v>2019</v>
      </c>
      <c r="B1024" s="87">
        <v>8</v>
      </c>
      <c r="C1024" s="173" t="s">
        <v>16</v>
      </c>
      <c r="D1024" s="173" t="s">
        <v>21</v>
      </c>
      <c r="E1024" s="173" t="s">
        <v>18</v>
      </c>
      <c r="F1024" s="173" t="s">
        <v>16</v>
      </c>
      <c r="G1024" s="87" t="b">
        <v>1</v>
      </c>
      <c r="H1024" s="87" t="b">
        <v>0</v>
      </c>
      <c r="I1024" s="87" t="b">
        <v>0</v>
      </c>
      <c r="J1024" s="173" t="s">
        <v>470</v>
      </c>
      <c r="K1024" s="174">
        <v>51722957000506</v>
      </c>
      <c r="L1024" s="173" t="s">
        <v>602</v>
      </c>
      <c r="M1024" s="173" t="s">
        <v>29</v>
      </c>
      <c r="N1024" s="173" t="s">
        <v>19</v>
      </c>
      <c r="O1024" s="87">
        <v>70</v>
      </c>
      <c r="P1024" s="173" t="s">
        <v>20</v>
      </c>
      <c r="Q1024" s="1" t="s">
        <v>1338</v>
      </c>
      <c r="R1024" s="175">
        <v>400</v>
      </c>
      <c r="S1024">
        <v>80</v>
      </c>
    </row>
    <row r="1025" spans="1:19" x14ac:dyDescent="0.25">
      <c r="A1025" s="87">
        <v>2019</v>
      </c>
      <c r="B1025" s="87">
        <v>8</v>
      </c>
      <c r="C1025" s="173" t="s">
        <v>16</v>
      </c>
      <c r="D1025" s="173" t="s">
        <v>21</v>
      </c>
      <c r="E1025" s="173" t="s">
        <v>18</v>
      </c>
      <c r="F1025" s="173" t="s">
        <v>16</v>
      </c>
      <c r="G1025" s="87" t="b">
        <v>1</v>
      </c>
      <c r="H1025" s="87" t="b">
        <v>0</v>
      </c>
      <c r="I1025" s="87" t="b">
        <v>0</v>
      </c>
      <c r="J1025" s="173" t="s">
        <v>470</v>
      </c>
      <c r="K1025" s="174">
        <v>51722957010226</v>
      </c>
      <c r="L1025" s="173" t="s">
        <v>603</v>
      </c>
      <c r="M1025" s="173" t="s">
        <v>29</v>
      </c>
      <c r="N1025" s="173" t="s">
        <v>19</v>
      </c>
      <c r="O1025" s="87">
        <v>70</v>
      </c>
      <c r="P1025" s="173" t="s">
        <v>20</v>
      </c>
      <c r="Q1025" s="1" t="s">
        <v>1338</v>
      </c>
      <c r="R1025" s="175">
        <v>950</v>
      </c>
      <c r="S1025">
        <v>190</v>
      </c>
    </row>
    <row r="1026" spans="1:19" x14ac:dyDescent="0.25">
      <c r="A1026" s="87">
        <v>2019</v>
      </c>
      <c r="B1026" s="87">
        <v>8</v>
      </c>
      <c r="C1026" s="173" t="s">
        <v>16</v>
      </c>
      <c r="D1026" s="173" t="s">
        <v>21</v>
      </c>
      <c r="E1026" s="173" t="s">
        <v>18</v>
      </c>
      <c r="F1026" s="173" t="s">
        <v>16</v>
      </c>
      <c r="G1026" s="87" t="b">
        <v>1</v>
      </c>
      <c r="H1026" s="87" t="b">
        <v>0</v>
      </c>
      <c r="I1026" s="87" t="b">
        <v>0</v>
      </c>
      <c r="J1026" s="173" t="s">
        <v>470</v>
      </c>
      <c r="K1026" s="174">
        <v>51722957010226</v>
      </c>
      <c r="L1026" s="173" t="s">
        <v>603</v>
      </c>
      <c r="M1026" s="173" t="s">
        <v>29</v>
      </c>
      <c r="N1026" s="173" t="s">
        <v>19</v>
      </c>
      <c r="O1026" s="87">
        <v>73</v>
      </c>
      <c r="P1026" s="173" t="s">
        <v>26</v>
      </c>
      <c r="Q1026" s="1" t="s">
        <v>1339</v>
      </c>
      <c r="R1026" s="175">
        <v>2</v>
      </c>
      <c r="S1026">
        <v>1</v>
      </c>
    </row>
    <row r="1027" spans="1:19" x14ac:dyDescent="0.25">
      <c r="A1027" s="87">
        <v>2019</v>
      </c>
      <c r="B1027" s="87">
        <v>8</v>
      </c>
      <c r="C1027" s="173" t="s">
        <v>16</v>
      </c>
      <c r="D1027" s="173" t="s">
        <v>21</v>
      </c>
      <c r="E1027" s="173" t="s">
        <v>18</v>
      </c>
      <c r="F1027" s="173" t="s">
        <v>16</v>
      </c>
      <c r="G1027" s="87" t="b">
        <v>1</v>
      </c>
      <c r="H1027" s="87" t="b">
        <v>0</v>
      </c>
      <c r="I1027" s="87" t="b">
        <v>0</v>
      </c>
      <c r="J1027" s="173" t="s">
        <v>470</v>
      </c>
      <c r="K1027" s="174">
        <v>51722957010226</v>
      </c>
      <c r="L1027" s="173" t="s">
        <v>603</v>
      </c>
      <c r="M1027" s="173" t="s">
        <v>29</v>
      </c>
      <c r="N1027" s="173" t="s">
        <v>19</v>
      </c>
      <c r="O1027" s="87">
        <v>73</v>
      </c>
      <c r="P1027" s="173" t="s">
        <v>26</v>
      </c>
      <c r="Q1027" s="1" t="s">
        <v>1342</v>
      </c>
      <c r="R1027" s="175">
        <v>40</v>
      </c>
      <c r="S1027">
        <v>10</v>
      </c>
    </row>
    <row r="1028" spans="1:19" x14ac:dyDescent="0.25">
      <c r="A1028" s="87">
        <v>2019</v>
      </c>
      <c r="B1028" s="87">
        <v>8</v>
      </c>
      <c r="C1028" s="173" t="s">
        <v>16</v>
      </c>
      <c r="D1028" s="173" t="s">
        <v>21</v>
      </c>
      <c r="E1028" s="173" t="s">
        <v>18</v>
      </c>
      <c r="F1028" s="173" t="s">
        <v>16</v>
      </c>
      <c r="G1028" s="87" t="b">
        <v>1</v>
      </c>
      <c r="H1028" s="87" t="b">
        <v>0</v>
      </c>
      <c r="I1028" s="87" t="b">
        <v>0</v>
      </c>
      <c r="J1028" s="173" t="s">
        <v>470</v>
      </c>
      <c r="K1028" s="174">
        <v>51722957012512</v>
      </c>
      <c r="L1028" s="173" t="s">
        <v>604</v>
      </c>
      <c r="M1028" s="173" t="s">
        <v>29</v>
      </c>
      <c r="N1028" s="173" t="s">
        <v>19</v>
      </c>
      <c r="O1028" s="87">
        <v>70</v>
      </c>
      <c r="P1028" s="173" t="s">
        <v>20</v>
      </c>
      <c r="Q1028" s="1" t="s">
        <v>1338</v>
      </c>
      <c r="R1028" s="175">
        <v>265</v>
      </c>
      <c r="S1028">
        <v>53</v>
      </c>
    </row>
    <row r="1029" spans="1:19" x14ac:dyDescent="0.25">
      <c r="A1029" s="87">
        <v>2019</v>
      </c>
      <c r="B1029" s="87">
        <v>8</v>
      </c>
      <c r="C1029" s="173" t="s">
        <v>16</v>
      </c>
      <c r="D1029" s="173" t="s">
        <v>21</v>
      </c>
      <c r="E1029" s="173" t="s">
        <v>18</v>
      </c>
      <c r="F1029" s="173" t="s">
        <v>16</v>
      </c>
      <c r="G1029" s="87" t="b">
        <v>1</v>
      </c>
      <c r="H1029" s="87" t="b">
        <v>0</v>
      </c>
      <c r="I1029" s="87" t="b">
        <v>0</v>
      </c>
      <c r="J1029" s="173" t="s">
        <v>450</v>
      </c>
      <c r="K1029" s="174">
        <v>53221255004995</v>
      </c>
      <c r="L1029" s="173" t="s">
        <v>1123</v>
      </c>
      <c r="M1029" s="173" t="s">
        <v>131</v>
      </c>
      <c r="N1029" s="173" t="s">
        <v>61</v>
      </c>
      <c r="O1029" s="87">
        <v>62</v>
      </c>
      <c r="P1029" s="173" t="s">
        <v>27</v>
      </c>
      <c r="Q1029" s="1" t="s">
        <v>1343</v>
      </c>
      <c r="R1029" s="175">
        <v>1</v>
      </c>
      <c r="S1029">
        <v>1</v>
      </c>
    </row>
    <row r="1030" spans="1:19" x14ac:dyDescent="0.25">
      <c r="A1030" s="87">
        <v>2019</v>
      </c>
      <c r="B1030" s="87">
        <v>8</v>
      </c>
      <c r="C1030" s="173" t="s">
        <v>16</v>
      </c>
      <c r="D1030" s="173" t="s">
        <v>21</v>
      </c>
      <c r="E1030" s="173" t="s">
        <v>18</v>
      </c>
      <c r="F1030" s="173" t="s">
        <v>16</v>
      </c>
      <c r="G1030" s="87" t="b">
        <v>1</v>
      </c>
      <c r="H1030" s="87" t="b">
        <v>0</v>
      </c>
      <c r="I1030" s="87" t="b">
        <v>0</v>
      </c>
      <c r="J1030" s="173" t="s">
        <v>470</v>
      </c>
      <c r="K1030" s="174">
        <v>54012406000385</v>
      </c>
      <c r="L1030" s="173" t="s">
        <v>718</v>
      </c>
      <c r="M1030" s="173" t="s">
        <v>45</v>
      </c>
      <c r="N1030" s="173" t="s">
        <v>19</v>
      </c>
      <c r="O1030" s="87">
        <v>70</v>
      </c>
      <c r="P1030" s="173" t="s">
        <v>20</v>
      </c>
      <c r="Q1030" s="1" t="s">
        <v>1338</v>
      </c>
      <c r="R1030" s="175">
        <v>70</v>
      </c>
      <c r="S1030">
        <v>14</v>
      </c>
    </row>
    <row r="1031" spans="1:19" x14ac:dyDescent="0.25">
      <c r="A1031" s="87">
        <v>2019</v>
      </c>
      <c r="B1031" s="87">
        <v>8</v>
      </c>
      <c r="C1031" s="173" t="s">
        <v>16</v>
      </c>
      <c r="D1031" s="173" t="s">
        <v>21</v>
      </c>
      <c r="E1031" s="173" t="s">
        <v>18</v>
      </c>
      <c r="F1031" s="173" t="s">
        <v>16</v>
      </c>
      <c r="G1031" s="87" t="b">
        <v>1</v>
      </c>
      <c r="H1031" s="87" t="b">
        <v>0</v>
      </c>
      <c r="I1031" s="87" t="b">
        <v>0</v>
      </c>
      <c r="J1031" s="173" t="s">
        <v>463</v>
      </c>
      <c r="K1031" s="174">
        <v>57722118000140</v>
      </c>
      <c r="L1031" s="173" t="s">
        <v>722</v>
      </c>
      <c r="M1031" s="173" t="s">
        <v>639</v>
      </c>
      <c r="N1031" s="173" t="s">
        <v>19</v>
      </c>
      <c r="O1031" s="87">
        <v>70</v>
      </c>
      <c r="P1031" s="173" t="s">
        <v>20</v>
      </c>
      <c r="Q1031" s="1" t="s">
        <v>1338</v>
      </c>
      <c r="R1031" s="175">
        <v>150</v>
      </c>
      <c r="S1031">
        <v>30</v>
      </c>
    </row>
    <row r="1032" spans="1:19" x14ac:dyDescent="0.25">
      <c r="A1032" s="87">
        <v>2019</v>
      </c>
      <c r="B1032" s="87">
        <v>8</v>
      </c>
      <c r="C1032" s="173" t="s">
        <v>16</v>
      </c>
      <c r="D1032" s="173" t="s">
        <v>21</v>
      </c>
      <c r="E1032" s="173" t="s">
        <v>18</v>
      </c>
      <c r="F1032" s="173" t="s">
        <v>16</v>
      </c>
      <c r="G1032" s="87" t="b">
        <v>1</v>
      </c>
      <c r="H1032" s="87" t="b">
        <v>0</v>
      </c>
      <c r="I1032" s="87" t="b">
        <v>0</v>
      </c>
      <c r="J1032" s="173" t="s">
        <v>491</v>
      </c>
      <c r="K1032" s="174">
        <v>58229691001070</v>
      </c>
      <c r="L1032" s="173" t="s">
        <v>725</v>
      </c>
      <c r="M1032" s="173" t="s">
        <v>35</v>
      </c>
      <c r="N1032" s="173" t="s">
        <v>19</v>
      </c>
      <c r="O1032" s="87">
        <v>73</v>
      </c>
      <c r="P1032" s="173" t="s">
        <v>26</v>
      </c>
      <c r="Q1032" s="1" t="s">
        <v>1342</v>
      </c>
      <c r="R1032" s="175">
        <v>32</v>
      </c>
      <c r="S1032">
        <v>8</v>
      </c>
    </row>
    <row r="1033" spans="1:19" x14ac:dyDescent="0.25">
      <c r="A1033" s="87">
        <v>2019</v>
      </c>
      <c r="B1033" s="87">
        <v>8</v>
      </c>
      <c r="C1033" s="173" t="s">
        <v>16</v>
      </c>
      <c r="D1033" s="173" t="s">
        <v>21</v>
      </c>
      <c r="E1033" s="173" t="s">
        <v>18</v>
      </c>
      <c r="F1033" s="173" t="s">
        <v>16</v>
      </c>
      <c r="G1033" s="87" t="b">
        <v>1</v>
      </c>
      <c r="H1033" s="87" t="b">
        <v>0</v>
      </c>
      <c r="I1033" s="87" t="b">
        <v>0</v>
      </c>
      <c r="J1033" s="173" t="s">
        <v>455</v>
      </c>
      <c r="K1033" s="174">
        <v>59481028000130</v>
      </c>
      <c r="L1033" s="173" t="s">
        <v>608</v>
      </c>
      <c r="M1033" s="173" t="s">
        <v>29</v>
      </c>
      <c r="N1033" s="173" t="s">
        <v>19</v>
      </c>
      <c r="O1033" s="87">
        <v>70</v>
      </c>
      <c r="P1033" s="173" t="s">
        <v>20</v>
      </c>
      <c r="Q1033" s="1" t="s">
        <v>1338</v>
      </c>
      <c r="R1033" s="175">
        <v>30</v>
      </c>
      <c r="S1033">
        <v>6</v>
      </c>
    </row>
    <row r="1034" spans="1:19" x14ac:dyDescent="0.25">
      <c r="A1034" s="87">
        <v>2019</v>
      </c>
      <c r="B1034" s="87">
        <v>8</v>
      </c>
      <c r="C1034" s="173" t="s">
        <v>16</v>
      </c>
      <c r="D1034" s="173" t="s">
        <v>21</v>
      </c>
      <c r="E1034" s="173" t="s">
        <v>18</v>
      </c>
      <c r="F1034" s="173" t="s">
        <v>16</v>
      </c>
      <c r="G1034" s="87" t="b">
        <v>1</v>
      </c>
      <c r="H1034" s="87" t="b">
        <v>0</v>
      </c>
      <c r="I1034" s="87" t="b">
        <v>0</v>
      </c>
      <c r="J1034" s="173" t="s">
        <v>450</v>
      </c>
      <c r="K1034" s="174">
        <v>59970947000178</v>
      </c>
      <c r="L1034" s="173" t="s">
        <v>726</v>
      </c>
      <c r="M1034" s="173" t="s">
        <v>643</v>
      </c>
      <c r="N1034" s="173" t="s">
        <v>19</v>
      </c>
      <c r="O1034" s="87">
        <v>62</v>
      </c>
      <c r="P1034" s="173" t="s">
        <v>27</v>
      </c>
      <c r="Q1034" s="1" t="s">
        <v>1343</v>
      </c>
      <c r="R1034" s="175">
        <v>4</v>
      </c>
      <c r="S1034">
        <v>4</v>
      </c>
    </row>
    <row r="1035" spans="1:19" x14ac:dyDescent="0.25">
      <c r="A1035" s="87">
        <v>2019</v>
      </c>
      <c r="B1035" s="87">
        <v>8</v>
      </c>
      <c r="C1035" s="173" t="s">
        <v>16</v>
      </c>
      <c r="D1035" s="173" t="s">
        <v>21</v>
      </c>
      <c r="E1035" s="173" t="s">
        <v>18</v>
      </c>
      <c r="F1035" s="173" t="s">
        <v>16</v>
      </c>
      <c r="G1035" s="87" t="b">
        <v>1</v>
      </c>
      <c r="H1035" s="87" t="b">
        <v>0</v>
      </c>
      <c r="I1035" s="87" t="b">
        <v>0</v>
      </c>
      <c r="J1035" s="173" t="s">
        <v>1330</v>
      </c>
      <c r="K1035" s="174">
        <v>60003761000129</v>
      </c>
      <c r="L1035" s="173" t="s">
        <v>728</v>
      </c>
      <c r="M1035" s="173" t="s">
        <v>643</v>
      </c>
      <c r="N1035" s="173" t="s">
        <v>19</v>
      </c>
      <c r="O1035" s="87">
        <v>62</v>
      </c>
      <c r="P1035" s="173" t="s">
        <v>27</v>
      </c>
      <c r="Q1035" s="1" t="s">
        <v>1343</v>
      </c>
      <c r="R1035" s="175">
        <v>5</v>
      </c>
      <c r="S1035">
        <v>5</v>
      </c>
    </row>
    <row r="1036" spans="1:19" x14ac:dyDescent="0.25">
      <c r="A1036" s="87">
        <v>2019</v>
      </c>
      <c r="B1036" s="87">
        <v>8</v>
      </c>
      <c r="C1036" s="173" t="s">
        <v>16</v>
      </c>
      <c r="D1036" s="173" t="s">
        <v>21</v>
      </c>
      <c r="E1036" s="173" t="s">
        <v>18</v>
      </c>
      <c r="F1036" s="173" t="s">
        <v>16</v>
      </c>
      <c r="G1036" s="87" t="b">
        <v>1</v>
      </c>
      <c r="H1036" s="87" t="b">
        <v>0</v>
      </c>
      <c r="I1036" s="87" t="b">
        <v>0</v>
      </c>
      <c r="J1036" s="173" t="s">
        <v>1330</v>
      </c>
      <c r="K1036" s="174">
        <v>60003761000129</v>
      </c>
      <c r="L1036" s="173" t="s">
        <v>728</v>
      </c>
      <c r="M1036" s="173" t="s">
        <v>643</v>
      </c>
      <c r="N1036" s="173" t="s">
        <v>19</v>
      </c>
      <c r="O1036" s="87">
        <v>64</v>
      </c>
      <c r="P1036" s="173" t="s">
        <v>25</v>
      </c>
      <c r="Q1036" s="1" t="s">
        <v>1344</v>
      </c>
      <c r="R1036" s="175">
        <v>12</v>
      </c>
      <c r="S1036">
        <v>12</v>
      </c>
    </row>
    <row r="1037" spans="1:19" x14ac:dyDescent="0.25">
      <c r="A1037" s="87">
        <v>2019</v>
      </c>
      <c r="B1037" s="87">
        <v>8</v>
      </c>
      <c r="C1037" s="173" t="s">
        <v>16</v>
      </c>
      <c r="D1037" s="173" t="s">
        <v>21</v>
      </c>
      <c r="E1037" s="173" t="s">
        <v>18</v>
      </c>
      <c r="F1037" s="173" t="s">
        <v>16</v>
      </c>
      <c r="G1037" s="87" t="b">
        <v>1</v>
      </c>
      <c r="H1037" s="87" t="b">
        <v>0</v>
      </c>
      <c r="I1037" s="87" t="b">
        <v>0</v>
      </c>
      <c r="J1037" s="173" t="s">
        <v>463</v>
      </c>
      <c r="K1037" s="174">
        <v>60214517000962</v>
      </c>
      <c r="L1037" s="173" t="s">
        <v>729</v>
      </c>
      <c r="M1037" s="173" t="s">
        <v>650</v>
      </c>
      <c r="N1037" s="173" t="s">
        <v>19</v>
      </c>
      <c r="O1037" s="87">
        <v>70</v>
      </c>
      <c r="P1037" s="173" t="s">
        <v>20</v>
      </c>
      <c r="Q1037" s="1" t="s">
        <v>1338</v>
      </c>
      <c r="R1037" s="175">
        <v>60</v>
      </c>
      <c r="S1037">
        <v>12</v>
      </c>
    </row>
    <row r="1038" spans="1:19" x14ac:dyDescent="0.25">
      <c r="A1038" s="87">
        <v>2019</v>
      </c>
      <c r="B1038" s="87">
        <v>8</v>
      </c>
      <c r="C1038" s="173" t="s">
        <v>16</v>
      </c>
      <c r="D1038" s="173" t="s">
        <v>21</v>
      </c>
      <c r="E1038" s="173" t="s">
        <v>18</v>
      </c>
      <c r="F1038" s="173" t="s">
        <v>16</v>
      </c>
      <c r="G1038" s="87" t="b">
        <v>1</v>
      </c>
      <c r="H1038" s="87" t="b">
        <v>0</v>
      </c>
      <c r="I1038" s="87" t="b">
        <v>0</v>
      </c>
      <c r="J1038" s="173" t="s">
        <v>500</v>
      </c>
      <c r="K1038" s="174">
        <v>60214517001691</v>
      </c>
      <c r="L1038" s="173" t="s">
        <v>732</v>
      </c>
      <c r="M1038" s="173" t="s">
        <v>650</v>
      </c>
      <c r="N1038" s="173" t="s">
        <v>19</v>
      </c>
      <c r="O1038" s="87">
        <v>70</v>
      </c>
      <c r="P1038" s="173" t="s">
        <v>20</v>
      </c>
      <c r="Q1038" s="1" t="s">
        <v>1338</v>
      </c>
      <c r="R1038" s="175">
        <v>240</v>
      </c>
      <c r="S1038">
        <v>48</v>
      </c>
    </row>
    <row r="1039" spans="1:19" x14ac:dyDescent="0.25">
      <c r="A1039" s="87">
        <v>2019</v>
      </c>
      <c r="B1039" s="87">
        <v>8</v>
      </c>
      <c r="C1039" s="173" t="s">
        <v>16</v>
      </c>
      <c r="D1039" s="173" t="s">
        <v>21</v>
      </c>
      <c r="E1039" s="173" t="s">
        <v>18</v>
      </c>
      <c r="F1039" s="173" t="s">
        <v>16</v>
      </c>
      <c r="G1039" s="87" t="b">
        <v>1</v>
      </c>
      <c r="H1039" s="87" t="b">
        <v>0</v>
      </c>
      <c r="I1039" s="87" t="b">
        <v>0</v>
      </c>
      <c r="J1039" s="173" t="s">
        <v>463</v>
      </c>
      <c r="K1039" s="174">
        <v>60214517001691</v>
      </c>
      <c r="L1039" s="173" t="s">
        <v>732</v>
      </c>
      <c r="M1039" s="173" t="s">
        <v>650</v>
      </c>
      <c r="N1039" s="173" t="s">
        <v>19</v>
      </c>
      <c r="O1039" s="87">
        <v>70</v>
      </c>
      <c r="P1039" s="173" t="s">
        <v>20</v>
      </c>
      <c r="Q1039" s="1" t="s">
        <v>1338</v>
      </c>
      <c r="R1039" s="175">
        <v>420</v>
      </c>
      <c r="S1039">
        <v>84</v>
      </c>
    </row>
    <row r="1040" spans="1:19" x14ac:dyDescent="0.25">
      <c r="A1040" s="87">
        <v>2019</v>
      </c>
      <c r="B1040" s="87">
        <v>8</v>
      </c>
      <c r="C1040" s="173" t="s">
        <v>16</v>
      </c>
      <c r="D1040" s="173" t="s">
        <v>21</v>
      </c>
      <c r="E1040" s="173" t="s">
        <v>18</v>
      </c>
      <c r="F1040" s="173" t="s">
        <v>16</v>
      </c>
      <c r="G1040" s="87" t="b">
        <v>1</v>
      </c>
      <c r="H1040" s="87" t="b">
        <v>0</v>
      </c>
      <c r="I1040" s="87" t="b">
        <v>0</v>
      </c>
      <c r="J1040" s="173" t="s">
        <v>1330</v>
      </c>
      <c r="K1040" s="174">
        <v>60448040000122</v>
      </c>
      <c r="L1040" s="173" t="s">
        <v>609</v>
      </c>
      <c r="M1040" s="173" t="s">
        <v>29</v>
      </c>
      <c r="N1040" s="173" t="s">
        <v>19</v>
      </c>
      <c r="O1040" s="87">
        <v>62</v>
      </c>
      <c r="P1040" s="173" t="s">
        <v>27</v>
      </c>
      <c r="Q1040" s="1" t="s">
        <v>1343</v>
      </c>
      <c r="R1040" s="175">
        <v>87</v>
      </c>
      <c r="S1040">
        <v>87</v>
      </c>
    </row>
    <row r="1041" spans="1:19" x14ac:dyDescent="0.25">
      <c r="A1041" s="87">
        <v>2019</v>
      </c>
      <c r="B1041" s="87">
        <v>8</v>
      </c>
      <c r="C1041" s="173" t="s">
        <v>16</v>
      </c>
      <c r="D1041" s="173" t="s">
        <v>21</v>
      </c>
      <c r="E1041" s="173" t="s">
        <v>18</v>
      </c>
      <c r="F1041" s="173" t="s">
        <v>16</v>
      </c>
      <c r="G1041" s="87" t="b">
        <v>1</v>
      </c>
      <c r="H1041" s="87" t="b">
        <v>0</v>
      </c>
      <c r="I1041" s="87" t="b">
        <v>0</v>
      </c>
      <c r="J1041" s="173" t="s">
        <v>1330</v>
      </c>
      <c r="K1041" s="174">
        <v>60448040000122</v>
      </c>
      <c r="L1041" s="173" t="s">
        <v>609</v>
      </c>
      <c r="M1041" s="173" t="s">
        <v>29</v>
      </c>
      <c r="N1041" s="173" t="s">
        <v>19</v>
      </c>
      <c r="O1041" s="87">
        <v>64</v>
      </c>
      <c r="P1041" s="173" t="s">
        <v>25</v>
      </c>
      <c r="Q1041" s="1" t="s">
        <v>1344</v>
      </c>
      <c r="R1041" s="175">
        <v>57</v>
      </c>
      <c r="S1041">
        <v>57</v>
      </c>
    </row>
    <row r="1042" spans="1:19" x14ac:dyDescent="0.25">
      <c r="A1042" s="87">
        <v>2019</v>
      </c>
      <c r="B1042" s="87">
        <v>8</v>
      </c>
      <c r="C1042" s="173" t="s">
        <v>16</v>
      </c>
      <c r="D1042" s="173" t="s">
        <v>21</v>
      </c>
      <c r="E1042" s="173" t="s">
        <v>18</v>
      </c>
      <c r="F1042" s="173" t="s">
        <v>16</v>
      </c>
      <c r="G1042" s="87" t="b">
        <v>1</v>
      </c>
      <c r="H1042" s="87" t="b">
        <v>0</v>
      </c>
      <c r="I1042" s="87" t="b">
        <v>0</v>
      </c>
      <c r="J1042" s="173" t="s">
        <v>450</v>
      </c>
      <c r="K1042" s="174">
        <v>60453024000390</v>
      </c>
      <c r="L1042" s="173" t="s">
        <v>610</v>
      </c>
      <c r="M1042" s="173" t="s">
        <v>29</v>
      </c>
      <c r="N1042" s="173" t="s">
        <v>19</v>
      </c>
      <c r="O1042" s="87">
        <v>62</v>
      </c>
      <c r="P1042" s="173" t="s">
        <v>27</v>
      </c>
      <c r="Q1042" s="1" t="s">
        <v>1343</v>
      </c>
      <c r="R1042" s="175">
        <v>37</v>
      </c>
      <c r="S1042">
        <v>37</v>
      </c>
    </row>
    <row r="1043" spans="1:19" x14ac:dyDescent="0.25">
      <c r="A1043" s="87">
        <v>2019</v>
      </c>
      <c r="B1043" s="87">
        <v>8</v>
      </c>
      <c r="C1043" s="173" t="s">
        <v>16</v>
      </c>
      <c r="D1043" s="173" t="s">
        <v>21</v>
      </c>
      <c r="E1043" s="173" t="s">
        <v>18</v>
      </c>
      <c r="F1043" s="173" t="s">
        <v>16</v>
      </c>
      <c r="G1043" s="87" t="b">
        <v>1</v>
      </c>
      <c r="H1043" s="87" t="b">
        <v>0</v>
      </c>
      <c r="I1043" s="87" t="b">
        <v>0</v>
      </c>
      <c r="J1043" s="173" t="s">
        <v>450</v>
      </c>
      <c r="K1043" s="174">
        <v>60453024000390</v>
      </c>
      <c r="L1043" s="173" t="s">
        <v>610</v>
      </c>
      <c r="M1043" s="173" t="s">
        <v>29</v>
      </c>
      <c r="N1043" s="173" t="s">
        <v>19</v>
      </c>
      <c r="O1043" s="87">
        <v>64</v>
      </c>
      <c r="P1043" s="173" t="s">
        <v>25</v>
      </c>
      <c r="Q1043" s="1" t="s">
        <v>1344</v>
      </c>
      <c r="R1043" s="175">
        <v>10</v>
      </c>
      <c r="S1043">
        <v>10</v>
      </c>
    </row>
    <row r="1044" spans="1:19" x14ac:dyDescent="0.25">
      <c r="A1044" s="87">
        <v>2019</v>
      </c>
      <c r="B1044" s="87">
        <v>8</v>
      </c>
      <c r="C1044" s="173" t="s">
        <v>16</v>
      </c>
      <c r="D1044" s="173" t="s">
        <v>21</v>
      </c>
      <c r="E1044" s="173" t="s">
        <v>18</v>
      </c>
      <c r="F1044" s="173" t="s">
        <v>16</v>
      </c>
      <c r="G1044" s="87" t="b">
        <v>1</v>
      </c>
      <c r="H1044" s="87" t="b">
        <v>0</v>
      </c>
      <c r="I1044" s="87" t="b">
        <v>0</v>
      </c>
      <c r="J1044" s="173" t="s">
        <v>500</v>
      </c>
      <c r="K1044" s="174">
        <v>60552098000111</v>
      </c>
      <c r="L1044" s="173" t="s">
        <v>611</v>
      </c>
      <c r="M1044" s="173" t="s">
        <v>29</v>
      </c>
      <c r="N1044" s="173" t="s">
        <v>19</v>
      </c>
      <c r="O1044" s="87">
        <v>70</v>
      </c>
      <c r="P1044" s="173" t="s">
        <v>20</v>
      </c>
      <c r="Q1044" s="1" t="s">
        <v>1338</v>
      </c>
      <c r="R1044" s="175">
        <v>205</v>
      </c>
      <c r="S1044">
        <v>41</v>
      </c>
    </row>
    <row r="1045" spans="1:19" x14ac:dyDescent="0.25">
      <c r="A1045" s="87">
        <v>2019</v>
      </c>
      <c r="B1045" s="87">
        <v>8</v>
      </c>
      <c r="C1045" s="173" t="s">
        <v>16</v>
      </c>
      <c r="D1045" s="173" t="s">
        <v>21</v>
      </c>
      <c r="E1045" s="173" t="s">
        <v>18</v>
      </c>
      <c r="F1045" s="173" t="s">
        <v>16</v>
      </c>
      <c r="G1045" s="87" t="b">
        <v>1</v>
      </c>
      <c r="H1045" s="87" t="b">
        <v>0</v>
      </c>
      <c r="I1045" s="87" t="b">
        <v>0</v>
      </c>
      <c r="J1045" s="173" t="s">
        <v>468</v>
      </c>
      <c r="K1045" s="174">
        <v>60552098000111</v>
      </c>
      <c r="L1045" s="173" t="s">
        <v>611</v>
      </c>
      <c r="M1045" s="173" t="s">
        <v>29</v>
      </c>
      <c r="N1045" s="173" t="s">
        <v>19</v>
      </c>
      <c r="O1045" s="87">
        <v>70</v>
      </c>
      <c r="P1045" s="173" t="s">
        <v>20</v>
      </c>
      <c r="Q1045" s="1" t="s">
        <v>1338</v>
      </c>
      <c r="R1045" s="175">
        <v>150</v>
      </c>
      <c r="S1045">
        <v>30</v>
      </c>
    </row>
    <row r="1046" spans="1:19" x14ac:dyDescent="0.25">
      <c r="A1046" s="87">
        <v>2019</v>
      </c>
      <c r="B1046" s="87">
        <v>8</v>
      </c>
      <c r="C1046" s="173" t="s">
        <v>16</v>
      </c>
      <c r="D1046" s="173" t="s">
        <v>21</v>
      </c>
      <c r="E1046" s="173" t="s">
        <v>18</v>
      </c>
      <c r="F1046" s="173" t="s">
        <v>16</v>
      </c>
      <c r="G1046" s="87" t="b">
        <v>1</v>
      </c>
      <c r="H1046" s="87" t="b">
        <v>0</v>
      </c>
      <c r="I1046" s="87" t="b">
        <v>0</v>
      </c>
      <c r="J1046" s="173" t="s">
        <v>463</v>
      </c>
      <c r="K1046" s="174">
        <v>60552098000111</v>
      </c>
      <c r="L1046" s="173" t="s">
        <v>611</v>
      </c>
      <c r="M1046" s="173" t="s">
        <v>29</v>
      </c>
      <c r="N1046" s="173" t="s">
        <v>19</v>
      </c>
      <c r="O1046" s="87">
        <v>70</v>
      </c>
      <c r="P1046" s="173" t="s">
        <v>20</v>
      </c>
      <c r="Q1046" s="1" t="s">
        <v>1338</v>
      </c>
      <c r="R1046" s="175">
        <v>50</v>
      </c>
      <c r="S1046">
        <v>10</v>
      </c>
    </row>
    <row r="1047" spans="1:19" x14ac:dyDescent="0.25">
      <c r="A1047" s="87">
        <v>2019</v>
      </c>
      <c r="B1047" s="87">
        <v>8</v>
      </c>
      <c r="C1047" s="173" t="s">
        <v>16</v>
      </c>
      <c r="D1047" s="173" t="s">
        <v>21</v>
      </c>
      <c r="E1047" s="173" t="s">
        <v>18</v>
      </c>
      <c r="F1047" s="173" t="s">
        <v>16</v>
      </c>
      <c r="G1047" s="87" t="b">
        <v>1</v>
      </c>
      <c r="H1047" s="87" t="b">
        <v>0</v>
      </c>
      <c r="I1047" s="87" t="b">
        <v>0</v>
      </c>
      <c r="J1047" s="173" t="s">
        <v>495</v>
      </c>
      <c r="K1047" s="174">
        <v>60552098000111</v>
      </c>
      <c r="L1047" s="173" t="s">
        <v>611</v>
      </c>
      <c r="M1047" s="173" t="s">
        <v>29</v>
      </c>
      <c r="N1047" s="173" t="s">
        <v>19</v>
      </c>
      <c r="O1047" s="87">
        <v>70</v>
      </c>
      <c r="P1047" s="173" t="s">
        <v>20</v>
      </c>
      <c r="Q1047" s="1" t="s">
        <v>1338</v>
      </c>
      <c r="R1047" s="175">
        <v>0</v>
      </c>
      <c r="S1047">
        <v>0</v>
      </c>
    </row>
    <row r="1048" spans="1:19" x14ac:dyDescent="0.25">
      <c r="A1048" s="87">
        <v>2019</v>
      </c>
      <c r="B1048" s="87">
        <v>8</v>
      </c>
      <c r="C1048" s="173" t="s">
        <v>16</v>
      </c>
      <c r="D1048" s="173" t="s">
        <v>21</v>
      </c>
      <c r="E1048" s="173" t="s">
        <v>18</v>
      </c>
      <c r="F1048" s="173" t="s">
        <v>16</v>
      </c>
      <c r="G1048" s="87" t="b">
        <v>1</v>
      </c>
      <c r="H1048" s="87" t="b">
        <v>0</v>
      </c>
      <c r="I1048" s="87" t="b">
        <v>0</v>
      </c>
      <c r="J1048" s="173" t="s">
        <v>463</v>
      </c>
      <c r="K1048" s="174">
        <v>60678604000113</v>
      </c>
      <c r="L1048" s="173" t="s">
        <v>612</v>
      </c>
      <c r="M1048" s="173" t="s">
        <v>29</v>
      </c>
      <c r="N1048" s="173" t="s">
        <v>19</v>
      </c>
      <c r="O1048" s="87">
        <v>62</v>
      </c>
      <c r="P1048" s="173" t="s">
        <v>27</v>
      </c>
      <c r="Q1048" s="1" t="s">
        <v>1343</v>
      </c>
      <c r="R1048" s="175">
        <v>23</v>
      </c>
      <c r="S1048">
        <v>23</v>
      </c>
    </row>
    <row r="1049" spans="1:19" x14ac:dyDescent="0.25">
      <c r="A1049" s="87">
        <v>2019</v>
      </c>
      <c r="B1049" s="87">
        <v>8</v>
      </c>
      <c r="C1049" s="173" t="s">
        <v>16</v>
      </c>
      <c r="D1049" s="173" t="s">
        <v>21</v>
      </c>
      <c r="E1049" s="173" t="s">
        <v>18</v>
      </c>
      <c r="F1049" s="173" t="s">
        <v>16</v>
      </c>
      <c r="G1049" s="87" t="b">
        <v>1</v>
      </c>
      <c r="H1049" s="87" t="b">
        <v>0</v>
      </c>
      <c r="I1049" s="87" t="b">
        <v>0</v>
      </c>
      <c r="J1049" s="173" t="s">
        <v>450</v>
      </c>
      <c r="K1049" s="174">
        <v>60726502000126</v>
      </c>
      <c r="L1049" s="173" t="s">
        <v>613</v>
      </c>
      <c r="M1049" s="173" t="s">
        <v>29</v>
      </c>
      <c r="N1049" s="173" t="s">
        <v>19</v>
      </c>
      <c r="O1049" s="87">
        <v>62</v>
      </c>
      <c r="P1049" s="173" t="s">
        <v>27</v>
      </c>
      <c r="Q1049" s="1" t="s">
        <v>1343</v>
      </c>
      <c r="R1049" s="175">
        <v>2</v>
      </c>
      <c r="S1049">
        <v>2</v>
      </c>
    </row>
    <row r="1050" spans="1:19" x14ac:dyDescent="0.25">
      <c r="A1050" s="87">
        <v>2019</v>
      </c>
      <c r="B1050" s="87">
        <v>8</v>
      </c>
      <c r="C1050" s="173" t="s">
        <v>16</v>
      </c>
      <c r="D1050" s="173" t="s">
        <v>21</v>
      </c>
      <c r="E1050" s="173" t="s">
        <v>18</v>
      </c>
      <c r="F1050" s="173" t="s">
        <v>16</v>
      </c>
      <c r="G1050" s="87" t="b">
        <v>1</v>
      </c>
      <c r="H1050" s="87" t="b">
        <v>0</v>
      </c>
      <c r="I1050" s="87" t="b">
        <v>0</v>
      </c>
      <c r="J1050" s="173" t="s">
        <v>450</v>
      </c>
      <c r="K1050" s="174">
        <v>60726502000126</v>
      </c>
      <c r="L1050" s="173" t="s">
        <v>613</v>
      </c>
      <c r="M1050" s="173" t="s">
        <v>29</v>
      </c>
      <c r="N1050" s="173" t="s">
        <v>19</v>
      </c>
      <c r="O1050" s="87">
        <v>64</v>
      </c>
      <c r="P1050" s="173" t="s">
        <v>25</v>
      </c>
      <c r="Q1050" s="1" t="s">
        <v>1344</v>
      </c>
      <c r="R1050" s="175">
        <v>6</v>
      </c>
      <c r="S1050">
        <v>6</v>
      </c>
    </row>
    <row r="1051" spans="1:19" x14ac:dyDescent="0.25">
      <c r="A1051" s="87">
        <v>2019</v>
      </c>
      <c r="B1051" s="87">
        <v>8</v>
      </c>
      <c r="C1051" s="173" t="s">
        <v>16</v>
      </c>
      <c r="D1051" s="173" t="s">
        <v>21</v>
      </c>
      <c r="E1051" s="173" t="s">
        <v>18</v>
      </c>
      <c r="F1051" s="173" t="s">
        <v>16</v>
      </c>
      <c r="G1051" s="87" t="b">
        <v>1</v>
      </c>
      <c r="H1051" s="87" t="b">
        <v>0</v>
      </c>
      <c r="I1051" s="87" t="b">
        <v>0</v>
      </c>
      <c r="J1051" s="173" t="s">
        <v>463</v>
      </c>
      <c r="K1051" s="174">
        <v>60726502000126</v>
      </c>
      <c r="L1051" s="173" t="s">
        <v>613</v>
      </c>
      <c r="M1051" s="173" t="s">
        <v>29</v>
      </c>
      <c r="N1051" s="173" t="s">
        <v>19</v>
      </c>
      <c r="O1051" s="87">
        <v>70</v>
      </c>
      <c r="P1051" s="173" t="s">
        <v>20</v>
      </c>
      <c r="Q1051" s="1" t="s">
        <v>1338</v>
      </c>
      <c r="R1051" s="175">
        <v>830</v>
      </c>
      <c r="S1051">
        <v>166</v>
      </c>
    </row>
    <row r="1052" spans="1:19" x14ac:dyDescent="0.25">
      <c r="A1052" s="87">
        <v>2019</v>
      </c>
      <c r="B1052" s="87">
        <v>8</v>
      </c>
      <c r="C1052" s="173" t="s">
        <v>16</v>
      </c>
      <c r="D1052" s="173" t="s">
        <v>21</v>
      </c>
      <c r="E1052" s="173" t="s">
        <v>18</v>
      </c>
      <c r="F1052" s="173" t="s">
        <v>16</v>
      </c>
      <c r="G1052" s="87" t="b">
        <v>1</v>
      </c>
      <c r="H1052" s="87" t="b">
        <v>0</v>
      </c>
      <c r="I1052" s="87" t="b">
        <v>0</v>
      </c>
      <c r="J1052" s="173" t="s">
        <v>450</v>
      </c>
      <c r="K1052" s="174">
        <v>60726502000126</v>
      </c>
      <c r="L1052" s="173" t="s">
        <v>613</v>
      </c>
      <c r="M1052" s="173" t="s">
        <v>29</v>
      </c>
      <c r="N1052" s="173" t="s">
        <v>19</v>
      </c>
      <c r="O1052" s="87">
        <v>73</v>
      </c>
      <c r="P1052" s="173" t="s">
        <v>26</v>
      </c>
      <c r="Q1052" s="1" t="s">
        <v>1342</v>
      </c>
      <c r="R1052" s="175">
        <v>16</v>
      </c>
      <c r="S1052">
        <v>4</v>
      </c>
    </row>
    <row r="1053" spans="1:19" x14ac:dyDescent="0.25">
      <c r="A1053" s="87">
        <v>2019</v>
      </c>
      <c r="B1053" s="87">
        <v>8</v>
      </c>
      <c r="C1053" s="173" t="s">
        <v>16</v>
      </c>
      <c r="D1053" s="173" t="s">
        <v>21</v>
      </c>
      <c r="E1053" s="173" t="s">
        <v>18</v>
      </c>
      <c r="F1053" s="173" t="s">
        <v>16</v>
      </c>
      <c r="G1053" s="87" t="b">
        <v>1</v>
      </c>
      <c r="H1053" s="87" t="b">
        <v>0</v>
      </c>
      <c r="I1053" s="87" t="b">
        <v>0</v>
      </c>
      <c r="J1053" s="173" t="s">
        <v>1330</v>
      </c>
      <c r="K1053" s="174">
        <v>60765823000130</v>
      </c>
      <c r="L1053" s="173" t="s">
        <v>615</v>
      </c>
      <c r="M1053" s="173" t="s">
        <v>29</v>
      </c>
      <c r="N1053" s="173" t="s">
        <v>19</v>
      </c>
      <c r="O1053" s="87">
        <v>62</v>
      </c>
      <c r="P1053" s="173" t="s">
        <v>27</v>
      </c>
      <c r="Q1053" s="1" t="s">
        <v>1343</v>
      </c>
      <c r="R1053" s="175">
        <v>65</v>
      </c>
      <c r="S1053">
        <v>65</v>
      </c>
    </row>
    <row r="1054" spans="1:19" x14ac:dyDescent="0.25">
      <c r="A1054" s="87">
        <v>2019</v>
      </c>
      <c r="B1054" s="87">
        <v>8</v>
      </c>
      <c r="C1054" s="173" t="s">
        <v>16</v>
      </c>
      <c r="D1054" s="173" t="s">
        <v>21</v>
      </c>
      <c r="E1054" s="173" t="s">
        <v>18</v>
      </c>
      <c r="F1054" s="173" t="s">
        <v>16</v>
      </c>
      <c r="G1054" s="87" t="b">
        <v>1</v>
      </c>
      <c r="H1054" s="87" t="b">
        <v>0</v>
      </c>
      <c r="I1054" s="87" t="b">
        <v>0</v>
      </c>
      <c r="J1054" s="173" t="s">
        <v>470</v>
      </c>
      <c r="K1054" s="174">
        <v>60777901000116</v>
      </c>
      <c r="L1054" s="173" t="s">
        <v>616</v>
      </c>
      <c r="M1054" s="173" t="s">
        <v>29</v>
      </c>
      <c r="N1054" s="173" t="s">
        <v>19</v>
      </c>
      <c r="O1054" s="87">
        <v>64</v>
      </c>
      <c r="P1054" s="173" t="s">
        <v>25</v>
      </c>
      <c r="Q1054" s="1" t="s">
        <v>1344</v>
      </c>
      <c r="R1054" s="175">
        <v>100</v>
      </c>
      <c r="S1054">
        <v>100</v>
      </c>
    </row>
    <row r="1055" spans="1:19" x14ac:dyDescent="0.25">
      <c r="A1055" s="87">
        <v>2019</v>
      </c>
      <c r="B1055" s="87">
        <v>8</v>
      </c>
      <c r="C1055" s="173" t="s">
        <v>16</v>
      </c>
      <c r="D1055" s="173" t="s">
        <v>21</v>
      </c>
      <c r="E1055" s="173" t="s">
        <v>18</v>
      </c>
      <c r="F1055" s="173" t="s">
        <v>16</v>
      </c>
      <c r="G1055" s="87" t="b">
        <v>1</v>
      </c>
      <c r="H1055" s="87" t="b">
        <v>0</v>
      </c>
      <c r="I1055" s="87" t="b">
        <v>0</v>
      </c>
      <c r="J1055" s="173" t="s">
        <v>470</v>
      </c>
      <c r="K1055" s="174">
        <v>60777901000116</v>
      </c>
      <c r="L1055" s="173" t="s">
        <v>616</v>
      </c>
      <c r="M1055" s="173" t="s">
        <v>29</v>
      </c>
      <c r="N1055" s="173" t="s">
        <v>19</v>
      </c>
      <c r="O1055" s="87">
        <v>70</v>
      </c>
      <c r="P1055" s="173" t="s">
        <v>20</v>
      </c>
      <c r="Q1055" s="1" t="s">
        <v>1338</v>
      </c>
      <c r="R1055" s="175">
        <v>1000</v>
      </c>
      <c r="S1055">
        <v>200</v>
      </c>
    </row>
    <row r="1056" spans="1:19" x14ac:dyDescent="0.25">
      <c r="A1056" s="87">
        <v>2019</v>
      </c>
      <c r="B1056" s="87">
        <v>8</v>
      </c>
      <c r="C1056" s="173" t="s">
        <v>16</v>
      </c>
      <c r="D1056" s="173" t="s">
        <v>21</v>
      </c>
      <c r="E1056" s="173" t="s">
        <v>18</v>
      </c>
      <c r="F1056" s="173" t="s">
        <v>16</v>
      </c>
      <c r="G1056" s="87" t="b">
        <v>1</v>
      </c>
      <c r="H1056" s="87" t="b">
        <v>0</v>
      </c>
      <c r="I1056" s="87" t="b">
        <v>0</v>
      </c>
      <c r="J1056" s="173" t="s">
        <v>470</v>
      </c>
      <c r="K1056" s="174">
        <v>60884855000316</v>
      </c>
      <c r="L1056" s="173" t="s">
        <v>617</v>
      </c>
      <c r="M1056" s="173" t="s">
        <v>29</v>
      </c>
      <c r="N1056" s="173" t="s">
        <v>19</v>
      </c>
      <c r="O1056" s="87">
        <v>62</v>
      </c>
      <c r="P1056" s="173" t="s">
        <v>27</v>
      </c>
      <c r="Q1056" s="1" t="s">
        <v>1343</v>
      </c>
      <c r="R1056" s="175">
        <v>3</v>
      </c>
      <c r="S1056">
        <v>3</v>
      </c>
    </row>
    <row r="1057" spans="1:19" x14ac:dyDescent="0.25">
      <c r="A1057" s="87">
        <v>2019</v>
      </c>
      <c r="B1057" s="87">
        <v>8</v>
      </c>
      <c r="C1057" s="173" t="s">
        <v>16</v>
      </c>
      <c r="D1057" s="173" t="s">
        <v>21</v>
      </c>
      <c r="E1057" s="173" t="s">
        <v>18</v>
      </c>
      <c r="F1057" s="173" t="s">
        <v>16</v>
      </c>
      <c r="G1057" s="87" t="b">
        <v>1</v>
      </c>
      <c r="H1057" s="87" t="b">
        <v>0</v>
      </c>
      <c r="I1057" s="87" t="b">
        <v>0</v>
      </c>
      <c r="J1057" s="173" t="s">
        <v>470</v>
      </c>
      <c r="K1057" s="174">
        <v>60884855000316</v>
      </c>
      <c r="L1057" s="173" t="s">
        <v>617</v>
      </c>
      <c r="M1057" s="173" t="s">
        <v>29</v>
      </c>
      <c r="N1057" s="173" t="s">
        <v>19</v>
      </c>
      <c r="O1057" s="87">
        <v>64</v>
      </c>
      <c r="P1057" s="173" t="s">
        <v>25</v>
      </c>
      <c r="Q1057" s="1" t="s">
        <v>1344</v>
      </c>
      <c r="R1057" s="175">
        <v>10</v>
      </c>
      <c r="S1057">
        <v>10</v>
      </c>
    </row>
    <row r="1058" spans="1:19" x14ac:dyDescent="0.25">
      <c r="A1058" s="87">
        <v>2019</v>
      </c>
      <c r="B1058" s="87">
        <v>8</v>
      </c>
      <c r="C1058" s="173" t="s">
        <v>16</v>
      </c>
      <c r="D1058" s="173" t="s">
        <v>21</v>
      </c>
      <c r="E1058" s="173" t="s">
        <v>18</v>
      </c>
      <c r="F1058" s="173" t="s">
        <v>16</v>
      </c>
      <c r="G1058" s="87" t="b">
        <v>1</v>
      </c>
      <c r="H1058" s="87" t="b">
        <v>0</v>
      </c>
      <c r="I1058" s="87" t="b">
        <v>0</v>
      </c>
      <c r="J1058" s="173" t="s">
        <v>470</v>
      </c>
      <c r="K1058" s="174">
        <v>60884855000316</v>
      </c>
      <c r="L1058" s="173" t="s">
        <v>617</v>
      </c>
      <c r="M1058" s="173" t="s">
        <v>29</v>
      </c>
      <c r="N1058" s="173" t="s">
        <v>19</v>
      </c>
      <c r="O1058" s="87">
        <v>70</v>
      </c>
      <c r="P1058" s="173" t="s">
        <v>20</v>
      </c>
      <c r="Q1058" s="1" t="s">
        <v>1338</v>
      </c>
      <c r="R1058" s="175">
        <v>875</v>
      </c>
      <c r="S1058">
        <v>175</v>
      </c>
    </row>
    <row r="1059" spans="1:19" x14ac:dyDescent="0.25">
      <c r="A1059" s="87">
        <v>2019</v>
      </c>
      <c r="B1059" s="87">
        <v>8</v>
      </c>
      <c r="C1059" s="173" t="s">
        <v>16</v>
      </c>
      <c r="D1059" s="173" t="s">
        <v>21</v>
      </c>
      <c r="E1059" s="173" t="s">
        <v>18</v>
      </c>
      <c r="F1059" s="173" t="s">
        <v>16</v>
      </c>
      <c r="G1059" s="87" t="b">
        <v>1</v>
      </c>
      <c r="H1059" s="87" t="b">
        <v>0</v>
      </c>
      <c r="I1059" s="87" t="b">
        <v>0</v>
      </c>
      <c r="J1059" s="173" t="s">
        <v>450</v>
      </c>
      <c r="K1059" s="174">
        <v>60884855000316</v>
      </c>
      <c r="L1059" s="173" t="s">
        <v>617</v>
      </c>
      <c r="M1059" s="173" t="s">
        <v>29</v>
      </c>
      <c r="N1059" s="173" t="s">
        <v>19</v>
      </c>
      <c r="O1059" s="87">
        <v>73</v>
      </c>
      <c r="P1059" s="173" t="s">
        <v>26</v>
      </c>
      <c r="Q1059" s="1" t="s">
        <v>1339</v>
      </c>
      <c r="R1059" s="175">
        <v>20</v>
      </c>
      <c r="S1059">
        <v>10</v>
      </c>
    </row>
    <row r="1060" spans="1:19" x14ac:dyDescent="0.25">
      <c r="A1060" s="87">
        <v>2019</v>
      </c>
      <c r="B1060" s="87">
        <v>8</v>
      </c>
      <c r="C1060" s="173" t="s">
        <v>16</v>
      </c>
      <c r="D1060" s="173" t="s">
        <v>21</v>
      </c>
      <c r="E1060" s="173" t="s">
        <v>18</v>
      </c>
      <c r="F1060" s="173" t="s">
        <v>16</v>
      </c>
      <c r="G1060" s="87" t="b">
        <v>1</v>
      </c>
      <c r="H1060" s="87" t="b">
        <v>0</v>
      </c>
      <c r="I1060" s="87" t="b">
        <v>0</v>
      </c>
      <c r="J1060" s="173" t="s">
        <v>463</v>
      </c>
      <c r="K1060" s="174">
        <v>60884855000316</v>
      </c>
      <c r="L1060" s="173" t="s">
        <v>617</v>
      </c>
      <c r="M1060" s="173" t="s">
        <v>29</v>
      </c>
      <c r="N1060" s="173" t="s">
        <v>19</v>
      </c>
      <c r="O1060" s="87">
        <v>73</v>
      </c>
      <c r="P1060" s="173" t="s">
        <v>26</v>
      </c>
      <c r="Q1060" s="1" t="s">
        <v>1339</v>
      </c>
      <c r="R1060" s="175">
        <v>4</v>
      </c>
      <c r="S1060">
        <v>2</v>
      </c>
    </row>
    <row r="1061" spans="1:19" x14ac:dyDescent="0.25">
      <c r="A1061" s="87">
        <v>2019</v>
      </c>
      <c r="B1061" s="87">
        <v>8</v>
      </c>
      <c r="C1061" s="173" t="s">
        <v>16</v>
      </c>
      <c r="D1061" s="173" t="s">
        <v>21</v>
      </c>
      <c r="E1061" s="173" t="s">
        <v>18</v>
      </c>
      <c r="F1061" s="173" t="s">
        <v>16</v>
      </c>
      <c r="G1061" s="87" t="b">
        <v>1</v>
      </c>
      <c r="H1061" s="87" t="b">
        <v>0</v>
      </c>
      <c r="I1061" s="87" t="b">
        <v>0</v>
      </c>
      <c r="J1061" s="173" t="s">
        <v>470</v>
      </c>
      <c r="K1061" s="174">
        <v>60884855001207</v>
      </c>
      <c r="L1061" s="173" t="s">
        <v>1065</v>
      </c>
      <c r="M1061" s="173" t="s">
        <v>1039</v>
      </c>
      <c r="N1061" s="173" t="s">
        <v>61</v>
      </c>
      <c r="O1061" s="87">
        <v>62</v>
      </c>
      <c r="P1061" s="173" t="s">
        <v>27</v>
      </c>
      <c r="Q1061" s="1" t="s">
        <v>1343</v>
      </c>
      <c r="R1061" s="175">
        <v>6</v>
      </c>
      <c r="S1061">
        <v>6</v>
      </c>
    </row>
    <row r="1062" spans="1:19" x14ac:dyDescent="0.25">
      <c r="A1062" s="87">
        <v>2019</v>
      </c>
      <c r="B1062" s="87">
        <v>8</v>
      </c>
      <c r="C1062" s="173" t="s">
        <v>16</v>
      </c>
      <c r="D1062" s="173" t="s">
        <v>21</v>
      </c>
      <c r="E1062" s="173" t="s">
        <v>18</v>
      </c>
      <c r="F1062" s="173" t="s">
        <v>16</v>
      </c>
      <c r="G1062" s="87" t="b">
        <v>1</v>
      </c>
      <c r="H1062" s="87" t="b">
        <v>0</v>
      </c>
      <c r="I1062" s="87" t="b">
        <v>0</v>
      </c>
      <c r="J1062" s="173" t="s">
        <v>470</v>
      </c>
      <c r="K1062" s="174">
        <v>60884855001207</v>
      </c>
      <c r="L1062" s="173" t="s">
        <v>1065</v>
      </c>
      <c r="M1062" s="173" t="s">
        <v>1039</v>
      </c>
      <c r="N1062" s="173" t="s">
        <v>61</v>
      </c>
      <c r="O1062" s="87">
        <v>64</v>
      </c>
      <c r="P1062" s="173" t="s">
        <v>25</v>
      </c>
      <c r="Q1062" s="1" t="s">
        <v>1344</v>
      </c>
      <c r="R1062" s="175">
        <v>17</v>
      </c>
      <c r="S1062">
        <v>17</v>
      </c>
    </row>
    <row r="1063" spans="1:19" x14ac:dyDescent="0.25">
      <c r="A1063" s="87">
        <v>2019</v>
      </c>
      <c r="B1063" s="87">
        <v>8</v>
      </c>
      <c r="C1063" s="173" t="s">
        <v>16</v>
      </c>
      <c r="D1063" s="173" t="s">
        <v>21</v>
      </c>
      <c r="E1063" s="173" t="s">
        <v>18</v>
      </c>
      <c r="F1063" s="173" t="s">
        <v>16</v>
      </c>
      <c r="G1063" s="87" t="b">
        <v>1</v>
      </c>
      <c r="H1063" s="87" t="b">
        <v>0</v>
      </c>
      <c r="I1063" s="87" t="b">
        <v>0</v>
      </c>
      <c r="J1063" s="173" t="s">
        <v>470</v>
      </c>
      <c r="K1063" s="174">
        <v>60884855001207</v>
      </c>
      <c r="L1063" s="173" t="s">
        <v>1065</v>
      </c>
      <c r="M1063" s="173" t="s">
        <v>1039</v>
      </c>
      <c r="N1063" s="173" t="s">
        <v>61</v>
      </c>
      <c r="O1063" s="87">
        <v>70</v>
      </c>
      <c r="P1063" s="173" t="s">
        <v>20</v>
      </c>
      <c r="Q1063" s="1" t="s">
        <v>1338</v>
      </c>
      <c r="R1063" s="175">
        <v>985</v>
      </c>
      <c r="S1063">
        <v>197</v>
      </c>
    </row>
    <row r="1064" spans="1:19" x14ac:dyDescent="0.25">
      <c r="A1064" s="87">
        <v>2019</v>
      </c>
      <c r="B1064" s="87">
        <v>8</v>
      </c>
      <c r="C1064" s="173" t="s">
        <v>16</v>
      </c>
      <c r="D1064" s="173" t="s">
        <v>21</v>
      </c>
      <c r="E1064" s="173" t="s">
        <v>18</v>
      </c>
      <c r="F1064" s="173" t="s">
        <v>16</v>
      </c>
      <c r="G1064" s="87" t="b">
        <v>1</v>
      </c>
      <c r="H1064" s="87" t="b">
        <v>0</v>
      </c>
      <c r="I1064" s="87" t="b">
        <v>0</v>
      </c>
      <c r="J1064" s="173" t="s">
        <v>450</v>
      </c>
      <c r="K1064" s="174">
        <v>60884855001207</v>
      </c>
      <c r="L1064" s="173" t="s">
        <v>1065</v>
      </c>
      <c r="M1064" s="173" t="s">
        <v>1039</v>
      </c>
      <c r="N1064" s="173" t="s">
        <v>61</v>
      </c>
      <c r="O1064" s="87">
        <v>73</v>
      </c>
      <c r="P1064" s="173" t="s">
        <v>26</v>
      </c>
      <c r="Q1064" s="1" t="s">
        <v>1339</v>
      </c>
      <c r="R1064" s="175">
        <v>16</v>
      </c>
      <c r="S1064">
        <v>8</v>
      </c>
    </row>
    <row r="1065" spans="1:19" x14ac:dyDescent="0.25">
      <c r="A1065" s="87">
        <v>2019</v>
      </c>
      <c r="B1065" s="87">
        <v>8</v>
      </c>
      <c r="C1065" s="173" t="s">
        <v>16</v>
      </c>
      <c r="D1065" s="173" t="s">
        <v>21</v>
      </c>
      <c r="E1065" s="173" t="s">
        <v>18</v>
      </c>
      <c r="F1065" s="173" t="s">
        <v>16</v>
      </c>
      <c r="G1065" s="87" t="b">
        <v>1</v>
      </c>
      <c r="H1065" s="87" t="b">
        <v>0</v>
      </c>
      <c r="I1065" s="87" t="b">
        <v>0</v>
      </c>
      <c r="J1065" s="173" t="s">
        <v>450</v>
      </c>
      <c r="K1065" s="174">
        <v>60884855001207</v>
      </c>
      <c r="L1065" s="173" t="s">
        <v>1065</v>
      </c>
      <c r="M1065" s="173" t="s">
        <v>1039</v>
      </c>
      <c r="N1065" s="173" t="s">
        <v>61</v>
      </c>
      <c r="O1065" s="87">
        <v>73</v>
      </c>
      <c r="P1065" s="173" t="s">
        <v>26</v>
      </c>
      <c r="Q1065" s="1" t="s">
        <v>1340</v>
      </c>
      <c r="R1065" s="175">
        <v>2</v>
      </c>
      <c r="S1065">
        <v>2</v>
      </c>
    </row>
    <row r="1066" spans="1:19" x14ac:dyDescent="0.25">
      <c r="A1066" s="87">
        <v>2019</v>
      </c>
      <c r="B1066" s="87">
        <v>8</v>
      </c>
      <c r="C1066" s="173" t="s">
        <v>16</v>
      </c>
      <c r="D1066" s="173" t="s">
        <v>21</v>
      </c>
      <c r="E1066" s="173" t="s">
        <v>18</v>
      </c>
      <c r="F1066" s="173" t="s">
        <v>16</v>
      </c>
      <c r="G1066" s="87" t="b">
        <v>1</v>
      </c>
      <c r="H1066" s="87" t="b">
        <v>0</v>
      </c>
      <c r="I1066" s="87" t="b">
        <v>0</v>
      </c>
      <c r="J1066" s="173" t="s">
        <v>470</v>
      </c>
      <c r="K1066" s="174">
        <v>60884855001630</v>
      </c>
      <c r="L1066" s="173" t="s">
        <v>1124</v>
      </c>
      <c r="M1066" s="173" t="s">
        <v>131</v>
      </c>
      <c r="N1066" s="173" t="s">
        <v>61</v>
      </c>
      <c r="O1066" s="87">
        <v>62</v>
      </c>
      <c r="P1066" s="173" t="s">
        <v>27</v>
      </c>
      <c r="Q1066" s="1" t="s">
        <v>1343</v>
      </c>
      <c r="R1066" s="175">
        <v>10</v>
      </c>
      <c r="S1066">
        <v>10</v>
      </c>
    </row>
    <row r="1067" spans="1:19" x14ac:dyDescent="0.25">
      <c r="A1067" s="87">
        <v>2019</v>
      </c>
      <c r="B1067" s="87">
        <v>8</v>
      </c>
      <c r="C1067" s="173" t="s">
        <v>16</v>
      </c>
      <c r="D1067" s="173" t="s">
        <v>21</v>
      </c>
      <c r="E1067" s="173" t="s">
        <v>18</v>
      </c>
      <c r="F1067" s="173" t="s">
        <v>16</v>
      </c>
      <c r="G1067" s="87" t="b">
        <v>1</v>
      </c>
      <c r="H1067" s="87" t="b">
        <v>0</v>
      </c>
      <c r="I1067" s="87" t="b">
        <v>0</v>
      </c>
      <c r="J1067" s="173" t="s">
        <v>470</v>
      </c>
      <c r="K1067" s="174">
        <v>60884855001630</v>
      </c>
      <c r="L1067" s="173" t="s">
        <v>1124</v>
      </c>
      <c r="M1067" s="173" t="s">
        <v>131</v>
      </c>
      <c r="N1067" s="173" t="s">
        <v>61</v>
      </c>
      <c r="O1067" s="87">
        <v>64</v>
      </c>
      <c r="P1067" s="173" t="s">
        <v>25</v>
      </c>
      <c r="Q1067" s="1" t="s">
        <v>1344</v>
      </c>
      <c r="R1067" s="175">
        <v>25</v>
      </c>
      <c r="S1067">
        <v>25</v>
      </c>
    </row>
    <row r="1068" spans="1:19" x14ac:dyDescent="0.25">
      <c r="A1068" s="87">
        <v>2019</v>
      </c>
      <c r="B1068" s="87">
        <v>8</v>
      </c>
      <c r="C1068" s="173" t="s">
        <v>16</v>
      </c>
      <c r="D1068" s="173" t="s">
        <v>21</v>
      </c>
      <c r="E1068" s="173" t="s">
        <v>18</v>
      </c>
      <c r="F1068" s="173" t="s">
        <v>16</v>
      </c>
      <c r="G1068" s="87" t="b">
        <v>1</v>
      </c>
      <c r="H1068" s="87" t="b">
        <v>0</v>
      </c>
      <c r="I1068" s="87" t="b">
        <v>0</v>
      </c>
      <c r="J1068" s="173" t="s">
        <v>470</v>
      </c>
      <c r="K1068" s="174">
        <v>60884855001630</v>
      </c>
      <c r="L1068" s="173" t="s">
        <v>1124</v>
      </c>
      <c r="M1068" s="173" t="s">
        <v>131</v>
      </c>
      <c r="N1068" s="173" t="s">
        <v>61</v>
      </c>
      <c r="O1068" s="87">
        <v>70</v>
      </c>
      <c r="P1068" s="173" t="s">
        <v>20</v>
      </c>
      <c r="Q1068" s="1" t="s">
        <v>1338</v>
      </c>
      <c r="R1068" s="175">
        <v>160</v>
      </c>
      <c r="S1068">
        <v>32</v>
      </c>
    </row>
    <row r="1069" spans="1:19" x14ac:dyDescent="0.25">
      <c r="A1069" s="87">
        <v>2019</v>
      </c>
      <c r="B1069" s="87">
        <v>8</v>
      </c>
      <c r="C1069" s="173" t="s">
        <v>16</v>
      </c>
      <c r="D1069" s="173" t="s">
        <v>21</v>
      </c>
      <c r="E1069" s="173" t="s">
        <v>18</v>
      </c>
      <c r="F1069" s="173" t="s">
        <v>16</v>
      </c>
      <c r="G1069" s="87" t="b">
        <v>1</v>
      </c>
      <c r="H1069" s="87" t="b">
        <v>0</v>
      </c>
      <c r="I1069" s="87" t="b">
        <v>0</v>
      </c>
      <c r="J1069" s="173" t="s">
        <v>470</v>
      </c>
      <c r="K1069" s="174">
        <v>60884855002289</v>
      </c>
      <c r="L1069" s="173" t="s">
        <v>920</v>
      </c>
      <c r="M1069" s="173" t="s">
        <v>739</v>
      </c>
      <c r="N1069" s="173" t="s">
        <v>55</v>
      </c>
      <c r="O1069" s="87">
        <v>62</v>
      </c>
      <c r="P1069" s="173" t="s">
        <v>27</v>
      </c>
      <c r="Q1069" s="1" t="s">
        <v>1343</v>
      </c>
      <c r="R1069" s="175">
        <v>7</v>
      </c>
      <c r="S1069">
        <v>7</v>
      </c>
    </row>
    <row r="1070" spans="1:19" x14ac:dyDescent="0.25">
      <c r="A1070" s="87">
        <v>2019</v>
      </c>
      <c r="B1070" s="87">
        <v>8</v>
      </c>
      <c r="C1070" s="173" t="s">
        <v>16</v>
      </c>
      <c r="D1070" s="173" t="s">
        <v>21</v>
      </c>
      <c r="E1070" s="173" t="s">
        <v>18</v>
      </c>
      <c r="F1070" s="173" t="s">
        <v>16</v>
      </c>
      <c r="G1070" s="87" t="b">
        <v>1</v>
      </c>
      <c r="H1070" s="87" t="b">
        <v>0</v>
      </c>
      <c r="I1070" s="87" t="b">
        <v>0</v>
      </c>
      <c r="J1070" s="173" t="s">
        <v>470</v>
      </c>
      <c r="K1070" s="174">
        <v>60884855002289</v>
      </c>
      <c r="L1070" s="173" t="s">
        <v>920</v>
      </c>
      <c r="M1070" s="173" t="s">
        <v>739</v>
      </c>
      <c r="N1070" s="173" t="s">
        <v>55</v>
      </c>
      <c r="O1070" s="87">
        <v>64</v>
      </c>
      <c r="P1070" s="173" t="s">
        <v>25</v>
      </c>
      <c r="Q1070" s="1" t="s">
        <v>1344</v>
      </c>
      <c r="R1070" s="175">
        <v>24</v>
      </c>
      <c r="S1070">
        <v>24</v>
      </c>
    </row>
    <row r="1071" spans="1:19" x14ac:dyDescent="0.25">
      <c r="A1071" s="87">
        <v>2019</v>
      </c>
      <c r="B1071" s="87">
        <v>8</v>
      </c>
      <c r="C1071" s="173" t="s">
        <v>16</v>
      </c>
      <c r="D1071" s="173" t="s">
        <v>21</v>
      </c>
      <c r="E1071" s="173" t="s">
        <v>18</v>
      </c>
      <c r="F1071" s="173" t="s">
        <v>16</v>
      </c>
      <c r="G1071" s="87" t="b">
        <v>1</v>
      </c>
      <c r="H1071" s="87" t="b">
        <v>0</v>
      </c>
      <c r="I1071" s="87" t="b">
        <v>0</v>
      </c>
      <c r="J1071" s="173" t="s">
        <v>470</v>
      </c>
      <c r="K1071" s="174">
        <v>60884855002289</v>
      </c>
      <c r="L1071" s="173" t="s">
        <v>920</v>
      </c>
      <c r="M1071" s="173" t="s">
        <v>739</v>
      </c>
      <c r="N1071" s="173" t="s">
        <v>55</v>
      </c>
      <c r="O1071" s="87">
        <v>70</v>
      </c>
      <c r="P1071" s="173" t="s">
        <v>20</v>
      </c>
      <c r="Q1071" s="1" t="s">
        <v>1338</v>
      </c>
      <c r="R1071" s="175">
        <v>300</v>
      </c>
      <c r="S1071">
        <v>60</v>
      </c>
    </row>
    <row r="1072" spans="1:19" x14ac:dyDescent="0.25">
      <c r="A1072" s="87">
        <v>2019</v>
      </c>
      <c r="B1072" s="87">
        <v>8</v>
      </c>
      <c r="C1072" s="173" t="s">
        <v>16</v>
      </c>
      <c r="D1072" s="173" t="s">
        <v>21</v>
      </c>
      <c r="E1072" s="173" t="s">
        <v>18</v>
      </c>
      <c r="F1072" s="173" t="s">
        <v>16</v>
      </c>
      <c r="G1072" s="87" t="b">
        <v>1</v>
      </c>
      <c r="H1072" s="87" t="b">
        <v>0</v>
      </c>
      <c r="I1072" s="87" t="b">
        <v>0</v>
      </c>
      <c r="J1072" s="173" t="s">
        <v>477</v>
      </c>
      <c r="K1072" s="174">
        <v>60922168000348</v>
      </c>
      <c r="L1072" s="173" t="s">
        <v>1125</v>
      </c>
      <c r="M1072" s="173" t="s">
        <v>131</v>
      </c>
      <c r="N1072" s="173" t="s">
        <v>61</v>
      </c>
      <c r="O1072" s="87">
        <v>62</v>
      </c>
      <c r="P1072" s="173" t="s">
        <v>27</v>
      </c>
      <c r="Q1072" s="1" t="s">
        <v>1343</v>
      </c>
      <c r="R1072" s="175">
        <v>9</v>
      </c>
      <c r="S1072">
        <v>9</v>
      </c>
    </row>
    <row r="1073" spans="1:19" x14ac:dyDescent="0.25">
      <c r="A1073" s="87">
        <v>2019</v>
      </c>
      <c r="B1073" s="87">
        <v>8</v>
      </c>
      <c r="C1073" s="173" t="s">
        <v>16</v>
      </c>
      <c r="D1073" s="173" t="s">
        <v>21</v>
      </c>
      <c r="E1073" s="173" t="s">
        <v>18</v>
      </c>
      <c r="F1073" s="173" t="s">
        <v>16</v>
      </c>
      <c r="G1073" s="87" t="b">
        <v>1</v>
      </c>
      <c r="H1073" s="87" t="b">
        <v>0</v>
      </c>
      <c r="I1073" s="87" t="b">
        <v>0</v>
      </c>
      <c r="J1073" s="173" t="s">
        <v>477</v>
      </c>
      <c r="K1073" s="174">
        <v>60922168000348</v>
      </c>
      <c r="L1073" s="173" t="s">
        <v>1125</v>
      </c>
      <c r="M1073" s="173" t="s">
        <v>131</v>
      </c>
      <c r="N1073" s="173" t="s">
        <v>61</v>
      </c>
      <c r="O1073" s="87">
        <v>64</v>
      </c>
      <c r="P1073" s="173" t="s">
        <v>25</v>
      </c>
      <c r="Q1073" s="1" t="s">
        <v>1344</v>
      </c>
      <c r="R1073" s="175">
        <v>4</v>
      </c>
      <c r="S1073">
        <v>4</v>
      </c>
    </row>
    <row r="1074" spans="1:19" x14ac:dyDescent="0.25">
      <c r="A1074" s="87">
        <v>2019</v>
      </c>
      <c r="B1074" s="87">
        <v>8</v>
      </c>
      <c r="C1074" s="173" t="s">
        <v>16</v>
      </c>
      <c r="D1074" s="173" t="s">
        <v>21</v>
      </c>
      <c r="E1074" s="173" t="s">
        <v>18</v>
      </c>
      <c r="F1074" s="173" t="s">
        <v>16</v>
      </c>
      <c r="G1074" s="87" t="b">
        <v>1</v>
      </c>
      <c r="H1074" s="87" t="b">
        <v>0</v>
      </c>
      <c r="I1074" s="87" t="b">
        <v>0</v>
      </c>
      <c r="J1074" s="173" t="s">
        <v>477</v>
      </c>
      <c r="K1074" s="174">
        <v>60922168000348</v>
      </c>
      <c r="L1074" s="173" t="s">
        <v>1125</v>
      </c>
      <c r="M1074" s="173" t="s">
        <v>131</v>
      </c>
      <c r="N1074" s="173" t="s">
        <v>61</v>
      </c>
      <c r="O1074" s="87">
        <v>70</v>
      </c>
      <c r="P1074" s="173" t="s">
        <v>20</v>
      </c>
      <c r="Q1074" s="1" t="s">
        <v>1338</v>
      </c>
      <c r="R1074" s="175">
        <v>210</v>
      </c>
      <c r="S1074">
        <v>42</v>
      </c>
    </row>
    <row r="1075" spans="1:19" x14ac:dyDescent="0.25">
      <c r="A1075" s="87">
        <v>2019</v>
      </c>
      <c r="B1075" s="87">
        <v>8</v>
      </c>
      <c r="C1075" s="173" t="s">
        <v>16</v>
      </c>
      <c r="D1075" s="173" t="s">
        <v>21</v>
      </c>
      <c r="E1075" s="173" t="s">
        <v>18</v>
      </c>
      <c r="F1075" s="173" t="s">
        <v>16</v>
      </c>
      <c r="G1075" s="87" t="b">
        <v>1</v>
      </c>
      <c r="H1075" s="87" t="b">
        <v>0</v>
      </c>
      <c r="I1075" s="87" t="b">
        <v>0</v>
      </c>
      <c r="J1075" s="173" t="s">
        <v>463</v>
      </c>
      <c r="K1075" s="174">
        <v>60922168000771</v>
      </c>
      <c r="L1075" s="173" t="s">
        <v>618</v>
      </c>
      <c r="M1075" s="173" t="s">
        <v>29</v>
      </c>
      <c r="N1075" s="173" t="s">
        <v>19</v>
      </c>
      <c r="O1075" s="87">
        <v>62</v>
      </c>
      <c r="P1075" s="173" t="s">
        <v>27</v>
      </c>
      <c r="Q1075" s="1" t="s">
        <v>1343</v>
      </c>
      <c r="R1075" s="175">
        <v>5</v>
      </c>
      <c r="S1075">
        <v>5</v>
      </c>
    </row>
    <row r="1076" spans="1:19" x14ac:dyDescent="0.25">
      <c r="A1076" s="87">
        <v>2019</v>
      </c>
      <c r="B1076" s="87">
        <v>8</v>
      </c>
      <c r="C1076" s="173" t="s">
        <v>16</v>
      </c>
      <c r="D1076" s="173" t="s">
        <v>21</v>
      </c>
      <c r="E1076" s="173" t="s">
        <v>18</v>
      </c>
      <c r="F1076" s="173" t="s">
        <v>16</v>
      </c>
      <c r="G1076" s="87" t="b">
        <v>1</v>
      </c>
      <c r="H1076" s="87" t="b">
        <v>0</v>
      </c>
      <c r="I1076" s="87" t="b">
        <v>0</v>
      </c>
      <c r="J1076" s="173" t="s">
        <v>463</v>
      </c>
      <c r="K1076" s="174">
        <v>60922168000771</v>
      </c>
      <c r="L1076" s="173" t="s">
        <v>618</v>
      </c>
      <c r="M1076" s="173" t="s">
        <v>29</v>
      </c>
      <c r="N1076" s="173" t="s">
        <v>19</v>
      </c>
      <c r="O1076" s="87">
        <v>70</v>
      </c>
      <c r="P1076" s="173" t="s">
        <v>20</v>
      </c>
      <c r="Q1076" s="1" t="s">
        <v>1345</v>
      </c>
      <c r="R1076" s="175">
        <v>100</v>
      </c>
      <c r="S1076">
        <v>10</v>
      </c>
    </row>
    <row r="1077" spans="1:19" x14ac:dyDescent="0.25">
      <c r="A1077" s="87">
        <v>2019</v>
      </c>
      <c r="B1077" s="87">
        <v>8</v>
      </c>
      <c r="C1077" s="173" t="s">
        <v>16</v>
      </c>
      <c r="D1077" s="173" t="s">
        <v>21</v>
      </c>
      <c r="E1077" s="173" t="s">
        <v>18</v>
      </c>
      <c r="F1077" s="173" t="s">
        <v>16</v>
      </c>
      <c r="G1077" s="87" t="b">
        <v>1</v>
      </c>
      <c r="H1077" s="87" t="b">
        <v>0</v>
      </c>
      <c r="I1077" s="87" t="b">
        <v>0</v>
      </c>
      <c r="J1077" s="173" t="s">
        <v>451</v>
      </c>
      <c r="K1077" s="174">
        <v>60922168000771</v>
      </c>
      <c r="L1077" s="173" t="s">
        <v>618</v>
      </c>
      <c r="M1077" s="173" t="s">
        <v>29</v>
      </c>
      <c r="N1077" s="173" t="s">
        <v>19</v>
      </c>
      <c r="O1077" s="87">
        <v>70</v>
      </c>
      <c r="P1077" s="173" t="s">
        <v>20</v>
      </c>
      <c r="Q1077" s="1" t="s">
        <v>1338</v>
      </c>
      <c r="R1077" s="175">
        <v>5</v>
      </c>
      <c r="S1077">
        <v>1</v>
      </c>
    </row>
    <row r="1078" spans="1:19" x14ac:dyDescent="0.25">
      <c r="A1078" s="87">
        <v>2019</v>
      </c>
      <c r="B1078" s="87">
        <v>8</v>
      </c>
      <c r="C1078" s="173" t="s">
        <v>16</v>
      </c>
      <c r="D1078" s="173" t="s">
        <v>21</v>
      </c>
      <c r="E1078" s="173" t="s">
        <v>18</v>
      </c>
      <c r="F1078" s="173" t="s">
        <v>16</v>
      </c>
      <c r="G1078" s="87" t="b">
        <v>1</v>
      </c>
      <c r="H1078" s="87" t="b">
        <v>0</v>
      </c>
      <c r="I1078" s="87" t="b">
        <v>0</v>
      </c>
      <c r="J1078" s="173" t="s">
        <v>450</v>
      </c>
      <c r="K1078" s="174">
        <v>60922168000771</v>
      </c>
      <c r="L1078" s="173" t="s">
        <v>618</v>
      </c>
      <c r="M1078" s="173" t="s">
        <v>29</v>
      </c>
      <c r="N1078" s="173" t="s">
        <v>19</v>
      </c>
      <c r="O1078" s="87">
        <v>73</v>
      </c>
      <c r="P1078" s="173" t="s">
        <v>26</v>
      </c>
      <c r="Q1078" s="1" t="s">
        <v>1339</v>
      </c>
      <c r="R1078" s="175">
        <v>4</v>
      </c>
      <c r="S1078">
        <v>2</v>
      </c>
    </row>
    <row r="1079" spans="1:19" x14ac:dyDescent="0.25">
      <c r="A1079" s="87">
        <v>2019</v>
      </c>
      <c r="B1079" s="87">
        <v>8</v>
      </c>
      <c r="C1079" s="173" t="s">
        <v>16</v>
      </c>
      <c r="D1079" s="173" t="s">
        <v>21</v>
      </c>
      <c r="E1079" s="173" t="s">
        <v>18</v>
      </c>
      <c r="F1079" s="173" t="s">
        <v>16</v>
      </c>
      <c r="G1079" s="87" t="b">
        <v>1</v>
      </c>
      <c r="H1079" s="87" t="b">
        <v>0</v>
      </c>
      <c r="I1079" s="87" t="b">
        <v>0</v>
      </c>
      <c r="J1079" s="173" t="s">
        <v>478</v>
      </c>
      <c r="K1079" s="174">
        <v>60922168004335</v>
      </c>
      <c r="L1079" s="173" t="s">
        <v>619</v>
      </c>
      <c r="M1079" s="173" t="s">
        <v>29</v>
      </c>
      <c r="N1079" s="173" t="s">
        <v>19</v>
      </c>
      <c r="O1079" s="87">
        <v>70</v>
      </c>
      <c r="P1079" s="173" t="s">
        <v>20</v>
      </c>
      <c r="Q1079" s="1" t="s">
        <v>1338</v>
      </c>
      <c r="R1079" s="175">
        <v>10</v>
      </c>
      <c r="S1079">
        <v>2</v>
      </c>
    </row>
    <row r="1080" spans="1:19" x14ac:dyDescent="0.25">
      <c r="A1080" s="87">
        <v>2019</v>
      </c>
      <c r="B1080" s="87">
        <v>8</v>
      </c>
      <c r="C1080" s="173" t="s">
        <v>16</v>
      </c>
      <c r="D1080" s="173" t="s">
        <v>21</v>
      </c>
      <c r="E1080" s="173" t="s">
        <v>18</v>
      </c>
      <c r="F1080" s="173" t="s">
        <v>16</v>
      </c>
      <c r="G1080" s="87" t="b">
        <v>1</v>
      </c>
      <c r="H1080" s="87" t="b">
        <v>0</v>
      </c>
      <c r="I1080" s="87" t="b">
        <v>0</v>
      </c>
      <c r="J1080" s="173" t="s">
        <v>500</v>
      </c>
      <c r="K1080" s="174">
        <v>60922168004335</v>
      </c>
      <c r="L1080" s="173" t="s">
        <v>619</v>
      </c>
      <c r="M1080" s="173" t="s">
        <v>29</v>
      </c>
      <c r="N1080" s="173" t="s">
        <v>19</v>
      </c>
      <c r="O1080" s="87">
        <v>70</v>
      </c>
      <c r="P1080" s="173" t="s">
        <v>20</v>
      </c>
      <c r="Q1080" s="1" t="s">
        <v>1338</v>
      </c>
      <c r="R1080" s="175">
        <v>50</v>
      </c>
      <c r="S1080">
        <v>10</v>
      </c>
    </row>
    <row r="1081" spans="1:19" x14ac:dyDescent="0.25">
      <c r="A1081" s="87">
        <v>2019</v>
      </c>
      <c r="B1081" s="87">
        <v>8</v>
      </c>
      <c r="C1081" s="173" t="s">
        <v>16</v>
      </c>
      <c r="D1081" s="173" t="s">
        <v>21</v>
      </c>
      <c r="E1081" s="173" t="s">
        <v>18</v>
      </c>
      <c r="F1081" s="173" t="s">
        <v>16</v>
      </c>
      <c r="G1081" s="87" t="b">
        <v>1</v>
      </c>
      <c r="H1081" s="87" t="b">
        <v>0</v>
      </c>
      <c r="I1081" s="87" t="b">
        <v>0</v>
      </c>
      <c r="J1081" s="173" t="s">
        <v>452</v>
      </c>
      <c r="K1081" s="174">
        <v>60922168005226</v>
      </c>
      <c r="L1081" s="173" t="s">
        <v>977</v>
      </c>
      <c r="M1081" s="173" t="s">
        <v>93</v>
      </c>
      <c r="N1081" s="173" t="s">
        <v>68</v>
      </c>
      <c r="O1081" s="87">
        <v>62</v>
      </c>
      <c r="P1081" s="173" t="s">
        <v>27</v>
      </c>
      <c r="Q1081" s="1" t="s">
        <v>1343</v>
      </c>
      <c r="R1081" s="175">
        <v>7</v>
      </c>
      <c r="S1081">
        <v>7</v>
      </c>
    </row>
    <row r="1082" spans="1:19" x14ac:dyDescent="0.25">
      <c r="A1082" s="87">
        <v>2019</v>
      </c>
      <c r="B1082" s="87">
        <v>8</v>
      </c>
      <c r="C1082" s="173" t="s">
        <v>16</v>
      </c>
      <c r="D1082" s="173" t="s">
        <v>21</v>
      </c>
      <c r="E1082" s="173" t="s">
        <v>18</v>
      </c>
      <c r="F1082" s="173" t="s">
        <v>16</v>
      </c>
      <c r="G1082" s="87" t="b">
        <v>1</v>
      </c>
      <c r="H1082" s="87" t="b">
        <v>0</v>
      </c>
      <c r="I1082" s="87" t="b">
        <v>0</v>
      </c>
      <c r="J1082" s="173" t="s">
        <v>450</v>
      </c>
      <c r="K1082" s="174">
        <v>60922168005226</v>
      </c>
      <c r="L1082" s="173" t="s">
        <v>977</v>
      </c>
      <c r="M1082" s="173" t="s">
        <v>93</v>
      </c>
      <c r="N1082" s="173" t="s">
        <v>68</v>
      </c>
      <c r="O1082" s="87">
        <v>64</v>
      </c>
      <c r="P1082" s="173" t="s">
        <v>25</v>
      </c>
      <c r="Q1082" s="1" t="s">
        <v>1344</v>
      </c>
      <c r="R1082" s="175">
        <v>2</v>
      </c>
      <c r="S1082">
        <v>2</v>
      </c>
    </row>
    <row r="1083" spans="1:19" x14ac:dyDescent="0.25">
      <c r="A1083" s="87">
        <v>2019</v>
      </c>
      <c r="B1083" s="87">
        <v>8</v>
      </c>
      <c r="C1083" s="173" t="s">
        <v>16</v>
      </c>
      <c r="D1083" s="173" t="s">
        <v>21</v>
      </c>
      <c r="E1083" s="173" t="s">
        <v>18</v>
      </c>
      <c r="F1083" s="173" t="s">
        <v>16</v>
      </c>
      <c r="G1083" s="87" t="b">
        <v>1</v>
      </c>
      <c r="H1083" s="87" t="b">
        <v>0</v>
      </c>
      <c r="I1083" s="87" t="b">
        <v>0</v>
      </c>
      <c r="J1083" s="173" t="s">
        <v>470</v>
      </c>
      <c r="K1083" s="174">
        <v>60961422000155</v>
      </c>
      <c r="L1083" s="173" t="s">
        <v>620</v>
      </c>
      <c r="M1083" s="173" t="s">
        <v>29</v>
      </c>
      <c r="N1083" s="173" t="s">
        <v>19</v>
      </c>
      <c r="O1083" s="87">
        <v>62</v>
      </c>
      <c r="P1083" s="173" t="s">
        <v>27</v>
      </c>
      <c r="Q1083" s="1" t="s">
        <v>1343</v>
      </c>
      <c r="R1083" s="175">
        <v>3</v>
      </c>
      <c r="S1083">
        <v>3</v>
      </c>
    </row>
    <row r="1084" spans="1:19" x14ac:dyDescent="0.25">
      <c r="A1084" s="87">
        <v>2019</v>
      </c>
      <c r="B1084" s="87">
        <v>8</v>
      </c>
      <c r="C1084" s="173" t="s">
        <v>16</v>
      </c>
      <c r="D1084" s="173" t="s">
        <v>21</v>
      </c>
      <c r="E1084" s="173" t="s">
        <v>18</v>
      </c>
      <c r="F1084" s="173" t="s">
        <v>16</v>
      </c>
      <c r="G1084" s="87" t="b">
        <v>1</v>
      </c>
      <c r="H1084" s="87" t="b">
        <v>0</v>
      </c>
      <c r="I1084" s="87" t="b">
        <v>0</v>
      </c>
      <c r="J1084" s="173" t="s">
        <v>450</v>
      </c>
      <c r="K1084" s="174">
        <v>60961422000155</v>
      </c>
      <c r="L1084" s="173" t="s">
        <v>620</v>
      </c>
      <c r="M1084" s="173" t="s">
        <v>29</v>
      </c>
      <c r="N1084" s="173" t="s">
        <v>19</v>
      </c>
      <c r="O1084" s="87">
        <v>64</v>
      </c>
      <c r="P1084" s="173" t="s">
        <v>25</v>
      </c>
      <c r="Q1084" s="1" t="s">
        <v>1344</v>
      </c>
      <c r="R1084" s="175">
        <v>3</v>
      </c>
      <c r="S1084">
        <v>3</v>
      </c>
    </row>
    <row r="1085" spans="1:19" x14ac:dyDescent="0.25">
      <c r="A1085" s="87">
        <v>2019</v>
      </c>
      <c r="B1085" s="87">
        <v>8</v>
      </c>
      <c r="C1085" s="173" t="s">
        <v>16</v>
      </c>
      <c r="D1085" s="173" t="s">
        <v>21</v>
      </c>
      <c r="E1085" s="173" t="s">
        <v>18</v>
      </c>
      <c r="F1085" s="173" t="s">
        <v>16</v>
      </c>
      <c r="G1085" s="87" t="b">
        <v>1</v>
      </c>
      <c r="H1085" s="87" t="b">
        <v>0</v>
      </c>
      <c r="I1085" s="87" t="b">
        <v>0</v>
      </c>
      <c r="J1085" s="173" t="s">
        <v>470</v>
      </c>
      <c r="K1085" s="174">
        <v>60961422000155</v>
      </c>
      <c r="L1085" s="173" t="s">
        <v>620</v>
      </c>
      <c r="M1085" s="173" t="s">
        <v>29</v>
      </c>
      <c r="N1085" s="173" t="s">
        <v>19</v>
      </c>
      <c r="O1085" s="87">
        <v>70</v>
      </c>
      <c r="P1085" s="173" t="s">
        <v>20</v>
      </c>
      <c r="Q1085" s="1" t="s">
        <v>1338</v>
      </c>
      <c r="R1085" s="175">
        <v>20</v>
      </c>
      <c r="S1085">
        <v>4</v>
      </c>
    </row>
    <row r="1086" spans="1:19" x14ac:dyDescent="0.25">
      <c r="A1086" s="87">
        <v>2019</v>
      </c>
      <c r="B1086" s="87">
        <v>8</v>
      </c>
      <c r="C1086" s="173" t="s">
        <v>16</v>
      </c>
      <c r="D1086" s="173" t="s">
        <v>21</v>
      </c>
      <c r="E1086" s="173" t="s">
        <v>18</v>
      </c>
      <c r="F1086" s="173" t="s">
        <v>16</v>
      </c>
      <c r="G1086" s="87" t="b">
        <v>1</v>
      </c>
      <c r="H1086" s="87" t="b">
        <v>0</v>
      </c>
      <c r="I1086" s="87" t="b">
        <v>0</v>
      </c>
      <c r="J1086" s="173" t="s">
        <v>463</v>
      </c>
      <c r="K1086" s="174">
        <v>60961968000106</v>
      </c>
      <c r="L1086" s="173" t="s">
        <v>621</v>
      </c>
      <c r="M1086" s="173" t="s">
        <v>29</v>
      </c>
      <c r="N1086" s="173" t="s">
        <v>19</v>
      </c>
      <c r="O1086" s="87">
        <v>62</v>
      </c>
      <c r="P1086" s="173" t="s">
        <v>27</v>
      </c>
      <c r="Q1086" s="1" t="s">
        <v>1343</v>
      </c>
      <c r="R1086" s="175">
        <v>10</v>
      </c>
      <c r="S1086">
        <v>10</v>
      </c>
    </row>
    <row r="1087" spans="1:19" x14ac:dyDescent="0.25">
      <c r="A1087" s="87">
        <v>2019</v>
      </c>
      <c r="B1087" s="87">
        <v>8</v>
      </c>
      <c r="C1087" s="173" t="s">
        <v>16</v>
      </c>
      <c r="D1087" s="173" t="s">
        <v>21</v>
      </c>
      <c r="E1087" s="173" t="s">
        <v>18</v>
      </c>
      <c r="F1087" s="173" t="s">
        <v>16</v>
      </c>
      <c r="G1087" s="87" t="b">
        <v>1</v>
      </c>
      <c r="H1087" s="87" t="b">
        <v>0</v>
      </c>
      <c r="I1087" s="87" t="b">
        <v>0</v>
      </c>
      <c r="J1087" s="173" t="s">
        <v>463</v>
      </c>
      <c r="K1087" s="174">
        <v>60961968000106</v>
      </c>
      <c r="L1087" s="173" t="s">
        <v>621</v>
      </c>
      <c r="M1087" s="173" t="s">
        <v>29</v>
      </c>
      <c r="N1087" s="173" t="s">
        <v>19</v>
      </c>
      <c r="O1087" s="87">
        <v>64</v>
      </c>
      <c r="P1087" s="173" t="s">
        <v>25</v>
      </c>
      <c r="Q1087" s="1" t="s">
        <v>1344</v>
      </c>
      <c r="R1087" s="175">
        <v>10</v>
      </c>
      <c r="S1087">
        <v>10</v>
      </c>
    </row>
    <row r="1088" spans="1:19" x14ac:dyDescent="0.25">
      <c r="A1088" s="87">
        <v>2019</v>
      </c>
      <c r="B1088" s="87">
        <v>8</v>
      </c>
      <c r="C1088" s="173" t="s">
        <v>16</v>
      </c>
      <c r="D1088" s="173" t="s">
        <v>21</v>
      </c>
      <c r="E1088" s="173" t="s">
        <v>18</v>
      </c>
      <c r="F1088" s="173" t="s">
        <v>16</v>
      </c>
      <c r="G1088" s="87" t="b">
        <v>1</v>
      </c>
      <c r="H1088" s="87" t="b">
        <v>0</v>
      </c>
      <c r="I1088" s="87" t="b">
        <v>0</v>
      </c>
      <c r="J1088" s="173" t="s">
        <v>463</v>
      </c>
      <c r="K1088" s="174">
        <v>60961968000106</v>
      </c>
      <c r="L1088" s="173" t="s">
        <v>621</v>
      </c>
      <c r="M1088" s="173" t="s">
        <v>29</v>
      </c>
      <c r="N1088" s="173" t="s">
        <v>19</v>
      </c>
      <c r="O1088" s="87">
        <v>70</v>
      </c>
      <c r="P1088" s="173" t="s">
        <v>20</v>
      </c>
      <c r="Q1088" s="1" t="s">
        <v>1338</v>
      </c>
      <c r="R1088" s="175">
        <v>1500</v>
      </c>
      <c r="S1088">
        <v>300</v>
      </c>
    </row>
    <row r="1089" spans="1:19" x14ac:dyDescent="0.25">
      <c r="A1089" s="87">
        <v>2019</v>
      </c>
      <c r="B1089" s="87">
        <v>8</v>
      </c>
      <c r="C1089" s="173" t="s">
        <v>16</v>
      </c>
      <c r="D1089" s="173" t="s">
        <v>21</v>
      </c>
      <c r="E1089" s="173" t="s">
        <v>18</v>
      </c>
      <c r="F1089" s="173" t="s">
        <v>16</v>
      </c>
      <c r="G1089" s="87" t="b">
        <v>1</v>
      </c>
      <c r="H1089" s="87" t="b">
        <v>0</v>
      </c>
      <c r="I1089" s="87" t="b">
        <v>0</v>
      </c>
      <c r="J1089" s="173" t="s">
        <v>463</v>
      </c>
      <c r="K1089" s="174">
        <v>60961968000459</v>
      </c>
      <c r="L1089" s="173" t="s">
        <v>622</v>
      </c>
      <c r="M1089" s="173" t="s">
        <v>29</v>
      </c>
      <c r="N1089" s="173" t="s">
        <v>19</v>
      </c>
      <c r="O1089" s="87">
        <v>62</v>
      </c>
      <c r="P1089" s="173" t="s">
        <v>27</v>
      </c>
      <c r="Q1089" s="1" t="s">
        <v>1343</v>
      </c>
      <c r="R1089" s="175">
        <v>5</v>
      </c>
      <c r="S1089">
        <v>5</v>
      </c>
    </row>
    <row r="1090" spans="1:19" x14ac:dyDescent="0.25">
      <c r="A1090" s="87">
        <v>2019</v>
      </c>
      <c r="B1090" s="87">
        <v>8</v>
      </c>
      <c r="C1090" s="173" t="s">
        <v>16</v>
      </c>
      <c r="D1090" s="173" t="s">
        <v>21</v>
      </c>
      <c r="E1090" s="173" t="s">
        <v>18</v>
      </c>
      <c r="F1090" s="173" t="s">
        <v>16</v>
      </c>
      <c r="G1090" s="87" t="b">
        <v>1</v>
      </c>
      <c r="H1090" s="87" t="b">
        <v>0</v>
      </c>
      <c r="I1090" s="87" t="b">
        <v>0</v>
      </c>
      <c r="J1090" s="173" t="s">
        <v>463</v>
      </c>
      <c r="K1090" s="174">
        <v>60961968000459</v>
      </c>
      <c r="L1090" s="173" t="s">
        <v>622</v>
      </c>
      <c r="M1090" s="173" t="s">
        <v>29</v>
      </c>
      <c r="N1090" s="173" t="s">
        <v>19</v>
      </c>
      <c r="O1090" s="87">
        <v>64</v>
      </c>
      <c r="P1090" s="173" t="s">
        <v>25</v>
      </c>
      <c r="Q1090" s="1" t="s">
        <v>1344</v>
      </c>
      <c r="R1090" s="175">
        <v>2</v>
      </c>
      <c r="S1090">
        <v>2</v>
      </c>
    </row>
    <row r="1091" spans="1:19" x14ac:dyDescent="0.25">
      <c r="A1091" s="87">
        <v>2019</v>
      </c>
      <c r="B1091" s="87">
        <v>8</v>
      </c>
      <c r="C1091" s="173" t="s">
        <v>16</v>
      </c>
      <c r="D1091" s="173" t="s">
        <v>21</v>
      </c>
      <c r="E1091" s="173" t="s">
        <v>18</v>
      </c>
      <c r="F1091" s="173" t="s">
        <v>16</v>
      </c>
      <c r="G1091" s="87" t="b">
        <v>1</v>
      </c>
      <c r="H1091" s="87" t="b">
        <v>0</v>
      </c>
      <c r="I1091" s="87" t="b">
        <v>0</v>
      </c>
      <c r="J1091" s="173" t="s">
        <v>463</v>
      </c>
      <c r="K1091" s="174">
        <v>60975737000232</v>
      </c>
      <c r="L1091" s="173" t="s">
        <v>624</v>
      </c>
      <c r="M1091" s="173" t="s">
        <v>29</v>
      </c>
      <c r="N1091" s="173" t="s">
        <v>19</v>
      </c>
      <c r="O1091" s="87">
        <v>62</v>
      </c>
      <c r="P1091" s="173" t="s">
        <v>27</v>
      </c>
      <c r="Q1091" s="1" t="s">
        <v>1343</v>
      </c>
      <c r="R1091" s="175">
        <v>4</v>
      </c>
      <c r="S1091">
        <v>4</v>
      </c>
    </row>
    <row r="1092" spans="1:19" x14ac:dyDescent="0.25">
      <c r="A1092" s="87">
        <v>2019</v>
      </c>
      <c r="B1092" s="87">
        <v>8</v>
      </c>
      <c r="C1092" s="173" t="s">
        <v>16</v>
      </c>
      <c r="D1092" s="173" t="s">
        <v>21</v>
      </c>
      <c r="E1092" s="173" t="s">
        <v>18</v>
      </c>
      <c r="F1092" s="173" t="s">
        <v>16</v>
      </c>
      <c r="G1092" s="87" t="b">
        <v>1</v>
      </c>
      <c r="H1092" s="87" t="b">
        <v>0</v>
      </c>
      <c r="I1092" s="87" t="b">
        <v>0</v>
      </c>
      <c r="J1092" s="173" t="s">
        <v>463</v>
      </c>
      <c r="K1092" s="174">
        <v>60975737000232</v>
      </c>
      <c r="L1092" s="173" t="s">
        <v>624</v>
      </c>
      <c r="M1092" s="173" t="s">
        <v>29</v>
      </c>
      <c r="N1092" s="173" t="s">
        <v>19</v>
      </c>
      <c r="O1092" s="87">
        <v>64</v>
      </c>
      <c r="P1092" s="173" t="s">
        <v>25</v>
      </c>
      <c r="Q1092" s="1" t="s">
        <v>1344</v>
      </c>
      <c r="R1092" s="175">
        <v>6</v>
      </c>
      <c r="S1092">
        <v>6</v>
      </c>
    </row>
    <row r="1093" spans="1:19" x14ac:dyDescent="0.25">
      <c r="A1093" s="87">
        <v>2019</v>
      </c>
      <c r="B1093" s="87">
        <v>8</v>
      </c>
      <c r="C1093" s="173" t="s">
        <v>16</v>
      </c>
      <c r="D1093" s="173" t="s">
        <v>21</v>
      </c>
      <c r="E1093" s="173" t="s">
        <v>18</v>
      </c>
      <c r="F1093" s="173" t="s">
        <v>16</v>
      </c>
      <c r="G1093" s="87" t="b">
        <v>1</v>
      </c>
      <c r="H1093" s="87" t="b">
        <v>0</v>
      </c>
      <c r="I1093" s="87" t="b">
        <v>0</v>
      </c>
      <c r="J1093" s="173" t="s">
        <v>463</v>
      </c>
      <c r="K1093" s="174">
        <v>60975737001204</v>
      </c>
      <c r="L1093" s="173" t="s">
        <v>625</v>
      </c>
      <c r="M1093" s="173" t="s">
        <v>29</v>
      </c>
      <c r="N1093" s="173" t="s">
        <v>19</v>
      </c>
      <c r="O1093" s="87">
        <v>64</v>
      </c>
      <c r="P1093" s="173" t="s">
        <v>25</v>
      </c>
      <c r="Q1093" s="1" t="s">
        <v>1344</v>
      </c>
      <c r="R1093" s="175">
        <v>4</v>
      </c>
      <c r="S1093">
        <v>4</v>
      </c>
    </row>
    <row r="1094" spans="1:19" x14ac:dyDescent="0.25">
      <c r="A1094" s="87">
        <v>2019</v>
      </c>
      <c r="B1094" s="87">
        <v>8</v>
      </c>
      <c r="C1094" s="173" t="s">
        <v>16</v>
      </c>
      <c r="D1094" s="173" t="s">
        <v>21</v>
      </c>
      <c r="E1094" s="173" t="s">
        <v>18</v>
      </c>
      <c r="F1094" s="173" t="s">
        <v>16</v>
      </c>
      <c r="G1094" s="87" t="b">
        <v>1</v>
      </c>
      <c r="H1094" s="87" t="b">
        <v>0</v>
      </c>
      <c r="I1094" s="87" t="b">
        <v>0</v>
      </c>
      <c r="J1094" s="173" t="s">
        <v>464</v>
      </c>
      <c r="K1094" s="174">
        <v>60975737003509</v>
      </c>
      <c r="L1094" s="173" t="s">
        <v>921</v>
      </c>
      <c r="M1094" s="173" t="s">
        <v>76</v>
      </c>
      <c r="N1094" s="173" t="s">
        <v>77</v>
      </c>
      <c r="O1094" s="87">
        <v>62</v>
      </c>
      <c r="P1094" s="173" t="s">
        <v>27</v>
      </c>
      <c r="Q1094" s="1" t="s">
        <v>1343</v>
      </c>
      <c r="R1094" s="175">
        <v>2</v>
      </c>
      <c r="S1094">
        <v>2</v>
      </c>
    </row>
    <row r="1095" spans="1:19" x14ac:dyDescent="0.25">
      <c r="A1095" s="87">
        <v>2019</v>
      </c>
      <c r="B1095" s="87">
        <v>8</v>
      </c>
      <c r="C1095" s="173" t="s">
        <v>16</v>
      </c>
      <c r="D1095" s="173" t="s">
        <v>21</v>
      </c>
      <c r="E1095" s="173" t="s">
        <v>18</v>
      </c>
      <c r="F1095" s="173" t="s">
        <v>16</v>
      </c>
      <c r="G1095" s="87" t="b">
        <v>1</v>
      </c>
      <c r="H1095" s="87" t="b">
        <v>0</v>
      </c>
      <c r="I1095" s="87" t="b">
        <v>0</v>
      </c>
      <c r="J1095" s="173" t="s">
        <v>477</v>
      </c>
      <c r="K1095" s="174">
        <v>60975737003509</v>
      </c>
      <c r="L1095" s="173" t="s">
        <v>921</v>
      </c>
      <c r="M1095" s="173" t="s">
        <v>76</v>
      </c>
      <c r="N1095" s="173" t="s">
        <v>77</v>
      </c>
      <c r="O1095" s="87">
        <v>62</v>
      </c>
      <c r="P1095" s="173" t="s">
        <v>27</v>
      </c>
      <c r="Q1095" s="1" t="s">
        <v>1343</v>
      </c>
      <c r="R1095" s="175">
        <v>2</v>
      </c>
      <c r="S1095">
        <v>2</v>
      </c>
    </row>
    <row r="1096" spans="1:19" x14ac:dyDescent="0.25">
      <c r="A1096" s="87">
        <v>2019</v>
      </c>
      <c r="B1096" s="87">
        <v>8</v>
      </c>
      <c r="C1096" s="173" t="s">
        <v>16</v>
      </c>
      <c r="D1096" s="173" t="s">
        <v>21</v>
      </c>
      <c r="E1096" s="173" t="s">
        <v>18</v>
      </c>
      <c r="F1096" s="173" t="s">
        <v>16</v>
      </c>
      <c r="G1096" s="87" t="b">
        <v>1</v>
      </c>
      <c r="H1096" s="87" t="b">
        <v>0</v>
      </c>
      <c r="I1096" s="87" t="b">
        <v>0</v>
      </c>
      <c r="J1096" s="173" t="s">
        <v>460</v>
      </c>
      <c r="K1096" s="174">
        <v>60975737003509</v>
      </c>
      <c r="L1096" s="173" t="s">
        <v>921</v>
      </c>
      <c r="M1096" s="173" t="s">
        <v>76</v>
      </c>
      <c r="N1096" s="173" t="s">
        <v>77</v>
      </c>
      <c r="O1096" s="87">
        <v>64</v>
      </c>
      <c r="P1096" s="173" t="s">
        <v>25</v>
      </c>
      <c r="Q1096" s="1" t="s">
        <v>1344</v>
      </c>
      <c r="R1096" s="175">
        <v>3</v>
      </c>
      <c r="S1096">
        <v>3</v>
      </c>
    </row>
    <row r="1097" spans="1:19" x14ac:dyDescent="0.25">
      <c r="A1097" s="87">
        <v>2019</v>
      </c>
      <c r="B1097" s="87">
        <v>8</v>
      </c>
      <c r="C1097" s="173" t="s">
        <v>16</v>
      </c>
      <c r="D1097" s="173" t="s">
        <v>21</v>
      </c>
      <c r="E1097" s="173" t="s">
        <v>18</v>
      </c>
      <c r="F1097" s="173" t="s">
        <v>16</v>
      </c>
      <c r="G1097" s="87" t="b">
        <v>1</v>
      </c>
      <c r="H1097" s="87" t="b">
        <v>0</v>
      </c>
      <c r="I1097" s="87" t="b">
        <v>0</v>
      </c>
      <c r="J1097" s="173" t="s">
        <v>464</v>
      </c>
      <c r="K1097" s="174">
        <v>60975737003509</v>
      </c>
      <c r="L1097" s="173" t="s">
        <v>921</v>
      </c>
      <c r="M1097" s="173" t="s">
        <v>76</v>
      </c>
      <c r="N1097" s="173" t="s">
        <v>77</v>
      </c>
      <c r="O1097" s="87">
        <v>64</v>
      </c>
      <c r="P1097" s="173" t="s">
        <v>25</v>
      </c>
      <c r="Q1097" s="1" t="s">
        <v>1344</v>
      </c>
      <c r="R1097" s="175">
        <v>3</v>
      </c>
      <c r="S1097">
        <v>3</v>
      </c>
    </row>
    <row r="1098" spans="1:19" x14ac:dyDescent="0.25">
      <c r="A1098" s="87">
        <v>2019</v>
      </c>
      <c r="B1098" s="87">
        <v>8</v>
      </c>
      <c r="C1098" s="173" t="s">
        <v>16</v>
      </c>
      <c r="D1098" s="173" t="s">
        <v>21</v>
      </c>
      <c r="E1098" s="173" t="s">
        <v>18</v>
      </c>
      <c r="F1098" s="173" t="s">
        <v>16</v>
      </c>
      <c r="G1098" s="87" t="b">
        <v>1</v>
      </c>
      <c r="H1098" s="87" t="b">
        <v>0</v>
      </c>
      <c r="I1098" s="87" t="b">
        <v>0</v>
      </c>
      <c r="J1098" s="173" t="s">
        <v>463</v>
      </c>
      <c r="K1098" s="174">
        <v>60975737005110</v>
      </c>
      <c r="L1098" s="173" t="s">
        <v>626</v>
      </c>
      <c r="M1098" s="173" t="s">
        <v>29</v>
      </c>
      <c r="N1098" s="173" t="s">
        <v>19</v>
      </c>
      <c r="O1098" s="87">
        <v>64</v>
      </c>
      <c r="P1098" s="173" t="s">
        <v>25</v>
      </c>
      <c r="Q1098" s="1" t="s">
        <v>1344</v>
      </c>
      <c r="R1098" s="175">
        <v>1</v>
      </c>
      <c r="S1098">
        <v>1</v>
      </c>
    </row>
    <row r="1099" spans="1:19" x14ac:dyDescent="0.25">
      <c r="A1099" s="87">
        <v>2019</v>
      </c>
      <c r="B1099" s="87">
        <v>8</v>
      </c>
      <c r="C1099" s="173" t="s">
        <v>16</v>
      </c>
      <c r="D1099" s="173" t="s">
        <v>21</v>
      </c>
      <c r="E1099" s="173" t="s">
        <v>18</v>
      </c>
      <c r="F1099" s="173" t="s">
        <v>16</v>
      </c>
      <c r="G1099" s="87" t="b">
        <v>1</v>
      </c>
      <c r="H1099" s="87" t="b">
        <v>0</v>
      </c>
      <c r="I1099" s="87" t="b">
        <v>0</v>
      </c>
      <c r="J1099" s="173" t="s">
        <v>450</v>
      </c>
      <c r="K1099" s="174">
        <v>61213674000240</v>
      </c>
      <c r="L1099" s="173" t="s">
        <v>629</v>
      </c>
      <c r="M1099" s="173" t="s">
        <v>29</v>
      </c>
      <c r="N1099" s="173" t="s">
        <v>19</v>
      </c>
      <c r="O1099" s="87">
        <v>62</v>
      </c>
      <c r="P1099" s="173" t="s">
        <v>27</v>
      </c>
      <c r="Q1099" s="1" t="s">
        <v>1343</v>
      </c>
      <c r="R1099" s="175">
        <v>3</v>
      </c>
      <c r="S1099">
        <v>3</v>
      </c>
    </row>
    <row r="1100" spans="1:19" x14ac:dyDescent="0.25">
      <c r="A1100" s="87">
        <v>2019</v>
      </c>
      <c r="B1100" s="87">
        <v>8</v>
      </c>
      <c r="C1100" s="173" t="s">
        <v>16</v>
      </c>
      <c r="D1100" s="173" t="s">
        <v>21</v>
      </c>
      <c r="E1100" s="173" t="s">
        <v>18</v>
      </c>
      <c r="F1100" s="173" t="s">
        <v>16</v>
      </c>
      <c r="G1100" s="87" t="b">
        <v>1</v>
      </c>
      <c r="H1100" s="87" t="b">
        <v>0</v>
      </c>
      <c r="I1100" s="87" t="b">
        <v>0</v>
      </c>
      <c r="J1100" s="173" t="s">
        <v>463</v>
      </c>
      <c r="K1100" s="174">
        <v>61213674000240</v>
      </c>
      <c r="L1100" s="173" t="s">
        <v>629</v>
      </c>
      <c r="M1100" s="173" t="s">
        <v>29</v>
      </c>
      <c r="N1100" s="173" t="s">
        <v>19</v>
      </c>
      <c r="O1100" s="87">
        <v>62</v>
      </c>
      <c r="P1100" s="173" t="s">
        <v>27</v>
      </c>
      <c r="Q1100" s="1" t="s">
        <v>1343</v>
      </c>
      <c r="R1100" s="175">
        <v>1</v>
      </c>
      <c r="S1100">
        <v>1</v>
      </c>
    </row>
    <row r="1101" spans="1:19" x14ac:dyDescent="0.25">
      <c r="A1101" s="87">
        <v>2019</v>
      </c>
      <c r="B1101" s="87">
        <v>8</v>
      </c>
      <c r="C1101" s="173" t="s">
        <v>16</v>
      </c>
      <c r="D1101" s="173" t="s">
        <v>21</v>
      </c>
      <c r="E1101" s="173" t="s">
        <v>18</v>
      </c>
      <c r="F1101" s="173" t="s">
        <v>16</v>
      </c>
      <c r="G1101" s="87" t="b">
        <v>1</v>
      </c>
      <c r="H1101" s="87" t="b">
        <v>0</v>
      </c>
      <c r="I1101" s="87" t="b">
        <v>0</v>
      </c>
      <c r="J1101" s="173" t="s">
        <v>463</v>
      </c>
      <c r="K1101" s="174">
        <v>61213674000240</v>
      </c>
      <c r="L1101" s="173" t="s">
        <v>629</v>
      </c>
      <c r="M1101" s="173" t="s">
        <v>29</v>
      </c>
      <c r="N1101" s="173" t="s">
        <v>19</v>
      </c>
      <c r="O1101" s="87">
        <v>64</v>
      </c>
      <c r="P1101" s="173" t="s">
        <v>25</v>
      </c>
      <c r="Q1101" s="1" t="s">
        <v>1344</v>
      </c>
      <c r="R1101" s="175">
        <v>5</v>
      </c>
      <c r="S1101">
        <v>5</v>
      </c>
    </row>
    <row r="1102" spans="1:19" x14ac:dyDescent="0.25">
      <c r="A1102" s="87">
        <v>2019</v>
      </c>
      <c r="B1102" s="87">
        <v>8</v>
      </c>
      <c r="C1102" s="173" t="s">
        <v>16</v>
      </c>
      <c r="D1102" s="173" t="s">
        <v>21</v>
      </c>
      <c r="E1102" s="173" t="s">
        <v>18</v>
      </c>
      <c r="F1102" s="173" t="s">
        <v>16</v>
      </c>
      <c r="G1102" s="87" t="b">
        <v>1</v>
      </c>
      <c r="H1102" s="87" t="b">
        <v>0</v>
      </c>
      <c r="I1102" s="87" t="b">
        <v>0</v>
      </c>
      <c r="J1102" s="173" t="s">
        <v>450</v>
      </c>
      <c r="K1102" s="174">
        <v>61213674000240</v>
      </c>
      <c r="L1102" s="173" t="s">
        <v>629</v>
      </c>
      <c r="M1102" s="173" t="s">
        <v>29</v>
      </c>
      <c r="N1102" s="173" t="s">
        <v>19</v>
      </c>
      <c r="O1102" s="87">
        <v>73</v>
      </c>
      <c r="P1102" s="173" t="s">
        <v>26</v>
      </c>
      <c r="Q1102" s="1" t="s">
        <v>1340</v>
      </c>
      <c r="R1102" s="175">
        <v>3</v>
      </c>
      <c r="S1102">
        <v>3</v>
      </c>
    </row>
    <row r="1103" spans="1:19" x14ac:dyDescent="0.25">
      <c r="A1103" s="87">
        <v>2019</v>
      </c>
      <c r="B1103" s="87">
        <v>8</v>
      </c>
      <c r="C1103" s="173" t="s">
        <v>16</v>
      </c>
      <c r="D1103" s="173" t="s">
        <v>21</v>
      </c>
      <c r="E1103" s="173" t="s">
        <v>18</v>
      </c>
      <c r="F1103" s="173" t="s">
        <v>16</v>
      </c>
      <c r="G1103" s="87" t="b">
        <v>1</v>
      </c>
      <c r="H1103" s="87" t="b">
        <v>0</v>
      </c>
      <c r="I1103" s="87" t="b">
        <v>0</v>
      </c>
      <c r="J1103" s="173" t="s">
        <v>463</v>
      </c>
      <c r="K1103" s="174">
        <v>61213674000240</v>
      </c>
      <c r="L1103" s="173" t="s">
        <v>629</v>
      </c>
      <c r="M1103" s="173" t="s">
        <v>29</v>
      </c>
      <c r="N1103" s="173" t="s">
        <v>19</v>
      </c>
      <c r="O1103" s="87">
        <v>73</v>
      </c>
      <c r="P1103" s="173" t="s">
        <v>26</v>
      </c>
      <c r="Q1103" s="1" t="s">
        <v>1339</v>
      </c>
      <c r="R1103" s="175">
        <v>24</v>
      </c>
      <c r="S1103">
        <v>12</v>
      </c>
    </row>
    <row r="1104" spans="1:19" x14ac:dyDescent="0.25">
      <c r="A1104" s="87">
        <v>2019</v>
      </c>
      <c r="B1104" s="87">
        <v>8</v>
      </c>
      <c r="C1104" s="173" t="s">
        <v>16</v>
      </c>
      <c r="D1104" s="173" t="s">
        <v>21</v>
      </c>
      <c r="E1104" s="173" t="s">
        <v>18</v>
      </c>
      <c r="F1104" s="173" t="s">
        <v>16</v>
      </c>
      <c r="G1104" s="87" t="b">
        <v>1</v>
      </c>
      <c r="H1104" s="87" t="b">
        <v>0</v>
      </c>
      <c r="I1104" s="87" t="b">
        <v>0</v>
      </c>
      <c r="J1104" s="173" t="s">
        <v>463</v>
      </c>
      <c r="K1104" s="174">
        <v>61213674000240</v>
      </c>
      <c r="L1104" s="173" t="s">
        <v>629</v>
      </c>
      <c r="M1104" s="173" t="s">
        <v>29</v>
      </c>
      <c r="N1104" s="173" t="s">
        <v>19</v>
      </c>
      <c r="O1104" s="87">
        <v>73</v>
      </c>
      <c r="P1104" s="173" t="s">
        <v>26</v>
      </c>
      <c r="Q1104" s="1" t="s">
        <v>1342</v>
      </c>
      <c r="R1104" s="175">
        <v>44</v>
      </c>
      <c r="S1104">
        <v>11</v>
      </c>
    </row>
    <row r="1105" spans="1:19" x14ac:dyDescent="0.25">
      <c r="A1105" s="87">
        <v>2019</v>
      </c>
      <c r="B1105" s="87">
        <v>8</v>
      </c>
      <c r="C1105" s="173" t="s">
        <v>16</v>
      </c>
      <c r="D1105" s="173" t="s">
        <v>21</v>
      </c>
      <c r="E1105" s="173" t="s">
        <v>18</v>
      </c>
      <c r="F1105" s="173" t="s">
        <v>16</v>
      </c>
      <c r="G1105" s="87" t="b">
        <v>1</v>
      </c>
      <c r="H1105" s="87" t="b">
        <v>0</v>
      </c>
      <c r="I1105" s="87" t="b">
        <v>0</v>
      </c>
      <c r="J1105" s="173" t="s">
        <v>463</v>
      </c>
      <c r="K1105" s="174">
        <v>61213674000240</v>
      </c>
      <c r="L1105" s="173" t="s">
        <v>629</v>
      </c>
      <c r="M1105" s="173" t="s">
        <v>29</v>
      </c>
      <c r="N1105" s="173" t="s">
        <v>19</v>
      </c>
      <c r="O1105" s="87">
        <v>73</v>
      </c>
      <c r="P1105" s="173" t="s">
        <v>26</v>
      </c>
      <c r="Q1105" s="1" t="s">
        <v>1340</v>
      </c>
      <c r="R1105" s="175">
        <v>6</v>
      </c>
      <c r="S1105">
        <v>6</v>
      </c>
    </row>
    <row r="1106" spans="1:19" x14ac:dyDescent="0.25">
      <c r="A1106" s="87">
        <v>2019</v>
      </c>
      <c r="B1106" s="87">
        <v>8</v>
      </c>
      <c r="C1106" s="173" t="s">
        <v>16</v>
      </c>
      <c r="D1106" s="173" t="s">
        <v>21</v>
      </c>
      <c r="E1106" s="173" t="s">
        <v>18</v>
      </c>
      <c r="F1106" s="173" t="s">
        <v>16</v>
      </c>
      <c r="G1106" s="87" t="b">
        <v>1</v>
      </c>
      <c r="H1106" s="87" t="b">
        <v>0</v>
      </c>
      <c r="I1106" s="87" t="b">
        <v>0</v>
      </c>
      <c r="J1106" s="173" t="s">
        <v>1330</v>
      </c>
      <c r="K1106" s="174">
        <v>61590410000124</v>
      </c>
      <c r="L1106" s="173" t="s">
        <v>630</v>
      </c>
      <c r="M1106" s="173" t="s">
        <v>29</v>
      </c>
      <c r="N1106" s="173" t="s">
        <v>19</v>
      </c>
      <c r="O1106" s="87">
        <v>62</v>
      </c>
      <c r="P1106" s="173" t="s">
        <v>27</v>
      </c>
      <c r="Q1106" s="1" t="s">
        <v>1343</v>
      </c>
      <c r="R1106" s="175">
        <v>34</v>
      </c>
      <c r="S1106">
        <v>34</v>
      </c>
    </row>
    <row r="1107" spans="1:19" x14ac:dyDescent="0.25">
      <c r="A1107" s="87">
        <v>2019</v>
      </c>
      <c r="B1107" s="87">
        <v>8</v>
      </c>
      <c r="C1107" s="173" t="s">
        <v>16</v>
      </c>
      <c r="D1107" s="173" t="s">
        <v>21</v>
      </c>
      <c r="E1107" s="173" t="s">
        <v>18</v>
      </c>
      <c r="F1107" s="173" t="s">
        <v>16</v>
      </c>
      <c r="G1107" s="87" t="b">
        <v>1</v>
      </c>
      <c r="H1107" s="87" t="b">
        <v>0</v>
      </c>
      <c r="I1107" s="87" t="b">
        <v>0</v>
      </c>
      <c r="J1107" s="173" t="s">
        <v>463</v>
      </c>
      <c r="K1107" s="174">
        <v>61590410000124</v>
      </c>
      <c r="L1107" s="173" t="s">
        <v>630</v>
      </c>
      <c r="M1107" s="173" t="s">
        <v>29</v>
      </c>
      <c r="N1107" s="173" t="s">
        <v>19</v>
      </c>
      <c r="O1107" s="87">
        <v>62</v>
      </c>
      <c r="P1107" s="173" t="s">
        <v>27</v>
      </c>
      <c r="Q1107" s="1" t="s">
        <v>1343</v>
      </c>
      <c r="R1107" s="175">
        <v>47</v>
      </c>
      <c r="S1107">
        <v>47</v>
      </c>
    </row>
    <row r="1108" spans="1:19" x14ac:dyDescent="0.25">
      <c r="A1108" s="87">
        <v>2019</v>
      </c>
      <c r="B1108" s="87">
        <v>8</v>
      </c>
      <c r="C1108" s="173" t="s">
        <v>16</v>
      </c>
      <c r="D1108" s="173" t="s">
        <v>21</v>
      </c>
      <c r="E1108" s="173" t="s">
        <v>18</v>
      </c>
      <c r="F1108" s="173" t="s">
        <v>16</v>
      </c>
      <c r="G1108" s="87" t="b">
        <v>1</v>
      </c>
      <c r="H1108" s="87" t="b">
        <v>0</v>
      </c>
      <c r="I1108" s="87" t="b">
        <v>0</v>
      </c>
      <c r="J1108" s="173" t="s">
        <v>1330</v>
      </c>
      <c r="K1108" s="174">
        <v>61590410000124</v>
      </c>
      <c r="L1108" s="173" t="s">
        <v>630</v>
      </c>
      <c r="M1108" s="173" t="s">
        <v>29</v>
      </c>
      <c r="N1108" s="173" t="s">
        <v>19</v>
      </c>
      <c r="O1108" s="87">
        <v>70</v>
      </c>
      <c r="P1108" s="173" t="s">
        <v>20</v>
      </c>
      <c r="Q1108" s="1" t="s">
        <v>1338</v>
      </c>
      <c r="R1108" s="175">
        <v>2670</v>
      </c>
      <c r="S1108">
        <v>534</v>
      </c>
    </row>
    <row r="1109" spans="1:19" x14ac:dyDescent="0.25">
      <c r="A1109" s="87">
        <v>2019</v>
      </c>
      <c r="B1109" s="87">
        <v>8</v>
      </c>
      <c r="C1109" s="173" t="s">
        <v>16</v>
      </c>
      <c r="D1109" s="173" t="s">
        <v>21</v>
      </c>
      <c r="E1109" s="173" t="s">
        <v>18</v>
      </c>
      <c r="F1109" s="173" t="s">
        <v>16</v>
      </c>
      <c r="G1109" s="87" t="b">
        <v>1</v>
      </c>
      <c r="H1109" s="87" t="b">
        <v>0</v>
      </c>
      <c r="I1109" s="87" t="b">
        <v>0</v>
      </c>
      <c r="J1109" s="173" t="s">
        <v>468</v>
      </c>
      <c r="K1109" s="174">
        <v>61590410000558</v>
      </c>
      <c r="L1109" s="173" t="s">
        <v>922</v>
      </c>
      <c r="M1109" s="173" t="s">
        <v>739</v>
      </c>
      <c r="N1109" s="173" t="s">
        <v>55</v>
      </c>
      <c r="O1109" s="87">
        <v>73</v>
      </c>
      <c r="P1109" s="173" t="s">
        <v>26</v>
      </c>
      <c r="Q1109" s="1" t="s">
        <v>1342</v>
      </c>
      <c r="R1109" s="175">
        <v>16</v>
      </c>
      <c r="S1109">
        <v>4</v>
      </c>
    </row>
    <row r="1110" spans="1:19" x14ac:dyDescent="0.25">
      <c r="A1110" s="87">
        <v>2019</v>
      </c>
      <c r="B1110" s="87">
        <v>8</v>
      </c>
      <c r="C1110" s="173" t="s">
        <v>16</v>
      </c>
      <c r="D1110" s="173" t="s">
        <v>21</v>
      </c>
      <c r="E1110" s="173" t="s">
        <v>18</v>
      </c>
      <c r="F1110" s="173" t="s">
        <v>16</v>
      </c>
      <c r="G1110" s="87" t="b">
        <v>1</v>
      </c>
      <c r="H1110" s="87" t="b">
        <v>0</v>
      </c>
      <c r="I1110" s="87" t="b">
        <v>0</v>
      </c>
      <c r="J1110" s="173" t="s">
        <v>1330</v>
      </c>
      <c r="K1110" s="174">
        <v>61590410001287</v>
      </c>
      <c r="L1110" s="173" t="s">
        <v>923</v>
      </c>
      <c r="M1110" s="173" t="s">
        <v>739</v>
      </c>
      <c r="N1110" s="173" t="s">
        <v>55</v>
      </c>
      <c r="O1110" s="87">
        <v>70</v>
      </c>
      <c r="P1110" s="173" t="s">
        <v>20</v>
      </c>
      <c r="Q1110" s="1" t="s">
        <v>1338</v>
      </c>
      <c r="R1110" s="175">
        <v>2250</v>
      </c>
      <c r="S1110">
        <v>450</v>
      </c>
    </row>
    <row r="1111" spans="1:19" x14ac:dyDescent="0.25">
      <c r="A1111" s="87">
        <v>2019</v>
      </c>
      <c r="B1111" s="87">
        <v>8</v>
      </c>
      <c r="C1111" s="173" t="s">
        <v>16</v>
      </c>
      <c r="D1111" s="173" t="s">
        <v>21</v>
      </c>
      <c r="E1111" s="173" t="s">
        <v>18</v>
      </c>
      <c r="F1111" s="173" t="s">
        <v>16</v>
      </c>
      <c r="G1111" s="87" t="b">
        <v>1</v>
      </c>
      <c r="H1111" s="87" t="b">
        <v>0</v>
      </c>
      <c r="I1111" s="87" t="b">
        <v>0</v>
      </c>
      <c r="J1111" s="173" t="s">
        <v>1330</v>
      </c>
      <c r="K1111" s="174">
        <v>61599908000158</v>
      </c>
      <c r="L1111" s="173" t="s">
        <v>631</v>
      </c>
      <c r="M1111" s="173" t="s">
        <v>29</v>
      </c>
      <c r="N1111" s="173" t="s">
        <v>19</v>
      </c>
      <c r="O1111" s="87">
        <v>62</v>
      </c>
      <c r="P1111" s="173" t="s">
        <v>27</v>
      </c>
      <c r="Q1111" s="1" t="s">
        <v>1343</v>
      </c>
      <c r="R1111" s="175">
        <v>75</v>
      </c>
      <c r="S1111">
        <v>75</v>
      </c>
    </row>
    <row r="1112" spans="1:19" x14ac:dyDescent="0.25">
      <c r="A1112" s="87">
        <v>2019</v>
      </c>
      <c r="B1112" s="87">
        <v>8</v>
      </c>
      <c r="C1112" s="173" t="s">
        <v>16</v>
      </c>
      <c r="D1112" s="173" t="s">
        <v>21</v>
      </c>
      <c r="E1112" s="173" t="s">
        <v>18</v>
      </c>
      <c r="F1112" s="173" t="s">
        <v>16</v>
      </c>
      <c r="G1112" s="87" t="b">
        <v>1</v>
      </c>
      <c r="H1112" s="87" t="b">
        <v>0</v>
      </c>
      <c r="I1112" s="87" t="b">
        <v>0</v>
      </c>
      <c r="J1112" s="173" t="s">
        <v>1330</v>
      </c>
      <c r="K1112" s="174">
        <v>61599908000158</v>
      </c>
      <c r="L1112" s="173" t="s">
        <v>631</v>
      </c>
      <c r="M1112" s="173" t="s">
        <v>29</v>
      </c>
      <c r="N1112" s="173" t="s">
        <v>19</v>
      </c>
      <c r="O1112" s="87">
        <v>64</v>
      </c>
      <c r="P1112" s="173" t="s">
        <v>25</v>
      </c>
      <c r="Q1112" s="1" t="s">
        <v>1344</v>
      </c>
      <c r="R1112" s="175">
        <v>20</v>
      </c>
      <c r="S1112">
        <v>20</v>
      </c>
    </row>
    <row r="1113" spans="1:19" x14ac:dyDescent="0.25">
      <c r="A1113" s="87">
        <v>2019</v>
      </c>
      <c r="B1113" s="87">
        <v>8</v>
      </c>
      <c r="C1113" s="173" t="s">
        <v>16</v>
      </c>
      <c r="D1113" s="173" t="s">
        <v>21</v>
      </c>
      <c r="E1113" s="173" t="s">
        <v>18</v>
      </c>
      <c r="F1113" s="173" t="s">
        <v>16</v>
      </c>
      <c r="G1113" s="87" t="b">
        <v>1</v>
      </c>
      <c r="H1113" s="87" t="b">
        <v>0</v>
      </c>
      <c r="I1113" s="87" t="b">
        <v>0</v>
      </c>
      <c r="J1113" s="173" t="s">
        <v>463</v>
      </c>
      <c r="K1113" s="174">
        <v>62779145000190</v>
      </c>
      <c r="L1113" s="173" t="s">
        <v>634</v>
      </c>
      <c r="M1113" s="173" t="s">
        <v>29</v>
      </c>
      <c r="N1113" s="173" t="s">
        <v>19</v>
      </c>
      <c r="O1113" s="87">
        <v>64</v>
      </c>
      <c r="P1113" s="173" t="s">
        <v>25</v>
      </c>
      <c r="Q1113" s="1" t="s">
        <v>1344</v>
      </c>
      <c r="R1113" s="175">
        <v>2</v>
      </c>
      <c r="S1113">
        <v>2</v>
      </c>
    </row>
    <row r="1114" spans="1:19" x14ac:dyDescent="0.25">
      <c r="A1114" s="87">
        <v>2019</v>
      </c>
      <c r="B1114" s="87">
        <v>8</v>
      </c>
      <c r="C1114" s="173" t="s">
        <v>16</v>
      </c>
      <c r="D1114" s="173" t="s">
        <v>21</v>
      </c>
      <c r="E1114" s="173" t="s">
        <v>18</v>
      </c>
      <c r="F1114" s="173" t="s">
        <v>16</v>
      </c>
      <c r="G1114" s="87" t="b">
        <v>1</v>
      </c>
      <c r="H1114" s="87" t="b">
        <v>0</v>
      </c>
      <c r="I1114" s="87" t="b">
        <v>0</v>
      </c>
      <c r="J1114" s="173" t="s">
        <v>470</v>
      </c>
      <c r="K1114" s="174">
        <v>63025530008270</v>
      </c>
      <c r="L1114" s="173" t="s">
        <v>733</v>
      </c>
      <c r="M1114" s="173" t="s">
        <v>37</v>
      </c>
      <c r="N1114" s="173" t="s">
        <v>19</v>
      </c>
      <c r="O1114" s="87">
        <v>70</v>
      </c>
      <c r="P1114" s="173" t="s">
        <v>20</v>
      </c>
      <c r="Q1114" s="1" t="s">
        <v>1338</v>
      </c>
      <c r="R1114" s="175">
        <v>5</v>
      </c>
      <c r="S1114">
        <v>1</v>
      </c>
    </row>
    <row r="1115" spans="1:19" x14ac:dyDescent="0.25">
      <c r="A1115" s="87">
        <v>2019</v>
      </c>
      <c r="B1115" s="87">
        <v>8</v>
      </c>
      <c r="C1115" s="173" t="s">
        <v>16</v>
      </c>
      <c r="D1115" s="173" t="s">
        <v>21</v>
      </c>
      <c r="E1115" s="173" t="s">
        <v>18</v>
      </c>
      <c r="F1115" s="173" t="s">
        <v>16</v>
      </c>
      <c r="G1115" s="87" t="b">
        <v>1</v>
      </c>
      <c r="H1115" s="87" t="b">
        <v>0</v>
      </c>
      <c r="I1115" s="87" t="b">
        <v>0</v>
      </c>
      <c r="J1115" s="173" t="s">
        <v>463</v>
      </c>
      <c r="K1115" s="174">
        <v>67185694000150</v>
      </c>
      <c r="L1115" s="173" t="s">
        <v>635</v>
      </c>
      <c r="M1115" s="173" t="s">
        <v>29</v>
      </c>
      <c r="N1115" s="173" t="s">
        <v>19</v>
      </c>
      <c r="O1115" s="87">
        <v>64</v>
      </c>
      <c r="P1115" s="173" t="s">
        <v>25</v>
      </c>
      <c r="Q1115" s="1" t="s">
        <v>1344</v>
      </c>
      <c r="R1115" s="175">
        <v>2</v>
      </c>
      <c r="S1115">
        <v>2</v>
      </c>
    </row>
    <row r="1116" spans="1:19" x14ac:dyDescent="0.25">
      <c r="A1116" s="87">
        <v>2019</v>
      </c>
      <c r="B1116" s="87">
        <v>8</v>
      </c>
      <c r="C1116" s="173" t="s">
        <v>16</v>
      </c>
      <c r="D1116" s="173" t="s">
        <v>21</v>
      </c>
      <c r="E1116" s="173" t="s">
        <v>18</v>
      </c>
      <c r="F1116" s="173" t="s">
        <v>16</v>
      </c>
      <c r="G1116" s="87" t="b">
        <v>1</v>
      </c>
      <c r="H1116" s="87" t="b">
        <v>0</v>
      </c>
      <c r="I1116" s="87" t="b">
        <v>0</v>
      </c>
      <c r="J1116" s="173" t="s">
        <v>470</v>
      </c>
      <c r="K1116" s="174">
        <v>68204486000113</v>
      </c>
      <c r="L1116" s="173" t="s">
        <v>734</v>
      </c>
      <c r="M1116" s="173" t="s">
        <v>46</v>
      </c>
      <c r="N1116" s="173" t="s">
        <v>19</v>
      </c>
      <c r="O1116" s="87">
        <v>70</v>
      </c>
      <c r="P1116" s="173" t="s">
        <v>20</v>
      </c>
      <c r="Q1116" s="1" t="s">
        <v>1338</v>
      </c>
      <c r="R1116" s="175">
        <v>150</v>
      </c>
      <c r="S1116">
        <v>30</v>
      </c>
    </row>
    <row r="1117" spans="1:19" x14ac:dyDescent="0.25">
      <c r="A1117" s="87">
        <v>2019</v>
      </c>
      <c r="B1117" s="87">
        <v>8</v>
      </c>
      <c r="C1117" s="173" t="s">
        <v>16</v>
      </c>
      <c r="D1117" s="173" t="s">
        <v>21</v>
      </c>
      <c r="E1117" s="173" t="s">
        <v>18</v>
      </c>
      <c r="F1117" s="173" t="s">
        <v>16</v>
      </c>
      <c r="G1117" s="87" t="b">
        <v>1</v>
      </c>
      <c r="H1117" s="87" t="b">
        <v>0</v>
      </c>
      <c r="I1117" s="87" t="b">
        <v>0</v>
      </c>
      <c r="J1117" s="173" t="s">
        <v>464</v>
      </c>
      <c r="K1117" s="174">
        <v>68709211000212</v>
      </c>
      <c r="L1117" s="173" t="s">
        <v>1066</v>
      </c>
      <c r="M1117" s="173" t="s">
        <v>92</v>
      </c>
      <c r="N1117" s="173" t="s">
        <v>61</v>
      </c>
      <c r="O1117" s="87">
        <v>64</v>
      </c>
      <c r="P1117" s="173" t="s">
        <v>25</v>
      </c>
      <c r="Q1117" s="1" t="s">
        <v>1344</v>
      </c>
      <c r="R1117" s="175">
        <v>1</v>
      </c>
      <c r="S1117">
        <v>1</v>
      </c>
    </row>
    <row r="1118" spans="1:19" x14ac:dyDescent="0.25">
      <c r="A1118" s="87">
        <v>2019</v>
      </c>
      <c r="B1118" s="87">
        <v>8</v>
      </c>
      <c r="C1118" s="173" t="s">
        <v>16</v>
      </c>
      <c r="D1118" s="173" t="s">
        <v>21</v>
      </c>
      <c r="E1118" s="173" t="s">
        <v>18</v>
      </c>
      <c r="F1118" s="173" t="s">
        <v>16</v>
      </c>
      <c r="G1118" s="87" t="b">
        <v>1</v>
      </c>
      <c r="H1118" s="87" t="b">
        <v>0</v>
      </c>
      <c r="I1118" s="87" t="b">
        <v>0</v>
      </c>
      <c r="J1118" s="173" t="s">
        <v>477</v>
      </c>
      <c r="K1118" s="174">
        <v>68709211000212</v>
      </c>
      <c r="L1118" s="173" t="s">
        <v>1066</v>
      </c>
      <c r="M1118" s="173" t="s">
        <v>92</v>
      </c>
      <c r="N1118" s="173" t="s">
        <v>61</v>
      </c>
      <c r="O1118" s="87">
        <v>70</v>
      </c>
      <c r="P1118" s="173" t="s">
        <v>20</v>
      </c>
      <c r="Q1118" s="1" t="s">
        <v>1345</v>
      </c>
      <c r="R1118" s="175">
        <v>190</v>
      </c>
      <c r="S1118">
        <v>19</v>
      </c>
    </row>
    <row r="1119" spans="1:19" x14ac:dyDescent="0.25">
      <c r="A1119" s="87">
        <v>2019</v>
      </c>
      <c r="B1119" s="87">
        <v>8</v>
      </c>
      <c r="C1119" s="173" t="s">
        <v>16</v>
      </c>
      <c r="D1119" s="173" t="s">
        <v>21</v>
      </c>
      <c r="E1119" s="173" t="s">
        <v>18</v>
      </c>
      <c r="F1119" s="173" t="s">
        <v>16</v>
      </c>
      <c r="G1119" s="87" t="b">
        <v>1</v>
      </c>
      <c r="H1119" s="87" t="b">
        <v>0</v>
      </c>
      <c r="I1119" s="87" t="b">
        <v>0</v>
      </c>
      <c r="J1119" s="173" t="s">
        <v>477</v>
      </c>
      <c r="K1119" s="174">
        <v>68709211000212</v>
      </c>
      <c r="L1119" s="173" t="s">
        <v>1066</v>
      </c>
      <c r="M1119" s="173" t="s">
        <v>92</v>
      </c>
      <c r="N1119" s="173" t="s">
        <v>61</v>
      </c>
      <c r="O1119" s="87">
        <v>70</v>
      </c>
      <c r="P1119" s="173" t="s">
        <v>20</v>
      </c>
      <c r="Q1119" s="1" t="s">
        <v>1338</v>
      </c>
      <c r="R1119" s="175">
        <v>10</v>
      </c>
      <c r="S1119">
        <v>2</v>
      </c>
    </row>
    <row r="1120" spans="1:19" x14ac:dyDescent="0.25">
      <c r="A1120" s="87">
        <v>2019</v>
      </c>
      <c r="B1120" s="87">
        <v>8</v>
      </c>
      <c r="C1120" s="173" t="s">
        <v>16</v>
      </c>
      <c r="D1120" s="173" t="s">
        <v>21</v>
      </c>
      <c r="E1120" s="173" t="s">
        <v>18</v>
      </c>
      <c r="F1120" s="173" t="s">
        <v>16</v>
      </c>
      <c r="G1120" s="87" t="b">
        <v>1</v>
      </c>
      <c r="H1120" s="87" t="b">
        <v>0</v>
      </c>
      <c r="I1120" s="87" t="b">
        <v>0</v>
      </c>
      <c r="J1120" s="173" t="s">
        <v>451</v>
      </c>
      <c r="K1120" s="174">
        <v>72101124000506</v>
      </c>
      <c r="L1120" s="173" t="s">
        <v>1126</v>
      </c>
      <c r="M1120" s="173" t="s">
        <v>131</v>
      </c>
      <c r="N1120" s="173" t="s">
        <v>61</v>
      </c>
      <c r="O1120" s="87">
        <v>70</v>
      </c>
      <c r="P1120" s="173" t="s">
        <v>20</v>
      </c>
      <c r="Q1120" s="1" t="s">
        <v>1338</v>
      </c>
      <c r="R1120" s="175">
        <v>175</v>
      </c>
      <c r="S1120">
        <v>35</v>
      </c>
    </row>
    <row r="1121" spans="1:19" x14ac:dyDescent="0.25">
      <c r="A1121" s="87">
        <v>2019</v>
      </c>
      <c r="B1121" s="87">
        <v>8</v>
      </c>
      <c r="C1121" s="173" t="s">
        <v>16</v>
      </c>
      <c r="D1121" s="173" t="s">
        <v>21</v>
      </c>
      <c r="E1121" s="173" t="s">
        <v>18</v>
      </c>
      <c r="F1121" s="173" t="s">
        <v>16</v>
      </c>
      <c r="G1121" s="87" t="b">
        <v>1</v>
      </c>
      <c r="H1121" s="87" t="b">
        <v>0</v>
      </c>
      <c r="I1121" s="87" t="b">
        <v>0</v>
      </c>
      <c r="J1121" s="173" t="s">
        <v>451</v>
      </c>
      <c r="K1121" s="174">
        <v>72101124000506</v>
      </c>
      <c r="L1121" s="173" t="s">
        <v>1126</v>
      </c>
      <c r="M1121" s="173" t="s">
        <v>131</v>
      </c>
      <c r="N1121" s="173" t="s">
        <v>61</v>
      </c>
      <c r="O1121" s="87">
        <v>73</v>
      </c>
      <c r="P1121" s="173" t="s">
        <v>26</v>
      </c>
      <c r="Q1121" s="1" t="s">
        <v>1339</v>
      </c>
      <c r="R1121" s="175">
        <v>6</v>
      </c>
      <c r="S1121">
        <v>3</v>
      </c>
    </row>
    <row r="1122" spans="1:19" x14ac:dyDescent="0.25">
      <c r="A1122" s="87">
        <v>2019</v>
      </c>
      <c r="B1122" s="87">
        <v>8</v>
      </c>
      <c r="C1122" s="173" t="s">
        <v>16</v>
      </c>
      <c r="D1122" s="173" t="s">
        <v>21</v>
      </c>
      <c r="E1122" s="173" t="s">
        <v>18</v>
      </c>
      <c r="F1122" s="173" t="s">
        <v>16</v>
      </c>
      <c r="G1122" s="87" t="b">
        <v>1</v>
      </c>
      <c r="H1122" s="87" t="b">
        <v>0</v>
      </c>
      <c r="I1122" s="87" t="b">
        <v>0</v>
      </c>
      <c r="J1122" s="173" t="s">
        <v>451</v>
      </c>
      <c r="K1122" s="174">
        <v>72101124000506</v>
      </c>
      <c r="L1122" s="173" t="s">
        <v>1126</v>
      </c>
      <c r="M1122" s="173" t="s">
        <v>131</v>
      </c>
      <c r="N1122" s="173" t="s">
        <v>61</v>
      </c>
      <c r="O1122" s="87">
        <v>73</v>
      </c>
      <c r="P1122" s="173" t="s">
        <v>26</v>
      </c>
      <c r="Q1122" s="1" t="s">
        <v>1342</v>
      </c>
      <c r="R1122" s="175">
        <v>124</v>
      </c>
      <c r="S1122">
        <v>31</v>
      </c>
    </row>
    <row r="1123" spans="1:19" x14ac:dyDescent="0.25">
      <c r="A1123" s="87">
        <v>2019</v>
      </c>
      <c r="B1123" s="87">
        <v>8</v>
      </c>
      <c r="C1123" s="173" t="s">
        <v>16</v>
      </c>
      <c r="D1123" s="173" t="s">
        <v>21</v>
      </c>
      <c r="E1123" s="173" t="s">
        <v>18</v>
      </c>
      <c r="F1123" s="173" t="s">
        <v>16</v>
      </c>
      <c r="G1123" s="87" t="b">
        <v>1</v>
      </c>
      <c r="H1123" s="87" t="b">
        <v>0</v>
      </c>
      <c r="I1123" s="87" t="b">
        <v>0</v>
      </c>
      <c r="J1123" s="173" t="s">
        <v>451</v>
      </c>
      <c r="K1123" s="174">
        <v>72101124000506</v>
      </c>
      <c r="L1123" s="173" t="s">
        <v>1126</v>
      </c>
      <c r="M1123" s="173" t="s">
        <v>131</v>
      </c>
      <c r="N1123" s="173" t="s">
        <v>61</v>
      </c>
      <c r="O1123" s="87">
        <v>73</v>
      </c>
      <c r="P1123" s="173" t="s">
        <v>26</v>
      </c>
      <c r="Q1123" s="1" t="s">
        <v>1340</v>
      </c>
      <c r="R1123" s="175">
        <v>5</v>
      </c>
      <c r="S1123">
        <v>5</v>
      </c>
    </row>
    <row r="1124" spans="1:19" x14ac:dyDescent="0.25">
      <c r="A1124" s="87">
        <v>2019</v>
      </c>
      <c r="B1124" s="87">
        <v>8</v>
      </c>
      <c r="C1124" s="173" t="s">
        <v>16</v>
      </c>
      <c r="D1124" s="173" t="s">
        <v>21</v>
      </c>
      <c r="E1124" s="173" t="s">
        <v>18</v>
      </c>
      <c r="F1124" s="173" t="s">
        <v>16</v>
      </c>
      <c r="G1124" s="87" t="b">
        <v>1</v>
      </c>
      <c r="H1124" s="87" t="b">
        <v>0</v>
      </c>
      <c r="I1124" s="87" t="b">
        <v>0</v>
      </c>
      <c r="J1124" s="173" t="s">
        <v>452</v>
      </c>
      <c r="K1124" s="174">
        <v>73863342000109</v>
      </c>
      <c r="L1124" s="173" t="s">
        <v>978</v>
      </c>
      <c r="M1124" s="173" t="s">
        <v>121</v>
      </c>
      <c r="N1124" s="173" t="s">
        <v>57</v>
      </c>
      <c r="O1124" s="87">
        <v>70</v>
      </c>
      <c r="P1124" s="173" t="s">
        <v>20</v>
      </c>
      <c r="Q1124" s="1" t="s">
        <v>1345</v>
      </c>
      <c r="R1124" s="175">
        <v>20</v>
      </c>
      <c r="S1124">
        <v>2</v>
      </c>
    </row>
    <row r="1125" spans="1:19" x14ac:dyDescent="0.25">
      <c r="A1125" s="87">
        <v>2019</v>
      </c>
      <c r="B1125" s="87">
        <v>8</v>
      </c>
      <c r="C1125" s="173" t="s">
        <v>16</v>
      </c>
      <c r="D1125" s="173" t="s">
        <v>21</v>
      </c>
      <c r="E1125" s="173" t="s">
        <v>18</v>
      </c>
      <c r="F1125" s="173" t="s">
        <v>16</v>
      </c>
      <c r="G1125" s="87" t="b">
        <v>1</v>
      </c>
      <c r="H1125" s="87" t="b">
        <v>0</v>
      </c>
      <c r="I1125" s="87" t="b">
        <v>0</v>
      </c>
      <c r="J1125" s="173" t="s">
        <v>1330</v>
      </c>
      <c r="K1125" s="174">
        <v>74031865000151</v>
      </c>
      <c r="L1125" s="173" t="s">
        <v>926</v>
      </c>
      <c r="M1125" s="173" t="s">
        <v>76</v>
      </c>
      <c r="N1125" s="173" t="s">
        <v>77</v>
      </c>
      <c r="O1125" s="87">
        <v>64</v>
      </c>
      <c r="P1125" s="173" t="s">
        <v>25</v>
      </c>
      <c r="Q1125" s="1" t="s">
        <v>1344</v>
      </c>
      <c r="R1125" s="175">
        <v>800</v>
      </c>
      <c r="S1125">
        <v>800</v>
      </c>
    </row>
    <row r="1126" spans="1:19" x14ac:dyDescent="0.25">
      <c r="A1126" s="87">
        <v>2019</v>
      </c>
      <c r="B1126" s="87">
        <v>8</v>
      </c>
      <c r="C1126" s="173" t="s">
        <v>16</v>
      </c>
      <c r="D1126" s="173" t="s">
        <v>21</v>
      </c>
      <c r="E1126" s="173" t="s">
        <v>18</v>
      </c>
      <c r="F1126" s="173" t="s">
        <v>16</v>
      </c>
      <c r="G1126" s="87" t="b">
        <v>1</v>
      </c>
      <c r="H1126" s="87" t="b">
        <v>0</v>
      </c>
      <c r="I1126" s="87" t="b">
        <v>0</v>
      </c>
      <c r="J1126" s="173" t="s">
        <v>450</v>
      </c>
      <c r="K1126" s="174">
        <v>75222224001895</v>
      </c>
      <c r="L1126" s="173" t="s">
        <v>981</v>
      </c>
      <c r="M1126" s="173" t="s">
        <v>121</v>
      </c>
      <c r="N1126" s="173" t="s">
        <v>57</v>
      </c>
      <c r="O1126" s="87">
        <v>70</v>
      </c>
      <c r="P1126" s="173" t="s">
        <v>20</v>
      </c>
      <c r="Q1126" s="1" t="s">
        <v>1338</v>
      </c>
      <c r="R1126" s="175">
        <v>1000</v>
      </c>
      <c r="S1126">
        <v>200</v>
      </c>
    </row>
    <row r="1127" spans="1:19" x14ac:dyDescent="0.25">
      <c r="A1127" s="87">
        <v>2019</v>
      </c>
      <c r="B1127" s="87">
        <v>8</v>
      </c>
      <c r="C1127" s="173" t="s">
        <v>16</v>
      </c>
      <c r="D1127" s="173" t="s">
        <v>21</v>
      </c>
      <c r="E1127" s="173" t="s">
        <v>18</v>
      </c>
      <c r="F1127" s="173" t="s">
        <v>16</v>
      </c>
      <c r="G1127" s="87" t="b">
        <v>1</v>
      </c>
      <c r="H1127" s="87" t="b">
        <v>0</v>
      </c>
      <c r="I1127" s="87" t="b">
        <v>0</v>
      </c>
      <c r="J1127" s="173" t="s">
        <v>452</v>
      </c>
      <c r="K1127" s="174">
        <v>75222224001895</v>
      </c>
      <c r="L1127" s="173" t="s">
        <v>981</v>
      </c>
      <c r="M1127" s="173" t="s">
        <v>121</v>
      </c>
      <c r="N1127" s="173" t="s">
        <v>57</v>
      </c>
      <c r="O1127" s="87">
        <v>70</v>
      </c>
      <c r="P1127" s="173" t="s">
        <v>20</v>
      </c>
      <c r="Q1127" s="1" t="s">
        <v>1338</v>
      </c>
      <c r="R1127" s="175">
        <v>200</v>
      </c>
      <c r="S1127">
        <v>40</v>
      </c>
    </row>
    <row r="1128" spans="1:19" x14ac:dyDescent="0.25">
      <c r="A1128" s="87">
        <v>2019</v>
      </c>
      <c r="B1128" s="87">
        <v>8</v>
      </c>
      <c r="C1128" s="173" t="s">
        <v>16</v>
      </c>
      <c r="D1128" s="173" t="s">
        <v>21</v>
      </c>
      <c r="E1128" s="173" t="s">
        <v>18</v>
      </c>
      <c r="F1128" s="173" t="s">
        <v>16</v>
      </c>
      <c r="G1128" s="87" t="b">
        <v>1</v>
      </c>
      <c r="H1128" s="87" t="b">
        <v>0</v>
      </c>
      <c r="I1128" s="87" t="b">
        <v>0</v>
      </c>
      <c r="J1128" s="173" t="s">
        <v>452</v>
      </c>
      <c r="K1128" s="174">
        <v>76498013000102</v>
      </c>
      <c r="L1128" s="173" t="s">
        <v>982</v>
      </c>
      <c r="M1128" s="173" t="s">
        <v>94</v>
      </c>
      <c r="N1128" s="173" t="s">
        <v>57</v>
      </c>
      <c r="O1128" s="87">
        <v>70</v>
      </c>
      <c r="P1128" s="173" t="s">
        <v>20</v>
      </c>
      <c r="Q1128" s="1" t="s">
        <v>1338</v>
      </c>
      <c r="R1128" s="175">
        <v>55</v>
      </c>
      <c r="S1128">
        <v>11</v>
      </c>
    </row>
    <row r="1129" spans="1:19" x14ac:dyDescent="0.25">
      <c r="A1129" s="87">
        <v>2019</v>
      </c>
      <c r="B1129" s="87">
        <v>8</v>
      </c>
      <c r="C1129" s="173" t="s">
        <v>16</v>
      </c>
      <c r="D1129" s="173" t="s">
        <v>21</v>
      </c>
      <c r="E1129" s="173" t="s">
        <v>18</v>
      </c>
      <c r="F1129" s="173" t="s">
        <v>16</v>
      </c>
      <c r="G1129" s="87" t="b">
        <v>1</v>
      </c>
      <c r="H1129" s="87" t="b">
        <v>0</v>
      </c>
      <c r="I1129" s="87" t="b">
        <v>0</v>
      </c>
      <c r="J1129" s="173" t="s">
        <v>464</v>
      </c>
      <c r="K1129" s="174">
        <v>76555069000143</v>
      </c>
      <c r="L1129" s="173" t="s">
        <v>983</v>
      </c>
      <c r="M1129" s="173" t="s">
        <v>94</v>
      </c>
      <c r="N1129" s="173" t="s">
        <v>57</v>
      </c>
      <c r="O1129" s="87">
        <v>70</v>
      </c>
      <c r="P1129" s="173" t="s">
        <v>20</v>
      </c>
      <c r="Q1129" s="1" t="s">
        <v>1338</v>
      </c>
      <c r="R1129" s="175">
        <v>170</v>
      </c>
      <c r="S1129">
        <v>34</v>
      </c>
    </row>
    <row r="1130" spans="1:19" x14ac:dyDescent="0.25">
      <c r="A1130" s="87">
        <v>2019</v>
      </c>
      <c r="B1130" s="87">
        <v>8</v>
      </c>
      <c r="C1130" s="173" t="s">
        <v>16</v>
      </c>
      <c r="D1130" s="173" t="s">
        <v>21</v>
      </c>
      <c r="E1130" s="173" t="s">
        <v>18</v>
      </c>
      <c r="F1130" s="173" t="s">
        <v>16</v>
      </c>
      <c r="G1130" s="87" t="b">
        <v>1</v>
      </c>
      <c r="H1130" s="87" t="b">
        <v>0</v>
      </c>
      <c r="I1130" s="87" t="b">
        <v>0</v>
      </c>
      <c r="J1130" s="173" t="s">
        <v>492</v>
      </c>
      <c r="K1130" s="174">
        <v>76591569000130</v>
      </c>
      <c r="L1130" s="173" t="s">
        <v>985</v>
      </c>
      <c r="M1130" s="173" t="s">
        <v>94</v>
      </c>
      <c r="N1130" s="173" t="s">
        <v>57</v>
      </c>
      <c r="O1130" s="87">
        <v>70</v>
      </c>
      <c r="P1130" s="173" t="s">
        <v>20</v>
      </c>
      <c r="Q1130" s="1" t="s">
        <v>1338</v>
      </c>
      <c r="R1130" s="175">
        <v>200</v>
      </c>
      <c r="S1130">
        <v>40</v>
      </c>
    </row>
    <row r="1131" spans="1:19" x14ac:dyDescent="0.25">
      <c r="A1131" s="87">
        <v>2019</v>
      </c>
      <c r="B1131" s="87">
        <v>8</v>
      </c>
      <c r="C1131" s="173" t="s">
        <v>16</v>
      </c>
      <c r="D1131" s="173" t="s">
        <v>21</v>
      </c>
      <c r="E1131" s="173" t="s">
        <v>18</v>
      </c>
      <c r="F1131" s="173" t="s">
        <v>16</v>
      </c>
      <c r="G1131" s="87" t="b">
        <v>1</v>
      </c>
      <c r="H1131" s="87" t="b">
        <v>0</v>
      </c>
      <c r="I1131" s="87" t="b">
        <v>0</v>
      </c>
      <c r="J1131" s="173" t="s">
        <v>491</v>
      </c>
      <c r="K1131" s="174">
        <v>76591569000130</v>
      </c>
      <c r="L1131" s="173" t="s">
        <v>985</v>
      </c>
      <c r="M1131" s="173" t="s">
        <v>94</v>
      </c>
      <c r="N1131" s="173" t="s">
        <v>57</v>
      </c>
      <c r="O1131" s="87">
        <v>70</v>
      </c>
      <c r="P1131" s="173" t="s">
        <v>20</v>
      </c>
      <c r="Q1131" s="1" t="s">
        <v>1338</v>
      </c>
      <c r="R1131" s="175">
        <v>50</v>
      </c>
      <c r="S1131">
        <v>10</v>
      </c>
    </row>
    <row r="1132" spans="1:19" x14ac:dyDescent="0.25">
      <c r="A1132" s="87">
        <v>2019</v>
      </c>
      <c r="B1132" s="87">
        <v>8</v>
      </c>
      <c r="C1132" s="173" t="s">
        <v>16</v>
      </c>
      <c r="D1132" s="173" t="s">
        <v>21</v>
      </c>
      <c r="E1132" s="173" t="s">
        <v>18</v>
      </c>
      <c r="F1132" s="173" t="s">
        <v>16</v>
      </c>
      <c r="G1132" s="87" t="b">
        <v>1</v>
      </c>
      <c r="H1132" s="87" t="b">
        <v>0</v>
      </c>
      <c r="I1132" s="87" t="b">
        <v>0</v>
      </c>
      <c r="J1132" s="173" t="s">
        <v>452</v>
      </c>
      <c r="K1132" s="174">
        <v>76659820002367</v>
      </c>
      <c r="L1132" s="173" t="s">
        <v>986</v>
      </c>
      <c r="M1132" s="173" t="s">
        <v>94</v>
      </c>
      <c r="N1132" s="173" t="s">
        <v>57</v>
      </c>
      <c r="O1132" s="87">
        <v>70</v>
      </c>
      <c r="P1132" s="173" t="s">
        <v>20</v>
      </c>
      <c r="Q1132" s="1" t="s">
        <v>1338</v>
      </c>
      <c r="R1132" s="175">
        <v>315</v>
      </c>
      <c r="S1132">
        <v>63</v>
      </c>
    </row>
    <row r="1133" spans="1:19" x14ac:dyDescent="0.25">
      <c r="A1133" s="87">
        <v>2019</v>
      </c>
      <c r="B1133" s="87">
        <v>8</v>
      </c>
      <c r="C1133" s="173" t="s">
        <v>16</v>
      </c>
      <c r="D1133" s="173" t="s">
        <v>21</v>
      </c>
      <c r="E1133" s="173" t="s">
        <v>18</v>
      </c>
      <c r="F1133" s="173" t="s">
        <v>16</v>
      </c>
      <c r="G1133" s="87" t="b">
        <v>1</v>
      </c>
      <c r="H1133" s="87" t="b">
        <v>0</v>
      </c>
      <c r="I1133" s="87" t="b">
        <v>0</v>
      </c>
      <c r="J1133" s="173" t="s">
        <v>449</v>
      </c>
      <c r="K1133" s="174">
        <v>77858611001414</v>
      </c>
      <c r="L1133" s="173" t="s">
        <v>991</v>
      </c>
      <c r="M1133" s="173" t="s">
        <v>969</v>
      </c>
      <c r="N1133" s="173" t="s">
        <v>68</v>
      </c>
      <c r="O1133" s="87">
        <v>64</v>
      </c>
      <c r="P1133" s="173" t="s">
        <v>25</v>
      </c>
      <c r="Q1133" s="1" t="s">
        <v>1344</v>
      </c>
      <c r="R1133" s="175">
        <v>5</v>
      </c>
      <c r="S1133">
        <v>5</v>
      </c>
    </row>
    <row r="1134" spans="1:19" x14ac:dyDescent="0.25">
      <c r="A1134" s="87">
        <v>2019</v>
      </c>
      <c r="B1134" s="87">
        <v>8</v>
      </c>
      <c r="C1134" s="173" t="s">
        <v>16</v>
      </c>
      <c r="D1134" s="173" t="s">
        <v>21</v>
      </c>
      <c r="E1134" s="173" t="s">
        <v>18</v>
      </c>
      <c r="F1134" s="173" t="s">
        <v>16</v>
      </c>
      <c r="G1134" s="87" t="b">
        <v>1</v>
      </c>
      <c r="H1134" s="87" t="b">
        <v>0</v>
      </c>
      <c r="I1134" s="87" t="b">
        <v>0</v>
      </c>
      <c r="J1134" s="173" t="s">
        <v>451</v>
      </c>
      <c r="K1134" s="174">
        <v>78633088000176</v>
      </c>
      <c r="L1134" s="173" t="s">
        <v>995</v>
      </c>
      <c r="M1134" s="173" t="s">
        <v>121</v>
      </c>
      <c r="N1134" s="173" t="s">
        <v>57</v>
      </c>
      <c r="O1134" s="87">
        <v>70</v>
      </c>
      <c r="P1134" s="173" t="s">
        <v>20</v>
      </c>
      <c r="Q1134" s="1" t="s">
        <v>1338</v>
      </c>
      <c r="R1134" s="175">
        <v>10</v>
      </c>
      <c r="S1134">
        <v>2</v>
      </c>
    </row>
    <row r="1135" spans="1:19" x14ac:dyDescent="0.25">
      <c r="A1135" s="87">
        <v>2019</v>
      </c>
      <c r="B1135" s="87">
        <v>8</v>
      </c>
      <c r="C1135" s="173" t="s">
        <v>16</v>
      </c>
      <c r="D1135" s="173" t="s">
        <v>21</v>
      </c>
      <c r="E1135" s="173" t="s">
        <v>18</v>
      </c>
      <c r="F1135" s="173" t="s">
        <v>16</v>
      </c>
      <c r="G1135" s="87" t="b">
        <v>1</v>
      </c>
      <c r="H1135" s="87" t="b">
        <v>0</v>
      </c>
      <c r="I1135" s="87" t="b">
        <v>0</v>
      </c>
      <c r="J1135" s="173" t="s">
        <v>492</v>
      </c>
      <c r="K1135" s="174">
        <v>79115762000193</v>
      </c>
      <c r="L1135" s="173" t="s">
        <v>996</v>
      </c>
      <c r="M1135" s="173" t="s">
        <v>988</v>
      </c>
      <c r="N1135" s="173" t="s">
        <v>57</v>
      </c>
      <c r="O1135" s="87">
        <v>70</v>
      </c>
      <c r="P1135" s="173" t="s">
        <v>20</v>
      </c>
      <c r="Q1135" s="1" t="s">
        <v>1338</v>
      </c>
      <c r="R1135" s="175">
        <v>225</v>
      </c>
      <c r="S1135">
        <v>45</v>
      </c>
    </row>
    <row r="1136" spans="1:19" x14ac:dyDescent="0.25">
      <c r="A1136" s="87">
        <v>2019</v>
      </c>
      <c r="B1136" s="87">
        <v>8</v>
      </c>
      <c r="C1136" s="173" t="s">
        <v>16</v>
      </c>
      <c r="D1136" s="173" t="s">
        <v>21</v>
      </c>
      <c r="E1136" s="173" t="s">
        <v>18</v>
      </c>
      <c r="F1136" s="173" t="s">
        <v>16</v>
      </c>
      <c r="G1136" s="87" t="b">
        <v>1</v>
      </c>
      <c r="H1136" s="87" t="b">
        <v>0</v>
      </c>
      <c r="I1136" s="87" t="b">
        <v>0</v>
      </c>
      <c r="J1136" s="173" t="s">
        <v>492</v>
      </c>
      <c r="K1136" s="174">
        <v>80490618000116</v>
      </c>
      <c r="L1136" s="173" t="s">
        <v>997</v>
      </c>
      <c r="M1136" s="173" t="s">
        <v>998</v>
      </c>
      <c r="N1136" s="173" t="s">
        <v>68</v>
      </c>
      <c r="O1136" s="87">
        <v>70</v>
      </c>
      <c r="P1136" s="173" t="s">
        <v>20</v>
      </c>
      <c r="Q1136" s="1" t="s">
        <v>1338</v>
      </c>
      <c r="R1136" s="175">
        <v>60</v>
      </c>
      <c r="S1136">
        <v>12</v>
      </c>
    </row>
    <row r="1137" spans="1:19" x14ac:dyDescent="0.25">
      <c r="A1137" s="87">
        <v>2019</v>
      </c>
      <c r="B1137" s="87">
        <v>8</v>
      </c>
      <c r="C1137" s="173" t="s">
        <v>16</v>
      </c>
      <c r="D1137" s="173" t="s">
        <v>21</v>
      </c>
      <c r="E1137" s="173" t="s">
        <v>18</v>
      </c>
      <c r="F1137" s="173" t="s">
        <v>16</v>
      </c>
      <c r="G1137" s="87" t="b">
        <v>1</v>
      </c>
      <c r="H1137" s="87" t="b">
        <v>0</v>
      </c>
      <c r="I1137" s="87" t="b">
        <v>0</v>
      </c>
      <c r="J1137" s="173" t="s">
        <v>449</v>
      </c>
      <c r="K1137" s="174">
        <v>80673411000187</v>
      </c>
      <c r="L1137" s="173" t="s">
        <v>999</v>
      </c>
      <c r="M1137" s="173" t="s">
        <v>930</v>
      </c>
      <c r="N1137" s="173" t="s">
        <v>68</v>
      </c>
      <c r="O1137" s="87">
        <v>73</v>
      </c>
      <c r="P1137" s="173" t="s">
        <v>26</v>
      </c>
      <c r="Q1137" s="1" t="s">
        <v>1342</v>
      </c>
      <c r="R1137" s="175">
        <v>48</v>
      </c>
      <c r="S1137">
        <v>12</v>
      </c>
    </row>
    <row r="1138" spans="1:19" x14ac:dyDescent="0.25">
      <c r="A1138" s="87">
        <v>2019</v>
      </c>
      <c r="B1138" s="87">
        <v>8</v>
      </c>
      <c r="C1138" s="173" t="s">
        <v>16</v>
      </c>
      <c r="D1138" s="173" t="s">
        <v>21</v>
      </c>
      <c r="E1138" s="173" t="s">
        <v>18</v>
      </c>
      <c r="F1138" s="173" t="s">
        <v>16</v>
      </c>
      <c r="G1138" s="87" t="b">
        <v>1</v>
      </c>
      <c r="H1138" s="87" t="b">
        <v>0</v>
      </c>
      <c r="I1138" s="87" t="b">
        <v>0</v>
      </c>
      <c r="J1138" s="173" t="s">
        <v>449</v>
      </c>
      <c r="K1138" s="174">
        <v>83899526000425</v>
      </c>
      <c r="L1138" s="173" t="s">
        <v>1010</v>
      </c>
      <c r="M1138" s="173" t="s">
        <v>930</v>
      </c>
      <c r="N1138" s="173" t="s">
        <v>68</v>
      </c>
      <c r="O1138" s="87">
        <v>62</v>
      </c>
      <c r="P1138" s="173" t="s">
        <v>27</v>
      </c>
      <c r="Q1138" s="1" t="s">
        <v>1343</v>
      </c>
      <c r="R1138" s="175">
        <v>3</v>
      </c>
      <c r="S1138">
        <v>3</v>
      </c>
    </row>
    <row r="1139" spans="1:19" x14ac:dyDescent="0.25">
      <c r="A1139" s="87">
        <v>2019</v>
      </c>
      <c r="B1139" s="87">
        <v>8</v>
      </c>
      <c r="C1139" s="173" t="s">
        <v>16</v>
      </c>
      <c r="D1139" s="173" t="s">
        <v>21</v>
      </c>
      <c r="E1139" s="173" t="s">
        <v>18</v>
      </c>
      <c r="F1139" s="173" t="s">
        <v>16</v>
      </c>
      <c r="G1139" s="87" t="b">
        <v>1</v>
      </c>
      <c r="H1139" s="87" t="b">
        <v>0</v>
      </c>
      <c r="I1139" s="87" t="b">
        <v>0</v>
      </c>
      <c r="J1139" s="173" t="s">
        <v>481</v>
      </c>
      <c r="K1139" s="174">
        <v>85377174000392</v>
      </c>
      <c r="L1139" s="173" t="s">
        <v>1012</v>
      </c>
      <c r="M1139" s="173" t="s">
        <v>938</v>
      </c>
      <c r="N1139" s="173" t="s">
        <v>68</v>
      </c>
      <c r="O1139" s="87">
        <v>73</v>
      </c>
      <c r="P1139" s="173" t="s">
        <v>26</v>
      </c>
      <c r="Q1139" s="1" t="s">
        <v>1340</v>
      </c>
      <c r="R1139" s="175">
        <v>12</v>
      </c>
      <c r="S1139">
        <v>12</v>
      </c>
    </row>
    <row r="1140" spans="1:19" x14ac:dyDescent="0.25">
      <c r="A1140" s="87">
        <v>2019</v>
      </c>
      <c r="B1140" s="87">
        <v>8</v>
      </c>
      <c r="C1140" s="173" t="s">
        <v>16</v>
      </c>
      <c r="D1140" s="173" t="s">
        <v>21</v>
      </c>
      <c r="E1140" s="173" t="s">
        <v>18</v>
      </c>
      <c r="F1140" s="173" t="s">
        <v>16</v>
      </c>
      <c r="G1140" s="87" t="b">
        <v>1</v>
      </c>
      <c r="H1140" s="87" t="b">
        <v>0</v>
      </c>
      <c r="I1140" s="87" t="b">
        <v>0</v>
      </c>
      <c r="J1140" s="173" t="s">
        <v>449</v>
      </c>
      <c r="K1140" s="174">
        <v>87020517000120</v>
      </c>
      <c r="L1140" s="173" t="s">
        <v>1013</v>
      </c>
      <c r="M1140" s="173" t="s">
        <v>83</v>
      </c>
      <c r="N1140" s="173" t="s">
        <v>67</v>
      </c>
      <c r="O1140" s="87">
        <v>62</v>
      </c>
      <c r="P1140" s="173" t="s">
        <v>27</v>
      </c>
      <c r="Q1140" s="1" t="s">
        <v>1343</v>
      </c>
      <c r="R1140" s="175">
        <v>30</v>
      </c>
      <c r="S1140">
        <v>30</v>
      </c>
    </row>
    <row r="1141" spans="1:19" x14ac:dyDescent="0.25">
      <c r="A1141" s="87">
        <v>2019</v>
      </c>
      <c r="B1141" s="87">
        <v>8</v>
      </c>
      <c r="C1141" s="173" t="s">
        <v>16</v>
      </c>
      <c r="D1141" s="173" t="s">
        <v>21</v>
      </c>
      <c r="E1141" s="173" t="s">
        <v>18</v>
      </c>
      <c r="F1141" s="173" t="s">
        <v>16</v>
      </c>
      <c r="G1141" s="87" t="b">
        <v>1</v>
      </c>
      <c r="H1141" s="87" t="b">
        <v>0</v>
      </c>
      <c r="I1141" s="87" t="b">
        <v>0</v>
      </c>
      <c r="J1141" s="173" t="s">
        <v>1330</v>
      </c>
      <c r="K1141" s="174">
        <v>87020517000120</v>
      </c>
      <c r="L1141" s="173" t="s">
        <v>1013</v>
      </c>
      <c r="M1141" s="173" t="s">
        <v>83</v>
      </c>
      <c r="N1141" s="173" t="s">
        <v>67</v>
      </c>
      <c r="O1141" s="87">
        <v>64</v>
      </c>
      <c r="P1141" s="173" t="s">
        <v>25</v>
      </c>
      <c r="Q1141" s="1" t="s">
        <v>1344</v>
      </c>
      <c r="R1141" s="175">
        <v>8</v>
      </c>
      <c r="S1141">
        <v>8</v>
      </c>
    </row>
    <row r="1142" spans="1:19" x14ac:dyDescent="0.25">
      <c r="A1142" s="87">
        <v>2019</v>
      </c>
      <c r="B1142" s="87">
        <v>8</v>
      </c>
      <c r="C1142" s="173" t="s">
        <v>16</v>
      </c>
      <c r="D1142" s="173" t="s">
        <v>21</v>
      </c>
      <c r="E1142" s="173" t="s">
        <v>18</v>
      </c>
      <c r="F1142" s="173" t="s">
        <v>16</v>
      </c>
      <c r="G1142" s="87" t="b">
        <v>1</v>
      </c>
      <c r="H1142" s="87" t="b">
        <v>0</v>
      </c>
      <c r="I1142" s="87" t="b">
        <v>0</v>
      </c>
      <c r="J1142" s="173" t="s">
        <v>470</v>
      </c>
      <c r="K1142" s="174">
        <v>87096616003101</v>
      </c>
      <c r="L1142" s="173" t="s">
        <v>1014</v>
      </c>
      <c r="M1142" s="173" t="s">
        <v>83</v>
      </c>
      <c r="N1142" s="173" t="s">
        <v>67</v>
      </c>
      <c r="O1142" s="87">
        <v>70</v>
      </c>
      <c r="P1142" s="173" t="s">
        <v>20</v>
      </c>
      <c r="Q1142" s="1" t="s">
        <v>1338</v>
      </c>
      <c r="R1142" s="175">
        <v>1500</v>
      </c>
      <c r="S1142">
        <v>300</v>
      </c>
    </row>
    <row r="1143" spans="1:19" x14ac:dyDescent="0.25">
      <c r="A1143" s="87">
        <v>2019</v>
      </c>
      <c r="B1143" s="87">
        <v>8</v>
      </c>
      <c r="C1143" s="173" t="s">
        <v>16</v>
      </c>
      <c r="D1143" s="173" t="s">
        <v>21</v>
      </c>
      <c r="E1143" s="173" t="s">
        <v>18</v>
      </c>
      <c r="F1143" s="173" t="s">
        <v>16</v>
      </c>
      <c r="G1143" s="87" t="b">
        <v>1</v>
      </c>
      <c r="H1143" s="87" t="b">
        <v>0</v>
      </c>
      <c r="I1143" s="87" t="b">
        <v>0</v>
      </c>
      <c r="J1143" s="173" t="s">
        <v>449</v>
      </c>
      <c r="K1143" s="174">
        <v>87317764001084</v>
      </c>
      <c r="L1143" s="173" t="s">
        <v>1015</v>
      </c>
      <c r="M1143" s="173" t="s">
        <v>83</v>
      </c>
      <c r="N1143" s="173" t="s">
        <v>67</v>
      </c>
      <c r="O1143" s="87">
        <v>62</v>
      </c>
      <c r="P1143" s="173" t="s">
        <v>27</v>
      </c>
      <c r="Q1143" s="1" t="s">
        <v>1343</v>
      </c>
      <c r="R1143" s="175">
        <v>4</v>
      </c>
      <c r="S1143">
        <v>4</v>
      </c>
    </row>
    <row r="1144" spans="1:19" x14ac:dyDescent="0.25">
      <c r="A1144" s="87">
        <v>2019</v>
      </c>
      <c r="B1144" s="87">
        <v>8</v>
      </c>
      <c r="C1144" s="173" t="s">
        <v>16</v>
      </c>
      <c r="D1144" s="173" t="s">
        <v>21</v>
      </c>
      <c r="E1144" s="173" t="s">
        <v>18</v>
      </c>
      <c r="F1144" s="173" t="s">
        <v>16</v>
      </c>
      <c r="G1144" s="87" t="b">
        <v>1</v>
      </c>
      <c r="H1144" s="87" t="b">
        <v>0</v>
      </c>
      <c r="I1144" s="87" t="b">
        <v>0</v>
      </c>
      <c r="J1144" s="173" t="s">
        <v>449</v>
      </c>
      <c r="K1144" s="174">
        <v>87317764001084</v>
      </c>
      <c r="L1144" s="173" t="s">
        <v>1015</v>
      </c>
      <c r="M1144" s="173" t="s">
        <v>83</v>
      </c>
      <c r="N1144" s="173" t="s">
        <v>67</v>
      </c>
      <c r="O1144" s="87">
        <v>70</v>
      </c>
      <c r="P1144" s="173" t="s">
        <v>20</v>
      </c>
      <c r="Q1144" s="1" t="s">
        <v>1345</v>
      </c>
      <c r="R1144" s="175">
        <v>240</v>
      </c>
      <c r="S1144">
        <v>24</v>
      </c>
    </row>
    <row r="1145" spans="1:19" x14ac:dyDescent="0.25">
      <c r="A1145" s="87">
        <v>2019</v>
      </c>
      <c r="B1145" s="87">
        <v>8</v>
      </c>
      <c r="C1145" s="173" t="s">
        <v>16</v>
      </c>
      <c r="D1145" s="173" t="s">
        <v>21</v>
      </c>
      <c r="E1145" s="173" t="s">
        <v>18</v>
      </c>
      <c r="F1145" s="173" t="s">
        <v>16</v>
      </c>
      <c r="G1145" s="87" t="b">
        <v>1</v>
      </c>
      <c r="H1145" s="87" t="b">
        <v>0</v>
      </c>
      <c r="I1145" s="87" t="b">
        <v>0</v>
      </c>
      <c r="J1145" s="173" t="s">
        <v>449</v>
      </c>
      <c r="K1145" s="174">
        <v>87547444000120</v>
      </c>
      <c r="L1145" s="173" t="s">
        <v>1017</v>
      </c>
      <c r="M1145" s="173" t="s">
        <v>1018</v>
      </c>
      <c r="N1145" s="173" t="s">
        <v>67</v>
      </c>
      <c r="O1145" s="87">
        <v>64</v>
      </c>
      <c r="P1145" s="173" t="s">
        <v>25</v>
      </c>
      <c r="Q1145" s="1" t="s">
        <v>1344</v>
      </c>
      <c r="R1145" s="175">
        <v>5</v>
      </c>
      <c r="S1145">
        <v>5</v>
      </c>
    </row>
    <row r="1146" spans="1:19" x14ac:dyDescent="0.25">
      <c r="A1146" s="87">
        <v>2019</v>
      </c>
      <c r="B1146" s="87">
        <v>8</v>
      </c>
      <c r="C1146" s="173" t="s">
        <v>16</v>
      </c>
      <c r="D1146" s="173" t="s">
        <v>21</v>
      </c>
      <c r="E1146" s="173" t="s">
        <v>18</v>
      </c>
      <c r="F1146" s="173" t="s">
        <v>16</v>
      </c>
      <c r="G1146" s="87" t="b">
        <v>1</v>
      </c>
      <c r="H1146" s="87" t="b">
        <v>0</v>
      </c>
      <c r="I1146" s="87" t="b">
        <v>0</v>
      </c>
      <c r="J1146" s="173" t="s">
        <v>449</v>
      </c>
      <c r="K1146" s="174">
        <v>87607149000626</v>
      </c>
      <c r="L1146" s="173" t="s">
        <v>1019</v>
      </c>
      <c r="M1146" s="173" t="s">
        <v>96</v>
      </c>
      <c r="N1146" s="173" t="s">
        <v>67</v>
      </c>
      <c r="O1146" s="87">
        <v>70</v>
      </c>
      <c r="P1146" s="173" t="s">
        <v>20</v>
      </c>
      <c r="Q1146" s="1" t="s">
        <v>1345</v>
      </c>
      <c r="R1146" s="175">
        <v>220</v>
      </c>
      <c r="S1146">
        <v>22</v>
      </c>
    </row>
    <row r="1147" spans="1:19" x14ac:dyDescent="0.25">
      <c r="A1147" s="87">
        <v>2019</v>
      </c>
      <c r="B1147" s="87">
        <v>8</v>
      </c>
      <c r="C1147" s="173" t="s">
        <v>16</v>
      </c>
      <c r="D1147" s="173" t="s">
        <v>21</v>
      </c>
      <c r="E1147" s="173" t="s">
        <v>18</v>
      </c>
      <c r="F1147" s="173" t="s">
        <v>16</v>
      </c>
      <c r="G1147" s="87" t="b">
        <v>1</v>
      </c>
      <c r="H1147" s="87" t="b">
        <v>0</v>
      </c>
      <c r="I1147" s="87" t="b">
        <v>0</v>
      </c>
      <c r="J1147" s="173" t="s">
        <v>449</v>
      </c>
      <c r="K1147" s="174">
        <v>87607149000626</v>
      </c>
      <c r="L1147" s="173" t="s">
        <v>1019</v>
      </c>
      <c r="M1147" s="173" t="s">
        <v>96</v>
      </c>
      <c r="N1147" s="173" t="s">
        <v>67</v>
      </c>
      <c r="O1147" s="87">
        <v>70</v>
      </c>
      <c r="P1147" s="173" t="s">
        <v>20</v>
      </c>
      <c r="Q1147" s="1" t="s">
        <v>1338</v>
      </c>
      <c r="R1147" s="175">
        <v>15</v>
      </c>
      <c r="S1147">
        <v>3</v>
      </c>
    </row>
    <row r="1148" spans="1:19" x14ac:dyDescent="0.25">
      <c r="A1148" s="87">
        <v>2019</v>
      </c>
      <c r="B1148" s="87">
        <v>8</v>
      </c>
      <c r="C1148" s="173" t="s">
        <v>16</v>
      </c>
      <c r="D1148" s="173" t="s">
        <v>21</v>
      </c>
      <c r="E1148" s="173" t="s">
        <v>18</v>
      </c>
      <c r="F1148" s="173" t="s">
        <v>16</v>
      </c>
      <c r="G1148" s="87" t="b">
        <v>1</v>
      </c>
      <c r="H1148" s="87" t="b">
        <v>0</v>
      </c>
      <c r="I1148" s="87" t="b">
        <v>0</v>
      </c>
      <c r="J1148" s="173" t="s">
        <v>449</v>
      </c>
      <c r="K1148" s="174">
        <v>87638334000505</v>
      </c>
      <c r="L1148" s="173" t="s">
        <v>1020</v>
      </c>
      <c r="M1148" s="173" t="s">
        <v>129</v>
      </c>
      <c r="N1148" s="173" t="s">
        <v>67</v>
      </c>
      <c r="O1148" s="87">
        <v>70</v>
      </c>
      <c r="P1148" s="173" t="s">
        <v>20</v>
      </c>
      <c r="Q1148" s="1" t="s">
        <v>1345</v>
      </c>
      <c r="R1148" s="175">
        <v>10</v>
      </c>
      <c r="S1148">
        <v>1</v>
      </c>
    </row>
    <row r="1149" spans="1:19" x14ac:dyDescent="0.25">
      <c r="A1149" s="87">
        <v>2019</v>
      </c>
      <c r="B1149" s="87">
        <v>8</v>
      </c>
      <c r="C1149" s="173" t="s">
        <v>16</v>
      </c>
      <c r="D1149" s="173" t="s">
        <v>21</v>
      </c>
      <c r="E1149" s="173" t="s">
        <v>18</v>
      </c>
      <c r="F1149" s="173" t="s">
        <v>16</v>
      </c>
      <c r="G1149" s="87" t="b">
        <v>1</v>
      </c>
      <c r="H1149" s="87" t="b">
        <v>0</v>
      </c>
      <c r="I1149" s="87" t="b">
        <v>0</v>
      </c>
      <c r="J1149" s="173" t="s">
        <v>470</v>
      </c>
      <c r="K1149" s="174">
        <v>87827689002405</v>
      </c>
      <c r="L1149" s="173" t="s">
        <v>1021</v>
      </c>
      <c r="M1149" s="173" t="s">
        <v>66</v>
      </c>
      <c r="N1149" s="173" t="s">
        <v>67</v>
      </c>
      <c r="O1149" s="87">
        <v>70</v>
      </c>
      <c r="P1149" s="173" t="s">
        <v>20</v>
      </c>
      <c r="Q1149" s="1" t="s">
        <v>1338</v>
      </c>
      <c r="R1149" s="175">
        <v>90</v>
      </c>
      <c r="S1149">
        <v>18</v>
      </c>
    </row>
    <row r="1150" spans="1:19" x14ac:dyDescent="0.25">
      <c r="A1150" s="87">
        <v>2019</v>
      </c>
      <c r="B1150" s="87">
        <v>8</v>
      </c>
      <c r="C1150" s="173" t="s">
        <v>16</v>
      </c>
      <c r="D1150" s="173" t="s">
        <v>21</v>
      </c>
      <c r="E1150" s="173" t="s">
        <v>18</v>
      </c>
      <c r="F1150" s="173" t="s">
        <v>16</v>
      </c>
      <c r="G1150" s="87" t="b">
        <v>1</v>
      </c>
      <c r="H1150" s="87" t="b">
        <v>0</v>
      </c>
      <c r="I1150" s="87" t="b">
        <v>0</v>
      </c>
      <c r="J1150" s="173" t="s">
        <v>449</v>
      </c>
      <c r="K1150" s="174">
        <v>87827689002405</v>
      </c>
      <c r="L1150" s="173" t="s">
        <v>1021</v>
      </c>
      <c r="M1150" s="173" t="s">
        <v>66</v>
      </c>
      <c r="N1150" s="173" t="s">
        <v>67</v>
      </c>
      <c r="O1150" s="87">
        <v>73</v>
      </c>
      <c r="P1150" s="173" t="s">
        <v>26</v>
      </c>
      <c r="Q1150" s="1" t="s">
        <v>1339</v>
      </c>
      <c r="R1150" s="175">
        <v>16</v>
      </c>
      <c r="S1150">
        <v>8</v>
      </c>
    </row>
    <row r="1151" spans="1:19" x14ac:dyDescent="0.25">
      <c r="A1151" s="87">
        <v>2019</v>
      </c>
      <c r="B1151" s="87">
        <v>8</v>
      </c>
      <c r="C1151" s="173" t="s">
        <v>16</v>
      </c>
      <c r="D1151" s="173" t="s">
        <v>21</v>
      </c>
      <c r="E1151" s="173" t="s">
        <v>18</v>
      </c>
      <c r="F1151" s="173" t="s">
        <v>16</v>
      </c>
      <c r="G1151" s="87" t="b">
        <v>1</v>
      </c>
      <c r="H1151" s="87" t="b">
        <v>0</v>
      </c>
      <c r="I1151" s="87" t="b">
        <v>0</v>
      </c>
      <c r="J1151" s="173" t="s">
        <v>449</v>
      </c>
      <c r="K1151" s="174">
        <v>87827689002405</v>
      </c>
      <c r="L1151" s="173" t="s">
        <v>1021</v>
      </c>
      <c r="M1151" s="173" t="s">
        <v>66</v>
      </c>
      <c r="N1151" s="173" t="s">
        <v>67</v>
      </c>
      <c r="O1151" s="87">
        <v>73</v>
      </c>
      <c r="P1151" s="173" t="s">
        <v>26</v>
      </c>
      <c r="Q1151" s="1" t="s">
        <v>1342</v>
      </c>
      <c r="R1151" s="175">
        <v>256</v>
      </c>
      <c r="S1151">
        <v>64</v>
      </c>
    </row>
    <row r="1152" spans="1:19" x14ac:dyDescent="0.25">
      <c r="A1152" s="87">
        <v>2019</v>
      </c>
      <c r="B1152" s="87">
        <v>8</v>
      </c>
      <c r="C1152" s="173" t="s">
        <v>16</v>
      </c>
      <c r="D1152" s="173" t="s">
        <v>21</v>
      </c>
      <c r="E1152" s="173" t="s">
        <v>18</v>
      </c>
      <c r="F1152" s="173" t="s">
        <v>16</v>
      </c>
      <c r="G1152" s="87" t="b">
        <v>1</v>
      </c>
      <c r="H1152" s="87" t="b">
        <v>0</v>
      </c>
      <c r="I1152" s="87" t="b">
        <v>0</v>
      </c>
      <c r="J1152" s="173" t="s">
        <v>449</v>
      </c>
      <c r="K1152" s="174">
        <v>87827689002405</v>
      </c>
      <c r="L1152" s="173" t="s">
        <v>1021</v>
      </c>
      <c r="M1152" s="173" t="s">
        <v>66</v>
      </c>
      <c r="N1152" s="173" t="s">
        <v>67</v>
      </c>
      <c r="O1152" s="87">
        <v>73</v>
      </c>
      <c r="P1152" s="173" t="s">
        <v>26</v>
      </c>
      <c r="Q1152" s="1" t="s">
        <v>1340</v>
      </c>
      <c r="R1152" s="175">
        <v>2</v>
      </c>
      <c r="S1152">
        <v>2</v>
      </c>
    </row>
    <row r="1153" spans="1:19" x14ac:dyDescent="0.25">
      <c r="A1153" s="87">
        <v>2019</v>
      </c>
      <c r="B1153" s="87">
        <v>8</v>
      </c>
      <c r="C1153" s="173" t="s">
        <v>16</v>
      </c>
      <c r="D1153" s="173" t="s">
        <v>21</v>
      </c>
      <c r="E1153" s="173" t="s">
        <v>18</v>
      </c>
      <c r="F1153" s="173" t="s">
        <v>16</v>
      </c>
      <c r="G1153" s="87" t="b">
        <v>1</v>
      </c>
      <c r="H1153" s="87" t="b">
        <v>0</v>
      </c>
      <c r="I1153" s="87" t="b">
        <v>0</v>
      </c>
      <c r="J1153" s="173" t="s">
        <v>451</v>
      </c>
      <c r="K1153" s="174">
        <v>88625686002443</v>
      </c>
      <c r="L1153" s="173" t="s">
        <v>1023</v>
      </c>
      <c r="M1153" s="173" t="s">
        <v>83</v>
      </c>
      <c r="N1153" s="173" t="s">
        <v>67</v>
      </c>
      <c r="O1153" s="87">
        <v>64</v>
      </c>
      <c r="P1153" s="173" t="s">
        <v>25</v>
      </c>
      <c r="Q1153" s="1" t="s">
        <v>1344</v>
      </c>
      <c r="R1153" s="175">
        <v>10</v>
      </c>
      <c r="S1153">
        <v>10</v>
      </c>
    </row>
    <row r="1154" spans="1:19" x14ac:dyDescent="0.25">
      <c r="A1154" s="87">
        <v>2019</v>
      </c>
      <c r="B1154" s="87">
        <v>8</v>
      </c>
      <c r="C1154" s="173" t="s">
        <v>16</v>
      </c>
      <c r="D1154" s="173" t="s">
        <v>21</v>
      </c>
      <c r="E1154" s="173" t="s">
        <v>18</v>
      </c>
      <c r="F1154" s="173" t="s">
        <v>16</v>
      </c>
      <c r="G1154" s="87" t="b">
        <v>1</v>
      </c>
      <c r="H1154" s="87" t="b">
        <v>0</v>
      </c>
      <c r="I1154" s="87" t="b">
        <v>0</v>
      </c>
      <c r="J1154" s="173" t="s">
        <v>492</v>
      </c>
      <c r="K1154" s="174">
        <v>88625686002443</v>
      </c>
      <c r="L1154" s="173" t="s">
        <v>1023</v>
      </c>
      <c r="M1154" s="173" t="s">
        <v>83</v>
      </c>
      <c r="N1154" s="173" t="s">
        <v>67</v>
      </c>
      <c r="O1154" s="87">
        <v>70</v>
      </c>
      <c r="P1154" s="173" t="s">
        <v>20</v>
      </c>
      <c r="Q1154" s="1" t="s">
        <v>1338</v>
      </c>
      <c r="R1154" s="175">
        <v>240</v>
      </c>
      <c r="S1154">
        <v>48</v>
      </c>
    </row>
    <row r="1155" spans="1:19" x14ac:dyDescent="0.25">
      <c r="A1155" s="87">
        <v>2019</v>
      </c>
      <c r="B1155" s="87">
        <v>8</v>
      </c>
      <c r="C1155" s="173" t="s">
        <v>16</v>
      </c>
      <c r="D1155" s="173" t="s">
        <v>21</v>
      </c>
      <c r="E1155" s="173" t="s">
        <v>18</v>
      </c>
      <c r="F1155" s="173" t="s">
        <v>16</v>
      </c>
      <c r="G1155" s="87" t="b">
        <v>1</v>
      </c>
      <c r="H1155" s="87" t="b">
        <v>0</v>
      </c>
      <c r="I1155" s="87" t="b">
        <v>0</v>
      </c>
      <c r="J1155" s="173" t="s">
        <v>449</v>
      </c>
      <c r="K1155" s="174">
        <v>88630413000796</v>
      </c>
      <c r="L1155" s="173" t="s">
        <v>1024</v>
      </c>
      <c r="M1155" s="173" t="s">
        <v>83</v>
      </c>
      <c r="N1155" s="173" t="s">
        <v>67</v>
      </c>
      <c r="O1155" s="87">
        <v>62</v>
      </c>
      <c r="P1155" s="173" t="s">
        <v>27</v>
      </c>
      <c r="Q1155" s="1" t="s">
        <v>1343</v>
      </c>
      <c r="R1155" s="175">
        <v>3</v>
      </c>
      <c r="S1155">
        <v>3</v>
      </c>
    </row>
    <row r="1156" spans="1:19" x14ac:dyDescent="0.25">
      <c r="A1156" s="87">
        <v>2019</v>
      </c>
      <c r="B1156" s="87">
        <v>8</v>
      </c>
      <c r="C1156" s="173" t="s">
        <v>16</v>
      </c>
      <c r="D1156" s="173" t="s">
        <v>21</v>
      </c>
      <c r="E1156" s="173" t="s">
        <v>18</v>
      </c>
      <c r="F1156" s="173" t="s">
        <v>16</v>
      </c>
      <c r="G1156" s="87" t="b">
        <v>1</v>
      </c>
      <c r="H1156" s="87" t="b">
        <v>0</v>
      </c>
      <c r="I1156" s="87" t="b">
        <v>0</v>
      </c>
      <c r="J1156" s="173" t="s">
        <v>449</v>
      </c>
      <c r="K1156" s="174">
        <v>88645403001372</v>
      </c>
      <c r="L1156" s="173" t="s">
        <v>1025</v>
      </c>
      <c r="M1156" s="173" t="s">
        <v>66</v>
      </c>
      <c r="N1156" s="173" t="s">
        <v>67</v>
      </c>
      <c r="O1156" s="87">
        <v>73</v>
      </c>
      <c r="P1156" s="173" t="s">
        <v>26</v>
      </c>
      <c r="Q1156" s="1" t="s">
        <v>1342</v>
      </c>
      <c r="R1156" s="175">
        <v>16</v>
      </c>
      <c r="S1156">
        <v>4</v>
      </c>
    </row>
    <row r="1157" spans="1:19" x14ac:dyDescent="0.25">
      <c r="A1157" s="87">
        <v>2019</v>
      </c>
      <c r="B1157" s="87">
        <v>8</v>
      </c>
      <c r="C1157" s="173" t="s">
        <v>16</v>
      </c>
      <c r="D1157" s="173" t="s">
        <v>21</v>
      </c>
      <c r="E1157" s="173" t="s">
        <v>18</v>
      </c>
      <c r="F1157" s="173" t="s">
        <v>16</v>
      </c>
      <c r="G1157" s="87" t="b">
        <v>1</v>
      </c>
      <c r="H1157" s="87" t="b">
        <v>0</v>
      </c>
      <c r="I1157" s="87" t="b">
        <v>0</v>
      </c>
      <c r="J1157" s="173" t="s">
        <v>470</v>
      </c>
      <c r="K1157" s="174">
        <v>88645403001372</v>
      </c>
      <c r="L1157" s="173" t="s">
        <v>1025</v>
      </c>
      <c r="M1157" s="173" t="s">
        <v>66</v>
      </c>
      <c r="N1157" s="173" t="s">
        <v>67</v>
      </c>
      <c r="O1157" s="87">
        <v>73</v>
      </c>
      <c r="P1157" s="173" t="s">
        <v>26</v>
      </c>
      <c r="Q1157" s="1" t="s">
        <v>1342</v>
      </c>
      <c r="R1157" s="175">
        <v>16</v>
      </c>
      <c r="S1157">
        <v>4</v>
      </c>
    </row>
    <row r="1158" spans="1:19" x14ac:dyDescent="0.25">
      <c r="A1158" s="87">
        <v>2019</v>
      </c>
      <c r="B1158" s="87">
        <v>8</v>
      </c>
      <c r="C1158" s="173" t="s">
        <v>16</v>
      </c>
      <c r="D1158" s="173" t="s">
        <v>21</v>
      </c>
      <c r="E1158" s="173" t="s">
        <v>18</v>
      </c>
      <c r="F1158" s="173" t="s">
        <v>16</v>
      </c>
      <c r="G1158" s="87" t="b">
        <v>1</v>
      </c>
      <c r="H1158" s="87" t="b">
        <v>0</v>
      </c>
      <c r="I1158" s="87" t="b">
        <v>0</v>
      </c>
      <c r="J1158" s="173" t="s">
        <v>449</v>
      </c>
      <c r="K1158" s="174">
        <v>88830609000139</v>
      </c>
      <c r="L1158" s="173" t="s">
        <v>1026</v>
      </c>
      <c r="M1158" s="173" t="s">
        <v>66</v>
      </c>
      <c r="N1158" s="173" t="s">
        <v>67</v>
      </c>
      <c r="O1158" s="87">
        <v>70</v>
      </c>
      <c r="P1158" s="173" t="s">
        <v>20</v>
      </c>
      <c r="Q1158" s="1" t="s">
        <v>1338</v>
      </c>
      <c r="R1158" s="175">
        <v>140</v>
      </c>
      <c r="S1158">
        <v>28</v>
      </c>
    </row>
    <row r="1159" spans="1:19" x14ac:dyDescent="0.25">
      <c r="A1159" s="87">
        <v>2019</v>
      </c>
      <c r="B1159" s="87">
        <v>8</v>
      </c>
      <c r="C1159" s="173" t="s">
        <v>16</v>
      </c>
      <c r="D1159" s="173" t="s">
        <v>21</v>
      </c>
      <c r="E1159" s="173" t="s">
        <v>18</v>
      </c>
      <c r="F1159" s="173" t="s">
        <v>16</v>
      </c>
      <c r="G1159" s="87" t="b">
        <v>1</v>
      </c>
      <c r="H1159" s="87" t="b">
        <v>0</v>
      </c>
      <c r="I1159" s="87" t="b">
        <v>0</v>
      </c>
      <c r="J1159" s="173" t="s">
        <v>449</v>
      </c>
      <c r="K1159" s="174">
        <v>92404789000164</v>
      </c>
      <c r="L1159" s="173" t="s">
        <v>1028</v>
      </c>
      <c r="M1159" s="173" t="s">
        <v>106</v>
      </c>
      <c r="N1159" s="173" t="s">
        <v>67</v>
      </c>
      <c r="O1159" s="87">
        <v>73</v>
      </c>
      <c r="P1159" s="173" t="s">
        <v>26</v>
      </c>
      <c r="Q1159" s="1" t="s">
        <v>1342</v>
      </c>
      <c r="R1159" s="175">
        <v>8</v>
      </c>
      <c r="S1159">
        <v>2</v>
      </c>
    </row>
    <row r="1160" spans="1:19" x14ac:dyDescent="0.25">
      <c r="A1160" s="87">
        <v>2019</v>
      </c>
      <c r="B1160" s="87">
        <v>8</v>
      </c>
      <c r="C1160" s="173" t="s">
        <v>16</v>
      </c>
      <c r="D1160" s="173" t="s">
        <v>21</v>
      </c>
      <c r="E1160" s="173" t="s">
        <v>18</v>
      </c>
      <c r="F1160" s="173" t="s">
        <v>16</v>
      </c>
      <c r="G1160" s="87" t="b">
        <v>1</v>
      </c>
      <c r="H1160" s="87" t="b">
        <v>0</v>
      </c>
      <c r="I1160" s="87" t="b">
        <v>0</v>
      </c>
      <c r="J1160" s="173" t="s">
        <v>455</v>
      </c>
      <c r="K1160" s="174">
        <v>92685833000151</v>
      </c>
      <c r="L1160" s="173" t="s">
        <v>1029</v>
      </c>
      <c r="M1160" s="173" t="s">
        <v>83</v>
      </c>
      <c r="N1160" s="173" t="s">
        <v>67</v>
      </c>
      <c r="O1160" s="87">
        <v>64</v>
      </c>
      <c r="P1160" s="173" t="s">
        <v>25</v>
      </c>
      <c r="Q1160" s="1" t="s">
        <v>1344</v>
      </c>
      <c r="R1160" s="175">
        <v>14</v>
      </c>
      <c r="S1160">
        <v>14</v>
      </c>
    </row>
    <row r="1161" spans="1:19" x14ac:dyDescent="0.25">
      <c r="A1161" s="87">
        <v>2019</v>
      </c>
      <c r="B1161" s="87">
        <v>8</v>
      </c>
      <c r="C1161" s="173" t="s">
        <v>16</v>
      </c>
      <c r="D1161" s="173" t="s">
        <v>21</v>
      </c>
      <c r="E1161" s="173" t="s">
        <v>18</v>
      </c>
      <c r="F1161" s="173" t="s">
        <v>16</v>
      </c>
      <c r="G1161" s="87" t="b">
        <v>1</v>
      </c>
      <c r="H1161" s="87" t="b">
        <v>0</v>
      </c>
      <c r="I1161" s="87" t="b">
        <v>0</v>
      </c>
      <c r="J1161" s="173" t="s">
        <v>449</v>
      </c>
      <c r="K1161" s="174">
        <v>92685833000151</v>
      </c>
      <c r="L1161" s="173" t="s">
        <v>1029</v>
      </c>
      <c r="M1161" s="173" t="s">
        <v>83</v>
      </c>
      <c r="N1161" s="173" t="s">
        <v>67</v>
      </c>
      <c r="O1161" s="87">
        <v>73</v>
      </c>
      <c r="P1161" s="173" t="s">
        <v>26</v>
      </c>
      <c r="Q1161" s="1" t="s">
        <v>1340</v>
      </c>
      <c r="R1161" s="175">
        <v>4</v>
      </c>
      <c r="S1161">
        <v>4</v>
      </c>
    </row>
    <row r="1162" spans="1:19" x14ac:dyDescent="0.25">
      <c r="A1162" s="87">
        <v>2019</v>
      </c>
      <c r="B1162" s="87">
        <v>8</v>
      </c>
      <c r="C1162" s="173" t="s">
        <v>16</v>
      </c>
      <c r="D1162" s="173" t="s">
        <v>21</v>
      </c>
      <c r="E1162" s="173" t="s">
        <v>18</v>
      </c>
      <c r="F1162" s="173" t="s">
        <v>16</v>
      </c>
      <c r="G1162" s="87" t="b">
        <v>1</v>
      </c>
      <c r="H1162" s="87" t="b">
        <v>0</v>
      </c>
      <c r="I1162" s="87" t="b">
        <v>0</v>
      </c>
      <c r="J1162" s="173" t="s">
        <v>470</v>
      </c>
      <c r="K1162" s="174">
        <v>92685833000151</v>
      </c>
      <c r="L1162" s="173" t="s">
        <v>1029</v>
      </c>
      <c r="M1162" s="173" t="s">
        <v>83</v>
      </c>
      <c r="N1162" s="173" t="s">
        <v>67</v>
      </c>
      <c r="O1162" s="87">
        <v>73</v>
      </c>
      <c r="P1162" s="173" t="s">
        <v>26</v>
      </c>
      <c r="Q1162" s="1" t="s">
        <v>1340</v>
      </c>
      <c r="R1162" s="175">
        <v>4</v>
      </c>
      <c r="S1162">
        <v>4</v>
      </c>
    </row>
    <row r="1163" spans="1:19" x14ac:dyDescent="0.25">
      <c r="A1163" s="87">
        <v>2019</v>
      </c>
      <c r="B1163" s="87">
        <v>8</v>
      </c>
      <c r="C1163" s="173" t="s">
        <v>16</v>
      </c>
      <c r="D1163" s="173" t="s">
        <v>21</v>
      </c>
      <c r="E1163" s="173" t="s">
        <v>18</v>
      </c>
      <c r="F1163" s="173" t="s">
        <v>16</v>
      </c>
      <c r="G1163" s="87" t="b">
        <v>1</v>
      </c>
      <c r="H1163" s="87" t="b">
        <v>0</v>
      </c>
      <c r="I1163" s="87" t="b">
        <v>0</v>
      </c>
      <c r="J1163" s="173" t="s">
        <v>449</v>
      </c>
      <c r="K1163" s="174">
        <v>92741016000254</v>
      </c>
      <c r="L1163" s="173" t="s">
        <v>1030</v>
      </c>
      <c r="M1163" s="173" t="s">
        <v>83</v>
      </c>
      <c r="N1163" s="173" t="s">
        <v>67</v>
      </c>
      <c r="O1163" s="87">
        <v>62</v>
      </c>
      <c r="P1163" s="173" t="s">
        <v>27</v>
      </c>
      <c r="Q1163" s="1" t="s">
        <v>1343</v>
      </c>
      <c r="R1163" s="175">
        <v>3</v>
      </c>
      <c r="S1163">
        <v>3</v>
      </c>
    </row>
    <row r="1164" spans="1:19" x14ac:dyDescent="0.25">
      <c r="A1164" s="87">
        <v>2019</v>
      </c>
      <c r="B1164" s="87">
        <v>8</v>
      </c>
      <c r="C1164" s="173" t="s">
        <v>16</v>
      </c>
      <c r="D1164" s="173" t="s">
        <v>21</v>
      </c>
      <c r="E1164" s="173" t="s">
        <v>18</v>
      </c>
      <c r="F1164" s="173" t="s">
        <v>16</v>
      </c>
      <c r="G1164" s="87" t="b">
        <v>1</v>
      </c>
      <c r="H1164" s="87" t="b">
        <v>0</v>
      </c>
      <c r="I1164" s="87" t="b">
        <v>0</v>
      </c>
      <c r="J1164" s="173" t="s">
        <v>449</v>
      </c>
      <c r="K1164" s="174">
        <v>92741016000254</v>
      </c>
      <c r="L1164" s="173" t="s">
        <v>1030</v>
      </c>
      <c r="M1164" s="173" t="s">
        <v>83</v>
      </c>
      <c r="N1164" s="173" t="s">
        <v>67</v>
      </c>
      <c r="O1164" s="87">
        <v>64</v>
      </c>
      <c r="P1164" s="173" t="s">
        <v>25</v>
      </c>
      <c r="Q1164" s="1" t="s">
        <v>1344</v>
      </c>
      <c r="R1164" s="175">
        <v>11</v>
      </c>
      <c r="S1164">
        <v>11</v>
      </c>
    </row>
    <row r="1165" spans="1:19" x14ac:dyDescent="0.25">
      <c r="A1165" s="87">
        <v>2019</v>
      </c>
      <c r="B1165" s="87">
        <v>8</v>
      </c>
      <c r="C1165" s="173" t="s">
        <v>16</v>
      </c>
      <c r="D1165" s="173" t="s">
        <v>21</v>
      </c>
      <c r="E1165" s="173" t="s">
        <v>18</v>
      </c>
      <c r="F1165" s="173" t="s">
        <v>16</v>
      </c>
      <c r="G1165" s="87" t="b">
        <v>1</v>
      </c>
      <c r="H1165" s="87" t="b">
        <v>0</v>
      </c>
      <c r="I1165" s="87" t="b">
        <v>0</v>
      </c>
      <c r="J1165" s="173" t="s">
        <v>449</v>
      </c>
      <c r="K1165" s="174">
        <v>92815000000168</v>
      </c>
      <c r="L1165" s="173" t="s">
        <v>1033</v>
      </c>
      <c r="M1165" s="173" t="s">
        <v>83</v>
      </c>
      <c r="N1165" s="173" t="s">
        <v>67</v>
      </c>
      <c r="O1165" s="87">
        <v>62</v>
      </c>
      <c r="P1165" s="173" t="s">
        <v>27</v>
      </c>
      <c r="Q1165" s="1" t="s">
        <v>1343</v>
      </c>
      <c r="R1165" s="175">
        <v>56</v>
      </c>
      <c r="S1165">
        <v>56</v>
      </c>
    </row>
    <row r="1166" spans="1:19" x14ac:dyDescent="0.25">
      <c r="A1166" s="87">
        <v>2019</v>
      </c>
      <c r="B1166" s="87">
        <v>8</v>
      </c>
      <c r="C1166" s="173" t="s">
        <v>16</v>
      </c>
      <c r="D1166" s="173" t="s">
        <v>21</v>
      </c>
      <c r="E1166" s="173" t="s">
        <v>18</v>
      </c>
      <c r="F1166" s="173" t="s">
        <v>16</v>
      </c>
      <c r="G1166" s="87" t="b">
        <v>1</v>
      </c>
      <c r="H1166" s="87" t="b">
        <v>0</v>
      </c>
      <c r="I1166" s="87" t="b">
        <v>0</v>
      </c>
      <c r="J1166" s="173" t="s">
        <v>449</v>
      </c>
      <c r="K1166" s="174">
        <v>92815000000168</v>
      </c>
      <c r="L1166" s="173" t="s">
        <v>1033</v>
      </c>
      <c r="M1166" s="173" t="s">
        <v>83</v>
      </c>
      <c r="N1166" s="173" t="s">
        <v>67</v>
      </c>
      <c r="O1166" s="87">
        <v>64</v>
      </c>
      <c r="P1166" s="173" t="s">
        <v>25</v>
      </c>
      <c r="Q1166" s="1" t="s">
        <v>1344</v>
      </c>
      <c r="R1166" s="175">
        <v>23</v>
      </c>
      <c r="S1166">
        <v>23</v>
      </c>
    </row>
    <row r="1167" spans="1:19" x14ac:dyDescent="0.25">
      <c r="A1167" s="87">
        <v>2019</v>
      </c>
      <c r="B1167" s="87">
        <v>8</v>
      </c>
      <c r="C1167" s="173" t="s">
        <v>16</v>
      </c>
      <c r="D1167" s="173" t="s">
        <v>21</v>
      </c>
      <c r="E1167" s="173" t="s">
        <v>18</v>
      </c>
      <c r="F1167" s="173" t="s">
        <v>16</v>
      </c>
      <c r="G1167" s="87" t="b">
        <v>1</v>
      </c>
      <c r="H1167" s="87" t="b">
        <v>0</v>
      </c>
      <c r="I1167" s="87" t="b">
        <v>0</v>
      </c>
      <c r="J1167" s="173" t="s">
        <v>449</v>
      </c>
      <c r="K1167" s="174">
        <v>92815000000168</v>
      </c>
      <c r="L1167" s="173" t="s">
        <v>1033</v>
      </c>
      <c r="M1167" s="173" t="s">
        <v>83</v>
      </c>
      <c r="N1167" s="173" t="s">
        <v>67</v>
      </c>
      <c r="O1167" s="87">
        <v>70</v>
      </c>
      <c r="P1167" s="173" t="s">
        <v>20</v>
      </c>
      <c r="Q1167" s="1" t="s">
        <v>1345</v>
      </c>
      <c r="R1167" s="175">
        <v>90</v>
      </c>
      <c r="S1167">
        <v>9</v>
      </c>
    </row>
    <row r="1168" spans="1:19" x14ac:dyDescent="0.25">
      <c r="A1168" s="87">
        <v>2019</v>
      </c>
      <c r="B1168" s="87">
        <v>8</v>
      </c>
      <c r="C1168" s="173" t="s">
        <v>16</v>
      </c>
      <c r="D1168" s="173" t="s">
        <v>21</v>
      </c>
      <c r="E1168" s="173" t="s">
        <v>18</v>
      </c>
      <c r="F1168" s="173" t="s">
        <v>16</v>
      </c>
      <c r="G1168" s="87" t="b">
        <v>1</v>
      </c>
      <c r="H1168" s="87" t="b">
        <v>0</v>
      </c>
      <c r="I1168" s="87" t="b">
        <v>0</v>
      </c>
      <c r="J1168" s="173" t="s">
        <v>449</v>
      </c>
      <c r="K1168" s="174">
        <v>92815000000168</v>
      </c>
      <c r="L1168" s="173" t="s">
        <v>1033</v>
      </c>
      <c r="M1168" s="173" t="s">
        <v>83</v>
      </c>
      <c r="N1168" s="173" t="s">
        <v>67</v>
      </c>
      <c r="O1168" s="87">
        <v>73</v>
      </c>
      <c r="P1168" s="173" t="s">
        <v>26</v>
      </c>
      <c r="Q1168" s="1" t="s">
        <v>1339</v>
      </c>
      <c r="R1168" s="175">
        <v>52</v>
      </c>
      <c r="S1168">
        <v>26</v>
      </c>
    </row>
    <row r="1169" spans="1:19" x14ac:dyDescent="0.25">
      <c r="A1169" s="87">
        <v>2019</v>
      </c>
      <c r="B1169" s="87">
        <v>8</v>
      </c>
      <c r="C1169" s="173" t="s">
        <v>16</v>
      </c>
      <c r="D1169" s="173" t="s">
        <v>21</v>
      </c>
      <c r="E1169" s="173" t="s">
        <v>18</v>
      </c>
      <c r="F1169" s="173" t="s">
        <v>16</v>
      </c>
      <c r="G1169" s="87" t="b">
        <v>1</v>
      </c>
      <c r="H1169" s="87" t="b">
        <v>0</v>
      </c>
      <c r="I1169" s="87" t="b">
        <v>0</v>
      </c>
      <c r="J1169" s="173" t="s">
        <v>449</v>
      </c>
      <c r="K1169" s="174">
        <v>92815000000168</v>
      </c>
      <c r="L1169" s="173" t="s">
        <v>1033</v>
      </c>
      <c r="M1169" s="173" t="s">
        <v>83</v>
      </c>
      <c r="N1169" s="173" t="s">
        <v>67</v>
      </c>
      <c r="O1169" s="87">
        <v>73</v>
      </c>
      <c r="P1169" s="173" t="s">
        <v>26</v>
      </c>
      <c r="Q1169" s="1" t="s">
        <v>1340</v>
      </c>
      <c r="R1169" s="175">
        <v>2</v>
      </c>
      <c r="S1169">
        <v>2</v>
      </c>
    </row>
    <row r="1170" spans="1:19" x14ac:dyDescent="0.25">
      <c r="A1170" s="87">
        <v>2019</v>
      </c>
      <c r="B1170" s="87">
        <v>8</v>
      </c>
      <c r="C1170" s="173" t="s">
        <v>16</v>
      </c>
      <c r="D1170" s="173" t="s">
        <v>21</v>
      </c>
      <c r="E1170" s="173" t="s">
        <v>18</v>
      </c>
      <c r="F1170" s="173" t="s">
        <v>16</v>
      </c>
      <c r="G1170" s="87" t="b">
        <v>1</v>
      </c>
      <c r="H1170" s="87" t="b">
        <v>0</v>
      </c>
      <c r="I1170" s="87" t="b">
        <v>0</v>
      </c>
      <c r="J1170" s="173" t="s">
        <v>449</v>
      </c>
      <c r="K1170" s="174">
        <v>92898550000198</v>
      </c>
      <c r="L1170" s="173" t="s">
        <v>1034</v>
      </c>
      <c r="M1170" s="173" t="s">
        <v>83</v>
      </c>
      <c r="N1170" s="173" t="s">
        <v>67</v>
      </c>
      <c r="O1170" s="87">
        <v>62</v>
      </c>
      <c r="P1170" s="173" t="s">
        <v>27</v>
      </c>
      <c r="Q1170" s="1" t="s">
        <v>1343</v>
      </c>
      <c r="R1170" s="175">
        <v>2</v>
      </c>
      <c r="S1170">
        <v>2</v>
      </c>
    </row>
    <row r="1171" spans="1:19" x14ac:dyDescent="0.25">
      <c r="A1171" s="87">
        <v>2019</v>
      </c>
      <c r="B1171" s="87">
        <v>8</v>
      </c>
      <c r="C1171" s="173" t="s">
        <v>16</v>
      </c>
      <c r="D1171" s="173" t="s">
        <v>21</v>
      </c>
      <c r="E1171" s="173" t="s">
        <v>18</v>
      </c>
      <c r="F1171" s="173" t="s">
        <v>16</v>
      </c>
      <c r="G1171" s="87" t="b">
        <v>1</v>
      </c>
      <c r="H1171" s="87" t="b">
        <v>0</v>
      </c>
      <c r="I1171" s="87" t="b">
        <v>0</v>
      </c>
      <c r="J1171" s="173" t="s">
        <v>449</v>
      </c>
      <c r="K1171" s="174">
        <v>92963560000160</v>
      </c>
      <c r="L1171" s="173" t="s">
        <v>1035</v>
      </c>
      <c r="M1171" s="173" t="s">
        <v>83</v>
      </c>
      <c r="N1171" s="173" t="s">
        <v>67</v>
      </c>
      <c r="O1171" s="87">
        <v>64</v>
      </c>
      <c r="P1171" s="173" t="s">
        <v>25</v>
      </c>
      <c r="Q1171" s="1" t="s">
        <v>1344</v>
      </c>
      <c r="R1171" s="175">
        <v>20</v>
      </c>
      <c r="S1171">
        <v>20</v>
      </c>
    </row>
    <row r="1172" spans="1:19" x14ac:dyDescent="0.25">
      <c r="A1172" s="87">
        <v>2019</v>
      </c>
      <c r="B1172" s="87">
        <v>8</v>
      </c>
      <c r="C1172" s="173" t="s">
        <v>16</v>
      </c>
      <c r="D1172" s="173" t="s">
        <v>21</v>
      </c>
      <c r="E1172" s="173" t="s">
        <v>18</v>
      </c>
      <c r="F1172" s="173" t="s">
        <v>16</v>
      </c>
      <c r="G1172" s="87" t="b">
        <v>1</v>
      </c>
      <c r="H1172" s="87" t="b">
        <v>0</v>
      </c>
      <c r="I1172" s="87" t="b">
        <v>0</v>
      </c>
      <c r="J1172" s="173" t="s">
        <v>449</v>
      </c>
      <c r="K1172" s="174">
        <v>92963560000160</v>
      </c>
      <c r="L1172" s="173" t="s">
        <v>1035</v>
      </c>
      <c r="M1172" s="173" t="s">
        <v>83</v>
      </c>
      <c r="N1172" s="173" t="s">
        <v>67</v>
      </c>
      <c r="O1172" s="87">
        <v>70</v>
      </c>
      <c r="P1172" s="173" t="s">
        <v>20</v>
      </c>
      <c r="Q1172" s="1" t="s">
        <v>1338</v>
      </c>
      <c r="R1172" s="175">
        <v>100</v>
      </c>
      <c r="S1172">
        <v>20</v>
      </c>
    </row>
    <row r="1173" spans="1:19" x14ac:dyDescent="0.25">
      <c r="A1173" s="87">
        <v>2019</v>
      </c>
      <c r="B1173" s="87">
        <v>8</v>
      </c>
      <c r="C1173" s="173" t="s">
        <v>16</v>
      </c>
      <c r="D1173" s="173" t="s">
        <v>21</v>
      </c>
      <c r="E1173" s="173" t="s">
        <v>18</v>
      </c>
      <c r="F1173" s="173" t="s">
        <v>16</v>
      </c>
      <c r="G1173" s="87" t="b">
        <v>1</v>
      </c>
      <c r="H1173" s="87" t="b">
        <v>0</v>
      </c>
      <c r="I1173" s="87" t="b">
        <v>0</v>
      </c>
      <c r="J1173" s="173" t="s">
        <v>492</v>
      </c>
      <c r="K1173" s="174">
        <v>94831294000147</v>
      </c>
      <c r="L1173" s="173" t="s">
        <v>1036</v>
      </c>
      <c r="M1173" s="173" t="s">
        <v>83</v>
      </c>
      <c r="N1173" s="173" t="s">
        <v>67</v>
      </c>
      <c r="O1173" s="87">
        <v>70</v>
      </c>
      <c r="P1173" s="173" t="s">
        <v>20</v>
      </c>
      <c r="Q1173" s="1" t="s">
        <v>1338</v>
      </c>
      <c r="R1173" s="175">
        <v>30</v>
      </c>
      <c r="S1173">
        <v>6</v>
      </c>
    </row>
    <row r="1174" spans="1:19" x14ac:dyDescent="0.25">
      <c r="A1174" s="87">
        <v>2019</v>
      </c>
      <c r="B1174" s="87">
        <v>8</v>
      </c>
      <c r="C1174" s="173" t="s">
        <v>16</v>
      </c>
      <c r="D1174" s="173" t="s">
        <v>21</v>
      </c>
      <c r="E1174" s="173" t="s">
        <v>18</v>
      </c>
      <c r="F1174" s="173" t="s">
        <v>16</v>
      </c>
      <c r="G1174" s="87" t="b">
        <v>1</v>
      </c>
      <c r="H1174" s="87" t="b">
        <v>0</v>
      </c>
      <c r="I1174" s="87" t="b">
        <v>0</v>
      </c>
      <c r="J1174" s="173" t="s">
        <v>449</v>
      </c>
      <c r="K1174" s="174">
        <v>95610887000146</v>
      </c>
      <c r="L1174" s="173" t="s">
        <v>1037</v>
      </c>
      <c r="M1174" s="173" t="s">
        <v>87</v>
      </c>
      <c r="N1174" s="173" t="s">
        <v>67</v>
      </c>
      <c r="O1174" s="87">
        <v>62</v>
      </c>
      <c r="P1174" s="173" t="s">
        <v>27</v>
      </c>
      <c r="Q1174" s="1" t="s">
        <v>1343</v>
      </c>
      <c r="R1174" s="175">
        <v>3</v>
      </c>
      <c r="S1174">
        <v>3</v>
      </c>
    </row>
    <row r="1175" spans="1:19" x14ac:dyDescent="0.25">
      <c r="A1175" s="87">
        <v>2019</v>
      </c>
      <c r="B1175" s="87">
        <v>8</v>
      </c>
      <c r="C1175" s="173" t="s">
        <v>16</v>
      </c>
      <c r="D1175" s="173" t="s">
        <v>21</v>
      </c>
      <c r="E1175" s="173" t="s">
        <v>18</v>
      </c>
      <c r="F1175" s="173" t="s">
        <v>16</v>
      </c>
      <c r="G1175" s="87" t="b">
        <v>1</v>
      </c>
      <c r="H1175" s="87" t="b">
        <v>0</v>
      </c>
      <c r="I1175" s="87" t="b">
        <v>0</v>
      </c>
      <c r="J1175" s="173" t="s">
        <v>464</v>
      </c>
      <c r="K1175" s="174">
        <v>95610887000146</v>
      </c>
      <c r="L1175" s="173" t="s">
        <v>1037</v>
      </c>
      <c r="M1175" s="173" t="s">
        <v>87</v>
      </c>
      <c r="N1175" s="173" t="s">
        <v>67</v>
      </c>
      <c r="O1175" s="87">
        <v>62</v>
      </c>
      <c r="P1175" s="173" t="s">
        <v>27</v>
      </c>
      <c r="Q1175" s="1" t="s">
        <v>1343</v>
      </c>
      <c r="R1175" s="175">
        <v>6</v>
      </c>
      <c r="S1175">
        <v>6</v>
      </c>
    </row>
    <row r="1176" spans="1:19" x14ac:dyDescent="0.25">
      <c r="A1176" s="87">
        <v>2019</v>
      </c>
      <c r="B1176" s="87">
        <v>8</v>
      </c>
      <c r="C1176" s="173" t="s">
        <v>16</v>
      </c>
      <c r="D1176" s="173" t="s">
        <v>21</v>
      </c>
      <c r="E1176" s="173" t="s">
        <v>18</v>
      </c>
      <c r="F1176" s="173" t="s">
        <v>16</v>
      </c>
      <c r="G1176" s="87" t="b">
        <v>1</v>
      </c>
      <c r="H1176" s="87" t="b">
        <v>0</v>
      </c>
      <c r="I1176" s="87" t="b">
        <v>0</v>
      </c>
      <c r="J1176" s="173" t="s">
        <v>464</v>
      </c>
      <c r="K1176" s="174">
        <v>95610887000146</v>
      </c>
      <c r="L1176" s="173" t="s">
        <v>1037</v>
      </c>
      <c r="M1176" s="173" t="s">
        <v>87</v>
      </c>
      <c r="N1176" s="173" t="s">
        <v>67</v>
      </c>
      <c r="O1176" s="87">
        <v>64</v>
      </c>
      <c r="P1176" s="173" t="s">
        <v>25</v>
      </c>
      <c r="Q1176" s="1" t="s">
        <v>1344</v>
      </c>
      <c r="R1176" s="175">
        <v>9</v>
      </c>
      <c r="S1176">
        <v>9</v>
      </c>
    </row>
    <row r="1177" spans="1:19" x14ac:dyDescent="0.25">
      <c r="A1177" s="87">
        <v>2019</v>
      </c>
      <c r="B1177" s="87">
        <v>8</v>
      </c>
      <c r="C1177" s="173" t="s">
        <v>16</v>
      </c>
      <c r="D1177" s="173" t="s">
        <v>21</v>
      </c>
      <c r="E1177" s="173" t="s">
        <v>18</v>
      </c>
      <c r="F1177" s="173" t="s">
        <v>16</v>
      </c>
      <c r="G1177" s="87" t="b">
        <v>1</v>
      </c>
      <c r="H1177" s="87" t="b">
        <v>0</v>
      </c>
      <c r="I1177" s="87" t="b">
        <v>0</v>
      </c>
      <c r="J1177" s="173" t="s">
        <v>492</v>
      </c>
      <c r="K1177" s="174">
        <v>95610887000146</v>
      </c>
      <c r="L1177" s="173" t="s">
        <v>1037</v>
      </c>
      <c r="M1177" s="173" t="s">
        <v>87</v>
      </c>
      <c r="N1177" s="173" t="s">
        <v>67</v>
      </c>
      <c r="O1177" s="87">
        <v>70</v>
      </c>
      <c r="P1177" s="173" t="s">
        <v>20</v>
      </c>
      <c r="Q1177" s="1" t="s">
        <v>1338</v>
      </c>
      <c r="R1177" s="175">
        <v>100</v>
      </c>
      <c r="S1177">
        <v>20</v>
      </c>
    </row>
    <row r="1178" spans="1:19" x14ac:dyDescent="0.25">
      <c r="A1178" s="87">
        <v>2019</v>
      </c>
      <c r="B1178" s="87">
        <v>9</v>
      </c>
      <c r="C1178" s="173" t="s">
        <v>16</v>
      </c>
      <c r="D1178" s="173" t="s">
        <v>22</v>
      </c>
      <c r="E1178" s="173" t="s">
        <v>18</v>
      </c>
      <c r="F1178" s="173" t="s">
        <v>16</v>
      </c>
      <c r="G1178" s="87" t="b">
        <v>1</v>
      </c>
      <c r="H1178" s="87" t="b">
        <v>1</v>
      </c>
      <c r="I1178" s="87" t="b">
        <v>0</v>
      </c>
      <c r="J1178" s="173" t="s">
        <v>1512</v>
      </c>
      <c r="K1178" s="174">
        <v>320465020</v>
      </c>
      <c r="L1178" s="173" t="s">
        <v>1067</v>
      </c>
      <c r="M1178" s="173" t="s">
        <v>131</v>
      </c>
      <c r="N1178" s="173" t="s">
        <v>61</v>
      </c>
      <c r="O1178" s="87">
        <v>66</v>
      </c>
      <c r="P1178" s="173" t="s">
        <v>28</v>
      </c>
      <c r="Q1178" s="1" t="s">
        <v>1341</v>
      </c>
      <c r="R1178" s="175">
        <v>3</v>
      </c>
      <c r="S1178">
        <v>3</v>
      </c>
    </row>
    <row r="1179" spans="1:19" x14ac:dyDescent="0.25">
      <c r="A1179" s="87">
        <v>2019</v>
      </c>
      <c r="B1179" s="87">
        <v>9</v>
      </c>
      <c r="C1179" s="173" t="s">
        <v>16</v>
      </c>
      <c r="D1179" s="173" t="s">
        <v>22</v>
      </c>
      <c r="E1179" s="173" t="s">
        <v>18</v>
      </c>
      <c r="F1179" s="173" t="s">
        <v>16</v>
      </c>
      <c r="G1179" s="87" t="b">
        <v>1</v>
      </c>
      <c r="H1179" s="87" t="b">
        <v>1</v>
      </c>
      <c r="I1179" s="87" t="b">
        <v>0</v>
      </c>
      <c r="J1179" s="173" t="s">
        <v>1512</v>
      </c>
      <c r="K1179" s="174">
        <v>5371944796</v>
      </c>
      <c r="L1179" s="173" t="s">
        <v>1068</v>
      </c>
      <c r="M1179" s="173" t="s">
        <v>131</v>
      </c>
      <c r="N1179" s="173" t="s">
        <v>61</v>
      </c>
      <c r="O1179" s="87">
        <v>70</v>
      </c>
      <c r="P1179" s="173" t="s">
        <v>20</v>
      </c>
      <c r="Q1179" s="1" t="s">
        <v>1338</v>
      </c>
      <c r="R1179" s="175">
        <v>20</v>
      </c>
      <c r="S1179">
        <v>4</v>
      </c>
    </row>
    <row r="1180" spans="1:19" x14ac:dyDescent="0.25">
      <c r="A1180" s="87">
        <v>2019</v>
      </c>
      <c r="B1180" s="87">
        <v>9</v>
      </c>
      <c r="C1180" s="173" t="s">
        <v>16</v>
      </c>
      <c r="D1180" s="173" t="s">
        <v>22</v>
      </c>
      <c r="E1180" s="173" t="s">
        <v>18</v>
      </c>
      <c r="F1180" s="173" t="s">
        <v>16</v>
      </c>
      <c r="G1180" s="87" t="b">
        <v>1</v>
      </c>
      <c r="H1180" s="87" t="b">
        <v>1</v>
      </c>
      <c r="I1180" s="87" t="b">
        <v>0</v>
      </c>
      <c r="J1180" s="173" t="s">
        <v>1512</v>
      </c>
      <c r="K1180" s="174">
        <v>9324322559</v>
      </c>
      <c r="L1180" s="173" t="s">
        <v>737</v>
      </c>
      <c r="M1180" s="173" t="s">
        <v>75</v>
      </c>
      <c r="N1180" s="173" t="s">
        <v>74</v>
      </c>
      <c r="O1180" s="87">
        <v>73</v>
      </c>
      <c r="P1180" s="173" t="s">
        <v>26</v>
      </c>
      <c r="Q1180" s="1" t="s">
        <v>1340</v>
      </c>
      <c r="R1180" s="175">
        <v>5</v>
      </c>
      <c r="S1180">
        <v>5</v>
      </c>
    </row>
    <row r="1181" spans="1:19" x14ac:dyDescent="0.25">
      <c r="A1181" s="87">
        <v>2019</v>
      </c>
      <c r="B1181" s="87">
        <v>9</v>
      </c>
      <c r="C1181" s="173" t="s">
        <v>16</v>
      </c>
      <c r="D1181" s="173" t="s">
        <v>22</v>
      </c>
      <c r="E1181" s="173" t="s">
        <v>18</v>
      </c>
      <c r="F1181" s="173" t="s">
        <v>16</v>
      </c>
      <c r="G1181" s="87" t="b">
        <v>1</v>
      </c>
      <c r="H1181" s="87" t="b">
        <v>1</v>
      </c>
      <c r="I1181" s="87" t="b">
        <v>0</v>
      </c>
      <c r="J1181" s="173" t="s">
        <v>453</v>
      </c>
      <c r="K1181" s="174">
        <v>12371009253</v>
      </c>
      <c r="L1181" s="173" t="s">
        <v>1128</v>
      </c>
      <c r="M1181" s="173" t="s">
        <v>1129</v>
      </c>
      <c r="N1181" s="173" t="s">
        <v>52</v>
      </c>
      <c r="O1181" s="87">
        <v>73</v>
      </c>
      <c r="P1181" s="173" t="s">
        <v>26</v>
      </c>
      <c r="Q1181" s="1" t="s">
        <v>1339</v>
      </c>
      <c r="R1181" s="175">
        <v>8</v>
      </c>
      <c r="S1181">
        <v>4</v>
      </c>
    </row>
    <row r="1182" spans="1:19" x14ac:dyDescent="0.25">
      <c r="A1182" s="87">
        <v>2019</v>
      </c>
      <c r="B1182" s="87">
        <v>9</v>
      </c>
      <c r="C1182" s="173" t="s">
        <v>16</v>
      </c>
      <c r="D1182" s="173" t="s">
        <v>22</v>
      </c>
      <c r="E1182" s="173" t="s">
        <v>18</v>
      </c>
      <c r="F1182" s="173" t="s">
        <v>16</v>
      </c>
      <c r="G1182" s="87" t="b">
        <v>1</v>
      </c>
      <c r="H1182" s="87" t="b">
        <v>1</v>
      </c>
      <c r="I1182" s="87" t="b">
        <v>0</v>
      </c>
      <c r="J1182" s="173" t="s">
        <v>453</v>
      </c>
      <c r="K1182" s="174">
        <v>12371009253</v>
      </c>
      <c r="L1182" s="173" t="s">
        <v>1128</v>
      </c>
      <c r="M1182" s="173" t="s">
        <v>1129</v>
      </c>
      <c r="N1182" s="173" t="s">
        <v>52</v>
      </c>
      <c r="O1182" s="87">
        <v>73</v>
      </c>
      <c r="P1182" s="173" t="s">
        <v>26</v>
      </c>
      <c r="Q1182" s="1" t="s">
        <v>1340</v>
      </c>
      <c r="R1182" s="175">
        <v>4</v>
      </c>
      <c r="S1182">
        <v>4</v>
      </c>
    </row>
    <row r="1183" spans="1:19" x14ac:dyDescent="0.25">
      <c r="A1183" s="87">
        <v>2019</v>
      </c>
      <c r="B1183" s="87">
        <v>9</v>
      </c>
      <c r="C1183" s="173" t="s">
        <v>16</v>
      </c>
      <c r="D1183" s="173" t="s">
        <v>22</v>
      </c>
      <c r="E1183" s="173" t="s">
        <v>18</v>
      </c>
      <c r="F1183" s="173" t="s">
        <v>16</v>
      </c>
      <c r="G1183" s="87" t="b">
        <v>1</v>
      </c>
      <c r="H1183" s="87" t="b">
        <v>1</v>
      </c>
      <c r="I1183" s="87" t="b">
        <v>0</v>
      </c>
      <c r="J1183" s="173" t="s">
        <v>491</v>
      </c>
      <c r="K1183" s="174">
        <v>25841000153</v>
      </c>
      <c r="L1183" s="173" t="s">
        <v>738</v>
      </c>
      <c r="M1183" s="173" t="s">
        <v>739</v>
      </c>
      <c r="N1183" s="173" t="s">
        <v>55</v>
      </c>
      <c r="O1183" s="87">
        <v>62</v>
      </c>
      <c r="P1183" s="173" t="s">
        <v>27</v>
      </c>
      <c r="Q1183" s="1" t="s">
        <v>1343</v>
      </c>
      <c r="R1183" s="175">
        <v>4</v>
      </c>
      <c r="S1183">
        <v>4</v>
      </c>
    </row>
    <row r="1184" spans="1:19" x14ac:dyDescent="0.25">
      <c r="A1184" s="87">
        <v>2019</v>
      </c>
      <c r="B1184" s="87">
        <v>9</v>
      </c>
      <c r="C1184" s="173" t="s">
        <v>16</v>
      </c>
      <c r="D1184" s="173" t="s">
        <v>22</v>
      </c>
      <c r="E1184" s="173" t="s">
        <v>18</v>
      </c>
      <c r="F1184" s="173" t="s">
        <v>16</v>
      </c>
      <c r="G1184" s="87" t="b">
        <v>1</v>
      </c>
      <c r="H1184" s="87" t="b">
        <v>1</v>
      </c>
      <c r="I1184" s="87" t="b">
        <v>0</v>
      </c>
      <c r="J1184" s="173" t="s">
        <v>1512</v>
      </c>
      <c r="K1184" s="174">
        <v>44482299472</v>
      </c>
      <c r="L1184" s="173" t="s">
        <v>741</v>
      </c>
      <c r="M1184" s="173" t="s">
        <v>742</v>
      </c>
      <c r="N1184" s="173" t="s">
        <v>91</v>
      </c>
      <c r="O1184" s="87">
        <v>66</v>
      </c>
      <c r="P1184" s="173" t="s">
        <v>28</v>
      </c>
      <c r="Q1184" s="1" t="s">
        <v>1341</v>
      </c>
      <c r="R1184" s="175">
        <v>90</v>
      </c>
      <c r="S1184">
        <v>90</v>
      </c>
    </row>
    <row r="1185" spans="1:19" x14ac:dyDescent="0.25">
      <c r="A1185" s="87">
        <v>2019</v>
      </c>
      <c r="B1185" s="87">
        <v>9</v>
      </c>
      <c r="C1185" s="173" t="s">
        <v>16</v>
      </c>
      <c r="D1185" s="173" t="s">
        <v>22</v>
      </c>
      <c r="E1185" s="173" t="s">
        <v>18</v>
      </c>
      <c r="F1185" s="173" t="s">
        <v>16</v>
      </c>
      <c r="G1185" s="87" t="b">
        <v>1</v>
      </c>
      <c r="H1185" s="87" t="b">
        <v>1</v>
      </c>
      <c r="I1185" s="87" t="b">
        <v>0</v>
      </c>
      <c r="J1185" s="173" t="s">
        <v>1512</v>
      </c>
      <c r="K1185" s="174">
        <v>48063983904</v>
      </c>
      <c r="L1185" s="173" t="s">
        <v>929</v>
      </c>
      <c r="M1185" s="173" t="s">
        <v>930</v>
      </c>
      <c r="N1185" s="173" t="s">
        <v>68</v>
      </c>
      <c r="O1185" s="87">
        <v>66</v>
      </c>
      <c r="P1185" s="173" t="s">
        <v>28</v>
      </c>
      <c r="Q1185" s="1" t="s">
        <v>1341</v>
      </c>
      <c r="R1185" s="175">
        <v>59</v>
      </c>
      <c r="S1185">
        <v>59</v>
      </c>
    </row>
    <row r="1186" spans="1:19" x14ac:dyDescent="0.25">
      <c r="A1186" s="87">
        <v>2019</v>
      </c>
      <c r="B1186" s="87">
        <v>9</v>
      </c>
      <c r="C1186" s="173" t="s">
        <v>16</v>
      </c>
      <c r="D1186" s="173" t="s">
        <v>22</v>
      </c>
      <c r="E1186" s="173" t="s">
        <v>18</v>
      </c>
      <c r="F1186" s="173" t="s">
        <v>16</v>
      </c>
      <c r="G1186" s="87" t="b">
        <v>1</v>
      </c>
      <c r="H1186" s="87" t="b">
        <v>1</v>
      </c>
      <c r="I1186" s="87" t="b">
        <v>0</v>
      </c>
      <c r="J1186" s="173" t="s">
        <v>491</v>
      </c>
      <c r="K1186" s="174">
        <v>49791000144</v>
      </c>
      <c r="L1186" s="173" t="s">
        <v>743</v>
      </c>
      <c r="M1186" s="173" t="s">
        <v>739</v>
      </c>
      <c r="N1186" s="173" t="s">
        <v>55</v>
      </c>
      <c r="O1186" s="87">
        <v>64</v>
      </c>
      <c r="P1186" s="173" t="s">
        <v>25</v>
      </c>
      <c r="Q1186" s="1" t="s">
        <v>1344</v>
      </c>
      <c r="R1186" s="175">
        <v>1</v>
      </c>
      <c r="S1186">
        <v>1</v>
      </c>
    </row>
    <row r="1187" spans="1:19" x14ac:dyDescent="0.25">
      <c r="A1187" s="87">
        <v>2019</v>
      </c>
      <c r="B1187" s="87">
        <v>9</v>
      </c>
      <c r="C1187" s="173" t="s">
        <v>16</v>
      </c>
      <c r="D1187" s="173" t="s">
        <v>22</v>
      </c>
      <c r="E1187" s="173" t="s">
        <v>18</v>
      </c>
      <c r="F1187" s="173" t="s">
        <v>16</v>
      </c>
      <c r="G1187" s="87" t="b">
        <v>1</v>
      </c>
      <c r="H1187" s="87" t="b">
        <v>1</v>
      </c>
      <c r="I1187" s="87" t="b">
        <v>0</v>
      </c>
      <c r="J1187" s="173" t="s">
        <v>453</v>
      </c>
      <c r="K1187" s="174">
        <v>83925694404</v>
      </c>
      <c r="L1187" s="173" t="s">
        <v>746</v>
      </c>
      <c r="M1187" s="173" t="s">
        <v>747</v>
      </c>
      <c r="N1187" s="173" t="s">
        <v>56</v>
      </c>
      <c r="O1187" s="87">
        <v>66</v>
      </c>
      <c r="P1187" s="173" t="s">
        <v>28</v>
      </c>
      <c r="Q1187" s="1" t="s">
        <v>1341</v>
      </c>
      <c r="R1187" s="175">
        <v>26</v>
      </c>
      <c r="S1187">
        <v>26</v>
      </c>
    </row>
    <row r="1188" spans="1:19" x14ac:dyDescent="0.25">
      <c r="A1188" s="87">
        <v>2019</v>
      </c>
      <c r="B1188" s="87">
        <v>9</v>
      </c>
      <c r="C1188" s="173" t="s">
        <v>16</v>
      </c>
      <c r="D1188" s="173" t="s">
        <v>22</v>
      </c>
      <c r="E1188" s="173" t="s">
        <v>18</v>
      </c>
      <c r="F1188" s="173" t="s">
        <v>16</v>
      </c>
      <c r="G1188" s="87" t="b">
        <v>1</v>
      </c>
      <c r="H1188" s="87" t="b">
        <v>1</v>
      </c>
      <c r="I1188" s="87" t="b">
        <v>0</v>
      </c>
      <c r="J1188" s="173" t="s">
        <v>1512</v>
      </c>
      <c r="K1188" s="174">
        <v>85465526149</v>
      </c>
      <c r="L1188" s="173" t="s">
        <v>748</v>
      </c>
      <c r="M1188" s="173" t="s">
        <v>739</v>
      </c>
      <c r="N1188" s="173" t="s">
        <v>55</v>
      </c>
      <c r="O1188" s="87">
        <v>66</v>
      </c>
      <c r="P1188" s="173" t="s">
        <v>28</v>
      </c>
      <c r="Q1188" s="1" t="s">
        <v>1341</v>
      </c>
      <c r="R1188" s="175">
        <v>3</v>
      </c>
      <c r="S1188">
        <v>3</v>
      </c>
    </row>
    <row r="1189" spans="1:19" x14ac:dyDescent="0.25">
      <c r="A1189" s="87">
        <v>2019</v>
      </c>
      <c r="B1189" s="87">
        <v>9</v>
      </c>
      <c r="C1189" s="173" t="s">
        <v>16</v>
      </c>
      <c r="D1189" s="173" t="s">
        <v>22</v>
      </c>
      <c r="E1189" s="173" t="s">
        <v>18</v>
      </c>
      <c r="F1189" s="173" t="s">
        <v>16</v>
      </c>
      <c r="G1189" s="87" t="b">
        <v>1</v>
      </c>
      <c r="H1189" s="87" t="b">
        <v>1</v>
      </c>
      <c r="I1189" s="87" t="b">
        <v>0</v>
      </c>
      <c r="J1189" s="173" t="s">
        <v>453</v>
      </c>
      <c r="K1189" s="174">
        <v>93326645287</v>
      </c>
      <c r="L1189" s="173" t="s">
        <v>1239</v>
      </c>
      <c r="M1189" s="173" t="s">
        <v>1129</v>
      </c>
      <c r="N1189" s="173" t="s">
        <v>52</v>
      </c>
      <c r="O1189" s="87">
        <v>73</v>
      </c>
      <c r="P1189" s="173" t="s">
        <v>26</v>
      </c>
      <c r="Q1189" s="1" t="s">
        <v>1342</v>
      </c>
      <c r="R1189" s="175">
        <v>16</v>
      </c>
      <c r="S1189">
        <v>4</v>
      </c>
    </row>
    <row r="1190" spans="1:19" x14ac:dyDescent="0.25">
      <c r="A1190" s="87">
        <v>2019</v>
      </c>
      <c r="B1190" s="87">
        <v>9</v>
      </c>
      <c r="C1190" s="173" t="s">
        <v>16</v>
      </c>
      <c r="D1190" s="173" t="s">
        <v>22</v>
      </c>
      <c r="E1190" s="173" t="s">
        <v>18</v>
      </c>
      <c r="F1190" s="173" t="s">
        <v>16</v>
      </c>
      <c r="G1190" s="87" t="b">
        <v>1</v>
      </c>
      <c r="H1190" s="87" t="b">
        <v>1</v>
      </c>
      <c r="I1190" s="87" t="b">
        <v>0</v>
      </c>
      <c r="J1190" s="173" t="s">
        <v>1512</v>
      </c>
      <c r="K1190" s="174">
        <v>394502014870</v>
      </c>
      <c r="L1190" s="173" t="s">
        <v>1070</v>
      </c>
      <c r="M1190" s="173" t="s">
        <v>131</v>
      </c>
      <c r="N1190" s="173" t="s">
        <v>61</v>
      </c>
      <c r="O1190" s="87">
        <v>64</v>
      </c>
      <c r="P1190" s="173" t="s">
        <v>25</v>
      </c>
      <c r="Q1190" s="1" t="s">
        <v>1344</v>
      </c>
      <c r="R1190" s="175">
        <v>5</v>
      </c>
      <c r="S1190">
        <v>5</v>
      </c>
    </row>
    <row r="1191" spans="1:19" x14ac:dyDescent="0.25">
      <c r="A1191" s="87">
        <v>2019</v>
      </c>
      <c r="B1191" s="87">
        <v>9</v>
      </c>
      <c r="C1191" s="173" t="s">
        <v>16</v>
      </c>
      <c r="D1191" s="173" t="s">
        <v>22</v>
      </c>
      <c r="E1191" s="173" t="s">
        <v>18</v>
      </c>
      <c r="F1191" s="173" t="s">
        <v>16</v>
      </c>
      <c r="G1191" s="87" t="b">
        <v>1</v>
      </c>
      <c r="H1191" s="87" t="b">
        <v>1</v>
      </c>
      <c r="I1191" s="87" t="b">
        <v>0</v>
      </c>
      <c r="J1191" s="173" t="s">
        <v>1330</v>
      </c>
      <c r="K1191" s="174">
        <v>394544000851</v>
      </c>
      <c r="L1191" s="173" t="s">
        <v>1136</v>
      </c>
      <c r="M1191" s="173" t="s">
        <v>739</v>
      </c>
      <c r="N1191" s="173" t="s">
        <v>55</v>
      </c>
      <c r="O1191" s="87">
        <v>62</v>
      </c>
      <c r="P1191" s="173" t="s">
        <v>27</v>
      </c>
      <c r="Q1191" s="1" t="s">
        <v>1343</v>
      </c>
      <c r="R1191" s="175">
        <v>1050</v>
      </c>
      <c r="S1191">
        <v>1050</v>
      </c>
    </row>
    <row r="1192" spans="1:19" x14ac:dyDescent="0.25">
      <c r="A1192" s="87">
        <v>2019</v>
      </c>
      <c r="B1192" s="87">
        <v>9</v>
      </c>
      <c r="C1192" s="173" t="s">
        <v>16</v>
      </c>
      <c r="D1192" s="173" t="s">
        <v>22</v>
      </c>
      <c r="E1192" s="173" t="s">
        <v>18</v>
      </c>
      <c r="F1192" s="173" t="s">
        <v>16</v>
      </c>
      <c r="G1192" s="87" t="b">
        <v>1</v>
      </c>
      <c r="H1192" s="87" t="b">
        <v>1</v>
      </c>
      <c r="I1192" s="87" t="b">
        <v>0</v>
      </c>
      <c r="J1192" s="173" t="s">
        <v>1330</v>
      </c>
      <c r="K1192" s="174">
        <v>394544000851</v>
      </c>
      <c r="L1192" s="173" t="s">
        <v>1136</v>
      </c>
      <c r="M1192" s="173" t="s">
        <v>739</v>
      </c>
      <c r="N1192" s="173" t="s">
        <v>55</v>
      </c>
      <c r="O1192" s="87">
        <v>70</v>
      </c>
      <c r="P1192" s="173" t="s">
        <v>20</v>
      </c>
      <c r="Q1192" s="1" t="s">
        <v>1338</v>
      </c>
      <c r="R1192" s="175">
        <v>120</v>
      </c>
      <c r="S1192">
        <v>24</v>
      </c>
    </row>
    <row r="1193" spans="1:19" x14ac:dyDescent="0.25">
      <c r="A1193" s="87">
        <v>2019</v>
      </c>
      <c r="B1193" s="87">
        <v>9</v>
      </c>
      <c r="C1193" s="173" t="s">
        <v>16</v>
      </c>
      <c r="D1193" s="173" t="s">
        <v>22</v>
      </c>
      <c r="E1193" s="173" t="s">
        <v>18</v>
      </c>
      <c r="F1193" s="173" t="s">
        <v>16</v>
      </c>
      <c r="G1193" s="87" t="b">
        <v>1</v>
      </c>
      <c r="H1193" s="87" t="b">
        <v>1</v>
      </c>
      <c r="I1193" s="87" t="b">
        <v>0</v>
      </c>
      <c r="J1193" s="173" t="s">
        <v>1330</v>
      </c>
      <c r="K1193" s="174">
        <v>394544017150</v>
      </c>
      <c r="L1193" s="173" t="s">
        <v>1071</v>
      </c>
      <c r="M1193" s="173" t="s">
        <v>131</v>
      </c>
      <c r="N1193" s="173" t="s">
        <v>61</v>
      </c>
      <c r="O1193" s="87">
        <v>64</v>
      </c>
      <c r="P1193" s="173" t="s">
        <v>25</v>
      </c>
      <c r="Q1193" s="1" t="s">
        <v>1344</v>
      </c>
      <c r="R1193" s="175">
        <v>20</v>
      </c>
      <c r="S1193">
        <v>20</v>
      </c>
    </row>
    <row r="1194" spans="1:19" x14ac:dyDescent="0.25">
      <c r="A1194" s="87">
        <v>2019</v>
      </c>
      <c r="B1194" s="87">
        <v>9</v>
      </c>
      <c r="C1194" s="173" t="s">
        <v>16</v>
      </c>
      <c r="D1194" s="173" t="s">
        <v>22</v>
      </c>
      <c r="E1194" s="173" t="s">
        <v>18</v>
      </c>
      <c r="F1194" s="173" t="s">
        <v>16</v>
      </c>
      <c r="G1194" s="87" t="b">
        <v>1</v>
      </c>
      <c r="H1194" s="87" t="b">
        <v>1</v>
      </c>
      <c r="I1194" s="87" t="b">
        <v>0</v>
      </c>
      <c r="J1194" s="173" t="s">
        <v>1330</v>
      </c>
      <c r="K1194" s="174">
        <v>394544020453</v>
      </c>
      <c r="L1194" s="173" t="s">
        <v>1074</v>
      </c>
      <c r="M1194" s="173" t="s">
        <v>131</v>
      </c>
      <c r="N1194" s="173" t="s">
        <v>61</v>
      </c>
      <c r="O1194" s="87">
        <v>70</v>
      </c>
      <c r="P1194" s="173" t="s">
        <v>20</v>
      </c>
      <c r="Q1194" s="1" t="s">
        <v>1338</v>
      </c>
      <c r="R1194" s="175">
        <v>200</v>
      </c>
      <c r="S1194">
        <v>40</v>
      </c>
    </row>
    <row r="1195" spans="1:19" x14ac:dyDescent="0.25">
      <c r="A1195" s="87">
        <v>2019</v>
      </c>
      <c r="B1195" s="87">
        <v>9</v>
      </c>
      <c r="C1195" s="173" t="s">
        <v>16</v>
      </c>
      <c r="D1195" s="173" t="s">
        <v>22</v>
      </c>
      <c r="E1195" s="173" t="s">
        <v>18</v>
      </c>
      <c r="F1195" s="173" t="s">
        <v>16</v>
      </c>
      <c r="G1195" s="87" t="b">
        <v>1</v>
      </c>
      <c r="H1195" s="87" t="b">
        <v>1</v>
      </c>
      <c r="I1195" s="87" t="b">
        <v>0</v>
      </c>
      <c r="J1195" s="173" t="s">
        <v>1330</v>
      </c>
      <c r="K1195" s="174">
        <v>394544021344</v>
      </c>
      <c r="L1195" s="173" t="s">
        <v>1076</v>
      </c>
      <c r="M1195" s="173" t="s">
        <v>131</v>
      </c>
      <c r="N1195" s="173" t="s">
        <v>61</v>
      </c>
      <c r="O1195" s="87">
        <v>62</v>
      </c>
      <c r="P1195" s="173" t="s">
        <v>27</v>
      </c>
      <c r="Q1195" s="1" t="s">
        <v>1343</v>
      </c>
      <c r="R1195" s="175">
        <v>250</v>
      </c>
      <c r="S1195">
        <v>250</v>
      </c>
    </row>
    <row r="1196" spans="1:19" x14ac:dyDescent="0.25">
      <c r="A1196" s="87">
        <v>2019</v>
      </c>
      <c r="B1196" s="87">
        <v>9</v>
      </c>
      <c r="C1196" s="173" t="s">
        <v>16</v>
      </c>
      <c r="D1196" s="173" t="s">
        <v>22</v>
      </c>
      <c r="E1196" s="173" t="s">
        <v>18</v>
      </c>
      <c r="F1196" s="173" t="s">
        <v>16</v>
      </c>
      <c r="G1196" s="87" t="b">
        <v>1</v>
      </c>
      <c r="H1196" s="87" t="b">
        <v>1</v>
      </c>
      <c r="I1196" s="87" t="b">
        <v>0</v>
      </c>
      <c r="J1196" s="173" t="s">
        <v>1330</v>
      </c>
      <c r="K1196" s="174">
        <v>394544021344</v>
      </c>
      <c r="L1196" s="173" t="s">
        <v>1076</v>
      </c>
      <c r="M1196" s="173" t="s">
        <v>131</v>
      </c>
      <c r="N1196" s="173" t="s">
        <v>61</v>
      </c>
      <c r="O1196" s="87">
        <v>64</v>
      </c>
      <c r="P1196" s="173" t="s">
        <v>25</v>
      </c>
      <c r="Q1196" s="1" t="s">
        <v>1344</v>
      </c>
      <c r="R1196" s="175">
        <v>208</v>
      </c>
      <c r="S1196">
        <v>208</v>
      </c>
    </row>
    <row r="1197" spans="1:19" x14ac:dyDescent="0.25">
      <c r="A1197" s="87">
        <v>2019</v>
      </c>
      <c r="B1197" s="87">
        <v>9</v>
      </c>
      <c r="C1197" s="173" t="s">
        <v>16</v>
      </c>
      <c r="D1197" s="173" t="s">
        <v>22</v>
      </c>
      <c r="E1197" s="173" t="s">
        <v>18</v>
      </c>
      <c r="F1197" s="173" t="s">
        <v>16</v>
      </c>
      <c r="G1197" s="87" t="b">
        <v>1</v>
      </c>
      <c r="H1197" s="87" t="b">
        <v>1</v>
      </c>
      <c r="I1197" s="87" t="b">
        <v>0</v>
      </c>
      <c r="J1197" s="173" t="s">
        <v>451</v>
      </c>
      <c r="K1197" s="174">
        <v>410960000120</v>
      </c>
      <c r="L1197" s="173" t="s">
        <v>1137</v>
      </c>
      <c r="M1197" s="173" t="s">
        <v>58</v>
      </c>
      <c r="N1197" s="173" t="s">
        <v>54</v>
      </c>
      <c r="O1197" s="87">
        <v>70</v>
      </c>
      <c r="P1197" s="173" t="s">
        <v>20</v>
      </c>
      <c r="Q1197" s="1" t="s">
        <v>1346</v>
      </c>
      <c r="R1197" s="175">
        <v>2.5</v>
      </c>
      <c r="S1197">
        <v>1</v>
      </c>
    </row>
    <row r="1198" spans="1:19" x14ac:dyDescent="0.25">
      <c r="A1198" s="87">
        <v>2019</v>
      </c>
      <c r="B1198" s="87">
        <v>9</v>
      </c>
      <c r="C1198" s="173" t="s">
        <v>16</v>
      </c>
      <c r="D1198" s="173" t="s">
        <v>22</v>
      </c>
      <c r="E1198" s="173" t="s">
        <v>18</v>
      </c>
      <c r="F1198" s="173" t="s">
        <v>16</v>
      </c>
      <c r="G1198" s="87" t="b">
        <v>1</v>
      </c>
      <c r="H1198" s="87" t="b">
        <v>1</v>
      </c>
      <c r="I1198" s="87" t="b">
        <v>0</v>
      </c>
      <c r="J1198" s="173" t="s">
        <v>451</v>
      </c>
      <c r="K1198" s="174">
        <v>410960000120</v>
      </c>
      <c r="L1198" s="173" t="s">
        <v>1137</v>
      </c>
      <c r="M1198" s="173" t="s">
        <v>58</v>
      </c>
      <c r="N1198" s="173" t="s">
        <v>54</v>
      </c>
      <c r="O1198" s="87">
        <v>70</v>
      </c>
      <c r="P1198" s="173" t="s">
        <v>20</v>
      </c>
      <c r="Q1198" s="1" t="s">
        <v>1338</v>
      </c>
      <c r="R1198" s="175">
        <v>660</v>
      </c>
      <c r="S1198">
        <v>132</v>
      </c>
    </row>
    <row r="1199" spans="1:19" x14ac:dyDescent="0.25">
      <c r="A1199" s="87">
        <v>2019</v>
      </c>
      <c r="B1199" s="87">
        <v>9</v>
      </c>
      <c r="C1199" s="173" t="s">
        <v>16</v>
      </c>
      <c r="D1199" s="173" t="s">
        <v>22</v>
      </c>
      <c r="E1199" s="173" t="s">
        <v>18</v>
      </c>
      <c r="F1199" s="173" t="s">
        <v>16</v>
      </c>
      <c r="G1199" s="87" t="b">
        <v>1</v>
      </c>
      <c r="H1199" s="87" t="b">
        <v>1</v>
      </c>
      <c r="I1199" s="87" t="b">
        <v>0</v>
      </c>
      <c r="J1199" s="173" t="s">
        <v>451</v>
      </c>
      <c r="K1199" s="174">
        <v>410960000120</v>
      </c>
      <c r="L1199" s="173" t="s">
        <v>1137</v>
      </c>
      <c r="M1199" s="173" t="s">
        <v>58</v>
      </c>
      <c r="N1199" s="173" t="s">
        <v>54</v>
      </c>
      <c r="O1199" s="87">
        <v>73</v>
      </c>
      <c r="P1199" s="173" t="s">
        <v>26</v>
      </c>
      <c r="Q1199" s="1" t="s">
        <v>1342</v>
      </c>
      <c r="R1199" s="175">
        <v>40</v>
      </c>
      <c r="S1199">
        <v>10</v>
      </c>
    </row>
    <row r="1200" spans="1:19" x14ac:dyDescent="0.25">
      <c r="A1200" s="87">
        <v>2019</v>
      </c>
      <c r="B1200" s="87">
        <v>9</v>
      </c>
      <c r="C1200" s="173" t="s">
        <v>16</v>
      </c>
      <c r="D1200" s="173" t="s">
        <v>22</v>
      </c>
      <c r="E1200" s="173" t="s">
        <v>18</v>
      </c>
      <c r="F1200" s="173" t="s">
        <v>16</v>
      </c>
      <c r="G1200" s="87" t="b">
        <v>1</v>
      </c>
      <c r="H1200" s="87" t="b">
        <v>1</v>
      </c>
      <c r="I1200" s="87" t="b">
        <v>0</v>
      </c>
      <c r="J1200" s="173" t="s">
        <v>451</v>
      </c>
      <c r="K1200" s="174">
        <v>410960000120</v>
      </c>
      <c r="L1200" s="173" t="s">
        <v>1137</v>
      </c>
      <c r="M1200" s="173" t="s">
        <v>58</v>
      </c>
      <c r="N1200" s="173" t="s">
        <v>54</v>
      </c>
      <c r="O1200" s="87">
        <v>73</v>
      </c>
      <c r="P1200" s="173" t="s">
        <v>26</v>
      </c>
      <c r="Q1200" s="1" t="s">
        <v>1340</v>
      </c>
      <c r="R1200" s="175">
        <v>6</v>
      </c>
      <c r="S1200">
        <v>6</v>
      </c>
    </row>
    <row r="1201" spans="1:19" x14ac:dyDescent="0.25">
      <c r="A1201" s="87">
        <v>2019</v>
      </c>
      <c r="B1201" s="87">
        <v>9</v>
      </c>
      <c r="C1201" s="173" t="s">
        <v>16</v>
      </c>
      <c r="D1201" s="173" t="s">
        <v>22</v>
      </c>
      <c r="E1201" s="173" t="s">
        <v>18</v>
      </c>
      <c r="F1201" s="173" t="s">
        <v>16</v>
      </c>
      <c r="G1201" s="87" t="b">
        <v>1</v>
      </c>
      <c r="H1201" s="87" t="b">
        <v>1</v>
      </c>
      <c r="I1201" s="87" t="b">
        <v>0</v>
      </c>
      <c r="J1201" s="173" t="s">
        <v>468</v>
      </c>
      <c r="K1201" s="174">
        <v>418954000119</v>
      </c>
      <c r="L1201" s="173" t="s">
        <v>751</v>
      </c>
      <c r="M1201" s="173" t="s">
        <v>745</v>
      </c>
      <c r="N1201" s="173" t="s">
        <v>59</v>
      </c>
      <c r="O1201" s="87">
        <v>64</v>
      </c>
      <c r="P1201" s="173" t="s">
        <v>25</v>
      </c>
      <c r="Q1201" s="1" t="s">
        <v>1344</v>
      </c>
      <c r="R1201" s="175">
        <v>18</v>
      </c>
      <c r="S1201">
        <v>18</v>
      </c>
    </row>
    <row r="1202" spans="1:19" x14ac:dyDescent="0.25">
      <c r="A1202" s="87">
        <v>2019</v>
      </c>
      <c r="B1202" s="87">
        <v>9</v>
      </c>
      <c r="C1202" s="173" t="s">
        <v>16</v>
      </c>
      <c r="D1202" s="173" t="s">
        <v>22</v>
      </c>
      <c r="E1202" s="173" t="s">
        <v>18</v>
      </c>
      <c r="F1202" s="173" t="s">
        <v>16</v>
      </c>
      <c r="G1202" s="87" t="b">
        <v>1</v>
      </c>
      <c r="H1202" s="87" t="b">
        <v>1</v>
      </c>
      <c r="I1202" s="87" t="b">
        <v>0</v>
      </c>
      <c r="J1202" s="173" t="s">
        <v>491</v>
      </c>
      <c r="K1202" s="174">
        <v>418954000704</v>
      </c>
      <c r="L1202" s="173" t="s">
        <v>752</v>
      </c>
      <c r="M1202" s="173" t="s">
        <v>753</v>
      </c>
      <c r="N1202" s="173" t="s">
        <v>59</v>
      </c>
      <c r="O1202" s="87">
        <v>64</v>
      </c>
      <c r="P1202" s="173" t="s">
        <v>25</v>
      </c>
      <c r="Q1202" s="1" t="s">
        <v>1344</v>
      </c>
      <c r="R1202" s="175">
        <v>20</v>
      </c>
      <c r="S1202">
        <v>20</v>
      </c>
    </row>
    <row r="1203" spans="1:19" x14ac:dyDescent="0.25">
      <c r="A1203" s="87">
        <v>2019</v>
      </c>
      <c r="B1203" s="87">
        <v>9</v>
      </c>
      <c r="C1203" s="173" t="s">
        <v>16</v>
      </c>
      <c r="D1203" s="173" t="s">
        <v>22</v>
      </c>
      <c r="E1203" s="173" t="s">
        <v>18</v>
      </c>
      <c r="F1203" s="173" t="s">
        <v>16</v>
      </c>
      <c r="G1203" s="87" t="b">
        <v>1</v>
      </c>
      <c r="H1203" s="87" t="b">
        <v>1</v>
      </c>
      <c r="I1203" s="87" t="b">
        <v>0</v>
      </c>
      <c r="J1203" s="173" t="s">
        <v>455</v>
      </c>
      <c r="K1203" s="174">
        <v>437007000175</v>
      </c>
      <c r="L1203" s="173" t="s">
        <v>1038</v>
      </c>
      <c r="M1203" s="173" t="s">
        <v>1039</v>
      </c>
      <c r="N1203" s="173" t="s">
        <v>61</v>
      </c>
      <c r="O1203" s="87">
        <v>70</v>
      </c>
      <c r="P1203" s="173" t="s">
        <v>20</v>
      </c>
      <c r="Q1203" s="1" t="s">
        <v>1338</v>
      </c>
      <c r="R1203" s="175">
        <v>325</v>
      </c>
      <c r="S1203">
        <v>65</v>
      </c>
    </row>
    <row r="1204" spans="1:19" x14ac:dyDescent="0.25">
      <c r="A1204" s="87">
        <v>2019</v>
      </c>
      <c r="B1204" s="87">
        <v>9</v>
      </c>
      <c r="C1204" s="173" t="s">
        <v>16</v>
      </c>
      <c r="D1204" s="173" t="s">
        <v>22</v>
      </c>
      <c r="E1204" s="173" t="s">
        <v>18</v>
      </c>
      <c r="F1204" s="173" t="s">
        <v>16</v>
      </c>
      <c r="G1204" s="87" t="b">
        <v>1</v>
      </c>
      <c r="H1204" s="87" t="b">
        <v>1</v>
      </c>
      <c r="I1204" s="87" t="b">
        <v>0</v>
      </c>
      <c r="J1204" s="173" t="s">
        <v>451</v>
      </c>
      <c r="K1204" s="174">
        <v>437007000175</v>
      </c>
      <c r="L1204" s="173" t="s">
        <v>1038</v>
      </c>
      <c r="M1204" s="173" t="s">
        <v>1039</v>
      </c>
      <c r="N1204" s="173" t="s">
        <v>61</v>
      </c>
      <c r="O1204" s="87">
        <v>70</v>
      </c>
      <c r="P1204" s="173" t="s">
        <v>20</v>
      </c>
      <c r="Q1204" s="1" t="s">
        <v>1338</v>
      </c>
      <c r="R1204" s="175">
        <v>175</v>
      </c>
      <c r="S1204">
        <v>35</v>
      </c>
    </row>
    <row r="1205" spans="1:19" x14ac:dyDescent="0.25">
      <c r="A1205" s="87">
        <v>2019</v>
      </c>
      <c r="B1205" s="87">
        <v>9</v>
      </c>
      <c r="C1205" s="173" t="s">
        <v>16</v>
      </c>
      <c r="D1205" s="173" t="s">
        <v>22</v>
      </c>
      <c r="E1205" s="173" t="s">
        <v>18</v>
      </c>
      <c r="F1205" s="173" t="s">
        <v>16</v>
      </c>
      <c r="G1205" s="87" t="b">
        <v>1</v>
      </c>
      <c r="H1205" s="87" t="b">
        <v>1</v>
      </c>
      <c r="I1205" s="87" t="b">
        <v>0</v>
      </c>
      <c r="J1205" s="173" t="s">
        <v>477</v>
      </c>
      <c r="K1205" s="174">
        <v>437007000175</v>
      </c>
      <c r="L1205" s="173" t="s">
        <v>1038</v>
      </c>
      <c r="M1205" s="173" t="s">
        <v>1039</v>
      </c>
      <c r="N1205" s="173" t="s">
        <v>61</v>
      </c>
      <c r="O1205" s="87">
        <v>73</v>
      </c>
      <c r="P1205" s="173" t="s">
        <v>26</v>
      </c>
      <c r="Q1205" s="1" t="s">
        <v>1339</v>
      </c>
      <c r="R1205" s="175">
        <v>2</v>
      </c>
      <c r="S1205">
        <v>1</v>
      </c>
    </row>
    <row r="1206" spans="1:19" x14ac:dyDescent="0.25">
      <c r="A1206" s="87">
        <v>2019</v>
      </c>
      <c r="B1206" s="87">
        <v>9</v>
      </c>
      <c r="C1206" s="173" t="s">
        <v>16</v>
      </c>
      <c r="D1206" s="173" t="s">
        <v>22</v>
      </c>
      <c r="E1206" s="173" t="s">
        <v>18</v>
      </c>
      <c r="F1206" s="173" t="s">
        <v>16</v>
      </c>
      <c r="G1206" s="87" t="b">
        <v>1</v>
      </c>
      <c r="H1206" s="87" t="b">
        <v>1</v>
      </c>
      <c r="I1206" s="87" t="b">
        <v>0</v>
      </c>
      <c r="J1206" s="173" t="s">
        <v>477</v>
      </c>
      <c r="K1206" s="174">
        <v>437007000175</v>
      </c>
      <c r="L1206" s="173" t="s">
        <v>1038</v>
      </c>
      <c r="M1206" s="173" t="s">
        <v>1039</v>
      </c>
      <c r="N1206" s="173" t="s">
        <v>61</v>
      </c>
      <c r="O1206" s="87">
        <v>73</v>
      </c>
      <c r="P1206" s="173" t="s">
        <v>26</v>
      </c>
      <c r="Q1206" s="1" t="s">
        <v>1342</v>
      </c>
      <c r="R1206" s="175">
        <v>44</v>
      </c>
      <c r="S1206">
        <v>11</v>
      </c>
    </row>
    <row r="1207" spans="1:19" x14ac:dyDescent="0.25">
      <c r="A1207" s="87">
        <v>2019</v>
      </c>
      <c r="B1207" s="87">
        <v>9</v>
      </c>
      <c r="C1207" s="173" t="s">
        <v>16</v>
      </c>
      <c r="D1207" s="173" t="s">
        <v>22</v>
      </c>
      <c r="E1207" s="173" t="s">
        <v>18</v>
      </c>
      <c r="F1207" s="173" t="s">
        <v>16</v>
      </c>
      <c r="G1207" s="87" t="b">
        <v>1</v>
      </c>
      <c r="H1207" s="87" t="b">
        <v>1</v>
      </c>
      <c r="I1207" s="87" t="b">
        <v>0</v>
      </c>
      <c r="J1207" s="173" t="s">
        <v>491</v>
      </c>
      <c r="K1207" s="174">
        <v>437007000175</v>
      </c>
      <c r="L1207" s="173" t="s">
        <v>1038</v>
      </c>
      <c r="M1207" s="173" t="s">
        <v>1039</v>
      </c>
      <c r="N1207" s="173" t="s">
        <v>61</v>
      </c>
      <c r="O1207" s="87">
        <v>73</v>
      </c>
      <c r="P1207" s="173" t="s">
        <v>26</v>
      </c>
      <c r="Q1207" s="1" t="s">
        <v>1339</v>
      </c>
      <c r="R1207" s="175">
        <v>8</v>
      </c>
      <c r="S1207">
        <v>4</v>
      </c>
    </row>
    <row r="1208" spans="1:19" x14ac:dyDescent="0.25">
      <c r="A1208" s="87">
        <v>2019</v>
      </c>
      <c r="B1208" s="87">
        <v>9</v>
      </c>
      <c r="C1208" s="173" t="s">
        <v>16</v>
      </c>
      <c r="D1208" s="173" t="s">
        <v>22</v>
      </c>
      <c r="E1208" s="173" t="s">
        <v>18</v>
      </c>
      <c r="F1208" s="173" t="s">
        <v>16</v>
      </c>
      <c r="G1208" s="87" t="b">
        <v>1</v>
      </c>
      <c r="H1208" s="87" t="b">
        <v>1</v>
      </c>
      <c r="I1208" s="87" t="b">
        <v>0</v>
      </c>
      <c r="J1208" s="173" t="s">
        <v>491</v>
      </c>
      <c r="K1208" s="174">
        <v>437007000175</v>
      </c>
      <c r="L1208" s="173" t="s">
        <v>1038</v>
      </c>
      <c r="M1208" s="173" t="s">
        <v>1039</v>
      </c>
      <c r="N1208" s="173" t="s">
        <v>61</v>
      </c>
      <c r="O1208" s="87">
        <v>73</v>
      </c>
      <c r="P1208" s="173" t="s">
        <v>26</v>
      </c>
      <c r="Q1208" s="1" t="s">
        <v>1342</v>
      </c>
      <c r="R1208" s="175">
        <v>244</v>
      </c>
      <c r="S1208">
        <v>61</v>
      </c>
    </row>
    <row r="1209" spans="1:19" x14ac:dyDescent="0.25">
      <c r="A1209" s="87">
        <v>2019</v>
      </c>
      <c r="B1209" s="87">
        <v>9</v>
      </c>
      <c r="C1209" s="173" t="s">
        <v>16</v>
      </c>
      <c r="D1209" s="173" t="s">
        <v>22</v>
      </c>
      <c r="E1209" s="173" t="s">
        <v>18</v>
      </c>
      <c r="F1209" s="173" t="s">
        <v>16</v>
      </c>
      <c r="G1209" s="87" t="b">
        <v>1</v>
      </c>
      <c r="H1209" s="87" t="b">
        <v>1</v>
      </c>
      <c r="I1209" s="87" t="b">
        <v>0</v>
      </c>
      <c r="J1209" s="173" t="s">
        <v>468</v>
      </c>
      <c r="K1209" s="174">
        <v>520237000101</v>
      </c>
      <c r="L1209" s="173" t="s">
        <v>755</v>
      </c>
      <c r="M1209" s="173" t="s">
        <v>739</v>
      </c>
      <c r="N1209" s="173" t="s">
        <v>55</v>
      </c>
      <c r="O1209" s="87">
        <v>70</v>
      </c>
      <c r="P1209" s="173" t="s">
        <v>20</v>
      </c>
      <c r="Q1209" s="1" t="s">
        <v>1338</v>
      </c>
      <c r="R1209" s="175">
        <v>150</v>
      </c>
      <c r="S1209">
        <v>30</v>
      </c>
    </row>
    <row r="1210" spans="1:19" x14ac:dyDescent="0.25">
      <c r="A1210" s="87">
        <v>2019</v>
      </c>
      <c r="B1210" s="87">
        <v>9</v>
      </c>
      <c r="C1210" s="173" t="s">
        <v>16</v>
      </c>
      <c r="D1210" s="173" t="s">
        <v>22</v>
      </c>
      <c r="E1210" s="173" t="s">
        <v>18</v>
      </c>
      <c r="F1210" s="173" t="s">
        <v>16</v>
      </c>
      <c r="G1210" s="87" t="b">
        <v>1</v>
      </c>
      <c r="H1210" s="87" t="b">
        <v>1</v>
      </c>
      <c r="I1210" s="87" t="b">
        <v>0</v>
      </c>
      <c r="J1210" s="173" t="s">
        <v>468</v>
      </c>
      <c r="K1210" s="174">
        <v>520237000101</v>
      </c>
      <c r="L1210" s="173" t="s">
        <v>755</v>
      </c>
      <c r="M1210" s="173" t="s">
        <v>739</v>
      </c>
      <c r="N1210" s="173" t="s">
        <v>55</v>
      </c>
      <c r="O1210" s="87">
        <v>73</v>
      </c>
      <c r="P1210" s="173" t="s">
        <v>26</v>
      </c>
      <c r="Q1210" s="1" t="s">
        <v>1339</v>
      </c>
      <c r="R1210" s="175">
        <v>10</v>
      </c>
      <c r="S1210">
        <v>5</v>
      </c>
    </row>
    <row r="1211" spans="1:19" x14ac:dyDescent="0.25">
      <c r="A1211" s="87">
        <v>2019</v>
      </c>
      <c r="B1211" s="87">
        <v>9</v>
      </c>
      <c r="C1211" s="173" t="s">
        <v>16</v>
      </c>
      <c r="D1211" s="173" t="s">
        <v>22</v>
      </c>
      <c r="E1211" s="173" t="s">
        <v>18</v>
      </c>
      <c r="F1211" s="173" t="s">
        <v>16</v>
      </c>
      <c r="G1211" s="87" t="b">
        <v>1</v>
      </c>
      <c r="H1211" s="87" t="b">
        <v>1</v>
      </c>
      <c r="I1211" s="87" t="b">
        <v>0</v>
      </c>
      <c r="J1211" s="173" t="s">
        <v>468</v>
      </c>
      <c r="K1211" s="174">
        <v>520237000101</v>
      </c>
      <c r="L1211" s="173" t="s">
        <v>755</v>
      </c>
      <c r="M1211" s="173" t="s">
        <v>739</v>
      </c>
      <c r="N1211" s="173" t="s">
        <v>55</v>
      </c>
      <c r="O1211" s="87">
        <v>73</v>
      </c>
      <c r="P1211" s="173" t="s">
        <v>26</v>
      </c>
      <c r="Q1211" s="1" t="s">
        <v>1342</v>
      </c>
      <c r="R1211" s="175">
        <v>100</v>
      </c>
      <c r="S1211">
        <v>25</v>
      </c>
    </row>
    <row r="1212" spans="1:19" x14ac:dyDescent="0.25">
      <c r="A1212" s="87">
        <v>2019</v>
      </c>
      <c r="B1212" s="87">
        <v>9</v>
      </c>
      <c r="C1212" s="173" t="s">
        <v>16</v>
      </c>
      <c r="D1212" s="173" t="s">
        <v>22</v>
      </c>
      <c r="E1212" s="173" t="s">
        <v>18</v>
      </c>
      <c r="F1212" s="173" t="s">
        <v>16</v>
      </c>
      <c r="G1212" s="87" t="b">
        <v>1</v>
      </c>
      <c r="H1212" s="87" t="b">
        <v>1</v>
      </c>
      <c r="I1212" s="87" t="b">
        <v>0</v>
      </c>
      <c r="J1212" s="173" t="s">
        <v>468</v>
      </c>
      <c r="K1212" s="174">
        <v>520237000101</v>
      </c>
      <c r="L1212" s="173" t="s">
        <v>755</v>
      </c>
      <c r="M1212" s="173" t="s">
        <v>739</v>
      </c>
      <c r="N1212" s="173" t="s">
        <v>55</v>
      </c>
      <c r="O1212" s="87">
        <v>73</v>
      </c>
      <c r="P1212" s="173" t="s">
        <v>26</v>
      </c>
      <c r="Q1212" s="1" t="s">
        <v>1340</v>
      </c>
      <c r="R1212" s="175">
        <v>5</v>
      </c>
      <c r="S1212">
        <v>5</v>
      </c>
    </row>
    <row r="1213" spans="1:19" x14ac:dyDescent="0.25">
      <c r="A1213" s="87">
        <v>2019</v>
      </c>
      <c r="B1213" s="87">
        <v>9</v>
      </c>
      <c r="C1213" s="173" t="s">
        <v>16</v>
      </c>
      <c r="D1213" s="173" t="s">
        <v>22</v>
      </c>
      <c r="E1213" s="173" t="s">
        <v>18</v>
      </c>
      <c r="F1213" s="173" t="s">
        <v>16</v>
      </c>
      <c r="G1213" s="87" t="b">
        <v>1</v>
      </c>
      <c r="H1213" s="87" t="b">
        <v>1</v>
      </c>
      <c r="I1213" s="87" t="b">
        <v>0</v>
      </c>
      <c r="J1213" s="173" t="s">
        <v>491</v>
      </c>
      <c r="K1213" s="174">
        <v>520237000101</v>
      </c>
      <c r="L1213" s="173" t="s">
        <v>755</v>
      </c>
      <c r="M1213" s="173" t="s">
        <v>739</v>
      </c>
      <c r="N1213" s="173" t="s">
        <v>55</v>
      </c>
      <c r="O1213" s="87">
        <v>73</v>
      </c>
      <c r="P1213" s="173" t="s">
        <v>26</v>
      </c>
      <c r="Q1213" s="1" t="s">
        <v>1342</v>
      </c>
      <c r="R1213" s="175">
        <v>40</v>
      </c>
      <c r="S1213">
        <v>10</v>
      </c>
    </row>
    <row r="1214" spans="1:19" x14ac:dyDescent="0.25">
      <c r="A1214" s="87">
        <v>2019</v>
      </c>
      <c r="B1214" s="87">
        <v>9</v>
      </c>
      <c r="C1214" s="173" t="s">
        <v>16</v>
      </c>
      <c r="D1214" s="173" t="s">
        <v>22</v>
      </c>
      <c r="E1214" s="173" t="s">
        <v>18</v>
      </c>
      <c r="F1214" s="173" t="s">
        <v>16</v>
      </c>
      <c r="G1214" s="87" t="b">
        <v>1</v>
      </c>
      <c r="H1214" s="87" t="b">
        <v>1</v>
      </c>
      <c r="I1214" s="87" t="b">
        <v>0</v>
      </c>
      <c r="J1214" s="173" t="s">
        <v>477</v>
      </c>
      <c r="K1214" s="174">
        <v>521197000104</v>
      </c>
      <c r="L1214" s="173" t="s">
        <v>1040</v>
      </c>
      <c r="M1214" s="173" t="s">
        <v>1039</v>
      </c>
      <c r="N1214" s="173" t="s">
        <v>61</v>
      </c>
      <c r="O1214" s="87">
        <v>70</v>
      </c>
      <c r="P1214" s="173" t="s">
        <v>20</v>
      </c>
      <c r="Q1214" s="1" t="s">
        <v>1338</v>
      </c>
      <c r="R1214" s="175">
        <v>160</v>
      </c>
      <c r="S1214">
        <v>32</v>
      </c>
    </row>
    <row r="1215" spans="1:19" x14ac:dyDescent="0.25">
      <c r="A1215" s="87">
        <v>2019</v>
      </c>
      <c r="B1215" s="87">
        <v>9</v>
      </c>
      <c r="C1215" s="173" t="s">
        <v>16</v>
      </c>
      <c r="D1215" s="173" t="s">
        <v>22</v>
      </c>
      <c r="E1215" s="173" t="s">
        <v>18</v>
      </c>
      <c r="F1215" s="173" t="s">
        <v>16</v>
      </c>
      <c r="G1215" s="87" t="b">
        <v>1</v>
      </c>
      <c r="H1215" s="87" t="b">
        <v>1</v>
      </c>
      <c r="I1215" s="87" t="b">
        <v>0</v>
      </c>
      <c r="J1215" s="173" t="s">
        <v>451</v>
      </c>
      <c r="K1215" s="174">
        <v>521197000104</v>
      </c>
      <c r="L1215" s="173" t="s">
        <v>1040</v>
      </c>
      <c r="M1215" s="173" t="s">
        <v>1039</v>
      </c>
      <c r="N1215" s="173" t="s">
        <v>61</v>
      </c>
      <c r="O1215" s="87">
        <v>70</v>
      </c>
      <c r="P1215" s="173" t="s">
        <v>20</v>
      </c>
      <c r="Q1215" s="1" t="s">
        <v>1346</v>
      </c>
      <c r="R1215" s="175">
        <v>12.5</v>
      </c>
      <c r="S1215">
        <v>5</v>
      </c>
    </row>
    <row r="1216" spans="1:19" x14ac:dyDescent="0.25">
      <c r="A1216" s="87">
        <v>2019</v>
      </c>
      <c r="B1216" s="87">
        <v>9</v>
      </c>
      <c r="C1216" s="173" t="s">
        <v>16</v>
      </c>
      <c r="D1216" s="173" t="s">
        <v>22</v>
      </c>
      <c r="E1216" s="173" t="s">
        <v>18</v>
      </c>
      <c r="F1216" s="173" t="s">
        <v>16</v>
      </c>
      <c r="G1216" s="87" t="b">
        <v>1</v>
      </c>
      <c r="H1216" s="87" t="b">
        <v>1</v>
      </c>
      <c r="I1216" s="87" t="b">
        <v>0</v>
      </c>
      <c r="J1216" s="173" t="s">
        <v>491</v>
      </c>
      <c r="K1216" s="174">
        <v>521197000104</v>
      </c>
      <c r="L1216" s="173" t="s">
        <v>1040</v>
      </c>
      <c r="M1216" s="173" t="s">
        <v>1039</v>
      </c>
      <c r="N1216" s="173" t="s">
        <v>61</v>
      </c>
      <c r="O1216" s="87">
        <v>70</v>
      </c>
      <c r="P1216" s="173" t="s">
        <v>20</v>
      </c>
      <c r="Q1216" s="1" t="s">
        <v>1338</v>
      </c>
      <c r="R1216" s="175">
        <v>125</v>
      </c>
      <c r="S1216">
        <v>25</v>
      </c>
    </row>
    <row r="1217" spans="1:19" x14ac:dyDescent="0.25">
      <c r="A1217" s="87">
        <v>2019</v>
      </c>
      <c r="B1217" s="87">
        <v>9</v>
      </c>
      <c r="C1217" s="173" t="s">
        <v>16</v>
      </c>
      <c r="D1217" s="173" t="s">
        <v>22</v>
      </c>
      <c r="E1217" s="173" t="s">
        <v>18</v>
      </c>
      <c r="F1217" s="173" t="s">
        <v>16</v>
      </c>
      <c r="G1217" s="87" t="b">
        <v>1</v>
      </c>
      <c r="H1217" s="87" t="b">
        <v>1</v>
      </c>
      <c r="I1217" s="87" t="b">
        <v>0</v>
      </c>
      <c r="J1217" s="173" t="s">
        <v>468</v>
      </c>
      <c r="K1217" s="174">
        <v>610980000144</v>
      </c>
      <c r="L1217" s="173" t="s">
        <v>756</v>
      </c>
      <c r="M1217" s="173" t="s">
        <v>739</v>
      </c>
      <c r="N1217" s="173" t="s">
        <v>55</v>
      </c>
      <c r="O1217" s="87">
        <v>64</v>
      </c>
      <c r="P1217" s="173" t="s">
        <v>25</v>
      </c>
      <c r="Q1217" s="1" t="s">
        <v>1344</v>
      </c>
      <c r="R1217" s="175">
        <v>12</v>
      </c>
      <c r="S1217">
        <v>12</v>
      </c>
    </row>
    <row r="1218" spans="1:19" x14ac:dyDescent="0.25">
      <c r="A1218" s="87">
        <v>2019</v>
      </c>
      <c r="B1218" s="87">
        <v>9</v>
      </c>
      <c r="C1218" s="173" t="s">
        <v>16</v>
      </c>
      <c r="D1218" s="173" t="s">
        <v>22</v>
      </c>
      <c r="E1218" s="173" t="s">
        <v>18</v>
      </c>
      <c r="F1218" s="173" t="s">
        <v>16</v>
      </c>
      <c r="G1218" s="87" t="b">
        <v>1</v>
      </c>
      <c r="H1218" s="87" t="b">
        <v>1</v>
      </c>
      <c r="I1218" s="87" t="b">
        <v>0</v>
      </c>
      <c r="J1218" s="173" t="s">
        <v>468</v>
      </c>
      <c r="K1218" s="174">
        <v>610980000144</v>
      </c>
      <c r="L1218" s="173" t="s">
        <v>756</v>
      </c>
      <c r="M1218" s="173" t="s">
        <v>739</v>
      </c>
      <c r="N1218" s="173" t="s">
        <v>55</v>
      </c>
      <c r="O1218" s="87">
        <v>70</v>
      </c>
      <c r="P1218" s="173" t="s">
        <v>20</v>
      </c>
      <c r="Q1218" s="1" t="s">
        <v>1338</v>
      </c>
      <c r="R1218" s="175">
        <v>400</v>
      </c>
      <c r="S1218">
        <v>80</v>
      </c>
    </row>
    <row r="1219" spans="1:19" x14ac:dyDescent="0.25">
      <c r="A1219" s="87">
        <v>2019</v>
      </c>
      <c r="B1219" s="87">
        <v>9</v>
      </c>
      <c r="C1219" s="173" t="s">
        <v>16</v>
      </c>
      <c r="D1219" s="173" t="s">
        <v>22</v>
      </c>
      <c r="E1219" s="173" t="s">
        <v>18</v>
      </c>
      <c r="F1219" s="173" t="s">
        <v>16</v>
      </c>
      <c r="G1219" s="87" t="b">
        <v>1</v>
      </c>
      <c r="H1219" s="87" t="b">
        <v>1</v>
      </c>
      <c r="I1219" s="87" t="b">
        <v>0</v>
      </c>
      <c r="J1219" s="173" t="s">
        <v>464</v>
      </c>
      <c r="K1219" s="174">
        <v>820737000150</v>
      </c>
      <c r="L1219" s="173" t="s">
        <v>757</v>
      </c>
      <c r="M1219" s="173" t="s">
        <v>62</v>
      </c>
      <c r="N1219" s="173" t="s">
        <v>63</v>
      </c>
      <c r="O1219" s="87">
        <v>64</v>
      </c>
      <c r="P1219" s="173" t="s">
        <v>25</v>
      </c>
      <c r="Q1219" s="1" t="s">
        <v>1344</v>
      </c>
      <c r="R1219" s="175">
        <v>21</v>
      </c>
      <c r="S1219">
        <v>21</v>
      </c>
    </row>
    <row r="1220" spans="1:19" x14ac:dyDescent="0.25">
      <c r="A1220" s="87">
        <v>2019</v>
      </c>
      <c r="B1220" s="87">
        <v>9</v>
      </c>
      <c r="C1220" s="173" t="s">
        <v>16</v>
      </c>
      <c r="D1220" s="173" t="s">
        <v>22</v>
      </c>
      <c r="E1220" s="173" t="s">
        <v>18</v>
      </c>
      <c r="F1220" s="173" t="s">
        <v>16</v>
      </c>
      <c r="G1220" s="87" t="b">
        <v>1</v>
      </c>
      <c r="H1220" s="87" t="b">
        <v>1</v>
      </c>
      <c r="I1220" s="87" t="b">
        <v>0</v>
      </c>
      <c r="J1220" s="173" t="s">
        <v>495</v>
      </c>
      <c r="K1220" s="174">
        <v>840048000450</v>
      </c>
      <c r="L1220" s="173" t="s">
        <v>637</v>
      </c>
      <c r="M1220" s="173" t="s">
        <v>30</v>
      </c>
      <c r="N1220" s="173" t="s">
        <v>19</v>
      </c>
      <c r="O1220" s="87">
        <v>70</v>
      </c>
      <c r="P1220" s="173" t="s">
        <v>20</v>
      </c>
      <c r="Q1220" s="1" t="s">
        <v>1345</v>
      </c>
      <c r="R1220" s="175">
        <v>240</v>
      </c>
      <c r="S1220">
        <v>24</v>
      </c>
    </row>
    <row r="1221" spans="1:19" x14ac:dyDescent="0.25">
      <c r="A1221" s="87">
        <v>2019</v>
      </c>
      <c r="B1221" s="87">
        <v>9</v>
      </c>
      <c r="C1221" s="173" t="s">
        <v>16</v>
      </c>
      <c r="D1221" s="173" t="s">
        <v>22</v>
      </c>
      <c r="E1221" s="173" t="s">
        <v>18</v>
      </c>
      <c r="F1221" s="173" t="s">
        <v>16</v>
      </c>
      <c r="G1221" s="87" t="b">
        <v>1</v>
      </c>
      <c r="H1221" s="87" t="b">
        <v>1</v>
      </c>
      <c r="I1221" s="87" t="b">
        <v>0</v>
      </c>
      <c r="J1221" s="173" t="s">
        <v>492</v>
      </c>
      <c r="K1221" s="174">
        <v>942063000167</v>
      </c>
      <c r="L1221" s="173" t="s">
        <v>934</v>
      </c>
      <c r="M1221" s="173" t="s">
        <v>94</v>
      </c>
      <c r="N1221" s="173" t="s">
        <v>57</v>
      </c>
      <c r="O1221" s="87">
        <v>70</v>
      </c>
      <c r="P1221" s="173" t="s">
        <v>20</v>
      </c>
      <c r="Q1221" s="1" t="s">
        <v>1338</v>
      </c>
      <c r="R1221" s="175">
        <v>800</v>
      </c>
      <c r="S1221">
        <v>160</v>
      </c>
    </row>
    <row r="1222" spans="1:19" x14ac:dyDescent="0.25">
      <c r="A1222" s="87">
        <v>2019</v>
      </c>
      <c r="B1222" s="87">
        <v>9</v>
      </c>
      <c r="C1222" s="173" t="s">
        <v>16</v>
      </c>
      <c r="D1222" s="173" t="s">
        <v>22</v>
      </c>
      <c r="E1222" s="173" t="s">
        <v>18</v>
      </c>
      <c r="F1222" s="173" t="s">
        <v>16</v>
      </c>
      <c r="G1222" s="87" t="b">
        <v>1</v>
      </c>
      <c r="H1222" s="87" t="b">
        <v>1</v>
      </c>
      <c r="I1222" s="87" t="b">
        <v>0</v>
      </c>
      <c r="J1222" s="173" t="s">
        <v>468</v>
      </c>
      <c r="K1222" s="174">
        <v>1011865000116</v>
      </c>
      <c r="L1222" s="173" t="s">
        <v>759</v>
      </c>
      <c r="M1222" s="173" t="s">
        <v>745</v>
      </c>
      <c r="N1222" s="173" t="s">
        <v>59</v>
      </c>
      <c r="O1222" s="87">
        <v>70</v>
      </c>
      <c r="P1222" s="173" t="s">
        <v>20</v>
      </c>
      <c r="Q1222" s="1" t="s">
        <v>1338</v>
      </c>
      <c r="R1222" s="175">
        <v>250</v>
      </c>
      <c r="S1222">
        <v>50</v>
      </c>
    </row>
    <row r="1223" spans="1:19" x14ac:dyDescent="0.25">
      <c r="A1223" s="87">
        <v>2019</v>
      </c>
      <c r="B1223" s="87">
        <v>9</v>
      </c>
      <c r="C1223" s="173" t="s">
        <v>16</v>
      </c>
      <c r="D1223" s="173" t="s">
        <v>22</v>
      </c>
      <c r="E1223" s="173" t="s">
        <v>18</v>
      </c>
      <c r="F1223" s="173" t="s">
        <v>16</v>
      </c>
      <c r="G1223" s="87" t="b">
        <v>1</v>
      </c>
      <c r="H1223" s="87" t="b">
        <v>1</v>
      </c>
      <c r="I1223" s="87" t="b">
        <v>0</v>
      </c>
      <c r="J1223" s="173" t="s">
        <v>470</v>
      </c>
      <c r="K1223" s="174">
        <v>1125832000105</v>
      </c>
      <c r="L1223" s="173" t="s">
        <v>935</v>
      </c>
      <c r="M1223" s="173" t="s">
        <v>930</v>
      </c>
      <c r="N1223" s="173" t="s">
        <v>68</v>
      </c>
      <c r="O1223" s="87">
        <v>70</v>
      </c>
      <c r="P1223" s="173" t="s">
        <v>20</v>
      </c>
      <c r="Q1223" s="1" t="s">
        <v>1338</v>
      </c>
      <c r="R1223" s="175">
        <v>60</v>
      </c>
      <c r="S1223">
        <v>12</v>
      </c>
    </row>
    <row r="1224" spans="1:19" x14ac:dyDescent="0.25">
      <c r="A1224" s="87">
        <v>2019</v>
      </c>
      <c r="B1224" s="87">
        <v>9</v>
      </c>
      <c r="C1224" s="173" t="s">
        <v>16</v>
      </c>
      <c r="D1224" s="173" t="s">
        <v>22</v>
      </c>
      <c r="E1224" s="173" t="s">
        <v>18</v>
      </c>
      <c r="F1224" s="173" t="s">
        <v>16</v>
      </c>
      <c r="G1224" s="87" t="b">
        <v>1</v>
      </c>
      <c r="H1224" s="87" t="b">
        <v>1</v>
      </c>
      <c r="I1224" s="87" t="b">
        <v>0</v>
      </c>
      <c r="J1224" s="173" t="s">
        <v>464</v>
      </c>
      <c r="K1224" s="174">
        <v>1277573000120</v>
      </c>
      <c r="L1224" s="173" t="s">
        <v>760</v>
      </c>
      <c r="M1224" s="173" t="s">
        <v>745</v>
      </c>
      <c r="N1224" s="173" t="s">
        <v>59</v>
      </c>
      <c r="O1224" s="87">
        <v>64</v>
      </c>
      <c r="P1224" s="173" t="s">
        <v>25</v>
      </c>
      <c r="Q1224" s="1" t="s">
        <v>1344</v>
      </c>
      <c r="R1224" s="175">
        <v>6</v>
      </c>
      <c r="S1224">
        <v>6</v>
      </c>
    </row>
    <row r="1225" spans="1:19" x14ac:dyDescent="0.25">
      <c r="A1225" s="87">
        <v>2019</v>
      </c>
      <c r="B1225" s="87">
        <v>9</v>
      </c>
      <c r="C1225" s="173" t="s">
        <v>16</v>
      </c>
      <c r="D1225" s="173" t="s">
        <v>22</v>
      </c>
      <c r="E1225" s="173" t="s">
        <v>18</v>
      </c>
      <c r="F1225" s="173" t="s">
        <v>16</v>
      </c>
      <c r="G1225" s="87" t="b">
        <v>1</v>
      </c>
      <c r="H1225" s="87" t="b">
        <v>1</v>
      </c>
      <c r="I1225" s="87" t="b">
        <v>0</v>
      </c>
      <c r="J1225" s="173" t="s">
        <v>468</v>
      </c>
      <c r="K1225" s="174">
        <v>1277573000120</v>
      </c>
      <c r="L1225" s="173" t="s">
        <v>760</v>
      </c>
      <c r="M1225" s="173" t="s">
        <v>745</v>
      </c>
      <c r="N1225" s="173" t="s">
        <v>59</v>
      </c>
      <c r="O1225" s="87">
        <v>64</v>
      </c>
      <c r="P1225" s="173" t="s">
        <v>25</v>
      </c>
      <c r="Q1225" s="1" t="s">
        <v>1344</v>
      </c>
      <c r="R1225" s="175">
        <v>3</v>
      </c>
      <c r="S1225">
        <v>3</v>
      </c>
    </row>
    <row r="1226" spans="1:19" x14ac:dyDescent="0.25">
      <c r="A1226" s="87">
        <v>2019</v>
      </c>
      <c r="B1226" s="87">
        <v>9</v>
      </c>
      <c r="C1226" s="173" t="s">
        <v>16</v>
      </c>
      <c r="D1226" s="173" t="s">
        <v>22</v>
      </c>
      <c r="E1226" s="173" t="s">
        <v>18</v>
      </c>
      <c r="F1226" s="173" t="s">
        <v>16</v>
      </c>
      <c r="G1226" s="87" t="b">
        <v>1</v>
      </c>
      <c r="H1226" s="87" t="b">
        <v>1</v>
      </c>
      <c r="I1226" s="87" t="b">
        <v>0</v>
      </c>
      <c r="J1226" s="173" t="s">
        <v>468</v>
      </c>
      <c r="K1226" s="174">
        <v>1326206000179</v>
      </c>
      <c r="L1226" s="173" t="s">
        <v>761</v>
      </c>
      <c r="M1226" s="173" t="s">
        <v>762</v>
      </c>
      <c r="N1226" s="173" t="s">
        <v>59</v>
      </c>
      <c r="O1226" s="87">
        <v>73</v>
      </c>
      <c r="P1226" s="173" t="s">
        <v>26</v>
      </c>
      <c r="Q1226" s="1" t="s">
        <v>1339</v>
      </c>
      <c r="R1226" s="175">
        <v>4</v>
      </c>
      <c r="S1226">
        <v>2</v>
      </c>
    </row>
    <row r="1227" spans="1:19" x14ac:dyDescent="0.25">
      <c r="A1227" s="87">
        <v>2019</v>
      </c>
      <c r="B1227" s="87">
        <v>9</v>
      </c>
      <c r="C1227" s="173" t="s">
        <v>16</v>
      </c>
      <c r="D1227" s="173" t="s">
        <v>22</v>
      </c>
      <c r="E1227" s="173" t="s">
        <v>18</v>
      </c>
      <c r="F1227" s="173" t="s">
        <v>16</v>
      </c>
      <c r="G1227" s="87" t="b">
        <v>1</v>
      </c>
      <c r="H1227" s="87" t="b">
        <v>1</v>
      </c>
      <c r="I1227" s="87" t="b">
        <v>0</v>
      </c>
      <c r="J1227" s="173" t="s">
        <v>463</v>
      </c>
      <c r="K1227" s="174">
        <v>1326206000179</v>
      </c>
      <c r="L1227" s="173" t="s">
        <v>761</v>
      </c>
      <c r="M1227" s="173" t="s">
        <v>762</v>
      </c>
      <c r="N1227" s="173" t="s">
        <v>59</v>
      </c>
      <c r="O1227" s="87">
        <v>73</v>
      </c>
      <c r="P1227" s="173" t="s">
        <v>26</v>
      </c>
      <c r="Q1227" s="1" t="s">
        <v>1339</v>
      </c>
      <c r="R1227" s="175">
        <v>8</v>
      </c>
      <c r="S1227">
        <v>4</v>
      </c>
    </row>
    <row r="1228" spans="1:19" x14ac:dyDescent="0.25">
      <c r="A1228" s="87">
        <v>2019</v>
      </c>
      <c r="B1228" s="87">
        <v>9</v>
      </c>
      <c r="C1228" s="173" t="s">
        <v>16</v>
      </c>
      <c r="D1228" s="173" t="s">
        <v>22</v>
      </c>
      <c r="E1228" s="173" t="s">
        <v>18</v>
      </c>
      <c r="F1228" s="173" t="s">
        <v>16</v>
      </c>
      <c r="G1228" s="87" t="b">
        <v>1</v>
      </c>
      <c r="H1228" s="87" t="b">
        <v>1</v>
      </c>
      <c r="I1228" s="87" t="b">
        <v>0</v>
      </c>
      <c r="J1228" s="173" t="s">
        <v>463</v>
      </c>
      <c r="K1228" s="174">
        <v>1326206000179</v>
      </c>
      <c r="L1228" s="173" t="s">
        <v>761</v>
      </c>
      <c r="M1228" s="173" t="s">
        <v>762</v>
      </c>
      <c r="N1228" s="173" t="s">
        <v>59</v>
      </c>
      <c r="O1228" s="87">
        <v>73</v>
      </c>
      <c r="P1228" s="173" t="s">
        <v>26</v>
      </c>
      <c r="Q1228" s="1" t="s">
        <v>1342</v>
      </c>
      <c r="R1228" s="175">
        <v>56</v>
      </c>
      <c r="S1228">
        <v>14</v>
      </c>
    </row>
    <row r="1229" spans="1:19" x14ac:dyDescent="0.25">
      <c r="A1229" s="87">
        <v>2019</v>
      </c>
      <c r="B1229" s="87">
        <v>9</v>
      </c>
      <c r="C1229" s="173" t="s">
        <v>16</v>
      </c>
      <c r="D1229" s="173" t="s">
        <v>22</v>
      </c>
      <c r="E1229" s="173" t="s">
        <v>18</v>
      </c>
      <c r="F1229" s="173" t="s">
        <v>16</v>
      </c>
      <c r="G1229" s="87" t="b">
        <v>1</v>
      </c>
      <c r="H1229" s="87" t="b">
        <v>1</v>
      </c>
      <c r="I1229" s="87" t="b">
        <v>0</v>
      </c>
      <c r="J1229" s="173" t="s">
        <v>463</v>
      </c>
      <c r="K1229" s="174">
        <v>1326206000179</v>
      </c>
      <c r="L1229" s="173" t="s">
        <v>761</v>
      </c>
      <c r="M1229" s="173" t="s">
        <v>762</v>
      </c>
      <c r="N1229" s="173" t="s">
        <v>59</v>
      </c>
      <c r="O1229" s="87">
        <v>73</v>
      </c>
      <c r="P1229" s="173" t="s">
        <v>26</v>
      </c>
      <c r="Q1229" s="1" t="s">
        <v>1340</v>
      </c>
      <c r="R1229" s="175">
        <v>9</v>
      </c>
      <c r="S1229">
        <v>9</v>
      </c>
    </row>
    <row r="1230" spans="1:19" x14ac:dyDescent="0.25">
      <c r="A1230" s="87">
        <v>2019</v>
      </c>
      <c r="B1230" s="87">
        <v>9</v>
      </c>
      <c r="C1230" s="173" t="s">
        <v>16</v>
      </c>
      <c r="D1230" s="173" t="s">
        <v>22</v>
      </c>
      <c r="E1230" s="173" t="s">
        <v>18</v>
      </c>
      <c r="F1230" s="173" t="s">
        <v>16</v>
      </c>
      <c r="G1230" s="87" t="b">
        <v>1</v>
      </c>
      <c r="H1230" s="87" t="b">
        <v>1</v>
      </c>
      <c r="I1230" s="87" t="b">
        <v>0</v>
      </c>
      <c r="J1230" s="173" t="s">
        <v>468</v>
      </c>
      <c r="K1230" s="174">
        <v>1454407000151</v>
      </c>
      <c r="L1230" s="173" t="s">
        <v>764</v>
      </c>
      <c r="M1230" s="173" t="s">
        <v>742</v>
      </c>
      <c r="N1230" s="173" t="s">
        <v>91</v>
      </c>
      <c r="O1230" s="87">
        <v>70</v>
      </c>
      <c r="P1230" s="173" t="s">
        <v>20</v>
      </c>
      <c r="Q1230" s="1" t="s">
        <v>1338</v>
      </c>
      <c r="R1230" s="175">
        <v>110</v>
      </c>
      <c r="S1230">
        <v>22</v>
      </c>
    </row>
    <row r="1231" spans="1:19" x14ac:dyDescent="0.25">
      <c r="A1231" s="87">
        <v>2019</v>
      </c>
      <c r="B1231" s="87">
        <v>9</v>
      </c>
      <c r="C1231" s="173" t="s">
        <v>16</v>
      </c>
      <c r="D1231" s="173" t="s">
        <v>22</v>
      </c>
      <c r="E1231" s="173" t="s">
        <v>18</v>
      </c>
      <c r="F1231" s="173" t="s">
        <v>16</v>
      </c>
      <c r="G1231" s="87" t="b">
        <v>1</v>
      </c>
      <c r="H1231" s="87" t="b">
        <v>1</v>
      </c>
      <c r="I1231" s="87" t="b">
        <v>0</v>
      </c>
      <c r="J1231" s="173" t="s">
        <v>470</v>
      </c>
      <c r="K1231" s="174">
        <v>1507901000137</v>
      </c>
      <c r="L1231" s="173" t="s">
        <v>765</v>
      </c>
      <c r="M1231" s="173" t="s">
        <v>62</v>
      </c>
      <c r="N1231" s="173" t="s">
        <v>63</v>
      </c>
      <c r="O1231" s="87">
        <v>62</v>
      </c>
      <c r="P1231" s="173" t="s">
        <v>27</v>
      </c>
      <c r="Q1231" s="1" t="s">
        <v>1343</v>
      </c>
      <c r="R1231" s="175">
        <v>7</v>
      </c>
      <c r="S1231">
        <v>7</v>
      </c>
    </row>
    <row r="1232" spans="1:19" x14ac:dyDescent="0.25">
      <c r="A1232" s="87">
        <v>2019</v>
      </c>
      <c r="B1232" s="87">
        <v>9</v>
      </c>
      <c r="C1232" s="173" t="s">
        <v>16</v>
      </c>
      <c r="D1232" s="173" t="s">
        <v>22</v>
      </c>
      <c r="E1232" s="173" t="s">
        <v>18</v>
      </c>
      <c r="F1232" s="173" t="s">
        <v>16</v>
      </c>
      <c r="G1232" s="87" t="b">
        <v>1</v>
      </c>
      <c r="H1232" s="87" t="b">
        <v>1</v>
      </c>
      <c r="I1232" s="87" t="b">
        <v>0</v>
      </c>
      <c r="J1232" s="173" t="s">
        <v>460</v>
      </c>
      <c r="K1232" s="174">
        <v>1507901000137</v>
      </c>
      <c r="L1232" s="173" t="s">
        <v>765</v>
      </c>
      <c r="M1232" s="173" t="s">
        <v>62</v>
      </c>
      <c r="N1232" s="173" t="s">
        <v>63</v>
      </c>
      <c r="O1232" s="87">
        <v>64</v>
      </c>
      <c r="P1232" s="173" t="s">
        <v>25</v>
      </c>
      <c r="Q1232" s="1" t="s">
        <v>1344</v>
      </c>
      <c r="R1232" s="175">
        <v>10</v>
      </c>
      <c r="S1232">
        <v>10</v>
      </c>
    </row>
    <row r="1233" spans="1:19" x14ac:dyDescent="0.25">
      <c r="A1233" s="87">
        <v>2019</v>
      </c>
      <c r="B1233" s="87">
        <v>9</v>
      </c>
      <c r="C1233" s="173" t="s">
        <v>16</v>
      </c>
      <c r="D1233" s="173" t="s">
        <v>22</v>
      </c>
      <c r="E1233" s="173" t="s">
        <v>18</v>
      </c>
      <c r="F1233" s="173" t="s">
        <v>16</v>
      </c>
      <c r="G1233" s="87" t="b">
        <v>1</v>
      </c>
      <c r="H1233" s="87" t="b">
        <v>1</v>
      </c>
      <c r="I1233" s="87" t="b">
        <v>0</v>
      </c>
      <c r="J1233" s="173" t="s">
        <v>449</v>
      </c>
      <c r="K1233" s="174">
        <v>1517626000132</v>
      </c>
      <c r="L1233" s="173" t="s">
        <v>937</v>
      </c>
      <c r="M1233" s="173" t="s">
        <v>938</v>
      </c>
      <c r="N1233" s="173" t="s">
        <v>68</v>
      </c>
      <c r="O1233" s="87">
        <v>73</v>
      </c>
      <c r="P1233" s="173" t="s">
        <v>26</v>
      </c>
      <c r="Q1233" s="1" t="s">
        <v>1342</v>
      </c>
      <c r="R1233" s="175">
        <v>12</v>
      </c>
      <c r="S1233">
        <v>3</v>
      </c>
    </row>
    <row r="1234" spans="1:19" x14ac:dyDescent="0.25">
      <c r="A1234" s="87">
        <v>2019</v>
      </c>
      <c r="B1234" s="87">
        <v>9</v>
      </c>
      <c r="C1234" s="173" t="s">
        <v>16</v>
      </c>
      <c r="D1234" s="173" t="s">
        <v>22</v>
      </c>
      <c r="E1234" s="173" t="s">
        <v>18</v>
      </c>
      <c r="F1234" s="173" t="s">
        <v>16</v>
      </c>
      <c r="G1234" s="87" t="b">
        <v>1</v>
      </c>
      <c r="H1234" s="87" t="b">
        <v>1</v>
      </c>
      <c r="I1234" s="87" t="b">
        <v>0</v>
      </c>
      <c r="J1234" s="173" t="s">
        <v>451</v>
      </c>
      <c r="K1234" s="174">
        <v>1554266000149</v>
      </c>
      <c r="L1234" s="173" t="s">
        <v>939</v>
      </c>
      <c r="M1234" s="173" t="s">
        <v>113</v>
      </c>
      <c r="N1234" s="173" t="s">
        <v>68</v>
      </c>
      <c r="O1234" s="87">
        <v>70</v>
      </c>
      <c r="P1234" s="173" t="s">
        <v>20</v>
      </c>
      <c r="Q1234" s="1" t="s">
        <v>1338</v>
      </c>
      <c r="R1234" s="175">
        <v>35</v>
      </c>
      <c r="S1234">
        <v>7</v>
      </c>
    </row>
    <row r="1235" spans="1:19" x14ac:dyDescent="0.25">
      <c r="A1235" s="87">
        <v>2019</v>
      </c>
      <c r="B1235" s="87">
        <v>9</v>
      </c>
      <c r="C1235" s="173" t="s">
        <v>16</v>
      </c>
      <c r="D1235" s="173" t="s">
        <v>22</v>
      </c>
      <c r="E1235" s="173" t="s">
        <v>18</v>
      </c>
      <c r="F1235" s="173" t="s">
        <v>16</v>
      </c>
      <c r="G1235" s="87" t="b">
        <v>1</v>
      </c>
      <c r="H1235" s="87" t="b">
        <v>1</v>
      </c>
      <c r="I1235" s="87" t="b">
        <v>0</v>
      </c>
      <c r="J1235" s="173" t="s">
        <v>495</v>
      </c>
      <c r="K1235" s="174">
        <v>1554266000149</v>
      </c>
      <c r="L1235" s="173" t="s">
        <v>939</v>
      </c>
      <c r="M1235" s="173" t="s">
        <v>113</v>
      </c>
      <c r="N1235" s="173" t="s">
        <v>68</v>
      </c>
      <c r="O1235" s="87">
        <v>70</v>
      </c>
      <c r="P1235" s="173" t="s">
        <v>20</v>
      </c>
      <c r="Q1235" s="1" t="s">
        <v>1338</v>
      </c>
      <c r="R1235" s="175">
        <v>35</v>
      </c>
      <c r="S1235">
        <v>7</v>
      </c>
    </row>
    <row r="1236" spans="1:19" x14ac:dyDescent="0.25">
      <c r="A1236" s="87">
        <v>2019</v>
      </c>
      <c r="B1236" s="87">
        <v>9</v>
      </c>
      <c r="C1236" s="173" t="s">
        <v>16</v>
      </c>
      <c r="D1236" s="173" t="s">
        <v>22</v>
      </c>
      <c r="E1236" s="173" t="s">
        <v>18</v>
      </c>
      <c r="F1236" s="173" t="s">
        <v>16</v>
      </c>
      <c r="G1236" s="87" t="b">
        <v>1</v>
      </c>
      <c r="H1236" s="87" t="b">
        <v>1</v>
      </c>
      <c r="I1236" s="87" t="b">
        <v>0</v>
      </c>
      <c r="J1236" s="173" t="s">
        <v>468</v>
      </c>
      <c r="K1236" s="174">
        <v>1570589000126</v>
      </c>
      <c r="L1236" s="173" t="s">
        <v>766</v>
      </c>
      <c r="M1236" s="173" t="s">
        <v>745</v>
      </c>
      <c r="N1236" s="173" t="s">
        <v>59</v>
      </c>
      <c r="O1236" s="87">
        <v>70</v>
      </c>
      <c r="P1236" s="173" t="s">
        <v>20</v>
      </c>
      <c r="Q1236" s="1" t="s">
        <v>1338</v>
      </c>
      <c r="R1236" s="175">
        <v>190</v>
      </c>
      <c r="S1236">
        <v>38</v>
      </c>
    </row>
    <row r="1237" spans="1:19" x14ac:dyDescent="0.25">
      <c r="A1237" s="87">
        <v>2019</v>
      </c>
      <c r="B1237" s="87">
        <v>9</v>
      </c>
      <c r="C1237" s="173" t="s">
        <v>16</v>
      </c>
      <c r="D1237" s="173" t="s">
        <v>22</v>
      </c>
      <c r="E1237" s="173" t="s">
        <v>18</v>
      </c>
      <c r="F1237" s="173" t="s">
        <v>16</v>
      </c>
      <c r="G1237" s="87" t="b">
        <v>1</v>
      </c>
      <c r="H1237" s="87" t="b">
        <v>1</v>
      </c>
      <c r="I1237" s="87" t="b">
        <v>0</v>
      </c>
      <c r="J1237" s="173" t="s">
        <v>470</v>
      </c>
      <c r="K1237" s="174">
        <v>1613433006892</v>
      </c>
      <c r="L1237" s="173" t="s">
        <v>638</v>
      </c>
      <c r="M1237" s="173" t="s">
        <v>639</v>
      </c>
      <c r="N1237" s="173" t="s">
        <v>19</v>
      </c>
      <c r="O1237" s="87">
        <v>70</v>
      </c>
      <c r="P1237" s="173" t="s">
        <v>20</v>
      </c>
      <c r="Q1237" s="1" t="s">
        <v>1338</v>
      </c>
      <c r="R1237" s="175">
        <v>1220</v>
      </c>
      <c r="S1237">
        <v>244</v>
      </c>
    </row>
    <row r="1238" spans="1:19" x14ac:dyDescent="0.25">
      <c r="A1238" s="87">
        <v>2019</v>
      </c>
      <c r="B1238" s="87">
        <v>9</v>
      </c>
      <c r="C1238" s="173" t="s">
        <v>16</v>
      </c>
      <c r="D1238" s="173" t="s">
        <v>22</v>
      </c>
      <c r="E1238" s="173" t="s">
        <v>18</v>
      </c>
      <c r="F1238" s="173" t="s">
        <v>16</v>
      </c>
      <c r="G1238" s="87" t="b">
        <v>1</v>
      </c>
      <c r="H1238" s="87" t="b">
        <v>1</v>
      </c>
      <c r="I1238" s="87" t="b">
        <v>0</v>
      </c>
      <c r="J1238" s="173" t="s">
        <v>470</v>
      </c>
      <c r="K1238" s="174">
        <v>1613433008089</v>
      </c>
      <c r="L1238" s="173" t="s">
        <v>640</v>
      </c>
      <c r="M1238" s="173" t="s">
        <v>47</v>
      </c>
      <c r="N1238" s="173" t="s">
        <v>19</v>
      </c>
      <c r="O1238" s="87">
        <v>70</v>
      </c>
      <c r="P1238" s="173" t="s">
        <v>20</v>
      </c>
      <c r="Q1238" s="1" t="s">
        <v>1338</v>
      </c>
      <c r="R1238" s="175">
        <v>80</v>
      </c>
      <c r="S1238">
        <v>16</v>
      </c>
    </row>
    <row r="1239" spans="1:19" x14ac:dyDescent="0.25">
      <c r="A1239" s="87">
        <v>2019</v>
      </c>
      <c r="B1239" s="87">
        <v>9</v>
      </c>
      <c r="C1239" s="173" t="s">
        <v>16</v>
      </c>
      <c r="D1239" s="173" t="s">
        <v>22</v>
      </c>
      <c r="E1239" s="173" t="s">
        <v>18</v>
      </c>
      <c r="F1239" s="173" t="s">
        <v>16</v>
      </c>
      <c r="G1239" s="87" t="b">
        <v>1</v>
      </c>
      <c r="H1239" s="87" t="b">
        <v>1</v>
      </c>
      <c r="I1239" s="87" t="b">
        <v>0</v>
      </c>
      <c r="J1239" s="173" t="s">
        <v>468</v>
      </c>
      <c r="K1239" s="174">
        <v>1656123000148</v>
      </c>
      <c r="L1239" s="173" t="s">
        <v>768</v>
      </c>
      <c r="M1239" s="173" t="s">
        <v>745</v>
      </c>
      <c r="N1239" s="173" t="s">
        <v>59</v>
      </c>
      <c r="O1239" s="87">
        <v>70</v>
      </c>
      <c r="P1239" s="173" t="s">
        <v>20</v>
      </c>
      <c r="Q1239" s="1" t="s">
        <v>1338</v>
      </c>
      <c r="R1239" s="175">
        <v>90</v>
      </c>
      <c r="S1239">
        <v>18</v>
      </c>
    </row>
    <row r="1240" spans="1:19" x14ac:dyDescent="0.25">
      <c r="A1240" s="87">
        <v>2019</v>
      </c>
      <c r="B1240" s="87">
        <v>9</v>
      </c>
      <c r="C1240" s="173" t="s">
        <v>16</v>
      </c>
      <c r="D1240" s="173" t="s">
        <v>22</v>
      </c>
      <c r="E1240" s="173" t="s">
        <v>18</v>
      </c>
      <c r="F1240" s="173" t="s">
        <v>16</v>
      </c>
      <c r="G1240" s="87" t="b">
        <v>1</v>
      </c>
      <c r="H1240" s="87" t="b">
        <v>1</v>
      </c>
      <c r="I1240" s="87" t="b">
        <v>0</v>
      </c>
      <c r="J1240" s="173" t="s">
        <v>478</v>
      </c>
      <c r="K1240" s="174">
        <v>1722424000122</v>
      </c>
      <c r="L1240" s="173" t="s">
        <v>770</v>
      </c>
      <c r="M1240" s="173" t="s">
        <v>742</v>
      </c>
      <c r="N1240" s="173" t="s">
        <v>91</v>
      </c>
      <c r="O1240" s="87">
        <v>70</v>
      </c>
      <c r="P1240" s="173" t="s">
        <v>20</v>
      </c>
      <c r="Q1240" s="1" t="s">
        <v>1338</v>
      </c>
      <c r="R1240" s="175">
        <v>175</v>
      </c>
      <c r="S1240">
        <v>35</v>
      </c>
    </row>
    <row r="1241" spans="1:19" x14ac:dyDescent="0.25">
      <c r="A1241" s="87">
        <v>2019</v>
      </c>
      <c r="B1241" s="87">
        <v>9</v>
      </c>
      <c r="C1241" s="173" t="s">
        <v>16</v>
      </c>
      <c r="D1241" s="173" t="s">
        <v>22</v>
      </c>
      <c r="E1241" s="173" t="s">
        <v>18</v>
      </c>
      <c r="F1241" s="173" t="s">
        <v>16</v>
      </c>
      <c r="G1241" s="87" t="b">
        <v>1</v>
      </c>
      <c r="H1241" s="87" t="b">
        <v>1</v>
      </c>
      <c r="I1241" s="87" t="b">
        <v>0</v>
      </c>
      <c r="J1241" s="173" t="s">
        <v>470</v>
      </c>
      <c r="K1241" s="174">
        <v>1722424000122</v>
      </c>
      <c r="L1241" s="173" t="s">
        <v>770</v>
      </c>
      <c r="M1241" s="173" t="s">
        <v>742</v>
      </c>
      <c r="N1241" s="173" t="s">
        <v>91</v>
      </c>
      <c r="O1241" s="87">
        <v>70</v>
      </c>
      <c r="P1241" s="173" t="s">
        <v>20</v>
      </c>
      <c r="Q1241" s="1" t="s">
        <v>1338</v>
      </c>
      <c r="R1241" s="175">
        <v>90</v>
      </c>
      <c r="S1241">
        <v>18</v>
      </c>
    </row>
    <row r="1242" spans="1:19" x14ac:dyDescent="0.25">
      <c r="A1242" s="87">
        <v>2019</v>
      </c>
      <c r="B1242" s="87">
        <v>9</v>
      </c>
      <c r="C1242" s="173" t="s">
        <v>16</v>
      </c>
      <c r="D1242" s="173" t="s">
        <v>22</v>
      </c>
      <c r="E1242" s="173" t="s">
        <v>18</v>
      </c>
      <c r="F1242" s="173" t="s">
        <v>16</v>
      </c>
      <c r="G1242" s="87" t="b">
        <v>1</v>
      </c>
      <c r="H1242" s="87" t="b">
        <v>1</v>
      </c>
      <c r="I1242" s="87" t="b">
        <v>0</v>
      </c>
      <c r="J1242" s="173" t="s">
        <v>464</v>
      </c>
      <c r="K1242" s="174">
        <v>1880344000103</v>
      </c>
      <c r="L1242" s="173" t="s">
        <v>941</v>
      </c>
      <c r="M1242" s="173" t="s">
        <v>93</v>
      </c>
      <c r="N1242" s="173" t="s">
        <v>68</v>
      </c>
      <c r="O1242" s="87">
        <v>70</v>
      </c>
      <c r="P1242" s="173" t="s">
        <v>20</v>
      </c>
      <c r="Q1242" s="1" t="s">
        <v>1338</v>
      </c>
      <c r="R1242" s="175">
        <v>195</v>
      </c>
      <c r="S1242">
        <v>39</v>
      </c>
    </row>
    <row r="1243" spans="1:19" x14ac:dyDescent="0.25">
      <c r="A1243" s="87">
        <v>2019</v>
      </c>
      <c r="B1243" s="87">
        <v>9</v>
      </c>
      <c r="C1243" s="173" t="s">
        <v>16</v>
      </c>
      <c r="D1243" s="173" t="s">
        <v>22</v>
      </c>
      <c r="E1243" s="173" t="s">
        <v>18</v>
      </c>
      <c r="F1243" s="173" t="s">
        <v>16</v>
      </c>
      <c r="G1243" s="87" t="b">
        <v>1</v>
      </c>
      <c r="H1243" s="87" t="b">
        <v>1</v>
      </c>
      <c r="I1243" s="87" t="b">
        <v>0</v>
      </c>
      <c r="J1243" s="173" t="s">
        <v>451</v>
      </c>
      <c r="K1243" s="174">
        <v>2109397000180</v>
      </c>
      <c r="L1243" s="173" t="s">
        <v>773</v>
      </c>
      <c r="M1243" s="173" t="s">
        <v>62</v>
      </c>
      <c r="N1243" s="173" t="s">
        <v>63</v>
      </c>
      <c r="O1243" s="87">
        <v>64</v>
      </c>
      <c r="P1243" s="173" t="s">
        <v>25</v>
      </c>
      <c r="Q1243" s="1" t="s">
        <v>1344</v>
      </c>
      <c r="R1243" s="175">
        <v>24</v>
      </c>
      <c r="S1243">
        <v>24</v>
      </c>
    </row>
    <row r="1244" spans="1:19" x14ac:dyDescent="0.25">
      <c r="A1244" s="87">
        <v>2019</v>
      </c>
      <c r="B1244" s="87">
        <v>9</v>
      </c>
      <c r="C1244" s="173" t="s">
        <v>16</v>
      </c>
      <c r="D1244" s="173" t="s">
        <v>22</v>
      </c>
      <c r="E1244" s="173" t="s">
        <v>18</v>
      </c>
      <c r="F1244" s="173" t="s">
        <v>16</v>
      </c>
      <c r="G1244" s="87" t="b">
        <v>1</v>
      </c>
      <c r="H1244" s="87" t="b">
        <v>1</v>
      </c>
      <c r="I1244" s="87" t="b">
        <v>0</v>
      </c>
      <c r="J1244" s="173" t="s">
        <v>491</v>
      </c>
      <c r="K1244" s="174">
        <v>2284062000440</v>
      </c>
      <c r="L1244" s="173" t="s">
        <v>775</v>
      </c>
      <c r="M1244" s="173" t="s">
        <v>70</v>
      </c>
      <c r="N1244" s="173" t="s">
        <v>71</v>
      </c>
      <c r="O1244" s="87">
        <v>64</v>
      </c>
      <c r="P1244" s="173" t="s">
        <v>25</v>
      </c>
      <c r="Q1244" s="1" t="s">
        <v>1344</v>
      </c>
      <c r="R1244" s="175">
        <v>20</v>
      </c>
      <c r="S1244">
        <v>20</v>
      </c>
    </row>
    <row r="1245" spans="1:19" x14ac:dyDescent="0.25">
      <c r="A1245" s="87">
        <v>2019</v>
      </c>
      <c r="B1245" s="87">
        <v>9</v>
      </c>
      <c r="C1245" s="173" t="s">
        <v>16</v>
      </c>
      <c r="D1245" s="173" t="s">
        <v>22</v>
      </c>
      <c r="E1245" s="173" t="s">
        <v>18</v>
      </c>
      <c r="F1245" s="173" t="s">
        <v>16</v>
      </c>
      <c r="G1245" s="87" t="b">
        <v>1</v>
      </c>
      <c r="H1245" s="87" t="b">
        <v>1</v>
      </c>
      <c r="I1245" s="87" t="b">
        <v>0</v>
      </c>
      <c r="J1245" s="173" t="s">
        <v>491</v>
      </c>
      <c r="K1245" s="174">
        <v>2284062000521</v>
      </c>
      <c r="L1245" s="173" t="s">
        <v>1077</v>
      </c>
      <c r="M1245" s="173" t="s">
        <v>131</v>
      </c>
      <c r="N1245" s="173" t="s">
        <v>61</v>
      </c>
      <c r="O1245" s="87">
        <v>62</v>
      </c>
      <c r="P1245" s="173" t="s">
        <v>27</v>
      </c>
      <c r="Q1245" s="1" t="s">
        <v>1343</v>
      </c>
      <c r="R1245" s="175">
        <v>5</v>
      </c>
      <c r="S1245">
        <v>5</v>
      </c>
    </row>
    <row r="1246" spans="1:19" x14ac:dyDescent="0.25">
      <c r="A1246" s="87">
        <v>2019</v>
      </c>
      <c r="B1246" s="87">
        <v>9</v>
      </c>
      <c r="C1246" s="173" t="s">
        <v>16</v>
      </c>
      <c r="D1246" s="173" t="s">
        <v>22</v>
      </c>
      <c r="E1246" s="173" t="s">
        <v>18</v>
      </c>
      <c r="F1246" s="173" t="s">
        <v>16</v>
      </c>
      <c r="G1246" s="87" t="b">
        <v>1</v>
      </c>
      <c r="H1246" s="87" t="b">
        <v>1</v>
      </c>
      <c r="I1246" s="87" t="b">
        <v>0</v>
      </c>
      <c r="J1246" s="173" t="s">
        <v>491</v>
      </c>
      <c r="K1246" s="174">
        <v>2284062000521</v>
      </c>
      <c r="L1246" s="173" t="s">
        <v>1077</v>
      </c>
      <c r="M1246" s="173" t="s">
        <v>131</v>
      </c>
      <c r="N1246" s="173" t="s">
        <v>61</v>
      </c>
      <c r="O1246" s="87">
        <v>64</v>
      </c>
      <c r="P1246" s="173" t="s">
        <v>25</v>
      </c>
      <c r="Q1246" s="1" t="s">
        <v>1344</v>
      </c>
      <c r="R1246" s="175">
        <v>13</v>
      </c>
      <c r="S1246">
        <v>13</v>
      </c>
    </row>
    <row r="1247" spans="1:19" x14ac:dyDescent="0.25">
      <c r="A1247" s="87">
        <v>2019</v>
      </c>
      <c r="B1247" s="87">
        <v>9</v>
      </c>
      <c r="C1247" s="173" t="s">
        <v>16</v>
      </c>
      <c r="D1247" s="173" t="s">
        <v>22</v>
      </c>
      <c r="E1247" s="173" t="s">
        <v>18</v>
      </c>
      <c r="F1247" s="173" t="s">
        <v>16</v>
      </c>
      <c r="G1247" s="87" t="b">
        <v>1</v>
      </c>
      <c r="H1247" s="87" t="b">
        <v>1</v>
      </c>
      <c r="I1247" s="87" t="b">
        <v>0</v>
      </c>
      <c r="J1247" s="173" t="s">
        <v>491</v>
      </c>
      <c r="K1247" s="174">
        <v>2383508000494</v>
      </c>
      <c r="L1247" s="173" t="s">
        <v>562</v>
      </c>
      <c r="M1247" s="173" t="s">
        <v>29</v>
      </c>
      <c r="N1247" s="173" t="s">
        <v>19</v>
      </c>
      <c r="O1247" s="87">
        <v>70</v>
      </c>
      <c r="P1247" s="173" t="s">
        <v>20</v>
      </c>
      <c r="Q1247" s="1" t="s">
        <v>1338</v>
      </c>
      <c r="R1247" s="175">
        <v>280</v>
      </c>
      <c r="S1247">
        <v>56</v>
      </c>
    </row>
    <row r="1248" spans="1:19" x14ac:dyDescent="0.25">
      <c r="A1248" s="87">
        <v>2019</v>
      </c>
      <c r="B1248" s="87">
        <v>9</v>
      </c>
      <c r="C1248" s="173" t="s">
        <v>16</v>
      </c>
      <c r="D1248" s="173" t="s">
        <v>22</v>
      </c>
      <c r="E1248" s="173" t="s">
        <v>18</v>
      </c>
      <c r="F1248" s="173" t="s">
        <v>16</v>
      </c>
      <c r="G1248" s="87" t="b">
        <v>1</v>
      </c>
      <c r="H1248" s="87" t="b">
        <v>1</v>
      </c>
      <c r="I1248" s="87" t="b">
        <v>0</v>
      </c>
      <c r="J1248" s="173" t="s">
        <v>451</v>
      </c>
      <c r="K1248" s="174">
        <v>2383508000494</v>
      </c>
      <c r="L1248" s="173" t="s">
        <v>562</v>
      </c>
      <c r="M1248" s="173" t="s">
        <v>29</v>
      </c>
      <c r="N1248" s="173" t="s">
        <v>19</v>
      </c>
      <c r="O1248" s="87">
        <v>73</v>
      </c>
      <c r="P1248" s="173" t="s">
        <v>26</v>
      </c>
      <c r="Q1248" s="1" t="s">
        <v>1339</v>
      </c>
      <c r="R1248" s="175">
        <v>4</v>
      </c>
      <c r="S1248">
        <v>2</v>
      </c>
    </row>
    <row r="1249" spans="1:19" x14ac:dyDescent="0.25">
      <c r="A1249" s="87">
        <v>2019</v>
      </c>
      <c r="B1249" s="87">
        <v>9</v>
      </c>
      <c r="C1249" s="173" t="s">
        <v>16</v>
      </c>
      <c r="D1249" s="173" t="s">
        <v>22</v>
      </c>
      <c r="E1249" s="173" t="s">
        <v>18</v>
      </c>
      <c r="F1249" s="173" t="s">
        <v>16</v>
      </c>
      <c r="G1249" s="87" t="b">
        <v>1</v>
      </c>
      <c r="H1249" s="87" t="b">
        <v>1</v>
      </c>
      <c r="I1249" s="87" t="b">
        <v>0</v>
      </c>
      <c r="J1249" s="173" t="s">
        <v>451</v>
      </c>
      <c r="K1249" s="174">
        <v>2383508000494</v>
      </c>
      <c r="L1249" s="173" t="s">
        <v>562</v>
      </c>
      <c r="M1249" s="173" t="s">
        <v>29</v>
      </c>
      <c r="N1249" s="173" t="s">
        <v>19</v>
      </c>
      <c r="O1249" s="87">
        <v>73</v>
      </c>
      <c r="P1249" s="173" t="s">
        <v>26</v>
      </c>
      <c r="Q1249" s="1" t="s">
        <v>1342</v>
      </c>
      <c r="R1249" s="175">
        <v>8</v>
      </c>
      <c r="S1249">
        <v>2</v>
      </c>
    </row>
    <row r="1250" spans="1:19" x14ac:dyDescent="0.25">
      <c r="A1250" s="87">
        <v>2019</v>
      </c>
      <c r="B1250" s="87">
        <v>9</v>
      </c>
      <c r="C1250" s="173" t="s">
        <v>16</v>
      </c>
      <c r="D1250" s="173" t="s">
        <v>22</v>
      </c>
      <c r="E1250" s="173" t="s">
        <v>18</v>
      </c>
      <c r="F1250" s="173" t="s">
        <v>16</v>
      </c>
      <c r="G1250" s="87" t="b">
        <v>1</v>
      </c>
      <c r="H1250" s="87" t="b">
        <v>1</v>
      </c>
      <c r="I1250" s="87" t="b">
        <v>0</v>
      </c>
      <c r="J1250" s="173" t="s">
        <v>451</v>
      </c>
      <c r="K1250" s="174">
        <v>2383508000494</v>
      </c>
      <c r="L1250" s="173" t="s">
        <v>562</v>
      </c>
      <c r="M1250" s="173" t="s">
        <v>29</v>
      </c>
      <c r="N1250" s="173" t="s">
        <v>19</v>
      </c>
      <c r="O1250" s="87">
        <v>73</v>
      </c>
      <c r="P1250" s="173" t="s">
        <v>26</v>
      </c>
      <c r="Q1250" s="1" t="s">
        <v>1340</v>
      </c>
      <c r="R1250" s="175">
        <v>3</v>
      </c>
      <c r="S1250">
        <v>3</v>
      </c>
    </row>
    <row r="1251" spans="1:19" x14ac:dyDescent="0.25">
      <c r="A1251" s="87">
        <v>2019</v>
      </c>
      <c r="B1251" s="87">
        <v>9</v>
      </c>
      <c r="C1251" s="173" t="s">
        <v>16</v>
      </c>
      <c r="D1251" s="173" t="s">
        <v>22</v>
      </c>
      <c r="E1251" s="173" t="s">
        <v>18</v>
      </c>
      <c r="F1251" s="173" t="s">
        <v>16</v>
      </c>
      <c r="G1251" s="87" t="b">
        <v>1</v>
      </c>
      <c r="H1251" s="87" t="b">
        <v>1</v>
      </c>
      <c r="I1251" s="87" t="b">
        <v>0</v>
      </c>
      <c r="J1251" s="173" t="s">
        <v>468</v>
      </c>
      <c r="K1251" s="174">
        <v>2476067000122</v>
      </c>
      <c r="L1251" s="173" t="s">
        <v>778</v>
      </c>
      <c r="M1251" s="173" t="s">
        <v>745</v>
      </c>
      <c r="N1251" s="173" t="s">
        <v>59</v>
      </c>
      <c r="O1251" s="87">
        <v>70</v>
      </c>
      <c r="P1251" s="173" t="s">
        <v>20</v>
      </c>
      <c r="Q1251" s="1" t="s">
        <v>1338</v>
      </c>
      <c r="R1251" s="175">
        <v>-15</v>
      </c>
      <c r="S1251">
        <v>-3</v>
      </c>
    </row>
    <row r="1252" spans="1:19" x14ac:dyDescent="0.25">
      <c r="A1252" s="87">
        <v>2019</v>
      </c>
      <c r="B1252" s="87">
        <v>9</v>
      </c>
      <c r="C1252" s="173" t="s">
        <v>16</v>
      </c>
      <c r="D1252" s="173" t="s">
        <v>22</v>
      </c>
      <c r="E1252" s="173" t="s">
        <v>18</v>
      </c>
      <c r="F1252" s="173" t="s">
        <v>16</v>
      </c>
      <c r="G1252" s="87" t="b">
        <v>1</v>
      </c>
      <c r="H1252" s="87" t="b">
        <v>1</v>
      </c>
      <c r="I1252" s="87" t="b">
        <v>0</v>
      </c>
      <c r="J1252" s="173" t="s">
        <v>468</v>
      </c>
      <c r="K1252" s="174">
        <v>2476067000203</v>
      </c>
      <c r="L1252" s="173" t="s">
        <v>779</v>
      </c>
      <c r="M1252" s="173" t="s">
        <v>745</v>
      </c>
      <c r="N1252" s="173" t="s">
        <v>59</v>
      </c>
      <c r="O1252" s="87">
        <v>73</v>
      </c>
      <c r="P1252" s="173" t="s">
        <v>26</v>
      </c>
      <c r="Q1252" s="1" t="s">
        <v>1342</v>
      </c>
      <c r="R1252" s="175">
        <v>16</v>
      </c>
      <c r="S1252">
        <v>4</v>
      </c>
    </row>
    <row r="1253" spans="1:19" x14ac:dyDescent="0.25">
      <c r="A1253" s="87">
        <v>2019</v>
      </c>
      <c r="B1253" s="87">
        <v>9</v>
      </c>
      <c r="C1253" s="173" t="s">
        <v>16</v>
      </c>
      <c r="D1253" s="173" t="s">
        <v>22</v>
      </c>
      <c r="E1253" s="173" t="s">
        <v>18</v>
      </c>
      <c r="F1253" s="173" t="s">
        <v>16</v>
      </c>
      <c r="G1253" s="87" t="b">
        <v>1</v>
      </c>
      <c r="H1253" s="87" t="b">
        <v>1</v>
      </c>
      <c r="I1253" s="87" t="b">
        <v>0</v>
      </c>
      <c r="J1253" s="173" t="s">
        <v>463</v>
      </c>
      <c r="K1253" s="174">
        <v>2476067000203</v>
      </c>
      <c r="L1253" s="173" t="s">
        <v>779</v>
      </c>
      <c r="M1253" s="173" t="s">
        <v>745</v>
      </c>
      <c r="N1253" s="173" t="s">
        <v>59</v>
      </c>
      <c r="O1253" s="87">
        <v>73</v>
      </c>
      <c r="P1253" s="173" t="s">
        <v>26</v>
      </c>
      <c r="Q1253" s="1" t="s">
        <v>1340</v>
      </c>
      <c r="R1253" s="175">
        <v>4</v>
      </c>
      <c r="S1253">
        <v>4</v>
      </c>
    </row>
    <row r="1254" spans="1:19" x14ac:dyDescent="0.25">
      <c r="A1254" s="87">
        <v>2019</v>
      </c>
      <c r="B1254" s="87">
        <v>9</v>
      </c>
      <c r="C1254" s="173" t="s">
        <v>16</v>
      </c>
      <c r="D1254" s="173" t="s">
        <v>22</v>
      </c>
      <c r="E1254" s="173" t="s">
        <v>18</v>
      </c>
      <c r="F1254" s="173" t="s">
        <v>16</v>
      </c>
      <c r="G1254" s="87" t="b">
        <v>1</v>
      </c>
      <c r="H1254" s="87" t="b">
        <v>1</v>
      </c>
      <c r="I1254" s="87" t="b">
        <v>0</v>
      </c>
      <c r="J1254" s="173" t="s">
        <v>468</v>
      </c>
      <c r="K1254" s="174">
        <v>2476067000394</v>
      </c>
      <c r="L1254" s="173" t="s">
        <v>780</v>
      </c>
      <c r="M1254" s="173" t="s">
        <v>745</v>
      </c>
      <c r="N1254" s="173" t="s">
        <v>59</v>
      </c>
      <c r="O1254" s="87">
        <v>70</v>
      </c>
      <c r="P1254" s="173" t="s">
        <v>20</v>
      </c>
      <c r="Q1254" s="1" t="s">
        <v>1338</v>
      </c>
      <c r="R1254" s="175">
        <v>40</v>
      </c>
      <c r="S1254">
        <v>8</v>
      </c>
    </row>
    <row r="1255" spans="1:19" x14ac:dyDescent="0.25">
      <c r="A1255" s="87">
        <v>2019</v>
      </c>
      <c r="B1255" s="87">
        <v>9</v>
      </c>
      <c r="C1255" s="173" t="s">
        <v>16</v>
      </c>
      <c r="D1255" s="173" t="s">
        <v>22</v>
      </c>
      <c r="E1255" s="173" t="s">
        <v>18</v>
      </c>
      <c r="F1255" s="173" t="s">
        <v>16</v>
      </c>
      <c r="G1255" s="87" t="b">
        <v>1</v>
      </c>
      <c r="H1255" s="87" t="b">
        <v>1</v>
      </c>
      <c r="I1255" s="87" t="b">
        <v>0</v>
      </c>
      <c r="J1255" s="173" t="s">
        <v>463</v>
      </c>
      <c r="K1255" s="174">
        <v>2476067000394</v>
      </c>
      <c r="L1255" s="173" t="s">
        <v>780</v>
      </c>
      <c r="M1255" s="173" t="s">
        <v>745</v>
      </c>
      <c r="N1255" s="173" t="s">
        <v>59</v>
      </c>
      <c r="O1255" s="87">
        <v>70</v>
      </c>
      <c r="P1255" s="173" t="s">
        <v>20</v>
      </c>
      <c r="Q1255" s="1" t="s">
        <v>1338</v>
      </c>
      <c r="R1255" s="175">
        <v>30</v>
      </c>
      <c r="S1255">
        <v>6</v>
      </c>
    </row>
    <row r="1256" spans="1:19" x14ac:dyDescent="0.25">
      <c r="A1256" s="87">
        <v>2019</v>
      </c>
      <c r="B1256" s="87">
        <v>9</v>
      </c>
      <c r="C1256" s="173" t="s">
        <v>16</v>
      </c>
      <c r="D1256" s="173" t="s">
        <v>22</v>
      </c>
      <c r="E1256" s="173" t="s">
        <v>18</v>
      </c>
      <c r="F1256" s="173" t="s">
        <v>16</v>
      </c>
      <c r="G1256" s="87" t="b">
        <v>1</v>
      </c>
      <c r="H1256" s="87" t="b">
        <v>1</v>
      </c>
      <c r="I1256" s="87" t="b">
        <v>0</v>
      </c>
      <c r="J1256" s="173" t="s">
        <v>464</v>
      </c>
      <c r="K1256" s="174">
        <v>2560878000107</v>
      </c>
      <c r="L1256" s="173" t="s">
        <v>781</v>
      </c>
      <c r="M1256" s="173" t="s">
        <v>739</v>
      </c>
      <c r="N1256" s="173" t="s">
        <v>55</v>
      </c>
      <c r="O1256" s="87">
        <v>64</v>
      </c>
      <c r="P1256" s="173" t="s">
        <v>25</v>
      </c>
      <c r="Q1256" s="1" t="s">
        <v>1344</v>
      </c>
      <c r="R1256" s="175">
        <v>4</v>
      </c>
      <c r="S1256">
        <v>4</v>
      </c>
    </row>
    <row r="1257" spans="1:19" x14ac:dyDescent="0.25">
      <c r="A1257" s="87">
        <v>2019</v>
      </c>
      <c r="B1257" s="87">
        <v>9</v>
      </c>
      <c r="C1257" s="173" t="s">
        <v>16</v>
      </c>
      <c r="D1257" s="173" t="s">
        <v>22</v>
      </c>
      <c r="E1257" s="173" t="s">
        <v>18</v>
      </c>
      <c r="F1257" s="173" t="s">
        <v>16</v>
      </c>
      <c r="G1257" s="87" t="b">
        <v>1</v>
      </c>
      <c r="H1257" s="87" t="b">
        <v>1</v>
      </c>
      <c r="I1257" s="87" t="b">
        <v>0</v>
      </c>
      <c r="J1257" s="173" t="s">
        <v>468</v>
      </c>
      <c r="K1257" s="174">
        <v>2560878000107</v>
      </c>
      <c r="L1257" s="173" t="s">
        <v>781</v>
      </c>
      <c r="M1257" s="173" t="s">
        <v>739</v>
      </c>
      <c r="N1257" s="173" t="s">
        <v>55</v>
      </c>
      <c r="O1257" s="87">
        <v>70</v>
      </c>
      <c r="P1257" s="173" t="s">
        <v>20</v>
      </c>
      <c r="Q1257" s="1" t="s">
        <v>1338</v>
      </c>
      <c r="R1257" s="175">
        <v>135</v>
      </c>
      <c r="S1257">
        <v>27</v>
      </c>
    </row>
    <row r="1258" spans="1:19" x14ac:dyDescent="0.25">
      <c r="A1258" s="87">
        <v>2019</v>
      </c>
      <c r="B1258" s="87">
        <v>9</v>
      </c>
      <c r="C1258" s="173" t="s">
        <v>16</v>
      </c>
      <c r="D1258" s="173" t="s">
        <v>22</v>
      </c>
      <c r="E1258" s="173" t="s">
        <v>18</v>
      </c>
      <c r="F1258" s="173" t="s">
        <v>16</v>
      </c>
      <c r="G1258" s="87" t="b">
        <v>1</v>
      </c>
      <c r="H1258" s="87" t="b">
        <v>1</v>
      </c>
      <c r="I1258" s="87" t="b">
        <v>0</v>
      </c>
      <c r="J1258" s="173" t="s">
        <v>451</v>
      </c>
      <c r="K1258" s="174">
        <v>2623693000102</v>
      </c>
      <c r="L1258" s="173" t="s">
        <v>1142</v>
      </c>
      <c r="M1258" s="173" t="s">
        <v>58</v>
      </c>
      <c r="N1258" s="173" t="s">
        <v>54</v>
      </c>
      <c r="O1258" s="87">
        <v>70</v>
      </c>
      <c r="P1258" s="173" t="s">
        <v>20</v>
      </c>
      <c r="Q1258" s="1" t="s">
        <v>1345</v>
      </c>
      <c r="R1258" s="175">
        <v>20</v>
      </c>
      <c r="S1258">
        <v>2</v>
      </c>
    </row>
    <row r="1259" spans="1:19" x14ac:dyDescent="0.25">
      <c r="A1259" s="87">
        <v>2019</v>
      </c>
      <c r="B1259" s="87">
        <v>9</v>
      </c>
      <c r="C1259" s="173" t="s">
        <v>16</v>
      </c>
      <c r="D1259" s="173" t="s">
        <v>22</v>
      </c>
      <c r="E1259" s="173" t="s">
        <v>18</v>
      </c>
      <c r="F1259" s="173" t="s">
        <v>16</v>
      </c>
      <c r="G1259" s="87" t="b">
        <v>1</v>
      </c>
      <c r="H1259" s="87" t="b">
        <v>1</v>
      </c>
      <c r="I1259" s="87" t="b">
        <v>0</v>
      </c>
      <c r="J1259" s="173" t="s">
        <v>463</v>
      </c>
      <c r="K1259" s="174">
        <v>2643405000173</v>
      </c>
      <c r="L1259" s="173" t="s">
        <v>642</v>
      </c>
      <c r="M1259" s="173" t="s">
        <v>643</v>
      </c>
      <c r="N1259" s="173" t="s">
        <v>19</v>
      </c>
      <c r="O1259" s="87">
        <v>73</v>
      </c>
      <c r="P1259" s="173" t="s">
        <v>26</v>
      </c>
      <c r="Q1259" s="1" t="s">
        <v>1339</v>
      </c>
      <c r="R1259" s="175">
        <v>36</v>
      </c>
      <c r="S1259">
        <v>18</v>
      </c>
    </row>
    <row r="1260" spans="1:19" x14ac:dyDescent="0.25">
      <c r="A1260" s="87">
        <v>2019</v>
      </c>
      <c r="B1260" s="87">
        <v>9</v>
      </c>
      <c r="C1260" s="173" t="s">
        <v>16</v>
      </c>
      <c r="D1260" s="173" t="s">
        <v>22</v>
      </c>
      <c r="E1260" s="173" t="s">
        <v>18</v>
      </c>
      <c r="F1260" s="173" t="s">
        <v>16</v>
      </c>
      <c r="G1260" s="87" t="b">
        <v>1</v>
      </c>
      <c r="H1260" s="87" t="b">
        <v>1</v>
      </c>
      <c r="I1260" s="87" t="b">
        <v>0</v>
      </c>
      <c r="J1260" s="173" t="s">
        <v>450</v>
      </c>
      <c r="K1260" s="174">
        <v>2837922000183</v>
      </c>
      <c r="L1260" s="173" t="s">
        <v>563</v>
      </c>
      <c r="M1260" s="173" t="s">
        <v>29</v>
      </c>
      <c r="N1260" s="173" t="s">
        <v>19</v>
      </c>
      <c r="O1260" s="87">
        <v>73</v>
      </c>
      <c r="P1260" s="173" t="s">
        <v>26</v>
      </c>
      <c r="Q1260" s="1" t="s">
        <v>1342</v>
      </c>
      <c r="R1260" s="175">
        <v>96</v>
      </c>
      <c r="S1260">
        <v>24</v>
      </c>
    </row>
    <row r="1261" spans="1:19" x14ac:dyDescent="0.25">
      <c r="A1261" s="87">
        <v>2019</v>
      </c>
      <c r="B1261" s="87">
        <v>9</v>
      </c>
      <c r="C1261" s="173" t="s">
        <v>16</v>
      </c>
      <c r="D1261" s="173" t="s">
        <v>22</v>
      </c>
      <c r="E1261" s="173" t="s">
        <v>18</v>
      </c>
      <c r="F1261" s="173" t="s">
        <v>16</v>
      </c>
      <c r="G1261" s="87" t="b">
        <v>1</v>
      </c>
      <c r="H1261" s="87" t="b">
        <v>1</v>
      </c>
      <c r="I1261" s="87" t="b">
        <v>0</v>
      </c>
      <c r="J1261" s="173" t="s">
        <v>450</v>
      </c>
      <c r="K1261" s="174">
        <v>2837922000183</v>
      </c>
      <c r="L1261" s="173" t="s">
        <v>563</v>
      </c>
      <c r="M1261" s="173" t="s">
        <v>29</v>
      </c>
      <c r="N1261" s="173" t="s">
        <v>19</v>
      </c>
      <c r="O1261" s="87">
        <v>73</v>
      </c>
      <c r="P1261" s="173" t="s">
        <v>26</v>
      </c>
      <c r="Q1261" s="1" t="s">
        <v>1340</v>
      </c>
      <c r="R1261" s="175">
        <v>4</v>
      </c>
      <c r="S1261">
        <v>4</v>
      </c>
    </row>
    <row r="1262" spans="1:19" x14ac:dyDescent="0.25">
      <c r="A1262" s="87">
        <v>2019</v>
      </c>
      <c r="B1262" s="87">
        <v>9</v>
      </c>
      <c r="C1262" s="173" t="s">
        <v>16</v>
      </c>
      <c r="D1262" s="173" t="s">
        <v>22</v>
      </c>
      <c r="E1262" s="173" t="s">
        <v>18</v>
      </c>
      <c r="F1262" s="173" t="s">
        <v>16</v>
      </c>
      <c r="G1262" s="87" t="b">
        <v>1</v>
      </c>
      <c r="H1262" s="87" t="b">
        <v>1</v>
      </c>
      <c r="I1262" s="87" t="b">
        <v>0</v>
      </c>
      <c r="J1262" s="173" t="s">
        <v>463</v>
      </c>
      <c r="K1262" s="174">
        <v>2837922000183</v>
      </c>
      <c r="L1262" s="173" t="s">
        <v>563</v>
      </c>
      <c r="M1262" s="173" t="s">
        <v>29</v>
      </c>
      <c r="N1262" s="173" t="s">
        <v>19</v>
      </c>
      <c r="O1262" s="87">
        <v>73</v>
      </c>
      <c r="P1262" s="173" t="s">
        <v>26</v>
      </c>
      <c r="Q1262" s="1" t="s">
        <v>1342</v>
      </c>
      <c r="R1262" s="175">
        <v>48</v>
      </c>
      <c r="S1262">
        <v>12</v>
      </c>
    </row>
    <row r="1263" spans="1:19" x14ac:dyDescent="0.25">
      <c r="A1263" s="87">
        <v>2019</v>
      </c>
      <c r="B1263" s="87">
        <v>9</v>
      </c>
      <c r="C1263" s="173" t="s">
        <v>16</v>
      </c>
      <c r="D1263" s="173" t="s">
        <v>22</v>
      </c>
      <c r="E1263" s="173" t="s">
        <v>18</v>
      </c>
      <c r="F1263" s="173" t="s">
        <v>16</v>
      </c>
      <c r="G1263" s="87" t="b">
        <v>1</v>
      </c>
      <c r="H1263" s="87" t="b">
        <v>1</v>
      </c>
      <c r="I1263" s="87" t="b">
        <v>0</v>
      </c>
      <c r="J1263" s="173" t="s">
        <v>463</v>
      </c>
      <c r="K1263" s="174">
        <v>2837922000183</v>
      </c>
      <c r="L1263" s="173" t="s">
        <v>563</v>
      </c>
      <c r="M1263" s="173" t="s">
        <v>29</v>
      </c>
      <c r="N1263" s="173" t="s">
        <v>19</v>
      </c>
      <c r="O1263" s="87">
        <v>73</v>
      </c>
      <c r="P1263" s="173" t="s">
        <v>26</v>
      </c>
      <c r="Q1263" s="1" t="s">
        <v>1340</v>
      </c>
      <c r="R1263" s="175">
        <v>2</v>
      </c>
      <c r="S1263">
        <v>2</v>
      </c>
    </row>
    <row r="1264" spans="1:19" x14ac:dyDescent="0.25">
      <c r="A1264" s="87">
        <v>2019</v>
      </c>
      <c r="B1264" s="87">
        <v>9</v>
      </c>
      <c r="C1264" s="173" t="s">
        <v>16</v>
      </c>
      <c r="D1264" s="173" t="s">
        <v>22</v>
      </c>
      <c r="E1264" s="173" t="s">
        <v>18</v>
      </c>
      <c r="F1264" s="173" t="s">
        <v>16</v>
      </c>
      <c r="G1264" s="87" t="b">
        <v>1</v>
      </c>
      <c r="H1264" s="87" t="b">
        <v>1</v>
      </c>
      <c r="I1264" s="87" t="b">
        <v>0</v>
      </c>
      <c r="J1264" s="173" t="s">
        <v>477</v>
      </c>
      <c r="K1264" s="174">
        <v>2864097000106</v>
      </c>
      <c r="L1264" s="173" t="s">
        <v>1078</v>
      </c>
      <c r="M1264" s="173" t="s">
        <v>131</v>
      </c>
      <c r="N1264" s="173" t="s">
        <v>61</v>
      </c>
      <c r="O1264" s="87">
        <v>70</v>
      </c>
      <c r="P1264" s="173" t="s">
        <v>20</v>
      </c>
      <c r="Q1264" s="1" t="s">
        <v>1338</v>
      </c>
      <c r="R1264" s="175">
        <v>40</v>
      </c>
      <c r="S1264">
        <v>8</v>
      </c>
    </row>
    <row r="1265" spans="1:19" x14ac:dyDescent="0.25">
      <c r="A1265" s="87">
        <v>2019</v>
      </c>
      <c r="B1265" s="87">
        <v>9</v>
      </c>
      <c r="C1265" s="173" t="s">
        <v>16</v>
      </c>
      <c r="D1265" s="173" t="s">
        <v>22</v>
      </c>
      <c r="E1265" s="173" t="s">
        <v>18</v>
      </c>
      <c r="F1265" s="173" t="s">
        <v>16</v>
      </c>
      <c r="G1265" s="87" t="b">
        <v>1</v>
      </c>
      <c r="H1265" s="87" t="b">
        <v>1</v>
      </c>
      <c r="I1265" s="87" t="b">
        <v>0</v>
      </c>
      <c r="J1265" s="173" t="s">
        <v>472</v>
      </c>
      <c r="K1265" s="174">
        <v>3091003000176</v>
      </c>
      <c r="L1265" s="173" t="s">
        <v>782</v>
      </c>
      <c r="M1265" s="173" t="s">
        <v>84</v>
      </c>
      <c r="N1265" s="173" t="s">
        <v>85</v>
      </c>
      <c r="O1265" s="87">
        <v>70</v>
      </c>
      <c r="P1265" s="173" t="s">
        <v>20</v>
      </c>
      <c r="Q1265" s="1" t="s">
        <v>1338</v>
      </c>
      <c r="R1265" s="175">
        <v>175</v>
      </c>
      <c r="S1265">
        <v>35</v>
      </c>
    </row>
    <row r="1266" spans="1:19" x14ac:dyDescent="0.25">
      <c r="A1266" s="87">
        <v>2019</v>
      </c>
      <c r="B1266" s="87">
        <v>9</v>
      </c>
      <c r="C1266" s="173" t="s">
        <v>16</v>
      </c>
      <c r="D1266" s="173" t="s">
        <v>22</v>
      </c>
      <c r="E1266" s="173" t="s">
        <v>18</v>
      </c>
      <c r="F1266" s="173" t="s">
        <v>16</v>
      </c>
      <c r="G1266" s="87" t="b">
        <v>1</v>
      </c>
      <c r="H1266" s="87" t="b">
        <v>1</v>
      </c>
      <c r="I1266" s="87" t="b">
        <v>0</v>
      </c>
      <c r="J1266" s="173" t="s">
        <v>472</v>
      </c>
      <c r="K1266" s="174">
        <v>3222051000156</v>
      </c>
      <c r="L1266" s="173" t="s">
        <v>784</v>
      </c>
      <c r="M1266" s="173" t="s">
        <v>84</v>
      </c>
      <c r="N1266" s="173" t="s">
        <v>85</v>
      </c>
      <c r="O1266" s="87">
        <v>62</v>
      </c>
      <c r="P1266" s="173" t="s">
        <v>27</v>
      </c>
      <c r="Q1266" s="1" t="s">
        <v>1343</v>
      </c>
      <c r="R1266" s="175">
        <v>2</v>
      </c>
      <c r="S1266">
        <v>2</v>
      </c>
    </row>
    <row r="1267" spans="1:19" x14ac:dyDescent="0.25">
      <c r="A1267" s="87">
        <v>2019</v>
      </c>
      <c r="B1267" s="87">
        <v>9</v>
      </c>
      <c r="C1267" s="173" t="s">
        <v>16</v>
      </c>
      <c r="D1267" s="173" t="s">
        <v>22</v>
      </c>
      <c r="E1267" s="173" t="s">
        <v>18</v>
      </c>
      <c r="F1267" s="173" t="s">
        <v>16</v>
      </c>
      <c r="G1267" s="87" t="b">
        <v>1</v>
      </c>
      <c r="H1267" s="87" t="b">
        <v>1</v>
      </c>
      <c r="I1267" s="87" t="b">
        <v>0</v>
      </c>
      <c r="J1267" s="173" t="s">
        <v>472</v>
      </c>
      <c r="K1267" s="174">
        <v>3222051000156</v>
      </c>
      <c r="L1267" s="173" t="s">
        <v>784</v>
      </c>
      <c r="M1267" s="173" t="s">
        <v>84</v>
      </c>
      <c r="N1267" s="173" t="s">
        <v>85</v>
      </c>
      <c r="O1267" s="87">
        <v>64</v>
      </c>
      <c r="P1267" s="173" t="s">
        <v>25</v>
      </c>
      <c r="Q1267" s="1" t="s">
        <v>1344</v>
      </c>
      <c r="R1267" s="175">
        <v>2</v>
      </c>
      <c r="S1267">
        <v>2</v>
      </c>
    </row>
    <row r="1268" spans="1:19" x14ac:dyDescent="0.25">
      <c r="A1268" s="87">
        <v>2019</v>
      </c>
      <c r="B1268" s="87">
        <v>9</v>
      </c>
      <c r="C1268" s="173" t="s">
        <v>16</v>
      </c>
      <c r="D1268" s="173" t="s">
        <v>22</v>
      </c>
      <c r="E1268" s="173" t="s">
        <v>18</v>
      </c>
      <c r="F1268" s="173" t="s">
        <v>16</v>
      </c>
      <c r="G1268" s="87" t="b">
        <v>1</v>
      </c>
      <c r="H1268" s="87" t="b">
        <v>1</v>
      </c>
      <c r="I1268" s="87" t="b">
        <v>0</v>
      </c>
      <c r="J1268" s="173" t="s">
        <v>468</v>
      </c>
      <c r="K1268" s="174">
        <v>3533726001583</v>
      </c>
      <c r="L1268" s="173" t="s">
        <v>788</v>
      </c>
      <c r="M1268" s="173" t="s">
        <v>789</v>
      </c>
      <c r="N1268" s="173" t="s">
        <v>69</v>
      </c>
      <c r="O1268" s="87">
        <v>70</v>
      </c>
      <c r="P1268" s="173" t="s">
        <v>20</v>
      </c>
      <c r="Q1268" s="1" t="s">
        <v>1338</v>
      </c>
      <c r="R1268" s="175">
        <v>55</v>
      </c>
      <c r="S1268">
        <v>11</v>
      </c>
    </row>
    <row r="1269" spans="1:19" x14ac:dyDescent="0.25">
      <c r="A1269" s="87">
        <v>2019</v>
      </c>
      <c r="B1269" s="87">
        <v>9</v>
      </c>
      <c r="C1269" s="173" t="s">
        <v>16</v>
      </c>
      <c r="D1269" s="173" t="s">
        <v>22</v>
      </c>
      <c r="E1269" s="173" t="s">
        <v>18</v>
      </c>
      <c r="F1269" s="173" t="s">
        <v>16</v>
      </c>
      <c r="G1269" s="87" t="b">
        <v>1</v>
      </c>
      <c r="H1269" s="87" t="b">
        <v>1</v>
      </c>
      <c r="I1269" s="87" t="b">
        <v>0</v>
      </c>
      <c r="J1269" s="173" t="s">
        <v>451</v>
      </c>
      <c r="K1269" s="174">
        <v>3850913000195</v>
      </c>
      <c r="L1269" s="173" t="s">
        <v>945</v>
      </c>
      <c r="M1269" s="173" t="s">
        <v>94</v>
      </c>
      <c r="N1269" s="173" t="s">
        <v>57</v>
      </c>
      <c r="O1269" s="87">
        <v>70</v>
      </c>
      <c r="P1269" s="173" t="s">
        <v>20</v>
      </c>
      <c r="Q1269" s="1" t="s">
        <v>1345</v>
      </c>
      <c r="R1269" s="175">
        <v>290</v>
      </c>
      <c r="S1269">
        <v>29</v>
      </c>
    </row>
    <row r="1270" spans="1:19" x14ac:dyDescent="0.25">
      <c r="A1270" s="87">
        <v>2019</v>
      </c>
      <c r="B1270" s="87">
        <v>9</v>
      </c>
      <c r="C1270" s="173" t="s">
        <v>16</v>
      </c>
      <c r="D1270" s="173" t="s">
        <v>22</v>
      </c>
      <c r="E1270" s="173" t="s">
        <v>18</v>
      </c>
      <c r="F1270" s="173" t="s">
        <v>16</v>
      </c>
      <c r="G1270" s="87" t="b">
        <v>1</v>
      </c>
      <c r="H1270" s="87" t="b">
        <v>1</v>
      </c>
      <c r="I1270" s="87" t="b">
        <v>0</v>
      </c>
      <c r="J1270" s="173" t="s">
        <v>451</v>
      </c>
      <c r="K1270" s="174">
        <v>3850913000195</v>
      </c>
      <c r="L1270" s="173" t="s">
        <v>945</v>
      </c>
      <c r="M1270" s="173" t="s">
        <v>94</v>
      </c>
      <c r="N1270" s="173" t="s">
        <v>57</v>
      </c>
      <c r="O1270" s="87">
        <v>70</v>
      </c>
      <c r="P1270" s="173" t="s">
        <v>20</v>
      </c>
      <c r="Q1270" s="1" t="s">
        <v>1338</v>
      </c>
      <c r="R1270" s="175">
        <v>370</v>
      </c>
      <c r="S1270">
        <v>74</v>
      </c>
    </row>
    <row r="1271" spans="1:19" x14ac:dyDescent="0.25">
      <c r="A1271" s="87">
        <v>2019</v>
      </c>
      <c r="B1271" s="87">
        <v>9</v>
      </c>
      <c r="C1271" s="173" t="s">
        <v>16</v>
      </c>
      <c r="D1271" s="173" t="s">
        <v>22</v>
      </c>
      <c r="E1271" s="173" t="s">
        <v>18</v>
      </c>
      <c r="F1271" s="173" t="s">
        <v>16</v>
      </c>
      <c r="G1271" s="87" t="b">
        <v>1</v>
      </c>
      <c r="H1271" s="87" t="b">
        <v>1</v>
      </c>
      <c r="I1271" s="87" t="b">
        <v>0</v>
      </c>
      <c r="J1271" s="173" t="s">
        <v>450</v>
      </c>
      <c r="K1271" s="174">
        <v>3872790000193</v>
      </c>
      <c r="L1271" s="173" t="s">
        <v>564</v>
      </c>
      <c r="M1271" s="173" t="s">
        <v>29</v>
      </c>
      <c r="N1271" s="173" t="s">
        <v>19</v>
      </c>
      <c r="O1271" s="87">
        <v>73</v>
      </c>
      <c r="P1271" s="173" t="s">
        <v>26</v>
      </c>
      <c r="Q1271" s="1" t="s">
        <v>1342</v>
      </c>
      <c r="R1271" s="175">
        <v>16</v>
      </c>
      <c r="S1271">
        <v>4</v>
      </c>
    </row>
    <row r="1272" spans="1:19" x14ac:dyDescent="0.25">
      <c r="A1272" s="87">
        <v>2019</v>
      </c>
      <c r="B1272" s="87">
        <v>9</v>
      </c>
      <c r="C1272" s="173" t="s">
        <v>16</v>
      </c>
      <c r="D1272" s="173" t="s">
        <v>22</v>
      </c>
      <c r="E1272" s="173" t="s">
        <v>18</v>
      </c>
      <c r="F1272" s="173" t="s">
        <v>16</v>
      </c>
      <c r="G1272" s="87" t="b">
        <v>1</v>
      </c>
      <c r="H1272" s="87" t="b">
        <v>1</v>
      </c>
      <c r="I1272" s="87" t="b">
        <v>0</v>
      </c>
      <c r="J1272" s="173" t="s">
        <v>460</v>
      </c>
      <c r="K1272" s="174">
        <v>3904395000145</v>
      </c>
      <c r="L1272" s="173" t="s">
        <v>793</v>
      </c>
      <c r="M1272" s="173" t="s">
        <v>794</v>
      </c>
      <c r="N1272" s="173" t="s">
        <v>71</v>
      </c>
      <c r="O1272" s="87">
        <v>66</v>
      </c>
      <c r="P1272" s="173" t="s">
        <v>28</v>
      </c>
      <c r="Q1272" s="1" t="s">
        <v>1341</v>
      </c>
      <c r="R1272" s="175">
        <v>24</v>
      </c>
      <c r="S1272">
        <v>24</v>
      </c>
    </row>
    <row r="1273" spans="1:19" x14ac:dyDescent="0.25">
      <c r="A1273" s="87">
        <v>2019</v>
      </c>
      <c r="B1273" s="87">
        <v>9</v>
      </c>
      <c r="C1273" s="173" t="s">
        <v>16</v>
      </c>
      <c r="D1273" s="173" t="s">
        <v>22</v>
      </c>
      <c r="E1273" s="173" t="s">
        <v>18</v>
      </c>
      <c r="F1273" s="173" t="s">
        <v>16</v>
      </c>
      <c r="G1273" s="87" t="b">
        <v>1</v>
      </c>
      <c r="H1273" s="87" t="b">
        <v>1</v>
      </c>
      <c r="I1273" s="87" t="b">
        <v>0</v>
      </c>
      <c r="J1273" s="173" t="s">
        <v>455</v>
      </c>
      <c r="K1273" s="174">
        <v>3925419000142</v>
      </c>
      <c r="L1273" s="173" t="s">
        <v>795</v>
      </c>
      <c r="M1273" s="173" t="s">
        <v>772</v>
      </c>
      <c r="N1273" s="173" t="s">
        <v>69</v>
      </c>
      <c r="O1273" s="87">
        <v>64</v>
      </c>
      <c r="P1273" s="173" t="s">
        <v>25</v>
      </c>
      <c r="Q1273" s="1" t="s">
        <v>1344</v>
      </c>
      <c r="R1273" s="175">
        <v>4</v>
      </c>
      <c r="S1273">
        <v>4</v>
      </c>
    </row>
    <row r="1274" spans="1:19" x14ac:dyDescent="0.25">
      <c r="A1274" s="87">
        <v>2019</v>
      </c>
      <c r="B1274" s="87">
        <v>9</v>
      </c>
      <c r="C1274" s="173" t="s">
        <v>16</v>
      </c>
      <c r="D1274" s="173" t="s">
        <v>22</v>
      </c>
      <c r="E1274" s="173" t="s">
        <v>18</v>
      </c>
      <c r="F1274" s="173" t="s">
        <v>16</v>
      </c>
      <c r="G1274" s="87" t="b">
        <v>1</v>
      </c>
      <c r="H1274" s="87" t="b">
        <v>1</v>
      </c>
      <c r="I1274" s="87" t="b">
        <v>0</v>
      </c>
      <c r="J1274" s="173" t="s">
        <v>491</v>
      </c>
      <c r="K1274" s="174">
        <v>3989821000190</v>
      </c>
      <c r="L1274" s="173" t="s">
        <v>796</v>
      </c>
      <c r="M1274" s="173" t="s">
        <v>739</v>
      </c>
      <c r="N1274" s="173" t="s">
        <v>55</v>
      </c>
      <c r="O1274" s="87">
        <v>70</v>
      </c>
      <c r="P1274" s="173" t="s">
        <v>20</v>
      </c>
      <c r="Q1274" s="1" t="s">
        <v>1338</v>
      </c>
      <c r="R1274" s="175">
        <v>45</v>
      </c>
      <c r="S1274">
        <v>9</v>
      </c>
    </row>
    <row r="1275" spans="1:19" x14ac:dyDescent="0.25">
      <c r="A1275" s="87">
        <v>2019</v>
      </c>
      <c r="B1275" s="87">
        <v>9</v>
      </c>
      <c r="C1275" s="173" t="s">
        <v>16</v>
      </c>
      <c r="D1275" s="173" t="s">
        <v>22</v>
      </c>
      <c r="E1275" s="173" t="s">
        <v>18</v>
      </c>
      <c r="F1275" s="173" t="s">
        <v>16</v>
      </c>
      <c r="G1275" s="87" t="b">
        <v>1</v>
      </c>
      <c r="H1275" s="87" t="b">
        <v>1</v>
      </c>
      <c r="I1275" s="87" t="b">
        <v>0</v>
      </c>
      <c r="J1275" s="173" t="s">
        <v>451</v>
      </c>
      <c r="K1275" s="174">
        <v>4036348000190</v>
      </c>
      <c r="L1275" s="173" t="s">
        <v>565</v>
      </c>
      <c r="M1275" s="173" t="s">
        <v>29</v>
      </c>
      <c r="N1275" s="173" t="s">
        <v>19</v>
      </c>
      <c r="O1275" s="87">
        <v>70</v>
      </c>
      <c r="P1275" s="173" t="s">
        <v>20</v>
      </c>
      <c r="Q1275" s="1" t="s">
        <v>1345</v>
      </c>
      <c r="R1275" s="175">
        <v>320</v>
      </c>
      <c r="S1275">
        <v>32</v>
      </c>
    </row>
    <row r="1276" spans="1:19" x14ac:dyDescent="0.25">
      <c r="A1276" s="87">
        <v>2019</v>
      </c>
      <c r="B1276" s="87">
        <v>9</v>
      </c>
      <c r="C1276" s="173" t="s">
        <v>16</v>
      </c>
      <c r="D1276" s="173" t="s">
        <v>22</v>
      </c>
      <c r="E1276" s="173" t="s">
        <v>18</v>
      </c>
      <c r="F1276" s="173" t="s">
        <v>16</v>
      </c>
      <c r="G1276" s="87" t="b">
        <v>1</v>
      </c>
      <c r="H1276" s="87" t="b">
        <v>1</v>
      </c>
      <c r="I1276" s="87" t="b">
        <v>0</v>
      </c>
      <c r="J1276" s="173" t="s">
        <v>451</v>
      </c>
      <c r="K1276" s="174">
        <v>4036348000190</v>
      </c>
      <c r="L1276" s="173" t="s">
        <v>565</v>
      </c>
      <c r="M1276" s="173" t="s">
        <v>29</v>
      </c>
      <c r="N1276" s="173" t="s">
        <v>19</v>
      </c>
      <c r="O1276" s="87">
        <v>70</v>
      </c>
      <c r="P1276" s="173" t="s">
        <v>20</v>
      </c>
      <c r="Q1276" s="1" t="s">
        <v>1338</v>
      </c>
      <c r="R1276" s="175">
        <v>45</v>
      </c>
      <c r="S1276">
        <v>9</v>
      </c>
    </row>
    <row r="1277" spans="1:19" x14ac:dyDescent="0.25">
      <c r="A1277" s="87">
        <v>2019</v>
      </c>
      <c r="B1277" s="87">
        <v>9</v>
      </c>
      <c r="C1277" s="173" t="s">
        <v>16</v>
      </c>
      <c r="D1277" s="173" t="s">
        <v>22</v>
      </c>
      <c r="E1277" s="173" t="s">
        <v>18</v>
      </c>
      <c r="F1277" s="173" t="s">
        <v>16</v>
      </c>
      <c r="G1277" s="87" t="b">
        <v>1</v>
      </c>
      <c r="H1277" s="87" t="b">
        <v>1</v>
      </c>
      <c r="I1277" s="87" t="b">
        <v>0</v>
      </c>
      <c r="J1277" s="173" t="s">
        <v>464</v>
      </c>
      <c r="K1277" s="174">
        <v>4159778000107</v>
      </c>
      <c r="L1277" s="173" t="s">
        <v>1144</v>
      </c>
      <c r="M1277" s="173" t="s">
        <v>109</v>
      </c>
      <c r="N1277" s="173" t="s">
        <v>110</v>
      </c>
      <c r="O1277" s="87">
        <v>64</v>
      </c>
      <c r="P1277" s="173" t="s">
        <v>25</v>
      </c>
      <c r="Q1277" s="1" t="s">
        <v>1344</v>
      </c>
      <c r="R1277" s="175">
        <v>3</v>
      </c>
      <c r="S1277">
        <v>3</v>
      </c>
    </row>
    <row r="1278" spans="1:19" x14ac:dyDescent="0.25">
      <c r="A1278" s="87">
        <v>2019</v>
      </c>
      <c r="B1278" s="87">
        <v>9</v>
      </c>
      <c r="C1278" s="173" t="s">
        <v>16</v>
      </c>
      <c r="D1278" s="173" t="s">
        <v>22</v>
      </c>
      <c r="E1278" s="173" t="s">
        <v>18</v>
      </c>
      <c r="F1278" s="173" t="s">
        <v>16</v>
      </c>
      <c r="G1278" s="87" t="b">
        <v>1</v>
      </c>
      <c r="H1278" s="87" t="b">
        <v>1</v>
      </c>
      <c r="I1278" s="87" t="b">
        <v>0</v>
      </c>
      <c r="J1278" s="173" t="s">
        <v>460</v>
      </c>
      <c r="K1278" s="174">
        <v>4201372001028</v>
      </c>
      <c r="L1278" s="173" t="s">
        <v>1145</v>
      </c>
      <c r="M1278" s="173" t="s">
        <v>1129</v>
      </c>
      <c r="N1278" s="173" t="s">
        <v>52</v>
      </c>
      <c r="O1278" s="87">
        <v>73</v>
      </c>
      <c r="P1278" s="173" t="s">
        <v>26</v>
      </c>
      <c r="Q1278" s="1" t="s">
        <v>1339</v>
      </c>
      <c r="R1278" s="175">
        <v>10</v>
      </c>
      <c r="S1278">
        <v>5</v>
      </c>
    </row>
    <row r="1279" spans="1:19" x14ac:dyDescent="0.25">
      <c r="A1279" s="87">
        <v>2019</v>
      </c>
      <c r="B1279" s="87">
        <v>9</v>
      </c>
      <c r="C1279" s="173" t="s">
        <v>16</v>
      </c>
      <c r="D1279" s="173" t="s">
        <v>22</v>
      </c>
      <c r="E1279" s="173" t="s">
        <v>18</v>
      </c>
      <c r="F1279" s="173" t="s">
        <v>16</v>
      </c>
      <c r="G1279" s="87" t="b">
        <v>1</v>
      </c>
      <c r="H1279" s="87" t="b">
        <v>1</v>
      </c>
      <c r="I1279" s="87" t="b">
        <v>0</v>
      </c>
      <c r="J1279" s="173" t="s">
        <v>460</v>
      </c>
      <c r="K1279" s="174">
        <v>4201372001028</v>
      </c>
      <c r="L1279" s="173" t="s">
        <v>1145</v>
      </c>
      <c r="M1279" s="173" t="s">
        <v>1129</v>
      </c>
      <c r="N1279" s="173" t="s">
        <v>52</v>
      </c>
      <c r="O1279" s="87">
        <v>73</v>
      </c>
      <c r="P1279" s="173" t="s">
        <v>26</v>
      </c>
      <c r="Q1279" s="1" t="s">
        <v>1342</v>
      </c>
      <c r="R1279" s="175">
        <v>16</v>
      </c>
      <c r="S1279">
        <v>4</v>
      </c>
    </row>
    <row r="1280" spans="1:19" x14ac:dyDescent="0.25">
      <c r="A1280" s="87">
        <v>2019</v>
      </c>
      <c r="B1280" s="87">
        <v>9</v>
      </c>
      <c r="C1280" s="173" t="s">
        <v>16</v>
      </c>
      <c r="D1280" s="173" t="s">
        <v>22</v>
      </c>
      <c r="E1280" s="173" t="s">
        <v>18</v>
      </c>
      <c r="F1280" s="173" t="s">
        <v>16</v>
      </c>
      <c r="G1280" s="87" t="b">
        <v>1</v>
      </c>
      <c r="H1280" s="87" t="b">
        <v>1</v>
      </c>
      <c r="I1280" s="87" t="b">
        <v>0</v>
      </c>
      <c r="J1280" s="173" t="s">
        <v>491</v>
      </c>
      <c r="K1280" s="174">
        <v>4201372001028</v>
      </c>
      <c r="L1280" s="173" t="s">
        <v>1145</v>
      </c>
      <c r="M1280" s="173" t="s">
        <v>1129</v>
      </c>
      <c r="N1280" s="173" t="s">
        <v>52</v>
      </c>
      <c r="O1280" s="87">
        <v>73</v>
      </c>
      <c r="P1280" s="173" t="s">
        <v>26</v>
      </c>
      <c r="Q1280" s="1" t="s">
        <v>1339</v>
      </c>
      <c r="R1280" s="175">
        <v>6</v>
      </c>
      <c r="S1280">
        <v>3</v>
      </c>
    </row>
    <row r="1281" spans="1:19" x14ac:dyDescent="0.25">
      <c r="A1281" s="87">
        <v>2019</v>
      </c>
      <c r="B1281" s="87">
        <v>9</v>
      </c>
      <c r="C1281" s="173" t="s">
        <v>16</v>
      </c>
      <c r="D1281" s="173" t="s">
        <v>22</v>
      </c>
      <c r="E1281" s="173" t="s">
        <v>18</v>
      </c>
      <c r="F1281" s="173" t="s">
        <v>16</v>
      </c>
      <c r="G1281" s="87" t="b">
        <v>1</v>
      </c>
      <c r="H1281" s="87" t="b">
        <v>1</v>
      </c>
      <c r="I1281" s="87" t="b">
        <v>0</v>
      </c>
      <c r="J1281" s="173" t="s">
        <v>478</v>
      </c>
      <c r="K1281" s="174">
        <v>4275687000129</v>
      </c>
      <c r="L1281" s="173" t="s">
        <v>645</v>
      </c>
      <c r="M1281" s="173" t="s">
        <v>31</v>
      </c>
      <c r="N1281" s="173" t="s">
        <v>19</v>
      </c>
      <c r="O1281" s="87">
        <v>73</v>
      </c>
      <c r="P1281" s="173" t="s">
        <v>26</v>
      </c>
      <c r="Q1281" s="1" t="s">
        <v>1342</v>
      </c>
      <c r="R1281" s="175">
        <v>48</v>
      </c>
      <c r="S1281">
        <v>12</v>
      </c>
    </row>
    <row r="1282" spans="1:19" x14ac:dyDescent="0.25">
      <c r="A1282" s="87">
        <v>2019</v>
      </c>
      <c r="B1282" s="87">
        <v>9</v>
      </c>
      <c r="C1282" s="173" t="s">
        <v>16</v>
      </c>
      <c r="D1282" s="173" t="s">
        <v>22</v>
      </c>
      <c r="E1282" s="173" t="s">
        <v>18</v>
      </c>
      <c r="F1282" s="173" t="s">
        <v>16</v>
      </c>
      <c r="G1282" s="87" t="b">
        <v>1</v>
      </c>
      <c r="H1282" s="87" t="b">
        <v>1</v>
      </c>
      <c r="I1282" s="87" t="b">
        <v>0</v>
      </c>
      <c r="J1282" s="173" t="s">
        <v>478</v>
      </c>
      <c r="K1282" s="174">
        <v>4275687000129</v>
      </c>
      <c r="L1282" s="173" t="s">
        <v>645</v>
      </c>
      <c r="M1282" s="173" t="s">
        <v>31</v>
      </c>
      <c r="N1282" s="173" t="s">
        <v>19</v>
      </c>
      <c r="O1282" s="87">
        <v>73</v>
      </c>
      <c r="P1282" s="173" t="s">
        <v>26</v>
      </c>
      <c r="Q1282" s="1" t="s">
        <v>1340</v>
      </c>
      <c r="R1282" s="175">
        <v>4</v>
      </c>
      <c r="S1282">
        <v>4</v>
      </c>
    </row>
    <row r="1283" spans="1:19" x14ac:dyDescent="0.25">
      <c r="A1283" s="87">
        <v>2019</v>
      </c>
      <c r="B1283" s="87">
        <v>9</v>
      </c>
      <c r="C1283" s="173" t="s">
        <v>16</v>
      </c>
      <c r="D1283" s="173" t="s">
        <v>22</v>
      </c>
      <c r="E1283" s="173" t="s">
        <v>18</v>
      </c>
      <c r="F1283" s="173" t="s">
        <v>16</v>
      </c>
      <c r="G1283" s="87" t="b">
        <v>1</v>
      </c>
      <c r="H1283" s="87" t="b">
        <v>1</v>
      </c>
      <c r="I1283" s="87" t="b">
        <v>0</v>
      </c>
      <c r="J1283" s="173" t="s">
        <v>492</v>
      </c>
      <c r="K1283" s="174">
        <v>4670913000176</v>
      </c>
      <c r="L1283" s="173" t="s">
        <v>949</v>
      </c>
      <c r="M1283" s="173" t="s">
        <v>930</v>
      </c>
      <c r="N1283" s="173" t="s">
        <v>68</v>
      </c>
      <c r="O1283" s="87">
        <v>70</v>
      </c>
      <c r="P1283" s="173" t="s">
        <v>20</v>
      </c>
      <c r="Q1283" s="1" t="s">
        <v>1338</v>
      </c>
      <c r="R1283" s="175">
        <v>375</v>
      </c>
      <c r="S1283">
        <v>75</v>
      </c>
    </row>
    <row r="1284" spans="1:19" x14ac:dyDescent="0.25">
      <c r="A1284" s="87">
        <v>2019</v>
      </c>
      <c r="B1284" s="87">
        <v>9</v>
      </c>
      <c r="C1284" s="173" t="s">
        <v>16</v>
      </c>
      <c r="D1284" s="173" t="s">
        <v>22</v>
      </c>
      <c r="E1284" s="173" t="s">
        <v>18</v>
      </c>
      <c r="F1284" s="173" t="s">
        <v>16</v>
      </c>
      <c r="G1284" s="87" t="b">
        <v>1</v>
      </c>
      <c r="H1284" s="87" t="b">
        <v>1</v>
      </c>
      <c r="I1284" s="87" t="b">
        <v>0</v>
      </c>
      <c r="J1284" s="173" t="s">
        <v>470</v>
      </c>
      <c r="K1284" s="174">
        <v>4762301000103</v>
      </c>
      <c r="L1284" s="173" t="s">
        <v>950</v>
      </c>
      <c r="M1284" s="173" t="s">
        <v>121</v>
      </c>
      <c r="N1284" s="173" t="s">
        <v>57</v>
      </c>
      <c r="O1284" s="87">
        <v>70</v>
      </c>
      <c r="P1284" s="173" t="s">
        <v>20</v>
      </c>
      <c r="Q1284" s="1" t="s">
        <v>1338</v>
      </c>
      <c r="R1284" s="175">
        <v>30</v>
      </c>
      <c r="S1284">
        <v>6</v>
      </c>
    </row>
    <row r="1285" spans="1:19" x14ac:dyDescent="0.25">
      <c r="A1285" s="87">
        <v>2019</v>
      </c>
      <c r="B1285" s="87">
        <v>9</v>
      </c>
      <c r="C1285" s="173" t="s">
        <v>16</v>
      </c>
      <c r="D1285" s="173" t="s">
        <v>22</v>
      </c>
      <c r="E1285" s="173" t="s">
        <v>18</v>
      </c>
      <c r="F1285" s="173" t="s">
        <v>16</v>
      </c>
      <c r="G1285" s="87" t="b">
        <v>1</v>
      </c>
      <c r="H1285" s="87" t="b">
        <v>1</v>
      </c>
      <c r="I1285" s="87" t="b">
        <v>0</v>
      </c>
      <c r="J1285" s="173" t="s">
        <v>452</v>
      </c>
      <c r="K1285" s="174">
        <v>4762301000103</v>
      </c>
      <c r="L1285" s="173" t="s">
        <v>950</v>
      </c>
      <c r="M1285" s="173" t="s">
        <v>121</v>
      </c>
      <c r="N1285" s="173" t="s">
        <v>57</v>
      </c>
      <c r="O1285" s="87">
        <v>70</v>
      </c>
      <c r="P1285" s="173" t="s">
        <v>20</v>
      </c>
      <c r="Q1285" s="1" t="s">
        <v>1338</v>
      </c>
      <c r="R1285" s="175">
        <v>375</v>
      </c>
      <c r="S1285">
        <v>75</v>
      </c>
    </row>
    <row r="1286" spans="1:19" x14ac:dyDescent="0.25">
      <c r="A1286" s="87">
        <v>2019</v>
      </c>
      <c r="B1286" s="87">
        <v>9</v>
      </c>
      <c r="C1286" s="173" t="s">
        <v>16</v>
      </c>
      <c r="D1286" s="173" t="s">
        <v>22</v>
      </c>
      <c r="E1286" s="173" t="s">
        <v>18</v>
      </c>
      <c r="F1286" s="173" t="s">
        <v>16</v>
      </c>
      <c r="G1286" s="87" t="b">
        <v>1</v>
      </c>
      <c r="H1286" s="87" t="b">
        <v>1</v>
      </c>
      <c r="I1286" s="87" t="b">
        <v>0</v>
      </c>
      <c r="J1286" s="173" t="s">
        <v>477</v>
      </c>
      <c r="K1286" s="174">
        <v>4966545000370</v>
      </c>
      <c r="L1286" s="173" t="s">
        <v>1148</v>
      </c>
      <c r="M1286" s="173" t="s">
        <v>1129</v>
      </c>
      <c r="N1286" s="173" t="s">
        <v>52</v>
      </c>
      <c r="O1286" s="87">
        <v>70</v>
      </c>
      <c r="P1286" s="173" t="s">
        <v>20</v>
      </c>
      <c r="Q1286" s="1" t="s">
        <v>1338</v>
      </c>
      <c r="R1286" s="175">
        <v>40</v>
      </c>
      <c r="S1286">
        <v>8</v>
      </c>
    </row>
    <row r="1287" spans="1:19" x14ac:dyDescent="0.25">
      <c r="A1287" s="87">
        <v>2019</v>
      </c>
      <c r="B1287" s="87">
        <v>9</v>
      </c>
      <c r="C1287" s="173" t="s">
        <v>16</v>
      </c>
      <c r="D1287" s="173" t="s">
        <v>22</v>
      </c>
      <c r="E1287" s="173" t="s">
        <v>18</v>
      </c>
      <c r="F1287" s="173" t="s">
        <v>16</v>
      </c>
      <c r="G1287" s="87" t="b">
        <v>1</v>
      </c>
      <c r="H1287" s="87" t="b">
        <v>1</v>
      </c>
      <c r="I1287" s="87" t="b">
        <v>0</v>
      </c>
      <c r="J1287" s="173" t="s">
        <v>1330</v>
      </c>
      <c r="K1287" s="174">
        <v>5055128000257</v>
      </c>
      <c r="L1287" s="173" t="s">
        <v>798</v>
      </c>
      <c r="M1287" s="173" t="s">
        <v>130</v>
      </c>
      <c r="N1287" s="173" t="s">
        <v>56</v>
      </c>
      <c r="O1287" s="87">
        <v>70</v>
      </c>
      <c r="P1287" s="173" t="s">
        <v>20</v>
      </c>
      <c r="Q1287" s="1" t="s">
        <v>1346</v>
      </c>
      <c r="R1287" s="175">
        <v>75</v>
      </c>
      <c r="S1287">
        <v>30</v>
      </c>
    </row>
    <row r="1288" spans="1:19" x14ac:dyDescent="0.25">
      <c r="A1288" s="87">
        <v>2019</v>
      </c>
      <c r="B1288" s="87">
        <v>9</v>
      </c>
      <c r="C1288" s="173" t="s">
        <v>16</v>
      </c>
      <c r="D1288" s="173" t="s">
        <v>22</v>
      </c>
      <c r="E1288" s="173" t="s">
        <v>18</v>
      </c>
      <c r="F1288" s="173" t="s">
        <v>16</v>
      </c>
      <c r="G1288" s="87" t="b">
        <v>1</v>
      </c>
      <c r="H1288" s="87" t="b">
        <v>1</v>
      </c>
      <c r="I1288" s="87" t="b">
        <v>0</v>
      </c>
      <c r="J1288" s="173" t="s">
        <v>491</v>
      </c>
      <c r="K1288" s="174">
        <v>5469172000122</v>
      </c>
      <c r="L1288" s="173" t="s">
        <v>799</v>
      </c>
      <c r="M1288" s="173" t="s">
        <v>75</v>
      </c>
      <c r="N1288" s="173" t="s">
        <v>74</v>
      </c>
      <c r="O1288" s="87">
        <v>62</v>
      </c>
      <c r="P1288" s="173" t="s">
        <v>27</v>
      </c>
      <c r="Q1288" s="1" t="s">
        <v>1343</v>
      </c>
      <c r="R1288" s="175">
        <v>4</v>
      </c>
      <c r="S1288">
        <v>4</v>
      </c>
    </row>
    <row r="1289" spans="1:19" x14ac:dyDescent="0.25">
      <c r="A1289" s="87">
        <v>2019</v>
      </c>
      <c r="B1289" s="87">
        <v>9</v>
      </c>
      <c r="C1289" s="173" t="s">
        <v>16</v>
      </c>
      <c r="D1289" s="173" t="s">
        <v>22</v>
      </c>
      <c r="E1289" s="173" t="s">
        <v>18</v>
      </c>
      <c r="F1289" s="173" t="s">
        <v>16</v>
      </c>
      <c r="G1289" s="87" t="b">
        <v>1</v>
      </c>
      <c r="H1289" s="87" t="b">
        <v>1</v>
      </c>
      <c r="I1289" s="87" t="b">
        <v>0</v>
      </c>
      <c r="J1289" s="173" t="s">
        <v>464</v>
      </c>
      <c r="K1289" s="174">
        <v>5612725000154</v>
      </c>
      <c r="L1289" s="173" t="s">
        <v>800</v>
      </c>
      <c r="M1289" s="173" t="s">
        <v>742</v>
      </c>
      <c r="N1289" s="173" t="s">
        <v>91</v>
      </c>
      <c r="O1289" s="87">
        <v>70</v>
      </c>
      <c r="P1289" s="173" t="s">
        <v>20</v>
      </c>
      <c r="Q1289" s="1" t="s">
        <v>1338</v>
      </c>
      <c r="R1289" s="175">
        <v>30</v>
      </c>
      <c r="S1289">
        <v>6</v>
      </c>
    </row>
    <row r="1290" spans="1:19" x14ac:dyDescent="0.25">
      <c r="A1290" s="87">
        <v>2019</v>
      </c>
      <c r="B1290" s="87">
        <v>9</v>
      </c>
      <c r="C1290" s="173" t="s">
        <v>16</v>
      </c>
      <c r="D1290" s="173" t="s">
        <v>22</v>
      </c>
      <c r="E1290" s="173" t="s">
        <v>18</v>
      </c>
      <c r="F1290" s="173" t="s">
        <v>16</v>
      </c>
      <c r="G1290" s="87" t="b">
        <v>1</v>
      </c>
      <c r="H1290" s="87" t="b">
        <v>1</v>
      </c>
      <c r="I1290" s="87" t="b">
        <v>0</v>
      </c>
      <c r="J1290" s="173" t="s">
        <v>460</v>
      </c>
      <c r="K1290" s="174">
        <v>5652543000107</v>
      </c>
      <c r="L1290" s="173" t="s">
        <v>801</v>
      </c>
      <c r="M1290" s="173" t="s">
        <v>802</v>
      </c>
      <c r="N1290" s="173" t="s">
        <v>74</v>
      </c>
      <c r="O1290" s="87">
        <v>64</v>
      </c>
      <c r="P1290" s="173" t="s">
        <v>25</v>
      </c>
      <c r="Q1290" s="1" t="s">
        <v>1344</v>
      </c>
      <c r="R1290" s="175">
        <v>11</v>
      </c>
      <c r="S1290">
        <v>11</v>
      </c>
    </row>
    <row r="1291" spans="1:19" x14ac:dyDescent="0.25">
      <c r="A1291" s="87">
        <v>2019</v>
      </c>
      <c r="B1291" s="87">
        <v>9</v>
      </c>
      <c r="C1291" s="173" t="s">
        <v>16</v>
      </c>
      <c r="D1291" s="173" t="s">
        <v>22</v>
      </c>
      <c r="E1291" s="173" t="s">
        <v>18</v>
      </c>
      <c r="F1291" s="173" t="s">
        <v>16</v>
      </c>
      <c r="G1291" s="87" t="b">
        <v>1</v>
      </c>
      <c r="H1291" s="87" t="b">
        <v>1</v>
      </c>
      <c r="I1291" s="87" t="b">
        <v>0</v>
      </c>
      <c r="J1291" s="173" t="s">
        <v>464</v>
      </c>
      <c r="K1291" s="174">
        <v>5652543000107</v>
      </c>
      <c r="L1291" s="173" t="s">
        <v>801</v>
      </c>
      <c r="M1291" s="173" t="s">
        <v>802</v>
      </c>
      <c r="N1291" s="173" t="s">
        <v>74</v>
      </c>
      <c r="O1291" s="87">
        <v>64</v>
      </c>
      <c r="P1291" s="173" t="s">
        <v>25</v>
      </c>
      <c r="Q1291" s="1" t="s">
        <v>1344</v>
      </c>
      <c r="R1291" s="175">
        <v>19</v>
      </c>
      <c r="S1291">
        <v>19</v>
      </c>
    </row>
    <row r="1292" spans="1:19" x14ac:dyDescent="0.25">
      <c r="A1292" s="87">
        <v>2019</v>
      </c>
      <c r="B1292" s="87">
        <v>9</v>
      </c>
      <c r="C1292" s="173" t="s">
        <v>16</v>
      </c>
      <c r="D1292" s="173" t="s">
        <v>22</v>
      </c>
      <c r="E1292" s="173" t="s">
        <v>18</v>
      </c>
      <c r="F1292" s="173" t="s">
        <v>16</v>
      </c>
      <c r="G1292" s="87" t="b">
        <v>1</v>
      </c>
      <c r="H1292" s="87" t="b">
        <v>1</v>
      </c>
      <c r="I1292" s="87" t="b">
        <v>0</v>
      </c>
      <c r="J1292" s="173" t="s">
        <v>475</v>
      </c>
      <c r="K1292" s="174">
        <v>5816630000152</v>
      </c>
      <c r="L1292" s="173" t="s">
        <v>803</v>
      </c>
      <c r="M1292" s="173" t="s">
        <v>75</v>
      </c>
      <c r="N1292" s="173" t="s">
        <v>74</v>
      </c>
      <c r="O1292" s="87">
        <v>64</v>
      </c>
      <c r="P1292" s="173" t="s">
        <v>25</v>
      </c>
      <c r="Q1292" s="1" t="s">
        <v>1344</v>
      </c>
      <c r="R1292" s="175">
        <v>15</v>
      </c>
      <c r="S1292">
        <v>15</v>
      </c>
    </row>
    <row r="1293" spans="1:19" x14ac:dyDescent="0.25">
      <c r="A1293" s="87">
        <v>2019</v>
      </c>
      <c r="B1293" s="87">
        <v>9</v>
      </c>
      <c r="C1293" s="173" t="s">
        <v>16</v>
      </c>
      <c r="D1293" s="173" t="s">
        <v>22</v>
      </c>
      <c r="E1293" s="173" t="s">
        <v>18</v>
      </c>
      <c r="F1293" s="173" t="s">
        <v>16</v>
      </c>
      <c r="G1293" s="87" t="b">
        <v>1</v>
      </c>
      <c r="H1293" s="87" t="b">
        <v>1</v>
      </c>
      <c r="I1293" s="87" t="b">
        <v>0</v>
      </c>
      <c r="J1293" s="173" t="s">
        <v>1330</v>
      </c>
      <c r="K1293" s="174">
        <v>5816630000152</v>
      </c>
      <c r="L1293" s="173" t="s">
        <v>803</v>
      </c>
      <c r="M1293" s="173" t="s">
        <v>75</v>
      </c>
      <c r="N1293" s="173" t="s">
        <v>74</v>
      </c>
      <c r="O1293" s="87">
        <v>70</v>
      </c>
      <c r="P1293" s="173" t="s">
        <v>20</v>
      </c>
      <c r="Q1293" s="1" t="s">
        <v>1346</v>
      </c>
      <c r="R1293" s="175">
        <v>25</v>
      </c>
      <c r="S1293">
        <v>10</v>
      </c>
    </row>
    <row r="1294" spans="1:19" x14ac:dyDescent="0.25">
      <c r="A1294" s="87">
        <v>2019</v>
      </c>
      <c r="B1294" s="87">
        <v>9</v>
      </c>
      <c r="C1294" s="173" t="s">
        <v>16</v>
      </c>
      <c r="D1294" s="173" t="s">
        <v>22</v>
      </c>
      <c r="E1294" s="173" t="s">
        <v>18</v>
      </c>
      <c r="F1294" s="173" t="s">
        <v>16</v>
      </c>
      <c r="G1294" s="87" t="b">
        <v>1</v>
      </c>
      <c r="H1294" s="87" t="b">
        <v>1</v>
      </c>
      <c r="I1294" s="87" t="b">
        <v>0</v>
      </c>
      <c r="J1294" s="173" t="s">
        <v>1330</v>
      </c>
      <c r="K1294" s="174">
        <v>5816630000152</v>
      </c>
      <c r="L1294" s="173" t="s">
        <v>803</v>
      </c>
      <c r="M1294" s="173" t="s">
        <v>75</v>
      </c>
      <c r="N1294" s="173" t="s">
        <v>74</v>
      </c>
      <c r="O1294" s="87">
        <v>70</v>
      </c>
      <c r="P1294" s="173" t="s">
        <v>20</v>
      </c>
      <c r="Q1294" s="1" t="s">
        <v>1338</v>
      </c>
      <c r="R1294" s="175">
        <v>625</v>
      </c>
      <c r="S1294">
        <v>125</v>
      </c>
    </row>
    <row r="1295" spans="1:19" x14ac:dyDescent="0.25">
      <c r="A1295" s="87">
        <v>2019</v>
      </c>
      <c r="B1295" s="87">
        <v>9</v>
      </c>
      <c r="C1295" s="173" t="s">
        <v>16</v>
      </c>
      <c r="D1295" s="173" t="s">
        <v>22</v>
      </c>
      <c r="E1295" s="173" t="s">
        <v>18</v>
      </c>
      <c r="F1295" s="173" t="s">
        <v>16</v>
      </c>
      <c r="G1295" s="87" t="b">
        <v>1</v>
      </c>
      <c r="H1295" s="87" t="b">
        <v>1</v>
      </c>
      <c r="I1295" s="87" t="b">
        <v>0</v>
      </c>
      <c r="J1295" s="173" t="s">
        <v>450</v>
      </c>
      <c r="K1295" s="174">
        <v>5831510000124</v>
      </c>
      <c r="L1295" s="173" t="s">
        <v>567</v>
      </c>
      <c r="M1295" s="173" t="s">
        <v>29</v>
      </c>
      <c r="N1295" s="173" t="s">
        <v>19</v>
      </c>
      <c r="O1295" s="87">
        <v>70</v>
      </c>
      <c r="P1295" s="173" t="s">
        <v>20</v>
      </c>
      <c r="Q1295" s="1" t="s">
        <v>1338</v>
      </c>
      <c r="R1295" s="175">
        <v>140</v>
      </c>
      <c r="S1295">
        <v>28</v>
      </c>
    </row>
    <row r="1296" spans="1:19" x14ac:dyDescent="0.25">
      <c r="A1296" s="87">
        <v>2019</v>
      </c>
      <c r="B1296" s="87">
        <v>9</v>
      </c>
      <c r="C1296" s="173" t="s">
        <v>16</v>
      </c>
      <c r="D1296" s="173" t="s">
        <v>22</v>
      </c>
      <c r="E1296" s="173" t="s">
        <v>18</v>
      </c>
      <c r="F1296" s="173" t="s">
        <v>16</v>
      </c>
      <c r="G1296" s="87" t="b">
        <v>1</v>
      </c>
      <c r="H1296" s="87" t="b">
        <v>1</v>
      </c>
      <c r="I1296" s="87" t="b">
        <v>0</v>
      </c>
      <c r="J1296" s="173" t="s">
        <v>470</v>
      </c>
      <c r="K1296" s="174">
        <v>5867015000175</v>
      </c>
      <c r="L1296" s="173" t="s">
        <v>804</v>
      </c>
      <c r="M1296" s="173" t="s">
        <v>76</v>
      </c>
      <c r="N1296" s="173" t="s">
        <v>77</v>
      </c>
      <c r="O1296" s="87">
        <v>73</v>
      </c>
      <c r="P1296" s="173" t="s">
        <v>26</v>
      </c>
      <c r="Q1296" s="1" t="s">
        <v>1340</v>
      </c>
      <c r="R1296" s="175">
        <v>8</v>
      </c>
      <c r="S1296">
        <v>8</v>
      </c>
    </row>
    <row r="1297" spans="1:19" x14ac:dyDescent="0.25">
      <c r="A1297" s="87">
        <v>2019</v>
      </c>
      <c r="B1297" s="87">
        <v>9</v>
      </c>
      <c r="C1297" s="173" t="s">
        <v>16</v>
      </c>
      <c r="D1297" s="173" t="s">
        <v>22</v>
      </c>
      <c r="E1297" s="173" t="s">
        <v>18</v>
      </c>
      <c r="F1297" s="173" t="s">
        <v>16</v>
      </c>
      <c r="G1297" s="87" t="b">
        <v>1</v>
      </c>
      <c r="H1297" s="87" t="b">
        <v>1</v>
      </c>
      <c r="I1297" s="87" t="b">
        <v>0</v>
      </c>
      <c r="J1297" s="173" t="s">
        <v>460</v>
      </c>
      <c r="K1297" s="174">
        <v>5868278000280</v>
      </c>
      <c r="L1297" s="173" t="s">
        <v>805</v>
      </c>
      <c r="M1297" s="173" t="s">
        <v>76</v>
      </c>
      <c r="N1297" s="173" t="s">
        <v>77</v>
      </c>
      <c r="O1297" s="87">
        <v>62</v>
      </c>
      <c r="P1297" s="173" t="s">
        <v>27</v>
      </c>
      <c r="Q1297" s="1" t="s">
        <v>1343</v>
      </c>
      <c r="R1297" s="175">
        <v>8</v>
      </c>
      <c r="S1297">
        <v>8</v>
      </c>
    </row>
    <row r="1298" spans="1:19" x14ac:dyDescent="0.25">
      <c r="A1298" s="87">
        <v>2019</v>
      </c>
      <c r="B1298" s="87">
        <v>9</v>
      </c>
      <c r="C1298" s="173" t="s">
        <v>16</v>
      </c>
      <c r="D1298" s="173" t="s">
        <v>22</v>
      </c>
      <c r="E1298" s="173" t="s">
        <v>18</v>
      </c>
      <c r="F1298" s="173" t="s">
        <v>16</v>
      </c>
      <c r="G1298" s="87" t="b">
        <v>1</v>
      </c>
      <c r="H1298" s="87" t="b">
        <v>1</v>
      </c>
      <c r="I1298" s="87" t="b">
        <v>0</v>
      </c>
      <c r="J1298" s="173" t="s">
        <v>460</v>
      </c>
      <c r="K1298" s="174">
        <v>5868278000280</v>
      </c>
      <c r="L1298" s="173" t="s">
        <v>805</v>
      </c>
      <c r="M1298" s="173" t="s">
        <v>76</v>
      </c>
      <c r="N1298" s="173" t="s">
        <v>77</v>
      </c>
      <c r="O1298" s="87">
        <v>64</v>
      </c>
      <c r="P1298" s="173" t="s">
        <v>25</v>
      </c>
      <c r="Q1298" s="1" t="s">
        <v>1344</v>
      </c>
      <c r="R1298" s="175">
        <v>13</v>
      </c>
      <c r="S1298">
        <v>13</v>
      </c>
    </row>
    <row r="1299" spans="1:19" x14ac:dyDescent="0.25">
      <c r="A1299" s="87">
        <v>2019</v>
      </c>
      <c r="B1299" s="87">
        <v>9</v>
      </c>
      <c r="C1299" s="173" t="s">
        <v>16</v>
      </c>
      <c r="D1299" s="173" t="s">
        <v>22</v>
      </c>
      <c r="E1299" s="173" t="s">
        <v>18</v>
      </c>
      <c r="F1299" s="173" t="s">
        <v>16</v>
      </c>
      <c r="G1299" s="87" t="b">
        <v>1</v>
      </c>
      <c r="H1299" s="87" t="b">
        <v>1</v>
      </c>
      <c r="I1299" s="87" t="b">
        <v>0</v>
      </c>
      <c r="J1299" s="173" t="s">
        <v>453</v>
      </c>
      <c r="K1299" s="174">
        <v>5868278000280</v>
      </c>
      <c r="L1299" s="173" t="s">
        <v>805</v>
      </c>
      <c r="M1299" s="173" t="s">
        <v>76</v>
      </c>
      <c r="N1299" s="173" t="s">
        <v>77</v>
      </c>
      <c r="O1299" s="87">
        <v>73</v>
      </c>
      <c r="P1299" s="173" t="s">
        <v>26</v>
      </c>
      <c r="Q1299" s="1" t="s">
        <v>1339</v>
      </c>
      <c r="R1299" s="175">
        <v>6</v>
      </c>
      <c r="S1299">
        <v>3</v>
      </c>
    </row>
    <row r="1300" spans="1:19" x14ac:dyDescent="0.25">
      <c r="A1300" s="87">
        <v>2019</v>
      </c>
      <c r="B1300" s="87">
        <v>9</v>
      </c>
      <c r="C1300" s="173" t="s">
        <v>16</v>
      </c>
      <c r="D1300" s="173" t="s">
        <v>22</v>
      </c>
      <c r="E1300" s="173" t="s">
        <v>18</v>
      </c>
      <c r="F1300" s="173" t="s">
        <v>16</v>
      </c>
      <c r="G1300" s="87" t="b">
        <v>1</v>
      </c>
      <c r="H1300" s="87" t="b">
        <v>1</v>
      </c>
      <c r="I1300" s="87" t="b">
        <v>0</v>
      </c>
      <c r="J1300" s="173" t="s">
        <v>453</v>
      </c>
      <c r="K1300" s="174">
        <v>5868278000280</v>
      </c>
      <c r="L1300" s="173" t="s">
        <v>805</v>
      </c>
      <c r="M1300" s="173" t="s">
        <v>76</v>
      </c>
      <c r="N1300" s="173" t="s">
        <v>77</v>
      </c>
      <c r="O1300" s="87">
        <v>73</v>
      </c>
      <c r="P1300" s="173" t="s">
        <v>26</v>
      </c>
      <c r="Q1300" s="1" t="s">
        <v>1342</v>
      </c>
      <c r="R1300" s="175">
        <v>20</v>
      </c>
      <c r="S1300">
        <v>5</v>
      </c>
    </row>
    <row r="1301" spans="1:19" x14ac:dyDescent="0.25">
      <c r="A1301" s="87">
        <v>2019</v>
      </c>
      <c r="B1301" s="87">
        <v>9</v>
      </c>
      <c r="C1301" s="173" t="s">
        <v>16</v>
      </c>
      <c r="D1301" s="173" t="s">
        <v>22</v>
      </c>
      <c r="E1301" s="173" t="s">
        <v>18</v>
      </c>
      <c r="F1301" s="173" t="s">
        <v>16</v>
      </c>
      <c r="G1301" s="87" t="b">
        <v>1</v>
      </c>
      <c r="H1301" s="87" t="b">
        <v>1</v>
      </c>
      <c r="I1301" s="87" t="b">
        <v>0</v>
      </c>
      <c r="J1301" s="173" t="s">
        <v>470</v>
      </c>
      <c r="K1301" s="174">
        <v>5874946000281</v>
      </c>
      <c r="L1301" s="173" t="s">
        <v>807</v>
      </c>
      <c r="M1301" s="173" t="s">
        <v>76</v>
      </c>
      <c r="N1301" s="173" t="s">
        <v>77</v>
      </c>
      <c r="O1301" s="87">
        <v>62</v>
      </c>
      <c r="P1301" s="173" t="s">
        <v>27</v>
      </c>
      <c r="Q1301" s="1" t="s">
        <v>1343</v>
      </c>
      <c r="R1301" s="175">
        <v>5</v>
      </c>
      <c r="S1301">
        <v>5</v>
      </c>
    </row>
    <row r="1302" spans="1:19" x14ac:dyDescent="0.25">
      <c r="A1302" s="87">
        <v>2019</v>
      </c>
      <c r="B1302" s="87">
        <v>9</v>
      </c>
      <c r="C1302" s="173" t="s">
        <v>16</v>
      </c>
      <c r="D1302" s="173" t="s">
        <v>22</v>
      </c>
      <c r="E1302" s="173" t="s">
        <v>18</v>
      </c>
      <c r="F1302" s="173" t="s">
        <v>16</v>
      </c>
      <c r="G1302" s="87" t="b">
        <v>1</v>
      </c>
      <c r="H1302" s="87" t="b">
        <v>1</v>
      </c>
      <c r="I1302" s="87" t="b">
        <v>0</v>
      </c>
      <c r="J1302" s="173" t="s">
        <v>460</v>
      </c>
      <c r="K1302" s="174">
        <v>5874946000281</v>
      </c>
      <c r="L1302" s="173" t="s">
        <v>807</v>
      </c>
      <c r="M1302" s="173" t="s">
        <v>76</v>
      </c>
      <c r="N1302" s="173" t="s">
        <v>77</v>
      </c>
      <c r="O1302" s="87">
        <v>64</v>
      </c>
      <c r="P1302" s="173" t="s">
        <v>25</v>
      </c>
      <c r="Q1302" s="1" t="s">
        <v>1344</v>
      </c>
      <c r="R1302" s="175">
        <v>7</v>
      </c>
      <c r="S1302">
        <v>7</v>
      </c>
    </row>
    <row r="1303" spans="1:19" x14ac:dyDescent="0.25">
      <c r="A1303" s="87">
        <v>2019</v>
      </c>
      <c r="B1303" s="87">
        <v>9</v>
      </c>
      <c r="C1303" s="173" t="s">
        <v>16</v>
      </c>
      <c r="D1303" s="173" t="s">
        <v>22</v>
      </c>
      <c r="E1303" s="173" t="s">
        <v>18</v>
      </c>
      <c r="F1303" s="173" t="s">
        <v>16</v>
      </c>
      <c r="G1303" s="87" t="b">
        <v>1</v>
      </c>
      <c r="H1303" s="87" t="b">
        <v>1</v>
      </c>
      <c r="I1303" s="87" t="b">
        <v>0</v>
      </c>
      <c r="J1303" s="173" t="s">
        <v>468</v>
      </c>
      <c r="K1303" s="174">
        <v>5919720000179</v>
      </c>
      <c r="L1303" s="173" t="s">
        <v>808</v>
      </c>
      <c r="M1303" s="173" t="s">
        <v>745</v>
      </c>
      <c r="N1303" s="173" t="s">
        <v>59</v>
      </c>
      <c r="O1303" s="87">
        <v>70</v>
      </c>
      <c r="P1303" s="173" t="s">
        <v>20</v>
      </c>
      <c r="Q1303" s="1" t="s">
        <v>1338</v>
      </c>
      <c r="R1303" s="175">
        <v>25</v>
      </c>
      <c r="S1303">
        <v>5</v>
      </c>
    </row>
    <row r="1304" spans="1:19" x14ac:dyDescent="0.25">
      <c r="A1304" s="87">
        <v>2019</v>
      </c>
      <c r="B1304" s="87">
        <v>9</v>
      </c>
      <c r="C1304" s="173" t="s">
        <v>16</v>
      </c>
      <c r="D1304" s="173" t="s">
        <v>22</v>
      </c>
      <c r="E1304" s="173" t="s">
        <v>18</v>
      </c>
      <c r="F1304" s="173" t="s">
        <v>16</v>
      </c>
      <c r="G1304" s="87" t="b">
        <v>1</v>
      </c>
      <c r="H1304" s="87" t="b">
        <v>1</v>
      </c>
      <c r="I1304" s="87" t="b">
        <v>0</v>
      </c>
      <c r="J1304" s="173" t="s">
        <v>470</v>
      </c>
      <c r="K1304" s="174">
        <v>6033403000113</v>
      </c>
      <c r="L1304" s="173" t="s">
        <v>646</v>
      </c>
      <c r="M1304" s="173" t="s">
        <v>647</v>
      </c>
      <c r="N1304" s="173" t="s">
        <v>19</v>
      </c>
      <c r="O1304" s="87">
        <v>64</v>
      </c>
      <c r="P1304" s="173" t="s">
        <v>25</v>
      </c>
      <c r="Q1304" s="1" t="s">
        <v>1344</v>
      </c>
      <c r="R1304" s="175">
        <v>14</v>
      </c>
      <c r="S1304">
        <v>14</v>
      </c>
    </row>
    <row r="1305" spans="1:19" x14ac:dyDescent="0.25">
      <c r="A1305" s="87">
        <v>2019</v>
      </c>
      <c r="B1305" s="87">
        <v>9</v>
      </c>
      <c r="C1305" s="173" t="s">
        <v>16</v>
      </c>
      <c r="D1305" s="173" t="s">
        <v>22</v>
      </c>
      <c r="E1305" s="173" t="s">
        <v>18</v>
      </c>
      <c r="F1305" s="173" t="s">
        <v>16</v>
      </c>
      <c r="G1305" s="87" t="b">
        <v>1</v>
      </c>
      <c r="H1305" s="87" t="b">
        <v>1</v>
      </c>
      <c r="I1305" s="87" t="b">
        <v>0</v>
      </c>
      <c r="J1305" s="173" t="s">
        <v>491</v>
      </c>
      <c r="K1305" s="174">
        <v>6047087000139</v>
      </c>
      <c r="L1305" s="173" t="s">
        <v>568</v>
      </c>
      <c r="M1305" s="173" t="s">
        <v>29</v>
      </c>
      <c r="N1305" s="173" t="s">
        <v>19</v>
      </c>
      <c r="O1305" s="87">
        <v>62</v>
      </c>
      <c r="P1305" s="173" t="s">
        <v>27</v>
      </c>
      <c r="Q1305" s="1" t="s">
        <v>1343</v>
      </c>
      <c r="R1305" s="175">
        <v>4</v>
      </c>
      <c r="S1305">
        <v>4</v>
      </c>
    </row>
    <row r="1306" spans="1:19" x14ac:dyDescent="0.25">
      <c r="A1306" s="87">
        <v>2019</v>
      </c>
      <c r="B1306" s="87">
        <v>9</v>
      </c>
      <c r="C1306" s="173" t="s">
        <v>16</v>
      </c>
      <c r="D1306" s="173" t="s">
        <v>22</v>
      </c>
      <c r="E1306" s="173" t="s">
        <v>18</v>
      </c>
      <c r="F1306" s="173" t="s">
        <v>16</v>
      </c>
      <c r="G1306" s="87" t="b">
        <v>1</v>
      </c>
      <c r="H1306" s="87" t="b">
        <v>1</v>
      </c>
      <c r="I1306" s="87" t="b">
        <v>0</v>
      </c>
      <c r="J1306" s="173" t="s">
        <v>491</v>
      </c>
      <c r="K1306" s="174">
        <v>6047087000210</v>
      </c>
      <c r="L1306" s="173" t="s">
        <v>569</v>
      </c>
      <c r="M1306" s="173" t="s">
        <v>29</v>
      </c>
      <c r="N1306" s="173" t="s">
        <v>19</v>
      </c>
      <c r="O1306" s="87">
        <v>62</v>
      </c>
      <c r="P1306" s="173" t="s">
        <v>27</v>
      </c>
      <c r="Q1306" s="1" t="s">
        <v>1343</v>
      </c>
      <c r="R1306" s="175">
        <v>20</v>
      </c>
      <c r="S1306">
        <v>20</v>
      </c>
    </row>
    <row r="1307" spans="1:19" x14ac:dyDescent="0.25">
      <c r="A1307" s="87">
        <v>2019</v>
      </c>
      <c r="B1307" s="87">
        <v>9</v>
      </c>
      <c r="C1307" s="173" t="s">
        <v>16</v>
      </c>
      <c r="D1307" s="173" t="s">
        <v>22</v>
      </c>
      <c r="E1307" s="173" t="s">
        <v>18</v>
      </c>
      <c r="F1307" s="173" t="s">
        <v>16</v>
      </c>
      <c r="G1307" s="87" t="b">
        <v>1</v>
      </c>
      <c r="H1307" s="87" t="b">
        <v>1</v>
      </c>
      <c r="I1307" s="87" t="b">
        <v>0</v>
      </c>
      <c r="J1307" s="173" t="s">
        <v>491</v>
      </c>
      <c r="K1307" s="174">
        <v>6047087000210</v>
      </c>
      <c r="L1307" s="173" t="s">
        <v>569</v>
      </c>
      <c r="M1307" s="173" t="s">
        <v>29</v>
      </c>
      <c r="N1307" s="173" t="s">
        <v>19</v>
      </c>
      <c r="O1307" s="87">
        <v>64</v>
      </c>
      <c r="P1307" s="173" t="s">
        <v>25</v>
      </c>
      <c r="Q1307" s="1" t="s">
        <v>1344</v>
      </c>
      <c r="R1307" s="175">
        <v>36</v>
      </c>
      <c r="S1307">
        <v>36</v>
      </c>
    </row>
    <row r="1308" spans="1:19" x14ac:dyDescent="0.25">
      <c r="A1308" s="87">
        <v>2019</v>
      </c>
      <c r="B1308" s="87">
        <v>9</v>
      </c>
      <c r="C1308" s="173" t="s">
        <v>16</v>
      </c>
      <c r="D1308" s="173" t="s">
        <v>22</v>
      </c>
      <c r="E1308" s="173" t="s">
        <v>18</v>
      </c>
      <c r="F1308" s="173" t="s">
        <v>16</v>
      </c>
      <c r="G1308" s="87" t="b">
        <v>1</v>
      </c>
      <c r="H1308" s="87" t="b">
        <v>1</v>
      </c>
      <c r="I1308" s="87" t="b">
        <v>0</v>
      </c>
      <c r="J1308" s="173" t="s">
        <v>491</v>
      </c>
      <c r="K1308" s="174">
        <v>6047087000724</v>
      </c>
      <c r="L1308" s="173" t="s">
        <v>648</v>
      </c>
      <c r="M1308" s="173" t="s">
        <v>647</v>
      </c>
      <c r="N1308" s="173" t="s">
        <v>19</v>
      </c>
      <c r="O1308" s="87">
        <v>62</v>
      </c>
      <c r="P1308" s="173" t="s">
        <v>27</v>
      </c>
      <c r="Q1308" s="1" t="s">
        <v>1343</v>
      </c>
      <c r="R1308" s="175">
        <v>10</v>
      </c>
      <c r="S1308">
        <v>10</v>
      </c>
    </row>
    <row r="1309" spans="1:19" x14ac:dyDescent="0.25">
      <c r="A1309" s="87">
        <v>2019</v>
      </c>
      <c r="B1309" s="87">
        <v>9</v>
      </c>
      <c r="C1309" s="173" t="s">
        <v>16</v>
      </c>
      <c r="D1309" s="173" t="s">
        <v>22</v>
      </c>
      <c r="E1309" s="173" t="s">
        <v>18</v>
      </c>
      <c r="F1309" s="173" t="s">
        <v>16</v>
      </c>
      <c r="G1309" s="87" t="b">
        <v>1</v>
      </c>
      <c r="H1309" s="87" t="b">
        <v>1</v>
      </c>
      <c r="I1309" s="87" t="b">
        <v>0</v>
      </c>
      <c r="J1309" s="173" t="s">
        <v>491</v>
      </c>
      <c r="K1309" s="174">
        <v>6047087000724</v>
      </c>
      <c r="L1309" s="173" t="s">
        <v>648</v>
      </c>
      <c r="M1309" s="173" t="s">
        <v>647</v>
      </c>
      <c r="N1309" s="173" t="s">
        <v>19</v>
      </c>
      <c r="O1309" s="87">
        <v>64</v>
      </c>
      <c r="P1309" s="173" t="s">
        <v>25</v>
      </c>
      <c r="Q1309" s="1" t="s">
        <v>1344</v>
      </c>
      <c r="R1309" s="175">
        <v>12</v>
      </c>
      <c r="S1309">
        <v>12</v>
      </c>
    </row>
    <row r="1310" spans="1:19" x14ac:dyDescent="0.25">
      <c r="A1310" s="87">
        <v>2019</v>
      </c>
      <c r="B1310" s="87">
        <v>9</v>
      </c>
      <c r="C1310" s="173" t="s">
        <v>16</v>
      </c>
      <c r="D1310" s="173" t="s">
        <v>22</v>
      </c>
      <c r="E1310" s="173" t="s">
        <v>18</v>
      </c>
      <c r="F1310" s="173" t="s">
        <v>16</v>
      </c>
      <c r="G1310" s="87" t="b">
        <v>1</v>
      </c>
      <c r="H1310" s="87" t="b">
        <v>1</v>
      </c>
      <c r="I1310" s="87" t="b">
        <v>0</v>
      </c>
      <c r="J1310" s="173" t="s">
        <v>491</v>
      </c>
      <c r="K1310" s="174">
        <v>6047087000996</v>
      </c>
      <c r="L1310" s="173" t="s">
        <v>1080</v>
      </c>
      <c r="M1310" s="173" t="s">
        <v>131</v>
      </c>
      <c r="N1310" s="173" t="s">
        <v>61</v>
      </c>
      <c r="O1310" s="87">
        <v>62</v>
      </c>
      <c r="P1310" s="173" t="s">
        <v>27</v>
      </c>
      <c r="Q1310" s="1" t="s">
        <v>1343</v>
      </c>
      <c r="R1310" s="175">
        <v>13</v>
      </c>
      <c r="S1310">
        <v>13</v>
      </c>
    </row>
    <row r="1311" spans="1:19" x14ac:dyDescent="0.25">
      <c r="A1311" s="87">
        <v>2019</v>
      </c>
      <c r="B1311" s="87">
        <v>9</v>
      </c>
      <c r="C1311" s="173" t="s">
        <v>16</v>
      </c>
      <c r="D1311" s="173" t="s">
        <v>22</v>
      </c>
      <c r="E1311" s="173" t="s">
        <v>18</v>
      </c>
      <c r="F1311" s="173" t="s">
        <v>16</v>
      </c>
      <c r="G1311" s="87" t="b">
        <v>1</v>
      </c>
      <c r="H1311" s="87" t="b">
        <v>1</v>
      </c>
      <c r="I1311" s="87" t="b">
        <v>0</v>
      </c>
      <c r="J1311" s="173" t="s">
        <v>491</v>
      </c>
      <c r="K1311" s="174">
        <v>6047087000996</v>
      </c>
      <c r="L1311" s="173" t="s">
        <v>1080</v>
      </c>
      <c r="M1311" s="173" t="s">
        <v>131</v>
      </c>
      <c r="N1311" s="173" t="s">
        <v>61</v>
      </c>
      <c r="O1311" s="87">
        <v>70</v>
      </c>
      <c r="P1311" s="173" t="s">
        <v>20</v>
      </c>
      <c r="Q1311" s="1" t="s">
        <v>1338</v>
      </c>
      <c r="R1311" s="175">
        <v>225</v>
      </c>
      <c r="S1311">
        <v>45</v>
      </c>
    </row>
    <row r="1312" spans="1:19" x14ac:dyDescent="0.25">
      <c r="A1312" s="87">
        <v>2019</v>
      </c>
      <c r="B1312" s="87">
        <v>9</v>
      </c>
      <c r="C1312" s="173" t="s">
        <v>16</v>
      </c>
      <c r="D1312" s="173" t="s">
        <v>22</v>
      </c>
      <c r="E1312" s="173" t="s">
        <v>18</v>
      </c>
      <c r="F1312" s="173" t="s">
        <v>16</v>
      </c>
      <c r="G1312" s="87" t="b">
        <v>1</v>
      </c>
      <c r="H1312" s="87" t="b">
        <v>1</v>
      </c>
      <c r="I1312" s="87" t="b">
        <v>0</v>
      </c>
      <c r="J1312" s="173" t="s">
        <v>491</v>
      </c>
      <c r="K1312" s="174">
        <v>6047087001020</v>
      </c>
      <c r="L1312" s="173" t="s">
        <v>1081</v>
      </c>
      <c r="M1312" s="173" t="s">
        <v>131</v>
      </c>
      <c r="N1312" s="173" t="s">
        <v>61</v>
      </c>
      <c r="O1312" s="87">
        <v>62</v>
      </c>
      <c r="P1312" s="173" t="s">
        <v>27</v>
      </c>
      <c r="Q1312" s="1" t="s">
        <v>1343</v>
      </c>
      <c r="R1312" s="175">
        <v>66</v>
      </c>
      <c r="S1312">
        <v>66</v>
      </c>
    </row>
    <row r="1313" spans="1:19" x14ac:dyDescent="0.25">
      <c r="A1313" s="87">
        <v>2019</v>
      </c>
      <c r="B1313" s="87">
        <v>9</v>
      </c>
      <c r="C1313" s="173" t="s">
        <v>16</v>
      </c>
      <c r="D1313" s="173" t="s">
        <v>22</v>
      </c>
      <c r="E1313" s="173" t="s">
        <v>18</v>
      </c>
      <c r="F1313" s="173" t="s">
        <v>16</v>
      </c>
      <c r="G1313" s="87" t="b">
        <v>1</v>
      </c>
      <c r="H1313" s="87" t="b">
        <v>1</v>
      </c>
      <c r="I1313" s="87" t="b">
        <v>0</v>
      </c>
      <c r="J1313" s="173" t="s">
        <v>491</v>
      </c>
      <c r="K1313" s="174">
        <v>6047087001020</v>
      </c>
      <c r="L1313" s="173" t="s">
        <v>1081</v>
      </c>
      <c r="M1313" s="173" t="s">
        <v>131</v>
      </c>
      <c r="N1313" s="173" t="s">
        <v>61</v>
      </c>
      <c r="O1313" s="87">
        <v>64</v>
      </c>
      <c r="P1313" s="173" t="s">
        <v>25</v>
      </c>
      <c r="Q1313" s="1" t="s">
        <v>1344</v>
      </c>
      <c r="R1313" s="175">
        <v>33</v>
      </c>
      <c r="S1313">
        <v>33</v>
      </c>
    </row>
    <row r="1314" spans="1:19" x14ac:dyDescent="0.25">
      <c r="A1314" s="87">
        <v>2019</v>
      </c>
      <c r="B1314" s="87">
        <v>9</v>
      </c>
      <c r="C1314" s="173" t="s">
        <v>16</v>
      </c>
      <c r="D1314" s="173" t="s">
        <v>22</v>
      </c>
      <c r="E1314" s="173" t="s">
        <v>18</v>
      </c>
      <c r="F1314" s="173" t="s">
        <v>16</v>
      </c>
      <c r="G1314" s="87" t="b">
        <v>1</v>
      </c>
      <c r="H1314" s="87" t="b">
        <v>1</v>
      </c>
      <c r="I1314" s="87" t="b">
        <v>0</v>
      </c>
      <c r="J1314" s="173" t="s">
        <v>491</v>
      </c>
      <c r="K1314" s="174">
        <v>6047087001291</v>
      </c>
      <c r="L1314" s="173" t="s">
        <v>809</v>
      </c>
      <c r="M1314" s="173" t="s">
        <v>107</v>
      </c>
      <c r="N1314" s="173" t="s">
        <v>71</v>
      </c>
      <c r="O1314" s="87">
        <v>64</v>
      </c>
      <c r="P1314" s="173" t="s">
        <v>25</v>
      </c>
      <c r="Q1314" s="1" t="s">
        <v>1344</v>
      </c>
      <c r="R1314" s="175">
        <v>8</v>
      </c>
      <c r="S1314">
        <v>8</v>
      </c>
    </row>
    <row r="1315" spans="1:19" x14ac:dyDescent="0.25">
      <c r="A1315" s="87">
        <v>2019</v>
      </c>
      <c r="B1315" s="87">
        <v>9</v>
      </c>
      <c r="C1315" s="173" t="s">
        <v>16</v>
      </c>
      <c r="D1315" s="173" t="s">
        <v>22</v>
      </c>
      <c r="E1315" s="173" t="s">
        <v>18</v>
      </c>
      <c r="F1315" s="173" t="s">
        <v>16</v>
      </c>
      <c r="G1315" s="87" t="b">
        <v>1</v>
      </c>
      <c r="H1315" s="87" t="b">
        <v>1</v>
      </c>
      <c r="I1315" s="87" t="b">
        <v>0</v>
      </c>
      <c r="J1315" s="173" t="s">
        <v>491</v>
      </c>
      <c r="K1315" s="174">
        <v>6047087001372</v>
      </c>
      <c r="L1315" s="173" t="s">
        <v>1041</v>
      </c>
      <c r="M1315" s="173" t="s">
        <v>78</v>
      </c>
      <c r="N1315" s="173" t="s">
        <v>61</v>
      </c>
      <c r="O1315" s="87">
        <v>64</v>
      </c>
      <c r="P1315" s="173" t="s">
        <v>25</v>
      </c>
      <c r="Q1315" s="1" t="s">
        <v>1344</v>
      </c>
      <c r="R1315" s="175">
        <v>2</v>
      </c>
      <c r="S1315">
        <v>2</v>
      </c>
    </row>
    <row r="1316" spans="1:19" x14ac:dyDescent="0.25">
      <c r="A1316" s="87">
        <v>2019</v>
      </c>
      <c r="B1316" s="87">
        <v>9</v>
      </c>
      <c r="C1316" s="173" t="s">
        <v>16</v>
      </c>
      <c r="D1316" s="173" t="s">
        <v>22</v>
      </c>
      <c r="E1316" s="173" t="s">
        <v>18</v>
      </c>
      <c r="F1316" s="173" t="s">
        <v>16</v>
      </c>
      <c r="G1316" s="87" t="b">
        <v>1</v>
      </c>
      <c r="H1316" s="87" t="b">
        <v>1</v>
      </c>
      <c r="I1316" s="87" t="b">
        <v>0</v>
      </c>
      <c r="J1316" s="173" t="s">
        <v>491</v>
      </c>
      <c r="K1316" s="174">
        <v>6047087002697</v>
      </c>
      <c r="L1316" s="173" t="s">
        <v>1082</v>
      </c>
      <c r="M1316" s="173" t="s">
        <v>131</v>
      </c>
      <c r="N1316" s="173" t="s">
        <v>61</v>
      </c>
      <c r="O1316" s="87">
        <v>62</v>
      </c>
      <c r="P1316" s="173" t="s">
        <v>27</v>
      </c>
      <c r="Q1316" s="1" t="s">
        <v>1343</v>
      </c>
      <c r="R1316" s="175">
        <v>10</v>
      </c>
      <c r="S1316">
        <v>10</v>
      </c>
    </row>
    <row r="1317" spans="1:19" x14ac:dyDescent="0.25">
      <c r="A1317" s="87">
        <v>2019</v>
      </c>
      <c r="B1317" s="87">
        <v>9</v>
      </c>
      <c r="C1317" s="173" t="s">
        <v>16</v>
      </c>
      <c r="D1317" s="173" t="s">
        <v>22</v>
      </c>
      <c r="E1317" s="173" t="s">
        <v>18</v>
      </c>
      <c r="F1317" s="173" t="s">
        <v>16</v>
      </c>
      <c r="G1317" s="87" t="b">
        <v>1</v>
      </c>
      <c r="H1317" s="87" t="b">
        <v>1</v>
      </c>
      <c r="I1317" s="87" t="b">
        <v>0</v>
      </c>
      <c r="J1317" s="173" t="s">
        <v>491</v>
      </c>
      <c r="K1317" s="174">
        <v>6047087002697</v>
      </c>
      <c r="L1317" s="173" t="s">
        <v>1082</v>
      </c>
      <c r="M1317" s="173" t="s">
        <v>131</v>
      </c>
      <c r="N1317" s="173" t="s">
        <v>61</v>
      </c>
      <c r="O1317" s="87">
        <v>64</v>
      </c>
      <c r="P1317" s="173" t="s">
        <v>25</v>
      </c>
      <c r="Q1317" s="1" t="s">
        <v>1344</v>
      </c>
      <c r="R1317" s="175">
        <v>22</v>
      </c>
      <c r="S1317">
        <v>22</v>
      </c>
    </row>
    <row r="1318" spans="1:19" x14ac:dyDescent="0.25">
      <c r="A1318" s="87">
        <v>2019</v>
      </c>
      <c r="B1318" s="87">
        <v>9</v>
      </c>
      <c r="C1318" s="173" t="s">
        <v>16</v>
      </c>
      <c r="D1318" s="173" t="s">
        <v>22</v>
      </c>
      <c r="E1318" s="173" t="s">
        <v>18</v>
      </c>
      <c r="F1318" s="173" t="s">
        <v>16</v>
      </c>
      <c r="G1318" s="87" t="b">
        <v>1</v>
      </c>
      <c r="H1318" s="87" t="b">
        <v>1</v>
      </c>
      <c r="I1318" s="87" t="b">
        <v>0</v>
      </c>
      <c r="J1318" s="173" t="s">
        <v>450</v>
      </c>
      <c r="K1318" s="174">
        <v>6047087003073</v>
      </c>
      <c r="L1318" s="173" t="s">
        <v>649</v>
      </c>
      <c r="M1318" s="173" t="s">
        <v>650</v>
      </c>
      <c r="N1318" s="173" t="s">
        <v>19</v>
      </c>
      <c r="O1318" s="87">
        <v>66</v>
      </c>
      <c r="P1318" s="173" t="s">
        <v>28</v>
      </c>
      <c r="Q1318" s="1" t="s">
        <v>1341</v>
      </c>
      <c r="R1318" s="175">
        <v>3</v>
      </c>
      <c r="S1318">
        <v>3</v>
      </c>
    </row>
    <row r="1319" spans="1:19" x14ac:dyDescent="0.25">
      <c r="A1319" s="87">
        <v>2019</v>
      </c>
      <c r="B1319" s="87">
        <v>9</v>
      </c>
      <c r="C1319" s="173" t="s">
        <v>16</v>
      </c>
      <c r="D1319" s="173" t="s">
        <v>22</v>
      </c>
      <c r="E1319" s="173" t="s">
        <v>18</v>
      </c>
      <c r="F1319" s="173" t="s">
        <v>16</v>
      </c>
      <c r="G1319" s="87" t="b">
        <v>1</v>
      </c>
      <c r="H1319" s="87" t="b">
        <v>1</v>
      </c>
      <c r="I1319" s="87" t="b">
        <v>0</v>
      </c>
      <c r="J1319" s="173" t="s">
        <v>451</v>
      </c>
      <c r="K1319" s="174">
        <v>6047087003073</v>
      </c>
      <c r="L1319" s="173" t="s">
        <v>649</v>
      </c>
      <c r="M1319" s="173" t="s">
        <v>650</v>
      </c>
      <c r="N1319" s="173" t="s">
        <v>19</v>
      </c>
      <c r="O1319" s="87">
        <v>73</v>
      </c>
      <c r="P1319" s="173" t="s">
        <v>26</v>
      </c>
      <c r="Q1319" s="1" t="s">
        <v>1342</v>
      </c>
      <c r="R1319" s="175">
        <v>48</v>
      </c>
      <c r="S1319">
        <v>12</v>
      </c>
    </row>
    <row r="1320" spans="1:19" x14ac:dyDescent="0.25">
      <c r="A1320" s="87">
        <v>2019</v>
      </c>
      <c r="B1320" s="87">
        <v>9</v>
      </c>
      <c r="C1320" s="173" t="s">
        <v>16</v>
      </c>
      <c r="D1320" s="173" t="s">
        <v>22</v>
      </c>
      <c r="E1320" s="173" t="s">
        <v>18</v>
      </c>
      <c r="F1320" s="173" t="s">
        <v>16</v>
      </c>
      <c r="G1320" s="87" t="b">
        <v>1</v>
      </c>
      <c r="H1320" s="87" t="b">
        <v>1</v>
      </c>
      <c r="I1320" s="87" t="b">
        <v>0</v>
      </c>
      <c r="J1320" s="173" t="s">
        <v>491</v>
      </c>
      <c r="K1320" s="174">
        <v>6047087003316</v>
      </c>
      <c r="L1320" s="173" t="s">
        <v>1083</v>
      </c>
      <c r="M1320" s="173" t="s">
        <v>131</v>
      </c>
      <c r="N1320" s="173" t="s">
        <v>61</v>
      </c>
      <c r="O1320" s="87">
        <v>62</v>
      </c>
      <c r="P1320" s="173" t="s">
        <v>27</v>
      </c>
      <c r="Q1320" s="1" t="s">
        <v>1343</v>
      </c>
      <c r="R1320" s="175">
        <v>1</v>
      </c>
      <c r="S1320">
        <v>1</v>
      </c>
    </row>
    <row r="1321" spans="1:19" x14ac:dyDescent="0.25">
      <c r="A1321" s="87">
        <v>2019</v>
      </c>
      <c r="B1321" s="87">
        <v>9</v>
      </c>
      <c r="C1321" s="173" t="s">
        <v>16</v>
      </c>
      <c r="D1321" s="173" t="s">
        <v>22</v>
      </c>
      <c r="E1321" s="173" t="s">
        <v>18</v>
      </c>
      <c r="F1321" s="173" t="s">
        <v>16</v>
      </c>
      <c r="G1321" s="87" t="b">
        <v>1</v>
      </c>
      <c r="H1321" s="87" t="b">
        <v>1</v>
      </c>
      <c r="I1321" s="87" t="b">
        <v>0</v>
      </c>
      <c r="J1321" s="173" t="s">
        <v>491</v>
      </c>
      <c r="K1321" s="174">
        <v>6047087003820</v>
      </c>
      <c r="L1321" s="173" t="s">
        <v>570</v>
      </c>
      <c r="M1321" s="173" t="s">
        <v>29</v>
      </c>
      <c r="N1321" s="173" t="s">
        <v>19</v>
      </c>
      <c r="O1321" s="87">
        <v>62</v>
      </c>
      <c r="P1321" s="173" t="s">
        <v>27</v>
      </c>
      <c r="Q1321" s="1" t="s">
        <v>1343</v>
      </c>
      <c r="R1321" s="175">
        <v>3</v>
      </c>
      <c r="S1321">
        <v>3</v>
      </c>
    </row>
    <row r="1322" spans="1:19" x14ac:dyDescent="0.25">
      <c r="A1322" s="87">
        <v>2019</v>
      </c>
      <c r="B1322" s="87">
        <v>9</v>
      </c>
      <c r="C1322" s="173" t="s">
        <v>16</v>
      </c>
      <c r="D1322" s="173" t="s">
        <v>22</v>
      </c>
      <c r="E1322" s="173" t="s">
        <v>18</v>
      </c>
      <c r="F1322" s="173" t="s">
        <v>16</v>
      </c>
      <c r="G1322" s="87" t="b">
        <v>1</v>
      </c>
      <c r="H1322" s="87" t="b">
        <v>1</v>
      </c>
      <c r="I1322" s="87" t="b">
        <v>0</v>
      </c>
      <c r="J1322" s="173" t="s">
        <v>491</v>
      </c>
      <c r="K1322" s="174">
        <v>6047087004126</v>
      </c>
      <c r="L1322" s="173" t="s">
        <v>810</v>
      </c>
      <c r="M1322" s="173" t="s">
        <v>739</v>
      </c>
      <c r="N1322" s="173" t="s">
        <v>55</v>
      </c>
      <c r="O1322" s="87">
        <v>64</v>
      </c>
      <c r="P1322" s="173" t="s">
        <v>25</v>
      </c>
      <c r="Q1322" s="1" t="s">
        <v>1344</v>
      </c>
      <c r="R1322" s="175">
        <v>3</v>
      </c>
      <c r="S1322">
        <v>3</v>
      </c>
    </row>
    <row r="1323" spans="1:19" x14ac:dyDescent="0.25">
      <c r="A1323" s="87">
        <v>2019</v>
      </c>
      <c r="B1323" s="87">
        <v>9</v>
      </c>
      <c r="C1323" s="173" t="s">
        <v>16</v>
      </c>
      <c r="D1323" s="173" t="s">
        <v>22</v>
      </c>
      <c r="E1323" s="173" t="s">
        <v>18</v>
      </c>
      <c r="F1323" s="173" t="s">
        <v>16</v>
      </c>
      <c r="G1323" s="87" t="b">
        <v>1</v>
      </c>
      <c r="H1323" s="87" t="b">
        <v>1</v>
      </c>
      <c r="I1323" s="87" t="b">
        <v>0</v>
      </c>
      <c r="J1323" s="173" t="s">
        <v>491</v>
      </c>
      <c r="K1323" s="174">
        <v>6047087004207</v>
      </c>
      <c r="L1323" s="173" t="s">
        <v>811</v>
      </c>
      <c r="M1323" s="173" t="s">
        <v>739</v>
      </c>
      <c r="N1323" s="173" t="s">
        <v>55</v>
      </c>
      <c r="O1323" s="87">
        <v>62</v>
      </c>
      <c r="P1323" s="173" t="s">
        <v>27</v>
      </c>
      <c r="Q1323" s="1" t="s">
        <v>1343</v>
      </c>
      <c r="R1323" s="175">
        <v>18</v>
      </c>
      <c r="S1323">
        <v>18</v>
      </c>
    </row>
    <row r="1324" spans="1:19" x14ac:dyDescent="0.25">
      <c r="A1324" s="87">
        <v>2019</v>
      </c>
      <c r="B1324" s="87">
        <v>9</v>
      </c>
      <c r="C1324" s="173" t="s">
        <v>16</v>
      </c>
      <c r="D1324" s="173" t="s">
        <v>22</v>
      </c>
      <c r="E1324" s="173" t="s">
        <v>18</v>
      </c>
      <c r="F1324" s="173" t="s">
        <v>16</v>
      </c>
      <c r="G1324" s="87" t="b">
        <v>1</v>
      </c>
      <c r="H1324" s="87" t="b">
        <v>1</v>
      </c>
      <c r="I1324" s="87" t="b">
        <v>0</v>
      </c>
      <c r="J1324" s="173" t="s">
        <v>491</v>
      </c>
      <c r="K1324" s="174">
        <v>6047087004207</v>
      </c>
      <c r="L1324" s="173" t="s">
        <v>811</v>
      </c>
      <c r="M1324" s="173" t="s">
        <v>739</v>
      </c>
      <c r="N1324" s="173" t="s">
        <v>55</v>
      </c>
      <c r="O1324" s="87">
        <v>64</v>
      </c>
      <c r="P1324" s="173" t="s">
        <v>25</v>
      </c>
      <c r="Q1324" s="1" t="s">
        <v>1344</v>
      </c>
      <c r="R1324" s="175">
        <v>28</v>
      </c>
      <c r="S1324">
        <v>28</v>
      </c>
    </row>
    <row r="1325" spans="1:19" x14ac:dyDescent="0.25">
      <c r="A1325" s="87">
        <v>2019</v>
      </c>
      <c r="B1325" s="87">
        <v>9</v>
      </c>
      <c r="C1325" s="173" t="s">
        <v>16</v>
      </c>
      <c r="D1325" s="173" t="s">
        <v>22</v>
      </c>
      <c r="E1325" s="173" t="s">
        <v>18</v>
      </c>
      <c r="F1325" s="173" t="s">
        <v>16</v>
      </c>
      <c r="G1325" s="87" t="b">
        <v>1</v>
      </c>
      <c r="H1325" s="87" t="b">
        <v>1</v>
      </c>
      <c r="I1325" s="87" t="b">
        <v>0</v>
      </c>
      <c r="J1325" s="173" t="s">
        <v>491</v>
      </c>
      <c r="K1325" s="174">
        <v>6047087007656</v>
      </c>
      <c r="L1325" s="173" t="s">
        <v>651</v>
      </c>
      <c r="M1325" s="173" t="s">
        <v>32</v>
      </c>
      <c r="N1325" s="173" t="s">
        <v>19</v>
      </c>
      <c r="O1325" s="87">
        <v>62</v>
      </c>
      <c r="P1325" s="173" t="s">
        <v>27</v>
      </c>
      <c r="Q1325" s="1" t="s">
        <v>1343</v>
      </c>
      <c r="R1325" s="175">
        <v>3</v>
      </c>
      <c r="S1325">
        <v>3</v>
      </c>
    </row>
    <row r="1326" spans="1:19" x14ac:dyDescent="0.25">
      <c r="A1326" s="87">
        <v>2019</v>
      </c>
      <c r="B1326" s="87">
        <v>9</v>
      </c>
      <c r="C1326" s="173" t="s">
        <v>16</v>
      </c>
      <c r="D1326" s="173" t="s">
        <v>22</v>
      </c>
      <c r="E1326" s="173" t="s">
        <v>18</v>
      </c>
      <c r="F1326" s="173" t="s">
        <v>16</v>
      </c>
      <c r="G1326" s="87" t="b">
        <v>1</v>
      </c>
      <c r="H1326" s="87" t="b">
        <v>1</v>
      </c>
      <c r="I1326" s="87" t="b">
        <v>0</v>
      </c>
      <c r="J1326" s="173" t="s">
        <v>491</v>
      </c>
      <c r="K1326" s="174">
        <v>6047087009276</v>
      </c>
      <c r="L1326" s="173" t="s">
        <v>812</v>
      </c>
      <c r="M1326" s="173" t="s">
        <v>70</v>
      </c>
      <c r="N1326" s="173" t="s">
        <v>71</v>
      </c>
      <c r="O1326" s="87">
        <v>64</v>
      </c>
      <c r="P1326" s="173" t="s">
        <v>25</v>
      </c>
      <c r="Q1326" s="1" t="s">
        <v>1344</v>
      </c>
      <c r="R1326" s="175">
        <v>30</v>
      </c>
      <c r="S1326">
        <v>30</v>
      </c>
    </row>
    <row r="1327" spans="1:19" x14ac:dyDescent="0.25">
      <c r="A1327" s="87">
        <v>2019</v>
      </c>
      <c r="B1327" s="87">
        <v>9</v>
      </c>
      <c r="C1327" s="173" t="s">
        <v>16</v>
      </c>
      <c r="D1327" s="173" t="s">
        <v>22</v>
      </c>
      <c r="E1327" s="173" t="s">
        <v>18</v>
      </c>
      <c r="F1327" s="173" t="s">
        <v>16</v>
      </c>
      <c r="G1327" s="87" t="b">
        <v>1</v>
      </c>
      <c r="H1327" s="87" t="b">
        <v>1</v>
      </c>
      <c r="I1327" s="87" t="b">
        <v>0</v>
      </c>
      <c r="J1327" s="173" t="s">
        <v>470</v>
      </c>
      <c r="K1327" s="174">
        <v>6070425000153</v>
      </c>
      <c r="L1327" s="173" t="s">
        <v>1150</v>
      </c>
      <c r="M1327" s="173" t="s">
        <v>1151</v>
      </c>
      <c r="N1327" s="173" t="s">
        <v>79</v>
      </c>
      <c r="O1327" s="87">
        <v>73</v>
      </c>
      <c r="P1327" s="173" t="s">
        <v>26</v>
      </c>
      <c r="Q1327" s="1" t="s">
        <v>1339</v>
      </c>
      <c r="R1327" s="175">
        <v>12</v>
      </c>
      <c r="S1327">
        <v>6</v>
      </c>
    </row>
    <row r="1328" spans="1:19" x14ac:dyDescent="0.25">
      <c r="A1328" s="87">
        <v>2019</v>
      </c>
      <c r="B1328" s="87">
        <v>9</v>
      </c>
      <c r="C1328" s="173" t="s">
        <v>16</v>
      </c>
      <c r="D1328" s="173" t="s">
        <v>22</v>
      </c>
      <c r="E1328" s="173" t="s">
        <v>18</v>
      </c>
      <c r="F1328" s="173" t="s">
        <v>16</v>
      </c>
      <c r="G1328" s="87" t="b">
        <v>1</v>
      </c>
      <c r="H1328" s="87" t="b">
        <v>1</v>
      </c>
      <c r="I1328" s="87" t="b">
        <v>0</v>
      </c>
      <c r="J1328" s="173" t="s">
        <v>492</v>
      </c>
      <c r="K1328" s="174">
        <v>7039651000134</v>
      </c>
      <c r="L1328" s="173" t="s">
        <v>1153</v>
      </c>
      <c r="M1328" s="173" t="s">
        <v>116</v>
      </c>
      <c r="N1328" s="173" t="s">
        <v>98</v>
      </c>
      <c r="O1328" s="87">
        <v>70</v>
      </c>
      <c r="P1328" s="173" t="s">
        <v>20</v>
      </c>
      <c r="Q1328" s="1" t="s">
        <v>1338</v>
      </c>
      <c r="R1328" s="175">
        <v>25</v>
      </c>
      <c r="S1328">
        <v>5</v>
      </c>
    </row>
    <row r="1329" spans="1:19" x14ac:dyDescent="0.25">
      <c r="A1329" s="87">
        <v>2019</v>
      </c>
      <c r="B1329" s="87">
        <v>9</v>
      </c>
      <c r="C1329" s="173" t="s">
        <v>16</v>
      </c>
      <c r="D1329" s="173" t="s">
        <v>22</v>
      </c>
      <c r="E1329" s="173" t="s">
        <v>18</v>
      </c>
      <c r="F1329" s="173" t="s">
        <v>16</v>
      </c>
      <c r="G1329" s="87" t="b">
        <v>1</v>
      </c>
      <c r="H1329" s="87" t="b">
        <v>1</v>
      </c>
      <c r="I1329" s="87" t="b">
        <v>0</v>
      </c>
      <c r="J1329" s="173" t="s">
        <v>470</v>
      </c>
      <c r="K1329" s="174">
        <v>7045325000130</v>
      </c>
      <c r="L1329" s="173" t="s">
        <v>571</v>
      </c>
      <c r="M1329" s="173" t="s">
        <v>29</v>
      </c>
      <c r="N1329" s="173" t="s">
        <v>19</v>
      </c>
      <c r="O1329" s="87">
        <v>73</v>
      </c>
      <c r="P1329" s="173" t="s">
        <v>26</v>
      </c>
      <c r="Q1329" s="1" t="s">
        <v>1342</v>
      </c>
      <c r="R1329" s="175">
        <v>56</v>
      </c>
      <c r="S1329">
        <v>14</v>
      </c>
    </row>
    <row r="1330" spans="1:19" x14ac:dyDescent="0.25">
      <c r="A1330" s="87">
        <v>2019</v>
      </c>
      <c r="B1330" s="87">
        <v>9</v>
      </c>
      <c r="C1330" s="173" t="s">
        <v>16</v>
      </c>
      <c r="D1330" s="173" t="s">
        <v>22</v>
      </c>
      <c r="E1330" s="173" t="s">
        <v>18</v>
      </c>
      <c r="F1330" s="173" t="s">
        <v>16</v>
      </c>
      <c r="G1330" s="87" t="b">
        <v>1</v>
      </c>
      <c r="H1330" s="87" t="b">
        <v>1</v>
      </c>
      <c r="I1330" s="87" t="b">
        <v>0</v>
      </c>
      <c r="J1330" s="173" t="s">
        <v>460</v>
      </c>
      <c r="K1330" s="174">
        <v>7245269000187</v>
      </c>
      <c r="L1330" s="173" t="s">
        <v>816</v>
      </c>
      <c r="M1330" s="173" t="s">
        <v>76</v>
      </c>
      <c r="N1330" s="173" t="s">
        <v>77</v>
      </c>
      <c r="O1330" s="87">
        <v>64</v>
      </c>
      <c r="P1330" s="173" t="s">
        <v>25</v>
      </c>
      <c r="Q1330" s="1" t="s">
        <v>1344</v>
      </c>
      <c r="R1330" s="175">
        <v>7</v>
      </c>
      <c r="S1330">
        <v>7</v>
      </c>
    </row>
    <row r="1331" spans="1:19" x14ac:dyDescent="0.25">
      <c r="A1331" s="87">
        <v>2019</v>
      </c>
      <c r="B1331" s="87">
        <v>9</v>
      </c>
      <c r="C1331" s="173" t="s">
        <v>16</v>
      </c>
      <c r="D1331" s="173" t="s">
        <v>22</v>
      </c>
      <c r="E1331" s="173" t="s">
        <v>18</v>
      </c>
      <c r="F1331" s="173" t="s">
        <v>16</v>
      </c>
      <c r="G1331" s="87" t="b">
        <v>1</v>
      </c>
      <c r="H1331" s="87" t="b">
        <v>1</v>
      </c>
      <c r="I1331" s="87" t="b">
        <v>0</v>
      </c>
      <c r="J1331" s="173" t="s">
        <v>1330</v>
      </c>
      <c r="K1331" s="174">
        <v>7272636000212</v>
      </c>
      <c r="L1331" s="173" t="s">
        <v>818</v>
      </c>
      <c r="M1331" s="173" t="s">
        <v>76</v>
      </c>
      <c r="N1331" s="173" t="s">
        <v>77</v>
      </c>
      <c r="O1331" s="87">
        <v>62</v>
      </c>
      <c r="P1331" s="173" t="s">
        <v>27</v>
      </c>
      <c r="Q1331" s="1" t="s">
        <v>1343</v>
      </c>
      <c r="R1331" s="175">
        <v>30</v>
      </c>
      <c r="S1331">
        <v>30</v>
      </c>
    </row>
    <row r="1332" spans="1:19" x14ac:dyDescent="0.25">
      <c r="A1332" s="87">
        <v>2019</v>
      </c>
      <c r="B1332" s="87">
        <v>9</v>
      </c>
      <c r="C1332" s="173" t="s">
        <v>16</v>
      </c>
      <c r="D1332" s="173" t="s">
        <v>22</v>
      </c>
      <c r="E1332" s="173" t="s">
        <v>18</v>
      </c>
      <c r="F1332" s="173" t="s">
        <v>16</v>
      </c>
      <c r="G1332" s="87" t="b">
        <v>1</v>
      </c>
      <c r="H1332" s="87" t="b">
        <v>1</v>
      </c>
      <c r="I1332" s="87" t="b">
        <v>0</v>
      </c>
      <c r="J1332" s="173" t="s">
        <v>1330</v>
      </c>
      <c r="K1332" s="174">
        <v>7272636000212</v>
      </c>
      <c r="L1332" s="173" t="s">
        <v>818</v>
      </c>
      <c r="M1332" s="173" t="s">
        <v>76</v>
      </c>
      <c r="N1332" s="173" t="s">
        <v>77</v>
      </c>
      <c r="O1332" s="87">
        <v>70</v>
      </c>
      <c r="P1332" s="173" t="s">
        <v>20</v>
      </c>
      <c r="Q1332" s="1" t="s">
        <v>1338</v>
      </c>
      <c r="R1332" s="175">
        <v>600</v>
      </c>
      <c r="S1332">
        <v>120</v>
      </c>
    </row>
    <row r="1333" spans="1:19" x14ac:dyDescent="0.25">
      <c r="A1333" s="87">
        <v>2019</v>
      </c>
      <c r="B1333" s="87">
        <v>9</v>
      </c>
      <c r="C1333" s="173" t="s">
        <v>16</v>
      </c>
      <c r="D1333" s="173" t="s">
        <v>22</v>
      </c>
      <c r="E1333" s="173" t="s">
        <v>18</v>
      </c>
      <c r="F1333" s="173" t="s">
        <v>16</v>
      </c>
      <c r="G1333" s="87" t="b">
        <v>1</v>
      </c>
      <c r="H1333" s="87" t="b">
        <v>1</v>
      </c>
      <c r="I1333" s="87" t="b">
        <v>0</v>
      </c>
      <c r="J1333" s="173" t="s">
        <v>495</v>
      </c>
      <c r="K1333" s="174">
        <v>7404052000172</v>
      </c>
      <c r="L1333" s="173" t="s">
        <v>953</v>
      </c>
      <c r="M1333" s="173" t="s">
        <v>94</v>
      </c>
      <c r="N1333" s="173" t="s">
        <v>57</v>
      </c>
      <c r="O1333" s="87">
        <v>70</v>
      </c>
      <c r="P1333" s="173" t="s">
        <v>20</v>
      </c>
      <c r="Q1333" s="1" t="s">
        <v>1338</v>
      </c>
      <c r="R1333" s="175">
        <v>45</v>
      </c>
      <c r="S1333">
        <v>9</v>
      </c>
    </row>
    <row r="1334" spans="1:19" x14ac:dyDescent="0.25">
      <c r="A1334" s="87">
        <v>2019</v>
      </c>
      <c r="B1334" s="87">
        <v>9</v>
      </c>
      <c r="C1334" s="173" t="s">
        <v>16</v>
      </c>
      <c r="D1334" s="173" t="s">
        <v>22</v>
      </c>
      <c r="E1334" s="173" t="s">
        <v>18</v>
      </c>
      <c r="F1334" s="173" t="s">
        <v>16</v>
      </c>
      <c r="G1334" s="87" t="b">
        <v>1</v>
      </c>
      <c r="H1334" s="87" t="b">
        <v>1</v>
      </c>
      <c r="I1334" s="87" t="b">
        <v>0</v>
      </c>
      <c r="J1334" s="173" t="s">
        <v>1330</v>
      </c>
      <c r="K1334" s="174">
        <v>7734165000136</v>
      </c>
      <c r="L1334" s="173" t="s">
        <v>954</v>
      </c>
      <c r="M1334" s="173" t="s">
        <v>94</v>
      </c>
      <c r="N1334" s="173" t="s">
        <v>57</v>
      </c>
      <c r="O1334" s="87">
        <v>70</v>
      </c>
      <c r="P1334" s="173" t="s">
        <v>20</v>
      </c>
      <c r="Q1334" s="1" t="s">
        <v>1345</v>
      </c>
      <c r="R1334" s="175">
        <v>1500</v>
      </c>
      <c r="S1334">
        <v>150</v>
      </c>
    </row>
    <row r="1335" spans="1:19" x14ac:dyDescent="0.25">
      <c r="A1335" s="87">
        <v>2019</v>
      </c>
      <c r="B1335" s="87">
        <v>9</v>
      </c>
      <c r="C1335" s="173" t="s">
        <v>16</v>
      </c>
      <c r="D1335" s="173" t="s">
        <v>22</v>
      </c>
      <c r="E1335" s="173" t="s">
        <v>18</v>
      </c>
      <c r="F1335" s="173" t="s">
        <v>16</v>
      </c>
      <c r="G1335" s="87" t="b">
        <v>1</v>
      </c>
      <c r="H1335" s="87" t="b">
        <v>1</v>
      </c>
      <c r="I1335" s="87" t="b">
        <v>0</v>
      </c>
      <c r="J1335" s="173" t="s">
        <v>452</v>
      </c>
      <c r="K1335" s="174">
        <v>7734165000136</v>
      </c>
      <c r="L1335" s="173" t="s">
        <v>954</v>
      </c>
      <c r="M1335" s="173" t="s">
        <v>94</v>
      </c>
      <c r="N1335" s="173" t="s">
        <v>57</v>
      </c>
      <c r="O1335" s="87">
        <v>70</v>
      </c>
      <c r="P1335" s="173" t="s">
        <v>20</v>
      </c>
      <c r="Q1335" s="1" t="s">
        <v>1345</v>
      </c>
      <c r="R1335" s="175">
        <v>1000</v>
      </c>
      <c r="S1335">
        <v>100</v>
      </c>
    </row>
    <row r="1336" spans="1:19" x14ac:dyDescent="0.25">
      <c r="A1336" s="87">
        <v>2019</v>
      </c>
      <c r="B1336" s="87">
        <v>9</v>
      </c>
      <c r="C1336" s="173" t="s">
        <v>16</v>
      </c>
      <c r="D1336" s="173" t="s">
        <v>22</v>
      </c>
      <c r="E1336" s="173" t="s">
        <v>18</v>
      </c>
      <c r="F1336" s="173" t="s">
        <v>16</v>
      </c>
      <c r="G1336" s="87" t="b">
        <v>1</v>
      </c>
      <c r="H1336" s="87" t="b">
        <v>1</v>
      </c>
      <c r="I1336" s="87" t="b">
        <v>0</v>
      </c>
      <c r="J1336" s="173" t="s">
        <v>452</v>
      </c>
      <c r="K1336" s="174">
        <v>7734165000136</v>
      </c>
      <c r="L1336" s="173" t="s">
        <v>954</v>
      </c>
      <c r="M1336" s="173" t="s">
        <v>94</v>
      </c>
      <c r="N1336" s="173" t="s">
        <v>57</v>
      </c>
      <c r="O1336" s="87">
        <v>70</v>
      </c>
      <c r="P1336" s="173" t="s">
        <v>20</v>
      </c>
      <c r="Q1336" s="1" t="s">
        <v>1338</v>
      </c>
      <c r="R1336" s="175">
        <v>1000</v>
      </c>
      <c r="S1336">
        <v>200</v>
      </c>
    </row>
    <row r="1337" spans="1:19" x14ac:dyDescent="0.25">
      <c r="A1337" s="87">
        <v>2019</v>
      </c>
      <c r="B1337" s="87">
        <v>9</v>
      </c>
      <c r="C1337" s="173" t="s">
        <v>16</v>
      </c>
      <c r="D1337" s="173" t="s">
        <v>22</v>
      </c>
      <c r="E1337" s="173" t="s">
        <v>18</v>
      </c>
      <c r="F1337" s="173" t="s">
        <v>16</v>
      </c>
      <c r="G1337" s="87" t="b">
        <v>1</v>
      </c>
      <c r="H1337" s="87" t="b">
        <v>1</v>
      </c>
      <c r="I1337" s="87" t="b">
        <v>0</v>
      </c>
      <c r="J1337" s="173" t="s">
        <v>477</v>
      </c>
      <c r="K1337" s="174">
        <v>7734165000136</v>
      </c>
      <c r="L1337" s="173" t="s">
        <v>954</v>
      </c>
      <c r="M1337" s="173" t="s">
        <v>94</v>
      </c>
      <c r="N1337" s="173" t="s">
        <v>57</v>
      </c>
      <c r="O1337" s="87">
        <v>73</v>
      </c>
      <c r="P1337" s="173" t="s">
        <v>26</v>
      </c>
      <c r="Q1337" s="1" t="s">
        <v>1342</v>
      </c>
      <c r="R1337" s="175">
        <v>40</v>
      </c>
      <c r="S1337">
        <v>10</v>
      </c>
    </row>
    <row r="1338" spans="1:19" x14ac:dyDescent="0.25">
      <c r="A1338" s="87">
        <v>2019</v>
      </c>
      <c r="B1338" s="87">
        <v>9</v>
      </c>
      <c r="C1338" s="173" t="s">
        <v>16</v>
      </c>
      <c r="D1338" s="173" t="s">
        <v>22</v>
      </c>
      <c r="E1338" s="173" t="s">
        <v>18</v>
      </c>
      <c r="F1338" s="173" t="s">
        <v>16</v>
      </c>
      <c r="G1338" s="87" t="b">
        <v>1</v>
      </c>
      <c r="H1338" s="87" t="b">
        <v>1</v>
      </c>
      <c r="I1338" s="87" t="b">
        <v>0</v>
      </c>
      <c r="J1338" s="173" t="s">
        <v>491</v>
      </c>
      <c r="K1338" s="174">
        <v>7734165000136</v>
      </c>
      <c r="L1338" s="173" t="s">
        <v>954</v>
      </c>
      <c r="M1338" s="173" t="s">
        <v>94</v>
      </c>
      <c r="N1338" s="173" t="s">
        <v>57</v>
      </c>
      <c r="O1338" s="87">
        <v>73</v>
      </c>
      <c r="P1338" s="173" t="s">
        <v>26</v>
      </c>
      <c r="Q1338" s="1" t="s">
        <v>1342</v>
      </c>
      <c r="R1338" s="175">
        <v>40</v>
      </c>
      <c r="S1338">
        <v>10</v>
      </c>
    </row>
    <row r="1339" spans="1:19" x14ac:dyDescent="0.25">
      <c r="A1339" s="87">
        <v>2019</v>
      </c>
      <c r="B1339" s="87">
        <v>9</v>
      </c>
      <c r="C1339" s="173" t="s">
        <v>16</v>
      </c>
      <c r="D1339" s="173" t="s">
        <v>22</v>
      </c>
      <c r="E1339" s="173" t="s">
        <v>18</v>
      </c>
      <c r="F1339" s="173" t="s">
        <v>16</v>
      </c>
      <c r="G1339" s="87" t="b">
        <v>1</v>
      </c>
      <c r="H1339" s="87" t="b">
        <v>1</v>
      </c>
      <c r="I1339" s="87" t="b">
        <v>0</v>
      </c>
      <c r="J1339" s="173" t="s">
        <v>481</v>
      </c>
      <c r="K1339" s="174">
        <v>7734165000136</v>
      </c>
      <c r="L1339" s="173" t="s">
        <v>954</v>
      </c>
      <c r="M1339" s="173" t="s">
        <v>94</v>
      </c>
      <c r="N1339" s="173" t="s">
        <v>57</v>
      </c>
      <c r="O1339" s="87">
        <v>73</v>
      </c>
      <c r="P1339" s="173" t="s">
        <v>26</v>
      </c>
      <c r="Q1339" s="1" t="s">
        <v>1342</v>
      </c>
      <c r="R1339" s="175">
        <v>16</v>
      </c>
      <c r="S1339">
        <v>4</v>
      </c>
    </row>
    <row r="1340" spans="1:19" x14ac:dyDescent="0.25">
      <c r="A1340" s="87">
        <v>2019</v>
      </c>
      <c r="B1340" s="87">
        <v>9</v>
      </c>
      <c r="C1340" s="173" t="s">
        <v>16</v>
      </c>
      <c r="D1340" s="173" t="s">
        <v>22</v>
      </c>
      <c r="E1340" s="173" t="s">
        <v>18</v>
      </c>
      <c r="F1340" s="173" t="s">
        <v>16</v>
      </c>
      <c r="G1340" s="87" t="b">
        <v>1</v>
      </c>
      <c r="H1340" s="87" t="b">
        <v>1</v>
      </c>
      <c r="I1340" s="87" t="b">
        <v>0</v>
      </c>
      <c r="J1340" s="173" t="s">
        <v>470</v>
      </c>
      <c r="K1340" s="174">
        <v>7794623001528</v>
      </c>
      <c r="L1340" s="173" t="s">
        <v>1042</v>
      </c>
      <c r="M1340" s="173" t="s">
        <v>1043</v>
      </c>
      <c r="N1340" s="173" t="s">
        <v>61</v>
      </c>
      <c r="O1340" s="87">
        <v>73</v>
      </c>
      <c r="P1340" s="173" t="s">
        <v>26</v>
      </c>
      <c r="Q1340" s="1" t="s">
        <v>1339</v>
      </c>
      <c r="R1340" s="175">
        <v>4</v>
      </c>
      <c r="S1340">
        <v>2</v>
      </c>
    </row>
    <row r="1341" spans="1:19" x14ac:dyDescent="0.25">
      <c r="A1341" s="87">
        <v>2019</v>
      </c>
      <c r="B1341" s="87">
        <v>9</v>
      </c>
      <c r="C1341" s="173" t="s">
        <v>16</v>
      </c>
      <c r="D1341" s="173" t="s">
        <v>22</v>
      </c>
      <c r="E1341" s="173" t="s">
        <v>18</v>
      </c>
      <c r="F1341" s="173" t="s">
        <v>16</v>
      </c>
      <c r="G1341" s="87" t="b">
        <v>1</v>
      </c>
      <c r="H1341" s="87" t="b">
        <v>1</v>
      </c>
      <c r="I1341" s="87" t="b">
        <v>0</v>
      </c>
      <c r="J1341" s="173" t="s">
        <v>470</v>
      </c>
      <c r="K1341" s="174">
        <v>7794623001528</v>
      </c>
      <c r="L1341" s="173" t="s">
        <v>1042</v>
      </c>
      <c r="M1341" s="173" t="s">
        <v>1043</v>
      </c>
      <c r="N1341" s="173" t="s">
        <v>61</v>
      </c>
      <c r="O1341" s="87">
        <v>73</v>
      </c>
      <c r="P1341" s="173" t="s">
        <v>26</v>
      </c>
      <c r="Q1341" s="1" t="s">
        <v>1342</v>
      </c>
      <c r="R1341" s="175">
        <v>24</v>
      </c>
      <c r="S1341">
        <v>6</v>
      </c>
    </row>
    <row r="1342" spans="1:19" x14ac:dyDescent="0.25">
      <c r="A1342" s="87">
        <v>2019</v>
      </c>
      <c r="B1342" s="87">
        <v>9</v>
      </c>
      <c r="C1342" s="173" t="s">
        <v>16</v>
      </c>
      <c r="D1342" s="173" t="s">
        <v>22</v>
      </c>
      <c r="E1342" s="173" t="s">
        <v>18</v>
      </c>
      <c r="F1342" s="173" t="s">
        <v>16</v>
      </c>
      <c r="G1342" s="87" t="b">
        <v>1</v>
      </c>
      <c r="H1342" s="87" t="b">
        <v>1</v>
      </c>
      <c r="I1342" s="87" t="b">
        <v>0</v>
      </c>
      <c r="J1342" s="173" t="s">
        <v>470</v>
      </c>
      <c r="K1342" s="174">
        <v>7794623002257</v>
      </c>
      <c r="L1342" s="173" t="s">
        <v>955</v>
      </c>
      <c r="M1342" s="173" t="s">
        <v>956</v>
      </c>
      <c r="N1342" s="173" t="s">
        <v>57</v>
      </c>
      <c r="O1342" s="87">
        <v>70</v>
      </c>
      <c r="P1342" s="173" t="s">
        <v>20</v>
      </c>
      <c r="Q1342" s="1" t="s">
        <v>1338</v>
      </c>
      <c r="R1342" s="175">
        <v>630</v>
      </c>
      <c r="S1342">
        <v>126</v>
      </c>
    </row>
    <row r="1343" spans="1:19" x14ac:dyDescent="0.25">
      <c r="A1343" s="87">
        <v>2019</v>
      </c>
      <c r="B1343" s="87">
        <v>9</v>
      </c>
      <c r="C1343" s="173" t="s">
        <v>16</v>
      </c>
      <c r="D1343" s="173" t="s">
        <v>22</v>
      </c>
      <c r="E1343" s="173" t="s">
        <v>18</v>
      </c>
      <c r="F1343" s="173" t="s">
        <v>16</v>
      </c>
      <c r="G1343" s="87" t="b">
        <v>1</v>
      </c>
      <c r="H1343" s="87" t="b">
        <v>1</v>
      </c>
      <c r="I1343" s="87" t="b">
        <v>0</v>
      </c>
      <c r="J1343" s="173" t="s">
        <v>470</v>
      </c>
      <c r="K1343" s="174">
        <v>7794623004896</v>
      </c>
      <c r="L1343" s="173" t="s">
        <v>1084</v>
      </c>
      <c r="M1343" s="173" t="s">
        <v>131</v>
      </c>
      <c r="N1343" s="173" t="s">
        <v>61</v>
      </c>
      <c r="O1343" s="87">
        <v>70</v>
      </c>
      <c r="P1343" s="173" t="s">
        <v>20</v>
      </c>
      <c r="Q1343" s="1" t="s">
        <v>1338</v>
      </c>
      <c r="R1343" s="175">
        <v>1750</v>
      </c>
      <c r="S1343">
        <v>350</v>
      </c>
    </row>
    <row r="1344" spans="1:19" x14ac:dyDescent="0.25">
      <c r="A1344" s="87">
        <v>2019</v>
      </c>
      <c r="B1344" s="87">
        <v>9</v>
      </c>
      <c r="C1344" s="173" t="s">
        <v>16</v>
      </c>
      <c r="D1344" s="173" t="s">
        <v>22</v>
      </c>
      <c r="E1344" s="173" t="s">
        <v>18</v>
      </c>
      <c r="F1344" s="173" t="s">
        <v>16</v>
      </c>
      <c r="G1344" s="87" t="b">
        <v>1</v>
      </c>
      <c r="H1344" s="87" t="b">
        <v>1</v>
      </c>
      <c r="I1344" s="87" t="b">
        <v>0</v>
      </c>
      <c r="J1344" s="173" t="s">
        <v>470</v>
      </c>
      <c r="K1344" s="174">
        <v>8100676000592</v>
      </c>
      <c r="L1344" s="173" t="s">
        <v>572</v>
      </c>
      <c r="M1344" s="173" t="s">
        <v>29</v>
      </c>
      <c r="N1344" s="173" t="s">
        <v>19</v>
      </c>
      <c r="O1344" s="87">
        <v>70</v>
      </c>
      <c r="P1344" s="173" t="s">
        <v>20</v>
      </c>
      <c r="Q1344" s="1" t="s">
        <v>1338</v>
      </c>
      <c r="R1344" s="175">
        <v>490</v>
      </c>
      <c r="S1344">
        <v>98</v>
      </c>
    </row>
    <row r="1345" spans="1:19" x14ac:dyDescent="0.25">
      <c r="A1345" s="87">
        <v>2019</v>
      </c>
      <c r="B1345" s="87">
        <v>9</v>
      </c>
      <c r="C1345" s="173" t="s">
        <v>16</v>
      </c>
      <c r="D1345" s="173" t="s">
        <v>22</v>
      </c>
      <c r="E1345" s="173" t="s">
        <v>18</v>
      </c>
      <c r="F1345" s="173" t="s">
        <v>16</v>
      </c>
      <c r="G1345" s="87" t="b">
        <v>1</v>
      </c>
      <c r="H1345" s="87" t="b">
        <v>1</v>
      </c>
      <c r="I1345" s="87" t="b">
        <v>0</v>
      </c>
      <c r="J1345" s="173" t="s">
        <v>470</v>
      </c>
      <c r="K1345" s="174">
        <v>8100676000835</v>
      </c>
      <c r="L1345" s="173" t="s">
        <v>573</v>
      </c>
      <c r="M1345" s="173" t="s">
        <v>29</v>
      </c>
      <c r="N1345" s="173" t="s">
        <v>19</v>
      </c>
      <c r="O1345" s="87">
        <v>70</v>
      </c>
      <c r="P1345" s="173" t="s">
        <v>20</v>
      </c>
      <c r="Q1345" s="1" t="s">
        <v>1338</v>
      </c>
      <c r="R1345" s="175">
        <v>240</v>
      </c>
      <c r="S1345">
        <v>48</v>
      </c>
    </row>
    <row r="1346" spans="1:19" x14ac:dyDescent="0.25">
      <c r="A1346" s="87">
        <v>2019</v>
      </c>
      <c r="B1346" s="87">
        <v>9</v>
      </c>
      <c r="C1346" s="173" t="s">
        <v>16</v>
      </c>
      <c r="D1346" s="173" t="s">
        <v>22</v>
      </c>
      <c r="E1346" s="173" t="s">
        <v>18</v>
      </c>
      <c r="F1346" s="173" t="s">
        <v>16</v>
      </c>
      <c r="G1346" s="87" t="b">
        <v>1</v>
      </c>
      <c r="H1346" s="87" t="b">
        <v>1</v>
      </c>
      <c r="I1346" s="87" t="b">
        <v>0</v>
      </c>
      <c r="J1346" s="173" t="s">
        <v>470</v>
      </c>
      <c r="K1346" s="174">
        <v>8100676002102</v>
      </c>
      <c r="L1346" s="173" t="s">
        <v>1085</v>
      </c>
      <c r="M1346" s="173" t="s">
        <v>131</v>
      </c>
      <c r="N1346" s="173" t="s">
        <v>61</v>
      </c>
      <c r="O1346" s="87">
        <v>62</v>
      </c>
      <c r="P1346" s="173" t="s">
        <v>27</v>
      </c>
      <c r="Q1346" s="1" t="s">
        <v>1343</v>
      </c>
      <c r="R1346" s="175">
        <v>16</v>
      </c>
      <c r="S1346">
        <v>16</v>
      </c>
    </row>
    <row r="1347" spans="1:19" x14ac:dyDescent="0.25">
      <c r="A1347" s="87">
        <v>2019</v>
      </c>
      <c r="B1347" s="87">
        <v>9</v>
      </c>
      <c r="C1347" s="173" t="s">
        <v>16</v>
      </c>
      <c r="D1347" s="173" t="s">
        <v>22</v>
      </c>
      <c r="E1347" s="173" t="s">
        <v>18</v>
      </c>
      <c r="F1347" s="173" t="s">
        <v>16</v>
      </c>
      <c r="G1347" s="87" t="b">
        <v>1</v>
      </c>
      <c r="H1347" s="87" t="b">
        <v>1</v>
      </c>
      <c r="I1347" s="87" t="b">
        <v>0</v>
      </c>
      <c r="J1347" s="173" t="s">
        <v>470</v>
      </c>
      <c r="K1347" s="174">
        <v>8100676002102</v>
      </c>
      <c r="L1347" s="173" t="s">
        <v>1085</v>
      </c>
      <c r="M1347" s="173" t="s">
        <v>131</v>
      </c>
      <c r="N1347" s="173" t="s">
        <v>61</v>
      </c>
      <c r="O1347" s="87">
        <v>64</v>
      </c>
      <c r="P1347" s="173" t="s">
        <v>25</v>
      </c>
      <c r="Q1347" s="1" t="s">
        <v>1344</v>
      </c>
      <c r="R1347" s="175">
        <v>23</v>
      </c>
      <c r="S1347">
        <v>23</v>
      </c>
    </row>
    <row r="1348" spans="1:19" x14ac:dyDescent="0.25">
      <c r="A1348" s="87">
        <v>2019</v>
      </c>
      <c r="B1348" s="87">
        <v>9</v>
      </c>
      <c r="C1348" s="173" t="s">
        <v>16</v>
      </c>
      <c r="D1348" s="173" t="s">
        <v>22</v>
      </c>
      <c r="E1348" s="173" t="s">
        <v>18</v>
      </c>
      <c r="F1348" s="173" t="s">
        <v>16</v>
      </c>
      <c r="G1348" s="87" t="b">
        <v>1</v>
      </c>
      <c r="H1348" s="87" t="b">
        <v>1</v>
      </c>
      <c r="I1348" s="87" t="b">
        <v>0</v>
      </c>
      <c r="J1348" s="173" t="s">
        <v>470</v>
      </c>
      <c r="K1348" s="174">
        <v>8100676002455</v>
      </c>
      <c r="L1348" s="173" t="s">
        <v>574</v>
      </c>
      <c r="M1348" s="173" t="s">
        <v>29</v>
      </c>
      <c r="N1348" s="173" t="s">
        <v>19</v>
      </c>
      <c r="O1348" s="87">
        <v>64</v>
      </c>
      <c r="P1348" s="173" t="s">
        <v>25</v>
      </c>
      <c r="Q1348" s="1" t="s">
        <v>1344</v>
      </c>
      <c r="R1348" s="175">
        <v>24</v>
      </c>
      <c r="S1348">
        <v>24</v>
      </c>
    </row>
    <row r="1349" spans="1:19" x14ac:dyDescent="0.25">
      <c r="A1349" s="87">
        <v>2019</v>
      </c>
      <c r="B1349" s="87">
        <v>9</v>
      </c>
      <c r="C1349" s="173" t="s">
        <v>16</v>
      </c>
      <c r="D1349" s="173" t="s">
        <v>22</v>
      </c>
      <c r="E1349" s="173" t="s">
        <v>18</v>
      </c>
      <c r="F1349" s="173" t="s">
        <v>16</v>
      </c>
      <c r="G1349" s="87" t="b">
        <v>1</v>
      </c>
      <c r="H1349" s="87" t="b">
        <v>1</v>
      </c>
      <c r="I1349" s="87" t="b">
        <v>0</v>
      </c>
      <c r="J1349" s="173" t="s">
        <v>470</v>
      </c>
      <c r="K1349" s="174">
        <v>8100676002455</v>
      </c>
      <c r="L1349" s="173" t="s">
        <v>574</v>
      </c>
      <c r="M1349" s="173" t="s">
        <v>29</v>
      </c>
      <c r="N1349" s="173" t="s">
        <v>19</v>
      </c>
      <c r="O1349" s="87">
        <v>70</v>
      </c>
      <c r="P1349" s="173" t="s">
        <v>20</v>
      </c>
      <c r="Q1349" s="1" t="s">
        <v>1338</v>
      </c>
      <c r="R1349" s="175">
        <v>825</v>
      </c>
      <c r="S1349">
        <v>165</v>
      </c>
    </row>
    <row r="1350" spans="1:19" x14ac:dyDescent="0.25">
      <c r="A1350" s="87">
        <v>2019</v>
      </c>
      <c r="B1350" s="87">
        <v>9</v>
      </c>
      <c r="C1350" s="173" t="s">
        <v>16</v>
      </c>
      <c r="D1350" s="173" t="s">
        <v>22</v>
      </c>
      <c r="E1350" s="173" t="s">
        <v>18</v>
      </c>
      <c r="F1350" s="173" t="s">
        <v>16</v>
      </c>
      <c r="G1350" s="87" t="b">
        <v>1</v>
      </c>
      <c r="H1350" s="87" t="b">
        <v>1</v>
      </c>
      <c r="I1350" s="87" t="b">
        <v>0</v>
      </c>
      <c r="J1350" s="173" t="s">
        <v>464</v>
      </c>
      <c r="K1350" s="174">
        <v>8319329000121</v>
      </c>
      <c r="L1350" s="173" t="s">
        <v>823</v>
      </c>
      <c r="M1350" s="173" t="s">
        <v>62</v>
      </c>
      <c r="N1350" s="173" t="s">
        <v>63</v>
      </c>
      <c r="O1350" s="87">
        <v>64</v>
      </c>
      <c r="P1350" s="173" t="s">
        <v>25</v>
      </c>
      <c r="Q1350" s="1" t="s">
        <v>1344</v>
      </c>
      <c r="R1350" s="175">
        <v>41</v>
      </c>
      <c r="S1350">
        <v>41</v>
      </c>
    </row>
    <row r="1351" spans="1:19" x14ac:dyDescent="0.25">
      <c r="A1351" s="87">
        <v>2019</v>
      </c>
      <c r="B1351" s="87">
        <v>9</v>
      </c>
      <c r="C1351" s="173" t="s">
        <v>16</v>
      </c>
      <c r="D1351" s="173" t="s">
        <v>22</v>
      </c>
      <c r="E1351" s="173" t="s">
        <v>18</v>
      </c>
      <c r="F1351" s="173" t="s">
        <v>16</v>
      </c>
      <c r="G1351" s="87" t="b">
        <v>1</v>
      </c>
      <c r="H1351" s="87" t="b">
        <v>1</v>
      </c>
      <c r="I1351" s="87" t="b">
        <v>0</v>
      </c>
      <c r="J1351" s="173" t="s">
        <v>500</v>
      </c>
      <c r="K1351" s="174">
        <v>8319329000121</v>
      </c>
      <c r="L1351" s="173" t="s">
        <v>823</v>
      </c>
      <c r="M1351" s="173" t="s">
        <v>62</v>
      </c>
      <c r="N1351" s="173" t="s">
        <v>63</v>
      </c>
      <c r="O1351" s="87">
        <v>64</v>
      </c>
      <c r="P1351" s="173" t="s">
        <v>25</v>
      </c>
      <c r="Q1351" s="1" t="s">
        <v>1344</v>
      </c>
      <c r="R1351" s="175">
        <v>6</v>
      </c>
      <c r="S1351">
        <v>6</v>
      </c>
    </row>
    <row r="1352" spans="1:19" x14ac:dyDescent="0.25">
      <c r="A1352" s="87">
        <v>2019</v>
      </c>
      <c r="B1352" s="87">
        <v>9</v>
      </c>
      <c r="C1352" s="173" t="s">
        <v>16</v>
      </c>
      <c r="D1352" s="173" t="s">
        <v>22</v>
      </c>
      <c r="E1352" s="173" t="s">
        <v>18</v>
      </c>
      <c r="F1352" s="173" t="s">
        <v>16</v>
      </c>
      <c r="G1352" s="87" t="b">
        <v>1</v>
      </c>
      <c r="H1352" s="87" t="b">
        <v>1</v>
      </c>
      <c r="I1352" s="87" t="b">
        <v>0</v>
      </c>
      <c r="J1352" s="173" t="s">
        <v>460</v>
      </c>
      <c r="K1352" s="174">
        <v>8337586000196</v>
      </c>
      <c r="L1352" s="173" t="s">
        <v>824</v>
      </c>
      <c r="M1352" s="173" t="s">
        <v>62</v>
      </c>
      <c r="N1352" s="173" t="s">
        <v>63</v>
      </c>
      <c r="O1352" s="87">
        <v>64</v>
      </c>
      <c r="P1352" s="173" t="s">
        <v>25</v>
      </c>
      <c r="Q1352" s="1" t="s">
        <v>1344</v>
      </c>
      <c r="R1352" s="175">
        <v>1</v>
      </c>
      <c r="S1352">
        <v>1</v>
      </c>
    </row>
    <row r="1353" spans="1:19" x14ac:dyDescent="0.25">
      <c r="A1353" s="87">
        <v>2019</v>
      </c>
      <c r="B1353" s="87">
        <v>9</v>
      </c>
      <c r="C1353" s="173" t="s">
        <v>16</v>
      </c>
      <c r="D1353" s="173" t="s">
        <v>22</v>
      </c>
      <c r="E1353" s="173" t="s">
        <v>18</v>
      </c>
      <c r="F1353" s="173" t="s">
        <v>16</v>
      </c>
      <c r="G1353" s="87" t="b">
        <v>1</v>
      </c>
      <c r="H1353" s="87" t="b">
        <v>1</v>
      </c>
      <c r="I1353" s="87" t="b">
        <v>0</v>
      </c>
      <c r="J1353" s="173" t="s">
        <v>464</v>
      </c>
      <c r="K1353" s="174">
        <v>8337586000196</v>
      </c>
      <c r="L1353" s="173" t="s">
        <v>824</v>
      </c>
      <c r="M1353" s="173" t="s">
        <v>62</v>
      </c>
      <c r="N1353" s="173" t="s">
        <v>63</v>
      </c>
      <c r="O1353" s="87">
        <v>64</v>
      </c>
      <c r="P1353" s="173" t="s">
        <v>25</v>
      </c>
      <c r="Q1353" s="1" t="s">
        <v>1344</v>
      </c>
      <c r="R1353" s="175">
        <v>1</v>
      </c>
      <c r="S1353">
        <v>1</v>
      </c>
    </row>
    <row r="1354" spans="1:19" x14ac:dyDescent="0.25">
      <c r="A1354" s="87">
        <v>2019</v>
      </c>
      <c r="B1354" s="87">
        <v>9</v>
      </c>
      <c r="C1354" s="173" t="s">
        <v>16</v>
      </c>
      <c r="D1354" s="173" t="s">
        <v>22</v>
      </c>
      <c r="E1354" s="173" t="s">
        <v>18</v>
      </c>
      <c r="F1354" s="173" t="s">
        <v>16</v>
      </c>
      <c r="G1354" s="87" t="b">
        <v>1</v>
      </c>
      <c r="H1354" s="87" t="b">
        <v>1</v>
      </c>
      <c r="I1354" s="87" t="b">
        <v>0</v>
      </c>
      <c r="J1354" s="173" t="s">
        <v>1330</v>
      </c>
      <c r="K1354" s="174">
        <v>8597121000174</v>
      </c>
      <c r="L1354" s="173" t="s">
        <v>957</v>
      </c>
      <c r="M1354" s="173" t="s">
        <v>94</v>
      </c>
      <c r="N1354" s="173" t="s">
        <v>57</v>
      </c>
      <c r="O1354" s="87">
        <v>70</v>
      </c>
      <c r="P1354" s="173" t="s">
        <v>20</v>
      </c>
      <c r="Q1354" s="1" t="s">
        <v>1338</v>
      </c>
      <c r="R1354" s="175">
        <v>560</v>
      </c>
      <c r="S1354">
        <v>112</v>
      </c>
    </row>
    <row r="1355" spans="1:19" x14ac:dyDescent="0.25">
      <c r="A1355" s="87">
        <v>2019</v>
      </c>
      <c r="B1355" s="87">
        <v>9</v>
      </c>
      <c r="C1355" s="173" t="s">
        <v>16</v>
      </c>
      <c r="D1355" s="173" t="s">
        <v>22</v>
      </c>
      <c r="E1355" s="173" t="s">
        <v>18</v>
      </c>
      <c r="F1355" s="173" t="s">
        <v>16</v>
      </c>
      <c r="G1355" s="87" t="b">
        <v>1</v>
      </c>
      <c r="H1355" s="87" t="b">
        <v>1</v>
      </c>
      <c r="I1355" s="87" t="b">
        <v>0</v>
      </c>
      <c r="J1355" s="173" t="s">
        <v>470</v>
      </c>
      <c r="K1355" s="174">
        <v>8680639000681</v>
      </c>
      <c r="L1355" s="173" t="s">
        <v>827</v>
      </c>
      <c r="M1355" s="173" t="s">
        <v>747</v>
      </c>
      <c r="N1355" s="173" t="s">
        <v>56</v>
      </c>
      <c r="O1355" s="87">
        <v>70</v>
      </c>
      <c r="P1355" s="173" t="s">
        <v>20</v>
      </c>
      <c r="Q1355" s="1" t="s">
        <v>1338</v>
      </c>
      <c r="R1355" s="175">
        <v>140</v>
      </c>
      <c r="S1355">
        <v>28</v>
      </c>
    </row>
    <row r="1356" spans="1:19" x14ac:dyDescent="0.25">
      <c r="A1356" s="87">
        <v>2019</v>
      </c>
      <c r="B1356" s="87">
        <v>9</v>
      </c>
      <c r="C1356" s="173" t="s">
        <v>16</v>
      </c>
      <c r="D1356" s="173" t="s">
        <v>22</v>
      </c>
      <c r="E1356" s="173" t="s">
        <v>18</v>
      </c>
      <c r="F1356" s="173" t="s">
        <v>16</v>
      </c>
      <c r="G1356" s="87" t="b">
        <v>1</v>
      </c>
      <c r="H1356" s="87" t="b">
        <v>1</v>
      </c>
      <c r="I1356" s="87" t="b">
        <v>0</v>
      </c>
      <c r="J1356" s="173" t="s">
        <v>491</v>
      </c>
      <c r="K1356" s="174">
        <v>8680639000681</v>
      </c>
      <c r="L1356" s="173" t="s">
        <v>827</v>
      </c>
      <c r="M1356" s="173" t="s">
        <v>747</v>
      </c>
      <c r="N1356" s="173" t="s">
        <v>56</v>
      </c>
      <c r="O1356" s="87">
        <v>73</v>
      </c>
      <c r="P1356" s="173" t="s">
        <v>26</v>
      </c>
      <c r="Q1356" s="1" t="s">
        <v>1342</v>
      </c>
      <c r="R1356" s="175">
        <v>80</v>
      </c>
      <c r="S1356">
        <v>20</v>
      </c>
    </row>
    <row r="1357" spans="1:19" x14ac:dyDescent="0.25">
      <c r="A1357" s="87">
        <v>2019</v>
      </c>
      <c r="B1357" s="87">
        <v>9</v>
      </c>
      <c r="C1357" s="173" t="s">
        <v>16</v>
      </c>
      <c r="D1357" s="173" t="s">
        <v>22</v>
      </c>
      <c r="E1357" s="173" t="s">
        <v>18</v>
      </c>
      <c r="F1357" s="173" t="s">
        <v>16</v>
      </c>
      <c r="G1357" s="87" t="b">
        <v>1</v>
      </c>
      <c r="H1357" s="87" t="b">
        <v>1</v>
      </c>
      <c r="I1357" s="87" t="b">
        <v>0</v>
      </c>
      <c r="J1357" s="173" t="s">
        <v>451</v>
      </c>
      <c r="K1357" s="174">
        <v>8871521000126</v>
      </c>
      <c r="L1357" s="173" t="s">
        <v>577</v>
      </c>
      <c r="M1357" s="173" t="s">
        <v>29</v>
      </c>
      <c r="N1357" s="173" t="s">
        <v>19</v>
      </c>
      <c r="O1357" s="87">
        <v>70</v>
      </c>
      <c r="P1357" s="173" t="s">
        <v>20</v>
      </c>
      <c r="Q1357" s="1" t="s">
        <v>1338</v>
      </c>
      <c r="R1357" s="175">
        <v>45</v>
      </c>
      <c r="S1357">
        <v>9</v>
      </c>
    </row>
    <row r="1358" spans="1:19" x14ac:dyDescent="0.25">
      <c r="A1358" s="87">
        <v>2019</v>
      </c>
      <c r="B1358" s="87">
        <v>9</v>
      </c>
      <c r="C1358" s="173" t="s">
        <v>16</v>
      </c>
      <c r="D1358" s="173" t="s">
        <v>22</v>
      </c>
      <c r="E1358" s="173" t="s">
        <v>18</v>
      </c>
      <c r="F1358" s="173" t="s">
        <v>16</v>
      </c>
      <c r="G1358" s="87" t="b">
        <v>1</v>
      </c>
      <c r="H1358" s="87" t="b">
        <v>1</v>
      </c>
      <c r="I1358" s="87" t="b">
        <v>0</v>
      </c>
      <c r="J1358" s="173" t="s">
        <v>470</v>
      </c>
      <c r="K1358" s="174">
        <v>9039744000275</v>
      </c>
      <c r="L1358" s="173" t="s">
        <v>829</v>
      </c>
      <c r="M1358" s="173" t="s">
        <v>99</v>
      </c>
      <c r="N1358" s="173" t="s">
        <v>71</v>
      </c>
      <c r="O1358" s="87">
        <v>64</v>
      </c>
      <c r="P1358" s="173" t="s">
        <v>25</v>
      </c>
      <c r="Q1358" s="1" t="s">
        <v>1344</v>
      </c>
      <c r="R1358" s="175">
        <v>7</v>
      </c>
      <c r="S1358">
        <v>7</v>
      </c>
    </row>
    <row r="1359" spans="1:19" x14ac:dyDescent="0.25">
      <c r="A1359" s="87">
        <v>2019</v>
      </c>
      <c r="B1359" s="87">
        <v>9</v>
      </c>
      <c r="C1359" s="173" t="s">
        <v>16</v>
      </c>
      <c r="D1359" s="173" t="s">
        <v>22</v>
      </c>
      <c r="E1359" s="173" t="s">
        <v>18</v>
      </c>
      <c r="F1359" s="173" t="s">
        <v>16</v>
      </c>
      <c r="G1359" s="87" t="b">
        <v>1</v>
      </c>
      <c r="H1359" s="87" t="b">
        <v>1</v>
      </c>
      <c r="I1359" s="87" t="b">
        <v>0</v>
      </c>
      <c r="J1359" s="173" t="s">
        <v>450</v>
      </c>
      <c r="K1359" s="174">
        <v>9087150000230</v>
      </c>
      <c r="L1359" s="173" t="s">
        <v>958</v>
      </c>
      <c r="M1359" s="173" t="s">
        <v>83</v>
      </c>
      <c r="N1359" s="173" t="s">
        <v>67</v>
      </c>
      <c r="O1359" s="87">
        <v>73</v>
      </c>
      <c r="P1359" s="173" t="s">
        <v>26</v>
      </c>
      <c r="Q1359" s="1" t="s">
        <v>1339</v>
      </c>
      <c r="R1359" s="175">
        <v>8</v>
      </c>
      <c r="S1359">
        <v>4</v>
      </c>
    </row>
    <row r="1360" spans="1:19" x14ac:dyDescent="0.25">
      <c r="A1360" s="87">
        <v>2019</v>
      </c>
      <c r="B1360" s="87">
        <v>9</v>
      </c>
      <c r="C1360" s="173" t="s">
        <v>16</v>
      </c>
      <c r="D1360" s="173" t="s">
        <v>22</v>
      </c>
      <c r="E1360" s="173" t="s">
        <v>18</v>
      </c>
      <c r="F1360" s="173" t="s">
        <v>16</v>
      </c>
      <c r="G1360" s="87" t="b">
        <v>1</v>
      </c>
      <c r="H1360" s="87" t="b">
        <v>1</v>
      </c>
      <c r="I1360" s="87" t="b">
        <v>0</v>
      </c>
      <c r="J1360" s="173" t="s">
        <v>451</v>
      </c>
      <c r="K1360" s="174">
        <v>9104513000974</v>
      </c>
      <c r="L1360" s="173" t="s">
        <v>830</v>
      </c>
      <c r="M1360" s="173" t="s">
        <v>739</v>
      </c>
      <c r="N1360" s="173" t="s">
        <v>55</v>
      </c>
      <c r="O1360" s="87">
        <v>70</v>
      </c>
      <c r="P1360" s="173" t="s">
        <v>20</v>
      </c>
      <c r="Q1360" s="1" t="s">
        <v>1338</v>
      </c>
      <c r="R1360" s="175">
        <v>515</v>
      </c>
      <c r="S1360">
        <v>103</v>
      </c>
    </row>
    <row r="1361" spans="1:19" x14ac:dyDescent="0.25">
      <c r="A1361" s="87">
        <v>2019</v>
      </c>
      <c r="B1361" s="87">
        <v>9</v>
      </c>
      <c r="C1361" s="173" t="s">
        <v>16</v>
      </c>
      <c r="D1361" s="173" t="s">
        <v>22</v>
      </c>
      <c r="E1361" s="173" t="s">
        <v>18</v>
      </c>
      <c r="F1361" s="173" t="s">
        <v>16</v>
      </c>
      <c r="G1361" s="87" t="b">
        <v>1</v>
      </c>
      <c r="H1361" s="87" t="b">
        <v>1</v>
      </c>
      <c r="I1361" s="87" t="b">
        <v>0</v>
      </c>
      <c r="J1361" s="173" t="s">
        <v>453</v>
      </c>
      <c r="K1361" s="174">
        <v>9192098000109</v>
      </c>
      <c r="L1361" s="173" t="s">
        <v>831</v>
      </c>
      <c r="M1361" s="173" t="s">
        <v>832</v>
      </c>
      <c r="N1361" s="173" t="s">
        <v>72</v>
      </c>
      <c r="O1361" s="87">
        <v>70</v>
      </c>
      <c r="P1361" s="173" t="s">
        <v>20</v>
      </c>
      <c r="Q1361" s="1" t="s">
        <v>1338</v>
      </c>
      <c r="R1361" s="175">
        <v>100</v>
      </c>
      <c r="S1361">
        <v>20</v>
      </c>
    </row>
    <row r="1362" spans="1:19" x14ac:dyDescent="0.25">
      <c r="A1362" s="87">
        <v>2019</v>
      </c>
      <c r="B1362" s="87">
        <v>9</v>
      </c>
      <c r="C1362" s="173" t="s">
        <v>16</v>
      </c>
      <c r="D1362" s="173" t="s">
        <v>22</v>
      </c>
      <c r="E1362" s="173" t="s">
        <v>18</v>
      </c>
      <c r="F1362" s="173" t="s">
        <v>16</v>
      </c>
      <c r="G1362" s="87" t="b">
        <v>1</v>
      </c>
      <c r="H1362" s="87" t="b">
        <v>1</v>
      </c>
      <c r="I1362" s="87" t="b">
        <v>0</v>
      </c>
      <c r="J1362" s="173" t="s">
        <v>470</v>
      </c>
      <c r="K1362" s="174">
        <v>9219138000401</v>
      </c>
      <c r="L1362" s="173" t="s">
        <v>1087</v>
      </c>
      <c r="M1362" s="173" t="s">
        <v>131</v>
      </c>
      <c r="N1362" s="173" t="s">
        <v>61</v>
      </c>
      <c r="O1362" s="87">
        <v>70</v>
      </c>
      <c r="P1362" s="173" t="s">
        <v>20</v>
      </c>
      <c r="Q1362" s="1" t="s">
        <v>1338</v>
      </c>
      <c r="R1362" s="175">
        <v>135</v>
      </c>
      <c r="S1362">
        <v>27</v>
      </c>
    </row>
    <row r="1363" spans="1:19" x14ac:dyDescent="0.25">
      <c r="A1363" s="87">
        <v>2019</v>
      </c>
      <c r="B1363" s="87">
        <v>9</v>
      </c>
      <c r="C1363" s="173" t="s">
        <v>16</v>
      </c>
      <c r="D1363" s="173" t="s">
        <v>22</v>
      </c>
      <c r="E1363" s="173" t="s">
        <v>18</v>
      </c>
      <c r="F1363" s="173" t="s">
        <v>16</v>
      </c>
      <c r="G1363" s="87" t="b">
        <v>1</v>
      </c>
      <c r="H1363" s="87" t="b">
        <v>1</v>
      </c>
      <c r="I1363" s="87" t="b">
        <v>0</v>
      </c>
      <c r="J1363" s="173" t="s">
        <v>477</v>
      </c>
      <c r="K1363" s="174">
        <v>9219138000401</v>
      </c>
      <c r="L1363" s="173" t="s">
        <v>1087</v>
      </c>
      <c r="M1363" s="173" t="s">
        <v>131</v>
      </c>
      <c r="N1363" s="173" t="s">
        <v>61</v>
      </c>
      <c r="O1363" s="87">
        <v>70</v>
      </c>
      <c r="P1363" s="173" t="s">
        <v>20</v>
      </c>
      <c r="Q1363" s="1" t="s">
        <v>1338</v>
      </c>
      <c r="R1363" s="175">
        <v>150</v>
      </c>
      <c r="S1363">
        <v>30</v>
      </c>
    </row>
    <row r="1364" spans="1:19" x14ac:dyDescent="0.25">
      <c r="A1364" s="87">
        <v>2019</v>
      </c>
      <c r="B1364" s="87">
        <v>9</v>
      </c>
      <c r="C1364" s="173" t="s">
        <v>16</v>
      </c>
      <c r="D1364" s="173" t="s">
        <v>22</v>
      </c>
      <c r="E1364" s="173" t="s">
        <v>18</v>
      </c>
      <c r="F1364" s="173" t="s">
        <v>16</v>
      </c>
      <c r="G1364" s="87" t="b">
        <v>1</v>
      </c>
      <c r="H1364" s="87" t="b">
        <v>1</v>
      </c>
      <c r="I1364" s="87" t="b">
        <v>0</v>
      </c>
      <c r="J1364" s="173" t="s">
        <v>450</v>
      </c>
      <c r="K1364" s="174">
        <v>9219138000584</v>
      </c>
      <c r="L1364" s="173" t="s">
        <v>1088</v>
      </c>
      <c r="M1364" s="173" t="s">
        <v>131</v>
      </c>
      <c r="N1364" s="173" t="s">
        <v>61</v>
      </c>
      <c r="O1364" s="87">
        <v>70</v>
      </c>
      <c r="P1364" s="173" t="s">
        <v>20</v>
      </c>
      <c r="Q1364" s="1" t="s">
        <v>1338</v>
      </c>
      <c r="R1364" s="175">
        <v>225</v>
      </c>
      <c r="S1364">
        <v>45</v>
      </c>
    </row>
    <row r="1365" spans="1:19" x14ac:dyDescent="0.25">
      <c r="A1365" s="87">
        <v>2019</v>
      </c>
      <c r="B1365" s="87">
        <v>9</v>
      </c>
      <c r="C1365" s="173" t="s">
        <v>16</v>
      </c>
      <c r="D1365" s="173" t="s">
        <v>22</v>
      </c>
      <c r="E1365" s="173" t="s">
        <v>18</v>
      </c>
      <c r="F1365" s="173" t="s">
        <v>16</v>
      </c>
      <c r="G1365" s="87" t="b">
        <v>1</v>
      </c>
      <c r="H1365" s="87" t="b">
        <v>1</v>
      </c>
      <c r="I1365" s="87" t="b">
        <v>0</v>
      </c>
      <c r="J1365" s="173" t="s">
        <v>477</v>
      </c>
      <c r="K1365" s="174">
        <v>9219138000584</v>
      </c>
      <c r="L1365" s="173" t="s">
        <v>1088</v>
      </c>
      <c r="M1365" s="173" t="s">
        <v>131</v>
      </c>
      <c r="N1365" s="173" t="s">
        <v>61</v>
      </c>
      <c r="O1365" s="87">
        <v>70</v>
      </c>
      <c r="P1365" s="173" t="s">
        <v>20</v>
      </c>
      <c r="Q1365" s="1" t="s">
        <v>1338</v>
      </c>
      <c r="R1365" s="175">
        <v>345</v>
      </c>
      <c r="S1365">
        <v>69</v>
      </c>
    </row>
    <row r="1366" spans="1:19" x14ac:dyDescent="0.25">
      <c r="A1366" s="87">
        <v>2019</v>
      </c>
      <c r="B1366" s="87">
        <v>9</v>
      </c>
      <c r="C1366" s="173" t="s">
        <v>16</v>
      </c>
      <c r="D1366" s="173" t="s">
        <v>22</v>
      </c>
      <c r="E1366" s="173" t="s">
        <v>18</v>
      </c>
      <c r="F1366" s="173" t="s">
        <v>16</v>
      </c>
      <c r="G1366" s="87" t="b">
        <v>1</v>
      </c>
      <c r="H1366" s="87" t="b">
        <v>1</v>
      </c>
      <c r="I1366" s="87" t="b">
        <v>0</v>
      </c>
      <c r="J1366" s="173" t="s">
        <v>492</v>
      </c>
      <c r="K1366" s="174">
        <v>9219138000584</v>
      </c>
      <c r="L1366" s="173" t="s">
        <v>1088</v>
      </c>
      <c r="M1366" s="173" t="s">
        <v>131</v>
      </c>
      <c r="N1366" s="173" t="s">
        <v>61</v>
      </c>
      <c r="O1366" s="87">
        <v>70</v>
      </c>
      <c r="P1366" s="173" t="s">
        <v>20</v>
      </c>
      <c r="Q1366" s="1" t="s">
        <v>1338</v>
      </c>
      <c r="R1366" s="175">
        <v>380</v>
      </c>
      <c r="S1366">
        <v>76</v>
      </c>
    </row>
    <row r="1367" spans="1:19" x14ac:dyDescent="0.25">
      <c r="A1367" s="87">
        <v>2019</v>
      </c>
      <c r="B1367" s="87">
        <v>9</v>
      </c>
      <c r="C1367" s="173" t="s">
        <v>16</v>
      </c>
      <c r="D1367" s="173" t="s">
        <v>22</v>
      </c>
      <c r="E1367" s="173" t="s">
        <v>18</v>
      </c>
      <c r="F1367" s="173" t="s">
        <v>16</v>
      </c>
      <c r="G1367" s="87" t="b">
        <v>1</v>
      </c>
      <c r="H1367" s="87" t="b">
        <v>1</v>
      </c>
      <c r="I1367" s="87" t="b">
        <v>0</v>
      </c>
      <c r="J1367" s="173" t="s">
        <v>451</v>
      </c>
      <c r="K1367" s="174">
        <v>9219138000584</v>
      </c>
      <c r="L1367" s="173" t="s">
        <v>1088</v>
      </c>
      <c r="M1367" s="173" t="s">
        <v>131</v>
      </c>
      <c r="N1367" s="173" t="s">
        <v>61</v>
      </c>
      <c r="O1367" s="87">
        <v>70</v>
      </c>
      <c r="P1367" s="173" t="s">
        <v>20</v>
      </c>
      <c r="Q1367" s="1" t="s">
        <v>1338</v>
      </c>
      <c r="R1367" s="175">
        <v>135</v>
      </c>
      <c r="S1367">
        <v>27</v>
      </c>
    </row>
    <row r="1368" spans="1:19" x14ac:dyDescent="0.25">
      <c r="A1368" s="87">
        <v>2019</v>
      </c>
      <c r="B1368" s="87">
        <v>9</v>
      </c>
      <c r="C1368" s="173" t="s">
        <v>16</v>
      </c>
      <c r="D1368" s="173" t="s">
        <v>22</v>
      </c>
      <c r="E1368" s="173" t="s">
        <v>18</v>
      </c>
      <c r="F1368" s="173" t="s">
        <v>16</v>
      </c>
      <c r="G1368" s="87" t="b">
        <v>1</v>
      </c>
      <c r="H1368" s="87" t="b">
        <v>1</v>
      </c>
      <c r="I1368" s="87" t="b">
        <v>0</v>
      </c>
      <c r="J1368" s="173" t="s">
        <v>477</v>
      </c>
      <c r="K1368" s="174">
        <v>9219138000584</v>
      </c>
      <c r="L1368" s="173" t="s">
        <v>1088</v>
      </c>
      <c r="M1368" s="173" t="s">
        <v>131</v>
      </c>
      <c r="N1368" s="173" t="s">
        <v>61</v>
      </c>
      <c r="O1368" s="87">
        <v>73</v>
      </c>
      <c r="P1368" s="173" t="s">
        <v>26</v>
      </c>
      <c r="Q1368" s="1" t="s">
        <v>1342</v>
      </c>
      <c r="R1368" s="175">
        <v>24</v>
      </c>
      <c r="S1368">
        <v>6</v>
      </c>
    </row>
    <row r="1369" spans="1:19" x14ac:dyDescent="0.25">
      <c r="A1369" s="87">
        <v>2019</v>
      </c>
      <c r="B1369" s="87">
        <v>9</v>
      </c>
      <c r="C1369" s="173" t="s">
        <v>16</v>
      </c>
      <c r="D1369" s="173" t="s">
        <v>22</v>
      </c>
      <c r="E1369" s="173" t="s">
        <v>18</v>
      </c>
      <c r="F1369" s="173" t="s">
        <v>16</v>
      </c>
      <c r="G1369" s="87" t="b">
        <v>1</v>
      </c>
      <c r="H1369" s="87" t="b">
        <v>1</v>
      </c>
      <c r="I1369" s="87" t="b">
        <v>0</v>
      </c>
      <c r="J1369" s="173" t="s">
        <v>491</v>
      </c>
      <c r="K1369" s="174">
        <v>9219138000584</v>
      </c>
      <c r="L1369" s="173" t="s">
        <v>1088</v>
      </c>
      <c r="M1369" s="173" t="s">
        <v>131</v>
      </c>
      <c r="N1369" s="173" t="s">
        <v>61</v>
      </c>
      <c r="O1369" s="87">
        <v>73</v>
      </c>
      <c r="P1369" s="173" t="s">
        <v>26</v>
      </c>
      <c r="Q1369" s="1" t="s">
        <v>1342</v>
      </c>
      <c r="R1369" s="175">
        <v>116</v>
      </c>
      <c r="S1369">
        <v>29</v>
      </c>
    </row>
    <row r="1370" spans="1:19" x14ac:dyDescent="0.25">
      <c r="A1370" s="87">
        <v>2019</v>
      </c>
      <c r="B1370" s="87">
        <v>9</v>
      </c>
      <c r="C1370" s="173" t="s">
        <v>16</v>
      </c>
      <c r="D1370" s="173" t="s">
        <v>22</v>
      </c>
      <c r="E1370" s="173" t="s">
        <v>18</v>
      </c>
      <c r="F1370" s="173" t="s">
        <v>16</v>
      </c>
      <c r="G1370" s="87" t="b">
        <v>1</v>
      </c>
      <c r="H1370" s="87" t="b">
        <v>1</v>
      </c>
      <c r="I1370" s="87" t="b">
        <v>0</v>
      </c>
      <c r="J1370" s="173" t="s">
        <v>450</v>
      </c>
      <c r="K1370" s="174">
        <v>9528436000122</v>
      </c>
      <c r="L1370" s="173" t="s">
        <v>656</v>
      </c>
      <c r="M1370" s="173" t="s">
        <v>657</v>
      </c>
      <c r="N1370" s="173" t="s">
        <v>19</v>
      </c>
      <c r="O1370" s="87">
        <v>70</v>
      </c>
      <c r="P1370" s="173" t="s">
        <v>20</v>
      </c>
      <c r="Q1370" s="1" t="s">
        <v>1338</v>
      </c>
      <c r="R1370" s="175">
        <v>150</v>
      </c>
      <c r="S1370">
        <v>30</v>
      </c>
    </row>
    <row r="1371" spans="1:19" x14ac:dyDescent="0.25">
      <c r="A1371" s="87">
        <v>2019</v>
      </c>
      <c r="B1371" s="87">
        <v>9</v>
      </c>
      <c r="C1371" s="173" t="s">
        <v>16</v>
      </c>
      <c r="D1371" s="173" t="s">
        <v>22</v>
      </c>
      <c r="E1371" s="173" t="s">
        <v>18</v>
      </c>
      <c r="F1371" s="173" t="s">
        <v>16</v>
      </c>
      <c r="G1371" s="87" t="b">
        <v>1</v>
      </c>
      <c r="H1371" s="87" t="b">
        <v>1</v>
      </c>
      <c r="I1371" s="87" t="b">
        <v>0</v>
      </c>
      <c r="J1371" s="173" t="s">
        <v>463</v>
      </c>
      <c r="K1371" s="174">
        <v>10323381000101</v>
      </c>
      <c r="L1371" s="173" t="s">
        <v>580</v>
      </c>
      <c r="M1371" s="173" t="s">
        <v>29</v>
      </c>
      <c r="N1371" s="173" t="s">
        <v>19</v>
      </c>
      <c r="O1371" s="87">
        <v>73</v>
      </c>
      <c r="P1371" s="173" t="s">
        <v>26</v>
      </c>
      <c r="Q1371" s="1" t="s">
        <v>1340</v>
      </c>
      <c r="R1371" s="175">
        <v>6</v>
      </c>
      <c r="S1371">
        <v>6</v>
      </c>
    </row>
    <row r="1372" spans="1:19" x14ac:dyDescent="0.25">
      <c r="A1372" s="87">
        <v>2019</v>
      </c>
      <c r="B1372" s="87">
        <v>9</v>
      </c>
      <c r="C1372" s="173" t="s">
        <v>16</v>
      </c>
      <c r="D1372" s="173" t="s">
        <v>22</v>
      </c>
      <c r="E1372" s="173" t="s">
        <v>18</v>
      </c>
      <c r="F1372" s="173" t="s">
        <v>16</v>
      </c>
      <c r="G1372" s="87" t="b">
        <v>1</v>
      </c>
      <c r="H1372" s="87" t="b">
        <v>1</v>
      </c>
      <c r="I1372" s="87" t="b">
        <v>0</v>
      </c>
      <c r="J1372" s="173" t="s">
        <v>450</v>
      </c>
      <c r="K1372" s="174">
        <v>10447300000177</v>
      </c>
      <c r="L1372" s="173" t="s">
        <v>658</v>
      </c>
      <c r="M1372" s="173" t="s">
        <v>33</v>
      </c>
      <c r="N1372" s="173" t="s">
        <v>19</v>
      </c>
      <c r="O1372" s="87">
        <v>73</v>
      </c>
      <c r="P1372" s="173" t="s">
        <v>26</v>
      </c>
      <c r="Q1372" s="1" t="s">
        <v>1339</v>
      </c>
      <c r="R1372" s="175">
        <v>4</v>
      </c>
      <c r="S1372">
        <v>2</v>
      </c>
    </row>
    <row r="1373" spans="1:19" x14ac:dyDescent="0.25">
      <c r="A1373" s="87">
        <v>2019</v>
      </c>
      <c r="B1373" s="87">
        <v>9</v>
      </c>
      <c r="C1373" s="173" t="s">
        <v>16</v>
      </c>
      <c r="D1373" s="173" t="s">
        <v>22</v>
      </c>
      <c r="E1373" s="173" t="s">
        <v>18</v>
      </c>
      <c r="F1373" s="173" t="s">
        <v>16</v>
      </c>
      <c r="G1373" s="87" t="b">
        <v>1</v>
      </c>
      <c r="H1373" s="87" t="b">
        <v>1</v>
      </c>
      <c r="I1373" s="87" t="b">
        <v>0</v>
      </c>
      <c r="J1373" s="173" t="s">
        <v>463</v>
      </c>
      <c r="K1373" s="174">
        <v>10468341000140</v>
      </c>
      <c r="L1373" s="173" t="s">
        <v>581</v>
      </c>
      <c r="M1373" s="173" t="s">
        <v>29</v>
      </c>
      <c r="N1373" s="173" t="s">
        <v>19</v>
      </c>
      <c r="O1373" s="87">
        <v>70</v>
      </c>
      <c r="P1373" s="173" t="s">
        <v>20</v>
      </c>
      <c r="Q1373" s="1" t="s">
        <v>1338</v>
      </c>
      <c r="R1373" s="175">
        <v>305</v>
      </c>
      <c r="S1373">
        <v>61</v>
      </c>
    </row>
    <row r="1374" spans="1:19" x14ac:dyDescent="0.25">
      <c r="A1374" s="87">
        <v>2019</v>
      </c>
      <c r="B1374" s="87">
        <v>9</v>
      </c>
      <c r="C1374" s="173" t="s">
        <v>16</v>
      </c>
      <c r="D1374" s="173" t="s">
        <v>22</v>
      </c>
      <c r="E1374" s="173" t="s">
        <v>18</v>
      </c>
      <c r="F1374" s="173" t="s">
        <v>16</v>
      </c>
      <c r="G1374" s="87" t="b">
        <v>1</v>
      </c>
      <c r="H1374" s="87" t="b">
        <v>1</v>
      </c>
      <c r="I1374" s="87" t="b">
        <v>0</v>
      </c>
      <c r="J1374" s="173" t="s">
        <v>463</v>
      </c>
      <c r="K1374" s="174">
        <v>10468341000220</v>
      </c>
      <c r="L1374" s="173" t="s">
        <v>582</v>
      </c>
      <c r="M1374" s="173" t="s">
        <v>29</v>
      </c>
      <c r="N1374" s="173" t="s">
        <v>19</v>
      </c>
      <c r="O1374" s="87">
        <v>70</v>
      </c>
      <c r="P1374" s="173" t="s">
        <v>20</v>
      </c>
      <c r="Q1374" s="1" t="s">
        <v>1338</v>
      </c>
      <c r="R1374" s="175">
        <v>805</v>
      </c>
      <c r="S1374">
        <v>161</v>
      </c>
    </row>
    <row r="1375" spans="1:19" x14ac:dyDescent="0.25">
      <c r="A1375" s="87">
        <v>2019</v>
      </c>
      <c r="B1375" s="87">
        <v>9</v>
      </c>
      <c r="C1375" s="173" t="s">
        <v>16</v>
      </c>
      <c r="D1375" s="173" t="s">
        <v>22</v>
      </c>
      <c r="E1375" s="173" t="s">
        <v>18</v>
      </c>
      <c r="F1375" s="173" t="s">
        <v>16</v>
      </c>
      <c r="G1375" s="87" t="b">
        <v>1</v>
      </c>
      <c r="H1375" s="87" t="b">
        <v>1</v>
      </c>
      <c r="I1375" s="87" t="b">
        <v>0</v>
      </c>
      <c r="J1375" s="173" t="s">
        <v>463</v>
      </c>
      <c r="K1375" s="174">
        <v>10468341000220</v>
      </c>
      <c r="L1375" s="173" t="s">
        <v>582</v>
      </c>
      <c r="M1375" s="173" t="s">
        <v>29</v>
      </c>
      <c r="N1375" s="173" t="s">
        <v>19</v>
      </c>
      <c r="O1375" s="87">
        <v>73</v>
      </c>
      <c r="P1375" s="173" t="s">
        <v>26</v>
      </c>
      <c r="Q1375" s="1" t="s">
        <v>1342</v>
      </c>
      <c r="R1375" s="175">
        <v>36</v>
      </c>
      <c r="S1375">
        <v>9</v>
      </c>
    </row>
    <row r="1376" spans="1:19" x14ac:dyDescent="0.25">
      <c r="A1376" s="87">
        <v>2019</v>
      </c>
      <c r="B1376" s="87">
        <v>9</v>
      </c>
      <c r="C1376" s="173" t="s">
        <v>16</v>
      </c>
      <c r="D1376" s="173" t="s">
        <v>22</v>
      </c>
      <c r="E1376" s="173" t="s">
        <v>18</v>
      </c>
      <c r="F1376" s="173" t="s">
        <v>16</v>
      </c>
      <c r="G1376" s="87" t="b">
        <v>1</v>
      </c>
      <c r="H1376" s="87" t="b">
        <v>1</v>
      </c>
      <c r="I1376" s="87" t="b">
        <v>0</v>
      </c>
      <c r="J1376" s="173" t="s">
        <v>464</v>
      </c>
      <c r="K1376" s="174">
        <v>10475230000160</v>
      </c>
      <c r="L1376" s="173" t="s">
        <v>583</v>
      </c>
      <c r="M1376" s="173" t="s">
        <v>29</v>
      </c>
      <c r="N1376" s="173" t="s">
        <v>19</v>
      </c>
      <c r="O1376" s="87">
        <v>70</v>
      </c>
      <c r="P1376" s="173" t="s">
        <v>20</v>
      </c>
      <c r="Q1376" s="1" t="s">
        <v>1338</v>
      </c>
      <c r="R1376" s="175">
        <v>25</v>
      </c>
      <c r="S1376">
        <v>5</v>
      </c>
    </row>
    <row r="1377" spans="1:19" x14ac:dyDescent="0.25">
      <c r="A1377" s="87">
        <v>2019</v>
      </c>
      <c r="B1377" s="87">
        <v>9</v>
      </c>
      <c r="C1377" s="173" t="s">
        <v>16</v>
      </c>
      <c r="D1377" s="173" t="s">
        <v>22</v>
      </c>
      <c r="E1377" s="173" t="s">
        <v>18</v>
      </c>
      <c r="F1377" s="173" t="s">
        <v>16</v>
      </c>
      <c r="G1377" s="87" t="b">
        <v>1</v>
      </c>
      <c r="H1377" s="87" t="b">
        <v>1</v>
      </c>
      <c r="I1377" s="87" t="b">
        <v>0</v>
      </c>
      <c r="J1377" s="173" t="s">
        <v>477</v>
      </c>
      <c r="K1377" s="174">
        <v>10558548000105</v>
      </c>
      <c r="L1377" s="173" t="s">
        <v>1045</v>
      </c>
      <c r="M1377" s="173" t="s">
        <v>108</v>
      </c>
      <c r="N1377" s="173" t="s">
        <v>61</v>
      </c>
      <c r="O1377" s="87">
        <v>66</v>
      </c>
      <c r="P1377" s="173" t="s">
        <v>28</v>
      </c>
      <c r="Q1377" s="1" t="s">
        <v>1341</v>
      </c>
      <c r="R1377" s="175">
        <v>3</v>
      </c>
      <c r="S1377">
        <v>3</v>
      </c>
    </row>
    <row r="1378" spans="1:19" x14ac:dyDescent="0.25">
      <c r="A1378" s="87">
        <v>2019</v>
      </c>
      <c r="B1378" s="87">
        <v>9</v>
      </c>
      <c r="C1378" s="173" t="s">
        <v>16</v>
      </c>
      <c r="D1378" s="173" t="s">
        <v>22</v>
      </c>
      <c r="E1378" s="173" t="s">
        <v>18</v>
      </c>
      <c r="F1378" s="173" t="s">
        <v>16</v>
      </c>
      <c r="G1378" s="87" t="b">
        <v>1</v>
      </c>
      <c r="H1378" s="87" t="b">
        <v>1</v>
      </c>
      <c r="I1378" s="87" t="b">
        <v>0</v>
      </c>
      <c r="J1378" s="173" t="s">
        <v>455</v>
      </c>
      <c r="K1378" s="174">
        <v>10562003000172</v>
      </c>
      <c r="L1378" s="173" t="s">
        <v>1046</v>
      </c>
      <c r="M1378" s="173" t="s">
        <v>105</v>
      </c>
      <c r="N1378" s="173" t="s">
        <v>61</v>
      </c>
      <c r="O1378" s="87">
        <v>70</v>
      </c>
      <c r="P1378" s="173" t="s">
        <v>20</v>
      </c>
      <c r="Q1378" s="1" t="s">
        <v>1338</v>
      </c>
      <c r="R1378" s="175">
        <v>175</v>
      </c>
      <c r="S1378">
        <v>35</v>
      </c>
    </row>
    <row r="1379" spans="1:19" x14ac:dyDescent="0.25">
      <c r="A1379" s="87">
        <v>2019</v>
      </c>
      <c r="B1379" s="87">
        <v>9</v>
      </c>
      <c r="C1379" s="173" t="s">
        <v>16</v>
      </c>
      <c r="D1379" s="173" t="s">
        <v>22</v>
      </c>
      <c r="E1379" s="173" t="s">
        <v>18</v>
      </c>
      <c r="F1379" s="173" t="s">
        <v>16</v>
      </c>
      <c r="G1379" s="87" t="b">
        <v>1</v>
      </c>
      <c r="H1379" s="87" t="b">
        <v>1</v>
      </c>
      <c r="I1379" s="87" t="b">
        <v>0</v>
      </c>
      <c r="J1379" s="173" t="s">
        <v>455</v>
      </c>
      <c r="K1379" s="174">
        <v>10576443000189</v>
      </c>
      <c r="L1379" s="173" t="s">
        <v>659</v>
      </c>
      <c r="M1379" s="173" t="s">
        <v>643</v>
      </c>
      <c r="N1379" s="173" t="s">
        <v>19</v>
      </c>
      <c r="O1379" s="87">
        <v>70</v>
      </c>
      <c r="P1379" s="173" t="s">
        <v>20</v>
      </c>
      <c r="Q1379" s="1" t="s">
        <v>1338</v>
      </c>
      <c r="R1379" s="175">
        <v>160</v>
      </c>
      <c r="S1379">
        <v>32</v>
      </c>
    </row>
    <row r="1380" spans="1:19" x14ac:dyDescent="0.25">
      <c r="A1380" s="87">
        <v>2019</v>
      </c>
      <c r="B1380" s="87">
        <v>9</v>
      </c>
      <c r="C1380" s="173" t="s">
        <v>16</v>
      </c>
      <c r="D1380" s="173" t="s">
        <v>22</v>
      </c>
      <c r="E1380" s="173" t="s">
        <v>18</v>
      </c>
      <c r="F1380" s="173" t="s">
        <v>16</v>
      </c>
      <c r="G1380" s="87" t="b">
        <v>1</v>
      </c>
      <c r="H1380" s="87" t="b">
        <v>1</v>
      </c>
      <c r="I1380" s="87" t="b">
        <v>0</v>
      </c>
      <c r="J1380" s="173" t="s">
        <v>1330</v>
      </c>
      <c r="K1380" s="174">
        <v>10586940000168</v>
      </c>
      <c r="L1380" s="173" t="s">
        <v>1156</v>
      </c>
      <c r="M1380" s="173" t="s">
        <v>1157</v>
      </c>
      <c r="N1380" s="173" t="s">
        <v>98</v>
      </c>
      <c r="O1380" s="87">
        <v>62</v>
      </c>
      <c r="P1380" s="173" t="s">
        <v>27</v>
      </c>
      <c r="Q1380" s="1" t="s">
        <v>1343</v>
      </c>
      <c r="R1380" s="175">
        <v>10</v>
      </c>
      <c r="S1380">
        <v>10</v>
      </c>
    </row>
    <row r="1381" spans="1:19" x14ac:dyDescent="0.25">
      <c r="A1381" s="87">
        <v>2019</v>
      </c>
      <c r="B1381" s="87">
        <v>9</v>
      </c>
      <c r="C1381" s="173" t="s">
        <v>16</v>
      </c>
      <c r="D1381" s="173" t="s">
        <v>22</v>
      </c>
      <c r="E1381" s="173" t="s">
        <v>18</v>
      </c>
      <c r="F1381" s="173" t="s">
        <v>16</v>
      </c>
      <c r="G1381" s="87" t="b">
        <v>1</v>
      </c>
      <c r="H1381" s="87" t="b">
        <v>1</v>
      </c>
      <c r="I1381" s="87" t="b">
        <v>0</v>
      </c>
      <c r="J1381" s="173" t="s">
        <v>1330</v>
      </c>
      <c r="K1381" s="174">
        <v>10586940000168</v>
      </c>
      <c r="L1381" s="173" t="s">
        <v>1156</v>
      </c>
      <c r="M1381" s="173" t="s">
        <v>1157</v>
      </c>
      <c r="N1381" s="173" t="s">
        <v>98</v>
      </c>
      <c r="O1381" s="87">
        <v>64</v>
      </c>
      <c r="P1381" s="173" t="s">
        <v>25</v>
      </c>
      <c r="Q1381" s="1" t="s">
        <v>1344</v>
      </c>
      <c r="R1381" s="175">
        <v>25</v>
      </c>
      <c r="S1381">
        <v>25</v>
      </c>
    </row>
    <row r="1382" spans="1:19" x14ac:dyDescent="0.25">
      <c r="A1382" s="87">
        <v>2019</v>
      </c>
      <c r="B1382" s="87">
        <v>9</v>
      </c>
      <c r="C1382" s="173" t="s">
        <v>16</v>
      </c>
      <c r="D1382" s="173" t="s">
        <v>22</v>
      </c>
      <c r="E1382" s="173" t="s">
        <v>18</v>
      </c>
      <c r="F1382" s="173" t="s">
        <v>16</v>
      </c>
      <c r="G1382" s="87" t="b">
        <v>1</v>
      </c>
      <c r="H1382" s="87" t="b">
        <v>1</v>
      </c>
      <c r="I1382" s="87" t="b">
        <v>0</v>
      </c>
      <c r="J1382" s="173" t="s">
        <v>1330</v>
      </c>
      <c r="K1382" s="174">
        <v>10586940000168</v>
      </c>
      <c r="L1382" s="173" t="s">
        <v>1156</v>
      </c>
      <c r="M1382" s="173" t="s">
        <v>1157</v>
      </c>
      <c r="N1382" s="173" t="s">
        <v>98</v>
      </c>
      <c r="O1382" s="87">
        <v>70</v>
      </c>
      <c r="P1382" s="173" t="s">
        <v>20</v>
      </c>
      <c r="Q1382" s="1" t="s">
        <v>1338</v>
      </c>
      <c r="R1382" s="175">
        <v>1150</v>
      </c>
      <c r="S1382">
        <v>230</v>
      </c>
    </row>
    <row r="1383" spans="1:19" x14ac:dyDescent="0.25">
      <c r="A1383" s="87">
        <v>2019</v>
      </c>
      <c r="B1383" s="87">
        <v>9</v>
      </c>
      <c r="C1383" s="173" t="s">
        <v>16</v>
      </c>
      <c r="D1383" s="173" t="s">
        <v>22</v>
      </c>
      <c r="E1383" s="173" t="s">
        <v>18</v>
      </c>
      <c r="F1383" s="173" t="s">
        <v>16</v>
      </c>
      <c r="G1383" s="87" t="b">
        <v>1</v>
      </c>
      <c r="H1383" s="87" t="b">
        <v>1</v>
      </c>
      <c r="I1383" s="87" t="b">
        <v>0</v>
      </c>
      <c r="J1383" s="173" t="s">
        <v>1330</v>
      </c>
      <c r="K1383" s="174">
        <v>10586940000168</v>
      </c>
      <c r="L1383" s="173" t="s">
        <v>1156</v>
      </c>
      <c r="M1383" s="173" t="s">
        <v>1157</v>
      </c>
      <c r="N1383" s="173" t="s">
        <v>98</v>
      </c>
      <c r="O1383" s="87">
        <v>73</v>
      </c>
      <c r="P1383" s="173" t="s">
        <v>26</v>
      </c>
      <c r="Q1383" s="1" t="s">
        <v>1339</v>
      </c>
      <c r="R1383" s="175">
        <v>20</v>
      </c>
      <c r="S1383">
        <v>10</v>
      </c>
    </row>
    <row r="1384" spans="1:19" x14ac:dyDescent="0.25">
      <c r="A1384" s="87">
        <v>2019</v>
      </c>
      <c r="B1384" s="87">
        <v>9</v>
      </c>
      <c r="C1384" s="173" t="s">
        <v>16</v>
      </c>
      <c r="D1384" s="173" t="s">
        <v>22</v>
      </c>
      <c r="E1384" s="173" t="s">
        <v>18</v>
      </c>
      <c r="F1384" s="173" t="s">
        <v>16</v>
      </c>
      <c r="G1384" s="87" t="b">
        <v>1</v>
      </c>
      <c r="H1384" s="87" t="b">
        <v>1</v>
      </c>
      <c r="I1384" s="87" t="b">
        <v>0</v>
      </c>
      <c r="J1384" s="173" t="s">
        <v>1330</v>
      </c>
      <c r="K1384" s="174">
        <v>10586940000168</v>
      </c>
      <c r="L1384" s="173" t="s">
        <v>1156</v>
      </c>
      <c r="M1384" s="173" t="s">
        <v>1157</v>
      </c>
      <c r="N1384" s="173" t="s">
        <v>98</v>
      </c>
      <c r="O1384" s="87">
        <v>73</v>
      </c>
      <c r="P1384" s="173" t="s">
        <v>26</v>
      </c>
      <c r="Q1384" s="1" t="s">
        <v>1342</v>
      </c>
      <c r="R1384" s="175">
        <v>64</v>
      </c>
      <c r="S1384">
        <v>16</v>
      </c>
    </row>
    <row r="1385" spans="1:19" x14ac:dyDescent="0.25">
      <c r="A1385" s="87">
        <v>2019</v>
      </c>
      <c r="B1385" s="87">
        <v>9</v>
      </c>
      <c r="C1385" s="173" t="s">
        <v>16</v>
      </c>
      <c r="D1385" s="173" t="s">
        <v>22</v>
      </c>
      <c r="E1385" s="173" t="s">
        <v>18</v>
      </c>
      <c r="F1385" s="173" t="s">
        <v>16</v>
      </c>
      <c r="G1385" s="87" t="b">
        <v>1</v>
      </c>
      <c r="H1385" s="87" t="b">
        <v>1</v>
      </c>
      <c r="I1385" s="87" t="b">
        <v>0</v>
      </c>
      <c r="J1385" s="173" t="s">
        <v>1330</v>
      </c>
      <c r="K1385" s="174">
        <v>10586940000168</v>
      </c>
      <c r="L1385" s="173" t="s">
        <v>1156</v>
      </c>
      <c r="M1385" s="173" t="s">
        <v>1157</v>
      </c>
      <c r="N1385" s="173" t="s">
        <v>98</v>
      </c>
      <c r="O1385" s="87">
        <v>73</v>
      </c>
      <c r="P1385" s="173" t="s">
        <v>26</v>
      </c>
      <c r="Q1385" s="1" t="s">
        <v>1340</v>
      </c>
      <c r="R1385" s="175">
        <v>14</v>
      </c>
      <c r="S1385">
        <v>14</v>
      </c>
    </row>
    <row r="1386" spans="1:19" x14ac:dyDescent="0.25">
      <c r="A1386" s="87">
        <v>2019</v>
      </c>
      <c r="B1386" s="87">
        <v>9</v>
      </c>
      <c r="C1386" s="173" t="s">
        <v>16</v>
      </c>
      <c r="D1386" s="173" t="s">
        <v>22</v>
      </c>
      <c r="E1386" s="173" t="s">
        <v>18</v>
      </c>
      <c r="F1386" s="173" t="s">
        <v>16</v>
      </c>
      <c r="G1386" s="87" t="b">
        <v>1</v>
      </c>
      <c r="H1386" s="87" t="b">
        <v>1</v>
      </c>
      <c r="I1386" s="87" t="b">
        <v>0</v>
      </c>
      <c r="J1386" s="173" t="s">
        <v>470</v>
      </c>
      <c r="K1386" s="174">
        <v>10839561000132</v>
      </c>
      <c r="L1386" s="173" t="s">
        <v>834</v>
      </c>
      <c r="M1386" s="173" t="s">
        <v>70</v>
      </c>
      <c r="N1386" s="173" t="s">
        <v>71</v>
      </c>
      <c r="O1386" s="87">
        <v>62</v>
      </c>
      <c r="P1386" s="173" t="s">
        <v>27</v>
      </c>
      <c r="Q1386" s="1" t="s">
        <v>1343</v>
      </c>
      <c r="R1386" s="175">
        <v>6</v>
      </c>
      <c r="S1386">
        <v>6</v>
      </c>
    </row>
    <row r="1387" spans="1:19" x14ac:dyDescent="0.25">
      <c r="A1387" s="87">
        <v>2019</v>
      </c>
      <c r="B1387" s="87">
        <v>9</v>
      </c>
      <c r="C1387" s="173" t="s">
        <v>16</v>
      </c>
      <c r="D1387" s="173" t="s">
        <v>22</v>
      </c>
      <c r="E1387" s="173" t="s">
        <v>18</v>
      </c>
      <c r="F1387" s="173" t="s">
        <v>16</v>
      </c>
      <c r="G1387" s="87" t="b">
        <v>1</v>
      </c>
      <c r="H1387" s="87" t="b">
        <v>1</v>
      </c>
      <c r="I1387" s="87" t="b">
        <v>0</v>
      </c>
      <c r="J1387" s="173" t="s">
        <v>470</v>
      </c>
      <c r="K1387" s="174">
        <v>10839561000132</v>
      </c>
      <c r="L1387" s="173" t="s">
        <v>834</v>
      </c>
      <c r="M1387" s="173" t="s">
        <v>70</v>
      </c>
      <c r="N1387" s="173" t="s">
        <v>71</v>
      </c>
      <c r="O1387" s="87">
        <v>73</v>
      </c>
      <c r="P1387" s="173" t="s">
        <v>26</v>
      </c>
      <c r="Q1387" s="1" t="s">
        <v>1342</v>
      </c>
      <c r="R1387" s="175">
        <v>28</v>
      </c>
      <c r="S1387">
        <v>7</v>
      </c>
    </row>
    <row r="1388" spans="1:19" x14ac:dyDescent="0.25">
      <c r="A1388" s="87">
        <v>2019</v>
      </c>
      <c r="B1388" s="87">
        <v>9</v>
      </c>
      <c r="C1388" s="173" t="s">
        <v>16</v>
      </c>
      <c r="D1388" s="173" t="s">
        <v>22</v>
      </c>
      <c r="E1388" s="173" t="s">
        <v>18</v>
      </c>
      <c r="F1388" s="173" t="s">
        <v>16</v>
      </c>
      <c r="G1388" s="87" t="b">
        <v>1</v>
      </c>
      <c r="H1388" s="87" t="b">
        <v>1</v>
      </c>
      <c r="I1388" s="87" t="b">
        <v>0</v>
      </c>
      <c r="J1388" s="173" t="s">
        <v>451</v>
      </c>
      <c r="K1388" s="174">
        <v>10868295000176</v>
      </c>
      <c r="L1388" s="173" t="s">
        <v>660</v>
      </c>
      <c r="M1388" s="173" t="s">
        <v>35</v>
      </c>
      <c r="N1388" s="173" t="s">
        <v>19</v>
      </c>
      <c r="O1388" s="87">
        <v>70</v>
      </c>
      <c r="P1388" s="173" t="s">
        <v>20</v>
      </c>
      <c r="Q1388" s="1" t="s">
        <v>1338</v>
      </c>
      <c r="R1388" s="175">
        <v>120</v>
      </c>
      <c r="S1388">
        <v>24</v>
      </c>
    </row>
    <row r="1389" spans="1:19" x14ac:dyDescent="0.25">
      <c r="A1389" s="87">
        <v>2019</v>
      </c>
      <c r="B1389" s="87">
        <v>9</v>
      </c>
      <c r="C1389" s="173" t="s">
        <v>16</v>
      </c>
      <c r="D1389" s="173" t="s">
        <v>22</v>
      </c>
      <c r="E1389" s="173" t="s">
        <v>18</v>
      </c>
      <c r="F1389" s="173" t="s">
        <v>16</v>
      </c>
      <c r="G1389" s="87" t="b">
        <v>1</v>
      </c>
      <c r="H1389" s="87" t="b">
        <v>1</v>
      </c>
      <c r="I1389" s="87" t="b">
        <v>0</v>
      </c>
      <c r="J1389" s="173" t="s">
        <v>464</v>
      </c>
      <c r="K1389" s="174">
        <v>10892164000124</v>
      </c>
      <c r="L1389" s="173" t="s">
        <v>835</v>
      </c>
      <c r="M1389" s="173" t="s">
        <v>70</v>
      </c>
      <c r="N1389" s="173" t="s">
        <v>71</v>
      </c>
      <c r="O1389" s="87">
        <v>64</v>
      </c>
      <c r="P1389" s="173" t="s">
        <v>25</v>
      </c>
      <c r="Q1389" s="1" t="s">
        <v>1344</v>
      </c>
      <c r="R1389" s="175">
        <v>10</v>
      </c>
      <c r="S1389">
        <v>10</v>
      </c>
    </row>
    <row r="1390" spans="1:19" x14ac:dyDescent="0.25">
      <c r="A1390" s="87">
        <v>2019</v>
      </c>
      <c r="B1390" s="87">
        <v>9</v>
      </c>
      <c r="C1390" s="173" t="s">
        <v>16</v>
      </c>
      <c r="D1390" s="173" t="s">
        <v>22</v>
      </c>
      <c r="E1390" s="173" t="s">
        <v>18</v>
      </c>
      <c r="F1390" s="173" t="s">
        <v>16</v>
      </c>
      <c r="G1390" s="87" t="b">
        <v>1</v>
      </c>
      <c r="H1390" s="87" t="b">
        <v>1</v>
      </c>
      <c r="I1390" s="87" t="b">
        <v>0</v>
      </c>
      <c r="J1390" s="173" t="s">
        <v>451</v>
      </c>
      <c r="K1390" s="174">
        <v>10892164000124</v>
      </c>
      <c r="L1390" s="173" t="s">
        <v>835</v>
      </c>
      <c r="M1390" s="173" t="s">
        <v>70</v>
      </c>
      <c r="N1390" s="173" t="s">
        <v>71</v>
      </c>
      <c r="O1390" s="87">
        <v>73</v>
      </c>
      <c r="P1390" s="173" t="s">
        <v>26</v>
      </c>
      <c r="Q1390" s="1" t="s">
        <v>1342</v>
      </c>
      <c r="R1390" s="175">
        <v>40</v>
      </c>
      <c r="S1390">
        <v>10</v>
      </c>
    </row>
    <row r="1391" spans="1:19" x14ac:dyDescent="0.25">
      <c r="A1391" s="87">
        <v>2019</v>
      </c>
      <c r="B1391" s="87">
        <v>9</v>
      </c>
      <c r="C1391" s="173" t="s">
        <v>16</v>
      </c>
      <c r="D1391" s="173" t="s">
        <v>22</v>
      </c>
      <c r="E1391" s="173" t="s">
        <v>18</v>
      </c>
      <c r="F1391" s="173" t="s">
        <v>16</v>
      </c>
      <c r="G1391" s="87" t="b">
        <v>1</v>
      </c>
      <c r="H1391" s="87" t="b">
        <v>1</v>
      </c>
      <c r="I1391" s="87" t="b">
        <v>0</v>
      </c>
      <c r="J1391" s="173" t="s">
        <v>468</v>
      </c>
      <c r="K1391" s="174">
        <v>10942995000163</v>
      </c>
      <c r="L1391" s="173" t="s">
        <v>836</v>
      </c>
      <c r="M1391" s="173" t="s">
        <v>739</v>
      </c>
      <c r="N1391" s="173" t="s">
        <v>55</v>
      </c>
      <c r="O1391" s="87">
        <v>70</v>
      </c>
      <c r="P1391" s="173" t="s">
        <v>20</v>
      </c>
      <c r="Q1391" s="1" t="s">
        <v>1338</v>
      </c>
      <c r="R1391" s="175">
        <v>500</v>
      </c>
      <c r="S1391">
        <v>100</v>
      </c>
    </row>
    <row r="1392" spans="1:19" x14ac:dyDescent="0.25">
      <c r="A1392" s="87">
        <v>2019</v>
      </c>
      <c r="B1392" s="87">
        <v>9</v>
      </c>
      <c r="C1392" s="173" t="s">
        <v>16</v>
      </c>
      <c r="D1392" s="173" t="s">
        <v>22</v>
      </c>
      <c r="E1392" s="173" t="s">
        <v>18</v>
      </c>
      <c r="F1392" s="173" t="s">
        <v>16</v>
      </c>
      <c r="G1392" s="87" t="b">
        <v>1</v>
      </c>
      <c r="H1392" s="87" t="b">
        <v>1</v>
      </c>
      <c r="I1392" s="87" t="b">
        <v>0</v>
      </c>
      <c r="J1392" s="173" t="s">
        <v>1330</v>
      </c>
      <c r="K1392" s="174">
        <v>10942995000163</v>
      </c>
      <c r="L1392" s="173" t="s">
        <v>836</v>
      </c>
      <c r="M1392" s="173" t="s">
        <v>739</v>
      </c>
      <c r="N1392" s="173" t="s">
        <v>55</v>
      </c>
      <c r="O1392" s="87">
        <v>73</v>
      </c>
      <c r="P1392" s="173" t="s">
        <v>26</v>
      </c>
      <c r="Q1392" s="1" t="s">
        <v>1342</v>
      </c>
      <c r="R1392" s="175">
        <v>160</v>
      </c>
      <c r="S1392">
        <v>40</v>
      </c>
    </row>
    <row r="1393" spans="1:19" x14ac:dyDescent="0.25">
      <c r="A1393" s="87">
        <v>2019</v>
      </c>
      <c r="B1393" s="87">
        <v>9</v>
      </c>
      <c r="C1393" s="173" t="s">
        <v>16</v>
      </c>
      <c r="D1393" s="173" t="s">
        <v>22</v>
      </c>
      <c r="E1393" s="173" t="s">
        <v>18</v>
      </c>
      <c r="F1393" s="173" t="s">
        <v>16</v>
      </c>
      <c r="G1393" s="87" t="b">
        <v>1</v>
      </c>
      <c r="H1393" s="87" t="b">
        <v>1</v>
      </c>
      <c r="I1393" s="87" t="b">
        <v>0</v>
      </c>
      <c r="J1393" s="173" t="s">
        <v>453</v>
      </c>
      <c r="K1393" s="174">
        <v>11006293000130</v>
      </c>
      <c r="L1393" s="173" t="s">
        <v>838</v>
      </c>
      <c r="M1393" s="173" t="s">
        <v>777</v>
      </c>
      <c r="N1393" s="173" t="s">
        <v>72</v>
      </c>
      <c r="O1393" s="87">
        <v>70</v>
      </c>
      <c r="P1393" s="173" t="s">
        <v>20</v>
      </c>
      <c r="Q1393" s="1" t="s">
        <v>1338</v>
      </c>
      <c r="R1393" s="175">
        <v>450</v>
      </c>
      <c r="S1393">
        <v>90</v>
      </c>
    </row>
    <row r="1394" spans="1:19" x14ac:dyDescent="0.25">
      <c r="A1394" s="87">
        <v>2019</v>
      </c>
      <c r="B1394" s="87">
        <v>9</v>
      </c>
      <c r="C1394" s="173" t="s">
        <v>16</v>
      </c>
      <c r="D1394" s="173" t="s">
        <v>22</v>
      </c>
      <c r="E1394" s="173" t="s">
        <v>18</v>
      </c>
      <c r="F1394" s="173" t="s">
        <v>16</v>
      </c>
      <c r="G1394" s="87" t="b">
        <v>1</v>
      </c>
      <c r="H1394" s="87" t="b">
        <v>1</v>
      </c>
      <c r="I1394" s="87" t="b">
        <v>0</v>
      </c>
      <c r="J1394" s="173" t="s">
        <v>1330</v>
      </c>
      <c r="K1394" s="174">
        <v>11022597001597</v>
      </c>
      <c r="L1394" s="173" t="s">
        <v>840</v>
      </c>
      <c r="M1394" s="173" t="s">
        <v>70</v>
      </c>
      <c r="N1394" s="173" t="s">
        <v>71</v>
      </c>
      <c r="O1394" s="87">
        <v>64</v>
      </c>
      <c r="P1394" s="173" t="s">
        <v>25</v>
      </c>
      <c r="Q1394" s="1" t="s">
        <v>1344</v>
      </c>
      <c r="R1394" s="175">
        <v>25</v>
      </c>
      <c r="S1394">
        <v>25</v>
      </c>
    </row>
    <row r="1395" spans="1:19" x14ac:dyDescent="0.25">
      <c r="A1395" s="87">
        <v>2019</v>
      </c>
      <c r="B1395" s="87">
        <v>9</v>
      </c>
      <c r="C1395" s="173" t="s">
        <v>16</v>
      </c>
      <c r="D1395" s="173" t="s">
        <v>22</v>
      </c>
      <c r="E1395" s="173" t="s">
        <v>18</v>
      </c>
      <c r="F1395" s="173" t="s">
        <v>16</v>
      </c>
      <c r="G1395" s="87" t="b">
        <v>1</v>
      </c>
      <c r="H1395" s="87" t="b">
        <v>1</v>
      </c>
      <c r="I1395" s="87" t="b">
        <v>0</v>
      </c>
      <c r="J1395" s="173" t="s">
        <v>470</v>
      </c>
      <c r="K1395" s="174">
        <v>11214624000470</v>
      </c>
      <c r="L1395" s="173" t="s">
        <v>841</v>
      </c>
      <c r="M1395" s="173" t="s">
        <v>70</v>
      </c>
      <c r="N1395" s="173" t="s">
        <v>71</v>
      </c>
      <c r="O1395" s="87">
        <v>70</v>
      </c>
      <c r="P1395" s="173" t="s">
        <v>20</v>
      </c>
      <c r="Q1395" s="1" t="s">
        <v>1338</v>
      </c>
      <c r="R1395" s="175">
        <v>50</v>
      </c>
      <c r="S1395">
        <v>10</v>
      </c>
    </row>
    <row r="1396" spans="1:19" x14ac:dyDescent="0.25">
      <c r="A1396" s="87">
        <v>2019</v>
      </c>
      <c r="B1396" s="87">
        <v>9</v>
      </c>
      <c r="C1396" s="173" t="s">
        <v>16</v>
      </c>
      <c r="D1396" s="173" t="s">
        <v>22</v>
      </c>
      <c r="E1396" s="173" t="s">
        <v>18</v>
      </c>
      <c r="F1396" s="173" t="s">
        <v>16</v>
      </c>
      <c r="G1396" s="87" t="b">
        <v>1</v>
      </c>
      <c r="H1396" s="87" t="b">
        <v>1</v>
      </c>
      <c r="I1396" s="87" t="b">
        <v>0</v>
      </c>
      <c r="J1396" s="173" t="s">
        <v>491</v>
      </c>
      <c r="K1396" s="174">
        <v>11214624001957</v>
      </c>
      <c r="L1396" s="173" t="s">
        <v>842</v>
      </c>
      <c r="M1396" s="173" t="s">
        <v>70</v>
      </c>
      <c r="N1396" s="173" t="s">
        <v>71</v>
      </c>
      <c r="O1396" s="87">
        <v>64</v>
      </c>
      <c r="P1396" s="173" t="s">
        <v>25</v>
      </c>
      <c r="Q1396" s="1" t="s">
        <v>1344</v>
      </c>
      <c r="R1396" s="175">
        <v>6</v>
      </c>
      <c r="S1396">
        <v>6</v>
      </c>
    </row>
    <row r="1397" spans="1:19" x14ac:dyDescent="0.25">
      <c r="A1397" s="87">
        <v>2019</v>
      </c>
      <c r="B1397" s="87">
        <v>9</v>
      </c>
      <c r="C1397" s="173" t="s">
        <v>16</v>
      </c>
      <c r="D1397" s="173" t="s">
        <v>22</v>
      </c>
      <c r="E1397" s="173" t="s">
        <v>18</v>
      </c>
      <c r="F1397" s="173" t="s">
        <v>16</v>
      </c>
      <c r="G1397" s="87" t="b">
        <v>1</v>
      </c>
      <c r="H1397" s="87" t="b">
        <v>1</v>
      </c>
      <c r="I1397" s="87" t="b">
        <v>0</v>
      </c>
      <c r="J1397" s="173" t="s">
        <v>491</v>
      </c>
      <c r="K1397" s="174">
        <v>11452240000143</v>
      </c>
      <c r="L1397" s="173" t="s">
        <v>844</v>
      </c>
      <c r="M1397" s="173" t="s">
        <v>70</v>
      </c>
      <c r="N1397" s="173" t="s">
        <v>71</v>
      </c>
      <c r="O1397" s="87">
        <v>62</v>
      </c>
      <c r="P1397" s="173" t="s">
        <v>27</v>
      </c>
      <c r="Q1397" s="1" t="s">
        <v>1343</v>
      </c>
      <c r="R1397" s="175">
        <v>4</v>
      </c>
      <c r="S1397">
        <v>4</v>
      </c>
    </row>
    <row r="1398" spans="1:19" x14ac:dyDescent="0.25">
      <c r="A1398" s="87">
        <v>2019</v>
      </c>
      <c r="B1398" s="87">
        <v>9</v>
      </c>
      <c r="C1398" s="173" t="s">
        <v>16</v>
      </c>
      <c r="D1398" s="173" t="s">
        <v>22</v>
      </c>
      <c r="E1398" s="173" t="s">
        <v>18</v>
      </c>
      <c r="F1398" s="173" t="s">
        <v>16</v>
      </c>
      <c r="G1398" s="87" t="b">
        <v>1</v>
      </c>
      <c r="H1398" s="87" t="b">
        <v>1</v>
      </c>
      <c r="I1398" s="87" t="b">
        <v>0</v>
      </c>
      <c r="J1398" s="173" t="s">
        <v>491</v>
      </c>
      <c r="K1398" s="174">
        <v>11794674000121</v>
      </c>
      <c r="L1398" s="173" t="s">
        <v>845</v>
      </c>
      <c r="M1398" s="173" t="s">
        <v>76</v>
      </c>
      <c r="N1398" s="173" t="s">
        <v>77</v>
      </c>
      <c r="O1398" s="87">
        <v>62</v>
      </c>
      <c r="P1398" s="173" t="s">
        <v>27</v>
      </c>
      <c r="Q1398" s="1" t="s">
        <v>1343</v>
      </c>
      <c r="R1398" s="175">
        <v>4</v>
      </c>
      <c r="S1398">
        <v>4</v>
      </c>
    </row>
    <row r="1399" spans="1:19" x14ac:dyDescent="0.25">
      <c r="A1399" s="87">
        <v>2019</v>
      </c>
      <c r="B1399" s="87">
        <v>9</v>
      </c>
      <c r="C1399" s="173" t="s">
        <v>16</v>
      </c>
      <c r="D1399" s="173" t="s">
        <v>22</v>
      </c>
      <c r="E1399" s="173" t="s">
        <v>18</v>
      </c>
      <c r="F1399" s="173" t="s">
        <v>16</v>
      </c>
      <c r="G1399" s="87" t="b">
        <v>1</v>
      </c>
      <c r="H1399" s="87" t="b">
        <v>1</v>
      </c>
      <c r="I1399" s="87" t="b">
        <v>0</v>
      </c>
      <c r="J1399" s="173" t="s">
        <v>468</v>
      </c>
      <c r="K1399" s="174">
        <v>11794674000121</v>
      </c>
      <c r="L1399" s="173" t="s">
        <v>845</v>
      </c>
      <c r="M1399" s="173" t="s">
        <v>76</v>
      </c>
      <c r="N1399" s="173" t="s">
        <v>77</v>
      </c>
      <c r="O1399" s="87">
        <v>70</v>
      </c>
      <c r="P1399" s="173" t="s">
        <v>20</v>
      </c>
      <c r="Q1399" s="1" t="s">
        <v>1338</v>
      </c>
      <c r="R1399" s="175">
        <v>180</v>
      </c>
      <c r="S1399">
        <v>36</v>
      </c>
    </row>
    <row r="1400" spans="1:19" x14ac:dyDescent="0.25">
      <c r="A1400" s="87">
        <v>2019</v>
      </c>
      <c r="B1400" s="87">
        <v>9</v>
      </c>
      <c r="C1400" s="173" t="s">
        <v>16</v>
      </c>
      <c r="D1400" s="173" t="s">
        <v>22</v>
      </c>
      <c r="E1400" s="173" t="s">
        <v>18</v>
      </c>
      <c r="F1400" s="173" t="s">
        <v>16</v>
      </c>
      <c r="G1400" s="87" t="b">
        <v>1</v>
      </c>
      <c r="H1400" s="87" t="b">
        <v>1</v>
      </c>
      <c r="I1400" s="87" t="b">
        <v>0</v>
      </c>
      <c r="J1400" s="173" t="s">
        <v>468</v>
      </c>
      <c r="K1400" s="174">
        <v>11859927000106</v>
      </c>
      <c r="L1400" s="173" t="s">
        <v>846</v>
      </c>
      <c r="M1400" s="173" t="s">
        <v>739</v>
      </c>
      <c r="N1400" s="173" t="s">
        <v>55</v>
      </c>
      <c r="O1400" s="87">
        <v>73</v>
      </c>
      <c r="P1400" s="173" t="s">
        <v>26</v>
      </c>
      <c r="Q1400" s="1" t="s">
        <v>1339</v>
      </c>
      <c r="R1400" s="175">
        <v>24</v>
      </c>
      <c r="S1400">
        <v>12</v>
      </c>
    </row>
    <row r="1401" spans="1:19" x14ac:dyDescent="0.25">
      <c r="A1401" s="87">
        <v>2019</v>
      </c>
      <c r="B1401" s="87">
        <v>9</v>
      </c>
      <c r="C1401" s="173" t="s">
        <v>16</v>
      </c>
      <c r="D1401" s="173" t="s">
        <v>22</v>
      </c>
      <c r="E1401" s="173" t="s">
        <v>18</v>
      </c>
      <c r="F1401" s="173" t="s">
        <v>16</v>
      </c>
      <c r="G1401" s="87" t="b">
        <v>1</v>
      </c>
      <c r="H1401" s="87" t="b">
        <v>1</v>
      </c>
      <c r="I1401" s="87" t="b">
        <v>0</v>
      </c>
      <c r="J1401" s="173" t="s">
        <v>468</v>
      </c>
      <c r="K1401" s="174">
        <v>11859927000106</v>
      </c>
      <c r="L1401" s="173" t="s">
        <v>846</v>
      </c>
      <c r="M1401" s="173" t="s">
        <v>739</v>
      </c>
      <c r="N1401" s="173" t="s">
        <v>55</v>
      </c>
      <c r="O1401" s="87">
        <v>73</v>
      </c>
      <c r="P1401" s="173" t="s">
        <v>26</v>
      </c>
      <c r="Q1401" s="1" t="s">
        <v>1340</v>
      </c>
      <c r="R1401" s="175">
        <v>21</v>
      </c>
      <c r="S1401">
        <v>21</v>
      </c>
    </row>
    <row r="1402" spans="1:19" x14ac:dyDescent="0.25">
      <c r="A1402" s="87">
        <v>2019</v>
      </c>
      <c r="B1402" s="87">
        <v>9</v>
      </c>
      <c r="C1402" s="173" t="s">
        <v>16</v>
      </c>
      <c r="D1402" s="173" t="s">
        <v>22</v>
      </c>
      <c r="E1402" s="173" t="s">
        <v>18</v>
      </c>
      <c r="F1402" s="173" t="s">
        <v>16</v>
      </c>
      <c r="G1402" s="87" t="b">
        <v>1</v>
      </c>
      <c r="H1402" s="87" t="b">
        <v>1</v>
      </c>
      <c r="I1402" s="87" t="b">
        <v>0</v>
      </c>
      <c r="J1402" s="173" t="s">
        <v>460</v>
      </c>
      <c r="K1402" s="174">
        <v>12361267000274</v>
      </c>
      <c r="L1402" s="173" t="s">
        <v>1159</v>
      </c>
      <c r="M1402" s="173" t="s">
        <v>1129</v>
      </c>
      <c r="N1402" s="173" t="s">
        <v>52</v>
      </c>
      <c r="O1402" s="87">
        <v>64</v>
      </c>
      <c r="P1402" s="173" t="s">
        <v>25</v>
      </c>
      <c r="Q1402" s="1" t="s">
        <v>1344</v>
      </c>
      <c r="R1402" s="175">
        <v>4</v>
      </c>
      <c r="S1402">
        <v>4</v>
      </c>
    </row>
    <row r="1403" spans="1:19" x14ac:dyDescent="0.25">
      <c r="A1403" s="87">
        <v>2019</v>
      </c>
      <c r="B1403" s="87">
        <v>9</v>
      </c>
      <c r="C1403" s="173" t="s">
        <v>16</v>
      </c>
      <c r="D1403" s="173" t="s">
        <v>22</v>
      </c>
      <c r="E1403" s="173" t="s">
        <v>18</v>
      </c>
      <c r="F1403" s="173" t="s">
        <v>16</v>
      </c>
      <c r="G1403" s="87" t="b">
        <v>1</v>
      </c>
      <c r="H1403" s="87" t="b">
        <v>1</v>
      </c>
      <c r="I1403" s="87" t="b">
        <v>0</v>
      </c>
      <c r="J1403" s="173" t="s">
        <v>460</v>
      </c>
      <c r="K1403" s="174">
        <v>12361267000517</v>
      </c>
      <c r="L1403" s="173" t="s">
        <v>849</v>
      </c>
      <c r="M1403" s="173" t="s">
        <v>84</v>
      </c>
      <c r="N1403" s="173" t="s">
        <v>85</v>
      </c>
      <c r="O1403" s="87">
        <v>64</v>
      </c>
      <c r="P1403" s="173" t="s">
        <v>25</v>
      </c>
      <c r="Q1403" s="1" t="s">
        <v>1344</v>
      </c>
      <c r="R1403" s="175">
        <v>2</v>
      </c>
      <c r="S1403">
        <v>2</v>
      </c>
    </row>
    <row r="1404" spans="1:19" x14ac:dyDescent="0.25">
      <c r="A1404" s="87">
        <v>2019</v>
      </c>
      <c r="B1404" s="87">
        <v>9</v>
      </c>
      <c r="C1404" s="173" t="s">
        <v>16</v>
      </c>
      <c r="D1404" s="173" t="s">
        <v>22</v>
      </c>
      <c r="E1404" s="173" t="s">
        <v>18</v>
      </c>
      <c r="F1404" s="173" t="s">
        <v>16</v>
      </c>
      <c r="G1404" s="87" t="b">
        <v>1</v>
      </c>
      <c r="H1404" s="87" t="b">
        <v>1</v>
      </c>
      <c r="I1404" s="87" t="b">
        <v>0</v>
      </c>
      <c r="J1404" s="173" t="s">
        <v>460</v>
      </c>
      <c r="K1404" s="174">
        <v>12361267000789</v>
      </c>
      <c r="L1404" s="173" t="s">
        <v>850</v>
      </c>
      <c r="M1404" s="173" t="s">
        <v>777</v>
      </c>
      <c r="N1404" s="173" t="s">
        <v>72</v>
      </c>
      <c r="O1404" s="87">
        <v>64</v>
      </c>
      <c r="P1404" s="173" t="s">
        <v>25</v>
      </c>
      <c r="Q1404" s="1" t="s">
        <v>1344</v>
      </c>
      <c r="R1404" s="175">
        <v>2</v>
      </c>
      <c r="S1404">
        <v>2</v>
      </c>
    </row>
    <row r="1405" spans="1:19" x14ac:dyDescent="0.25">
      <c r="A1405" s="87">
        <v>2019</v>
      </c>
      <c r="B1405" s="87">
        <v>9</v>
      </c>
      <c r="C1405" s="173" t="s">
        <v>16</v>
      </c>
      <c r="D1405" s="173" t="s">
        <v>22</v>
      </c>
      <c r="E1405" s="173" t="s">
        <v>18</v>
      </c>
      <c r="F1405" s="173" t="s">
        <v>16</v>
      </c>
      <c r="G1405" s="87" t="b">
        <v>1</v>
      </c>
      <c r="H1405" s="87" t="b">
        <v>1</v>
      </c>
      <c r="I1405" s="87" t="b">
        <v>0</v>
      </c>
      <c r="J1405" s="173" t="s">
        <v>460</v>
      </c>
      <c r="K1405" s="174">
        <v>12361267000860</v>
      </c>
      <c r="L1405" s="173" t="s">
        <v>851</v>
      </c>
      <c r="M1405" s="173" t="s">
        <v>742</v>
      </c>
      <c r="N1405" s="173" t="s">
        <v>91</v>
      </c>
      <c r="O1405" s="87">
        <v>64</v>
      </c>
      <c r="P1405" s="173" t="s">
        <v>25</v>
      </c>
      <c r="Q1405" s="1" t="s">
        <v>1344</v>
      </c>
      <c r="R1405" s="175">
        <v>2</v>
      </c>
      <c r="S1405">
        <v>2</v>
      </c>
    </row>
    <row r="1406" spans="1:19" x14ac:dyDescent="0.25">
      <c r="A1406" s="87">
        <v>2019</v>
      </c>
      <c r="B1406" s="87">
        <v>9</v>
      </c>
      <c r="C1406" s="173" t="s">
        <v>16</v>
      </c>
      <c r="D1406" s="173" t="s">
        <v>22</v>
      </c>
      <c r="E1406" s="173" t="s">
        <v>18</v>
      </c>
      <c r="F1406" s="173" t="s">
        <v>16</v>
      </c>
      <c r="G1406" s="87" t="b">
        <v>1</v>
      </c>
      <c r="H1406" s="87" t="b">
        <v>1</v>
      </c>
      <c r="I1406" s="87" t="b">
        <v>0</v>
      </c>
      <c r="J1406" s="173" t="s">
        <v>460</v>
      </c>
      <c r="K1406" s="174">
        <v>12361267004008</v>
      </c>
      <c r="L1406" s="173" t="s">
        <v>852</v>
      </c>
      <c r="M1406" s="173" t="s">
        <v>81</v>
      </c>
      <c r="N1406" s="173" t="s">
        <v>82</v>
      </c>
      <c r="O1406" s="87">
        <v>64</v>
      </c>
      <c r="P1406" s="173" t="s">
        <v>25</v>
      </c>
      <c r="Q1406" s="1" t="s">
        <v>1344</v>
      </c>
      <c r="R1406" s="175">
        <v>2</v>
      </c>
      <c r="S1406">
        <v>2</v>
      </c>
    </row>
    <row r="1407" spans="1:19" x14ac:dyDescent="0.25">
      <c r="A1407" s="87">
        <v>2019</v>
      </c>
      <c r="B1407" s="87">
        <v>9</v>
      </c>
      <c r="C1407" s="173" t="s">
        <v>16</v>
      </c>
      <c r="D1407" s="173" t="s">
        <v>22</v>
      </c>
      <c r="E1407" s="173" t="s">
        <v>18</v>
      </c>
      <c r="F1407" s="173" t="s">
        <v>16</v>
      </c>
      <c r="G1407" s="87" t="b">
        <v>1</v>
      </c>
      <c r="H1407" s="87" t="b">
        <v>1</v>
      </c>
      <c r="I1407" s="87" t="b">
        <v>0</v>
      </c>
      <c r="J1407" s="173" t="s">
        <v>470</v>
      </c>
      <c r="K1407" s="174">
        <v>12361267007287</v>
      </c>
      <c r="L1407" s="173" t="s">
        <v>853</v>
      </c>
      <c r="M1407" s="173" t="s">
        <v>70</v>
      </c>
      <c r="N1407" s="173" t="s">
        <v>71</v>
      </c>
      <c r="O1407" s="87">
        <v>62</v>
      </c>
      <c r="P1407" s="173" t="s">
        <v>27</v>
      </c>
      <c r="Q1407" s="1" t="s">
        <v>1343</v>
      </c>
      <c r="R1407" s="175">
        <v>16</v>
      </c>
      <c r="S1407">
        <v>16</v>
      </c>
    </row>
    <row r="1408" spans="1:19" x14ac:dyDescent="0.25">
      <c r="A1408" s="87">
        <v>2019</v>
      </c>
      <c r="B1408" s="87">
        <v>9</v>
      </c>
      <c r="C1408" s="173" t="s">
        <v>16</v>
      </c>
      <c r="D1408" s="173" t="s">
        <v>22</v>
      </c>
      <c r="E1408" s="173" t="s">
        <v>18</v>
      </c>
      <c r="F1408" s="173" t="s">
        <v>16</v>
      </c>
      <c r="G1408" s="87" t="b">
        <v>1</v>
      </c>
      <c r="H1408" s="87" t="b">
        <v>1</v>
      </c>
      <c r="I1408" s="87" t="b">
        <v>0</v>
      </c>
      <c r="J1408" s="173" t="s">
        <v>460</v>
      </c>
      <c r="K1408" s="174">
        <v>12361267007287</v>
      </c>
      <c r="L1408" s="173" t="s">
        <v>853</v>
      </c>
      <c r="M1408" s="173" t="s">
        <v>70</v>
      </c>
      <c r="N1408" s="173" t="s">
        <v>71</v>
      </c>
      <c r="O1408" s="87">
        <v>64</v>
      </c>
      <c r="P1408" s="173" t="s">
        <v>25</v>
      </c>
      <c r="Q1408" s="1" t="s">
        <v>1344</v>
      </c>
      <c r="R1408" s="175">
        <v>8</v>
      </c>
      <c r="S1408">
        <v>8</v>
      </c>
    </row>
    <row r="1409" spans="1:19" x14ac:dyDescent="0.25">
      <c r="A1409" s="87">
        <v>2019</v>
      </c>
      <c r="B1409" s="87">
        <v>9</v>
      </c>
      <c r="C1409" s="173" t="s">
        <v>16</v>
      </c>
      <c r="D1409" s="173" t="s">
        <v>22</v>
      </c>
      <c r="E1409" s="173" t="s">
        <v>18</v>
      </c>
      <c r="F1409" s="173" t="s">
        <v>16</v>
      </c>
      <c r="G1409" s="87" t="b">
        <v>1</v>
      </c>
      <c r="H1409" s="87" t="b">
        <v>1</v>
      </c>
      <c r="I1409" s="87" t="b">
        <v>0</v>
      </c>
      <c r="J1409" s="173" t="s">
        <v>460</v>
      </c>
      <c r="K1409" s="174">
        <v>12361267008410</v>
      </c>
      <c r="L1409" s="173" t="s">
        <v>854</v>
      </c>
      <c r="M1409" s="173" t="s">
        <v>855</v>
      </c>
      <c r="N1409" s="173" t="s">
        <v>77</v>
      </c>
      <c r="O1409" s="87">
        <v>64</v>
      </c>
      <c r="P1409" s="173" t="s">
        <v>25</v>
      </c>
      <c r="Q1409" s="1" t="s">
        <v>1344</v>
      </c>
      <c r="R1409" s="175">
        <v>2</v>
      </c>
      <c r="S1409">
        <v>2</v>
      </c>
    </row>
    <row r="1410" spans="1:19" x14ac:dyDescent="0.25">
      <c r="A1410" s="87">
        <v>2019</v>
      </c>
      <c r="B1410" s="87">
        <v>9</v>
      </c>
      <c r="C1410" s="173" t="s">
        <v>16</v>
      </c>
      <c r="D1410" s="173" t="s">
        <v>22</v>
      </c>
      <c r="E1410" s="173" t="s">
        <v>18</v>
      </c>
      <c r="F1410" s="173" t="s">
        <v>16</v>
      </c>
      <c r="G1410" s="87" t="b">
        <v>1</v>
      </c>
      <c r="H1410" s="87" t="b">
        <v>1</v>
      </c>
      <c r="I1410" s="87" t="b">
        <v>0</v>
      </c>
      <c r="J1410" s="173" t="s">
        <v>470</v>
      </c>
      <c r="K1410" s="174">
        <v>12361267008844</v>
      </c>
      <c r="L1410" s="173" t="s">
        <v>856</v>
      </c>
      <c r="M1410" s="173" t="s">
        <v>857</v>
      </c>
      <c r="N1410" s="173" t="s">
        <v>56</v>
      </c>
      <c r="O1410" s="87">
        <v>62</v>
      </c>
      <c r="P1410" s="173" t="s">
        <v>27</v>
      </c>
      <c r="Q1410" s="1" t="s">
        <v>1343</v>
      </c>
      <c r="R1410" s="175">
        <v>2</v>
      </c>
      <c r="S1410">
        <v>2</v>
      </c>
    </row>
    <row r="1411" spans="1:19" x14ac:dyDescent="0.25">
      <c r="A1411" s="87">
        <v>2019</v>
      </c>
      <c r="B1411" s="87">
        <v>9</v>
      </c>
      <c r="C1411" s="173" t="s">
        <v>16</v>
      </c>
      <c r="D1411" s="173" t="s">
        <v>22</v>
      </c>
      <c r="E1411" s="173" t="s">
        <v>18</v>
      </c>
      <c r="F1411" s="173" t="s">
        <v>16</v>
      </c>
      <c r="G1411" s="87" t="b">
        <v>1</v>
      </c>
      <c r="H1411" s="87" t="b">
        <v>1</v>
      </c>
      <c r="I1411" s="87" t="b">
        <v>0</v>
      </c>
      <c r="J1411" s="173" t="s">
        <v>460</v>
      </c>
      <c r="K1411" s="174">
        <v>12361267008844</v>
      </c>
      <c r="L1411" s="173" t="s">
        <v>856</v>
      </c>
      <c r="M1411" s="173" t="s">
        <v>857</v>
      </c>
      <c r="N1411" s="173" t="s">
        <v>56</v>
      </c>
      <c r="O1411" s="87">
        <v>64</v>
      </c>
      <c r="P1411" s="173" t="s">
        <v>25</v>
      </c>
      <c r="Q1411" s="1" t="s">
        <v>1344</v>
      </c>
      <c r="R1411" s="175">
        <v>2</v>
      </c>
      <c r="S1411">
        <v>2</v>
      </c>
    </row>
    <row r="1412" spans="1:19" x14ac:dyDescent="0.25">
      <c r="A1412" s="87">
        <v>2019</v>
      </c>
      <c r="B1412" s="87">
        <v>9</v>
      </c>
      <c r="C1412" s="173" t="s">
        <v>16</v>
      </c>
      <c r="D1412" s="173" t="s">
        <v>22</v>
      </c>
      <c r="E1412" s="173" t="s">
        <v>18</v>
      </c>
      <c r="F1412" s="173" t="s">
        <v>16</v>
      </c>
      <c r="G1412" s="87" t="b">
        <v>1</v>
      </c>
      <c r="H1412" s="87" t="b">
        <v>1</v>
      </c>
      <c r="I1412" s="87" t="b">
        <v>0</v>
      </c>
      <c r="J1412" s="173" t="s">
        <v>460</v>
      </c>
      <c r="K1412" s="174">
        <v>12361267009140</v>
      </c>
      <c r="L1412" s="173" t="s">
        <v>858</v>
      </c>
      <c r="M1412" s="173" t="s">
        <v>859</v>
      </c>
      <c r="N1412" s="173" t="s">
        <v>63</v>
      </c>
      <c r="O1412" s="87">
        <v>70</v>
      </c>
      <c r="P1412" s="173" t="s">
        <v>20</v>
      </c>
      <c r="Q1412" s="1" t="s">
        <v>1338</v>
      </c>
      <c r="R1412" s="175">
        <v>5</v>
      </c>
      <c r="S1412">
        <v>1</v>
      </c>
    </row>
    <row r="1413" spans="1:19" x14ac:dyDescent="0.25">
      <c r="A1413" s="87">
        <v>2019</v>
      </c>
      <c r="B1413" s="87">
        <v>9</v>
      </c>
      <c r="C1413" s="173" t="s">
        <v>16</v>
      </c>
      <c r="D1413" s="173" t="s">
        <v>22</v>
      </c>
      <c r="E1413" s="173" t="s">
        <v>18</v>
      </c>
      <c r="F1413" s="173" t="s">
        <v>16</v>
      </c>
      <c r="G1413" s="87" t="b">
        <v>1</v>
      </c>
      <c r="H1413" s="87" t="b">
        <v>1</v>
      </c>
      <c r="I1413" s="87" t="b">
        <v>0</v>
      </c>
      <c r="J1413" s="173" t="s">
        <v>470</v>
      </c>
      <c r="K1413" s="174">
        <v>12361267009654</v>
      </c>
      <c r="L1413" s="173" t="s">
        <v>860</v>
      </c>
      <c r="M1413" s="173" t="s">
        <v>62</v>
      </c>
      <c r="N1413" s="173" t="s">
        <v>63</v>
      </c>
      <c r="O1413" s="87">
        <v>62</v>
      </c>
      <c r="P1413" s="173" t="s">
        <v>27</v>
      </c>
      <c r="Q1413" s="1" t="s">
        <v>1343</v>
      </c>
      <c r="R1413" s="175">
        <v>2</v>
      </c>
      <c r="S1413">
        <v>2</v>
      </c>
    </row>
    <row r="1414" spans="1:19" x14ac:dyDescent="0.25">
      <c r="A1414" s="87">
        <v>2019</v>
      </c>
      <c r="B1414" s="87">
        <v>9</v>
      </c>
      <c r="C1414" s="173" t="s">
        <v>16</v>
      </c>
      <c r="D1414" s="173" t="s">
        <v>22</v>
      </c>
      <c r="E1414" s="173" t="s">
        <v>18</v>
      </c>
      <c r="F1414" s="173" t="s">
        <v>16</v>
      </c>
      <c r="G1414" s="87" t="b">
        <v>1</v>
      </c>
      <c r="H1414" s="87" t="b">
        <v>1</v>
      </c>
      <c r="I1414" s="87" t="b">
        <v>0</v>
      </c>
      <c r="J1414" s="173" t="s">
        <v>460</v>
      </c>
      <c r="K1414" s="174">
        <v>12361267009654</v>
      </c>
      <c r="L1414" s="173" t="s">
        <v>860</v>
      </c>
      <c r="M1414" s="173" t="s">
        <v>62</v>
      </c>
      <c r="N1414" s="173" t="s">
        <v>63</v>
      </c>
      <c r="O1414" s="87">
        <v>64</v>
      </c>
      <c r="P1414" s="173" t="s">
        <v>25</v>
      </c>
      <c r="Q1414" s="1" t="s">
        <v>1344</v>
      </c>
      <c r="R1414" s="175">
        <v>2</v>
      </c>
      <c r="S1414">
        <v>2</v>
      </c>
    </row>
    <row r="1415" spans="1:19" x14ac:dyDescent="0.25">
      <c r="A1415" s="87">
        <v>2019</v>
      </c>
      <c r="B1415" s="87">
        <v>9</v>
      </c>
      <c r="C1415" s="173" t="s">
        <v>16</v>
      </c>
      <c r="D1415" s="173" t="s">
        <v>22</v>
      </c>
      <c r="E1415" s="173" t="s">
        <v>18</v>
      </c>
      <c r="F1415" s="173" t="s">
        <v>16</v>
      </c>
      <c r="G1415" s="87" t="b">
        <v>1</v>
      </c>
      <c r="H1415" s="87" t="b">
        <v>1</v>
      </c>
      <c r="I1415" s="87" t="b">
        <v>0</v>
      </c>
      <c r="J1415" s="173" t="s">
        <v>470</v>
      </c>
      <c r="K1415" s="174">
        <v>12361267010318</v>
      </c>
      <c r="L1415" s="173" t="s">
        <v>861</v>
      </c>
      <c r="M1415" s="173" t="s">
        <v>75</v>
      </c>
      <c r="N1415" s="173" t="s">
        <v>74</v>
      </c>
      <c r="O1415" s="87">
        <v>62</v>
      </c>
      <c r="P1415" s="173" t="s">
        <v>27</v>
      </c>
      <c r="Q1415" s="1" t="s">
        <v>1343</v>
      </c>
      <c r="R1415" s="175">
        <v>2</v>
      </c>
      <c r="S1415">
        <v>2</v>
      </c>
    </row>
    <row r="1416" spans="1:19" x14ac:dyDescent="0.25">
      <c r="A1416" s="87">
        <v>2019</v>
      </c>
      <c r="B1416" s="87">
        <v>9</v>
      </c>
      <c r="C1416" s="173" t="s">
        <v>16</v>
      </c>
      <c r="D1416" s="173" t="s">
        <v>22</v>
      </c>
      <c r="E1416" s="173" t="s">
        <v>18</v>
      </c>
      <c r="F1416" s="173" t="s">
        <v>16</v>
      </c>
      <c r="G1416" s="87" t="b">
        <v>1</v>
      </c>
      <c r="H1416" s="87" t="b">
        <v>1</v>
      </c>
      <c r="I1416" s="87" t="b">
        <v>0</v>
      </c>
      <c r="J1416" s="173" t="s">
        <v>475</v>
      </c>
      <c r="K1416" s="174">
        <v>12361267010318</v>
      </c>
      <c r="L1416" s="173" t="s">
        <v>861</v>
      </c>
      <c r="M1416" s="173" t="s">
        <v>75</v>
      </c>
      <c r="N1416" s="173" t="s">
        <v>74</v>
      </c>
      <c r="O1416" s="87">
        <v>62</v>
      </c>
      <c r="P1416" s="173" t="s">
        <v>27</v>
      </c>
      <c r="Q1416" s="1" t="s">
        <v>1343</v>
      </c>
      <c r="R1416" s="175">
        <v>3</v>
      </c>
      <c r="S1416">
        <v>3</v>
      </c>
    </row>
    <row r="1417" spans="1:19" x14ac:dyDescent="0.25">
      <c r="A1417" s="87">
        <v>2019</v>
      </c>
      <c r="B1417" s="87">
        <v>9</v>
      </c>
      <c r="C1417" s="173" t="s">
        <v>16</v>
      </c>
      <c r="D1417" s="173" t="s">
        <v>22</v>
      </c>
      <c r="E1417" s="173" t="s">
        <v>18</v>
      </c>
      <c r="F1417" s="173" t="s">
        <v>16</v>
      </c>
      <c r="G1417" s="87" t="b">
        <v>1</v>
      </c>
      <c r="H1417" s="87" t="b">
        <v>1</v>
      </c>
      <c r="I1417" s="87" t="b">
        <v>0</v>
      </c>
      <c r="J1417" s="173" t="s">
        <v>460</v>
      </c>
      <c r="K1417" s="174">
        <v>12361267010318</v>
      </c>
      <c r="L1417" s="173" t="s">
        <v>861</v>
      </c>
      <c r="M1417" s="173" t="s">
        <v>75</v>
      </c>
      <c r="N1417" s="173" t="s">
        <v>74</v>
      </c>
      <c r="O1417" s="87">
        <v>64</v>
      </c>
      <c r="P1417" s="173" t="s">
        <v>25</v>
      </c>
      <c r="Q1417" s="1" t="s">
        <v>1344</v>
      </c>
      <c r="R1417" s="175">
        <v>2</v>
      </c>
      <c r="S1417">
        <v>2</v>
      </c>
    </row>
    <row r="1418" spans="1:19" x14ac:dyDescent="0.25">
      <c r="A1418" s="87">
        <v>2019</v>
      </c>
      <c r="B1418" s="87">
        <v>9</v>
      </c>
      <c r="C1418" s="173" t="s">
        <v>16</v>
      </c>
      <c r="D1418" s="173" t="s">
        <v>22</v>
      </c>
      <c r="E1418" s="173" t="s">
        <v>18</v>
      </c>
      <c r="F1418" s="173" t="s">
        <v>16</v>
      </c>
      <c r="G1418" s="87" t="b">
        <v>1</v>
      </c>
      <c r="H1418" s="87" t="b">
        <v>1</v>
      </c>
      <c r="I1418" s="87" t="b">
        <v>0</v>
      </c>
      <c r="J1418" s="173" t="s">
        <v>460</v>
      </c>
      <c r="K1418" s="174">
        <v>12361267010407</v>
      </c>
      <c r="L1418" s="173" t="s">
        <v>862</v>
      </c>
      <c r="M1418" s="173" t="s">
        <v>86</v>
      </c>
      <c r="N1418" s="173" t="s">
        <v>74</v>
      </c>
      <c r="O1418" s="87">
        <v>64</v>
      </c>
      <c r="P1418" s="173" t="s">
        <v>25</v>
      </c>
      <c r="Q1418" s="1" t="s">
        <v>1344</v>
      </c>
      <c r="R1418" s="175">
        <v>2</v>
      </c>
      <c r="S1418">
        <v>2</v>
      </c>
    </row>
    <row r="1419" spans="1:19" x14ac:dyDescent="0.25">
      <c r="A1419" s="87">
        <v>2019</v>
      </c>
      <c r="B1419" s="87">
        <v>9</v>
      </c>
      <c r="C1419" s="173" t="s">
        <v>16</v>
      </c>
      <c r="D1419" s="173" t="s">
        <v>22</v>
      </c>
      <c r="E1419" s="173" t="s">
        <v>18</v>
      </c>
      <c r="F1419" s="173" t="s">
        <v>16</v>
      </c>
      <c r="G1419" s="87" t="b">
        <v>1</v>
      </c>
      <c r="H1419" s="87" t="b">
        <v>1</v>
      </c>
      <c r="I1419" s="87" t="b">
        <v>0</v>
      </c>
      <c r="J1419" s="173" t="s">
        <v>470</v>
      </c>
      <c r="K1419" s="174">
        <v>12361267011632</v>
      </c>
      <c r="L1419" s="173" t="s">
        <v>1160</v>
      </c>
      <c r="M1419" s="173" t="s">
        <v>109</v>
      </c>
      <c r="N1419" s="173" t="s">
        <v>110</v>
      </c>
      <c r="O1419" s="87">
        <v>62</v>
      </c>
      <c r="P1419" s="173" t="s">
        <v>27</v>
      </c>
      <c r="Q1419" s="1" t="s">
        <v>1343</v>
      </c>
      <c r="R1419" s="175">
        <v>4</v>
      </c>
      <c r="S1419">
        <v>4</v>
      </c>
    </row>
    <row r="1420" spans="1:19" x14ac:dyDescent="0.25">
      <c r="A1420" s="87">
        <v>2019</v>
      </c>
      <c r="B1420" s="87">
        <v>9</v>
      </c>
      <c r="C1420" s="173" t="s">
        <v>16</v>
      </c>
      <c r="D1420" s="173" t="s">
        <v>22</v>
      </c>
      <c r="E1420" s="173" t="s">
        <v>18</v>
      </c>
      <c r="F1420" s="173" t="s">
        <v>16</v>
      </c>
      <c r="G1420" s="87" t="b">
        <v>1</v>
      </c>
      <c r="H1420" s="87" t="b">
        <v>1</v>
      </c>
      <c r="I1420" s="87" t="b">
        <v>0</v>
      </c>
      <c r="J1420" s="173" t="s">
        <v>460</v>
      </c>
      <c r="K1420" s="174">
        <v>12361267011632</v>
      </c>
      <c r="L1420" s="173" t="s">
        <v>1160</v>
      </c>
      <c r="M1420" s="173" t="s">
        <v>109</v>
      </c>
      <c r="N1420" s="173" t="s">
        <v>110</v>
      </c>
      <c r="O1420" s="87">
        <v>64</v>
      </c>
      <c r="P1420" s="173" t="s">
        <v>25</v>
      </c>
      <c r="Q1420" s="1" t="s">
        <v>1344</v>
      </c>
      <c r="R1420" s="175">
        <v>2</v>
      </c>
      <c r="S1420">
        <v>2</v>
      </c>
    </row>
    <row r="1421" spans="1:19" x14ac:dyDescent="0.25">
      <c r="A1421" s="87">
        <v>2019</v>
      </c>
      <c r="B1421" s="87">
        <v>9</v>
      </c>
      <c r="C1421" s="173" t="s">
        <v>16</v>
      </c>
      <c r="D1421" s="173" t="s">
        <v>22</v>
      </c>
      <c r="E1421" s="173" t="s">
        <v>18</v>
      </c>
      <c r="F1421" s="173" t="s">
        <v>16</v>
      </c>
      <c r="G1421" s="87" t="b">
        <v>1</v>
      </c>
      <c r="H1421" s="87" t="b">
        <v>1</v>
      </c>
      <c r="I1421" s="87" t="b">
        <v>0</v>
      </c>
      <c r="J1421" s="173" t="s">
        <v>470</v>
      </c>
      <c r="K1421" s="174">
        <v>12361267011802</v>
      </c>
      <c r="L1421" s="173" t="s">
        <v>863</v>
      </c>
      <c r="M1421" s="173" t="s">
        <v>76</v>
      </c>
      <c r="N1421" s="173" t="s">
        <v>77</v>
      </c>
      <c r="O1421" s="87">
        <v>62</v>
      </c>
      <c r="P1421" s="173" t="s">
        <v>27</v>
      </c>
      <c r="Q1421" s="1" t="s">
        <v>1343</v>
      </c>
      <c r="R1421" s="175">
        <v>2</v>
      </c>
      <c r="S1421">
        <v>2</v>
      </c>
    </row>
    <row r="1422" spans="1:19" x14ac:dyDescent="0.25">
      <c r="A1422" s="87">
        <v>2019</v>
      </c>
      <c r="B1422" s="87">
        <v>9</v>
      </c>
      <c r="C1422" s="173" t="s">
        <v>16</v>
      </c>
      <c r="D1422" s="173" t="s">
        <v>22</v>
      </c>
      <c r="E1422" s="173" t="s">
        <v>18</v>
      </c>
      <c r="F1422" s="173" t="s">
        <v>16</v>
      </c>
      <c r="G1422" s="87" t="b">
        <v>1</v>
      </c>
      <c r="H1422" s="87" t="b">
        <v>1</v>
      </c>
      <c r="I1422" s="87" t="b">
        <v>0</v>
      </c>
      <c r="J1422" s="173" t="s">
        <v>460</v>
      </c>
      <c r="K1422" s="174">
        <v>12361267011802</v>
      </c>
      <c r="L1422" s="173" t="s">
        <v>863</v>
      </c>
      <c r="M1422" s="173" t="s">
        <v>76</v>
      </c>
      <c r="N1422" s="173" t="s">
        <v>77</v>
      </c>
      <c r="O1422" s="87">
        <v>64</v>
      </c>
      <c r="P1422" s="173" t="s">
        <v>25</v>
      </c>
      <c r="Q1422" s="1" t="s">
        <v>1344</v>
      </c>
      <c r="R1422" s="175">
        <v>4</v>
      </c>
      <c r="S1422">
        <v>4</v>
      </c>
    </row>
    <row r="1423" spans="1:19" x14ac:dyDescent="0.25">
      <c r="A1423" s="87">
        <v>2019</v>
      </c>
      <c r="B1423" s="87">
        <v>9</v>
      </c>
      <c r="C1423" s="173" t="s">
        <v>16</v>
      </c>
      <c r="D1423" s="173" t="s">
        <v>22</v>
      </c>
      <c r="E1423" s="173" t="s">
        <v>18</v>
      </c>
      <c r="F1423" s="173" t="s">
        <v>16</v>
      </c>
      <c r="G1423" s="87" t="b">
        <v>1</v>
      </c>
      <c r="H1423" s="87" t="b">
        <v>1</v>
      </c>
      <c r="I1423" s="87" t="b">
        <v>0</v>
      </c>
      <c r="J1423" s="173" t="s">
        <v>464</v>
      </c>
      <c r="K1423" s="174">
        <v>12361267014739</v>
      </c>
      <c r="L1423" s="173" t="s">
        <v>864</v>
      </c>
      <c r="M1423" s="173" t="s">
        <v>75</v>
      </c>
      <c r="N1423" s="173" t="s">
        <v>74</v>
      </c>
      <c r="O1423" s="87">
        <v>64</v>
      </c>
      <c r="P1423" s="173" t="s">
        <v>25</v>
      </c>
      <c r="Q1423" s="1" t="s">
        <v>1344</v>
      </c>
      <c r="R1423" s="175">
        <v>3</v>
      </c>
      <c r="S1423">
        <v>3</v>
      </c>
    </row>
    <row r="1424" spans="1:19" x14ac:dyDescent="0.25">
      <c r="A1424" s="87">
        <v>2019</v>
      </c>
      <c r="B1424" s="87">
        <v>9</v>
      </c>
      <c r="C1424" s="173" t="s">
        <v>16</v>
      </c>
      <c r="D1424" s="173" t="s">
        <v>22</v>
      </c>
      <c r="E1424" s="173" t="s">
        <v>18</v>
      </c>
      <c r="F1424" s="173" t="s">
        <v>16</v>
      </c>
      <c r="G1424" s="87" t="b">
        <v>1</v>
      </c>
      <c r="H1424" s="87" t="b">
        <v>1</v>
      </c>
      <c r="I1424" s="87" t="b">
        <v>0</v>
      </c>
      <c r="J1424" s="173" t="s">
        <v>470</v>
      </c>
      <c r="K1424" s="174">
        <v>12442737000496</v>
      </c>
      <c r="L1424" s="173" t="s">
        <v>865</v>
      </c>
      <c r="M1424" s="173" t="s">
        <v>742</v>
      </c>
      <c r="N1424" s="173" t="s">
        <v>91</v>
      </c>
      <c r="O1424" s="87">
        <v>62</v>
      </c>
      <c r="P1424" s="173" t="s">
        <v>27</v>
      </c>
      <c r="Q1424" s="1" t="s">
        <v>1343</v>
      </c>
      <c r="R1424" s="175">
        <v>2</v>
      </c>
      <c r="S1424">
        <v>2</v>
      </c>
    </row>
    <row r="1425" spans="1:19" x14ac:dyDescent="0.25">
      <c r="A1425" s="87">
        <v>2019</v>
      </c>
      <c r="B1425" s="87">
        <v>9</v>
      </c>
      <c r="C1425" s="173" t="s">
        <v>16</v>
      </c>
      <c r="D1425" s="173" t="s">
        <v>22</v>
      </c>
      <c r="E1425" s="173" t="s">
        <v>18</v>
      </c>
      <c r="F1425" s="173" t="s">
        <v>16</v>
      </c>
      <c r="G1425" s="87" t="b">
        <v>1</v>
      </c>
      <c r="H1425" s="87" t="b">
        <v>1</v>
      </c>
      <c r="I1425" s="87" t="b">
        <v>0</v>
      </c>
      <c r="J1425" s="173" t="s">
        <v>1330</v>
      </c>
      <c r="K1425" s="174">
        <v>12474705000120</v>
      </c>
      <c r="L1425" s="173" t="s">
        <v>661</v>
      </c>
      <c r="M1425" s="173" t="s">
        <v>48</v>
      </c>
      <c r="N1425" s="173" t="s">
        <v>19</v>
      </c>
      <c r="O1425" s="87">
        <v>70</v>
      </c>
      <c r="P1425" s="173" t="s">
        <v>20</v>
      </c>
      <c r="Q1425" s="1" t="s">
        <v>1346</v>
      </c>
      <c r="R1425" s="175">
        <v>125</v>
      </c>
      <c r="S1425">
        <v>50</v>
      </c>
    </row>
    <row r="1426" spans="1:19" x14ac:dyDescent="0.25">
      <c r="A1426" s="87">
        <v>2019</v>
      </c>
      <c r="B1426" s="87">
        <v>9</v>
      </c>
      <c r="C1426" s="173" t="s">
        <v>16</v>
      </c>
      <c r="D1426" s="173" t="s">
        <v>22</v>
      </c>
      <c r="E1426" s="173" t="s">
        <v>18</v>
      </c>
      <c r="F1426" s="173" t="s">
        <v>16</v>
      </c>
      <c r="G1426" s="87" t="b">
        <v>1</v>
      </c>
      <c r="H1426" s="87" t="b">
        <v>1</v>
      </c>
      <c r="I1426" s="87" t="b">
        <v>0</v>
      </c>
      <c r="J1426" s="173" t="s">
        <v>470</v>
      </c>
      <c r="K1426" s="174">
        <v>12508728000108</v>
      </c>
      <c r="L1426" s="173" t="s">
        <v>965</v>
      </c>
      <c r="M1426" s="173" t="s">
        <v>87</v>
      </c>
      <c r="N1426" s="173" t="s">
        <v>67</v>
      </c>
      <c r="O1426" s="87">
        <v>70</v>
      </c>
      <c r="P1426" s="173" t="s">
        <v>20</v>
      </c>
      <c r="Q1426" s="1" t="s">
        <v>1338</v>
      </c>
      <c r="R1426" s="175">
        <v>20</v>
      </c>
      <c r="S1426">
        <v>4</v>
      </c>
    </row>
    <row r="1427" spans="1:19" x14ac:dyDescent="0.25">
      <c r="A1427" s="87">
        <v>2019</v>
      </c>
      <c r="B1427" s="87">
        <v>9</v>
      </c>
      <c r="C1427" s="173" t="s">
        <v>16</v>
      </c>
      <c r="D1427" s="173" t="s">
        <v>22</v>
      </c>
      <c r="E1427" s="173" t="s">
        <v>18</v>
      </c>
      <c r="F1427" s="173" t="s">
        <v>16</v>
      </c>
      <c r="G1427" s="87" t="b">
        <v>1</v>
      </c>
      <c r="H1427" s="87" t="b">
        <v>1</v>
      </c>
      <c r="I1427" s="87" t="b">
        <v>0</v>
      </c>
      <c r="J1427" s="173" t="s">
        <v>460</v>
      </c>
      <c r="K1427" s="174">
        <v>12568570000161</v>
      </c>
      <c r="L1427" s="173" t="s">
        <v>866</v>
      </c>
      <c r="M1427" s="173" t="s">
        <v>76</v>
      </c>
      <c r="N1427" s="173" t="s">
        <v>77</v>
      </c>
      <c r="O1427" s="87">
        <v>70</v>
      </c>
      <c r="P1427" s="173" t="s">
        <v>20</v>
      </c>
      <c r="Q1427" s="1" t="s">
        <v>1338</v>
      </c>
      <c r="R1427" s="175">
        <v>-5</v>
      </c>
      <c r="S1427">
        <v>-1</v>
      </c>
    </row>
    <row r="1428" spans="1:19" x14ac:dyDescent="0.25">
      <c r="A1428" s="87">
        <v>2019</v>
      </c>
      <c r="B1428" s="87">
        <v>9</v>
      </c>
      <c r="C1428" s="173" t="s">
        <v>16</v>
      </c>
      <c r="D1428" s="173" t="s">
        <v>22</v>
      </c>
      <c r="E1428" s="173" t="s">
        <v>18</v>
      </c>
      <c r="F1428" s="173" t="s">
        <v>16</v>
      </c>
      <c r="G1428" s="87" t="b">
        <v>1</v>
      </c>
      <c r="H1428" s="87" t="b">
        <v>1</v>
      </c>
      <c r="I1428" s="87" t="b">
        <v>0</v>
      </c>
      <c r="J1428" s="173" t="s">
        <v>472</v>
      </c>
      <c r="K1428" s="174">
        <v>13131370000100</v>
      </c>
      <c r="L1428" s="173" t="s">
        <v>870</v>
      </c>
      <c r="M1428" s="173" t="s">
        <v>84</v>
      </c>
      <c r="N1428" s="173" t="s">
        <v>85</v>
      </c>
      <c r="O1428" s="87">
        <v>70</v>
      </c>
      <c r="P1428" s="173" t="s">
        <v>20</v>
      </c>
      <c r="Q1428" s="1" t="s">
        <v>1338</v>
      </c>
      <c r="R1428" s="175">
        <v>50</v>
      </c>
      <c r="S1428">
        <v>10</v>
      </c>
    </row>
    <row r="1429" spans="1:19" x14ac:dyDescent="0.25">
      <c r="A1429" s="87">
        <v>2019</v>
      </c>
      <c r="B1429" s="87">
        <v>9</v>
      </c>
      <c r="C1429" s="173" t="s">
        <v>16</v>
      </c>
      <c r="D1429" s="173" t="s">
        <v>22</v>
      </c>
      <c r="E1429" s="173" t="s">
        <v>18</v>
      </c>
      <c r="F1429" s="173" t="s">
        <v>16</v>
      </c>
      <c r="G1429" s="87" t="b">
        <v>1</v>
      </c>
      <c r="H1429" s="87" t="b">
        <v>1</v>
      </c>
      <c r="I1429" s="87" t="b">
        <v>0</v>
      </c>
      <c r="J1429" s="173" t="s">
        <v>491</v>
      </c>
      <c r="K1429" s="174">
        <v>13131370000100</v>
      </c>
      <c r="L1429" s="173" t="s">
        <v>870</v>
      </c>
      <c r="M1429" s="173" t="s">
        <v>84</v>
      </c>
      <c r="N1429" s="173" t="s">
        <v>85</v>
      </c>
      <c r="O1429" s="87">
        <v>70</v>
      </c>
      <c r="P1429" s="173" t="s">
        <v>20</v>
      </c>
      <c r="Q1429" s="1" t="s">
        <v>1338</v>
      </c>
      <c r="R1429" s="175">
        <v>250</v>
      </c>
      <c r="S1429">
        <v>50</v>
      </c>
    </row>
    <row r="1430" spans="1:19" x14ac:dyDescent="0.25">
      <c r="A1430" s="87">
        <v>2019</v>
      </c>
      <c r="B1430" s="87">
        <v>9</v>
      </c>
      <c r="C1430" s="173" t="s">
        <v>16</v>
      </c>
      <c r="D1430" s="173" t="s">
        <v>22</v>
      </c>
      <c r="E1430" s="173" t="s">
        <v>18</v>
      </c>
      <c r="F1430" s="173" t="s">
        <v>16</v>
      </c>
      <c r="G1430" s="87" t="b">
        <v>1</v>
      </c>
      <c r="H1430" s="87" t="b">
        <v>1</v>
      </c>
      <c r="I1430" s="87" t="b">
        <v>0</v>
      </c>
      <c r="J1430" s="173" t="s">
        <v>472</v>
      </c>
      <c r="K1430" s="174">
        <v>13131370000100</v>
      </c>
      <c r="L1430" s="173" t="s">
        <v>870</v>
      </c>
      <c r="M1430" s="173" t="s">
        <v>84</v>
      </c>
      <c r="N1430" s="173" t="s">
        <v>85</v>
      </c>
      <c r="O1430" s="87">
        <v>73</v>
      </c>
      <c r="P1430" s="173" t="s">
        <v>26</v>
      </c>
      <c r="Q1430" s="1" t="s">
        <v>1342</v>
      </c>
      <c r="R1430" s="175">
        <v>24</v>
      </c>
      <c r="S1430">
        <v>6</v>
      </c>
    </row>
    <row r="1431" spans="1:19" x14ac:dyDescent="0.25">
      <c r="A1431" s="87">
        <v>2019</v>
      </c>
      <c r="B1431" s="87">
        <v>9</v>
      </c>
      <c r="C1431" s="173" t="s">
        <v>16</v>
      </c>
      <c r="D1431" s="173" t="s">
        <v>22</v>
      </c>
      <c r="E1431" s="173" t="s">
        <v>18</v>
      </c>
      <c r="F1431" s="173" t="s">
        <v>16</v>
      </c>
      <c r="G1431" s="87" t="b">
        <v>1</v>
      </c>
      <c r="H1431" s="87" t="b">
        <v>1</v>
      </c>
      <c r="I1431" s="87" t="b">
        <v>0</v>
      </c>
      <c r="J1431" s="173" t="s">
        <v>472</v>
      </c>
      <c r="K1431" s="174">
        <v>13131370000100</v>
      </c>
      <c r="L1431" s="173" t="s">
        <v>870</v>
      </c>
      <c r="M1431" s="173" t="s">
        <v>84</v>
      </c>
      <c r="N1431" s="173" t="s">
        <v>85</v>
      </c>
      <c r="O1431" s="87">
        <v>73</v>
      </c>
      <c r="P1431" s="173" t="s">
        <v>26</v>
      </c>
      <c r="Q1431" s="1" t="s">
        <v>1340</v>
      </c>
      <c r="R1431" s="175">
        <v>4</v>
      </c>
      <c r="S1431">
        <v>4</v>
      </c>
    </row>
    <row r="1432" spans="1:19" x14ac:dyDescent="0.25">
      <c r="A1432" s="87">
        <v>2019</v>
      </c>
      <c r="B1432" s="87">
        <v>9</v>
      </c>
      <c r="C1432" s="173" t="s">
        <v>16</v>
      </c>
      <c r="D1432" s="173" t="s">
        <v>22</v>
      </c>
      <c r="E1432" s="173" t="s">
        <v>18</v>
      </c>
      <c r="F1432" s="173" t="s">
        <v>16</v>
      </c>
      <c r="G1432" s="87" t="b">
        <v>1</v>
      </c>
      <c r="H1432" s="87" t="b">
        <v>1</v>
      </c>
      <c r="I1432" s="87" t="b">
        <v>0</v>
      </c>
      <c r="J1432" s="173" t="s">
        <v>451</v>
      </c>
      <c r="K1432" s="174">
        <v>13131370000100</v>
      </c>
      <c r="L1432" s="173" t="s">
        <v>870</v>
      </c>
      <c r="M1432" s="173" t="s">
        <v>84</v>
      </c>
      <c r="N1432" s="173" t="s">
        <v>85</v>
      </c>
      <c r="O1432" s="87">
        <v>73</v>
      </c>
      <c r="P1432" s="173" t="s">
        <v>26</v>
      </c>
      <c r="Q1432" s="1" t="s">
        <v>1340</v>
      </c>
      <c r="R1432" s="175">
        <v>10</v>
      </c>
      <c r="S1432">
        <v>10</v>
      </c>
    </row>
    <row r="1433" spans="1:19" x14ac:dyDescent="0.25">
      <c r="A1433" s="87">
        <v>2019</v>
      </c>
      <c r="B1433" s="87">
        <v>9</v>
      </c>
      <c r="C1433" s="173" t="s">
        <v>16</v>
      </c>
      <c r="D1433" s="173" t="s">
        <v>22</v>
      </c>
      <c r="E1433" s="173" t="s">
        <v>18</v>
      </c>
      <c r="F1433" s="173" t="s">
        <v>16</v>
      </c>
      <c r="G1433" s="87" t="b">
        <v>1</v>
      </c>
      <c r="H1433" s="87" t="b">
        <v>1</v>
      </c>
      <c r="I1433" s="87" t="b">
        <v>0</v>
      </c>
      <c r="J1433" s="173" t="s">
        <v>450</v>
      </c>
      <c r="K1433" s="174">
        <v>13718999001041</v>
      </c>
      <c r="L1433" s="173" t="s">
        <v>662</v>
      </c>
      <c r="M1433" s="173" t="s">
        <v>647</v>
      </c>
      <c r="N1433" s="173" t="s">
        <v>19</v>
      </c>
      <c r="O1433" s="87">
        <v>73</v>
      </c>
      <c r="P1433" s="173" t="s">
        <v>26</v>
      </c>
      <c r="Q1433" s="1" t="s">
        <v>1342</v>
      </c>
      <c r="R1433" s="175">
        <v>8</v>
      </c>
      <c r="S1433">
        <v>2</v>
      </c>
    </row>
    <row r="1434" spans="1:19" x14ac:dyDescent="0.25">
      <c r="A1434" s="87">
        <v>2019</v>
      </c>
      <c r="B1434" s="87">
        <v>9</v>
      </c>
      <c r="C1434" s="173" t="s">
        <v>16</v>
      </c>
      <c r="D1434" s="173" t="s">
        <v>22</v>
      </c>
      <c r="E1434" s="173" t="s">
        <v>18</v>
      </c>
      <c r="F1434" s="173" t="s">
        <v>16</v>
      </c>
      <c r="G1434" s="87" t="b">
        <v>1</v>
      </c>
      <c r="H1434" s="87" t="b">
        <v>1</v>
      </c>
      <c r="I1434" s="87" t="b">
        <v>0</v>
      </c>
      <c r="J1434" s="173" t="s">
        <v>491</v>
      </c>
      <c r="K1434" s="174">
        <v>13952064000134</v>
      </c>
      <c r="L1434" s="173" t="s">
        <v>875</v>
      </c>
      <c r="M1434" s="173" t="s">
        <v>75</v>
      </c>
      <c r="N1434" s="173" t="s">
        <v>74</v>
      </c>
      <c r="O1434" s="87">
        <v>62</v>
      </c>
      <c r="P1434" s="173" t="s">
        <v>27</v>
      </c>
      <c r="Q1434" s="1" t="s">
        <v>1343</v>
      </c>
      <c r="R1434" s="175">
        <v>8</v>
      </c>
      <c r="S1434">
        <v>8</v>
      </c>
    </row>
    <row r="1435" spans="1:19" x14ac:dyDescent="0.25">
      <c r="A1435" s="87">
        <v>2019</v>
      </c>
      <c r="B1435" s="87">
        <v>9</v>
      </c>
      <c r="C1435" s="173" t="s">
        <v>16</v>
      </c>
      <c r="D1435" s="173" t="s">
        <v>22</v>
      </c>
      <c r="E1435" s="173" t="s">
        <v>18</v>
      </c>
      <c r="F1435" s="173" t="s">
        <v>16</v>
      </c>
      <c r="G1435" s="87" t="b">
        <v>1</v>
      </c>
      <c r="H1435" s="87" t="b">
        <v>1</v>
      </c>
      <c r="I1435" s="87" t="b">
        <v>0</v>
      </c>
      <c r="J1435" s="173" t="s">
        <v>455</v>
      </c>
      <c r="K1435" s="174">
        <v>13952064000134</v>
      </c>
      <c r="L1435" s="173" t="s">
        <v>875</v>
      </c>
      <c r="M1435" s="173" t="s">
        <v>75</v>
      </c>
      <c r="N1435" s="173" t="s">
        <v>74</v>
      </c>
      <c r="O1435" s="87">
        <v>64</v>
      </c>
      <c r="P1435" s="173" t="s">
        <v>25</v>
      </c>
      <c r="Q1435" s="1" t="s">
        <v>1344</v>
      </c>
      <c r="R1435" s="175">
        <v>6</v>
      </c>
      <c r="S1435">
        <v>6</v>
      </c>
    </row>
    <row r="1436" spans="1:19" x14ac:dyDescent="0.25">
      <c r="A1436" s="87">
        <v>2019</v>
      </c>
      <c r="B1436" s="87">
        <v>9</v>
      </c>
      <c r="C1436" s="173" t="s">
        <v>16</v>
      </c>
      <c r="D1436" s="173" t="s">
        <v>22</v>
      </c>
      <c r="E1436" s="173" t="s">
        <v>18</v>
      </c>
      <c r="F1436" s="173" t="s">
        <v>16</v>
      </c>
      <c r="G1436" s="87" t="b">
        <v>1</v>
      </c>
      <c r="H1436" s="87" t="b">
        <v>1</v>
      </c>
      <c r="I1436" s="87" t="b">
        <v>0</v>
      </c>
      <c r="J1436" s="173" t="s">
        <v>478</v>
      </c>
      <c r="K1436" s="174">
        <v>14408631000159</v>
      </c>
      <c r="L1436" s="173" t="s">
        <v>1163</v>
      </c>
      <c r="M1436" s="173" t="s">
        <v>1164</v>
      </c>
      <c r="N1436" s="173" t="s">
        <v>54</v>
      </c>
      <c r="O1436" s="87">
        <v>73</v>
      </c>
      <c r="P1436" s="173" t="s">
        <v>26</v>
      </c>
      <c r="Q1436" s="1" t="s">
        <v>1342</v>
      </c>
      <c r="R1436" s="175">
        <v>8</v>
      </c>
      <c r="S1436">
        <v>2</v>
      </c>
    </row>
    <row r="1437" spans="1:19" x14ac:dyDescent="0.25">
      <c r="A1437" s="87">
        <v>2019</v>
      </c>
      <c r="B1437" s="87">
        <v>9</v>
      </c>
      <c r="C1437" s="173" t="s">
        <v>16</v>
      </c>
      <c r="D1437" s="173" t="s">
        <v>22</v>
      </c>
      <c r="E1437" s="173" t="s">
        <v>18</v>
      </c>
      <c r="F1437" s="173" t="s">
        <v>16</v>
      </c>
      <c r="G1437" s="87" t="b">
        <v>1</v>
      </c>
      <c r="H1437" s="87" t="b">
        <v>1</v>
      </c>
      <c r="I1437" s="87" t="b">
        <v>0</v>
      </c>
      <c r="J1437" s="173" t="s">
        <v>1330</v>
      </c>
      <c r="K1437" s="174">
        <v>15126437000496</v>
      </c>
      <c r="L1437" s="173" t="s">
        <v>880</v>
      </c>
      <c r="M1437" s="173" t="s">
        <v>777</v>
      </c>
      <c r="N1437" s="173" t="s">
        <v>72</v>
      </c>
      <c r="O1437" s="87">
        <v>70</v>
      </c>
      <c r="P1437" s="173" t="s">
        <v>20</v>
      </c>
      <c r="Q1437" s="1" t="s">
        <v>1338</v>
      </c>
      <c r="R1437" s="175">
        <v>500</v>
      </c>
      <c r="S1437">
        <v>100</v>
      </c>
    </row>
    <row r="1438" spans="1:19" x14ac:dyDescent="0.25">
      <c r="A1438" s="87">
        <v>2019</v>
      </c>
      <c r="B1438" s="87">
        <v>9</v>
      </c>
      <c r="C1438" s="173" t="s">
        <v>16</v>
      </c>
      <c r="D1438" s="173" t="s">
        <v>22</v>
      </c>
      <c r="E1438" s="173" t="s">
        <v>18</v>
      </c>
      <c r="F1438" s="173" t="s">
        <v>16</v>
      </c>
      <c r="G1438" s="87" t="b">
        <v>1</v>
      </c>
      <c r="H1438" s="87" t="b">
        <v>1</v>
      </c>
      <c r="I1438" s="87" t="b">
        <v>0</v>
      </c>
      <c r="J1438" s="173" t="s">
        <v>1330</v>
      </c>
      <c r="K1438" s="174">
        <v>15126437000739</v>
      </c>
      <c r="L1438" s="173" t="s">
        <v>881</v>
      </c>
      <c r="M1438" s="173" t="s">
        <v>62</v>
      </c>
      <c r="N1438" s="173" t="s">
        <v>63</v>
      </c>
      <c r="O1438" s="87">
        <v>64</v>
      </c>
      <c r="P1438" s="173" t="s">
        <v>25</v>
      </c>
      <c r="Q1438" s="1" t="s">
        <v>1344</v>
      </c>
      <c r="R1438" s="175">
        <v>50</v>
      </c>
      <c r="S1438">
        <v>50</v>
      </c>
    </row>
    <row r="1439" spans="1:19" x14ac:dyDescent="0.25">
      <c r="A1439" s="87">
        <v>2019</v>
      </c>
      <c r="B1439" s="87">
        <v>9</v>
      </c>
      <c r="C1439" s="173" t="s">
        <v>16</v>
      </c>
      <c r="D1439" s="173" t="s">
        <v>22</v>
      </c>
      <c r="E1439" s="173" t="s">
        <v>18</v>
      </c>
      <c r="F1439" s="173" t="s">
        <v>16</v>
      </c>
      <c r="G1439" s="87" t="b">
        <v>1</v>
      </c>
      <c r="H1439" s="87" t="b">
        <v>1</v>
      </c>
      <c r="I1439" s="87" t="b">
        <v>0</v>
      </c>
      <c r="J1439" s="173" t="s">
        <v>460</v>
      </c>
      <c r="K1439" s="174">
        <v>15126437001204</v>
      </c>
      <c r="L1439" s="173" t="s">
        <v>882</v>
      </c>
      <c r="M1439" s="173" t="s">
        <v>772</v>
      </c>
      <c r="N1439" s="173" t="s">
        <v>69</v>
      </c>
      <c r="O1439" s="87">
        <v>70</v>
      </c>
      <c r="P1439" s="173" t="s">
        <v>20</v>
      </c>
      <c r="Q1439" s="1" t="s">
        <v>1338</v>
      </c>
      <c r="R1439" s="175">
        <v>750</v>
      </c>
      <c r="S1439">
        <v>150</v>
      </c>
    </row>
    <row r="1440" spans="1:19" x14ac:dyDescent="0.25">
      <c r="A1440" s="87">
        <v>2019</v>
      </c>
      <c r="B1440" s="87">
        <v>9</v>
      </c>
      <c r="C1440" s="173" t="s">
        <v>16</v>
      </c>
      <c r="D1440" s="173" t="s">
        <v>22</v>
      </c>
      <c r="E1440" s="173" t="s">
        <v>18</v>
      </c>
      <c r="F1440" s="173" t="s">
        <v>16</v>
      </c>
      <c r="G1440" s="87" t="b">
        <v>1</v>
      </c>
      <c r="H1440" s="87" t="b">
        <v>1</v>
      </c>
      <c r="I1440" s="87" t="b">
        <v>0</v>
      </c>
      <c r="J1440" s="173" t="s">
        <v>491</v>
      </c>
      <c r="K1440" s="174">
        <v>15153745000249</v>
      </c>
      <c r="L1440" s="173" t="s">
        <v>887</v>
      </c>
      <c r="M1440" s="173" t="s">
        <v>75</v>
      </c>
      <c r="N1440" s="173" t="s">
        <v>74</v>
      </c>
      <c r="O1440" s="87">
        <v>62</v>
      </c>
      <c r="P1440" s="173" t="s">
        <v>27</v>
      </c>
      <c r="Q1440" s="1" t="s">
        <v>1343</v>
      </c>
      <c r="R1440" s="175">
        <v>8</v>
      </c>
      <c r="S1440">
        <v>8</v>
      </c>
    </row>
    <row r="1441" spans="1:19" x14ac:dyDescent="0.25">
      <c r="A1441" s="87">
        <v>2019</v>
      </c>
      <c r="B1441" s="87">
        <v>9</v>
      </c>
      <c r="C1441" s="173" t="s">
        <v>16</v>
      </c>
      <c r="D1441" s="173" t="s">
        <v>22</v>
      </c>
      <c r="E1441" s="173" t="s">
        <v>18</v>
      </c>
      <c r="F1441" s="173" t="s">
        <v>16</v>
      </c>
      <c r="G1441" s="87" t="b">
        <v>1</v>
      </c>
      <c r="H1441" s="87" t="b">
        <v>1</v>
      </c>
      <c r="I1441" s="87" t="b">
        <v>0</v>
      </c>
      <c r="J1441" s="173" t="s">
        <v>464</v>
      </c>
      <c r="K1441" s="174">
        <v>15153745000249</v>
      </c>
      <c r="L1441" s="173" t="s">
        <v>887</v>
      </c>
      <c r="M1441" s="173" t="s">
        <v>75</v>
      </c>
      <c r="N1441" s="173" t="s">
        <v>74</v>
      </c>
      <c r="O1441" s="87">
        <v>64</v>
      </c>
      <c r="P1441" s="173" t="s">
        <v>25</v>
      </c>
      <c r="Q1441" s="1" t="s">
        <v>1344</v>
      </c>
      <c r="R1441" s="175">
        <v>9</v>
      </c>
      <c r="S1441">
        <v>9</v>
      </c>
    </row>
    <row r="1442" spans="1:19" x14ac:dyDescent="0.25">
      <c r="A1442" s="87">
        <v>2019</v>
      </c>
      <c r="B1442" s="87">
        <v>9</v>
      </c>
      <c r="C1442" s="173" t="s">
        <v>16</v>
      </c>
      <c r="D1442" s="173" t="s">
        <v>22</v>
      </c>
      <c r="E1442" s="173" t="s">
        <v>18</v>
      </c>
      <c r="F1442" s="173" t="s">
        <v>16</v>
      </c>
      <c r="G1442" s="87" t="b">
        <v>1</v>
      </c>
      <c r="H1442" s="87" t="b">
        <v>1</v>
      </c>
      <c r="I1442" s="87" t="b">
        <v>0</v>
      </c>
      <c r="J1442" s="173" t="s">
        <v>455</v>
      </c>
      <c r="K1442" s="174">
        <v>15153745000249</v>
      </c>
      <c r="L1442" s="173" t="s">
        <v>887</v>
      </c>
      <c r="M1442" s="173" t="s">
        <v>75</v>
      </c>
      <c r="N1442" s="173" t="s">
        <v>74</v>
      </c>
      <c r="O1442" s="87">
        <v>64</v>
      </c>
      <c r="P1442" s="173" t="s">
        <v>25</v>
      </c>
      <c r="Q1442" s="1" t="s">
        <v>1344</v>
      </c>
      <c r="R1442" s="175">
        <v>4</v>
      </c>
      <c r="S1442">
        <v>4</v>
      </c>
    </row>
    <row r="1443" spans="1:19" x14ac:dyDescent="0.25">
      <c r="A1443" s="87">
        <v>2019</v>
      </c>
      <c r="B1443" s="87">
        <v>9</v>
      </c>
      <c r="C1443" s="173" t="s">
        <v>16</v>
      </c>
      <c r="D1443" s="173" t="s">
        <v>22</v>
      </c>
      <c r="E1443" s="173" t="s">
        <v>18</v>
      </c>
      <c r="F1443" s="173" t="s">
        <v>16</v>
      </c>
      <c r="G1443" s="87" t="b">
        <v>1</v>
      </c>
      <c r="H1443" s="87" t="b">
        <v>1</v>
      </c>
      <c r="I1443" s="87" t="b">
        <v>0</v>
      </c>
      <c r="J1443" s="173" t="s">
        <v>460</v>
      </c>
      <c r="K1443" s="174">
        <v>15166416000151</v>
      </c>
      <c r="L1443" s="173" t="s">
        <v>889</v>
      </c>
      <c r="M1443" s="173" t="s">
        <v>75</v>
      </c>
      <c r="N1443" s="173" t="s">
        <v>74</v>
      </c>
      <c r="O1443" s="87">
        <v>62</v>
      </c>
      <c r="P1443" s="173" t="s">
        <v>27</v>
      </c>
      <c r="Q1443" s="1" t="s">
        <v>1343</v>
      </c>
      <c r="R1443" s="175">
        <v>10</v>
      </c>
      <c r="S1443">
        <v>10</v>
      </c>
    </row>
    <row r="1444" spans="1:19" x14ac:dyDescent="0.25">
      <c r="A1444" s="87">
        <v>2019</v>
      </c>
      <c r="B1444" s="87">
        <v>9</v>
      </c>
      <c r="C1444" s="173" t="s">
        <v>16</v>
      </c>
      <c r="D1444" s="173" t="s">
        <v>22</v>
      </c>
      <c r="E1444" s="173" t="s">
        <v>18</v>
      </c>
      <c r="F1444" s="173" t="s">
        <v>16</v>
      </c>
      <c r="G1444" s="87" t="b">
        <v>1</v>
      </c>
      <c r="H1444" s="87" t="b">
        <v>1</v>
      </c>
      <c r="I1444" s="87" t="b">
        <v>0</v>
      </c>
      <c r="J1444" s="173" t="s">
        <v>460</v>
      </c>
      <c r="K1444" s="174">
        <v>15166416000151</v>
      </c>
      <c r="L1444" s="173" t="s">
        <v>889</v>
      </c>
      <c r="M1444" s="173" t="s">
        <v>75</v>
      </c>
      <c r="N1444" s="173" t="s">
        <v>74</v>
      </c>
      <c r="O1444" s="87">
        <v>64</v>
      </c>
      <c r="P1444" s="173" t="s">
        <v>25</v>
      </c>
      <c r="Q1444" s="1" t="s">
        <v>1344</v>
      </c>
      <c r="R1444" s="175">
        <v>10</v>
      </c>
      <c r="S1444">
        <v>10</v>
      </c>
    </row>
    <row r="1445" spans="1:19" x14ac:dyDescent="0.25">
      <c r="A1445" s="87">
        <v>2019</v>
      </c>
      <c r="B1445" s="87">
        <v>9</v>
      </c>
      <c r="C1445" s="173" t="s">
        <v>16</v>
      </c>
      <c r="D1445" s="173" t="s">
        <v>22</v>
      </c>
      <c r="E1445" s="173" t="s">
        <v>18</v>
      </c>
      <c r="F1445" s="173" t="s">
        <v>16</v>
      </c>
      <c r="G1445" s="87" t="b">
        <v>1</v>
      </c>
      <c r="H1445" s="87" t="b">
        <v>1</v>
      </c>
      <c r="I1445" s="87" t="b">
        <v>0</v>
      </c>
      <c r="J1445" s="173" t="s">
        <v>1330</v>
      </c>
      <c r="K1445" s="174">
        <v>15180714000520</v>
      </c>
      <c r="L1445" s="173" t="s">
        <v>894</v>
      </c>
      <c r="M1445" s="173" t="s">
        <v>75</v>
      </c>
      <c r="N1445" s="173" t="s">
        <v>74</v>
      </c>
      <c r="O1445" s="87">
        <v>62</v>
      </c>
      <c r="P1445" s="173" t="s">
        <v>27</v>
      </c>
      <c r="Q1445" s="1" t="s">
        <v>1343</v>
      </c>
      <c r="R1445" s="175">
        <v>20</v>
      </c>
      <c r="S1445">
        <v>20</v>
      </c>
    </row>
    <row r="1446" spans="1:19" x14ac:dyDescent="0.25">
      <c r="A1446" s="87">
        <v>2019</v>
      </c>
      <c r="B1446" s="87">
        <v>9</v>
      </c>
      <c r="C1446" s="173" t="s">
        <v>16</v>
      </c>
      <c r="D1446" s="173" t="s">
        <v>22</v>
      </c>
      <c r="E1446" s="173" t="s">
        <v>18</v>
      </c>
      <c r="F1446" s="173" t="s">
        <v>16</v>
      </c>
      <c r="G1446" s="87" t="b">
        <v>1</v>
      </c>
      <c r="H1446" s="87" t="b">
        <v>1</v>
      </c>
      <c r="I1446" s="87" t="b">
        <v>0</v>
      </c>
      <c r="J1446" s="173" t="s">
        <v>455</v>
      </c>
      <c r="K1446" s="174">
        <v>15194004000125</v>
      </c>
      <c r="L1446" s="173" t="s">
        <v>895</v>
      </c>
      <c r="M1446" s="173" t="s">
        <v>75</v>
      </c>
      <c r="N1446" s="173" t="s">
        <v>74</v>
      </c>
      <c r="O1446" s="87">
        <v>64</v>
      </c>
      <c r="P1446" s="173" t="s">
        <v>25</v>
      </c>
      <c r="Q1446" s="1" t="s">
        <v>1344</v>
      </c>
      <c r="R1446" s="175">
        <v>24</v>
      </c>
      <c r="S1446">
        <v>24</v>
      </c>
    </row>
    <row r="1447" spans="1:19" x14ac:dyDescent="0.25">
      <c r="A1447" s="87">
        <v>2019</v>
      </c>
      <c r="B1447" s="87">
        <v>9</v>
      </c>
      <c r="C1447" s="173" t="s">
        <v>16</v>
      </c>
      <c r="D1447" s="173" t="s">
        <v>22</v>
      </c>
      <c r="E1447" s="173" t="s">
        <v>18</v>
      </c>
      <c r="F1447" s="173" t="s">
        <v>16</v>
      </c>
      <c r="G1447" s="87" t="b">
        <v>1</v>
      </c>
      <c r="H1447" s="87" t="b">
        <v>1</v>
      </c>
      <c r="I1447" s="87" t="b">
        <v>0</v>
      </c>
      <c r="J1447" s="173" t="s">
        <v>455</v>
      </c>
      <c r="K1447" s="174">
        <v>15242761000127</v>
      </c>
      <c r="L1447" s="173" t="s">
        <v>896</v>
      </c>
      <c r="M1447" s="173" t="s">
        <v>75</v>
      </c>
      <c r="N1447" s="173" t="s">
        <v>74</v>
      </c>
      <c r="O1447" s="87">
        <v>70</v>
      </c>
      <c r="P1447" s="173" t="s">
        <v>20</v>
      </c>
      <c r="Q1447" s="1" t="s">
        <v>1338</v>
      </c>
      <c r="R1447" s="175">
        <v>100</v>
      </c>
      <c r="S1447">
        <v>20</v>
      </c>
    </row>
    <row r="1448" spans="1:19" x14ac:dyDescent="0.25">
      <c r="A1448" s="87">
        <v>2019</v>
      </c>
      <c r="B1448" s="87">
        <v>9</v>
      </c>
      <c r="C1448" s="173" t="s">
        <v>16</v>
      </c>
      <c r="D1448" s="173" t="s">
        <v>22</v>
      </c>
      <c r="E1448" s="173" t="s">
        <v>18</v>
      </c>
      <c r="F1448" s="173" t="s">
        <v>16</v>
      </c>
      <c r="G1448" s="87" t="b">
        <v>1</v>
      </c>
      <c r="H1448" s="87" t="b">
        <v>1</v>
      </c>
      <c r="I1448" s="87" t="b">
        <v>0</v>
      </c>
      <c r="J1448" s="173" t="s">
        <v>472</v>
      </c>
      <c r="K1448" s="174">
        <v>15242761000127</v>
      </c>
      <c r="L1448" s="173" t="s">
        <v>896</v>
      </c>
      <c r="M1448" s="173" t="s">
        <v>75</v>
      </c>
      <c r="N1448" s="173" t="s">
        <v>74</v>
      </c>
      <c r="O1448" s="87">
        <v>73</v>
      </c>
      <c r="P1448" s="173" t="s">
        <v>26</v>
      </c>
      <c r="Q1448" s="1" t="s">
        <v>1342</v>
      </c>
      <c r="R1448" s="175">
        <v>96</v>
      </c>
      <c r="S1448">
        <v>24</v>
      </c>
    </row>
    <row r="1449" spans="1:19" x14ac:dyDescent="0.25">
      <c r="A1449" s="87">
        <v>2019</v>
      </c>
      <c r="B1449" s="87">
        <v>9</v>
      </c>
      <c r="C1449" s="173" t="s">
        <v>16</v>
      </c>
      <c r="D1449" s="173" t="s">
        <v>22</v>
      </c>
      <c r="E1449" s="173" t="s">
        <v>18</v>
      </c>
      <c r="F1449" s="173" t="s">
        <v>16</v>
      </c>
      <c r="G1449" s="87" t="b">
        <v>1</v>
      </c>
      <c r="H1449" s="87" t="b">
        <v>1</v>
      </c>
      <c r="I1449" s="87" t="b">
        <v>0</v>
      </c>
      <c r="J1449" s="173" t="s">
        <v>472</v>
      </c>
      <c r="K1449" s="174">
        <v>15242761000127</v>
      </c>
      <c r="L1449" s="173" t="s">
        <v>896</v>
      </c>
      <c r="M1449" s="173" t="s">
        <v>75</v>
      </c>
      <c r="N1449" s="173" t="s">
        <v>74</v>
      </c>
      <c r="O1449" s="87">
        <v>73</v>
      </c>
      <c r="P1449" s="173" t="s">
        <v>26</v>
      </c>
      <c r="Q1449" s="1" t="s">
        <v>1340</v>
      </c>
      <c r="R1449" s="175">
        <v>16</v>
      </c>
      <c r="S1449">
        <v>16</v>
      </c>
    </row>
    <row r="1450" spans="1:19" x14ac:dyDescent="0.25">
      <c r="A1450" s="87">
        <v>2019</v>
      </c>
      <c r="B1450" s="87">
        <v>9</v>
      </c>
      <c r="C1450" s="173" t="s">
        <v>16</v>
      </c>
      <c r="D1450" s="173" t="s">
        <v>22</v>
      </c>
      <c r="E1450" s="173" t="s">
        <v>18</v>
      </c>
      <c r="F1450" s="173" t="s">
        <v>16</v>
      </c>
      <c r="G1450" s="87" t="b">
        <v>1</v>
      </c>
      <c r="H1450" s="87" t="b">
        <v>1</v>
      </c>
      <c r="I1450" s="87" t="b">
        <v>0</v>
      </c>
      <c r="J1450" s="173" t="s">
        <v>472</v>
      </c>
      <c r="K1450" s="174">
        <v>15592785000106</v>
      </c>
      <c r="L1450" s="173" t="s">
        <v>897</v>
      </c>
      <c r="M1450" s="173" t="s">
        <v>84</v>
      </c>
      <c r="N1450" s="173" t="s">
        <v>85</v>
      </c>
      <c r="O1450" s="87">
        <v>70</v>
      </c>
      <c r="P1450" s="173" t="s">
        <v>20</v>
      </c>
      <c r="Q1450" s="1" t="s">
        <v>1338</v>
      </c>
      <c r="R1450" s="175">
        <v>30</v>
      </c>
      <c r="S1450">
        <v>6</v>
      </c>
    </row>
    <row r="1451" spans="1:19" x14ac:dyDescent="0.25">
      <c r="A1451" s="87">
        <v>2019</v>
      </c>
      <c r="B1451" s="87">
        <v>9</v>
      </c>
      <c r="C1451" s="173" t="s">
        <v>16</v>
      </c>
      <c r="D1451" s="173" t="s">
        <v>22</v>
      </c>
      <c r="E1451" s="173" t="s">
        <v>18</v>
      </c>
      <c r="F1451" s="173" t="s">
        <v>16</v>
      </c>
      <c r="G1451" s="87" t="b">
        <v>1</v>
      </c>
      <c r="H1451" s="87" t="b">
        <v>1</v>
      </c>
      <c r="I1451" s="87" t="b">
        <v>0</v>
      </c>
      <c r="J1451" s="173" t="s">
        <v>1332</v>
      </c>
      <c r="K1451" s="174">
        <v>16676520000582</v>
      </c>
      <c r="L1451" s="173" t="s">
        <v>1169</v>
      </c>
      <c r="M1451" s="173" t="s">
        <v>58</v>
      </c>
      <c r="N1451" s="173" t="s">
        <v>54</v>
      </c>
      <c r="O1451" s="87">
        <v>62</v>
      </c>
      <c r="P1451" s="173" t="s">
        <v>27</v>
      </c>
      <c r="Q1451" s="1" t="s">
        <v>1343</v>
      </c>
      <c r="R1451" s="175">
        <v>2</v>
      </c>
      <c r="S1451">
        <v>2</v>
      </c>
    </row>
    <row r="1452" spans="1:19" x14ac:dyDescent="0.25">
      <c r="A1452" s="87">
        <v>2019</v>
      </c>
      <c r="B1452" s="87">
        <v>9</v>
      </c>
      <c r="C1452" s="173" t="s">
        <v>16</v>
      </c>
      <c r="D1452" s="173" t="s">
        <v>22</v>
      </c>
      <c r="E1452" s="173" t="s">
        <v>18</v>
      </c>
      <c r="F1452" s="173" t="s">
        <v>16</v>
      </c>
      <c r="G1452" s="87" t="b">
        <v>1</v>
      </c>
      <c r="H1452" s="87" t="b">
        <v>1</v>
      </c>
      <c r="I1452" s="87" t="b">
        <v>0</v>
      </c>
      <c r="J1452" s="173" t="s">
        <v>468</v>
      </c>
      <c r="K1452" s="174">
        <v>16739984000167</v>
      </c>
      <c r="L1452" s="173" t="s">
        <v>900</v>
      </c>
      <c r="M1452" s="173" t="s">
        <v>739</v>
      </c>
      <c r="N1452" s="173" t="s">
        <v>55</v>
      </c>
      <c r="O1452" s="87">
        <v>73</v>
      </c>
      <c r="P1452" s="173" t="s">
        <v>26</v>
      </c>
      <c r="Q1452" s="1" t="s">
        <v>1339</v>
      </c>
      <c r="R1452" s="175">
        <v>8</v>
      </c>
      <c r="S1452">
        <v>4</v>
      </c>
    </row>
    <row r="1453" spans="1:19" x14ac:dyDescent="0.25">
      <c r="A1453" s="87">
        <v>2019</v>
      </c>
      <c r="B1453" s="87">
        <v>9</v>
      </c>
      <c r="C1453" s="173" t="s">
        <v>16</v>
      </c>
      <c r="D1453" s="173" t="s">
        <v>22</v>
      </c>
      <c r="E1453" s="173" t="s">
        <v>18</v>
      </c>
      <c r="F1453" s="173" t="s">
        <v>16</v>
      </c>
      <c r="G1453" s="87" t="b">
        <v>1</v>
      </c>
      <c r="H1453" s="87" t="b">
        <v>1</v>
      </c>
      <c r="I1453" s="87" t="b">
        <v>0</v>
      </c>
      <c r="J1453" s="173" t="s">
        <v>468</v>
      </c>
      <c r="K1453" s="174">
        <v>16739984000167</v>
      </c>
      <c r="L1453" s="173" t="s">
        <v>900</v>
      </c>
      <c r="M1453" s="173" t="s">
        <v>739</v>
      </c>
      <c r="N1453" s="173" t="s">
        <v>55</v>
      </c>
      <c r="O1453" s="87">
        <v>73</v>
      </c>
      <c r="P1453" s="173" t="s">
        <v>26</v>
      </c>
      <c r="Q1453" s="1" t="s">
        <v>1342</v>
      </c>
      <c r="R1453" s="175">
        <v>24</v>
      </c>
      <c r="S1453">
        <v>6</v>
      </c>
    </row>
    <row r="1454" spans="1:19" x14ac:dyDescent="0.25">
      <c r="A1454" s="87">
        <v>2019</v>
      </c>
      <c r="B1454" s="87">
        <v>9</v>
      </c>
      <c r="C1454" s="173" t="s">
        <v>16</v>
      </c>
      <c r="D1454" s="173" t="s">
        <v>22</v>
      </c>
      <c r="E1454" s="173" t="s">
        <v>18</v>
      </c>
      <c r="F1454" s="173" t="s">
        <v>16</v>
      </c>
      <c r="G1454" s="87" t="b">
        <v>1</v>
      </c>
      <c r="H1454" s="87" t="b">
        <v>1</v>
      </c>
      <c r="I1454" s="87" t="b">
        <v>0</v>
      </c>
      <c r="J1454" s="173" t="s">
        <v>468</v>
      </c>
      <c r="K1454" s="174">
        <v>16739984000167</v>
      </c>
      <c r="L1454" s="173" t="s">
        <v>900</v>
      </c>
      <c r="M1454" s="173" t="s">
        <v>739</v>
      </c>
      <c r="N1454" s="173" t="s">
        <v>55</v>
      </c>
      <c r="O1454" s="87">
        <v>73</v>
      </c>
      <c r="P1454" s="173" t="s">
        <v>26</v>
      </c>
      <c r="Q1454" s="1" t="s">
        <v>1340</v>
      </c>
      <c r="R1454" s="175">
        <v>4</v>
      </c>
      <c r="S1454">
        <v>4</v>
      </c>
    </row>
    <row r="1455" spans="1:19" x14ac:dyDescent="0.25">
      <c r="A1455" s="87">
        <v>2019</v>
      </c>
      <c r="B1455" s="87">
        <v>9</v>
      </c>
      <c r="C1455" s="173" t="s">
        <v>16</v>
      </c>
      <c r="D1455" s="173" t="s">
        <v>22</v>
      </c>
      <c r="E1455" s="173" t="s">
        <v>18</v>
      </c>
      <c r="F1455" s="173" t="s">
        <v>16</v>
      </c>
      <c r="G1455" s="87" t="b">
        <v>1</v>
      </c>
      <c r="H1455" s="87" t="b">
        <v>1</v>
      </c>
      <c r="I1455" s="87" t="b">
        <v>0</v>
      </c>
      <c r="J1455" s="173" t="s">
        <v>463</v>
      </c>
      <c r="K1455" s="174">
        <v>17087591000189</v>
      </c>
      <c r="L1455" s="173" t="s">
        <v>1170</v>
      </c>
      <c r="M1455" s="173" t="s">
        <v>1171</v>
      </c>
      <c r="N1455" s="173" t="s">
        <v>54</v>
      </c>
      <c r="O1455" s="87">
        <v>62</v>
      </c>
      <c r="P1455" s="173" t="s">
        <v>27</v>
      </c>
      <c r="Q1455" s="1" t="s">
        <v>1343</v>
      </c>
      <c r="R1455" s="175">
        <v>2</v>
      </c>
      <c r="S1455">
        <v>2</v>
      </c>
    </row>
    <row r="1456" spans="1:19" x14ac:dyDescent="0.25">
      <c r="A1456" s="87">
        <v>2019</v>
      </c>
      <c r="B1456" s="87">
        <v>9</v>
      </c>
      <c r="C1456" s="173" t="s">
        <v>16</v>
      </c>
      <c r="D1456" s="173" t="s">
        <v>22</v>
      </c>
      <c r="E1456" s="173" t="s">
        <v>18</v>
      </c>
      <c r="F1456" s="173" t="s">
        <v>16</v>
      </c>
      <c r="G1456" s="87" t="b">
        <v>1</v>
      </c>
      <c r="H1456" s="87" t="b">
        <v>1</v>
      </c>
      <c r="I1456" s="87" t="b">
        <v>0</v>
      </c>
      <c r="J1456" s="173" t="s">
        <v>450</v>
      </c>
      <c r="K1456" s="174">
        <v>17214149000176</v>
      </c>
      <c r="L1456" s="173" t="s">
        <v>1172</v>
      </c>
      <c r="M1456" s="173" t="s">
        <v>58</v>
      </c>
      <c r="N1456" s="173" t="s">
        <v>54</v>
      </c>
      <c r="O1456" s="87">
        <v>62</v>
      </c>
      <c r="P1456" s="173" t="s">
        <v>27</v>
      </c>
      <c r="Q1456" s="1" t="s">
        <v>1343</v>
      </c>
      <c r="R1456" s="175">
        <v>8</v>
      </c>
      <c r="S1456">
        <v>8</v>
      </c>
    </row>
    <row r="1457" spans="1:19" x14ac:dyDescent="0.25">
      <c r="A1457" s="87">
        <v>2019</v>
      </c>
      <c r="B1457" s="87">
        <v>9</v>
      </c>
      <c r="C1457" s="173" t="s">
        <v>16</v>
      </c>
      <c r="D1457" s="173" t="s">
        <v>22</v>
      </c>
      <c r="E1457" s="173" t="s">
        <v>18</v>
      </c>
      <c r="F1457" s="173" t="s">
        <v>16</v>
      </c>
      <c r="G1457" s="87" t="b">
        <v>1</v>
      </c>
      <c r="H1457" s="87" t="b">
        <v>1</v>
      </c>
      <c r="I1457" s="87" t="b">
        <v>0</v>
      </c>
      <c r="J1457" s="173" t="s">
        <v>463</v>
      </c>
      <c r="K1457" s="174">
        <v>17689407000928</v>
      </c>
      <c r="L1457" s="173" t="s">
        <v>1174</v>
      </c>
      <c r="M1457" s="173" t="s">
        <v>88</v>
      </c>
      <c r="N1457" s="173" t="s">
        <v>54</v>
      </c>
      <c r="O1457" s="87">
        <v>73</v>
      </c>
      <c r="P1457" s="173" t="s">
        <v>26</v>
      </c>
      <c r="Q1457" s="1" t="s">
        <v>1340</v>
      </c>
      <c r="R1457" s="175">
        <v>6</v>
      </c>
      <c r="S1457">
        <v>6</v>
      </c>
    </row>
    <row r="1458" spans="1:19" x14ac:dyDescent="0.25">
      <c r="A1458" s="87">
        <v>2019</v>
      </c>
      <c r="B1458" s="87">
        <v>9</v>
      </c>
      <c r="C1458" s="173" t="s">
        <v>16</v>
      </c>
      <c r="D1458" s="173" t="s">
        <v>22</v>
      </c>
      <c r="E1458" s="173" t="s">
        <v>18</v>
      </c>
      <c r="F1458" s="173" t="s">
        <v>16</v>
      </c>
      <c r="G1458" s="87" t="b">
        <v>1</v>
      </c>
      <c r="H1458" s="87" t="b">
        <v>1</v>
      </c>
      <c r="I1458" s="87" t="b">
        <v>0</v>
      </c>
      <c r="J1458" s="173" t="s">
        <v>477</v>
      </c>
      <c r="K1458" s="174">
        <v>18010750000100</v>
      </c>
      <c r="L1458" s="173" t="s">
        <v>1092</v>
      </c>
      <c r="M1458" s="173" t="s">
        <v>131</v>
      </c>
      <c r="N1458" s="173" t="s">
        <v>61</v>
      </c>
      <c r="O1458" s="87">
        <v>62</v>
      </c>
      <c r="P1458" s="173" t="s">
        <v>27</v>
      </c>
      <c r="Q1458" s="1" t="s">
        <v>1343</v>
      </c>
      <c r="R1458" s="175">
        <v>2</v>
      </c>
      <c r="S1458">
        <v>2</v>
      </c>
    </row>
    <row r="1459" spans="1:19" x14ac:dyDescent="0.25">
      <c r="A1459" s="87">
        <v>2019</v>
      </c>
      <c r="B1459" s="87">
        <v>9</v>
      </c>
      <c r="C1459" s="173" t="s">
        <v>16</v>
      </c>
      <c r="D1459" s="173" t="s">
        <v>22</v>
      </c>
      <c r="E1459" s="173" t="s">
        <v>18</v>
      </c>
      <c r="F1459" s="173" t="s">
        <v>16</v>
      </c>
      <c r="G1459" s="87" t="b">
        <v>1</v>
      </c>
      <c r="H1459" s="87" t="b">
        <v>1</v>
      </c>
      <c r="I1459" s="87" t="b">
        <v>0</v>
      </c>
      <c r="J1459" s="173" t="s">
        <v>477</v>
      </c>
      <c r="K1459" s="174">
        <v>18010750000100</v>
      </c>
      <c r="L1459" s="173" t="s">
        <v>1092</v>
      </c>
      <c r="M1459" s="173" t="s">
        <v>131</v>
      </c>
      <c r="N1459" s="173" t="s">
        <v>61</v>
      </c>
      <c r="O1459" s="87">
        <v>70</v>
      </c>
      <c r="P1459" s="173" t="s">
        <v>20</v>
      </c>
      <c r="Q1459" s="1" t="s">
        <v>1345</v>
      </c>
      <c r="R1459" s="175">
        <v>130</v>
      </c>
      <c r="S1459">
        <v>13</v>
      </c>
    </row>
    <row r="1460" spans="1:19" x14ac:dyDescent="0.25">
      <c r="A1460" s="87">
        <v>2019</v>
      </c>
      <c r="B1460" s="87">
        <v>9</v>
      </c>
      <c r="C1460" s="173" t="s">
        <v>16</v>
      </c>
      <c r="D1460" s="173" t="s">
        <v>22</v>
      </c>
      <c r="E1460" s="173" t="s">
        <v>18</v>
      </c>
      <c r="F1460" s="173" t="s">
        <v>16</v>
      </c>
      <c r="G1460" s="87" t="b">
        <v>1</v>
      </c>
      <c r="H1460" s="87" t="b">
        <v>1</v>
      </c>
      <c r="I1460" s="87" t="b">
        <v>0</v>
      </c>
      <c r="J1460" s="173" t="s">
        <v>477</v>
      </c>
      <c r="K1460" s="174">
        <v>18010750000100</v>
      </c>
      <c r="L1460" s="173" t="s">
        <v>1092</v>
      </c>
      <c r="M1460" s="173" t="s">
        <v>131</v>
      </c>
      <c r="N1460" s="173" t="s">
        <v>61</v>
      </c>
      <c r="O1460" s="87">
        <v>70</v>
      </c>
      <c r="P1460" s="173" t="s">
        <v>20</v>
      </c>
      <c r="Q1460" s="1" t="s">
        <v>1338</v>
      </c>
      <c r="R1460" s="175">
        <v>160</v>
      </c>
      <c r="S1460">
        <v>32</v>
      </c>
    </row>
    <row r="1461" spans="1:19" x14ac:dyDescent="0.25">
      <c r="A1461" s="87">
        <v>2019</v>
      </c>
      <c r="B1461" s="87">
        <v>9</v>
      </c>
      <c r="C1461" s="173" t="s">
        <v>16</v>
      </c>
      <c r="D1461" s="173" t="s">
        <v>22</v>
      </c>
      <c r="E1461" s="173" t="s">
        <v>18</v>
      </c>
      <c r="F1461" s="173" t="s">
        <v>16</v>
      </c>
      <c r="G1461" s="87" t="b">
        <v>1</v>
      </c>
      <c r="H1461" s="87" t="b">
        <v>1</v>
      </c>
      <c r="I1461" s="87" t="b">
        <v>0</v>
      </c>
      <c r="J1461" s="173" t="s">
        <v>470</v>
      </c>
      <c r="K1461" s="174">
        <v>18321477000134</v>
      </c>
      <c r="L1461" s="173" t="s">
        <v>664</v>
      </c>
      <c r="M1461" s="173" t="s">
        <v>650</v>
      </c>
      <c r="N1461" s="173" t="s">
        <v>19</v>
      </c>
      <c r="O1461" s="87">
        <v>73</v>
      </c>
      <c r="P1461" s="173" t="s">
        <v>26</v>
      </c>
      <c r="Q1461" s="1" t="s">
        <v>1342</v>
      </c>
      <c r="R1461" s="175">
        <v>48</v>
      </c>
      <c r="S1461">
        <v>12</v>
      </c>
    </row>
    <row r="1462" spans="1:19" x14ac:dyDescent="0.25">
      <c r="A1462" s="87">
        <v>2019</v>
      </c>
      <c r="B1462" s="87">
        <v>9</v>
      </c>
      <c r="C1462" s="173" t="s">
        <v>16</v>
      </c>
      <c r="D1462" s="173" t="s">
        <v>22</v>
      </c>
      <c r="E1462" s="173" t="s">
        <v>18</v>
      </c>
      <c r="F1462" s="173" t="s">
        <v>16</v>
      </c>
      <c r="G1462" s="87" t="b">
        <v>1</v>
      </c>
      <c r="H1462" s="87" t="b">
        <v>1</v>
      </c>
      <c r="I1462" s="87" t="b">
        <v>0</v>
      </c>
      <c r="J1462" s="173" t="s">
        <v>477</v>
      </c>
      <c r="K1462" s="174">
        <v>18836965000184</v>
      </c>
      <c r="L1462" s="173" t="s">
        <v>1177</v>
      </c>
      <c r="M1462" s="173" t="s">
        <v>111</v>
      </c>
      <c r="N1462" s="173" t="s">
        <v>54</v>
      </c>
      <c r="O1462" s="87">
        <v>73</v>
      </c>
      <c r="P1462" s="173" t="s">
        <v>26</v>
      </c>
      <c r="Q1462" s="1" t="s">
        <v>1342</v>
      </c>
      <c r="R1462" s="175">
        <v>20</v>
      </c>
      <c r="S1462">
        <v>5</v>
      </c>
    </row>
    <row r="1463" spans="1:19" x14ac:dyDescent="0.25">
      <c r="A1463" s="87">
        <v>2019</v>
      </c>
      <c r="B1463" s="87">
        <v>9</v>
      </c>
      <c r="C1463" s="173" t="s">
        <v>16</v>
      </c>
      <c r="D1463" s="173" t="s">
        <v>22</v>
      </c>
      <c r="E1463" s="173" t="s">
        <v>18</v>
      </c>
      <c r="F1463" s="173" t="s">
        <v>16</v>
      </c>
      <c r="G1463" s="87" t="b">
        <v>1</v>
      </c>
      <c r="H1463" s="87" t="b">
        <v>1</v>
      </c>
      <c r="I1463" s="87" t="b">
        <v>0</v>
      </c>
      <c r="J1463" s="173" t="s">
        <v>463</v>
      </c>
      <c r="K1463" s="174">
        <v>19803199000114</v>
      </c>
      <c r="L1463" s="173" t="s">
        <v>587</v>
      </c>
      <c r="M1463" s="173" t="s">
        <v>29</v>
      </c>
      <c r="N1463" s="173" t="s">
        <v>19</v>
      </c>
      <c r="O1463" s="87">
        <v>64</v>
      </c>
      <c r="P1463" s="173" t="s">
        <v>25</v>
      </c>
      <c r="Q1463" s="1" t="s">
        <v>1344</v>
      </c>
      <c r="R1463" s="175">
        <v>4</v>
      </c>
      <c r="S1463">
        <v>4</v>
      </c>
    </row>
    <row r="1464" spans="1:19" x14ac:dyDescent="0.25">
      <c r="A1464" s="87">
        <v>2019</v>
      </c>
      <c r="B1464" s="87">
        <v>9</v>
      </c>
      <c r="C1464" s="173" t="s">
        <v>16</v>
      </c>
      <c r="D1464" s="173" t="s">
        <v>22</v>
      </c>
      <c r="E1464" s="173" t="s">
        <v>18</v>
      </c>
      <c r="F1464" s="173" t="s">
        <v>16</v>
      </c>
      <c r="G1464" s="87" t="b">
        <v>1</v>
      </c>
      <c r="H1464" s="87" t="b">
        <v>1</v>
      </c>
      <c r="I1464" s="87" t="b">
        <v>0</v>
      </c>
      <c r="J1464" s="173" t="s">
        <v>450</v>
      </c>
      <c r="K1464" s="174">
        <v>19803199000114</v>
      </c>
      <c r="L1464" s="173" t="s">
        <v>587</v>
      </c>
      <c r="M1464" s="173" t="s">
        <v>29</v>
      </c>
      <c r="N1464" s="173" t="s">
        <v>19</v>
      </c>
      <c r="O1464" s="87">
        <v>70</v>
      </c>
      <c r="P1464" s="173" t="s">
        <v>20</v>
      </c>
      <c r="Q1464" s="1" t="s">
        <v>1338</v>
      </c>
      <c r="R1464" s="175">
        <v>125</v>
      </c>
      <c r="S1464">
        <v>25</v>
      </c>
    </row>
    <row r="1465" spans="1:19" x14ac:dyDescent="0.25">
      <c r="A1465" s="87">
        <v>2019</v>
      </c>
      <c r="B1465" s="87">
        <v>9</v>
      </c>
      <c r="C1465" s="173" t="s">
        <v>16</v>
      </c>
      <c r="D1465" s="173" t="s">
        <v>22</v>
      </c>
      <c r="E1465" s="173" t="s">
        <v>18</v>
      </c>
      <c r="F1465" s="173" t="s">
        <v>16</v>
      </c>
      <c r="G1465" s="87" t="b">
        <v>1</v>
      </c>
      <c r="H1465" s="87" t="b">
        <v>1</v>
      </c>
      <c r="I1465" s="87" t="b">
        <v>0</v>
      </c>
      <c r="J1465" s="173" t="s">
        <v>478</v>
      </c>
      <c r="K1465" s="174">
        <v>19878404000100</v>
      </c>
      <c r="L1465" s="173" t="s">
        <v>1184</v>
      </c>
      <c r="M1465" s="173" t="s">
        <v>89</v>
      </c>
      <c r="N1465" s="173" t="s">
        <v>54</v>
      </c>
      <c r="O1465" s="87">
        <v>73</v>
      </c>
      <c r="P1465" s="173" t="s">
        <v>26</v>
      </c>
      <c r="Q1465" s="1" t="s">
        <v>1342</v>
      </c>
      <c r="R1465" s="175">
        <v>52</v>
      </c>
      <c r="S1465">
        <v>13</v>
      </c>
    </row>
    <row r="1466" spans="1:19" x14ac:dyDescent="0.25">
      <c r="A1466" s="87">
        <v>2019</v>
      </c>
      <c r="B1466" s="87">
        <v>9</v>
      </c>
      <c r="C1466" s="173" t="s">
        <v>16</v>
      </c>
      <c r="D1466" s="173" t="s">
        <v>22</v>
      </c>
      <c r="E1466" s="173" t="s">
        <v>18</v>
      </c>
      <c r="F1466" s="173" t="s">
        <v>16</v>
      </c>
      <c r="G1466" s="87" t="b">
        <v>1</v>
      </c>
      <c r="H1466" s="87" t="b">
        <v>1</v>
      </c>
      <c r="I1466" s="87" t="b">
        <v>0</v>
      </c>
      <c r="J1466" s="173" t="s">
        <v>470</v>
      </c>
      <c r="K1466" s="174">
        <v>20150900000122</v>
      </c>
      <c r="L1466" s="173" t="s">
        <v>1185</v>
      </c>
      <c r="M1466" s="173" t="s">
        <v>1171</v>
      </c>
      <c r="N1466" s="173" t="s">
        <v>54</v>
      </c>
      <c r="O1466" s="87">
        <v>73</v>
      </c>
      <c r="P1466" s="173" t="s">
        <v>26</v>
      </c>
      <c r="Q1466" s="1" t="s">
        <v>1339</v>
      </c>
      <c r="R1466" s="175">
        <v>6</v>
      </c>
      <c r="S1466">
        <v>3</v>
      </c>
    </row>
    <row r="1467" spans="1:19" x14ac:dyDescent="0.25">
      <c r="A1467" s="87">
        <v>2019</v>
      </c>
      <c r="B1467" s="87">
        <v>9</v>
      </c>
      <c r="C1467" s="173" t="s">
        <v>16</v>
      </c>
      <c r="D1467" s="173" t="s">
        <v>22</v>
      </c>
      <c r="E1467" s="173" t="s">
        <v>18</v>
      </c>
      <c r="F1467" s="173" t="s">
        <v>16</v>
      </c>
      <c r="G1467" s="87" t="b">
        <v>1</v>
      </c>
      <c r="H1467" s="87" t="b">
        <v>1</v>
      </c>
      <c r="I1467" s="87" t="b">
        <v>0</v>
      </c>
      <c r="J1467" s="173" t="s">
        <v>470</v>
      </c>
      <c r="K1467" s="174">
        <v>20150900000122</v>
      </c>
      <c r="L1467" s="173" t="s">
        <v>1185</v>
      </c>
      <c r="M1467" s="173" t="s">
        <v>1171</v>
      </c>
      <c r="N1467" s="173" t="s">
        <v>54</v>
      </c>
      <c r="O1467" s="87">
        <v>73</v>
      </c>
      <c r="P1467" s="173" t="s">
        <v>26</v>
      </c>
      <c r="Q1467" s="1" t="s">
        <v>1342</v>
      </c>
      <c r="R1467" s="175">
        <v>12</v>
      </c>
      <c r="S1467">
        <v>3</v>
      </c>
    </row>
    <row r="1468" spans="1:19" x14ac:dyDescent="0.25">
      <c r="A1468" s="87">
        <v>2019</v>
      </c>
      <c r="B1468" s="87">
        <v>9</v>
      </c>
      <c r="C1468" s="173" t="s">
        <v>16</v>
      </c>
      <c r="D1468" s="173" t="s">
        <v>22</v>
      </c>
      <c r="E1468" s="173" t="s">
        <v>18</v>
      </c>
      <c r="F1468" s="173" t="s">
        <v>16</v>
      </c>
      <c r="G1468" s="87" t="b">
        <v>1</v>
      </c>
      <c r="H1468" s="87" t="b">
        <v>1</v>
      </c>
      <c r="I1468" s="87" t="b">
        <v>0</v>
      </c>
      <c r="J1468" s="173" t="s">
        <v>450</v>
      </c>
      <c r="K1468" s="174">
        <v>20812223000241</v>
      </c>
      <c r="L1468" s="173" t="s">
        <v>588</v>
      </c>
      <c r="M1468" s="173" t="s">
        <v>29</v>
      </c>
      <c r="N1468" s="173" t="s">
        <v>19</v>
      </c>
      <c r="O1468" s="87">
        <v>73</v>
      </c>
      <c r="P1468" s="173" t="s">
        <v>26</v>
      </c>
      <c r="Q1468" s="1" t="s">
        <v>1339</v>
      </c>
      <c r="R1468" s="175">
        <v>2</v>
      </c>
      <c r="S1468">
        <v>1</v>
      </c>
    </row>
    <row r="1469" spans="1:19" x14ac:dyDescent="0.25">
      <c r="A1469" s="87">
        <v>2019</v>
      </c>
      <c r="B1469" s="87">
        <v>9</v>
      </c>
      <c r="C1469" s="173" t="s">
        <v>16</v>
      </c>
      <c r="D1469" s="173" t="s">
        <v>22</v>
      </c>
      <c r="E1469" s="173" t="s">
        <v>18</v>
      </c>
      <c r="F1469" s="173" t="s">
        <v>16</v>
      </c>
      <c r="G1469" s="87" t="b">
        <v>1</v>
      </c>
      <c r="H1469" s="87" t="b">
        <v>1</v>
      </c>
      <c r="I1469" s="87" t="b">
        <v>0</v>
      </c>
      <c r="J1469" s="173" t="s">
        <v>450</v>
      </c>
      <c r="K1469" s="174">
        <v>20812223000241</v>
      </c>
      <c r="L1469" s="173" t="s">
        <v>588</v>
      </c>
      <c r="M1469" s="173" t="s">
        <v>29</v>
      </c>
      <c r="N1469" s="173" t="s">
        <v>19</v>
      </c>
      <c r="O1469" s="87">
        <v>73</v>
      </c>
      <c r="P1469" s="173" t="s">
        <v>26</v>
      </c>
      <c r="Q1469" s="1" t="s">
        <v>1342</v>
      </c>
      <c r="R1469" s="175">
        <v>8</v>
      </c>
      <c r="S1469">
        <v>2</v>
      </c>
    </row>
    <row r="1470" spans="1:19" x14ac:dyDescent="0.25">
      <c r="A1470" s="87">
        <v>2019</v>
      </c>
      <c r="B1470" s="87">
        <v>9</v>
      </c>
      <c r="C1470" s="173" t="s">
        <v>16</v>
      </c>
      <c r="D1470" s="173" t="s">
        <v>22</v>
      </c>
      <c r="E1470" s="173" t="s">
        <v>18</v>
      </c>
      <c r="F1470" s="173" t="s">
        <v>16</v>
      </c>
      <c r="G1470" s="87" t="b">
        <v>1</v>
      </c>
      <c r="H1470" s="87" t="b">
        <v>1</v>
      </c>
      <c r="I1470" s="87" t="b">
        <v>0</v>
      </c>
      <c r="J1470" s="173" t="s">
        <v>470</v>
      </c>
      <c r="K1470" s="174">
        <v>20909271000171</v>
      </c>
      <c r="L1470" s="173" t="s">
        <v>1189</v>
      </c>
      <c r="M1470" s="173" t="s">
        <v>101</v>
      </c>
      <c r="N1470" s="173" t="s">
        <v>54</v>
      </c>
      <c r="O1470" s="87">
        <v>73</v>
      </c>
      <c r="P1470" s="173" t="s">
        <v>26</v>
      </c>
      <c r="Q1470" s="1" t="s">
        <v>1339</v>
      </c>
      <c r="R1470" s="175">
        <v>70</v>
      </c>
      <c r="S1470">
        <v>35</v>
      </c>
    </row>
    <row r="1471" spans="1:19" x14ac:dyDescent="0.25">
      <c r="A1471" s="87">
        <v>2019</v>
      </c>
      <c r="B1471" s="87">
        <v>9</v>
      </c>
      <c r="C1471" s="173" t="s">
        <v>16</v>
      </c>
      <c r="D1471" s="173" t="s">
        <v>22</v>
      </c>
      <c r="E1471" s="173" t="s">
        <v>18</v>
      </c>
      <c r="F1471" s="173" t="s">
        <v>16</v>
      </c>
      <c r="G1471" s="87" t="b">
        <v>1</v>
      </c>
      <c r="H1471" s="87" t="b">
        <v>1</v>
      </c>
      <c r="I1471" s="87" t="b">
        <v>0</v>
      </c>
      <c r="J1471" s="173" t="s">
        <v>1512</v>
      </c>
      <c r="K1471" s="174">
        <v>21109731000140</v>
      </c>
      <c r="L1471" s="173" t="s">
        <v>1093</v>
      </c>
      <c r="M1471" s="173" t="s">
        <v>131</v>
      </c>
      <c r="N1471" s="173" t="s">
        <v>61</v>
      </c>
      <c r="O1471" s="87">
        <v>73</v>
      </c>
      <c r="P1471" s="173" t="s">
        <v>26</v>
      </c>
      <c r="Q1471" s="1" t="s">
        <v>1342</v>
      </c>
      <c r="R1471" s="175">
        <v>112</v>
      </c>
      <c r="S1471">
        <v>28</v>
      </c>
    </row>
    <row r="1472" spans="1:19" x14ac:dyDescent="0.25">
      <c r="A1472" s="87">
        <v>2019</v>
      </c>
      <c r="B1472" s="87">
        <v>9</v>
      </c>
      <c r="C1472" s="173" t="s">
        <v>16</v>
      </c>
      <c r="D1472" s="173" t="s">
        <v>22</v>
      </c>
      <c r="E1472" s="173" t="s">
        <v>18</v>
      </c>
      <c r="F1472" s="173" t="s">
        <v>16</v>
      </c>
      <c r="G1472" s="87" t="b">
        <v>1</v>
      </c>
      <c r="H1472" s="87" t="b">
        <v>1</v>
      </c>
      <c r="I1472" s="87" t="b">
        <v>0</v>
      </c>
      <c r="J1472" s="173" t="s">
        <v>478</v>
      </c>
      <c r="K1472" s="174">
        <v>21265360000195</v>
      </c>
      <c r="L1472" s="173" t="s">
        <v>1094</v>
      </c>
      <c r="M1472" s="173" t="s">
        <v>131</v>
      </c>
      <c r="N1472" s="173" t="s">
        <v>61</v>
      </c>
      <c r="O1472" s="87">
        <v>73</v>
      </c>
      <c r="P1472" s="173" t="s">
        <v>26</v>
      </c>
      <c r="Q1472" s="1" t="s">
        <v>1342</v>
      </c>
      <c r="R1472" s="175">
        <v>16</v>
      </c>
      <c r="S1472">
        <v>4</v>
      </c>
    </row>
    <row r="1473" spans="1:19" x14ac:dyDescent="0.25">
      <c r="A1473" s="87">
        <v>2019</v>
      </c>
      <c r="B1473" s="87">
        <v>9</v>
      </c>
      <c r="C1473" s="173" t="s">
        <v>16</v>
      </c>
      <c r="D1473" s="173" t="s">
        <v>22</v>
      </c>
      <c r="E1473" s="173" t="s">
        <v>18</v>
      </c>
      <c r="F1473" s="173" t="s">
        <v>16</v>
      </c>
      <c r="G1473" s="87" t="b">
        <v>1</v>
      </c>
      <c r="H1473" s="87" t="b">
        <v>1</v>
      </c>
      <c r="I1473" s="87" t="b">
        <v>0</v>
      </c>
      <c r="J1473" s="173" t="s">
        <v>463</v>
      </c>
      <c r="K1473" s="174">
        <v>21371777000132</v>
      </c>
      <c r="L1473" s="173" t="s">
        <v>589</v>
      </c>
      <c r="M1473" s="173" t="s">
        <v>29</v>
      </c>
      <c r="N1473" s="173" t="s">
        <v>19</v>
      </c>
      <c r="O1473" s="87">
        <v>62</v>
      </c>
      <c r="P1473" s="173" t="s">
        <v>27</v>
      </c>
      <c r="Q1473" s="1" t="s">
        <v>1343</v>
      </c>
      <c r="R1473" s="175">
        <v>11</v>
      </c>
      <c r="S1473">
        <v>11</v>
      </c>
    </row>
    <row r="1474" spans="1:19" x14ac:dyDescent="0.25">
      <c r="A1474" s="87">
        <v>2019</v>
      </c>
      <c r="B1474" s="87">
        <v>9</v>
      </c>
      <c r="C1474" s="173" t="s">
        <v>16</v>
      </c>
      <c r="D1474" s="173" t="s">
        <v>22</v>
      </c>
      <c r="E1474" s="173" t="s">
        <v>18</v>
      </c>
      <c r="F1474" s="173" t="s">
        <v>16</v>
      </c>
      <c r="G1474" s="87" t="b">
        <v>1</v>
      </c>
      <c r="H1474" s="87" t="b">
        <v>1</v>
      </c>
      <c r="I1474" s="87" t="b">
        <v>0</v>
      </c>
      <c r="J1474" s="173" t="s">
        <v>477</v>
      </c>
      <c r="K1474" s="174">
        <v>24217779000160</v>
      </c>
      <c r="L1474" s="173" t="s">
        <v>1097</v>
      </c>
      <c r="M1474" s="173" t="s">
        <v>131</v>
      </c>
      <c r="N1474" s="173" t="s">
        <v>61</v>
      </c>
      <c r="O1474" s="87">
        <v>62</v>
      </c>
      <c r="P1474" s="173" t="s">
        <v>27</v>
      </c>
      <c r="Q1474" s="1" t="s">
        <v>1343</v>
      </c>
      <c r="R1474" s="175">
        <v>14</v>
      </c>
      <c r="S1474">
        <v>14</v>
      </c>
    </row>
    <row r="1475" spans="1:19" x14ac:dyDescent="0.25">
      <c r="A1475" s="87">
        <v>2019</v>
      </c>
      <c r="B1475" s="87">
        <v>9</v>
      </c>
      <c r="C1475" s="173" t="s">
        <v>16</v>
      </c>
      <c r="D1475" s="173" t="s">
        <v>22</v>
      </c>
      <c r="E1475" s="173" t="s">
        <v>18</v>
      </c>
      <c r="F1475" s="173" t="s">
        <v>16</v>
      </c>
      <c r="G1475" s="87" t="b">
        <v>1</v>
      </c>
      <c r="H1475" s="87" t="b">
        <v>1</v>
      </c>
      <c r="I1475" s="87" t="b">
        <v>0</v>
      </c>
      <c r="J1475" s="173" t="s">
        <v>477</v>
      </c>
      <c r="K1475" s="174">
        <v>24217779000160</v>
      </c>
      <c r="L1475" s="173" t="s">
        <v>1097</v>
      </c>
      <c r="M1475" s="173" t="s">
        <v>131</v>
      </c>
      <c r="N1475" s="173" t="s">
        <v>61</v>
      </c>
      <c r="O1475" s="87">
        <v>64</v>
      </c>
      <c r="P1475" s="173" t="s">
        <v>25</v>
      </c>
      <c r="Q1475" s="1" t="s">
        <v>1344</v>
      </c>
      <c r="R1475" s="175">
        <v>29</v>
      </c>
      <c r="S1475">
        <v>29</v>
      </c>
    </row>
    <row r="1476" spans="1:19" x14ac:dyDescent="0.25">
      <c r="A1476" s="87">
        <v>2019</v>
      </c>
      <c r="B1476" s="87">
        <v>9</v>
      </c>
      <c r="C1476" s="173" t="s">
        <v>16</v>
      </c>
      <c r="D1476" s="173" t="s">
        <v>22</v>
      </c>
      <c r="E1476" s="173" t="s">
        <v>18</v>
      </c>
      <c r="F1476" s="173" t="s">
        <v>16</v>
      </c>
      <c r="G1476" s="87" t="b">
        <v>1</v>
      </c>
      <c r="H1476" s="87" t="b">
        <v>1</v>
      </c>
      <c r="I1476" s="87" t="b">
        <v>0</v>
      </c>
      <c r="J1476" s="173" t="s">
        <v>463</v>
      </c>
      <c r="K1476" s="174">
        <v>25026561000190</v>
      </c>
      <c r="L1476" s="173" t="s">
        <v>666</v>
      </c>
      <c r="M1476" s="173" t="s">
        <v>34</v>
      </c>
      <c r="N1476" s="173" t="s">
        <v>19</v>
      </c>
      <c r="O1476" s="87">
        <v>70</v>
      </c>
      <c r="P1476" s="173" t="s">
        <v>20</v>
      </c>
      <c r="Q1476" s="1" t="s">
        <v>1338</v>
      </c>
      <c r="R1476" s="175">
        <v>20</v>
      </c>
      <c r="S1476">
        <v>4</v>
      </c>
    </row>
    <row r="1477" spans="1:19" x14ac:dyDescent="0.25">
      <c r="A1477" s="87">
        <v>2019</v>
      </c>
      <c r="B1477" s="87">
        <v>9</v>
      </c>
      <c r="C1477" s="173" t="s">
        <v>16</v>
      </c>
      <c r="D1477" s="173" t="s">
        <v>22</v>
      </c>
      <c r="E1477" s="173" t="s">
        <v>18</v>
      </c>
      <c r="F1477" s="173" t="s">
        <v>16</v>
      </c>
      <c r="G1477" s="87" t="b">
        <v>1</v>
      </c>
      <c r="H1477" s="87" t="b">
        <v>1</v>
      </c>
      <c r="I1477" s="87" t="b">
        <v>0</v>
      </c>
      <c r="J1477" s="173" t="s">
        <v>477</v>
      </c>
      <c r="K1477" s="174">
        <v>25308058000128</v>
      </c>
      <c r="L1477" s="173" t="s">
        <v>1047</v>
      </c>
      <c r="M1477" s="173" t="s">
        <v>1048</v>
      </c>
      <c r="N1477" s="173" t="s">
        <v>61</v>
      </c>
      <c r="O1477" s="87">
        <v>64</v>
      </c>
      <c r="P1477" s="173" t="s">
        <v>25</v>
      </c>
      <c r="Q1477" s="1" t="s">
        <v>1344</v>
      </c>
      <c r="R1477" s="175">
        <v>2</v>
      </c>
      <c r="S1477">
        <v>2</v>
      </c>
    </row>
    <row r="1478" spans="1:19" x14ac:dyDescent="0.25">
      <c r="A1478" s="87">
        <v>2019</v>
      </c>
      <c r="B1478" s="87">
        <v>9</v>
      </c>
      <c r="C1478" s="173" t="s">
        <v>16</v>
      </c>
      <c r="D1478" s="173" t="s">
        <v>22</v>
      </c>
      <c r="E1478" s="173" t="s">
        <v>18</v>
      </c>
      <c r="F1478" s="173" t="s">
        <v>16</v>
      </c>
      <c r="G1478" s="87" t="b">
        <v>1</v>
      </c>
      <c r="H1478" s="87" t="b">
        <v>1</v>
      </c>
      <c r="I1478" s="87" t="b">
        <v>0</v>
      </c>
      <c r="J1478" s="173" t="s">
        <v>1330</v>
      </c>
      <c r="K1478" s="174">
        <v>25648387000207</v>
      </c>
      <c r="L1478" s="173" t="s">
        <v>1201</v>
      </c>
      <c r="M1478" s="173" t="s">
        <v>1171</v>
      </c>
      <c r="N1478" s="173" t="s">
        <v>54</v>
      </c>
      <c r="O1478" s="87">
        <v>70</v>
      </c>
      <c r="P1478" s="173" t="s">
        <v>20</v>
      </c>
      <c r="Q1478" s="1" t="s">
        <v>1338</v>
      </c>
      <c r="R1478" s="175">
        <v>650</v>
      </c>
      <c r="S1478">
        <v>130</v>
      </c>
    </row>
    <row r="1479" spans="1:19" x14ac:dyDescent="0.25">
      <c r="A1479" s="87">
        <v>2019</v>
      </c>
      <c r="B1479" s="87">
        <v>9</v>
      </c>
      <c r="C1479" s="173" t="s">
        <v>16</v>
      </c>
      <c r="D1479" s="173" t="s">
        <v>22</v>
      </c>
      <c r="E1479" s="173" t="s">
        <v>18</v>
      </c>
      <c r="F1479" s="173" t="s">
        <v>16</v>
      </c>
      <c r="G1479" s="87" t="b">
        <v>1</v>
      </c>
      <c r="H1479" s="87" t="b">
        <v>1</v>
      </c>
      <c r="I1479" s="87" t="b">
        <v>0</v>
      </c>
      <c r="J1479" s="173" t="s">
        <v>470</v>
      </c>
      <c r="K1479" s="174">
        <v>25761040000187</v>
      </c>
      <c r="L1479" s="173" t="s">
        <v>1202</v>
      </c>
      <c r="M1479" s="173" t="s">
        <v>1171</v>
      </c>
      <c r="N1479" s="173" t="s">
        <v>54</v>
      </c>
      <c r="O1479" s="87">
        <v>62</v>
      </c>
      <c r="P1479" s="173" t="s">
        <v>27</v>
      </c>
      <c r="Q1479" s="1" t="s">
        <v>1343</v>
      </c>
      <c r="R1479" s="175">
        <v>6</v>
      </c>
      <c r="S1479">
        <v>6</v>
      </c>
    </row>
    <row r="1480" spans="1:19" x14ac:dyDescent="0.25">
      <c r="A1480" s="87">
        <v>2019</v>
      </c>
      <c r="B1480" s="87">
        <v>9</v>
      </c>
      <c r="C1480" s="173" t="s">
        <v>16</v>
      </c>
      <c r="D1480" s="173" t="s">
        <v>22</v>
      </c>
      <c r="E1480" s="173" t="s">
        <v>18</v>
      </c>
      <c r="F1480" s="173" t="s">
        <v>16</v>
      </c>
      <c r="G1480" s="87" t="b">
        <v>1</v>
      </c>
      <c r="H1480" s="87" t="b">
        <v>1</v>
      </c>
      <c r="I1480" s="87" t="b">
        <v>0</v>
      </c>
      <c r="J1480" s="173" t="s">
        <v>491</v>
      </c>
      <c r="K1480" s="174">
        <v>25910449000460</v>
      </c>
      <c r="L1480" s="173" t="s">
        <v>1203</v>
      </c>
      <c r="M1480" s="173" t="s">
        <v>1204</v>
      </c>
      <c r="N1480" s="173" t="s">
        <v>54</v>
      </c>
      <c r="O1480" s="87">
        <v>70</v>
      </c>
      <c r="P1480" s="173" t="s">
        <v>20</v>
      </c>
      <c r="Q1480" s="1" t="s">
        <v>1338</v>
      </c>
      <c r="R1480" s="175">
        <v>30</v>
      </c>
      <c r="S1480">
        <v>6</v>
      </c>
    </row>
    <row r="1481" spans="1:19" x14ac:dyDescent="0.25">
      <c r="A1481" s="87">
        <v>2019</v>
      </c>
      <c r="B1481" s="87">
        <v>9</v>
      </c>
      <c r="C1481" s="173" t="s">
        <v>16</v>
      </c>
      <c r="D1481" s="173" t="s">
        <v>22</v>
      </c>
      <c r="E1481" s="173" t="s">
        <v>18</v>
      </c>
      <c r="F1481" s="173" t="s">
        <v>16</v>
      </c>
      <c r="G1481" s="87" t="b">
        <v>1</v>
      </c>
      <c r="H1481" s="87" t="b">
        <v>1</v>
      </c>
      <c r="I1481" s="87" t="b">
        <v>0</v>
      </c>
      <c r="J1481" s="173" t="s">
        <v>1330</v>
      </c>
      <c r="K1481" s="174">
        <v>27080605000358</v>
      </c>
      <c r="L1481" s="173" t="s">
        <v>1205</v>
      </c>
      <c r="M1481" s="173" t="s">
        <v>1206</v>
      </c>
      <c r="N1481" s="173" t="s">
        <v>98</v>
      </c>
      <c r="O1481" s="87">
        <v>70</v>
      </c>
      <c r="P1481" s="173" t="s">
        <v>20</v>
      </c>
      <c r="Q1481" s="1" t="s">
        <v>1338</v>
      </c>
      <c r="R1481" s="175">
        <v>200</v>
      </c>
      <c r="S1481">
        <v>40</v>
      </c>
    </row>
    <row r="1482" spans="1:19" x14ac:dyDescent="0.25">
      <c r="A1482" s="87">
        <v>2019</v>
      </c>
      <c r="B1482" s="87">
        <v>9</v>
      </c>
      <c r="C1482" s="173" t="s">
        <v>16</v>
      </c>
      <c r="D1482" s="173" t="s">
        <v>22</v>
      </c>
      <c r="E1482" s="173" t="s">
        <v>18</v>
      </c>
      <c r="F1482" s="173" t="s">
        <v>16</v>
      </c>
      <c r="G1482" s="87" t="b">
        <v>1</v>
      </c>
      <c r="H1482" s="87" t="b">
        <v>1</v>
      </c>
      <c r="I1482" s="87" t="b">
        <v>0</v>
      </c>
      <c r="J1482" s="173" t="s">
        <v>491</v>
      </c>
      <c r="K1482" s="174">
        <v>27372066000169</v>
      </c>
      <c r="L1482" s="173" t="s">
        <v>908</v>
      </c>
      <c r="M1482" s="173" t="s">
        <v>75</v>
      </c>
      <c r="N1482" s="173" t="s">
        <v>74</v>
      </c>
      <c r="O1482" s="87">
        <v>62</v>
      </c>
      <c r="P1482" s="173" t="s">
        <v>27</v>
      </c>
      <c r="Q1482" s="1" t="s">
        <v>1343</v>
      </c>
      <c r="R1482" s="175">
        <v>5</v>
      </c>
      <c r="S1482">
        <v>5</v>
      </c>
    </row>
    <row r="1483" spans="1:19" x14ac:dyDescent="0.25">
      <c r="A1483" s="87">
        <v>2019</v>
      </c>
      <c r="B1483" s="87">
        <v>9</v>
      </c>
      <c r="C1483" s="173" t="s">
        <v>16</v>
      </c>
      <c r="D1483" s="173" t="s">
        <v>22</v>
      </c>
      <c r="E1483" s="173" t="s">
        <v>18</v>
      </c>
      <c r="F1483" s="173" t="s">
        <v>16</v>
      </c>
      <c r="G1483" s="87" t="b">
        <v>1</v>
      </c>
      <c r="H1483" s="87" t="b">
        <v>1</v>
      </c>
      <c r="I1483" s="87" t="b">
        <v>0</v>
      </c>
      <c r="J1483" s="173" t="s">
        <v>491</v>
      </c>
      <c r="K1483" s="174">
        <v>27372066000169</v>
      </c>
      <c r="L1483" s="173" t="s">
        <v>908</v>
      </c>
      <c r="M1483" s="173" t="s">
        <v>75</v>
      </c>
      <c r="N1483" s="173" t="s">
        <v>74</v>
      </c>
      <c r="O1483" s="87">
        <v>64</v>
      </c>
      <c r="P1483" s="173" t="s">
        <v>25</v>
      </c>
      <c r="Q1483" s="1" t="s">
        <v>1344</v>
      </c>
      <c r="R1483" s="175">
        <v>8</v>
      </c>
      <c r="S1483">
        <v>8</v>
      </c>
    </row>
    <row r="1484" spans="1:19" x14ac:dyDescent="0.25">
      <c r="A1484" s="87">
        <v>2019</v>
      </c>
      <c r="B1484" s="87">
        <v>9</v>
      </c>
      <c r="C1484" s="173" t="s">
        <v>16</v>
      </c>
      <c r="D1484" s="173" t="s">
        <v>22</v>
      </c>
      <c r="E1484" s="173" t="s">
        <v>18</v>
      </c>
      <c r="F1484" s="173" t="s">
        <v>16</v>
      </c>
      <c r="G1484" s="87" t="b">
        <v>1</v>
      </c>
      <c r="H1484" s="87" t="b">
        <v>1</v>
      </c>
      <c r="I1484" s="87" t="b">
        <v>0</v>
      </c>
      <c r="J1484" s="173" t="s">
        <v>468</v>
      </c>
      <c r="K1484" s="174">
        <v>27578434001525</v>
      </c>
      <c r="L1484" s="173" t="s">
        <v>1208</v>
      </c>
      <c r="M1484" s="173" t="s">
        <v>1157</v>
      </c>
      <c r="N1484" s="173" t="s">
        <v>98</v>
      </c>
      <c r="O1484" s="87">
        <v>70</v>
      </c>
      <c r="P1484" s="173" t="s">
        <v>20</v>
      </c>
      <c r="Q1484" s="1" t="s">
        <v>1338</v>
      </c>
      <c r="R1484" s="175">
        <v>1000</v>
      </c>
      <c r="S1484">
        <v>200</v>
      </c>
    </row>
    <row r="1485" spans="1:19" x14ac:dyDescent="0.25">
      <c r="A1485" s="87">
        <v>2019</v>
      </c>
      <c r="B1485" s="87">
        <v>9</v>
      </c>
      <c r="C1485" s="173" t="s">
        <v>16</v>
      </c>
      <c r="D1485" s="173" t="s">
        <v>22</v>
      </c>
      <c r="E1485" s="173" t="s">
        <v>18</v>
      </c>
      <c r="F1485" s="173" t="s">
        <v>16</v>
      </c>
      <c r="G1485" s="87" t="b">
        <v>1</v>
      </c>
      <c r="H1485" s="87" t="b">
        <v>1</v>
      </c>
      <c r="I1485" s="87" t="b">
        <v>0</v>
      </c>
      <c r="J1485" s="173" t="s">
        <v>491</v>
      </c>
      <c r="K1485" s="174">
        <v>27901222000131</v>
      </c>
      <c r="L1485" s="173" t="s">
        <v>1098</v>
      </c>
      <c r="M1485" s="173" t="s">
        <v>131</v>
      </c>
      <c r="N1485" s="173" t="s">
        <v>61</v>
      </c>
      <c r="O1485" s="87">
        <v>62</v>
      </c>
      <c r="P1485" s="173" t="s">
        <v>27</v>
      </c>
      <c r="Q1485" s="1" t="s">
        <v>1343</v>
      </c>
      <c r="R1485" s="175">
        <v>6</v>
      </c>
      <c r="S1485">
        <v>6</v>
      </c>
    </row>
    <row r="1486" spans="1:19" x14ac:dyDescent="0.25">
      <c r="A1486" s="87">
        <v>2019</v>
      </c>
      <c r="B1486" s="87">
        <v>9</v>
      </c>
      <c r="C1486" s="173" t="s">
        <v>16</v>
      </c>
      <c r="D1486" s="173" t="s">
        <v>22</v>
      </c>
      <c r="E1486" s="173" t="s">
        <v>18</v>
      </c>
      <c r="F1486" s="173" t="s">
        <v>16</v>
      </c>
      <c r="G1486" s="87" t="b">
        <v>1</v>
      </c>
      <c r="H1486" s="87" t="b">
        <v>1</v>
      </c>
      <c r="I1486" s="87" t="b">
        <v>0</v>
      </c>
      <c r="J1486" s="173" t="s">
        <v>468</v>
      </c>
      <c r="K1486" s="174">
        <v>28000107000159</v>
      </c>
      <c r="L1486" s="173" t="s">
        <v>1099</v>
      </c>
      <c r="M1486" s="173" t="s">
        <v>131</v>
      </c>
      <c r="N1486" s="173" t="s">
        <v>61</v>
      </c>
      <c r="O1486" s="87">
        <v>70</v>
      </c>
      <c r="P1486" s="173" t="s">
        <v>20</v>
      </c>
      <c r="Q1486" s="1" t="s">
        <v>1338</v>
      </c>
      <c r="R1486" s="175">
        <v>90</v>
      </c>
      <c r="S1486">
        <v>18</v>
      </c>
    </row>
    <row r="1487" spans="1:19" x14ac:dyDescent="0.25">
      <c r="A1487" s="87">
        <v>2019</v>
      </c>
      <c r="B1487" s="87">
        <v>9</v>
      </c>
      <c r="C1487" s="173" t="s">
        <v>16</v>
      </c>
      <c r="D1487" s="173" t="s">
        <v>22</v>
      </c>
      <c r="E1487" s="173" t="s">
        <v>18</v>
      </c>
      <c r="F1487" s="173" t="s">
        <v>16</v>
      </c>
      <c r="G1487" s="87" t="b">
        <v>1</v>
      </c>
      <c r="H1487" s="87" t="b">
        <v>1</v>
      </c>
      <c r="I1487" s="87" t="b">
        <v>0</v>
      </c>
      <c r="J1487" s="173" t="s">
        <v>491</v>
      </c>
      <c r="K1487" s="174">
        <v>28000107000159</v>
      </c>
      <c r="L1487" s="173" t="s">
        <v>1099</v>
      </c>
      <c r="M1487" s="173" t="s">
        <v>131</v>
      </c>
      <c r="N1487" s="173" t="s">
        <v>61</v>
      </c>
      <c r="O1487" s="87">
        <v>70</v>
      </c>
      <c r="P1487" s="173" t="s">
        <v>20</v>
      </c>
      <c r="Q1487" s="1" t="s">
        <v>1338</v>
      </c>
      <c r="R1487" s="175">
        <v>60</v>
      </c>
      <c r="S1487">
        <v>12</v>
      </c>
    </row>
    <row r="1488" spans="1:19" x14ac:dyDescent="0.25">
      <c r="A1488" s="87">
        <v>2019</v>
      </c>
      <c r="B1488" s="87">
        <v>9</v>
      </c>
      <c r="C1488" s="173" t="s">
        <v>16</v>
      </c>
      <c r="D1488" s="173" t="s">
        <v>22</v>
      </c>
      <c r="E1488" s="173" t="s">
        <v>18</v>
      </c>
      <c r="F1488" s="173" t="s">
        <v>16</v>
      </c>
      <c r="G1488" s="87" t="b">
        <v>1</v>
      </c>
      <c r="H1488" s="87" t="b">
        <v>1</v>
      </c>
      <c r="I1488" s="87" t="b">
        <v>0</v>
      </c>
      <c r="J1488" s="173" t="s">
        <v>451</v>
      </c>
      <c r="K1488" s="174">
        <v>28000107000159</v>
      </c>
      <c r="L1488" s="173" t="s">
        <v>1099</v>
      </c>
      <c r="M1488" s="173" t="s">
        <v>131</v>
      </c>
      <c r="N1488" s="173" t="s">
        <v>61</v>
      </c>
      <c r="O1488" s="87">
        <v>73</v>
      </c>
      <c r="P1488" s="173" t="s">
        <v>26</v>
      </c>
      <c r="Q1488" s="1" t="s">
        <v>1339</v>
      </c>
      <c r="R1488" s="175">
        <v>10</v>
      </c>
      <c r="S1488">
        <v>5</v>
      </c>
    </row>
    <row r="1489" spans="1:19" x14ac:dyDescent="0.25">
      <c r="A1489" s="87">
        <v>2019</v>
      </c>
      <c r="B1489" s="87">
        <v>9</v>
      </c>
      <c r="C1489" s="173" t="s">
        <v>16</v>
      </c>
      <c r="D1489" s="173" t="s">
        <v>22</v>
      </c>
      <c r="E1489" s="173" t="s">
        <v>18</v>
      </c>
      <c r="F1489" s="173" t="s">
        <v>16</v>
      </c>
      <c r="G1489" s="87" t="b">
        <v>1</v>
      </c>
      <c r="H1489" s="87" t="b">
        <v>1</v>
      </c>
      <c r="I1489" s="87" t="b">
        <v>0</v>
      </c>
      <c r="J1489" s="173" t="s">
        <v>451</v>
      </c>
      <c r="K1489" s="174">
        <v>28000107000159</v>
      </c>
      <c r="L1489" s="173" t="s">
        <v>1099</v>
      </c>
      <c r="M1489" s="173" t="s">
        <v>131</v>
      </c>
      <c r="N1489" s="173" t="s">
        <v>61</v>
      </c>
      <c r="O1489" s="87">
        <v>73</v>
      </c>
      <c r="P1489" s="173" t="s">
        <v>26</v>
      </c>
      <c r="Q1489" s="1" t="s">
        <v>1342</v>
      </c>
      <c r="R1489" s="175">
        <v>116</v>
      </c>
      <c r="S1489">
        <v>29</v>
      </c>
    </row>
    <row r="1490" spans="1:19" x14ac:dyDescent="0.25">
      <c r="A1490" s="87">
        <v>2019</v>
      </c>
      <c r="B1490" s="87">
        <v>9</v>
      </c>
      <c r="C1490" s="173" t="s">
        <v>16</v>
      </c>
      <c r="D1490" s="173" t="s">
        <v>22</v>
      </c>
      <c r="E1490" s="173" t="s">
        <v>18</v>
      </c>
      <c r="F1490" s="173" t="s">
        <v>16</v>
      </c>
      <c r="G1490" s="87" t="b">
        <v>1</v>
      </c>
      <c r="H1490" s="87" t="b">
        <v>1</v>
      </c>
      <c r="I1490" s="87" t="b">
        <v>0</v>
      </c>
      <c r="J1490" s="173" t="s">
        <v>1330</v>
      </c>
      <c r="K1490" s="174">
        <v>28523215000378</v>
      </c>
      <c r="L1490" s="173" t="s">
        <v>1049</v>
      </c>
      <c r="M1490" s="173" t="s">
        <v>1039</v>
      </c>
      <c r="N1490" s="173" t="s">
        <v>61</v>
      </c>
      <c r="O1490" s="87">
        <v>70</v>
      </c>
      <c r="P1490" s="173" t="s">
        <v>20</v>
      </c>
      <c r="Q1490" s="1" t="s">
        <v>1338</v>
      </c>
      <c r="R1490" s="175">
        <v>300</v>
      </c>
      <c r="S1490">
        <v>60</v>
      </c>
    </row>
    <row r="1491" spans="1:19" x14ac:dyDescent="0.25">
      <c r="A1491" s="87">
        <v>2019</v>
      </c>
      <c r="B1491" s="87">
        <v>9</v>
      </c>
      <c r="C1491" s="173" t="s">
        <v>16</v>
      </c>
      <c r="D1491" s="173" t="s">
        <v>22</v>
      </c>
      <c r="E1491" s="173" t="s">
        <v>18</v>
      </c>
      <c r="F1491" s="173" t="s">
        <v>16</v>
      </c>
      <c r="G1491" s="87" t="b">
        <v>1</v>
      </c>
      <c r="H1491" s="87" t="b">
        <v>1</v>
      </c>
      <c r="I1491" s="87" t="b">
        <v>0</v>
      </c>
      <c r="J1491" s="173" t="s">
        <v>477</v>
      </c>
      <c r="K1491" s="174">
        <v>28602407000108</v>
      </c>
      <c r="L1491" s="173" t="s">
        <v>1100</v>
      </c>
      <c r="M1491" s="173" t="s">
        <v>131</v>
      </c>
      <c r="N1491" s="173" t="s">
        <v>61</v>
      </c>
      <c r="O1491" s="87">
        <v>62</v>
      </c>
      <c r="P1491" s="173" t="s">
        <v>27</v>
      </c>
      <c r="Q1491" s="1" t="s">
        <v>1343</v>
      </c>
      <c r="R1491" s="175">
        <v>1</v>
      </c>
      <c r="S1491">
        <v>1</v>
      </c>
    </row>
    <row r="1492" spans="1:19" x14ac:dyDescent="0.25">
      <c r="A1492" s="87">
        <v>2019</v>
      </c>
      <c r="B1492" s="87">
        <v>9</v>
      </c>
      <c r="C1492" s="173" t="s">
        <v>16</v>
      </c>
      <c r="D1492" s="173" t="s">
        <v>22</v>
      </c>
      <c r="E1492" s="173" t="s">
        <v>18</v>
      </c>
      <c r="F1492" s="173" t="s">
        <v>16</v>
      </c>
      <c r="G1492" s="87" t="b">
        <v>1</v>
      </c>
      <c r="H1492" s="87" t="b">
        <v>1</v>
      </c>
      <c r="I1492" s="87" t="b">
        <v>0</v>
      </c>
      <c r="J1492" s="173" t="s">
        <v>470</v>
      </c>
      <c r="K1492" s="174">
        <v>28602407000108</v>
      </c>
      <c r="L1492" s="173" t="s">
        <v>1100</v>
      </c>
      <c r="M1492" s="173" t="s">
        <v>131</v>
      </c>
      <c r="N1492" s="173" t="s">
        <v>61</v>
      </c>
      <c r="O1492" s="87">
        <v>73</v>
      </c>
      <c r="P1492" s="173" t="s">
        <v>26</v>
      </c>
      <c r="Q1492" s="1" t="s">
        <v>1339</v>
      </c>
      <c r="R1492" s="175">
        <v>4</v>
      </c>
      <c r="S1492">
        <v>2</v>
      </c>
    </row>
    <row r="1493" spans="1:19" x14ac:dyDescent="0.25">
      <c r="A1493" s="87">
        <v>2019</v>
      </c>
      <c r="B1493" s="87">
        <v>9</v>
      </c>
      <c r="C1493" s="173" t="s">
        <v>16</v>
      </c>
      <c r="D1493" s="173" t="s">
        <v>22</v>
      </c>
      <c r="E1493" s="173" t="s">
        <v>18</v>
      </c>
      <c r="F1493" s="173" t="s">
        <v>16</v>
      </c>
      <c r="G1493" s="87" t="b">
        <v>1</v>
      </c>
      <c r="H1493" s="87" t="b">
        <v>1</v>
      </c>
      <c r="I1493" s="87" t="b">
        <v>0</v>
      </c>
      <c r="J1493" s="173" t="s">
        <v>477</v>
      </c>
      <c r="K1493" s="174">
        <v>28806545000532</v>
      </c>
      <c r="L1493" s="173" t="s">
        <v>1050</v>
      </c>
      <c r="M1493" s="173" t="s">
        <v>1051</v>
      </c>
      <c r="N1493" s="173" t="s">
        <v>61</v>
      </c>
      <c r="O1493" s="87">
        <v>73</v>
      </c>
      <c r="P1493" s="173" t="s">
        <v>26</v>
      </c>
      <c r="Q1493" s="1" t="s">
        <v>1342</v>
      </c>
      <c r="R1493" s="175">
        <v>24</v>
      </c>
      <c r="S1493">
        <v>6</v>
      </c>
    </row>
    <row r="1494" spans="1:19" x14ac:dyDescent="0.25">
      <c r="A1494" s="87">
        <v>2019</v>
      </c>
      <c r="B1494" s="87">
        <v>9</v>
      </c>
      <c r="C1494" s="173" t="s">
        <v>16</v>
      </c>
      <c r="D1494" s="173" t="s">
        <v>22</v>
      </c>
      <c r="E1494" s="173" t="s">
        <v>18</v>
      </c>
      <c r="F1494" s="173" t="s">
        <v>16</v>
      </c>
      <c r="G1494" s="87" t="b">
        <v>1</v>
      </c>
      <c r="H1494" s="87" t="b">
        <v>1</v>
      </c>
      <c r="I1494" s="87" t="b">
        <v>0</v>
      </c>
      <c r="J1494" s="173" t="s">
        <v>491</v>
      </c>
      <c r="K1494" s="174">
        <v>28806545000532</v>
      </c>
      <c r="L1494" s="173" t="s">
        <v>1050</v>
      </c>
      <c r="M1494" s="173" t="s">
        <v>1051</v>
      </c>
      <c r="N1494" s="173" t="s">
        <v>61</v>
      </c>
      <c r="O1494" s="87">
        <v>73</v>
      </c>
      <c r="P1494" s="173" t="s">
        <v>26</v>
      </c>
      <c r="Q1494" s="1" t="s">
        <v>1342</v>
      </c>
      <c r="R1494" s="175">
        <v>48</v>
      </c>
      <c r="S1494">
        <v>12</v>
      </c>
    </row>
    <row r="1495" spans="1:19" x14ac:dyDescent="0.25">
      <c r="A1495" s="87">
        <v>2019</v>
      </c>
      <c r="B1495" s="87">
        <v>9</v>
      </c>
      <c r="C1495" s="173" t="s">
        <v>16</v>
      </c>
      <c r="D1495" s="173" t="s">
        <v>22</v>
      </c>
      <c r="E1495" s="173" t="s">
        <v>18</v>
      </c>
      <c r="F1495" s="173" t="s">
        <v>16</v>
      </c>
      <c r="G1495" s="87" t="b">
        <v>1</v>
      </c>
      <c r="H1495" s="87" t="b">
        <v>1</v>
      </c>
      <c r="I1495" s="87" t="b">
        <v>0</v>
      </c>
      <c r="J1495" s="173" t="s">
        <v>1512</v>
      </c>
      <c r="K1495" s="174">
        <v>28806545000532</v>
      </c>
      <c r="L1495" s="173" t="s">
        <v>1050</v>
      </c>
      <c r="M1495" s="173" t="s">
        <v>1051</v>
      </c>
      <c r="N1495" s="173" t="s">
        <v>61</v>
      </c>
      <c r="O1495" s="87">
        <v>73</v>
      </c>
      <c r="P1495" s="173" t="s">
        <v>26</v>
      </c>
      <c r="Q1495" s="1" t="s">
        <v>1342</v>
      </c>
      <c r="R1495" s="175">
        <v>24</v>
      </c>
      <c r="S1495">
        <v>6</v>
      </c>
    </row>
    <row r="1496" spans="1:19" x14ac:dyDescent="0.25">
      <c r="A1496" s="87">
        <v>2019</v>
      </c>
      <c r="B1496" s="87">
        <v>9</v>
      </c>
      <c r="C1496" s="173" t="s">
        <v>16</v>
      </c>
      <c r="D1496" s="173" t="s">
        <v>22</v>
      </c>
      <c r="E1496" s="173" t="s">
        <v>18</v>
      </c>
      <c r="F1496" s="173" t="s">
        <v>16</v>
      </c>
      <c r="G1496" s="87" t="b">
        <v>1</v>
      </c>
      <c r="H1496" s="87" t="b">
        <v>1</v>
      </c>
      <c r="I1496" s="87" t="b">
        <v>0</v>
      </c>
      <c r="J1496" s="173" t="s">
        <v>491</v>
      </c>
      <c r="K1496" s="174">
        <v>29072642000188</v>
      </c>
      <c r="L1496" s="173" t="s">
        <v>1052</v>
      </c>
      <c r="M1496" s="173" t="s">
        <v>92</v>
      </c>
      <c r="N1496" s="173" t="s">
        <v>61</v>
      </c>
      <c r="O1496" s="87">
        <v>64</v>
      </c>
      <c r="P1496" s="173" t="s">
        <v>25</v>
      </c>
      <c r="Q1496" s="1" t="s">
        <v>1344</v>
      </c>
      <c r="R1496" s="175">
        <v>10</v>
      </c>
      <c r="S1496">
        <v>10</v>
      </c>
    </row>
    <row r="1497" spans="1:19" x14ac:dyDescent="0.25">
      <c r="A1497" s="87">
        <v>2019</v>
      </c>
      <c r="B1497" s="87">
        <v>9</v>
      </c>
      <c r="C1497" s="173" t="s">
        <v>16</v>
      </c>
      <c r="D1497" s="173" t="s">
        <v>22</v>
      </c>
      <c r="E1497" s="173" t="s">
        <v>18</v>
      </c>
      <c r="F1497" s="173" t="s">
        <v>16</v>
      </c>
      <c r="G1497" s="87" t="b">
        <v>1</v>
      </c>
      <c r="H1497" s="87" t="b">
        <v>1</v>
      </c>
      <c r="I1497" s="87" t="b">
        <v>0</v>
      </c>
      <c r="J1497" s="173" t="s">
        <v>491</v>
      </c>
      <c r="K1497" s="174">
        <v>29259736000403</v>
      </c>
      <c r="L1497" s="173" t="s">
        <v>1101</v>
      </c>
      <c r="M1497" s="173" t="s">
        <v>131</v>
      </c>
      <c r="N1497" s="173" t="s">
        <v>61</v>
      </c>
      <c r="O1497" s="87">
        <v>64</v>
      </c>
      <c r="P1497" s="173" t="s">
        <v>25</v>
      </c>
      <c r="Q1497" s="1" t="s">
        <v>1344</v>
      </c>
      <c r="R1497" s="175">
        <v>3</v>
      </c>
      <c r="S1497">
        <v>3</v>
      </c>
    </row>
    <row r="1498" spans="1:19" x14ac:dyDescent="0.25">
      <c r="A1498" s="87">
        <v>2019</v>
      </c>
      <c r="B1498" s="87">
        <v>9</v>
      </c>
      <c r="C1498" s="173" t="s">
        <v>16</v>
      </c>
      <c r="D1498" s="173" t="s">
        <v>22</v>
      </c>
      <c r="E1498" s="173" t="s">
        <v>18</v>
      </c>
      <c r="F1498" s="173" t="s">
        <v>16</v>
      </c>
      <c r="G1498" s="87" t="b">
        <v>1</v>
      </c>
      <c r="H1498" s="87" t="b">
        <v>1</v>
      </c>
      <c r="I1498" s="87" t="b">
        <v>0</v>
      </c>
      <c r="J1498" s="173" t="s">
        <v>450</v>
      </c>
      <c r="K1498" s="174">
        <v>29259736000403</v>
      </c>
      <c r="L1498" s="173" t="s">
        <v>1101</v>
      </c>
      <c r="M1498" s="173" t="s">
        <v>131</v>
      </c>
      <c r="N1498" s="173" t="s">
        <v>61</v>
      </c>
      <c r="O1498" s="87">
        <v>73</v>
      </c>
      <c r="P1498" s="173" t="s">
        <v>26</v>
      </c>
      <c r="Q1498" s="1" t="s">
        <v>1340</v>
      </c>
      <c r="R1498" s="175">
        <v>1</v>
      </c>
      <c r="S1498">
        <v>1</v>
      </c>
    </row>
    <row r="1499" spans="1:19" x14ac:dyDescent="0.25">
      <c r="A1499" s="87">
        <v>2019</v>
      </c>
      <c r="B1499" s="87">
        <v>9</v>
      </c>
      <c r="C1499" s="173" t="s">
        <v>16</v>
      </c>
      <c r="D1499" s="173" t="s">
        <v>22</v>
      </c>
      <c r="E1499" s="173" t="s">
        <v>18</v>
      </c>
      <c r="F1499" s="173" t="s">
        <v>16</v>
      </c>
      <c r="G1499" s="87" t="b">
        <v>1</v>
      </c>
      <c r="H1499" s="87" t="b">
        <v>1</v>
      </c>
      <c r="I1499" s="87" t="b">
        <v>0</v>
      </c>
      <c r="J1499" s="173" t="s">
        <v>470</v>
      </c>
      <c r="K1499" s="174">
        <v>29435005002687</v>
      </c>
      <c r="L1499" s="173" t="s">
        <v>593</v>
      </c>
      <c r="M1499" s="173" t="s">
        <v>29</v>
      </c>
      <c r="N1499" s="173" t="s">
        <v>19</v>
      </c>
      <c r="O1499" s="87">
        <v>64</v>
      </c>
      <c r="P1499" s="173" t="s">
        <v>25</v>
      </c>
      <c r="Q1499" s="1" t="s">
        <v>1344</v>
      </c>
      <c r="R1499" s="175">
        <v>7</v>
      </c>
      <c r="S1499">
        <v>7</v>
      </c>
    </row>
    <row r="1500" spans="1:19" x14ac:dyDescent="0.25">
      <c r="A1500" s="87">
        <v>2019</v>
      </c>
      <c r="B1500" s="87">
        <v>9</v>
      </c>
      <c r="C1500" s="173" t="s">
        <v>16</v>
      </c>
      <c r="D1500" s="173" t="s">
        <v>22</v>
      </c>
      <c r="E1500" s="173" t="s">
        <v>18</v>
      </c>
      <c r="F1500" s="173" t="s">
        <v>16</v>
      </c>
      <c r="G1500" s="87" t="b">
        <v>1</v>
      </c>
      <c r="H1500" s="87" t="b">
        <v>1</v>
      </c>
      <c r="I1500" s="87" t="b">
        <v>0</v>
      </c>
      <c r="J1500" s="173" t="s">
        <v>470</v>
      </c>
      <c r="K1500" s="174">
        <v>29435005002687</v>
      </c>
      <c r="L1500" s="173" t="s">
        <v>593</v>
      </c>
      <c r="M1500" s="173" t="s">
        <v>29</v>
      </c>
      <c r="N1500" s="173" t="s">
        <v>19</v>
      </c>
      <c r="O1500" s="87">
        <v>70</v>
      </c>
      <c r="P1500" s="173" t="s">
        <v>20</v>
      </c>
      <c r="Q1500" s="1" t="s">
        <v>1338</v>
      </c>
      <c r="R1500" s="175">
        <v>1150</v>
      </c>
      <c r="S1500">
        <v>230</v>
      </c>
    </row>
    <row r="1501" spans="1:19" x14ac:dyDescent="0.25">
      <c r="A1501" s="87">
        <v>2019</v>
      </c>
      <c r="B1501" s="87">
        <v>9</v>
      </c>
      <c r="C1501" s="173" t="s">
        <v>16</v>
      </c>
      <c r="D1501" s="173" t="s">
        <v>22</v>
      </c>
      <c r="E1501" s="173" t="s">
        <v>18</v>
      </c>
      <c r="F1501" s="173" t="s">
        <v>16</v>
      </c>
      <c r="G1501" s="87" t="b">
        <v>1</v>
      </c>
      <c r="H1501" s="87" t="b">
        <v>1</v>
      </c>
      <c r="I1501" s="87" t="b">
        <v>0</v>
      </c>
      <c r="J1501" s="173" t="s">
        <v>470</v>
      </c>
      <c r="K1501" s="174">
        <v>29435005004540</v>
      </c>
      <c r="L1501" s="173" t="s">
        <v>594</v>
      </c>
      <c r="M1501" s="173" t="s">
        <v>29</v>
      </c>
      <c r="N1501" s="173" t="s">
        <v>19</v>
      </c>
      <c r="O1501" s="87">
        <v>70</v>
      </c>
      <c r="P1501" s="173" t="s">
        <v>20</v>
      </c>
      <c r="Q1501" s="1" t="s">
        <v>1338</v>
      </c>
      <c r="R1501" s="175">
        <v>180</v>
      </c>
      <c r="S1501">
        <v>36</v>
      </c>
    </row>
    <row r="1502" spans="1:19" x14ac:dyDescent="0.25">
      <c r="A1502" s="87">
        <v>2019</v>
      </c>
      <c r="B1502" s="87">
        <v>9</v>
      </c>
      <c r="C1502" s="173" t="s">
        <v>16</v>
      </c>
      <c r="D1502" s="173" t="s">
        <v>22</v>
      </c>
      <c r="E1502" s="173" t="s">
        <v>18</v>
      </c>
      <c r="F1502" s="173" t="s">
        <v>16</v>
      </c>
      <c r="G1502" s="87" t="b">
        <v>1</v>
      </c>
      <c r="H1502" s="87" t="b">
        <v>1</v>
      </c>
      <c r="I1502" s="87" t="b">
        <v>0</v>
      </c>
      <c r="J1502" s="173" t="s">
        <v>470</v>
      </c>
      <c r="K1502" s="174">
        <v>29435005004620</v>
      </c>
      <c r="L1502" s="173" t="s">
        <v>911</v>
      </c>
      <c r="M1502" s="173" t="s">
        <v>739</v>
      </c>
      <c r="N1502" s="173" t="s">
        <v>55</v>
      </c>
      <c r="O1502" s="87">
        <v>62</v>
      </c>
      <c r="P1502" s="173" t="s">
        <v>27</v>
      </c>
      <c r="Q1502" s="1" t="s">
        <v>1343</v>
      </c>
      <c r="R1502" s="175">
        <v>1</v>
      </c>
      <c r="S1502">
        <v>1</v>
      </c>
    </row>
    <row r="1503" spans="1:19" x14ac:dyDescent="0.25">
      <c r="A1503" s="87">
        <v>2019</v>
      </c>
      <c r="B1503" s="87">
        <v>9</v>
      </c>
      <c r="C1503" s="173" t="s">
        <v>16</v>
      </c>
      <c r="D1503" s="173" t="s">
        <v>22</v>
      </c>
      <c r="E1503" s="173" t="s">
        <v>18</v>
      </c>
      <c r="F1503" s="173" t="s">
        <v>16</v>
      </c>
      <c r="G1503" s="87" t="b">
        <v>1</v>
      </c>
      <c r="H1503" s="87" t="b">
        <v>1</v>
      </c>
      <c r="I1503" s="87" t="b">
        <v>0</v>
      </c>
      <c r="J1503" s="173" t="s">
        <v>470</v>
      </c>
      <c r="K1503" s="174">
        <v>29435005004620</v>
      </c>
      <c r="L1503" s="173" t="s">
        <v>911</v>
      </c>
      <c r="M1503" s="173" t="s">
        <v>739</v>
      </c>
      <c r="N1503" s="173" t="s">
        <v>55</v>
      </c>
      <c r="O1503" s="87">
        <v>64</v>
      </c>
      <c r="P1503" s="173" t="s">
        <v>25</v>
      </c>
      <c r="Q1503" s="1" t="s">
        <v>1344</v>
      </c>
      <c r="R1503" s="175">
        <v>15</v>
      </c>
      <c r="S1503">
        <v>15</v>
      </c>
    </row>
    <row r="1504" spans="1:19" x14ac:dyDescent="0.25">
      <c r="A1504" s="87">
        <v>2019</v>
      </c>
      <c r="B1504" s="87">
        <v>9</v>
      </c>
      <c r="C1504" s="173" t="s">
        <v>16</v>
      </c>
      <c r="D1504" s="173" t="s">
        <v>22</v>
      </c>
      <c r="E1504" s="173" t="s">
        <v>18</v>
      </c>
      <c r="F1504" s="173" t="s">
        <v>16</v>
      </c>
      <c r="G1504" s="87" t="b">
        <v>1</v>
      </c>
      <c r="H1504" s="87" t="b">
        <v>1</v>
      </c>
      <c r="I1504" s="87" t="b">
        <v>0</v>
      </c>
      <c r="J1504" s="173" t="s">
        <v>470</v>
      </c>
      <c r="K1504" s="174">
        <v>29435005004620</v>
      </c>
      <c r="L1504" s="173" t="s">
        <v>911</v>
      </c>
      <c r="M1504" s="173" t="s">
        <v>739</v>
      </c>
      <c r="N1504" s="173" t="s">
        <v>55</v>
      </c>
      <c r="O1504" s="87">
        <v>70</v>
      </c>
      <c r="P1504" s="173" t="s">
        <v>20</v>
      </c>
      <c r="Q1504" s="1" t="s">
        <v>1338</v>
      </c>
      <c r="R1504" s="175">
        <v>145</v>
      </c>
      <c r="S1504">
        <v>29</v>
      </c>
    </row>
    <row r="1505" spans="1:19" x14ac:dyDescent="0.25">
      <c r="A1505" s="87">
        <v>2019</v>
      </c>
      <c r="B1505" s="87">
        <v>9</v>
      </c>
      <c r="C1505" s="173" t="s">
        <v>16</v>
      </c>
      <c r="D1505" s="173" t="s">
        <v>22</v>
      </c>
      <c r="E1505" s="173" t="s">
        <v>18</v>
      </c>
      <c r="F1505" s="173" t="s">
        <v>16</v>
      </c>
      <c r="G1505" s="87" t="b">
        <v>1</v>
      </c>
      <c r="H1505" s="87" t="b">
        <v>1</v>
      </c>
      <c r="I1505" s="87" t="b">
        <v>0</v>
      </c>
      <c r="J1505" s="173" t="s">
        <v>470</v>
      </c>
      <c r="K1505" s="174">
        <v>29435005005198</v>
      </c>
      <c r="L1505" s="173" t="s">
        <v>1102</v>
      </c>
      <c r="M1505" s="173" t="s">
        <v>131</v>
      </c>
      <c r="N1505" s="173" t="s">
        <v>61</v>
      </c>
      <c r="O1505" s="87">
        <v>62</v>
      </c>
      <c r="P1505" s="173" t="s">
        <v>27</v>
      </c>
      <c r="Q1505" s="1" t="s">
        <v>1343</v>
      </c>
      <c r="R1505" s="175">
        <v>14</v>
      </c>
      <c r="S1505">
        <v>14</v>
      </c>
    </row>
    <row r="1506" spans="1:19" x14ac:dyDescent="0.25">
      <c r="A1506" s="87">
        <v>2019</v>
      </c>
      <c r="B1506" s="87">
        <v>9</v>
      </c>
      <c r="C1506" s="173" t="s">
        <v>16</v>
      </c>
      <c r="D1506" s="173" t="s">
        <v>22</v>
      </c>
      <c r="E1506" s="173" t="s">
        <v>18</v>
      </c>
      <c r="F1506" s="173" t="s">
        <v>16</v>
      </c>
      <c r="G1506" s="87" t="b">
        <v>1</v>
      </c>
      <c r="H1506" s="87" t="b">
        <v>1</v>
      </c>
      <c r="I1506" s="87" t="b">
        <v>0</v>
      </c>
      <c r="J1506" s="173" t="s">
        <v>470</v>
      </c>
      <c r="K1506" s="174">
        <v>29435005005198</v>
      </c>
      <c r="L1506" s="173" t="s">
        <v>1102</v>
      </c>
      <c r="M1506" s="173" t="s">
        <v>131</v>
      </c>
      <c r="N1506" s="173" t="s">
        <v>61</v>
      </c>
      <c r="O1506" s="87">
        <v>64</v>
      </c>
      <c r="P1506" s="173" t="s">
        <v>25</v>
      </c>
      <c r="Q1506" s="1" t="s">
        <v>1344</v>
      </c>
      <c r="R1506" s="175">
        <v>15</v>
      </c>
      <c r="S1506">
        <v>15</v>
      </c>
    </row>
    <row r="1507" spans="1:19" x14ac:dyDescent="0.25">
      <c r="A1507" s="87">
        <v>2019</v>
      </c>
      <c r="B1507" s="87">
        <v>9</v>
      </c>
      <c r="C1507" s="173" t="s">
        <v>16</v>
      </c>
      <c r="D1507" s="173" t="s">
        <v>22</v>
      </c>
      <c r="E1507" s="173" t="s">
        <v>18</v>
      </c>
      <c r="F1507" s="173" t="s">
        <v>16</v>
      </c>
      <c r="G1507" s="87" t="b">
        <v>1</v>
      </c>
      <c r="H1507" s="87" t="b">
        <v>1</v>
      </c>
      <c r="I1507" s="87" t="b">
        <v>0</v>
      </c>
      <c r="J1507" s="173" t="s">
        <v>470</v>
      </c>
      <c r="K1507" s="174">
        <v>29435005005600</v>
      </c>
      <c r="L1507" s="173" t="s">
        <v>974</v>
      </c>
      <c r="M1507" s="173" t="s">
        <v>94</v>
      </c>
      <c r="N1507" s="173" t="s">
        <v>57</v>
      </c>
      <c r="O1507" s="87">
        <v>70</v>
      </c>
      <c r="P1507" s="173" t="s">
        <v>20</v>
      </c>
      <c r="Q1507" s="1" t="s">
        <v>1338</v>
      </c>
      <c r="R1507" s="175">
        <v>185</v>
      </c>
      <c r="S1507">
        <v>37</v>
      </c>
    </row>
    <row r="1508" spans="1:19" x14ac:dyDescent="0.25">
      <c r="A1508" s="87">
        <v>2019</v>
      </c>
      <c r="B1508" s="87">
        <v>9</v>
      </c>
      <c r="C1508" s="173" t="s">
        <v>16</v>
      </c>
      <c r="D1508" s="173" t="s">
        <v>22</v>
      </c>
      <c r="E1508" s="173" t="s">
        <v>18</v>
      </c>
      <c r="F1508" s="173" t="s">
        <v>16</v>
      </c>
      <c r="G1508" s="87" t="b">
        <v>1</v>
      </c>
      <c r="H1508" s="87" t="b">
        <v>1</v>
      </c>
      <c r="I1508" s="87" t="b">
        <v>0</v>
      </c>
      <c r="J1508" s="173" t="s">
        <v>470</v>
      </c>
      <c r="K1508" s="174">
        <v>29435005005783</v>
      </c>
      <c r="L1508" s="173" t="s">
        <v>1104</v>
      </c>
      <c r="M1508" s="173" t="s">
        <v>131</v>
      </c>
      <c r="N1508" s="173" t="s">
        <v>61</v>
      </c>
      <c r="O1508" s="87">
        <v>64</v>
      </c>
      <c r="P1508" s="173" t="s">
        <v>25</v>
      </c>
      <c r="Q1508" s="1" t="s">
        <v>1344</v>
      </c>
      <c r="R1508" s="175">
        <v>1</v>
      </c>
      <c r="S1508">
        <v>1</v>
      </c>
    </row>
    <row r="1509" spans="1:19" x14ac:dyDescent="0.25">
      <c r="A1509" s="87">
        <v>2019</v>
      </c>
      <c r="B1509" s="87">
        <v>9</v>
      </c>
      <c r="C1509" s="173" t="s">
        <v>16</v>
      </c>
      <c r="D1509" s="173" t="s">
        <v>22</v>
      </c>
      <c r="E1509" s="173" t="s">
        <v>18</v>
      </c>
      <c r="F1509" s="173" t="s">
        <v>16</v>
      </c>
      <c r="G1509" s="87" t="b">
        <v>1</v>
      </c>
      <c r="H1509" s="87" t="b">
        <v>1</v>
      </c>
      <c r="I1509" s="87" t="b">
        <v>0</v>
      </c>
      <c r="J1509" s="173" t="s">
        <v>470</v>
      </c>
      <c r="K1509" s="174">
        <v>29435005005783</v>
      </c>
      <c r="L1509" s="173" t="s">
        <v>1104</v>
      </c>
      <c r="M1509" s="173" t="s">
        <v>131</v>
      </c>
      <c r="N1509" s="173" t="s">
        <v>61</v>
      </c>
      <c r="O1509" s="87">
        <v>70</v>
      </c>
      <c r="P1509" s="173" t="s">
        <v>20</v>
      </c>
      <c r="Q1509" s="1" t="s">
        <v>1338</v>
      </c>
      <c r="R1509" s="175">
        <v>250</v>
      </c>
      <c r="S1509">
        <v>50</v>
      </c>
    </row>
    <row r="1510" spans="1:19" x14ac:dyDescent="0.25">
      <c r="A1510" s="87">
        <v>2019</v>
      </c>
      <c r="B1510" s="87">
        <v>9</v>
      </c>
      <c r="C1510" s="173" t="s">
        <v>16</v>
      </c>
      <c r="D1510" s="173" t="s">
        <v>22</v>
      </c>
      <c r="E1510" s="173" t="s">
        <v>18</v>
      </c>
      <c r="F1510" s="173" t="s">
        <v>16</v>
      </c>
      <c r="G1510" s="87" t="b">
        <v>1</v>
      </c>
      <c r="H1510" s="87" t="b">
        <v>1</v>
      </c>
      <c r="I1510" s="87" t="b">
        <v>0</v>
      </c>
      <c r="J1510" s="173" t="s">
        <v>470</v>
      </c>
      <c r="K1510" s="174">
        <v>29435005006160</v>
      </c>
      <c r="L1510" s="173" t="s">
        <v>1105</v>
      </c>
      <c r="M1510" s="173" t="s">
        <v>131</v>
      </c>
      <c r="N1510" s="173" t="s">
        <v>61</v>
      </c>
      <c r="O1510" s="87">
        <v>64</v>
      </c>
      <c r="P1510" s="173" t="s">
        <v>25</v>
      </c>
      <c r="Q1510" s="1" t="s">
        <v>1344</v>
      </c>
      <c r="R1510" s="175">
        <v>10</v>
      </c>
      <c r="S1510">
        <v>10</v>
      </c>
    </row>
    <row r="1511" spans="1:19" x14ac:dyDescent="0.25">
      <c r="A1511" s="87">
        <v>2019</v>
      </c>
      <c r="B1511" s="87">
        <v>9</v>
      </c>
      <c r="C1511" s="173" t="s">
        <v>16</v>
      </c>
      <c r="D1511" s="173" t="s">
        <v>22</v>
      </c>
      <c r="E1511" s="173" t="s">
        <v>18</v>
      </c>
      <c r="F1511" s="173" t="s">
        <v>16</v>
      </c>
      <c r="G1511" s="87" t="b">
        <v>1</v>
      </c>
      <c r="H1511" s="87" t="b">
        <v>1</v>
      </c>
      <c r="I1511" s="87" t="b">
        <v>0</v>
      </c>
      <c r="J1511" s="173" t="s">
        <v>470</v>
      </c>
      <c r="K1511" s="174">
        <v>29435005006160</v>
      </c>
      <c r="L1511" s="173" t="s">
        <v>1105</v>
      </c>
      <c r="M1511" s="173" t="s">
        <v>131</v>
      </c>
      <c r="N1511" s="173" t="s">
        <v>61</v>
      </c>
      <c r="O1511" s="87">
        <v>70</v>
      </c>
      <c r="P1511" s="173" t="s">
        <v>20</v>
      </c>
      <c r="Q1511" s="1" t="s">
        <v>1338</v>
      </c>
      <c r="R1511" s="175">
        <v>80</v>
      </c>
      <c r="S1511">
        <v>16</v>
      </c>
    </row>
    <row r="1512" spans="1:19" x14ac:dyDescent="0.25">
      <c r="A1512" s="87">
        <v>2019</v>
      </c>
      <c r="B1512" s="87">
        <v>9</v>
      </c>
      <c r="C1512" s="173" t="s">
        <v>16</v>
      </c>
      <c r="D1512" s="173" t="s">
        <v>22</v>
      </c>
      <c r="E1512" s="173" t="s">
        <v>18</v>
      </c>
      <c r="F1512" s="173" t="s">
        <v>16</v>
      </c>
      <c r="G1512" s="87" t="b">
        <v>1</v>
      </c>
      <c r="H1512" s="87" t="b">
        <v>1</v>
      </c>
      <c r="I1512" s="87" t="b">
        <v>0</v>
      </c>
      <c r="J1512" s="173" t="s">
        <v>470</v>
      </c>
      <c r="K1512" s="174">
        <v>29435005007484</v>
      </c>
      <c r="L1512" s="173" t="s">
        <v>912</v>
      </c>
      <c r="M1512" s="173" t="s">
        <v>76</v>
      </c>
      <c r="N1512" s="173" t="s">
        <v>77</v>
      </c>
      <c r="O1512" s="87">
        <v>62</v>
      </c>
      <c r="P1512" s="173" t="s">
        <v>27</v>
      </c>
      <c r="Q1512" s="1" t="s">
        <v>1343</v>
      </c>
      <c r="R1512" s="175">
        <v>5</v>
      </c>
      <c r="S1512">
        <v>5</v>
      </c>
    </row>
    <row r="1513" spans="1:19" x14ac:dyDescent="0.25">
      <c r="A1513" s="87">
        <v>2019</v>
      </c>
      <c r="B1513" s="87">
        <v>9</v>
      </c>
      <c r="C1513" s="173" t="s">
        <v>16</v>
      </c>
      <c r="D1513" s="173" t="s">
        <v>22</v>
      </c>
      <c r="E1513" s="173" t="s">
        <v>18</v>
      </c>
      <c r="F1513" s="173" t="s">
        <v>16</v>
      </c>
      <c r="G1513" s="87" t="b">
        <v>1</v>
      </c>
      <c r="H1513" s="87" t="b">
        <v>1</v>
      </c>
      <c r="I1513" s="87" t="b">
        <v>0</v>
      </c>
      <c r="J1513" s="173" t="s">
        <v>470</v>
      </c>
      <c r="K1513" s="174">
        <v>29435005007484</v>
      </c>
      <c r="L1513" s="173" t="s">
        <v>912</v>
      </c>
      <c r="M1513" s="173" t="s">
        <v>76</v>
      </c>
      <c r="N1513" s="173" t="s">
        <v>77</v>
      </c>
      <c r="O1513" s="87">
        <v>64</v>
      </c>
      <c r="P1513" s="173" t="s">
        <v>25</v>
      </c>
      <c r="Q1513" s="1" t="s">
        <v>1344</v>
      </c>
      <c r="R1513" s="175">
        <v>13</v>
      </c>
      <c r="S1513">
        <v>13</v>
      </c>
    </row>
    <row r="1514" spans="1:19" x14ac:dyDescent="0.25">
      <c r="A1514" s="87">
        <v>2019</v>
      </c>
      <c r="B1514" s="87">
        <v>9</v>
      </c>
      <c r="C1514" s="173" t="s">
        <v>16</v>
      </c>
      <c r="D1514" s="173" t="s">
        <v>22</v>
      </c>
      <c r="E1514" s="173" t="s">
        <v>18</v>
      </c>
      <c r="F1514" s="173" t="s">
        <v>16</v>
      </c>
      <c r="G1514" s="87" t="b">
        <v>1</v>
      </c>
      <c r="H1514" s="87" t="b">
        <v>1</v>
      </c>
      <c r="I1514" s="87" t="b">
        <v>0</v>
      </c>
      <c r="J1514" s="173" t="s">
        <v>470</v>
      </c>
      <c r="K1514" s="174">
        <v>29435005007484</v>
      </c>
      <c r="L1514" s="173" t="s">
        <v>912</v>
      </c>
      <c r="M1514" s="173" t="s">
        <v>76</v>
      </c>
      <c r="N1514" s="173" t="s">
        <v>77</v>
      </c>
      <c r="O1514" s="87">
        <v>70</v>
      </c>
      <c r="P1514" s="173" t="s">
        <v>20</v>
      </c>
      <c r="Q1514" s="1" t="s">
        <v>1338</v>
      </c>
      <c r="R1514" s="175">
        <v>200</v>
      </c>
      <c r="S1514">
        <v>40</v>
      </c>
    </row>
    <row r="1515" spans="1:19" x14ac:dyDescent="0.25">
      <c r="A1515" s="87">
        <v>2019</v>
      </c>
      <c r="B1515" s="87">
        <v>9</v>
      </c>
      <c r="C1515" s="173" t="s">
        <v>16</v>
      </c>
      <c r="D1515" s="173" t="s">
        <v>22</v>
      </c>
      <c r="E1515" s="173" t="s">
        <v>18</v>
      </c>
      <c r="F1515" s="173" t="s">
        <v>16</v>
      </c>
      <c r="G1515" s="87" t="b">
        <v>1</v>
      </c>
      <c r="H1515" s="87" t="b">
        <v>1</v>
      </c>
      <c r="I1515" s="87" t="b">
        <v>0</v>
      </c>
      <c r="J1515" s="173" t="s">
        <v>470</v>
      </c>
      <c r="K1515" s="174">
        <v>29435005008103</v>
      </c>
      <c r="L1515" s="173" t="s">
        <v>669</v>
      </c>
      <c r="M1515" s="173" t="s">
        <v>670</v>
      </c>
      <c r="N1515" s="173" t="s">
        <v>19</v>
      </c>
      <c r="O1515" s="87">
        <v>70</v>
      </c>
      <c r="P1515" s="173" t="s">
        <v>20</v>
      </c>
      <c r="Q1515" s="1" t="s">
        <v>1338</v>
      </c>
      <c r="R1515" s="175">
        <v>5</v>
      </c>
      <c r="S1515">
        <v>1</v>
      </c>
    </row>
    <row r="1516" spans="1:19" x14ac:dyDescent="0.25">
      <c r="A1516" s="87">
        <v>2019</v>
      </c>
      <c r="B1516" s="87">
        <v>9</v>
      </c>
      <c r="C1516" s="173" t="s">
        <v>16</v>
      </c>
      <c r="D1516" s="173" t="s">
        <v>22</v>
      </c>
      <c r="E1516" s="173" t="s">
        <v>18</v>
      </c>
      <c r="F1516" s="173" t="s">
        <v>16</v>
      </c>
      <c r="G1516" s="87" t="b">
        <v>1</v>
      </c>
      <c r="H1516" s="87" t="b">
        <v>1</v>
      </c>
      <c r="I1516" s="87" t="b">
        <v>0</v>
      </c>
      <c r="J1516" s="173" t="s">
        <v>470</v>
      </c>
      <c r="K1516" s="174">
        <v>29435005008294</v>
      </c>
      <c r="L1516" s="173" t="s">
        <v>671</v>
      </c>
      <c r="M1516" s="173" t="s">
        <v>36</v>
      </c>
      <c r="N1516" s="173" t="s">
        <v>19</v>
      </c>
      <c r="O1516" s="87">
        <v>70</v>
      </c>
      <c r="P1516" s="173" t="s">
        <v>20</v>
      </c>
      <c r="Q1516" s="1" t="s">
        <v>1338</v>
      </c>
      <c r="R1516" s="175">
        <v>300</v>
      </c>
      <c r="S1516">
        <v>60</v>
      </c>
    </row>
    <row r="1517" spans="1:19" x14ac:dyDescent="0.25">
      <c r="A1517" s="87">
        <v>2019</v>
      </c>
      <c r="B1517" s="87">
        <v>9</v>
      </c>
      <c r="C1517" s="173" t="s">
        <v>16</v>
      </c>
      <c r="D1517" s="173" t="s">
        <v>22</v>
      </c>
      <c r="E1517" s="173" t="s">
        <v>18</v>
      </c>
      <c r="F1517" s="173" t="s">
        <v>16</v>
      </c>
      <c r="G1517" s="87" t="b">
        <v>1</v>
      </c>
      <c r="H1517" s="87" t="b">
        <v>1</v>
      </c>
      <c r="I1517" s="87" t="b">
        <v>0</v>
      </c>
      <c r="J1517" s="173" t="s">
        <v>470</v>
      </c>
      <c r="K1517" s="174">
        <v>29435005008456</v>
      </c>
      <c r="L1517" s="173" t="s">
        <v>672</v>
      </c>
      <c r="M1517" s="173" t="s">
        <v>33</v>
      </c>
      <c r="N1517" s="173" t="s">
        <v>19</v>
      </c>
      <c r="O1517" s="87">
        <v>70</v>
      </c>
      <c r="P1517" s="173" t="s">
        <v>20</v>
      </c>
      <c r="Q1517" s="1" t="s">
        <v>1338</v>
      </c>
      <c r="R1517" s="175">
        <v>200</v>
      </c>
      <c r="S1517">
        <v>40</v>
      </c>
    </row>
    <row r="1518" spans="1:19" x14ac:dyDescent="0.25">
      <c r="A1518" s="87">
        <v>2019</v>
      </c>
      <c r="B1518" s="87">
        <v>9</v>
      </c>
      <c r="C1518" s="173" t="s">
        <v>16</v>
      </c>
      <c r="D1518" s="173" t="s">
        <v>22</v>
      </c>
      <c r="E1518" s="173" t="s">
        <v>18</v>
      </c>
      <c r="F1518" s="173" t="s">
        <v>16</v>
      </c>
      <c r="G1518" s="87" t="b">
        <v>1</v>
      </c>
      <c r="H1518" s="87" t="b">
        <v>1</v>
      </c>
      <c r="I1518" s="87" t="b">
        <v>0</v>
      </c>
      <c r="J1518" s="173" t="s">
        <v>470</v>
      </c>
      <c r="K1518" s="174">
        <v>29435005009851</v>
      </c>
      <c r="L1518" s="173" t="s">
        <v>913</v>
      </c>
      <c r="M1518" s="173" t="s">
        <v>62</v>
      </c>
      <c r="N1518" s="173" t="s">
        <v>63</v>
      </c>
      <c r="O1518" s="87">
        <v>64</v>
      </c>
      <c r="P1518" s="173" t="s">
        <v>25</v>
      </c>
      <c r="Q1518" s="1" t="s">
        <v>1344</v>
      </c>
      <c r="R1518" s="175">
        <v>70</v>
      </c>
      <c r="S1518">
        <v>70</v>
      </c>
    </row>
    <row r="1519" spans="1:19" x14ac:dyDescent="0.25">
      <c r="A1519" s="87">
        <v>2019</v>
      </c>
      <c r="B1519" s="87">
        <v>9</v>
      </c>
      <c r="C1519" s="173" t="s">
        <v>16</v>
      </c>
      <c r="D1519" s="173" t="s">
        <v>22</v>
      </c>
      <c r="E1519" s="173" t="s">
        <v>18</v>
      </c>
      <c r="F1519" s="173" t="s">
        <v>16</v>
      </c>
      <c r="G1519" s="87" t="b">
        <v>1</v>
      </c>
      <c r="H1519" s="87" t="b">
        <v>1</v>
      </c>
      <c r="I1519" s="87" t="b">
        <v>0</v>
      </c>
      <c r="J1519" s="173" t="s">
        <v>470</v>
      </c>
      <c r="K1519" s="174">
        <v>29435005009851</v>
      </c>
      <c r="L1519" s="173" t="s">
        <v>913</v>
      </c>
      <c r="M1519" s="173" t="s">
        <v>62</v>
      </c>
      <c r="N1519" s="173" t="s">
        <v>63</v>
      </c>
      <c r="O1519" s="87">
        <v>70</v>
      </c>
      <c r="P1519" s="173" t="s">
        <v>20</v>
      </c>
      <c r="Q1519" s="1" t="s">
        <v>1338</v>
      </c>
      <c r="R1519" s="175">
        <v>125</v>
      </c>
      <c r="S1519">
        <v>25</v>
      </c>
    </row>
    <row r="1520" spans="1:19" x14ac:dyDescent="0.25">
      <c r="A1520" s="87">
        <v>2019</v>
      </c>
      <c r="B1520" s="87">
        <v>9</v>
      </c>
      <c r="C1520" s="173" t="s">
        <v>16</v>
      </c>
      <c r="D1520" s="173" t="s">
        <v>22</v>
      </c>
      <c r="E1520" s="173" t="s">
        <v>18</v>
      </c>
      <c r="F1520" s="173" t="s">
        <v>16</v>
      </c>
      <c r="G1520" s="87" t="b">
        <v>1</v>
      </c>
      <c r="H1520" s="87" t="b">
        <v>1</v>
      </c>
      <c r="I1520" s="87" t="b">
        <v>0</v>
      </c>
      <c r="J1520" s="173" t="s">
        <v>470</v>
      </c>
      <c r="K1520" s="174">
        <v>29435005009932</v>
      </c>
      <c r="L1520" s="173" t="s">
        <v>595</v>
      </c>
      <c r="M1520" s="173" t="s">
        <v>29</v>
      </c>
      <c r="N1520" s="173" t="s">
        <v>19</v>
      </c>
      <c r="O1520" s="87">
        <v>62</v>
      </c>
      <c r="P1520" s="173" t="s">
        <v>27</v>
      </c>
      <c r="Q1520" s="1" t="s">
        <v>1343</v>
      </c>
      <c r="R1520" s="175">
        <v>8</v>
      </c>
      <c r="S1520">
        <v>8</v>
      </c>
    </row>
    <row r="1521" spans="1:19" x14ac:dyDescent="0.25">
      <c r="A1521" s="87">
        <v>2019</v>
      </c>
      <c r="B1521" s="87">
        <v>9</v>
      </c>
      <c r="C1521" s="173" t="s">
        <v>16</v>
      </c>
      <c r="D1521" s="173" t="s">
        <v>22</v>
      </c>
      <c r="E1521" s="173" t="s">
        <v>18</v>
      </c>
      <c r="F1521" s="173" t="s">
        <v>16</v>
      </c>
      <c r="G1521" s="87" t="b">
        <v>1</v>
      </c>
      <c r="H1521" s="87" t="b">
        <v>1</v>
      </c>
      <c r="I1521" s="87" t="b">
        <v>0</v>
      </c>
      <c r="J1521" s="173" t="s">
        <v>470</v>
      </c>
      <c r="K1521" s="174">
        <v>29435005009932</v>
      </c>
      <c r="L1521" s="173" t="s">
        <v>595</v>
      </c>
      <c r="M1521" s="173" t="s">
        <v>29</v>
      </c>
      <c r="N1521" s="173" t="s">
        <v>19</v>
      </c>
      <c r="O1521" s="87">
        <v>64</v>
      </c>
      <c r="P1521" s="173" t="s">
        <v>25</v>
      </c>
      <c r="Q1521" s="1" t="s">
        <v>1344</v>
      </c>
      <c r="R1521" s="175">
        <v>3</v>
      </c>
      <c r="S1521">
        <v>3</v>
      </c>
    </row>
    <row r="1522" spans="1:19" x14ac:dyDescent="0.25">
      <c r="A1522" s="87">
        <v>2019</v>
      </c>
      <c r="B1522" s="87">
        <v>9</v>
      </c>
      <c r="C1522" s="173" t="s">
        <v>16</v>
      </c>
      <c r="D1522" s="173" t="s">
        <v>22</v>
      </c>
      <c r="E1522" s="173" t="s">
        <v>18</v>
      </c>
      <c r="F1522" s="173" t="s">
        <v>16</v>
      </c>
      <c r="G1522" s="87" t="b">
        <v>1</v>
      </c>
      <c r="H1522" s="87" t="b">
        <v>1</v>
      </c>
      <c r="I1522" s="87" t="b">
        <v>0</v>
      </c>
      <c r="J1522" s="173" t="s">
        <v>470</v>
      </c>
      <c r="K1522" s="174">
        <v>29435005009932</v>
      </c>
      <c r="L1522" s="173" t="s">
        <v>595</v>
      </c>
      <c r="M1522" s="173" t="s">
        <v>29</v>
      </c>
      <c r="N1522" s="173" t="s">
        <v>19</v>
      </c>
      <c r="O1522" s="87">
        <v>70</v>
      </c>
      <c r="P1522" s="173" t="s">
        <v>20</v>
      </c>
      <c r="Q1522" s="1" t="s">
        <v>1338</v>
      </c>
      <c r="R1522" s="175">
        <v>1050</v>
      </c>
      <c r="S1522">
        <v>210</v>
      </c>
    </row>
    <row r="1523" spans="1:19" x14ac:dyDescent="0.25">
      <c r="A1523" s="87">
        <v>2019</v>
      </c>
      <c r="B1523" s="87">
        <v>9</v>
      </c>
      <c r="C1523" s="173" t="s">
        <v>16</v>
      </c>
      <c r="D1523" s="173" t="s">
        <v>22</v>
      </c>
      <c r="E1523" s="173" t="s">
        <v>18</v>
      </c>
      <c r="F1523" s="173" t="s">
        <v>16</v>
      </c>
      <c r="G1523" s="87" t="b">
        <v>1</v>
      </c>
      <c r="H1523" s="87" t="b">
        <v>1</v>
      </c>
      <c r="I1523" s="87" t="b">
        <v>0</v>
      </c>
      <c r="J1523" s="173" t="s">
        <v>495</v>
      </c>
      <c r="K1523" s="174">
        <v>30117769000155</v>
      </c>
      <c r="L1523" s="173" t="s">
        <v>976</v>
      </c>
      <c r="M1523" s="173" t="s">
        <v>94</v>
      </c>
      <c r="N1523" s="173" t="s">
        <v>57</v>
      </c>
      <c r="O1523" s="87">
        <v>70</v>
      </c>
      <c r="P1523" s="173" t="s">
        <v>20</v>
      </c>
      <c r="Q1523" s="1" t="s">
        <v>1338</v>
      </c>
      <c r="R1523" s="175">
        <v>205</v>
      </c>
      <c r="S1523">
        <v>41</v>
      </c>
    </row>
    <row r="1524" spans="1:19" x14ac:dyDescent="0.25">
      <c r="A1524" s="87">
        <v>2019</v>
      </c>
      <c r="B1524" s="87">
        <v>9</v>
      </c>
      <c r="C1524" s="173" t="s">
        <v>16</v>
      </c>
      <c r="D1524" s="173" t="s">
        <v>22</v>
      </c>
      <c r="E1524" s="173" t="s">
        <v>18</v>
      </c>
      <c r="F1524" s="173" t="s">
        <v>16</v>
      </c>
      <c r="G1524" s="87" t="b">
        <v>1</v>
      </c>
      <c r="H1524" s="87" t="b">
        <v>1</v>
      </c>
      <c r="I1524" s="87" t="b">
        <v>0</v>
      </c>
      <c r="J1524" s="173" t="s">
        <v>455</v>
      </c>
      <c r="K1524" s="174">
        <v>30135335000188</v>
      </c>
      <c r="L1524" s="173" t="s">
        <v>914</v>
      </c>
      <c r="M1524" s="173" t="s">
        <v>739</v>
      </c>
      <c r="N1524" s="173" t="s">
        <v>55</v>
      </c>
      <c r="O1524" s="87">
        <v>70</v>
      </c>
      <c r="P1524" s="173" t="s">
        <v>20</v>
      </c>
      <c r="Q1524" s="1" t="s">
        <v>1338</v>
      </c>
      <c r="R1524" s="175">
        <v>455</v>
      </c>
      <c r="S1524">
        <v>91</v>
      </c>
    </row>
    <row r="1525" spans="1:19" x14ac:dyDescent="0.25">
      <c r="A1525" s="87">
        <v>2019</v>
      </c>
      <c r="B1525" s="87">
        <v>9</v>
      </c>
      <c r="C1525" s="173" t="s">
        <v>16</v>
      </c>
      <c r="D1525" s="173" t="s">
        <v>22</v>
      </c>
      <c r="E1525" s="173" t="s">
        <v>18</v>
      </c>
      <c r="F1525" s="173" t="s">
        <v>16</v>
      </c>
      <c r="G1525" s="87" t="b">
        <v>1</v>
      </c>
      <c r="H1525" s="87" t="b">
        <v>1</v>
      </c>
      <c r="I1525" s="87" t="b">
        <v>0</v>
      </c>
      <c r="J1525" s="173" t="s">
        <v>451</v>
      </c>
      <c r="K1525" s="174">
        <v>30638381000108</v>
      </c>
      <c r="L1525" s="173" t="s">
        <v>1059</v>
      </c>
      <c r="M1525" s="173" t="s">
        <v>1051</v>
      </c>
      <c r="N1525" s="173" t="s">
        <v>61</v>
      </c>
      <c r="O1525" s="87">
        <v>70</v>
      </c>
      <c r="P1525" s="173" t="s">
        <v>20</v>
      </c>
      <c r="Q1525" s="1" t="s">
        <v>1338</v>
      </c>
      <c r="R1525" s="175">
        <v>125</v>
      </c>
      <c r="S1525">
        <v>25</v>
      </c>
    </row>
    <row r="1526" spans="1:19" x14ac:dyDescent="0.25">
      <c r="A1526" s="87">
        <v>2019</v>
      </c>
      <c r="B1526" s="87">
        <v>9</v>
      </c>
      <c r="C1526" s="173" t="s">
        <v>16</v>
      </c>
      <c r="D1526" s="173" t="s">
        <v>22</v>
      </c>
      <c r="E1526" s="173" t="s">
        <v>18</v>
      </c>
      <c r="F1526" s="173" t="s">
        <v>16</v>
      </c>
      <c r="G1526" s="87" t="b">
        <v>1</v>
      </c>
      <c r="H1526" s="87" t="b">
        <v>1</v>
      </c>
      <c r="I1526" s="87" t="b">
        <v>0</v>
      </c>
      <c r="J1526" s="173" t="s">
        <v>477</v>
      </c>
      <c r="K1526" s="174">
        <v>31635857000292</v>
      </c>
      <c r="L1526" s="173" t="s">
        <v>1107</v>
      </c>
      <c r="M1526" s="173" t="s">
        <v>131</v>
      </c>
      <c r="N1526" s="173" t="s">
        <v>61</v>
      </c>
      <c r="O1526" s="87">
        <v>73</v>
      </c>
      <c r="P1526" s="173" t="s">
        <v>26</v>
      </c>
      <c r="Q1526" s="1" t="s">
        <v>1342</v>
      </c>
      <c r="R1526" s="175">
        <v>16</v>
      </c>
      <c r="S1526">
        <v>4</v>
      </c>
    </row>
    <row r="1527" spans="1:19" x14ac:dyDescent="0.25">
      <c r="A1527" s="87">
        <v>2019</v>
      </c>
      <c r="B1527" s="87">
        <v>9</v>
      </c>
      <c r="C1527" s="173" t="s">
        <v>16</v>
      </c>
      <c r="D1527" s="173" t="s">
        <v>22</v>
      </c>
      <c r="E1527" s="173" t="s">
        <v>18</v>
      </c>
      <c r="F1527" s="173" t="s">
        <v>16</v>
      </c>
      <c r="G1527" s="87" t="b">
        <v>1</v>
      </c>
      <c r="H1527" s="87" t="b">
        <v>1</v>
      </c>
      <c r="I1527" s="87" t="b">
        <v>0</v>
      </c>
      <c r="J1527" s="173" t="s">
        <v>464</v>
      </c>
      <c r="K1527" s="174">
        <v>33000167000101</v>
      </c>
      <c r="L1527" s="173" t="s">
        <v>1110</v>
      </c>
      <c r="M1527" s="173" t="s">
        <v>131</v>
      </c>
      <c r="N1527" s="173" t="s">
        <v>61</v>
      </c>
      <c r="O1527" s="87">
        <v>70</v>
      </c>
      <c r="P1527" s="173" t="s">
        <v>20</v>
      </c>
      <c r="Q1527" s="1" t="s">
        <v>1338</v>
      </c>
      <c r="R1527" s="175">
        <v>20</v>
      </c>
      <c r="S1527">
        <v>4</v>
      </c>
    </row>
    <row r="1528" spans="1:19" x14ac:dyDescent="0.25">
      <c r="A1528" s="87">
        <v>2019</v>
      </c>
      <c r="B1528" s="87">
        <v>9</v>
      </c>
      <c r="C1528" s="173" t="s">
        <v>16</v>
      </c>
      <c r="D1528" s="173" t="s">
        <v>22</v>
      </c>
      <c r="E1528" s="173" t="s">
        <v>18</v>
      </c>
      <c r="F1528" s="173" t="s">
        <v>16</v>
      </c>
      <c r="G1528" s="87" t="b">
        <v>1</v>
      </c>
      <c r="H1528" s="87" t="b">
        <v>1</v>
      </c>
      <c r="I1528" s="87" t="b">
        <v>0</v>
      </c>
      <c r="J1528" s="173" t="s">
        <v>451</v>
      </c>
      <c r="K1528" s="174">
        <v>33000167000101</v>
      </c>
      <c r="L1528" s="173" t="s">
        <v>1110</v>
      </c>
      <c r="M1528" s="173" t="s">
        <v>131</v>
      </c>
      <c r="N1528" s="173" t="s">
        <v>61</v>
      </c>
      <c r="O1528" s="87">
        <v>70</v>
      </c>
      <c r="P1528" s="173" t="s">
        <v>20</v>
      </c>
      <c r="Q1528" s="1" t="s">
        <v>1338</v>
      </c>
      <c r="R1528" s="175">
        <v>120</v>
      </c>
      <c r="S1528">
        <v>24</v>
      </c>
    </row>
    <row r="1529" spans="1:19" x14ac:dyDescent="0.25">
      <c r="A1529" s="87">
        <v>2019</v>
      </c>
      <c r="B1529" s="87">
        <v>9</v>
      </c>
      <c r="C1529" s="173" t="s">
        <v>16</v>
      </c>
      <c r="D1529" s="173" t="s">
        <v>22</v>
      </c>
      <c r="E1529" s="173" t="s">
        <v>18</v>
      </c>
      <c r="F1529" s="173" t="s">
        <v>16</v>
      </c>
      <c r="G1529" s="87" t="b">
        <v>1</v>
      </c>
      <c r="H1529" s="87" t="b">
        <v>1</v>
      </c>
      <c r="I1529" s="87" t="b">
        <v>0</v>
      </c>
      <c r="J1529" s="173" t="s">
        <v>491</v>
      </c>
      <c r="K1529" s="174">
        <v>33000167002155</v>
      </c>
      <c r="L1529" s="173" t="s">
        <v>915</v>
      </c>
      <c r="M1529" s="173" t="s">
        <v>128</v>
      </c>
      <c r="N1529" s="173" t="s">
        <v>59</v>
      </c>
      <c r="O1529" s="87">
        <v>70</v>
      </c>
      <c r="P1529" s="173" t="s">
        <v>20</v>
      </c>
      <c r="Q1529" s="1" t="s">
        <v>1338</v>
      </c>
      <c r="R1529" s="175">
        <v>25</v>
      </c>
      <c r="S1529">
        <v>5</v>
      </c>
    </row>
    <row r="1530" spans="1:19" x14ac:dyDescent="0.25">
      <c r="A1530" s="87">
        <v>2019</v>
      </c>
      <c r="B1530" s="87">
        <v>9</v>
      </c>
      <c r="C1530" s="173" t="s">
        <v>16</v>
      </c>
      <c r="D1530" s="173" t="s">
        <v>22</v>
      </c>
      <c r="E1530" s="173" t="s">
        <v>18</v>
      </c>
      <c r="F1530" s="173" t="s">
        <v>16</v>
      </c>
      <c r="G1530" s="87" t="b">
        <v>1</v>
      </c>
      <c r="H1530" s="87" t="b">
        <v>1</v>
      </c>
      <c r="I1530" s="87" t="b">
        <v>0</v>
      </c>
      <c r="J1530" s="173" t="s">
        <v>477</v>
      </c>
      <c r="K1530" s="174">
        <v>33419482000259</v>
      </c>
      <c r="L1530" s="173" t="s">
        <v>1111</v>
      </c>
      <c r="M1530" s="173" t="s">
        <v>131</v>
      </c>
      <c r="N1530" s="173" t="s">
        <v>61</v>
      </c>
      <c r="O1530" s="87">
        <v>62</v>
      </c>
      <c r="P1530" s="173" t="s">
        <v>27</v>
      </c>
      <c r="Q1530" s="1" t="s">
        <v>1343</v>
      </c>
      <c r="R1530" s="175">
        <v>7</v>
      </c>
      <c r="S1530">
        <v>7</v>
      </c>
    </row>
    <row r="1531" spans="1:19" x14ac:dyDescent="0.25">
      <c r="A1531" s="87">
        <v>2019</v>
      </c>
      <c r="B1531" s="87">
        <v>9</v>
      </c>
      <c r="C1531" s="173" t="s">
        <v>16</v>
      </c>
      <c r="D1531" s="173" t="s">
        <v>22</v>
      </c>
      <c r="E1531" s="173" t="s">
        <v>18</v>
      </c>
      <c r="F1531" s="173" t="s">
        <v>16</v>
      </c>
      <c r="G1531" s="87" t="b">
        <v>1</v>
      </c>
      <c r="H1531" s="87" t="b">
        <v>1</v>
      </c>
      <c r="I1531" s="87" t="b">
        <v>0</v>
      </c>
      <c r="J1531" s="173" t="s">
        <v>477</v>
      </c>
      <c r="K1531" s="174">
        <v>33419482000259</v>
      </c>
      <c r="L1531" s="173" t="s">
        <v>1111</v>
      </c>
      <c r="M1531" s="173" t="s">
        <v>131</v>
      </c>
      <c r="N1531" s="173" t="s">
        <v>61</v>
      </c>
      <c r="O1531" s="87">
        <v>64</v>
      </c>
      <c r="P1531" s="173" t="s">
        <v>25</v>
      </c>
      <c r="Q1531" s="1" t="s">
        <v>1344</v>
      </c>
      <c r="R1531" s="175">
        <v>3</v>
      </c>
      <c r="S1531">
        <v>3</v>
      </c>
    </row>
    <row r="1532" spans="1:19" x14ac:dyDescent="0.25">
      <c r="A1532" s="87">
        <v>2019</v>
      </c>
      <c r="B1532" s="87">
        <v>9</v>
      </c>
      <c r="C1532" s="173" t="s">
        <v>16</v>
      </c>
      <c r="D1532" s="173" t="s">
        <v>22</v>
      </c>
      <c r="E1532" s="173" t="s">
        <v>18</v>
      </c>
      <c r="F1532" s="173" t="s">
        <v>16</v>
      </c>
      <c r="G1532" s="87" t="b">
        <v>1</v>
      </c>
      <c r="H1532" s="87" t="b">
        <v>1</v>
      </c>
      <c r="I1532" s="87" t="b">
        <v>0</v>
      </c>
      <c r="J1532" s="173" t="s">
        <v>450</v>
      </c>
      <c r="K1532" s="174">
        <v>33419482000259</v>
      </c>
      <c r="L1532" s="173" t="s">
        <v>1111</v>
      </c>
      <c r="M1532" s="173" t="s">
        <v>131</v>
      </c>
      <c r="N1532" s="173" t="s">
        <v>61</v>
      </c>
      <c r="O1532" s="87">
        <v>70</v>
      </c>
      <c r="P1532" s="173" t="s">
        <v>20</v>
      </c>
      <c r="Q1532" s="1" t="s">
        <v>1338</v>
      </c>
      <c r="R1532" s="175">
        <v>20</v>
      </c>
      <c r="S1532">
        <v>4</v>
      </c>
    </row>
    <row r="1533" spans="1:19" x14ac:dyDescent="0.25">
      <c r="A1533" s="87">
        <v>2019</v>
      </c>
      <c r="B1533" s="87">
        <v>9</v>
      </c>
      <c r="C1533" s="173" t="s">
        <v>16</v>
      </c>
      <c r="D1533" s="173" t="s">
        <v>22</v>
      </c>
      <c r="E1533" s="173" t="s">
        <v>18</v>
      </c>
      <c r="F1533" s="173" t="s">
        <v>16</v>
      </c>
      <c r="G1533" s="87" t="b">
        <v>1</v>
      </c>
      <c r="H1533" s="87" t="b">
        <v>1</v>
      </c>
      <c r="I1533" s="87" t="b">
        <v>0</v>
      </c>
      <c r="J1533" s="173" t="s">
        <v>1330</v>
      </c>
      <c r="K1533" s="174">
        <v>33663683005347</v>
      </c>
      <c r="L1533" s="173" t="s">
        <v>1114</v>
      </c>
      <c r="M1533" s="173" t="s">
        <v>131</v>
      </c>
      <c r="N1533" s="173" t="s">
        <v>61</v>
      </c>
      <c r="O1533" s="87">
        <v>62</v>
      </c>
      <c r="P1533" s="173" t="s">
        <v>27</v>
      </c>
      <c r="Q1533" s="1" t="s">
        <v>1343</v>
      </c>
      <c r="R1533" s="175">
        <v>24</v>
      </c>
      <c r="S1533">
        <v>24</v>
      </c>
    </row>
    <row r="1534" spans="1:19" x14ac:dyDescent="0.25">
      <c r="A1534" s="87">
        <v>2019</v>
      </c>
      <c r="B1534" s="87">
        <v>9</v>
      </c>
      <c r="C1534" s="173" t="s">
        <v>16</v>
      </c>
      <c r="D1534" s="173" t="s">
        <v>22</v>
      </c>
      <c r="E1534" s="173" t="s">
        <v>18</v>
      </c>
      <c r="F1534" s="173" t="s">
        <v>16</v>
      </c>
      <c r="G1534" s="87" t="b">
        <v>1</v>
      </c>
      <c r="H1534" s="87" t="b">
        <v>1</v>
      </c>
      <c r="I1534" s="87" t="b">
        <v>0</v>
      </c>
      <c r="J1534" s="173" t="s">
        <v>1330</v>
      </c>
      <c r="K1534" s="174">
        <v>33663683005347</v>
      </c>
      <c r="L1534" s="173" t="s">
        <v>1114</v>
      </c>
      <c r="M1534" s="173" t="s">
        <v>131</v>
      </c>
      <c r="N1534" s="173" t="s">
        <v>61</v>
      </c>
      <c r="O1534" s="87">
        <v>64</v>
      </c>
      <c r="P1534" s="173" t="s">
        <v>25</v>
      </c>
      <c r="Q1534" s="1" t="s">
        <v>1344</v>
      </c>
      <c r="R1534" s="175">
        <v>24</v>
      </c>
      <c r="S1534">
        <v>24</v>
      </c>
    </row>
    <row r="1535" spans="1:19" x14ac:dyDescent="0.25">
      <c r="A1535" s="87">
        <v>2019</v>
      </c>
      <c r="B1535" s="87">
        <v>9</v>
      </c>
      <c r="C1535" s="173" t="s">
        <v>16</v>
      </c>
      <c r="D1535" s="173" t="s">
        <v>22</v>
      </c>
      <c r="E1535" s="173" t="s">
        <v>18</v>
      </c>
      <c r="F1535" s="173" t="s">
        <v>16</v>
      </c>
      <c r="G1535" s="87" t="b">
        <v>1</v>
      </c>
      <c r="H1535" s="87" t="b">
        <v>1</v>
      </c>
      <c r="I1535" s="87" t="b">
        <v>0</v>
      </c>
      <c r="J1535" s="173" t="s">
        <v>1330</v>
      </c>
      <c r="K1535" s="174">
        <v>33663683005347</v>
      </c>
      <c r="L1535" s="173" t="s">
        <v>1114</v>
      </c>
      <c r="M1535" s="173" t="s">
        <v>131</v>
      </c>
      <c r="N1535" s="173" t="s">
        <v>61</v>
      </c>
      <c r="O1535" s="87">
        <v>70</v>
      </c>
      <c r="P1535" s="173" t="s">
        <v>20</v>
      </c>
      <c r="Q1535" s="1" t="s">
        <v>1338</v>
      </c>
      <c r="R1535" s="175">
        <v>2400</v>
      </c>
      <c r="S1535">
        <v>480</v>
      </c>
    </row>
    <row r="1536" spans="1:19" x14ac:dyDescent="0.25">
      <c r="A1536" s="87">
        <v>2019</v>
      </c>
      <c r="B1536" s="87">
        <v>9</v>
      </c>
      <c r="C1536" s="173" t="s">
        <v>16</v>
      </c>
      <c r="D1536" s="173" t="s">
        <v>22</v>
      </c>
      <c r="E1536" s="173" t="s">
        <v>18</v>
      </c>
      <c r="F1536" s="173" t="s">
        <v>16</v>
      </c>
      <c r="G1536" s="87" t="b">
        <v>1</v>
      </c>
      <c r="H1536" s="87" t="b">
        <v>1</v>
      </c>
      <c r="I1536" s="87" t="b">
        <v>0</v>
      </c>
      <c r="J1536" s="173" t="s">
        <v>450</v>
      </c>
      <c r="K1536" s="174">
        <v>35917970000726</v>
      </c>
      <c r="L1536" s="173" t="s">
        <v>1062</v>
      </c>
      <c r="M1536" s="173" t="s">
        <v>105</v>
      </c>
      <c r="N1536" s="173" t="s">
        <v>61</v>
      </c>
      <c r="O1536" s="87">
        <v>73</v>
      </c>
      <c r="P1536" s="173" t="s">
        <v>26</v>
      </c>
      <c r="Q1536" s="1" t="s">
        <v>1342</v>
      </c>
      <c r="R1536" s="175">
        <v>12</v>
      </c>
      <c r="S1536">
        <v>3</v>
      </c>
    </row>
    <row r="1537" spans="1:19" x14ac:dyDescent="0.25">
      <c r="A1537" s="87">
        <v>2019</v>
      </c>
      <c r="B1537" s="87">
        <v>9</v>
      </c>
      <c r="C1537" s="173" t="s">
        <v>16</v>
      </c>
      <c r="D1537" s="173" t="s">
        <v>22</v>
      </c>
      <c r="E1537" s="173" t="s">
        <v>18</v>
      </c>
      <c r="F1537" s="173" t="s">
        <v>16</v>
      </c>
      <c r="G1537" s="87" t="b">
        <v>1</v>
      </c>
      <c r="H1537" s="87" t="b">
        <v>1</v>
      </c>
      <c r="I1537" s="87" t="b">
        <v>0</v>
      </c>
      <c r="J1537" s="173" t="s">
        <v>450</v>
      </c>
      <c r="K1537" s="174">
        <v>35917970000726</v>
      </c>
      <c r="L1537" s="173" t="s">
        <v>1062</v>
      </c>
      <c r="M1537" s="173" t="s">
        <v>105</v>
      </c>
      <c r="N1537" s="173" t="s">
        <v>61</v>
      </c>
      <c r="O1537" s="87">
        <v>73</v>
      </c>
      <c r="P1537" s="173" t="s">
        <v>26</v>
      </c>
      <c r="Q1537" s="1" t="s">
        <v>1340</v>
      </c>
      <c r="R1537" s="175">
        <v>3</v>
      </c>
      <c r="S1537">
        <v>3</v>
      </c>
    </row>
    <row r="1538" spans="1:19" x14ac:dyDescent="0.25">
      <c r="A1538" s="87">
        <v>2019</v>
      </c>
      <c r="B1538" s="87">
        <v>9</v>
      </c>
      <c r="C1538" s="173" t="s">
        <v>16</v>
      </c>
      <c r="D1538" s="173" t="s">
        <v>22</v>
      </c>
      <c r="E1538" s="173" t="s">
        <v>18</v>
      </c>
      <c r="F1538" s="173" t="s">
        <v>16</v>
      </c>
      <c r="G1538" s="87" t="b">
        <v>1</v>
      </c>
      <c r="H1538" s="87" t="b">
        <v>1</v>
      </c>
      <c r="I1538" s="87" t="b">
        <v>0</v>
      </c>
      <c r="J1538" s="173" t="s">
        <v>477</v>
      </c>
      <c r="K1538" s="174">
        <v>35917970000726</v>
      </c>
      <c r="L1538" s="173" t="s">
        <v>1062</v>
      </c>
      <c r="M1538" s="173" t="s">
        <v>105</v>
      </c>
      <c r="N1538" s="173" t="s">
        <v>61</v>
      </c>
      <c r="O1538" s="87">
        <v>73</v>
      </c>
      <c r="P1538" s="173" t="s">
        <v>26</v>
      </c>
      <c r="Q1538" s="1" t="s">
        <v>1342</v>
      </c>
      <c r="R1538" s="175">
        <v>12</v>
      </c>
      <c r="S1538">
        <v>3</v>
      </c>
    </row>
    <row r="1539" spans="1:19" x14ac:dyDescent="0.25">
      <c r="A1539" s="87">
        <v>2019</v>
      </c>
      <c r="B1539" s="87">
        <v>9</v>
      </c>
      <c r="C1539" s="173" t="s">
        <v>16</v>
      </c>
      <c r="D1539" s="173" t="s">
        <v>22</v>
      </c>
      <c r="E1539" s="173" t="s">
        <v>18</v>
      </c>
      <c r="F1539" s="173" t="s">
        <v>16</v>
      </c>
      <c r="G1539" s="87" t="b">
        <v>1</v>
      </c>
      <c r="H1539" s="87" t="b">
        <v>1</v>
      </c>
      <c r="I1539" s="87" t="b">
        <v>0</v>
      </c>
      <c r="J1539" s="173" t="s">
        <v>477</v>
      </c>
      <c r="K1539" s="174">
        <v>35917970000726</v>
      </c>
      <c r="L1539" s="173" t="s">
        <v>1062</v>
      </c>
      <c r="M1539" s="173" t="s">
        <v>105</v>
      </c>
      <c r="N1539" s="173" t="s">
        <v>61</v>
      </c>
      <c r="O1539" s="87">
        <v>73</v>
      </c>
      <c r="P1539" s="173" t="s">
        <v>26</v>
      </c>
      <c r="Q1539" s="1" t="s">
        <v>1340</v>
      </c>
      <c r="R1539" s="175">
        <v>3</v>
      </c>
      <c r="S1539">
        <v>3</v>
      </c>
    </row>
    <row r="1540" spans="1:19" x14ac:dyDescent="0.25">
      <c r="A1540" s="87">
        <v>2019</v>
      </c>
      <c r="B1540" s="87">
        <v>9</v>
      </c>
      <c r="C1540" s="173" t="s">
        <v>16</v>
      </c>
      <c r="D1540" s="173" t="s">
        <v>22</v>
      </c>
      <c r="E1540" s="173" t="s">
        <v>18</v>
      </c>
      <c r="F1540" s="173" t="s">
        <v>16</v>
      </c>
      <c r="G1540" s="87" t="b">
        <v>1</v>
      </c>
      <c r="H1540" s="87" t="b">
        <v>1</v>
      </c>
      <c r="I1540" s="87" t="b">
        <v>0</v>
      </c>
      <c r="J1540" s="173" t="s">
        <v>477</v>
      </c>
      <c r="K1540" s="174">
        <v>36238913000198</v>
      </c>
      <c r="L1540" s="173" t="s">
        <v>1063</v>
      </c>
      <c r="M1540" s="173" t="s">
        <v>1064</v>
      </c>
      <c r="N1540" s="173" t="s">
        <v>61</v>
      </c>
      <c r="O1540" s="87">
        <v>73</v>
      </c>
      <c r="P1540" s="173" t="s">
        <v>26</v>
      </c>
      <c r="Q1540" s="1" t="s">
        <v>1342</v>
      </c>
      <c r="R1540" s="175">
        <v>80</v>
      </c>
      <c r="S1540">
        <v>20</v>
      </c>
    </row>
    <row r="1541" spans="1:19" x14ac:dyDescent="0.25">
      <c r="A1541" s="87">
        <v>2019</v>
      </c>
      <c r="B1541" s="87">
        <v>9</v>
      </c>
      <c r="C1541" s="173" t="s">
        <v>16</v>
      </c>
      <c r="D1541" s="173" t="s">
        <v>22</v>
      </c>
      <c r="E1541" s="173" t="s">
        <v>18</v>
      </c>
      <c r="F1541" s="173" t="s">
        <v>16</v>
      </c>
      <c r="G1541" s="87" t="b">
        <v>1</v>
      </c>
      <c r="H1541" s="87" t="b">
        <v>1</v>
      </c>
      <c r="I1541" s="87" t="b">
        <v>0</v>
      </c>
      <c r="J1541" s="173" t="s">
        <v>491</v>
      </c>
      <c r="K1541" s="174">
        <v>36238913000198</v>
      </c>
      <c r="L1541" s="173" t="s">
        <v>1063</v>
      </c>
      <c r="M1541" s="173" t="s">
        <v>1064</v>
      </c>
      <c r="N1541" s="173" t="s">
        <v>61</v>
      </c>
      <c r="O1541" s="87">
        <v>73</v>
      </c>
      <c r="P1541" s="173" t="s">
        <v>26</v>
      </c>
      <c r="Q1541" s="1" t="s">
        <v>1342</v>
      </c>
      <c r="R1541" s="175">
        <v>120</v>
      </c>
      <c r="S1541">
        <v>30</v>
      </c>
    </row>
    <row r="1542" spans="1:19" x14ac:dyDescent="0.25">
      <c r="A1542" s="87">
        <v>2019</v>
      </c>
      <c r="B1542" s="87">
        <v>9</v>
      </c>
      <c r="C1542" s="173" t="s">
        <v>16</v>
      </c>
      <c r="D1542" s="173" t="s">
        <v>22</v>
      </c>
      <c r="E1542" s="173" t="s">
        <v>18</v>
      </c>
      <c r="F1542" s="173" t="s">
        <v>16</v>
      </c>
      <c r="G1542" s="87" t="b">
        <v>1</v>
      </c>
      <c r="H1542" s="87" t="b">
        <v>1</v>
      </c>
      <c r="I1542" s="87" t="b">
        <v>0</v>
      </c>
      <c r="J1542" s="173" t="s">
        <v>470</v>
      </c>
      <c r="K1542" s="174">
        <v>37108388000159</v>
      </c>
      <c r="L1542" s="173" t="s">
        <v>916</v>
      </c>
      <c r="M1542" s="173" t="s">
        <v>739</v>
      </c>
      <c r="N1542" s="173" t="s">
        <v>55</v>
      </c>
      <c r="O1542" s="87">
        <v>62</v>
      </c>
      <c r="P1542" s="173" t="s">
        <v>27</v>
      </c>
      <c r="Q1542" s="1" t="s">
        <v>1343</v>
      </c>
      <c r="R1542" s="175">
        <v>3</v>
      </c>
      <c r="S1542">
        <v>3</v>
      </c>
    </row>
    <row r="1543" spans="1:19" x14ac:dyDescent="0.25">
      <c r="A1543" s="87">
        <v>2019</v>
      </c>
      <c r="B1543" s="87">
        <v>9</v>
      </c>
      <c r="C1543" s="173" t="s">
        <v>16</v>
      </c>
      <c r="D1543" s="173" t="s">
        <v>22</v>
      </c>
      <c r="E1543" s="173" t="s">
        <v>18</v>
      </c>
      <c r="F1543" s="173" t="s">
        <v>16</v>
      </c>
      <c r="G1543" s="87" t="b">
        <v>1</v>
      </c>
      <c r="H1543" s="87" t="b">
        <v>1</v>
      </c>
      <c r="I1543" s="87" t="b">
        <v>0</v>
      </c>
      <c r="J1543" s="173" t="s">
        <v>450</v>
      </c>
      <c r="K1543" s="174">
        <v>37108388000159</v>
      </c>
      <c r="L1543" s="173" t="s">
        <v>916</v>
      </c>
      <c r="M1543" s="173" t="s">
        <v>739</v>
      </c>
      <c r="N1543" s="173" t="s">
        <v>55</v>
      </c>
      <c r="O1543" s="87">
        <v>62</v>
      </c>
      <c r="P1543" s="173" t="s">
        <v>27</v>
      </c>
      <c r="Q1543" s="1" t="s">
        <v>1343</v>
      </c>
      <c r="R1543" s="175">
        <v>10</v>
      </c>
      <c r="S1543">
        <v>10</v>
      </c>
    </row>
    <row r="1544" spans="1:19" x14ac:dyDescent="0.25">
      <c r="A1544" s="87">
        <v>2019</v>
      </c>
      <c r="B1544" s="87">
        <v>9</v>
      </c>
      <c r="C1544" s="173" t="s">
        <v>16</v>
      </c>
      <c r="D1544" s="173" t="s">
        <v>22</v>
      </c>
      <c r="E1544" s="173" t="s">
        <v>18</v>
      </c>
      <c r="F1544" s="173" t="s">
        <v>16</v>
      </c>
      <c r="G1544" s="87" t="b">
        <v>1</v>
      </c>
      <c r="H1544" s="87" t="b">
        <v>1</v>
      </c>
      <c r="I1544" s="87" t="b">
        <v>0</v>
      </c>
      <c r="J1544" s="173" t="s">
        <v>468</v>
      </c>
      <c r="K1544" s="174">
        <v>37108388000159</v>
      </c>
      <c r="L1544" s="173" t="s">
        <v>916</v>
      </c>
      <c r="M1544" s="173" t="s">
        <v>739</v>
      </c>
      <c r="N1544" s="173" t="s">
        <v>55</v>
      </c>
      <c r="O1544" s="87">
        <v>62</v>
      </c>
      <c r="P1544" s="173" t="s">
        <v>27</v>
      </c>
      <c r="Q1544" s="1" t="s">
        <v>1343</v>
      </c>
      <c r="R1544" s="175">
        <v>2</v>
      </c>
      <c r="S1544">
        <v>2</v>
      </c>
    </row>
    <row r="1545" spans="1:19" x14ac:dyDescent="0.25">
      <c r="A1545" s="87">
        <v>2019</v>
      </c>
      <c r="B1545" s="87">
        <v>9</v>
      </c>
      <c r="C1545" s="173" t="s">
        <v>16</v>
      </c>
      <c r="D1545" s="173" t="s">
        <v>22</v>
      </c>
      <c r="E1545" s="173" t="s">
        <v>18</v>
      </c>
      <c r="F1545" s="173" t="s">
        <v>16</v>
      </c>
      <c r="G1545" s="87" t="b">
        <v>1</v>
      </c>
      <c r="H1545" s="87" t="b">
        <v>1</v>
      </c>
      <c r="I1545" s="87" t="b">
        <v>0</v>
      </c>
      <c r="J1545" s="173" t="s">
        <v>468</v>
      </c>
      <c r="K1545" s="174">
        <v>37108388000159</v>
      </c>
      <c r="L1545" s="173" t="s">
        <v>916</v>
      </c>
      <c r="M1545" s="173" t="s">
        <v>739</v>
      </c>
      <c r="N1545" s="173" t="s">
        <v>55</v>
      </c>
      <c r="O1545" s="87">
        <v>64</v>
      </c>
      <c r="P1545" s="173" t="s">
        <v>25</v>
      </c>
      <c r="Q1545" s="1" t="s">
        <v>1344</v>
      </c>
      <c r="R1545" s="175">
        <v>30</v>
      </c>
      <c r="S1545">
        <v>30</v>
      </c>
    </row>
    <row r="1546" spans="1:19" x14ac:dyDescent="0.25">
      <c r="A1546" s="87">
        <v>2019</v>
      </c>
      <c r="B1546" s="87">
        <v>9</v>
      </c>
      <c r="C1546" s="173" t="s">
        <v>16</v>
      </c>
      <c r="D1546" s="173" t="s">
        <v>22</v>
      </c>
      <c r="E1546" s="173" t="s">
        <v>18</v>
      </c>
      <c r="F1546" s="173" t="s">
        <v>16</v>
      </c>
      <c r="G1546" s="87" t="b">
        <v>1</v>
      </c>
      <c r="H1546" s="87" t="b">
        <v>1</v>
      </c>
      <c r="I1546" s="87" t="b">
        <v>0</v>
      </c>
      <c r="J1546" s="173" t="s">
        <v>470</v>
      </c>
      <c r="K1546" s="174">
        <v>38000485000196</v>
      </c>
      <c r="L1546" s="173" t="s">
        <v>917</v>
      </c>
      <c r="M1546" s="173" t="s">
        <v>739</v>
      </c>
      <c r="N1546" s="173" t="s">
        <v>55</v>
      </c>
      <c r="O1546" s="87">
        <v>62</v>
      </c>
      <c r="P1546" s="173" t="s">
        <v>27</v>
      </c>
      <c r="Q1546" s="1" t="s">
        <v>1343</v>
      </c>
      <c r="R1546" s="175">
        <v>9</v>
      </c>
      <c r="S1546">
        <v>9</v>
      </c>
    </row>
    <row r="1547" spans="1:19" x14ac:dyDescent="0.25">
      <c r="A1547" s="87">
        <v>2019</v>
      </c>
      <c r="B1547" s="87">
        <v>9</v>
      </c>
      <c r="C1547" s="173" t="s">
        <v>16</v>
      </c>
      <c r="D1547" s="173" t="s">
        <v>22</v>
      </c>
      <c r="E1547" s="173" t="s">
        <v>18</v>
      </c>
      <c r="F1547" s="173" t="s">
        <v>16</v>
      </c>
      <c r="G1547" s="87" t="b">
        <v>1</v>
      </c>
      <c r="H1547" s="87" t="b">
        <v>1</v>
      </c>
      <c r="I1547" s="87" t="b">
        <v>0</v>
      </c>
      <c r="J1547" s="173" t="s">
        <v>470</v>
      </c>
      <c r="K1547" s="174">
        <v>39086160000130</v>
      </c>
      <c r="L1547" s="173" t="s">
        <v>1119</v>
      </c>
      <c r="M1547" s="173" t="s">
        <v>131</v>
      </c>
      <c r="N1547" s="173" t="s">
        <v>61</v>
      </c>
      <c r="O1547" s="87">
        <v>70</v>
      </c>
      <c r="P1547" s="173" t="s">
        <v>20</v>
      </c>
      <c r="Q1547" s="1" t="s">
        <v>1338</v>
      </c>
      <c r="R1547" s="175">
        <v>180</v>
      </c>
      <c r="S1547">
        <v>36</v>
      </c>
    </row>
    <row r="1548" spans="1:19" x14ac:dyDescent="0.25">
      <c r="A1548" s="87">
        <v>2019</v>
      </c>
      <c r="B1548" s="87">
        <v>9</v>
      </c>
      <c r="C1548" s="173" t="s">
        <v>16</v>
      </c>
      <c r="D1548" s="173" t="s">
        <v>22</v>
      </c>
      <c r="E1548" s="173" t="s">
        <v>18</v>
      </c>
      <c r="F1548" s="173" t="s">
        <v>16</v>
      </c>
      <c r="G1548" s="87" t="b">
        <v>1</v>
      </c>
      <c r="H1548" s="87" t="b">
        <v>1</v>
      </c>
      <c r="I1548" s="87" t="b">
        <v>0</v>
      </c>
      <c r="J1548" s="173" t="s">
        <v>470</v>
      </c>
      <c r="K1548" s="174">
        <v>39086160000130</v>
      </c>
      <c r="L1548" s="173" t="s">
        <v>1119</v>
      </c>
      <c r="M1548" s="173" t="s">
        <v>131</v>
      </c>
      <c r="N1548" s="173" t="s">
        <v>61</v>
      </c>
      <c r="O1548" s="87">
        <v>73</v>
      </c>
      <c r="P1548" s="173" t="s">
        <v>26</v>
      </c>
      <c r="Q1548" s="1" t="s">
        <v>1342</v>
      </c>
      <c r="R1548" s="175">
        <v>88</v>
      </c>
      <c r="S1548">
        <v>22</v>
      </c>
    </row>
    <row r="1549" spans="1:19" x14ac:dyDescent="0.25">
      <c r="A1549" s="87">
        <v>2019</v>
      </c>
      <c r="B1549" s="87">
        <v>9</v>
      </c>
      <c r="C1549" s="173" t="s">
        <v>16</v>
      </c>
      <c r="D1549" s="173" t="s">
        <v>22</v>
      </c>
      <c r="E1549" s="173" t="s">
        <v>18</v>
      </c>
      <c r="F1549" s="173" t="s">
        <v>16</v>
      </c>
      <c r="G1549" s="87" t="b">
        <v>1</v>
      </c>
      <c r="H1549" s="87" t="b">
        <v>1</v>
      </c>
      <c r="I1549" s="87" t="b">
        <v>0</v>
      </c>
      <c r="J1549" s="173" t="s">
        <v>478</v>
      </c>
      <c r="K1549" s="174">
        <v>39387477000107</v>
      </c>
      <c r="L1549" s="173" t="s">
        <v>1218</v>
      </c>
      <c r="M1549" s="173" t="s">
        <v>1157</v>
      </c>
      <c r="N1549" s="173" t="s">
        <v>98</v>
      </c>
      <c r="O1549" s="87">
        <v>70</v>
      </c>
      <c r="P1549" s="173" t="s">
        <v>20</v>
      </c>
      <c r="Q1549" s="1" t="s">
        <v>1338</v>
      </c>
      <c r="R1549" s="175">
        <v>350</v>
      </c>
      <c r="S1549">
        <v>70</v>
      </c>
    </row>
    <row r="1550" spans="1:19" x14ac:dyDescent="0.25">
      <c r="A1550" s="87">
        <v>2019</v>
      </c>
      <c r="B1550" s="87">
        <v>9</v>
      </c>
      <c r="C1550" s="173" t="s">
        <v>16</v>
      </c>
      <c r="D1550" s="173" t="s">
        <v>22</v>
      </c>
      <c r="E1550" s="173" t="s">
        <v>18</v>
      </c>
      <c r="F1550" s="173" t="s">
        <v>16</v>
      </c>
      <c r="G1550" s="87" t="b">
        <v>1</v>
      </c>
      <c r="H1550" s="87" t="b">
        <v>1</v>
      </c>
      <c r="I1550" s="87" t="b">
        <v>0</v>
      </c>
      <c r="J1550" s="173" t="s">
        <v>491</v>
      </c>
      <c r="K1550" s="174">
        <v>40226946000276</v>
      </c>
      <c r="L1550" s="173" t="s">
        <v>1120</v>
      </c>
      <c r="M1550" s="173" t="s">
        <v>131</v>
      </c>
      <c r="N1550" s="173" t="s">
        <v>61</v>
      </c>
      <c r="O1550" s="87">
        <v>64</v>
      </c>
      <c r="P1550" s="173" t="s">
        <v>25</v>
      </c>
      <c r="Q1550" s="1" t="s">
        <v>1344</v>
      </c>
      <c r="R1550" s="175">
        <v>2</v>
      </c>
      <c r="S1550">
        <v>2</v>
      </c>
    </row>
    <row r="1551" spans="1:19" x14ac:dyDescent="0.25">
      <c r="A1551" s="87">
        <v>2019</v>
      </c>
      <c r="B1551" s="87">
        <v>9</v>
      </c>
      <c r="C1551" s="173" t="s">
        <v>16</v>
      </c>
      <c r="D1551" s="173" t="s">
        <v>22</v>
      </c>
      <c r="E1551" s="173" t="s">
        <v>18</v>
      </c>
      <c r="F1551" s="173" t="s">
        <v>16</v>
      </c>
      <c r="G1551" s="87" t="b">
        <v>1</v>
      </c>
      <c r="H1551" s="87" t="b">
        <v>1</v>
      </c>
      <c r="I1551" s="87" t="b">
        <v>0</v>
      </c>
      <c r="J1551" s="173" t="s">
        <v>470</v>
      </c>
      <c r="K1551" s="174">
        <v>41580077000165</v>
      </c>
      <c r="L1551" s="173" t="s">
        <v>918</v>
      </c>
      <c r="M1551" s="173" t="s">
        <v>76</v>
      </c>
      <c r="N1551" s="173" t="s">
        <v>77</v>
      </c>
      <c r="O1551" s="87">
        <v>62</v>
      </c>
      <c r="P1551" s="173" t="s">
        <v>27</v>
      </c>
      <c r="Q1551" s="1" t="s">
        <v>1343</v>
      </c>
      <c r="R1551" s="175">
        <v>3</v>
      </c>
      <c r="S1551">
        <v>3</v>
      </c>
    </row>
    <row r="1552" spans="1:19" x14ac:dyDescent="0.25">
      <c r="A1552" s="87">
        <v>2019</v>
      </c>
      <c r="B1552" s="87">
        <v>9</v>
      </c>
      <c r="C1552" s="173" t="s">
        <v>16</v>
      </c>
      <c r="D1552" s="173" t="s">
        <v>22</v>
      </c>
      <c r="E1552" s="173" t="s">
        <v>18</v>
      </c>
      <c r="F1552" s="173" t="s">
        <v>16</v>
      </c>
      <c r="G1552" s="87" t="b">
        <v>1</v>
      </c>
      <c r="H1552" s="87" t="b">
        <v>1</v>
      </c>
      <c r="I1552" s="87" t="b">
        <v>0</v>
      </c>
      <c r="J1552" s="173" t="s">
        <v>470</v>
      </c>
      <c r="K1552" s="174">
        <v>43293604002120</v>
      </c>
      <c r="L1552" s="173" t="s">
        <v>673</v>
      </c>
      <c r="M1552" s="173" t="s">
        <v>674</v>
      </c>
      <c r="N1552" s="173" t="s">
        <v>19</v>
      </c>
      <c r="O1552" s="87">
        <v>70</v>
      </c>
      <c r="P1552" s="173" t="s">
        <v>20</v>
      </c>
      <c r="Q1552" s="1" t="s">
        <v>1338</v>
      </c>
      <c r="R1552" s="175">
        <v>65</v>
      </c>
      <c r="S1552">
        <v>13</v>
      </c>
    </row>
    <row r="1553" spans="1:19" x14ac:dyDescent="0.25">
      <c r="A1553" s="87">
        <v>2019</v>
      </c>
      <c r="B1553" s="87">
        <v>9</v>
      </c>
      <c r="C1553" s="173" t="s">
        <v>16</v>
      </c>
      <c r="D1553" s="173" t="s">
        <v>22</v>
      </c>
      <c r="E1553" s="173" t="s">
        <v>18</v>
      </c>
      <c r="F1553" s="173" t="s">
        <v>16</v>
      </c>
      <c r="G1553" s="87" t="b">
        <v>1</v>
      </c>
      <c r="H1553" s="87" t="b">
        <v>1</v>
      </c>
      <c r="I1553" s="87" t="b">
        <v>0</v>
      </c>
      <c r="J1553" s="173" t="s">
        <v>463</v>
      </c>
      <c r="K1553" s="174">
        <v>44456036000311</v>
      </c>
      <c r="L1553" s="173" t="s">
        <v>675</v>
      </c>
      <c r="M1553" s="173" t="s">
        <v>37</v>
      </c>
      <c r="N1553" s="173" t="s">
        <v>19</v>
      </c>
      <c r="O1553" s="87">
        <v>64</v>
      </c>
      <c r="P1553" s="173" t="s">
        <v>25</v>
      </c>
      <c r="Q1553" s="1" t="s">
        <v>1344</v>
      </c>
      <c r="R1553" s="175">
        <v>7</v>
      </c>
      <c r="S1553">
        <v>7</v>
      </c>
    </row>
    <row r="1554" spans="1:19" x14ac:dyDescent="0.25">
      <c r="A1554" s="87">
        <v>2019</v>
      </c>
      <c r="B1554" s="87">
        <v>9</v>
      </c>
      <c r="C1554" s="173" t="s">
        <v>16</v>
      </c>
      <c r="D1554" s="173" t="s">
        <v>22</v>
      </c>
      <c r="E1554" s="173" t="s">
        <v>18</v>
      </c>
      <c r="F1554" s="173" t="s">
        <v>16</v>
      </c>
      <c r="G1554" s="87" t="b">
        <v>1</v>
      </c>
      <c r="H1554" s="87" t="b">
        <v>1</v>
      </c>
      <c r="I1554" s="87" t="b">
        <v>0</v>
      </c>
      <c r="J1554" s="173" t="s">
        <v>450</v>
      </c>
      <c r="K1554" s="174">
        <v>44649812001614</v>
      </c>
      <c r="L1554" s="173" t="s">
        <v>677</v>
      </c>
      <c r="M1554" s="173" t="s">
        <v>678</v>
      </c>
      <c r="N1554" s="173" t="s">
        <v>19</v>
      </c>
      <c r="O1554" s="87">
        <v>64</v>
      </c>
      <c r="P1554" s="173" t="s">
        <v>25</v>
      </c>
      <c r="Q1554" s="1" t="s">
        <v>1344</v>
      </c>
      <c r="R1554" s="175">
        <v>4</v>
      </c>
      <c r="S1554">
        <v>4</v>
      </c>
    </row>
    <row r="1555" spans="1:19" x14ac:dyDescent="0.25">
      <c r="A1555" s="87">
        <v>2019</v>
      </c>
      <c r="B1555" s="87">
        <v>9</v>
      </c>
      <c r="C1555" s="173" t="s">
        <v>16</v>
      </c>
      <c r="D1555" s="173" t="s">
        <v>22</v>
      </c>
      <c r="E1555" s="173" t="s">
        <v>18</v>
      </c>
      <c r="F1555" s="173" t="s">
        <v>16</v>
      </c>
      <c r="G1555" s="87" t="b">
        <v>1</v>
      </c>
      <c r="H1555" s="87" t="b">
        <v>1</v>
      </c>
      <c r="I1555" s="87" t="b">
        <v>0</v>
      </c>
      <c r="J1555" s="173" t="s">
        <v>470</v>
      </c>
      <c r="K1555" s="174">
        <v>44649812005520</v>
      </c>
      <c r="L1555" s="173" t="s">
        <v>598</v>
      </c>
      <c r="M1555" s="173" t="s">
        <v>29</v>
      </c>
      <c r="N1555" s="173" t="s">
        <v>19</v>
      </c>
      <c r="O1555" s="87">
        <v>73</v>
      </c>
      <c r="P1555" s="173" t="s">
        <v>26</v>
      </c>
      <c r="Q1555" s="1" t="s">
        <v>1339</v>
      </c>
      <c r="R1555" s="175">
        <v>4</v>
      </c>
      <c r="S1555">
        <v>2</v>
      </c>
    </row>
    <row r="1556" spans="1:19" x14ac:dyDescent="0.25">
      <c r="A1556" s="87">
        <v>2019</v>
      </c>
      <c r="B1556" s="87">
        <v>9</v>
      </c>
      <c r="C1556" s="173" t="s">
        <v>16</v>
      </c>
      <c r="D1556" s="173" t="s">
        <v>22</v>
      </c>
      <c r="E1556" s="173" t="s">
        <v>18</v>
      </c>
      <c r="F1556" s="173" t="s">
        <v>16</v>
      </c>
      <c r="G1556" s="87" t="b">
        <v>1</v>
      </c>
      <c r="H1556" s="87" t="b">
        <v>1</v>
      </c>
      <c r="I1556" s="87" t="b">
        <v>0</v>
      </c>
      <c r="J1556" s="173" t="s">
        <v>450</v>
      </c>
      <c r="K1556" s="174">
        <v>44649812019238</v>
      </c>
      <c r="L1556" s="173" t="s">
        <v>679</v>
      </c>
      <c r="M1556" s="173" t="s">
        <v>33</v>
      </c>
      <c r="N1556" s="173" t="s">
        <v>19</v>
      </c>
      <c r="O1556" s="87">
        <v>73</v>
      </c>
      <c r="P1556" s="173" t="s">
        <v>26</v>
      </c>
      <c r="Q1556" s="1" t="s">
        <v>1342</v>
      </c>
      <c r="R1556" s="175">
        <v>8</v>
      </c>
      <c r="S1556">
        <v>2</v>
      </c>
    </row>
    <row r="1557" spans="1:19" x14ac:dyDescent="0.25">
      <c r="A1557" s="87">
        <v>2019</v>
      </c>
      <c r="B1557" s="87">
        <v>9</v>
      </c>
      <c r="C1557" s="173" t="s">
        <v>16</v>
      </c>
      <c r="D1557" s="173" t="s">
        <v>22</v>
      </c>
      <c r="E1557" s="173" t="s">
        <v>18</v>
      </c>
      <c r="F1557" s="173" t="s">
        <v>16</v>
      </c>
      <c r="G1557" s="87" t="b">
        <v>1</v>
      </c>
      <c r="H1557" s="87" t="b">
        <v>1</v>
      </c>
      <c r="I1557" s="87" t="b">
        <v>0</v>
      </c>
      <c r="J1557" s="173" t="s">
        <v>492</v>
      </c>
      <c r="K1557" s="174">
        <v>44663631000590</v>
      </c>
      <c r="L1557" s="173" t="s">
        <v>680</v>
      </c>
      <c r="M1557" s="173" t="s">
        <v>39</v>
      </c>
      <c r="N1557" s="173" t="s">
        <v>19</v>
      </c>
      <c r="O1557" s="87">
        <v>70</v>
      </c>
      <c r="P1557" s="173" t="s">
        <v>20</v>
      </c>
      <c r="Q1557" s="1" t="s">
        <v>1338</v>
      </c>
      <c r="R1557" s="175">
        <v>165</v>
      </c>
      <c r="S1557">
        <v>33</v>
      </c>
    </row>
    <row r="1558" spans="1:19" x14ac:dyDescent="0.25">
      <c r="A1558" s="87">
        <v>2019</v>
      </c>
      <c r="B1558" s="87">
        <v>9</v>
      </c>
      <c r="C1558" s="173" t="s">
        <v>16</v>
      </c>
      <c r="D1558" s="173" t="s">
        <v>22</v>
      </c>
      <c r="E1558" s="173" t="s">
        <v>18</v>
      </c>
      <c r="F1558" s="173" t="s">
        <v>16</v>
      </c>
      <c r="G1558" s="87" t="b">
        <v>1</v>
      </c>
      <c r="H1558" s="87" t="b">
        <v>1</v>
      </c>
      <c r="I1558" s="87" t="b">
        <v>0</v>
      </c>
      <c r="J1558" s="173" t="s">
        <v>491</v>
      </c>
      <c r="K1558" s="174">
        <v>44663631000590</v>
      </c>
      <c r="L1558" s="173" t="s">
        <v>680</v>
      </c>
      <c r="M1558" s="173" t="s">
        <v>39</v>
      </c>
      <c r="N1558" s="173" t="s">
        <v>19</v>
      </c>
      <c r="O1558" s="87">
        <v>70</v>
      </c>
      <c r="P1558" s="173" t="s">
        <v>20</v>
      </c>
      <c r="Q1558" s="1" t="s">
        <v>1338</v>
      </c>
      <c r="R1558" s="175">
        <v>30</v>
      </c>
      <c r="S1558">
        <v>6</v>
      </c>
    </row>
    <row r="1559" spans="1:19" x14ac:dyDescent="0.25">
      <c r="A1559" s="87">
        <v>2019</v>
      </c>
      <c r="B1559" s="87">
        <v>9</v>
      </c>
      <c r="C1559" s="173" t="s">
        <v>16</v>
      </c>
      <c r="D1559" s="173" t="s">
        <v>22</v>
      </c>
      <c r="E1559" s="173" t="s">
        <v>18</v>
      </c>
      <c r="F1559" s="173" t="s">
        <v>16</v>
      </c>
      <c r="G1559" s="87" t="b">
        <v>1</v>
      </c>
      <c r="H1559" s="87" t="b">
        <v>1</v>
      </c>
      <c r="I1559" s="87" t="b">
        <v>0</v>
      </c>
      <c r="J1559" s="173" t="s">
        <v>491</v>
      </c>
      <c r="K1559" s="174">
        <v>44663631000590</v>
      </c>
      <c r="L1559" s="173" t="s">
        <v>680</v>
      </c>
      <c r="M1559" s="173" t="s">
        <v>39</v>
      </c>
      <c r="N1559" s="173" t="s">
        <v>19</v>
      </c>
      <c r="O1559" s="87">
        <v>73</v>
      </c>
      <c r="P1559" s="173" t="s">
        <v>26</v>
      </c>
      <c r="Q1559" s="1" t="s">
        <v>1342</v>
      </c>
      <c r="R1559" s="175">
        <v>32</v>
      </c>
      <c r="S1559">
        <v>8</v>
      </c>
    </row>
    <row r="1560" spans="1:19" x14ac:dyDescent="0.25">
      <c r="A1560" s="87">
        <v>2019</v>
      </c>
      <c r="B1560" s="87">
        <v>9</v>
      </c>
      <c r="C1560" s="173" t="s">
        <v>16</v>
      </c>
      <c r="D1560" s="173" t="s">
        <v>22</v>
      </c>
      <c r="E1560" s="173" t="s">
        <v>18</v>
      </c>
      <c r="F1560" s="173" t="s">
        <v>16</v>
      </c>
      <c r="G1560" s="87" t="b">
        <v>1</v>
      </c>
      <c r="H1560" s="87" t="b">
        <v>1</v>
      </c>
      <c r="I1560" s="87" t="b">
        <v>0</v>
      </c>
      <c r="J1560" s="173" t="s">
        <v>450</v>
      </c>
      <c r="K1560" s="174">
        <v>44803922000293</v>
      </c>
      <c r="L1560" s="173" t="s">
        <v>681</v>
      </c>
      <c r="M1560" s="173" t="s">
        <v>40</v>
      </c>
      <c r="N1560" s="173" t="s">
        <v>19</v>
      </c>
      <c r="O1560" s="87">
        <v>73</v>
      </c>
      <c r="P1560" s="173" t="s">
        <v>26</v>
      </c>
      <c r="Q1560" s="1" t="s">
        <v>1339</v>
      </c>
      <c r="R1560" s="175">
        <v>8</v>
      </c>
      <c r="S1560">
        <v>4</v>
      </c>
    </row>
    <row r="1561" spans="1:19" x14ac:dyDescent="0.25">
      <c r="A1561" s="87">
        <v>2019</v>
      </c>
      <c r="B1561" s="87">
        <v>9</v>
      </c>
      <c r="C1561" s="173" t="s">
        <v>16</v>
      </c>
      <c r="D1561" s="173" t="s">
        <v>22</v>
      </c>
      <c r="E1561" s="173" t="s">
        <v>18</v>
      </c>
      <c r="F1561" s="173" t="s">
        <v>16</v>
      </c>
      <c r="G1561" s="87" t="b">
        <v>1</v>
      </c>
      <c r="H1561" s="87" t="b">
        <v>1</v>
      </c>
      <c r="I1561" s="87" t="b">
        <v>0</v>
      </c>
      <c r="J1561" s="173" t="s">
        <v>463</v>
      </c>
      <c r="K1561" s="174">
        <v>45118429001279</v>
      </c>
      <c r="L1561" s="173" t="s">
        <v>683</v>
      </c>
      <c r="M1561" s="173" t="s">
        <v>41</v>
      </c>
      <c r="N1561" s="173" t="s">
        <v>19</v>
      </c>
      <c r="O1561" s="87">
        <v>64</v>
      </c>
      <c r="P1561" s="173" t="s">
        <v>25</v>
      </c>
      <c r="Q1561" s="1" t="s">
        <v>1344</v>
      </c>
      <c r="R1561" s="175">
        <v>7</v>
      </c>
      <c r="S1561">
        <v>7</v>
      </c>
    </row>
    <row r="1562" spans="1:19" x14ac:dyDescent="0.25">
      <c r="A1562" s="87">
        <v>2019</v>
      </c>
      <c r="B1562" s="87">
        <v>9</v>
      </c>
      <c r="C1562" s="173" t="s">
        <v>16</v>
      </c>
      <c r="D1562" s="173" t="s">
        <v>22</v>
      </c>
      <c r="E1562" s="173" t="s">
        <v>18</v>
      </c>
      <c r="F1562" s="173" t="s">
        <v>16</v>
      </c>
      <c r="G1562" s="87" t="b">
        <v>1</v>
      </c>
      <c r="H1562" s="87" t="b">
        <v>1</v>
      </c>
      <c r="I1562" s="87" t="b">
        <v>0</v>
      </c>
      <c r="J1562" s="173" t="s">
        <v>450</v>
      </c>
      <c r="K1562" s="174">
        <v>45118429001279</v>
      </c>
      <c r="L1562" s="173" t="s">
        <v>683</v>
      </c>
      <c r="M1562" s="173" t="s">
        <v>41</v>
      </c>
      <c r="N1562" s="173" t="s">
        <v>19</v>
      </c>
      <c r="O1562" s="87">
        <v>70</v>
      </c>
      <c r="P1562" s="173" t="s">
        <v>20</v>
      </c>
      <c r="Q1562" s="1" t="s">
        <v>1338</v>
      </c>
      <c r="R1562" s="175">
        <v>50</v>
      </c>
      <c r="S1562">
        <v>10</v>
      </c>
    </row>
    <row r="1563" spans="1:19" x14ac:dyDescent="0.25">
      <c r="A1563" s="87">
        <v>2019</v>
      </c>
      <c r="B1563" s="87">
        <v>9</v>
      </c>
      <c r="C1563" s="173" t="s">
        <v>16</v>
      </c>
      <c r="D1563" s="173" t="s">
        <v>22</v>
      </c>
      <c r="E1563" s="173" t="s">
        <v>18</v>
      </c>
      <c r="F1563" s="173" t="s">
        <v>16</v>
      </c>
      <c r="G1563" s="87" t="b">
        <v>1</v>
      </c>
      <c r="H1563" s="87" t="b">
        <v>1</v>
      </c>
      <c r="I1563" s="87" t="b">
        <v>0</v>
      </c>
      <c r="J1563" s="173" t="s">
        <v>451</v>
      </c>
      <c r="K1563" s="174">
        <v>45118429001279</v>
      </c>
      <c r="L1563" s="173" t="s">
        <v>683</v>
      </c>
      <c r="M1563" s="173" t="s">
        <v>41</v>
      </c>
      <c r="N1563" s="173" t="s">
        <v>19</v>
      </c>
      <c r="O1563" s="87">
        <v>70</v>
      </c>
      <c r="P1563" s="173" t="s">
        <v>20</v>
      </c>
      <c r="Q1563" s="1" t="s">
        <v>1338</v>
      </c>
      <c r="R1563" s="175">
        <v>50</v>
      </c>
      <c r="S1563">
        <v>10</v>
      </c>
    </row>
    <row r="1564" spans="1:19" x14ac:dyDescent="0.25">
      <c r="A1564" s="87">
        <v>2019</v>
      </c>
      <c r="B1564" s="87">
        <v>9</v>
      </c>
      <c r="C1564" s="173" t="s">
        <v>16</v>
      </c>
      <c r="D1564" s="173" t="s">
        <v>22</v>
      </c>
      <c r="E1564" s="173" t="s">
        <v>18</v>
      </c>
      <c r="F1564" s="173" t="s">
        <v>16</v>
      </c>
      <c r="G1564" s="87" t="b">
        <v>1</v>
      </c>
      <c r="H1564" s="87" t="b">
        <v>1</v>
      </c>
      <c r="I1564" s="87" t="b">
        <v>0</v>
      </c>
      <c r="J1564" s="173" t="s">
        <v>491</v>
      </c>
      <c r="K1564" s="174">
        <v>45118429001279</v>
      </c>
      <c r="L1564" s="173" t="s">
        <v>683</v>
      </c>
      <c r="M1564" s="173" t="s">
        <v>41</v>
      </c>
      <c r="N1564" s="173" t="s">
        <v>19</v>
      </c>
      <c r="O1564" s="87">
        <v>73</v>
      </c>
      <c r="P1564" s="173" t="s">
        <v>26</v>
      </c>
      <c r="Q1564" s="1" t="s">
        <v>1339</v>
      </c>
      <c r="R1564" s="175">
        <v>4</v>
      </c>
      <c r="S1564">
        <v>2</v>
      </c>
    </row>
    <row r="1565" spans="1:19" x14ac:dyDescent="0.25">
      <c r="A1565" s="87">
        <v>2019</v>
      </c>
      <c r="B1565" s="87">
        <v>9</v>
      </c>
      <c r="C1565" s="173" t="s">
        <v>16</v>
      </c>
      <c r="D1565" s="173" t="s">
        <v>22</v>
      </c>
      <c r="E1565" s="173" t="s">
        <v>18</v>
      </c>
      <c r="F1565" s="173" t="s">
        <v>16</v>
      </c>
      <c r="G1565" s="87" t="b">
        <v>1</v>
      </c>
      <c r="H1565" s="87" t="b">
        <v>1</v>
      </c>
      <c r="I1565" s="87" t="b">
        <v>0</v>
      </c>
      <c r="J1565" s="173" t="s">
        <v>491</v>
      </c>
      <c r="K1565" s="174">
        <v>45118429001279</v>
      </c>
      <c r="L1565" s="173" t="s">
        <v>683</v>
      </c>
      <c r="M1565" s="173" t="s">
        <v>41</v>
      </c>
      <c r="N1565" s="173" t="s">
        <v>19</v>
      </c>
      <c r="O1565" s="87">
        <v>73</v>
      </c>
      <c r="P1565" s="173" t="s">
        <v>26</v>
      </c>
      <c r="Q1565" s="1" t="s">
        <v>1340</v>
      </c>
      <c r="R1565" s="175">
        <v>2</v>
      </c>
      <c r="S1565">
        <v>2</v>
      </c>
    </row>
    <row r="1566" spans="1:19" x14ac:dyDescent="0.25">
      <c r="A1566" s="87">
        <v>2019</v>
      </c>
      <c r="B1566" s="87">
        <v>9</v>
      </c>
      <c r="C1566" s="173" t="s">
        <v>16</v>
      </c>
      <c r="D1566" s="173" t="s">
        <v>22</v>
      </c>
      <c r="E1566" s="173" t="s">
        <v>18</v>
      </c>
      <c r="F1566" s="173" t="s">
        <v>16</v>
      </c>
      <c r="G1566" s="87" t="b">
        <v>1</v>
      </c>
      <c r="H1566" s="87" t="b">
        <v>1</v>
      </c>
      <c r="I1566" s="87" t="b">
        <v>0</v>
      </c>
      <c r="J1566" s="173" t="s">
        <v>463</v>
      </c>
      <c r="K1566" s="174">
        <v>45184066000117</v>
      </c>
      <c r="L1566" s="173" t="s">
        <v>684</v>
      </c>
      <c r="M1566" s="173" t="s">
        <v>650</v>
      </c>
      <c r="N1566" s="173" t="s">
        <v>19</v>
      </c>
      <c r="O1566" s="87">
        <v>70</v>
      </c>
      <c r="P1566" s="173" t="s">
        <v>20</v>
      </c>
      <c r="Q1566" s="1" t="s">
        <v>1338</v>
      </c>
      <c r="R1566" s="175">
        <v>100</v>
      </c>
      <c r="S1566">
        <v>20</v>
      </c>
    </row>
    <row r="1567" spans="1:19" x14ac:dyDescent="0.25">
      <c r="A1567" s="87">
        <v>2019</v>
      </c>
      <c r="B1567" s="87">
        <v>9</v>
      </c>
      <c r="C1567" s="173" t="s">
        <v>16</v>
      </c>
      <c r="D1567" s="173" t="s">
        <v>22</v>
      </c>
      <c r="E1567" s="173" t="s">
        <v>18</v>
      </c>
      <c r="F1567" s="173" t="s">
        <v>16</v>
      </c>
      <c r="G1567" s="87" t="b">
        <v>1</v>
      </c>
      <c r="H1567" s="87" t="b">
        <v>1</v>
      </c>
      <c r="I1567" s="87" t="b">
        <v>0</v>
      </c>
      <c r="J1567" s="173" t="s">
        <v>470</v>
      </c>
      <c r="K1567" s="174">
        <v>45184066000117</v>
      </c>
      <c r="L1567" s="173" t="s">
        <v>684</v>
      </c>
      <c r="M1567" s="173" t="s">
        <v>650</v>
      </c>
      <c r="N1567" s="173" t="s">
        <v>19</v>
      </c>
      <c r="O1567" s="87">
        <v>73</v>
      </c>
      <c r="P1567" s="173" t="s">
        <v>26</v>
      </c>
      <c r="Q1567" s="1" t="s">
        <v>1340</v>
      </c>
      <c r="R1567" s="175">
        <v>5</v>
      </c>
      <c r="S1567">
        <v>5</v>
      </c>
    </row>
    <row r="1568" spans="1:19" x14ac:dyDescent="0.25">
      <c r="A1568" s="87">
        <v>2019</v>
      </c>
      <c r="B1568" s="87">
        <v>9</v>
      </c>
      <c r="C1568" s="173" t="s">
        <v>16</v>
      </c>
      <c r="D1568" s="173" t="s">
        <v>22</v>
      </c>
      <c r="E1568" s="173" t="s">
        <v>18</v>
      </c>
      <c r="F1568" s="173" t="s">
        <v>16</v>
      </c>
      <c r="G1568" s="87" t="b">
        <v>1</v>
      </c>
      <c r="H1568" s="87" t="b">
        <v>1</v>
      </c>
      <c r="I1568" s="87" t="b">
        <v>0</v>
      </c>
      <c r="J1568" s="173" t="s">
        <v>463</v>
      </c>
      <c r="K1568" s="174">
        <v>45184066000117</v>
      </c>
      <c r="L1568" s="173" t="s">
        <v>684</v>
      </c>
      <c r="M1568" s="173" t="s">
        <v>650</v>
      </c>
      <c r="N1568" s="173" t="s">
        <v>19</v>
      </c>
      <c r="O1568" s="87">
        <v>73</v>
      </c>
      <c r="P1568" s="173" t="s">
        <v>26</v>
      </c>
      <c r="Q1568" s="1" t="s">
        <v>1342</v>
      </c>
      <c r="R1568" s="175">
        <v>8</v>
      </c>
      <c r="S1568">
        <v>2</v>
      </c>
    </row>
    <row r="1569" spans="1:19" x14ac:dyDescent="0.25">
      <c r="A1569" s="87">
        <v>2019</v>
      </c>
      <c r="B1569" s="87">
        <v>9</v>
      </c>
      <c r="C1569" s="173" t="s">
        <v>16</v>
      </c>
      <c r="D1569" s="173" t="s">
        <v>22</v>
      </c>
      <c r="E1569" s="173" t="s">
        <v>18</v>
      </c>
      <c r="F1569" s="173" t="s">
        <v>16</v>
      </c>
      <c r="G1569" s="87" t="b">
        <v>1</v>
      </c>
      <c r="H1569" s="87" t="b">
        <v>1</v>
      </c>
      <c r="I1569" s="87" t="b">
        <v>0</v>
      </c>
      <c r="J1569" s="173" t="s">
        <v>463</v>
      </c>
      <c r="K1569" s="174">
        <v>45184066000117</v>
      </c>
      <c r="L1569" s="173" t="s">
        <v>684</v>
      </c>
      <c r="M1569" s="173" t="s">
        <v>650</v>
      </c>
      <c r="N1569" s="173" t="s">
        <v>19</v>
      </c>
      <c r="O1569" s="87">
        <v>73</v>
      </c>
      <c r="P1569" s="173" t="s">
        <v>26</v>
      </c>
      <c r="Q1569" s="1" t="s">
        <v>1340</v>
      </c>
      <c r="R1569" s="175">
        <v>2</v>
      </c>
      <c r="S1569">
        <v>2</v>
      </c>
    </row>
    <row r="1570" spans="1:19" x14ac:dyDescent="0.25">
      <c r="A1570" s="87">
        <v>2019</v>
      </c>
      <c r="B1570" s="87">
        <v>9</v>
      </c>
      <c r="C1570" s="173" t="s">
        <v>16</v>
      </c>
      <c r="D1570" s="173" t="s">
        <v>22</v>
      </c>
      <c r="E1570" s="173" t="s">
        <v>18</v>
      </c>
      <c r="F1570" s="173" t="s">
        <v>16</v>
      </c>
      <c r="G1570" s="87" t="b">
        <v>1</v>
      </c>
      <c r="H1570" s="87" t="b">
        <v>1</v>
      </c>
      <c r="I1570" s="87" t="b">
        <v>0</v>
      </c>
      <c r="J1570" s="173" t="s">
        <v>450</v>
      </c>
      <c r="K1570" s="174">
        <v>45232246000550</v>
      </c>
      <c r="L1570" s="173" t="s">
        <v>685</v>
      </c>
      <c r="M1570" s="173" t="s">
        <v>639</v>
      </c>
      <c r="N1570" s="173" t="s">
        <v>19</v>
      </c>
      <c r="O1570" s="87">
        <v>70</v>
      </c>
      <c r="P1570" s="173" t="s">
        <v>20</v>
      </c>
      <c r="Q1570" s="1" t="s">
        <v>1338</v>
      </c>
      <c r="R1570" s="175">
        <v>100</v>
      </c>
      <c r="S1570">
        <v>20</v>
      </c>
    </row>
    <row r="1571" spans="1:19" x14ac:dyDescent="0.25">
      <c r="A1571" s="87">
        <v>2019</v>
      </c>
      <c r="B1571" s="87">
        <v>9</v>
      </c>
      <c r="C1571" s="173" t="s">
        <v>16</v>
      </c>
      <c r="D1571" s="173" t="s">
        <v>22</v>
      </c>
      <c r="E1571" s="173" t="s">
        <v>18</v>
      </c>
      <c r="F1571" s="173" t="s">
        <v>16</v>
      </c>
      <c r="G1571" s="87" t="b">
        <v>1</v>
      </c>
      <c r="H1571" s="87" t="b">
        <v>1</v>
      </c>
      <c r="I1571" s="87" t="b">
        <v>0</v>
      </c>
      <c r="J1571" s="173" t="s">
        <v>463</v>
      </c>
      <c r="K1571" s="174">
        <v>45232246000550</v>
      </c>
      <c r="L1571" s="173" t="s">
        <v>685</v>
      </c>
      <c r="M1571" s="173" t="s">
        <v>639</v>
      </c>
      <c r="N1571" s="173" t="s">
        <v>19</v>
      </c>
      <c r="O1571" s="87">
        <v>70</v>
      </c>
      <c r="P1571" s="173" t="s">
        <v>20</v>
      </c>
      <c r="Q1571" s="1" t="s">
        <v>1338</v>
      </c>
      <c r="R1571" s="175">
        <v>110</v>
      </c>
      <c r="S1571">
        <v>22</v>
      </c>
    </row>
    <row r="1572" spans="1:19" x14ac:dyDescent="0.25">
      <c r="A1572" s="87">
        <v>2019</v>
      </c>
      <c r="B1572" s="87">
        <v>9</v>
      </c>
      <c r="C1572" s="173" t="s">
        <v>16</v>
      </c>
      <c r="D1572" s="173" t="s">
        <v>22</v>
      </c>
      <c r="E1572" s="173" t="s">
        <v>18</v>
      </c>
      <c r="F1572" s="173" t="s">
        <v>16</v>
      </c>
      <c r="G1572" s="87" t="b">
        <v>1</v>
      </c>
      <c r="H1572" s="87" t="b">
        <v>1</v>
      </c>
      <c r="I1572" s="87" t="b">
        <v>0</v>
      </c>
      <c r="J1572" s="173" t="s">
        <v>506</v>
      </c>
      <c r="K1572" s="174">
        <v>45232246000550</v>
      </c>
      <c r="L1572" s="173" t="s">
        <v>685</v>
      </c>
      <c r="M1572" s="173" t="s">
        <v>639</v>
      </c>
      <c r="N1572" s="173" t="s">
        <v>19</v>
      </c>
      <c r="O1572" s="87">
        <v>70</v>
      </c>
      <c r="P1572" s="173" t="s">
        <v>20</v>
      </c>
      <c r="Q1572" s="1" t="s">
        <v>1338</v>
      </c>
      <c r="R1572" s="175">
        <v>150</v>
      </c>
      <c r="S1572">
        <v>30</v>
      </c>
    </row>
    <row r="1573" spans="1:19" x14ac:dyDescent="0.25">
      <c r="A1573" s="87">
        <v>2019</v>
      </c>
      <c r="B1573" s="87">
        <v>9</v>
      </c>
      <c r="C1573" s="173" t="s">
        <v>16</v>
      </c>
      <c r="D1573" s="173" t="s">
        <v>22</v>
      </c>
      <c r="E1573" s="173" t="s">
        <v>18</v>
      </c>
      <c r="F1573" s="173" t="s">
        <v>16</v>
      </c>
      <c r="G1573" s="87" t="b">
        <v>1</v>
      </c>
      <c r="H1573" s="87" t="b">
        <v>1</v>
      </c>
      <c r="I1573" s="87" t="b">
        <v>0</v>
      </c>
      <c r="J1573" s="173" t="s">
        <v>463</v>
      </c>
      <c r="K1573" s="174">
        <v>45232246000550</v>
      </c>
      <c r="L1573" s="173" t="s">
        <v>685</v>
      </c>
      <c r="M1573" s="173" t="s">
        <v>639</v>
      </c>
      <c r="N1573" s="173" t="s">
        <v>19</v>
      </c>
      <c r="O1573" s="87">
        <v>73</v>
      </c>
      <c r="P1573" s="173" t="s">
        <v>26</v>
      </c>
      <c r="Q1573" s="1" t="s">
        <v>1339</v>
      </c>
      <c r="R1573" s="175">
        <v>24</v>
      </c>
      <c r="S1573">
        <v>12</v>
      </c>
    </row>
    <row r="1574" spans="1:19" x14ac:dyDescent="0.25">
      <c r="A1574" s="87">
        <v>2019</v>
      </c>
      <c r="B1574" s="87">
        <v>9</v>
      </c>
      <c r="C1574" s="173" t="s">
        <v>16</v>
      </c>
      <c r="D1574" s="173" t="s">
        <v>22</v>
      </c>
      <c r="E1574" s="173" t="s">
        <v>18</v>
      </c>
      <c r="F1574" s="173" t="s">
        <v>16</v>
      </c>
      <c r="G1574" s="87" t="b">
        <v>1</v>
      </c>
      <c r="H1574" s="87" t="b">
        <v>1</v>
      </c>
      <c r="I1574" s="87" t="b">
        <v>0</v>
      </c>
      <c r="J1574" s="173" t="s">
        <v>463</v>
      </c>
      <c r="K1574" s="174">
        <v>45232246000550</v>
      </c>
      <c r="L1574" s="173" t="s">
        <v>685</v>
      </c>
      <c r="M1574" s="173" t="s">
        <v>639</v>
      </c>
      <c r="N1574" s="173" t="s">
        <v>19</v>
      </c>
      <c r="O1574" s="87">
        <v>73</v>
      </c>
      <c r="P1574" s="173" t="s">
        <v>26</v>
      </c>
      <c r="Q1574" s="1" t="s">
        <v>1342</v>
      </c>
      <c r="R1574" s="175">
        <v>32</v>
      </c>
      <c r="S1574">
        <v>8</v>
      </c>
    </row>
    <row r="1575" spans="1:19" x14ac:dyDescent="0.25">
      <c r="A1575" s="87">
        <v>2019</v>
      </c>
      <c r="B1575" s="87">
        <v>9</v>
      </c>
      <c r="C1575" s="173" t="s">
        <v>16</v>
      </c>
      <c r="D1575" s="173" t="s">
        <v>22</v>
      </c>
      <c r="E1575" s="173" t="s">
        <v>18</v>
      </c>
      <c r="F1575" s="173" t="s">
        <v>16</v>
      </c>
      <c r="G1575" s="87" t="b">
        <v>1</v>
      </c>
      <c r="H1575" s="87" t="b">
        <v>1</v>
      </c>
      <c r="I1575" s="87" t="b">
        <v>0</v>
      </c>
      <c r="J1575" s="173" t="s">
        <v>463</v>
      </c>
      <c r="K1575" s="174">
        <v>45232246000550</v>
      </c>
      <c r="L1575" s="173" t="s">
        <v>685</v>
      </c>
      <c r="M1575" s="173" t="s">
        <v>639</v>
      </c>
      <c r="N1575" s="173" t="s">
        <v>19</v>
      </c>
      <c r="O1575" s="87">
        <v>73</v>
      </c>
      <c r="P1575" s="173" t="s">
        <v>26</v>
      </c>
      <c r="Q1575" s="1" t="s">
        <v>1340</v>
      </c>
      <c r="R1575" s="175">
        <v>6</v>
      </c>
      <c r="S1575">
        <v>6</v>
      </c>
    </row>
    <row r="1576" spans="1:19" x14ac:dyDescent="0.25">
      <c r="A1576" s="87">
        <v>2019</v>
      </c>
      <c r="B1576" s="87">
        <v>9</v>
      </c>
      <c r="C1576" s="173" t="s">
        <v>16</v>
      </c>
      <c r="D1576" s="173" t="s">
        <v>22</v>
      </c>
      <c r="E1576" s="173" t="s">
        <v>18</v>
      </c>
      <c r="F1576" s="173" t="s">
        <v>16</v>
      </c>
      <c r="G1576" s="87" t="b">
        <v>1</v>
      </c>
      <c r="H1576" s="87" t="b">
        <v>1</v>
      </c>
      <c r="I1576" s="87" t="b">
        <v>0</v>
      </c>
      <c r="J1576" s="173" t="s">
        <v>491</v>
      </c>
      <c r="K1576" s="174">
        <v>45359213000576</v>
      </c>
      <c r="L1576" s="173" t="s">
        <v>686</v>
      </c>
      <c r="M1576" s="173" t="s">
        <v>687</v>
      </c>
      <c r="N1576" s="173" t="s">
        <v>19</v>
      </c>
      <c r="O1576" s="87">
        <v>73</v>
      </c>
      <c r="P1576" s="173" t="s">
        <v>26</v>
      </c>
      <c r="Q1576" s="1" t="s">
        <v>1339</v>
      </c>
      <c r="R1576" s="175">
        <v>8</v>
      </c>
      <c r="S1576">
        <v>4</v>
      </c>
    </row>
    <row r="1577" spans="1:19" x14ac:dyDescent="0.25">
      <c r="A1577" s="87">
        <v>2019</v>
      </c>
      <c r="B1577" s="87">
        <v>9</v>
      </c>
      <c r="C1577" s="173" t="s">
        <v>16</v>
      </c>
      <c r="D1577" s="173" t="s">
        <v>22</v>
      </c>
      <c r="E1577" s="173" t="s">
        <v>18</v>
      </c>
      <c r="F1577" s="173" t="s">
        <v>16</v>
      </c>
      <c r="G1577" s="87" t="b">
        <v>1</v>
      </c>
      <c r="H1577" s="87" t="b">
        <v>1</v>
      </c>
      <c r="I1577" s="87" t="b">
        <v>0</v>
      </c>
      <c r="J1577" s="173" t="s">
        <v>463</v>
      </c>
      <c r="K1577" s="174">
        <v>45399961000230</v>
      </c>
      <c r="L1577" s="173" t="s">
        <v>688</v>
      </c>
      <c r="M1577" s="173" t="s">
        <v>42</v>
      </c>
      <c r="N1577" s="173" t="s">
        <v>19</v>
      </c>
      <c r="O1577" s="87">
        <v>70</v>
      </c>
      <c r="P1577" s="173" t="s">
        <v>20</v>
      </c>
      <c r="Q1577" s="1" t="s">
        <v>1338</v>
      </c>
      <c r="R1577" s="175">
        <v>300</v>
      </c>
      <c r="S1577">
        <v>60</v>
      </c>
    </row>
    <row r="1578" spans="1:19" x14ac:dyDescent="0.25">
      <c r="A1578" s="87">
        <v>2019</v>
      </c>
      <c r="B1578" s="87">
        <v>9</v>
      </c>
      <c r="C1578" s="173" t="s">
        <v>16</v>
      </c>
      <c r="D1578" s="173" t="s">
        <v>22</v>
      </c>
      <c r="E1578" s="173" t="s">
        <v>18</v>
      </c>
      <c r="F1578" s="173" t="s">
        <v>16</v>
      </c>
      <c r="G1578" s="87" t="b">
        <v>1</v>
      </c>
      <c r="H1578" s="87" t="b">
        <v>1</v>
      </c>
      <c r="I1578" s="87" t="b">
        <v>0</v>
      </c>
      <c r="J1578" s="173" t="s">
        <v>1330</v>
      </c>
      <c r="K1578" s="174">
        <v>45780103000150</v>
      </c>
      <c r="L1578" s="173" t="s">
        <v>689</v>
      </c>
      <c r="M1578" s="173" t="s">
        <v>678</v>
      </c>
      <c r="N1578" s="173" t="s">
        <v>19</v>
      </c>
      <c r="O1578" s="87">
        <v>70</v>
      </c>
      <c r="P1578" s="173" t="s">
        <v>20</v>
      </c>
      <c r="Q1578" s="1" t="s">
        <v>1338</v>
      </c>
      <c r="R1578" s="175">
        <v>615</v>
      </c>
      <c r="S1578">
        <v>123</v>
      </c>
    </row>
    <row r="1579" spans="1:19" x14ac:dyDescent="0.25">
      <c r="A1579" s="87">
        <v>2019</v>
      </c>
      <c r="B1579" s="87">
        <v>9</v>
      </c>
      <c r="C1579" s="173" t="s">
        <v>16</v>
      </c>
      <c r="D1579" s="173" t="s">
        <v>22</v>
      </c>
      <c r="E1579" s="173" t="s">
        <v>18</v>
      </c>
      <c r="F1579" s="173" t="s">
        <v>16</v>
      </c>
      <c r="G1579" s="87" t="b">
        <v>1</v>
      </c>
      <c r="H1579" s="87" t="b">
        <v>1</v>
      </c>
      <c r="I1579" s="87" t="b">
        <v>0</v>
      </c>
      <c r="J1579" s="173" t="s">
        <v>450</v>
      </c>
      <c r="K1579" s="174">
        <v>46009718000140</v>
      </c>
      <c r="L1579" s="173" t="s">
        <v>690</v>
      </c>
      <c r="M1579" s="173" t="s">
        <v>33</v>
      </c>
      <c r="N1579" s="173" t="s">
        <v>19</v>
      </c>
      <c r="O1579" s="87">
        <v>66</v>
      </c>
      <c r="P1579" s="173" t="s">
        <v>28</v>
      </c>
      <c r="Q1579" s="1" t="s">
        <v>1341</v>
      </c>
      <c r="R1579" s="175">
        <v>3</v>
      </c>
      <c r="S1579">
        <v>3</v>
      </c>
    </row>
    <row r="1580" spans="1:19" x14ac:dyDescent="0.25">
      <c r="A1580" s="87">
        <v>2019</v>
      </c>
      <c r="B1580" s="87">
        <v>9</v>
      </c>
      <c r="C1580" s="173" t="s">
        <v>16</v>
      </c>
      <c r="D1580" s="173" t="s">
        <v>22</v>
      </c>
      <c r="E1580" s="173" t="s">
        <v>18</v>
      </c>
      <c r="F1580" s="173" t="s">
        <v>16</v>
      </c>
      <c r="G1580" s="87" t="b">
        <v>1</v>
      </c>
      <c r="H1580" s="87" t="b">
        <v>1</v>
      </c>
      <c r="I1580" s="87" t="b">
        <v>0</v>
      </c>
      <c r="J1580" s="173" t="s">
        <v>492</v>
      </c>
      <c r="K1580" s="174">
        <v>46009718000140</v>
      </c>
      <c r="L1580" s="173" t="s">
        <v>690</v>
      </c>
      <c r="M1580" s="173" t="s">
        <v>33</v>
      </c>
      <c r="N1580" s="173" t="s">
        <v>19</v>
      </c>
      <c r="O1580" s="87">
        <v>70</v>
      </c>
      <c r="P1580" s="173" t="s">
        <v>20</v>
      </c>
      <c r="Q1580" s="1" t="s">
        <v>1338</v>
      </c>
      <c r="R1580" s="175">
        <v>100</v>
      </c>
      <c r="S1580">
        <v>20</v>
      </c>
    </row>
    <row r="1581" spans="1:19" x14ac:dyDescent="0.25">
      <c r="A1581" s="87">
        <v>2019</v>
      </c>
      <c r="B1581" s="87">
        <v>9</v>
      </c>
      <c r="C1581" s="173" t="s">
        <v>16</v>
      </c>
      <c r="D1581" s="173" t="s">
        <v>22</v>
      </c>
      <c r="E1581" s="173" t="s">
        <v>18</v>
      </c>
      <c r="F1581" s="173" t="s">
        <v>16</v>
      </c>
      <c r="G1581" s="87" t="b">
        <v>1</v>
      </c>
      <c r="H1581" s="87" t="b">
        <v>1</v>
      </c>
      <c r="I1581" s="87" t="b">
        <v>0</v>
      </c>
      <c r="J1581" s="173" t="s">
        <v>463</v>
      </c>
      <c r="K1581" s="174">
        <v>46009718000140</v>
      </c>
      <c r="L1581" s="173" t="s">
        <v>690</v>
      </c>
      <c r="M1581" s="173" t="s">
        <v>33</v>
      </c>
      <c r="N1581" s="173" t="s">
        <v>19</v>
      </c>
      <c r="O1581" s="87">
        <v>70</v>
      </c>
      <c r="P1581" s="173" t="s">
        <v>20</v>
      </c>
      <c r="Q1581" s="1" t="s">
        <v>1338</v>
      </c>
      <c r="R1581" s="175">
        <v>150</v>
      </c>
      <c r="S1581">
        <v>30</v>
      </c>
    </row>
    <row r="1582" spans="1:19" x14ac:dyDescent="0.25">
      <c r="A1582" s="87">
        <v>2019</v>
      </c>
      <c r="B1582" s="87">
        <v>9</v>
      </c>
      <c r="C1582" s="173" t="s">
        <v>16</v>
      </c>
      <c r="D1582" s="173" t="s">
        <v>22</v>
      </c>
      <c r="E1582" s="173" t="s">
        <v>18</v>
      </c>
      <c r="F1582" s="173" t="s">
        <v>16</v>
      </c>
      <c r="G1582" s="87" t="b">
        <v>1</v>
      </c>
      <c r="H1582" s="87" t="b">
        <v>1</v>
      </c>
      <c r="I1582" s="87" t="b">
        <v>0</v>
      </c>
      <c r="J1582" s="173" t="s">
        <v>491</v>
      </c>
      <c r="K1582" s="174">
        <v>46009718000140</v>
      </c>
      <c r="L1582" s="173" t="s">
        <v>690</v>
      </c>
      <c r="M1582" s="173" t="s">
        <v>33</v>
      </c>
      <c r="N1582" s="173" t="s">
        <v>19</v>
      </c>
      <c r="O1582" s="87">
        <v>70</v>
      </c>
      <c r="P1582" s="173" t="s">
        <v>20</v>
      </c>
      <c r="Q1582" s="1" t="s">
        <v>1338</v>
      </c>
      <c r="R1582" s="175">
        <v>600</v>
      </c>
      <c r="S1582">
        <v>120</v>
      </c>
    </row>
    <row r="1583" spans="1:19" x14ac:dyDescent="0.25">
      <c r="A1583" s="87">
        <v>2019</v>
      </c>
      <c r="B1583" s="87">
        <v>9</v>
      </c>
      <c r="C1583" s="173" t="s">
        <v>16</v>
      </c>
      <c r="D1583" s="173" t="s">
        <v>22</v>
      </c>
      <c r="E1583" s="173" t="s">
        <v>18</v>
      </c>
      <c r="F1583" s="173" t="s">
        <v>16</v>
      </c>
      <c r="G1583" s="87" t="b">
        <v>1</v>
      </c>
      <c r="H1583" s="87" t="b">
        <v>1</v>
      </c>
      <c r="I1583" s="87" t="b">
        <v>0</v>
      </c>
      <c r="J1583" s="173" t="s">
        <v>491</v>
      </c>
      <c r="K1583" s="174">
        <v>46009718000140</v>
      </c>
      <c r="L1583" s="173" t="s">
        <v>690</v>
      </c>
      <c r="M1583" s="173" t="s">
        <v>33</v>
      </c>
      <c r="N1583" s="173" t="s">
        <v>19</v>
      </c>
      <c r="O1583" s="87">
        <v>73</v>
      </c>
      <c r="P1583" s="173" t="s">
        <v>26</v>
      </c>
      <c r="Q1583" s="1" t="s">
        <v>1339</v>
      </c>
      <c r="R1583" s="175">
        <v>22</v>
      </c>
      <c r="S1583">
        <v>11</v>
      </c>
    </row>
    <row r="1584" spans="1:19" x14ac:dyDescent="0.25">
      <c r="A1584" s="87">
        <v>2019</v>
      </c>
      <c r="B1584" s="87">
        <v>9</v>
      </c>
      <c r="C1584" s="173" t="s">
        <v>16</v>
      </c>
      <c r="D1584" s="173" t="s">
        <v>22</v>
      </c>
      <c r="E1584" s="173" t="s">
        <v>18</v>
      </c>
      <c r="F1584" s="173" t="s">
        <v>16</v>
      </c>
      <c r="G1584" s="87" t="b">
        <v>1</v>
      </c>
      <c r="H1584" s="87" t="b">
        <v>1</v>
      </c>
      <c r="I1584" s="87" t="b">
        <v>0</v>
      </c>
      <c r="J1584" s="173" t="s">
        <v>491</v>
      </c>
      <c r="K1584" s="174">
        <v>46009718000140</v>
      </c>
      <c r="L1584" s="173" t="s">
        <v>690</v>
      </c>
      <c r="M1584" s="173" t="s">
        <v>33</v>
      </c>
      <c r="N1584" s="173" t="s">
        <v>19</v>
      </c>
      <c r="O1584" s="87">
        <v>73</v>
      </c>
      <c r="P1584" s="173" t="s">
        <v>26</v>
      </c>
      <c r="Q1584" s="1" t="s">
        <v>1342</v>
      </c>
      <c r="R1584" s="175">
        <v>20</v>
      </c>
      <c r="S1584">
        <v>5</v>
      </c>
    </row>
    <row r="1585" spans="1:19" x14ac:dyDescent="0.25">
      <c r="A1585" s="87">
        <v>2019</v>
      </c>
      <c r="B1585" s="87">
        <v>9</v>
      </c>
      <c r="C1585" s="173" t="s">
        <v>16</v>
      </c>
      <c r="D1585" s="173" t="s">
        <v>22</v>
      </c>
      <c r="E1585" s="173" t="s">
        <v>18</v>
      </c>
      <c r="F1585" s="173" t="s">
        <v>16</v>
      </c>
      <c r="G1585" s="87" t="b">
        <v>1</v>
      </c>
      <c r="H1585" s="87" t="b">
        <v>1</v>
      </c>
      <c r="I1585" s="87" t="b">
        <v>0</v>
      </c>
      <c r="J1585" s="173" t="s">
        <v>463</v>
      </c>
      <c r="K1585" s="174">
        <v>46020301000269</v>
      </c>
      <c r="L1585" s="173" t="s">
        <v>691</v>
      </c>
      <c r="M1585" s="173" t="s">
        <v>33</v>
      </c>
      <c r="N1585" s="173" t="s">
        <v>19</v>
      </c>
      <c r="O1585" s="87">
        <v>64</v>
      </c>
      <c r="P1585" s="173" t="s">
        <v>25</v>
      </c>
      <c r="Q1585" s="1" t="s">
        <v>1344</v>
      </c>
      <c r="R1585" s="175">
        <v>1</v>
      </c>
      <c r="S1585">
        <v>1</v>
      </c>
    </row>
    <row r="1586" spans="1:19" x14ac:dyDescent="0.25">
      <c r="A1586" s="87">
        <v>2019</v>
      </c>
      <c r="B1586" s="87">
        <v>9</v>
      </c>
      <c r="C1586" s="173" t="s">
        <v>16</v>
      </c>
      <c r="D1586" s="173" t="s">
        <v>22</v>
      </c>
      <c r="E1586" s="173" t="s">
        <v>18</v>
      </c>
      <c r="F1586" s="173" t="s">
        <v>16</v>
      </c>
      <c r="G1586" s="87" t="b">
        <v>1</v>
      </c>
      <c r="H1586" s="87" t="b">
        <v>1</v>
      </c>
      <c r="I1586" s="87" t="b">
        <v>0</v>
      </c>
      <c r="J1586" s="173" t="s">
        <v>470</v>
      </c>
      <c r="K1586" s="174">
        <v>46020301000269</v>
      </c>
      <c r="L1586" s="173" t="s">
        <v>691</v>
      </c>
      <c r="M1586" s="173" t="s">
        <v>33</v>
      </c>
      <c r="N1586" s="173" t="s">
        <v>19</v>
      </c>
      <c r="O1586" s="87">
        <v>73</v>
      </c>
      <c r="P1586" s="173" t="s">
        <v>26</v>
      </c>
      <c r="Q1586" s="1" t="s">
        <v>1340</v>
      </c>
      <c r="R1586" s="175">
        <v>3</v>
      </c>
      <c r="S1586">
        <v>3</v>
      </c>
    </row>
    <row r="1587" spans="1:19" x14ac:dyDescent="0.25">
      <c r="A1587" s="87">
        <v>2019</v>
      </c>
      <c r="B1587" s="87">
        <v>9</v>
      </c>
      <c r="C1587" s="173" t="s">
        <v>16</v>
      </c>
      <c r="D1587" s="173" t="s">
        <v>22</v>
      </c>
      <c r="E1587" s="173" t="s">
        <v>18</v>
      </c>
      <c r="F1587" s="173" t="s">
        <v>16</v>
      </c>
      <c r="G1587" s="87" t="b">
        <v>1</v>
      </c>
      <c r="H1587" s="87" t="b">
        <v>1</v>
      </c>
      <c r="I1587" s="87" t="b">
        <v>0</v>
      </c>
      <c r="J1587" s="173" t="s">
        <v>450</v>
      </c>
      <c r="K1587" s="174">
        <v>46020301000269</v>
      </c>
      <c r="L1587" s="173" t="s">
        <v>691</v>
      </c>
      <c r="M1587" s="173" t="s">
        <v>33</v>
      </c>
      <c r="N1587" s="173" t="s">
        <v>19</v>
      </c>
      <c r="O1587" s="87">
        <v>73</v>
      </c>
      <c r="P1587" s="173" t="s">
        <v>26</v>
      </c>
      <c r="Q1587" s="1" t="s">
        <v>1342</v>
      </c>
      <c r="R1587" s="175">
        <v>20</v>
      </c>
      <c r="S1587">
        <v>5</v>
      </c>
    </row>
    <row r="1588" spans="1:19" x14ac:dyDescent="0.25">
      <c r="A1588" s="87">
        <v>2019</v>
      </c>
      <c r="B1588" s="87">
        <v>9</v>
      </c>
      <c r="C1588" s="173" t="s">
        <v>16</v>
      </c>
      <c r="D1588" s="173" t="s">
        <v>22</v>
      </c>
      <c r="E1588" s="173" t="s">
        <v>18</v>
      </c>
      <c r="F1588" s="173" t="s">
        <v>16</v>
      </c>
      <c r="G1588" s="87" t="b">
        <v>1</v>
      </c>
      <c r="H1588" s="87" t="b">
        <v>1</v>
      </c>
      <c r="I1588" s="87" t="b">
        <v>0</v>
      </c>
      <c r="J1588" s="173" t="s">
        <v>448</v>
      </c>
      <c r="K1588" s="174">
        <v>46020301000269</v>
      </c>
      <c r="L1588" s="173" t="s">
        <v>691</v>
      </c>
      <c r="M1588" s="173" t="s">
        <v>33</v>
      </c>
      <c r="N1588" s="173" t="s">
        <v>19</v>
      </c>
      <c r="O1588" s="87">
        <v>73</v>
      </c>
      <c r="P1588" s="173" t="s">
        <v>26</v>
      </c>
      <c r="Q1588" s="1" t="s">
        <v>1342</v>
      </c>
      <c r="R1588" s="175">
        <v>32</v>
      </c>
      <c r="S1588">
        <v>8</v>
      </c>
    </row>
    <row r="1589" spans="1:19" x14ac:dyDescent="0.25">
      <c r="A1589" s="87">
        <v>2019</v>
      </c>
      <c r="B1589" s="87">
        <v>9</v>
      </c>
      <c r="C1589" s="173" t="s">
        <v>16</v>
      </c>
      <c r="D1589" s="173" t="s">
        <v>22</v>
      </c>
      <c r="E1589" s="173" t="s">
        <v>18</v>
      </c>
      <c r="F1589" s="173" t="s">
        <v>16</v>
      </c>
      <c r="G1589" s="87" t="b">
        <v>1</v>
      </c>
      <c r="H1589" s="87" t="b">
        <v>1</v>
      </c>
      <c r="I1589" s="87" t="b">
        <v>0</v>
      </c>
      <c r="J1589" s="173" t="s">
        <v>448</v>
      </c>
      <c r="K1589" s="174">
        <v>46124624000111</v>
      </c>
      <c r="L1589" s="173" t="s">
        <v>693</v>
      </c>
      <c r="M1589" s="173" t="s">
        <v>33</v>
      </c>
      <c r="N1589" s="173" t="s">
        <v>19</v>
      </c>
      <c r="O1589" s="87">
        <v>70</v>
      </c>
      <c r="P1589" s="173" t="s">
        <v>20</v>
      </c>
      <c r="Q1589" s="1" t="s">
        <v>1338</v>
      </c>
      <c r="R1589" s="175">
        <v>265</v>
      </c>
      <c r="S1589">
        <v>53</v>
      </c>
    </row>
    <row r="1590" spans="1:19" x14ac:dyDescent="0.25">
      <c r="A1590" s="87">
        <v>2019</v>
      </c>
      <c r="B1590" s="87">
        <v>9</v>
      </c>
      <c r="C1590" s="173" t="s">
        <v>16</v>
      </c>
      <c r="D1590" s="173" t="s">
        <v>22</v>
      </c>
      <c r="E1590" s="173" t="s">
        <v>18</v>
      </c>
      <c r="F1590" s="173" t="s">
        <v>16</v>
      </c>
      <c r="G1590" s="87" t="b">
        <v>1</v>
      </c>
      <c r="H1590" s="87" t="b">
        <v>1</v>
      </c>
      <c r="I1590" s="87" t="b">
        <v>0</v>
      </c>
      <c r="J1590" s="173" t="s">
        <v>448</v>
      </c>
      <c r="K1590" s="174">
        <v>46124624000111</v>
      </c>
      <c r="L1590" s="173" t="s">
        <v>693</v>
      </c>
      <c r="M1590" s="173" t="s">
        <v>33</v>
      </c>
      <c r="N1590" s="173" t="s">
        <v>19</v>
      </c>
      <c r="O1590" s="87">
        <v>73</v>
      </c>
      <c r="P1590" s="173" t="s">
        <v>26</v>
      </c>
      <c r="Q1590" s="1" t="s">
        <v>1342</v>
      </c>
      <c r="R1590" s="175">
        <v>120</v>
      </c>
      <c r="S1590">
        <v>30</v>
      </c>
    </row>
    <row r="1591" spans="1:19" x14ac:dyDescent="0.25">
      <c r="A1591" s="87">
        <v>2019</v>
      </c>
      <c r="B1591" s="87">
        <v>9</v>
      </c>
      <c r="C1591" s="173" t="s">
        <v>16</v>
      </c>
      <c r="D1591" s="173" t="s">
        <v>22</v>
      </c>
      <c r="E1591" s="173" t="s">
        <v>18</v>
      </c>
      <c r="F1591" s="173" t="s">
        <v>16</v>
      </c>
      <c r="G1591" s="87" t="b">
        <v>1</v>
      </c>
      <c r="H1591" s="87" t="b">
        <v>1</v>
      </c>
      <c r="I1591" s="87" t="b">
        <v>0</v>
      </c>
      <c r="J1591" s="173" t="s">
        <v>448</v>
      </c>
      <c r="K1591" s="174">
        <v>46124624002599</v>
      </c>
      <c r="L1591" s="173" t="s">
        <v>694</v>
      </c>
      <c r="M1591" s="173" t="s">
        <v>695</v>
      </c>
      <c r="N1591" s="173" t="s">
        <v>19</v>
      </c>
      <c r="O1591" s="87">
        <v>70</v>
      </c>
      <c r="P1591" s="173" t="s">
        <v>20</v>
      </c>
      <c r="Q1591" s="1" t="s">
        <v>1338</v>
      </c>
      <c r="R1591" s="175">
        <v>1250</v>
      </c>
      <c r="S1591">
        <v>250</v>
      </c>
    </row>
    <row r="1592" spans="1:19" x14ac:dyDescent="0.25">
      <c r="A1592" s="87">
        <v>2019</v>
      </c>
      <c r="B1592" s="87">
        <v>9</v>
      </c>
      <c r="C1592" s="173" t="s">
        <v>16</v>
      </c>
      <c r="D1592" s="173" t="s">
        <v>22</v>
      </c>
      <c r="E1592" s="173" t="s">
        <v>18</v>
      </c>
      <c r="F1592" s="173" t="s">
        <v>16</v>
      </c>
      <c r="G1592" s="87" t="b">
        <v>1</v>
      </c>
      <c r="H1592" s="87" t="b">
        <v>1</v>
      </c>
      <c r="I1592" s="87" t="b">
        <v>0</v>
      </c>
      <c r="J1592" s="173" t="s">
        <v>448</v>
      </c>
      <c r="K1592" s="174">
        <v>46124624002599</v>
      </c>
      <c r="L1592" s="173" t="s">
        <v>694</v>
      </c>
      <c r="M1592" s="173" t="s">
        <v>695</v>
      </c>
      <c r="N1592" s="173" t="s">
        <v>19</v>
      </c>
      <c r="O1592" s="87">
        <v>73</v>
      </c>
      <c r="P1592" s="173" t="s">
        <v>26</v>
      </c>
      <c r="Q1592" s="1" t="s">
        <v>1342</v>
      </c>
      <c r="R1592" s="175">
        <v>80</v>
      </c>
      <c r="S1592">
        <v>20</v>
      </c>
    </row>
    <row r="1593" spans="1:19" x14ac:dyDescent="0.25">
      <c r="A1593" s="87">
        <v>2019</v>
      </c>
      <c r="B1593" s="87">
        <v>9</v>
      </c>
      <c r="C1593" s="173" t="s">
        <v>16</v>
      </c>
      <c r="D1593" s="173" t="s">
        <v>22</v>
      </c>
      <c r="E1593" s="173" t="s">
        <v>18</v>
      </c>
      <c r="F1593" s="173" t="s">
        <v>16</v>
      </c>
      <c r="G1593" s="87" t="b">
        <v>1</v>
      </c>
      <c r="H1593" s="87" t="b">
        <v>1</v>
      </c>
      <c r="I1593" s="87" t="b">
        <v>0</v>
      </c>
      <c r="J1593" s="173" t="s">
        <v>1330</v>
      </c>
      <c r="K1593" s="174">
        <v>46374500003533</v>
      </c>
      <c r="L1593" s="173" t="s">
        <v>696</v>
      </c>
      <c r="M1593" s="173" t="s">
        <v>639</v>
      </c>
      <c r="N1593" s="173" t="s">
        <v>19</v>
      </c>
      <c r="O1593" s="87">
        <v>70</v>
      </c>
      <c r="P1593" s="173" t="s">
        <v>20</v>
      </c>
      <c r="Q1593" s="1" t="s">
        <v>1338</v>
      </c>
      <c r="R1593" s="175">
        <v>1000</v>
      </c>
      <c r="S1593">
        <v>200</v>
      </c>
    </row>
    <row r="1594" spans="1:19" x14ac:dyDescent="0.25">
      <c r="A1594" s="87">
        <v>2019</v>
      </c>
      <c r="B1594" s="87">
        <v>9</v>
      </c>
      <c r="C1594" s="173" t="s">
        <v>16</v>
      </c>
      <c r="D1594" s="173" t="s">
        <v>22</v>
      </c>
      <c r="E1594" s="173" t="s">
        <v>18</v>
      </c>
      <c r="F1594" s="173" t="s">
        <v>16</v>
      </c>
      <c r="G1594" s="87" t="b">
        <v>1</v>
      </c>
      <c r="H1594" s="87" t="b">
        <v>1</v>
      </c>
      <c r="I1594" s="87" t="b">
        <v>0</v>
      </c>
      <c r="J1594" s="173" t="s">
        <v>1330</v>
      </c>
      <c r="K1594" s="174">
        <v>46374500008845</v>
      </c>
      <c r="L1594" s="173" t="s">
        <v>599</v>
      </c>
      <c r="M1594" s="173" t="s">
        <v>29</v>
      </c>
      <c r="N1594" s="173" t="s">
        <v>19</v>
      </c>
      <c r="O1594" s="87">
        <v>70</v>
      </c>
      <c r="P1594" s="173" t="s">
        <v>20</v>
      </c>
      <c r="Q1594" s="1" t="s">
        <v>1338</v>
      </c>
      <c r="R1594" s="175">
        <v>200</v>
      </c>
      <c r="S1594">
        <v>40</v>
      </c>
    </row>
    <row r="1595" spans="1:19" x14ac:dyDescent="0.25">
      <c r="A1595" s="87">
        <v>2019</v>
      </c>
      <c r="B1595" s="87">
        <v>9</v>
      </c>
      <c r="C1595" s="173" t="s">
        <v>16</v>
      </c>
      <c r="D1595" s="173" t="s">
        <v>22</v>
      </c>
      <c r="E1595" s="173" t="s">
        <v>18</v>
      </c>
      <c r="F1595" s="173" t="s">
        <v>16</v>
      </c>
      <c r="G1595" s="87" t="b">
        <v>1</v>
      </c>
      <c r="H1595" s="87" t="b">
        <v>1</v>
      </c>
      <c r="I1595" s="87" t="b">
        <v>0</v>
      </c>
      <c r="J1595" s="173" t="s">
        <v>1330</v>
      </c>
      <c r="K1595" s="174">
        <v>46374500009221</v>
      </c>
      <c r="L1595" s="173" t="s">
        <v>700</v>
      </c>
      <c r="M1595" s="173" t="s">
        <v>49</v>
      </c>
      <c r="N1595" s="173" t="s">
        <v>19</v>
      </c>
      <c r="O1595" s="87">
        <v>70</v>
      </c>
      <c r="P1595" s="173" t="s">
        <v>20</v>
      </c>
      <c r="Q1595" s="1" t="s">
        <v>1338</v>
      </c>
      <c r="R1595" s="175">
        <v>900</v>
      </c>
      <c r="S1595">
        <v>180</v>
      </c>
    </row>
    <row r="1596" spans="1:19" x14ac:dyDescent="0.25">
      <c r="A1596" s="87">
        <v>2019</v>
      </c>
      <c r="B1596" s="87">
        <v>9</v>
      </c>
      <c r="C1596" s="173" t="s">
        <v>16</v>
      </c>
      <c r="D1596" s="173" t="s">
        <v>22</v>
      </c>
      <c r="E1596" s="173" t="s">
        <v>18</v>
      </c>
      <c r="F1596" s="173" t="s">
        <v>16</v>
      </c>
      <c r="G1596" s="87" t="b">
        <v>1</v>
      </c>
      <c r="H1596" s="87" t="b">
        <v>1</v>
      </c>
      <c r="I1596" s="87" t="b">
        <v>0</v>
      </c>
      <c r="J1596" s="173" t="s">
        <v>1330</v>
      </c>
      <c r="K1596" s="174">
        <v>46374500010823</v>
      </c>
      <c r="L1596" s="173" t="s">
        <v>600</v>
      </c>
      <c r="M1596" s="173" t="s">
        <v>29</v>
      </c>
      <c r="N1596" s="173" t="s">
        <v>19</v>
      </c>
      <c r="O1596" s="87">
        <v>70</v>
      </c>
      <c r="P1596" s="173" t="s">
        <v>20</v>
      </c>
      <c r="Q1596" s="1" t="s">
        <v>1338</v>
      </c>
      <c r="R1596" s="175">
        <v>150</v>
      </c>
      <c r="S1596">
        <v>30</v>
      </c>
    </row>
    <row r="1597" spans="1:19" x14ac:dyDescent="0.25">
      <c r="A1597" s="87">
        <v>2019</v>
      </c>
      <c r="B1597" s="87">
        <v>9</v>
      </c>
      <c r="C1597" s="173" t="s">
        <v>16</v>
      </c>
      <c r="D1597" s="173" t="s">
        <v>22</v>
      </c>
      <c r="E1597" s="173" t="s">
        <v>18</v>
      </c>
      <c r="F1597" s="173" t="s">
        <v>16</v>
      </c>
      <c r="G1597" s="87" t="b">
        <v>1</v>
      </c>
      <c r="H1597" s="87" t="b">
        <v>1</v>
      </c>
      <c r="I1597" s="87" t="b">
        <v>0</v>
      </c>
      <c r="J1597" s="173" t="s">
        <v>1330</v>
      </c>
      <c r="K1597" s="174">
        <v>46374500026231</v>
      </c>
      <c r="L1597" s="173" t="s">
        <v>601</v>
      </c>
      <c r="M1597" s="173" t="s">
        <v>29</v>
      </c>
      <c r="N1597" s="173" t="s">
        <v>19</v>
      </c>
      <c r="O1597" s="87">
        <v>66</v>
      </c>
      <c r="P1597" s="173" t="s">
        <v>28</v>
      </c>
      <c r="Q1597" s="1" t="s">
        <v>1341</v>
      </c>
      <c r="R1597" s="175">
        <v>28</v>
      </c>
      <c r="S1597">
        <v>28</v>
      </c>
    </row>
    <row r="1598" spans="1:19" x14ac:dyDescent="0.25">
      <c r="A1598" s="87">
        <v>2019</v>
      </c>
      <c r="B1598" s="87">
        <v>9</v>
      </c>
      <c r="C1598" s="173" t="s">
        <v>16</v>
      </c>
      <c r="D1598" s="173" t="s">
        <v>22</v>
      </c>
      <c r="E1598" s="173" t="s">
        <v>18</v>
      </c>
      <c r="F1598" s="173" t="s">
        <v>16</v>
      </c>
      <c r="G1598" s="87" t="b">
        <v>1</v>
      </c>
      <c r="H1598" s="87" t="b">
        <v>1</v>
      </c>
      <c r="I1598" s="87" t="b">
        <v>0</v>
      </c>
      <c r="J1598" s="173" t="s">
        <v>1330</v>
      </c>
      <c r="K1598" s="174">
        <v>46374500026231</v>
      </c>
      <c r="L1598" s="173" t="s">
        <v>601</v>
      </c>
      <c r="M1598" s="173" t="s">
        <v>29</v>
      </c>
      <c r="N1598" s="173" t="s">
        <v>19</v>
      </c>
      <c r="O1598" s="87">
        <v>73</v>
      </c>
      <c r="P1598" s="173" t="s">
        <v>26</v>
      </c>
      <c r="Q1598" s="1" t="s">
        <v>1342</v>
      </c>
      <c r="R1598" s="175">
        <v>192</v>
      </c>
      <c r="S1598">
        <v>48</v>
      </c>
    </row>
    <row r="1599" spans="1:19" x14ac:dyDescent="0.25">
      <c r="A1599" s="87">
        <v>2019</v>
      </c>
      <c r="B1599" s="87">
        <v>9</v>
      </c>
      <c r="C1599" s="173" t="s">
        <v>16</v>
      </c>
      <c r="D1599" s="173" t="s">
        <v>22</v>
      </c>
      <c r="E1599" s="173" t="s">
        <v>18</v>
      </c>
      <c r="F1599" s="173" t="s">
        <v>16</v>
      </c>
      <c r="G1599" s="87" t="b">
        <v>1</v>
      </c>
      <c r="H1599" s="87" t="b">
        <v>1</v>
      </c>
      <c r="I1599" s="87" t="b">
        <v>0</v>
      </c>
      <c r="J1599" s="173" t="s">
        <v>1330</v>
      </c>
      <c r="K1599" s="174">
        <v>46643466000106</v>
      </c>
      <c r="L1599" s="173" t="s">
        <v>701</v>
      </c>
      <c r="M1599" s="173" t="s">
        <v>650</v>
      </c>
      <c r="N1599" s="173" t="s">
        <v>19</v>
      </c>
      <c r="O1599" s="87">
        <v>70</v>
      </c>
      <c r="P1599" s="173" t="s">
        <v>20</v>
      </c>
      <c r="Q1599" s="1" t="s">
        <v>1338</v>
      </c>
      <c r="R1599" s="175">
        <v>700</v>
      </c>
      <c r="S1599">
        <v>140</v>
      </c>
    </row>
    <row r="1600" spans="1:19" x14ac:dyDescent="0.25">
      <c r="A1600" s="87">
        <v>2019</v>
      </c>
      <c r="B1600" s="87">
        <v>9</v>
      </c>
      <c r="C1600" s="173" t="s">
        <v>16</v>
      </c>
      <c r="D1600" s="173" t="s">
        <v>22</v>
      </c>
      <c r="E1600" s="173" t="s">
        <v>18</v>
      </c>
      <c r="F1600" s="173" t="s">
        <v>16</v>
      </c>
      <c r="G1600" s="87" t="b">
        <v>1</v>
      </c>
      <c r="H1600" s="87" t="b">
        <v>1</v>
      </c>
      <c r="I1600" s="87" t="b">
        <v>0</v>
      </c>
      <c r="J1600" s="173" t="s">
        <v>491</v>
      </c>
      <c r="K1600" s="174">
        <v>47565155000996</v>
      </c>
      <c r="L1600" s="173" t="s">
        <v>703</v>
      </c>
      <c r="M1600" s="173" t="s">
        <v>50</v>
      </c>
      <c r="N1600" s="173" t="s">
        <v>19</v>
      </c>
      <c r="O1600" s="87">
        <v>62</v>
      </c>
      <c r="P1600" s="173" t="s">
        <v>27</v>
      </c>
      <c r="Q1600" s="1" t="s">
        <v>1343</v>
      </c>
      <c r="R1600" s="175">
        <v>3</v>
      </c>
      <c r="S1600">
        <v>3</v>
      </c>
    </row>
    <row r="1601" spans="1:19" x14ac:dyDescent="0.25">
      <c r="A1601" s="87">
        <v>2019</v>
      </c>
      <c r="B1601" s="87">
        <v>9</v>
      </c>
      <c r="C1601" s="173" t="s">
        <v>16</v>
      </c>
      <c r="D1601" s="173" t="s">
        <v>22</v>
      </c>
      <c r="E1601" s="173" t="s">
        <v>18</v>
      </c>
      <c r="F1601" s="173" t="s">
        <v>16</v>
      </c>
      <c r="G1601" s="87" t="b">
        <v>1</v>
      </c>
      <c r="H1601" s="87" t="b">
        <v>1</v>
      </c>
      <c r="I1601" s="87" t="b">
        <v>0</v>
      </c>
      <c r="J1601" s="173" t="s">
        <v>463</v>
      </c>
      <c r="K1601" s="174">
        <v>47565155000996</v>
      </c>
      <c r="L1601" s="173" t="s">
        <v>703</v>
      </c>
      <c r="M1601" s="173" t="s">
        <v>50</v>
      </c>
      <c r="N1601" s="173" t="s">
        <v>19</v>
      </c>
      <c r="O1601" s="87">
        <v>64</v>
      </c>
      <c r="P1601" s="173" t="s">
        <v>25</v>
      </c>
      <c r="Q1601" s="1" t="s">
        <v>1344</v>
      </c>
      <c r="R1601" s="175">
        <v>4</v>
      </c>
      <c r="S1601">
        <v>4</v>
      </c>
    </row>
    <row r="1602" spans="1:19" x14ac:dyDescent="0.25">
      <c r="A1602" s="87">
        <v>2019</v>
      </c>
      <c r="B1602" s="87">
        <v>9</v>
      </c>
      <c r="C1602" s="173" t="s">
        <v>16</v>
      </c>
      <c r="D1602" s="173" t="s">
        <v>22</v>
      </c>
      <c r="E1602" s="173" t="s">
        <v>18</v>
      </c>
      <c r="F1602" s="173" t="s">
        <v>16</v>
      </c>
      <c r="G1602" s="87" t="b">
        <v>1</v>
      </c>
      <c r="H1602" s="87" t="b">
        <v>1</v>
      </c>
      <c r="I1602" s="87" t="b">
        <v>0</v>
      </c>
      <c r="J1602" s="173" t="s">
        <v>1330</v>
      </c>
      <c r="K1602" s="174">
        <v>48468284000171</v>
      </c>
      <c r="L1602" s="173" t="s">
        <v>705</v>
      </c>
      <c r="M1602" s="173" t="s">
        <v>43</v>
      </c>
      <c r="N1602" s="173" t="s">
        <v>19</v>
      </c>
      <c r="O1602" s="87">
        <v>70</v>
      </c>
      <c r="P1602" s="173" t="s">
        <v>20</v>
      </c>
      <c r="Q1602" s="1" t="s">
        <v>1338</v>
      </c>
      <c r="R1602" s="175">
        <v>200</v>
      </c>
      <c r="S1602">
        <v>40</v>
      </c>
    </row>
    <row r="1603" spans="1:19" x14ac:dyDescent="0.25">
      <c r="A1603" s="87">
        <v>2019</v>
      </c>
      <c r="B1603" s="87">
        <v>9</v>
      </c>
      <c r="C1603" s="173" t="s">
        <v>16</v>
      </c>
      <c r="D1603" s="173" t="s">
        <v>22</v>
      </c>
      <c r="E1603" s="173" t="s">
        <v>18</v>
      </c>
      <c r="F1603" s="173" t="s">
        <v>16</v>
      </c>
      <c r="G1603" s="87" t="b">
        <v>1</v>
      </c>
      <c r="H1603" s="87" t="b">
        <v>1</v>
      </c>
      <c r="I1603" s="87" t="b">
        <v>0</v>
      </c>
      <c r="J1603" s="173" t="s">
        <v>450</v>
      </c>
      <c r="K1603" s="174">
        <v>50486026000160</v>
      </c>
      <c r="L1603" s="173" t="s">
        <v>706</v>
      </c>
      <c r="M1603" s="173" t="s">
        <v>44</v>
      </c>
      <c r="N1603" s="173" t="s">
        <v>19</v>
      </c>
      <c r="O1603" s="87">
        <v>70</v>
      </c>
      <c r="P1603" s="173" t="s">
        <v>20</v>
      </c>
      <c r="Q1603" s="1" t="s">
        <v>1338</v>
      </c>
      <c r="R1603" s="175">
        <v>110</v>
      </c>
      <c r="S1603">
        <v>22</v>
      </c>
    </row>
    <row r="1604" spans="1:19" x14ac:dyDescent="0.25">
      <c r="A1604" s="87">
        <v>2019</v>
      </c>
      <c r="B1604" s="87">
        <v>9</v>
      </c>
      <c r="C1604" s="173" t="s">
        <v>16</v>
      </c>
      <c r="D1604" s="173" t="s">
        <v>22</v>
      </c>
      <c r="E1604" s="173" t="s">
        <v>18</v>
      </c>
      <c r="F1604" s="173" t="s">
        <v>16</v>
      </c>
      <c r="G1604" s="87" t="b">
        <v>1</v>
      </c>
      <c r="H1604" s="87" t="b">
        <v>1</v>
      </c>
      <c r="I1604" s="87" t="b">
        <v>0</v>
      </c>
      <c r="J1604" s="173" t="s">
        <v>463</v>
      </c>
      <c r="K1604" s="174">
        <v>50944198000130</v>
      </c>
      <c r="L1604" s="173" t="s">
        <v>707</v>
      </c>
      <c r="M1604" s="173" t="s">
        <v>678</v>
      </c>
      <c r="N1604" s="173" t="s">
        <v>19</v>
      </c>
      <c r="O1604" s="87">
        <v>64</v>
      </c>
      <c r="P1604" s="173" t="s">
        <v>25</v>
      </c>
      <c r="Q1604" s="1" t="s">
        <v>1344</v>
      </c>
      <c r="R1604" s="175">
        <v>8</v>
      </c>
      <c r="S1604">
        <v>8</v>
      </c>
    </row>
    <row r="1605" spans="1:19" x14ac:dyDescent="0.25">
      <c r="A1605" s="87">
        <v>2019</v>
      </c>
      <c r="B1605" s="87">
        <v>9</v>
      </c>
      <c r="C1605" s="173" t="s">
        <v>16</v>
      </c>
      <c r="D1605" s="173" t="s">
        <v>22</v>
      </c>
      <c r="E1605" s="173" t="s">
        <v>18</v>
      </c>
      <c r="F1605" s="173" t="s">
        <v>16</v>
      </c>
      <c r="G1605" s="87" t="b">
        <v>1</v>
      </c>
      <c r="H1605" s="87" t="b">
        <v>1</v>
      </c>
      <c r="I1605" s="87" t="b">
        <v>0</v>
      </c>
      <c r="J1605" s="173" t="s">
        <v>470</v>
      </c>
      <c r="K1605" s="174">
        <v>51093193000456</v>
      </c>
      <c r="L1605" s="173" t="s">
        <v>708</v>
      </c>
      <c r="M1605" s="173" t="s">
        <v>698</v>
      </c>
      <c r="N1605" s="173" t="s">
        <v>19</v>
      </c>
      <c r="O1605" s="87">
        <v>70</v>
      </c>
      <c r="P1605" s="173" t="s">
        <v>20</v>
      </c>
      <c r="Q1605" s="1" t="s">
        <v>1338</v>
      </c>
      <c r="R1605" s="175">
        <v>20</v>
      </c>
      <c r="S1605">
        <v>4</v>
      </c>
    </row>
    <row r="1606" spans="1:19" x14ac:dyDescent="0.25">
      <c r="A1606" s="87">
        <v>2019</v>
      </c>
      <c r="B1606" s="87">
        <v>9</v>
      </c>
      <c r="C1606" s="173" t="s">
        <v>16</v>
      </c>
      <c r="D1606" s="173" t="s">
        <v>22</v>
      </c>
      <c r="E1606" s="173" t="s">
        <v>18</v>
      </c>
      <c r="F1606" s="173" t="s">
        <v>16</v>
      </c>
      <c r="G1606" s="87" t="b">
        <v>1</v>
      </c>
      <c r="H1606" s="87" t="b">
        <v>1</v>
      </c>
      <c r="I1606" s="87" t="b">
        <v>0</v>
      </c>
      <c r="J1606" s="173" t="s">
        <v>450</v>
      </c>
      <c r="K1606" s="174">
        <v>51722957000506</v>
      </c>
      <c r="L1606" s="173" t="s">
        <v>602</v>
      </c>
      <c r="M1606" s="173" t="s">
        <v>29</v>
      </c>
      <c r="N1606" s="173" t="s">
        <v>19</v>
      </c>
      <c r="O1606" s="87">
        <v>66</v>
      </c>
      <c r="P1606" s="173" t="s">
        <v>28</v>
      </c>
      <c r="Q1606" s="1" t="s">
        <v>1341</v>
      </c>
      <c r="R1606" s="175">
        <v>3</v>
      </c>
      <c r="S1606">
        <v>3</v>
      </c>
    </row>
    <row r="1607" spans="1:19" x14ac:dyDescent="0.25">
      <c r="A1607" s="87">
        <v>2019</v>
      </c>
      <c r="B1607" s="87">
        <v>9</v>
      </c>
      <c r="C1607" s="173" t="s">
        <v>16</v>
      </c>
      <c r="D1607" s="173" t="s">
        <v>22</v>
      </c>
      <c r="E1607" s="173" t="s">
        <v>18</v>
      </c>
      <c r="F1607" s="173" t="s">
        <v>16</v>
      </c>
      <c r="G1607" s="87" t="b">
        <v>1</v>
      </c>
      <c r="H1607" s="87" t="b">
        <v>1</v>
      </c>
      <c r="I1607" s="87" t="b">
        <v>0</v>
      </c>
      <c r="J1607" s="173" t="s">
        <v>470</v>
      </c>
      <c r="K1607" s="174">
        <v>51722957000506</v>
      </c>
      <c r="L1607" s="173" t="s">
        <v>602</v>
      </c>
      <c r="M1607" s="173" t="s">
        <v>29</v>
      </c>
      <c r="N1607" s="173" t="s">
        <v>19</v>
      </c>
      <c r="O1607" s="87">
        <v>70</v>
      </c>
      <c r="P1607" s="173" t="s">
        <v>20</v>
      </c>
      <c r="Q1607" s="1" t="s">
        <v>1338</v>
      </c>
      <c r="R1607" s="175">
        <v>1170</v>
      </c>
      <c r="S1607">
        <v>234</v>
      </c>
    </row>
    <row r="1608" spans="1:19" x14ac:dyDescent="0.25">
      <c r="A1608" s="87">
        <v>2019</v>
      </c>
      <c r="B1608" s="87">
        <v>9</v>
      </c>
      <c r="C1608" s="173" t="s">
        <v>16</v>
      </c>
      <c r="D1608" s="173" t="s">
        <v>22</v>
      </c>
      <c r="E1608" s="173" t="s">
        <v>18</v>
      </c>
      <c r="F1608" s="173" t="s">
        <v>16</v>
      </c>
      <c r="G1608" s="87" t="b">
        <v>1</v>
      </c>
      <c r="H1608" s="87" t="b">
        <v>1</v>
      </c>
      <c r="I1608" s="87" t="b">
        <v>0</v>
      </c>
      <c r="J1608" s="173" t="s">
        <v>470</v>
      </c>
      <c r="K1608" s="174">
        <v>51722957010226</v>
      </c>
      <c r="L1608" s="173" t="s">
        <v>603</v>
      </c>
      <c r="M1608" s="173" t="s">
        <v>29</v>
      </c>
      <c r="N1608" s="173" t="s">
        <v>19</v>
      </c>
      <c r="O1608" s="87">
        <v>70</v>
      </c>
      <c r="P1608" s="173" t="s">
        <v>20</v>
      </c>
      <c r="Q1608" s="1" t="s">
        <v>1338</v>
      </c>
      <c r="R1608" s="175">
        <v>1125</v>
      </c>
      <c r="S1608">
        <v>225</v>
      </c>
    </row>
    <row r="1609" spans="1:19" x14ac:dyDescent="0.25">
      <c r="A1609" s="87">
        <v>2019</v>
      </c>
      <c r="B1609" s="87">
        <v>9</v>
      </c>
      <c r="C1609" s="173" t="s">
        <v>16</v>
      </c>
      <c r="D1609" s="173" t="s">
        <v>22</v>
      </c>
      <c r="E1609" s="173" t="s">
        <v>18</v>
      </c>
      <c r="F1609" s="173" t="s">
        <v>16</v>
      </c>
      <c r="G1609" s="87" t="b">
        <v>1</v>
      </c>
      <c r="H1609" s="87" t="b">
        <v>1</v>
      </c>
      <c r="I1609" s="87" t="b">
        <v>0</v>
      </c>
      <c r="J1609" s="173" t="s">
        <v>470</v>
      </c>
      <c r="K1609" s="174">
        <v>51722957010226</v>
      </c>
      <c r="L1609" s="173" t="s">
        <v>603</v>
      </c>
      <c r="M1609" s="173" t="s">
        <v>29</v>
      </c>
      <c r="N1609" s="173" t="s">
        <v>19</v>
      </c>
      <c r="O1609" s="87">
        <v>73</v>
      </c>
      <c r="P1609" s="173" t="s">
        <v>26</v>
      </c>
      <c r="Q1609" s="1" t="s">
        <v>1342</v>
      </c>
      <c r="R1609" s="175">
        <v>100</v>
      </c>
      <c r="S1609">
        <v>25</v>
      </c>
    </row>
    <row r="1610" spans="1:19" x14ac:dyDescent="0.25">
      <c r="A1610" s="87">
        <v>2019</v>
      </c>
      <c r="B1610" s="87">
        <v>9</v>
      </c>
      <c r="C1610" s="173" t="s">
        <v>16</v>
      </c>
      <c r="D1610" s="173" t="s">
        <v>22</v>
      </c>
      <c r="E1610" s="173" t="s">
        <v>18</v>
      </c>
      <c r="F1610" s="173" t="s">
        <v>16</v>
      </c>
      <c r="G1610" s="87" t="b">
        <v>1</v>
      </c>
      <c r="H1610" s="87" t="b">
        <v>1</v>
      </c>
      <c r="I1610" s="87" t="b">
        <v>0</v>
      </c>
      <c r="J1610" s="173" t="s">
        <v>470</v>
      </c>
      <c r="K1610" s="174">
        <v>51722957010226</v>
      </c>
      <c r="L1610" s="173" t="s">
        <v>603</v>
      </c>
      <c r="M1610" s="173" t="s">
        <v>29</v>
      </c>
      <c r="N1610" s="173" t="s">
        <v>19</v>
      </c>
      <c r="O1610" s="87">
        <v>73</v>
      </c>
      <c r="P1610" s="173" t="s">
        <v>26</v>
      </c>
      <c r="Q1610" s="1" t="s">
        <v>1340</v>
      </c>
      <c r="R1610" s="175">
        <v>2</v>
      </c>
      <c r="S1610">
        <v>2</v>
      </c>
    </row>
    <row r="1611" spans="1:19" x14ac:dyDescent="0.25">
      <c r="A1611" s="87">
        <v>2019</v>
      </c>
      <c r="B1611" s="87">
        <v>9</v>
      </c>
      <c r="C1611" s="173" t="s">
        <v>16</v>
      </c>
      <c r="D1611" s="173" t="s">
        <v>22</v>
      </c>
      <c r="E1611" s="173" t="s">
        <v>18</v>
      </c>
      <c r="F1611" s="173" t="s">
        <v>16</v>
      </c>
      <c r="G1611" s="87" t="b">
        <v>1</v>
      </c>
      <c r="H1611" s="87" t="b">
        <v>1</v>
      </c>
      <c r="I1611" s="87" t="b">
        <v>0</v>
      </c>
      <c r="J1611" s="173" t="s">
        <v>491</v>
      </c>
      <c r="K1611" s="174">
        <v>51722957010226</v>
      </c>
      <c r="L1611" s="173" t="s">
        <v>603</v>
      </c>
      <c r="M1611" s="173" t="s">
        <v>29</v>
      </c>
      <c r="N1611" s="173" t="s">
        <v>19</v>
      </c>
      <c r="O1611" s="87">
        <v>73</v>
      </c>
      <c r="P1611" s="173" t="s">
        <v>26</v>
      </c>
      <c r="Q1611" s="1" t="s">
        <v>1339</v>
      </c>
      <c r="R1611" s="175">
        <v>4</v>
      </c>
      <c r="S1611">
        <v>2</v>
      </c>
    </row>
    <row r="1612" spans="1:19" x14ac:dyDescent="0.25">
      <c r="A1612" s="87">
        <v>2019</v>
      </c>
      <c r="B1612" s="87">
        <v>9</v>
      </c>
      <c r="C1612" s="173" t="s">
        <v>16</v>
      </c>
      <c r="D1612" s="173" t="s">
        <v>22</v>
      </c>
      <c r="E1612" s="173" t="s">
        <v>18</v>
      </c>
      <c r="F1612" s="173" t="s">
        <v>16</v>
      </c>
      <c r="G1612" s="87" t="b">
        <v>1</v>
      </c>
      <c r="H1612" s="87" t="b">
        <v>1</v>
      </c>
      <c r="I1612" s="87" t="b">
        <v>0</v>
      </c>
      <c r="J1612" s="173" t="s">
        <v>470</v>
      </c>
      <c r="K1612" s="174">
        <v>51722957012512</v>
      </c>
      <c r="L1612" s="173" t="s">
        <v>604</v>
      </c>
      <c r="M1612" s="173" t="s">
        <v>29</v>
      </c>
      <c r="N1612" s="173" t="s">
        <v>19</v>
      </c>
      <c r="O1612" s="87">
        <v>70</v>
      </c>
      <c r="P1612" s="173" t="s">
        <v>20</v>
      </c>
      <c r="Q1612" s="1" t="s">
        <v>1338</v>
      </c>
      <c r="R1612" s="175">
        <v>90</v>
      </c>
      <c r="S1612">
        <v>18</v>
      </c>
    </row>
    <row r="1613" spans="1:19" x14ac:dyDescent="0.25">
      <c r="A1613" s="87">
        <v>2019</v>
      </c>
      <c r="B1613" s="87">
        <v>9</v>
      </c>
      <c r="C1613" s="173" t="s">
        <v>16</v>
      </c>
      <c r="D1613" s="173" t="s">
        <v>22</v>
      </c>
      <c r="E1613" s="173" t="s">
        <v>18</v>
      </c>
      <c r="F1613" s="173" t="s">
        <v>16</v>
      </c>
      <c r="G1613" s="87" t="b">
        <v>1</v>
      </c>
      <c r="H1613" s="87" t="b">
        <v>1</v>
      </c>
      <c r="I1613" s="87" t="b">
        <v>0</v>
      </c>
      <c r="J1613" s="173" t="s">
        <v>1330</v>
      </c>
      <c r="K1613" s="174">
        <v>51885242000140</v>
      </c>
      <c r="L1613" s="173" t="s">
        <v>712</v>
      </c>
      <c r="M1613" s="173" t="s">
        <v>33</v>
      </c>
      <c r="N1613" s="173" t="s">
        <v>19</v>
      </c>
      <c r="O1613" s="87">
        <v>73</v>
      </c>
      <c r="P1613" s="173" t="s">
        <v>26</v>
      </c>
      <c r="Q1613" s="1" t="s">
        <v>1339</v>
      </c>
      <c r="R1613" s="175">
        <v>160</v>
      </c>
      <c r="S1613">
        <v>80</v>
      </c>
    </row>
    <row r="1614" spans="1:19" x14ac:dyDescent="0.25">
      <c r="A1614" s="87">
        <v>2019</v>
      </c>
      <c r="B1614" s="87">
        <v>9</v>
      </c>
      <c r="C1614" s="173" t="s">
        <v>16</v>
      </c>
      <c r="D1614" s="173" t="s">
        <v>22</v>
      </c>
      <c r="E1614" s="173" t="s">
        <v>18</v>
      </c>
      <c r="F1614" s="173" t="s">
        <v>16</v>
      </c>
      <c r="G1614" s="87" t="b">
        <v>1</v>
      </c>
      <c r="H1614" s="87" t="b">
        <v>1</v>
      </c>
      <c r="I1614" s="87" t="b">
        <v>0</v>
      </c>
      <c r="J1614" s="173" t="s">
        <v>463</v>
      </c>
      <c r="K1614" s="174">
        <v>52852100000140</v>
      </c>
      <c r="L1614" s="173" t="s">
        <v>713</v>
      </c>
      <c r="M1614" s="173" t="s">
        <v>51</v>
      </c>
      <c r="N1614" s="173" t="s">
        <v>19</v>
      </c>
      <c r="O1614" s="87">
        <v>70</v>
      </c>
      <c r="P1614" s="173" t="s">
        <v>20</v>
      </c>
      <c r="Q1614" s="1" t="s">
        <v>1338</v>
      </c>
      <c r="R1614" s="175">
        <v>300</v>
      </c>
      <c r="S1614">
        <v>60</v>
      </c>
    </row>
    <row r="1615" spans="1:19" x14ac:dyDescent="0.25">
      <c r="A1615" s="87">
        <v>2019</v>
      </c>
      <c r="B1615" s="87">
        <v>9</v>
      </c>
      <c r="C1615" s="173" t="s">
        <v>16</v>
      </c>
      <c r="D1615" s="173" t="s">
        <v>22</v>
      </c>
      <c r="E1615" s="173" t="s">
        <v>18</v>
      </c>
      <c r="F1615" s="173" t="s">
        <v>16</v>
      </c>
      <c r="G1615" s="87" t="b">
        <v>1</v>
      </c>
      <c r="H1615" s="87" t="b">
        <v>1</v>
      </c>
      <c r="I1615" s="87" t="b">
        <v>0</v>
      </c>
      <c r="J1615" s="173" t="s">
        <v>463</v>
      </c>
      <c r="K1615" s="174">
        <v>53311999000156</v>
      </c>
      <c r="L1615" s="173" t="s">
        <v>714</v>
      </c>
      <c r="M1615" s="173" t="s">
        <v>715</v>
      </c>
      <c r="N1615" s="173" t="s">
        <v>19</v>
      </c>
      <c r="O1615" s="87">
        <v>64</v>
      </c>
      <c r="P1615" s="173" t="s">
        <v>25</v>
      </c>
      <c r="Q1615" s="1" t="s">
        <v>1344</v>
      </c>
      <c r="R1615" s="175">
        <v>2</v>
      </c>
      <c r="S1615">
        <v>2</v>
      </c>
    </row>
    <row r="1616" spans="1:19" x14ac:dyDescent="0.25">
      <c r="A1616" s="87">
        <v>2019</v>
      </c>
      <c r="B1616" s="87">
        <v>9</v>
      </c>
      <c r="C1616" s="173" t="s">
        <v>16</v>
      </c>
      <c r="D1616" s="173" t="s">
        <v>22</v>
      </c>
      <c r="E1616" s="173" t="s">
        <v>18</v>
      </c>
      <c r="F1616" s="173" t="s">
        <v>16</v>
      </c>
      <c r="G1616" s="87" t="b">
        <v>1</v>
      </c>
      <c r="H1616" s="87" t="b">
        <v>1</v>
      </c>
      <c r="I1616" s="87" t="b">
        <v>0</v>
      </c>
      <c r="J1616" s="173" t="s">
        <v>450</v>
      </c>
      <c r="K1616" s="174">
        <v>54012406000385</v>
      </c>
      <c r="L1616" s="173" t="s">
        <v>718</v>
      </c>
      <c r="M1616" s="173" t="s">
        <v>45</v>
      </c>
      <c r="N1616" s="173" t="s">
        <v>19</v>
      </c>
      <c r="O1616" s="87">
        <v>70</v>
      </c>
      <c r="P1616" s="173" t="s">
        <v>20</v>
      </c>
      <c r="Q1616" s="1" t="s">
        <v>1338</v>
      </c>
      <c r="R1616" s="175">
        <v>70</v>
      </c>
      <c r="S1616">
        <v>14</v>
      </c>
    </row>
    <row r="1617" spans="1:19" x14ac:dyDescent="0.25">
      <c r="A1617" s="87">
        <v>2019</v>
      </c>
      <c r="B1617" s="87">
        <v>9</v>
      </c>
      <c r="C1617" s="173" t="s">
        <v>16</v>
      </c>
      <c r="D1617" s="173" t="s">
        <v>22</v>
      </c>
      <c r="E1617" s="173" t="s">
        <v>18</v>
      </c>
      <c r="F1617" s="173" t="s">
        <v>16</v>
      </c>
      <c r="G1617" s="87" t="b">
        <v>1</v>
      </c>
      <c r="H1617" s="87" t="b">
        <v>1</v>
      </c>
      <c r="I1617" s="87" t="b">
        <v>0</v>
      </c>
      <c r="J1617" s="173" t="s">
        <v>1330</v>
      </c>
      <c r="K1617" s="174">
        <v>56577059000100</v>
      </c>
      <c r="L1617" s="173" t="s">
        <v>605</v>
      </c>
      <c r="M1617" s="173" t="s">
        <v>29</v>
      </c>
      <c r="N1617" s="173" t="s">
        <v>19</v>
      </c>
      <c r="O1617" s="87">
        <v>70</v>
      </c>
      <c r="P1617" s="173" t="s">
        <v>20</v>
      </c>
      <c r="Q1617" s="1" t="s">
        <v>1338</v>
      </c>
      <c r="R1617" s="175">
        <v>135</v>
      </c>
      <c r="S1617">
        <v>27</v>
      </c>
    </row>
    <row r="1618" spans="1:19" x14ac:dyDescent="0.25">
      <c r="A1618" s="87">
        <v>2019</v>
      </c>
      <c r="B1618" s="87">
        <v>9</v>
      </c>
      <c r="C1618" s="173" t="s">
        <v>16</v>
      </c>
      <c r="D1618" s="173" t="s">
        <v>22</v>
      </c>
      <c r="E1618" s="173" t="s">
        <v>18</v>
      </c>
      <c r="F1618" s="173" t="s">
        <v>16</v>
      </c>
      <c r="G1618" s="87" t="b">
        <v>1</v>
      </c>
      <c r="H1618" s="87" t="b">
        <v>1</v>
      </c>
      <c r="I1618" s="87" t="b">
        <v>0</v>
      </c>
      <c r="J1618" s="173" t="s">
        <v>491</v>
      </c>
      <c r="K1618" s="174">
        <v>57722118000140</v>
      </c>
      <c r="L1618" s="173" t="s">
        <v>722</v>
      </c>
      <c r="M1618" s="173" t="s">
        <v>639</v>
      </c>
      <c r="N1618" s="173" t="s">
        <v>19</v>
      </c>
      <c r="O1618" s="87">
        <v>70</v>
      </c>
      <c r="P1618" s="173" t="s">
        <v>20</v>
      </c>
      <c r="Q1618" s="1" t="s">
        <v>1338</v>
      </c>
      <c r="R1618" s="175">
        <v>150</v>
      </c>
      <c r="S1618">
        <v>30</v>
      </c>
    </row>
    <row r="1619" spans="1:19" x14ac:dyDescent="0.25">
      <c r="A1619" s="87">
        <v>2019</v>
      </c>
      <c r="B1619" s="87">
        <v>9</v>
      </c>
      <c r="C1619" s="173" t="s">
        <v>16</v>
      </c>
      <c r="D1619" s="173" t="s">
        <v>22</v>
      </c>
      <c r="E1619" s="173" t="s">
        <v>18</v>
      </c>
      <c r="F1619" s="173" t="s">
        <v>16</v>
      </c>
      <c r="G1619" s="87" t="b">
        <v>1</v>
      </c>
      <c r="H1619" s="87" t="b">
        <v>1</v>
      </c>
      <c r="I1619" s="87" t="b">
        <v>0</v>
      </c>
      <c r="J1619" s="173" t="s">
        <v>491</v>
      </c>
      <c r="K1619" s="174">
        <v>58229691001070</v>
      </c>
      <c r="L1619" s="173" t="s">
        <v>725</v>
      </c>
      <c r="M1619" s="173" t="s">
        <v>35</v>
      </c>
      <c r="N1619" s="173" t="s">
        <v>19</v>
      </c>
      <c r="O1619" s="87">
        <v>73</v>
      </c>
      <c r="P1619" s="173" t="s">
        <v>26</v>
      </c>
      <c r="Q1619" s="1" t="s">
        <v>1342</v>
      </c>
      <c r="R1619" s="175">
        <v>32</v>
      </c>
      <c r="S1619">
        <v>8</v>
      </c>
    </row>
    <row r="1620" spans="1:19" x14ac:dyDescent="0.25">
      <c r="A1620" s="87">
        <v>2019</v>
      </c>
      <c r="B1620" s="87">
        <v>9</v>
      </c>
      <c r="C1620" s="173" t="s">
        <v>16</v>
      </c>
      <c r="D1620" s="173" t="s">
        <v>22</v>
      </c>
      <c r="E1620" s="173" t="s">
        <v>18</v>
      </c>
      <c r="F1620" s="173" t="s">
        <v>16</v>
      </c>
      <c r="G1620" s="87" t="b">
        <v>1</v>
      </c>
      <c r="H1620" s="87" t="b">
        <v>1</v>
      </c>
      <c r="I1620" s="87" t="b">
        <v>0</v>
      </c>
      <c r="J1620" s="173" t="s">
        <v>455</v>
      </c>
      <c r="K1620" s="174">
        <v>59481028000130</v>
      </c>
      <c r="L1620" s="173" t="s">
        <v>608</v>
      </c>
      <c r="M1620" s="173" t="s">
        <v>29</v>
      </c>
      <c r="N1620" s="173" t="s">
        <v>19</v>
      </c>
      <c r="O1620" s="87">
        <v>70</v>
      </c>
      <c r="P1620" s="173" t="s">
        <v>20</v>
      </c>
      <c r="Q1620" s="1" t="s">
        <v>1338</v>
      </c>
      <c r="R1620" s="175">
        <v>30</v>
      </c>
      <c r="S1620">
        <v>6</v>
      </c>
    </row>
    <row r="1621" spans="1:19" x14ac:dyDescent="0.25">
      <c r="A1621" s="87">
        <v>2019</v>
      </c>
      <c r="B1621" s="87">
        <v>9</v>
      </c>
      <c r="C1621" s="173" t="s">
        <v>16</v>
      </c>
      <c r="D1621" s="173" t="s">
        <v>22</v>
      </c>
      <c r="E1621" s="173" t="s">
        <v>18</v>
      </c>
      <c r="F1621" s="173" t="s">
        <v>16</v>
      </c>
      <c r="G1621" s="87" t="b">
        <v>1</v>
      </c>
      <c r="H1621" s="87" t="b">
        <v>1</v>
      </c>
      <c r="I1621" s="87" t="b">
        <v>0</v>
      </c>
      <c r="J1621" s="173" t="s">
        <v>1330</v>
      </c>
      <c r="K1621" s="174">
        <v>60003761000129</v>
      </c>
      <c r="L1621" s="173" t="s">
        <v>728</v>
      </c>
      <c r="M1621" s="173" t="s">
        <v>643</v>
      </c>
      <c r="N1621" s="173" t="s">
        <v>19</v>
      </c>
      <c r="O1621" s="87">
        <v>62</v>
      </c>
      <c r="P1621" s="173" t="s">
        <v>27</v>
      </c>
      <c r="Q1621" s="1" t="s">
        <v>1343</v>
      </c>
      <c r="R1621" s="175">
        <v>4</v>
      </c>
      <c r="S1621">
        <v>4</v>
      </c>
    </row>
    <row r="1622" spans="1:19" x14ac:dyDescent="0.25">
      <c r="A1622" s="87">
        <v>2019</v>
      </c>
      <c r="B1622" s="87">
        <v>9</v>
      </c>
      <c r="C1622" s="173" t="s">
        <v>16</v>
      </c>
      <c r="D1622" s="173" t="s">
        <v>22</v>
      </c>
      <c r="E1622" s="173" t="s">
        <v>18</v>
      </c>
      <c r="F1622" s="173" t="s">
        <v>16</v>
      </c>
      <c r="G1622" s="87" t="b">
        <v>1</v>
      </c>
      <c r="H1622" s="87" t="b">
        <v>1</v>
      </c>
      <c r="I1622" s="87" t="b">
        <v>0</v>
      </c>
      <c r="J1622" s="173" t="s">
        <v>470</v>
      </c>
      <c r="K1622" s="174">
        <v>60003761000129</v>
      </c>
      <c r="L1622" s="173" t="s">
        <v>728</v>
      </c>
      <c r="M1622" s="173" t="s">
        <v>643</v>
      </c>
      <c r="N1622" s="173" t="s">
        <v>19</v>
      </c>
      <c r="O1622" s="87">
        <v>62</v>
      </c>
      <c r="P1622" s="173" t="s">
        <v>27</v>
      </c>
      <c r="Q1622" s="1" t="s">
        <v>1343</v>
      </c>
      <c r="R1622" s="175">
        <v>6</v>
      </c>
      <c r="S1622">
        <v>6</v>
      </c>
    </row>
    <row r="1623" spans="1:19" x14ac:dyDescent="0.25">
      <c r="A1623" s="87">
        <v>2019</v>
      </c>
      <c r="B1623" s="87">
        <v>9</v>
      </c>
      <c r="C1623" s="173" t="s">
        <v>16</v>
      </c>
      <c r="D1623" s="173" t="s">
        <v>22</v>
      </c>
      <c r="E1623" s="173" t="s">
        <v>18</v>
      </c>
      <c r="F1623" s="173" t="s">
        <v>16</v>
      </c>
      <c r="G1623" s="87" t="b">
        <v>1</v>
      </c>
      <c r="H1623" s="87" t="b">
        <v>1</v>
      </c>
      <c r="I1623" s="87" t="b">
        <v>0</v>
      </c>
      <c r="J1623" s="173" t="s">
        <v>1330</v>
      </c>
      <c r="K1623" s="174">
        <v>60003761000129</v>
      </c>
      <c r="L1623" s="173" t="s">
        <v>728</v>
      </c>
      <c r="M1623" s="173" t="s">
        <v>643</v>
      </c>
      <c r="N1623" s="173" t="s">
        <v>19</v>
      </c>
      <c r="O1623" s="87">
        <v>64</v>
      </c>
      <c r="P1623" s="173" t="s">
        <v>25</v>
      </c>
      <c r="Q1623" s="1" t="s">
        <v>1344</v>
      </c>
      <c r="R1623" s="175">
        <v>15</v>
      </c>
      <c r="S1623">
        <v>15</v>
      </c>
    </row>
    <row r="1624" spans="1:19" x14ac:dyDescent="0.25">
      <c r="A1624" s="87">
        <v>2019</v>
      </c>
      <c r="B1624" s="87">
        <v>9</v>
      </c>
      <c r="C1624" s="173" t="s">
        <v>16</v>
      </c>
      <c r="D1624" s="173" t="s">
        <v>22</v>
      </c>
      <c r="E1624" s="173" t="s">
        <v>18</v>
      </c>
      <c r="F1624" s="173" t="s">
        <v>16</v>
      </c>
      <c r="G1624" s="87" t="b">
        <v>1</v>
      </c>
      <c r="H1624" s="87" t="b">
        <v>1</v>
      </c>
      <c r="I1624" s="87" t="b">
        <v>0</v>
      </c>
      <c r="J1624" s="173" t="s">
        <v>1332</v>
      </c>
      <c r="K1624" s="174">
        <v>60194990000844</v>
      </c>
      <c r="L1624" s="173" t="s">
        <v>1231</v>
      </c>
      <c r="M1624" s="173" t="s">
        <v>58</v>
      </c>
      <c r="N1624" s="173" t="s">
        <v>54</v>
      </c>
      <c r="O1624" s="87">
        <v>62</v>
      </c>
      <c r="P1624" s="173" t="s">
        <v>27</v>
      </c>
      <c r="Q1624" s="1" t="s">
        <v>1343</v>
      </c>
      <c r="R1624" s="175">
        <v>3</v>
      </c>
      <c r="S1624">
        <v>3</v>
      </c>
    </row>
    <row r="1625" spans="1:19" x14ac:dyDescent="0.25">
      <c r="A1625" s="87">
        <v>2019</v>
      </c>
      <c r="B1625" s="87">
        <v>9</v>
      </c>
      <c r="C1625" s="173" t="s">
        <v>16</v>
      </c>
      <c r="D1625" s="173" t="s">
        <v>22</v>
      </c>
      <c r="E1625" s="173" t="s">
        <v>18</v>
      </c>
      <c r="F1625" s="173" t="s">
        <v>16</v>
      </c>
      <c r="G1625" s="87" t="b">
        <v>1</v>
      </c>
      <c r="H1625" s="87" t="b">
        <v>1</v>
      </c>
      <c r="I1625" s="87" t="b">
        <v>0</v>
      </c>
      <c r="J1625" s="173" t="s">
        <v>495</v>
      </c>
      <c r="K1625" s="174">
        <v>60214517001187</v>
      </c>
      <c r="L1625" s="173" t="s">
        <v>730</v>
      </c>
      <c r="M1625" s="173" t="s">
        <v>731</v>
      </c>
      <c r="N1625" s="173" t="s">
        <v>19</v>
      </c>
      <c r="O1625" s="87">
        <v>70</v>
      </c>
      <c r="P1625" s="173" t="s">
        <v>20</v>
      </c>
      <c r="Q1625" s="1" t="s">
        <v>1338</v>
      </c>
      <c r="R1625" s="175">
        <v>20</v>
      </c>
      <c r="S1625">
        <v>4</v>
      </c>
    </row>
    <row r="1626" spans="1:19" x14ac:dyDescent="0.25">
      <c r="A1626" s="87">
        <v>2019</v>
      </c>
      <c r="B1626" s="87">
        <v>9</v>
      </c>
      <c r="C1626" s="173" t="s">
        <v>16</v>
      </c>
      <c r="D1626" s="173" t="s">
        <v>22</v>
      </c>
      <c r="E1626" s="173" t="s">
        <v>18</v>
      </c>
      <c r="F1626" s="173" t="s">
        <v>16</v>
      </c>
      <c r="G1626" s="87" t="b">
        <v>1</v>
      </c>
      <c r="H1626" s="87" t="b">
        <v>1</v>
      </c>
      <c r="I1626" s="87" t="b">
        <v>0</v>
      </c>
      <c r="J1626" s="173" t="s">
        <v>450</v>
      </c>
      <c r="K1626" s="174">
        <v>60214517001691</v>
      </c>
      <c r="L1626" s="173" t="s">
        <v>732</v>
      </c>
      <c r="M1626" s="173" t="s">
        <v>650</v>
      </c>
      <c r="N1626" s="173" t="s">
        <v>19</v>
      </c>
      <c r="O1626" s="87">
        <v>70</v>
      </c>
      <c r="P1626" s="173" t="s">
        <v>20</v>
      </c>
      <c r="Q1626" s="1" t="s">
        <v>1338</v>
      </c>
      <c r="R1626" s="175">
        <v>30</v>
      </c>
      <c r="S1626">
        <v>6</v>
      </c>
    </row>
    <row r="1627" spans="1:19" x14ac:dyDescent="0.25">
      <c r="A1627" s="87">
        <v>2019</v>
      </c>
      <c r="B1627" s="87">
        <v>9</v>
      </c>
      <c r="C1627" s="173" t="s">
        <v>16</v>
      </c>
      <c r="D1627" s="173" t="s">
        <v>22</v>
      </c>
      <c r="E1627" s="173" t="s">
        <v>18</v>
      </c>
      <c r="F1627" s="173" t="s">
        <v>16</v>
      </c>
      <c r="G1627" s="87" t="b">
        <v>1</v>
      </c>
      <c r="H1627" s="87" t="b">
        <v>1</v>
      </c>
      <c r="I1627" s="87" t="b">
        <v>0</v>
      </c>
      <c r="J1627" s="173" t="s">
        <v>464</v>
      </c>
      <c r="K1627" s="174">
        <v>60214517001691</v>
      </c>
      <c r="L1627" s="173" t="s">
        <v>732</v>
      </c>
      <c r="M1627" s="173" t="s">
        <v>650</v>
      </c>
      <c r="N1627" s="173" t="s">
        <v>19</v>
      </c>
      <c r="O1627" s="87">
        <v>70</v>
      </c>
      <c r="P1627" s="173" t="s">
        <v>20</v>
      </c>
      <c r="Q1627" s="1" t="s">
        <v>1338</v>
      </c>
      <c r="R1627" s="175">
        <v>125</v>
      </c>
      <c r="S1627">
        <v>25</v>
      </c>
    </row>
    <row r="1628" spans="1:19" x14ac:dyDescent="0.25">
      <c r="A1628" s="87">
        <v>2019</v>
      </c>
      <c r="B1628" s="87">
        <v>9</v>
      </c>
      <c r="C1628" s="173" t="s">
        <v>16</v>
      </c>
      <c r="D1628" s="173" t="s">
        <v>22</v>
      </c>
      <c r="E1628" s="173" t="s">
        <v>18</v>
      </c>
      <c r="F1628" s="173" t="s">
        <v>16</v>
      </c>
      <c r="G1628" s="87" t="b">
        <v>1</v>
      </c>
      <c r="H1628" s="87" t="b">
        <v>1</v>
      </c>
      <c r="I1628" s="87" t="b">
        <v>0</v>
      </c>
      <c r="J1628" s="173" t="s">
        <v>492</v>
      </c>
      <c r="K1628" s="174">
        <v>60214517001691</v>
      </c>
      <c r="L1628" s="173" t="s">
        <v>732</v>
      </c>
      <c r="M1628" s="173" t="s">
        <v>650</v>
      </c>
      <c r="N1628" s="173" t="s">
        <v>19</v>
      </c>
      <c r="O1628" s="87">
        <v>70</v>
      </c>
      <c r="P1628" s="173" t="s">
        <v>20</v>
      </c>
      <c r="Q1628" s="1" t="s">
        <v>1338</v>
      </c>
      <c r="R1628" s="175">
        <v>125</v>
      </c>
      <c r="S1628">
        <v>25</v>
      </c>
    </row>
    <row r="1629" spans="1:19" x14ac:dyDescent="0.25">
      <c r="A1629" s="87">
        <v>2019</v>
      </c>
      <c r="B1629" s="87">
        <v>9</v>
      </c>
      <c r="C1629" s="173" t="s">
        <v>16</v>
      </c>
      <c r="D1629" s="173" t="s">
        <v>22</v>
      </c>
      <c r="E1629" s="173" t="s">
        <v>18</v>
      </c>
      <c r="F1629" s="173" t="s">
        <v>16</v>
      </c>
      <c r="G1629" s="87" t="b">
        <v>1</v>
      </c>
      <c r="H1629" s="87" t="b">
        <v>1</v>
      </c>
      <c r="I1629" s="87" t="b">
        <v>0</v>
      </c>
      <c r="J1629" s="173" t="s">
        <v>463</v>
      </c>
      <c r="K1629" s="174">
        <v>60214517001691</v>
      </c>
      <c r="L1629" s="173" t="s">
        <v>732</v>
      </c>
      <c r="M1629" s="173" t="s">
        <v>650</v>
      </c>
      <c r="N1629" s="173" t="s">
        <v>19</v>
      </c>
      <c r="O1629" s="87">
        <v>70</v>
      </c>
      <c r="P1629" s="173" t="s">
        <v>20</v>
      </c>
      <c r="Q1629" s="1" t="s">
        <v>1338</v>
      </c>
      <c r="R1629" s="175">
        <v>450</v>
      </c>
      <c r="S1629">
        <v>90</v>
      </c>
    </row>
    <row r="1630" spans="1:19" x14ac:dyDescent="0.25">
      <c r="A1630" s="87">
        <v>2019</v>
      </c>
      <c r="B1630" s="87">
        <v>9</v>
      </c>
      <c r="C1630" s="173" t="s">
        <v>16</v>
      </c>
      <c r="D1630" s="173" t="s">
        <v>22</v>
      </c>
      <c r="E1630" s="173" t="s">
        <v>18</v>
      </c>
      <c r="F1630" s="173" t="s">
        <v>16</v>
      </c>
      <c r="G1630" s="87" t="b">
        <v>1</v>
      </c>
      <c r="H1630" s="87" t="b">
        <v>1</v>
      </c>
      <c r="I1630" s="87" t="b">
        <v>0</v>
      </c>
      <c r="J1630" s="173" t="s">
        <v>1330</v>
      </c>
      <c r="K1630" s="174">
        <v>60448040000122</v>
      </c>
      <c r="L1630" s="173" t="s">
        <v>609</v>
      </c>
      <c r="M1630" s="173" t="s">
        <v>29</v>
      </c>
      <c r="N1630" s="173" t="s">
        <v>19</v>
      </c>
      <c r="O1630" s="87">
        <v>62</v>
      </c>
      <c r="P1630" s="173" t="s">
        <v>27</v>
      </c>
      <c r="Q1630" s="1" t="s">
        <v>1343</v>
      </c>
      <c r="R1630" s="175">
        <v>60</v>
      </c>
      <c r="S1630">
        <v>60</v>
      </c>
    </row>
    <row r="1631" spans="1:19" x14ac:dyDescent="0.25">
      <c r="A1631" s="87">
        <v>2019</v>
      </c>
      <c r="B1631" s="87">
        <v>9</v>
      </c>
      <c r="C1631" s="173" t="s">
        <v>16</v>
      </c>
      <c r="D1631" s="173" t="s">
        <v>22</v>
      </c>
      <c r="E1631" s="173" t="s">
        <v>18</v>
      </c>
      <c r="F1631" s="173" t="s">
        <v>16</v>
      </c>
      <c r="G1631" s="87" t="b">
        <v>1</v>
      </c>
      <c r="H1631" s="87" t="b">
        <v>1</v>
      </c>
      <c r="I1631" s="87" t="b">
        <v>0</v>
      </c>
      <c r="J1631" s="173" t="s">
        <v>1330</v>
      </c>
      <c r="K1631" s="174">
        <v>60448040000122</v>
      </c>
      <c r="L1631" s="173" t="s">
        <v>609</v>
      </c>
      <c r="M1631" s="173" t="s">
        <v>29</v>
      </c>
      <c r="N1631" s="173" t="s">
        <v>19</v>
      </c>
      <c r="O1631" s="87">
        <v>64</v>
      </c>
      <c r="P1631" s="173" t="s">
        <v>25</v>
      </c>
      <c r="Q1631" s="1" t="s">
        <v>1344</v>
      </c>
      <c r="R1631" s="175">
        <v>66</v>
      </c>
      <c r="S1631">
        <v>66</v>
      </c>
    </row>
    <row r="1632" spans="1:19" x14ac:dyDescent="0.25">
      <c r="A1632" s="87">
        <v>2019</v>
      </c>
      <c r="B1632" s="87">
        <v>9</v>
      </c>
      <c r="C1632" s="173" t="s">
        <v>16</v>
      </c>
      <c r="D1632" s="173" t="s">
        <v>22</v>
      </c>
      <c r="E1632" s="173" t="s">
        <v>18</v>
      </c>
      <c r="F1632" s="173" t="s">
        <v>16</v>
      </c>
      <c r="G1632" s="87" t="b">
        <v>1</v>
      </c>
      <c r="H1632" s="87" t="b">
        <v>1</v>
      </c>
      <c r="I1632" s="87" t="b">
        <v>0</v>
      </c>
      <c r="J1632" s="173" t="s">
        <v>1330</v>
      </c>
      <c r="K1632" s="174">
        <v>60448040000122</v>
      </c>
      <c r="L1632" s="173" t="s">
        <v>609</v>
      </c>
      <c r="M1632" s="173" t="s">
        <v>29</v>
      </c>
      <c r="N1632" s="173" t="s">
        <v>19</v>
      </c>
      <c r="O1632" s="87">
        <v>73</v>
      </c>
      <c r="P1632" s="173" t="s">
        <v>26</v>
      </c>
      <c r="Q1632" s="1" t="s">
        <v>1342</v>
      </c>
      <c r="R1632" s="175">
        <v>92</v>
      </c>
      <c r="S1632">
        <v>23</v>
      </c>
    </row>
    <row r="1633" spans="1:19" x14ac:dyDescent="0.25">
      <c r="A1633" s="87">
        <v>2019</v>
      </c>
      <c r="B1633" s="87">
        <v>9</v>
      </c>
      <c r="C1633" s="173" t="s">
        <v>16</v>
      </c>
      <c r="D1633" s="173" t="s">
        <v>22</v>
      </c>
      <c r="E1633" s="173" t="s">
        <v>18</v>
      </c>
      <c r="F1633" s="173" t="s">
        <v>16</v>
      </c>
      <c r="G1633" s="87" t="b">
        <v>1</v>
      </c>
      <c r="H1633" s="87" t="b">
        <v>1</v>
      </c>
      <c r="I1633" s="87" t="b">
        <v>0</v>
      </c>
      <c r="J1633" s="173" t="s">
        <v>450</v>
      </c>
      <c r="K1633" s="174">
        <v>60453024000390</v>
      </c>
      <c r="L1633" s="173" t="s">
        <v>610</v>
      </c>
      <c r="M1633" s="173" t="s">
        <v>29</v>
      </c>
      <c r="N1633" s="173" t="s">
        <v>19</v>
      </c>
      <c r="O1633" s="87">
        <v>62</v>
      </c>
      <c r="P1633" s="173" t="s">
        <v>27</v>
      </c>
      <c r="Q1633" s="1" t="s">
        <v>1343</v>
      </c>
      <c r="R1633" s="175">
        <v>55</v>
      </c>
      <c r="S1633">
        <v>55</v>
      </c>
    </row>
    <row r="1634" spans="1:19" x14ac:dyDescent="0.25">
      <c r="A1634" s="87">
        <v>2019</v>
      </c>
      <c r="B1634" s="87">
        <v>9</v>
      </c>
      <c r="C1634" s="173" t="s">
        <v>16</v>
      </c>
      <c r="D1634" s="173" t="s">
        <v>22</v>
      </c>
      <c r="E1634" s="173" t="s">
        <v>18</v>
      </c>
      <c r="F1634" s="173" t="s">
        <v>16</v>
      </c>
      <c r="G1634" s="87" t="b">
        <v>1</v>
      </c>
      <c r="H1634" s="87" t="b">
        <v>1</v>
      </c>
      <c r="I1634" s="87" t="b">
        <v>0</v>
      </c>
      <c r="J1634" s="173" t="s">
        <v>450</v>
      </c>
      <c r="K1634" s="174">
        <v>60453024000390</v>
      </c>
      <c r="L1634" s="173" t="s">
        <v>610</v>
      </c>
      <c r="M1634" s="173" t="s">
        <v>29</v>
      </c>
      <c r="N1634" s="173" t="s">
        <v>19</v>
      </c>
      <c r="O1634" s="87">
        <v>64</v>
      </c>
      <c r="P1634" s="173" t="s">
        <v>25</v>
      </c>
      <c r="Q1634" s="1" t="s">
        <v>1344</v>
      </c>
      <c r="R1634" s="175">
        <v>11</v>
      </c>
      <c r="S1634">
        <v>11</v>
      </c>
    </row>
    <row r="1635" spans="1:19" x14ac:dyDescent="0.25">
      <c r="A1635" s="87">
        <v>2019</v>
      </c>
      <c r="B1635" s="87">
        <v>9</v>
      </c>
      <c r="C1635" s="173" t="s">
        <v>16</v>
      </c>
      <c r="D1635" s="173" t="s">
        <v>22</v>
      </c>
      <c r="E1635" s="173" t="s">
        <v>18</v>
      </c>
      <c r="F1635" s="173" t="s">
        <v>16</v>
      </c>
      <c r="G1635" s="87" t="b">
        <v>1</v>
      </c>
      <c r="H1635" s="87" t="b">
        <v>1</v>
      </c>
      <c r="I1635" s="87" t="b">
        <v>0</v>
      </c>
      <c r="J1635" s="173" t="s">
        <v>495</v>
      </c>
      <c r="K1635" s="174">
        <v>60552098000111</v>
      </c>
      <c r="L1635" s="173" t="s">
        <v>611</v>
      </c>
      <c r="M1635" s="173" t="s">
        <v>29</v>
      </c>
      <c r="N1635" s="173" t="s">
        <v>19</v>
      </c>
      <c r="O1635" s="87">
        <v>70</v>
      </c>
      <c r="P1635" s="173" t="s">
        <v>20</v>
      </c>
      <c r="Q1635" s="1" t="s">
        <v>1338</v>
      </c>
      <c r="R1635" s="175">
        <v>75</v>
      </c>
      <c r="S1635">
        <v>15</v>
      </c>
    </row>
    <row r="1636" spans="1:19" x14ac:dyDescent="0.25">
      <c r="A1636" s="87">
        <v>2019</v>
      </c>
      <c r="B1636" s="87">
        <v>9</v>
      </c>
      <c r="C1636" s="173" t="s">
        <v>16</v>
      </c>
      <c r="D1636" s="173" t="s">
        <v>22</v>
      </c>
      <c r="E1636" s="173" t="s">
        <v>18</v>
      </c>
      <c r="F1636" s="173" t="s">
        <v>16</v>
      </c>
      <c r="G1636" s="87" t="b">
        <v>1</v>
      </c>
      <c r="H1636" s="87" t="b">
        <v>1</v>
      </c>
      <c r="I1636" s="87" t="b">
        <v>0</v>
      </c>
      <c r="J1636" s="173" t="s">
        <v>463</v>
      </c>
      <c r="K1636" s="174">
        <v>60678604000113</v>
      </c>
      <c r="L1636" s="173" t="s">
        <v>612</v>
      </c>
      <c r="M1636" s="173" t="s">
        <v>29</v>
      </c>
      <c r="N1636" s="173" t="s">
        <v>19</v>
      </c>
      <c r="O1636" s="87">
        <v>62</v>
      </c>
      <c r="P1636" s="173" t="s">
        <v>27</v>
      </c>
      <c r="Q1636" s="1" t="s">
        <v>1343</v>
      </c>
      <c r="R1636" s="175">
        <v>24</v>
      </c>
      <c r="S1636">
        <v>24</v>
      </c>
    </row>
    <row r="1637" spans="1:19" x14ac:dyDescent="0.25">
      <c r="A1637" s="87">
        <v>2019</v>
      </c>
      <c r="B1637" s="87">
        <v>9</v>
      </c>
      <c r="C1637" s="173" t="s">
        <v>16</v>
      </c>
      <c r="D1637" s="173" t="s">
        <v>22</v>
      </c>
      <c r="E1637" s="173" t="s">
        <v>18</v>
      </c>
      <c r="F1637" s="173" t="s">
        <v>16</v>
      </c>
      <c r="G1637" s="87" t="b">
        <v>1</v>
      </c>
      <c r="H1637" s="87" t="b">
        <v>1</v>
      </c>
      <c r="I1637" s="87" t="b">
        <v>0</v>
      </c>
      <c r="J1637" s="173" t="s">
        <v>464</v>
      </c>
      <c r="K1637" s="174">
        <v>60678604000113</v>
      </c>
      <c r="L1637" s="173" t="s">
        <v>612</v>
      </c>
      <c r="M1637" s="173" t="s">
        <v>29</v>
      </c>
      <c r="N1637" s="173" t="s">
        <v>19</v>
      </c>
      <c r="O1637" s="87">
        <v>64</v>
      </c>
      <c r="P1637" s="173" t="s">
        <v>25</v>
      </c>
      <c r="Q1637" s="1" t="s">
        <v>1344</v>
      </c>
      <c r="R1637" s="175">
        <v>1</v>
      </c>
      <c r="S1637">
        <v>1</v>
      </c>
    </row>
    <row r="1638" spans="1:19" x14ac:dyDescent="0.25">
      <c r="A1638" s="87">
        <v>2019</v>
      </c>
      <c r="B1638" s="87">
        <v>9</v>
      </c>
      <c r="C1638" s="173" t="s">
        <v>16</v>
      </c>
      <c r="D1638" s="173" t="s">
        <v>22</v>
      </c>
      <c r="E1638" s="173" t="s">
        <v>18</v>
      </c>
      <c r="F1638" s="173" t="s">
        <v>16</v>
      </c>
      <c r="G1638" s="87" t="b">
        <v>1</v>
      </c>
      <c r="H1638" s="87" t="b">
        <v>1</v>
      </c>
      <c r="I1638" s="87" t="b">
        <v>0</v>
      </c>
      <c r="J1638" s="173" t="s">
        <v>463</v>
      </c>
      <c r="K1638" s="174">
        <v>60678604000113</v>
      </c>
      <c r="L1638" s="173" t="s">
        <v>612</v>
      </c>
      <c r="M1638" s="173" t="s">
        <v>29</v>
      </c>
      <c r="N1638" s="173" t="s">
        <v>19</v>
      </c>
      <c r="O1638" s="87">
        <v>70</v>
      </c>
      <c r="P1638" s="173" t="s">
        <v>20</v>
      </c>
      <c r="Q1638" s="1" t="s">
        <v>1338</v>
      </c>
      <c r="R1638" s="175">
        <v>200</v>
      </c>
      <c r="S1638">
        <v>40</v>
      </c>
    </row>
    <row r="1639" spans="1:19" x14ac:dyDescent="0.25">
      <c r="A1639" s="87">
        <v>2019</v>
      </c>
      <c r="B1639" s="87">
        <v>9</v>
      </c>
      <c r="C1639" s="173" t="s">
        <v>16</v>
      </c>
      <c r="D1639" s="173" t="s">
        <v>22</v>
      </c>
      <c r="E1639" s="173" t="s">
        <v>18</v>
      </c>
      <c r="F1639" s="173" t="s">
        <v>16</v>
      </c>
      <c r="G1639" s="87" t="b">
        <v>1</v>
      </c>
      <c r="H1639" s="87" t="b">
        <v>1</v>
      </c>
      <c r="I1639" s="87" t="b">
        <v>0</v>
      </c>
      <c r="J1639" s="173" t="s">
        <v>450</v>
      </c>
      <c r="K1639" s="174">
        <v>60726502000126</v>
      </c>
      <c r="L1639" s="173" t="s">
        <v>613</v>
      </c>
      <c r="M1639" s="173" t="s">
        <v>29</v>
      </c>
      <c r="N1639" s="173" t="s">
        <v>19</v>
      </c>
      <c r="O1639" s="87">
        <v>62</v>
      </c>
      <c r="P1639" s="173" t="s">
        <v>27</v>
      </c>
      <c r="Q1639" s="1" t="s">
        <v>1343</v>
      </c>
      <c r="R1639" s="175">
        <v>2</v>
      </c>
      <c r="S1639">
        <v>2</v>
      </c>
    </row>
    <row r="1640" spans="1:19" x14ac:dyDescent="0.25">
      <c r="A1640" s="87">
        <v>2019</v>
      </c>
      <c r="B1640" s="87">
        <v>9</v>
      </c>
      <c r="C1640" s="173" t="s">
        <v>16</v>
      </c>
      <c r="D1640" s="173" t="s">
        <v>22</v>
      </c>
      <c r="E1640" s="173" t="s">
        <v>18</v>
      </c>
      <c r="F1640" s="173" t="s">
        <v>16</v>
      </c>
      <c r="G1640" s="87" t="b">
        <v>1</v>
      </c>
      <c r="H1640" s="87" t="b">
        <v>1</v>
      </c>
      <c r="I1640" s="87" t="b">
        <v>0</v>
      </c>
      <c r="J1640" s="173" t="s">
        <v>450</v>
      </c>
      <c r="K1640" s="174">
        <v>60726502000126</v>
      </c>
      <c r="L1640" s="173" t="s">
        <v>613</v>
      </c>
      <c r="M1640" s="173" t="s">
        <v>29</v>
      </c>
      <c r="N1640" s="173" t="s">
        <v>19</v>
      </c>
      <c r="O1640" s="87">
        <v>64</v>
      </c>
      <c r="P1640" s="173" t="s">
        <v>25</v>
      </c>
      <c r="Q1640" s="1" t="s">
        <v>1344</v>
      </c>
      <c r="R1640" s="175">
        <v>6</v>
      </c>
      <c r="S1640">
        <v>6</v>
      </c>
    </row>
    <row r="1641" spans="1:19" x14ac:dyDescent="0.25">
      <c r="A1641" s="87">
        <v>2019</v>
      </c>
      <c r="B1641" s="87">
        <v>9</v>
      </c>
      <c r="C1641" s="173" t="s">
        <v>16</v>
      </c>
      <c r="D1641" s="173" t="s">
        <v>22</v>
      </c>
      <c r="E1641" s="173" t="s">
        <v>18</v>
      </c>
      <c r="F1641" s="173" t="s">
        <v>16</v>
      </c>
      <c r="G1641" s="87" t="b">
        <v>1</v>
      </c>
      <c r="H1641" s="87" t="b">
        <v>1</v>
      </c>
      <c r="I1641" s="87" t="b">
        <v>0</v>
      </c>
      <c r="J1641" s="173" t="s">
        <v>463</v>
      </c>
      <c r="K1641" s="174">
        <v>60726502000126</v>
      </c>
      <c r="L1641" s="173" t="s">
        <v>613</v>
      </c>
      <c r="M1641" s="173" t="s">
        <v>29</v>
      </c>
      <c r="N1641" s="173" t="s">
        <v>19</v>
      </c>
      <c r="O1641" s="87">
        <v>70</v>
      </c>
      <c r="P1641" s="173" t="s">
        <v>20</v>
      </c>
      <c r="Q1641" s="1" t="s">
        <v>1338</v>
      </c>
      <c r="R1641" s="175">
        <v>535</v>
      </c>
      <c r="S1641">
        <v>107</v>
      </c>
    </row>
    <row r="1642" spans="1:19" x14ac:dyDescent="0.25">
      <c r="A1642" s="87">
        <v>2019</v>
      </c>
      <c r="B1642" s="87">
        <v>9</v>
      </c>
      <c r="C1642" s="173" t="s">
        <v>16</v>
      </c>
      <c r="D1642" s="173" t="s">
        <v>22</v>
      </c>
      <c r="E1642" s="173" t="s">
        <v>18</v>
      </c>
      <c r="F1642" s="173" t="s">
        <v>16</v>
      </c>
      <c r="G1642" s="87" t="b">
        <v>1</v>
      </c>
      <c r="H1642" s="87" t="b">
        <v>1</v>
      </c>
      <c r="I1642" s="87" t="b">
        <v>0</v>
      </c>
      <c r="J1642" s="173" t="s">
        <v>450</v>
      </c>
      <c r="K1642" s="174">
        <v>60726502000126</v>
      </c>
      <c r="L1642" s="173" t="s">
        <v>613</v>
      </c>
      <c r="M1642" s="173" t="s">
        <v>29</v>
      </c>
      <c r="N1642" s="173" t="s">
        <v>19</v>
      </c>
      <c r="O1642" s="87">
        <v>73</v>
      </c>
      <c r="P1642" s="173" t="s">
        <v>26</v>
      </c>
      <c r="Q1642" s="1" t="s">
        <v>1342</v>
      </c>
      <c r="R1642" s="175">
        <v>16</v>
      </c>
      <c r="S1642">
        <v>4</v>
      </c>
    </row>
    <row r="1643" spans="1:19" x14ac:dyDescent="0.25">
      <c r="A1643" s="87">
        <v>2019</v>
      </c>
      <c r="B1643" s="87">
        <v>9</v>
      </c>
      <c r="C1643" s="173" t="s">
        <v>16</v>
      </c>
      <c r="D1643" s="173" t="s">
        <v>22</v>
      </c>
      <c r="E1643" s="173" t="s">
        <v>18</v>
      </c>
      <c r="F1643" s="173" t="s">
        <v>16</v>
      </c>
      <c r="G1643" s="87" t="b">
        <v>1</v>
      </c>
      <c r="H1643" s="87" t="b">
        <v>1</v>
      </c>
      <c r="I1643" s="87" t="b">
        <v>0</v>
      </c>
      <c r="J1643" s="173" t="s">
        <v>450</v>
      </c>
      <c r="K1643" s="174">
        <v>60765823000130</v>
      </c>
      <c r="L1643" s="173" t="s">
        <v>615</v>
      </c>
      <c r="M1643" s="173" t="s">
        <v>29</v>
      </c>
      <c r="N1643" s="173" t="s">
        <v>19</v>
      </c>
      <c r="O1643" s="87">
        <v>62</v>
      </c>
      <c r="P1643" s="173" t="s">
        <v>27</v>
      </c>
      <c r="Q1643" s="1" t="s">
        <v>1343</v>
      </c>
      <c r="R1643" s="175">
        <v>70</v>
      </c>
      <c r="S1643">
        <v>70</v>
      </c>
    </row>
    <row r="1644" spans="1:19" x14ac:dyDescent="0.25">
      <c r="A1644" s="87">
        <v>2019</v>
      </c>
      <c r="B1644" s="87">
        <v>9</v>
      </c>
      <c r="C1644" s="173" t="s">
        <v>16</v>
      </c>
      <c r="D1644" s="173" t="s">
        <v>22</v>
      </c>
      <c r="E1644" s="173" t="s">
        <v>18</v>
      </c>
      <c r="F1644" s="173" t="s">
        <v>16</v>
      </c>
      <c r="G1644" s="87" t="b">
        <v>1</v>
      </c>
      <c r="H1644" s="87" t="b">
        <v>1</v>
      </c>
      <c r="I1644" s="87" t="b">
        <v>0</v>
      </c>
      <c r="J1644" s="173" t="s">
        <v>450</v>
      </c>
      <c r="K1644" s="174">
        <v>60765823000130</v>
      </c>
      <c r="L1644" s="173" t="s">
        <v>615</v>
      </c>
      <c r="M1644" s="173" t="s">
        <v>29</v>
      </c>
      <c r="N1644" s="173" t="s">
        <v>19</v>
      </c>
      <c r="O1644" s="87">
        <v>64</v>
      </c>
      <c r="P1644" s="173" t="s">
        <v>25</v>
      </c>
      <c r="Q1644" s="1" t="s">
        <v>1344</v>
      </c>
      <c r="R1644" s="175">
        <v>30</v>
      </c>
      <c r="S1644">
        <v>30</v>
      </c>
    </row>
    <row r="1645" spans="1:19" x14ac:dyDescent="0.25">
      <c r="A1645" s="87">
        <v>2019</v>
      </c>
      <c r="B1645" s="87">
        <v>9</v>
      </c>
      <c r="C1645" s="173" t="s">
        <v>16</v>
      </c>
      <c r="D1645" s="173" t="s">
        <v>22</v>
      </c>
      <c r="E1645" s="173" t="s">
        <v>18</v>
      </c>
      <c r="F1645" s="173" t="s">
        <v>16</v>
      </c>
      <c r="G1645" s="87" t="b">
        <v>1</v>
      </c>
      <c r="H1645" s="87" t="b">
        <v>1</v>
      </c>
      <c r="I1645" s="87" t="b">
        <v>0</v>
      </c>
      <c r="J1645" s="173" t="s">
        <v>1330</v>
      </c>
      <c r="K1645" s="174">
        <v>60765823000130</v>
      </c>
      <c r="L1645" s="173" t="s">
        <v>615</v>
      </c>
      <c r="M1645" s="173" t="s">
        <v>29</v>
      </c>
      <c r="N1645" s="173" t="s">
        <v>19</v>
      </c>
      <c r="O1645" s="87">
        <v>73</v>
      </c>
      <c r="P1645" s="173" t="s">
        <v>26</v>
      </c>
      <c r="Q1645" s="1" t="s">
        <v>1340</v>
      </c>
      <c r="R1645" s="175">
        <v>70</v>
      </c>
      <c r="S1645">
        <v>70</v>
      </c>
    </row>
    <row r="1646" spans="1:19" x14ac:dyDescent="0.25">
      <c r="A1646" s="87">
        <v>2019</v>
      </c>
      <c r="B1646" s="87">
        <v>9</v>
      </c>
      <c r="C1646" s="173" t="s">
        <v>16</v>
      </c>
      <c r="D1646" s="173" t="s">
        <v>22</v>
      </c>
      <c r="E1646" s="173" t="s">
        <v>18</v>
      </c>
      <c r="F1646" s="173" t="s">
        <v>16</v>
      </c>
      <c r="G1646" s="87" t="b">
        <v>1</v>
      </c>
      <c r="H1646" s="87" t="b">
        <v>1</v>
      </c>
      <c r="I1646" s="87" t="b">
        <v>0</v>
      </c>
      <c r="J1646" s="173" t="s">
        <v>450</v>
      </c>
      <c r="K1646" s="174">
        <v>60765823000130</v>
      </c>
      <c r="L1646" s="173" t="s">
        <v>615</v>
      </c>
      <c r="M1646" s="173" t="s">
        <v>29</v>
      </c>
      <c r="N1646" s="173" t="s">
        <v>19</v>
      </c>
      <c r="O1646" s="87">
        <v>73</v>
      </c>
      <c r="P1646" s="173" t="s">
        <v>26</v>
      </c>
      <c r="Q1646" s="1" t="s">
        <v>1340</v>
      </c>
      <c r="R1646" s="175">
        <v>60</v>
      </c>
      <c r="S1646">
        <v>60</v>
      </c>
    </row>
    <row r="1647" spans="1:19" x14ac:dyDescent="0.25">
      <c r="A1647" s="87">
        <v>2019</v>
      </c>
      <c r="B1647" s="87">
        <v>9</v>
      </c>
      <c r="C1647" s="173" t="s">
        <v>16</v>
      </c>
      <c r="D1647" s="173" t="s">
        <v>22</v>
      </c>
      <c r="E1647" s="173" t="s">
        <v>18</v>
      </c>
      <c r="F1647" s="173" t="s">
        <v>16</v>
      </c>
      <c r="G1647" s="87" t="b">
        <v>1</v>
      </c>
      <c r="H1647" s="87" t="b">
        <v>1</v>
      </c>
      <c r="I1647" s="87" t="b">
        <v>0</v>
      </c>
      <c r="J1647" s="173" t="s">
        <v>470</v>
      </c>
      <c r="K1647" s="174">
        <v>60777901000116</v>
      </c>
      <c r="L1647" s="173" t="s">
        <v>616</v>
      </c>
      <c r="M1647" s="173" t="s">
        <v>29</v>
      </c>
      <c r="N1647" s="173" t="s">
        <v>19</v>
      </c>
      <c r="O1647" s="87">
        <v>70</v>
      </c>
      <c r="P1647" s="173" t="s">
        <v>20</v>
      </c>
      <c r="Q1647" s="1" t="s">
        <v>1338</v>
      </c>
      <c r="R1647" s="175">
        <v>1400</v>
      </c>
      <c r="S1647">
        <v>280</v>
      </c>
    </row>
    <row r="1648" spans="1:19" x14ac:dyDescent="0.25">
      <c r="A1648" s="87">
        <v>2019</v>
      </c>
      <c r="B1648" s="87">
        <v>9</v>
      </c>
      <c r="C1648" s="173" t="s">
        <v>16</v>
      </c>
      <c r="D1648" s="173" t="s">
        <v>22</v>
      </c>
      <c r="E1648" s="173" t="s">
        <v>18</v>
      </c>
      <c r="F1648" s="173" t="s">
        <v>16</v>
      </c>
      <c r="G1648" s="87" t="b">
        <v>1</v>
      </c>
      <c r="H1648" s="87" t="b">
        <v>1</v>
      </c>
      <c r="I1648" s="87" t="b">
        <v>0</v>
      </c>
      <c r="J1648" s="173" t="s">
        <v>470</v>
      </c>
      <c r="K1648" s="174">
        <v>60884855000316</v>
      </c>
      <c r="L1648" s="173" t="s">
        <v>617</v>
      </c>
      <c r="M1648" s="173" t="s">
        <v>29</v>
      </c>
      <c r="N1648" s="173" t="s">
        <v>19</v>
      </c>
      <c r="O1648" s="87">
        <v>62</v>
      </c>
      <c r="P1648" s="173" t="s">
        <v>27</v>
      </c>
      <c r="Q1648" s="1" t="s">
        <v>1343</v>
      </c>
      <c r="R1648" s="175">
        <v>19</v>
      </c>
      <c r="S1648">
        <v>19</v>
      </c>
    </row>
    <row r="1649" spans="1:19" x14ac:dyDescent="0.25">
      <c r="A1649" s="87">
        <v>2019</v>
      </c>
      <c r="B1649" s="87">
        <v>9</v>
      </c>
      <c r="C1649" s="173" t="s">
        <v>16</v>
      </c>
      <c r="D1649" s="173" t="s">
        <v>22</v>
      </c>
      <c r="E1649" s="173" t="s">
        <v>18</v>
      </c>
      <c r="F1649" s="173" t="s">
        <v>16</v>
      </c>
      <c r="G1649" s="87" t="b">
        <v>1</v>
      </c>
      <c r="H1649" s="87" t="b">
        <v>1</v>
      </c>
      <c r="I1649" s="87" t="b">
        <v>0</v>
      </c>
      <c r="J1649" s="173" t="s">
        <v>470</v>
      </c>
      <c r="K1649" s="174">
        <v>60884855000316</v>
      </c>
      <c r="L1649" s="173" t="s">
        <v>617</v>
      </c>
      <c r="M1649" s="173" t="s">
        <v>29</v>
      </c>
      <c r="N1649" s="173" t="s">
        <v>19</v>
      </c>
      <c r="O1649" s="87">
        <v>64</v>
      </c>
      <c r="P1649" s="173" t="s">
        <v>25</v>
      </c>
      <c r="Q1649" s="1" t="s">
        <v>1344</v>
      </c>
      <c r="R1649" s="175">
        <v>14</v>
      </c>
      <c r="S1649">
        <v>14</v>
      </c>
    </row>
    <row r="1650" spans="1:19" x14ac:dyDescent="0.25">
      <c r="A1650" s="87">
        <v>2019</v>
      </c>
      <c r="B1650" s="87">
        <v>9</v>
      </c>
      <c r="C1650" s="173" t="s">
        <v>16</v>
      </c>
      <c r="D1650" s="173" t="s">
        <v>22</v>
      </c>
      <c r="E1650" s="173" t="s">
        <v>18</v>
      </c>
      <c r="F1650" s="173" t="s">
        <v>16</v>
      </c>
      <c r="G1650" s="87" t="b">
        <v>1</v>
      </c>
      <c r="H1650" s="87" t="b">
        <v>1</v>
      </c>
      <c r="I1650" s="87" t="b">
        <v>0</v>
      </c>
      <c r="J1650" s="173" t="s">
        <v>470</v>
      </c>
      <c r="K1650" s="174">
        <v>60884855000316</v>
      </c>
      <c r="L1650" s="173" t="s">
        <v>617</v>
      </c>
      <c r="M1650" s="173" t="s">
        <v>29</v>
      </c>
      <c r="N1650" s="173" t="s">
        <v>19</v>
      </c>
      <c r="O1650" s="87">
        <v>70</v>
      </c>
      <c r="P1650" s="173" t="s">
        <v>20</v>
      </c>
      <c r="Q1650" s="1" t="s">
        <v>1338</v>
      </c>
      <c r="R1650" s="175">
        <v>2130</v>
      </c>
      <c r="S1650">
        <v>426</v>
      </c>
    </row>
    <row r="1651" spans="1:19" x14ac:dyDescent="0.25">
      <c r="A1651" s="87">
        <v>2019</v>
      </c>
      <c r="B1651" s="87">
        <v>9</v>
      </c>
      <c r="C1651" s="173" t="s">
        <v>16</v>
      </c>
      <c r="D1651" s="173" t="s">
        <v>22</v>
      </c>
      <c r="E1651" s="173" t="s">
        <v>18</v>
      </c>
      <c r="F1651" s="173" t="s">
        <v>16</v>
      </c>
      <c r="G1651" s="87" t="b">
        <v>1</v>
      </c>
      <c r="H1651" s="87" t="b">
        <v>1</v>
      </c>
      <c r="I1651" s="87" t="b">
        <v>0</v>
      </c>
      <c r="J1651" s="173" t="s">
        <v>470</v>
      </c>
      <c r="K1651" s="174">
        <v>60884855000316</v>
      </c>
      <c r="L1651" s="173" t="s">
        <v>617</v>
      </c>
      <c r="M1651" s="173" t="s">
        <v>29</v>
      </c>
      <c r="N1651" s="173" t="s">
        <v>19</v>
      </c>
      <c r="O1651" s="87">
        <v>73</v>
      </c>
      <c r="P1651" s="173" t="s">
        <v>26</v>
      </c>
      <c r="Q1651" s="1" t="s">
        <v>1339</v>
      </c>
      <c r="R1651" s="175">
        <v>8</v>
      </c>
      <c r="S1651">
        <v>4</v>
      </c>
    </row>
    <row r="1652" spans="1:19" x14ac:dyDescent="0.25">
      <c r="A1652" s="87">
        <v>2019</v>
      </c>
      <c r="B1652" s="87">
        <v>9</v>
      </c>
      <c r="C1652" s="173" t="s">
        <v>16</v>
      </c>
      <c r="D1652" s="173" t="s">
        <v>22</v>
      </c>
      <c r="E1652" s="173" t="s">
        <v>18</v>
      </c>
      <c r="F1652" s="173" t="s">
        <v>16</v>
      </c>
      <c r="G1652" s="87" t="b">
        <v>1</v>
      </c>
      <c r="H1652" s="87" t="b">
        <v>1</v>
      </c>
      <c r="I1652" s="87" t="b">
        <v>0</v>
      </c>
      <c r="J1652" s="173" t="s">
        <v>463</v>
      </c>
      <c r="K1652" s="174">
        <v>60884855000316</v>
      </c>
      <c r="L1652" s="173" t="s">
        <v>617</v>
      </c>
      <c r="M1652" s="173" t="s">
        <v>29</v>
      </c>
      <c r="N1652" s="173" t="s">
        <v>19</v>
      </c>
      <c r="O1652" s="87">
        <v>73</v>
      </c>
      <c r="P1652" s="173" t="s">
        <v>26</v>
      </c>
      <c r="Q1652" s="1" t="s">
        <v>1339</v>
      </c>
      <c r="R1652" s="175">
        <v>8</v>
      </c>
      <c r="S1652">
        <v>4</v>
      </c>
    </row>
    <row r="1653" spans="1:19" x14ac:dyDescent="0.25">
      <c r="A1653" s="87">
        <v>2019</v>
      </c>
      <c r="B1653" s="87">
        <v>9</v>
      </c>
      <c r="C1653" s="173" t="s">
        <v>16</v>
      </c>
      <c r="D1653" s="173" t="s">
        <v>22</v>
      </c>
      <c r="E1653" s="173" t="s">
        <v>18</v>
      </c>
      <c r="F1653" s="173" t="s">
        <v>16</v>
      </c>
      <c r="G1653" s="87" t="b">
        <v>1</v>
      </c>
      <c r="H1653" s="87" t="b">
        <v>1</v>
      </c>
      <c r="I1653" s="87" t="b">
        <v>0</v>
      </c>
      <c r="J1653" s="173" t="s">
        <v>491</v>
      </c>
      <c r="K1653" s="174">
        <v>60884855000316</v>
      </c>
      <c r="L1653" s="173" t="s">
        <v>617</v>
      </c>
      <c r="M1653" s="173" t="s">
        <v>29</v>
      </c>
      <c r="N1653" s="173" t="s">
        <v>19</v>
      </c>
      <c r="O1653" s="87">
        <v>73</v>
      </c>
      <c r="P1653" s="173" t="s">
        <v>26</v>
      </c>
      <c r="Q1653" s="1" t="s">
        <v>1339</v>
      </c>
      <c r="R1653" s="175">
        <v>8</v>
      </c>
      <c r="S1653">
        <v>4</v>
      </c>
    </row>
    <row r="1654" spans="1:19" x14ac:dyDescent="0.25">
      <c r="A1654" s="87">
        <v>2019</v>
      </c>
      <c r="B1654" s="87">
        <v>9</v>
      </c>
      <c r="C1654" s="173" t="s">
        <v>16</v>
      </c>
      <c r="D1654" s="173" t="s">
        <v>22</v>
      </c>
      <c r="E1654" s="173" t="s">
        <v>18</v>
      </c>
      <c r="F1654" s="173" t="s">
        <v>16</v>
      </c>
      <c r="G1654" s="87" t="b">
        <v>1</v>
      </c>
      <c r="H1654" s="87" t="b">
        <v>1</v>
      </c>
      <c r="I1654" s="87" t="b">
        <v>0</v>
      </c>
      <c r="J1654" s="173" t="s">
        <v>470</v>
      </c>
      <c r="K1654" s="174">
        <v>60884855001207</v>
      </c>
      <c r="L1654" s="173" t="s">
        <v>1065</v>
      </c>
      <c r="M1654" s="173" t="s">
        <v>1039</v>
      </c>
      <c r="N1654" s="173" t="s">
        <v>61</v>
      </c>
      <c r="O1654" s="87">
        <v>62</v>
      </c>
      <c r="P1654" s="173" t="s">
        <v>27</v>
      </c>
      <c r="Q1654" s="1" t="s">
        <v>1343</v>
      </c>
      <c r="R1654" s="175">
        <v>13</v>
      </c>
      <c r="S1654">
        <v>13</v>
      </c>
    </row>
    <row r="1655" spans="1:19" x14ac:dyDescent="0.25">
      <c r="A1655" s="87">
        <v>2019</v>
      </c>
      <c r="B1655" s="87">
        <v>9</v>
      </c>
      <c r="C1655" s="173" t="s">
        <v>16</v>
      </c>
      <c r="D1655" s="173" t="s">
        <v>22</v>
      </c>
      <c r="E1655" s="173" t="s">
        <v>18</v>
      </c>
      <c r="F1655" s="173" t="s">
        <v>16</v>
      </c>
      <c r="G1655" s="87" t="b">
        <v>1</v>
      </c>
      <c r="H1655" s="87" t="b">
        <v>1</v>
      </c>
      <c r="I1655" s="87" t="b">
        <v>0</v>
      </c>
      <c r="J1655" s="173" t="s">
        <v>470</v>
      </c>
      <c r="K1655" s="174">
        <v>60884855001207</v>
      </c>
      <c r="L1655" s="173" t="s">
        <v>1065</v>
      </c>
      <c r="M1655" s="173" t="s">
        <v>1039</v>
      </c>
      <c r="N1655" s="173" t="s">
        <v>61</v>
      </c>
      <c r="O1655" s="87">
        <v>70</v>
      </c>
      <c r="P1655" s="173" t="s">
        <v>20</v>
      </c>
      <c r="Q1655" s="1" t="s">
        <v>1338</v>
      </c>
      <c r="R1655" s="175">
        <v>790</v>
      </c>
      <c r="S1655">
        <v>158</v>
      </c>
    </row>
    <row r="1656" spans="1:19" x14ac:dyDescent="0.25">
      <c r="A1656" s="87">
        <v>2019</v>
      </c>
      <c r="B1656" s="87">
        <v>9</v>
      </c>
      <c r="C1656" s="173" t="s">
        <v>16</v>
      </c>
      <c r="D1656" s="173" t="s">
        <v>22</v>
      </c>
      <c r="E1656" s="173" t="s">
        <v>18</v>
      </c>
      <c r="F1656" s="173" t="s">
        <v>16</v>
      </c>
      <c r="G1656" s="87" t="b">
        <v>1</v>
      </c>
      <c r="H1656" s="87" t="b">
        <v>1</v>
      </c>
      <c r="I1656" s="87" t="b">
        <v>0</v>
      </c>
      <c r="J1656" s="173" t="s">
        <v>470</v>
      </c>
      <c r="K1656" s="174">
        <v>60884855001207</v>
      </c>
      <c r="L1656" s="173" t="s">
        <v>1065</v>
      </c>
      <c r="M1656" s="173" t="s">
        <v>1039</v>
      </c>
      <c r="N1656" s="173" t="s">
        <v>61</v>
      </c>
      <c r="O1656" s="87">
        <v>73</v>
      </c>
      <c r="P1656" s="173" t="s">
        <v>26</v>
      </c>
      <c r="Q1656" s="1" t="s">
        <v>1340</v>
      </c>
      <c r="R1656" s="175">
        <v>1</v>
      </c>
      <c r="S1656">
        <v>1</v>
      </c>
    </row>
    <row r="1657" spans="1:19" x14ac:dyDescent="0.25">
      <c r="A1657" s="87">
        <v>2019</v>
      </c>
      <c r="B1657" s="87">
        <v>9</v>
      </c>
      <c r="C1657" s="173" t="s">
        <v>16</v>
      </c>
      <c r="D1657" s="173" t="s">
        <v>22</v>
      </c>
      <c r="E1657" s="173" t="s">
        <v>18</v>
      </c>
      <c r="F1657" s="173" t="s">
        <v>16</v>
      </c>
      <c r="G1657" s="87" t="b">
        <v>1</v>
      </c>
      <c r="H1657" s="87" t="b">
        <v>1</v>
      </c>
      <c r="I1657" s="87" t="b">
        <v>0</v>
      </c>
      <c r="J1657" s="173" t="s">
        <v>450</v>
      </c>
      <c r="K1657" s="174">
        <v>60884855001207</v>
      </c>
      <c r="L1657" s="173" t="s">
        <v>1065</v>
      </c>
      <c r="M1657" s="173" t="s">
        <v>1039</v>
      </c>
      <c r="N1657" s="173" t="s">
        <v>61</v>
      </c>
      <c r="O1657" s="87">
        <v>73</v>
      </c>
      <c r="P1657" s="173" t="s">
        <v>26</v>
      </c>
      <c r="Q1657" s="1" t="s">
        <v>1340</v>
      </c>
      <c r="R1657" s="175">
        <v>1</v>
      </c>
      <c r="S1657">
        <v>1</v>
      </c>
    </row>
    <row r="1658" spans="1:19" x14ac:dyDescent="0.25">
      <c r="A1658" s="87">
        <v>2019</v>
      </c>
      <c r="B1658" s="87">
        <v>9</v>
      </c>
      <c r="C1658" s="173" t="s">
        <v>16</v>
      </c>
      <c r="D1658" s="173" t="s">
        <v>22</v>
      </c>
      <c r="E1658" s="173" t="s">
        <v>18</v>
      </c>
      <c r="F1658" s="173" t="s">
        <v>16</v>
      </c>
      <c r="G1658" s="87" t="b">
        <v>1</v>
      </c>
      <c r="H1658" s="87" t="b">
        <v>1</v>
      </c>
      <c r="I1658" s="87" t="b">
        <v>0</v>
      </c>
      <c r="J1658" s="173" t="s">
        <v>491</v>
      </c>
      <c r="K1658" s="174">
        <v>60884855001207</v>
      </c>
      <c r="L1658" s="173" t="s">
        <v>1065</v>
      </c>
      <c r="M1658" s="173" t="s">
        <v>1039</v>
      </c>
      <c r="N1658" s="173" t="s">
        <v>61</v>
      </c>
      <c r="O1658" s="87">
        <v>73</v>
      </c>
      <c r="P1658" s="173" t="s">
        <v>26</v>
      </c>
      <c r="Q1658" s="1" t="s">
        <v>1339</v>
      </c>
      <c r="R1658" s="175">
        <v>38</v>
      </c>
      <c r="S1658">
        <v>19</v>
      </c>
    </row>
    <row r="1659" spans="1:19" x14ac:dyDescent="0.25">
      <c r="A1659" s="87">
        <v>2019</v>
      </c>
      <c r="B1659" s="87">
        <v>9</v>
      </c>
      <c r="C1659" s="173" t="s">
        <v>16</v>
      </c>
      <c r="D1659" s="173" t="s">
        <v>22</v>
      </c>
      <c r="E1659" s="173" t="s">
        <v>18</v>
      </c>
      <c r="F1659" s="173" t="s">
        <v>16</v>
      </c>
      <c r="G1659" s="87" t="b">
        <v>1</v>
      </c>
      <c r="H1659" s="87" t="b">
        <v>1</v>
      </c>
      <c r="I1659" s="87" t="b">
        <v>0</v>
      </c>
      <c r="J1659" s="173" t="s">
        <v>470</v>
      </c>
      <c r="K1659" s="174">
        <v>60884855001630</v>
      </c>
      <c r="L1659" s="173" t="s">
        <v>1124</v>
      </c>
      <c r="M1659" s="173" t="s">
        <v>131</v>
      </c>
      <c r="N1659" s="173" t="s">
        <v>61</v>
      </c>
      <c r="O1659" s="87">
        <v>62</v>
      </c>
      <c r="P1659" s="173" t="s">
        <v>27</v>
      </c>
      <c r="Q1659" s="1" t="s">
        <v>1343</v>
      </c>
      <c r="R1659" s="175">
        <v>5</v>
      </c>
      <c r="S1659">
        <v>5</v>
      </c>
    </row>
    <row r="1660" spans="1:19" x14ac:dyDescent="0.25">
      <c r="A1660" s="87">
        <v>2019</v>
      </c>
      <c r="B1660" s="87">
        <v>9</v>
      </c>
      <c r="C1660" s="173" t="s">
        <v>16</v>
      </c>
      <c r="D1660" s="173" t="s">
        <v>22</v>
      </c>
      <c r="E1660" s="173" t="s">
        <v>18</v>
      </c>
      <c r="F1660" s="173" t="s">
        <v>16</v>
      </c>
      <c r="G1660" s="87" t="b">
        <v>1</v>
      </c>
      <c r="H1660" s="87" t="b">
        <v>1</v>
      </c>
      <c r="I1660" s="87" t="b">
        <v>0</v>
      </c>
      <c r="J1660" s="173" t="s">
        <v>470</v>
      </c>
      <c r="K1660" s="174">
        <v>60884855001630</v>
      </c>
      <c r="L1660" s="173" t="s">
        <v>1124</v>
      </c>
      <c r="M1660" s="173" t="s">
        <v>131</v>
      </c>
      <c r="N1660" s="173" t="s">
        <v>61</v>
      </c>
      <c r="O1660" s="87">
        <v>64</v>
      </c>
      <c r="P1660" s="173" t="s">
        <v>25</v>
      </c>
      <c r="Q1660" s="1" t="s">
        <v>1344</v>
      </c>
      <c r="R1660" s="175">
        <v>7</v>
      </c>
      <c r="S1660">
        <v>7</v>
      </c>
    </row>
    <row r="1661" spans="1:19" x14ac:dyDescent="0.25">
      <c r="A1661" s="87">
        <v>2019</v>
      </c>
      <c r="B1661" s="87">
        <v>9</v>
      </c>
      <c r="C1661" s="173" t="s">
        <v>16</v>
      </c>
      <c r="D1661" s="173" t="s">
        <v>22</v>
      </c>
      <c r="E1661" s="173" t="s">
        <v>18</v>
      </c>
      <c r="F1661" s="173" t="s">
        <v>16</v>
      </c>
      <c r="G1661" s="87" t="b">
        <v>1</v>
      </c>
      <c r="H1661" s="87" t="b">
        <v>1</v>
      </c>
      <c r="I1661" s="87" t="b">
        <v>0</v>
      </c>
      <c r="J1661" s="173" t="s">
        <v>470</v>
      </c>
      <c r="K1661" s="174">
        <v>60884855001630</v>
      </c>
      <c r="L1661" s="173" t="s">
        <v>1124</v>
      </c>
      <c r="M1661" s="173" t="s">
        <v>131</v>
      </c>
      <c r="N1661" s="173" t="s">
        <v>61</v>
      </c>
      <c r="O1661" s="87">
        <v>70</v>
      </c>
      <c r="P1661" s="173" t="s">
        <v>20</v>
      </c>
      <c r="Q1661" s="1" t="s">
        <v>1338</v>
      </c>
      <c r="R1661" s="175">
        <v>385</v>
      </c>
      <c r="S1661">
        <v>77</v>
      </c>
    </row>
    <row r="1662" spans="1:19" x14ac:dyDescent="0.25">
      <c r="A1662" s="87">
        <v>2019</v>
      </c>
      <c r="B1662" s="87">
        <v>9</v>
      </c>
      <c r="C1662" s="173" t="s">
        <v>16</v>
      </c>
      <c r="D1662" s="173" t="s">
        <v>22</v>
      </c>
      <c r="E1662" s="173" t="s">
        <v>18</v>
      </c>
      <c r="F1662" s="173" t="s">
        <v>16</v>
      </c>
      <c r="G1662" s="87" t="b">
        <v>1</v>
      </c>
      <c r="H1662" s="87" t="b">
        <v>1</v>
      </c>
      <c r="I1662" s="87" t="b">
        <v>0</v>
      </c>
      <c r="J1662" s="173" t="s">
        <v>470</v>
      </c>
      <c r="K1662" s="174">
        <v>60884855001983</v>
      </c>
      <c r="L1662" s="173" t="s">
        <v>919</v>
      </c>
      <c r="M1662" s="173" t="s">
        <v>739</v>
      </c>
      <c r="N1662" s="173" t="s">
        <v>55</v>
      </c>
      <c r="O1662" s="87">
        <v>62</v>
      </c>
      <c r="P1662" s="173" t="s">
        <v>27</v>
      </c>
      <c r="Q1662" s="1" t="s">
        <v>1343</v>
      </c>
      <c r="R1662" s="175">
        <v>1</v>
      </c>
      <c r="S1662">
        <v>1</v>
      </c>
    </row>
    <row r="1663" spans="1:19" x14ac:dyDescent="0.25">
      <c r="A1663" s="87">
        <v>2019</v>
      </c>
      <c r="B1663" s="87">
        <v>9</v>
      </c>
      <c r="C1663" s="173" t="s">
        <v>16</v>
      </c>
      <c r="D1663" s="173" t="s">
        <v>22</v>
      </c>
      <c r="E1663" s="173" t="s">
        <v>18</v>
      </c>
      <c r="F1663" s="173" t="s">
        <v>16</v>
      </c>
      <c r="G1663" s="87" t="b">
        <v>1</v>
      </c>
      <c r="H1663" s="87" t="b">
        <v>1</v>
      </c>
      <c r="I1663" s="87" t="b">
        <v>0</v>
      </c>
      <c r="J1663" s="173" t="s">
        <v>470</v>
      </c>
      <c r="K1663" s="174">
        <v>60884855002289</v>
      </c>
      <c r="L1663" s="173" t="s">
        <v>920</v>
      </c>
      <c r="M1663" s="173" t="s">
        <v>739</v>
      </c>
      <c r="N1663" s="173" t="s">
        <v>55</v>
      </c>
      <c r="O1663" s="87">
        <v>62</v>
      </c>
      <c r="P1663" s="173" t="s">
        <v>27</v>
      </c>
      <c r="Q1663" s="1" t="s">
        <v>1343</v>
      </c>
      <c r="R1663" s="175">
        <v>38</v>
      </c>
      <c r="S1663">
        <v>38</v>
      </c>
    </row>
    <row r="1664" spans="1:19" x14ac:dyDescent="0.25">
      <c r="A1664" s="87">
        <v>2019</v>
      </c>
      <c r="B1664" s="87">
        <v>9</v>
      </c>
      <c r="C1664" s="173" t="s">
        <v>16</v>
      </c>
      <c r="D1664" s="173" t="s">
        <v>22</v>
      </c>
      <c r="E1664" s="173" t="s">
        <v>18</v>
      </c>
      <c r="F1664" s="173" t="s">
        <v>16</v>
      </c>
      <c r="G1664" s="87" t="b">
        <v>1</v>
      </c>
      <c r="H1664" s="87" t="b">
        <v>1</v>
      </c>
      <c r="I1664" s="87" t="b">
        <v>0</v>
      </c>
      <c r="J1664" s="173" t="s">
        <v>470</v>
      </c>
      <c r="K1664" s="174">
        <v>60884855002289</v>
      </c>
      <c r="L1664" s="173" t="s">
        <v>920</v>
      </c>
      <c r="M1664" s="173" t="s">
        <v>739</v>
      </c>
      <c r="N1664" s="173" t="s">
        <v>55</v>
      </c>
      <c r="O1664" s="87">
        <v>64</v>
      </c>
      <c r="P1664" s="173" t="s">
        <v>25</v>
      </c>
      <c r="Q1664" s="1" t="s">
        <v>1344</v>
      </c>
      <c r="R1664" s="175">
        <v>61</v>
      </c>
      <c r="S1664">
        <v>61</v>
      </c>
    </row>
    <row r="1665" spans="1:19" x14ac:dyDescent="0.25">
      <c r="A1665" s="87">
        <v>2019</v>
      </c>
      <c r="B1665" s="87">
        <v>9</v>
      </c>
      <c r="C1665" s="173" t="s">
        <v>16</v>
      </c>
      <c r="D1665" s="173" t="s">
        <v>22</v>
      </c>
      <c r="E1665" s="173" t="s">
        <v>18</v>
      </c>
      <c r="F1665" s="173" t="s">
        <v>16</v>
      </c>
      <c r="G1665" s="87" t="b">
        <v>1</v>
      </c>
      <c r="H1665" s="87" t="b">
        <v>1</v>
      </c>
      <c r="I1665" s="87" t="b">
        <v>0</v>
      </c>
      <c r="J1665" s="173" t="s">
        <v>470</v>
      </c>
      <c r="K1665" s="174">
        <v>60884855002289</v>
      </c>
      <c r="L1665" s="173" t="s">
        <v>920</v>
      </c>
      <c r="M1665" s="173" t="s">
        <v>739</v>
      </c>
      <c r="N1665" s="173" t="s">
        <v>55</v>
      </c>
      <c r="O1665" s="87">
        <v>70</v>
      </c>
      <c r="P1665" s="173" t="s">
        <v>20</v>
      </c>
      <c r="Q1665" s="1" t="s">
        <v>1338</v>
      </c>
      <c r="R1665" s="175">
        <v>650</v>
      </c>
      <c r="S1665">
        <v>130</v>
      </c>
    </row>
    <row r="1666" spans="1:19" x14ac:dyDescent="0.25">
      <c r="A1666" s="87">
        <v>2019</v>
      </c>
      <c r="B1666" s="87">
        <v>9</v>
      </c>
      <c r="C1666" s="173" t="s">
        <v>16</v>
      </c>
      <c r="D1666" s="173" t="s">
        <v>22</v>
      </c>
      <c r="E1666" s="173" t="s">
        <v>18</v>
      </c>
      <c r="F1666" s="173" t="s">
        <v>16</v>
      </c>
      <c r="G1666" s="87" t="b">
        <v>1</v>
      </c>
      <c r="H1666" s="87" t="b">
        <v>1</v>
      </c>
      <c r="I1666" s="87" t="b">
        <v>0</v>
      </c>
      <c r="J1666" s="173" t="s">
        <v>477</v>
      </c>
      <c r="K1666" s="174">
        <v>60922168000348</v>
      </c>
      <c r="L1666" s="173" t="s">
        <v>1125</v>
      </c>
      <c r="M1666" s="173" t="s">
        <v>131</v>
      </c>
      <c r="N1666" s="173" t="s">
        <v>61</v>
      </c>
      <c r="O1666" s="87">
        <v>62</v>
      </c>
      <c r="P1666" s="173" t="s">
        <v>27</v>
      </c>
      <c r="Q1666" s="1" t="s">
        <v>1343</v>
      </c>
      <c r="R1666" s="175">
        <v>6</v>
      </c>
      <c r="S1666">
        <v>6</v>
      </c>
    </row>
    <row r="1667" spans="1:19" x14ac:dyDescent="0.25">
      <c r="A1667" s="87">
        <v>2019</v>
      </c>
      <c r="B1667" s="87">
        <v>9</v>
      </c>
      <c r="C1667" s="173" t="s">
        <v>16</v>
      </c>
      <c r="D1667" s="173" t="s">
        <v>22</v>
      </c>
      <c r="E1667" s="173" t="s">
        <v>18</v>
      </c>
      <c r="F1667" s="173" t="s">
        <v>16</v>
      </c>
      <c r="G1667" s="87" t="b">
        <v>1</v>
      </c>
      <c r="H1667" s="87" t="b">
        <v>1</v>
      </c>
      <c r="I1667" s="87" t="b">
        <v>0</v>
      </c>
      <c r="J1667" s="173" t="s">
        <v>477</v>
      </c>
      <c r="K1667" s="174">
        <v>60922168000348</v>
      </c>
      <c r="L1667" s="173" t="s">
        <v>1125</v>
      </c>
      <c r="M1667" s="173" t="s">
        <v>131</v>
      </c>
      <c r="N1667" s="173" t="s">
        <v>61</v>
      </c>
      <c r="O1667" s="87">
        <v>64</v>
      </c>
      <c r="P1667" s="173" t="s">
        <v>25</v>
      </c>
      <c r="Q1667" s="1" t="s">
        <v>1344</v>
      </c>
      <c r="R1667" s="175">
        <v>3</v>
      </c>
      <c r="S1667">
        <v>3</v>
      </c>
    </row>
    <row r="1668" spans="1:19" x14ac:dyDescent="0.25">
      <c r="A1668" s="87">
        <v>2019</v>
      </c>
      <c r="B1668" s="87">
        <v>9</v>
      </c>
      <c r="C1668" s="173" t="s">
        <v>16</v>
      </c>
      <c r="D1668" s="173" t="s">
        <v>22</v>
      </c>
      <c r="E1668" s="173" t="s">
        <v>18</v>
      </c>
      <c r="F1668" s="173" t="s">
        <v>16</v>
      </c>
      <c r="G1668" s="87" t="b">
        <v>1</v>
      </c>
      <c r="H1668" s="87" t="b">
        <v>1</v>
      </c>
      <c r="I1668" s="87" t="b">
        <v>0</v>
      </c>
      <c r="J1668" s="173" t="s">
        <v>477</v>
      </c>
      <c r="K1668" s="174">
        <v>60922168000348</v>
      </c>
      <c r="L1668" s="173" t="s">
        <v>1125</v>
      </c>
      <c r="M1668" s="173" t="s">
        <v>131</v>
      </c>
      <c r="N1668" s="173" t="s">
        <v>61</v>
      </c>
      <c r="O1668" s="87">
        <v>70</v>
      </c>
      <c r="P1668" s="173" t="s">
        <v>20</v>
      </c>
      <c r="Q1668" s="1" t="s">
        <v>1338</v>
      </c>
      <c r="R1668" s="175">
        <v>130</v>
      </c>
      <c r="S1668">
        <v>26</v>
      </c>
    </row>
    <row r="1669" spans="1:19" x14ac:dyDescent="0.25">
      <c r="A1669" s="87">
        <v>2019</v>
      </c>
      <c r="B1669" s="87">
        <v>9</v>
      </c>
      <c r="C1669" s="173" t="s">
        <v>16</v>
      </c>
      <c r="D1669" s="173" t="s">
        <v>22</v>
      </c>
      <c r="E1669" s="173" t="s">
        <v>18</v>
      </c>
      <c r="F1669" s="173" t="s">
        <v>16</v>
      </c>
      <c r="G1669" s="87" t="b">
        <v>1</v>
      </c>
      <c r="H1669" s="87" t="b">
        <v>1</v>
      </c>
      <c r="I1669" s="87" t="b">
        <v>0</v>
      </c>
      <c r="J1669" s="173" t="s">
        <v>491</v>
      </c>
      <c r="K1669" s="174">
        <v>60922168000771</v>
      </c>
      <c r="L1669" s="173" t="s">
        <v>618</v>
      </c>
      <c r="M1669" s="173" t="s">
        <v>29</v>
      </c>
      <c r="N1669" s="173" t="s">
        <v>19</v>
      </c>
      <c r="O1669" s="87">
        <v>62</v>
      </c>
      <c r="P1669" s="173" t="s">
        <v>27</v>
      </c>
      <c r="Q1669" s="1" t="s">
        <v>1343</v>
      </c>
      <c r="R1669" s="175">
        <v>4</v>
      </c>
      <c r="S1669">
        <v>4</v>
      </c>
    </row>
    <row r="1670" spans="1:19" x14ac:dyDescent="0.25">
      <c r="A1670" s="87">
        <v>2019</v>
      </c>
      <c r="B1670" s="87">
        <v>9</v>
      </c>
      <c r="C1670" s="173" t="s">
        <v>16</v>
      </c>
      <c r="D1670" s="173" t="s">
        <v>22</v>
      </c>
      <c r="E1670" s="173" t="s">
        <v>18</v>
      </c>
      <c r="F1670" s="173" t="s">
        <v>16</v>
      </c>
      <c r="G1670" s="87" t="b">
        <v>1</v>
      </c>
      <c r="H1670" s="87" t="b">
        <v>1</v>
      </c>
      <c r="I1670" s="87" t="b">
        <v>0</v>
      </c>
      <c r="J1670" s="173" t="s">
        <v>470</v>
      </c>
      <c r="K1670" s="174">
        <v>60922168000771</v>
      </c>
      <c r="L1670" s="173" t="s">
        <v>618</v>
      </c>
      <c r="M1670" s="173" t="s">
        <v>29</v>
      </c>
      <c r="N1670" s="173" t="s">
        <v>19</v>
      </c>
      <c r="O1670" s="87">
        <v>73</v>
      </c>
      <c r="P1670" s="173" t="s">
        <v>26</v>
      </c>
      <c r="Q1670" s="1" t="s">
        <v>1339</v>
      </c>
      <c r="R1670" s="175">
        <v>6</v>
      </c>
      <c r="S1670">
        <v>3</v>
      </c>
    </row>
    <row r="1671" spans="1:19" x14ac:dyDescent="0.25">
      <c r="A1671" s="87">
        <v>2019</v>
      </c>
      <c r="B1671" s="87">
        <v>9</v>
      </c>
      <c r="C1671" s="173" t="s">
        <v>16</v>
      </c>
      <c r="D1671" s="173" t="s">
        <v>22</v>
      </c>
      <c r="E1671" s="173" t="s">
        <v>18</v>
      </c>
      <c r="F1671" s="173" t="s">
        <v>16</v>
      </c>
      <c r="G1671" s="87" t="b">
        <v>1</v>
      </c>
      <c r="H1671" s="87" t="b">
        <v>1</v>
      </c>
      <c r="I1671" s="87" t="b">
        <v>0</v>
      </c>
      <c r="J1671" s="173" t="s">
        <v>450</v>
      </c>
      <c r="K1671" s="174">
        <v>60922168000771</v>
      </c>
      <c r="L1671" s="173" t="s">
        <v>618</v>
      </c>
      <c r="M1671" s="173" t="s">
        <v>29</v>
      </c>
      <c r="N1671" s="173" t="s">
        <v>19</v>
      </c>
      <c r="O1671" s="87">
        <v>73</v>
      </c>
      <c r="P1671" s="173" t="s">
        <v>26</v>
      </c>
      <c r="Q1671" s="1" t="s">
        <v>1339</v>
      </c>
      <c r="R1671" s="175">
        <v>4</v>
      </c>
      <c r="S1671">
        <v>2</v>
      </c>
    </row>
    <row r="1672" spans="1:19" x14ac:dyDescent="0.25">
      <c r="A1672" s="87">
        <v>2019</v>
      </c>
      <c r="B1672" s="87">
        <v>9</v>
      </c>
      <c r="C1672" s="173" t="s">
        <v>16</v>
      </c>
      <c r="D1672" s="173" t="s">
        <v>22</v>
      </c>
      <c r="E1672" s="173" t="s">
        <v>18</v>
      </c>
      <c r="F1672" s="173" t="s">
        <v>16</v>
      </c>
      <c r="G1672" s="87" t="b">
        <v>1</v>
      </c>
      <c r="H1672" s="87" t="b">
        <v>1</v>
      </c>
      <c r="I1672" s="87" t="b">
        <v>0</v>
      </c>
      <c r="J1672" s="173" t="s">
        <v>450</v>
      </c>
      <c r="K1672" s="174">
        <v>60922168000771</v>
      </c>
      <c r="L1672" s="173" t="s">
        <v>618</v>
      </c>
      <c r="M1672" s="173" t="s">
        <v>29</v>
      </c>
      <c r="N1672" s="173" t="s">
        <v>19</v>
      </c>
      <c r="O1672" s="87">
        <v>73</v>
      </c>
      <c r="P1672" s="173" t="s">
        <v>26</v>
      </c>
      <c r="Q1672" s="1" t="s">
        <v>1340</v>
      </c>
      <c r="R1672" s="175">
        <v>2</v>
      </c>
      <c r="S1672">
        <v>2</v>
      </c>
    </row>
    <row r="1673" spans="1:19" x14ac:dyDescent="0.25">
      <c r="A1673" s="87">
        <v>2019</v>
      </c>
      <c r="B1673" s="87">
        <v>9</v>
      </c>
      <c r="C1673" s="173" t="s">
        <v>16</v>
      </c>
      <c r="D1673" s="173" t="s">
        <v>22</v>
      </c>
      <c r="E1673" s="173" t="s">
        <v>18</v>
      </c>
      <c r="F1673" s="173" t="s">
        <v>16</v>
      </c>
      <c r="G1673" s="87" t="b">
        <v>1</v>
      </c>
      <c r="H1673" s="87" t="b">
        <v>1</v>
      </c>
      <c r="I1673" s="87" t="b">
        <v>0</v>
      </c>
      <c r="J1673" s="173" t="s">
        <v>477</v>
      </c>
      <c r="K1673" s="174">
        <v>60922168000771</v>
      </c>
      <c r="L1673" s="173" t="s">
        <v>618</v>
      </c>
      <c r="M1673" s="173" t="s">
        <v>29</v>
      </c>
      <c r="N1673" s="173" t="s">
        <v>19</v>
      </c>
      <c r="O1673" s="87">
        <v>73</v>
      </c>
      <c r="P1673" s="173" t="s">
        <v>26</v>
      </c>
      <c r="Q1673" s="1" t="s">
        <v>1342</v>
      </c>
      <c r="R1673" s="175">
        <v>4</v>
      </c>
      <c r="S1673">
        <v>1</v>
      </c>
    </row>
    <row r="1674" spans="1:19" x14ac:dyDescent="0.25">
      <c r="A1674" s="87">
        <v>2019</v>
      </c>
      <c r="B1674" s="87">
        <v>9</v>
      </c>
      <c r="C1674" s="173" t="s">
        <v>16</v>
      </c>
      <c r="D1674" s="173" t="s">
        <v>22</v>
      </c>
      <c r="E1674" s="173" t="s">
        <v>18</v>
      </c>
      <c r="F1674" s="173" t="s">
        <v>16</v>
      </c>
      <c r="G1674" s="87" t="b">
        <v>1</v>
      </c>
      <c r="H1674" s="87" t="b">
        <v>1</v>
      </c>
      <c r="I1674" s="87" t="b">
        <v>0</v>
      </c>
      <c r="J1674" s="173" t="s">
        <v>477</v>
      </c>
      <c r="K1674" s="174">
        <v>60922168000771</v>
      </c>
      <c r="L1674" s="173" t="s">
        <v>618</v>
      </c>
      <c r="M1674" s="173" t="s">
        <v>29</v>
      </c>
      <c r="N1674" s="173" t="s">
        <v>19</v>
      </c>
      <c r="O1674" s="87">
        <v>73</v>
      </c>
      <c r="P1674" s="173" t="s">
        <v>26</v>
      </c>
      <c r="Q1674" s="1" t="s">
        <v>1340</v>
      </c>
      <c r="R1674" s="175">
        <v>1</v>
      </c>
      <c r="S1674">
        <v>1</v>
      </c>
    </row>
    <row r="1675" spans="1:19" x14ac:dyDescent="0.25">
      <c r="A1675" s="87">
        <v>2019</v>
      </c>
      <c r="B1675" s="87">
        <v>9</v>
      </c>
      <c r="C1675" s="173" t="s">
        <v>16</v>
      </c>
      <c r="D1675" s="173" t="s">
        <v>22</v>
      </c>
      <c r="E1675" s="173" t="s">
        <v>18</v>
      </c>
      <c r="F1675" s="173" t="s">
        <v>16</v>
      </c>
      <c r="G1675" s="87" t="b">
        <v>1</v>
      </c>
      <c r="H1675" s="87" t="b">
        <v>1</v>
      </c>
      <c r="I1675" s="87" t="b">
        <v>0</v>
      </c>
      <c r="J1675" s="173" t="s">
        <v>491</v>
      </c>
      <c r="K1675" s="174">
        <v>60922168000771</v>
      </c>
      <c r="L1675" s="173" t="s">
        <v>618</v>
      </c>
      <c r="M1675" s="173" t="s">
        <v>29</v>
      </c>
      <c r="N1675" s="173" t="s">
        <v>19</v>
      </c>
      <c r="O1675" s="87">
        <v>73</v>
      </c>
      <c r="P1675" s="173" t="s">
        <v>26</v>
      </c>
      <c r="Q1675" s="1" t="s">
        <v>1339</v>
      </c>
      <c r="R1675" s="175">
        <v>4</v>
      </c>
      <c r="S1675">
        <v>2</v>
      </c>
    </row>
    <row r="1676" spans="1:19" x14ac:dyDescent="0.25">
      <c r="A1676" s="87">
        <v>2019</v>
      </c>
      <c r="B1676" s="87">
        <v>9</v>
      </c>
      <c r="C1676" s="173" t="s">
        <v>16</v>
      </c>
      <c r="D1676" s="173" t="s">
        <v>22</v>
      </c>
      <c r="E1676" s="173" t="s">
        <v>18</v>
      </c>
      <c r="F1676" s="173" t="s">
        <v>16</v>
      </c>
      <c r="G1676" s="87" t="b">
        <v>1</v>
      </c>
      <c r="H1676" s="87" t="b">
        <v>1</v>
      </c>
      <c r="I1676" s="87" t="b">
        <v>0</v>
      </c>
      <c r="J1676" s="173" t="s">
        <v>491</v>
      </c>
      <c r="K1676" s="174">
        <v>60922168000771</v>
      </c>
      <c r="L1676" s="173" t="s">
        <v>618</v>
      </c>
      <c r="M1676" s="173" t="s">
        <v>29</v>
      </c>
      <c r="N1676" s="173" t="s">
        <v>19</v>
      </c>
      <c r="O1676" s="87">
        <v>73</v>
      </c>
      <c r="P1676" s="173" t="s">
        <v>26</v>
      </c>
      <c r="Q1676" s="1" t="s">
        <v>1340</v>
      </c>
      <c r="R1676" s="175">
        <v>2</v>
      </c>
      <c r="S1676">
        <v>2</v>
      </c>
    </row>
    <row r="1677" spans="1:19" x14ac:dyDescent="0.25">
      <c r="A1677" s="87">
        <v>2019</v>
      </c>
      <c r="B1677" s="87">
        <v>9</v>
      </c>
      <c r="C1677" s="173" t="s">
        <v>16</v>
      </c>
      <c r="D1677" s="173" t="s">
        <v>22</v>
      </c>
      <c r="E1677" s="173" t="s">
        <v>18</v>
      </c>
      <c r="F1677" s="173" t="s">
        <v>16</v>
      </c>
      <c r="G1677" s="87" t="b">
        <v>1</v>
      </c>
      <c r="H1677" s="87" t="b">
        <v>1</v>
      </c>
      <c r="I1677" s="87" t="b">
        <v>0</v>
      </c>
      <c r="J1677" s="173" t="s">
        <v>478</v>
      </c>
      <c r="K1677" s="174">
        <v>60922168004335</v>
      </c>
      <c r="L1677" s="173" t="s">
        <v>619</v>
      </c>
      <c r="M1677" s="173" t="s">
        <v>29</v>
      </c>
      <c r="N1677" s="173" t="s">
        <v>19</v>
      </c>
      <c r="O1677" s="87">
        <v>70</v>
      </c>
      <c r="P1677" s="173" t="s">
        <v>20</v>
      </c>
      <c r="Q1677" s="1" t="s">
        <v>1338</v>
      </c>
      <c r="R1677" s="175">
        <v>10</v>
      </c>
      <c r="S1677">
        <v>2</v>
      </c>
    </row>
    <row r="1678" spans="1:19" x14ac:dyDescent="0.25">
      <c r="A1678" s="87">
        <v>2019</v>
      </c>
      <c r="B1678" s="87">
        <v>9</v>
      </c>
      <c r="C1678" s="173" t="s">
        <v>16</v>
      </c>
      <c r="D1678" s="173" t="s">
        <v>22</v>
      </c>
      <c r="E1678" s="173" t="s">
        <v>18</v>
      </c>
      <c r="F1678" s="173" t="s">
        <v>16</v>
      </c>
      <c r="G1678" s="87" t="b">
        <v>1</v>
      </c>
      <c r="H1678" s="87" t="b">
        <v>1</v>
      </c>
      <c r="I1678" s="87" t="b">
        <v>0</v>
      </c>
      <c r="J1678" s="173" t="s">
        <v>452</v>
      </c>
      <c r="K1678" s="174">
        <v>60922168005226</v>
      </c>
      <c r="L1678" s="173" t="s">
        <v>977</v>
      </c>
      <c r="M1678" s="173" t="s">
        <v>93</v>
      </c>
      <c r="N1678" s="173" t="s">
        <v>68</v>
      </c>
      <c r="O1678" s="87">
        <v>64</v>
      </c>
      <c r="P1678" s="173" t="s">
        <v>25</v>
      </c>
      <c r="Q1678" s="1" t="s">
        <v>1344</v>
      </c>
      <c r="R1678" s="175">
        <v>1</v>
      </c>
      <c r="S1678">
        <v>1</v>
      </c>
    </row>
    <row r="1679" spans="1:19" x14ac:dyDescent="0.25">
      <c r="A1679" s="87">
        <v>2019</v>
      </c>
      <c r="B1679" s="87">
        <v>9</v>
      </c>
      <c r="C1679" s="173" t="s">
        <v>16</v>
      </c>
      <c r="D1679" s="173" t="s">
        <v>22</v>
      </c>
      <c r="E1679" s="173" t="s">
        <v>18</v>
      </c>
      <c r="F1679" s="173" t="s">
        <v>16</v>
      </c>
      <c r="G1679" s="87" t="b">
        <v>1</v>
      </c>
      <c r="H1679" s="87" t="b">
        <v>1</v>
      </c>
      <c r="I1679" s="87" t="b">
        <v>0</v>
      </c>
      <c r="J1679" s="173" t="s">
        <v>470</v>
      </c>
      <c r="K1679" s="174">
        <v>60961422000155</v>
      </c>
      <c r="L1679" s="173" t="s">
        <v>620</v>
      </c>
      <c r="M1679" s="173" t="s">
        <v>29</v>
      </c>
      <c r="N1679" s="173" t="s">
        <v>19</v>
      </c>
      <c r="O1679" s="87">
        <v>62</v>
      </c>
      <c r="P1679" s="173" t="s">
        <v>27</v>
      </c>
      <c r="Q1679" s="1" t="s">
        <v>1343</v>
      </c>
      <c r="R1679" s="175">
        <v>8</v>
      </c>
      <c r="S1679">
        <v>8</v>
      </c>
    </row>
    <row r="1680" spans="1:19" x14ac:dyDescent="0.25">
      <c r="A1680" s="87">
        <v>2019</v>
      </c>
      <c r="B1680" s="87">
        <v>9</v>
      </c>
      <c r="C1680" s="173" t="s">
        <v>16</v>
      </c>
      <c r="D1680" s="173" t="s">
        <v>22</v>
      </c>
      <c r="E1680" s="173" t="s">
        <v>18</v>
      </c>
      <c r="F1680" s="173" t="s">
        <v>16</v>
      </c>
      <c r="G1680" s="87" t="b">
        <v>1</v>
      </c>
      <c r="H1680" s="87" t="b">
        <v>1</v>
      </c>
      <c r="I1680" s="87" t="b">
        <v>0</v>
      </c>
      <c r="J1680" s="173" t="s">
        <v>450</v>
      </c>
      <c r="K1680" s="174">
        <v>60961422000155</v>
      </c>
      <c r="L1680" s="173" t="s">
        <v>620</v>
      </c>
      <c r="M1680" s="173" t="s">
        <v>29</v>
      </c>
      <c r="N1680" s="173" t="s">
        <v>19</v>
      </c>
      <c r="O1680" s="87">
        <v>64</v>
      </c>
      <c r="P1680" s="173" t="s">
        <v>25</v>
      </c>
      <c r="Q1680" s="1" t="s">
        <v>1344</v>
      </c>
      <c r="R1680" s="175">
        <v>6</v>
      </c>
      <c r="S1680">
        <v>6</v>
      </c>
    </row>
    <row r="1681" spans="1:19" x14ac:dyDescent="0.25">
      <c r="A1681" s="87">
        <v>2019</v>
      </c>
      <c r="B1681" s="87">
        <v>9</v>
      </c>
      <c r="C1681" s="173" t="s">
        <v>16</v>
      </c>
      <c r="D1681" s="173" t="s">
        <v>22</v>
      </c>
      <c r="E1681" s="173" t="s">
        <v>18</v>
      </c>
      <c r="F1681" s="173" t="s">
        <v>16</v>
      </c>
      <c r="G1681" s="87" t="b">
        <v>1</v>
      </c>
      <c r="H1681" s="87" t="b">
        <v>1</v>
      </c>
      <c r="I1681" s="87" t="b">
        <v>0</v>
      </c>
      <c r="J1681" s="173" t="s">
        <v>450</v>
      </c>
      <c r="K1681" s="174">
        <v>60961422000155</v>
      </c>
      <c r="L1681" s="173" t="s">
        <v>620</v>
      </c>
      <c r="M1681" s="173" t="s">
        <v>29</v>
      </c>
      <c r="N1681" s="173" t="s">
        <v>19</v>
      </c>
      <c r="O1681" s="87">
        <v>66</v>
      </c>
      <c r="P1681" s="173" t="s">
        <v>28</v>
      </c>
      <c r="Q1681" s="1" t="s">
        <v>1341</v>
      </c>
      <c r="R1681" s="175">
        <v>4</v>
      </c>
      <c r="S1681">
        <v>4</v>
      </c>
    </row>
    <row r="1682" spans="1:19" x14ac:dyDescent="0.25">
      <c r="A1682" s="87">
        <v>2019</v>
      </c>
      <c r="B1682" s="87">
        <v>9</v>
      </c>
      <c r="C1682" s="173" t="s">
        <v>16</v>
      </c>
      <c r="D1682" s="173" t="s">
        <v>22</v>
      </c>
      <c r="E1682" s="173" t="s">
        <v>18</v>
      </c>
      <c r="F1682" s="173" t="s">
        <v>16</v>
      </c>
      <c r="G1682" s="87" t="b">
        <v>1</v>
      </c>
      <c r="H1682" s="87" t="b">
        <v>1</v>
      </c>
      <c r="I1682" s="87" t="b">
        <v>0</v>
      </c>
      <c r="J1682" s="173" t="s">
        <v>470</v>
      </c>
      <c r="K1682" s="174">
        <v>60961422000155</v>
      </c>
      <c r="L1682" s="173" t="s">
        <v>620</v>
      </c>
      <c r="M1682" s="173" t="s">
        <v>29</v>
      </c>
      <c r="N1682" s="173" t="s">
        <v>19</v>
      </c>
      <c r="O1682" s="87">
        <v>70</v>
      </c>
      <c r="P1682" s="173" t="s">
        <v>20</v>
      </c>
      <c r="Q1682" s="1" t="s">
        <v>1338</v>
      </c>
      <c r="R1682" s="175">
        <v>20</v>
      </c>
      <c r="S1682">
        <v>4</v>
      </c>
    </row>
    <row r="1683" spans="1:19" x14ac:dyDescent="0.25">
      <c r="A1683" s="87">
        <v>2019</v>
      </c>
      <c r="B1683" s="87">
        <v>9</v>
      </c>
      <c r="C1683" s="173" t="s">
        <v>16</v>
      </c>
      <c r="D1683" s="173" t="s">
        <v>22</v>
      </c>
      <c r="E1683" s="173" t="s">
        <v>18</v>
      </c>
      <c r="F1683" s="173" t="s">
        <v>16</v>
      </c>
      <c r="G1683" s="87" t="b">
        <v>1</v>
      </c>
      <c r="H1683" s="87" t="b">
        <v>1</v>
      </c>
      <c r="I1683" s="87" t="b">
        <v>0</v>
      </c>
      <c r="J1683" s="173" t="s">
        <v>463</v>
      </c>
      <c r="K1683" s="174">
        <v>60961968000106</v>
      </c>
      <c r="L1683" s="173" t="s">
        <v>621</v>
      </c>
      <c r="M1683" s="173" t="s">
        <v>29</v>
      </c>
      <c r="N1683" s="173" t="s">
        <v>19</v>
      </c>
      <c r="O1683" s="87">
        <v>62</v>
      </c>
      <c r="P1683" s="173" t="s">
        <v>27</v>
      </c>
      <c r="Q1683" s="1" t="s">
        <v>1343</v>
      </c>
      <c r="R1683" s="175">
        <v>5</v>
      </c>
      <c r="S1683">
        <v>5</v>
      </c>
    </row>
    <row r="1684" spans="1:19" x14ac:dyDescent="0.25">
      <c r="A1684" s="87">
        <v>2019</v>
      </c>
      <c r="B1684" s="87">
        <v>9</v>
      </c>
      <c r="C1684" s="173" t="s">
        <v>16</v>
      </c>
      <c r="D1684" s="173" t="s">
        <v>22</v>
      </c>
      <c r="E1684" s="173" t="s">
        <v>18</v>
      </c>
      <c r="F1684" s="173" t="s">
        <v>16</v>
      </c>
      <c r="G1684" s="87" t="b">
        <v>1</v>
      </c>
      <c r="H1684" s="87" t="b">
        <v>1</v>
      </c>
      <c r="I1684" s="87" t="b">
        <v>0</v>
      </c>
      <c r="J1684" s="173" t="s">
        <v>463</v>
      </c>
      <c r="K1684" s="174">
        <v>60961968000106</v>
      </c>
      <c r="L1684" s="173" t="s">
        <v>621</v>
      </c>
      <c r="M1684" s="173" t="s">
        <v>29</v>
      </c>
      <c r="N1684" s="173" t="s">
        <v>19</v>
      </c>
      <c r="O1684" s="87">
        <v>64</v>
      </c>
      <c r="P1684" s="173" t="s">
        <v>25</v>
      </c>
      <c r="Q1684" s="1" t="s">
        <v>1344</v>
      </c>
      <c r="R1684" s="175">
        <v>40</v>
      </c>
      <c r="S1684">
        <v>40</v>
      </c>
    </row>
    <row r="1685" spans="1:19" x14ac:dyDescent="0.25">
      <c r="A1685" s="87">
        <v>2019</v>
      </c>
      <c r="B1685" s="87">
        <v>9</v>
      </c>
      <c r="C1685" s="173" t="s">
        <v>16</v>
      </c>
      <c r="D1685" s="173" t="s">
        <v>22</v>
      </c>
      <c r="E1685" s="173" t="s">
        <v>18</v>
      </c>
      <c r="F1685" s="173" t="s">
        <v>16</v>
      </c>
      <c r="G1685" s="87" t="b">
        <v>1</v>
      </c>
      <c r="H1685" s="87" t="b">
        <v>1</v>
      </c>
      <c r="I1685" s="87" t="b">
        <v>0</v>
      </c>
      <c r="J1685" s="173" t="s">
        <v>463</v>
      </c>
      <c r="K1685" s="174">
        <v>60961968000459</v>
      </c>
      <c r="L1685" s="173" t="s">
        <v>622</v>
      </c>
      <c r="M1685" s="173" t="s">
        <v>29</v>
      </c>
      <c r="N1685" s="173" t="s">
        <v>19</v>
      </c>
      <c r="O1685" s="87">
        <v>64</v>
      </c>
      <c r="P1685" s="173" t="s">
        <v>25</v>
      </c>
      <c r="Q1685" s="1" t="s">
        <v>1344</v>
      </c>
      <c r="R1685" s="175">
        <v>15</v>
      </c>
      <c r="S1685">
        <v>15</v>
      </c>
    </row>
    <row r="1686" spans="1:19" x14ac:dyDescent="0.25">
      <c r="A1686" s="87">
        <v>2019</v>
      </c>
      <c r="B1686" s="87">
        <v>9</v>
      </c>
      <c r="C1686" s="173" t="s">
        <v>16</v>
      </c>
      <c r="D1686" s="173" t="s">
        <v>22</v>
      </c>
      <c r="E1686" s="173" t="s">
        <v>18</v>
      </c>
      <c r="F1686" s="173" t="s">
        <v>16</v>
      </c>
      <c r="G1686" s="87" t="b">
        <v>1</v>
      </c>
      <c r="H1686" s="87" t="b">
        <v>1</v>
      </c>
      <c r="I1686" s="87" t="b">
        <v>0</v>
      </c>
      <c r="J1686" s="173" t="s">
        <v>463</v>
      </c>
      <c r="K1686" s="174">
        <v>60975737001204</v>
      </c>
      <c r="L1686" s="173" t="s">
        <v>625</v>
      </c>
      <c r="M1686" s="173" t="s">
        <v>29</v>
      </c>
      <c r="N1686" s="173" t="s">
        <v>19</v>
      </c>
      <c r="O1686" s="87">
        <v>64</v>
      </c>
      <c r="P1686" s="173" t="s">
        <v>25</v>
      </c>
      <c r="Q1686" s="1" t="s">
        <v>1344</v>
      </c>
      <c r="R1686" s="175">
        <v>13</v>
      </c>
      <c r="S1686">
        <v>13</v>
      </c>
    </row>
    <row r="1687" spans="1:19" x14ac:dyDescent="0.25">
      <c r="A1687" s="87">
        <v>2019</v>
      </c>
      <c r="B1687" s="87">
        <v>9</v>
      </c>
      <c r="C1687" s="173" t="s">
        <v>16</v>
      </c>
      <c r="D1687" s="173" t="s">
        <v>22</v>
      </c>
      <c r="E1687" s="173" t="s">
        <v>18</v>
      </c>
      <c r="F1687" s="173" t="s">
        <v>16</v>
      </c>
      <c r="G1687" s="87" t="b">
        <v>1</v>
      </c>
      <c r="H1687" s="87" t="b">
        <v>1</v>
      </c>
      <c r="I1687" s="87" t="b">
        <v>0</v>
      </c>
      <c r="J1687" s="173" t="s">
        <v>470</v>
      </c>
      <c r="K1687" s="174">
        <v>60975737003509</v>
      </c>
      <c r="L1687" s="173" t="s">
        <v>921</v>
      </c>
      <c r="M1687" s="173" t="s">
        <v>76</v>
      </c>
      <c r="N1687" s="173" t="s">
        <v>77</v>
      </c>
      <c r="O1687" s="87">
        <v>62</v>
      </c>
      <c r="P1687" s="173" t="s">
        <v>27</v>
      </c>
      <c r="Q1687" s="1" t="s">
        <v>1343</v>
      </c>
      <c r="R1687" s="175">
        <v>19</v>
      </c>
      <c r="S1687">
        <v>19</v>
      </c>
    </row>
    <row r="1688" spans="1:19" x14ac:dyDescent="0.25">
      <c r="A1688" s="87">
        <v>2019</v>
      </c>
      <c r="B1688" s="87">
        <v>9</v>
      </c>
      <c r="C1688" s="173" t="s">
        <v>16</v>
      </c>
      <c r="D1688" s="173" t="s">
        <v>22</v>
      </c>
      <c r="E1688" s="173" t="s">
        <v>18</v>
      </c>
      <c r="F1688" s="173" t="s">
        <v>16</v>
      </c>
      <c r="G1688" s="87" t="b">
        <v>1</v>
      </c>
      <c r="H1688" s="87" t="b">
        <v>1</v>
      </c>
      <c r="I1688" s="87" t="b">
        <v>0</v>
      </c>
      <c r="J1688" s="173" t="s">
        <v>460</v>
      </c>
      <c r="K1688" s="174">
        <v>60975737003509</v>
      </c>
      <c r="L1688" s="173" t="s">
        <v>921</v>
      </c>
      <c r="M1688" s="173" t="s">
        <v>76</v>
      </c>
      <c r="N1688" s="173" t="s">
        <v>77</v>
      </c>
      <c r="O1688" s="87">
        <v>64</v>
      </c>
      <c r="P1688" s="173" t="s">
        <v>25</v>
      </c>
      <c r="Q1688" s="1" t="s">
        <v>1344</v>
      </c>
      <c r="R1688" s="175">
        <v>4</v>
      </c>
      <c r="S1688">
        <v>4</v>
      </c>
    </row>
    <row r="1689" spans="1:19" x14ac:dyDescent="0.25">
      <c r="A1689" s="87">
        <v>2019</v>
      </c>
      <c r="B1689" s="87">
        <v>9</v>
      </c>
      <c r="C1689" s="173" t="s">
        <v>16</v>
      </c>
      <c r="D1689" s="173" t="s">
        <v>22</v>
      </c>
      <c r="E1689" s="173" t="s">
        <v>18</v>
      </c>
      <c r="F1689" s="173" t="s">
        <v>16</v>
      </c>
      <c r="G1689" s="87" t="b">
        <v>1</v>
      </c>
      <c r="H1689" s="87" t="b">
        <v>1</v>
      </c>
      <c r="I1689" s="87" t="b">
        <v>0</v>
      </c>
      <c r="J1689" s="173" t="s">
        <v>455</v>
      </c>
      <c r="K1689" s="174">
        <v>60975737003509</v>
      </c>
      <c r="L1689" s="173" t="s">
        <v>921</v>
      </c>
      <c r="M1689" s="173" t="s">
        <v>76</v>
      </c>
      <c r="N1689" s="173" t="s">
        <v>77</v>
      </c>
      <c r="O1689" s="87">
        <v>64</v>
      </c>
      <c r="P1689" s="173" t="s">
        <v>25</v>
      </c>
      <c r="Q1689" s="1" t="s">
        <v>1344</v>
      </c>
      <c r="R1689" s="175">
        <v>6</v>
      </c>
      <c r="S1689">
        <v>6</v>
      </c>
    </row>
    <row r="1690" spans="1:19" x14ac:dyDescent="0.25">
      <c r="A1690" s="87">
        <v>2019</v>
      </c>
      <c r="B1690" s="87">
        <v>9</v>
      </c>
      <c r="C1690" s="173" t="s">
        <v>16</v>
      </c>
      <c r="D1690" s="173" t="s">
        <v>22</v>
      </c>
      <c r="E1690" s="173" t="s">
        <v>18</v>
      </c>
      <c r="F1690" s="173" t="s">
        <v>16</v>
      </c>
      <c r="G1690" s="87" t="b">
        <v>1</v>
      </c>
      <c r="H1690" s="87" t="b">
        <v>1</v>
      </c>
      <c r="I1690" s="87" t="b">
        <v>0</v>
      </c>
      <c r="J1690" s="173" t="s">
        <v>463</v>
      </c>
      <c r="K1690" s="174">
        <v>60992427000650</v>
      </c>
      <c r="L1690" s="173" t="s">
        <v>627</v>
      </c>
      <c r="M1690" s="173" t="s">
        <v>29</v>
      </c>
      <c r="N1690" s="173" t="s">
        <v>19</v>
      </c>
      <c r="O1690" s="87">
        <v>62</v>
      </c>
      <c r="P1690" s="173" t="s">
        <v>27</v>
      </c>
      <c r="Q1690" s="1" t="s">
        <v>1343</v>
      </c>
      <c r="R1690" s="175">
        <v>3</v>
      </c>
      <c r="S1690">
        <v>3</v>
      </c>
    </row>
    <row r="1691" spans="1:19" x14ac:dyDescent="0.25">
      <c r="A1691" s="87">
        <v>2019</v>
      </c>
      <c r="B1691" s="87">
        <v>9</v>
      </c>
      <c r="C1691" s="173" t="s">
        <v>16</v>
      </c>
      <c r="D1691" s="173" t="s">
        <v>22</v>
      </c>
      <c r="E1691" s="173" t="s">
        <v>18</v>
      </c>
      <c r="F1691" s="173" t="s">
        <v>16</v>
      </c>
      <c r="G1691" s="87" t="b">
        <v>1</v>
      </c>
      <c r="H1691" s="87" t="b">
        <v>1</v>
      </c>
      <c r="I1691" s="87" t="b">
        <v>0</v>
      </c>
      <c r="J1691" s="173" t="s">
        <v>463</v>
      </c>
      <c r="K1691" s="174">
        <v>60992427000650</v>
      </c>
      <c r="L1691" s="173" t="s">
        <v>627</v>
      </c>
      <c r="M1691" s="173" t="s">
        <v>29</v>
      </c>
      <c r="N1691" s="173" t="s">
        <v>19</v>
      </c>
      <c r="O1691" s="87">
        <v>64</v>
      </c>
      <c r="P1691" s="173" t="s">
        <v>25</v>
      </c>
      <c r="Q1691" s="1" t="s">
        <v>1344</v>
      </c>
      <c r="R1691" s="175">
        <v>1</v>
      </c>
      <c r="S1691">
        <v>1</v>
      </c>
    </row>
    <row r="1692" spans="1:19" x14ac:dyDescent="0.25">
      <c r="A1692" s="87">
        <v>2019</v>
      </c>
      <c r="B1692" s="87">
        <v>9</v>
      </c>
      <c r="C1692" s="173" t="s">
        <v>16</v>
      </c>
      <c r="D1692" s="173" t="s">
        <v>22</v>
      </c>
      <c r="E1692" s="173" t="s">
        <v>18</v>
      </c>
      <c r="F1692" s="173" t="s">
        <v>16</v>
      </c>
      <c r="G1692" s="87" t="b">
        <v>1</v>
      </c>
      <c r="H1692" s="87" t="b">
        <v>1</v>
      </c>
      <c r="I1692" s="87" t="b">
        <v>0</v>
      </c>
      <c r="J1692" s="173" t="s">
        <v>450</v>
      </c>
      <c r="K1692" s="174">
        <v>61062212000198</v>
      </c>
      <c r="L1692" s="173" t="s">
        <v>628</v>
      </c>
      <c r="M1692" s="173" t="s">
        <v>29</v>
      </c>
      <c r="N1692" s="173" t="s">
        <v>19</v>
      </c>
      <c r="O1692" s="87">
        <v>62</v>
      </c>
      <c r="P1692" s="173" t="s">
        <v>27</v>
      </c>
      <c r="Q1692" s="1" t="s">
        <v>1343</v>
      </c>
      <c r="R1692" s="175">
        <v>4</v>
      </c>
      <c r="S1692">
        <v>4</v>
      </c>
    </row>
    <row r="1693" spans="1:19" x14ac:dyDescent="0.25">
      <c r="A1693" s="87">
        <v>2019</v>
      </c>
      <c r="B1693" s="87">
        <v>9</v>
      </c>
      <c r="C1693" s="173" t="s">
        <v>16</v>
      </c>
      <c r="D1693" s="173" t="s">
        <v>22</v>
      </c>
      <c r="E1693" s="173" t="s">
        <v>18</v>
      </c>
      <c r="F1693" s="173" t="s">
        <v>16</v>
      </c>
      <c r="G1693" s="87" t="b">
        <v>1</v>
      </c>
      <c r="H1693" s="87" t="b">
        <v>1</v>
      </c>
      <c r="I1693" s="87" t="b">
        <v>0</v>
      </c>
      <c r="J1693" s="173" t="s">
        <v>450</v>
      </c>
      <c r="K1693" s="174">
        <v>61213674000240</v>
      </c>
      <c r="L1693" s="173" t="s">
        <v>629</v>
      </c>
      <c r="M1693" s="173" t="s">
        <v>29</v>
      </c>
      <c r="N1693" s="173" t="s">
        <v>19</v>
      </c>
      <c r="O1693" s="87">
        <v>62</v>
      </c>
      <c r="P1693" s="173" t="s">
        <v>27</v>
      </c>
      <c r="Q1693" s="1" t="s">
        <v>1343</v>
      </c>
      <c r="R1693" s="175">
        <v>2</v>
      </c>
      <c r="S1693">
        <v>2</v>
      </c>
    </row>
    <row r="1694" spans="1:19" x14ac:dyDescent="0.25">
      <c r="A1694" s="87">
        <v>2019</v>
      </c>
      <c r="B1694" s="87">
        <v>9</v>
      </c>
      <c r="C1694" s="173" t="s">
        <v>16</v>
      </c>
      <c r="D1694" s="173" t="s">
        <v>22</v>
      </c>
      <c r="E1694" s="173" t="s">
        <v>18</v>
      </c>
      <c r="F1694" s="173" t="s">
        <v>16</v>
      </c>
      <c r="G1694" s="87" t="b">
        <v>1</v>
      </c>
      <c r="H1694" s="87" t="b">
        <v>1</v>
      </c>
      <c r="I1694" s="87" t="b">
        <v>0</v>
      </c>
      <c r="J1694" s="173" t="s">
        <v>463</v>
      </c>
      <c r="K1694" s="174">
        <v>61213674000240</v>
      </c>
      <c r="L1694" s="173" t="s">
        <v>629</v>
      </c>
      <c r="M1694" s="173" t="s">
        <v>29</v>
      </c>
      <c r="N1694" s="173" t="s">
        <v>19</v>
      </c>
      <c r="O1694" s="87">
        <v>64</v>
      </c>
      <c r="P1694" s="173" t="s">
        <v>25</v>
      </c>
      <c r="Q1694" s="1" t="s">
        <v>1344</v>
      </c>
      <c r="R1694" s="175">
        <v>1</v>
      </c>
      <c r="S1694">
        <v>1</v>
      </c>
    </row>
    <row r="1695" spans="1:19" x14ac:dyDescent="0.25">
      <c r="A1695" s="87">
        <v>2019</v>
      </c>
      <c r="B1695" s="87">
        <v>9</v>
      </c>
      <c r="C1695" s="173" t="s">
        <v>16</v>
      </c>
      <c r="D1695" s="173" t="s">
        <v>22</v>
      </c>
      <c r="E1695" s="173" t="s">
        <v>18</v>
      </c>
      <c r="F1695" s="173" t="s">
        <v>16</v>
      </c>
      <c r="G1695" s="87" t="b">
        <v>1</v>
      </c>
      <c r="H1695" s="87" t="b">
        <v>1</v>
      </c>
      <c r="I1695" s="87" t="b">
        <v>0</v>
      </c>
      <c r="J1695" s="173" t="s">
        <v>463</v>
      </c>
      <c r="K1695" s="174">
        <v>61213674000240</v>
      </c>
      <c r="L1695" s="173" t="s">
        <v>629</v>
      </c>
      <c r="M1695" s="173" t="s">
        <v>29</v>
      </c>
      <c r="N1695" s="173" t="s">
        <v>19</v>
      </c>
      <c r="O1695" s="87">
        <v>73</v>
      </c>
      <c r="P1695" s="173" t="s">
        <v>26</v>
      </c>
      <c r="Q1695" s="1" t="s">
        <v>1339</v>
      </c>
      <c r="R1695" s="175">
        <v>28</v>
      </c>
      <c r="S1695">
        <v>14</v>
      </c>
    </row>
    <row r="1696" spans="1:19" x14ac:dyDescent="0.25">
      <c r="A1696" s="87">
        <v>2019</v>
      </c>
      <c r="B1696" s="87">
        <v>9</v>
      </c>
      <c r="C1696" s="173" t="s">
        <v>16</v>
      </c>
      <c r="D1696" s="173" t="s">
        <v>22</v>
      </c>
      <c r="E1696" s="173" t="s">
        <v>18</v>
      </c>
      <c r="F1696" s="173" t="s">
        <v>16</v>
      </c>
      <c r="G1696" s="87" t="b">
        <v>1</v>
      </c>
      <c r="H1696" s="87" t="b">
        <v>1</v>
      </c>
      <c r="I1696" s="87" t="b">
        <v>0</v>
      </c>
      <c r="J1696" s="173" t="s">
        <v>463</v>
      </c>
      <c r="K1696" s="174">
        <v>61213674000240</v>
      </c>
      <c r="L1696" s="173" t="s">
        <v>629</v>
      </c>
      <c r="M1696" s="173" t="s">
        <v>29</v>
      </c>
      <c r="N1696" s="173" t="s">
        <v>19</v>
      </c>
      <c r="O1696" s="87">
        <v>73</v>
      </c>
      <c r="P1696" s="173" t="s">
        <v>26</v>
      </c>
      <c r="Q1696" s="1" t="s">
        <v>1342</v>
      </c>
      <c r="R1696" s="175">
        <v>64</v>
      </c>
      <c r="S1696">
        <v>16</v>
      </c>
    </row>
    <row r="1697" spans="1:19" x14ac:dyDescent="0.25">
      <c r="A1697" s="87">
        <v>2019</v>
      </c>
      <c r="B1697" s="87">
        <v>9</v>
      </c>
      <c r="C1697" s="173" t="s">
        <v>16</v>
      </c>
      <c r="D1697" s="173" t="s">
        <v>22</v>
      </c>
      <c r="E1697" s="173" t="s">
        <v>18</v>
      </c>
      <c r="F1697" s="173" t="s">
        <v>16</v>
      </c>
      <c r="G1697" s="87" t="b">
        <v>1</v>
      </c>
      <c r="H1697" s="87" t="b">
        <v>1</v>
      </c>
      <c r="I1697" s="87" t="b">
        <v>0</v>
      </c>
      <c r="J1697" s="173" t="s">
        <v>463</v>
      </c>
      <c r="K1697" s="174">
        <v>61213674000240</v>
      </c>
      <c r="L1697" s="173" t="s">
        <v>629</v>
      </c>
      <c r="M1697" s="173" t="s">
        <v>29</v>
      </c>
      <c r="N1697" s="173" t="s">
        <v>19</v>
      </c>
      <c r="O1697" s="87">
        <v>73</v>
      </c>
      <c r="P1697" s="173" t="s">
        <v>26</v>
      </c>
      <c r="Q1697" s="1" t="s">
        <v>1340</v>
      </c>
      <c r="R1697" s="175">
        <v>21</v>
      </c>
      <c r="S1697">
        <v>21</v>
      </c>
    </row>
    <row r="1698" spans="1:19" x14ac:dyDescent="0.25">
      <c r="A1698" s="87">
        <v>2019</v>
      </c>
      <c r="B1698" s="87">
        <v>9</v>
      </c>
      <c r="C1698" s="173" t="s">
        <v>16</v>
      </c>
      <c r="D1698" s="173" t="s">
        <v>22</v>
      </c>
      <c r="E1698" s="173" t="s">
        <v>18</v>
      </c>
      <c r="F1698" s="173" t="s">
        <v>16</v>
      </c>
      <c r="G1698" s="87" t="b">
        <v>1</v>
      </c>
      <c r="H1698" s="87" t="b">
        <v>1</v>
      </c>
      <c r="I1698" s="87" t="b">
        <v>0</v>
      </c>
      <c r="J1698" s="173" t="s">
        <v>1330</v>
      </c>
      <c r="K1698" s="174">
        <v>61590410000124</v>
      </c>
      <c r="L1698" s="173" t="s">
        <v>630</v>
      </c>
      <c r="M1698" s="173" t="s">
        <v>29</v>
      </c>
      <c r="N1698" s="173" t="s">
        <v>19</v>
      </c>
      <c r="O1698" s="87">
        <v>62</v>
      </c>
      <c r="P1698" s="173" t="s">
        <v>27</v>
      </c>
      <c r="Q1698" s="1" t="s">
        <v>1343</v>
      </c>
      <c r="R1698" s="175">
        <v>14</v>
      </c>
      <c r="S1698">
        <v>14</v>
      </c>
    </row>
    <row r="1699" spans="1:19" x14ac:dyDescent="0.25">
      <c r="A1699" s="87">
        <v>2019</v>
      </c>
      <c r="B1699" s="87">
        <v>9</v>
      </c>
      <c r="C1699" s="173" t="s">
        <v>16</v>
      </c>
      <c r="D1699" s="173" t="s">
        <v>22</v>
      </c>
      <c r="E1699" s="173" t="s">
        <v>18</v>
      </c>
      <c r="F1699" s="173" t="s">
        <v>16</v>
      </c>
      <c r="G1699" s="87" t="b">
        <v>1</v>
      </c>
      <c r="H1699" s="87" t="b">
        <v>1</v>
      </c>
      <c r="I1699" s="87" t="b">
        <v>0</v>
      </c>
      <c r="J1699" s="173" t="s">
        <v>463</v>
      </c>
      <c r="K1699" s="174">
        <v>61590410000124</v>
      </c>
      <c r="L1699" s="173" t="s">
        <v>630</v>
      </c>
      <c r="M1699" s="173" t="s">
        <v>29</v>
      </c>
      <c r="N1699" s="173" t="s">
        <v>19</v>
      </c>
      <c r="O1699" s="87">
        <v>62</v>
      </c>
      <c r="P1699" s="173" t="s">
        <v>27</v>
      </c>
      <c r="Q1699" s="1" t="s">
        <v>1343</v>
      </c>
      <c r="R1699" s="175">
        <v>42</v>
      </c>
      <c r="S1699">
        <v>42</v>
      </c>
    </row>
    <row r="1700" spans="1:19" x14ac:dyDescent="0.25">
      <c r="A1700" s="87">
        <v>2019</v>
      </c>
      <c r="B1700" s="87">
        <v>9</v>
      </c>
      <c r="C1700" s="173" t="s">
        <v>16</v>
      </c>
      <c r="D1700" s="173" t="s">
        <v>22</v>
      </c>
      <c r="E1700" s="173" t="s">
        <v>18</v>
      </c>
      <c r="F1700" s="173" t="s">
        <v>16</v>
      </c>
      <c r="G1700" s="87" t="b">
        <v>1</v>
      </c>
      <c r="H1700" s="87" t="b">
        <v>1</v>
      </c>
      <c r="I1700" s="87" t="b">
        <v>0</v>
      </c>
      <c r="J1700" s="173" t="s">
        <v>1330</v>
      </c>
      <c r="K1700" s="174">
        <v>61590410000124</v>
      </c>
      <c r="L1700" s="173" t="s">
        <v>630</v>
      </c>
      <c r="M1700" s="173" t="s">
        <v>29</v>
      </c>
      <c r="N1700" s="173" t="s">
        <v>19</v>
      </c>
      <c r="O1700" s="87">
        <v>64</v>
      </c>
      <c r="P1700" s="173" t="s">
        <v>25</v>
      </c>
      <c r="Q1700" s="1" t="s">
        <v>1344</v>
      </c>
      <c r="R1700" s="175">
        <v>6</v>
      </c>
      <c r="S1700">
        <v>6</v>
      </c>
    </row>
    <row r="1701" spans="1:19" x14ac:dyDescent="0.25">
      <c r="A1701" s="87">
        <v>2019</v>
      </c>
      <c r="B1701" s="87">
        <v>9</v>
      </c>
      <c r="C1701" s="173" t="s">
        <v>16</v>
      </c>
      <c r="D1701" s="173" t="s">
        <v>22</v>
      </c>
      <c r="E1701" s="173" t="s">
        <v>18</v>
      </c>
      <c r="F1701" s="173" t="s">
        <v>16</v>
      </c>
      <c r="G1701" s="87" t="b">
        <v>1</v>
      </c>
      <c r="H1701" s="87" t="b">
        <v>1</v>
      </c>
      <c r="I1701" s="87" t="b">
        <v>0</v>
      </c>
      <c r="J1701" s="173" t="s">
        <v>463</v>
      </c>
      <c r="K1701" s="174">
        <v>61590410000124</v>
      </c>
      <c r="L1701" s="173" t="s">
        <v>630</v>
      </c>
      <c r="M1701" s="173" t="s">
        <v>29</v>
      </c>
      <c r="N1701" s="173" t="s">
        <v>19</v>
      </c>
      <c r="O1701" s="87">
        <v>64</v>
      </c>
      <c r="P1701" s="173" t="s">
        <v>25</v>
      </c>
      <c r="Q1701" s="1" t="s">
        <v>1344</v>
      </c>
      <c r="R1701" s="175">
        <v>10</v>
      </c>
      <c r="S1701">
        <v>10</v>
      </c>
    </row>
    <row r="1702" spans="1:19" x14ac:dyDescent="0.25">
      <c r="A1702" s="87">
        <v>2019</v>
      </c>
      <c r="B1702" s="87">
        <v>9</v>
      </c>
      <c r="C1702" s="173" t="s">
        <v>16</v>
      </c>
      <c r="D1702" s="173" t="s">
        <v>22</v>
      </c>
      <c r="E1702" s="173" t="s">
        <v>18</v>
      </c>
      <c r="F1702" s="173" t="s">
        <v>16</v>
      </c>
      <c r="G1702" s="87" t="b">
        <v>1</v>
      </c>
      <c r="H1702" s="87" t="b">
        <v>1</v>
      </c>
      <c r="I1702" s="87" t="b">
        <v>0</v>
      </c>
      <c r="J1702" s="173" t="s">
        <v>1330</v>
      </c>
      <c r="K1702" s="174">
        <v>61590410000124</v>
      </c>
      <c r="L1702" s="173" t="s">
        <v>630</v>
      </c>
      <c r="M1702" s="173" t="s">
        <v>29</v>
      </c>
      <c r="N1702" s="173" t="s">
        <v>19</v>
      </c>
      <c r="O1702" s="87">
        <v>70</v>
      </c>
      <c r="P1702" s="173" t="s">
        <v>20</v>
      </c>
      <c r="Q1702" s="1" t="s">
        <v>1338</v>
      </c>
      <c r="R1702" s="175">
        <v>215</v>
      </c>
      <c r="S1702">
        <v>43</v>
      </c>
    </row>
    <row r="1703" spans="1:19" x14ac:dyDescent="0.25">
      <c r="A1703" s="87">
        <v>2019</v>
      </c>
      <c r="B1703" s="87">
        <v>9</v>
      </c>
      <c r="C1703" s="173" t="s">
        <v>16</v>
      </c>
      <c r="D1703" s="173" t="s">
        <v>22</v>
      </c>
      <c r="E1703" s="173" t="s">
        <v>18</v>
      </c>
      <c r="F1703" s="173" t="s">
        <v>16</v>
      </c>
      <c r="G1703" s="87" t="b">
        <v>1</v>
      </c>
      <c r="H1703" s="87" t="b">
        <v>1</v>
      </c>
      <c r="I1703" s="87" t="b">
        <v>0</v>
      </c>
      <c r="J1703" s="173" t="s">
        <v>463</v>
      </c>
      <c r="K1703" s="174">
        <v>61590410000124</v>
      </c>
      <c r="L1703" s="173" t="s">
        <v>630</v>
      </c>
      <c r="M1703" s="173" t="s">
        <v>29</v>
      </c>
      <c r="N1703" s="173" t="s">
        <v>19</v>
      </c>
      <c r="O1703" s="87">
        <v>70</v>
      </c>
      <c r="P1703" s="173" t="s">
        <v>20</v>
      </c>
      <c r="Q1703" s="1" t="s">
        <v>1338</v>
      </c>
      <c r="R1703" s="175">
        <v>1530</v>
      </c>
      <c r="S1703">
        <v>306</v>
      </c>
    </row>
    <row r="1704" spans="1:19" x14ac:dyDescent="0.25">
      <c r="A1704" s="87">
        <v>2019</v>
      </c>
      <c r="B1704" s="87">
        <v>9</v>
      </c>
      <c r="C1704" s="173" t="s">
        <v>16</v>
      </c>
      <c r="D1704" s="173" t="s">
        <v>22</v>
      </c>
      <c r="E1704" s="173" t="s">
        <v>18</v>
      </c>
      <c r="F1704" s="173" t="s">
        <v>16</v>
      </c>
      <c r="G1704" s="87" t="b">
        <v>1</v>
      </c>
      <c r="H1704" s="87" t="b">
        <v>1</v>
      </c>
      <c r="I1704" s="87" t="b">
        <v>0</v>
      </c>
      <c r="J1704" s="173" t="s">
        <v>1330</v>
      </c>
      <c r="K1704" s="174">
        <v>61590410001287</v>
      </c>
      <c r="L1704" s="173" t="s">
        <v>923</v>
      </c>
      <c r="M1704" s="173" t="s">
        <v>739</v>
      </c>
      <c r="N1704" s="173" t="s">
        <v>55</v>
      </c>
      <c r="O1704" s="87">
        <v>70</v>
      </c>
      <c r="P1704" s="173" t="s">
        <v>20</v>
      </c>
      <c r="Q1704" s="1" t="s">
        <v>1338</v>
      </c>
      <c r="R1704" s="175">
        <v>170</v>
      </c>
      <c r="S1704">
        <v>34</v>
      </c>
    </row>
    <row r="1705" spans="1:19" x14ac:dyDescent="0.25">
      <c r="A1705" s="87">
        <v>2019</v>
      </c>
      <c r="B1705" s="87">
        <v>9</v>
      </c>
      <c r="C1705" s="173" t="s">
        <v>16</v>
      </c>
      <c r="D1705" s="173" t="s">
        <v>22</v>
      </c>
      <c r="E1705" s="173" t="s">
        <v>18</v>
      </c>
      <c r="F1705" s="173" t="s">
        <v>16</v>
      </c>
      <c r="G1705" s="87" t="b">
        <v>1</v>
      </c>
      <c r="H1705" s="87" t="b">
        <v>1</v>
      </c>
      <c r="I1705" s="87" t="b">
        <v>0</v>
      </c>
      <c r="J1705" s="173" t="s">
        <v>1330</v>
      </c>
      <c r="K1705" s="174">
        <v>61599908000158</v>
      </c>
      <c r="L1705" s="173" t="s">
        <v>631</v>
      </c>
      <c r="M1705" s="173" t="s">
        <v>29</v>
      </c>
      <c r="N1705" s="173" t="s">
        <v>19</v>
      </c>
      <c r="O1705" s="87">
        <v>62</v>
      </c>
      <c r="P1705" s="173" t="s">
        <v>27</v>
      </c>
      <c r="Q1705" s="1" t="s">
        <v>1343</v>
      </c>
      <c r="R1705" s="175">
        <v>35</v>
      </c>
      <c r="S1705">
        <v>35</v>
      </c>
    </row>
    <row r="1706" spans="1:19" x14ac:dyDescent="0.25">
      <c r="A1706" s="87">
        <v>2019</v>
      </c>
      <c r="B1706" s="87">
        <v>9</v>
      </c>
      <c r="C1706" s="173" t="s">
        <v>16</v>
      </c>
      <c r="D1706" s="173" t="s">
        <v>22</v>
      </c>
      <c r="E1706" s="173" t="s">
        <v>18</v>
      </c>
      <c r="F1706" s="173" t="s">
        <v>16</v>
      </c>
      <c r="G1706" s="87" t="b">
        <v>1</v>
      </c>
      <c r="H1706" s="87" t="b">
        <v>1</v>
      </c>
      <c r="I1706" s="87" t="b">
        <v>0</v>
      </c>
      <c r="J1706" s="173" t="s">
        <v>463</v>
      </c>
      <c r="K1706" s="174">
        <v>61599908000158</v>
      </c>
      <c r="L1706" s="173" t="s">
        <v>631</v>
      </c>
      <c r="M1706" s="173" t="s">
        <v>29</v>
      </c>
      <c r="N1706" s="173" t="s">
        <v>19</v>
      </c>
      <c r="O1706" s="87">
        <v>62</v>
      </c>
      <c r="P1706" s="173" t="s">
        <v>27</v>
      </c>
      <c r="Q1706" s="1" t="s">
        <v>1343</v>
      </c>
      <c r="R1706" s="175">
        <v>15</v>
      </c>
      <c r="S1706">
        <v>15</v>
      </c>
    </row>
    <row r="1707" spans="1:19" x14ac:dyDescent="0.25">
      <c r="A1707" s="87">
        <v>2019</v>
      </c>
      <c r="B1707" s="87">
        <v>9</v>
      </c>
      <c r="C1707" s="173" t="s">
        <v>16</v>
      </c>
      <c r="D1707" s="173" t="s">
        <v>22</v>
      </c>
      <c r="E1707" s="173" t="s">
        <v>18</v>
      </c>
      <c r="F1707" s="173" t="s">
        <v>16</v>
      </c>
      <c r="G1707" s="87" t="b">
        <v>1</v>
      </c>
      <c r="H1707" s="87" t="b">
        <v>1</v>
      </c>
      <c r="I1707" s="87" t="b">
        <v>0</v>
      </c>
      <c r="J1707" s="173" t="s">
        <v>1330</v>
      </c>
      <c r="K1707" s="174">
        <v>61599908000158</v>
      </c>
      <c r="L1707" s="173" t="s">
        <v>631</v>
      </c>
      <c r="M1707" s="173" t="s">
        <v>29</v>
      </c>
      <c r="N1707" s="173" t="s">
        <v>19</v>
      </c>
      <c r="O1707" s="87">
        <v>64</v>
      </c>
      <c r="P1707" s="173" t="s">
        <v>25</v>
      </c>
      <c r="Q1707" s="1" t="s">
        <v>1344</v>
      </c>
      <c r="R1707" s="175">
        <v>90</v>
      </c>
      <c r="S1707">
        <v>90</v>
      </c>
    </row>
    <row r="1708" spans="1:19" x14ac:dyDescent="0.25">
      <c r="A1708" s="87">
        <v>2019</v>
      </c>
      <c r="B1708" s="87">
        <v>9</v>
      </c>
      <c r="C1708" s="173" t="s">
        <v>16</v>
      </c>
      <c r="D1708" s="173" t="s">
        <v>22</v>
      </c>
      <c r="E1708" s="173" t="s">
        <v>18</v>
      </c>
      <c r="F1708" s="173" t="s">
        <v>16</v>
      </c>
      <c r="G1708" s="87" t="b">
        <v>1</v>
      </c>
      <c r="H1708" s="87" t="b">
        <v>1</v>
      </c>
      <c r="I1708" s="87" t="b">
        <v>0</v>
      </c>
      <c r="J1708" s="173" t="s">
        <v>463</v>
      </c>
      <c r="K1708" s="174">
        <v>61599908000158</v>
      </c>
      <c r="L1708" s="173" t="s">
        <v>631</v>
      </c>
      <c r="M1708" s="173" t="s">
        <v>29</v>
      </c>
      <c r="N1708" s="173" t="s">
        <v>19</v>
      </c>
      <c r="O1708" s="87">
        <v>64</v>
      </c>
      <c r="P1708" s="173" t="s">
        <v>25</v>
      </c>
      <c r="Q1708" s="1" t="s">
        <v>1344</v>
      </c>
      <c r="R1708" s="175">
        <v>60</v>
      </c>
      <c r="S1708">
        <v>60</v>
      </c>
    </row>
    <row r="1709" spans="1:19" x14ac:dyDescent="0.25">
      <c r="A1709" s="87">
        <v>2019</v>
      </c>
      <c r="B1709" s="87">
        <v>9</v>
      </c>
      <c r="C1709" s="173" t="s">
        <v>16</v>
      </c>
      <c r="D1709" s="173" t="s">
        <v>22</v>
      </c>
      <c r="E1709" s="173" t="s">
        <v>18</v>
      </c>
      <c r="F1709" s="173" t="s">
        <v>16</v>
      </c>
      <c r="G1709" s="87" t="b">
        <v>1</v>
      </c>
      <c r="H1709" s="87" t="b">
        <v>1</v>
      </c>
      <c r="I1709" s="87" t="b">
        <v>0</v>
      </c>
      <c r="J1709" s="173" t="s">
        <v>470</v>
      </c>
      <c r="K1709" s="174">
        <v>68204486000113</v>
      </c>
      <c r="L1709" s="173" t="s">
        <v>734</v>
      </c>
      <c r="M1709" s="173" t="s">
        <v>46</v>
      </c>
      <c r="N1709" s="173" t="s">
        <v>19</v>
      </c>
      <c r="O1709" s="87">
        <v>70</v>
      </c>
      <c r="P1709" s="173" t="s">
        <v>20</v>
      </c>
      <c r="Q1709" s="1" t="s">
        <v>1338</v>
      </c>
      <c r="R1709" s="175">
        <v>150</v>
      </c>
      <c r="S1709">
        <v>30</v>
      </c>
    </row>
    <row r="1710" spans="1:19" x14ac:dyDescent="0.25">
      <c r="A1710" s="87">
        <v>2019</v>
      </c>
      <c r="B1710" s="87">
        <v>9</v>
      </c>
      <c r="C1710" s="173" t="s">
        <v>16</v>
      </c>
      <c r="D1710" s="173" t="s">
        <v>22</v>
      </c>
      <c r="E1710" s="173" t="s">
        <v>18</v>
      </c>
      <c r="F1710" s="173" t="s">
        <v>16</v>
      </c>
      <c r="G1710" s="87" t="b">
        <v>1</v>
      </c>
      <c r="H1710" s="87" t="b">
        <v>1</v>
      </c>
      <c r="I1710" s="87" t="b">
        <v>0</v>
      </c>
      <c r="J1710" s="173" t="s">
        <v>477</v>
      </c>
      <c r="K1710" s="174">
        <v>68709211000212</v>
      </c>
      <c r="L1710" s="173" t="s">
        <v>1066</v>
      </c>
      <c r="M1710" s="173" t="s">
        <v>92</v>
      </c>
      <c r="N1710" s="173" t="s">
        <v>61</v>
      </c>
      <c r="O1710" s="87">
        <v>70</v>
      </c>
      <c r="P1710" s="173" t="s">
        <v>20</v>
      </c>
      <c r="Q1710" s="1" t="s">
        <v>1345</v>
      </c>
      <c r="R1710" s="175">
        <v>190</v>
      </c>
      <c r="S1710">
        <v>19</v>
      </c>
    </row>
    <row r="1711" spans="1:19" x14ac:dyDescent="0.25">
      <c r="A1711" s="87">
        <v>2019</v>
      </c>
      <c r="B1711" s="87">
        <v>9</v>
      </c>
      <c r="C1711" s="173" t="s">
        <v>16</v>
      </c>
      <c r="D1711" s="173" t="s">
        <v>22</v>
      </c>
      <c r="E1711" s="173" t="s">
        <v>18</v>
      </c>
      <c r="F1711" s="173" t="s">
        <v>16</v>
      </c>
      <c r="G1711" s="87" t="b">
        <v>1</v>
      </c>
      <c r="H1711" s="87" t="b">
        <v>1</v>
      </c>
      <c r="I1711" s="87" t="b">
        <v>0</v>
      </c>
      <c r="J1711" s="173" t="s">
        <v>477</v>
      </c>
      <c r="K1711" s="174">
        <v>68709211000212</v>
      </c>
      <c r="L1711" s="173" t="s">
        <v>1066</v>
      </c>
      <c r="M1711" s="173" t="s">
        <v>92</v>
      </c>
      <c r="N1711" s="173" t="s">
        <v>61</v>
      </c>
      <c r="O1711" s="87">
        <v>70</v>
      </c>
      <c r="P1711" s="173" t="s">
        <v>20</v>
      </c>
      <c r="Q1711" s="1" t="s">
        <v>1338</v>
      </c>
      <c r="R1711" s="175">
        <v>10</v>
      </c>
      <c r="S1711">
        <v>2</v>
      </c>
    </row>
    <row r="1712" spans="1:19" x14ac:dyDescent="0.25">
      <c r="A1712" s="87">
        <v>2019</v>
      </c>
      <c r="B1712" s="87">
        <v>9</v>
      </c>
      <c r="C1712" s="173" t="s">
        <v>16</v>
      </c>
      <c r="D1712" s="173" t="s">
        <v>22</v>
      </c>
      <c r="E1712" s="173" t="s">
        <v>18</v>
      </c>
      <c r="F1712" s="173" t="s">
        <v>16</v>
      </c>
      <c r="G1712" s="87" t="b">
        <v>1</v>
      </c>
      <c r="H1712" s="87" t="b">
        <v>1</v>
      </c>
      <c r="I1712" s="87" t="b">
        <v>0</v>
      </c>
      <c r="J1712" s="173" t="s">
        <v>451</v>
      </c>
      <c r="K1712" s="174">
        <v>72101124000506</v>
      </c>
      <c r="L1712" s="173" t="s">
        <v>1126</v>
      </c>
      <c r="M1712" s="173" t="s">
        <v>131</v>
      </c>
      <c r="N1712" s="173" t="s">
        <v>61</v>
      </c>
      <c r="O1712" s="87">
        <v>70</v>
      </c>
      <c r="P1712" s="173" t="s">
        <v>20</v>
      </c>
      <c r="Q1712" s="1" t="s">
        <v>1338</v>
      </c>
      <c r="R1712" s="175">
        <v>445</v>
      </c>
      <c r="S1712">
        <v>89</v>
      </c>
    </row>
    <row r="1713" spans="1:19" x14ac:dyDescent="0.25">
      <c r="A1713" s="87">
        <v>2019</v>
      </c>
      <c r="B1713" s="87">
        <v>9</v>
      </c>
      <c r="C1713" s="173" t="s">
        <v>16</v>
      </c>
      <c r="D1713" s="173" t="s">
        <v>22</v>
      </c>
      <c r="E1713" s="173" t="s">
        <v>18</v>
      </c>
      <c r="F1713" s="173" t="s">
        <v>16</v>
      </c>
      <c r="G1713" s="87" t="b">
        <v>1</v>
      </c>
      <c r="H1713" s="87" t="b">
        <v>1</v>
      </c>
      <c r="I1713" s="87" t="b">
        <v>0</v>
      </c>
      <c r="J1713" s="173" t="s">
        <v>451</v>
      </c>
      <c r="K1713" s="174">
        <v>72101124000506</v>
      </c>
      <c r="L1713" s="173" t="s">
        <v>1126</v>
      </c>
      <c r="M1713" s="173" t="s">
        <v>131</v>
      </c>
      <c r="N1713" s="173" t="s">
        <v>61</v>
      </c>
      <c r="O1713" s="87">
        <v>73</v>
      </c>
      <c r="P1713" s="173" t="s">
        <v>26</v>
      </c>
      <c r="Q1713" s="1" t="s">
        <v>1339</v>
      </c>
      <c r="R1713" s="175">
        <v>12</v>
      </c>
      <c r="S1713">
        <v>6</v>
      </c>
    </row>
    <row r="1714" spans="1:19" x14ac:dyDescent="0.25">
      <c r="A1714" s="87">
        <v>2019</v>
      </c>
      <c r="B1714" s="87">
        <v>9</v>
      </c>
      <c r="C1714" s="173" t="s">
        <v>16</v>
      </c>
      <c r="D1714" s="173" t="s">
        <v>22</v>
      </c>
      <c r="E1714" s="173" t="s">
        <v>18</v>
      </c>
      <c r="F1714" s="173" t="s">
        <v>16</v>
      </c>
      <c r="G1714" s="87" t="b">
        <v>1</v>
      </c>
      <c r="H1714" s="87" t="b">
        <v>1</v>
      </c>
      <c r="I1714" s="87" t="b">
        <v>0</v>
      </c>
      <c r="J1714" s="173" t="s">
        <v>451</v>
      </c>
      <c r="K1714" s="174">
        <v>72101124000506</v>
      </c>
      <c r="L1714" s="173" t="s">
        <v>1126</v>
      </c>
      <c r="M1714" s="173" t="s">
        <v>131</v>
      </c>
      <c r="N1714" s="173" t="s">
        <v>61</v>
      </c>
      <c r="O1714" s="87">
        <v>73</v>
      </c>
      <c r="P1714" s="173" t="s">
        <v>26</v>
      </c>
      <c r="Q1714" s="1" t="s">
        <v>1342</v>
      </c>
      <c r="R1714" s="175">
        <v>196</v>
      </c>
      <c r="S1714">
        <v>49</v>
      </c>
    </row>
    <row r="1715" spans="1:19" x14ac:dyDescent="0.25">
      <c r="A1715" s="87">
        <v>2019</v>
      </c>
      <c r="B1715" s="87">
        <v>9</v>
      </c>
      <c r="C1715" s="173" t="s">
        <v>16</v>
      </c>
      <c r="D1715" s="173" t="s">
        <v>22</v>
      </c>
      <c r="E1715" s="173" t="s">
        <v>18</v>
      </c>
      <c r="F1715" s="173" t="s">
        <v>16</v>
      </c>
      <c r="G1715" s="87" t="b">
        <v>1</v>
      </c>
      <c r="H1715" s="87" t="b">
        <v>1</v>
      </c>
      <c r="I1715" s="87" t="b">
        <v>0</v>
      </c>
      <c r="J1715" s="173" t="s">
        <v>451</v>
      </c>
      <c r="K1715" s="174">
        <v>72101124000506</v>
      </c>
      <c r="L1715" s="173" t="s">
        <v>1126</v>
      </c>
      <c r="M1715" s="173" t="s">
        <v>131</v>
      </c>
      <c r="N1715" s="173" t="s">
        <v>61</v>
      </c>
      <c r="O1715" s="87">
        <v>73</v>
      </c>
      <c r="P1715" s="173" t="s">
        <v>26</v>
      </c>
      <c r="Q1715" s="1" t="s">
        <v>1340</v>
      </c>
      <c r="R1715" s="175">
        <v>6</v>
      </c>
      <c r="S1715">
        <v>6</v>
      </c>
    </row>
    <row r="1716" spans="1:19" x14ac:dyDescent="0.25">
      <c r="A1716" s="87">
        <v>2019</v>
      </c>
      <c r="B1716" s="87">
        <v>9</v>
      </c>
      <c r="C1716" s="173" t="s">
        <v>16</v>
      </c>
      <c r="D1716" s="173" t="s">
        <v>22</v>
      </c>
      <c r="E1716" s="173" t="s">
        <v>18</v>
      </c>
      <c r="F1716" s="173" t="s">
        <v>16</v>
      </c>
      <c r="G1716" s="87" t="b">
        <v>1</v>
      </c>
      <c r="H1716" s="87" t="b">
        <v>1</v>
      </c>
      <c r="I1716" s="87" t="b">
        <v>0</v>
      </c>
      <c r="J1716" s="173" t="s">
        <v>470</v>
      </c>
      <c r="K1716" s="174">
        <v>72775745000133</v>
      </c>
      <c r="L1716" s="173" t="s">
        <v>636</v>
      </c>
      <c r="M1716" s="173" t="s">
        <v>29</v>
      </c>
      <c r="N1716" s="173" t="s">
        <v>19</v>
      </c>
      <c r="O1716" s="87">
        <v>62</v>
      </c>
      <c r="P1716" s="173" t="s">
        <v>27</v>
      </c>
      <c r="Q1716" s="1" t="s">
        <v>1343</v>
      </c>
      <c r="R1716" s="175">
        <v>15</v>
      </c>
      <c r="S1716">
        <v>15</v>
      </c>
    </row>
    <row r="1717" spans="1:19" x14ac:dyDescent="0.25">
      <c r="A1717" s="87">
        <v>2019</v>
      </c>
      <c r="B1717" s="87">
        <v>9</v>
      </c>
      <c r="C1717" s="173" t="s">
        <v>16</v>
      </c>
      <c r="D1717" s="173" t="s">
        <v>22</v>
      </c>
      <c r="E1717" s="173" t="s">
        <v>18</v>
      </c>
      <c r="F1717" s="173" t="s">
        <v>16</v>
      </c>
      <c r="G1717" s="87" t="b">
        <v>1</v>
      </c>
      <c r="H1717" s="87" t="b">
        <v>1</v>
      </c>
      <c r="I1717" s="87" t="b">
        <v>0</v>
      </c>
      <c r="J1717" s="173" t="s">
        <v>470</v>
      </c>
      <c r="K1717" s="174">
        <v>72775745000133</v>
      </c>
      <c r="L1717" s="173" t="s">
        <v>636</v>
      </c>
      <c r="M1717" s="173" t="s">
        <v>29</v>
      </c>
      <c r="N1717" s="173" t="s">
        <v>19</v>
      </c>
      <c r="O1717" s="87">
        <v>64</v>
      </c>
      <c r="P1717" s="173" t="s">
        <v>25</v>
      </c>
      <c r="Q1717" s="1" t="s">
        <v>1344</v>
      </c>
      <c r="R1717" s="175">
        <v>15</v>
      </c>
      <c r="S1717">
        <v>15</v>
      </c>
    </row>
    <row r="1718" spans="1:19" x14ac:dyDescent="0.25">
      <c r="A1718" s="87">
        <v>2019</v>
      </c>
      <c r="B1718" s="87">
        <v>9</v>
      </c>
      <c r="C1718" s="173" t="s">
        <v>16</v>
      </c>
      <c r="D1718" s="173" t="s">
        <v>22</v>
      </c>
      <c r="E1718" s="173" t="s">
        <v>18</v>
      </c>
      <c r="F1718" s="173" t="s">
        <v>16</v>
      </c>
      <c r="G1718" s="87" t="b">
        <v>1</v>
      </c>
      <c r="H1718" s="87" t="b">
        <v>1</v>
      </c>
      <c r="I1718" s="87" t="b">
        <v>0</v>
      </c>
      <c r="J1718" s="173" t="s">
        <v>477</v>
      </c>
      <c r="K1718" s="174">
        <v>73696718000219</v>
      </c>
      <c r="L1718" s="173" t="s">
        <v>1127</v>
      </c>
      <c r="M1718" s="173" t="s">
        <v>131</v>
      </c>
      <c r="N1718" s="173" t="s">
        <v>61</v>
      </c>
      <c r="O1718" s="87">
        <v>62</v>
      </c>
      <c r="P1718" s="173" t="s">
        <v>27</v>
      </c>
      <c r="Q1718" s="1" t="s">
        <v>1343</v>
      </c>
      <c r="R1718" s="175">
        <v>7</v>
      </c>
      <c r="S1718">
        <v>7</v>
      </c>
    </row>
    <row r="1719" spans="1:19" x14ac:dyDescent="0.25">
      <c r="A1719" s="87">
        <v>2019</v>
      </c>
      <c r="B1719" s="87">
        <v>9</v>
      </c>
      <c r="C1719" s="173" t="s">
        <v>16</v>
      </c>
      <c r="D1719" s="173" t="s">
        <v>22</v>
      </c>
      <c r="E1719" s="173" t="s">
        <v>18</v>
      </c>
      <c r="F1719" s="173" t="s">
        <v>16</v>
      </c>
      <c r="G1719" s="87" t="b">
        <v>1</v>
      </c>
      <c r="H1719" s="87" t="b">
        <v>1</v>
      </c>
      <c r="I1719" s="87" t="b">
        <v>0</v>
      </c>
      <c r="J1719" s="173" t="s">
        <v>452</v>
      </c>
      <c r="K1719" s="174">
        <v>73863342000109</v>
      </c>
      <c r="L1719" s="173" t="s">
        <v>978</v>
      </c>
      <c r="M1719" s="173" t="s">
        <v>121</v>
      </c>
      <c r="N1719" s="173" t="s">
        <v>57</v>
      </c>
      <c r="O1719" s="87">
        <v>70</v>
      </c>
      <c r="P1719" s="173" t="s">
        <v>20</v>
      </c>
      <c r="Q1719" s="1" t="s">
        <v>1345</v>
      </c>
      <c r="R1719" s="175">
        <v>20</v>
      </c>
      <c r="S1719">
        <v>2</v>
      </c>
    </row>
    <row r="1720" spans="1:19" x14ac:dyDescent="0.25">
      <c r="A1720" s="87">
        <v>2019</v>
      </c>
      <c r="B1720" s="87">
        <v>9</v>
      </c>
      <c r="C1720" s="173" t="s">
        <v>16</v>
      </c>
      <c r="D1720" s="173" t="s">
        <v>22</v>
      </c>
      <c r="E1720" s="173" t="s">
        <v>18</v>
      </c>
      <c r="F1720" s="173" t="s">
        <v>16</v>
      </c>
      <c r="G1720" s="87" t="b">
        <v>1</v>
      </c>
      <c r="H1720" s="87" t="b">
        <v>1</v>
      </c>
      <c r="I1720" s="87" t="b">
        <v>0</v>
      </c>
      <c r="J1720" s="173" t="s">
        <v>464</v>
      </c>
      <c r="K1720" s="174">
        <v>74031865000151</v>
      </c>
      <c r="L1720" s="173" t="s">
        <v>926</v>
      </c>
      <c r="M1720" s="173" t="s">
        <v>76</v>
      </c>
      <c r="N1720" s="173" t="s">
        <v>77</v>
      </c>
      <c r="O1720" s="87">
        <v>62</v>
      </c>
      <c r="P1720" s="173" t="s">
        <v>27</v>
      </c>
      <c r="Q1720" s="1" t="s">
        <v>1343</v>
      </c>
      <c r="R1720" s="175">
        <v>140</v>
      </c>
      <c r="S1720">
        <v>140</v>
      </c>
    </row>
    <row r="1721" spans="1:19" x14ac:dyDescent="0.25">
      <c r="A1721" s="87">
        <v>2019</v>
      </c>
      <c r="B1721" s="87">
        <v>9</v>
      </c>
      <c r="C1721" s="173" t="s">
        <v>16</v>
      </c>
      <c r="D1721" s="173" t="s">
        <v>22</v>
      </c>
      <c r="E1721" s="173" t="s">
        <v>18</v>
      </c>
      <c r="F1721" s="173" t="s">
        <v>16</v>
      </c>
      <c r="G1721" s="87" t="b">
        <v>1</v>
      </c>
      <c r="H1721" s="87" t="b">
        <v>1</v>
      </c>
      <c r="I1721" s="87" t="b">
        <v>0</v>
      </c>
      <c r="J1721" s="173" t="s">
        <v>453</v>
      </c>
      <c r="K1721" s="174">
        <v>74031865000151</v>
      </c>
      <c r="L1721" s="173" t="s">
        <v>926</v>
      </c>
      <c r="M1721" s="173" t="s">
        <v>76</v>
      </c>
      <c r="N1721" s="173" t="s">
        <v>77</v>
      </c>
      <c r="O1721" s="87">
        <v>66</v>
      </c>
      <c r="P1721" s="173" t="s">
        <v>28</v>
      </c>
      <c r="Q1721" s="1" t="s">
        <v>1341</v>
      </c>
      <c r="R1721" s="175">
        <v>192</v>
      </c>
      <c r="S1721">
        <v>192</v>
      </c>
    </row>
    <row r="1722" spans="1:19" x14ac:dyDescent="0.25">
      <c r="A1722" s="87">
        <v>2019</v>
      </c>
      <c r="B1722" s="87">
        <v>9</v>
      </c>
      <c r="C1722" s="173" t="s">
        <v>16</v>
      </c>
      <c r="D1722" s="173" t="s">
        <v>22</v>
      </c>
      <c r="E1722" s="173" t="s">
        <v>18</v>
      </c>
      <c r="F1722" s="173" t="s">
        <v>16</v>
      </c>
      <c r="G1722" s="87" t="b">
        <v>1</v>
      </c>
      <c r="H1722" s="87" t="b">
        <v>1</v>
      </c>
      <c r="I1722" s="87" t="b">
        <v>0</v>
      </c>
      <c r="J1722" s="173" t="s">
        <v>450</v>
      </c>
      <c r="K1722" s="174">
        <v>75222224001895</v>
      </c>
      <c r="L1722" s="173" t="s">
        <v>981</v>
      </c>
      <c r="M1722" s="173" t="s">
        <v>121</v>
      </c>
      <c r="N1722" s="173" t="s">
        <v>57</v>
      </c>
      <c r="O1722" s="87">
        <v>70</v>
      </c>
      <c r="P1722" s="173" t="s">
        <v>20</v>
      </c>
      <c r="Q1722" s="1" t="s">
        <v>1338</v>
      </c>
      <c r="R1722" s="175">
        <v>630</v>
      </c>
      <c r="S1722">
        <v>126</v>
      </c>
    </row>
    <row r="1723" spans="1:19" x14ac:dyDescent="0.25">
      <c r="A1723" s="87">
        <v>2019</v>
      </c>
      <c r="B1723" s="87">
        <v>9</v>
      </c>
      <c r="C1723" s="173" t="s">
        <v>16</v>
      </c>
      <c r="D1723" s="173" t="s">
        <v>22</v>
      </c>
      <c r="E1723" s="173" t="s">
        <v>18</v>
      </c>
      <c r="F1723" s="173" t="s">
        <v>16</v>
      </c>
      <c r="G1723" s="87" t="b">
        <v>1</v>
      </c>
      <c r="H1723" s="87" t="b">
        <v>1</v>
      </c>
      <c r="I1723" s="87" t="b">
        <v>0</v>
      </c>
      <c r="J1723" s="173" t="s">
        <v>452</v>
      </c>
      <c r="K1723" s="174">
        <v>75222224001895</v>
      </c>
      <c r="L1723" s="173" t="s">
        <v>981</v>
      </c>
      <c r="M1723" s="173" t="s">
        <v>121</v>
      </c>
      <c r="N1723" s="173" t="s">
        <v>57</v>
      </c>
      <c r="O1723" s="87">
        <v>70</v>
      </c>
      <c r="P1723" s="173" t="s">
        <v>20</v>
      </c>
      <c r="Q1723" s="1" t="s">
        <v>1338</v>
      </c>
      <c r="R1723" s="175">
        <v>300</v>
      </c>
      <c r="S1723">
        <v>60</v>
      </c>
    </row>
    <row r="1724" spans="1:19" x14ac:dyDescent="0.25">
      <c r="A1724" s="87">
        <v>2019</v>
      </c>
      <c r="B1724" s="87">
        <v>9</v>
      </c>
      <c r="C1724" s="173" t="s">
        <v>16</v>
      </c>
      <c r="D1724" s="173" t="s">
        <v>22</v>
      </c>
      <c r="E1724" s="173" t="s">
        <v>18</v>
      </c>
      <c r="F1724" s="173" t="s">
        <v>16</v>
      </c>
      <c r="G1724" s="87" t="b">
        <v>1</v>
      </c>
      <c r="H1724" s="87" t="b">
        <v>1</v>
      </c>
      <c r="I1724" s="87" t="b">
        <v>0</v>
      </c>
      <c r="J1724" s="173" t="s">
        <v>506</v>
      </c>
      <c r="K1724" s="174">
        <v>75222224001895</v>
      </c>
      <c r="L1724" s="173" t="s">
        <v>981</v>
      </c>
      <c r="M1724" s="173" t="s">
        <v>121</v>
      </c>
      <c r="N1724" s="173" t="s">
        <v>57</v>
      </c>
      <c r="O1724" s="87">
        <v>70</v>
      </c>
      <c r="P1724" s="173" t="s">
        <v>20</v>
      </c>
      <c r="Q1724" s="1" t="s">
        <v>1338</v>
      </c>
      <c r="R1724" s="175">
        <v>555</v>
      </c>
      <c r="S1724">
        <v>111</v>
      </c>
    </row>
    <row r="1725" spans="1:19" x14ac:dyDescent="0.25">
      <c r="A1725" s="87">
        <v>2019</v>
      </c>
      <c r="B1725" s="87">
        <v>9</v>
      </c>
      <c r="C1725" s="173" t="s">
        <v>16</v>
      </c>
      <c r="D1725" s="173" t="s">
        <v>22</v>
      </c>
      <c r="E1725" s="173" t="s">
        <v>18</v>
      </c>
      <c r="F1725" s="173" t="s">
        <v>16</v>
      </c>
      <c r="G1725" s="87" t="b">
        <v>1</v>
      </c>
      <c r="H1725" s="87" t="b">
        <v>1</v>
      </c>
      <c r="I1725" s="87" t="b">
        <v>0</v>
      </c>
      <c r="J1725" s="173" t="s">
        <v>452</v>
      </c>
      <c r="K1725" s="174">
        <v>76555069000143</v>
      </c>
      <c r="L1725" s="173" t="s">
        <v>983</v>
      </c>
      <c r="M1725" s="173" t="s">
        <v>94</v>
      </c>
      <c r="N1725" s="173" t="s">
        <v>57</v>
      </c>
      <c r="O1725" s="87">
        <v>62</v>
      </c>
      <c r="P1725" s="173" t="s">
        <v>27</v>
      </c>
      <c r="Q1725" s="1" t="s">
        <v>1343</v>
      </c>
      <c r="R1725" s="175">
        <v>2</v>
      </c>
      <c r="S1725">
        <v>2</v>
      </c>
    </row>
    <row r="1726" spans="1:19" x14ac:dyDescent="0.25">
      <c r="A1726" s="87">
        <v>2019</v>
      </c>
      <c r="B1726" s="87">
        <v>9</v>
      </c>
      <c r="C1726" s="173" t="s">
        <v>16</v>
      </c>
      <c r="D1726" s="173" t="s">
        <v>22</v>
      </c>
      <c r="E1726" s="173" t="s">
        <v>18</v>
      </c>
      <c r="F1726" s="173" t="s">
        <v>16</v>
      </c>
      <c r="G1726" s="87" t="b">
        <v>1</v>
      </c>
      <c r="H1726" s="87" t="b">
        <v>1</v>
      </c>
      <c r="I1726" s="87" t="b">
        <v>0</v>
      </c>
      <c r="J1726" s="173" t="s">
        <v>452</v>
      </c>
      <c r="K1726" s="174">
        <v>76555069000143</v>
      </c>
      <c r="L1726" s="173" t="s">
        <v>983</v>
      </c>
      <c r="M1726" s="173" t="s">
        <v>94</v>
      </c>
      <c r="N1726" s="173" t="s">
        <v>57</v>
      </c>
      <c r="O1726" s="87">
        <v>70</v>
      </c>
      <c r="P1726" s="173" t="s">
        <v>20</v>
      </c>
      <c r="Q1726" s="1" t="s">
        <v>1338</v>
      </c>
      <c r="R1726" s="175">
        <v>280</v>
      </c>
      <c r="S1726">
        <v>56</v>
      </c>
    </row>
    <row r="1727" spans="1:19" x14ac:dyDescent="0.25">
      <c r="A1727" s="87">
        <v>2019</v>
      </c>
      <c r="B1727" s="87">
        <v>9</v>
      </c>
      <c r="C1727" s="173" t="s">
        <v>16</v>
      </c>
      <c r="D1727" s="173" t="s">
        <v>22</v>
      </c>
      <c r="E1727" s="173" t="s">
        <v>18</v>
      </c>
      <c r="F1727" s="173" t="s">
        <v>16</v>
      </c>
      <c r="G1727" s="87" t="b">
        <v>1</v>
      </c>
      <c r="H1727" s="87" t="b">
        <v>1</v>
      </c>
      <c r="I1727" s="87" t="b">
        <v>0</v>
      </c>
      <c r="J1727" s="173" t="s">
        <v>495</v>
      </c>
      <c r="K1727" s="174">
        <v>76591569000130</v>
      </c>
      <c r="L1727" s="173" t="s">
        <v>985</v>
      </c>
      <c r="M1727" s="173" t="s">
        <v>94</v>
      </c>
      <c r="N1727" s="173" t="s">
        <v>57</v>
      </c>
      <c r="O1727" s="87">
        <v>70</v>
      </c>
      <c r="P1727" s="173" t="s">
        <v>20</v>
      </c>
      <c r="Q1727" s="1" t="s">
        <v>1338</v>
      </c>
      <c r="R1727" s="175">
        <v>500</v>
      </c>
      <c r="S1727">
        <v>100</v>
      </c>
    </row>
    <row r="1728" spans="1:19" x14ac:dyDescent="0.25">
      <c r="A1728" s="87">
        <v>2019</v>
      </c>
      <c r="B1728" s="87">
        <v>9</v>
      </c>
      <c r="C1728" s="173" t="s">
        <v>16</v>
      </c>
      <c r="D1728" s="173" t="s">
        <v>22</v>
      </c>
      <c r="E1728" s="173" t="s">
        <v>18</v>
      </c>
      <c r="F1728" s="173" t="s">
        <v>16</v>
      </c>
      <c r="G1728" s="87" t="b">
        <v>1</v>
      </c>
      <c r="H1728" s="87" t="b">
        <v>1</v>
      </c>
      <c r="I1728" s="87" t="b">
        <v>0</v>
      </c>
      <c r="J1728" s="173" t="s">
        <v>449</v>
      </c>
      <c r="K1728" s="174">
        <v>76591569000130</v>
      </c>
      <c r="L1728" s="173" t="s">
        <v>985</v>
      </c>
      <c r="M1728" s="173" t="s">
        <v>94</v>
      </c>
      <c r="N1728" s="173" t="s">
        <v>57</v>
      </c>
      <c r="O1728" s="87">
        <v>73</v>
      </c>
      <c r="P1728" s="173" t="s">
        <v>26</v>
      </c>
      <c r="Q1728" s="1" t="s">
        <v>1342</v>
      </c>
      <c r="R1728" s="175">
        <v>12</v>
      </c>
      <c r="S1728">
        <v>3</v>
      </c>
    </row>
    <row r="1729" spans="1:19" x14ac:dyDescent="0.25">
      <c r="A1729" s="87">
        <v>2019</v>
      </c>
      <c r="B1729" s="87">
        <v>9</v>
      </c>
      <c r="C1729" s="173" t="s">
        <v>16</v>
      </c>
      <c r="D1729" s="173" t="s">
        <v>22</v>
      </c>
      <c r="E1729" s="173" t="s">
        <v>18</v>
      </c>
      <c r="F1729" s="173" t="s">
        <v>16</v>
      </c>
      <c r="G1729" s="87" t="b">
        <v>1</v>
      </c>
      <c r="H1729" s="87" t="b">
        <v>1</v>
      </c>
      <c r="I1729" s="87" t="b">
        <v>0</v>
      </c>
      <c r="J1729" s="173" t="s">
        <v>452</v>
      </c>
      <c r="K1729" s="174">
        <v>76659820002367</v>
      </c>
      <c r="L1729" s="173" t="s">
        <v>986</v>
      </c>
      <c r="M1729" s="173" t="s">
        <v>94</v>
      </c>
      <c r="N1729" s="173" t="s">
        <v>57</v>
      </c>
      <c r="O1729" s="87">
        <v>70</v>
      </c>
      <c r="P1729" s="173" t="s">
        <v>20</v>
      </c>
      <c r="Q1729" s="1" t="s">
        <v>1338</v>
      </c>
      <c r="R1729" s="175">
        <v>45</v>
      </c>
      <c r="S1729">
        <v>9</v>
      </c>
    </row>
    <row r="1730" spans="1:19" x14ac:dyDescent="0.25">
      <c r="A1730" s="87">
        <v>2019</v>
      </c>
      <c r="B1730" s="87">
        <v>9</v>
      </c>
      <c r="C1730" s="173" t="s">
        <v>16</v>
      </c>
      <c r="D1730" s="173" t="s">
        <v>22</v>
      </c>
      <c r="E1730" s="173" t="s">
        <v>18</v>
      </c>
      <c r="F1730" s="173" t="s">
        <v>16</v>
      </c>
      <c r="G1730" s="87" t="b">
        <v>1</v>
      </c>
      <c r="H1730" s="87" t="b">
        <v>1</v>
      </c>
      <c r="I1730" s="87" t="b">
        <v>0</v>
      </c>
      <c r="J1730" s="173" t="s">
        <v>492</v>
      </c>
      <c r="K1730" s="174">
        <v>77858611001414</v>
      </c>
      <c r="L1730" s="173" t="s">
        <v>991</v>
      </c>
      <c r="M1730" s="173" t="s">
        <v>969</v>
      </c>
      <c r="N1730" s="173" t="s">
        <v>68</v>
      </c>
      <c r="O1730" s="87">
        <v>70</v>
      </c>
      <c r="P1730" s="173" t="s">
        <v>20</v>
      </c>
      <c r="Q1730" s="1" t="s">
        <v>1338</v>
      </c>
      <c r="R1730" s="175">
        <v>30</v>
      </c>
      <c r="S1730">
        <v>6</v>
      </c>
    </row>
    <row r="1731" spans="1:19" x14ac:dyDescent="0.25">
      <c r="A1731" s="87">
        <v>2019</v>
      </c>
      <c r="B1731" s="87">
        <v>9</v>
      </c>
      <c r="C1731" s="173" t="s">
        <v>16</v>
      </c>
      <c r="D1731" s="173" t="s">
        <v>22</v>
      </c>
      <c r="E1731" s="173" t="s">
        <v>18</v>
      </c>
      <c r="F1731" s="173" t="s">
        <v>16</v>
      </c>
      <c r="G1731" s="87" t="b">
        <v>1</v>
      </c>
      <c r="H1731" s="87" t="b">
        <v>1</v>
      </c>
      <c r="I1731" s="87" t="b">
        <v>0</v>
      </c>
      <c r="J1731" s="173" t="s">
        <v>506</v>
      </c>
      <c r="K1731" s="174">
        <v>78633088000176</v>
      </c>
      <c r="L1731" s="173" t="s">
        <v>995</v>
      </c>
      <c r="M1731" s="173" t="s">
        <v>121</v>
      </c>
      <c r="N1731" s="173" t="s">
        <v>57</v>
      </c>
      <c r="O1731" s="87">
        <v>70</v>
      </c>
      <c r="P1731" s="173" t="s">
        <v>20</v>
      </c>
      <c r="Q1731" s="1" t="s">
        <v>1338</v>
      </c>
      <c r="R1731" s="175">
        <v>10</v>
      </c>
      <c r="S1731">
        <v>2</v>
      </c>
    </row>
    <row r="1732" spans="1:19" x14ac:dyDescent="0.25">
      <c r="A1732" s="87">
        <v>2019</v>
      </c>
      <c r="B1732" s="87">
        <v>9</v>
      </c>
      <c r="C1732" s="173" t="s">
        <v>16</v>
      </c>
      <c r="D1732" s="173" t="s">
        <v>22</v>
      </c>
      <c r="E1732" s="173" t="s">
        <v>18</v>
      </c>
      <c r="F1732" s="173" t="s">
        <v>16</v>
      </c>
      <c r="G1732" s="87" t="b">
        <v>1</v>
      </c>
      <c r="H1732" s="87" t="b">
        <v>1</v>
      </c>
      <c r="I1732" s="87" t="b">
        <v>0</v>
      </c>
      <c r="J1732" s="173" t="s">
        <v>492</v>
      </c>
      <c r="K1732" s="174">
        <v>79115762000193</v>
      </c>
      <c r="L1732" s="173" t="s">
        <v>996</v>
      </c>
      <c r="M1732" s="173" t="s">
        <v>988</v>
      </c>
      <c r="N1732" s="173" t="s">
        <v>57</v>
      </c>
      <c r="O1732" s="87">
        <v>70</v>
      </c>
      <c r="P1732" s="173" t="s">
        <v>20</v>
      </c>
      <c r="Q1732" s="1" t="s">
        <v>1338</v>
      </c>
      <c r="R1732" s="175">
        <v>25</v>
      </c>
      <c r="S1732">
        <v>5</v>
      </c>
    </row>
    <row r="1733" spans="1:19" x14ac:dyDescent="0.25">
      <c r="A1733" s="87">
        <v>2019</v>
      </c>
      <c r="B1733" s="87">
        <v>9</v>
      </c>
      <c r="C1733" s="173" t="s">
        <v>16</v>
      </c>
      <c r="D1733" s="173" t="s">
        <v>22</v>
      </c>
      <c r="E1733" s="173" t="s">
        <v>18</v>
      </c>
      <c r="F1733" s="173" t="s">
        <v>16</v>
      </c>
      <c r="G1733" s="87" t="b">
        <v>1</v>
      </c>
      <c r="H1733" s="87" t="b">
        <v>1</v>
      </c>
      <c r="I1733" s="87" t="b">
        <v>0</v>
      </c>
      <c r="J1733" s="173" t="s">
        <v>492</v>
      </c>
      <c r="K1733" s="174">
        <v>80490618000116</v>
      </c>
      <c r="L1733" s="173" t="s">
        <v>997</v>
      </c>
      <c r="M1733" s="173" t="s">
        <v>998</v>
      </c>
      <c r="N1733" s="173" t="s">
        <v>68</v>
      </c>
      <c r="O1733" s="87">
        <v>70</v>
      </c>
      <c r="P1733" s="173" t="s">
        <v>20</v>
      </c>
      <c r="Q1733" s="1" t="s">
        <v>1338</v>
      </c>
      <c r="R1733" s="175">
        <v>60</v>
      </c>
      <c r="S1733">
        <v>12</v>
      </c>
    </row>
    <row r="1734" spans="1:19" x14ac:dyDescent="0.25">
      <c r="A1734" s="87">
        <v>2019</v>
      </c>
      <c r="B1734" s="87">
        <v>9</v>
      </c>
      <c r="C1734" s="173" t="s">
        <v>16</v>
      </c>
      <c r="D1734" s="173" t="s">
        <v>22</v>
      </c>
      <c r="E1734" s="173" t="s">
        <v>18</v>
      </c>
      <c r="F1734" s="173" t="s">
        <v>16</v>
      </c>
      <c r="G1734" s="87" t="b">
        <v>1</v>
      </c>
      <c r="H1734" s="87" t="b">
        <v>1</v>
      </c>
      <c r="I1734" s="87" t="b">
        <v>0</v>
      </c>
      <c r="J1734" s="173" t="s">
        <v>449</v>
      </c>
      <c r="K1734" s="174">
        <v>80673411000187</v>
      </c>
      <c r="L1734" s="173" t="s">
        <v>999</v>
      </c>
      <c r="M1734" s="173" t="s">
        <v>930</v>
      </c>
      <c r="N1734" s="173" t="s">
        <v>68</v>
      </c>
      <c r="O1734" s="87">
        <v>66</v>
      </c>
      <c r="P1734" s="173" t="s">
        <v>28</v>
      </c>
      <c r="Q1734" s="1" t="s">
        <v>1341</v>
      </c>
      <c r="R1734" s="175">
        <v>76</v>
      </c>
      <c r="S1734">
        <v>76</v>
      </c>
    </row>
    <row r="1735" spans="1:19" x14ac:dyDescent="0.25">
      <c r="A1735" s="87">
        <v>2019</v>
      </c>
      <c r="B1735" s="87">
        <v>9</v>
      </c>
      <c r="C1735" s="173" t="s">
        <v>16</v>
      </c>
      <c r="D1735" s="173" t="s">
        <v>22</v>
      </c>
      <c r="E1735" s="173" t="s">
        <v>18</v>
      </c>
      <c r="F1735" s="173" t="s">
        <v>16</v>
      </c>
      <c r="G1735" s="87" t="b">
        <v>1</v>
      </c>
      <c r="H1735" s="87" t="b">
        <v>1</v>
      </c>
      <c r="I1735" s="87" t="b">
        <v>0</v>
      </c>
      <c r="J1735" s="173" t="s">
        <v>449</v>
      </c>
      <c r="K1735" s="174">
        <v>80673411000187</v>
      </c>
      <c r="L1735" s="173" t="s">
        <v>999</v>
      </c>
      <c r="M1735" s="173" t="s">
        <v>930</v>
      </c>
      <c r="N1735" s="173" t="s">
        <v>68</v>
      </c>
      <c r="O1735" s="87">
        <v>70</v>
      </c>
      <c r="P1735" s="173" t="s">
        <v>20</v>
      </c>
      <c r="Q1735" s="1" t="s">
        <v>1345</v>
      </c>
      <c r="R1735" s="175">
        <v>240</v>
      </c>
      <c r="S1735">
        <v>24</v>
      </c>
    </row>
    <row r="1736" spans="1:19" x14ac:dyDescent="0.25">
      <c r="A1736" s="87">
        <v>2019</v>
      </c>
      <c r="B1736" s="87">
        <v>9</v>
      </c>
      <c r="C1736" s="173" t="s">
        <v>16</v>
      </c>
      <c r="D1736" s="173" t="s">
        <v>22</v>
      </c>
      <c r="E1736" s="173" t="s">
        <v>18</v>
      </c>
      <c r="F1736" s="173" t="s">
        <v>16</v>
      </c>
      <c r="G1736" s="87" t="b">
        <v>1</v>
      </c>
      <c r="H1736" s="87" t="b">
        <v>1</v>
      </c>
      <c r="I1736" s="87" t="b">
        <v>0</v>
      </c>
      <c r="J1736" s="173" t="s">
        <v>452</v>
      </c>
      <c r="K1736" s="174">
        <v>81270548000153</v>
      </c>
      <c r="L1736" s="173" t="s">
        <v>1002</v>
      </c>
      <c r="M1736" s="173" t="s">
        <v>112</v>
      </c>
      <c r="N1736" s="173" t="s">
        <v>57</v>
      </c>
      <c r="O1736" s="87">
        <v>62</v>
      </c>
      <c r="P1736" s="173" t="s">
        <v>27</v>
      </c>
      <c r="Q1736" s="1" t="s">
        <v>1343</v>
      </c>
      <c r="R1736" s="175">
        <v>3</v>
      </c>
      <c r="S1736">
        <v>3</v>
      </c>
    </row>
    <row r="1737" spans="1:19" x14ac:dyDescent="0.25">
      <c r="A1737" s="87">
        <v>2019</v>
      </c>
      <c r="B1737" s="87">
        <v>9</v>
      </c>
      <c r="C1737" s="173" t="s">
        <v>16</v>
      </c>
      <c r="D1737" s="173" t="s">
        <v>22</v>
      </c>
      <c r="E1737" s="173" t="s">
        <v>18</v>
      </c>
      <c r="F1737" s="173" t="s">
        <v>16</v>
      </c>
      <c r="G1737" s="87" t="b">
        <v>1</v>
      </c>
      <c r="H1737" s="87" t="b">
        <v>1</v>
      </c>
      <c r="I1737" s="87" t="b">
        <v>0</v>
      </c>
      <c r="J1737" s="173" t="s">
        <v>470</v>
      </c>
      <c r="K1737" s="174">
        <v>81715716000410</v>
      </c>
      <c r="L1737" s="173" t="s">
        <v>1003</v>
      </c>
      <c r="M1737" s="173" t="s">
        <v>1004</v>
      </c>
      <c r="N1737" s="173" t="s">
        <v>57</v>
      </c>
      <c r="O1737" s="87">
        <v>70</v>
      </c>
      <c r="P1737" s="173" t="s">
        <v>20</v>
      </c>
      <c r="Q1737" s="1" t="s">
        <v>1338</v>
      </c>
      <c r="R1737" s="175">
        <v>30</v>
      </c>
      <c r="S1737">
        <v>6</v>
      </c>
    </row>
    <row r="1738" spans="1:19" x14ac:dyDescent="0.25">
      <c r="A1738" s="87">
        <v>2019</v>
      </c>
      <c r="B1738" s="87">
        <v>9</v>
      </c>
      <c r="C1738" s="173" t="s">
        <v>16</v>
      </c>
      <c r="D1738" s="173" t="s">
        <v>22</v>
      </c>
      <c r="E1738" s="173" t="s">
        <v>18</v>
      </c>
      <c r="F1738" s="173" t="s">
        <v>16</v>
      </c>
      <c r="G1738" s="87" t="b">
        <v>1</v>
      </c>
      <c r="H1738" s="87" t="b">
        <v>1</v>
      </c>
      <c r="I1738" s="87" t="b">
        <v>0</v>
      </c>
      <c r="J1738" s="173" t="s">
        <v>492</v>
      </c>
      <c r="K1738" s="174">
        <v>82654088000120</v>
      </c>
      <c r="L1738" s="173" t="s">
        <v>1008</v>
      </c>
      <c r="M1738" s="173" t="s">
        <v>93</v>
      </c>
      <c r="N1738" s="173" t="s">
        <v>68</v>
      </c>
      <c r="O1738" s="87">
        <v>70</v>
      </c>
      <c r="P1738" s="173" t="s">
        <v>20</v>
      </c>
      <c r="Q1738" s="1" t="s">
        <v>1338</v>
      </c>
      <c r="R1738" s="175">
        <v>20</v>
      </c>
      <c r="S1738">
        <v>4</v>
      </c>
    </row>
    <row r="1739" spans="1:19" x14ac:dyDescent="0.25">
      <c r="A1739" s="87">
        <v>2019</v>
      </c>
      <c r="B1739" s="87">
        <v>9</v>
      </c>
      <c r="C1739" s="173" t="s">
        <v>16</v>
      </c>
      <c r="D1739" s="173" t="s">
        <v>22</v>
      </c>
      <c r="E1739" s="173" t="s">
        <v>18</v>
      </c>
      <c r="F1739" s="173" t="s">
        <v>16</v>
      </c>
      <c r="G1739" s="87" t="b">
        <v>1</v>
      </c>
      <c r="H1739" s="87" t="b">
        <v>1</v>
      </c>
      <c r="I1739" s="87" t="b">
        <v>0</v>
      </c>
      <c r="J1739" s="173" t="s">
        <v>470</v>
      </c>
      <c r="K1739" s="174">
        <v>83367342000252</v>
      </c>
      <c r="L1739" s="173" t="s">
        <v>1237</v>
      </c>
      <c r="M1739" s="173" t="s">
        <v>1129</v>
      </c>
      <c r="N1739" s="173" t="s">
        <v>52</v>
      </c>
      <c r="O1739" s="87">
        <v>70</v>
      </c>
      <c r="P1739" s="173" t="s">
        <v>20</v>
      </c>
      <c r="Q1739" s="1" t="s">
        <v>1338</v>
      </c>
      <c r="R1739" s="175">
        <v>40</v>
      </c>
      <c r="S1739">
        <v>8</v>
      </c>
    </row>
    <row r="1740" spans="1:19" x14ac:dyDescent="0.25">
      <c r="A1740" s="87">
        <v>2019</v>
      </c>
      <c r="B1740" s="87">
        <v>9</v>
      </c>
      <c r="C1740" s="173" t="s">
        <v>16</v>
      </c>
      <c r="D1740" s="173" t="s">
        <v>22</v>
      </c>
      <c r="E1740" s="173" t="s">
        <v>18</v>
      </c>
      <c r="F1740" s="173" t="s">
        <v>16</v>
      </c>
      <c r="G1740" s="87" t="b">
        <v>1</v>
      </c>
      <c r="H1740" s="87" t="b">
        <v>1</v>
      </c>
      <c r="I1740" s="87" t="b">
        <v>0</v>
      </c>
      <c r="J1740" s="173" t="s">
        <v>449</v>
      </c>
      <c r="K1740" s="174">
        <v>83899526000425</v>
      </c>
      <c r="L1740" s="173" t="s">
        <v>1010</v>
      </c>
      <c r="M1740" s="173" t="s">
        <v>930</v>
      </c>
      <c r="N1740" s="173" t="s">
        <v>68</v>
      </c>
      <c r="O1740" s="87">
        <v>62</v>
      </c>
      <c r="P1740" s="173" t="s">
        <v>27</v>
      </c>
      <c r="Q1740" s="1" t="s">
        <v>1343</v>
      </c>
      <c r="R1740" s="175">
        <v>6</v>
      </c>
      <c r="S1740">
        <v>6</v>
      </c>
    </row>
    <row r="1741" spans="1:19" x14ac:dyDescent="0.25">
      <c r="A1741" s="87">
        <v>2019</v>
      </c>
      <c r="B1741" s="87">
        <v>9</v>
      </c>
      <c r="C1741" s="173" t="s">
        <v>16</v>
      </c>
      <c r="D1741" s="173" t="s">
        <v>22</v>
      </c>
      <c r="E1741" s="173" t="s">
        <v>18</v>
      </c>
      <c r="F1741" s="173" t="s">
        <v>16</v>
      </c>
      <c r="G1741" s="87" t="b">
        <v>1</v>
      </c>
      <c r="H1741" s="87" t="b">
        <v>1</v>
      </c>
      <c r="I1741" s="87" t="b">
        <v>0</v>
      </c>
      <c r="J1741" s="173" t="s">
        <v>492</v>
      </c>
      <c r="K1741" s="174">
        <v>85241339000809</v>
      </c>
      <c r="L1741" s="173" t="s">
        <v>1011</v>
      </c>
      <c r="M1741" s="173" t="s">
        <v>998</v>
      </c>
      <c r="N1741" s="173" t="s">
        <v>68</v>
      </c>
      <c r="O1741" s="87">
        <v>70</v>
      </c>
      <c r="P1741" s="173" t="s">
        <v>20</v>
      </c>
      <c r="Q1741" s="1" t="s">
        <v>1338</v>
      </c>
      <c r="R1741" s="175">
        <v>180</v>
      </c>
      <c r="S1741">
        <v>36</v>
      </c>
    </row>
    <row r="1742" spans="1:19" x14ac:dyDescent="0.25">
      <c r="A1742" s="87">
        <v>2019</v>
      </c>
      <c r="B1742" s="87">
        <v>9</v>
      </c>
      <c r="C1742" s="173" t="s">
        <v>16</v>
      </c>
      <c r="D1742" s="173" t="s">
        <v>22</v>
      </c>
      <c r="E1742" s="173" t="s">
        <v>18</v>
      </c>
      <c r="F1742" s="173" t="s">
        <v>16</v>
      </c>
      <c r="G1742" s="87" t="b">
        <v>1</v>
      </c>
      <c r="H1742" s="87" t="b">
        <v>1</v>
      </c>
      <c r="I1742" s="87" t="b">
        <v>0</v>
      </c>
      <c r="J1742" s="173" t="s">
        <v>451</v>
      </c>
      <c r="K1742" s="174">
        <v>85241339000809</v>
      </c>
      <c r="L1742" s="173" t="s">
        <v>1011</v>
      </c>
      <c r="M1742" s="173" t="s">
        <v>998</v>
      </c>
      <c r="N1742" s="173" t="s">
        <v>68</v>
      </c>
      <c r="O1742" s="87">
        <v>70</v>
      </c>
      <c r="P1742" s="173" t="s">
        <v>20</v>
      </c>
      <c r="Q1742" s="1" t="s">
        <v>1345</v>
      </c>
      <c r="R1742" s="175">
        <v>130</v>
      </c>
      <c r="S1742">
        <v>13</v>
      </c>
    </row>
    <row r="1743" spans="1:19" x14ac:dyDescent="0.25">
      <c r="A1743" s="87">
        <v>2019</v>
      </c>
      <c r="B1743" s="87">
        <v>9</v>
      </c>
      <c r="C1743" s="173" t="s">
        <v>16</v>
      </c>
      <c r="D1743" s="173" t="s">
        <v>22</v>
      </c>
      <c r="E1743" s="173" t="s">
        <v>18</v>
      </c>
      <c r="F1743" s="173" t="s">
        <v>16</v>
      </c>
      <c r="G1743" s="87" t="b">
        <v>1</v>
      </c>
      <c r="H1743" s="87" t="b">
        <v>1</v>
      </c>
      <c r="I1743" s="87" t="b">
        <v>0</v>
      </c>
      <c r="J1743" s="173" t="s">
        <v>481</v>
      </c>
      <c r="K1743" s="174">
        <v>85377174000392</v>
      </c>
      <c r="L1743" s="173" t="s">
        <v>1012</v>
      </c>
      <c r="M1743" s="173" t="s">
        <v>938</v>
      </c>
      <c r="N1743" s="173" t="s">
        <v>68</v>
      </c>
      <c r="O1743" s="87">
        <v>73</v>
      </c>
      <c r="P1743" s="173" t="s">
        <v>26</v>
      </c>
      <c r="Q1743" s="1" t="s">
        <v>1340</v>
      </c>
      <c r="R1743" s="175">
        <v>18</v>
      </c>
      <c r="S1743">
        <v>18</v>
      </c>
    </row>
    <row r="1744" spans="1:19" x14ac:dyDescent="0.25">
      <c r="A1744" s="87">
        <v>2019</v>
      </c>
      <c r="B1744" s="87">
        <v>9</v>
      </c>
      <c r="C1744" s="173" t="s">
        <v>16</v>
      </c>
      <c r="D1744" s="173" t="s">
        <v>22</v>
      </c>
      <c r="E1744" s="173" t="s">
        <v>18</v>
      </c>
      <c r="F1744" s="173" t="s">
        <v>16</v>
      </c>
      <c r="G1744" s="87" t="b">
        <v>1</v>
      </c>
      <c r="H1744" s="87" t="b">
        <v>1</v>
      </c>
      <c r="I1744" s="87" t="b">
        <v>0</v>
      </c>
      <c r="J1744" s="173" t="s">
        <v>449</v>
      </c>
      <c r="K1744" s="174">
        <v>87020517000120</v>
      </c>
      <c r="L1744" s="173" t="s">
        <v>1013</v>
      </c>
      <c r="M1744" s="173" t="s">
        <v>83</v>
      </c>
      <c r="N1744" s="173" t="s">
        <v>67</v>
      </c>
      <c r="O1744" s="87">
        <v>62</v>
      </c>
      <c r="P1744" s="173" t="s">
        <v>27</v>
      </c>
      <c r="Q1744" s="1" t="s">
        <v>1343</v>
      </c>
      <c r="R1744" s="175">
        <v>15</v>
      </c>
      <c r="S1744">
        <v>15</v>
      </c>
    </row>
    <row r="1745" spans="1:19" x14ac:dyDescent="0.25">
      <c r="A1745" s="87">
        <v>2019</v>
      </c>
      <c r="B1745" s="87">
        <v>9</v>
      </c>
      <c r="C1745" s="173" t="s">
        <v>16</v>
      </c>
      <c r="D1745" s="173" t="s">
        <v>22</v>
      </c>
      <c r="E1745" s="173" t="s">
        <v>18</v>
      </c>
      <c r="F1745" s="173" t="s">
        <v>16</v>
      </c>
      <c r="G1745" s="87" t="b">
        <v>1</v>
      </c>
      <c r="H1745" s="87" t="b">
        <v>1</v>
      </c>
      <c r="I1745" s="87" t="b">
        <v>0</v>
      </c>
      <c r="J1745" s="173" t="s">
        <v>1330</v>
      </c>
      <c r="K1745" s="174">
        <v>87020517000120</v>
      </c>
      <c r="L1745" s="173" t="s">
        <v>1013</v>
      </c>
      <c r="M1745" s="173" t="s">
        <v>83</v>
      </c>
      <c r="N1745" s="173" t="s">
        <v>67</v>
      </c>
      <c r="O1745" s="87">
        <v>64</v>
      </c>
      <c r="P1745" s="173" t="s">
        <v>25</v>
      </c>
      <c r="Q1745" s="1" t="s">
        <v>1344</v>
      </c>
      <c r="R1745" s="175">
        <v>12</v>
      </c>
      <c r="S1745">
        <v>12</v>
      </c>
    </row>
    <row r="1746" spans="1:19" x14ac:dyDescent="0.25">
      <c r="A1746" s="87">
        <v>2019</v>
      </c>
      <c r="B1746" s="87">
        <v>9</v>
      </c>
      <c r="C1746" s="173" t="s">
        <v>16</v>
      </c>
      <c r="D1746" s="173" t="s">
        <v>22</v>
      </c>
      <c r="E1746" s="173" t="s">
        <v>18</v>
      </c>
      <c r="F1746" s="173" t="s">
        <v>16</v>
      </c>
      <c r="G1746" s="87" t="b">
        <v>1</v>
      </c>
      <c r="H1746" s="87" t="b">
        <v>1</v>
      </c>
      <c r="I1746" s="87" t="b">
        <v>0</v>
      </c>
      <c r="J1746" s="173" t="s">
        <v>449</v>
      </c>
      <c r="K1746" s="174">
        <v>87317764001084</v>
      </c>
      <c r="L1746" s="173" t="s">
        <v>1015</v>
      </c>
      <c r="M1746" s="173" t="s">
        <v>83</v>
      </c>
      <c r="N1746" s="173" t="s">
        <v>67</v>
      </c>
      <c r="O1746" s="87">
        <v>70</v>
      </c>
      <c r="P1746" s="173" t="s">
        <v>20</v>
      </c>
      <c r="Q1746" s="1" t="s">
        <v>1345</v>
      </c>
      <c r="R1746" s="175">
        <v>200</v>
      </c>
      <c r="S1746">
        <v>20</v>
      </c>
    </row>
    <row r="1747" spans="1:19" x14ac:dyDescent="0.25">
      <c r="A1747" s="87">
        <v>2019</v>
      </c>
      <c r="B1747" s="87">
        <v>9</v>
      </c>
      <c r="C1747" s="173" t="s">
        <v>16</v>
      </c>
      <c r="D1747" s="173" t="s">
        <v>22</v>
      </c>
      <c r="E1747" s="173" t="s">
        <v>18</v>
      </c>
      <c r="F1747" s="173" t="s">
        <v>16</v>
      </c>
      <c r="G1747" s="87" t="b">
        <v>1</v>
      </c>
      <c r="H1747" s="87" t="b">
        <v>1</v>
      </c>
      <c r="I1747" s="87" t="b">
        <v>0</v>
      </c>
      <c r="J1747" s="173" t="s">
        <v>470</v>
      </c>
      <c r="K1747" s="174">
        <v>87827689002405</v>
      </c>
      <c r="L1747" s="173" t="s">
        <v>1021</v>
      </c>
      <c r="M1747" s="173" t="s">
        <v>66</v>
      </c>
      <c r="N1747" s="173" t="s">
        <v>67</v>
      </c>
      <c r="O1747" s="87">
        <v>70</v>
      </c>
      <c r="P1747" s="173" t="s">
        <v>20</v>
      </c>
      <c r="Q1747" s="1" t="s">
        <v>1338</v>
      </c>
      <c r="R1747" s="175">
        <v>90</v>
      </c>
      <c r="S1747">
        <v>18</v>
      </c>
    </row>
    <row r="1748" spans="1:19" x14ac:dyDescent="0.25">
      <c r="A1748" s="87">
        <v>2019</v>
      </c>
      <c r="B1748" s="87">
        <v>9</v>
      </c>
      <c r="C1748" s="173" t="s">
        <v>16</v>
      </c>
      <c r="D1748" s="173" t="s">
        <v>22</v>
      </c>
      <c r="E1748" s="173" t="s">
        <v>18</v>
      </c>
      <c r="F1748" s="173" t="s">
        <v>16</v>
      </c>
      <c r="G1748" s="87" t="b">
        <v>1</v>
      </c>
      <c r="H1748" s="87" t="b">
        <v>1</v>
      </c>
      <c r="I1748" s="87" t="b">
        <v>0</v>
      </c>
      <c r="J1748" s="173" t="s">
        <v>449</v>
      </c>
      <c r="K1748" s="174">
        <v>87827689002405</v>
      </c>
      <c r="L1748" s="173" t="s">
        <v>1021</v>
      </c>
      <c r="M1748" s="173" t="s">
        <v>66</v>
      </c>
      <c r="N1748" s="173" t="s">
        <v>67</v>
      </c>
      <c r="O1748" s="87">
        <v>73</v>
      </c>
      <c r="P1748" s="173" t="s">
        <v>26</v>
      </c>
      <c r="Q1748" s="1" t="s">
        <v>1339</v>
      </c>
      <c r="R1748" s="175">
        <v>16</v>
      </c>
      <c r="S1748">
        <v>8</v>
      </c>
    </row>
    <row r="1749" spans="1:19" x14ac:dyDescent="0.25">
      <c r="A1749" s="87">
        <v>2019</v>
      </c>
      <c r="B1749" s="87">
        <v>9</v>
      </c>
      <c r="C1749" s="173" t="s">
        <v>16</v>
      </c>
      <c r="D1749" s="173" t="s">
        <v>22</v>
      </c>
      <c r="E1749" s="173" t="s">
        <v>18</v>
      </c>
      <c r="F1749" s="173" t="s">
        <v>16</v>
      </c>
      <c r="G1749" s="87" t="b">
        <v>1</v>
      </c>
      <c r="H1749" s="87" t="b">
        <v>1</v>
      </c>
      <c r="I1749" s="87" t="b">
        <v>0</v>
      </c>
      <c r="J1749" s="173" t="s">
        <v>449</v>
      </c>
      <c r="K1749" s="174">
        <v>87827689002405</v>
      </c>
      <c r="L1749" s="173" t="s">
        <v>1021</v>
      </c>
      <c r="M1749" s="173" t="s">
        <v>66</v>
      </c>
      <c r="N1749" s="173" t="s">
        <v>67</v>
      </c>
      <c r="O1749" s="87">
        <v>73</v>
      </c>
      <c r="P1749" s="173" t="s">
        <v>26</v>
      </c>
      <c r="Q1749" s="1" t="s">
        <v>1342</v>
      </c>
      <c r="R1749" s="175">
        <v>192</v>
      </c>
      <c r="S1749">
        <v>48</v>
      </c>
    </row>
    <row r="1750" spans="1:19" x14ac:dyDescent="0.25">
      <c r="A1750" s="87">
        <v>2019</v>
      </c>
      <c r="B1750" s="87">
        <v>9</v>
      </c>
      <c r="C1750" s="173" t="s">
        <v>16</v>
      </c>
      <c r="D1750" s="173" t="s">
        <v>22</v>
      </c>
      <c r="E1750" s="173" t="s">
        <v>18</v>
      </c>
      <c r="F1750" s="173" t="s">
        <v>16</v>
      </c>
      <c r="G1750" s="87" t="b">
        <v>1</v>
      </c>
      <c r="H1750" s="87" t="b">
        <v>1</v>
      </c>
      <c r="I1750" s="87" t="b">
        <v>0</v>
      </c>
      <c r="J1750" s="173" t="s">
        <v>449</v>
      </c>
      <c r="K1750" s="174">
        <v>87827689002405</v>
      </c>
      <c r="L1750" s="173" t="s">
        <v>1021</v>
      </c>
      <c r="M1750" s="173" t="s">
        <v>66</v>
      </c>
      <c r="N1750" s="173" t="s">
        <v>67</v>
      </c>
      <c r="O1750" s="87">
        <v>73</v>
      </c>
      <c r="P1750" s="173" t="s">
        <v>26</v>
      </c>
      <c r="Q1750" s="1" t="s">
        <v>1340</v>
      </c>
      <c r="R1750" s="175">
        <v>1</v>
      </c>
      <c r="S1750">
        <v>1</v>
      </c>
    </row>
    <row r="1751" spans="1:19" x14ac:dyDescent="0.25">
      <c r="A1751" s="87">
        <v>2019</v>
      </c>
      <c r="B1751" s="87">
        <v>9</v>
      </c>
      <c r="C1751" s="173" t="s">
        <v>16</v>
      </c>
      <c r="D1751" s="173" t="s">
        <v>22</v>
      </c>
      <c r="E1751" s="173" t="s">
        <v>18</v>
      </c>
      <c r="F1751" s="173" t="s">
        <v>16</v>
      </c>
      <c r="G1751" s="87" t="b">
        <v>1</v>
      </c>
      <c r="H1751" s="87" t="b">
        <v>1</v>
      </c>
      <c r="I1751" s="87" t="b">
        <v>0</v>
      </c>
      <c r="J1751" s="173" t="s">
        <v>449</v>
      </c>
      <c r="K1751" s="174">
        <v>88625686002443</v>
      </c>
      <c r="L1751" s="173" t="s">
        <v>1023</v>
      </c>
      <c r="M1751" s="173" t="s">
        <v>83</v>
      </c>
      <c r="N1751" s="173" t="s">
        <v>67</v>
      </c>
      <c r="O1751" s="87">
        <v>62</v>
      </c>
      <c r="P1751" s="173" t="s">
        <v>27</v>
      </c>
      <c r="Q1751" s="1" t="s">
        <v>1343</v>
      </c>
      <c r="R1751" s="175">
        <v>2</v>
      </c>
      <c r="S1751">
        <v>2</v>
      </c>
    </row>
    <row r="1752" spans="1:19" x14ac:dyDescent="0.25">
      <c r="A1752" s="87">
        <v>2019</v>
      </c>
      <c r="B1752" s="87">
        <v>9</v>
      </c>
      <c r="C1752" s="173" t="s">
        <v>16</v>
      </c>
      <c r="D1752" s="173" t="s">
        <v>22</v>
      </c>
      <c r="E1752" s="173" t="s">
        <v>18</v>
      </c>
      <c r="F1752" s="173" t="s">
        <v>16</v>
      </c>
      <c r="G1752" s="87" t="b">
        <v>1</v>
      </c>
      <c r="H1752" s="87" t="b">
        <v>1</v>
      </c>
      <c r="I1752" s="87" t="b">
        <v>0</v>
      </c>
      <c r="J1752" s="173" t="s">
        <v>451</v>
      </c>
      <c r="K1752" s="174">
        <v>88625686002443</v>
      </c>
      <c r="L1752" s="173" t="s">
        <v>1023</v>
      </c>
      <c r="M1752" s="173" t="s">
        <v>83</v>
      </c>
      <c r="N1752" s="173" t="s">
        <v>67</v>
      </c>
      <c r="O1752" s="87">
        <v>64</v>
      </c>
      <c r="P1752" s="173" t="s">
        <v>25</v>
      </c>
      <c r="Q1752" s="1" t="s">
        <v>1344</v>
      </c>
      <c r="R1752" s="175">
        <v>19</v>
      </c>
      <c r="S1752">
        <v>19</v>
      </c>
    </row>
    <row r="1753" spans="1:19" x14ac:dyDescent="0.25">
      <c r="A1753" s="87">
        <v>2019</v>
      </c>
      <c r="B1753" s="87">
        <v>9</v>
      </c>
      <c r="C1753" s="173" t="s">
        <v>16</v>
      </c>
      <c r="D1753" s="173" t="s">
        <v>22</v>
      </c>
      <c r="E1753" s="173" t="s">
        <v>18</v>
      </c>
      <c r="F1753" s="173" t="s">
        <v>16</v>
      </c>
      <c r="G1753" s="87" t="b">
        <v>1</v>
      </c>
      <c r="H1753" s="87" t="b">
        <v>1</v>
      </c>
      <c r="I1753" s="87" t="b">
        <v>0</v>
      </c>
      <c r="J1753" s="173" t="s">
        <v>449</v>
      </c>
      <c r="K1753" s="174">
        <v>88645403001372</v>
      </c>
      <c r="L1753" s="173" t="s">
        <v>1025</v>
      </c>
      <c r="M1753" s="173" t="s">
        <v>66</v>
      </c>
      <c r="N1753" s="173" t="s">
        <v>67</v>
      </c>
      <c r="O1753" s="87">
        <v>73</v>
      </c>
      <c r="P1753" s="173" t="s">
        <v>26</v>
      </c>
      <c r="Q1753" s="1" t="s">
        <v>1342</v>
      </c>
      <c r="R1753" s="175">
        <v>32</v>
      </c>
      <c r="S1753">
        <v>8</v>
      </c>
    </row>
    <row r="1754" spans="1:19" x14ac:dyDescent="0.25">
      <c r="A1754" s="87">
        <v>2019</v>
      </c>
      <c r="B1754" s="87">
        <v>9</v>
      </c>
      <c r="C1754" s="173" t="s">
        <v>16</v>
      </c>
      <c r="D1754" s="173" t="s">
        <v>22</v>
      </c>
      <c r="E1754" s="173" t="s">
        <v>18</v>
      </c>
      <c r="F1754" s="173" t="s">
        <v>16</v>
      </c>
      <c r="G1754" s="87" t="b">
        <v>1</v>
      </c>
      <c r="H1754" s="87" t="b">
        <v>1</v>
      </c>
      <c r="I1754" s="87" t="b">
        <v>0</v>
      </c>
      <c r="J1754" s="173" t="s">
        <v>449</v>
      </c>
      <c r="K1754" s="174">
        <v>92404789000164</v>
      </c>
      <c r="L1754" s="173" t="s">
        <v>1028</v>
      </c>
      <c r="M1754" s="173" t="s">
        <v>106</v>
      </c>
      <c r="N1754" s="173" t="s">
        <v>67</v>
      </c>
      <c r="O1754" s="87">
        <v>73</v>
      </c>
      <c r="P1754" s="173" t="s">
        <v>26</v>
      </c>
      <c r="Q1754" s="1" t="s">
        <v>1342</v>
      </c>
      <c r="R1754" s="175">
        <v>16</v>
      </c>
      <c r="S1754">
        <v>4</v>
      </c>
    </row>
    <row r="1755" spans="1:19" x14ac:dyDescent="0.25">
      <c r="A1755" s="87">
        <v>2019</v>
      </c>
      <c r="B1755" s="87">
        <v>9</v>
      </c>
      <c r="C1755" s="173" t="s">
        <v>16</v>
      </c>
      <c r="D1755" s="173" t="s">
        <v>22</v>
      </c>
      <c r="E1755" s="173" t="s">
        <v>18</v>
      </c>
      <c r="F1755" s="173" t="s">
        <v>16</v>
      </c>
      <c r="G1755" s="87" t="b">
        <v>1</v>
      </c>
      <c r="H1755" s="87" t="b">
        <v>1</v>
      </c>
      <c r="I1755" s="87" t="b">
        <v>0</v>
      </c>
      <c r="J1755" s="173" t="s">
        <v>464</v>
      </c>
      <c r="K1755" s="174">
        <v>92685833000151</v>
      </c>
      <c r="L1755" s="173" t="s">
        <v>1029</v>
      </c>
      <c r="M1755" s="173" t="s">
        <v>83</v>
      </c>
      <c r="N1755" s="173" t="s">
        <v>67</v>
      </c>
      <c r="O1755" s="87">
        <v>64</v>
      </c>
      <c r="P1755" s="173" t="s">
        <v>25</v>
      </c>
      <c r="Q1755" s="1" t="s">
        <v>1344</v>
      </c>
      <c r="R1755" s="175">
        <v>20</v>
      </c>
      <c r="S1755">
        <v>20</v>
      </c>
    </row>
    <row r="1756" spans="1:19" x14ac:dyDescent="0.25">
      <c r="A1756" s="87">
        <v>2019</v>
      </c>
      <c r="B1756" s="87">
        <v>9</v>
      </c>
      <c r="C1756" s="173" t="s">
        <v>16</v>
      </c>
      <c r="D1756" s="173" t="s">
        <v>22</v>
      </c>
      <c r="E1756" s="173" t="s">
        <v>18</v>
      </c>
      <c r="F1756" s="173" t="s">
        <v>16</v>
      </c>
      <c r="G1756" s="87" t="b">
        <v>1</v>
      </c>
      <c r="H1756" s="87" t="b">
        <v>1</v>
      </c>
      <c r="I1756" s="87" t="b">
        <v>0</v>
      </c>
      <c r="J1756" s="173" t="s">
        <v>455</v>
      </c>
      <c r="K1756" s="174">
        <v>92685833000151</v>
      </c>
      <c r="L1756" s="173" t="s">
        <v>1029</v>
      </c>
      <c r="M1756" s="173" t="s">
        <v>83</v>
      </c>
      <c r="N1756" s="173" t="s">
        <v>67</v>
      </c>
      <c r="O1756" s="87">
        <v>64</v>
      </c>
      <c r="P1756" s="173" t="s">
        <v>25</v>
      </c>
      <c r="Q1756" s="1" t="s">
        <v>1344</v>
      </c>
      <c r="R1756" s="175">
        <v>12</v>
      </c>
      <c r="S1756">
        <v>12</v>
      </c>
    </row>
    <row r="1757" spans="1:19" x14ac:dyDescent="0.25">
      <c r="A1757" s="87">
        <v>2019</v>
      </c>
      <c r="B1757" s="87">
        <v>9</v>
      </c>
      <c r="C1757" s="173" t="s">
        <v>16</v>
      </c>
      <c r="D1757" s="173" t="s">
        <v>22</v>
      </c>
      <c r="E1757" s="173" t="s">
        <v>18</v>
      </c>
      <c r="F1757" s="173" t="s">
        <v>16</v>
      </c>
      <c r="G1757" s="87" t="b">
        <v>1</v>
      </c>
      <c r="H1757" s="87" t="b">
        <v>1</v>
      </c>
      <c r="I1757" s="87" t="b">
        <v>0</v>
      </c>
      <c r="J1757" s="173" t="s">
        <v>449</v>
      </c>
      <c r="K1757" s="174">
        <v>92685833000151</v>
      </c>
      <c r="L1757" s="173" t="s">
        <v>1029</v>
      </c>
      <c r="M1757" s="173" t="s">
        <v>83</v>
      </c>
      <c r="N1757" s="173" t="s">
        <v>67</v>
      </c>
      <c r="O1757" s="87">
        <v>73</v>
      </c>
      <c r="P1757" s="173" t="s">
        <v>26</v>
      </c>
      <c r="Q1757" s="1" t="s">
        <v>1340</v>
      </c>
      <c r="R1757" s="175">
        <v>1</v>
      </c>
      <c r="S1757">
        <v>1</v>
      </c>
    </row>
    <row r="1758" spans="1:19" x14ac:dyDescent="0.25">
      <c r="A1758" s="87">
        <v>2019</v>
      </c>
      <c r="B1758" s="87">
        <v>9</v>
      </c>
      <c r="C1758" s="173" t="s">
        <v>16</v>
      </c>
      <c r="D1758" s="173" t="s">
        <v>22</v>
      </c>
      <c r="E1758" s="173" t="s">
        <v>18</v>
      </c>
      <c r="F1758" s="173" t="s">
        <v>16</v>
      </c>
      <c r="G1758" s="87" t="b">
        <v>1</v>
      </c>
      <c r="H1758" s="87" t="b">
        <v>1</v>
      </c>
      <c r="I1758" s="87" t="b">
        <v>0</v>
      </c>
      <c r="J1758" s="173" t="s">
        <v>470</v>
      </c>
      <c r="K1758" s="174">
        <v>92685833000151</v>
      </c>
      <c r="L1758" s="173" t="s">
        <v>1029</v>
      </c>
      <c r="M1758" s="173" t="s">
        <v>83</v>
      </c>
      <c r="N1758" s="173" t="s">
        <v>67</v>
      </c>
      <c r="O1758" s="87">
        <v>73</v>
      </c>
      <c r="P1758" s="173" t="s">
        <v>26</v>
      </c>
      <c r="Q1758" s="1" t="s">
        <v>1340</v>
      </c>
      <c r="R1758" s="175">
        <v>3</v>
      </c>
      <c r="S1758">
        <v>3</v>
      </c>
    </row>
    <row r="1759" spans="1:19" x14ac:dyDescent="0.25">
      <c r="A1759" s="87">
        <v>2019</v>
      </c>
      <c r="B1759" s="87">
        <v>9</v>
      </c>
      <c r="C1759" s="173" t="s">
        <v>16</v>
      </c>
      <c r="D1759" s="173" t="s">
        <v>22</v>
      </c>
      <c r="E1759" s="173" t="s">
        <v>18</v>
      </c>
      <c r="F1759" s="173" t="s">
        <v>16</v>
      </c>
      <c r="G1759" s="87" t="b">
        <v>1</v>
      </c>
      <c r="H1759" s="87" t="b">
        <v>1</v>
      </c>
      <c r="I1759" s="87" t="b">
        <v>0</v>
      </c>
      <c r="J1759" s="173" t="s">
        <v>491</v>
      </c>
      <c r="K1759" s="174">
        <v>92685833000151</v>
      </c>
      <c r="L1759" s="173" t="s">
        <v>1029</v>
      </c>
      <c r="M1759" s="173" t="s">
        <v>83</v>
      </c>
      <c r="N1759" s="173" t="s">
        <v>67</v>
      </c>
      <c r="O1759" s="87">
        <v>73</v>
      </c>
      <c r="P1759" s="173" t="s">
        <v>26</v>
      </c>
      <c r="Q1759" s="1" t="s">
        <v>1340</v>
      </c>
      <c r="R1759" s="175">
        <v>4</v>
      </c>
      <c r="S1759">
        <v>4</v>
      </c>
    </row>
    <row r="1760" spans="1:19" x14ac:dyDescent="0.25">
      <c r="A1760" s="87">
        <v>2019</v>
      </c>
      <c r="B1760" s="87">
        <v>9</v>
      </c>
      <c r="C1760" s="173" t="s">
        <v>16</v>
      </c>
      <c r="D1760" s="173" t="s">
        <v>22</v>
      </c>
      <c r="E1760" s="173" t="s">
        <v>18</v>
      </c>
      <c r="F1760" s="173" t="s">
        <v>16</v>
      </c>
      <c r="G1760" s="87" t="b">
        <v>1</v>
      </c>
      <c r="H1760" s="87" t="b">
        <v>1</v>
      </c>
      <c r="I1760" s="87" t="b">
        <v>0</v>
      </c>
      <c r="J1760" s="173" t="s">
        <v>449</v>
      </c>
      <c r="K1760" s="174">
        <v>92741016000254</v>
      </c>
      <c r="L1760" s="173" t="s">
        <v>1030</v>
      </c>
      <c r="M1760" s="173" t="s">
        <v>83</v>
      </c>
      <c r="N1760" s="173" t="s">
        <v>67</v>
      </c>
      <c r="O1760" s="87">
        <v>62</v>
      </c>
      <c r="P1760" s="173" t="s">
        <v>27</v>
      </c>
      <c r="Q1760" s="1" t="s">
        <v>1343</v>
      </c>
      <c r="R1760" s="175">
        <v>2</v>
      </c>
      <c r="S1760">
        <v>2</v>
      </c>
    </row>
    <row r="1761" spans="1:19" x14ac:dyDescent="0.25">
      <c r="A1761" s="87">
        <v>2019</v>
      </c>
      <c r="B1761" s="87">
        <v>9</v>
      </c>
      <c r="C1761" s="173" t="s">
        <v>16</v>
      </c>
      <c r="D1761" s="173" t="s">
        <v>22</v>
      </c>
      <c r="E1761" s="173" t="s">
        <v>18</v>
      </c>
      <c r="F1761" s="173" t="s">
        <v>16</v>
      </c>
      <c r="G1761" s="87" t="b">
        <v>1</v>
      </c>
      <c r="H1761" s="87" t="b">
        <v>1</v>
      </c>
      <c r="I1761" s="87" t="b">
        <v>0</v>
      </c>
      <c r="J1761" s="173" t="s">
        <v>449</v>
      </c>
      <c r="K1761" s="174">
        <v>92741016000254</v>
      </c>
      <c r="L1761" s="173" t="s">
        <v>1030</v>
      </c>
      <c r="M1761" s="173" t="s">
        <v>83</v>
      </c>
      <c r="N1761" s="173" t="s">
        <v>67</v>
      </c>
      <c r="O1761" s="87">
        <v>64</v>
      </c>
      <c r="P1761" s="173" t="s">
        <v>25</v>
      </c>
      <c r="Q1761" s="1" t="s">
        <v>1344</v>
      </c>
      <c r="R1761" s="175">
        <v>9</v>
      </c>
      <c r="S1761">
        <v>9</v>
      </c>
    </row>
    <row r="1762" spans="1:19" x14ac:dyDescent="0.25">
      <c r="A1762" s="87">
        <v>2019</v>
      </c>
      <c r="B1762" s="87">
        <v>9</v>
      </c>
      <c r="C1762" s="173" t="s">
        <v>16</v>
      </c>
      <c r="D1762" s="173" t="s">
        <v>22</v>
      </c>
      <c r="E1762" s="173" t="s">
        <v>18</v>
      </c>
      <c r="F1762" s="173" t="s">
        <v>16</v>
      </c>
      <c r="G1762" s="87" t="b">
        <v>1</v>
      </c>
      <c r="H1762" s="87" t="b">
        <v>1</v>
      </c>
      <c r="I1762" s="87" t="b">
        <v>0</v>
      </c>
      <c r="J1762" s="173" t="s">
        <v>449</v>
      </c>
      <c r="K1762" s="174">
        <v>92815000000168</v>
      </c>
      <c r="L1762" s="173" t="s">
        <v>1033</v>
      </c>
      <c r="M1762" s="173" t="s">
        <v>83</v>
      </c>
      <c r="N1762" s="173" t="s">
        <v>67</v>
      </c>
      <c r="O1762" s="87">
        <v>62</v>
      </c>
      <c r="P1762" s="173" t="s">
        <v>27</v>
      </c>
      <c r="Q1762" s="1" t="s">
        <v>1343</v>
      </c>
      <c r="R1762" s="175">
        <v>46</v>
      </c>
      <c r="S1762">
        <v>46</v>
      </c>
    </row>
    <row r="1763" spans="1:19" x14ac:dyDescent="0.25">
      <c r="A1763" s="87">
        <v>2019</v>
      </c>
      <c r="B1763" s="87">
        <v>9</v>
      </c>
      <c r="C1763" s="173" t="s">
        <v>16</v>
      </c>
      <c r="D1763" s="173" t="s">
        <v>22</v>
      </c>
      <c r="E1763" s="173" t="s">
        <v>18</v>
      </c>
      <c r="F1763" s="173" t="s">
        <v>16</v>
      </c>
      <c r="G1763" s="87" t="b">
        <v>1</v>
      </c>
      <c r="H1763" s="87" t="b">
        <v>1</v>
      </c>
      <c r="I1763" s="87" t="b">
        <v>0</v>
      </c>
      <c r="J1763" s="173" t="s">
        <v>452</v>
      </c>
      <c r="K1763" s="174">
        <v>92815000000168</v>
      </c>
      <c r="L1763" s="173" t="s">
        <v>1033</v>
      </c>
      <c r="M1763" s="173" t="s">
        <v>83</v>
      </c>
      <c r="N1763" s="173" t="s">
        <v>67</v>
      </c>
      <c r="O1763" s="87">
        <v>62</v>
      </c>
      <c r="P1763" s="173" t="s">
        <v>27</v>
      </c>
      <c r="Q1763" s="1" t="s">
        <v>1343</v>
      </c>
      <c r="R1763" s="175">
        <v>15</v>
      </c>
      <c r="S1763">
        <v>15</v>
      </c>
    </row>
    <row r="1764" spans="1:19" x14ac:dyDescent="0.25">
      <c r="A1764" s="87">
        <v>2019</v>
      </c>
      <c r="B1764" s="87">
        <v>9</v>
      </c>
      <c r="C1764" s="173" t="s">
        <v>16</v>
      </c>
      <c r="D1764" s="173" t="s">
        <v>22</v>
      </c>
      <c r="E1764" s="173" t="s">
        <v>18</v>
      </c>
      <c r="F1764" s="173" t="s">
        <v>16</v>
      </c>
      <c r="G1764" s="87" t="b">
        <v>1</v>
      </c>
      <c r="H1764" s="87" t="b">
        <v>1</v>
      </c>
      <c r="I1764" s="87" t="b">
        <v>0</v>
      </c>
      <c r="J1764" s="173" t="s">
        <v>449</v>
      </c>
      <c r="K1764" s="174">
        <v>92815000000168</v>
      </c>
      <c r="L1764" s="173" t="s">
        <v>1033</v>
      </c>
      <c r="M1764" s="173" t="s">
        <v>83</v>
      </c>
      <c r="N1764" s="173" t="s">
        <v>67</v>
      </c>
      <c r="O1764" s="87">
        <v>64</v>
      </c>
      <c r="P1764" s="173" t="s">
        <v>25</v>
      </c>
      <c r="Q1764" s="1" t="s">
        <v>1344</v>
      </c>
      <c r="R1764" s="175">
        <v>25</v>
      </c>
      <c r="S1764">
        <v>25</v>
      </c>
    </row>
    <row r="1765" spans="1:19" x14ac:dyDescent="0.25">
      <c r="A1765" s="87">
        <v>2019</v>
      </c>
      <c r="B1765" s="87">
        <v>9</v>
      </c>
      <c r="C1765" s="173" t="s">
        <v>16</v>
      </c>
      <c r="D1765" s="173" t="s">
        <v>22</v>
      </c>
      <c r="E1765" s="173" t="s">
        <v>18</v>
      </c>
      <c r="F1765" s="173" t="s">
        <v>16</v>
      </c>
      <c r="G1765" s="87" t="b">
        <v>1</v>
      </c>
      <c r="H1765" s="87" t="b">
        <v>1</v>
      </c>
      <c r="I1765" s="87" t="b">
        <v>0</v>
      </c>
      <c r="J1765" s="173" t="s">
        <v>449</v>
      </c>
      <c r="K1765" s="174">
        <v>92815000000168</v>
      </c>
      <c r="L1765" s="173" t="s">
        <v>1033</v>
      </c>
      <c r="M1765" s="173" t="s">
        <v>83</v>
      </c>
      <c r="N1765" s="173" t="s">
        <v>67</v>
      </c>
      <c r="O1765" s="87">
        <v>70</v>
      </c>
      <c r="P1765" s="173" t="s">
        <v>20</v>
      </c>
      <c r="Q1765" s="1" t="s">
        <v>1345</v>
      </c>
      <c r="R1765" s="175">
        <v>90</v>
      </c>
      <c r="S1765">
        <v>9</v>
      </c>
    </row>
    <row r="1766" spans="1:19" x14ac:dyDescent="0.25">
      <c r="A1766" s="87">
        <v>2019</v>
      </c>
      <c r="B1766" s="87">
        <v>9</v>
      </c>
      <c r="C1766" s="173" t="s">
        <v>16</v>
      </c>
      <c r="D1766" s="173" t="s">
        <v>22</v>
      </c>
      <c r="E1766" s="173" t="s">
        <v>18</v>
      </c>
      <c r="F1766" s="173" t="s">
        <v>16</v>
      </c>
      <c r="G1766" s="87" t="b">
        <v>1</v>
      </c>
      <c r="H1766" s="87" t="b">
        <v>1</v>
      </c>
      <c r="I1766" s="87" t="b">
        <v>0</v>
      </c>
      <c r="J1766" s="173" t="s">
        <v>449</v>
      </c>
      <c r="K1766" s="174">
        <v>92815000000168</v>
      </c>
      <c r="L1766" s="173" t="s">
        <v>1033</v>
      </c>
      <c r="M1766" s="173" t="s">
        <v>83</v>
      </c>
      <c r="N1766" s="173" t="s">
        <v>67</v>
      </c>
      <c r="O1766" s="87">
        <v>73</v>
      </c>
      <c r="P1766" s="173" t="s">
        <v>26</v>
      </c>
      <c r="Q1766" s="1" t="s">
        <v>1339</v>
      </c>
      <c r="R1766" s="175">
        <v>24</v>
      </c>
      <c r="S1766">
        <v>12</v>
      </c>
    </row>
    <row r="1767" spans="1:19" x14ac:dyDescent="0.25">
      <c r="A1767" s="87">
        <v>2019</v>
      </c>
      <c r="B1767" s="87">
        <v>9</v>
      </c>
      <c r="C1767" s="173" t="s">
        <v>16</v>
      </c>
      <c r="D1767" s="173" t="s">
        <v>22</v>
      </c>
      <c r="E1767" s="173" t="s">
        <v>18</v>
      </c>
      <c r="F1767" s="173" t="s">
        <v>16</v>
      </c>
      <c r="G1767" s="87" t="b">
        <v>1</v>
      </c>
      <c r="H1767" s="87" t="b">
        <v>1</v>
      </c>
      <c r="I1767" s="87" t="b">
        <v>0</v>
      </c>
      <c r="J1767" s="173" t="s">
        <v>449</v>
      </c>
      <c r="K1767" s="174">
        <v>92815000000168</v>
      </c>
      <c r="L1767" s="173" t="s">
        <v>1033</v>
      </c>
      <c r="M1767" s="173" t="s">
        <v>83</v>
      </c>
      <c r="N1767" s="173" t="s">
        <v>67</v>
      </c>
      <c r="O1767" s="87">
        <v>73</v>
      </c>
      <c r="P1767" s="173" t="s">
        <v>26</v>
      </c>
      <c r="Q1767" s="1" t="s">
        <v>1340</v>
      </c>
      <c r="R1767" s="175">
        <v>4</v>
      </c>
      <c r="S1767">
        <v>4</v>
      </c>
    </row>
    <row r="1768" spans="1:19" x14ac:dyDescent="0.25">
      <c r="A1768" s="87">
        <v>2019</v>
      </c>
      <c r="B1768" s="87">
        <v>9</v>
      </c>
      <c r="C1768" s="173" t="s">
        <v>16</v>
      </c>
      <c r="D1768" s="173" t="s">
        <v>22</v>
      </c>
      <c r="E1768" s="173" t="s">
        <v>18</v>
      </c>
      <c r="F1768" s="173" t="s">
        <v>16</v>
      </c>
      <c r="G1768" s="87" t="b">
        <v>1</v>
      </c>
      <c r="H1768" s="87" t="b">
        <v>1</v>
      </c>
      <c r="I1768" s="87" t="b">
        <v>0</v>
      </c>
      <c r="J1768" s="173" t="s">
        <v>449</v>
      </c>
      <c r="K1768" s="174">
        <v>92963560000160</v>
      </c>
      <c r="L1768" s="173" t="s">
        <v>1035</v>
      </c>
      <c r="M1768" s="173" t="s">
        <v>83</v>
      </c>
      <c r="N1768" s="173" t="s">
        <v>67</v>
      </c>
      <c r="O1768" s="87">
        <v>62</v>
      </c>
      <c r="P1768" s="173" t="s">
        <v>27</v>
      </c>
      <c r="Q1768" s="1" t="s">
        <v>1343</v>
      </c>
      <c r="R1768" s="175">
        <v>15</v>
      </c>
      <c r="S1768">
        <v>15</v>
      </c>
    </row>
    <row r="1769" spans="1:19" x14ac:dyDescent="0.25">
      <c r="A1769" s="87">
        <v>2019</v>
      </c>
      <c r="B1769" s="87">
        <v>9</v>
      </c>
      <c r="C1769" s="173" t="s">
        <v>16</v>
      </c>
      <c r="D1769" s="173" t="s">
        <v>22</v>
      </c>
      <c r="E1769" s="173" t="s">
        <v>18</v>
      </c>
      <c r="F1769" s="173" t="s">
        <v>16</v>
      </c>
      <c r="G1769" s="87" t="b">
        <v>1</v>
      </c>
      <c r="H1769" s="87" t="b">
        <v>1</v>
      </c>
      <c r="I1769" s="87" t="b">
        <v>0</v>
      </c>
      <c r="J1769" s="173" t="s">
        <v>492</v>
      </c>
      <c r="K1769" s="174">
        <v>94831294000147</v>
      </c>
      <c r="L1769" s="173" t="s">
        <v>1036</v>
      </c>
      <c r="M1769" s="173" t="s">
        <v>83</v>
      </c>
      <c r="N1769" s="173" t="s">
        <v>67</v>
      </c>
      <c r="O1769" s="87">
        <v>70</v>
      </c>
      <c r="P1769" s="173" t="s">
        <v>20</v>
      </c>
      <c r="Q1769" s="1" t="s">
        <v>1338</v>
      </c>
      <c r="R1769" s="175">
        <v>30</v>
      </c>
      <c r="S1769">
        <v>6</v>
      </c>
    </row>
    <row r="1770" spans="1:19" x14ac:dyDescent="0.25">
      <c r="A1770" s="87">
        <v>2019</v>
      </c>
      <c r="B1770" s="87">
        <v>9</v>
      </c>
      <c r="C1770" s="173" t="s">
        <v>16</v>
      </c>
      <c r="D1770" s="173" t="s">
        <v>22</v>
      </c>
      <c r="E1770" s="173" t="s">
        <v>18</v>
      </c>
      <c r="F1770" s="173" t="s">
        <v>16</v>
      </c>
      <c r="G1770" s="87" t="b">
        <v>1</v>
      </c>
      <c r="H1770" s="87" t="b">
        <v>1</v>
      </c>
      <c r="I1770" s="87" t="b">
        <v>0</v>
      </c>
      <c r="J1770" s="173" t="s">
        <v>449</v>
      </c>
      <c r="K1770" s="174">
        <v>95610887000146</v>
      </c>
      <c r="L1770" s="173" t="s">
        <v>1037</v>
      </c>
      <c r="M1770" s="173" t="s">
        <v>87</v>
      </c>
      <c r="N1770" s="173" t="s">
        <v>67</v>
      </c>
      <c r="O1770" s="87">
        <v>62</v>
      </c>
      <c r="P1770" s="173" t="s">
        <v>27</v>
      </c>
      <c r="Q1770" s="1" t="s">
        <v>1343</v>
      </c>
      <c r="R1770" s="175">
        <v>3</v>
      </c>
      <c r="S1770">
        <v>3</v>
      </c>
    </row>
    <row r="1771" spans="1:19" x14ac:dyDescent="0.25">
      <c r="A1771" s="87">
        <v>2019</v>
      </c>
      <c r="B1771" s="87">
        <v>9</v>
      </c>
      <c r="C1771" s="173" t="s">
        <v>16</v>
      </c>
      <c r="D1771" s="173" t="s">
        <v>22</v>
      </c>
      <c r="E1771" s="173" t="s">
        <v>18</v>
      </c>
      <c r="F1771" s="173" t="s">
        <v>16</v>
      </c>
      <c r="G1771" s="87" t="b">
        <v>1</v>
      </c>
      <c r="H1771" s="87" t="b">
        <v>1</v>
      </c>
      <c r="I1771" s="87" t="b">
        <v>0</v>
      </c>
      <c r="J1771" s="173" t="s">
        <v>492</v>
      </c>
      <c r="K1771" s="174">
        <v>95610887000146</v>
      </c>
      <c r="L1771" s="173" t="s">
        <v>1037</v>
      </c>
      <c r="M1771" s="173" t="s">
        <v>87</v>
      </c>
      <c r="N1771" s="173" t="s">
        <v>67</v>
      </c>
      <c r="O1771" s="87">
        <v>70</v>
      </c>
      <c r="P1771" s="173" t="s">
        <v>20</v>
      </c>
      <c r="Q1771" s="1" t="s">
        <v>1338</v>
      </c>
      <c r="R1771" s="175">
        <v>450</v>
      </c>
      <c r="S1771">
        <v>90</v>
      </c>
    </row>
    <row r="1772" spans="1:19" x14ac:dyDescent="0.25">
      <c r="A1772" s="87">
        <v>2019</v>
      </c>
      <c r="B1772" s="87">
        <v>9</v>
      </c>
      <c r="C1772" s="173" t="s">
        <v>16</v>
      </c>
      <c r="D1772" s="173" t="s">
        <v>22</v>
      </c>
      <c r="E1772" s="173" t="s">
        <v>18</v>
      </c>
      <c r="F1772" s="173" t="s">
        <v>16</v>
      </c>
      <c r="G1772" s="87" t="b">
        <v>1</v>
      </c>
      <c r="H1772" s="87" t="b">
        <v>1</v>
      </c>
      <c r="I1772" s="87" t="b">
        <v>0</v>
      </c>
      <c r="J1772" s="173" t="s">
        <v>460</v>
      </c>
      <c r="K1772" s="174">
        <v>97397848000138</v>
      </c>
      <c r="L1772" s="173" t="s">
        <v>928</v>
      </c>
      <c r="M1772" s="173" t="s">
        <v>75</v>
      </c>
      <c r="N1772" s="173" t="s">
        <v>74</v>
      </c>
      <c r="O1772" s="87">
        <v>64</v>
      </c>
      <c r="P1772" s="173" t="s">
        <v>25</v>
      </c>
      <c r="Q1772" s="1" t="s">
        <v>1344</v>
      </c>
      <c r="R1772" s="175">
        <v>4</v>
      </c>
      <c r="S1772">
        <v>4</v>
      </c>
    </row>
    <row r="1773" spans="1:19" x14ac:dyDescent="0.25">
      <c r="A1773" s="87">
        <v>2019</v>
      </c>
      <c r="B1773" s="87">
        <v>10</v>
      </c>
      <c r="C1773" s="173" t="s">
        <v>16</v>
      </c>
      <c r="D1773" s="173" t="s">
        <v>23</v>
      </c>
      <c r="E1773" s="173" t="s">
        <v>24</v>
      </c>
      <c r="F1773" s="173" t="s">
        <v>16</v>
      </c>
      <c r="G1773" s="87" t="b">
        <v>1</v>
      </c>
      <c r="H1773" s="87" t="b">
        <v>0</v>
      </c>
      <c r="I1773" s="87" t="b">
        <v>0</v>
      </c>
      <c r="J1773" s="173" t="s">
        <v>453</v>
      </c>
      <c r="K1773" s="174">
        <v>12371009253</v>
      </c>
      <c r="L1773" s="173" t="s">
        <v>1128</v>
      </c>
      <c r="M1773" s="173" t="s">
        <v>1129</v>
      </c>
      <c r="N1773" s="173" t="s">
        <v>52</v>
      </c>
      <c r="O1773" s="87">
        <v>73</v>
      </c>
      <c r="P1773" s="173" t="s">
        <v>26</v>
      </c>
      <c r="Q1773" s="1" t="s">
        <v>1339</v>
      </c>
      <c r="R1773" s="175">
        <v>8</v>
      </c>
      <c r="S1773">
        <v>4</v>
      </c>
    </row>
    <row r="1774" spans="1:19" x14ac:dyDescent="0.25">
      <c r="A1774" s="87">
        <v>2019</v>
      </c>
      <c r="B1774" s="87">
        <v>10</v>
      </c>
      <c r="C1774" s="173" t="s">
        <v>16</v>
      </c>
      <c r="D1774" s="173" t="s">
        <v>23</v>
      </c>
      <c r="E1774" s="173" t="s">
        <v>24</v>
      </c>
      <c r="F1774" s="173" t="s">
        <v>16</v>
      </c>
      <c r="G1774" s="87" t="b">
        <v>1</v>
      </c>
      <c r="H1774" s="87" t="b">
        <v>0</v>
      </c>
      <c r="I1774" s="87" t="b">
        <v>0</v>
      </c>
      <c r="J1774" s="173" t="s">
        <v>453</v>
      </c>
      <c r="K1774" s="174">
        <v>12371009253</v>
      </c>
      <c r="L1774" s="173" t="s">
        <v>1128</v>
      </c>
      <c r="M1774" s="173" t="s">
        <v>1129</v>
      </c>
      <c r="N1774" s="173" t="s">
        <v>52</v>
      </c>
      <c r="O1774" s="87">
        <v>73</v>
      </c>
      <c r="P1774" s="173" t="s">
        <v>26</v>
      </c>
      <c r="Q1774" s="1" t="s">
        <v>1340</v>
      </c>
      <c r="R1774" s="175">
        <v>4</v>
      </c>
      <c r="S1774">
        <v>4</v>
      </c>
    </row>
    <row r="1775" spans="1:19" x14ac:dyDescent="0.25">
      <c r="A1775" s="87">
        <v>2019</v>
      </c>
      <c r="B1775" s="87">
        <v>10</v>
      </c>
      <c r="C1775" s="173" t="s">
        <v>16</v>
      </c>
      <c r="D1775" s="173" t="s">
        <v>23</v>
      </c>
      <c r="E1775" s="173" t="s">
        <v>24</v>
      </c>
      <c r="F1775" s="173" t="s">
        <v>16</v>
      </c>
      <c r="G1775" s="87" t="b">
        <v>1</v>
      </c>
      <c r="H1775" s="87" t="b">
        <v>0</v>
      </c>
      <c r="I1775" s="87" t="b">
        <v>0</v>
      </c>
      <c r="J1775" s="173" t="s">
        <v>468</v>
      </c>
      <c r="K1775" s="174">
        <v>25841000153</v>
      </c>
      <c r="L1775" s="173" t="s">
        <v>738</v>
      </c>
      <c r="M1775" s="173" t="s">
        <v>739</v>
      </c>
      <c r="N1775" s="173" t="s">
        <v>55</v>
      </c>
      <c r="O1775" s="87">
        <v>62</v>
      </c>
      <c r="P1775" s="173" t="s">
        <v>27</v>
      </c>
      <c r="Q1775" s="1" t="s">
        <v>1343</v>
      </c>
      <c r="R1775" s="175">
        <v>6</v>
      </c>
      <c r="S1775">
        <v>6</v>
      </c>
    </row>
    <row r="1776" spans="1:19" x14ac:dyDescent="0.25">
      <c r="A1776" s="87">
        <v>2019</v>
      </c>
      <c r="B1776" s="87">
        <v>10</v>
      </c>
      <c r="C1776" s="173" t="s">
        <v>16</v>
      </c>
      <c r="D1776" s="173" t="s">
        <v>23</v>
      </c>
      <c r="E1776" s="173" t="s">
        <v>24</v>
      </c>
      <c r="F1776" s="173" t="s">
        <v>16</v>
      </c>
      <c r="G1776" s="87" t="b">
        <v>1</v>
      </c>
      <c r="H1776" s="87" t="b">
        <v>0</v>
      </c>
      <c r="I1776" s="87" t="b">
        <v>0</v>
      </c>
      <c r="J1776" s="173" t="s">
        <v>491</v>
      </c>
      <c r="K1776" s="174">
        <v>25841000153</v>
      </c>
      <c r="L1776" s="173" t="s">
        <v>738</v>
      </c>
      <c r="M1776" s="173" t="s">
        <v>739</v>
      </c>
      <c r="N1776" s="173" t="s">
        <v>55</v>
      </c>
      <c r="O1776" s="87">
        <v>62</v>
      </c>
      <c r="P1776" s="173" t="s">
        <v>27</v>
      </c>
      <c r="Q1776" s="1" t="s">
        <v>1343</v>
      </c>
      <c r="R1776" s="175">
        <v>3</v>
      </c>
      <c r="S1776">
        <v>3</v>
      </c>
    </row>
    <row r="1777" spans="1:19" x14ac:dyDescent="0.25">
      <c r="A1777" s="87">
        <v>2019</v>
      </c>
      <c r="B1777" s="87">
        <v>10</v>
      </c>
      <c r="C1777" s="173" t="s">
        <v>16</v>
      </c>
      <c r="D1777" s="173" t="s">
        <v>23</v>
      </c>
      <c r="E1777" s="173" t="s">
        <v>24</v>
      </c>
      <c r="F1777" s="173" t="s">
        <v>16</v>
      </c>
      <c r="G1777" s="87" t="b">
        <v>1</v>
      </c>
      <c r="H1777" s="87" t="b">
        <v>0</v>
      </c>
      <c r="I1777" s="87" t="b">
        <v>0</v>
      </c>
      <c r="J1777" s="173" t="s">
        <v>468</v>
      </c>
      <c r="K1777" s="174">
        <v>25841000153</v>
      </c>
      <c r="L1777" s="173" t="s">
        <v>738</v>
      </c>
      <c r="M1777" s="173" t="s">
        <v>739</v>
      </c>
      <c r="N1777" s="173" t="s">
        <v>55</v>
      </c>
      <c r="O1777" s="87">
        <v>64</v>
      </c>
      <c r="P1777" s="173" t="s">
        <v>25</v>
      </c>
      <c r="Q1777" s="1" t="s">
        <v>1344</v>
      </c>
      <c r="R1777" s="175">
        <v>5</v>
      </c>
      <c r="S1777">
        <v>5</v>
      </c>
    </row>
    <row r="1778" spans="1:19" x14ac:dyDescent="0.25">
      <c r="A1778" s="87">
        <v>2019</v>
      </c>
      <c r="B1778" s="87">
        <v>10</v>
      </c>
      <c r="C1778" s="173" t="s">
        <v>16</v>
      </c>
      <c r="D1778" s="173" t="s">
        <v>23</v>
      </c>
      <c r="E1778" s="173" t="s">
        <v>24</v>
      </c>
      <c r="F1778" s="173" t="s">
        <v>16</v>
      </c>
      <c r="G1778" s="87" t="b">
        <v>1</v>
      </c>
      <c r="H1778" s="87" t="b">
        <v>0</v>
      </c>
      <c r="I1778" s="87" t="b">
        <v>0</v>
      </c>
      <c r="J1778" s="173" t="s">
        <v>453</v>
      </c>
      <c r="K1778" s="174">
        <v>44482299472</v>
      </c>
      <c r="L1778" s="173" t="s">
        <v>741</v>
      </c>
      <c r="M1778" s="173" t="s">
        <v>742</v>
      </c>
      <c r="N1778" s="173" t="s">
        <v>91</v>
      </c>
      <c r="O1778" s="87">
        <v>66</v>
      </c>
      <c r="P1778" s="173" t="s">
        <v>28</v>
      </c>
      <c r="Q1778" s="1" t="s">
        <v>1341</v>
      </c>
      <c r="R1778" s="175">
        <v>30</v>
      </c>
      <c r="S1778">
        <v>30</v>
      </c>
    </row>
    <row r="1779" spans="1:19" x14ac:dyDescent="0.25">
      <c r="A1779" s="87">
        <v>2019</v>
      </c>
      <c r="B1779" s="87">
        <v>10</v>
      </c>
      <c r="C1779" s="173" t="s">
        <v>16</v>
      </c>
      <c r="D1779" s="173" t="s">
        <v>23</v>
      </c>
      <c r="E1779" s="173" t="s">
        <v>24</v>
      </c>
      <c r="F1779" s="173" t="s">
        <v>16</v>
      </c>
      <c r="G1779" s="87" t="b">
        <v>1</v>
      </c>
      <c r="H1779" s="87" t="b">
        <v>0</v>
      </c>
      <c r="I1779" s="87" t="b">
        <v>0</v>
      </c>
      <c r="J1779" s="173" t="s">
        <v>491</v>
      </c>
      <c r="K1779" s="174">
        <v>49791000144</v>
      </c>
      <c r="L1779" s="173" t="s">
        <v>743</v>
      </c>
      <c r="M1779" s="173" t="s">
        <v>739</v>
      </c>
      <c r="N1779" s="173" t="s">
        <v>55</v>
      </c>
      <c r="O1779" s="87">
        <v>64</v>
      </c>
      <c r="P1779" s="173" t="s">
        <v>25</v>
      </c>
      <c r="Q1779" s="1" t="s">
        <v>1344</v>
      </c>
      <c r="R1779" s="175">
        <v>3</v>
      </c>
      <c r="S1779">
        <v>3</v>
      </c>
    </row>
    <row r="1780" spans="1:19" x14ac:dyDescent="0.25">
      <c r="A1780" s="87">
        <v>2019</v>
      </c>
      <c r="B1780" s="87">
        <v>10</v>
      </c>
      <c r="C1780" s="173" t="s">
        <v>16</v>
      </c>
      <c r="D1780" s="173" t="s">
        <v>23</v>
      </c>
      <c r="E1780" s="173" t="s">
        <v>24</v>
      </c>
      <c r="F1780" s="173" t="s">
        <v>16</v>
      </c>
      <c r="G1780" s="87" t="b">
        <v>1</v>
      </c>
      <c r="H1780" s="87" t="b">
        <v>0</v>
      </c>
      <c r="I1780" s="87" t="b">
        <v>0</v>
      </c>
      <c r="J1780" s="173" t="s">
        <v>478</v>
      </c>
      <c r="K1780" s="174">
        <v>132229000180</v>
      </c>
      <c r="L1780" s="173" t="s">
        <v>1135</v>
      </c>
      <c r="M1780" s="173" t="s">
        <v>58</v>
      </c>
      <c r="N1780" s="173" t="s">
        <v>54</v>
      </c>
      <c r="O1780" s="87">
        <v>70</v>
      </c>
      <c r="P1780" s="173" t="s">
        <v>20</v>
      </c>
      <c r="Q1780" s="1" t="s">
        <v>1338</v>
      </c>
      <c r="R1780" s="175">
        <v>105</v>
      </c>
      <c r="S1780">
        <v>21</v>
      </c>
    </row>
    <row r="1781" spans="1:19" x14ac:dyDescent="0.25">
      <c r="A1781" s="87">
        <v>2019</v>
      </c>
      <c r="B1781" s="87">
        <v>10</v>
      </c>
      <c r="C1781" s="173" t="s">
        <v>16</v>
      </c>
      <c r="D1781" s="173" t="s">
        <v>23</v>
      </c>
      <c r="E1781" s="173" t="s">
        <v>24</v>
      </c>
      <c r="F1781" s="173" t="s">
        <v>16</v>
      </c>
      <c r="G1781" s="87" t="b">
        <v>1</v>
      </c>
      <c r="H1781" s="87" t="b">
        <v>0</v>
      </c>
      <c r="I1781" s="87" t="b">
        <v>0</v>
      </c>
      <c r="J1781" s="173" t="s">
        <v>450</v>
      </c>
      <c r="K1781" s="174">
        <v>132229000180</v>
      </c>
      <c r="L1781" s="173" t="s">
        <v>1135</v>
      </c>
      <c r="M1781" s="173" t="s">
        <v>58</v>
      </c>
      <c r="N1781" s="173" t="s">
        <v>54</v>
      </c>
      <c r="O1781" s="87">
        <v>70</v>
      </c>
      <c r="P1781" s="173" t="s">
        <v>20</v>
      </c>
      <c r="Q1781" s="1" t="s">
        <v>1338</v>
      </c>
      <c r="R1781" s="175">
        <v>35</v>
      </c>
      <c r="S1781">
        <v>7</v>
      </c>
    </row>
    <row r="1782" spans="1:19" x14ac:dyDescent="0.25">
      <c r="A1782" s="87">
        <v>2019</v>
      </c>
      <c r="B1782" s="87">
        <v>10</v>
      </c>
      <c r="C1782" s="173" t="s">
        <v>16</v>
      </c>
      <c r="D1782" s="173" t="s">
        <v>23</v>
      </c>
      <c r="E1782" s="173" t="s">
        <v>24</v>
      </c>
      <c r="F1782" s="173" t="s">
        <v>16</v>
      </c>
      <c r="G1782" s="87" t="b">
        <v>1</v>
      </c>
      <c r="H1782" s="87" t="b">
        <v>0</v>
      </c>
      <c r="I1782" s="87" t="b">
        <v>0</v>
      </c>
      <c r="J1782" s="173" t="s">
        <v>470</v>
      </c>
      <c r="K1782" s="174">
        <v>304148000110</v>
      </c>
      <c r="L1782" s="173" t="s">
        <v>932</v>
      </c>
      <c r="M1782" s="173" t="s">
        <v>933</v>
      </c>
      <c r="N1782" s="173" t="s">
        <v>57</v>
      </c>
      <c r="O1782" s="87">
        <v>73</v>
      </c>
      <c r="P1782" s="173" t="s">
        <v>26</v>
      </c>
      <c r="Q1782" s="1" t="s">
        <v>1342</v>
      </c>
      <c r="R1782" s="175">
        <v>16</v>
      </c>
      <c r="S1782">
        <v>4</v>
      </c>
    </row>
    <row r="1783" spans="1:19" x14ac:dyDescent="0.25">
      <c r="A1783" s="87">
        <v>2019</v>
      </c>
      <c r="B1783" s="87">
        <v>10</v>
      </c>
      <c r="C1783" s="173" t="s">
        <v>16</v>
      </c>
      <c r="D1783" s="173" t="s">
        <v>23</v>
      </c>
      <c r="E1783" s="173" t="s">
        <v>24</v>
      </c>
      <c r="F1783" s="173" t="s">
        <v>16</v>
      </c>
      <c r="G1783" s="87" t="b">
        <v>1</v>
      </c>
      <c r="H1783" s="87" t="b">
        <v>0</v>
      </c>
      <c r="I1783" s="87" t="b">
        <v>0</v>
      </c>
      <c r="J1783" s="173" t="s">
        <v>491</v>
      </c>
      <c r="K1783" s="174">
        <v>382069000127</v>
      </c>
      <c r="L1783" s="173" t="s">
        <v>749</v>
      </c>
      <c r="M1783" s="173" t="s">
        <v>739</v>
      </c>
      <c r="N1783" s="173" t="s">
        <v>55</v>
      </c>
      <c r="O1783" s="87">
        <v>62</v>
      </c>
      <c r="P1783" s="173" t="s">
        <v>27</v>
      </c>
      <c r="Q1783" s="1" t="s">
        <v>1343</v>
      </c>
      <c r="R1783" s="175">
        <v>2</v>
      </c>
      <c r="S1783">
        <v>2</v>
      </c>
    </row>
    <row r="1784" spans="1:19" x14ac:dyDescent="0.25">
      <c r="A1784" s="87">
        <v>2019</v>
      </c>
      <c r="B1784" s="87">
        <v>10</v>
      </c>
      <c r="C1784" s="173" t="s">
        <v>16</v>
      </c>
      <c r="D1784" s="173" t="s">
        <v>23</v>
      </c>
      <c r="E1784" s="173" t="s">
        <v>24</v>
      </c>
      <c r="F1784" s="173" t="s">
        <v>16</v>
      </c>
      <c r="G1784" s="87" t="b">
        <v>1</v>
      </c>
      <c r="H1784" s="87" t="b">
        <v>0</v>
      </c>
      <c r="I1784" s="87" t="b">
        <v>0</v>
      </c>
      <c r="J1784" s="173" t="s">
        <v>455</v>
      </c>
      <c r="K1784" s="174">
        <v>382069000127</v>
      </c>
      <c r="L1784" s="173" t="s">
        <v>749</v>
      </c>
      <c r="M1784" s="173" t="s">
        <v>739</v>
      </c>
      <c r="N1784" s="173" t="s">
        <v>55</v>
      </c>
      <c r="O1784" s="87">
        <v>64</v>
      </c>
      <c r="P1784" s="173" t="s">
        <v>25</v>
      </c>
      <c r="Q1784" s="1" t="s">
        <v>1344</v>
      </c>
      <c r="R1784" s="175">
        <v>4</v>
      </c>
      <c r="S1784">
        <v>4</v>
      </c>
    </row>
    <row r="1785" spans="1:19" x14ac:dyDescent="0.25">
      <c r="A1785" s="87">
        <v>2019</v>
      </c>
      <c r="B1785" s="87">
        <v>10</v>
      </c>
      <c r="C1785" s="173" t="s">
        <v>16</v>
      </c>
      <c r="D1785" s="173" t="s">
        <v>23</v>
      </c>
      <c r="E1785" s="173" t="s">
        <v>24</v>
      </c>
      <c r="F1785" s="173" t="s">
        <v>16</v>
      </c>
      <c r="G1785" s="87" t="b">
        <v>1</v>
      </c>
      <c r="H1785" s="87" t="b">
        <v>0</v>
      </c>
      <c r="I1785" s="87" t="b">
        <v>0</v>
      </c>
      <c r="J1785" s="173" t="s">
        <v>468</v>
      </c>
      <c r="K1785" s="174">
        <v>382069000127</v>
      </c>
      <c r="L1785" s="173" t="s">
        <v>749</v>
      </c>
      <c r="M1785" s="173" t="s">
        <v>739</v>
      </c>
      <c r="N1785" s="173" t="s">
        <v>55</v>
      </c>
      <c r="O1785" s="87">
        <v>70</v>
      </c>
      <c r="P1785" s="173" t="s">
        <v>20</v>
      </c>
      <c r="Q1785" s="1" t="s">
        <v>1338</v>
      </c>
      <c r="R1785" s="175">
        <v>0</v>
      </c>
      <c r="S1785">
        <v>0</v>
      </c>
    </row>
    <row r="1786" spans="1:19" x14ac:dyDescent="0.25">
      <c r="A1786" s="87">
        <v>2019</v>
      </c>
      <c r="B1786" s="87">
        <v>10</v>
      </c>
      <c r="C1786" s="173" t="s">
        <v>16</v>
      </c>
      <c r="D1786" s="173" t="s">
        <v>23</v>
      </c>
      <c r="E1786" s="173" t="s">
        <v>24</v>
      </c>
      <c r="F1786" s="173" t="s">
        <v>16</v>
      </c>
      <c r="G1786" s="87" t="b">
        <v>1</v>
      </c>
      <c r="H1786" s="87" t="b">
        <v>0</v>
      </c>
      <c r="I1786" s="87" t="b">
        <v>0</v>
      </c>
      <c r="J1786" s="173" t="s">
        <v>464</v>
      </c>
      <c r="K1786" s="174">
        <v>394429019391</v>
      </c>
      <c r="L1786" s="173" t="s">
        <v>750</v>
      </c>
      <c r="M1786" s="173" t="s">
        <v>70</v>
      </c>
      <c r="N1786" s="173" t="s">
        <v>71</v>
      </c>
      <c r="O1786" s="87">
        <v>70</v>
      </c>
      <c r="P1786" s="173" t="s">
        <v>20</v>
      </c>
      <c r="Q1786" s="1" t="s">
        <v>1346</v>
      </c>
      <c r="R1786" s="175">
        <v>25</v>
      </c>
      <c r="S1786">
        <v>10</v>
      </c>
    </row>
    <row r="1787" spans="1:19" x14ac:dyDescent="0.25">
      <c r="A1787" s="87">
        <v>2019</v>
      </c>
      <c r="B1787" s="87">
        <v>10</v>
      </c>
      <c r="C1787" s="173" t="s">
        <v>16</v>
      </c>
      <c r="D1787" s="173" t="s">
        <v>23</v>
      </c>
      <c r="E1787" s="173" t="s">
        <v>24</v>
      </c>
      <c r="F1787" s="173" t="s">
        <v>16</v>
      </c>
      <c r="G1787" s="87" t="b">
        <v>1</v>
      </c>
      <c r="H1787" s="87" t="b">
        <v>0</v>
      </c>
      <c r="I1787" s="87" t="b">
        <v>0</v>
      </c>
      <c r="J1787" s="173" t="s">
        <v>1512</v>
      </c>
      <c r="K1787" s="174">
        <v>394502014870</v>
      </c>
      <c r="L1787" s="173" t="s">
        <v>1070</v>
      </c>
      <c r="M1787" s="173" t="s">
        <v>131</v>
      </c>
      <c r="N1787" s="173" t="s">
        <v>61</v>
      </c>
      <c r="O1787" s="87">
        <v>64</v>
      </c>
      <c r="P1787" s="173" t="s">
        <v>25</v>
      </c>
      <c r="Q1787" s="1" t="s">
        <v>1344</v>
      </c>
      <c r="R1787" s="175">
        <v>5</v>
      </c>
      <c r="S1787">
        <v>5</v>
      </c>
    </row>
    <row r="1788" spans="1:19" x14ac:dyDescent="0.25">
      <c r="A1788" s="87">
        <v>2019</v>
      </c>
      <c r="B1788" s="87">
        <v>10</v>
      </c>
      <c r="C1788" s="173" t="s">
        <v>16</v>
      </c>
      <c r="D1788" s="173" t="s">
        <v>23</v>
      </c>
      <c r="E1788" s="173" t="s">
        <v>24</v>
      </c>
      <c r="F1788" s="173" t="s">
        <v>16</v>
      </c>
      <c r="G1788" s="87" t="b">
        <v>1</v>
      </c>
      <c r="H1788" s="87" t="b">
        <v>0</v>
      </c>
      <c r="I1788" s="87" t="b">
        <v>0</v>
      </c>
      <c r="J1788" s="173" t="s">
        <v>1330</v>
      </c>
      <c r="K1788" s="174">
        <v>394544000851</v>
      </c>
      <c r="L1788" s="173" t="s">
        <v>1136</v>
      </c>
      <c r="M1788" s="173" t="s">
        <v>739</v>
      </c>
      <c r="N1788" s="173" t="s">
        <v>55</v>
      </c>
      <c r="O1788" s="87">
        <v>66</v>
      </c>
      <c r="P1788" s="173" t="s">
        <v>28</v>
      </c>
      <c r="Q1788" s="1" t="s">
        <v>1341</v>
      </c>
      <c r="R1788" s="175">
        <v>326</v>
      </c>
      <c r="S1788">
        <v>326</v>
      </c>
    </row>
    <row r="1789" spans="1:19" x14ac:dyDescent="0.25">
      <c r="A1789" s="87">
        <v>2019</v>
      </c>
      <c r="B1789" s="87">
        <v>10</v>
      </c>
      <c r="C1789" s="173" t="s">
        <v>16</v>
      </c>
      <c r="D1789" s="173" t="s">
        <v>23</v>
      </c>
      <c r="E1789" s="173" t="s">
        <v>24</v>
      </c>
      <c r="F1789" s="173" t="s">
        <v>16</v>
      </c>
      <c r="G1789" s="87" t="b">
        <v>1</v>
      </c>
      <c r="H1789" s="87" t="b">
        <v>0</v>
      </c>
      <c r="I1789" s="87" t="b">
        <v>0</v>
      </c>
      <c r="J1789" s="173" t="s">
        <v>1330</v>
      </c>
      <c r="K1789" s="174">
        <v>394544020372</v>
      </c>
      <c r="L1789" s="173" t="s">
        <v>1073</v>
      </c>
      <c r="M1789" s="173" t="s">
        <v>131</v>
      </c>
      <c r="N1789" s="173" t="s">
        <v>61</v>
      </c>
      <c r="O1789" s="87">
        <v>70</v>
      </c>
      <c r="P1789" s="173" t="s">
        <v>20</v>
      </c>
      <c r="Q1789" s="1" t="s">
        <v>1338</v>
      </c>
      <c r="R1789" s="175">
        <v>885</v>
      </c>
      <c r="S1789">
        <v>177</v>
      </c>
    </row>
    <row r="1790" spans="1:19" x14ac:dyDescent="0.25">
      <c r="A1790" s="87">
        <v>2019</v>
      </c>
      <c r="B1790" s="87">
        <v>10</v>
      </c>
      <c r="C1790" s="173" t="s">
        <v>16</v>
      </c>
      <c r="D1790" s="173" t="s">
        <v>23</v>
      </c>
      <c r="E1790" s="173" t="s">
        <v>24</v>
      </c>
      <c r="F1790" s="173" t="s">
        <v>16</v>
      </c>
      <c r="G1790" s="87" t="b">
        <v>1</v>
      </c>
      <c r="H1790" s="87" t="b">
        <v>0</v>
      </c>
      <c r="I1790" s="87" t="b">
        <v>0</v>
      </c>
      <c r="J1790" s="173" t="s">
        <v>1330</v>
      </c>
      <c r="K1790" s="174">
        <v>394544020453</v>
      </c>
      <c r="L1790" s="173" t="s">
        <v>1074</v>
      </c>
      <c r="M1790" s="173" t="s">
        <v>131</v>
      </c>
      <c r="N1790" s="173" t="s">
        <v>61</v>
      </c>
      <c r="O1790" s="87">
        <v>70</v>
      </c>
      <c r="P1790" s="173" t="s">
        <v>20</v>
      </c>
      <c r="Q1790" s="1" t="s">
        <v>1338</v>
      </c>
      <c r="R1790" s="175">
        <v>350</v>
      </c>
      <c r="S1790">
        <v>70</v>
      </c>
    </row>
    <row r="1791" spans="1:19" x14ac:dyDescent="0.25">
      <c r="A1791" s="87">
        <v>2019</v>
      </c>
      <c r="B1791" s="87">
        <v>10</v>
      </c>
      <c r="C1791" s="173" t="s">
        <v>16</v>
      </c>
      <c r="D1791" s="173" t="s">
        <v>23</v>
      </c>
      <c r="E1791" s="173" t="s">
        <v>24</v>
      </c>
      <c r="F1791" s="173" t="s">
        <v>16</v>
      </c>
      <c r="G1791" s="87" t="b">
        <v>1</v>
      </c>
      <c r="H1791" s="87" t="b">
        <v>0</v>
      </c>
      <c r="I1791" s="87" t="b">
        <v>0</v>
      </c>
      <c r="J1791" s="173" t="s">
        <v>1330</v>
      </c>
      <c r="K1791" s="174">
        <v>394544021000</v>
      </c>
      <c r="L1791" s="173" t="s">
        <v>1075</v>
      </c>
      <c r="M1791" s="173" t="s">
        <v>131</v>
      </c>
      <c r="N1791" s="173" t="s">
        <v>61</v>
      </c>
      <c r="O1791" s="87">
        <v>70</v>
      </c>
      <c r="P1791" s="173" t="s">
        <v>20</v>
      </c>
      <c r="Q1791" s="1" t="s">
        <v>1338</v>
      </c>
      <c r="R1791" s="175">
        <v>150</v>
      </c>
      <c r="S1791">
        <v>30</v>
      </c>
    </row>
    <row r="1792" spans="1:19" x14ac:dyDescent="0.25">
      <c r="A1792" s="87">
        <v>2019</v>
      </c>
      <c r="B1792" s="87">
        <v>10</v>
      </c>
      <c r="C1792" s="173" t="s">
        <v>16</v>
      </c>
      <c r="D1792" s="173" t="s">
        <v>23</v>
      </c>
      <c r="E1792" s="173" t="s">
        <v>24</v>
      </c>
      <c r="F1792" s="173" t="s">
        <v>16</v>
      </c>
      <c r="G1792" s="87" t="b">
        <v>1</v>
      </c>
      <c r="H1792" s="87" t="b">
        <v>0</v>
      </c>
      <c r="I1792" s="87" t="b">
        <v>0</v>
      </c>
      <c r="J1792" s="173" t="s">
        <v>1330</v>
      </c>
      <c r="K1792" s="174">
        <v>394544021344</v>
      </c>
      <c r="L1792" s="173" t="s">
        <v>1076</v>
      </c>
      <c r="M1792" s="173" t="s">
        <v>131</v>
      </c>
      <c r="N1792" s="173" t="s">
        <v>61</v>
      </c>
      <c r="O1792" s="87">
        <v>64</v>
      </c>
      <c r="P1792" s="173" t="s">
        <v>25</v>
      </c>
      <c r="Q1792" s="1" t="s">
        <v>1344</v>
      </c>
      <c r="R1792" s="175">
        <v>13</v>
      </c>
      <c r="S1792">
        <v>13</v>
      </c>
    </row>
    <row r="1793" spans="1:19" x14ac:dyDescent="0.25">
      <c r="A1793" s="87">
        <v>2019</v>
      </c>
      <c r="B1793" s="87">
        <v>10</v>
      </c>
      <c r="C1793" s="173" t="s">
        <v>16</v>
      </c>
      <c r="D1793" s="173" t="s">
        <v>23</v>
      </c>
      <c r="E1793" s="173" t="s">
        <v>24</v>
      </c>
      <c r="F1793" s="173" t="s">
        <v>16</v>
      </c>
      <c r="G1793" s="87" t="b">
        <v>1</v>
      </c>
      <c r="H1793" s="87" t="b">
        <v>0</v>
      </c>
      <c r="I1793" s="87" t="b">
        <v>0</v>
      </c>
      <c r="J1793" s="173" t="s">
        <v>451</v>
      </c>
      <c r="K1793" s="174">
        <v>410960000120</v>
      </c>
      <c r="L1793" s="173" t="s">
        <v>1137</v>
      </c>
      <c r="M1793" s="173" t="s">
        <v>58</v>
      </c>
      <c r="N1793" s="173" t="s">
        <v>54</v>
      </c>
      <c r="O1793" s="87">
        <v>70</v>
      </c>
      <c r="P1793" s="173" t="s">
        <v>20</v>
      </c>
      <c r="Q1793" s="1" t="s">
        <v>1346</v>
      </c>
      <c r="R1793" s="175">
        <v>7.5</v>
      </c>
      <c r="S1793">
        <v>3</v>
      </c>
    </row>
    <row r="1794" spans="1:19" x14ac:dyDescent="0.25">
      <c r="A1794" s="87">
        <v>2019</v>
      </c>
      <c r="B1794" s="87">
        <v>10</v>
      </c>
      <c r="C1794" s="173" t="s">
        <v>16</v>
      </c>
      <c r="D1794" s="173" t="s">
        <v>23</v>
      </c>
      <c r="E1794" s="173" t="s">
        <v>24</v>
      </c>
      <c r="F1794" s="173" t="s">
        <v>16</v>
      </c>
      <c r="G1794" s="87" t="b">
        <v>1</v>
      </c>
      <c r="H1794" s="87" t="b">
        <v>0</v>
      </c>
      <c r="I1794" s="87" t="b">
        <v>0</v>
      </c>
      <c r="J1794" s="173" t="s">
        <v>451</v>
      </c>
      <c r="K1794" s="174">
        <v>410960000120</v>
      </c>
      <c r="L1794" s="173" t="s">
        <v>1137</v>
      </c>
      <c r="M1794" s="173" t="s">
        <v>58</v>
      </c>
      <c r="N1794" s="173" t="s">
        <v>54</v>
      </c>
      <c r="O1794" s="87">
        <v>70</v>
      </c>
      <c r="P1794" s="173" t="s">
        <v>20</v>
      </c>
      <c r="Q1794" s="1" t="s">
        <v>1338</v>
      </c>
      <c r="R1794" s="175">
        <v>1420</v>
      </c>
      <c r="S1794">
        <v>284</v>
      </c>
    </row>
    <row r="1795" spans="1:19" x14ac:dyDescent="0.25">
      <c r="A1795" s="87">
        <v>2019</v>
      </c>
      <c r="B1795" s="87">
        <v>10</v>
      </c>
      <c r="C1795" s="173" t="s">
        <v>16</v>
      </c>
      <c r="D1795" s="173" t="s">
        <v>23</v>
      </c>
      <c r="E1795" s="173" t="s">
        <v>24</v>
      </c>
      <c r="F1795" s="173" t="s">
        <v>16</v>
      </c>
      <c r="G1795" s="87" t="b">
        <v>1</v>
      </c>
      <c r="H1795" s="87" t="b">
        <v>0</v>
      </c>
      <c r="I1795" s="87" t="b">
        <v>0</v>
      </c>
      <c r="J1795" s="173" t="s">
        <v>451</v>
      </c>
      <c r="K1795" s="174">
        <v>410960000120</v>
      </c>
      <c r="L1795" s="173" t="s">
        <v>1137</v>
      </c>
      <c r="M1795" s="173" t="s">
        <v>58</v>
      </c>
      <c r="N1795" s="173" t="s">
        <v>54</v>
      </c>
      <c r="O1795" s="87">
        <v>73</v>
      </c>
      <c r="P1795" s="173" t="s">
        <v>26</v>
      </c>
      <c r="Q1795" s="1" t="s">
        <v>1342</v>
      </c>
      <c r="R1795" s="175">
        <v>56</v>
      </c>
      <c r="S1795">
        <v>14</v>
      </c>
    </row>
    <row r="1796" spans="1:19" x14ac:dyDescent="0.25">
      <c r="A1796" s="87">
        <v>2019</v>
      </c>
      <c r="B1796" s="87">
        <v>10</v>
      </c>
      <c r="C1796" s="173" t="s">
        <v>16</v>
      </c>
      <c r="D1796" s="173" t="s">
        <v>23</v>
      </c>
      <c r="E1796" s="173" t="s">
        <v>24</v>
      </c>
      <c r="F1796" s="173" t="s">
        <v>16</v>
      </c>
      <c r="G1796" s="87" t="b">
        <v>1</v>
      </c>
      <c r="H1796" s="87" t="b">
        <v>0</v>
      </c>
      <c r="I1796" s="87" t="b">
        <v>0</v>
      </c>
      <c r="J1796" s="173" t="s">
        <v>451</v>
      </c>
      <c r="K1796" s="174">
        <v>410960000120</v>
      </c>
      <c r="L1796" s="173" t="s">
        <v>1137</v>
      </c>
      <c r="M1796" s="173" t="s">
        <v>58</v>
      </c>
      <c r="N1796" s="173" t="s">
        <v>54</v>
      </c>
      <c r="O1796" s="87">
        <v>73</v>
      </c>
      <c r="P1796" s="173" t="s">
        <v>26</v>
      </c>
      <c r="Q1796" s="1" t="s">
        <v>1340</v>
      </c>
      <c r="R1796" s="175">
        <v>2</v>
      </c>
      <c r="S1796">
        <v>2</v>
      </c>
    </row>
    <row r="1797" spans="1:19" x14ac:dyDescent="0.25">
      <c r="A1797" s="87">
        <v>2019</v>
      </c>
      <c r="B1797" s="87">
        <v>10</v>
      </c>
      <c r="C1797" s="173" t="s">
        <v>16</v>
      </c>
      <c r="D1797" s="173" t="s">
        <v>23</v>
      </c>
      <c r="E1797" s="173" t="s">
        <v>24</v>
      </c>
      <c r="F1797" s="173" t="s">
        <v>16</v>
      </c>
      <c r="G1797" s="87" t="b">
        <v>1</v>
      </c>
      <c r="H1797" s="87" t="b">
        <v>0</v>
      </c>
      <c r="I1797" s="87" t="b">
        <v>0</v>
      </c>
      <c r="J1797" s="173" t="s">
        <v>477</v>
      </c>
      <c r="K1797" s="174">
        <v>437007000175</v>
      </c>
      <c r="L1797" s="173" t="s">
        <v>1038</v>
      </c>
      <c r="M1797" s="173" t="s">
        <v>1039</v>
      </c>
      <c r="N1797" s="173" t="s">
        <v>61</v>
      </c>
      <c r="O1797" s="87">
        <v>70</v>
      </c>
      <c r="P1797" s="173" t="s">
        <v>20</v>
      </c>
      <c r="Q1797" s="1" t="s">
        <v>1338</v>
      </c>
      <c r="R1797" s="175">
        <v>20</v>
      </c>
      <c r="S1797">
        <v>4</v>
      </c>
    </row>
    <row r="1798" spans="1:19" x14ac:dyDescent="0.25">
      <c r="A1798" s="87">
        <v>2019</v>
      </c>
      <c r="B1798" s="87">
        <v>10</v>
      </c>
      <c r="C1798" s="173" t="s">
        <v>16</v>
      </c>
      <c r="D1798" s="173" t="s">
        <v>23</v>
      </c>
      <c r="E1798" s="173" t="s">
        <v>24</v>
      </c>
      <c r="F1798" s="173" t="s">
        <v>16</v>
      </c>
      <c r="G1798" s="87" t="b">
        <v>1</v>
      </c>
      <c r="H1798" s="87" t="b">
        <v>0</v>
      </c>
      <c r="I1798" s="87" t="b">
        <v>0</v>
      </c>
      <c r="J1798" s="173" t="s">
        <v>451</v>
      </c>
      <c r="K1798" s="174">
        <v>437007000175</v>
      </c>
      <c r="L1798" s="173" t="s">
        <v>1038</v>
      </c>
      <c r="M1798" s="173" t="s">
        <v>1039</v>
      </c>
      <c r="N1798" s="173" t="s">
        <v>61</v>
      </c>
      <c r="O1798" s="87">
        <v>70</v>
      </c>
      <c r="P1798" s="173" t="s">
        <v>20</v>
      </c>
      <c r="Q1798" s="1" t="s">
        <v>1346</v>
      </c>
      <c r="R1798" s="175">
        <v>25</v>
      </c>
      <c r="S1798">
        <v>10</v>
      </c>
    </row>
    <row r="1799" spans="1:19" x14ac:dyDescent="0.25">
      <c r="A1799" s="87">
        <v>2019</v>
      </c>
      <c r="B1799" s="87">
        <v>10</v>
      </c>
      <c r="C1799" s="173" t="s">
        <v>16</v>
      </c>
      <c r="D1799" s="173" t="s">
        <v>23</v>
      </c>
      <c r="E1799" s="173" t="s">
        <v>24</v>
      </c>
      <c r="F1799" s="173" t="s">
        <v>16</v>
      </c>
      <c r="G1799" s="87" t="b">
        <v>1</v>
      </c>
      <c r="H1799" s="87" t="b">
        <v>0</v>
      </c>
      <c r="I1799" s="87" t="b">
        <v>0</v>
      </c>
      <c r="J1799" s="173" t="s">
        <v>451</v>
      </c>
      <c r="K1799" s="174">
        <v>437007000175</v>
      </c>
      <c r="L1799" s="173" t="s">
        <v>1038</v>
      </c>
      <c r="M1799" s="173" t="s">
        <v>1039</v>
      </c>
      <c r="N1799" s="173" t="s">
        <v>61</v>
      </c>
      <c r="O1799" s="87">
        <v>70</v>
      </c>
      <c r="P1799" s="173" t="s">
        <v>20</v>
      </c>
      <c r="Q1799" s="1" t="s">
        <v>1338</v>
      </c>
      <c r="R1799" s="175">
        <v>120</v>
      </c>
      <c r="S1799">
        <v>24</v>
      </c>
    </row>
    <row r="1800" spans="1:19" x14ac:dyDescent="0.25">
      <c r="A1800" s="87">
        <v>2019</v>
      </c>
      <c r="B1800" s="87">
        <v>10</v>
      </c>
      <c r="C1800" s="173" t="s">
        <v>16</v>
      </c>
      <c r="D1800" s="173" t="s">
        <v>23</v>
      </c>
      <c r="E1800" s="173" t="s">
        <v>24</v>
      </c>
      <c r="F1800" s="173" t="s">
        <v>16</v>
      </c>
      <c r="G1800" s="87" t="b">
        <v>1</v>
      </c>
      <c r="H1800" s="87" t="b">
        <v>0</v>
      </c>
      <c r="I1800" s="87" t="b">
        <v>0</v>
      </c>
      <c r="J1800" s="173" t="s">
        <v>491</v>
      </c>
      <c r="K1800" s="174">
        <v>437007000175</v>
      </c>
      <c r="L1800" s="173" t="s">
        <v>1038</v>
      </c>
      <c r="M1800" s="173" t="s">
        <v>1039</v>
      </c>
      <c r="N1800" s="173" t="s">
        <v>61</v>
      </c>
      <c r="O1800" s="87">
        <v>70</v>
      </c>
      <c r="P1800" s="173" t="s">
        <v>20</v>
      </c>
      <c r="Q1800" s="1" t="s">
        <v>1338</v>
      </c>
      <c r="R1800" s="175">
        <v>495</v>
      </c>
      <c r="S1800">
        <v>99</v>
      </c>
    </row>
    <row r="1801" spans="1:19" x14ac:dyDescent="0.25">
      <c r="A1801" s="87">
        <v>2019</v>
      </c>
      <c r="B1801" s="87">
        <v>10</v>
      </c>
      <c r="C1801" s="173" t="s">
        <v>16</v>
      </c>
      <c r="D1801" s="173" t="s">
        <v>23</v>
      </c>
      <c r="E1801" s="173" t="s">
        <v>24</v>
      </c>
      <c r="F1801" s="173" t="s">
        <v>16</v>
      </c>
      <c r="G1801" s="87" t="b">
        <v>1</v>
      </c>
      <c r="H1801" s="87" t="b">
        <v>0</v>
      </c>
      <c r="I1801" s="87" t="b">
        <v>0</v>
      </c>
      <c r="J1801" s="173" t="s">
        <v>491</v>
      </c>
      <c r="K1801" s="174">
        <v>437007000175</v>
      </c>
      <c r="L1801" s="173" t="s">
        <v>1038</v>
      </c>
      <c r="M1801" s="173" t="s">
        <v>1039</v>
      </c>
      <c r="N1801" s="173" t="s">
        <v>61</v>
      </c>
      <c r="O1801" s="87">
        <v>73</v>
      </c>
      <c r="P1801" s="173" t="s">
        <v>26</v>
      </c>
      <c r="Q1801" s="1" t="s">
        <v>1339</v>
      </c>
      <c r="R1801" s="175">
        <v>16</v>
      </c>
      <c r="S1801">
        <v>8</v>
      </c>
    </row>
    <row r="1802" spans="1:19" x14ac:dyDescent="0.25">
      <c r="A1802" s="87">
        <v>2019</v>
      </c>
      <c r="B1802" s="87">
        <v>10</v>
      </c>
      <c r="C1802" s="173" t="s">
        <v>16</v>
      </c>
      <c r="D1802" s="173" t="s">
        <v>23</v>
      </c>
      <c r="E1802" s="173" t="s">
        <v>24</v>
      </c>
      <c r="F1802" s="173" t="s">
        <v>16</v>
      </c>
      <c r="G1802" s="87" t="b">
        <v>1</v>
      </c>
      <c r="H1802" s="87" t="b">
        <v>0</v>
      </c>
      <c r="I1802" s="87" t="b">
        <v>0</v>
      </c>
      <c r="J1802" s="173" t="s">
        <v>491</v>
      </c>
      <c r="K1802" s="174">
        <v>437007000175</v>
      </c>
      <c r="L1802" s="173" t="s">
        <v>1038</v>
      </c>
      <c r="M1802" s="173" t="s">
        <v>1039</v>
      </c>
      <c r="N1802" s="173" t="s">
        <v>61</v>
      </c>
      <c r="O1802" s="87">
        <v>73</v>
      </c>
      <c r="P1802" s="173" t="s">
        <v>26</v>
      </c>
      <c r="Q1802" s="1" t="s">
        <v>1342</v>
      </c>
      <c r="R1802" s="175">
        <v>352</v>
      </c>
      <c r="S1802">
        <v>88</v>
      </c>
    </row>
    <row r="1803" spans="1:19" x14ac:dyDescent="0.25">
      <c r="A1803" s="87">
        <v>2019</v>
      </c>
      <c r="B1803" s="87">
        <v>10</v>
      </c>
      <c r="C1803" s="173" t="s">
        <v>16</v>
      </c>
      <c r="D1803" s="173" t="s">
        <v>23</v>
      </c>
      <c r="E1803" s="173" t="s">
        <v>24</v>
      </c>
      <c r="F1803" s="173" t="s">
        <v>16</v>
      </c>
      <c r="G1803" s="87" t="b">
        <v>1</v>
      </c>
      <c r="H1803" s="87" t="b">
        <v>0</v>
      </c>
      <c r="I1803" s="87" t="b">
        <v>0</v>
      </c>
      <c r="J1803" s="173" t="s">
        <v>491</v>
      </c>
      <c r="K1803" s="174">
        <v>437007000175</v>
      </c>
      <c r="L1803" s="173" t="s">
        <v>1038</v>
      </c>
      <c r="M1803" s="173" t="s">
        <v>1039</v>
      </c>
      <c r="N1803" s="173" t="s">
        <v>61</v>
      </c>
      <c r="O1803" s="87">
        <v>73</v>
      </c>
      <c r="P1803" s="173" t="s">
        <v>26</v>
      </c>
      <c r="Q1803" s="1" t="s">
        <v>1340</v>
      </c>
      <c r="R1803" s="175">
        <v>1</v>
      </c>
      <c r="S1803">
        <v>1</v>
      </c>
    </row>
    <row r="1804" spans="1:19" x14ac:dyDescent="0.25">
      <c r="A1804" s="87">
        <v>2019</v>
      </c>
      <c r="B1804" s="87">
        <v>10</v>
      </c>
      <c r="C1804" s="173" t="s">
        <v>16</v>
      </c>
      <c r="D1804" s="173" t="s">
        <v>23</v>
      </c>
      <c r="E1804" s="173" t="s">
        <v>24</v>
      </c>
      <c r="F1804" s="173" t="s">
        <v>16</v>
      </c>
      <c r="G1804" s="87" t="b">
        <v>1</v>
      </c>
      <c r="H1804" s="87" t="b">
        <v>0</v>
      </c>
      <c r="I1804" s="87" t="b">
        <v>0</v>
      </c>
      <c r="J1804" s="173" t="s">
        <v>470</v>
      </c>
      <c r="K1804" s="174">
        <v>461479001054</v>
      </c>
      <c r="L1804" s="173" t="s">
        <v>558</v>
      </c>
      <c r="M1804" s="173" t="s">
        <v>29</v>
      </c>
      <c r="N1804" s="173" t="s">
        <v>19</v>
      </c>
      <c r="O1804" s="87">
        <v>64</v>
      </c>
      <c r="P1804" s="173" t="s">
        <v>25</v>
      </c>
      <c r="Q1804" s="1" t="s">
        <v>1344</v>
      </c>
      <c r="R1804" s="175">
        <v>5</v>
      </c>
      <c r="S1804">
        <v>5</v>
      </c>
    </row>
    <row r="1805" spans="1:19" x14ac:dyDescent="0.25">
      <c r="A1805" s="87">
        <v>2019</v>
      </c>
      <c r="B1805" s="87">
        <v>10</v>
      </c>
      <c r="C1805" s="173" t="s">
        <v>16</v>
      </c>
      <c r="D1805" s="173" t="s">
        <v>23</v>
      </c>
      <c r="E1805" s="173" t="s">
        <v>24</v>
      </c>
      <c r="F1805" s="173" t="s">
        <v>16</v>
      </c>
      <c r="G1805" s="87" t="b">
        <v>1</v>
      </c>
      <c r="H1805" s="87" t="b">
        <v>0</v>
      </c>
      <c r="I1805" s="87" t="b">
        <v>0</v>
      </c>
      <c r="J1805" s="173" t="s">
        <v>455</v>
      </c>
      <c r="K1805" s="174">
        <v>520237000101</v>
      </c>
      <c r="L1805" s="173" t="s">
        <v>755</v>
      </c>
      <c r="M1805" s="173" t="s">
        <v>739</v>
      </c>
      <c r="N1805" s="173" t="s">
        <v>55</v>
      </c>
      <c r="O1805" s="87">
        <v>70</v>
      </c>
      <c r="P1805" s="173" t="s">
        <v>20</v>
      </c>
      <c r="Q1805" s="1" t="s">
        <v>1338</v>
      </c>
      <c r="R1805" s="175">
        <v>200</v>
      </c>
      <c r="S1805">
        <v>40</v>
      </c>
    </row>
    <row r="1806" spans="1:19" x14ac:dyDescent="0.25">
      <c r="A1806" s="87">
        <v>2019</v>
      </c>
      <c r="B1806" s="87">
        <v>10</v>
      </c>
      <c r="C1806" s="173" t="s">
        <v>16</v>
      </c>
      <c r="D1806" s="173" t="s">
        <v>23</v>
      </c>
      <c r="E1806" s="173" t="s">
        <v>24</v>
      </c>
      <c r="F1806" s="173" t="s">
        <v>16</v>
      </c>
      <c r="G1806" s="87" t="b">
        <v>1</v>
      </c>
      <c r="H1806" s="87" t="b">
        <v>0</v>
      </c>
      <c r="I1806" s="87" t="b">
        <v>0</v>
      </c>
      <c r="J1806" s="173" t="s">
        <v>468</v>
      </c>
      <c r="K1806" s="174">
        <v>520237000101</v>
      </c>
      <c r="L1806" s="173" t="s">
        <v>755</v>
      </c>
      <c r="M1806" s="173" t="s">
        <v>739</v>
      </c>
      <c r="N1806" s="173" t="s">
        <v>55</v>
      </c>
      <c r="O1806" s="87">
        <v>70</v>
      </c>
      <c r="P1806" s="173" t="s">
        <v>20</v>
      </c>
      <c r="Q1806" s="1" t="s">
        <v>1338</v>
      </c>
      <c r="R1806" s="175">
        <v>250</v>
      </c>
      <c r="S1806">
        <v>50</v>
      </c>
    </row>
    <row r="1807" spans="1:19" x14ac:dyDescent="0.25">
      <c r="A1807" s="87">
        <v>2019</v>
      </c>
      <c r="B1807" s="87">
        <v>10</v>
      </c>
      <c r="C1807" s="173" t="s">
        <v>16</v>
      </c>
      <c r="D1807" s="173" t="s">
        <v>23</v>
      </c>
      <c r="E1807" s="173" t="s">
        <v>24</v>
      </c>
      <c r="F1807" s="173" t="s">
        <v>16</v>
      </c>
      <c r="G1807" s="87" t="b">
        <v>1</v>
      </c>
      <c r="H1807" s="87" t="b">
        <v>0</v>
      </c>
      <c r="I1807" s="87" t="b">
        <v>0</v>
      </c>
      <c r="J1807" s="173" t="s">
        <v>468</v>
      </c>
      <c r="K1807" s="174">
        <v>520237000101</v>
      </c>
      <c r="L1807" s="173" t="s">
        <v>755</v>
      </c>
      <c r="M1807" s="173" t="s">
        <v>739</v>
      </c>
      <c r="N1807" s="173" t="s">
        <v>55</v>
      </c>
      <c r="O1807" s="87">
        <v>73</v>
      </c>
      <c r="P1807" s="173" t="s">
        <v>26</v>
      </c>
      <c r="Q1807" s="1" t="s">
        <v>1339</v>
      </c>
      <c r="R1807" s="175">
        <v>20</v>
      </c>
      <c r="S1807">
        <v>10</v>
      </c>
    </row>
    <row r="1808" spans="1:19" x14ac:dyDescent="0.25">
      <c r="A1808" s="87">
        <v>2019</v>
      </c>
      <c r="B1808" s="87">
        <v>10</v>
      </c>
      <c r="C1808" s="173" t="s">
        <v>16</v>
      </c>
      <c r="D1808" s="173" t="s">
        <v>23</v>
      </c>
      <c r="E1808" s="173" t="s">
        <v>24</v>
      </c>
      <c r="F1808" s="173" t="s">
        <v>16</v>
      </c>
      <c r="G1808" s="87" t="b">
        <v>1</v>
      </c>
      <c r="H1808" s="87" t="b">
        <v>0</v>
      </c>
      <c r="I1808" s="87" t="b">
        <v>0</v>
      </c>
      <c r="J1808" s="173" t="s">
        <v>468</v>
      </c>
      <c r="K1808" s="174">
        <v>520237000101</v>
      </c>
      <c r="L1808" s="173" t="s">
        <v>755</v>
      </c>
      <c r="M1808" s="173" t="s">
        <v>739</v>
      </c>
      <c r="N1808" s="173" t="s">
        <v>55</v>
      </c>
      <c r="O1808" s="87">
        <v>73</v>
      </c>
      <c r="P1808" s="173" t="s">
        <v>26</v>
      </c>
      <c r="Q1808" s="1" t="s">
        <v>1342</v>
      </c>
      <c r="R1808" s="175">
        <v>160</v>
      </c>
      <c r="S1808">
        <v>40</v>
      </c>
    </row>
    <row r="1809" spans="1:19" x14ac:dyDescent="0.25">
      <c r="A1809" s="87">
        <v>2019</v>
      </c>
      <c r="B1809" s="87">
        <v>10</v>
      </c>
      <c r="C1809" s="173" t="s">
        <v>16</v>
      </c>
      <c r="D1809" s="173" t="s">
        <v>23</v>
      </c>
      <c r="E1809" s="173" t="s">
        <v>24</v>
      </c>
      <c r="F1809" s="173" t="s">
        <v>16</v>
      </c>
      <c r="G1809" s="87" t="b">
        <v>1</v>
      </c>
      <c r="H1809" s="87" t="b">
        <v>0</v>
      </c>
      <c r="I1809" s="87" t="b">
        <v>0</v>
      </c>
      <c r="J1809" s="173" t="s">
        <v>468</v>
      </c>
      <c r="K1809" s="174">
        <v>520237000101</v>
      </c>
      <c r="L1809" s="173" t="s">
        <v>755</v>
      </c>
      <c r="M1809" s="173" t="s">
        <v>739</v>
      </c>
      <c r="N1809" s="173" t="s">
        <v>55</v>
      </c>
      <c r="O1809" s="87">
        <v>73</v>
      </c>
      <c r="P1809" s="173" t="s">
        <v>26</v>
      </c>
      <c r="Q1809" s="1" t="s">
        <v>1340</v>
      </c>
      <c r="R1809" s="175">
        <v>5</v>
      </c>
      <c r="S1809">
        <v>5</v>
      </c>
    </row>
    <row r="1810" spans="1:19" x14ac:dyDescent="0.25">
      <c r="A1810" s="87">
        <v>2019</v>
      </c>
      <c r="B1810" s="87">
        <v>10</v>
      </c>
      <c r="C1810" s="173" t="s">
        <v>16</v>
      </c>
      <c r="D1810" s="173" t="s">
        <v>23</v>
      </c>
      <c r="E1810" s="173" t="s">
        <v>24</v>
      </c>
      <c r="F1810" s="173" t="s">
        <v>16</v>
      </c>
      <c r="G1810" s="87" t="b">
        <v>1</v>
      </c>
      <c r="H1810" s="87" t="b">
        <v>0</v>
      </c>
      <c r="I1810" s="87" t="b">
        <v>0</v>
      </c>
      <c r="J1810" s="173" t="s">
        <v>491</v>
      </c>
      <c r="K1810" s="174">
        <v>520237000101</v>
      </c>
      <c r="L1810" s="173" t="s">
        <v>755</v>
      </c>
      <c r="M1810" s="173" t="s">
        <v>739</v>
      </c>
      <c r="N1810" s="173" t="s">
        <v>55</v>
      </c>
      <c r="O1810" s="87">
        <v>73</v>
      </c>
      <c r="P1810" s="173" t="s">
        <v>26</v>
      </c>
      <c r="Q1810" s="1" t="s">
        <v>1339</v>
      </c>
      <c r="R1810" s="175">
        <v>10</v>
      </c>
      <c r="S1810">
        <v>5</v>
      </c>
    </row>
    <row r="1811" spans="1:19" x14ac:dyDescent="0.25">
      <c r="A1811" s="87">
        <v>2019</v>
      </c>
      <c r="B1811" s="87">
        <v>10</v>
      </c>
      <c r="C1811" s="173" t="s">
        <v>16</v>
      </c>
      <c r="D1811" s="173" t="s">
        <v>23</v>
      </c>
      <c r="E1811" s="173" t="s">
        <v>24</v>
      </c>
      <c r="F1811" s="173" t="s">
        <v>16</v>
      </c>
      <c r="G1811" s="87" t="b">
        <v>1</v>
      </c>
      <c r="H1811" s="87" t="b">
        <v>0</v>
      </c>
      <c r="I1811" s="87" t="b">
        <v>0</v>
      </c>
      <c r="J1811" s="173" t="s">
        <v>491</v>
      </c>
      <c r="K1811" s="174">
        <v>520237000101</v>
      </c>
      <c r="L1811" s="173" t="s">
        <v>755</v>
      </c>
      <c r="M1811" s="173" t="s">
        <v>739</v>
      </c>
      <c r="N1811" s="173" t="s">
        <v>55</v>
      </c>
      <c r="O1811" s="87">
        <v>73</v>
      </c>
      <c r="P1811" s="173" t="s">
        <v>26</v>
      </c>
      <c r="Q1811" s="1" t="s">
        <v>1342</v>
      </c>
      <c r="R1811" s="175">
        <v>40</v>
      </c>
      <c r="S1811">
        <v>10</v>
      </c>
    </row>
    <row r="1812" spans="1:19" x14ac:dyDescent="0.25">
      <c r="A1812" s="87">
        <v>2019</v>
      </c>
      <c r="B1812" s="87">
        <v>10</v>
      </c>
      <c r="C1812" s="173" t="s">
        <v>16</v>
      </c>
      <c r="D1812" s="173" t="s">
        <v>23</v>
      </c>
      <c r="E1812" s="173" t="s">
        <v>24</v>
      </c>
      <c r="F1812" s="173" t="s">
        <v>16</v>
      </c>
      <c r="G1812" s="87" t="b">
        <v>1</v>
      </c>
      <c r="H1812" s="87" t="b">
        <v>0</v>
      </c>
      <c r="I1812" s="87" t="b">
        <v>0</v>
      </c>
      <c r="J1812" s="173" t="s">
        <v>491</v>
      </c>
      <c r="K1812" s="174">
        <v>520237000101</v>
      </c>
      <c r="L1812" s="173" t="s">
        <v>755</v>
      </c>
      <c r="M1812" s="173" t="s">
        <v>739</v>
      </c>
      <c r="N1812" s="173" t="s">
        <v>55</v>
      </c>
      <c r="O1812" s="87">
        <v>73</v>
      </c>
      <c r="P1812" s="173" t="s">
        <v>26</v>
      </c>
      <c r="Q1812" s="1" t="s">
        <v>1340</v>
      </c>
      <c r="R1812" s="175">
        <v>5</v>
      </c>
      <c r="S1812">
        <v>5</v>
      </c>
    </row>
    <row r="1813" spans="1:19" x14ac:dyDescent="0.25">
      <c r="A1813" s="87">
        <v>2019</v>
      </c>
      <c r="B1813" s="87">
        <v>10</v>
      </c>
      <c r="C1813" s="173" t="s">
        <v>16</v>
      </c>
      <c r="D1813" s="173" t="s">
        <v>23</v>
      </c>
      <c r="E1813" s="173" t="s">
        <v>24</v>
      </c>
      <c r="F1813" s="173" t="s">
        <v>16</v>
      </c>
      <c r="G1813" s="87" t="b">
        <v>1</v>
      </c>
      <c r="H1813" s="87" t="b">
        <v>0</v>
      </c>
      <c r="I1813" s="87" t="b">
        <v>0</v>
      </c>
      <c r="J1813" s="173" t="s">
        <v>477</v>
      </c>
      <c r="K1813" s="174">
        <v>521197000104</v>
      </c>
      <c r="L1813" s="173" t="s">
        <v>1040</v>
      </c>
      <c r="M1813" s="173" t="s">
        <v>1039</v>
      </c>
      <c r="N1813" s="173" t="s">
        <v>61</v>
      </c>
      <c r="O1813" s="87">
        <v>70</v>
      </c>
      <c r="P1813" s="173" t="s">
        <v>20</v>
      </c>
      <c r="Q1813" s="1" t="s">
        <v>1338</v>
      </c>
      <c r="R1813" s="175">
        <v>115</v>
      </c>
      <c r="S1813">
        <v>23</v>
      </c>
    </row>
    <row r="1814" spans="1:19" x14ac:dyDescent="0.25">
      <c r="A1814" s="87">
        <v>2019</v>
      </c>
      <c r="B1814" s="87">
        <v>10</v>
      </c>
      <c r="C1814" s="173" t="s">
        <v>16</v>
      </c>
      <c r="D1814" s="173" t="s">
        <v>23</v>
      </c>
      <c r="E1814" s="173" t="s">
        <v>24</v>
      </c>
      <c r="F1814" s="173" t="s">
        <v>16</v>
      </c>
      <c r="G1814" s="87" t="b">
        <v>1</v>
      </c>
      <c r="H1814" s="87" t="b">
        <v>0</v>
      </c>
      <c r="I1814" s="87" t="b">
        <v>0</v>
      </c>
      <c r="J1814" s="173" t="s">
        <v>451</v>
      </c>
      <c r="K1814" s="174">
        <v>521197000104</v>
      </c>
      <c r="L1814" s="173" t="s">
        <v>1040</v>
      </c>
      <c r="M1814" s="173" t="s">
        <v>1039</v>
      </c>
      <c r="N1814" s="173" t="s">
        <v>61</v>
      </c>
      <c r="O1814" s="87">
        <v>70</v>
      </c>
      <c r="P1814" s="173" t="s">
        <v>20</v>
      </c>
      <c r="Q1814" s="1" t="s">
        <v>1346</v>
      </c>
      <c r="R1814" s="175">
        <v>5</v>
      </c>
      <c r="S1814">
        <v>2</v>
      </c>
    </row>
    <row r="1815" spans="1:19" x14ac:dyDescent="0.25">
      <c r="A1815" s="87">
        <v>2019</v>
      </c>
      <c r="B1815" s="87">
        <v>10</v>
      </c>
      <c r="C1815" s="173" t="s">
        <v>16</v>
      </c>
      <c r="D1815" s="173" t="s">
        <v>23</v>
      </c>
      <c r="E1815" s="173" t="s">
        <v>24</v>
      </c>
      <c r="F1815" s="173" t="s">
        <v>16</v>
      </c>
      <c r="G1815" s="87" t="b">
        <v>1</v>
      </c>
      <c r="H1815" s="87" t="b">
        <v>0</v>
      </c>
      <c r="I1815" s="87" t="b">
        <v>0</v>
      </c>
      <c r="J1815" s="173" t="s">
        <v>491</v>
      </c>
      <c r="K1815" s="174">
        <v>521197000104</v>
      </c>
      <c r="L1815" s="173" t="s">
        <v>1040</v>
      </c>
      <c r="M1815" s="173" t="s">
        <v>1039</v>
      </c>
      <c r="N1815" s="173" t="s">
        <v>61</v>
      </c>
      <c r="O1815" s="87">
        <v>70</v>
      </c>
      <c r="P1815" s="173" t="s">
        <v>20</v>
      </c>
      <c r="Q1815" s="1" t="s">
        <v>1338</v>
      </c>
      <c r="R1815" s="175">
        <v>210</v>
      </c>
      <c r="S1815">
        <v>42</v>
      </c>
    </row>
    <row r="1816" spans="1:19" x14ac:dyDescent="0.25">
      <c r="A1816" s="87">
        <v>2019</v>
      </c>
      <c r="B1816" s="87">
        <v>10</v>
      </c>
      <c r="C1816" s="173" t="s">
        <v>16</v>
      </c>
      <c r="D1816" s="173" t="s">
        <v>23</v>
      </c>
      <c r="E1816" s="173" t="s">
        <v>24</v>
      </c>
      <c r="F1816" s="173" t="s">
        <v>16</v>
      </c>
      <c r="G1816" s="87" t="b">
        <v>1</v>
      </c>
      <c r="H1816" s="87" t="b">
        <v>0</v>
      </c>
      <c r="I1816" s="87" t="b">
        <v>0</v>
      </c>
      <c r="J1816" s="173" t="s">
        <v>470</v>
      </c>
      <c r="K1816" s="174">
        <v>603226000187</v>
      </c>
      <c r="L1816" s="173" t="s">
        <v>561</v>
      </c>
      <c r="M1816" s="173" t="s">
        <v>29</v>
      </c>
      <c r="N1816" s="173" t="s">
        <v>19</v>
      </c>
      <c r="O1816" s="87">
        <v>73</v>
      </c>
      <c r="P1816" s="173" t="s">
        <v>26</v>
      </c>
      <c r="Q1816" s="1" t="s">
        <v>1342</v>
      </c>
      <c r="R1816" s="175">
        <v>20</v>
      </c>
      <c r="S1816">
        <v>5</v>
      </c>
    </row>
    <row r="1817" spans="1:19" x14ac:dyDescent="0.25">
      <c r="A1817" s="87">
        <v>2019</v>
      </c>
      <c r="B1817" s="87">
        <v>10</v>
      </c>
      <c r="C1817" s="173" t="s">
        <v>16</v>
      </c>
      <c r="D1817" s="173" t="s">
        <v>23</v>
      </c>
      <c r="E1817" s="173" t="s">
        <v>24</v>
      </c>
      <c r="F1817" s="173" t="s">
        <v>16</v>
      </c>
      <c r="G1817" s="87" t="b">
        <v>1</v>
      </c>
      <c r="H1817" s="87" t="b">
        <v>0</v>
      </c>
      <c r="I1817" s="87" t="b">
        <v>0</v>
      </c>
      <c r="J1817" s="173" t="s">
        <v>463</v>
      </c>
      <c r="K1817" s="174">
        <v>603226000187</v>
      </c>
      <c r="L1817" s="173" t="s">
        <v>561</v>
      </c>
      <c r="M1817" s="173" t="s">
        <v>29</v>
      </c>
      <c r="N1817" s="173" t="s">
        <v>19</v>
      </c>
      <c r="O1817" s="87">
        <v>73</v>
      </c>
      <c r="P1817" s="173" t="s">
        <v>26</v>
      </c>
      <c r="Q1817" s="1" t="s">
        <v>1342</v>
      </c>
      <c r="R1817" s="175">
        <v>8</v>
      </c>
      <c r="S1817">
        <v>2</v>
      </c>
    </row>
    <row r="1818" spans="1:19" x14ac:dyDescent="0.25">
      <c r="A1818" s="87">
        <v>2019</v>
      </c>
      <c r="B1818" s="87">
        <v>10</v>
      </c>
      <c r="C1818" s="173" t="s">
        <v>16</v>
      </c>
      <c r="D1818" s="173" t="s">
        <v>23</v>
      </c>
      <c r="E1818" s="173" t="s">
        <v>24</v>
      </c>
      <c r="F1818" s="173" t="s">
        <v>16</v>
      </c>
      <c r="G1818" s="87" t="b">
        <v>1</v>
      </c>
      <c r="H1818" s="87" t="b">
        <v>0</v>
      </c>
      <c r="I1818" s="87" t="b">
        <v>0</v>
      </c>
      <c r="J1818" s="173" t="s">
        <v>468</v>
      </c>
      <c r="K1818" s="174">
        <v>610980000144</v>
      </c>
      <c r="L1818" s="173" t="s">
        <v>756</v>
      </c>
      <c r="M1818" s="173" t="s">
        <v>739</v>
      </c>
      <c r="N1818" s="173" t="s">
        <v>55</v>
      </c>
      <c r="O1818" s="87">
        <v>64</v>
      </c>
      <c r="P1818" s="173" t="s">
        <v>25</v>
      </c>
      <c r="Q1818" s="1" t="s">
        <v>1344</v>
      </c>
      <c r="R1818" s="175">
        <v>22</v>
      </c>
      <c r="S1818">
        <v>22</v>
      </c>
    </row>
    <row r="1819" spans="1:19" x14ac:dyDescent="0.25">
      <c r="A1819" s="87">
        <v>2019</v>
      </c>
      <c r="B1819" s="87">
        <v>10</v>
      </c>
      <c r="C1819" s="173" t="s">
        <v>16</v>
      </c>
      <c r="D1819" s="173" t="s">
        <v>23</v>
      </c>
      <c r="E1819" s="173" t="s">
        <v>24</v>
      </c>
      <c r="F1819" s="173" t="s">
        <v>16</v>
      </c>
      <c r="G1819" s="87" t="b">
        <v>1</v>
      </c>
      <c r="H1819" s="87" t="b">
        <v>0</v>
      </c>
      <c r="I1819" s="87" t="b">
        <v>0</v>
      </c>
      <c r="J1819" s="173" t="s">
        <v>468</v>
      </c>
      <c r="K1819" s="174">
        <v>610980000144</v>
      </c>
      <c r="L1819" s="173" t="s">
        <v>756</v>
      </c>
      <c r="M1819" s="173" t="s">
        <v>739</v>
      </c>
      <c r="N1819" s="173" t="s">
        <v>55</v>
      </c>
      <c r="O1819" s="87">
        <v>70</v>
      </c>
      <c r="P1819" s="173" t="s">
        <v>20</v>
      </c>
      <c r="Q1819" s="1" t="s">
        <v>1338</v>
      </c>
      <c r="R1819" s="175">
        <v>50</v>
      </c>
      <c r="S1819">
        <v>10</v>
      </c>
    </row>
    <row r="1820" spans="1:19" x14ac:dyDescent="0.25">
      <c r="A1820" s="87">
        <v>2019</v>
      </c>
      <c r="B1820" s="87">
        <v>10</v>
      </c>
      <c r="C1820" s="173" t="s">
        <v>16</v>
      </c>
      <c r="D1820" s="173" t="s">
        <v>23</v>
      </c>
      <c r="E1820" s="173" t="s">
        <v>24</v>
      </c>
      <c r="F1820" s="173" t="s">
        <v>16</v>
      </c>
      <c r="G1820" s="87" t="b">
        <v>1</v>
      </c>
      <c r="H1820" s="87" t="b">
        <v>0</v>
      </c>
      <c r="I1820" s="87" t="b">
        <v>0</v>
      </c>
      <c r="J1820" s="173" t="s">
        <v>464</v>
      </c>
      <c r="K1820" s="174">
        <v>820737000150</v>
      </c>
      <c r="L1820" s="173" t="s">
        <v>757</v>
      </c>
      <c r="M1820" s="173" t="s">
        <v>62</v>
      </c>
      <c r="N1820" s="173" t="s">
        <v>63</v>
      </c>
      <c r="O1820" s="87">
        <v>64</v>
      </c>
      <c r="P1820" s="173" t="s">
        <v>25</v>
      </c>
      <c r="Q1820" s="1" t="s">
        <v>1344</v>
      </c>
      <c r="R1820" s="175">
        <v>21</v>
      </c>
      <c r="S1820">
        <v>21</v>
      </c>
    </row>
    <row r="1821" spans="1:19" x14ac:dyDescent="0.25">
      <c r="A1821" s="87">
        <v>2019</v>
      </c>
      <c r="B1821" s="87">
        <v>10</v>
      </c>
      <c r="C1821" s="173" t="s">
        <v>16</v>
      </c>
      <c r="D1821" s="173" t="s">
        <v>23</v>
      </c>
      <c r="E1821" s="173" t="s">
        <v>24</v>
      </c>
      <c r="F1821" s="173" t="s">
        <v>16</v>
      </c>
      <c r="G1821" s="87" t="b">
        <v>1</v>
      </c>
      <c r="H1821" s="87" t="b">
        <v>0</v>
      </c>
      <c r="I1821" s="87" t="b">
        <v>0</v>
      </c>
      <c r="J1821" s="173" t="s">
        <v>450</v>
      </c>
      <c r="K1821" s="174">
        <v>1011865000116</v>
      </c>
      <c r="L1821" s="173" t="s">
        <v>759</v>
      </c>
      <c r="M1821" s="173" t="s">
        <v>745</v>
      </c>
      <c r="N1821" s="173" t="s">
        <v>59</v>
      </c>
      <c r="O1821" s="87">
        <v>70</v>
      </c>
      <c r="P1821" s="173" t="s">
        <v>20</v>
      </c>
      <c r="Q1821" s="1" t="s">
        <v>1338</v>
      </c>
      <c r="R1821" s="175">
        <v>250</v>
      </c>
      <c r="S1821">
        <v>50</v>
      </c>
    </row>
    <row r="1822" spans="1:19" x14ac:dyDescent="0.25">
      <c r="A1822" s="87">
        <v>2019</v>
      </c>
      <c r="B1822" s="87">
        <v>10</v>
      </c>
      <c r="C1822" s="173" t="s">
        <v>16</v>
      </c>
      <c r="D1822" s="173" t="s">
        <v>23</v>
      </c>
      <c r="E1822" s="173" t="s">
        <v>24</v>
      </c>
      <c r="F1822" s="173" t="s">
        <v>16</v>
      </c>
      <c r="G1822" s="87" t="b">
        <v>1</v>
      </c>
      <c r="H1822" s="87" t="b">
        <v>0</v>
      </c>
      <c r="I1822" s="87" t="b">
        <v>0</v>
      </c>
      <c r="J1822" s="173" t="s">
        <v>468</v>
      </c>
      <c r="K1822" s="174">
        <v>1011865000116</v>
      </c>
      <c r="L1822" s="173" t="s">
        <v>759</v>
      </c>
      <c r="M1822" s="173" t="s">
        <v>745</v>
      </c>
      <c r="N1822" s="173" t="s">
        <v>59</v>
      </c>
      <c r="O1822" s="87">
        <v>70</v>
      </c>
      <c r="P1822" s="173" t="s">
        <v>20</v>
      </c>
      <c r="Q1822" s="1" t="s">
        <v>1338</v>
      </c>
      <c r="R1822" s="175">
        <v>150</v>
      </c>
      <c r="S1822">
        <v>30</v>
      </c>
    </row>
    <row r="1823" spans="1:19" x14ac:dyDescent="0.25">
      <c r="A1823" s="87">
        <v>2019</v>
      </c>
      <c r="B1823" s="87">
        <v>10</v>
      </c>
      <c r="C1823" s="173" t="s">
        <v>16</v>
      </c>
      <c r="D1823" s="173" t="s">
        <v>23</v>
      </c>
      <c r="E1823" s="173" t="s">
        <v>24</v>
      </c>
      <c r="F1823" s="173" t="s">
        <v>16</v>
      </c>
      <c r="G1823" s="87" t="b">
        <v>1</v>
      </c>
      <c r="H1823" s="87" t="b">
        <v>0</v>
      </c>
      <c r="I1823" s="87" t="b">
        <v>0</v>
      </c>
      <c r="J1823" s="173" t="s">
        <v>463</v>
      </c>
      <c r="K1823" s="174">
        <v>1011865000116</v>
      </c>
      <c r="L1823" s="173" t="s">
        <v>759</v>
      </c>
      <c r="M1823" s="173" t="s">
        <v>745</v>
      </c>
      <c r="N1823" s="173" t="s">
        <v>59</v>
      </c>
      <c r="O1823" s="87">
        <v>70</v>
      </c>
      <c r="P1823" s="173" t="s">
        <v>20</v>
      </c>
      <c r="Q1823" s="1" t="s">
        <v>1338</v>
      </c>
      <c r="R1823" s="175">
        <v>400</v>
      </c>
      <c r="S1823">
        <v>80</v>
      </c>
    </row>
    <row r="1824" spans="1:19" x14ac:dyDescent="0.25">
      <c r="A1824" s="87">
        <v>2019</v>
      </c>
      <c r="B1824" s="87">
        <v>10</v>
      </c>
      <c r="C1824" s="173" t="s">
        <v>16</v>
      </c>
      <c r="D1824" s="173" t="s">
        <v>23</v>
      </c>
      <c r="E1824" s="173" t="s">
        <v>24</v>
      </c>
      <c r="F1824" s="173" t="s">
        <v>16</v>
      </c>
      <c r="G1824" s="87" t="b">
        <v>1</v>
      </c>
      <c r="H1824" s="87" t="b">
        <v>0</v>
      </c>
      <c r="I1824" s="87" t="b">
        <v>0</v>
      </c>
      <c r="J1824" s="173" t="s">
        <v>470</v>
      </c>
      <c r="K1824" s="174">
        <v>1125832000105</v>
      </c>
      <c r="L1824" s="173" t="s">
        <v>935</v>
      </c>
      <c r="M1824" s="173" t="s">
        <v>930</v>
      </c>
      <c r="N1824" s="173" t="s">
        <v>68</v>
      </c>
      <c r="O1824" s="87">
        <v>70</v>
      </c>
      <c r="P1824" s="173" t="s">
        <v>20</v>
      </c>
      <c r="Q1824" s="1" t="s">
        <v>1338</v>
      </c>
      <c r="R1824" s="175">
        <v>60</v>
      </c>
      <c r="S1824">
        <v>12</v>
      </c>
    </row>
    <row r="1825" spans="1:19" x14ac:dyDescent="0.25">
      <c r="A1825" s="87">
        <v>2019</v>
      </c>
      <c r="B1825" s="87">
        <v>10</v>
      </c>
      <c r="C1825" s="173" t="s">
        <v>16</v>
      </c>
      <c r="D1825" s="173" t="s">
        <v>23</v>
      </c>
      <c r="E1825" s="173" t="s">
        <v>24</v>
      </c>
      <c r="F1825" s="173" t="s">
        <v>16</v>
      </c>
      <c r="G1825" s="87" t="b">
        <v>1</v>
      </c>
      <c r="H1825" s="87" t="b">
        <v>0</v>
      </c>
      <c r="I1825" s="87" t="b">
        <v>0</v>
      </c>
      <c r="J1825" s="173" t="s">
        <v>464</v>
      </c>
      <c r="K1825" s="174">
        <v>1277573000120</v>
      </c>
      <c r="L1825" s="173" t="s">
        <v>760</v>
      </c>
      <c r="M1825" s="173" t="s">
        <v>745</v>
      </c>
      <c r="N1825" s="173" t="s">
        <v>59</v>
      </c>
      <c r="O1825" s="87">
        <v>64</v>
      </c>
      <c r="P1825" s="173" t="s">
        <v>25</v>
      </c>
      <c r="Q1825" s="1" t="s">
        <v>1344</v>
      </c>
      <c r="R1825" s="175">
        <v>6</v>
      </c>
      <c r="S1825">
        <v>6</v>
      </c>
    </row>
    <row r="1826" spans="1:19" x14ac:dyDescent="0.25">
      <c r="A1826" s="87">
        <v>2019</v>
      </c>
      <c r="B1826" s="87">
        <v>10</v>
      </c>
      <c r="C1826" s="173" t="s">
        <v>16</v>
      </c>
      <c r="D1826" s="173" t="s">
        <v>23</v>
      </c>
      <c r="E1826" s="173" t="s">
        <v>24</v>
      </c>
      <c r="F1826" s="173" t="s">
        <v>16</v>
      </c>
      <c r="G1826" s="87" t="b">
        <v>1</v>
      </c>
      <c r="H1826" s="87" t="b">
        <v>0</v>
      </c>
      <c r="I1826" s="87" t="b">
        <v>0</v>
      </c>
      <c r="J1826" s="173" t="s">
        <v>468</v>
      </c>
      <c r="K1826" s="174">
        <v>1326206000179</v>
      </c>
      <c r="L1826" s="173" t="s">
        <v>761</v>
      </c>
      <c r="M1826" s="173" t="s">
        <v>762</v>
      </c>
      <c r="N1826" s="173" t="s">
        <v>59</v>
      </c>
      <c r="O1826" s="87">
        <v>73</v>
      </c>
      <c r="P1826" s="173" t="s">
        <v>26</v>
      </c>
      <c r="Q1826" s="1" t="s">
        <v>1339</v>
      </c>
      <c r="R1826" s="175">
        <v>8</v>
      </c>
      <c r="S1826">
        <v>4</v>
      </c>
    </row>
    <row r="1827" spans="1:19" x14ac:dyDescent="0.25">
      <c r="A1827" s="87">
        <v>2019</v>
      </c>
      <c r="B1827" s="87">
        <v>10</v>
      </c>
      <c r="C1827" s="173" t="s">
        <v>16</v>
      </c>
      <c r="D1827" s="173" t="s">
        <v>23</v>
      </c>
      <c r="E1827" s="173" t="s">
        <v>24</v>
      </c>
      <c r="F1827" s="173" t="s">
        <v>16</v>
      </c>
      <c r="G1827" s="87" t="b">
        <v>1</v>
      </c>
      <c r="H1827" s="87" t="b">
        <v>0</v>
      </c>
      <c r="I1827" s="87" t="b">
        <v>0</v>
      </c>
      <c r="J1827" s="173" t="s">
        <v>468</v>
      </c>
      <c r="K1827" s="174">
        <v>1326206000179</v>
      </c>
      <c r="L1827" s="173" t="s">
        <v>761</v>
      </c>
      <c r="M1827" s="173" t="s">
        <v>762</v>
      </c>
      <c r="N1827" s="173" t="s">
        <v>59</v>
      </c>
      <c r="O1827" s="87">
        <v>73</v>
      </c>
      <c r="P1827" s="173" t="s">
        <v>26</v>
      </c>
      <c r="Q1827" s="1" t="s">
        <v>1342</v>
      </c>
      <c r="R1827" s="175">
        <v>20</v>
      </c>
      <c r="S1827">
        <v>5</v>
      </c>
    </row>
    <row r="1828" spans="1:19" x14ac:dyDescent="0.25">
      <c r="A1828" s="87">
        <v>2019</v>
      </c>
      <c r="B1828" s="87">
        <v>10</v>
      </c>
      <c r="C1828" s="173" t="s">
        <v>16</v>
      </c>
      <c r="D1828" s="173" t="s">
        <v>23</v>
      </c>
      <c r="E1828" s="173" t="s">
        <v>24</v>
      </c>
      <c r="F1828" s="173" t="s">
        <v>16</v>
      </c>
      <c r="G1828" s="87" t="b">
        <v>1</v>
      </c>
      <c r="H1828" s="87" t="b">
        <v>0</v>
      </c>
      <c r="I1828" s="87" t="b">
        <v>0</v>
      </c>
      <c r="J1828" s="173" t="s">
        <v>468</v>
      </c>
      <c r="K1828" s="174">
        <v>1326206000179</v>
      </c>
      <c r="L1828" s="173" t="s">
        <v>761</v>
      </c>
      <c r="M1828" s="173" t="s">
        <v>762</v>
      </c>
      <c r="N1828" s="173" t="s">
        <v>59</v>
      </c>
      <c r="O1828" s="87">
        <v>73</v>
      </c>
      <c r="P1828" s="173" t="s">
        <v>26</v>
      </c>
      <c r="Q1828" s="1" t="s">
        <v>1340</v>
      </c>
      <c r="R1828" s="175">
        <v>2</v>
      </c>
      <c r="S1828">
        <v>2</v>
      </c>
    </row>
    <row r="1829" spans="1:19" x14ac:dyDescent="0.25">
      <c r="A1829" s="87">
        <v>2019</v>
      </c>
      <c r="B1829" s="87">
        <v>10</v>
      </c>
      <c r="C1829" s="173" t="s">
        <v>16</v>
      </c>
      <c r="D1829" s="173" t="s">
        <v>23</v>
      </c>
      <c r="E1829" s="173" t="s">
        <v>24</v>
      </c>
      <c r="F1829" s="173" t="s">
        <v>16</v>
      </c>
      <c r="G1829" s="87" t="b">
        <v>1</v>
      </c>
      <c r="H1829" s="87" t="b">
        <v>0</v>
      </c>
      <c r="I1829" s="87" t="b">
        <v>0</v>
      </c>
      <c r="J1829" s="173" t="s">
        <v>478</v>
      </c>
      <c r="K1829" s="174">
        <v>1444455000169</v>
      </c>
      <c r="L1829" s="173" t="s">
        <v>1141</v>
      </c>
      <c r="M1829" s="173" t="s">
        <v>58</v>
      </c>
      <c r="N1829" s="173" t="s">
        <v>54</v>
      </c>
      <c r="O1829" s="87">
        <v>70</v>
      </c>
      <c r="P1829" s="173" t="s">
        <v>20</v>
      </c>
      <c r="Q1829" s="1" t="s">
        <v>1338</v>
      </c>
      <c r="R1829" s="175">
        <v>30</v>
      </c>
      <c r="S1829">
        <v>6</v>
      </c>
    </row>
    <row r="1830" spans="1:19" x14ac:dyDescent="0.25">
      <c r="A1830" s="87">
        <v>2019</v>
      </c>
      <c r="B1830" s="87">
        <v>10</v>
      </c>
      <c r="C1830" s="173" t="s">
        <v>16</v>
      </c>
      <c r="D1830" s="173" t="s">
        <v>23</v>
      </c>
      <c r="E1830" s="173" t="s">
        <v>24</v>
      </c>
      <c r="F1830" s="173" t="s">
        <v>16</v>
      </c>
      <c r="G1830" s="87" t="b">
        <v>1</v>
      </c>
      <c r="H1830" s="87" t="b">
        <v>0</v>
      </c>
      <c r="I1830" s="87" t="b">
        <v>0</v>
      </c>
      <c r="J1830" s="173" t="s">
        <v>477</v>
      </c>
      <c r="K1830" s="174">
        <v>1454407000151</v>
      </c>
      <c r="L1830" s="173" t="s">
        <v>764</v>
      </c>
      <c r="M1830" s="173" t="s">
        <v>742</v>
      </c>
      <c r="N1830" s="173" t="s">
        <v>91</v>
      </c>
      <c r="O1830" s="87">
        <v>70</v>
      </c>
      <c r="P1830" s="173" t="s">
        <v>20</v>
      </c>
      <c r="Q1830" s="1" t="s">
        <v>1338</v>
      </c>
      <c r="R1830" s="175">
        <v>135</v>
      </c>
      <c r="S1830">
        <v>27</v>
      </c>
    </row>
    <row r="1831" spans="1:19" x14ac:dyDescent="0.25">
      <c r="A1831" s="87">
        <v>2019</v>
      </c>
      <c r="B1831" s="87">
        <v>10</v>
      </c>
      <c r="C1831" s="173" t="s">
        <v>16</v>
      </c>
      <c r="D1831" s="173" t="s">
        <v>23</v>
      </c>
      <c r="E1831" s="173" t="s">
        <v>24</v>
      </c>
      <c r="F1831" s="173" t="s">
        <v>16</v>
      </c>
      <c r="G1831" s="87" t="b">
        <v>1</v>
      </c>
      <c r="H1831" s="87" t="b">
        <v>0</v>
      </c>
      <c r="I1831" s="87" t="b">
        <v>0</v>
      </c>
      <c r="J1831" s="173" t="s">
        <v>472</v>
      </c>
      <c r="K1831" s="174">
        <v>1454407000151</v>
      </c>
      <c r="L1831" s="173" t="s">
        <v>764</v>
      </c>
      <c r="M1831" s="173" t="s">
        <v>742</v>
      </c>
      <c r="N1831" s="173" t="s">
        <v>91</v>
      </c>
      <c r="O1831" s="87">
        <v>70</v>
      </c>
      <c r="P1831" s="173" t="s">
        <v>20</v>
      </c>
      <c r="Q1831" s="1" t="s">
        <v>1338</v>
      </c>
      <c r="R1831" s="175">
        <v>125</v>
      </c>
      <c r="S1831">
        <v>25</v>
      </c>
    </row>
    <row r="1832" spans="1:19" x14ac:dyDescent="0.25">
      <c r="A1832" s="87">
        <v>2019</v>
      </c>
      <c r="B1832" s="87">
        <v>10</v>
      </c>
      <c r="C1832" s="173" t="s">
        <v>16</v>
      </c>
      <c r="D1832" s="173" t="s">
        <v>23</v>
      </c>
      <c r="E1832" s="173" t="s">
        <v>24</v>
      </c>
      <c r="F1832" s="173" t="s">
        <v>16</v>
      </c>
      <c r="G1832" s="87" t="b">
        <v>1</v>
      </c>
      <c r="H1832" s="87" t="b">
        <v>0</v>
      </c>
      <c r="I1832" s="87" t="b">
        <v>0</v>
      </c>
      <c r="J1832" s="173" t="s">
        <v>464</v>
      </c>
      <c r="K1832" s="174">
        <v>1507901000137</v>
      </c>
      <c r="L1832" s="173" t="s">
        <v>765</v>
      </c>
      <c r="M1832" s="173" t="s">
        <v>62</v>
      </c>
      <c r="N1832" s="173" t="s">
        <v>63</v>
      </c>
      <c r="O1832" s="87">
        <v>64</v>
      </c>
      <c r="P1832" s="173" t="s">
        <v>25</v>
      </c>
      <c r="Q1832" s="1" t="s">
        <v>1344</v>
      </c>
      <c r="R1832" s="175">
        <v>10</v>
      </c>
      <c r="S1832">
        <v>10</v>
      </c>
    </row>
    <row r="1833" spans="1:19" x14ac:dyDescent="0.25">
      <c r="A1833" s="87">
        <v>2019</v>
      </c>
      <c r="B1833" s="87">
        <v>10</v>
      </c>
      <c r="C1833" s="173" t="s">
        <v>16</v>
      </c>
      <c r="D1833" s="173" t="s">
        <v>23</v>
      </c>
      <c r="E1833" s="173" t="s">
        <v>24</v>
      </c>
      <c r="F1833" s="173" t="s">
        <v>16</v>
      </c>
      <c r="G1833" s="87" t="b">
        <v>1</v>
      </c>
      <c r="H1833" s="87" t="b">
        <v>0</v>
      </c>
      <c r="I1833" s="87" t="b">
        <v>0</v>
      </c>
      <c r="J1833" s="173" t="s">
        <v>495</v>
      </c>
      <c r="K1833" s="174">
        <v>1554266000149</v>
      </c>
      <c r="L1833" s="173" t="s">
        <v>939</v>
      </c>
      <c r="M1833" s="173" t="s">
        <v>113</v>
      </c>
      <c r="N1833" s="173" t="s">
        <v>68</v>
      </c>
      <c r="O1833" s="87">
        <v>70</v>
      </c>
      <c r="P1833" s="173" t="s">
        <v>20</v>
      </c>
      <c r="Q1833" s="1" t="s">
        <v>1338</v>
      </c>
      <c r="R1833" s="175">
        <v>70</v>
      </c>
      <c r="S1833">
        <v>14</v>
      </c>
    </row>
    <row r="1834" spans="1:19" x14ac:dyDescent="0.25">
      <c r="A1834" s="87">
        <v>2019</v>
      </c>
      <c r="B1834" s="87">
        <v>10</v>
      </c>
      <c r="C1834" s="173" t="s">
        <v>16</v>
      </c>
      <c r="D1834" s="173" t="s">
        <v>23</v>
      </c>
      <c r="E1834" s="173" t="s">
        <v>24</v>
      </c>
      <c r="F1834" s="173" t="s">
        <v>16</v>
      </c>
      <c r="G1834" s="87" t="b">
        <v>1</v>
      </c>
      <c r="H1834" s="87" t="b">
        <v>0</v>
      </c>
      <c r="I1834" s="87" t="b">
        <v>0</v>
      </c>
      <c r="J1834" s="173" t="s">
        <v>470</v>
      </c>
      <c r="K1834" s="174">
        <v>1554266000300</v>
      </c>
      <c r="L1834" s="173" t="s">
        <v>940</v>
      </c>
      <c r="M1834" s="173" t="s">
        <v>113</v>
      </c>
      <c r="N1834" s="173" t="s">
        <v>68</v>
      </c>
      <c r="O1834" s="87">
        <v>70</v>
      </c>
      <c r="P1834" s="173" t="s">
        <v>20</v>
      </c>
      <c r="Q1834" s="1" t="s">
        <v>1338</v>
      </c>
      <c r="R1834" s="175">
        <v>70</v>
      </c>
      <c r="S1834">
        <v>14</v>
      </c>
    </row>
    <row r="1835" spans="1:19" x14ac:dyDescent="0.25">
      <c r="A1835" s="87">
        <v>2019</v>
      </c>
      <c r="B1835" s="87">
        <v>10</v>
      </c>
      <c r="C1835" s="173" t="s">
        <v>16</v>
      </c>
      <c r="D1835" s="173" t="s">
        <v>23</v>
      </c>
      <c r="E1835" s="173" t="s">
        <v>24</v>
      </c>
      <c r="F1835" s="173" t="s">
        <v>16</v>
      </c>
      <c r="G1835" s="87" t="b">
        <v>1</v>
      </c>
      <c r="H1835" s="87" t="b">
        <v>0</v>
      </c>
      <c r="I1835" s="87" t="b">
        <v>0</v>
      </c>
      <c r="J1835" s="173" t="s">
        <v>470</v>
      </c>
      <c r="K1835" s="174">
        <v>1613433010814</v>
      </c>
      <c r="L1835" s="173" t="s">
        <v>641</v>
      </c>
      <c r="M1835" s="173" t="s">
        <v>49</v>
      </c>
      <c r="N1835" s="173" t="s">
        <v>19</v>
      </c>
      <c r="O1835" s="87">
        <v>70</v>
      </c>
      <c r="P1835" s="173" t="s">
        <v>20</v>
      </c>
      <c r="Q1835" s="1" t="s">
        <v>1338</v>
      </c>
      <c r="R1835" s="175">
        <v>50</v>
      </c>
      <c r="S1835">
        <v>10</v>
      </c>
    </row>
    <row r="1836" spans="1:19" x14ac:dyDescent="0.25">
      <c r="A1836" s="87">
        <v>2019</v>
      </c>
      <c r="B1836" s="87">
        <v>10</v>
      </c>
      <c r="C1836" s="173" t="s">
        <v>16</v>
      </c>
      <c r="D1836" s="173" t="s">
        <v>23</v>
      </c>
      <c r="E1836" s="173" t="s">
        <v>24</v>
      </c>
      <c r="F1836" s="173" t="s">
        <v>16</v>
      </c>
      <c r="G1836" s="87" t="b">
        <v>1</v>
      </c>
      <c r="H1836" s="87" t="b">
        <v>0</v>
      </c>
      <c r="I1836" s="87" t="b">
        <v>0</v>
      </c>
      <c r="J1836" s="173" t="s">
        <v>468</v>
      </c>
      <c r="K1836" s="174">
        <v>1757351000104</v>
      </c>
      <c r="L1836" s="173" t="s">
        <v>771</v>
      </c>
      <c r="M1836" s="173" t="s">
        <v>772</v>
      </c>
      <c r="N1836" s="173" t="s">
        <v>69</v>
      </c>
      <c r="O1836" s="87">
        <v>64</v>
      </c>
      <c r="P1836" s="173" t="s">
        <v>25</v>
      </c>
      <c r="Q1836" s="1" t="s">
        <v>1344</v>
      </c>
      <c r="R1836" s="175">
        <v>3</v>
      </c>
      <c r="S1836">
        <v>3</v>
      </c>
    </row>
    <row r="1837" spans="1:19" x14ac:dyDescent="0.25">
      <c r="A1837" s="87">
        <v>2019</v>
      </c>
      <c r="B1837" s="87">
        <v>10</v>
      </c>
      <c r="C1837" s="173" t="s">
        <v>16</v>
      </c>
      <c r="D1837" s="173" t="s">
        <v>23</v>
      </c>
      <c r="E1837" s="173" t="s">
        <v>24</v>
      </c>
      <c r="F1837" s="173" t="s">
        <v>16</v>
      </c>
      <c r="G1837" s="87" t="b">
        <v>1</v>
      </c>
      <c r="H1837" s="87" t="b">
        <v>0</v>
      </c>
      <c r="I1837" s="87" t="b">
        <v>0</v>
      </c>
      <c r="J1837" s="173" t="s">
        <v>464</v>
      </c>
      <c r="K1837" s="174">
        <v>1880344000103</v>
      </c>
      <c r="L1837" s="173" t="s">
        <v>941</v>
      </c>
      <c r="M1837" s="173" t="s">
        <v>93</v>
      </c>
      <c r="N1837" s="173" t="s">
        <v>68</v>
      </c>
      <c r="O1837" s="87">
        <v>70</v>
      </c>
      <c r="P1837" s="173" t="s">
        <v>20</v>
      </c>
      <c r="Q1837" s="1" t="s">
        <v>1338</v>
      </c>
      <c r="R1837" s="175">
        <v>200</v>
      </c>
      <c r="S1837">
        <v>40</v>
      </c>
    </row>
    <row r="1838" spans="1:19" x14ac:dyDescent="0.25">
      <c r="A1838" s="87">
        <v>2019</v>
      </c>
      <c r="B1838" s="87">
        <v>10</v>
      </c>
      <c r="C1838" s="173" t="s">
        <v>16</v>
      </c>
      <c r="D1838" s="173" t="s">
        <v>23</v>
      </c>
      <c r="E1838" s="173" t="s">
        <v>24</v>
      </c>
      <c r="F1838" s="173" t="s">
        <v>16</v>
      </c>
      <c r="G1838" s="87" t="b">
        <v>1</v>
      </c>
      <c r="H1838" s="87" t="b">
        <v>0</v>
      </c>
      <c r="I1838" s="87" t="b">
        <v>0</v>
      </c>
      <c r="J1838" s="173" t="s">
        <v>492</v>
      </c>
      <c r="K1838" s="174">
        <v>1880344000103</v>
      </c>
      <c r="L1838" s="173" t="s">
        <v>941</v>
      </c>
      <c r="M1838" s="173" t="s">
        <v>93</v>
      </c>
      <c r="N1838" s="173" t="s">
        <v>68</v>
      </c>
      <c r="O1838" s="87">
        <v>70</v>
      </c>
      <c r="P1838" s="173" t="s">
        <v>20</v>
      </c>
      <c r="Q1838" s="1" t="s">
        <v>1338</v>
      </c>
      <c r="R1838" s="175">
        <v>45</v>
      </c>
      <c r="S1838">
        <v>9</v>
      </c>
    </row>
    <row r="1839" spans="1:19" x14ac:dyDescent="0.25">
      <c r="A1839" s="87">
        <v>2019</v>
      </c>
      <c r="B1839" s="87">
        <v>10</v>
      </c>
      <c r="C1839" s="173" t="s">
        <v>16</v>
      </c>
      <c r="D1839" s="173" t="s">
        <v>23</v>
      </c>
      <c r="E1839" s="173" t="s">
        <v>24</v>
      </c>
      <c r="F1839" s="173" t="s">
        <v>16</v>
      </c>
      <c r="G1839" s="87" t="b">
        <v>1</v>
      </c>
      <c r="H1839" s="87" t="b">
        <v>0</v>
      </c>
      <c r="I1839" s="87" t="b">
        <v>0</v>
      </c>
      <c r="J1839" s="173" t="s">
        <v>470</v>
      </c>
      <c r="K1839" s="174">
        <v>2109397000180</v>
      </c>
      <c r="L1839" s="173" t="s">
        <v>773</v>
      </c>
      <c r="M1839" s="173" t="s">
        <v>62</v>
      </c>
      <c r="N1839" s="173" t="s">
        <v>63</v>
      </c>
      <c r="O1839" s="87">
        <v>62</v>
      </c>
      <c r="P1839" s="173" t="s">
        <v>27</v>
      </c>
      <c r="Q1839" s="1" t="s">
        <v>1343</v>
      </c>
      <c r="R1839" s="175">
        <v>3</v>
      </c>
      <c r="S1839">
        <v>3</v>
      </c>
    </row>
    <row r="1840" spans="1:19" x14ac:dyDescent="0.25">
      <c r="A1840" s="87">
        <v>2019</v>
      </c>
      <c r="B1840" s="87">
        <v>10</v>
      </c>
      <c r="C1840" s="173" t="s">
        <v>16</v>
      </c>
      <c r="D1840" s="173" t="s">
        <v>23</v>
      </c>
      <c r="E1840" s="173" t="s">
        <v>24</v>
      </c>
      <c r="F1840" s="173" t="s">
        <v>16</v>
      </c>
      <c r="G1840" s="87" t="b">
        <v>1</v>
      </c>
      <c r="H1840" s="87" t="b">
        <v>0</v>
      </c>
      <c r="I1840" s="87" t="b">
        <v>0</v>
      </c>
      <c r="J1840" s="173" t="s">
        <v>491</v>
      </c>
      <c r="K1840" s="174">
        <v>2284062000440</v>
      </c>
      <c r="L1840" s="173" t="s">
        <v>775</v>
      </c>
      <c r="M1840" s="173" t="s">
        <v>70</v>
      </c>
      <c r="N1840" s="173" t="s">
        <v>71</v>
      </c>
      <c r="O1840" s="87">
        <v>64</v>
      </c>
      <c r="P1840" s="173" t="s">
        <v>25</v>
      </c>
      <c r="Q1840" s="1" t="s">
        <v>1344</v>
      </c>
      <c r="R1840" s="175">
        <v>5</v>
      </c>
      <c r="S1840">
        <v>5</v>
      </c>
    </row>
    <row r="1841" spans="1:19" x14ac:dyDescent="0.25">
      <c r="A1841" s="87">
        <v>2019</v>
      </c>
      <c r="B1841" s="87">
        <v>10</v>
      </c>
      <c r="C1841" s="173" t="s">
        <v>16</v>
      </c>
      <c r="D1841" s="173" t="s">
        <v>23</v>
      </c>
      <c r="E1841" s="173" t="s">
        <v>24</v>
      </c>
      <c r="F1841" s="173" t="s">
        <v>16</v>
      </c>
      <c r="G1841" s="87" t="b">
        <v>1</v>
      </c>
      <c r="H1841" s="87" t="b">
        <v>0</v>
      </c>
      <c r="I1841" s="87" t="b">
        <v>0</v>
      </c>
      <c r="J1841" s="173" t="s">
        <v>491</v>
      </c>
      <c r="K1841" s="174">
        <v>2284062000521</v>
      </c>
      <c r="L1841" s="173" t="s">
        <v>1077</v>
      </c>
      <c r="M1841" s="173" t="s">
        <v>131</v>
      </c>
      <c r="N1841" s="173" t="s">
        <v>61</v>
      </c>
      <c r="O1841" s="87">
        <v>64</v>
      </c>
      <c r="P1841" s="173" t="s">
        <v>25</v>
      </c>
      <c r="Q1841" s="1" t="s">
        <v>1344</v>
      </c>
      <c r="R1841" s="175">
        <v>25</v>
      </c>
      <c r="S1841">
        <v>25</v>
      </c>
    </row>
    <row r="1842" spans="1:19" x14ac:dyDescent="0.25">
      <c r="A1842" s="87">
        <v>2019</v>
      </c>
      <c r="B1842" s="87">
        <v>10</v>
      </c>
      <c r="C1842" s="173" t="s">
        <v>16</v>
      </c>
      <c r="D1842" s="173" t="s">
        <v>23</v>
      </c>
      <c r="E1842" s="173" t="s">
        <v>24</v>
      </c>
      <c r="F1842" s="173" t="s">
        <v>16</v>
      </c>
      <c r="G1842" s="87" t="b">
        <v>1</v>
      </c>
      <c r="H1842" s="87" t="b">
        <v>0</v>
      </c>
      <c r="I1842" s="87" t="b">
        <v>0</v>
      </c>
      <c r="J1842" s="173" t="s">
        <v>491</v>
      </c>
      <c r="K1842" s="174">
        <v>2383508000494</v>
      </c>
      <c r="L1842" s="173" t="s">
        <v>562</v>
      </c>
      <c r="M1842" s="173" t="s">
        <v>29</v>
      </c>
      <c r="N1842" s="173" t="s">
        <v>19</v>
      </c>
      <c r="O1842" s="87">
        <v>70</v>
      </c>
      <c r="P1842" s="173" t="s">
        <v>20</v>
      </c>
      <c r="Q1842" s="1" t="s">
        <v>1338</v>
      </c>
      <c r="R1842" s="175">
        <v>160</v>
      </c>
      <c r="S1842">
        <v>32</v>
      </c>
    </row>
    <row r="1843" spans="1:19" x14ac:dyDescent="0.25">
      <c r="A1843" s="87">
        <v>2019</v>
      </c>
      <c r="B1843" s="87">
        <v>10</v>
      </c>
      <c r="C1843" s="173" t="s">
        <v>16</v>
      </c>
      <c r="D1843" s="173" t="s">
        <v>23</v>
      </c>
      <c r="E1843" s="173" t="s">
        <v>24</v>
      </c>
      <c r="F1843" s="173" t="s">
        <v>16</v>
      </c>
      <c r="G1843" s="87" t="b">
        <v>1</v>
      </c>
      <c r="H1843" s="87" t="b">
        <v>0</v>
      </c>
      <c r="I1843" s="87" t="b">
        <v>0</v>
      </c>
      <c r="J1843" s="173" t="s">
        <v>451</v>
      </c>
      <c r="K1843" s="174">
        <v>2383508000494</v>
      </c>
      <c r="L1843" s="173" t="s">
        <v>562</v>
      </c>
      <c r="M1843" s="173" t="s">
        <v>29</v>
      </c>
      <c r="N1843" s="173" t="s">
        <v>19</v>
      </c>
      <c r="O1843" s="87">
        <v>73</v>
      </c>
      <c r="P1843" s="173" t="s">
        <v>26</v>
      </c>
      <c r="Q1843" s="1" t="s">
        <v>1339</v>
      </c>
      <c r="R1843" s="175">
        <v>6</v>
      </c>
      <c r="S1843">
        <v>3</v>
      </c>
    </row>
    <row r="1844" spans="1:19" x14ac:dyDescent="0.25">
      <c r="A1844" s="87">
        <v>2019</v>
      </c>
      <c r="B1844" s="87">
        <v>10</v>
      </c>
      <c r="C1844" s="173" t="s">
        <v>16</v>
      </c>
      <c r="D1844" s="173" t="s">
        <v>23</v>
      </c>
      <c r="E1844" s="173" t="s">
        <v>24</v>
      </c>
      <c r="F1844" s="173" t="s">
        <v>16</v>
      </c>
      <c r="G1844" s="87" t="b">
        <v>1</v>
      </c>
      <c r="H1844" s="87" t="b">
        <v>0</v>
      </c>
      <c r="I1844" s="87" t="b">
        <v>0</v>
      </c>
      <c r="J1844" s="173" t="s">
        <v>451</v>
      </c>
      <c r="K1844" s="174">
        <v>2383508000494</v>
      </c>
      <c r="L1844" s="173" t="s">
        <v>562</v>
      </c>
      <c r="M1844" s="173" t="s">
        <v>29</v>
      </c>
      <c r="N1844" s="173" t="s">
        <v>19</v>
      </c>
      <c r="O1844" s="87">
        <v>73</v>
      </c>
      <c r="P1844" s="173" t="s">
        <v>26</v>
      </c>
      <c r="Q1844" s="1" t="s">
        <v>1342</v>
      </c>
      <c r="R1844" s="175">
        <v>28</v>
      </c>
      <c r="S1844">
        <v>7</v>
      </c>
    </row>
    <row r="1845" spans="1:19" x14ac:dyDescent="0.25">
      <c r="A1845" s="87">
        <v>2019</v>
      </c>
      <c r="B1845" s="87">
        <v>10</v>
      </c>
      <c r="C1845" s="173" t="s">
        <v>16</v>
      </c>
      <c r="D1845" s="173" t="s">
        <v>23</v>
      </c>
      <c r="E1845" s="173" t="s">
        <v>24</v>
      </c>
      <c r="F1845" s="173" t="s">
        <v>16</v>
      </c>
      <c r="G1845" s="87" t="b">
        <v>1</v>
      </c>
      <c r="H1845" s="87" t="b">
        <v>0</v>
      </c>
      <c r="I1845" s="87" t="b">
        <v>0</v>
      </c>
      <c r="J1845" s="173" t="s">
        <v>451</v>
      </c>
      <c r="K1845" s="174">
        <v>2383508000494</v>
      </c>
      <c r="L1845" s="173" t="s">
        <v>562</v>
      </c>
      <c r="M1845" s="173" t="s">
        <v>29</v>
      </c>
      <c r="N1845" s="173" t="s">
        <v>19</v>
      </c>
      <c r="O1845" s="87">
        <v>73</v>
      </c>
      <c r="P1845" s="173" t="s">
        <v>26</v>
      </c>
      <c r="Q1845" s="1" t="s">
        <v>1340</v>
      </c>
      <c r="R1845" s="175">
        <v>9</v>
      </c>
      <c r="S1845">
        <v>9</v>
      </c>
    </row>
    <row r="1846" spans="1:19" x14ac:dyDescent="0.25">
      <c r="A1846" s="87">
        <v>2019</v>
      </c>
      <c r="B1846" s="87">
        <v>10</v>
      </c>
      <c r="C1846" s="173" t="s">
        <v>16</v>
      </c>
      <c r="D1846" s="173" t="s">
        <v>23</v>
      </c>
      <c r="E1846" s="173" t="s">
        <v>24</v>
      </c>
      <c r="F1846" s="173" t="s">
        <v>16</v>
      </c>
      <c r="G1846" s="87" t="b">
        <v>1</v>
      </c>
      <c r="H1846" s="87" t="b">
        <v>0</v>
      </c>
      <c r="I1846" s="87" t="b">
        <v>0</v>
      </c>
      <c r="J1846" s="173" t="s">
        <v>468</v>
      </c>
      <c r="K1846" s="174">
        <v>2476067000203</v>
      </c>
      <c r="L1846" s="173" t="s">
        <v>779</v>
      </c>
      <c r="M1846" s="173" t="s">
        <v>745</v>
      </c>
      <c r="N1846" s="173" t="s">
        <v>59</v>
      </c>
      <c r="O1846" s="87">
        <v>73</v>
      </c>
      <c r="P1846" s="173" t="s">
        <v>26</v>
      </c>
      <c r="Q1846" s="1" t="s">
        <v>1339</v>
      </c>
      <c r="R1846" s="175">
        <v>16</v>
      </c>
      <c r="S1846">
        <v>8</v>
      </c>
    </row>
    <row r="1847" spans="1:19" x14ac:dyDescent="0.25">
      <c r="A1847" s="87">
        <v>2019</v>
      </c>
      <c r="B1847" s="87">
        <v>10</v>
      </c>
      <c r="C1847" s="173" t="s">
        <v>16</v>
      </c>
      <c r="D1847" s="173" t="s">
        <v>23</v>
      </c>
      <c r="E1847" s="173" t="s">
        <v>24</v>
      </c>
      <c r="F1847" s="173" t="s">
        <v>16</v>
      </c>
      <c r="G1847" s="87" t="b">
        <v>1</v>
      </c>
      <c r="H1847" s="87" t="b">
        <v>0</v>
      </c>
      <c r="I1847" s="87" t="b">
        <v>0</v>
      </c>
      <c r="J1847" s="173" t="s">
        <v>468</v>
      </c>
      <c r="K1847" s="174">
        <v>2476067000203</v>
      </c>
      <c r="L1847" s="173" t="s">
        <v>779</v>
      </c>
      <c r="M1847" s="173" t="s">
        <v>745</v>
      </c>
      <c r="N1847" s="173" t="s">
        <v>59</v>
      </c>
      <c r="O1847" s="87">
        <v>73</v>
      </c>
      <c r="P1847" s="173" t="s">
        <v>26</v>
      </c>
      <c r="Q1847" s="1" t="s">
        <v>1342</v>
      </c>
      <c r="R1847" s="175">
        <v>32</v>
      </c>
      <c r="S1847">
        <v>8</v>
      </c>
    </row>
    <row r="1848" spans="1:19" x14ac:dyDescent="0.25">
      <c r="A1848" s="87">
        <v>2019</v>
      </c>
      <c r="B1848" s="87">
        <v>10</v>
      </c>
      <c r="C1848" s="173" t="s">
        <v>16</v>
      </c>
      <c r="D1848" s="173" t="s">
        <v>23</v>
      </c>
      <c r="E1848" s="173" t="s">
        <v>24</v>
      </c>
      <c r="F1848" s="173" t="s">
        <v>16</v>
      </c>
      <c r="G1848" s="87" t="b">
        <v>1</v>
      </c>
      <c r="H1848" s="87" t="b">
        <v>0</v>
      </c>
      <c r="I1848" s="87" t="b">
        <v>0</v>
      </c>
      <c r="J1848" s="173" t="s">
        <v>463</v>
      </c>
      <c r="K1848" s="174">
        <v>2476067000203</v>
      </c>
      <c r="L1848" s="173" t="s">
        <v>779</v>
      </c>
      <c r="M1848" s="173" t="s">
        <v>745</v>
      </c>
      <c r="N1848" s="173" t="s">
        <v>59</v>
      </c>
      <c r="O1848" s="87">
        <v>73</v>
      </c>
      <c r="P1848" s="173" t="s">
        <v>26</v>
      </c>
      <c r="Q1848" s="1" t="s">
        <v>1342</v>
      </c>
      <c r="R1848" s="175">
        <v>24</v>
      </c>
      <c r="S1848">
        <v>6</v>
      </c>
    </row>
    <row r="1849" spans="1:19" x14ac:dyDescent="0.25">
      <c r="A1849" s="87">
        <v>2019</v>
      </c>
      <c r="B1849" s="87">
        <v>10</v>
      </c>
      <c r="C1849" s="173" t="s">
        <v>16</v>
      </c>
      <c r="D1849" s="173" t="s">
        <v>23</v>
      </c>
      <c r="E1849" s="173" t="s">
        <v>24</v>
      </c>
      <c r="F1849" s="173" t="s">
        <v>16</v>
      </c>
      <c r="G1849" s="87" t="b">
        <v>1</v>
      </c>
      <c r="H1849" s="87" t="b">
        <v>0</v>
      </c>
      <c r="I1849" s="87" t="b">
        <v>0</v>
      </c>
      <c r="J1849" s="173" t="s">
        <v>463</v>
      </c>
      <c r="K1849" s="174">
        <v>2476067000203</v>
      </c>
      <c r="L1849" s="173" t="s">
        <v>779</v>
      </c>
      <c r="M1849" s="173" t="s">
        <v>745</v>
      </c>
      <c r="N1849" s="173" t="s">
        <v>59</v>
      </c>
      <c r="O1849" s="87">
        <v>73</v>
      </c>
      <c r="P1849" s="173" t="s">
        <v>26</v>
      </c>
      <c r="Q1849" s="1" t="s">
        <v>1340</v>
      </c>
      <c r="R1849" s="175">
        <v>4</v>
      </c>
      <c r="S1849">
        <v>4</v>
      </c>
    </row>
    <row r="1850" spans="1:19" x14ac:dyDescent="0.25">
      <c r="A1850" s="87">
        <v>2019</v>
      </c>
      <c r="B1850" s="87">
        <v>10</v>
      </c>
      <c r="C1850" s="173" t="s">
        <v>16</v>
      </c>
      <c r="D1850" s="173" t="s">
        <v>23</v>
      </c>
      <c r="E1850" s="173" t="s">
        <v>24</v>
      </c>
      <c r="F1850" s="173" t="s">
        <v>16</v>
      </c>
      <c r="G1850" s="87" t="b">
        <v>1</v>
      </c>
      <c r="H1850" s="87" t="b">
        <v>0</v>
      </c>
      <c r="I1850" s="87" t="b">
        <v>0</v>
      </c>
      <c r="J1850" s="173" t="s">
        <v>468</v>
      </c>
      <c r="K1850" s="174">
        <v>2476067000394</v>
      </c>
      <c r="L1850" s="173" t="s">
        <v>780</v>
      </c>
      <c r="M1850" s="173" t="s">
        <v>745</v>
      </c>
      <c r="N1850" s="173" t="s">
        <v>59</v>
      </c>
      <c r="O1850" s="87">
        <v>70</v>
      </c>
      <c r="P1850" s="173" t="s">
        <v>20</v>
      </c>
      <c r="Q1850" s="1" t="s">
        <v>1338</v>
      </c>
      <c r="R1850" s="175">
        <v>45</v>
      </c>
      <c r="S1850">
        <v>9</v>
      </c>
    </row>
    <row r="1851" spans="1:19" x14ac:dyDescent="0.25">
      <c r="A1851" s="87">
        <v>2019</v>
      </c>
      <c r="B1851" s="87">
        <v>10</v>
      </c>
      <c r="C1851" s="173" t="s">
        <v>16</v>
      </c>
      <c r="D1851" s="173" t="s">
        <v>23</v>
      </c>
      <c r="E1851" s="173" t="s">
        <v>24</v>
      </c>
      <c r="F1851" s="173" t="s">
        <v>16</v>
      </c>
      <c r="G1851" s="87" t="b">
        <v>1</v>
      </c>
      <c r="H1851" s="87" t="b">
        <v>0</v>
      </c>
      <c r="I1851" s="87" t="b">
        <v>0</v>
      </c>
      <c r="J1851" s="173" t="s">
        <v>464</v>
      </c>
      <c r="K1851" s="174">
        <v>2560878000107</v>
      </c>
      <c r="L1851" s="173" t="s">
        <v>781</v>
      </c>
      <c r="M1851" s="173" t="s">
        <v>739</v>
      </c>
      <c r="N1851" s="173" t="s">
        <v>55</v>
      </c>
      <c r="O1851" s="87">
        <v>64</v>
      </c>
      <c r="P1851" s="173" t="s">
        <v>25</v>
      </c>
      <c r="Q1851" s="1" t="s">
        <v>1344</v>
      </c>
      <c r="R1851" s="175">
        <v>4</v>
      </c>
      <c r="S1851">
        <v>4</v>
      </c>
    </row>
    <row r="1852" spans="1:19" x14ac:dyDescent="0.25">
      <c r="A1852" s="87">
        <v>2019</v>
      </c>
      <c r="B1852" s="87">
        <v>10</v>
      </c>
      <c r="C1852" s="173" t="s">
        <v>16</v>
      </c>
      <c r="D1852" s="173" t="s">
        <v>23</v>
      </c>
      <c r="E1852" s="173" t="s">
        <v>24</v>
      </c>
      <c r="F1852" s="173" t="s">
        <v>16</v>
      </c>
      <c r="G1852" s="87" t="b">
        <v>1</v>
      </c>
      <c r="H1852" s="87" t="b">
        <v>0</v>
      </c>
      <c r="I1852" s="87" t="b">
        <v>0</v>
      </c>
      <c r="J1852" s="173" t="s">
        <v>468</v>
      </c>
      <c r="K1852" s="174">
        <v>2560878000107</v>
      </c>
      <c r="L1852" s="173" t="s">
        <v>781</v>
      </c>
      <c r="M1852" s="173" t="s">
        <v>739</v>
      </c>
      <c r="N1852" s="173" t="s">
        <v>55</v>
      </c>
      <c r="O1852" s="87">
        <v>64</v>
      </c>
      <c r="P1852" s="173" t="s">
        <v>25</v>
      </c>
      <c r="Q1852" s="1" t="s">
        <v>1344</v>
      </c>
      <c r="R1852" s="175">
        <v>5</v>
      </c>
      <c r="S1852">
        <v>5</v>
      </c>
    </row>
    <row r="1853" spans="1:19" x14ac:dyDescent="0.25">
      <c r="A1853" s="87">
        <v>2019</v>
      </c>
      <c r="B1853" s="87">
        <v>10</v>
      </c>
      <c r="C1853" s="173" t="s">
        <v>16</v>
      </c>
      <c r="D1853" s="173" t="s">
        <v>23</v>
      </c>
      <c r="E1853" s="173" t="s">
        <v>24</v>
      </c>
      <c r="F1853" s="173" t="s">
        <v>16</v>
      </c>
      <c r="G1853" s="87" t="b">
        <v>1</v>
      </c>
      <c r="H1853" s="87" t="b">
        <v>0</v>
      </c>
      <c r="I1853" s="87" t="b">
        <v>0</v>
      </c>
      <c r="J1853" s="173" t="s">
        <v>478</v>
      </c>
      <c r="K1853" s="174">
        <v>2560878000107</v>
      </c>
      <c r="L1853" s="173" t="s">
        <v>781</v>
      </c>
      <c r="M1853" s="173" t="s">
        <v>739</v>
      </c>
      <c r="N1853" s="173" t="s">
        <v>55</v>
      </c>
      <c r="O1853" s="87">
        <v>70</v>
      </c>
      <c r="P1853" s="173" t="s">
        <v>20</v>
      </c>
      <c r="Q1853" s="1" t="s">
        <v>1338</v>
      </c>
      <c r="R1853" s="175">
        <v>50</v>
      </c>
      <c r="S1853">
        <v>10</v>
      </c>
    </row>
    <row r="1854" spans="1:19" x14ac:dyDescent="0.25">
      <c r="A1854" s="87">
        <v>2019</v>
      </c>
      <c r="B1854" s="87">
        <v>10</v>
      </c>
      <c r="C1854" s="173" t="s">
        <v>16</v>
      </c>
      <c r="D1854" s="173" t="s">
        <v>23</v>
      </c>
      <c r="E1854" s="173" t="s">
        <v>24</v>
      </c>
      <c r="F1854" s="173" t="s">
        <v>16</v>
      </c>
      <c r="G1854" s="87" t="b">
        <v>1</v>
      </c>
      <c r="H1854" s="87" t="b">
        <v>0</v>
      </c>
      <c r="I1854" s="87" t="b">
        <v>0</v>
      </c>
      <c r="J1854" s="173" t="s">
        <v>468</v>
      </c>
      <c r="K1854" s="174">
        <v>2560878000107</v>
      </c>
      <c r="L1854" s="173" t="s">
        <v>781</v>
      </c>
      <c r="M1854" s="173" t="s">
        <v>739</v>
      </c>
      <c r="N1854" s="173" t="s">
        <v>55</v>
      </c>
      <c r="O1854" s="87">
        <v>70</v>
      </c>
      <c r="P1854" s="173" t="s">
        <v>20</v>
      </c>
      <c r="Q1854" s="1" t="s">
        <v>1338</v>
      </c>
      <c r="R1854" s="175">
        <v>5</v>
      </c>
      <c r="S1854">
        <v>1</v>
      </c>
    </row>
    <row r="1855" spans="1:19" x14ac:dyDescent="0.25">
      <c r="A1855" s="87">
        <v>2019</v>
      </c>
      <c r="B1855" s="87">
        <v>10</v>
      </c>
      <c r="C1855" s="173" t="s">
        <v>16</v>
      </c>
      <c r="D1855" s="173" t="s">
        <v>23</v>
      </c>
      <c r="E1855" s="173" t="s">
        <v>24</v>
      </c>
      <c r="F1855" s="173" t="s">
        <v>16</v>
      </c>
      <c r="G1855" s="87" t="b">
        <v>1</v>
      </c>
      <c r="H1855" s="87" t="b">
        <v>0</v>
      </c>
      <c r="I1855" s="87" t="b">
        <v>0</v>
      </c>
      <c r="J1855" s="173" t="s">
        <v>491</v>
      </c>
      <c r="K1855" s="174">
        <v>2560878000107</v>
      </c>
      <c r="L1855" s="173" t="s">
        <v>781</v>
      </c>
      <c r="M1855" s="173" t="s">
        <v>739</v>
      </c>
      <c r="N1855" s="173" t="s">
        <v>55</v>
      </c>
      <c r="O1855" s="87">
        <v>70</v>
      </c>
      <c r="P1855" s="173" t="s">
        <v>20</v>
      </c>
      <c r="Q1855" s="1" t="s">
        <v>1338</v>
      </c>
      <c r="R1855" s="175">
        <v>10</v>
      </c>
      <c r="S1855">
        <v>2</v>
      </c>
    </row>
    <row r="1856" spans="1:19" x14ac:dyDescent="0.25">
      <c r="A1856" s="87">
        <v>2019</v>
      </c>
      <c r="B1856" s="87">
        <v>10</v>
      </c>
      <c r="C1856" s="173" t="s">
        <v>16</v>
      </c>
      <c r="D1856" s="173" t="s">
        <v>23</v>
      </c>
      <c r="E1856" s="173" t="s">
        <v>24</v>
      </c>
      <c r="F1856" s="173" t="s">
        <v>16</v>
      </c>
      <c r="G1856" s="87" t="b">
        <v>1</v>
      </c>
      <c r="H1856" s="87" t="b">
        <v>0</v>
      </c>
      <c r="I1856" s="87" t="b">
        <v>0</v>
      </c>
      <c r="J1856" s="173" t="s">
        <v>451</v>
      </c>
      <c r="K1856" s="174">
        <v>2623693000102</v>
      </c>
      <c r="L1856" s="173" t="s">
        <v>1142</v>
      </c>
      <c r="M1856" s="173" t="s">
        <v>58</v>
      </c>
      <c r="N1856" s="173" t="s">
        <v>54</v>
      </c>
      <c r="O1856" s="87">
        <v>70</v>
      </c>
      <c r="P1856" s="173" t="s">
        <v>20</v>
      </c>
      <c r="Q1856" s="1" t="s">
        <v>1345</v>
      </c>
      <c r="R1856" s="175">
        <v>20</v>
      </c>
      <c r="S1856">
        <v>2</v>
      </c>
    </row>
    <row r="1857" spans="1:19" x14ac:dyDescent="0.25">
      <c r="A1857" s="87">
        <v>2019</v>
      </c>
      <c r="B1857" s="87">
        <v>10</v>
      </c>
      <c r="C1857" s="173" t="s">
        <v>16</v>
      </c>
      <c r="D1857" s="173" t="s">
        <v>23</v>
      </c>
      <c r="E1857" s="173" t="s">
        <v>24</v>
      </c>
      <c r="F1857" s="173" t="s">
        <v>16</v>
      </c>
      <c r="G1857" s="87" t="b">
        <v>1</v>
      </c>
      <c r="H1857" s="87" t="b">
        <v>0</v>
      </c>
      <c r="I1857" s="87" t="b">
        <v>0</v>
      </c>
      <c r="J1857" s="173" t="s">
        <v>463</v>
      </c>
      <c r="K1857" s="174">
        <v>2643405000173</v>
      </c>
      <c r="L1857" s="173" t="s">
        <v>642</v>
      </c>
      <c r="M1857" s="173" t="s">
        <v>643</v>
      </c>
      <c r="N1857" s="173" t="s">
        <v>19</v>
      </c>
      <c r="O1857" s="87">
        <v>73</v>
      </c>
      <c r="P1857" s="173" t="s">
        <v>26</v>
      </c>
      <c r="Q1857" s="1" t="s">
        <v>1339</v>
      </c>
      <c r="R1857" s="175">
        <v>8</v>
      </c>
      <c r="S1857">
        <v>4</v>
      </c>
    </row>
    <row r="1858" spans="1:19" x14ac:dyDescent="0.25">
      <c r="A1858" s="87">
        <v>2019</v>
      </c>
      <c r="B1858" s="87">
        <v>10</v>
      </c>
      <c r="C1858" s="173" t="s">
        <v>16</v>
      </c>
      <c r="D1858" s="173" t="s">
        <v>23</v>
      </c>
      <c r="E1858" s="173" t="s">
        <v>24</v>
      </c>
      <c r="F1858" s="173" t="s">
        <v>16</v>
      </c>
      <c r="G1858" s="87" t="b">
        <v>1</v>
      </c>
      <c r="H1858" s="87" t="b">
        <v>0</v>
      </c>
      <c r="I1858" s="87" t="b">
        <v>0</v>
      </c>
      <c r="J1858" s="173" t="s">
        <v>463</v>
      </c>
      <c r="K1858" s="174">
        <v>2643405000173</v>
      </c>
      <c r="L1858" s="173" t="s">
        <v>642</v>
      </c>
      <c r="M1858" s="173" t="s">
        <v>643</v>
      </c>
      <c r="N1858" s="173" t="s">
        <v>19</v>
      </c>
      <c r="O1858" s="87">
        <v>73</v>
      </c>
      <c r="P1858" s="173" t="s">
        <v>26</v>
      </c>
      <c r="Q1858" s="1" t="s">
        <v>1340</v>
      </c>
      <c r="R1858" s="175">
        <v>9</v>
      </c>
      <c r="S1858">
        <v>9</v>
      </c>
    </row>
    <row r="1859" spans="1:19" x14ac:dyDescent="0.25">
      <c r="A1859" s="87">
        <v>2019</v>
      </c>
      <c r="B1859" s="87">
        <v>10</v>
      </c>
      <c r="C1859" s="173" t="s">
        <v>16</v>
      </c>
      <c r="D1859" s="173" t="s">
        <v>23</v>
      </c>
      <c r="E1859" s="173" t="s">
        <v>24</v>
      </c>
      <c r="F1859" s="173" t="s">
        <v>16</v>
      </c>
      <c r="G1859" s="87" t="b">
        <v>1</v>
      </c>
      <c r="H1859" s="87" t="b">
        <v>0</v>
      </c>
      <c r="I1859" s="87" t="b">
        <v>0</v>
      </c>
      <c r="J1859" s="173" t="s">
        <v>463</v>
      </c>
      <c r="K1859" s="174">
        <v>2837922000183</v>
      </c>
      <c r="L1859" s="173" t="s">
        <v>563</v>
      </c>
      <c r="M1859" s="173" t="s">
        <v>29</v>
      </c>
      <c r="N1859" s="173" t="s">
        <v>19</v>
      </c>
      <c r="O1859" s="87">
        <v>73</v>
      </c>
      <c r="P1859" s="173" t="s">
        <v>26</v>
      </c>
      <c r="Q1859" s="1" t="s">
        <v>1342</v>
      </c>
      <c r="R1859" s="175">
        <v>96</v>
      </c>
      <c r="S1859">
        <v>24</v>
      </c>
    </row>
    <row r="1860" spans="1:19" x14ac:dyDescent="0.25">
      <c r="A1860" s="87">
        <v>2019</v>
      </c>
      <c r="B1860" s="87">
        <v>10</v>
      </c>
      <c r="C1860" s="173" t="s">
        <v>16</v>
      </c>
      <c r="D1860" s="173" t="s">
        <v>23</v>
      </c>
      <c r="E1860" s="173" t="s">
        <v>24</v>
      </c>
      <c r="F1860" s="173" t="s">
        <v>16</v>
      </c>
      <c r="G1860" s="87" t="b">
        <v>1</v>
      </c>
      <c r="H1860" s="87" t="b">
        <v>0</v>
      </c>
      <c r="I1860" s="87" t="b">
        <v>0</v>
      </c>
      <c r="J1860" s="173" t="s">
        <v>463</v>
      </c>
      <c r="K1860" s="174">
        <v>2837922000183</v>
      </c>
      <c r="L1860" s="173" t="s">
        <v>563</v>
      </c>
      <c r="M1860" s="173" t="s">
        <v>29</v>
      </c>
      <c r="N1860" s="173" t="s">
        <v>19</v>
      </c>
      <c r="O1860" s="87">
        <v>73</v>
      </c>
      <c r="P1860" s="173" t="s">
        <v>26</v>
      </c>
      <c r="Q1860" s="1" t="s">
        <v>1340</v>
      </c>
      <c r="R1860" s="175">
        <v>4</v>
      </c>
      <c r="S1860">
        <v>4</v>
      </c>
    </row>
    <row r="1861" spans="1:19" x14ac:dyDescent="0.25">
      <c r="A1861" s="87">
        <v>2019</v>
      </c>
      <c r="B1861" s="87">
        <v>10</v>
      </c>
      <c r="C1861" s="173" t="s">
        <v>16</v>
      </c>
      <c r="D1861" s="173" t="s">
        <v>23</v>
      </c>
      <c r="E1861" s="173" t="s">
        <v>24</v>
      </c>
      <c r="F1861" s="173" t="s">
        <v>16</v>
      </c>
      <c r="G1861" s="87" t="b">
        <v>1</v>
      </c>
      <c r="H1861" s="87" t="b">
        <v>0</v>
      </c>
      <c r="I1861" s="87" t="b">
        <v>0</v>
      </c>
      <c r="J1861" s="173" t="s">
        <v>492</v>
      </c>
      <c r="K1861" s="174">
        <v>2862447000286</v>
      </c>
      <c r="L1861" s="173" t="s">
        <v>942</v>
      </c>
      <c r="M1861" s="173" t="s">
        <v>94</v>
      </c>
      <c r="N1861" s="173" t="s">
        <v>57</v>
      </c>
      <c r="O1861" s="87">
        <v>70</v>
      </c>
      <c r="P1861" s="173" t="s">
        <v>20</v>
      </c>
      <c r="Q1861" s="1" t="s">
        <v>1338</v>
      </c>
      <c r="R1861" s="175">
        <v>40</v>
      </c>
      <c r="S1861">
        <v>8</v>
      </c>
    </row>
    <row r="1862" spans="1:19" x14ac:dyDescent="0.25">
      <c r="A1862" s="87">
        <v>2019</v>
      </c>
      <c r="B1862" s="87">
        <v>10</v>
      </c>
      <c r="C1862" s="173" t="s">
        <v>16</v>
      </c>
      <c r="D1862" s="173" t="s">
        <v>23</v>
      </c>
      <c r="E1862" s="173" t="s">
        <v>24</v>
      </c>
      <c r="F1862" s="173" t="s">
        <v>16</v>
      </c>
      <c r="G1862" s="87" t="b">
        <v>1</v>
      </c>
      <c r="H1862" s="87" t="b">
        <v>0</v>
      </c>
      <c r="I1862" s="87" t="b">
        <v>0</v>
      </c>
      <c r="J1862" s="173" t="s">
        <v>449</v>
      </c>
      <c r="K1862" s="174">
        <v>3123393000208</v>
      </c>
      <c r="L1862" s="173" t="s">
        <v>943</v>
      </c>
      <c r="M1862" s="173" t="s">
        <v>541</v>
      </c>
      <c r="N1862" s="173" t="s">
        <v>67</v>
      </c>
      <c r="O1862" s="87">
        <v>73</v>
      </c>
      <c r="P1862" s="173" t="s">
        <v>26</v>
      </c>
      <c r="Q1862" s="1" t="s">
        <v>1340</v>
      </c>
      <c r="R1862" s="175">
        <v>3</v>
      </c>
      <c r="S1862">
        <v>3</v>
      </c>
    </row>
    <row r="1863" spans="1:19" x14ac:dyDescent="0.25">
      <c r="A1863" s="87">
        <v>2019</v>
      </c>
      <c r="B1863" s="87">
        <v>10</v>
      </c>
      <c r="C1863" s="173" t="s">
        <v>16</v>
      </c>
      <c r="D1863" s="173" t="s">
        <v>23</v>
      </c>
      <c r="E1863" s="173" t="s">
        <v>24</v>
      </c>
      <c r="F1863" s="173" t="s">
        <v>16</v>
      </c>
      <c r="G1863" s="87" t="b">
        <v>1</v>
      </c>
      <c r="H1863" s="87" t="b">
        <v>0</v>
      </c>
      <c r="I1863" s="87" t="b">
        <v>0</v>
      </c>
      <c r="J1863" s="173" t="s">
        <v>1330</v>
      </c>
      <c r="K1863" s="174">
        <v>3568867000136</v>
      </c>
      <c r="L1863" s="173" t="s">
        <v>790</v>
      </c>
      <c r="M1863" s="173" t="s">
        <v>739</v>
      </c>
      <c r="N1863" s="173" t="s">
        <v>55</v>
      </c>
      <c r="O1863" s="87">
        <v>70</v>
      </c>
      <c r="P1863" s="173" t="s">
        <v>20</v>
      </c>
      <c r="Q1863" s="1" t="s">
        <v>1338</v>
      </c>
      <c r="R1863" s="175">
        <v>430</v>
      </c>
      <c r="S1863">
        <v>86</v>
      </c>
    </row>
    <row r="1864" spans="1:19" x14ac:dyDescent="0.25">
      <c r="A1864" s="87">
        <v>2019</v>
      </c>
      <c r="B1864" s="87">
        <v>10</v>
      </c>
      <c r="C1864" s="173" t="s">
        <v>16</v>
      </c>
      <c r="D1864" s="173" t="s">
        <v>23</v>
      </c>
      <c r="E1864" s="173" t="s">
        <v>24</v>
      </c>
      <c r="F1864" s="173" t="s">
        <v>16</v>
      </c>
      <c r="G1864" s="87" t="b">
        <v>1</v>
      </c>
      <c r="H1864" s="87" t="b">
        <v>0</v>
      </c>
      <c r="I1864" s="87" t="b">
        <v>0</v>
      </c>
      <c r="J1864" s="173" t="s">
        <v>451</v>
      </c>
      <c r="K1864" s="174">
        <v>3850913000195</v>
      </c>
      <c r="L1864" s="173" t="s">
        <v>945</v>
      </c>
      <c r="M1864" s="173" t="s">
        <v>94</v>
      </c>
      <c r="N1864" s="173" t="s">
        <v>57</v>
      </c>
      <c r="O1864" s="87">
        <v>70</v>
      </c>
      <c r="P1864" s="173" t="s">
        <v>20</v>
      </c>
      <c r="Q1864" s="1" t="s">
        <v>1345</v>
      </c>
      <c r="R1864" s="175">
        <v>490</v>
      </c>
      <c r="S1864">
        <v>49</v>
      </c>
    </row>
    <row r="1865" spans="1:19" x14ac:dyDescent="0.25">
      <c r="A1865" s="87">
        <v>2019</v>
      </c>
      <c r="B1865" s="87">
        <v>10</v>
      </c>
      <c r="C1865" s="173" t="s">
        <v>16</v>
      </c>
      <c r="D1865" s="173" t="s">
        <v>23</v>
      </c>
      <c r="E1865" s="173" t="s">
        <v>24</v>
      </c>
      <c r="F1865" s="173" t="s">
        <v>16</v>
      </c>
      <c r="G1865" s="87" t="b">
        <v>1</v>
      </c>
      <c r="H1865" s="87" t="b">
        <v>0</v>
      </c>
      <c r="I1865" s="87" t="b">
        <v>0</v>
      </c>
      <c r="J1865" s="173" t="s">
        <v>451</v>
      </c>
      <c r="K1865" s="174">
        <v>3850913000195</v>
      </c>
      <c r="L1865" s="173" t="s">
        <v>945</v>
      </c>
      <c r="M1865" s="173" t="s">
        <v>94</v>
      </c>
      <c r="N1865" s="173" t="s">
        <v>57</v>
      </c>
      <c r="O1865" s="87">
        <v>70</v>
      </c>
      <c r="P1865" s="173" t="s">
        <v>20</v>
      </c>
      <c r="Q1865" s="1" t="s">
        <v>1338</v>
      </c>
      <c r="R1865" s="175">
        <v>5</v>
      </c>
      <c r="S1865">
        <v>1</v>
      </c>
    </row>
    <row r="1866" spans="1:19" x14ac:dyDescent="0.25">
      <c r="A1866" s="87">
        <v>2019</v>
      </c>
      <c r="B1866" s="87">
        <v>10</v>
      </c>
      <c r="C1866" s="173" t="s">
        <v>16</v>
      </c>
      <c r="D1866" s="173" t="s">
        <v>23</v>
      </c>
      <c r="E1866" s="173" t="s">
        <v>24</v>
      </c>
      <c r="F1866" s="173" t="s">
        <v>16</v>
      </c>
      <c r="G1866" s="87" t="b">
        <v>1</v>
      </c>
      <c r="H1866" s="87" t="b">
        <v>0</v>
      </c>
      <c r="I1866" s="87" t="b">
        <v>0</v>
      </c>
      <c r="J1866" s="173" t="s">
        <v>452</v>
      </c>
      <c r="K1866" s="174">
        <v>3850913000195</v>
      </c>
      <c r="L1866" s="173" t="s">
        <v>945</v>
      </c>
      <c r="M1866" s="173" t="s">
        <v>94</v>
      </c>
      <c r="N1866" s="173" t="s">
        <v>57</v>
      </c>
      <c r="O1866" s="87">
        <v>70</v>
      </c>
      <c r="P1866" s="173" t="s">
        <v>20</v>
      </c>
      <c r="Q1866" s="1" t="s">
        <v>1345</v>
      </c>
      <c r="R1866" s="175">
        <v>150</v>
      </c>
      <c r="S1866">
        <v>15</v>
      </c>
    </row>
    <row r="1867" spans="1:19" x14ac:dyDescent="0.25">
      <c r="A1867" s="87">
        <v>2019</v>
      </c>
      <c r="B1867" s="87">
        <v>10</v>
      </c>
      <c r="C1867" s="173" t="s">
        <v>16</v>
      </c>
      <c r="D1867" s="173" t="s">
        <v>23</v>
      </c>
      <c r="E1867" s="173" t="s">
        <v>24</v>
      </c>
      <c r="F1867" s="173" t="s">
        <v>16</v>
      </c>
      <c r="G1867" s="87" t="b">
        <v>1</v>
      </c>
      <c r="H1867" s="87" t="b">
        <v>0</v>
      </c>
      <c r="I1867" s="87" t="b">
        <v>0</v>
      </c>
      <c r="J1867" s="173" t="s">
        <v>470</v>
      </c>
      <c r="K1867" s="174">
        <v>3855214000219</v>
      </c>
      <c r="L1867" s="173" t="s">
        <v>946</v>
      </c>
      <c r="M1867" s="173" t="s">
        <v>947</v>
      </c>
      <c r="N1867" s="173" t="s">
        <v>68</v>
      </c>
      <c r="O1867" s="87">
        <v>70</v>
      </c>
      <c r="P1867" s="173" t="s">
        <v>20</v>
      </c>
      <c r="Q1867" s="1" t="s">
        <v>1338</v>
      </c>
      <c r="R1867" s="175">
        <v>10</v>
      </c>
      <c r="S1867">
        <v>2</v>
      </c>
    </row>
    <row r="1868" spans="1:19" x14ac:dyDescent="0.25">
      <c r="A1868" s="87">
        <v>2019</v>
      </c>
      <c r="B1868" s="87">
        <v>10</v>
      </c>
      <c r="C1868" s="173" t="s">
        <v>16</v>
      </c>
      <c r="D1868" s="173" t="s">
        <v>23</v>
      </c>
      <c r="E1868" s="173" t="s">
        <v>24</v>
      </c>
      <c r="F1868" s="173" t="s">
        <v>16</v>
      </c>
      <c r="G1868" s="87" t="b">
        <v>1</v>
      </c>
      <c r="H1868" s="87" t="b">
        <v>0</v>
      </c>
      <c r="I1868" s="87" t="b">
        <v>0</v>
      </c>
      <c r="J1868" s="173" t="s">
        <v>1330</v>
      </c>
      <c r="K1868" s="174">
        <v>3866223000124</v>
      </c>
      <c r="L1868" s="173" t="s">
        <v>792</v>
      </c>
      <c r="M1868" s="173" t="s">
        <v>742</v>
      </c>
      <c r="N1868" s="173" t="s">
        <v>91</v>
      </c>
      <c r="O1868" s="87">
        <v>70</v>
      </c>
      <c r="P1868" s="173" t="s">
        <v>20</v>
      </c>
      <c r="Q1868" s="1" t="s">
        <v>1338</v>
      </c>
      <c r="R1868" s="175">
        <v>0</v>
      </c>
      <c r="S1868">
        <v>0</v>
      </c>
    </row>
    <row r="1869" spans="1:19" x14ac:dyDescent="0.25">
      <c r="A1869" s="87">
        <v>2019</v>
      </c>
      <c r="B1869" s="87">
        <v>10</v>
      </c>
      <c r="C1869" s="173" t="s">
        <v>16</v>
      </c>
      <c r="D1869" s="173" t="s">
        <v>23</v>
      </c>
      <c r="E1869" s="173" t="s">
        <v>24</v>
      </c>
      <c r="F1869" s="173" t="s">
        <v>16</v>
      </c>
      <c r="G1869" s="87" t="b">
        <v>1</v>
      </c>
      <c r="H1869" s="87" t="b">
        <v>0</v>
      </c>
      <c r="I1869" s="87" t="b">
        <v>0</v>
      </c>
      <c r="J1869" s="173" t="s">
        <v>475</v>
      </c>
      <c r="K1869" s="174">
        <v>3866223000124</v>
      </c>
      <c r="L1869" s="173" t="s">
        <v>792</v>
      </c>
      <c r="M1869" s="173" t="s">
        <v>742</v>
      </c>
      <c r="N1869" s="173" t="s">
        <v>91</v>
      </c>
      <c r="O1869" s="87">
        <v>70</v>
      </c>
      <c r="P1869" s="173" t="s">
        <v>20</v>
      </c>
      <c r="Q1869" s="1" t="s">
        <v>1338</v>
      </c>
      <c r="R1869" s="175">
        <v>615</v>
      </c>
      <c r="S1869">
        <v>123</v>
      </c>
    </row>
    <row r="1870" spans="1:19" x14ac:dyDescent="0.25">
      <c r="A1870" s="87">
        <v>2019</v>
      </c>
      <c r="B1870" s="87">
        <v>10</v>
      </c>
      <c r="C1870" s="173" t="s">
        <v>16</v>
      </c>
      <c r="D1870" s="173" t="s">
        <v>23</v>
      </c>
      <c r="E1870" s="173" t="s">
        <v>24</v>
      </c>
      <c r="F1870" s="173" t="s">
        <v>16</v>
      </c>
      <c r="G1870" s="87" t="b">
        <v>1</v>
      </c>
      <c r="H1870" s="87" t="b">
        <v>0</v>
      </c>
      <c r="I1870" s="87" t="b">
        <v>0</v>
      </c>
      <c r="J1870" s="173" t="s">
        <v>450</v>
      </c>
      <c r="K1870" s="174">
        <v>3872790000193</v>
      </c>
      <c r="L1870" s="173" t="s">
        <v>564</v>
      </c>
      <c r="M1870" s="173" t="s">
        <v>29</v>
      </c>
      <c r="N1870" s="173" t="s">
        <v>19</v>
      </c>
      <c r="O1870" s="87">
        <v>73</v>
      </c>
      <c r="P1870" s="173" t="s">
        <v>26</v>
      </c>
      <c r="Q1870" s="1" t="s">
        <v>1342</v>
      </c>
      <c r="R1870" s="175">
        <v>12</v>
      </c>
      <c r="S1870">
        <v>3</v>
      </c>
    </row>
    <row r="1871" spans="1:19" x14ac:dyDescent="0.25">
      <c r="A1871" s="87">
        <v>2019</v>
      </c>
      <c r="B1871" s="87">
        <v>10</v>
      </c>
      <c r="C1871" s="173" t="s">
        <v>16</v>
      </c>
      <c r="D1871" s="173" t="s">
        <v>23</v>
      </c>
      <c r="E1871" s="173" t="s">
        <v>24</v>
      </c>
      <c r="F1871" s="173" t="s">
        <v>16</v>
      </c>
      <c r="G1871" s="87" t="b">
        <v>1</v>
      </c>
      <c r="H1871" s="87" t="b">
        <v>0</v>
      </c>
      <c r="I1871" s="87" t="b">
        <v>0</v>
      </c>
      <c r="J1871" s="173" t="s">
        <v>455</v>
      </c>
      <c r="K1871" s="174">
        <v>3925419000142</v>
      </c>
      <c r="L1871" s="173" t="s">
        <v>795</v>
      </c>
      <c r="M1871" s="173" t="s">
        <v>772</v>
      </c>
      <c r="N1871" s="173" t="s">
        <v>69</v>
      </c>
      <c r="O1871" s="87">
        <v>64</v>
      </c>
      <c r="P1871" s="173" t="s">
        <v>25</v>
      </c>
      <c r="Q1871" s="1" t="s">
        <v>1344</v>
      </c>
      <c r="R1871" s="175">
        <v>4</v>
      </c>
      <c r="S1871">
        <v>4</v>
      </c>
    </row>
    <row r="1872" spans="1:19" x14ac:dyDescent="0.25">
      <c r="A1872" s="87">
        <v>2019</v>
      </c>
      <c r="B1872" s="87">
        <v>10</v>
      </c>
      <c r="C1872" s="173" t="s">
        <v>16</v>
      </c>
      <c r="D1872" s="173" t="s">
        <v>23</v>
      </c>
      <c r="E1872" s="173" t="s">
        <v>24</v>
      </c>
      <c r="F1872" s="173" t="s">
        <v>16</v>
      </c>
      <c r="G1872" s="87" t="b">
        <v>1</v>
      </c>
      <c r="H1872" s="87" t="b">
        <v>0</v>
      </c>
      <c r="I1872" s="87" t="b">
        <v>0</v>
      </c>
      <c r="J1872" s="173" t="s">
        <v>450</v>
      </c>
      <c r="K1872" s="174">
        <v>4036348000190</v>
      </c>
      <c r="L1872" s="173" t="s">
        <v>565</v>
      </c>
      <c r="M1872" s="173" t="s">
        <v>29</v>
      </c>
      <c r="N1872" s="173" t="s">
        <v>19</v>
      </c>
      <c r="O1872" s="87">
        <v>70</v>
      </c>
      <c r="P1872" s="173" t="s">
        <v>20</v>
      </c>
      <c r="Q1872" s="1" t="s">
        <v>1338</v>
      </c>
      <c r="R1872" s="175">
        <v>20</v>
      </c>
      <c r="S1872">
        <v>4</v>
      </c>
    </row>
    <row r="1873" spans="1:19" x14ac:dyDescent="0.25">
      <c r="A1873" s="87">
        <v>2019</v>
      </c>
      <c r="B1873" s="87">
        <v>10</v>
      </c>
      <c r="C1873" s="173" t="s">
        <v>16</v>
      </c>
      <c r="D1873" s="173" t="s">
        <v>23</v>
      </c>
      <c r="E1873" s="173" t="s">
        <v>24</v>
      </c>
      <c r="F1873" s="173" t="s">
        <v>16</v>
      </c>
      <c r="G1873" s="87" t="b">
        <v>1</v>
      </c>
      <c r="H1873" s="87" t="b">
        <v>0</v>
      </c>
      <c r="I1873" s="87" t="b">
        <v>0</v>
      </c>
      <c r="J1873" s="173" t="s">
        <v>463</v>
      </c>
      <c r="K1873" s="174">
        <v>4036348000190</v>
      </c>
      <c r="L1873" s="173" t="s">
        <v>565</v>
      </c>
      <c r="M1873" s="173" t="s">
        <v>29</v>
      </c>
      <c r="N1873" s="173" t="s">
        <v>19</v>
      </c>
      <c r="O1873" s="87">
        <v>70</v>
      </c>
      <c r="P1873" s="173" t="s">
        <v>20</v>
      </c>
      <c r="Q1873" s="1" t="s">
        <v>1345</v>
      </c>
      <c r="R1873" s="175">
        <v>270</v>
      </c>
      <c r="S1873">
        <v>27</v>
      </c>
    </row>
    <row r="1874" spans="1:19" x14ac:dyDescent="0.25">
      <c r="A1874" s="87">
        <v>2019</v>
      </c>
      <c r="B1874" s="87">
        <v>10</v>
      </c>
      <c r="C1874" s="173" t="s">
        <v>16</v>
      </c>
      <c r="D1874" s="173" t="s">
        <v>23</v>
      </c>
      <c r="E1874" s="173" t="s">
        <v>24</v>
      </c>
      <c r="F1874" s="173" t="s">
        <v>16</v>
      </c>
      <c r="G1874" s="87" t="b">
        <v>1</v>
      </c>
      <c r="H1874" s="87" t="b">
        <v>0</v>
      </c>
      <c r="I1874" s="87" t="b">
        <v>0</v>
      </c>
      <c r="J1874" s="173" t="s">
        <v>451</v>
      </c>
      <c r="K1874" s="174">
        <v>4036348000190</v>
      </c>
      <c r="L1874" s="173" t="s">
        <v>565</v>
      </c>
      <c r="M1874" s="173" t="s">
        <v>29</v>
      </c>
      <c r="N1874" s="173" t="s">
        <v>19</v>
      </c>
      <c r="O1874" s="87">
        <v>70</v>
      </c>
      <c r="P1874" s="173" t="s">
        <v>20</v>
      </c>
      <c r="Q1874" s="1" t="s">
        <v>1345</v>
      </c>
      <c r="R1874" s="175">
        <v>30</v>
      </c>
      <c r="S1874">
        <v>3</v>
      </c>
    </row>
    <row r="1875" spans="1:19" x14ac:dyDescent="0.25">
      <c r="A1875" s="87">
        <v>2019</v>
      </c>
      <c r="B1875" s="87">
        <v>10</v>
      </c>
      <c r="C1875" s="173" t="s">
        <v>16</v>
      </c>
      <c r="D1875" s="173" t="s">
        <v>23</v>
      </c>
      <c r="E1875" s="173" t="s">
        <v>24</v>
      </c>
      <c r="F1875" s="173" t="s">
        <v>16</v>
      </c>
      <c r="G1875" s="87" t="b">
        <v>1</v>
      </c>
      <c r="H1875" s="87" t="b">
        <v>0</v>
      </c>
      <c r="I1875" s="87" t="b">
        <v>0</v>
      </c>
      <c r="J1875" s="173" t="s">
        <v>451</v>
      </c>
      <c r="K1875" s="174">
        <v>4036348000190</v>
      </c>
      <c r="L1875" s="173" t="s">
        <v>565</v>
      </c>
      <c r="M1875" s="173" t="s">
        <v>29</v>
      </c>
      <c r="N1875" s="173" t="s">
        <v>19</v>
      </c>
      <c r="O1875" s="87">
        <v>70</v>
      </c>
      <c r="P1875" s="173" t="s">
        <v>20</v>
      </c>
      <c r="Q1875" s="1" t="s">
        <v>1338</v>
      </c>
      <c r="R1875" s="175">
        <v>10</v>
      </c>
      <c r="S1875">
        <v>2</v>
      </c>
    </row>
    <row r="1876" spans="1:19" x14ac:dyDescent="0.25">
      <c r="A1876" s="87">
        <v>2019</v>
      </c>
      <c r="B1876" s="87">
        <v>10</v>
      </c>
      <c r="C1876" s="173" t="s">
        <v>16</v>
      </c>
      <c r="D1876" s="173" t="s">
        <v>23</v>
      </c>
      <c r="E1876" s="173" t="s">
        <v>24</v>
      </c>
      <c r="F1876" s="173" t="s">
        <v>16</v>
      </c>
      <c r="G1876" s="87" t="b">
        <v>1</v>
      </c>
      <c r="H1876" s="87" t="b">
        <v>0</v>
      </c>
      <c r="I1876" s="87" t="b">
        <v>0</v>
      </c>
      <c r="J1876" s="173" t="s">
        <v>470</v>
      </c>
      <c r="K1876" s="174">
        <v>4127483000140</v>
      </c>
      <c r="L1876" s="173" t="s">
        <v>644</v>
      </c>
      <c r="M1876" s="173" t="s">
        <v>639</v>
      </c>
      <c r="N1876" s="173" t="s">
        <v>19</v>
      </c>
      <c r="O1876" s="87">
        <v>70</v>
      </c>
      <c r="P1876" s="173" t="s">
        <v>20</v>
      </c>
      <c r="Q1876" s="1" t="s">
        <v>1338</v>
      </c>
      <c r="R1876" s="175">
        <v>5</v>
      </c>
      <c r="S1876">
        <v>1</v>
      </c>
    </row>
    <row r="1877" spans="1:19" x14ac:dyDescent="0.25">
      <c r="A1877" s="87">
        <v>2019</v>
      </c>
      <c r="B1877" s="87">
        <v>10</v>
      </c>
      <c r="C1877" s="173" t="s">
        <v>16</v>
      </c>
      <c r="D1877" s="173" t="s">
        <v>23</v>
      </c>
      <c r="E1877" s="173" t="s">
        <v>24</v>
      </c>
      <c r="F1877" s="173" t="s">
        <v>16</v>
      </c>
      <c r="G1877" s="87" t="b">
        <v>1</v>
      </c>
      <c r="H1877" s="87" t="b">
        <v>0</v>
      </c>
      <c r="I1877" s="87" t="b">
        <v>0</v>
      </c>
      <c r="J1877" s="173" t="s">
        <v>468</v>
      </c>
      <c r="K1877" s="174">
        <v>4159778000107</v>
      </c>
      <c r="L1877" s="173" t="s">
        <v>1144</v>
      </c>
      <c r="M1877" s="173" t="s">
        <v>109</v>
      </c>
      <c r="N1877" s="173" t="s">
        <v>110</v>
      </c>
      <c r="O1877" s="87">
        <v>62</v>
      </c>
      <c r="P1877" s="173" t="s">
        <v>27</v>
      </c>
      <c r="Q1877" s="1" t="s">
        <v>1343</v>
      </c>
      <c r="R1877" s="175">
        <v>6</v>
      </c>
      <c r="S1877">
        <v>6</v>
      </c>
    </row>
    <row r="1878" spans="1:19" x14ac:dyDescent="0.25">
      <c r="A1878" s="87">
        <v>2019</v>
      </c>
      <c r="B1878" s="87">
        <v>10</v>
      </c>
      <c r="C1878" s="173" t="s">
        <v>16</v>
      </c>
      <c r="D1878" s="173" t="s">
        <v>23</v>
      </c>
      <c r="E1878" s="173" t="s">
        <v>24</v>
      </c>
      <c r="F1878" s="173" t="s">
        <v>16</v>
      </c>
      <c r="G1878" s="87" t="b">
        <v>1</v>
      </c>
      <c r="H1878" s="87" t="b">
        <v>0</v>
      </c>
      <c r="I1878" s="87" t="b">
        <v>0</v>
      </c>
      <c r="J1878" s="173" t="s">
        <v>491</v>
      </c>
      <c r="K1878" s="174">
        <v>4159778000107</v>
      </c>
      <c r="L1878" s="173" t="s">
        <v>1144</v>
      </c>
      <c r="M1878" s="173" t="s">
        <v>109</v>
      </c>
      <c r="N1878" s="173" t="s">
        <v>110</v>
      </c>
      <c r="O1878" s="87">
        <v>62</v>
      </c>
      <c r="P1878" s="173" t="s">
        <v>27</v>
      </c>
      <c r="Q1878" s="1" t="s">
        <v>1343</v>
      </c>
      <c r="R1878" s="175">
        <v>4</v>
      </c>
      <c r="S1878">
        <v>4</v>
      </c>
    </row>
    <row r="1879" spans="1:19" x14ac:dyDescent="0.25">
      <c r="A1879" s="87">
        <v>2019</v>
      </c>
      <c r="B1879" s="87">
        <v>10</v>
      </c>
      <c r="C1879" s="173" t="s">
        <v>16</v>
      </c>
      <c r="D1879" s="173" t="s">
        <v>23</v>
      </c>
      <c r="E1879" s="173" t="s">
        <v>24</v>
      </c>
      <c r="F1879" s="173" t="s">
        <v>16</v>
      </c>
      <c r="G1879" s="87" t="b">
        <v>1</v>
      </c>
      <c r="H1879" s="87" t="b">
        <v>0</v>
      </c>
      <c r="I1879" s="87" t="b">
        <v>0</v>
      </c>
      <c r="J1879" s="173" t="s">
        <v>464</v>
      </c>
      <c r="K1879" s="174">
        <v>4159778000107</v>
      </c>
      <c r="L1879" s="173" t="s">
        <v>1144</v>
      </c>
      <c r="M1879" s="173" t="s">
        <v>109</v>
      </c>
      <c r="N1879" s="173" t="s">
        <v>110</v>
      </c>
      <c r="O1879" s="87">
        <v>64</v>
      </c>
      <c r="P1879" s="173" t="s">
        <v>25</v>
      </c>
      <c r="Q1879" s="1" t="s">
        <v>1344</v>
      </c>
      <c r="R1879" s="175">
        <v>3</v>
      </c>
      <c r="S1879">
        <v>3</v>
      </c>
    </row>
    <row r="1880" spans="1:19" x14ac:dyDescent="0.25">
      <c r="A1880" s="87">
        <v>2019</v>
      </c>
      <c r="B1880" s="87">
        <v>10</v>
      </c>
      <c r="C1880" s="173" t="s">
        <v>16</v>
      </c>
      <c r="D1880" s="173" t="s">
        <v>23</v>
      </c>
      <c r="E1880" s="173" t="s">
        <v>24</v>
      </c>
      <c r="F1880" s="173" t="s">
        <v>16</v>
      </c>
      <c r="G1880" s="87" t="b">
        <v>1</v>
      </c>
      <c r="H1880" s="87" t="b">
        <v>0</v>
      </c>
      <c r="I1880" s="87" t="b">
        <v>0</v>
      </c>
      <c r="J1880" s="173" t="s">
        <v>460</v>
      </c>
      <c r="K1880" s="174">
        <v>4201372001028</v>
      </c>
      <c r="L1880" s="173" t="s">
        <v>1145</v>
      </c>
      <c r="M1880" s="173" t="s">
        <v>1129</v>
      </c>
      <c r="N1880" s="173" t="s">
        <v>52</v>
      </c>
      <c r="O1880" s="87">
        <v>73</v>
      </c>
      <c r="P1880" s="173" t="s">
        <v>26</v>
      </c>
      <c r="Q1880" s="1" t="s">
        <v>1339</v>
      </c>
      <c r="R1880" s="175">
        <v>16</v>
      </c>
      <c r="S1880">
        <v>8</v>
      </c>
    </row>
    <row r="1881" spans="1:19" x14ac:dyDescent="0.25">
      <c r="A1881" s="87">
        <v>2019</v>
      </c>
      <c r="B1881" s="87">
        <v>10</v>
      </c>
      <c r="C1881" s="173" t="s">
        <v>16</v>
      </c>
      <c r="D1881" s="173" t="s">
        <v>23</v>
      </c>
      <c r="E1881" s="173" t="s">
        <v>24</v>
      </c>
      <c r="F1881" s="173" t="s">
        <v>16</v>
      </c>
      <c r="G1881" s="87" t="b">
        <v>1</v>
      </c>
      <c r="H1881" s="87" t="b">
        <v>0</v>
      </c>
      <c r="I1881" s="87" t="b">
        <v>0</v>
      </c>
      <c r="J1881" s="173" t="s">
        <v>460</v>
      </c>
      <c r="K1881" s="174">
        <v>4201372001028</v>
      </c>
      <c r="L1881" s="173" t="s">
        <v>1145</v>
      </c>
      <c r="M1881" s="173" t="s">
        <v>1129</v>
      </c>
      <c r="N1881" s="173" t="s">
        <v>52</v>
      </c>
      <c r="O1881" s="87">
        <v>73</v>
      </c>
      <c r="P1881" s="173" t="s">
        <v>26</v>
      </c>
      <c r="Q1881" s="1" t="s">
        <v>1342</v>
      </c>
      <c r="R1881" s="175">
        <v>64</v>
      </c>
      <c r="S1881">
        <v>16</v>
      </c>
    </row>
    <row r="1882" spans="1:19" x14ac:dyDescent="0.25">
      <c r="A1882" s="87">
        <v>2019</v>
      </c>
      <c r="B1882" s="87">
        <v>10</v>
      </c>
      <c r="C1882" s="173" t="s">
        <v>16</v>
      </c>
      <c r="D1882" s="173" t="s">
        <v>23</v>
      </c>
      <c r="E1882" s="173" t="s">
        <v>24</v>
      </c>
      <c r="F1882" s="173" t="s">
        <v>16</v>
      </c>
      <c r="G1882" s="87" t="b">
        <v>1</v>
      </c>
      <c r="H1882" s="87" t="b">
        <v>0</v>
      </c>
      <c r="I1882" s="87" t="b">
        <v>0</v>
      </c>
      <c r="J1882" s="173" t="s">
        <v>478</v>
      </c>
      <c r="K1882" s="174">
        <v>4275687000129</v>
      </c>
      <c r="L1882" s="173" t="s">
        <v>645</v>
      </c>
      <c r="M1882" s="173" t="s">
        <v>31</v>
      </c>
      <c r="N1882" s="173" t="s">
        <v>19</v>
      </c>
      <c r="O1882" s="87">
        <v>73</v>
      </c>
      <c r="P1882" s="173" t="s">
        <v>26</v>
      </c>
      <c r="Q1882" s="1" t="s">
        <v>1342</v>
      </c>
      <c r="R1882" s="175">
        <v>32</v>
      </c>
      <c r="S1882">
        <v>8</v>
      </c>
    </row>
    <row r="1883" spans="1:19" x14ac:dyDescent="0.25">
      <c r="A1883" s="87">
        <v>2019</v>
      </c>
      <c r="B1883" s="87">
        <v>10</v>
      </c>
      <c r="C1883" s="173" t="s">
        <v>16</v>
      </c>
      <c r="D1883" s="173" t="s">
        <v>23</v>
      </c>
      <c r="E1883" s="173" t="s">
        <v>24</v>
      </c>
      <c r="F1883" s="173" t="s">
        <v>16</v>
      </c>
      <c r="G1883" s="87" t="b">
        <v>1</v>
      </c>
      <c r="H1883" s="87" t="b">
        <v>0</v>
      </c>
      <c r="I1883" s="87" t="b">
        <v>0</v>
      </c>
      <c r="J1883" s="173" t="s">
        <v>478</v>
      </c>
      <c r="K1883" s="174">
        <v>4275687000129</v>
      </c>
      <c r="L1883" s="173" t="s">
        <v>645</v>
      </c>
      <c r="M1883" s="173" t="s">
        <v>31</v>
      </c>
      <c r="N1883" s="173" t="s">
        <v>19</v>
      </c>
      <c r="O1883" s="87">
        <v>73</v>
      </c>
      <c r="P1883" s="173" t="s">
        <v>26</v>
      </c>
      <c r="Q1883" s="1" t="s">
        <v>1340</v>
      </c>
      <c r="R1883" s="175">
        <v>4</v>
      </c>
      <c r="S1883">
        <v>4</v>
      </c>
    </row>
    <row r="1884" spans="1:19" x14ac:dyDescent="0.25">
      <c r="A1884" s="87">
        <v>2019</v>
      </c>
      <c r="B1884" s="87">
        <v>10</v>
      </c>
      <c r="C1884" s="173" t="s">
        <v>16</v>
      </c>
      <c r="D1884" s="173" t="s">
        <v>23</v>
      </c>
      <c r="E1884" s="173" t="s">
        <v>24</v>
      </c>
      <c r="F1884" s="173" t="s">
        <v>16</v>
      </c>
      <c r="G1884" s="87" t="b">
        <v>1</v>
      </c>
      <c r="H1884" s="87" t="b">
        <v>0</v>
      </c>
      <c r="I1884" s="87" t="b">
        <v>0</v>
      </c>
      <c r="J1884" s="173" t="s">
        <v>470</v>
      </c>
      <c r="K1884" s="174">
        <v>4378502000101</v>
      </c>
      <c r="L1884" s="173" t="s">
        <v>948</v>
      </c>
      <c r="M1884" s="173" t="s">
        <v>94</v>
      </c>
      <c r="N1884" s="173" t="s">
        <v>57</v>
      </c>
      <c r="O1884" s="87">
        <v>70</v>
      </c>
      <c r="P1884" s="173" t="s">
        <v>20</v>
      </c>
      <c r="Q1884" s="1" t="s">
        <v>1338</v>
      </c>
      <c r="R1884" s="175">
        <v>15</v>
      </c>
      <c r="S1884">
        <v>3</v>
      </c>
    </row>
    <row r="1885" spans="1:19" x14ac:dyDescent="0.25">
      <c r="A1885" s="87">
        <v>2019</v>
      </c>
      <c r="B1885" s="87">
        <v>10</v>
      </c>
      <c r="C1885" s="173" t="s">
        <v>16</v>
      </c>
      <c r="D1885" s="173" t="s">
        <v>23</v>
      </c>
      <c r="E1885" s="173" t="s">
        <v>24</v>
      </c>
      <c r="F1885" s="173" t="s">
        <v>16</v>
      </c>
      <c r="G1885" s="87" t="b">
        <v>1</v>
      </c>
      <c r="H1885" s="87" t="b">
        <v>0</v>
      </c>
      <c r="I1885" s="87" t="b">
        <v>0</v>
      </c>
      <c r="J1885" s="173" t="s">
        <v>492</v>
      </c>
      <c r="K1885" s="174">
        <v>4670913000176</v>
      </c>
      <c r="L1885" s="173" t="s">
        <v>949</v>
      </c>
      <c r="M1885" s="173" t="s">
        <v>930</v>
      </c>
      <c r="N1885" s="173" t="s">
        <v>68</v>
      </c>
      <c r="O1885" s="87">
        <v>70</v>
      </c>
      <c r="P1885" s="173" t="s">
        <v>20</v>
      </c>
      <c r="Q1885" s="1" t="s">
        <v>1338</v>
      </c>
      <c r="R1885" s="175">
        <v>435</v>
      </c>
      <c r="S1885">
        <v>87</v>
      </c>
    </row>
    <row r="1886" spans="1:19" x14ac:dyDescent="0.25">
      <c r="A1886" s="87">
        <v>2019</v>
      </c>
      <c r="B1886" s="87">
        <v>10</v>
      </c>
      <c r="C1886" s="173" t="s">
        <v>16</v>
      </c>
      <c r="D1886" s="173" t="s">
        <v>23</v>
      </c>
      <c r="E1886" s="173" t="s">
        <v>24</v>
      </c>
      <c r="F1886" s="173" t="s">
        <v>16</v>
      </c>
      <c r="G1886" s="87" t="b">
        <v>1</v>
      </c>
      <c r="H1886" s="87" t="b">
        <v>0</v>
      </c>
      <c r="I1886" s="87" t="b">
        <v>0</v>
      </c>
      <c r="J1886" s="173" t="s">
        <v>455</v>
      </c>
      <c r="K1886" s="174">
        <v>4779685002382</v>
      </c>
      <c r="L1886" s="173" t="s">
        <v>1079</v>
      </c>
      <c r="M1886" s="173" t="s">
        <v>131</v>
      </c>
      <c r="N1886" s="173" t="s">
        <v>61</v>
      </c>
      <c r="O1886" s="87">
        <v>70</v>
      </c>
      <c r="P1886" s="173" t="s">
        <v>20</v>
      </c>
      <c r="Q1886" s="1" t="s">
        <v>1338</v>
      </c>
      <c r="R1886" s="175">
        <v>180</v>
      </c>
      <c r="S1886">
        <v>36</v>
      </c>
    </row>
    <row r="1887" spans="1:19" x14ac:dyDescent="0.25">
      <c r="A1887" s="87">
        <v>2019</v>
      </c>
      <c r="B1887" s="87">
        <v>10</v>
      </c>
      <c r="C1887" s="173" t="s">
        <v>16</v>
      </c>
      <c r="D1887" s="173" t="s">
        <v>23</v>
      </c>
      <c r="E1887" s="173" t="s">
        <v>24</v>
      </c>
      <c r="F1887" s="173" t="s">
        <v>16</v>
      </c>
      <c r="G1887" s="87" t="b">
        <v>1</v>
      </c>
      <c r="H1887" s="87" t="b">
        <v>0</v>
      </c>
      <c r="I1887" s="87" t="b">
        <v>0</v>
      </c>
      <c r="J1887" s="173" t="s">
        <v>470</v>
      </c>
      <c r="K1887" s="174">
        <v>4966545000370</v>
      </c>
      <c r="L1887" s="173" t="s">
        <v>1148</v>
      </c>
      <c r="M1887" s="173" t="s">
        <v>1129</v>
      </c>
      <c r="N1887" s="173" t="s">
        <v>52</v>
      </c>
      <c r="O1887" s="87">
        <v>70</v>
      </c>
      <c r="P1887" s="173" t="s">
        <v>20</v>
      </c>
      <c r="Q1887" s="1" t="s">
        <v>1338</v>
      </c>
      <c r="R1887" s="175">
        <v>40</v>
      </c>
      <c r="S1887">
        <v>8</v>
      </c>
    </row>
    <row r="1888" spans="1:19" x14ac:dyDescent="0.25">
      <c r="A1888" s="87">
        <v>2019</v>
      </c>
      <c r="B1888" s="87">
        <v>10</v>
      </c>
      <c r="C1888" s="173" t="s">
        <v>16</v>
      </c>
      <c r="D1888" s="173" t="s">
        <v>23</v>
      </c>
      <c r="E1888" s="173" t="s">
        <v>24</v>
      </c>
      <c r="F1888" s="173" t="s">
        <v>16</v>
      </c>
      <c r="G1888" s="87" t="b">
        <v>1</v>
      </c>
      <c r="H1888" s="87" t="b">
        <v>0</v>
      </c>
      <c r="I1888" s="87" t="b">
        <v>0</v>
      </c>
      <c r="J1888" s="173" t="s">
        <v>491</v>
      </c>
      <c r="K1888" s="174">
        <v>5469172000122</v>
      </c>
      <c r="L1888" s="173" t="s">
        <v>799</v>
      </c>
      <c r="M1888" s="173" t="s">
        <v>75</v>
      </c>
      <c r="N1888" s="173" t="s">
        <v>74</v>
      </c>
      <c r="O1888" s="87">
        <v>62</v>
      </c>
      <c r="P1888" s="173" t="s">
        <v>27</v>
      </c>
      <c r="Q1888" s="1" t="s">
        <v>1343</v>
      </c>
      <c r="R1888" s="175">
        <v>5</v>
      </c>
      <c r="S1888">
        <v>5</v>
      </c>
    </row>
    <row r="1889" spans="1:19" x14ac:dyDescent="0.25">
      <c r="A1889" s="87">
        <v>2019</v>
      </c>
      <c r="B1889" s="87">
        <v>10</v>
      </c>
      <c r="C1889" s="173" t="s">
        <v>16</v>
      </c>
      <c r="D1889" s="173" t="s">
        <v>23</v>
      </c>
      <c r="E1889" s="173" t="s">
        <v>24</v>
      </c>
      <c r="F1889" s="173" t="s">
        <v>16</v>
      </c>
      <c r="G1889" s="87" t="b">
        <v>1</v>
      </c>
      <c r="H1889" s="87" t="b">
        <v>0</v>
      </c>
      <c r="I1889" s="87" t="b">
        <v>0</v>
      </c>
      <c r="J1889" s="173" t="s">
        <v>455</v>
      </c>
      <c r="K1889" s="174">
        <v>5469172000122</v>
      </c>
      <c r="L1889" s="173" t="s">
        <v>799</v>
      </c>
      <c r="M1889" s="173" t="s">
        <v>75</v>
      </c>
      <c r="N1889" s="173" t="s">
        <v>74</v>
      </c>
      <c r="O1889" s="87">
        <v>64</v>
      </c>
      <c r="P1889" s="173" t="s">
        <v>25</v>
      </c>
      <c r="Q1889" s="1" t="s">
        <v>1344</v>
      </c>
      <c r="R1889" s="175">
        <v>3</v>
      </c>
      <c r="S1889">
        <v>3</v>
      </c>
    </row>
    <row r="1890" spans="1:19" x14ac:dyDescent="0.25">
      <c r="A1890" s="87">
        <v>2019</v>
      </c>
      <c r="B1890" s="87">
        <v>10</v>
      </c>
      <c r="C1890" s="173" t="s">
        <v>16</v>
      </c>
      <c r="D1890" s="173" t="s">
        <v>23</v>
      </c>
      <c r="E1890" s="173" t="s">
        <v>24</v>
      </c>
      <c r="F1890" s="173" t="s">
        <v>16</v>
      </c>
      <c r="G1890" s="87" t="b">
        <v>1</v>
      </c>
      <c r="H1890" s="87" t="b">
        <v>0</v>
      </c>
      <c r="I1890" s="87" t="b">
        <v>0</v>
      </c>
      <c r="J1890" s="173" t="s">
        <v>451</v>
      </c>
      <c r="K1890" s="174">
        <v>5469172000122</v>
      </c>
      <c r="L1890" s="173" t="s">
        <v>799</v>
      </c>
      <c r="M1890" s="173" t="s">
        <v>75</v>
      </c>
      <c r="N1890" s="173" t="s">
        <v>74</v>
      </c>
      <c r="O1890" s="87">
        <v>64</v>
      </c>
      <c r="P1890" s="173" t="s">
        <v>25</v>
      </c>
      <c r="Q1890" s="1" t="s">
        <v>1344</v>
      </c>
      <c r="R1890" s="175">
        <v>15</v>
      </c>
      <c r="S1890">
        <v>15</v>
      </c>
    </row>
    <row r="1891" spans="1:19" x14ac:dyDescent="0.25">
      <c r="A1891" s="87">
        <v>2019</v>
      </c>
      <c r="B1891" s="87">
        <v>10</v>
      </c>
      <c r="C1891" s="173" t="s">
        <v>16</v>
      </c>
      <c r="D1891" s="173" t="s">
        <v>23</v>
      </c>
      <c r="E1891" s="173" t="s">
        <v>24</v>
      </c>
      <c r="F1891" s="173" t="s">
        <v>16</v>
      </c>
      <c r="G1891" s="87" t="b">
        <v>1</v>
      </c>
      <c r="H1891" s="87" t="b">
        <v>0</v>
      </c>
      <c r="I1891" s="87" t="b">
        <v>0</v>
      </c>
      <c r="J1891" s="173" t="s">
        <v>464</v>
      </c>
      <c r="K1891" s="174">
        <v>5612725000154</v>
      </c>
      <c r="L1891" s="173" t="s">
        <v>800</v>
      </c>
      <c r="M1891" s="173" t="s">
        <v>742</v>
      </c>
      <c r="N1891" s="173" t="s">
        <v>91</v>
      </c>
      <c r="O1891" s="87">
        <v>70</v>
      </c>
      <c r="P1891" s="173" t="s">
        <v>20</v>
      </c>
      <c r="Q1891" s="1" t="s">
        <v>1338</v>
      </c>
      <c r="R1891" s="175">
        <v>30</v>
      </c>
      <c r="S1891">
        <v>6</v>
      </c>
    </row>
    <row r="1892" spans="1:19" x14ac:dyDescent="0.25">
      <c r="A1892" s="87">
        <v>2019</v>
      </c>
      <c r="B1892" s="87">
        <v>10</v>
      </c>
      <c r="C1892" s="173" t="s">
        <v>16</v>
      </c>
      <c r="D1892" s="173" t="s">
        <v>23</v>
      </c>
      <c r="E1892" s="173" t="s">
        <v>24</v>
      </c>
      <c r="F1892" s="173" t="s">
        <v>16</v>
      </c>
      <c r="G1892" s="87" t="b">
        <v>1</v>
      </c>
      <c r="H1892" s="87" t="b">
        <v>0</v>
      </c>
      <c r="I1892" s="87" t="b">
        <v>0</v>
      </c>
      <c r="J1892" s="173" t="s">
        <v>460</v>
      </c>
      <c r="K1892" s="174">
        <v>5652543000107</v>
      </c>
      <c r="L1892" s="173" t="s">
        <v>801</v>
      </c>
      <c r="M1892" s="173" t="s">
        <v>802</v>
      </c>
      <c r="N1892" s="173" t="s">
        <v>74</v>
      </c>
      <c r="O1892" s="87">
        <v>64</v>
      </c>
      <c r="P1892" s="173" t="s">
        <v>25</v>
      </c>
      <c r="Q1892" s="1" t="s">
        <v>1344</v>
      </c>
      <c r="R1892" s="175">
        <v>3</v>
      </c>
      <c r="S1892">
        <v>3</v>
      </c>
    </row>
    <row r="1893" spans="1:19" x14ac:dyDescent="0.25">
      <c r="A1893" s="87">
        <v>2019</v>
      </c>
      <c r="B1893" s="87">
        <v>10</v>
      </c>
      <c r="C1893" s="173" t="s">
        <v>16</v>
      </c>
      <c r="D1893" s="173" t="s">
        <v>23</v>
      </c>
      <c r="E1893" s="173" t="s">
        <v>24</v>
      </c>
      <c r="F1893" s="173" t="s">
        <v>16</v>
      </c>
      <c r="G1893" s="87" t="b">
        <v>1</v>
      </c>
      <c r="H1893" s="87" t="b">
        <v>0</v>
      </c>
      <c r="I1893" s="87" t="b">
        <v>0</v>
      </c>
      <c r="J1893" s="173" t="s">
        <v>464</v>
      </c>
      <c r="K1893" s="174">
        <v>5652543000107</v>
      </c>
      <c r="L1893" s="173" t="s">
        <v>801</v>
      </c>
      <c r="M1893" s="173" t="s">
        <v>802</v>
      </c>
      <c r="N1893" s="173" t="s">
        <v>74</v>
      </c>
      <c r="O1893" s="87">
        <v>64</v>
      </c>
      <c r="P1893" s="173" t="s">
        <v>25</v>
      </c>
      <c r="Q1893" s="1" t="s">
        <v>1344</v>
      </c>
      <c r="R1893" s="175">
        <v>19</v>
      </c>
      <c r="S1893">
        <v>19</v>
      </c>
    </row>
    <row r="1894" spans="1:19" x14ac:dyDescent="0.25">
      <c r="A1894" s="87">
        <v>2019</v>
      </c>
      <c r="B1894" s="87">
        <v>10</v>
      </c>
      <c r="C1894" s="173" t="s">
        <v>16</v>
      </c>
      <c r="D1894" s="173" t="s">
        <v>23</v>
      </c>
      <c r="E1894" s="173" t="s">
        <v>24</v>
      </c>
      <c r="F1894" s="173" t="s">
        <v>16</v>
      </c>
      <c r="G1894" s="87" t="b">
        <v>1</v>
      </c>
      <c r="H1894" s="87" t="b">
        <v>0</v>
      </c>
      <c r="I1894" s="87" t="b">
        <v>0</v>
      </c>
      <c r="J1894" s="173" t="s">
        <v>464</v>
      </c>
      <c r="K1894" s="174">
        <v>5816630000152</v>
      </c>
      <c r="L1894" s="173" t="s">
        <v>803</v>
      </c>
      <c r="M1894" s="173" t="s">
        <v>75</v>
      </c>
      <c r="N1894" s="173" t="s">
        <v>74</v>
      </c>
      <c r="O1894" s="87">
        <v>62</v>
      </c>
      <c r="P1894" s="173" t="s">
        <v>27</v>
      </c>
      <c r="Q1894" s="1" t="s">
        <v>1343</v>
      </c>
      <c r="R1894" s="175">
        <v>30</v>
      </c>
      <c r="S1894">
        <v>30</v>
      </c>
    </row>
    <row r="1895" spans="1:19" x14ac:dyDescent="0.25">
      <c r="A1895" s="87">
        <v>2019</v>
      </c>
      <c r="B1895" s="87">
        <v>10</v>
      </c>
      <c r="C1895" s="173" t="s">
        <v>16</v>
      </c>
      <c r="D1895" s="173" t="s">
        <v>23</v>
      </c>
      <c r="E1895" s="173" t="s">
        <v>24</v>
      </c>
      <c r="F1895" s="173" t="s">
        <v>16</v>
      </c>
      <c r="G1895" s="87" t="b">
        <v>1</v>
      </c>
      <c r="H1895" s="87" t="b">
        <v>0</v>
      </c>
      <c r="I1895" s="87" t="b">
        <v>0</v>
      </c>
      <c r="J1895" s="173" t="s">
        <v>475</v>
      </c>
      <c r="K1895" s="174">
        <v>5816630000152</v>
      </c>
      <c r="L1895" s="173" t="s">
        <v>803</v>
      </c>
      <c r="M1895" s="173" t="s">
        <v>75</v>
      </c>
      <c r="N1895" s="173" t="s">
        <v>74</v>
      </c>
      <c r="O1895" s="87">
        <v>64</v>
      </c>
      <c r="P1895" s="173" t="s">
        <v>25</v>
      </c>
      <c r="Q1895" s="1" t="s">
        <v>1344</v>
      </c>
      <c r="R1895" s="175">
        <v>40</v>
      </c>
      <c r="S1895">
        <v>40</v>
      </c>
    </row>
    <row r="1896" spans="1:19" x14ac:dyDescent="0.25">
      <c r="A1896" s="87">
        <v>2019</v>
      </c>
      <c r="B1896" s="87">
        <v>10</v>
      </c>
      <c r="C1896" s="173" t="s">
        <v>16</v>
      </c>
      <c r="D1896" s="173" t="s">
        <v>23</v>
      </c>
      <c r="E1896" s="173" t="s">
        <v>24</v>
      </c>
      <c r="F1896" s="173" t="s">
        <v>16</v>
      </c>
      <c r="G1896" s="87" t="b">
        <v>1</v>
      </c>
      <c r="H1896" s="87" t="b">
        <v>0</v>
      </c>
      <c r="I1896" s="87" t="b">
        <v>0</v>
      </c>
      <c r="J1896" s="173" t="s">
        <v>1330</v>
      </c>
      <c r="K1896" s="174">
        <v>5816630000152</v>
      </c>
      <c r="L1896" s="173" t="s">
        <v>803</v>
      </c>
      <c r="M1896" s="173" t="s">
        <v>75</v>
      </c>
      <c r="N1896" s="173" t="s">
        <v>74</v>
      </c>
      <c r="O1896" s="87">
        <v>70</v>
      </c>
      <c r="P1896" s="173" t="s">
        <v>20</v>
      </c>
      <c r="Q1896" s="1" t="s">
        <v>1338</v>
      </c>
      <c r="R1896" s="175">
        <v>515</v>
      </c>
      <c r="S1896">
        <v>103</v>
      </c>
    </row>
    <row r="1897" spans="1:19" x14ac:dyDescent="0.25">
      <c r="A1897" s="87">
        <v>2019</v>
      </c>
      <c r="B1897" s="87">
        <v>10</v>
      </c>
      <c r="C1897" s="173" t="s">
        <v>16</v>
      </c>
      <c r="D1897" s="173" t="s">
        <v>23</v>
      </c>
      <c r="E1897" s="173" t="s">
        <v>24</v>
      </c>
      <c r="F1897" s="173" t="s">
        <v>16</v>
      </c>
      <c r="G1897" s="87" t="b">
        <v>1</v>
      </c>
      <c r="H1897" s="87" t="b">
        <v>0</v>
      </c>
      <c r="I1897" s="87" t="b">
        <v>0</v>
      </c>
      <c r="J1897" s="173" t="s">
        <v>506</v>
      </c>
      <c r="K1897" s="174">
        <v>5831510000124</v>
      </c>
      <c r="L1897" s="173" t="s">
        <v>567</v>
      </c>
      <c r="M1897" s="173" t="s">
        <v>29</v>
      </c>
      <c r="N1897" s="173" t="s">
        <v>19</v>
      </c>
      <c r="O1897" s="87">
        <v>70</v>
      </c>
      <c r="P1897" s="173" t="s">
        <v>20</v>
      </c>
      <c r="Q1897" s="1" t="s">
        <v>1338</v>
      </c>
      <c r="R1897" s="175">
        <v>135</v>
      </c>
      <c r="S1897">
        <v>27</v>
      </c>
    </row>
    <row r="1898" spans="1:19" x14ac:dyDescent="0.25">
      <c r="A1898" s="87">
        <v>2019</v>
      </c>
      <c r="B1898" s="87">
        <v>10</v>
      </c>
      <c r="C1898" s="173" t="s">
        <v>16</v>
      </c>
      <c r="D1898" s="173" t="s">
        <v>23</v>
      </c>
      <c r="E1898" s="173" t="s">
        <v>24</v>
      </c>
      <c r="F1898" s="173" t="s">
        <v>16</v>
      </c>
      <c r="G1898" s="87" t="b">
        <v>1</v>
      </c>
      <c r="H1898" s="87" t="b">
        <v>0</v>
      </c>
      <c r="I1898" s="87" t="b">
        <v>0</v>
      </c>
      <c r="J1898" s="173" t="s">
        <v>470</v>
      </c>
      <c r="K1898" s="174">
        <v>5867015000175</v>
      </c>
      <c r="L1898" s="173" t="s">
        <v>804</v>
      </c>
      <c r="M1898" s="173" t="s">
        <v>76</v>
      </c>
      <c r="N1898" s="173" t="s">
        <v>77</v>
      </c>
      <c r="O1898" s="87">
        <v>73</v>
      </c>
      <c r="P1898" s="173" t="s">
        <v>26</v>
      </c>
      <c r="Q1898" s="1" t="s">
        <v>1340</v>
      </c>
      <c r="R1898" s="175">
        <v>8</v>
      </c>
      <c r="S1898">
        <v>8</v>
      </c>
    </row>
    <row r="1899" spans="1:19" x14ac:dyDescent="0.25">
      <c r="A1899" s="87">
        <v>2019</v>
      </c>
      <c r="B1899" s="87">
        <v>10</v>
      </c>
      <c r="C1899" s="173" t="s">
        <v>16</v>
      </c>
      <c r="D1899" s="173" t="s">
        <v>23</v>
      </c>
      <c r="E1899" s="173" t="s">
        <v>24</v>
      </c>
      <c r="F1899" s="173" t="s">
        <v>16</v>
      </c>
      <c r="G1899" s="87" t="b">
        <v>1</v>
      </c>
      <c r="H1899" s="87" t="b">
        <v>0</v>
      </c>
      <c r="I1899" s="87" t="b">
        <v>0</v>
      </c>
      <c r="J1899" s="173" t="s">
        <v>491</v>
      </c>
      <c r="K1899" s="174">
        <v>5868278000280</v>
      </c>
      <c r="L1899" s="173" t="s">
        <v>805</v>
      </c>
      <c r="M1899" s="173" t="s">
        <v>76</v>
      </c>
      <c r="N1899" s="173" t="s">
        <v>77</v>
      </c>
      <c r="O1899" s="87">
        <v>62</v>
      </c>
      <c r="P1899" s="173" t="s">
        <v>27</v>
      </c>
      <c r="Q1899" s="1" t="s">
        <v>1343</v>
      </c>
      <c r="R1899" s="175">
        <v>40</v>
      </c>
      <c r="S1899">
        <v>40</v>
      </c>
    </row>
    <row r="1900" spans="1:19" x14ac:dyDescent="0.25">
      <c r="A1900" s="87">
        <v>2019</v>
      </c>
      <c r="B1900" s="87">
        <v>10</v>
      </c>
      <c r="C1900" s="173" t="s">
        <v>16</v>
      </c>
      <c r="D1900" s="173" t="s">
        <v>23</v>
      </c>
      <c r="E1900" s="173" t="s">
        <v>24</v>
      </c>
      <c r="F1900" s="173" t="s">
        <v>16</v>
      </c>
      <c r="G1900" s="87" t="b">
        <v>1</v>
      </c>
      <c r="H1900" s="87" t="b">
        <v>0</v>
      </c>
      <c r="I1900" s="87" t="b">
        <v>0</v>
      </c>
      <c r="J1900" s="173" t="s">
        <v>460</v>
      </c>
      <c r="K1900" s="174">
        <v>5868278000280</v>
      </c>
      <c r="L1900" s="173" t="s">
        <v>805</v>
      </c>
      <c r="M1900" s="173" t="s">
        <v>76</v>
      </c>
      <c r="N1900" s="173" t="s">
        <v>77</v>
      </c>
      <c r="O1900" s="87">
        <v>64</v>
      </c>
      <c r="P1900" s="173" t="s">
        <v>25</v>
      </c>
      <c r="Q1900" s="1" t="s">
        <v>1344</v>
      </c>
      <c r="R1900" s="175">
        <v>6</v>
      </c>
      <c r="S1900">
        <v>6</v>
      </c>
    </row>
    <row r="1901" spans="1:19" x14ac:dyDescent="0.25">
      <c r="A1901" s="87">
        <v>2019</v>
      </c>
      <c r="B1901" s="87">
        <v>10</v>
      </c>
      <c r="C1901" s="173" t="s">
        <v>16</v>
      </c>
      <c r="D1901" s="173" t="s">
        <v>23</v>
      </c>
      <c r="E1901" s="173" t="s">
        <v>24</v>
      </c>
      <c r="F1901" s="173" t="s">
        <v>16</v>
      </c>
      <c r="G1901" s="87" t="b">
        <v>1</v>
      </c>
      <c r="H1901" s="87" t="b">
        <v>0</v>
      </c>
      <c r="I1901" s="87" t="b">
        <v>0</v>
      </c>
      <c r="J1901" s="173" t="s">
        <v>453</v>
      </c>
      <c r="K1901" s="174">
        <v>5868278000280</v>
      </c>
      <c r="L1901" s="173" t="s">
        <v>805</v>
      </c>
      <c r="M1901" s="173" t="s">
        <v>76</v>
      </c>
      <c r="N1901" s="173" t="s">
        <v>77</v>
      </c>
      <c r="O1901" s="87">
        <v>73</v>
      </c>
      <c r="P1901" s="173" t="s">
        <v>26</v>
      </c>
      <c r="Q1901" s="1" t="s">
        <v>1339</v>
      </c>
      <c r="R1901" s="175">
        <v>20</v>
      </c>
      <c r="S1901">
        <v>10</v>
      </c>
    </row>
    <row r="1902" spans="1:19" x14ac:dyDescent="0.25">
      <c r="A1902" s="87">
        <v>2019</v>
      </c>
      <c r="B1902" s="87">
        <v>10</v>
      </c>
      <c r="C1902" s="173" t="s">
        <v>16</v>
      </c>
      <c r="D1902" s="173" t="s">
        <v>23</v>
      </c>
      <c r="E1902" s="173" t="s">
        <v>24</v>
      </c>
      <c r="F1902" s="173" t="s">
        <v>16</v>
      </c>
      <c r="G1902" s="87" t="b">
        <v>1</v>
      </c>
      <c r="H1902" s="87" t="b">
        <v>0</v>
      </c>
      <c r="I1902" s="87" t="b">
        <v>0</v>
      </c>
      <c r="J1902" s="173" t="s">
        <v>453</v>
      </c>
      <c r="K1902" s="174">
        <v>5868278000280</v>
      </c>
      <c r="L1902" s="173" t="s">
        <v>805</v>
      </c>
      <c r="M1902" s="173" t="s">
        <v>76</v>
      </c>
      <c r="N1902" s="173" t="s">
        <v>77</v>
      </c>
      <c r="O1902" s="87">
        <v>73</v>
      </c>
      <c r="P1902" s="173" t="s">
        <v>26</v>
      </c>
      <c r="Q1902" s="1" t="s">
        <v>1342</v>
      </c>
      <c r="R1902" s="175">
        <v>108</v>
      </c>
      <c r="S1902">
        <v>27</v>
      </c>
    </row>
    <row r="1903" spans="1:19" x14ac:dyDescent="0.25">
      <c r="A1903" s="87">
        <v>2019</v>
      </c>
      <c r="B1903" s="87">
        <v>10</v>
      </c>
      <c r="C1903" s="173" t="s">
        <v>16</v>
      </c>
      <c r="D1903" s="173" t="s">
        <v>23</v>
      </c>
      <c r="E1903" s="173" t="s">
        <v>24</v>
      </c>
      <c r="F1903" s="173" t="s">
        <v>16</v>
      </c>
      <c r="G1903" s="87" t="b">
        <v>1</v>
      </c>
      <c r="H1903" s="87" t="b">
        <v>0</v>
      </c>
      <c r="I1903" s="87" t="b">
        <v>0</v>
      </c>
      <c r="J1903" s="173" t="s">
        <v>470</v>
      </c>
      <c r="K1903" s="174">
        <v>5874946000281</v>
      </c>
      <c r="L1903" s="173" t="s">
        <v>807</v>
      </c>
      <c r="M1903" s="173" t="s">
        <v>76</v>
      </c>
      <c r="N1903" s="173" t="s">
        <v>77</v>
      </c>
      <c r="O1903" s="87">
        <v>62</v>
      </c>
      <c r="P1903" s="173" t="s">
        <v>27</v>
      </c>
      <c r="Q1903" s="1" t="s">
        <v>1343</v>
      </c>
      <c r="R1903" s="175">
        <v>5</v>
      </c>
      <c r="S1903">
        <v>5</v>
      </c>
    </row>
    <row r="1904" spans="1:19" x14ac:dyDescent="0.25">
      <c r="A1904" s="87">
        <v>2019</v>
      </c>
      <c r="B1904" s="87">
        <v>10</v>
      </c>
      <c r="C1904" s="173" t="s">
        <v>16</v>
      </c>
      <c r="D1904" s="173" t="s">
        <v>23</v>
      </c>
      <c r="E1904" s="173" t="s">
        <v>24</v>
      </c>
      <c r="F1904" s="173" t="s">
        <v>16</v>
      </c>
      <c r="G1904" s="87" t="b">
        <v>1</v>
      </c>
      <c r="H1904" s="87" t="b">
        <v>0</v>
      </c>
      <c r="I1904" s="87" t="b">
        <v>0</v>
      </c>
      <c r="J1904" s="173" t="s">
        <v>491</v>
      </c>
      <c r="K1904" s="174">
        <v>6047087000210</v>
      </c>
      <c r="L1904" s="173" t="s">
        <v>569</v>
      </c>
      <c r="M1904" s="173" t="s">
        <v>29</v>
      </c>
      <c r="N1904" s="173" t="s">
        <v>19</v>
      </c>
      <c r="O1904" s="87">
        <v>62</v>
      </c>
      <c r="P1904" s="173" t="s">
        <v>27</v>
      </c>
      <c r="Q1904" s="1" t="s">
        <v>1343</v>
      </c>
      <c r="R1904" s="175">
        <v>69</v>
      </c>
      <c r="S1904">
        <v>69</v>
      </c>
    </row>
    <row r="1905" spans="1:19" x14ac:dyDescent="0.25">
      <c r="A1905" s="87">
        <v>2019</v>
      </c>
      <c r="B1905" s="87">
        <v>10</v>
      </c>
      <c r="C1905" s="173" t="s">
        <v>16</v>
      </c>
      <c r="D1905" s="173" t="s">
        <v>23</v>
      </c>
      <c r="E1905" s="173" t="s">
        <v>24</v>
      </c>
      <c r="F1905" s="173" t="s">
        <v>16</v>
      </c>
      <c r="G1905" s="87" t="b">
        <v>1</v>
      </c>
      <c r="H1905" s="87" t="b">
        <v>0</v>
      </c>
      <c r="I1905" s="87" t="b">
        <v>0</v>
      </c>
      <c r="J1905" s="173" t="s">
        <v>491</v>
      </c>
      <c r="K1905" s="174">
        <v>6047087000210</v>
      </c>
      <c r="L1905" s="173" t="s">
        <v>569</v>
      </c>
      <c r="M1905" s="173" t="s">
        <v>29</v>
      </c>
      <c r="N1905" s="173" t="s">
        <v>19</v>
      </c>
      <c r="O1905" s="87">
        <v>64</v>
      </c>
      <c r="P1905" s="173" t="s">
        <v>25</v>
      </c>
      <c r="Q1905" s="1" t="s">
        <v>1344</v>
      </c>
      <c r="R1905" s="175">
        <v>60</v>
      </c>
      <c r="S1905">
        <v>60</v>
      </c>
    </row>
    <row r="1906" spans="1:19" x14ac:dyDescent="0.25">
      <c r="A1906" s="87">
        <v>2019</v>
      </c>
      <c r="B1906" s="87">
        <v>10</v>
      </c>
      <c r="C1906" s="173" t="s">
        <v>16</v>
      </c>
      <c r="D1906" s="173" t="s">
        <v>23</v>
      </c>
      <c r="E1906" s="173" t="s">
        <v>24</v>
      </c>
      <c r="F1906" s="173" t="s">
        <v>16</v>
      </c>
      <c r="G1906" s="87" t="b">
        <v>1</v>
      </c>
      <c r="H1906" s="87" t="b">
        <v>0</v>
      </c>
      <c r="I1906" s="87" t="b">
        <v>0</v>
      </c>
      <c r="J1906" s="173" t="s">
        <v>491</v>
      </c>
      <c r="K1906" s="174">
        <v>6047087000996</v>
      </c>
      <c r="L1906" s="173" t="s">
        <v>1080</v>
      </c>
      <c r="M1906" s="173" t="s">
        <v>131</v>
      </c>
      <c r="N1906" s="173" t="s">
        <v>61</v>
      </c>
      <c r="O1906" s="87">
        <v>64</v>
      </c>
      <c r="P1906" s="173" t="s">
        <v>25</v>
      </c>
      <c r="Q1906" s="1" t="s">
        <v>1344</v>
      </c>
      <c r="R1906" s="175">
        <v>20</v>
      </c>
      <c r="S1906">
        <v>20</v>
      </c>
    </row>
    <row r="1907" spans="1:19" x14ac:dyDescent="0.25">
      <c r="A1907" s="87">
        <v>2019</v>
      </c>
      <c r="B1907" s="87">
        <v>10</v>
      </c>
      <c r="C1907" s="173" t="s">
        <v>16</v>
      </c>
      <c r="D1907" s="173" t="s">
        <v>23</v>
      </c>
      <c r="E1907" s="173" t="s">
        <v>24</v>
      </c>
      <c r="F1907" s="173" t="s">
        <v>16</v>
      </c>
      <c r="G1907" s="87" t="b">
        <v>1</v>
      </c>
      <c r="H1907" s="87" t="b">
        <v>0</v>
      </c>
      <c r="I1907" s="87" t="b">
        <v>0</v>
      </c>
      <c r="J1907" s="173" t="s">
        <v>491</v>
      </c>
      <c r="K1907" s="174">
        <v>6047087001020</v>
      </c>
      <c r="L1907" s="173" t="s">
        <v>1081</v>
      </c>
      <c r="M1907" s="173" t="s">
        <v>131</v>
      </c>
      <c r="N1907" s="173" t="s">
        <v>61</v>
      </c>
      <c r="O1907" s="87">
        <v>62</v>
      </c>
      <c r="P1907" s="173" t="s">
        <v>27</v>
      </c>
      <c r="Q1907" s="1" t="s">
        <v>1343</v>
      </c>
      <c r="R1907" s="175">
        <v>35</v>
      </c>
      <c r="S1907">
        <v>35</v>
      </c>
    </row>
    <row r="1908" spans="1:19" x14ac:dyDescent="0.25">
      <c r="A1908" s="87">
        <v>2019</v>
      </c>
      <c r="B1908" s="87">
        <v>10</v>
      </c>
      <c r="C1908" s="173" t="s">
        <v>16</v>
      </c>
      <c r="D1908" s="173" t="s">
        <v>23</v>
      </c>
      <c r="E1908" s="173" t="s">
        <v>24</v>
      </c>
      <c r="F1908" s="173" t="s">
        <v>16</v>
      </c>
      <c r="G1908" s="87" t="b">
        <v>1</v>
      </c>
      <c r="H1908" s="87" t="b">
        <v>0</v>
      </c>
      <c r="I1908" s="87" t="b">
        <v>0</v>
      </c>
      <c r="J1908" s="173" t="s">
        <v>491</v>
      </c>
      <c r="K1908" s="174">
        <v>6047087001020</v>
      </c>
      <c r="L1908" s="173" t="s">
        <v>1081</v>
      </c>
      <c r="M1908" s="173" t="s">
        <v>131</v>
      </c>
      <c r="N1908" s="173" t="s">
        <v>61</v>
      </c>
      <c r="O1908" s="87">
        <v>64</v>
      </c>
      <c r="P1908" s="173" t="s">
        <v>25</v>
      </c>
      <c r="Q1908" s="1" t="s">
        <v>1344</v>
      </c>
      <c r="R1908" s="175">
        <v>86</v>
      </c>
      <c r="S1908">
        <v>86</v>
      </c>
    </row>
    <row r="1909" spans="1:19" x14ac:dyDescent="0.25">
      <c r="A1909" s="87">
        <v>2019</v>
      </c>
      <c r="B1909" s="87">
        <v>10</v>
      </c>
      <c r="C1909" s="173" t="s">
        <v>16</v>
      </c>
      <c r="D1909" s="173" t="s">
        <v>23</v>
      </c>
      <c r="E1909" s="173" t="s">
        <v>24</v>
      </c>
      <c r="F1909" s="173" t="s">
        <v>16</v>
      </c>
      <c r="G1909" s="87" t="b">
        <v>1</v>
      </c>
      <c r="H1909" s="87" t="b">
        <v>0</v>
      </c>
      <c r="I1909" s="87" t="b">
        <v>0</v>
      </c>
      <c r="J1909" s="173" t="s">
        <v>491</v>
      </c>
      <c r="K1909" s="174">
        <v>6047087001372</v>
      </c>
      <c r="L1909" s="173" t="s">
        <v>1041</v>
      </c>
      <c r="M1909" s="173" t="s">
        <v>78</v>
      </c>
      <c r="N1909" s="173" t="s">
        <v>61</v>
      </c>
      <c r="O1909" s="87">
        <v>64</v>
      </c>
      <c r="P1909" s="173" t="s">
        <v>25</v>
      </c>
      <c r="Q1909" s="1" t="s">
        <v>1344</v>
      </c>
      <c r="R1909" s="175">
        <v>9</v>
      </c>
      <c r="S1909">
        <v>9</v>
      </c>
    </row>
    <row r="1910" spans="1:19" x14ac:dyDescent="0.25">
      <c r="A1910" s="87">
        <v>2019</v>
      </c>
      <c r="B1910" s="87">
        <v>10</v>
      </c>
      <c r="C1910" s="173" t="s">
        <v>16</v>
      </c>
      <c r="D1910" s="173" t="s">
        <v>23</v>
      </c>
      <c r="E1910" s="173" t="s">
        <v>24</v>
      </c>
      <c r="F1910" s="173" t="s">
        <v>16</v>
      </c>
      <c r="G1910" s="87" t="b">
        <v>1</v>
      </c>
      <c r="H1910" s="87" t="b">
        <v>0</v>
      </c>
      <c r="I1910" s="87" t="b">
        <v>0</v>
      </c>
      <c r="J1910" s="173" t="s">
        <v>451</v>
      </c>
      <c r="K1910" s="174">
        <v>6047087003073</v>
      </c>
      <c r="L1910" s="173" t="s">
        <v>649</v>
      </c>
      <c r="M1910" s="173" t="s">
        <v>650</v>
      </c>
      <c r="N1910" s="173" t="s">
        <v>19</v>
      </c>
      <c r="O1910" s="87">
        <v>73</v>
      </c>
      <c r="P1910" s="173" t="s">
        <v>26</v>
      </c>
      <c r="Q1910" s="1" t="s">
        <v>1342</v>
      </c>
      <c r="R1910" s="175">
        <v>48</v>
      </c>
      <c r="S1910">
        <v>12</v>
      </c>
    </row>
    <row r="1911" spans="1:19" x14ac:dyDescent="0.25">
      <c r="A1911" s="87">
        <v>2019</v>
      </c>
      <c r="B1911" s="87">
        <v>10</v>
      </c>
      <c r="C1911" s="173" t="s">
        <v>16</v>
      </c>
      <c r="D1911" s="173" t="s">
        <v>23</v>
      </c>
      <c r="E1911" s="173" t="s">
        <v>24</v>
      </c>
      <c r="F1911" s="173" t="s">
        <v>16</v>
      </c>
      <c r="G1911" s="87" t="b">
        <v>1</v>
      </c>
      <c r="H1911" s="87" t="b">
        <v>0</v>
      </c>
      <c r="I1911" s="87" t="b">
        <v>0</v>
      </c>
      <c r="J1911" s="173" t="s">
        <v>491</v>
      </c>
      <c r="K1911" s="174">
        <v>6047087003316</v>
      </c>
      <c r="L1911" s="173" t="s">
        <v>1083</v>
      </c>
      <c r="M1911" s="173" t="s">
        <v>131</v>
      </c>
      <c r="N1911" s="173" t="s">
        <v>61</v>
      </c>
      <c r="O1911" s="87">
        <v>62</v>
      </c>
      <c r="P1911" s="173" t="s">
        <v>27</v>
      </c>
      <c r="Q1911" s="1" t="s">
        <v>1343</v>
      </c>
      <c r="R1911" s="175">
        <v>2</v>
      </c>
      <c r="S1911">
        <v>2</v>
      </c>
    </row>
    <row r="1912" spans="1:19" x14ac:dyDescent="0.25">
      <c r="A1912" s="87">
        <v>2019</v>
      </c>
      <c r="B1912" s="87">
        <v>10</v>
      </c>
      <c r="C1912" s="173" t="s">
        <v>16</v>
      </c>
      <c r="D1912" s="173" t="s">
        <v>23</v>
      </c>
      <c r="E1912" s="173" t="s">
        <v>24</v>
      </c>
      <c r="F1912" s="173" t="s">
        <v>16</v>
      </c>
      <c r="G1912" s="87" t="b">
        <v>1</v>
      </c>
      <c r="H1912" s="87" t="b">
        <v>0</v>
      </c>
      <c r="I1912" s="87" t="b">
        <v>0</v>
      </c>
      <c r="J1912" s="173" t="s">
        <v>491</v>
      </c>
      <c r="K1912" s="174">
        <v>6047087003316</v>
      </c>
      <c r="L1912" s="173" t="s">
        <v>1083</v>
      </c>
      <c r="M1912" s="173" t="s">
        <v>131</v>
      </c>
      <c r="N1912" s="173" t="s">
        <v>61</v>
      </c>
      <c r="O1912" s="87">
        <v>64</v>
      </c>
      <c r="P1912" s="173" t="s">
        <v>25</v>
      </c>
      <c r="Q1912" s="1" t="s">
        <v>1344</v>
      </c>
      <c r="R1912" s="175">
        <v>5</v>
      </c>
      <c r="S1912">
        <v>5</v>
      </c>
    </row>
    <row r="1913" spans="1:19" x14ac:dyDescent="0.25">
      <c r="A1913" s="87">
        <v>2019</v>
      </c>
      <c r="B1913" s="87">
        <v>10</v>
      </c>
      <c r="C1913" s="173" t="s">
        <v>16</v>
      </c>
      <c r="D1913" s="173" t="s">
        <v>23</v>
      </c>
      <c r="E1913" s="173" t="s">
        <v>24</v>
      </c>
      <c r="F1913" s="173" t="s">
        <v>16</v>
      </c>
      <c r="G1913" s="87" t="b">
        <v>1</v>
      </c>
      <c r="H1913" s="87" t="b">
        <v>0</v>
      </c>
      <c r="I1913" s="87" t="b">
        <v>0</v>
      </c>
      <c r="J1913" s="173" t="s">
        <v>491</v>
      </c>
      <c r="K1913" s="174">
        <v>6047087004126</v>
      </c>
      <c r="L1913" s="173" t="s">
        <v>810</v>
      </c>
      <c r="M1913" s="173" t="s">
        <v>739</v>
      </c>
      <c r="N1913" s="173" t="s">
        <v>55</v>
      </c>
      <c r="O1913" s="87">
        <v>64</v>
      </c>
      <c r="P1913" s="173" t="s">
        <v>25</v>
      </c>
      <c r="Q1913" s="1" t="s">
        <v>1344</v>
      </c>
      <c r="R1913" s="175">
        <v>6</v>
      </c>
      <c r="S1913">
        <v>6</v>
      </c>
    </row>
    <row r="1914" spans="1:19" x14ac:dyDescent="0.25">
      <c r="A1914" s="87">
        <v>2019</v>
      </c>
      <c r="B1914" s="87">
        <v>10</v>
      </c>
      <c r="C1914" s="173" t="s">
        <v>16</v>
      </c>
      <c r="D1914" s="173" t="s">
        <v>23</v>
      </c>
      <c r="E1914" s="173" t="s">
        <v>24</v>
      </c>
      <c r="F1914" s="173" t="s">
        <v>16</v>
      </c>
      <c r="G1914" s="87" t="b">
        <v>1</v>
      </c>
      <c r="H1914" s="87" t="b">
        <v>0</v>
      </c>
      <c r="I1914" s="87" t="b">
        <v>0</v>
      </c>
      <c r="J1914" s="173" t="s">
        <v>491</v>
      </c>
      <c r="K1914" s="174">
        <v>6047087004207</v>
      </c>
      <c r="L1914" s="173" t="s">
        <v>811</v>
      </c>
      <c r="M1914" s="173" t="s">
        <v>739</v>
      </c>
      <c r="N1914" s="173" t="s">
        <v>55</v>
      </c>
      <c r="O1914" s="87">
        <v>62</v>
      </c>
      <c r="P1914" s="173" t="s">
        <v>27</v>
      </c>
      <c r="Q1914" s="1" t="s">
        <v>1343</v>
      </c>
      <c r="R1914" s="175">
        <v>5</v>
      </c>
      <c r="S1914">
        <v>5</v>
      </c>
    </row>
    <row r="1915" spans="1:19" x14ac:dyDescent="0.25">
      <c r="A1915" s="87">
        <v>2019</v>
      </c>
      <c r="B1915" s="87">
        <v>10</v>
      </c>
      <c r="C1915" s="173" t="s">
        <v>16</v>
      </c>
      <c r="D1915" s="173" t="s">
        <v>23</v>
      </c>
      <c r="E1915" s="173" t="s">
        <v>24</v>
      </c>
      <c r="F1915" s="173" t="s">
        <v>16</v>
      </c>
      <c r="G1915" s="87" t="b">
        <v>1</v>
      </c>
      <c r="H1915" s="87" t="b">
        <v>0</v>
      </c>
      <c r="I1915" s="87" t="b">
        <v>0</v>
      </c>
      <c r="J1915" s="173" t="s">
        <v>491</v>
      </c>
      <c r="K1915" s="174">
        <v>6047087004207</v>
      </c>
      <c r="L1915" s="173" t="s">
        <v>811</v>
      </c>
      <c r="M1915" s="173" t="s">
        <v>739</v>
      </c>
      <c r="N1915" s="173" t="s">
        <v>55</v>
      </c>
      <c r="O1915" s="87">
        <v>64</v>
      </c>
      <c r="P1915" s="173" t="s">
        <v>25</v>
      </c>
      <c r="Q1915" s="1" t="s">
        <v>1344</v>
      </c>
      <c r="R1915" s="175">
        <v>17</v>
      </c>
      <c r="S1915">
        <v>17</v>
      </c>
    </row>
    <row r="1916" spans="1:19" x14ac:dyDescent="0.25">
      <c r="A1916" s="87">
        <v>2019</v>
      </c>
      <c r="B1916" s="87">
        <v>10</v>
      </c>
      <c r="C1916" s="173" t="s">
        <v>16</v>
      </c>
      <c r="D1916" s="173" t="s">
        <v>23</v>
      </c>
      <c r="E1916" s="173" t="s">
        <v>24</v>
      </c>
      <c r="F1916" s="173" t="s">
        <v>16</v>
      </c>
      <c r="G1916" s="87" t="b">
        <v>1</v>
      </c>
      <c r="H1916" s="87" t="b">
        <v>0</v>
      </c>
      <c r="I1916" s="87" t="b">
        <v>0</v>
      </c>
      <c r="J1916" s="173" t="s">
        <v>491</v>
      </c>
      <c r="K1916" s="174">
        <v>6047087007656</v>
      </c>
      <c r="L1916" s="173" t="s">
        <v>651</v>
      </c>
      <c r="M1916" s="173" t="s">
        <v>32</v>
      </c>
      <c r="N1916" s="173" t="s">
        <v>19</v>
      </c>
      <c r="O1916" s="87">
        <v>62</v>
      </c>
      <c r="P1916" s="173" t="s">
        <v>27</v>
      </c>
      <c r="Q1916" s="1" t="s">
        <v>1343</v>
      </c>
      <c r="R1916" s="175">
        <v>1</v>
      </c>
      <c r="S1916">
        <v>1</v>
      </c>
    </row>
    <row r="1917" spans="1:19" x14ac:dyDescent="0.25">
      <c r="A1917" s="87">
        <v>2019</v>
      </c>
      <c r="B1917" s="87">
        <v>10</v>
      </c>
      <c r="C1917" s="173" t="s">
        <v>16</v>
      </c>
      <c r="D1917" s="173" t="s">
        <v>23</v>
      </c>
      <c r="E1917" s="173" t="s">
        <v>24</v>
      </c>
      <c r="F1917" s="173" t="s">
        <v>16</v>
      </c>
      <c r="G1917" s="87" t="b">
        <v>1</v>
      </c>
      <c r="H1917" s="87" t="b">
        <v>0</v>
      </c>
      <c r="I1917" s="87" t="b">
        <v>0</v>
      </c>
      <c r="J1917" s="173" t="s">
        <v>491</v>
      </c>
      <c r="K1917" s="174">
        <v>6337035000105</v>
      </c>
      <c r="L1917" s="173" t="s">
        <v>814</v>
      </c>
      <c r="M1917" s="173" t="s">
        <v>745</v>
      </c>
      <c r="N1917" s="173" t="s">
        <v>59</v>
      </c>
      <c r="O1917" s="87">
        <v>70</v>
      </c>
      <c r="P1917" s="173" t="s">
        <v>20</v>
      </c>
      <c r="Q1917" s="1" t="s">
        <v>1338</v>
      </c>
      <c r="R1917" s="175">
        <v>50</v>
      </c>
      <c r="S1917">
        <v>10</v>
      </c>
    </row>
    <row r="1918" spans="1:19" x14ac:dyDescent="0.25">
      <c r="A1918" s="87">
        <v>2019</v>
      </c>
      <c r="B1918" s="87">
        <v>10</v>
      </c>
      <c r="C1918" s="173" t="s">
        <v>16</v>
      </c>
      <c r="D1918" s="173" t="s">
        <v>23</v>
      </c>
      <c r="E1918" s="173" t="s">
        <v>24</v>
      </c>
      <c r="F1918" s="173" t="s">
        <v>16</v>
      </c>
      <c r="G1918" s="87" t="b">
        <v>1</v>
      </c>
      <c r="H1918" s="87" t="b">
        <v>0</v>
      </c>
      <c r="I1918" s="87" t="b">
        <v>0</v>
      </c>
      <c r="J1918" s="173" t="s">
        <v>451</v>
      </c>
      <c r="K1918" s="174">
        <v>6555031000276</v>
      </c>
      <c r="L1918" s="173" t="s">
        <v>815</v>
      </c>
      <c r="M1918" s="173" t="s">
        <v>81</v>
      </c>
      <c r="N1918" s="173" t="s">
        <v>82</v>
      </c>
      <c r="O1918" s="87">
        <v>73</v>
      </c>
      <c r="P1918" s="173" t="s">
        <v>26</v>
      </c>
      <c r="Q1918" s="1" t="s">
        <v>1342</v>
      </c>
      <c r="R1918" s="175">
        <v>24</v>
      </c>
      <c r="S1918">
        <v>6</v>
      </c>
    </row>
    <row r="1919" spans="1:19" x14ac:dyDescent="0.25">
      <c r="A1919" s="87">
        <v>2019</v>
      </c>
      <c r="B1919" s="87">
        <v>10</v>
      </c>
      <c r="C1919" s="173" t="s">
        <v>16</v>
      </c>
      <c r="D1919" s="173" t="s">
        <v>23</v>
      </c>
      <c r="E1919" s="173" t="s">
        <v>24</v>
      </c>
      <c r="F1919" s="173" t="s">
        <v>16</v>
      </c>
      <c r="G1919" s="87" t="b">
        <v>1</v>
      </c>
      <c r="H1919" s="87" t="b">
        <v>0</v>
      </c>
      <c r="I1919" s="87" t="b">
        <v>0</v>
      </c>
      <c r="J1919" s="173" t="s">
        <v>491</v>
      </c>
      <c r="K1919" s="174">
        <v>6555031000276</v>
      </c>
      <c r="L1919" s="173" t="s">
        <v>815</v>
      </c>
      <c r="M1919" s="173" t="s">
        <v>81</v>
      </c>
      <c r="N1919" s="173" t="s">
        <v>82</v>
      </c>
      <c r="O1919" s="87">
        <v>73</v>
      </c>
      <c r="P1919" s="173" t="s">
        <v>26</v>
      </c>
      <c r="Q1919" s="1" t="s">
        <v>1342</v>
      </c>
      <c r="R1919" s="175">
        <v>24</v>
      </c>
      <c r="S1919">
        <v>6</v>
      </c>
    </row>
    <row r="1920" spans="1:19" x14ac:dyDescent="0.25">
      <c r="A1920" s="87">
        <v>2019</v>
      </c>
      <c r="B1920" s="87">
        <v>10</v>
      </c>
      <c r="C1920" s="173" t="s">
        <v>16</v>
      </c>
      <c r="D1920" s="173" t="s">
        <v>23</v>
      </c>
      <c r="E1920" s="173" t="s">
        <v>24</v>
      </c>
      <c r="F1920" s="173" t="s">
        <v>16</v>
      </c>
      <c r="G1920" s="87" t="b">
        <v>1</v>
      </c>
      <c r="H1920" s="87" t="b">
        <v>0</v>
      </c>
      <c r="I1920" s="87" t="b">
        <v>0</v>
      </c>
      <c r="J1920" s="173" t="s">
        <v>492</v>
      </c>
      <c r="K1920" s="174">
        <v>7039651000134</v>
      </c>
      <c r="L1920" s="173" t="s">
        <v>1153</v>
      </c>
      <c r="M1920" s="173" t="s">
        <v>116</v>
      </c>
      <c r="N1920" s="173" t="s">
        <v>98</v>
      </c>
      <c r="O1920" s="87">
        <v>70</v>
      </c>
      <c r="P1920" s="173" t="s">
        <v>20</v>
      </c>
      <c r="Q1920" s="1" t="s">
        <v>1338</v>
      </c>
      <c r="R1920" s="175">
        <v>25</v>
      </c>
      <c r="S1920">
        <v>5</v>
      </c>
    </row>
    <row r="1921" spans="1:19" x14ac:dyDescent="0.25">
      <c r="A1921" s="87">
        <v>2019</v>
      </c>
      <c r="B1921" s="87">
        <v>10</v>
      </c>
      <c r="C1921" s="173" t="s">
        <v>16</v>
      </c>
      <c r="D1921" s="173" t="s">
        <v>23</v>
      </c>
      <c r="E1921" s="173" t="s">
        <v>24</v>
      </c>
      <c r="F1921" s="173" t="s">
        <v>16</v>
      </c>
      <c r="G1921" s="87" t="b">
        <v>1</v>
      </c>
      <c r="H1921" s="87" t="b">
        <v>0</v>
      </c>
      <c r="I1921" s="87" t="b">
        <v>0</v>
      </c>
      <c r="J1921" s="173" t="s">
        <v>470</v>
      </c>
      <c r="K1921" s="174">
        <v>7045325000130</v>
      </c>
      <c r="L1921" s="173" t="s">
        <v>571</v>
      </c>
      <c r="M1921" s="173" t="s">
        <v>29</v>
      </c>
      <c r="N1921" s="173" t="s">
        <v>19</v>
      </c>
      <c r="O1921" s="87">
        <v>73</v>
      </c>
      <c r="P1921" s="173" t="s">
        <v>26</v>
      </c>
      <c r="Q1921" s="1" t="s">
        <v>1342</v>
      </c>
      <c r="R1921" s="175">
        <v>88</v>
      </c>
      <c r="S1921">
        <v>22</v>
      </c>
    </row>
    <row r="1922" spans="1:19" x14ac:dyDescent="0.25">
      <c r="A1922" s="87">
        <v>2019</v>
      </c>
      <c r="B1922" s="87">
        <v>10</v>
      </c>
      <c r="C1922" s="173" t="s">
        <v>16</v>
      </c>
      <c r="D1922" s="173" t="s">
        <v>23</v>
      </c>
      <c r="E1922" s="173" t="s">
        <v>24</v>
      </c>
      <c r="F1922" s="173" t="s">
        <v>16</v>
      </c>
      <c r="G1922" s="87" t="b">
        <v>1</v>
      </c>
      <c r="H1922" s="87" t="b">
        <v>0</v>
      </c>
      <c r="I1922" s="87" t="b">
        <v>0</v>
      </c>
      <c r="J1922" s="173" t="s">
        <v>1330</v>
      </c>
      <c r="K1922" s="174">
        <v>7272636000212</v>
      </c>
      <c r="L1922" s="173" t="s">
        <v>818</v>
      </c>
      <c r="M1922" s="173" t="s">
        <v>76</v>
      </c>
      <c r="N1922" s="173" t="s">
        <v>77</v>
      </c>
      <c r="O1922" s="87">
        <v>62</v>
      </c>
      <c r="P1922" s="173" t="s">
        <v>27</v>
      </c>
      <c r="Q1922" s="1" t="s">
        <v>1343</v>
      </c>
      <c r="R1922" s="175">
        <v>25</v>
      </c>
      <c r="S1922">
        <v>25</v>
      </c>
    </row>
    <row r="1923" spans="1:19" x14ac:dyDescent="0.25">
      <c r="A1923" s="87">
        <v>2019</v>
      </c>
      <c r="B1923" s="87">
        <v>10</v>
      </c>
      <c r="C1923" s="173" t="s">
        <v>16</v>
      </c>
      <c r="D1923" s="173" t="s">
        <v>23</v>
      </c>
      <c r="E1923" s="173" t="s">
        <v>24</v>
      </c>
      <c r="F1923" s="173" t="s">
        <v>16</v>
      </c>
      <c r="G1923" s="87" t="b">
        <v>1</v>
      </c>
      <c r="H1923" s="87" t="b">
        <v>0</v>
      </c>
      <c r="I1923" s="87" t="b">
        <v>0</v>
      </c>
      <c r="J1923" s="173" t="s">
        <v>1330</v>
      </c>
      <c r="K1923" s="174">
        <v>7272636000212</v>
      </c>
      <c r="L1923" s="173" t="s">
        <v>818</v>
      </c>
      <c r="M1923" s="173" t="s">
        <v>76</v>
      </c>
      <c r="N1923" s="173" t="s">
        <v>77</v>
      </c>
      <c r="O1923" s="87">
        <v>64</v>
      </c>
      <c r="P1923" s="173" t="s">
        <v>25</v>
      </c>
      <c r="Q1923" s="1" t="s">
        <v>1344</v>
      </c>
      <c r="R1923" s="175">
        <v>20</v>
      </c>
      <c r="S1923">
        <v>20</v>
      </c>
    </row>
    <row r="1924" spans="1:19" x14ac:dyDescent="0.25">
      <c r="A1924" s="87">
        <v>2019</v>
      </c>
      <c r="B1924" s="87">
        <v>10</v>
      </c>
      <c r="C1924" s="173" t="s">
        <v>16</v>
      </c>
      <c r="D1924" s="173" t="s">
        <v>23</v>
      </c>
      <c r="E1924" s="173" t="s">
        <v>24</v>
      </c>
      <c r="F1924" s="173" t="s">
        <v>16</v>
      </c>
      <c r="G1924" s="87" t="b">
        <v>1</v>
      </c>
      <c r="H1924" s="87" t="b">
        <v>0</v>
      </c>
      <c r="I1924" s="87" t="b">
        <v>0</v>
      </c>
      <c r="J1924" s="173" t="s">
        <v>1330</v>
      </c>
      <c r="K1924" s="174">
        <v>7272636000212</v>
      </c>
      <c r="L1924" s="173" t="s">
        <v>818</v>
      </c>
      <c r="M1924" s="173" t="s">
        <v>76</v>
      </c>
      <c r="N1924" s="173" t="s">
        <v>77</v>
      </c>
      <c r="O1924" s="87">
        <v>70</v>
      </c>
      <c r="P1924" s="173" t="s">
        <v>20</v>
      </c>
      <c r="Q1924" s="1" t="s">
        <v>1338</v>
      </c>
      <c r="R1924" s="175">
        <v>2400</v>
      </c>
      <c r="S1924">
        <v>480</v>
      </c>
    </row>
    <row r="1925" spans="1:19" x14ac:dyDescent="0.25">
      <c r="A1925" s="87">
        <v>2019</v>
      </c>
      <c r="B1925" s="87">
        <v>10</v>
      </c>
      <c r="C1925" s="173" t="s">
        <v>16</v>
      </c>
      <c r="D1925" s="173" t="s">
        <v>23</v>
      </c>
      <c r="E1925" s="173" t="s">
        <v>24</v>
      </c>
      <c r="F1925" s="173" t="s">
        <v>16</v>
      </c>
      <c r="G1925" s="87" t="b">
        <v>1</v>
      </c>
      <c r="H1925" s="87" t="b">
        <v>0</v>
      </c>
      <c r="I1925" s="87" t="b">
        <v>0</v>
      </c>
      <c r="J1925" s="173" t="s">
        <v>495</v>
      </c>
      <c r="K1925" s="174">
        <v>7404052000172</v>
      </c>
      <c r="L1925" s="173" t="s">
        <v>953</v>
      </c>
      <c r="M1925" s="173" t="s">
        <v>94</v>
      </c>
      <c r="N1925" s="173" t="s">
        <v>57</v>
      </c>
      <c r="O1925" s="87">
        <v>70</v>
      </c>
      <c r="P1925" s="173" t="s">
        <v>20</v>
      </c>
      <c r="Q1925" s="1" t="s">
        <v>1338</v>
      </c>
      <c r="R1925" s="175">
        <v>145</v>
      </c>
      <c r="S1925">
        <v>29</v>
      </c>
    </row>
    <row r="1926" spans="1:19" x14ac:dyDescent="0.25">
      <c r="A1926" s="87">
        <v>2019</v>
      </c>
      <c r="B1926" s="87">
        <v>10</v>
      </c>
      <c r="C1926" s="173" t="s">
        <v>16</v>
      </c>
      <c r="D1926" s="173" t="s">
        <v>23</v>
      </c>
      <c r="E1926" s="173" t="s">
        <v>24</v>
      </c>
      <c r="F1926" s="173" t="s">
        <v>16</v>
      </c>
      <c r="G1926" s="87" t="b">
        <v>1</v>
      </c>
      <c r="H1926" s="87" t="b">
        <v>0</v>
      </c>
      <c r="I1926" s="87" t="b">
        <v>0</v>
      </c>
      <c r="J1926" s="173" t="s">
        <v>1512</v>
      </c>
      <c r="K1926" s="174">
        <v>7457902000109</v>
      </c>
      <c r="L1926" s="173" t="s">
        <v>1154</v>
      </c>
      <c r="M1926" s="173" t="s">
        <v>88</v>
      </c>
      <c r="N1926" s="173" t="s">
        <v>54</v>
      </c>
      <c r="O1926" s="87">
        <v>70</v>
      </c>
      <c r="P1926" s="173" t="s">
        <v>20</v>
      </c>
      <c r="Q1926" s="1" t="s">
        <v>1338</v>
      </c>
      <c r="R1926" s="175">
        <v>30</v>
      </c>
      <c r="S1926">
        <v>6</v>
      </c>
    </row>
    <row r="1927" spans="1:19" x14ac:dyDescent="0.25">
      <c r="A1927" s="87">
        <v>2019</v>
      </c>
      <c r="B1927" s="87">
        <v>10</v>
      </c>
      <c r="C1927" s="173" t="s">
        <v>16</v>
      </c>
      <c r="D1927" s="173" t="s">
        <v>23</v>
      </c>
      <c r="E1927" s="173" t="s">
        <v>24</v>
      </c>
      <c r="F1927" s="173" t="s">
        <v>16</v>
      </c>
      <c r="G1927" s="87" t="b">
        <v>1</v>
      </c>
      <c r="H1927" s="87" t="b">
        <v>0</v>
      </c>
      <c r="I1927" s="87" t="b">
        <v>0</v>
      </c>
      <c r="J1927" s="173" t="s">
        <v>1330</v>
      </c>
      <c r="K1927" s="174">
        <v>7734165000136</v>
      </c>
      <c r="L1927" s="173" t="s">
        <v>954</v>
      </c>
      <c r="M1927" s="173" t="s">
        <v>94</v>
      </c>
      <c r="N1927" s="173" t="s">
        <v>57</v>
      </c>
      <c r="O1927" s="87">
        <v>70</v>
      </c>
      <c r="P1927" s="173" t="s">
        <v>20</v>
      </c>
      <c r="Q1927" s="1" t="s">
        <v>1345</v>
      </c>
      <c r="R1927" s="175">
        <v>2000</v>
      </c>
      <c r="S1927">
        <v>200</v>
      </c>
    </row>
    <row r="1928" spans="1:19" x14ac:dyDescent="0.25">
      <c r="A1928" s="87">
        <v>2019</v>
      </c>
      <c r="B1928" s="87">
        <v>10</v>
      </c>
      <c r="C1928" s="173" t="s">
        <v>16</v>
      </c>
      <c r="D1928" s="173" t="s">
        <v>23</v>
      </c>
      <c r="E1928" s="173" t="s">
        <v>24</v>
      </c>
      <c r="F1928" s="173" t="s">
        <v>16</v>
      </c>
      <c r="G1928" s="87" t="b">
        <v>1</v>
      </c>
      <c r="H1928" s="87" t="b">
        <v>0</v>
      </c>
      <c r="I1928" s="87" t="b">
        <v>0</v>
      </c>
      <c r="J1928" s="173" t="s">
        <v>452</v>
      </c>
      <c r="K1928" s="174">
        <v>7734165000136</v>
      </c>
      <c r="L1928" s="173" t="s">
        <v>954</v>
      </c>
      <c r="M1928" s="173" t="s">
        <v>94</v>
      </c>
      <c r="N1928" s="173" t="s">
        <v>57</v>
      </c>
      <c r="O1928" s="87">
        <v>70</v>
      </c>
      <c r="P1928" s="173" t="s">
        <v>20</v>
      </c>
      <c r="Q1928" s="1" t="s">
        <v>1345</v>
      </c>
      <c r="R1928" s="175">
        <v>2000</v>
      </c>
      <c r="S1928">
        <v>200</v>
      </c>
    </row>
    <row r="1929" spans="1:19" x14ac:dyDescent="0.25">
      <c r="A1929" s="87">
        <v>2019</v>
      </c>
      <c r="B1929" s="87">
        <v>10</v>
      </c>
      <c r="C1929" s="173" t="s">
        <v>16</v>
      </c>
      <c r="D1929" s="173" t="s">
        <v>23</v>
      </c>
      <c r="E1929" s="173" t="s">
        <v>24</v>
      </c>
      <c r="F1929" s="173" t="s">
        <v>16</v>
      </c>
      <c r="G1929" s="87" t="b">
        <v>1</v>
      </c>
      <c r="H1929" s="87" t="b">
        <v>0</v>
      </c>
      <c r="I1929" s="87" t="b">
        <v>0</v>
      </c>
      <c r="J1929" s="173" t="s">
        <v>470</v>
      </c>
      <c r="K1929" s="174">
        <v>7794623002257</v>
      </c>
      <c r="L1929" s="173" t="s">
        <v>955</v>
      </c>
      <c r="M1929" s="173" t="s">
        <v>956</v>
      </c>
      <c r="N1929" s="173" t="s">
        <v>57</v>
      </c>
      <c r="O1929" s="87">
        <v>70</v>
      </c>
      <c r="P1929" s="173" t="s">
        <v>20</v>
      </c>
      <c r="Q1929" s="1" t="s">
        <v>1338</v>
      </c>
      <c r="R1929" s="175">
        <v>80</v>
      </c>
      <c r="S1929">
        <v>16</v>
      </c>
    </row>
    <row r="1930" spans="1:19" x14ac:dyDescent="0.25">
      <c r="A1930" s="87">
        <v>2019</v>
      </c>
      <c r="B1930" s="87">
        <v>10</v>
      </c>
      <c r="C1930" s="173" t="s">
        <v>16</v>
      </c>
      <c r="D1930" s="173" t="s">
        <v>23</v>
      </c>
      <c r="E1930" s="173" t="s">
        <v>24</v>
      </c>
      <c r="F1930" s="173" t="s">
        <v>16</v>
      </c>
      <c r="G1930" s="87" t="b">
        <v>1</v>
      </c>
      <c r="H1930" s="87" t="b">
        <v>0</v>
      </c>
      <c r="I1930" s="87" t="b">
        <v>0</v>
      </c>
      <c r="J1930" s="173" t="s">
        <v>450</v>
      </c>
      <c r="K1930" s="174">
        <v>8000609000172</v>
      </c>
      <c r="L1930" s="173" t="s">
        <v>655</v>
      </c>
      <c r="M1930" s="173" t="s">
        <v>542</v>
      </c>
      <c r="N1930" s="173" t="s">
        <v>19</v>
      </c>
      <c r="O1930" s="87">
        <v>64</v>
      </c>
      <c r="P1930" s="173" t="s">
        <v>25</v>
      </c>
      <c r="Q1930" s="1" t="s">
        <v>1344</v>
      </c>
      <c r="R1930" s="175">
        <v>2</v>
      </c>
      <c r="S1930">
        <v>2</v>
      </c>
    </row>
    <row r="1931" spans="1:19" x14ac:dyDescent="0.25">
      <c r="A1931" s="87">
        <v>2019</v>
      </c>
      <c r="B1931" s="87">
        <v>10</v>
      </c>
      <c r="C1931" s="173" t="s">
        <v>16</v>
      </c>
      <c r="D1931" s="173" t="s">
        <v>23</v>
      </c>
      <c r="E1931" s="173" t="s">
        <v>24</v>
      </c>
      <c r="F1931" s="173" t="s">
        <v>16</v>
      </c>
      <c r="G1931" s="87" t="b">
        <v>1</v>
      </c>
      <c r="H1931" s="87" t="b">
        <v>0</v>
      </c>
      <c r="I1931" s="87" t="b">
        <v>0</v>
      </c>
      <c r="J1931" s="173" t="s">
        <v>470</v>
      </c>
      <c r="K1931" s="174">
        <v>8100676000592</v>
      </c>
      <c r="L1931" s="173" t="s">
        <v>572</v>
      </c>
      <c r="M1931" s="173" t="s">
        <v>29</v>
      </c>
      <c r="N1931" s="173" t="s">
        <v>19</v>
      </c>
      <c r="O1931" s="87">
        <v>70</v>
      </c>
      <c r="P1931" s="173" t="s">
        <v>20</v>
      </c>
      <c r="Q1931" s="1" t="s">
        <v>1338</v>
      </c>
      <c r="R1931" s="175">
        <v>300</v>
      </c>
      <c r="S1931">
        <v>60</v>
      </c>
    </row>
    <row r="1932" spans="1:19" x14ac:dyDescent="0.25">
      <c r="A1932" s="87">
        <v>2019</v>
      </c>
      <c r="B1932" s="87">
        <v>10</v>
      </c>
      <c r="C1932" s="173" t="s">
        <v>16</v>
      </c>
      <c r="D1932" s="173" t="s">
        <v>23</v>
      </c>
      <c r="E1932" s="173" t="s">
        <v>24</v>
      </c>
      <c r="F1932" s="173" t="s">
        <v>16</v>
      </c>
      <c r="G1932" s="87" t="b">
        <v>1</v>
      </c>
      <c r="H1932" s="87" t="b">
        <v>0</v>
      </c>
      <c r="I1932" s="87" t="b">
        <v>0</v>
      </c>
      <c r="J1932" s="173" t="s">
        <v>470</v>
      </c>
      <c r="K1932" s="174">
        <v>8319329000121</v>
      </c>
      <c r="L1932" s="173" t="s">
        <v>823</v>
      </c>
      <c r="M1932" s="173" t="s">
        <v>62</v>
      </c>
      <c r="N1932" s="173" t="s">
        <v>63</v>
      </c>
      <c r="O1932" s="87">
        <v>64</v>
      </c>
      <c r="P1932" s="173" t="s">
        <v>25</v>
      </c>
      <c r="Q1932" s="1" t="s">
        <v>1344</v>
      </c>
      <c r="R1932" s="175">
        <v>20</v>
      </c>
      <c r="S1932">
        <v>20</v>
      </c>
    </row>
    <row r="1933" spans="1:19" x14ac:dyDescent="0.25">
      <c r="A1933" s="87">
        <v>2019</v>
      </c>
      <c r="B1933" s="87">
        <v>10</v>
      </c>
      <c r="C1933" s="173" t="s">
        <v>16</v>
      </c>
      <c r="D1933" s="173" t="s">
        <v>23</v>
      </c>
      <c r="E1933" s="173" t="s">
        <v>24</v>
      </c>
      <c r="F1933" s="173" t="s">
        <v>16</v>
      </c>
      <c r="G1933" s="87" t="b">
        <v>1</v>
      </c>
      <c r="H1933" s="87" t="b">
        <v>0</v>
      </c>
      <c r="I1933" s="87" t="b">
        <v>0</v>
      </c>
      <c r="J1933" s="173" t="s">
        <v>464</v>
      </c>
      <c r="K1933" s="174">
        <v>8319329000121</v>
      </c>
      <c r="L1933" s="173" t="s">
        <v>823</v>
      </c>
      <c r="M1933" s="173" t="s">
        <v>62</v>
      </c>
      <c r="N1933" s="173" t="s">
        <v>63</v>
      </c>
      <c r="O1933" s="87">
        <v>64</v>
      </c>
      <c r="P1933" s="173" t="s">
        <v>25</v>
      </c>
      <c r="Q1933" s="1" t="s">
        <v>1344</v>
      </c>
      <c r="R1933" s="175">
        <v>41</v>
      </c>
      <c r="S1933">
        <v>41</v>
      </c>
    </row>
    <row r="1934" spans="1:19" x14ac:dyDescent="0.25">
      <c r="A1934" s="87">
        <v>2019</v>
      </c>
      <c r="B1934" s="87">
        <v>10</v>
      </c>
      <c r="C1934" s="173" t="s">
        <v>16</v>
      </c>
      <c r="D1934" s="173" t="s">
        <v>23</v>
      </c>
      <c r="E1934" s="173" t="s">
        <v>24</v>
      </c>
      <c r="F1934" s="173" t="s">
        <v>16</v>
      </c>
      <c r="G1934" s="87" t="b">
        <v>1</v>
      </c>
      <c r="H1934" s="87" t="b">
        <v>0</v>
      </c>
      <c r="I1934" s="87" t="b">
        <v>0</v>
      </c>
      <c r="J1934" s="173" t="s">
        <v>464</v>
      </c>
      <c r="K1934" s="174">
        <v>8337586000196</v>
      </c>
      <c r="L1934" s="173" t="s">
        <v>824</v>
      </c>
      <c r="M1934" s="173" t="s">
        <v>62</v>
      </c>
      <c r="N1934" s="173" t="s">
        <v>63</v>
      </c>
      <c r="O1934" s="87">
        <v>64</v>
      </c>
      <c r="P1934" s="173" t="s">
        <v>25</v>
      </c>
      <c r="Q1934" s="1" t="s">
        <v>1344</v>
      </c>
      <c r="R1934" s="175">
        <v>1</v>
      </c>
      <c r="S1934">
        <v>1</v>
      </c>
    </row>
    <row r="1935" spans="1:19" x14ac:dyDescent="0.25">
      <c r="A1935" s="87">
        <v>2019</v>
      </c>
      <c r="B1935" s="87">
        <v>10</v>
      </c>
      <c r="C1935" s="173" t="s">
        <v>16</v>
      </c>
      <c r="D1935" s="173" t="s">
        <v>23</v>
      </c>
      <c r="E1935" s="173" t="s">
        <v>24</v>
      </c>
      <c r="F1935" s="173" t="s">
        <v>16</v>
      </c>
      <c r="G1935" s="87" t="b">
        <v>1</v>
      </c>
      <c r="H1935" s="87" t="b">
        <v>0</v>
      </c>
      <c r="I1935" s="87" t="b">
        <v>0</v>
      </c>
      <c r="J1935" s="173" t="s">
        <v>1330</v>
      </c>
      <c r="K1935" s="174">
        <v>8597121000174</v>
      </c>
      <c r="L1935" s="173" t="s">
        <v>957</v>
      </c>
      <c r="M1935" s="173" t="s">
        <v>94</v>
      </c>
      <c r="N1935" s="173" t="s">
        <v>57</v>
      </c>
      <c r="O1935" s="87">
        <v>70</v>
      </c>
      <c r="P1935" s="173" t="s">
        <v>20</v>
      </c>
      <c r="Q1935" s="1" t="s">
        <v>1338</v>
      </c>
      <c r="R1935" s="175">
        <v>75</v>
      </c>
      <c r="S1935">
        <v>15</v>
      </c>
    </row>
    <row r="1936" spans="1:19" x14ac:dyDescent="0.25">
      <c r="A1936" s="87">
        <v>2019</v>
      </c>
      <c r="B1936" s="87">
        <v>10</v>
      </c>
      <c r="C1936" s="173" t="s">
        <v>16</v>
      </c>
      <c r="D1936" s="173" t="s">
        <v>23</v>
      </c>
      <c r="E1936" s="173" t="s">
        <v>24</v>
      </c>
      <c r="F1936" s="173" t="s">
        <v>16</v>
      </c>
      <c r="G1936" s="87" t="b">
        <v>1</v>
      </c>
      <c r="H1936" s="87" t="b">
        <v>0</v>
      </c>
      <c r="I1936" s="87" t="b">
        <v>0</v>
      </c>
      <c r="J1936" s="173" t="s">
        <v>491</v>
      </c>
      <c r="K1936" s="174">
        <v>8680639000681</v>
      </c>
      <c r="L1936" s="173" t="s">
        <v>827</v>
      </c>
      <c r="M1936" s="173" t="s">
        <v>747</v>
      </c>
      <c r="N1936" s="173" t="s">
        <v>56</v>
      </c>
      <c r="O1936" s="87">
        <v>70</v>
      </c>
      <c r="P1936" s="173" t="s">
        <v>20</v>
      </c>
      <c r="Q1936" s="1" t="s">
        <v>1338</v>
      </c>
      <c r="R1936" s="175">
        <v>200</v>
      </c>
      <c r="S1936">
        <v>40</v>
      </c>
    </row>
    <row r="1937" spans="1:19" x14ac:dyDescent="0.25">
      <c r="A1937" s="87">
        <v>2019</v>
      </c>
      <c r="B1937" s="87">
        <v>10</v>
      </c>
      <c r="C1937" s="173" t="s">
        <v>16</v>
      </c>
      <c r="D1937" s="173" t="s">
        <v>23</v>
      </c>
      <c r="E1937" s="173" t="s">
        <v>24</v>
      </c>
      <c r="F1937" s="173" t="s">
        <v>16</v>
      </c>
      <c r="G1937" s="87" t="b">
        <v>1</v>
      </c>
      <c r="H1937" s="87" t="b">
        <v>0</v>
      </c>
      <c r="I1937" s="87" t="b">
        <v>0</v>
      </c>
      <c r="J1937" s="173" t="s">
        <v>470</v>
      </c>
      <c r="K1937" s="174">
        <v>8711085000128</v>
      </c>
      <c r="L1937" s="173" t="s">
        <v>828</v>
      </c>
      <c r="M1937" s="173" t="s">
        <v>76</v>
      </c>
      <c r="N1937" s="173" t="s">
        <v>77</v>
      </c>
      <c r="O1937" s="87">
        <v>62</v>
      </c>
      <c r="P1937" s="173" t="s">
        <v>27</v>
      </c>
      <c r="Q1937" s="1" t="s">
        <v>1343</v>
      </c>
      <c r="R1937" s="175">
        <v>3</v>
      </c>
      <c r="S1937">
        <v>3</v>
      </c>
    </row>
    <row r="1938" spans="1:19" x14ac:dyDescent="0.25">
      <c r="A1938" s="87">
        <v>2019</v>
      </c>
      <c r="B1938" s="87">
        <v>10</v>
      </c>
      <c r="C1938" s="173" t="s">
        <v>16</v>
      </c>
      <c r="D1938" s="173" t="s">
        <v>23</v>
      </c>
      <c r="E1938" s="173" t="s">
        <v>24</v>
      </c>
      <c r="F1938" s="173" t="s">
        <v>16</v>
      </c>
      <c r="G1938" s="87" t="b">
        <v>1</v>
      </c>
      <c r="H1938" s="87" t="b">
        <v>0</v>
      </c>
      <c r="I1938" s="87" t="b">
        <v>0</v>
      </c>
      <c r="J1938" s="173" t="s">
        <v>470</v>
      </c>
      <c r="K1938" s="174">
        <v>8711085000128</v>
      </c>
      <c r="L1938" s="173" t="s">
        <v>828</v>
      </c>
      <c r="M1938" s="173" t="s">
        <v>76</v>
      </c>
      <c r="N1938" s="173" t="s">
        <v>77</v>
      </c>
      <c r="O1938" s="87">
        <v>64</v>
      </c>
      <c r="P1938" s="173" t="s">
        <v>25</v>
      </c>
      <c r="Q1938" s="1" t="s">
        <v>1344</v>
      </c>
      <c r="R1938" s="175">
        <v>1</v>
      </c>
      <c r="S1938">
        <v>1</v>
      </c>
    </row>
    <row r="1939" spans="1:19" x14ac:dyDescent="0.25">
      <c r="A1939" s="87">
        <v>2019</v>
      </c>
      <c r="B1939" s="87">
        <v>10</v>
      </c>
      <c r="C1939" s="173" t="s">
        <v>16</v>
      </c>
      <c r="D1939" s="173" t="s">
        <v>23</v>
      </c>
      <c r="E1939" s="173" t="s">
        <v>24</v>
      </c>
      <c r="F1939" s="173" t="s">
        <v>16</v>
      </c>
      <c r="G1939" s="87" t="b">
        <v>1</v>
      </c>
      <c r="H1939" s="87" t="b">
        <v>0</v>
      </c>
      <c r="I1939" s="87" t="b">
        <v>0</v>
      </c>
      <c r="J1939" s="173" t="s">
        <v>491</v>
      </c>
      <c r="K1939" s="174">
        <v>8850962000222</v>
      </c>
      <c r="L1939" s="173" t="s">
        <v>1086</v>
      </c>
      <c r="M1939" s="173" t="s">
        <v>131</v>
      </c>
      <c r="N1939" s="173" t="s">
        <v>61</v>
      </c>
      <c r="O1939" s="87">
        <v>64</v>
      </c>
      <c r="P1939" s="173" t="s">
        <v>25</v>
      </c>
      <c r="Q1939" s="1" t="s">
        <v>1344</v>
      </c>
      <c r="R1939" s="175">
        <v>3</v>
      </c>
      <c r="S1939">
        <v>3</v>
      </c>
    </row>
    <row r="1940" spans="1:19" x14ac:dyDescent="0.25">
      <c r="A1940" s="87">
        <v>2019</v>
      </c>
      <c r="B1940" s="87">
        <v>10</v>
      </c>
      <c r="C1940" s="173" t="s">
        <v>16</v>
      </c>
      <c r="D1940" s="173" t="s">
        <v>23</v>
      </c>
      <c r="E1940" s="173" t="s">
        <v>24</v>
      </c>
      <c r="F1940" s="173" t="s">
        <v>16</v>
      </c>
      <c r="G1940" s="87" t="b">
        <v>1</v>
      </c>
      <c r="H1940" s="87" t="b">
        <v>0</v>
      </c>
      <c r="I1940" s="87" t="b">
        <v>0</v>
      </c>
      <c r="J1940" s="173" t="s">
        <v>451</v>
      </c>
      <c r="K1940" s="174">
        <v>8871521000126</v>
      </c>
      <c r="L1940" s="173" t="s">
        <v>577</v>
      </c>
      <c r="M1940" s="173" t="s">
        <v>29</v>
      </c>
      <c r="N1940" s="173" t="s">
        <v>19</v>
      </c>
      <c r="O1940" s="87">
        <v>70</v>
      </c>
      <c r="P1940" s="173" t="s">
        <v>20</v>
      </c>
      <c r="Q1940" s="1" t="s">
        <v>1338</v>
      </c>
      <c r="R1940" s="175">
        <v>590</v>
      </c>
      <c r="S1940">
        <v>118</v>
      </c>
    </row>
    <row r="1941" spans="1:19" x14ac:dyDescent="0.25">
      <c r="A1941" s="87">
        <v>2019</v>
      </c>
      <c r="B1941" s="87">
        <v>10</v>
      </c>
      <c r="C1941" s="173" t="s">
        <v>16</v>
      </c>
      <c r="D1941" s="173" t="s">
        <v>23</v>
      </c>
      <c r="E1941" s="173" t="s">
        <v>24</v>
      </c>
      <c r="F1941" s="173" t="s">
        <v>16</v>
      </c>
      <c r="G1941" s="87" t="b">
        <v>1</v>
      </c>
      <c r="H1941" s="87" t="b">
        <v>0</v>
      </c>
      <c r="I1941" s="87" t="b">
        <v>0</v>
      </c>
      <c r="J1941" s="173" t="s">
        <v>506</v>
      </c>
      <c r="K1941" s="174">
        <v>8871521000126</v>
      </c>
      <c r="L1941" s="173" t="s">
        <v>577</v>
      </c>
      <c r="M1941" s="173" t="s">
        <v>29</v>
      </c>
      <c r="N1941" s="173" t="s">
        <v>19</v>
      </c>
      <c r="O1941" s="87">
        <v>70</v>
      </c>
      <c r="P1941" s="173" t="s">
        <v>20</v>
      </c>
      <c r="Q1941" s="1" t="s">
        <v>1338</v>
      </c>
      <c r="R1941" s="175">
        <v>280</v>
      </c>
      <c r="S1941">
        <v>56</v>
      </c>
    </row>
    <row r="1942" spans="1:19" x14ac:dyDescent="0.25">
      <c r="A1942" s="87">
        <v>2019</v>
      </c>
      <c r="B1942" s="87">
        <v>10</v>
      </c>
      <c r="C1942" s="173" t="s">
        <v>16</v>
      </c>
      <c r="D1942" s="173" t="s">
        <v>23</v>
      </c>
      <c r="E1942" s="173" t="s">
        <v>24</v>
      </c>
      <c r="F1942" s="173" t="s">
        <v>16</v>
      </c>
      <c r="G1942" s="87" t="b">
        <v>1</v>
      </c>
      <c r="H1942" s="87" t="b">
        <v>0</v>
      </c>
      <c r="I1942" s="87" t="b">
        <v>0</v>
      </c>
      <c r="J1942" s="173" t="s">
        <v>470</v>
      </c>
      <c r="K1942" s="174">
        <v>9087150000159</v>
      </c>
      <c r="L1942" s="173" t="s">
        <v>578</v>
      </c>
      <c r="M1942" s="173" t="s">
        <v>29</v>
      </c>
      <c r="N1942" s="173" t="s">
        <v>19</v>
      </c>
      <c r="O1942" s="87">
        <v>73</v>
      </c>
      <c r="P1942" s="173" t="s">
        <v>26</v>
      </c>
      <c r="Q1942" s="1" t="s">
        <v>1342</v>
      </c>
      <c r="R1942" s="175">
        <v>4</v>
      </c>
      <c r="S1942">
        <v>1</v>
      </c>
    </row>
    <row r="1943" spans="1:19" x14ac:dyDescent="0.25">
      <c r="A1943" s="87">
        <v>2019</v>
      </c>
      <c r="B1943" s="87">
        <v>10</v>
      </c>
      <c r="C1943" s="173" t="s">
        <v>16</v>
      </c>
      <c r="D1943" s="173" t="s">
        <v>23</v>
      </c>
      <c r="E1943" s="173" t="s">
        <v>24</v>
      </c>
      <c r="F1943" s="173" t="s">
        <v>16</v>
      </c>
      <c r="G1943" s="87" t="b">
        <v>1</v>
      </c>
      <c r="H1943" s="87" t="b">
        <v>0</v>
      </c>
      <c r="I1943" s="87" t="b">
        <v>0</v>
      </c>
      <c r="J1943" s="173" t="s">
        <v>470</v>
      </c>
      <c r="K1943" s="174">
        <v>9087150000159</v>
      </c>
      <c r="L1943" s="173" t="s">
        <v>578</v>
      </c>
      <c r="M1943" s="173" t="s">
        <v>29</v>
      </c>
      <c r="N1943" s="173" t="s">
        <v>19</v>
      </c>
      <c r="O1943" s="87">
        <v>73</v>
      </c>
      <c r="P1943" s="173" t="s">
        <v>26</v>
      </c>
      <c r="Q1943" s="1" t="s">
        <v>1340</v>
      </c>
      <c r="R1943" s="175">
        <v>3</v>
      </c>
      <c r="S1943">
        <v>3</v>
      </c>
    </row>
    <row r="1944" spans="1:19" x14ac:dyDescent="0.25">
      <c r="A1944" s="87">
        <v>2019</v>
      </c>
      <c r="B1944" s="87">
        <v>10</v>
      </c>
      <c r="C1944" s="173" t="s">
        <v>16</v>
      </c>
      <c r="D1944" s="173" t="s">
        <v>23</v>
      </c>
      <c r="E1944" s="173" t="s">
        <v>24</v>
      </c>
      <c r="F1944" s="173" t="s">
        <v>16</v>
      </c>
      <c r="G1944" s="87" t="b">
        <v>1</v>
      </c>
      <c r="H1944" s="87" t="b">
        <v>0</v>
      </c>
      <c r="I1944" s="87" t="b">
        <v>0</v>
      </c>
      <c r="J1944" s="173" t="s">
        <v>450</v>
      </c>
      <c r="K1944" s="174">
        <v>9087150000159</v>
      </c>
      <c r="L1944" s="173" t="s">
        <v>578</v>
      </c>
      <c r="M1944" s="173" t="s">
        <v>29</v>
      </c>
      <c r="N1944" s="173" t="s">
        <v>19</v>
      </c>
      <c r="O1944" s="87">
        <v>73</v>
      </c>
      <c r="P1944" s="173" t="s">
        <v>26</v>
      </c>
      <c r="Q1944" s="1" t="s">
        <v>1340</v>
      </c>
      <c r="R1944" s="175">
        <v>4</v>
      </c>
      <c r="S1944">
        <v>4</v>
      </c>
    </row>
    <row r="1945" spans="1:19" x14ac:dyDescent="0.25">
      <c r="A1945" s="87">
        <v>2019</v>
      </c>
      <c r="B1945" s="87">
        <v>10</v>
      </c>
      <c r="C1945" s="173" t="s">
        <v>16</v>
      </c>
      <c r="D1945" s="173" t="s">
        <v>23</v>
      </c>
      <c r="E1945" s="173" t="s">
        <v>24</v>
      </c>
      <c r="F1945" s="173" t="s">
        <v>16</v>
      </c>
      <c r="G1945" s="87" t="b">
        <v>1</v>
      </c>
      <c r="H1945" s="87" t="b">
        <v>0</v>
      </c>
      <c r="I1945" s="87" t="b">
        <v>0</v>
      </c>
      <c r="J1945" s="173" t="s">
        <v>481</v>
      </c>
      <c r="K1945" s="174">
        <v>9087150000230</v>
      </c>
      <c r="L1945" s="173" t="s">
        <v>958</v>
      </c>
      <c r="M1945" s="173" t="s">
        <v>83</v>
      </c>
      <c r="N1945" s="173" t="s">
        <v>67</v>
      </c>
      <c r="O1945" s="87">
        <v>73</v>
      </c>
      <c r="P1945" s="173" t="s">
        <v>26</v>
      </c>
      <c r="Q1945" s="1" t="s">
        <v>1339</v>
      </c>
      <c r="R1945" s="175">
        <v>10</v>
      </c>
      <c r="S1945">
        <v>5</v>
      </c>
    </row>
    <row r="1946" spans="1:19" x14ac:dyDescent="0.25">
      <c r="A1946" s="87">
        <v>2019</v>
      </c>
      <c r="B1946" s="87">
        <v>10</v>
      </c>
      <c r="C1946" s="173" t="s">
        <v>16</v>
      </c>
      <c r="D1946" s="173" t="s">
        <v>23</v>
      </c>
      <c r="E1946" s="173" t="s">
        <v>24</v>
      </c>
      <c r="F1946" s="173" t="s">
        <v>16</v>
      </c>
      <c r="G1946" s="87" t="b">
        <v>1</v>
      </c>
      <c r="H1946" s="87" t="b">
        <v>0</v>
      </c>
      <c r="I1946" s="87" t="b">
        <v>0</v>
      </c>
      <c r="J1946" s="173" t="s">
        <v>451</v>
      </c>
      <c r="K1946" s="174">
        <v>9104513000974</v>
      </c>
      <c r="L1946" s="173" t="s">
        <v>830</v>
      </c>
      <c r="M1946" s="173" t="s">
        <v>739</v>
      </c>
      <c r="N1946" s="173" t="s">
        <v>55</v>
      </c>
      <c r="O1946" s="87">
        <v>70</v>
      </c>
      <c r="P1946" s="173" t="s">
        <v>20</v>
      </c>
      <c r="Q1946" s="1" t="s">
        <v>1338</v>
      </c>
      <c r="R1946" s="175">
        <v>365</v>
      </c>
      <c r="S1946">
        <v>73</v>
      </c>
    </row>
    <row r="1947" spans="1:19" x14ac:dyDescent="0.25">
      <c r="A1947" s="87">
        <v>2019</v>
      </c>
      <c r="B1947" s="87">
        <v>10</v>
      </c>
      <c r="C1947" s="173" t="s">
        <v>16</v>
      </c>
      <c r="D1947" s="173" t="s">
        <v>23</v>
      </c>
      <c r="E1947" s="173" t="s">
        <v>24</v>
      </c>
      <c r="F1947" s="173" t="s">
        <v>16</v>
      </c>
      <c r="G1947" s="87" t="b">
        <v>1</v>
      </c>
      <c r="H1947" s="87" t="b">
        <v>0</v>
      </c>
      <c r="I1947" s="87" t="b">
        <v>0</v>
      </c>
      <c r="J1947" s="173" t="s">
        <v>450</v>
      </c>
      <c r="K1947" s="174">
        <v>9219138000401</v>
      </c>
      <c r="L1947" s="173" t="s">
        <v>1087</v>
      </c>
      <c r="M1947" s="173" t="s">
        <v>131</v>
      </c>
      <c r="N1947" s="173" t="s">
        <v>61</v>
      </c>
      <c r="O1947" s="87">
        <v>70</v>
      </c>
      <c r="P1947" s="173" t="s">
        <v>20</v>
      </c>
      <c r="Q1947" s="1" t="s">
        <v>1338</v>
      </c>
      <c r="R1947" s="175">
        <v>25</v>
      </c>
      <c r="S1947">
        <v>5</v>
      </c>
    </row>
    <row r="1948" spans="1:19" x14ac:dyDescent="0.25">
      <c r="A1948" s="87">
        <v>2019</v>
      </c>
      <c r="B1948" s="87">
        <v>10</v>
      </c>
      <c r="C1948" s="173" t="s">
        <v>16</v>
      </c>
      <c r="D1948" s="173" t="s">
        <v>23</v>
      </c>
      <c r="E1948" s="173" t="s">
        <v>24</v>
      </c>
      <c r="F1948" s="173" t="s">
        <v>16</v>
      </c>
      <c r="G1948" s="87" t="b">
        <v>1</v>
      </c>
      <c r="H1948" s="87" t="b">
        <v>0</v>
      </c>
      <c r="I1948" s="87" t="b">
        <v>0</v>
      </c>
      <c r="J1948" s="173" t="s">
        <v>477</v>
      </c>
      <c r="K1948" s="174">
        <v>9219138000401</v>
      </c>
      <c r="L1948" s="173" t="s">
        <v>1087</v>
      </c>
      <c r="M1948" s="173" t="s">
        <v>131</v>
      </c>
      <c r="N1948" s="173" t="s">
        <v>61</v>
      </c>
      <c r="O1948" s="87">
        <v>70</v>
      </c>
      <c r="P1948" s="173" t="s">
        <v>20</v>
      </c>
      <c r="Q1948" s="1" t="s">
        <v>1338</v>
      </c>
      <c r="R1948" s="175">
        <v>240</v>
      </c>
      <c r="S1948">
        <v>48</v>
      </c>
    </row>
    <row r="1949" spans="1:19" x14ac:dyDescent="0.25">
      <c r="A1949" s="87">
        <v>2019</v>
      </c>
      <c r="B1949" s="87">
        <v>10</v>
      </c>
      <c r="C1949" s="173" t="s">
        <v>16</v>
      </c>
      <c r="D1949" s="173" t="s">
        <v>23</v>
      </c>
      <c r="E1949" s="173" t="s">
        <v>24</v>
      </c>
      <c r="F1949" s="173" t="s">
        <v>16</v>
      </c>
      <c r="G1949" s="87" t="b">
        <v>1</v>
      </c>
      <c r="H1949" s="87" t="b">
        <v>0</v>
      </c>
      <c r="I1949" s="87" t="b">
        <v>0</v>
      </c>
      <c r="J1949" s="173" t="s">
        <v>477</v>
      </c>
      <c r="K1949" s="174">
        <v>9219138000584</v>
      </c>
      <c r="L1949" s="173" t="s">
        <v>1088</v>
      </c>
      <c r="M1949" s="173" t="s">
        <v>131</v>
      </c>
      <c r="N1949" s="173" t="s">
        <v>61</v>
      </c>
      <c r="O1949" s="87">
        <v>62</v>
      </c>
      <c r="P1949" s="173" t="s">
        <v>27</v>
      </c>
      <c r="Q1949" s="1" t="s">
        <v>1343</v>
      </c>
      <c r="R1949" s="175">
        <v>17</v>
      </c>
      <c r="S1949">
        <v>17</v>
      </c>
    </row>
    <row r="1950" spans="1:19" x14ac:dyDescent="0.25">
      <c r="A1950" s="87">
        <v>2019</v>
      </c>
      <c r="B1950" s="87">
        <v>10</v>
      </c>
      <c r="C1950" s="173" t="s">
        <v>16</v>
      </c>
      <c r="D1950" s="173" t="s">
        <v>23</v>
      </c>
      <c r="E1950" s="173" t="s">
        <v>24</v>
      </c>
      <c r="F1950" s="173" t="s">
        <v>16</v>
      </c>
      <c r="G1950" s="87" t="b">
        <v>1</v>
      </c>
      <c r="H1950" s="87" t="b">
        <v>0</v>
      </c>
      <c r="I1950" s="87" t="b">
        <v>0</v>
      </c>
      <c r="J1950" s="173" t="s">
        <v>455</v>
      </c>
      <c r="K1950" s="174">
        <v>9219138000584</v>
      </c>
      <c r="L1950" s="173" t="s">
        <v>1088</v>
      </c>
      <c r="M1950" s="173" t="s">
        <v>131</v>
      </c>
      <c r="N1950" s="173" t="s">
        <v>61</v>
      </c>
      <c r="O1950" s="87">
        <v>64</v>
      </c>
      <c r="P1950" s="173" t="s">
        <v>25</v>
      </c>
      <c r="Q1950" s="1" t="s">
        <v>1344</v>
      </c>
      <c r="R1950" s="175">
        <v>18</v>
      </c>
      <c r="S1950">
        <v>18</v>
      </c>
    </row>
    <row r="1951" spans="1:19" x14ac:dyDescent="0.25">
      <c r="A1951" s="87">
        <v>2019</v>
      </c>
      <c r="B1951" s="87">
        <v>10</v>
      </c>
      <c r="C1951" s="173" t="s">
        <v>16</v>
      </c>
      <c r="D1951" s="173" t="s">
        <v>23</v>
      </c>
      <c r="E1951" s="173" t="s">
        <v>24</v>
      </c>
      <c r="F1951" s="173" t="s">
        <v>16</v>
      </c>
      <c r="G1951" s="87" t="b">
        <v>1</v>
      </c>
      <c r="H1951" s="87" t="b">
        <v>0</v>
      </c>
      <c r="I1951" s="87" t="b">
        <v>0</v>
      </c>
      <c r="J1951" s="173" t="s">
        <v>478</v>
      </c>
      <c r="K1951" s="174">
        <v>9219138000584</v>
      </c>
      <c r="L1951" s="173" t="s">
        <v>1088</v>
      </c>
      <c r="M1951" s="173" t="s">
        <v>131</v>
      </c>
      <c r="N1951" s="173" t="s">
        <v>61</v>
      </c>
      <c r="O1951" s="87">
        <v>70</v>
      </c>
      <c r="P1951" s="173" t="s">
        <v>20</v>
      </c>
      <c r="Q1951" s="1" t="s">
        <v>1338</v>
      </c>
      <c r="R1951" s="175">
        <v>35</v>
      </c>
      <c r="S1951">
        <v>7</v>
      </c>
    </row>
    <row r="1952" spans="1:19" x14ac:dyDescent="0.25">
      <c r="A1952" s="87">
        <v>2019</v>
      </c>
      <c r="B1952" s="87">
        <v>10</v>
      </c>
      <c r="C1952" s="173" t="s">
        <v>16</v>
      </c>
      <c r="D1952" s="173" t="s">
        <v>23</v>
      </c>
      <c r="E1952" s="173" t="s">
        <v>24</v>
      </c>
      <c r="F1952" s="173" t="s">
        <v>16</v>
      </c>
      <c r="G1952" s="87" t="b">
        <v>1</v>
      </c>
      <c r="H1952" s="87" t="b">
        <v>0</v>
      </c>
      <c r="I1952" s="87" t="b">
        <v>0</v>
      </c>
      <c r="J1952" s="173" t="s">
        <v>450</v>
      </c>
      <c r="K1952" s="174">
        <v>9219138000584</v>
      </c>
      <c r="L1952" s="173" t="s">
        <v>1088</v>
      </c>
      <c r="M1952" s="173" t="s">
        <v>131</v>
      </c>
      <c r="N1952" s="173" t="s">
        <v>61</v>
      </c>
      <c r="O1952" s="87">
        <v>70</v>
      </c>
      <c r="P1952" s="173" t="s">
        <v>20</v>
      </c>
      <c r="Q1952" s="1" t="s">
        <v>1338</v>
      </c>
      <c r="R1952" s="175">
        <v>50</v>
      </c>
      <c r="S1952">
        <v>10</v>
      </c>
    </row>
    <row r="1953" spans="1:19" x14ac:dyDescent="0.25">
      <c r="A1953" s="87">
        <v>2019</v>
      </c>
      <c r="B1953" s="87">
        <v>10</v>
      </c>
      <c r="C1953" s="173" t="s">
        <v>16</v>
      </c>
      <c r="D1953" s="173" t="s">
        <v>23</v>
      </c>
      <c r="E1953" s="173" t="s">
        <v>24</v>
      </c>
      <c r="F1953" s="173" t="s">
        <v>16</v>
      </c>
      <c r="G1953" s="87" t="b">
        <v>1</v>
      </c>
      <c r="H1953" s="87" t="b">
        <v>0</v>
      </c>
      <c r="I1953" s="87" t="b">
        <v>0</v>
      </c>
      <c r="J1953" s="173" t="s">
        <v>477</v>
      </c>
      <c r="K1953" s="174">
        <v>9219138000584</v>
      </c>
      <c r="L1953" s="173" t="s">
        <v>1088</v>
      </c>
      <c r="M1953" s="173" t="s">
        <v>131</v>
      </c>
      <c r="N1953" s="173" t="s">
        <v>61</v>
      </c>
      <c r="O1953" s="87">
        <v>70</v>
      </c>
      <c r="P1953" s="173" t="s">
        <v>20</v>
      </c>
      <c r="Q1953" s="1" t="s">
        <v>1338</v>
      </c>
      <c r="R1953" s="175">
        <v>285</v>
      </c>
      <c r="S1953">
        <v>57</v>
      </c>
    </row>
    <row r="1954" spans="1:19" x14ac:dyDescent="0.25">
      <c r="A1954" s="87">
        <v>2019</v>
      </c>
      <c r="B1954" s="87">
        <v>10</v>
      </c>
      <c r="C1954" s="173" t="s">
        <v>16</v>
      </c>
      <c r="D1954" s="173" t="s">
        <v>23</v>
      </c>
      <c r="E1954" s="173" t="s">
        <v>24</v>
      </c>
      <c r="F1954" s="173" t="s">
        <v>16</v>
      </c>
      <c r="G1954" s="87" t="b">
        <v>1</v>
      </c>
      <c r="H1954" s="87" t="b">
        <v>0</v>
      </c>
      <c r="I1954" s="87" t="b">
        <v>0</v>
      </c>
      <c r="J1954" s="173" t="s">
        <v>491</v>
      </c>
      <c r="K1954" s="174">
        <v>9219138000584</v>
      </c>
      <c r="L1954" s="173" t="s">
        <v>1088</v>
      </c>
      <c r="M1954" s="173" t="s">
        <v>131</v>
      </c>
      <c r="N1954" s="173" t="s">
        <v>61</v>
      </c>
      <c r="O1954" s="87">
        <v>70</v>
      </c>
      <c r="P1954" s="173" t="s">
        <v>20</v>
      </c>
      <c r="Q1954" s="1" t="s">
        <v>1338</v>
      </c>
      <c r="R1954" s="175">
        <v>365</v>
      </c>
      <c r="S1954">
        <v>73</v>
      </c>
    </row>
    <row r="1955" spans="1:19" x14ac:dyDescent="0.25">
      <c r="A1955" s="87">
        <v>2019</v>
      </c>
      <c r="B1955" s="87">
        <v>10</v>
      </c>
      <c r="C1955" s="173" t="s">
        <v>16</v>
      </c>
      <c r="D1955" s="173" t="s">
        <v>23</v>
      </c>
      <c r="E1955" s="173" t="s">
        <v>24</v>
      </c>
      <c r="F1955" s="173" t="s">
        <v>16</v>
      </c>
      <c r="G1955" s="87" t="b">
        <v>1</v>
      </c>
      <c r="H1955" s="87" t="b">
        <v>0</v>
      </c>
      <c r="I1955" s="87" t="b">
        <v>0</v>
      </c>
      <c r="J1955" s="173" t="s">
        <v>477</v>
      </c>
      <c r="K1955" s="174">
        <v>9219138000584</v>
      </c>
      <c r="L1955" s="173" t="s">
        <v>1088</v>
      </c>
      <c r="M1955" s="173" t="s">
        <v>131</v>
      </c>
      <c r="N1955" s="173" t="s">
        <v>61</v>
      </c>
      <c r="O1955" s="87">
        <v>73</v>
      </c>
      <c r="P1955" s="173" t="s">
        <v>26</v>
      </c>
      <c r="Q1955" s="1" t="s">
        <v>1342</v>
      </c>
      <c r="R1955" s="175">
        <v>88</v>
      </c>
      <c r="S1955">
        <v>22</v>
      </c>
    </row>
    <row r="1956" spans="1:19" x14ac:dyDescent="0.25">
      <c r="A1956" s="87">
        <v>2019</v>
      </c>
      <c r="B1956" s="87">
        <v>10</v>
      </c>
      <c r="C1956" s="173" t="s">
        <v>16</v>
      </c>
      <c r="D1956" s="173" t="s">
        <v>23</v>
      </c>
      <c r="E1956" s="173" t="s">
        <v>24</v>
      </c>
      <c r="F1956" s="173" t="s">
        <v>16</v>
      </c>
      <c r="G1956" s="87" t="b">
        <v>1</v>
      </c>
      <c r="H1956" s="87" t="b">
        <v>0</v>
      </c>
      <c r="I1956" s="87" t="b">
        <v>0</v>
      </c>
      <c r="J1956" s="173" t="s">
        <v>491</v>
      </c>
      <c r="K1956" s="174">
        <v>9219138000584</v>
      </c>
      <c r="L1956" s="173" t="s">
        <v>1088</v>
      </c>
      <c r="M1956" s="173" t="s">
        <v>131</v>
      </c>
      <c r="N1956" s="173" t="s">
        <v>61</v>
      </c>
      <c r="O1956" s="87">
        <v>73</v>
      </c>
      <c r="P1956" s="173" t="s">
        <v>26</v>
      </c>
      <c r="Q1956" s="1" t="s">
        <v>1342</v>
      </c>
      <c r="R1956" s="175">
        <v>12</v>
      </c>
      <c r="S1956">
        <v>3</v>
      </c>
    </row>
    <row r="1957" spans="1:19" x14ac:dyDescent="0.25">
      <c r="A1957" s="87">
        <v>2019</v>
      </c>
      <c r="B1957" s="87">
        <v>10</v>
      </c>
      <c r="C1957" s="173" t="s">
        <v>16</v>
      </c>
      <c r="D1957" s="173" t="s">
        <v>23</v>
      </c>
      <c r="E1957" s="173" t="s">
        <v>24</v>
      </c>
      <c r="F1957" s="173" t="s">
        <v>16</v>
      </c>
      <c r="G1957" s="87" t="b">
        <v>1</v>
      </c>
      <c r="H1957" s="87" t="b">
        <v>0</v>
      </c>
      <c r="I1957" s="87" t="b">
        <v>0</v>
      </c>
      <c r="J1957" s="173" t="s">
        <v>1512</v>
      </c>
      <c r="K1957" s="174">
        <v>9219138000584</v>
      </c>
      <c r="L1957" s="173" t="s">
        <v>1088</v>
      </c>
      <c r="M1957" s="173" t="s">
        <v>131</v>
      </c>
      <c r="N1957" s="173" t="s">
        <v>61</v>
      </c>
      <c r="O1957" s="87">
        <v>73</v>
      </c>
      <c r="P1957" s="173" t="s">
        <v>26</v>
      </c>
      <c r="Q1957" s="1" t="s">
        <v>1342</v>
      </c>
      <c r="R1957" s="175">
        <v>48</v>
      </c>
      <c r="S1957">
        <v>12</v>
      </c>
    </row>
    <row r="1958" spans="1:19" x14ac:dyDescent="0.25">
      <c r="A1958" s="87">
        <v>2019</v>
      </c>
      <c r="B1958" s="87">
        <v>10</v>
      </c>
      <c r="C1958" s="173" t="s">
        <v>16</v>
      </c>
      <c r="D1958" s="173" t="s">
        <v>23</v>
      </c>
      <c r="E1958" s="173" t="s">
        <v>24</v>
      </c>
      <c r="F1958" s="173" t="s">
        <v>16</v>
      </c>
      <c r="G1958" s="87" t="b">
        <v>1</v>
      </c>
      <c r="H1958" s="87" t="b">
        <v>0</v>
      </c>
      <c r="I1958" s="87" t="b">
        <v>0</v>
      </c>
      <c r="J1958" s="173" t="s">
        <v>491</v>
      </c>
      <c r="K1958" s="174">
        <v>9578217000158</v>
      </c>
      <c r="L1958" s="173" t="s">
        <v>1089</v>
      </c>
      <c r="M1958" s="173" t="s">
        <v>131</v>
      </c>
      <c r="N1958" s="173" t="s">
        <v>61</v>
      </c>
      <c r="O1958" s="87">
        <v>62</v>
      </c>
      <c r="P1958" s="173" t="s">
        <v>27</v>
      </c>
      <c r="Q1958" s="1" t="s">
        <v>1343</v>
      </c>
      <c r="R1958" s="175">
        <v>2</v>
      </c>
      <c r="S1958">
        <v>2</v>
      </c>
    </row>
    <row r="1959" spans="1:19" x14ac:dyDescent="0.25">
      <c r="A1959" s="87">
        <v>2019</v>
      </c>
      <c r="B1959" s="87">
        <v>10</v>
      </c>
      <c r="C1959" s="173" t="s">
        <v>16</v>
      </c>
      <c r="D1959" s="173" t="s">
        <v>23</v>
      </c>
      <c r="E1959" s="173" t="s">
        <v>24</v>
      </c>
      <c r="F1959" s="173" t="s">
        <v>16</v>
      </c>
      <c r="G1959" s="87" t="b">
        <v>1</v>
      </c>
      <c r="H1959" s="87" t="b">
        <v>0</v>
      </c>
      <c r="I1959" s="87" t="b">
        <v>0</v>
      </c>
      <c r="J1959" s="173" t="s">
        <v>491</v>
      </c>
      <c r="K1959" s="174">
        <v>9578217000158</v>
      </c>
      <c r="L1959" s="173" t="s">
        <v>1089</v>
      </c>
      <c r="M1959" s="173" t="s">
        <v>131</v>
      </c>
      <c r="N1959" s="173" t="s">
        <v>61</v>
      </c>
      <c r="O1959" s="87">
        <v>64</v>
      </c>
      <c r="P1959" s="173" t="s">
        <v>25</v>
      </c>
      <c r="Q1959" s="1" t="s">
        <v>1344</v>
      </c>
      <c r="R1959" s="175">
        <v>2</v>
      </c>
      <c r="S1959">
        <v>2</v>
      </c>
    </row>
    <row r="1960" spans="1:19" x14ac:dyDescent="0.25">
      <c r="A1960" s="87">
        <v>2019</v>
      </c>
      <c r="B1960" s="87">
        <v>10</v>
      </c>
      <c r="C1960" s="173" t="s">
        <v>16</v>
      </c>
      <c r="D1960" s="173" t="s">
        <v>23</v>
      </c>
      <c r="E1960" s="173" t="s">
        <v>24</v>
      </c>
      <c r="F1960" s="173" t="s">
        <v>16</v>
      </c>
      <c r="G1960" s="87" t="b">
        <v>1</v>
      </c>
      <c r="H1960" s="87" t="b">
        <v>0</v>
      </c>
      <c r="I1960" s="87" t="b">
        <v>0</v>
      </c>
      <c r="J1960" s="173" t="s">
        <v>1330</v>
      </c>
      <c r="K1960" s="174">
        <v>9579964000291</v>
      </c>
      <c r="L1960" s="173" t="s">
        <v>961</v>
      </c>
      <c r="M1960" s="173" t="s">
        <v>94</v>
      </c>
      <c r="N1960" s="173" t="s">
        <v>57</v>
      </c>
      <c r="O1960" s="87">
        <v>70</v>
      </c>
      <c r="P1960" s="173" t="s">
        <v>20</v>
      </c>
      <c r="Q1960" s="1" t="s">
        <v>1338</v>
      </c>
      <c r="R1960" s="175">
        <v>1840</v>
      </c>
      <c r="S1960">
        <v>368</v>
      </c>
    </row>
    <row r="1961" spans="1:19" x14ac:dyDescent="0.25">
      <c r="A1961" s="87">
        <v>2019</v>
      </c>
      <c r="B1961" s="87">
        <v>10</v>
      </c>
      <c r="C1961" s="173" t="s">
        <v>16</v>
      </c>
      <c r="D1961" s="173" t="s">
        <v>23</v>
      </c>
      <c r="E1961" s="173" t="s">
        <v>24</v>
      </c>
      <c r="F1961" s="173" t="s">
        <v>16</v>
      </c>
      <c r="G1961" s="87" t="b">
        <v>1</v>
      </c>
      <c r="H1961" s="87" t="b">
        <v>0</v>
      </c>
      <c r="I1961" s="87" t="b">
        <v>0</v>
      </c>
      <c r="J1961" s="173" t="s">
        <v>463</v>
      </c>
      <c r="K1961" s="174">
        <v>10323381000101</v>
      </c>
      <c r="L1961" s="173" t="s">
        <v>580</v>
      </c>
      <c r="M1961" s="173" t="s">
        <v>29</v>
      </c>
      <c r="N1961" s="173" t="s">
        <v>19</v>
      </c>
      <c r="O1961" s="87">
        <v>73</v>
      </c>
      <c r="P1961" s="173" t="s">
        <v>26</v>
      </c>
      <c r="Q1961" s="1" t="s">
        <v>1340</v>
      </c>
      <c r="R1961" s="175">
        <v>2</v>
      </c>
      <c r="S1961">
        <v>2</v>
      </c>
    </row>
    <row r="1962" spans="1:19" x14ac:dyDescent="0.25">
      <c r="A1962" s="87">
        <v>2019</v>
      </c>
      <c r="B1962" s="87">
        <v>10</v>
      </c>
      <c r="C1962" s="173" t="s">
        <v>16</v>
      </c>
      <c r="D1962" s="173" t="s">
        <v>23</v>
      </c>
      <c r="E1962" s="173" t="s">
        <v>24</v>
      </c>
      <c r="F1962" s="173" t="s">
        <v>16</v>
      </c>
      <c r="G1962" s="87" t="b">
        <v>1</v>
      </c>
      <c r="H1962" s="87" t="b">
        <v>0</v>
      </c>
      <c r="I1962" s="87" t="b">
        <v>0</v>
      </c>
      <c r="J1962" s="173" t="s">
        <v>450</v>
      </c>
      <c r="K1962" s="174">
        <v>10447300000177</v>
      </c>
      <c r="L1962" s="173" t="s">
        <v>658</v>
      </c>
      <c r="M1962" s="173" t="s">
        <v>33</v>
      </c>
      <c r="N1962" s="173" t="s">
        <v>19</v>
      </c>
      <c r="O1962" s="87">
        <v>73</v>
      </c>
      <c r="P1962" s="173" t="s">
        <v>26</v>
      </c>
      <c r="Q1962" s="1" t="s">
        <v>1342</v>
      </c>
      <c r="R1962" s="175">
        <v>8</v>
      </c>
      <c r="S1962">
        <v>2</v>
      </c>
    </row>
    <row r="1963" spans="1:19" x14ac:dyDescent="0.25">
      <c r="A1963" s="87">
        <v>2019</v>
      </c>
      <c r="B1963" s="87">
        <v>10</v>
      </c>
      <c r="C1963" s="173" t="s">
        <v>16</v>
      </c>
      <c r="D1963" s="173" t="s">
        <v>23</v>
      </c>
      <c r="E1963" s="173" t="s">
        <v>24</v>
      </c>
      <c r="F1963" s="173" t="s">
        <v>16</v>
      </c>
      <c r="G1963" s="87" t="b">
        <v>1</v>
      </c>
      <c r="H1963" s="87" t="b">
        <v>0</v>
      </c>
      <c r="I1963" s="87" t="b">
        <v>0</v>
      </c>
      <c r="J1963" s="173" t="s">
        <v>448</v>
      </c>
      <c r="K1963" s="174">
        <v>10447300000177</v>
      </c>
      <c r="L1963" s="173" t="s">
        <v>658</v>
      </c>
      <c r="M1963" s="173" t="s">
        <v>33</v>
      </c>
      <c r="N1963" s="173" t="s">
        <v>19</v>
      </c>
      <c r="O1963" s="87">
        <v>73</v>
      </c>
      <c r="P1963" s="173" t="s">
        <v>26</v>
      </c>
      <c r="Q1963" s="1" t="s">
        <v>1342</v>
      </c>
      <c r="R1963" s="175">
        <v>8</v>
      </c>
      <c r="S1963">
        <v>2</v>
      </c>
    </row>
    <row r="1964" spans="1:19" x14ac:dyDescent="0.25">
      <c r="A1964" s="87">
        <v>2019</v>
      </c>
      <c r="B1964" s="87">
        <v>10</v>
      </c>
      <c r="C1964" s="173" t="s">
        <v>16</v>
      </c>
      <c r="D1964" s="173" t="s">
        <v>23</v>
      </c>
      <c r="E1964" s="173" t="s">
        <v>24</v>
      </c>
      <c r="F1964" s="173" t="s">
        <v>16</v>
      </c>
      <c r="G1964" s="87" t="b">
        <v>1</v>
      </c>
      <c r="H1964" s="87" t="b">
        <v>0</v>
      </c>
      <c r="I1964" s="87" t="b">
        <v>0</v>
      </c>
      <c r="J1964" s="173" t="s">
        <v>450</v>
      </c>
      <c r="K1964" s="174">
        <v>10468341000140</v>
      </c>
      <c r="L1964" s="173" t="s">
        <v>581</v>
      </c>
      <c r="M1964" s="173" t="s">
        <v>29</v>
      </c>
      <c r="N1964" s="173" t="s">
        <v>19</v>
      </c>
      <c r="O1964" s="87">
        <v>70</v>
      </c>
      <c r="P1964" s="173" t="s">
        <v>20</v>
      </c>
      <c r="Q1964" s="1" t="s">
        <v>1338</v>
      </c>
      <c r="R1964" s="175">
        <v>350</v>
      </c>
      <c r="S1964">
        <v>70</v>
      </c>
    </row>
    <row r="1965" spans="1:19" x14ac:dyDescent="0.25">
      <c r="A1965" s="87">
        <v>2019</v>
      </c>
      <c r="B1965" s="87">
        <v>10</v>
      </c>
      <c r="C1965" s="173" t="s">
        <v>16</v>
      </c>
      <c r="D1965" s="173" t="s">
        <v>23</v>
      </c>
      <c r="E1965" s="173" t="s">
        <v>24</v>
      </c>
      <c r="F1965" s="173" t="s">
        <v>16</v>
      </c>
      <c r="G1965" s="87" t="b">
        <v>1</v>
      </c>
      <c r="H1965" s="87" t="b">
        <v>0</v>
      </c>
      <c r="I1965" s="87" t="b">
        <v>0</v>
      </c>
      <c r="J1965" s="173" t="s">
        <v>463</v>
      </c>
      <c r="K1965" s="174">
        <v>10468341000140</v>
      </c>
      <c r="L1965" s="173" t="s">
        <v>581</v>
      </c>
      <c r="M1965" s="173" t="s">
        <v>29</v>
      </c>
      <c r="N1965" s="173" t="s">
        <v>19</v>
      </c>
      <c r="O1965" s="87">
        <v>70</v>
      </c>
      <c r="P1965" s="173" t="s">
        <v>20</v>
      </c>
      <c r="Q1965" s="1" t="s">
        <v>1338</v>
      </c>
      <c r="R1965" s="175">
        <v>750</v>
      </c>
      <c r="S1965">
        <v>150</v>
      </c>
    </row>
    <row r="1966" spans="1:19" x14ac:dyDescent="0.25">
      <c r="A1966" s="87">
        <v>2019</v>
      </c>
      <c r="B1966" s="87">
        <v>10</v>
      </c>
      <c r="C1966" s="173" t="s">
        <v>16</v>
      </c>
      <c r="D1966" s="173" t="s">
        <v>23</v>
      </c>
      <c r="E1966" s="173" t="s">
        <v>24</v>
      </c>
      <c r="F1966" s="173" t="s">
        <v>16</v>
      </c>
      <c r="G1966" s="87" t="b">
        <v>1</v>
      </c>
      <c r="H1966" s="87" t="b">
        <v>0</v>
      </c>
      <c r="I1966" s="87" t="b">
        <v>0</v>
      </c>
      <c r="J1966" s="173" t="s">
        <v>463</v>
      </c>
      <c r="K1966" s="174">
        <v>10468341000140</v>
      </c>
      <c r="L1966" s="173" t="s">
        <v>581</v>
      </c>
      <c r="M1966" s="173" t="s">
        <v>29</v>
      </c>
      <c r="N1966" s="173" t="s">
        <v>19</v>
      </c>
      <c r="O1966" s="87">
        <v>73</v>
      </c>
      <c r="P1966" s="173" t="s">
        <v>26</v>
      </c>
      <c r="Q1966" s="1" t="s">
        <v>1342</v>
      </c>
      <c r="R1966" s="175">
        <v>12</v>
      </c>
      <c r="S1966">
        <v>3</v>
      </c>
    </row>
    <row r="1967" spans="1:19" x14ac:dyDescent="0.25">
      <c r="A1967" s="87">
        <v>2019</v>
      </c>
      <c r="B1967" s="87">
        <v>10</v>
      </c>
      <c r="C1967" s="173" t="s">
        <v>16</v>
      </c>
      <c r="D1967" s="173" t="s">
        <v>23</v>
      </c>
      <c r="E1967" s="173" t="s">
        <v>24</v>
      </c>
      <c r="F1967" s="173" t="s">
        <v>16</v>
      </c>
      <c r="G1967" s="87" t="b">
        <v>1</v>
      </c>
      <c r="H1967" s="87" t="b">
        <v>0</v>
      </c>
      <c r="I1967" s="87" t="b">
        <v>0</v>
      </c>
      <c r="J1967" s="173" t="s">
        <v>450</v>
      </c>
      <c r="K1967" s="174">
        <v>10468341000220</v>
      </c>
      <c r="L1967" s="173" t="s">
        <v>582</v>
      </c>
      <c r="M1967" s="173" t="s">
        <v>29</v>
      </c>
      <c r="N1967" s="173" t="s">
        <v>19</v>
      </c>
      <c r="O1967" s="87">
        <v>70</v>
      </c>
      <c r="P1967" s="173" t="s">
        <v>20</v>
      </c>
      <c r="Q1967" s="1" t="s">
        <v>1338</v>
      </c>
      <c r="R1967" s="175">
        <v>650</v>
      </c>
      <c r="S1967">
        <v>130</v>
      </c>
    </row>
    <row r="1968" spans="1:19" x14ac:dyDescent="0.25">
      <c r="A1968" s="87">
        <v>2019</v>
      </c>
      <c r="B1968" s="87">
        <v>10</v>
      </c>
      <c r="C1968" s="173" t="s">
        <v>16</v>
      </c>
      <c r="D1968" s="173" t="s">
        <v>23</v>
      </c>
      <c r="E1968" s="173" t="s">
        <v>24</v>
      </c>
      <c r="F1968" s="173" t="s">
        <v>16</v>
      </c>
      <c r="G1968" s="87" t="b">
        <v>1</v>
      </c>
      <c r="H1968" s="87" t="b">
        <v>0</v>
      </c>
      <c r="I1968" s="87" t="b">
        <v>0</v>
      </c>
      <c r="J1968" s="173" t="s">
        <v>463</v>
      </c>
      <c r="K1968" s="174">
        <v>10468341000220</v>
      </c>
      <c r="L1968" s="173" t="s">
        <v>582</v>
      </c>
      <c r="M1968" s="173" t="s">
        <v>29</v>
      </c>
      <c r="N1968" s="173" t="s">
        <v>19</v>
      </c>
      <c r="O1968" s="87">
        <v>70</v>
      </c>
      <c r="P1968" s="173" t="s">
        <v>20</v>
      </c>
      <c r="Q1968" s="1" t="s">
        <v>1338</v>
      </c>
      <c r="R1968" s="175">
        <v>300</v>
      </c>
      <c r="S1968">
        <v>60</v>
      </c>
    </row>
    <row r="1969" spans="1:19" x14ac:dyDescent="0.25">
      <c r="A1969" s="87">
        <v>2019</v>
      </c>
      <c r="B1969" s="87">
        <v>10</v>
      </c>
      <c r="C1969" s="173" t="s">
        <v>16</v>
      </c>
      <c r="D1969" s="173" t="s">
        <v>23</v>
      </c>
      <c r="E1969" s="173" t="s">
        <v>24</v>
      </c>
      <c r="F1969" s="173" t="s">
        <v>16</v>
      </c>
      <c r="G1969" s="87" t="b">
        <v>1</v>
      </c>
      <c r="H1969" s="87" t="b">
        <v>0</v>
      </c>
      <c r="I1969" s="87" t="b">
        <v>0</v>
      </c>
      <c r="J1969" s="173" t="s">
        <v>463</v>
      </c>
      <c r="K1969" s="174">
        <v>10468341000220</v>
      </c>
      <c r="L1969" s="173" t="s">
        <v>582</v>
      </c>
      <c r="M1969" s="173" t="s">
        <v>29</v>
      </c>
      <c r="N1969" s="173" t="s">
        <v>19</v>
      </c>
      <c r="O1969" s="87">
        <v>73</v>
      </c>
      <c r="P1969" s="173" t="s">
        <v>26</v>
      </c>
      <c r="Q1969" s="1" t="s">
        <v>1342</v>
      </c>
      <c r="R1969" s="175">
        <v>24</v>
      </c>
      <c r="S1969">
        <v>6</v>
      </c>
    </row>
    <row r="1970" spans="1:19" x14ac:dyDescent="0.25">
      <c r="A1970" s="87">
        <v>2019</v>
      </c>
      <c r="B1970" s="87">
        <v>10</v>
      </c>
      <c r="C1970" s="173" t="s">
        <v>16</v>
      </c>
      <c r="D1970" s="173" t="s">
        <v>23</v>
      </c>
      <c r="E1970" s="173" t="s">
        <v>24</v>
      </c>
      <c r="F1970" s="173" t="s">
        <v>16</v>
      </c>
      <c r="G1970" s="87" t="b">
        <v>1</v>
      </c>
      <c r="H1970" s="87" t="b">
        <v>0</v>
      </c>
      <c r="I1970" s="87" t="b">
        <v>0</v>
      </c>
      <c r="J1970" s="173" t="s">
        <v>464</v>
      </c>
      <c r="K1970" s="174">
        <v>10475230000160</v>
      </c>
      <c r="L1970" s="173" t="s">
        <v>583</v>
      </c>
      <c r="M1970" s="173" t="s">
        <v>29</v>
      </c>
      <c r="N1970" s="173" t="s">
        <v>19</v>
      </c>
      <c r="O1970" s="87">
        <v>70</v>
      </c>
      <c r="P1970" s="173" t="s">
        <v>20</v>
      </c>
      <c r="Q1970" s="1" t="s">
        <v>1338</v>
      </c>
      <c r="R1970" s="175">
        <v>45</v>
      </c>
      <c r="S1970">
        <v>9</v>
      </c>
    </row>
    <row r="1971" spans="1:19" x14ac:dyDescent="0.25">
      <c r="A1971" s="87">
        <v>2019</v>
      </c>
      <c r="B1971" s="87">
        <v>10</v>
      </c>
      <c r="C1971" s="173" t="s">
        <v>16</v>
      </c>
      <c r="D1971" s="173" t="s">
        <v>23</v>
      </c>
      <c r="E1971" s="173" t="s">
        <v>24</v>
      </c>
      <c r="F1971" s="173" t="s">
        <v>16</v>
      </c>
      <c r="G1971" s="87" t="b">
        <v>1</v>
      </c>
      <c r="H1971" s="87" t="b">
        <v>0</v>
      </c>
      <c r="I1971" s="87" t="b">
        <v>0</v>
      </c>
      <c r="J1971" s="173" t="s">
        <v>470</v>
      </c>
      <c r="K1971" s="174">
        <v>10839561000132</v>
      </c>
      <c r="L1971" s="173" t="s">
        <v>834</v>
      </c>
      <c r="M1971" s="173" t="s">
        <v>70</v>
      </c>
      <c r="N1971" s="173" t="s">
        <v>71</v>
      </c>
      <c r="O1971" s="87">
        <v>62</v>
      </c>
      <c r="P1971" s="173" t="s">
        <v>27</v>
      </c>
      <c r="Q1971" s="1" t="s">
        <v>1343</v>
      </c>
      <c r="R1971" s="175">
        <v>26</v>
      </c>
      <c r="S1971">
        <v>26</v>
      </c>
    </row>
    <row r="1972" spans="1:19" x14ac:dyDescent="0.25">
      <c r="A1972" s="87">
        <v>2019</v>
      </c>
      <c r="B1972" s="87">
        <v>10</v>
      </c>
      <c r="C1972" s="173" t="s">
        <v>16</v>
      </c>
      <c r="D1972" s="173" t="s">
        <v>23</v>
      </c>
      <c r="E1972" s="173" t="s">
        <v>24</v>
      </c>
      <c r="F1972" s="173" t="s">
        <v>16</v>
      </c>
      <c r="G1972" s="87" t="b">
        <v>1</v>
      </c>
      <c r="H1972" s="87" t="b">
        <v>0</v>
      </c>
      <c r="I1972" s="87" t="b">
        <v>0</v>
      </c>
      <c r="J1972" s="173" t="s">
        <v>470</v>
      </c>
      <c r="K1972" s="174">
        <v>10839561000132</v>
      </c>
      <c r="L1972" s="173" t="s">
        <v>834</v>
      </c>
      <c r="M1972" s="173" t="s">
        <v>70</v>
      </c>
      <c r="N1972" s="173" t="s">
        <v>71</v>
      </c>
      <c r="O1972" s="87">
        <v>70</v>
      </c>
      <c r="P1972" s="173" t="s">
        <v>20</v>
      </c>
      <c r="Q1972" s="1" t="s">
        <v>1338</v>
      </c>
      <c r="R1972" s="175">
        <v>175</v>
      </c>
      <c r="S1972">
        <v>35</v>
      </c>
    </row>
    <row r="1973" spans="1:19" x14ac:dyDescent="0.25">
      <c r="A1973" s="87">
        <v>2019</v>
      </c>
      <c r="B1973" s="87">
        <v>10</v>
      </c>
      <c r="C1973" s="173" t="s">
        <v>16</v>
      </c>
      <c r="D1973" s="173" t="s">
        <v>23</v>
      </c>
      <c r="E1973" s="173" t="s">
        <v>24</v>
      </c>
      <c r="F1973" s="173" t="s">
        <v>16</v>
      </c>
      <c r="G1973" s="87" t="b">
        <v>1</v>
      </c>
      <c r="H1973" s="87" t="b">
        <v>0</v>
      </c>
      <c r="I1973" s="87" t="b">
        <v>0</v>
      </c>
      <c r="J1973" s="173" t="s">
        <v>470</v>
      </c>
      <c r="K1973" s="174">
        <v>10839561000132</v>
      </c>
      <c r="L1973" s="173" t="s">
        <v>834</v>
      </c>
      <c r="M1973" s="173" t="s">
        <v>70</v>
      </c>
      <c r="N1973" s="173" t="s">
        <v>71</v>
      </c>
      <c r="O1973" s="87">
        <v>73</v>
      </c>
      <c r="P1973" s="173" t="s">
        <v>26</v>
      </c>
      <c r="Q1973" s="1" t="s">
        <v>1339</v>
      </c>
      <c r="R1973" s="175">
        <v>16</v>
      </c>
      <c r="S1973">
        <v>8</v>
      </c>
    </row>
    <row r="1974" spans="1:19" x14ac:dyDescent="0.25">
      <c r="A1974" s="87">
        <v>2019</v>
      </c>
      <c r="B1974" s="87">
        <v>10</v>
      </c>
      <c r="C1974" s="173" t="s">
        <v>16</v>
      </c>
      <c r="D1974" s="173" t="s">
        <v>23</v>
      </c>
      <c r="E1974" s="173" t="s">
        <v>24</v>
      </c>
      <c r="F1974" s="173" t="s">
        <v>16</v>
      </c>
      <c r="G1974" s="87" t="b">
        <v>1</v>
      </c>
      <c r="H1974" s="87" t="b">
        <v>0</v>
      </c>
      <c r="I1974" s="87" t="b">
        <v>0</v>
      </c>
      <c r="J1974" s="173" t="s">
        <v>470</v>
      </c>
      <c r="K1974" s="174">
        <v>10839561000132</v>
      </c>
      <c r="L1974" s="173" t="s">
        <v>834</v>
      </c>
      <c r="M1974" s="173" t="s">
        <v>70</v>
      </c>
      <c r="N1974" s="173" t="s">
        <v>71</v>
      </c>
      <c r="O1974" s="87">
        <v>73</v>
      </c>
      <c r="P1974" s="173" t="s">
        <v>26</v>
      </c>
      <c r="Q1974" s="1" t="s">
        <v>1342</v>
      </c>
      <c r="R1974" s="175">
        <v>48</v>
      </c>
      <c r="S1974">
        <v>12</v>
      </c>
    </row>
    <row r="1975" spans="1:19" x14ac:dyDescent="0.25">
      <c r="A1975" s="87">
        <v>2019</v>
      </c>
      <c r="B1975" s="87">
        <v>10</v>
      </c>
      <c r="C1975" s="173" t="s">
        <v>16</v>
      </c>
      <c r="D1975" s="173" t="s">
        <v>23</v>
      </c>
      <c r="E1975" s="173" t="s">
        <v>24</v>
      </c>
      <c r="F1975" s="173" t="s">
        <v>16</v>
      </c>
      <c r="G1975" s="87" t="b">
        <v>1</v>
      </c>
      <c r="H1975" s="87" t="b">
        <v>0</v>
      </c>
      <c r="I1975" s="87" t="b">
        <v>0</v>
      </c>
      <c r="J1975" s="173" t="s">
        <v>451</v>
      </c>
      <c r="K1975" s="174">
        <v>10868295000176</v>
      </c>
      <c r="L1975" s="173" t="s">
        <v>660</v>
      </c>
      <c r="M1975" s="173" t="s">
        <v>35</v>
      </c>
      <c r="N1975" s="173" t="s">
        <v>19</v>
      </c>
      <c r="O1975" s="87">
        <v>70</v>
      </c>
      <c r="P1975" s="173" t="s">
        <v>20</v>
      </c>
      <c r="Q1975" s="1" t="s">
        <v>1338</v>
      </c>
      <c r="R1975" s="175">
        <v>90</v>
      </c>
      <c r="S1975">
        <v>18</v>
      </c>
    </row>
    <row r="1976" spans="1:19" x14ac:dyDescent="0.25">
      <c r="A1976" s="87">
        <v>2019</v>
      </c>
      <c r="B1976" s="87">
        <v>10</v>
      </c>
      <c r="C1976" s="173" t="s">
        <v>16</v>
      </c>
      <c r="D1976" s="173" t="s">
        <v>23</v>
      </c>
      <c r="E1976" s="173" t="s">
        <v>24</v>
      </c>
      <c r="F1976" s="173" t="s">
        <v>16</v>
      </c>
      <c r="G1976" s="87" t="b">
        <v>1</v>
      </c>
      <c r="H1976" s="87" t="b">
        <v>0</v>
      </c>
      <c r="I1976" s="87" t="b">
        <v>0</v>
      </c>
      <c r="J1976" s="173" t="s">
        <v>464</v>
      </c>
      <c r="K1976" s="174">
        <v>10892164000124</v>
      </c>
      <c r="L1976" s="173" t="s">
        <v>835</v>
      </c>
      <c r="M1976" s="173" t="s">
        <v>70</v>
      </c>
      <c r="N1976" s="173" t="s">
        <v>71</v>
      </c>
      <c r="O1976" s="87">
        <v>64</v>
      </c>
      <c r="P1976" s="173" t="s">
        <v>25</v>
      </c>
      <c r="Q1976" s="1" t="s">
        <v>1344</v>
      </c>
      <c r="R1976" s="175">
        <v>10</v>
      </c>
      <c r="S1976">
        <v>10</v>
      </c>
    </row>
    <row r="1977" spans="1:19" x14ac:dyDescent="0.25">
      <c r="A1977" s="87">
        <v>2019</v>
      </c>
      <c r="B1977" s="87">
        <v>10</v>
      </c>
      <c r="C1977" s="173" t="s">
        <v>16</v>
      </c>
      <c r="D1977" s="173" t="s">
        <v>23</v>
      </c>
      <c r="E1977" s="173" t="s">
        <v>24</v>
      </c>
      <c r="F1977" s="173" t="s">
        <v>16</v>
      </c>
      <c r="G1977" s="87" t="b">
        <v>1</v>
      </c>
      <c r="H1977" s="87" t="b">
        <v>0</v>
      </c>
      <c r="I1977" s="87" t="b">
        <v>0</v>
      </c>
      <c r="J1977" s="173" t="s">
        <v>451</v>
      </c>
      <c r="K1977" s="174">
        <v>10892164000124</v>
      </c>
      <c r="L1977" s="173" t="s">
        <v>835</v>
      </c>
      <c r="M1977" s="173" t="s">
        <v>70</v>
      </c>
      <c r="N1977" s="173" t="s">
        <v>71</v>
      </c>
      <c r="O1977" s="87">
        <v>73</v>
      </c>
      <c r="P1977" s="173" t="s">
        <v>26</v>
      </c>
      <c r="Q1977" s="1" t="s">
        <v>1342</v>
      </c>
      <c r="R1977" s="175">
        <v>40</v>
      </c>
      <c r="S1977">
        <v>10</v>
      </c>
    </row>
    <row r="1978" spans="1:19" x14ac:dyDescent="0.25">
      <c r="A1978" s="87">
        <v>2019</v>
      </c>
      <c r="B1978" s="87">
        <v>10</v>
      </c>
      <c r="C1978" s="173" t="s">
        <v>16</v>
      </c>
      <c r="D1978" s="173" t="s">
        <v>23</v>
      </c>
      <c r="E1978" s="173" t="s">
        <v>24</v>
      </c>
      <c r="F1978" s="173" t="s">
        <v>16</v>
      </c>
      <c r="G1978" s="87" t="b">
        <v>1</v>
      </c>
      <c r="H1978" s="87" t="b">
        <v>0</v>
      </c>
      <c r="I1978" s="87" t="b">
        <v>0</v>
      </c>
      <c r="J1978" s="173" t="s">
        <v>468</v>
      </c>
      <c r="K1978" s="174">
        <v>10942995000163</v>
      </c>
      <c r="L1978" s="173" t="s">
        <v>836</v>
      </c>
      <c r="M1978" s="173" t="s">
        <v>739</v>
      </c>
      <c r="N1978" s="173" t="s">
        <v>55</v>
      </c>
      <c r="O1978" s="87">
        <v>70</v>
      </c>
      <c r="P1978" s="173" t="s">
        <v>20</v>
      </c>
      <c r="Q1978" s="1" t="s">
        <v>1338</v>
      </c>
      <c r="R1978" s="175">
        <v>350</v>
      </c>
      <c r="S1978">
        <v>70</v>
      </c>
    </row>
    <row r="1979" spans="1:19" x14ac:dyDescent="0.25">
      <c r="A1979" s="87">
        <v>2019</v>
      </c>
      <c r="B1979" s="87">
        <v>10</v>
      </c>
      <c r="C1979" s="173" t="s">
        <v>16</v>
      </c>
      <c r="D1979" s="173" t="s">
        <v>23</v>
      </c>
      <c r="E1979" s="173" t="s">
        <v>24</v>
      </c>
      <c r="F1979" s="173" t="s">
        <v>16</v>
      </c>
      <c r="G1979" s="87" t="b">
        <v>1</v>
      </c>
      <c r="H1979" s="87" t="b">
        <v>0</v>
      </c>
      <c r="I1979" s="87" t="b">
        <v>0</v>
      </c>
      <c r="J1979" s="173" t="s">
        <v>1330</v>
      </c>
      <c r="K1979" s="174">
        <v>10942995000163</v>
      </c>
      <c r="L1979" s="173" t="s">
        <v>836</v>
      </c>
      <c r="M1979" s="173" t="s">
        <v>739</v>
      </c>
      <c r="N1979" s="173" t="s">
        <v>55</v>
      </c>
      <c r="O1979" s="87">
        <v>73</v>
      </c>
      <c r="P1979" s="173" t="s">
        <v>26</v>
      </c>
      <c r="Q1979" s="1" t="s">
        <v>1342</v>
      </c>
      <c r="R1979" s="175">
        <v>120</v>
      </c>
      <c r="S1979">
        <v>30</v>
      </c>
    </row>
    <row r="1980" spans="1:19" x14ac:dyDescent="0.25">
      <c r="A1980" s="87">
        <v>2019</v>
      </c>
      <c r="B1980" s="87">
        <v>10</v>
      </c>
      <c r="C1980" s="173" t="s">
        <v>16</v>
      </c>
      <c r="D1980" s="173" t="s">
        <v>23</v>
      </c>
      <c r="E1980" s="173" t="s">
        <v>24</v>
      </c>
      <c r="F1980" s="173" t="s">
        <v>16</v>
      </c>
      <c r="G1980" s="87" t="b">
        <v>1</v>
      </c>
      <c r="H1980" s="87" t="b">
        <v>0</v>
      </c>
      <c r="I1980" s="87" t="b">
        <v>0</v>
      </c>
      <c r="J1980" s="173" t="s">
        <v>470</v>
      </c>
      <c r="K1980" s="174">
        <v>10988301000129</v>
      </c>
      <c r="L1980" s="173" t="s">
        <v>837</v>
      </c>
      <c r="M1980" s="173" t="s">
        <v>70</v>
      </c>
      <c r="N1980" s="173" t="s">
        <v>71</v>
      </c>
      <c r="O1980" s="87">
        <v>64</v>
      </c>
      <c r="P1980" s="173" t="s">
        <v>25</v>
      </c>
      <c r="Q1980" s="1" t="s">
        <v>1344</v>
      </c>
      <c r="R1980" s="175">
        <v>15</v>
      </c>
      <c r="S1980">
        <v>15</v>
      </c>
    </row>
    <row r="1981" spans="1:19" x14ac:dyDescent="0.25">
      <c r="A1981" s="87">
        <v>2019</v>
      </c>
      <c r="B1981" s="87">
        <v>10</v>
      </c>
      <c r="C1981" s="173" t="s">
        <v>16</v>
      </c>
      <c r="D1981" s="173" t="s">
        <v>23</v>
      </c>
      <c r="E1981" s="173" t="s">
        <v>24</v>
      </c>
      <c r="F1981" s="173" t="s">
        <v>16</v>
      </c>
      <c r="G1981" s="87" t="b">
        <v>1</v>
      </c>
      <c r="H1981" s="87" t="b">
        <v>0</v>
      </c>
      <c r="I1981" s="87" t="b">
        <v>0</v>
      </c>
      <c r="J1981" s="173" t="s">
        <v>453</v>
      </c>
      <c r="K1981" s="174">
        <v>11006293000130</v>
      </c>
      <c r="L1981" s="173" t="s">
        <v>838</v>
      </c>
      <c r="M1981" s="173" t="s">
        <v>777</v>
      </c>
      <c r="N1981" s="173" t="s">
        <v>72</v>
      </c>
      <c r="O1981" s="87">
        <v>70</v>
      </c>
      <c r="P1981" s="173" t="s">
        <v>20</v>
      </c>
      <c r="Q1981" s="1" t="s">
        <v>1338</v>
      </c>
      <c r="R1981" s="175">
        <v>550</v>
      </c>
      <c r="S1981">
        <v>110</v>
      </c>
    </row>
    <row r="1982" spans="1:19" x14ac:dyDescent="0.25">
      <c r="A1982" s="87">
        <v>2019</v>
      </c>
      <c r="B1982" s="87">
        <v>10</v>
      </c>
      <c r="C1982" s="173" t="s">
        <v>16</v>
      </c>
      <c r="D1982" s="173" t="s">
        <v>23</v>
      </c>
      <c r="E1982" s="173" t="s">
        <v>24</v>
      </c>
      <c r="F1982" s="173" t="s">
        <v>16</v>
      </c>
      <c r="G1982" s="87" t="b">
        <v>1</v>
      </c>
      <c r="H1982" s="87" t="b">
        <v>0</v>
      </c>
      <c r="I1982" s="87" t="b">
        <v>0</v>
      </c>
      <c r="J1982" s="173" t="s">
        <v>460</v>
      </c>
      <c r="K1982" s="174">
        <v>11022597001325</v>
      </c>
      <c r="L1982" s="173" t="s">
        <v>839</v>
      </c>
      <c r="M1982" s="173" t="s">
        <v>70</v>
      </c>
      <c r="N1982" s="173" t="s">
        <v>71</v>
      </c>
      <c r="O1982" s="87">
        <v>64</v>
      </c>
      <c r="P1982" s="173" t="s">
        <v>25</v>
      </c>
      <c r="Q1982" s="1" t="s">
        <v>1344</v>
      </c>
      <c r="R1982" s="175">
        <v>60</v>
      </c>
      <c r="S1982">
        <v>60</v>
      </c>
    </row>
    <row r="1983" spans="1:19" x14ac:dyDescent="0.25">
      <c r="A1983" s="87">
        <v>2019</v>
      </c>
      <c r="B1983" s="87">
        <v>10</v>
      </c>
      <c r="C1983" s="173" t="s">
        <v>16</v>
      </c>
      <c r="D1983" s="173" t="s">
        <v>23</v>
      </c>
      <c r="E1983" s="173" t="s">
        <v>24</v>
      </c>
      <c r="F1983" s="173" t="s">
        <v>16</v>
      </c>
      <c r="G1983" s="87" t="b">
        <v>1</v>
      </c>
      <c r="H1983" s="87" t="b">
        <v>0</v>
      </c>
      <c r="I1983" s="87" t="b">
        <v>0</v>
      </c>
      <c r="J1983" s="173" t="s">
        <v>1330</v>
      </c>
      <c r="K1983" s="174">
        <v>11022597001325</v>
      </c>
      <c r="L1983" s="173" t="s">
        <v>839</v>
      </c>
      <c r="M1983" s="173" t="s">
        <v>70</v>
      </c>
      <c r="N1983" s="173" t="s">
        <v>71</v>
      </c>
      <c r="O1983" s="87">
        <v>70</v>
      </c>
      <c r="P1983" s="173" t="s">
        <v>20</v>
      </c>
      <c r="Q1983" s="1" t="s">
        <v>1338</v>
      </c>
      <c r="R1983" s="175">
        <v>750</v>
      </c>
      <c r="S1983">
        <v>150</v>
      </c>
    </row>
    <row r="1984" spans="1:19" x14ac:dyDescent="0.25">
      <c r="A1984" s="87">
        <v>2019</v>
      </c>
      <c r="B1984" s="87">
        <v>10</v>
      </c>
      <c r="C1984" s="173" t="s">
        <v>16</v>
      </c>
      <c r="D1984" s="173" t="s">
        <v>23</v>
      </c>
      <c r="E1984" s="173" t="s">
        <v>24</v>
      </c>
      <c r="F1984" s="173" t="s">
        <v>16</v>
      </c>
      <c r="G1984" s="87" t="b">
        <v>1</v>
      </c>
      <c r="H1984" s="87" t="b">
        <v>0</v>
      </c>
      <c r="I1984" s="87" t="b">
        <v>0</v>
      </c>
      <c r="J1984" s="173" t="s">
        <v>1330</v>
      </c>
      <c r="K1984" s="174">
        <v>11022597001597</v>
      </c>
      <c r="L1984" s="173" t="s">
        <v>840</v>
      </c>
      <c r="M1984" s="173" t="s">
        <v>70</v>
      </c>
      <c r="N1984" s="173" t="s">
        <v>71</v>
      </c>
      <c r="O1984" s="87">
        <v>64</v>
      </c>
      <c r="P1984" s="173" t="s">
        <v>25</v>
      </c>
      <c r="Q1984" s="1" t="s">
        <v>1344</v>
      </c>
      <c r="R1984" s="175">
        <v>25</v>
      </c>
      <c r="S1984">
        <v>25</v>
      </c>
    </row>
    <row r="1985" spans="1:19" x14ac:dyDescent="0.25">
      <c r="A1985" s="87">
        <v>2019</v>
      </c>
      <c r="B1985" s="87">
        <v>10</v>
      </c>
      <c r="C1985" s="173" t="s">
        <v>16</v>
      </c>
      <c r="D1985" s="173" t="s">
        <v>23</v>
      </c>
      <c r="E1985" s="173" t="s">
        <v>24</v>
      </c>
      <c r="F1985" s="173" t="s">
        <v>16</v>
      </c>
      <c r="G1985" s="87" t="b">
        <v>1</v>
      </c>
      <c r="H1985" s="87" t="b">
        <v>0</v>
      </c>
      <c r="I1985" s="87" t="b">
        <v>0</v>
      </c>
      <c r="J1985" s="173" t="s">
        <v>468</v>
      </c>
      <c r="K1985" s="174">
        <v>11214624000470</v>
      </c>
      <c r="L1985" s="173" t="s">
        <v>841</v>
      </c>
      <c r="M1985" s="173" t="s">
        <v>70</v>
      </c>
      <c r="N1985" s="173" t="s">
        <v>71</v>
      </c>
      <c r="O1985" s="87">
        <v>73</v>
      </c>
      <c r="P1985" s="173" t="s">
        <v>26</v>
      </c>
      <c r="Q1985" s="1" t="s">
        <v>1342</v>
      </c>
      <c r="R1985" s="175">
        <v>96</v>
      </c>
      <c r="S1985">
        <v>24</v>
      </c>
    </row>
    <row r="1986" spans="1:19" x14ac:dyDescent="0.25">
      <c r="A1986" s="87">
        <v>2019</v>
      </c>
      <c r="B1986" s="87">
        <v>10</v>
      </c>
      <c r="C1986" s="173" t="s">
        <v>16</v>
      </c>
      <c r="D1986" s="173" t="s">
        <v>23</v>
      </c>
      <c r="E1986" s="173" t="s">
        <v>24</v>
      </c>
      <c r="F1986" s="173" t="s">
        <v>16</v>
      </c>
      <c r="G1986" s="87" t="b">
        <v>1</v>
      </c>
      <c r="H1986" s="87" t="b">
        <v>0</v>
      </c>
      <c r="I1986" s="87" t="b">
        <v>0</v>
      </c>
      <c r="J1986" s="173" t="s">
        <v>491</v>
      </c>
      <c r="K1986" s="174">
        <v>11214624001957</v>
      </c>
      <c r="L1986" s="173" t="s">
        <v>842</v>
      </c>
      <c r="M1986" s="173" t="s">
        <v>70</v>
      </c>
      <c r="N1986" s="173" t="s">
        <v>71</v>
      </c>
      <c r="O1986" s="87">
        <v>70</v>
      </c>
      <c r="P1986" s="173" t="s">
        <v>20</v>
      </c>
      <c r="Q1986" s="1" t="s">
        <v>1338</v>
      </c>
      <c r="R1986" s="175">
        <v>50</v>
      </c>
      <c r="S1986">
        <v>10</v>
      </c>
    </row>
    <row r="1987" spans="1:19" x14ac:dyDescent="0.25">
      <c r="A1987" s="87">
        <v>2019</v>
      </c>
      <c r="B1987" s="87">
        <v>10</v>
      </c>
      <c r="C1987" s="173" t="s">
        <v>16</v>
      </c>
      <c r="D1987" s="173" t="s">
        <v>23</v>
      </c>
      <c r="E1987" s="173" t="s">
        <v>24</v>
      </c>
      <c r="F1987" s="173" t="s">
        <v>16</v>
      </c>
      <c r="G1987" s="87" t="b">
        <v>1</v>
      </c>
      <c r="H1987" s="87" t="b">
        <v>0</v>
      </c>
      <c r="I1987" s="87" t="b">
        <v>0</v>
      </c>
      <c r="J1987" s="173" t="s">
        <v>491</v>
      </c>
      <c r="K1987" s="174">
        <v>11794674000121</v>
      </c>
      <c r="L1987" s="173" t="s">
        <v>845</v>
      </c>
      <c r="M1987" s="173" t="s">
        <v>76</v>
      </c>
      <c r="N1987" s="173" t="s">
        <v>77</v>
      </c>
      <c r="O1987" s="87">
        <v>62</v>
      </c>
      <c r="P1987" s="173" t="s">
        <v>27</v>
      </c>
      <c r="Q1987" s="1" t="s">
        <v>1343</v>
      </c>
      <c r="R1987" s="175">
        <v>7</v>
      </c>
      <c r="S1987">
        <v>7</v>
      </c>
    </row>
    <row r="1988" spans="1:19" x14ac:dyDescent="0.25">
      <c r="A1988" s="87">
        <v>2019</v>
      </c>
      <c r="B1988" s="87">
        <v>10</v>
      </c>
      <c r="C1988" s="173" t="s">
        <v>16</v>
      </c>
      <c r="D1988" s="173" t="s">
        <v>23</v>
      </c>
      <c r="E1988" s="173" t="s">
        <v>24</v>
      </c>
      <c r="F1988" s="173" t="s">
        <v>16</v>
      </c>
      <c r="G1988" s="87" t="b">
        <v>1</v>
      </c>
      <c r="H1988" s="87" t="b">
        <v>0</v>
      </c>
      <c r="I1988" s="87" t="b">
        <v>0</v>
      </c>
      <c r="J1988" s="173" t="s">
        <v>470</v>
      </c>
      <c r="K1988" s="174">
        <v>11794674000121</v>
      </c>
      <c r="L1988" s="173" t="s">
        <v>845</v>
      </c>
      <c r="M1988" s="173" t="s">
        <v>76</v>
      </c>
      <c r="N1988" s="173" t="s">
        <v>77</v>
      </c>
      <c r="O1988" s="87">
        <v>64</v>
      </c>
      <c r="P1988" s="173" t="s">
        <v>25</v>
      </c>
      <c r="Q1988" s="1" t="s">
        <v>1344</v>
      </c>
      <c r="R1988" s="175">
        <v>4</v>
      </c>
      <c r="S1988">
        <v>4</v>
      </c>
    </row>
    <row r="1989" spans="1:19" x14ac:dyDescent="0.25">
      <c r="A1989" s="87">
        <v>2019</v>
      </c>
      <c r="B1989" s="87">
        <v>10</v>
      </c>
      <c r="C1989" s="173" t="s">
        <v>16</v>
      </c>
      <c r="D1989" s="173" t="s">
        <v>23</v>
      </c>
      <c r="E1989" s="173" t="s">
        <v>24</v>
      </c>
      <c r="F1989" s="173" t="s">
        <v>16</v>
      </c>
      <c r="G1989" s="87" t="b">
        <v>1</v>
      </c>
      <c r="H1989" s="87" t="b">
        <v>0</v>
      </c>
      <c r="I1989" s="87" t="b">
        <v>0</v>
      </c>
      <c r="J1989" s="173" t="s">
        <v>470</v>
      </c>
      <c r="K1989" s="174">
        <v>11859927000106</v>
      </c>
      <c r="L1989" s="173" t="s">
        <v>846</v>
      </c>
      <c r="M1989" s="173" t="s">
        <v>739</v>
      </c>
      <c r="N1989" s="173" t="s">
        <v>55</v>
      </c>
      <c r="O1989" s="87">
        <v>73</v>
      </c>
      <c r="P1989" s="173" t="s">
        <v>26</v>
      </c>
      <c r="Q1989" s="1" t="s">
        <v>1339</v>
      </c>
      <c r="R1989" s="175">
        <v>6</v>
      </c>
      <c r="S1989">
        <v>3</v>
      </c>
    </row>
    <row r="1990" spans="1:19" x14ac:dyDescent="0.25">
      <c r="A1990" s="87">
        <v>2019</v>
      </c>
      <c r="B1990" s="87">
        <v>10</v>
      </c>
      <c r="C1990" s="173" t="s">
        <v>16</v>
      </c>
      <c r="D1990" s="173" t="s">
        <v>23</v>
      </c>
      <c r="E1990" s="173" t="s">
        <v>24</v>
      </c>
      <c r="F1990" s="173" t="s">
        <v>16</v>
      </c>
      <c r="G1990" s="87" t="b">
        <v>1</v>
      </c>
      <c r="H1990" s="87" t="b">
        <v>0</v>
      </c>
      <c r="I1990" s="87" t="b">
        <v>0</v>
      </c>
      <c r="J1990" s="173" t="s">
        <v>468</v>
      </c>
      <c r="K1990" s="174">
        <v>11859927000106</v>
      </c>
      <c r="L1990" s="173" t="s">
        <v>846</v>
      </c>
      <c r="M1990" s="173" t="s">
        <v>739</v>
      </c>
      <c r="N1990" s="173" t="s">
        <v>55</v>
      </c>
      <c r="O1990" s="87">
        <v>73</v>
      </c>
      <c r="P1990" s="173" t="s">
        <v>26</v>
      </c>
      <c r="Q1990" s="1" t="s">
        <v>1339</v>
      </c>
      <c r="R1990" s="175">
        <v>18</v>
      </c>
      <c r="S1990">
        <v>9</v>
      </c>
    </row>
    <row r="1991" spans="1:19" x14ac:dyDescent="0.25">
      <c r="A1991" s="87">
        <v>2019</v>
      </c>
      <c r="B1991" s="87">
        <v>10</v>
      </c>
      <c r="C1991" s="173" t="s">
        <v>16</v>
      </c>
      <c r="D1991" s="173" t="s">
        <v>23</v>
      </c>
      <c r="E1991" s="173" t="s">
        <v>24</v>
      </c>
      <c r="F1991" s="173" t="s">
        <v>16</v>
      </c>
      <c r="G1991" s="87" t="b">
        <v>1</v>
      </c>
      <c r="H1991" s="87" t="b">
        <v>0</v>
      </c>
      <c r="I1991" s="87" t="b">
        <v>0</v>
      </c>
      <c r="J1991" s="173" t="s">
        <v>468</v>
      </c>
      <c r="K1991" s="174">
        <v>11859927000106</v>
      </c>
      <c r="L1991" s="173" t="s">
        <v>846</v>
      </c>
      <c r="M1991" s="173" t="s">
        <v>739</v>
      </c>
      <c r="N1991" s="173" t="s">
        <v>55</v>
      </c>
      <c r="O1991" s="87">
        <v>73</v>
      </c>
      <c r="P1991" s="173" t="s">
        <v>26</v>
      </c>
      <c r="Q1991" s="1" t="s">
        <v>1342</v>
      </c>
      <c r="R1991" s="175">
        <v>8</v>
      </c>
      <c r="S1991">
        <v>2</v>
      </c>
    </row>
    <row r="1992" spans="1:19" x14ac:dyDescent="0.25">
      <c r="A1992" s="87">
        <v>2019</v>
      </c>
      <c r="B1992" s="87">
        <v>10</v>
      </c>
      <c r="C1992" s="173" t="s">
        <v>16</v>
      </c>
      <c r="D1992" s="173" t="s">
        <v>23</v>
      </c>
      <c r="E1992" s="173" t="s">
        <v>24</v>
      </c>
      <c r="F1992" s="173" t="s">
        <v>16</v>
      </c>
      <c r="G1992" s="87" t="b">
        <v>1</v>
      </c>
      <c r="H1992" s="87" t="b">
        <v>0</v>
      </c>
      <c r="I1992" s="87" t="b">
        <v>0</v>
      </c>
      <c r="J1992" s="173" t="s">
        <v>468</v>
      </c>
      <c r="K1992" s="174">
        <v>11859927000106</v>
      </c>
      <c r="L1992" s="173" t="s">
        <v>846</v>
      </c>
      <c r="M1992" s="173" t="s">
        <v>739</v>
      </c>
      <c r="N1992" s="173" t="s">
        <v>55</v>
      </c>
      <c r="O1992" s="87">
        <v>73</v>
      </c>
      <c r="P1992" s="173" t="s">
        <v>26</v>
      </c>
      <c r="Q1992" s="1" t="s">
        <v>1340</v>
      </c>
      <c r="R1992" s="175">
        <v>11</v>
      </c>
      <c r="S1992">
        <v>11</v>
      </c>
    </row>
    <row r="1993" spans="1:19" x14ac:dyDescent="0.25">
      <c r="A1993" s="87">
        <v>2019</v>
      </c>
      <c r="B1993" s="87">
        <v>10</v>
      </c>
      <c r="C1993" s="173" t="s">
        <v>16</v>
      </c>
      <c r="D1993" s="173" t="s">
        <v>23</v>
      </c>
      <c r="E1993" s="173" t="s">
        <v>24</v>
      </c>
      <c r="F1993" s="173" t="s">
        <v>16</v>
      </c>
      <c r="G1993" s="87" t="b">
        <v>1</v>
      </c>
      <c r="H1993" s="87" t="b">
        <v>0</v>
      </c>
      <c r="I1993" s="87" t="b">
        <v>0</v>
      </c>
      <c r="J1993" s="173" t="s">
        <v>491</v>
      </c>
      <c r="K1993" s="174">
        <v>11859927000106</v>
      </c>
      <c r="L1993" s="173" t="s">
        <v>846</v>
      </c>
      <c r="M1993" s="173" t="s">
        <v>739</v>
      </c>
      <c r="N1993" s="173" t="s">
        <v>55</v>
      </c>
      <c r="O1993" s="87">
        <v>73</v>
      </c>
      <c r="P1993" s="173" t="s">
        <v>26</v>
      </c>
      <c r="Q1993" s="1" t="s">
        <v>1340</v>
      </c>
      <c r="R1993" s="175">
        <v>5</v>
      </c>
      <c r="S1993">
        <v>5</v>
      </c>
    </row>
    <row r="1994" spans="1:19" x14ac:dyDescent="0.25">
      <c r="A1994" s="87">
        <v>2019</v>
      </c>
      <c r="B1994" s="87">
        <v>10</v>
      </c>
      <c r="C1994" s="173" t="s">
        <v>16</v>
      </c>
      <c r="D1994" s="173" t="s">
        <v>23</v>
      </c>
      <c r="E1994" s="173" t="s">
        <v>24</v>
      </c>
      <c r="F1994" s="173" t="s">
        <v>16</v>
      </c>
      <c r="G1994" s="87" t="b">
        <v>1</v>
      </c>
      <c r="H1994" s="87" t="b">
        <v>0</v>
      </c>
      <c r="I1994" s="87" t="b">
        <v>0</v>
      </c>
      <c r="J1994" s="173" t="s">
        <v>472</v>
      </c>
      <c r="K1994" s="174">
        <v>12307187000150</v>
      </c>
      <c r="L1994" s="173" t="s">
        <v>848</v>
      </c>
      <c r="M1994" s="173" t="s">
        <v>742</v>
      </c>
      <c r="N1994" s="173" t="s">
        <v>91</v>
      </c>
      <c r="O1994" s="87">
        <v>70</v>
      </c>
      <c r="P1994" s="173" t="s">
        <v>20</v>
      </c>
      <c r="Q1994" s="1" t="s">
        <v>1338</v>
      </c>
      <c r="R1994" s="175">
        <v>210</v>
      </c>
      <c r="S1994">
        <v>42</v>
      </c>
    </row>
    <row r="1995" spans="1:19" x14ac:dyDescent="0.25">
      <c r="A1995" s="87">
        <v>2019</v>
      </c>
      <c r="B1995" s="87">
        <v>10</v>
      </c>
      <c r="C1995" s="173" t="s">
        <v>16</v>
      </c>
      <c r="D1995" s="173" t="s">
        <v>23</v>
      </c>
      <c r="E1995" s="173" t="s">
        <v>24</v>
      </c>
      <c r="F1995" s="173" t="s">
        <v>16</v>
      </c>
      <c r="G1995" s="87" t="b">
        <v>1</v>
      </c>
      <c r="H1995" s="87" t="b">
        <v>0</v>
      </c>
      <c r="I1995" s="87" t="b">
        <v>0</v>
      </c>
      <c r="J1995" s="173" t="s">
        <v>460</v>
      </c>
      <c r="K1995" s="174">
        <v>12361267011632</v>
      </c>
      <c r="L1995" s="173" t="s">
        <v>1160</v>
      </c>
      <c r="M1995" s="173" t="s">
        <v>109</v>
      </c>
      <c r="N1995" s="173" t="s">
        <v>110</v>
      </c>
      <c r="O1995" s="87">
        <v>64</v>
      </c>
      <c r="P1995" s="173" t="s">
        <v>25</v>
      </c>
      <c r="Q1995" s="1" t="s">
        <v>1344</v>
      </c>
      <c r="R1995" s="175">
        <v>1</v>
      </c>
      <c r="S1995">
        <v>1</v>
      </c>
    </row>
    <row r="1996" spans="1:19" x14ac:dyDescent="0.25">
      <c r="A1996" s="87">
        <v>2019</v>
      </c>
      <c r="B1996" s="87">
        <v>10</v>
      </c>
      <c r="C1996" s="173" t="s">
        <v>16</v>
      </c>
      <c r="D1996" s="173" t="s">
        <v>23</v>
      </c>
      <c r="E1996" s="173" t="s">
        <v>24</v>
      </c>
      <c r="F1996" s="173" t="s">
        <v>16</v>
      </c>
      <c r="G1996" s="87" t="b">
        <v>1</v>
      </c>
      <c r="H1996" s="87" t="b">
        <v>0</v>
      </c>
      <c r="I1996" s="87" t="b">
        <v>0</v>
      </c>
      <c r="J1996" s="173" t="s">
        <v>472</v>
      </c>
      <c r="K1996" s="174">
        <v>12361267014739</v>
      </c>
      <c r="L1996" s="173" t="s">
        <v>864</v>
      </c>
      <c r="M1996" s="173" t="s">
        <v>75</v>
      </c>
      <c r="N1996" s="173" t="s">
        <v>74</v>
      </c>
      <c r="O1996" s="87">
        <v>62</v>
      </c>
      <c r="P1996" s="173" t="s">
        <v>27</v>
      </c>
      <c r="Q1996" s="1" t="s">
        <v>1343</v>
      </c>
      <c r="R1996" s="175">
        <v>4</v>
      </c>
      <c r="S1996">
        <v>4</v>
      </c>
    </row>
    <row r="1997" spans="1:19" x14ac:dyDescent="0.25">
      <c r="A1997" s="87">
        <v>2019</v>
      </c>
      <c r="B1997" s="87">
        <v>10</v>
      </c>
      <c r="C1997" s="173" t="s">
        <v>16</v>
      </c>
      <c r="D1997" s="173" t="s">
        <v>23</v>
      </c>
      <c r="E1997" s="173" t="s">
        <v>24</v>
      </c>
      <c r="F1997" s="173" t="s">
        <v>16</v>
      </c>
      <c r="G1997" s="87" t="b">
        <v>1</v>
      </c>
      <c r="H1997" s="87" t="b">
        <v>0</v>
      </c>
      <c r="I1997" s="87" t="b">
        <v>0</v>
      </c>
      <c r="J1997" s="173" t="s">
        <v>460</v>
      </c>
      <c r="K1997" s="174">
        <v>12361267014739</v>
      </c>
      <c r="L1997" s="173" t="s">
        <v>864</v>
      </c>
      <c r="M1997" s="173" t="s">
        <v>75</v>
      </c>
      <c r="N1997" s="173" t="s">
        <v>74</v>
      </c>
      <c r="O1997" s="87">
        <v>64</v>
      </c>
      <c r="P1997" s="173" t="s">
        <v>25</v>
      </c>
      <c r="Q1997" s="1" t="s">
        <v>1344</v>
      </c>
      <c r="R1997" s="175">
        <v>2</v>
      </c>
      <c r="S1997">
        <v>2</v>
      </c>
    </row>
    <row r="1998" spans="1:19" x14ac:dyDescent="0.25">
      <c r="A1998" s="87">
        <v>2019</v>
      </c>
      <c r="B1998" s="87">
        <v>10</v>
      </c>
      <c r="C1998" s="173" t="s">
        <v>16</v>
      </c>
      <c r="D1998" s="173" t="s">
        <v>23</v>
      </c>
      <c r="E1998" s="173" t="s">
        <v>24</v>
      </c>
      <c r="F1998" s="173" t="s">
        <v>16</v>
      </c>
      <c r="G1998" s="87" t="b">
        <v>1</v>
      </c>
      <c r="H1998" s="87" t="b">
        <v>0</v>
      </c>
      <c r="I1998" s="87" t="b">
        <v>0</v>
      </c>
      <c r="J1998" s="173" t="s">
        <v>464</v>
      </c>
      <c r="K1998" s="174">
        <v>12361267014739</v>
      </c>
      <c r="L1998" s="173" t="s">
        <v>864</v>
      </c>
      <c r="M1998" s="173" t="s">
        <v>75</v>
      </c>
      <c r="N1998" s="173" t="s">
        <v>74</v>
      </c>
      <c r="O1998" s="87">
        <v>64</v>
      </c>
      <c r="P1998" s="173" t="s">
        <v>25</v>
      </c>
      <c r="Q1998" s="1" t="s">
        <v>1344</v>
      </c>
      <c r="R1998" s="175">
        <v>3</v>
      </c>
      <c r="S1998">
        <v>3</v>
      </c>
    </row>
    <row r="1999" spans="1:19" x14ac:dyDescent="0.25">
      <c r="A1999" s="87">
        <v>2019</v>
      </c>
      <c r="B1999" s="87">
        <v>10</v>
      </c>
      <c r="C1999" s="173" t="s">
        <v>16</v>
      </c>
      <c r="D1999" s="173" t="s">
        <v>23</v>
      </c>
      <c r="E1999" s="173" t="s">
        <v>24</v>
      </c>
      <c r="F1999" s="173" t="s">
        <v>16</v>
      </c>
      <c r="G1999" s="87" t="b">
        <v>1</v>
      </c>
      <c r="H1999" s="87" t="b">
        <v>0</v>
      </c>
      <c r="I1999" s="87" t="b">
        <v>0</v>
      </c>
      <c r="J1999" s="173" t="s">
        <v>477</v>
      </c>
      <c r="K1999" s="174">
        <v>12442737000496</v>
      </c>
      <c r="L1999" s="173" t="s">
        <v>865</v>
      </c>
      <c r="M1999" s="173" t="s">
        <v>742</v>
      </c>
      <c r="N1999" s="173" t="s">
        <v>91</v>
      </c>
      <c r="O1999" s="87">
        <v>70</v>
      </c>
      <c r="P1999" s="173" t="s">
        <v>20</v>
      </c>
      <c r="Q1999" s="1" t="s">
        <v>1338</v>
      </c>
      <c r="R1999" s="175">
        <v>330</v>
      </c>
      <c r="S1999">
        <v>66</v>
      </c>
    </row>
    <row r="2000" spans="1:19" x14ac:dyDescent="0.25">
      <c r="A2000" s="87">
        <v>2019</v>
      </c>
      <c r="B2000" s="87">
        <v>10</v>
      </c>
      <c r="C2000" s="173" t="s">
        <v>16</v>
      </c>
      <c r="D2000" s="173" t="s">
        <v>23</v>
      </c>
      <c r="E2000" s="173" t="s">
        <v>24</v>
      </c>
      <c r="F2000" s="173" t="s">
        <v>16</v>
      </c>
      <c r="G2000" s="87" t="b">
        <v>1</v>
      </c>
      <c r="H2000" s="87" t="b">
        <v>0</v>
      </c>
      <c r="I2000" s="87" t="b">
        <v>0</v>
      </c>
      <c r="J2000" s="173" t="s">
        <v>491</v>
      </c>
      <c r="K2000" s="174">
        <v>12442737000496</v>
      </c>
      <c r="L2000" s="173" t="s">
        <v>865</v>
      </c>
      <c r="M2000" s="173" t="s">
        <v>742</v>
      </c>
      <c r="N2000" s="173" t="s">
        <v>91</v>
      </c>
      <c r="O2000" s="87">
        <v>70</v>
      </c>
      <c r="P2000" s="173" t="s">
        <v>20</v>
      </c>
      <c r="Q2000" s="1" t="s">
        <v>1338</v>
      </c>
      <c r="R2000" s="175">
        <v>90</v>
      </c>
      <c r="S2000">
        <v>18</v>
      </c>
    </row>
    <row r="2001" spans="1:19" x14ac:dyDescent="0.25">
      <c r="A2001" s="87">
        <v>2019</v>
      </c>
      <c r="B2001" s="87">
        <v>10</v>
      </c>
      <c r="C2001" s="173" t="s">
        <v>16</v>
      </c>
      <c r="D2001" s="173" t="s">
        <v>23</v>
      </c>
      <c r="E2001" s="173" t="s">
        <v>24</v>
      </c>
      <c r="F2001" s="173" t="s">
        <v>16</v>
      </c>
      <c r="G2001" s="87" t="b">
        <v>1</v>
      </c>
      <c r="H2001" s="87" t="b">
        <v>0</v>
      </c>
      <c r="I2001" s="87" t="b">
        <v>0</v>
      </c>
      <c r="J2001" s="173" t="s">
        <v>470</v>
      </c>
      <c r="K2001" s="174">
        <v>12508728000108</v>
      </c>
      <c r="L2001" s="173" t="s">
        <v>965</v>
      </c>
      <c r="M2001" s="173" t="s">
        <v>87</v>
      </c>
      <c r="N2001" s="173" t="s">
        <v>67</v>
      </c>
      <c r="O2001" s="87">
        <v>70</v>
      </c>
      <c r="P2001" s="173" t="s">
        <v>20</v>
      </c>
      <c r="Q2001" s="1" t="s">
        <v>1338</v>
      </c>
      <c r="R2001" s="175">
        <v>60</v>
      </c>
      <c r="S2001">
        <v>12</v>
      </c>
    </row>
    <row r="2002" spans="1:19" x14ac:dyDescent="0.25">
      <c r="A2002" s="87">
        <v>2019</v>
      </c>
      <c r="B2002" s="87">
        <v>10</v>
      </c>
      <c r="C2002" s="173" t="s">
        <v>16</v>
      </c>
      <c r="D2002" s="173" t="s">
        <v>23</v>
      </c>
      <c r="E2002" s="173" t="s">
        <v>24</v>
      </c>
      <c r="F2002" s="173" t="s">
        <v>16</v>
      </c>
      <c r="G2002" s="87" t="b">
        <v>1</v>
      </c>
      <c r="H2002" s="87" t="b">
        <v>0</v>
      </c>
      <c r="I2002" s="87" t="b">
        <v>0</v>
      </c>
      <c r="J2002" s="173" t="s">
        <v>455</v>
      </c>
      <c r="K2002" s="174">
        <v>13016092000140</v>
      </c>
      <c r="L2002" s="173" t="s">
        <v>867</v>
      </c>
      <c r="M2002" s="173" t="s">
        <v>75</v>
      </c>
      <c r="N2002" s="173" t="s">
        <v>74</v>
      </c>
      <c r="O2002" s="87">
        <v>64</v>
      </c>
      <c r="P2002" s="173" t="s">
        <v>25</v>
      </c>
      <c r="Q2002" s="1" t="s">
        <v>1344</v>
      </c>
      <c r="R2002" s="175">
        <v>6</v>
      </c>
      <c r="S2002">
        <v>6</v>
      </c>
    </row>
    <row r="2003" spans="1:19" x14ac:dyDescent="0.25">
      <c r="A2003" s="87">
        <v>2019</v>
      </c>
      <c r="B2003" s="87">
        <v>10</v>
      </c>
      <c r="C2003" s="173" t="s">
        <v>16</v>
      </c>
      <c r="D2003" s="173" t="s">
        <v>23</v>
      </c>
      <c r="E2003" s="173" t="s">
        <v>24</v>
      </c>
      <c r="F2003" s="173" t="s">
        <v>16</v>
      </c>
      <c r="G2003" s="87" t="b">
        <v>1</v>
      </c>
      <c r="H2003" s="87" t="b">
        <v>0</v>
      </c>
      <c r="I2003" s="87" t="b">
        <v>0</v>
      </c>
      <c r="J2003" s="173" t="s">
        <v>472</v>
      </c>
      <c r="K2003" s="174">
        <v>13016332000106</v>
      </c>
      <c r="L2003" s="173" t="s">
        <v>868</v>
      </c>
      <c r="M2003" s="173" t="s">
        <v>84</v>
      </c>
      <c r="N2003" s="173" t="s">
        <v>85</v>
      </c>
      <c r="O2003" s="87">
        <v>62</v>
      </c>
      <c r="P2003" s="173" t="s">
        <v>27</v>
      </c>
      <c r="Q2003" s="1" t="s">
        <v>1343</v>
      </c>
      <c r="R2003" s="175">
        <v>6</v>
      </c>
      <c r="S2003">
        <v>6</v>
      </c>
    </row>
    <row r="2004" spans="1:19" x14ac:dyDescent="0.25">
      <c r="A2004" s="87">
        <v>2019</v>
      </c>
      <c r="B2004" s="87">
        <v>10</v>
      </c>
      <c r="C2004" s="173" t="s">
        <v>16</v>
      </c>
      <c r="D2004" s="173" t="s">
        <v>23</v>
      </c>
      <c r="E2004" s="173" t="s">
        <v>24</v>
      </c>
      <c r="F2004" s="173" t="s">
        <v>16</v>
      </c>
      <c r="G2004" s="87" t="b">
        <v>1</v>
      </c>
      <c r="H2004" s="87" t="b">
        <v>0</v>
      </c>
      <c r="I2004" s="87" t="b">
        <v>0</v>
      </c>
      <c r="J2004" s="173" t="s">
        <v>472</v>
      </c>
      <c r="K2004" s="174">
        <v>13131370000100</v>
      </c>
      <c r="L2004" s="173" t="s">
        <v>870</v>
      </c>
      <c r="M2004" s="173" t="s">
        <v>84</v>
      </c>
      <c r="N2004" s="173" t="s">
        <v>85</v>
      </c>
      <c r="O2004" s="87">
        <v>70</v>
      </c>
      <c r="P2004" s="173" t="s">
        <v>20</v>
      </c>
      <c r="Q2004" s="1" t="s">
        <v>1338</v>
      </c>
      <c r="R2004" s="175">
        <v>50</v>
      </c>
      <c r="S2004">
        <v>10</v>
      </c>
    </row>
    <row r="2005" spans="1:19" x14ac:dyDescent="0.25">
      <c r="A2005" s="87">
        <v>2019</v>
      </c>
      <c r="B2005" s="87">
        <v>10</v>
      </c>
      <c r="C2005" s="173" t="s">
        <v>16</v>
      </c>
      <c r="D2005" s="173" t="s">
        <v>23</v>
      </c>
      <c r="E2005" s="173" t="s">
        <v>24</v>
      </c>
      <c r="F2005" s="173" t="s">
        <v>16</v>
      </c>
      <c r="G2005" s="87" t="b">
        <v>1</v>
      </c>
      <c r="H2005" s="87" t="b">
        <v>0</v>
      </c>
      <c r="I2005" s="87" t="b">
        <v>0</v>
      </c>
      <c r="J2005" s="173" t="s">
        <v>491</v>
      </c>
      <c r="K2005" s="174">
        <v>13131370000100</v>
      </c>
      <c r="L2005" s="173" t="s">
        <v>870</v>
      </c>
      <c r="M2005" s="173" t="s">
        <v>84</v>
      </c>
      <c r="N2005" s="173" t="s">
        <v>85</v>
      </c>
      <c r="O2005" s="87">
        <v>70</v>
      </c>
      <c r="P2005" s="173" t="s">
        <v>20</v>
      </c>
      <c r="Q2005" s="1" t="s">
        <v>1338</v>
      </c>
      <c r="R2005" s="175">
        <v>200</v>
      </c>
      <c r="S2005">
        <v>40</v>
      </c>
    </row>
    <row r="2006" spans="1:19" x14ac:dyDescent="0.25">
      <c r="A2006" s="87">
        <v>2019</v>
      </c>
      <c r="B2006" s="87">
        <v>10</v>
      </c>
      <c r="C2006" s="173" t="s">
        <v>16</v>
      </c>
      <c r="D2006" s="173" t="s">
        <v>23</v>
      </c>
      <c r="E2006" s="173" t="s">
        <v>24</v>
      </c>
      <c r="F2006" s="173" t="s">
        <v>16</v>
      </c>
      <c r="G2006" s="87" t="b">
        <v>1</v>
      </c>
      <c r="H2006" s="87" t="b">
        <v>0</v>
      </c>
      <c r="I2006" s="87" t="b">
        <v>0</v>
      </c>
      <c r="J2006" s="173" t="s">
        <v>472</v>
      </c>
      <c r="K2006" s="174">
        <v>13131370000100</v>
      </c>
      <c r="L2006" s="173" t="s">
        <v>870</v>
      </c>
      <c r="M2006" s="173" t="s">
        <v>84</v>
      </c>
      <c r="N2006" s="173" t="s">
        <v>85</v>
      </c>
      <c r="O2006" s="87">
        <v>73</v>
      </c>
      <c r="P2006" s="173" t="s">
        <v>26</v>
      </c>
      <c r="Q2006" s="1" t="s">
        <v>1339</v>
      </c>
      <c r="R2006" s="175">
        <v>8</v>
      </c>
      <c r="S2006">
        <v>4</v>
      </c>
    </row>
    <row r="2007" spans="1:19" x14ac:dyDescent="0.25">
      <c r="A2007" s="87">
        <v>2019</v>
      </c>
      <c r="B2007" s="87">
        <v>10</v>
      </c>
      <c r="C2007" s="173" t="s">
        <v>16</v>
      </c>
      <c r="D2007" s="173" t="s">
        <v>23</v>
      </c>
      <c r="E2007" s="173" t="s">
        <v>24</v>
      </c>
      <c r="F2007" s="173" t="s">
        <v>16</v>
      </c>
      <c r="G2007" s="87" t="b">
        <v>1</v>
      </c>
      <c r="H2007" s="87" t="b">
        <v>0</v>
      </c>
      <c r="I2007" s="87" t="b">
        <v>0</v>
      </c>
      <c r="J2007" s="173" t="s">
        <v>472</v>
      </c>
      <c r="K2007" s="174">
        <v>13131370000100</v>
      </c>
      <c r="L2007" s="173" t="s">
        <v>870</v>
      </c>
      <c r="M2007" s="173" t="s">
        <v>84</v>
      </c>
      <c r="N2007" s="173" t="s">
        <v>85</v>
      </c>
      <c r="O2007" s="87">
        <v>73</v>
      </c>
      <c r="P2007" s="173" t="s">
        <v>26</v>
      </c>
      <c r="Q2007" s="1" t="s">
        <v>1342</v>
      </c>
      <c r="R2007" s="175">
        <v>32</v>
      </c>
      <c r="S2007">
        <v>8</v>
      </c>
    </row>
    <row r="2008" spans="1:19" x14ac:dyDescent="0.25">
      <c r="A2008" s="87">
        <v>2019</v>
      </c>
      <c r="B2008" s="87">
        <v>10</v>
      </c>
      <c r="C2008" s="173" t="s">
        <v>16</v>
      </c>
      <c r="D2008" s="173" t="s">
        <v>23</v>
      </c>
      <c r="E2008" s="173" t="s">
        <v>24</v>
      </c>
      <c r="F2008" s="173" t="s">
        <v>16</v>
      </c>
      <c r="G2008" s="87" t="b">
        <v>1</v>
      </c>
      <c r="H2008" s="87" t="b">
        <v>0</v>
      </c>
      <c r="I2008" s="87" t="b">
        <v>0</v>
      </c>
      <c r="J2008" s="173" t="s">
        <v>472</v>
      </c>
      <c r="K2008" s="174">
        <v>13131370000100</v>
      </c>
      <c r="L2008" s="173" t="s">
        <v>870</v>
      </c>
      <c r="M2008" s="173" t="s">
        <v>84</v>
      </c>
      <c r="N2008" s="173" t="s">
        <v>85</v>
      </c>
      <c r="O2008" s="87">
        <v>73</v>
      </c>
      <c r="P2008" s="173" t="s">
        <v>26</v>
      </c>
      <c r="Q2008" s="1" t="s">
        <v>1340</v>
      </c>
      <c r="R2008" s="175">
        <v>6</v>
      </c>
      <c r="S2008">
        <v>6</v>
      </c>
    </row>
    <row r="2009" spans="1:19" x14ac:dyDescent="0.25">
      <c r="A2009" s="87">
        <v>2019</v>
      </c>
      <c r="B2009" s="87">
        <v>10</v>
      </c>
      <c r="C2009" s="173" t="s">
        <v>16</v>
      </c>
      <c r="D2009" s="173" t="s">
        <v>23</v>
      </c>
      <c r="E2009" s="173" t="s">
        <v>24</v>
      </c>
      <c r="F2009" s="173" t="s">
        <v>16</v>
      </c>
      <c r="G2009" s="87" t="b">
        <v>1</v>
      </c>
      <c r="H2009" s="87" t="b">
        <v>0</v>
      </c>
      <c r="I2009" s="87" t="b">
        <v>0</v>
      </c>
      <c r="J2009" s="173" t="s">
        <v>450</v>
      </c>
      <c r="K2009" s="174">
        <v>13718999001041</v>
      </c>
      <c r="L2009" s="173" t="s">
        <v>662</v>
      </c>
      <c r="M2009" s="173" t="s">
        <v>647</v>
      </c>
      <c r="N2009" s="173" t="s">
        <v>19</v>
      </c>
      <c r="O2009" s="87">
        <v>73</v>
      </c>
      <c r="P2009" s="173" t="s">
        <v>26</v>
      </c>
      <c r="Q2009" s="1" t="s">
        <v>1342</v>
      </c>
      <c r="R2009" s="175">
        <v>12</v>
      </c>
      <c r="S2009">
        <v>3</v>
      </c>
    </row>
    <row r="2010" spans="1:19" x14ac:dyDescent="0.25">
      <c r="A2010" s="87">
        <v>2019</v>
      </c>
      <c r="B2010" s="87">
        <v>10</v>
      </c>
      <c r="C2010" s="173" t="s">
        <v>16</v>
      </c>
      <c r="D2010" s="173" t="s">
        <v>23</v>
      </c>
      <c r="E2010" s="173" t="s">
        <v>24</v>
      </c>
      <c r="F2010" s="173" t="s">
        <v>16</v>
      </c>
      <c r="G2010" s="87" t="b">
        <v>1</v>
      </c>
      <c r="H2010" s="87" t="b">
        <v>0</v>
      </c>
      <c r="I2010" s="87" t="b">
        <v>0</v>
      </c>
      <c r="J2010" s="173" t="s">
        <v>491</v>
      </c>
      <c r="K2010" s="174">
        <v>13952064000134</v>
      </c>
      <c r="L2010" s="173" t="s">
        <v>875</v>
      </c>
      <c r="M2010" s="173" t="s">
        <v>75</v>
      </c>
      <c r="N2010" s="173" t="s">
        <v>74</v>
      </c>
      <c r="O2010" s="87">
        <v>62</v>
      </c>
      <c r="P2010" s="173" t="s">
        <v>27</v>
      </c>
      <c r="Q2010" s="1" t="s">
        <v>1343</v>
      </c>
      <c r="R2010" s="175">
        <v>4</v>
      </c>
      <c r="S2010">
        <v>4</v>
      </c>
    </row>
    <row r="2011" spans="1:19" x14ac:dyDescent="0.25">
      <c r="A2011" s="87">
        <v>2019</v>
      </c>
      <c r="B2011" s="87">
        <v>10</v>
      </c>
      <c r="C2011" s="173" t="s">
        <v>16</v>
      </c>
      <c r="D2011" s="173" t="s">
        <v>23</v>
      </c>
      <c r="E2011" s="173" t="s">
        <v>24</v>
      </c>
      <c r="F2011" s="173" t="s">
        <v>16</v>
      </c>
      <c r="G2011" s="87" t="b">
        <v>1</v>
      </c>
      <c r="H2011" s="87" t="b">
        <v>0</v>
      </c>
      <c r="I2011" s="87" t="b">
        <v>0</v>
      </c>
      <c r="J2011" s="173" t="s">
        <v>464</v>
      </c>
      <c r="K2011" s="174">
        <v>13952064000134</v>
      </c>
      <c r="L2011" s="173" t="s">
        <v>875</v>
      </c>
      <c r="M2011" s="173" t="s">
        <v>75</v>
      </c>
      <c r="N2011" s="173" t="s">
        <v>74</v>
      </c>
      <c r="O2011" s="87">
        <v>64</v>
      </c>
      <c r="P2011" s="173" t="s">
        <v>25</v>
      </c>
      <c r="Q2011" s="1" t="s">
        <v>1344</v>
      </c>
      <c r="R2011" s="175">
        <v>4</v>
      </c>
      <c r="S2011">
        <v>4</v>
      </c>
    </row>
    <row r="2012" spans="1:19" x14ac:dyDescent="0.25">
      <c r="A2012" s="87">
        <v>2019</v>
      </c>
      <c r="B2012" s="87">
        <v>10</v>
      </c>
      <c r="C2012" s="173" t="s">
        <v>16</v>
      </c>
      <c r="D2012" s="173" t="s">
        <v>23</v>
      </c>
      <c r="E2012" s="173" t="s">
        <v>24</v>
      </c>
      <c r="F2012" s="173" t="s">
        <v>16</v>
      </c>
      <c r="G2012" s="87" t="b">
        <v>1</v>
      </c>
      <c r="H2012" s="87" t="b">
        <v>0</v>
      </c>
      <c r="I2012" s="87" t="b">
        <v>0</v>
      </c>
      <c r="J2012" s="173" t="s">
        <v>478</v>
      </c>
      <c r="K2012" s="174">
        <v>14408631000159</v>
      </c>
      <c r="L2012" s="173" t="s">
        <v>1163</v>
      </c>
      <c r="M2012" s="173" t="s">
        <v>1164</v>
      </c>
      <c r="N2012" s="173" t="s">
        <v>54</v>
      </c>
      <c r="O2012" s="87">
        <v>73</v>
      </c>
      <c r="P2012" s="173" t="s">
        <v>26</v>
      </c>
      <c r="Q2012" s="1" t="s">
        <v>1342</v>
      </c>
      <c r="R2012" s="175">
        <v>12</v>
      </c>
      <c r="S2012">
        <v>3</v>
      </c>
    </row>
    <row r="2013" spans="1:19" x14ac:dyDescent="0.25">
      <c r="A2013" s="87">
        <v>2019</v>
      </c>
      <c r="B2013" s="87">
        <v>10</v>
      </c>
      <c r="C2013" s="173" t="s">
        <v>16</v>
      </c>
      <c r="D2013" s="173" t="s">
        <v>23</v>
      </c>
      <c r="E2013" s="173" t="s">
        <v>24</v>
      </c>
      <c r="F2013" s="173" t="s">
        <v>16</v>
      </c>
      <c r="G2013" s="87" t="b">
        <v>1</v>
      </c>
      <c r="H2013" s="87" t="b">
        <v>0</v>
      </c>
      <c r="I2013" s="87" t="b">
        <v>0</v>
      </c>
      <c r="J2013" s="173" t="s">
        <v>455</v>
      </c>
      <c r="K2013" s="174">
        <v>15016827000160</v>
      </c>
      <c r="L2013" s="173" t="s">
        <v>877</v>
      </c>
      <c r="M2013" s="173" t="s">
        <v>772</v>
      </c>
      <c r="N2013" s="173" t="s">
        <v>69</v>
      </c>
      <c r="O2013" s="87">
        <v>64</v>
      </c>
      <c r="P2013" s="173" t="s">
        <v>25</v>
      </c>
      <c r="Q2013" s="1" t="s">
        <v>1344</v>
      </c>
      <c r="R2013" s="175">
        <v>1</v>
      </c>
      <c r="S2013">
        <v>1</v>
      </c>
    </row>
    <row r="2014" spans="1:19" x14ac:dyDescent="0.25">
      <c r="A2014" s="87">
        <v>2019</v>
      </c>
      <c r="B2014" s="87">
        <v>10</v>
      </c>
      <c r="C2014" s="173" t="s">
        <v>16</v>
      </c>
      <c r="D2014" s="173" t="s">
        <v>23</v>
      </c>
      <c r="E2014" s="173" t="s">
        <v>24</v>
      </c>
      <c r="F2014" s="173" t="s">
        <v>16</v>
      </c>
      <c r="G2014" s="87" t="b">
        <v>1</v>
      </c>
      <c r="H2014" s="87" t="b">
        <v>0</v>
      </c>
      <c r="I2014" s="87" t="b">
        <v>0</v>
      </c>
      <c r="J2014" s="173" t="s">
        <v>456</v>
      </c>
      <c r="K2014" s="174">
        <v>15126437000224</v>
      </c>
      <c r="L2014" s="173" t="s">
        <v>878</v>
      </c>
      <c r="M2014" s="173" t="s">
        <v>81</v>
      </c>
      <c r="N2014" s="173" t="s">
        <v>82</v>
      </c>
      <c r="O2014" s="87">
        <v>64</v>
      </c>
      <c r="P2014" s="173" t="s">
        <v>25</v>
      </c>
      <c r="Q2014" s="1" t="s">
        <v>1344</v>
      </c>
      <c r="R2014" s="175">
        <v>10</v>
      </c>
      <c r="S2014">
        <v>10</v>
      </c>
    </row>
    <row r="2015" spans="1:19" x14ac:dyDescent="0.25">
      <c r="A2015" s="87">
        <v>2019</v>
      </c>
      <c r="B2015" s="87">
        <v>10</v>
      </c>
      <c r="C2015" s="173" t="s">
        <v>16</v>
      </c>
      <c r="D2015" s="173" t="s">
        <v>23</v>
      </c>
      <c r="E2015" s="173" t="s">
        <v>24</v>
      </c>
      <c r="F2015" s="173" t="s">
        <v>16</v>
      </c>
      <c r="G2015" s="87" t="b">
        <v>1</v>
      </c>
      <c r="H2015" s="87" t="b">
        <v>0</v>
      </c>
      <c r="I2015" s="87" t="b">
        <v>0</v>
      </c>
      <c r="J2015" s="173" t="s">
        <v>1330</v>
      </c>
      <c r="K2015" s="174">
        <v>15126437000739</v>
      </c>
      <c r="L2015" s="173" t="s">
        <v>881</v>
      </c>
      <c r="M2015" s="173" t="s">
        <v>62</v>
      </c>
      <c r="N2015" s="173" t="s">
        <v>63</v>
      </c>
      <c r="O2015" s="87">
        <v>64</v>
      </c>
      <c r="P2015" s="173" t="s">
        <v>25</v>
      </c>
      <c r="Q2015" s="1" t="s">
        <v>1344</v>
      </c>
      <c r="R2015" s="175">
        <v>60</v>
      </c>
      <c r="S2015">
        <v>60</v>
      </c>
    </row>
    <row r="2016" spans="1:19" x14ac:dyDescent="0.25">
      <c r="A2016" s="87">
        <v>2019</v>
      </c>
      <c r="B2016" s="87">
        <v>10</v>
      </c>
      <c r="C2016" s="173" t="s">
        <v>16</v>
      </c>
      <c r="D2016" s="173" t="s">
        <v>23</v>
      </c>
      <c r="E2016" s="173" t="s">
        <v>24</v>
      </c>
      <c r="F2016" s="173" t="s">
        <v>16</v>
      </c>
      <c r="G2016" s="87" t="b">
        <v>1</v>
      </c>
      <c r="H2016" s="87" t="b">
        <v>0</v>
      </c>
      <c r="I2016" s="87" t="b">
        <v>0</v>
      </c>
      <c r="J2016" s="173" t="s">
        <v>1330</v>
      </c>
      <c r="K2016" s="174">
        <v>15126437000739</v>
      </c>
      <c r="L2016" s="173" t="s">
        <v>881</v>
      </c>
      <c r="M2016" s="173" t="s">
        <v>62</v>
      </c>
      <c r="N2016" s="173" t="s">
        <v>63</v>
      </c>
      <c r="O2016" s="87">
        <v>70</v>
      </c>
      <c r="P2016" s="173" t="s">
        <v>20</v>
      </c>
      <c r="Q2016" s="1" t="s">
        <v>1338</v>
      </c>
      <c r="R2016" s="175">
        <v>400</v>
      </c>
      <c r="S2016">
        <v>80</v>
      </c>
    </row>
    <row r="2017" spans="1:19" x14ac:dyDescent="0.25">
      <c r="A2017" s="87">
        <v>2019</v>
      </c>
      <c r="B2017" s="87">
        <v>10</v>
      </c>
      <c r="C2017" s="173" t="s">
        <v>16</v>
      </c>
      <c r="D2017" s="173" t="s">
        <v>23</v>
      </c>
      <c r="E2017" s="173" t="s">
        <v>24</v>
      </c>
      <c r="F2017" s="173" t="s">
        <v>16</v>
      </c>
      <c r="G2017" s="87" t="b">
        <v>1</v>
      </c>
      <c r="H2017" s="87" t="b">
        <v>0</v>
      </c>
      <c r="I2017" s="87" t="b">
        <v>0</v>
      </c>
      <c r="J2017" s="173" t="s">
        <v>1330</v>
      </c>
      <c r="K2017" s="174">
        <v>15126437001972</v>
      </c>
      <c r="L2017" s="173" t="s">
        <v>966</v>
      </c>
      <c r="M2017" s="173" t="s">
        <v>87</v>
      </c>
      <c r="N2017" s="173" t="s">
        <v>67</v>
      </c>
      <c r="O2017" s="87">
        <v>64</v>
      </c>
      <c r="P2017" s="173" t="s">
        <v>25</v>
      </c>
      <c r="Q2017" s="1" t="s">
        <v>1344</v>
      </c>
      <c r="R2017" s="175">
        <v>10</v>
      </c>
      <c r="S2017">
        <v>10</v>
      </c>
    </row>
    <row r="2018" spans="1:19" x14ac:dyDescent="0.25">
      <c r="A2018" s="87">
        <v>2019</v>
      </c>
      <c r="B2018" s="87">
        <v>10</v>
      </c>
      <c r="C2018" s="173" t="s">
        <v>16</v>
      </c>
      <c r="D2018" s="173" t="s">
        <v>23</v>
      </c>
      <c r="E2018" s="173" t="s">
        <v>24</v>
      </c>
      <c r="F2018" s="173" t="s">
        <v>16</v>
      </c>
      <c r="G2018" s="87" t="b">
        <v>1</v>
      </c>
      <c r="H2018" s="87" t="b">
        <v>0</v>
      </c>
      <c r="I2018" s="87" t="b">
        <v>0</v>
      </c>
      <c r="J2018" s="173" t="s">
        <v>464</v>
      </c>
      <c r="K2018" s="174">
        <v>15153745000249</v>
      </c>
      <c r="L2018" s="173" t="s">
        <v>887</v>
      </c>
      <c r="M2018" s="173" t="s">
        <v>75</v>
      </c>
      <c r="N2018" s="173" t="s">
        <v>74</v>
      </c>
      <c r="O2018" s="87">
        <v>64</v>
      </c>
      <c r="P2018" s="173" t="s">
        <v>25</v>
      </c>
      <c r="Q2018" s="1" t="s">
        <v>1344</v>
      </c>
      <c r="R2018" s="175">
        <v>9</v>
      </c>
      <c r="S2018">
        <v>9</v>
      </c>
    </row>
    <row r="2019" spans="1:19" x14ac:dyDescent="0.25">
      <c r="A2019" s="87">
        <v>2019</v>
      </c>
      <c r="B2019" s="87">
        <v>10</v>
      </c>
      <c r="C2019" s="173" t="s">
        <v>16</v>
      </c>
      <c r="D2019" s="173" t="s">
        <v>23</v>
      </c>
      <c r="E2019" s="173" t="s">
        <v>24</v>
      </c>
      <c r="F2019" s="173" t="s">
        <v>16</v>
      </c>
      <c r="G2019" s="87" t="b">
        <v>1</v>
      </c>
      <c r="H2019" s="87" t="b">
        <v>0</v>
      </c>
      <c r="I2019" s="87" t="b">
        <v>0</v>
      </c>
      <c r="J2019" s="173" t="s">
        <v>451</v>
      </c>
      <c r="K2019" s="174">
        <v>15153745000249</v>
      </c>
      <c r="L2019" s="173" t="s">
        <v>887</v>
      </c>
      <c r="M2019" s="173" t="s">
        <v>75</v>
      </c>
      <c r="N2019" s="173" t="s">
        <v>74</v>
      </c>
      <c r="O2019" s="87">
        <v>64</v>
      </c>
      <c r="P2019" s="173" t="s">
        <v>25</v>
      </c>
      <c r="Q2019" s="1" t="s">
        <v>1344</v>
      </c>
      <c r="R2019" s="175">
        <v>5</v>
      </c>
      <c r="S2019">
        <v>5</v>
      </c>
    </row>
    <row r="2020" spans="1:19" x14ac:dyDescent="0.25">
      <c r="A2020" s="87">
        <v>2019</v>
      </c>
      <c r="B2020" s="87">
        <v>10</v>
      </c>
      <c r="C2020" s="173" t="s">
        <v>16</v>
      </c>
      <c r="D2020" s="173" t="s">
        <v>23</v>
      </c>
      <c r="E2020" s="173" t="s">
        <v>24</v>
      </c>
      <c r="F2020" s="173" t="s">
        <v>16</v>
      </c>
      <c r="G2020" s="87" t="b">
        <v>1</v>
      </c>
      <c r="H2020" s="87" t="b">
        <v>0</v>
      </c>
      <c r="I2020" s="87" t="b">
        <v>0</v>
      </c>
      <c r="J2020" s="173" t="s">
        <v>460</v>
      </c>
      <c r="K2020" s="174">
        <v>15166416000151</v>
      </c>
      <c r="L2020" s="173" t="s">
        <v>889</v>
      </c>
      <c r="M2020" s="173" t="s">
        <v>75</v>
      </c>
      <c r="N2020" s="173" t="s">
        <v>74</v>
      </c>
      <c r="O2020" s="87">
        <v>62</v>
      </c>
      <c r="P2020" s="173" t="s">
        <v>27</v>
      </c>
      <c r="Q2020" s="1" t="s">
        <v>1343</v>
      </c>
      <c r="R2020" s="175">
        <v>7</v>
      </c>
      <c r="S2020">
        <v>7</v>
      </c>
    </row>
    <row r="2021" spans="1:19" x14ac:dyDescent="0.25">
      <c r="A2021" s="87">
        <v>2019</v>
      </c>
      <c r="B2021" s="87">
        <v>10</v>
      </c>
      <c r="C2021" s="173" t="s">
        <v>16</v>
      </c>
      <c r="D2021" s="173" t="s">
        <v>23</v>
      </c>
      <c r="E2021" s="173" t="s">
        <v>24</v>
      </c>
      <c r="F2021" s="173" t="s">
        <v>16</v>
      </c>
      <c r="G2021" s="87" t="b">
        <v>1</v>
      </c>
      <c r="H2021" s="87" t="b">
        <v>0</v>
      </c>
      <c r="I2021" s="87" t="b">
        <v>0</v>
      </c>
      <c r="J2021" s="173" t="s">
        <v>491</v>
      </c>
      <c r="K2021" s="174">
        <v>15166416000151</v>
      </c>
      <c r="L2021" s="173" t="s">
        <v>889</v>
      </c>
      <c r="M2021" s="173" t="s">
        <v>75</v>
      </c>
      <c r="N2021" s="173" t="s">
        <v>74</v>
      </c>
      <c r="O2021" s="87">
        <v>62</v>
      </c>
      <c r="P2021" s="173" t="s">
        <v>27</v>
      </c>
      <c r="Q2021" s="1" t="s">
        <v>1343</v>
      </c>
      <c r="R2021" s="175">
        <v>6</v>
      </c>
      <c r="S2021">
        <v>6</v>
      </c>
    </row>
    <row r="2022" spans="1:19" x14ac:dyDescent="0.25">
      <c r="A2022" s="87">
        <v>2019</v>
      </c>
      <c r="B2022" s="87">
        <v>10</v>
      </c>
      <c r="C2022" s="173" t="s">
        <v>16</v>
      </c>
      <c r="D2022" s="173" t="s">
        <v>23</v>
      </c>
      <c r="E2022" s="173" t="s">
        <v>24</v>
      </c>
      <c r="F2022" s="173" t="s">
        <v>16</v>
      </c>
      <c r="G2022" s="87" t="b">
        <v>1</v>
      </c>
      <c r="H2022" s="87" t="b">
        <v>0</v>
      </c>
      <c r="I2022" s="87" t="b">
        <v>0</v>
      </c>
      <c r="J2022" s="173" t="s">
        <v>478</v>
      </c>
      <c r="K2022" s="174">
        <v>15166416000151</v>
      </c>
      <c r="L2022" s="173" t="s">
        <v>889</v>
      </c>
      <c r="M2022" s="173" t="s">
        <v>75</v>
      </c>
      <c r="N2022" s="173" t="s">
        <v>74</v>
      </c>
      <c r="O2022" s="87">
        <v>64</v>
      </c>
      <c r="P2022" s="173" t="s">
        <v>25</v>
      </c>
      <c r="Q2022" s="1" t="s">
        <v>1344</v>
      </c>
      <c r="R2022" s="175">
        <v>10</v>
      </c>
      <c r="S2022">
        <v>10</v>
      </c>
    </row>
    <row r="2023" spans="1:19" x14ac:dyDescent="0.25">
      <c r="A2023" s="87">
        <v>2019</v>
      </c>
      <c r="B2023" s="87">
        <v>10</v>
      </c>
      <c r="C2023" s="173" t="s">
        <v>16</v>
      </c>
      <c r="D2023" s="173" t="s">
        <v>23</v>
      </c>
      <c r="E2023" s="173" t="s">
        <v>24</v>
      </c>
      <c r="F2023" s="173" t="s">
        <v>16</v>
      </c>
      <c r="G2023" s="87" t="b">
        <v>1</v>
      </c>
      <c r="H2023" s="87" t="b">
        <v>0</v>
      </c>
      <c r="I2023" s="87" t="b">
        <v>0</v>
      </c>
      <c r="J2023" s="173" t="s">
        <v>460</v>
      </c>
      <c r="K2023" s="174">
        <v>15166416000151</v>
      </c>
      <c r="L2023" s="173" t="s">
        <v>889</v>
      </c>
      <c r="M2023" s="173" t="s">
        <v>75</v>
      </c>
      <c r="N2023" s="173" t="s">
        <v>74</v>
      </c>
      <c r="O2023" s="87">
        <v>64</v>
      </c>
      <c r="P2023" s="173" t="s">
        <v>25</v>
      </c>
      <c r="Q2023" s="1" t="s">
        <v>1344</v>
      </c>
      <c r="R2023" s="175">
        <v>27</v>
      </c>
      <c r="S2023">
        <v>27</v>
      </c>
    </row>
    <row r="2024" spans="1:19" x14ac:dyDescent="0.25">
      <c r="A2024" s="87">
        <v>2019</v>
      </c>
      <c r="B2024" s="87">
        <v>10</v>
      </c>
      <c r="C2024" s="173" t="s">
        <v>16</v>
      </c>
      <c r="D2024" s="173" t="s">
        <v>23</v>
      </c>
      <c r="E2024" s="173" t="s">
        <v>24</v>
      </c>
      <c r="F2024" s="173" t="s">
        <v>16</v>
      </c>
      <c r="G2024" s="87" t="b">
        <v>1</v>
      </c>
      <c r="H2024" s="87" t="b">
        <v>0</v>
      </c>
      <c r="I2024" s="87" t="b">
        <v>0</v>
      </c>
      <c r="J2024" s="173" t="s">
        <v>455</v>
      </c>
      <c r="K2024" s="174">
        <v>15194004000125</v>
      </c>
      <c r="L2024" s="173" t="s">
        <v>895</v>
      </c>
      <c r="M2024" s="173" t="s">
        <v>75</v>
      </c>
      <c r="N2024" s="173" t="s">
        <v>74</v>
      </c>
      <c r="O2024" s="87">
        <v>64</v>
      </c>
      <c r="P2024" s="173" t="s">
        <v>25</v>
      </c>
      <c r="Q2024" s="1" t="s">
        <v>1344</v>
      </c>
      <c r="R2024" s="175">
        <v>7</v>
      </c>
      <c r="S2024">
        <v>7</v>
      </c>
    </row>
    <row r="2025" spans="1:19" x14ac:dyDescent="0.25">
      <c r="A2025" s="87">
        <v>2019</v>
      </c>
      <c r="B2025" s="87">
        <v>10</v>
      </c>
      <c r="C2025" s="173" t="s">
        <v>16</v>
      </c>
      <c r="D2025" s="173" t="s">
        <v>23</v>
      </c>
      <c r="E2025" s="173" t="s">
        <v>24</v>
      </c>
      <c r="F2025" s="173" t="s">
        <v>16</v>
      </c>
      <c r="G2025" s="87" t="b">
        <v>1</v>
      </c>
      <c r="H2025" s="87" t="b">
        <v>0</v>
      </c>
      <c r="I2025" s="87" t="b">
        <v>0</v>
      </c>
      <c r="J2025" s="173" t="s">
        <v>455</v>
      </c>
      <c r="K2025" s="174">
        <v>15242761000127</v>
      </c>
      <c r="L2025" s="173" t="s">
        <v>896</v>
      </c>
      <c r="M2025" s="173" t="s">
        <v>75</v>
      </c>
      <c r="N2025" s="173" t="s">
        <v>74</v>
      </c>
      <c r="O2025" s="87">
        <v>70</v>
      </c>
      <c r="P2025" s="173" t="s">
        <v>20</v>
      </c>
      <c r="Q2025" s="1" t="s">
        <v>1338</v>
      </c>
      <c r="R2025" s="175">
        <v>100</v>
      </c>
      <c r="S2025">
        <v>20</v>
      </c>
    </row>
    <row r="2026" spans="1:19" x14ac:dyDescent="0.25">
      <c r="A2026" s="87">
        <v>2019</v>
      </c>
      <c r="B2026" s="87">
        <v>10</v>
      </c>
      <c r="C2026" s="173" t="s">
        <v>16</v>
      </c>
      <c r="D2026" s="173" t="s">
        <v>23</v>
      </c>
      <c r="E2026" s="173" t="s">
        <v>24</v>
      </c>
      <c r="F2026" s="173" t="s">
        <v>16</v>
      </c>
      <c r="G2026" s="87" t="b">
        <v>1</v>
      </c>
      <c r="H2026" s="87" t="b">
        <v>0</v>
      </c>
      <c r="I2026" s="87" t="b">
        <v>0</v>
      </c>
      <c r="J2026" s="173" t="s">
        <v>472</v>
      </c>
      <c r="K2026" s="174">
        <v>15242761000127</v>
      </c>
      <c r="L2026" s="173" t="s">
        <v>896</v>
      </c>
      <c r="M2026" s="173" t="s">
        <v>75</v>
      </c>
      <c r="N2026" s="173" t="s">
        <v>74</v>
      </c>
      <c r="O2026" s="87">
        <v>73</v>
      </c>
      <c r="P2026" s="173" t="s">
        <v>26</v>
      </c>
      <c r="Q2026" s="1" t="s">
        <v>1342</v>
      </c>
      <c r="R2026" s="175">
        <v>48</v>
      </c>
      <c r="S2026">
        <v>12</v>
      </c>
    </row>
    <row r="2027" spans="1:19" x14ac:dyDescent="0.25">
      <c r="A2027" s="87">
        <v>2019</v>
      </c>
      <c r="B2027" s="87">
        <v>10</v>
      </c>
      <c r="C2027" s="173" t="s">
        <v>16</v>
      </c>
      <c r="D2027" s="173" t="s">
        <v>23</v>
      </c>
      <c r="E2027" s="173" t="s">
        <v>24</v>
      </c>
      <c r="F2027" s="173" t="s">
        <v>16</v>
      </c>
      <c r="G2027" s="87" t="b">
        <v>1</v>
      </c>
      <c r="H2027" s="87" t="b">
        <v>0</v>
      </c>
      <c r="I2027" s="87" t="b">
        <v>0</v>
      </c>
      <c r="J2027" s="173" t="s">
        <v>472</v>
      </c>
      <c r="K2027" s="174">
        <v>15242761000127</v>
      </c>
      <c r="L2027" s="173" t="s">
        <v>896</v>
      </c>
      <c r="M2027" s="173" t="s">
        <v>75</v>
      </c>
      <c r="N2027" s="173" t="s">
        <v>74</v>
      </c>
      <c r="O2027" s="87">
        <v>73</v>
      </c>
      <c r="P2027" s="173" t="s">
        <v>26</v>
      </c>
      <c r="Q2027" s="1" t="s">
        <v>1340</v>
      </c>
      <c r="R2027" s="175">
        <v>8</v>
      </c>
      <c r="S2027">
        <v>8</v>
      </c>
    </row>
    <row r="2028" spans="1:19" x14ac:dyDescent="0.25">
      <c r="A2028" s="87">
        <v>2019</v>
      </c>
      <c r="B2028" s="87">
        <v>10</v>
      </c>
      <c r="C2028" s="173" t="s">
        <v>16</v>
      </c>
      <c r="D2028" s="173" t="s">
        <v>23</v>
      </c>
      <c r="E2028" s="173" t="s">
        <v>24</v>
      </c>
      <c r="F2028" s="173" t="s">
        <v>16</v>
      </c>
      <c r="G2028" s="87" t="b">
        <v>1</v>
      </c>
      <c r="H2028" s="87" t="b">
        <v>0</v>
      </c>
      <c r="I2028" s="87" t="b">
        <v>0</v>
      </c>
      <c r="J2028" s="173" t="s">
        <v>455</v>
      </c>
      <c r="K2028" s="174">
        <v>15592785000106</v>
      </c>
      <c r="L2028" s="173" t="s">
        <v>897</v>
      </c>
      <c r="M2028" s="173" t="s">
        <v>84</v>
      </c>
      <c r="N2028" s="173" t="s">
        <v>85</v>
      </c>
      <c r="O2028" s="87">
        <v>70</v>
      </c>
      <c r="P2028" s="173" t="s">
        <v>20</v>
      </c>
      <c r="Q2028" s="1" t="s">
        <v>1338</v>
      </c>
      <c r="R2028" s="175">
        <v>25</v>
      </c>
      <c r="S2028">
        <v>5</v>
      </c>
    </row>
    <row r="2029" spans="1:19" x14ac:dyDescent="0.25">
      <c r="A2029" s="87">
        <v>2019</v>
      </c>
      <c r="B2029" s="87">
        <v>10</v>
      </c>
      <c r="C2029" s="173" t="s">
        <v>16</v>
      </c>
      <c r="D2029" s="173" t="s">
        <v>23</v>
      </c>
      <c r="E2029" s="173" t="s">
        <v>24</v>
      </c>
      <c r="F2029" s="173" t="s">
        <v>16</v>
      </c>
      <c r="G2029" s="87" t="b">
        <v>1</v>
      </c>
      <c r="H2029" s="87" t="b">
        <v>0</v>
      </c>
      <c r="I2029" s="87" t="b">
        <v>0</v>
      </c>
      <c r="J2029" s="173" t="s">
        <v>472</v>
      </c>
      <c r="K2029" s="174">
        <v>15592785000106</v>
      </c>
      <c r="L2029" s="173" t="s">
        <v>897</v>
      </c>
      <c r="M2029" s="173" t="s">
        <v>84</v>
      </c>
      <c r="N2029" s="173" t="s">
        <v>85</v>
      </c>
      <c r="O2029" s="87">
        <v>70</v>
      </c>
      <c r="P2029" s="173" t="s">
        <v>20</v>
      </c>
      <c r="Q2029" s="1" t="s">
        <v>1338</v>
      </c>
      <c r="R2029" s="175">
        <v>10</v>
      </c>
      <c r="S2029">
        <v>2</v>
      </c>
    </row>
    <row r="2030" spans="1:19" x14ac:dyDescent="0.25">
      <c r="A2030" s="87">
        <v>2019</v>
      </c>
      <c r="B2030" s="87">
        <v>10</v>
      </c>
      <c r="C2030" s="173" t="s">
        <v>16</v>
      </c>
      <c r="D2030" s="173" t="s">
        <v>23</v>
      </c>
      <c r="E2030" s="173" t="s">
        <v>24</v>
      </c>
      <c r="F2030" s="173" t="s">
        <v>16</v>
      </c>
      <c r="G2030" s="87" t="b">
        <v>1</v>
      </c>
      <c r="H2030" s="87" t="b">
        <v>0</v>
      </c>
      <c r="I2030" s="87" t="b">
        <v>0</v>
      </c>
      <c r="J2030" s="173" t="s">
        <v>460</v>
      </c>
      <c r="K2030" s="174">
        <v>16064313000577</v>
      </c>
      <c r="L2030" s="173" t="s">
        <v>898</v>
      </c>
      <c r="M2030" s="173" t="s">
        <v>84</v>
      </c>
      <c r="N2030" s="173" t="s">
        <v>85</v>
      </c>
      <c r="O2030" s="87">
        <v>73</v>
      </c>
      <c r="P2030" s="173" t="s">
        <v>26</v>
      </c>
      <c r="Q2030" s="1" t="s">
        <v>1339</v>
      </c>
      <c r="R2030" s="175">
        <v>10</v>
      </c>
      <c r="S2030">
        <v>5</v>
      </c>
    </row>
    <row r="2031" spans="1:19" x14ac:dyDescent="0.25">
      <c r="A2031" s="87">
        <v>2019</v>
      </c>
      <c r="B2031" s="87">
        <v>10</v>
      </c>
      <c r="C2031" s="173" t="s">
        <v>16</v>
      </c>
      <c r="D2031" s="173" t="s">
        <v>23</v>
      </c>
      <c r="E2031" s="173" t="s">
        <v>24</v>
      </c>
      <c r="F2031" s="173" t="s">
        <v>16</v>
      </c>
      <c r="G2031" s="87" t="b">
        <v>1</v>
      </c>
      <c r="H2031" s="87" t="b">
        <v>0</v>
      </c>
      <c r="I2031" s="87" t="b">
        <v>0</v>
      </c>
      <c r="J2031" s="173" t="s">
        <v>460</v>
      </c>
      <c r="K2031" s="174">
        <v>16064313000577</v>
      </c>
      <c r="L2031" s="173" t="s">
        <v>898</v>
      </c>
      <c r="M2031" s="173" t="s">
        <v>84</v>
      </c>
      <c r="N2031" s="173" t="s">
        <v>85</v>
      </c>
      <c r="O2031" s="87">
        <v>73</v>
      </c>
      <c r="P2031" s="173" t="s">
        <v>26</v>
      </c>
      <c r="Q2031" s="1" t="s">
        <v>1340</v>
      </c>
      <c r="R2031" s="175">
        <v>5</v>
      </c>
      <c r="S2031">
        <v>5</v>
      </c>
    </row>
    <row r="2032" spans="1:19" x14ac:dyDescent="0.25">
      <c r="A2032" s="87">
        <v>2019</v>
      </c>
      <c r="B2032" s="87">
        <v>10</v>
      </c>
      <c r="C2032" s="173" t="s">
        <v>16</v>
      </c>
      <c r="D2032" s="173" t="s">
        <v>23</v>
      </c>
      <c r="E2032" s="173" t="s">
        <v>24</v>
      </c>
      <c r="F2032" s="173" t="s">
        <v>16</v>
      </c>
      <c r="G2032" s="87" t="b">
        <v>1</v>
      </c>
      <c r="H2032" s="87" t="b">
        <v>0</v>
      </c>
      <c r="I2032" s="87" t="b">
        <v>0</v>
      </c>
      <c r="J2032" s="173" t="s">
        <v>472</v>
      </c>
      <c r="K2032" s="174">
        <v>16064313000577</v>
      </c>
      <c r="L2032" s="173" t="s">
        <v>898</v>
      </c>
      <c r="M2032" s="173" t="s">
        <v>84</v>
      </c>
      <c r="N2032" s="173" t="s">
        <v>85</v>
      </c>
      <c r="O2032" s="87">
        <v>73</v>
      </c>
      <c r="P2032" s="173" t="s">
        <v>26</v>
      </c>
      <c r="Q2032" s="1" t="s">
        <v>1339</v>
      </c>
      <c r="R2032" s="175">
        <v>18</v>
      </c>
      <c r="S2032">
        <v>9</v>
      </c>
    </row>
    <row r="2033" spans="1:19" x14ac:dyDescent="0.25">
      <c r="A2033" s="87">
        <v>2019</v>
      </c>
      <c r="B2033" s="87">
        <v>10</v>
      </c>
      <c r="C2033" s="173" t="s">
        <v>16</v>
      </c>
      <c r="D2033" s="173" t="s">
        <v>23</v>
      </c>
      <c r="E2033" s="173" t="s">
        <v>24</v>
      </c>
      <c r="F2033" s="173" t="s">
        <v>16</v>
      </c>
      <c r="G2033" s="87" t="b">
        <v>1</v>
      </c>
      <c r="H2033" s="87" t="b">
        <v>0</v>
      </c>
      <c r="I2033" s="87" t="b">
        <v>0</v>
      </c>
      <c r="J2033" s="173" t="s">
        <v>472</v>
      </c>
      <c r="K2033" s="174">
        <v>16064313000577</v>
      </c>
      <c r="L2033" s="173" t="s">
        <v>898</v>
      </c>
      <c r="M2033" s="173" t="s">
        <v>84</v>
      </c>
      <c r="N2033" s="173" t="s">
        <v>85</v>
      </c>
      <c r="O2033" s="87">
        <v>73</v>
      </c>
      <c r="P2033" s="173" t="s">
        <v>26</v>
      </c>
      <c r="Q2033" s="1" t="s">
        <v>1340</v>
      </c>
      <c r="R2033" s="175">
        <v>5</v>
      </c>
      <c r="S2033">
        <v>5</v>
      </c>
    </row>
    <row r="2034" spans="1:19" x14ac:dyDescent="0.25">
      <c r="A2034" s="87">
        <v>2019</v>
      </c>
      <c r="B2034" s="87">
        <v>10</v>
      </c>
      <c r="C2034" s="173" t="s">
        <v>16</v>
      </c>
      <c r="D2034" s="173" t="s">
        <v>23</v>
      </c>
      <c r="E2034" s="173" t="s">
        <v>24</v>
      </c>
      <c r="F2034" s="173" t="s">
        <v>16</v>
      </c>
      <c r="G2034" s="87" t="b">
        <v>1</v>
      </c>
      <c r="H2034" s="87" t="b">
        <v>0</v>
      </c>
      <c r="I2034" s="87" t="b">
        <v>0</v>
      </c>
      <c r="J2034" s="173" t="s">
        <v>460</v>
      </c>
      <c r="K2034" s="174">
        <v>16475154000250</v>
      </c>
      <c r="L2034" s="173" t="s">
        <v>899</v>
      </c>
      <c r="M2034" s="173" t="s">
        <v>75</v>
      </c>
      <c r="N2034" s="173" t="s">
        <v>74</v>
      </c>
      <c r="O2034" s="87">
        <v>64</v>
      </c>
      <c r="P2034" s="173" t="s">
        <v>25</v>
      </c>
      <c r="Q2034" s="1" t="s">
        <v>1344</v>
      </c>
      <c r="R2034" s="175">
        <v>4</v>
      </c>
      <c r="S2034">
        <v>4</v>
      </c>
    </row>
    <row r="2035" spans="1:19" x14ac:dyDescent="0.25">
      <c r="A2035" s="87">
        <v>2019</v>
      </c>
      <c r="B2035" s="87">
        <v>10</v>
      </c>
      <c r="C2035" s="173" t="s">
        <v>16</v>
      </c>
      <c r="D2035" s="173" t="s">
        <v>23</v>
      </c>
      <c r="E2035" s="173" t="s">
        <v>24</v>
      </c>
      <c r="F2035" s="173" t="s">
        <v>16</v>
      </c>
      <c r="G2035" s="87" t="b">
        <v>1</v>
      </c>
      <c r="H2035" s="87" t="b">
        <v>0</v>
      </c>
      <c r="I2035" s="87" t="b">
        <v>0</v>
      </c>
      <c r="J2035" s="173" t="s">
        <v>1332</v>
      </c>
      <c r="K2035" s="174">
        <v>16676520000159</v>
      </c>
      <c r="L2035" s="173" t="s">
        <v>1168</v>
      </c>
      <c r="M2035" s="173" t="s">
        <v>58</v>
      </c>
      <c r="N2035" s="173" t="s">
        <v>54</v>
      </c>
      <c r="O2035" s="87">
        <v>62</v>
      </c>
      <c r="P2035" s="173" t="s">
        <v>27</v>
      </c>
      <c r="Q2035" s="1" t="s">
        <v>1343</v>
      </c>
      <c r="R2035" s="175">
        <v>4</v>
      </c>
      <c r="S2035">
        <v>4</v>
      </c>
    </row>
    <row r="2036" spans="1:19" x14ac:dyDescent="0.25">
      <c r="A2036" s="87">
        <v>2019</v>
      </c>
      <c r="B2036" s="87">
        <v>10</v>
      </c>
      <c r="C2036" s="173" t="s">
        <v>16</v>
      </c>
      <c r="D2036" s="173" t="s">
        <v>23</v>
      </c>
      <c r="E2036" s="173" t="s">
        <v>24</v>
      </c>
      <c r="F2036" s="173" t="s">
        <v>16</v>
      </c>
      <c r="G2036" s="87" t="b">
        <v>1</v>
      </c>
      <c r="H2036" s="87" t="b">
        <v>0</v>
      </c>
      <c r="I2036" s="87" t="b">
        <v>0</v>
      </c>
      <c r="J2036" s="173" t="s">
        <v>468</v>
      </c>
      <c r="K2036" s="174">
        <v>16739984000167</v>
      </c>
      <c r="L2036" s="173" t="s">
        <v>900</v>
      </c>
      <c r="M2036" s="173" t="s">
        <v>739</v>
      </c>
      <c r="N2036" s="173" t="s">
        <v>55</v>
      </c>
      <c r="O2036" s="87">
        <v>73</v>
      </c>
      <c r="P2036" s="173" t="s">
        <v>26</v>
      </c>
      <c r="Q2036" s="1" t="s">
        <v>1339</v>
      </c>
      <c r="R2036" s="175">
        <v>4</v>
      </c>
      <c r="S2036">
        <v>2</v>
      </c>
    </row>
    <row r="2037" spans="1:19" x14ac:dyDescent="0.25">
      <c r="A2037" s="87">
        <v>2019</v>
      </c>
      <c r="B2037" s="87">
        <v>10</v>
      </c>
      <c r="C2037" s="173" t="s">
        <v>16</v>
      </c>
      <c r="D2037" s="173" t="s">
        <v>23</v>
      </c>
      <c r="E2037" s="173" t="s">
        <v>24</v>
      </c>
      <c r="F2037" s="173" t="s">
        <v>16</v>
      </c>
      <c r="G2037" s="87" t="b">
        <v>1</v>
      </c>
      <c r="H2037" s="87" t="b">
        <v>0</v>
      </c>
      <c r="I2037" s="87" t="b">
        <v>0</v>
      </c>
      <c r="J2037" s="173" t="s">
        <v>468</v>
      </c>
      <c r="K2037" s="174">
        <v>16739984000167</v>
      </c>
      <c r="L2037" s="173" t="s">
        <v>900</v>
      </c>
      <c r="M2037" s="173" t="s">
        <v>739</v>
      </c>
      <c r="N2037" s="173" t="s">
        <v>55</v>
      </c>
      <c r="O2037" s="87">
        <v>73</v>
      </c>
      <c r="P2037" s="173" t="s">
        <v>26</v>
      </c>
      <c r="Q2037" s="1" t="s">
        <v>1342</v>
      </c>
      <c r="R2037" s="175">
        <v>16</v>
      </c>
      <c r="S2037">
        <v>4</v>
      </c>
    </row>
    <row r="2038" spans="1:19" x14ac:dyDescent="0.25">
      <c r="A2038" s="87">
        <v>2019</v>
      </c>
      <c r="B2038" s="87">
        <v>10</v>
      </c>
      <c r="C2038" s="173" t="s">
        <v>16</v>
      </c>
      <c r="D2038" s="173" t="s">
        <v>23</v>
      </c>
      <c r="E2038" s="173" t="s">
        <v>24</v>
      </c>
      <c r="F2038" s="173" t="s">
        <v>16</v>
      </c>
      <c r="G2038" s="87" t="b">
        <v>1</v>
      </c>
      <c r="H2038" s="87" t="b">
        <v>0</v>
      </c>
      <c r="I2038" s="87" t="b">
        <v>0</v>
      </c>
      <c r="J2038" s="173" t="s">
        <v>468</v>
      </c>
      <c r="K2038" s="174">
        <v>16739984000167</v>
      </c>
      <c r="L2038" s="173" t="s">
        <v>900</v>
      </c>
      <c r="M2038" s="173" t="s">
        <v>739</v>
      </c>
      <c r="N2038" s="173" t="s">
        <v>55</v>
      </c>
      <c r="O2038" s="87">
        <v>73</v>
      </c>
      <c r="P2038" s="173" t="s">
        <v>26</v>
      </c>
      <c r="Q2038" s="1" t="s">
        <v>1340</v>
      </c>
      <c r="R2038" s="175">
        <v>4</v>
      </c>
      <c r="S2038">
        <v>4</v>
      </c>
    </row>
    <row r="2039" spans="1:19" x14ac:dyDescent="0.25">
      <c r="A2039" s="87">
        <v>2019</v>
      </c>
      <c r="B2039" s="87">
        <v>10</v>
      </c>
      <c r="C2039" s="173" t="s">
        <v>16</v>
      </c>
      <c r="D2039" s="173" t="s">
        <v>23</v>
      </c>
      <c r="E2039" s="173" t="s">
        <v>24</v>
      </c>
      <c r="F2039" s="173" t="s">
        <v>16</v>
      </c>
      <c r="G2039" s="87" t="b">
        <v>1</v>
      </c>
      <c r="H2039" s="87" t="b">
        <v>0</v>
      </c>
      <c r="I2039" s="87" t="b">
        <v>0</v>
      </c>
      <c r="J2039" s="173" t="s">
        <v>491</v>
      </c>
      <c r="K2039" s="174">
        <v>16739984000167</v>
      </c>
      <c r="L2039" s="173" t="s">
        <v>900</v>
      </c>
      <c r="M2039" s="173" t="s">
        <v>739</v>
      </c>
      <c r="N2039" s="173" t="s">
        <v>55</v>
      </c>
      <c r="O2039" s="87">
        <v>73</v>
      </c>
      <c r="P2039" s="173" t="s">
        <v>26</v>
      </c>
      <c r="Q2039" s="1" t="s">
        <v>1339</v>
      </c>
      <c r="R2039" s="175">
        <v>4</v>
      </c>
      <c r="S2039">
        <v>2</v>
      </c>
    </row>
    <row r="2040" spans="1:19" x14ac:dyDescent="0.25">
      <c r="A2040" s="87">
        <v>2019</v>
      </c>
      <c r="B2040" s="87">
        <v>10</v>
      </c>
      <c r="C2040" s="173" t="s">
        <v>16</v>
      </c>
      <c r="D2040" s="173" t="s">
        <v>23</v>
      </c>
      <c r="E2040" s="173" t="s">
        <v>24</v>
      </c>
      <c r="F2040" s="173" t="s">
        <v>16</v>
      </c>
      <c r="G2040" s="87" t="b">
        <v>1</v>
      </c>
      <c r="H2040" s="87" t="b">
        <v>0</v>
      </c>
      <c r="I2040" s="87" t="b">
        <v>0</v>
      </c>
      <c r="J2040" s="173" t="s">
        <v>491</v>
      </c>
      <c r="K2040" s="174">
        <v>16739984000167</v>
      </c>
      <c r="L2040" s="173" t="s">
        <v>900</v>
      </c>
      <c r="M2040" s="173" t="s">
        <v>739</v>
      </c>
      <c r="N2040" s="173" t="s">
        <v>55</v>
      </c>
      <c r="O2040" s="87">
        <v>73</v>
      </c>
      <c r="P2040" s="173" t="s">
        <v>26</v>
      </c>
      <c r="Q2040" s="1" t="s">
        <v>1342</v>
      </c>
      <c r="R2040" s="175">
        <v>12</v>
      </c>
      <c r="S2040">
        <v>3</v>
      </c>
    </row>
    <row r="2041" spans="1:19" x14ac:dyDescent="0.25">
      <c r="A2041" s="87">
        <v>2019</v>
      </c>
      <c r="B2041" s="87">
        <v>10</v>
      </c>
      <c r="C2041" s="173" t="s">
        <v>16</v>
      </c>
      <c r="D2041" s="173" t="s">
        <v>23</v>
      </c>
      <c r="E2041" s="173" t="s">
        <v>24</v>
      </c>
      <c r="F2041" s="173" t="s">
        <v>16</v>
      </c>
      <c r="G2041" s="87" t="b">
        <v>1</v>
      </c>
      <c r="H2041" s="87" t="b">
        <v>0</v>
      </c>
      <c r="I2041" s="87" t="b">
        <v>0</v>
      </c>
      <c r="J2041" s="173" t="s">
        <v>491</v>
      </c>
      <c r="K2041" s="174">
        <v>16739984000167</v>
      </c>
      <c r="L2041" s="173" t="s">
        <v>900</v>
      </c>
      <c r="M2041" s="173" t="s">
        <v>739</v>
      </c>
      <c r="N2041" s="173" t="s">
        <v>55</v>
      </c>
      <c r="O2041" s="87">
        <v>73</v>
      </c>
      <c r="P2041" s="173" t="s">
        <v>26</v>
      </c>
      <c r="Q2041" s="1" t="s">
        <v>1340</v>
      </c>
      <c r="R2041" s="175">
        <v>2</v>
      </c>
      <c r="S2041">
        <v>2</v>
      </c>
    </row>
    <row r="2042" spans="1:19" x14ac:dyDescent="0.25">
      <c r="A2042" s="87">
        <v>2019</v>
      </c>
      <c r="B2042" s="87">
        <v>10</v>
      </c>
      <c r="C2042" s="173" t="s">
        <v>16</v>
      </c>
      <c r="D2042" s="173" t="s">
        <v>23</v>
      </c>
      <c r="E2042" s="173" t="s">
        <v>24</v>
      </c>
      <c r="F2042" s="173" t="s">
        <v>16</v>
      </c>
      <c r="G2042" s="87" t="b">
        <v>1</v>
      </c>
      <c r="H2042" s="87" t="b">
        <v>0</v>
      </c>
      <c r="I2042" s="87" t="b">
        <v>0</v>
      </c>
      <c r="J2042" s="173" t="s">
        <v>470</v>
      </c>
      <c r="K2042" s="174">
        <v>17087591000189</v>
      </c>
      <c r="L2042" s="173" t="s">
        <v>1170</v>
      </c>
      <c r="M2042" s="173" t="s">
        <v>1171</v>
      </c>
      <c r="N2042" s="173" t="s">
        <v>54</v>
      </c>
      <c r="O2042" s="87">
        <v>62</v>
      </c>
      <c r="P2042" s="173" t="s">
        <v>27</v>
      </c>
      <c r="Q2042" s="1" t="s">
        <v>1343</v>
      </c>
      <c r="R2042" s="175">
        <v>3</v>
      </c>
      <c r="S2042">
        <v>3</v>
      </c>
    </row>
    <row r="2043" spans="1:19" x14ac:dyDescent="0.25">
      <c r="A2043" s="87">
        <v>2019</v>
      </c>
      <c r="B2043" s="87">
        <v>10</v>
      </c>
      <c r="C2043" s="173" t="s">
        <v>16</v>
      </c>
      <c r="D2043" s="173" t="s">
        <v>23</v>
      </c>
      <c r="E2043" s="173" t="s">
        <v>24</v>
      </c>
      <c r="F2043" s="173" t="s">
        <v>16</v>
      </c>
      <c r="G2043" s="87" t="b">
        <v>1</v>
      </c>
      <c r="H2043" s="87" t="b">
        <v>0</v>
      </c>
      <c r="I2043" s="87" t="b">
        <v>0</v>
      </c>
      <c r="J2043" s="173" t="s">
        <v>450</v>
      </c>
      <c r="K2043" s="174">
        <v>17214149000176</v>
      </c>
      <c r="L2043" s="173" t="s">
        <v>1172</v>
      </c>
      <c r="M2043" s="173" t="s">
        <v>58</v>
      </c>
      <c r="N2043" s="173" t="s">
        <v>54</v>
      </c>
      <c r="O2043" s="87">
        <v>62</v>
      </c>
      <c r="P2043" s="173" t="s">
        <v>27</v>
      </c>
      <c r="Q2043" s="1" t="s">
        <v>1343</v>
      </c>
      <c r="R2043" s="175">
        <v>8</v>
      </c>
      <c r="S2043">
        <v>8</v>
      </c>
    </row>
    <row r="2044" spans="1:19" x14ac:dyDescent="0.25">
      <c r="A2044" s="87">
        <v>2019</v>
      </c>
      <c r="B2044" s="87">
        <v>10</v>
      </c>
      <c r="C2044" s="173" t="s">
        <v>16</v>
      </c>
      <c r="D2044" s="173" t="s">
        <v>23</v>
      </c>
      <c r="E2044" s="173" t="s">
        <v>24</v>
      </c>
      <c r="F2044" s="173" t="s">
        <v>16</v>
      </c>
      <c r="G2044" s="87" t="b">
        <v>1</v>
      </c>
      <c r="H2044" s="87" t="b">
        <v>0</v>
      </c>
      <c r="I2044" s="87" t="b">
        <v>0</v>
      </c>
      <c r="J2044" s="173" t="s">
        <v>1512</v>
      </c>
      <c r="K2044" s="174">
        <v>17214149000176</v>
      </c>
      <c r="L2044" s="173" t="s">
        <v>1172</v>
      </c>
      <c r="M2044" s="173" t="s">
        <v>58</v>
      </c>
      <c r="N2044" s="173" t="s">
        <v>54</v>
      </c>
      <c r="O2044" s="87">
        <v>62</v>
      </c>
      <c r="P2044" s="173" t="s">
        <v>27</v>
      </c>
      <c r="Q2044" s="1" t="s">
        <v>1343</v>
      </c>
      <c r="R2044" s="175">
        <v>48</v>
      </c>
      <c r="S2044">
        <v>48</v>
      </c>
    </row>
    <row r="2045" spans="1:19" x14ac:dyDescent="0.25">
      <c r="A2045" s="87">
        <v>2019</v>
      </c>
      <c r="B2045" s="87">
        <v>10</v>
      </c>
      <c r="C2045" s="173" t="s">
        <v>16</v>
      </c>
      <c r="D2045" s="173" t="s">
        <v>23</v>
      </c>
      <c r="E2045" s="173" t="s">
        <v>24</v>
      </c>
      <c r="F2045" s="173" t="s">
        <v>16</v>
      </c>
      <c r="G2045" s="87" t="b">
        <v>1</v>
      </c>
      <c r="H2045" s="87" t="b">
        <v>0</v>
      </c>
      <c r="I2045" s="87" t="b">
        <v>0</v>
      </c>
      <c r="J2045" s="173" t="s">
        <v>1330</v>
      </c>
      <c r="K2045" s="174">
        <v>17217332003906</v>
      </c>
      <c r="L2045" s="173" t="s">
        <v>1173</v>
      </c>
      <c r="M2045" s="173" t="s">
        <v>58</v>
      </c>
      <c r="N2045" s="173" t="s">
        <v>54</v>
      </c>
      <c r="O2045" s="87">
        <v>73</v>
      </c>
      <c r="P2045" s="173" t="s">
        <v>26</v>
      </c>
      <c r="Q2045" s="1" t="s">
        <v>1340</v>
      </c>
      <c r="R2045" s="175">
        <v>220</v>
      </c>
      <c r="S2045">
        <v>220</v>
      </c>
    </row>
    <row r="2046" spans="1:19" x14ac:dyDescent="0.25">
      <c r="A2046" s="87">
        <v>2019</v>
      </c>
      <c r="B2046" s="87">
        <v>10</v>
      </c>
      <c r="C2046" s="173" t="s">
        <v>16</v>
      </c>
      <c r="D2046" s="173" t="s">
        <v>23</v>
      </c>
      <c r="E2046" s="173" t="s">
        <v>24</v>
      </c>
      <c r="F2046" s="173" t="s">
        <v>16</v>
      </c>
      <c r="G2046" s="87" t="b">
        <v>1</v>
      </c>
      <c r="H2046" s="87" t="b">
        <v>0</v>
      </c>
      <c r="I2046" s="87" t="b">
        <v>0</v>
      </c>
      <c r="J2046" s="173" t="s">
        <v>478</v>
      </c>
      <c r="K2046" s="174">
        <v>17689407000928</v>
      </c>
      <c r="L2046" s="173" t="s">
        <v>1174</v>
      </c>
      <c r="M2046" s="173" t="s">
        <v>88</v>
      </c>
      <c r="N2046" s="173" t="s">
        <v>54</v>
      </c>
      <c r="O2046" s="87">
        <v>73</v>
      </c>
      <c r="P2046" s="173" t="s">
        <v>26</v>
      </c>
      <c r="Q2046" s="1" t="s">
        <v>1340</v>
      </c>
      <c r="R2046" s="175">
        <v>11</v>
      </c>
      <c r="S2046">
        <v>11</v>
      </c>
    </row>
    <row r="2047" spans="1:19" x14ac:dyDescent="0.25">
      <c r="A2047" s="87">
        <v>2019</v>
      </c>
      <c r="B2047" s="87">
        <v>10</v>
      </c>
      <c r="C2047" s="173" t="s">
        <v>16</v>
      </c>
      <c r="D2047" s="173" t="s">
        <v>23</v>
      </c>
      <c r="E2047" s="173" t="s">
        <v>24</v>
      </c>
      <c r="F2047" s="173" t="s">
        <v>16</v>
      </c>
      <c r="G2047" s="87" t="b">
        <v>1</v>
      </c>
      <c r="H2047" s="87" t="b">
        <v>0</v>
      </c>
      <c r="I2047" s="87" t="b">
        <v>0</v>
      </c>
      <c r="J2047" s="173" t="s">
        <v>506</v>
      </c>
      <c r="K2047" s="174">
        <v>17864888000103</v>
      </c>
      <c r="L2047" s="173" t="s">
        <v>970</v>
      </c>
      <c r="M2047" s="173" t="s">
        <v>112</v>
      </c>
      <c r="N2047" s="173" t="s">
        <v>57</v>
      </c>
      <c r="O2047" s="87">
        <v>70</v>
      </c>
      <c r="P2047" s="173" t="s">
        <v>20</v>
      </c>
      <c r="Q2047" s="1" t="s">
        <v>1338</v>
      </c>
      <c r="R2047" s="175">
        <v>40</v>
      </c>
      <c r="S2047">
        <v>8</v>
      </c>
    </row>
    <row r="2048" spans="1:19" x14ac:dyDescent="0.25">
      <c r="A2048" s="87">
        <v>2019</v>
      </c>
      <c r="B2048" s="87">
        <v>10</v>
      </c>
      <c r="C2048" s="173" t="s">
        <v>16</v>
      </c>
      <c r="D2048" s="173" t="s">
        <v>23</v>
      </c>
      <c r="E2048" s="173" t="s">
        <v>24</v>
      </c>
      <c r="F2048" s="173" t="s">
        <v>16</v>
      </c>
      <c r="G2048" s="87" t="b">
        <v>1</v>
      </c>
      <c r="H2048" s="87" t="b">
        <v>0</v>
      </c>
      <c r="I2048" s="87" t="b">
        <v>0</v>
      </c>
      <c r="J2048" s="173" t="s">
        <v>477</v>
      </c>
      <c r="K2048" s="174">
        <v>18010750000100</v>
      </c>
      <c r="L2048" s="173" t="s">
        <v>1092</v>
      </c>
      <c r="M2048" s="173" t="s">
        <v>131</v>
      </c>
      <c r="N2048" s="173" t="s">
        <v>61</v>
      </c>
      <c r="O2048" s="87">
        <v>70</v>
      </c>
      <c r="P2048" s="173" t="s">
        <v>20</v>
      </c>
      <c r="Q2048" s="1" t="s">
        <v>1345</v>
      </c>
      <c r="R2048" s="175">
        <v>170</v>
      </c>
      <c r="S2048">
        <v>17</v>
      </c>
    </row>
    <row r="2049" spans="1:19" x14ac:dyDescent="0.25">
      <c r="A2049" s="87">
        <v>2019</v>
      </c>
      <c r="B2049" s="87">
        <v>10</v>
      </c>
      <c r="C2049" s="173" t="s">
        <v>16</v>
      </c>
      <c r="D2049" s="173" t="s">
        <v>23</v>
      </c>
      <c r="E2049" s="173" t="s">
        <v>24</v>
      </c>
      <c r="F2049" s="173" t="s">
        <v>16</v>
      </c>
      <c r="G2049" s="87" t="b">
        <v>1</v>
      </c>
      <c r="H2049" s="87" t="b">
        <v>0</v>
      </c>
      <c r="I2049" s="87" t="b">
        <v>0</v>
      </c>
      <c r="J2049" s="173" t="s">
        <v>450</v>
      </c>
      <c r="K2049" s="174">
        <v>18321477000134</v>
      </c>
      <c r="L2049" s="173" t="s">
        <v>664</v>
      </c>
      <c r="M2049" s="173" t="s">
        <v>650</v>
      </c>
      <c r="N2049" s="173" t="s">
        <v>19</v>
      </c>
      <c r="O2049" s="87">
        <v>73</v>
      </c>
      <c r="P2049" s="173" t="s">
        <v>26</v>
      </c>
      <c r="Q2049" s="1" t="s">
        <v>1342</v>
      </c>
      <c r="R2049" s="175">
        <v>48</v>
      </c>
      <c r="S2049">
        <v>12</v>
      </c>
    </row>
    <row r="2050" spans="1:19" x14ac:dyDescent="0.25">
      <c r="A2050" s="87">
        <v>2019</v>
      </c>
      <c r="B2050" s="87">
        <v>10</v>
      </c>
      <c r="C2050" s="173" t="s">
        <v>16</v>
      </c>
      <c r="D2050" s="173" t="s">
        <v>23</v>
      </c>
      <c r="E2050" s="173" t="s">
        <v>24</v>
      </c>
      <c r="F2050" s="173" t="s">
        <v>16</v>
      </c>
      <c r="G2050" s="87" t="b">
        <v>1</v>
      </c>
      <c r="H2050" s="87" t="b">
        <v>0</v>
      </c>
      <c r="I2050" s="87" t="b">
        <v>0</v>
      </c>
      <c r="J2050" s="173" t="s">
        <v>450</v>
      </c>
      <c r="K2050" s="174">
        <v>19056055000141</v>
      </c>
      <c r="L2050" s="173" t="s">
        <v>586</v>
      </c>
      <c r="M2050" s="173" t="s">
        <v>29</v>
      </c>
      <c r="N2050" s="173" t="s">
        <v>19</v>
      </c>
      <c r="O2050" s="87">
        <v>62</v>
      </c>
      <c r="P2050" s="173" t="s">
        <v>27</v>
      </c>
      <c r="Q2050" s="1" t="s">
        <v>1343</v>
      </c>
      <c r="R2050" s="175">
        <v>15</v>
      </c>
      <c r="S2050">
        <v>15</v>
      </c>
    </row>
    <row r="2051" spans="1:19" x14ac:dyDescent="0.25">
      <c r="A2051" s="87">
        <v>2019</v>
      </c>
      <c r="B2051" s="87">
        <v>10</v>
      </c>
      <c r="C2051" s="173" t="s">
        <v>16</v>
      </c>
      <c r="D2051" s="173" t="s">
        <v>23</v>
      </c>
      <c r="E2051" s="173" t="s">
        <v>24</v>
      </c>
      <c r="F2051" s="173" t="s">
        <v>16</v>
      </c>
      <c r="G2051" s="87" t="b">
        <v>1</v>
      </c>
      <c r="H2051" s="87" t="b">
        <v>0</v>
      </c>
      <c r="I2051" s="87" t="b">
        <v>0</v>
      </c>
      <c r="J2051" s="173" t="s">
        <v>1330</v>
      </c>
      <c r="K2051" s="174">
        <v>19843929001506</v>
      </c>
      <c r="L2051" s="173" t="s">
        <v>1181</v>
      </c>
      <c r="M2051" s="173" t="s">
        <v>58</v>
      </c>
      <c r="N2051" s="173" t="s">
        <v>54</v>
      </c>
      <c r="O2051" s="87">
        <v>70</v>
      </c>
      <c r="P2051" s="173" t="s">
        <v>20</v>
      </c>
      <c r="Q2051" s="1" t="s">
        <v>1338</v>
      </c>
      <c r="R2051" s="175">
        <v>650</v>
      </c>
      <c r="S2051">
        <v>130</v>
      </c>
    </row>
    <row r="2052" spans="1:19" x14ac:dyDescent="0.25">
      <c r="A2052" s="87">
        <v>2019</v>
      </c>
      <c r="B2052" s="87">
        <v>10</v>
      </c>
      <c r="C2052" s="173" t="s">
        <v>16</v>
      </c>
      <c r="D2052" s="173" t="s">
        <v>23</v>
      </c>
      <c r="E2052" s="173" t="s">
        <v>24</v>
      </c>
      <c r="F2052" s="173" t="s">
        <v>16</v>
      </c>
      <c r="G2052" s="87" t="b">
        <v>1</v>
      </c>
      <c r="H2052" s="87" t="b">
        <v>0</v>
      </c>
      <c r="I2052" s="87" t="b">
        <v>0</v>
      </c>
      <c r="J2052" s="173" t="s">
        <v>1330</v>
      </c>
      <c r="K2052" s="174">
        <v>19843929001506</v>
      </c>
      <c r="L2052" s="173" t="s">
        <v>1181</v>
      </c>
      <c r="M2052" s="173" t="s">
        <v>58</v>
      </c>
      <c r="N2052" s="173" t="s">
        <v>54</v>
      </c>
      <c r="O2052" s="87">
        <v>73</v>
      </c>
      <c r="P2052" s="173" t="s">
        <v>26</v>
      </c>
      <c r="Q2052" s="1" t="s">
        <v>1340</v>
      </c>
      <c r="R2052" s="175">
        <v>85</v>
      </c>
      <c r="S2052">
        <v>85</v>
      </c>
    </row>
    <row r="2053" spans="1:19" x14ac:dyDescent="0.25">
      <c r="A2053" s="87">
        <v>2019</v>
      </c>
      <c r="B2053" s="87">
        <v>10</v>
      </c>
      <c r="C2053" s="173" t="s">
        <v>16</v>
      </c>
      <c r="D2053" s="173" t="s">
        <v>23</v>
      </c>
      <c r="E2053" s="173" t="s">
        <v>24</v>
      </c>
      <c r="F2053" s="173" t="s">
        <v>16</v>
      </c>
      <c r="G2053" s="87" t="b">
        <v>1</v>
      </c>
      <c r="H2053" s="87" t="b">
        <v>0</v>
      </c>
      <c r="I2053" s="87" t="b">
        <v>0</v>
      </c>
      <c r="J2053" s="173" t="s">
        <v>1330</v>
      </c>
      <c r="K2053" s="174">
        <v>19843929001697</v>
      </c>
      <c r="L2053" s="173" t="s">
        <v>1182</v>
      </c>
      <c r="M2053" s="173" t="s">
        <v>539</v>
      </c>
      <c r="N2053" s="173" t="s">
        <v>54</v>
      </c>
      <c r="O2053" s="87">
        <v>70</v>
      </c>
      <c r="P2053" s="173" t="s">
        <v>20</v>
      </c>
      <c r="Q2053" s="1" t="s">
        <v>1338</v>
      </c>
      <c r="R2053" s="175">
        <v>350</v>
      </c>
      <c r="S2053">
        <v>70</v>
      </c>
    </row>
    <row r="2054" spans="1:19" x14ac:dyDescent="0.25">
      <c r="A2054" s="87">
        <v>2019</v>
      </c>
      <c r="B2054" s="87">
        <v>10</v>
      </c>
      <c r="C2054" s="173" t="s">
        <v>16</v>
      </c>
      <c r="D2054" s="173" t="s">
        <v>23</v>
      </c>
      <c r="E2054" s="173" t="s">
        <v>24</v>
      </c>
      <c r="F2054" s="173" t="s">
        <v>16</v>
      </c>
      <c r="G2054" s="87" t="b">
        <v>1</v>
      </c>
      <c r="H2054" s="87" t="b">
        <v>0</v>
      </c>
      <c r="I2054" s="87" t="b">
        <v>0</v>
      </c>
      <c r="J2054" s="173" t="s">
        <v>470</v>
      </c>
      <c r="K2054" s="174">
        <v>20150900000122</v>
      </c>
      <c r="L2054" s="173" t="s">
        <v>1185</v>
      </c>
      <c r="M2054" s="173" t="s">
        <v>1171</v>
      </c>
      <c r="N2054" s="173" t="s">
        <v>54</v>
      </c>
      <c r="O2054" s="87">
        <v>73</v>
      </c>
      <c r="P2054" s="173" t="s">
        <v>26</v>
      </c>
      <c r="Q2054" s="1" t="s">
        <v>1339</v>
      </c>
      <c r="R2054" s="175">
        <v>4</v>
      </c>
      <c r="S2054">
        <v>2</v>
      </c>
    </row>
    <row r="2055" spans="1:19" x14ac:dyDescent="0.25">
      <c r="A2055" s="87">
        <v>2019</v>
      </c>
      <c r="B2055" s="87">
        <v>10</v>
      </c>
      <c r="C2055" s="173" t="s">
        <v>16</v>
      </c>
      <c r="D2055" s="173" t="s">
        <v>23</v>
      </c>
      <c r="E2055" s="173" t="s">
        <v>24</v>
      </c>
      <c r="F2055" s="173" t="s">
        <v>16</v>
      </c>
      <c r="G2055" s="87" t="b">
        <v>1</v>
      </c>
      <c r="H2055" s="87" t="b">
        <v>0</v>
      </c>
      <c r="I2055" s="87" t="b">
        <v>0</v>
      </c>
      <c r="J2055" s="173" t="s">
        <v>470</v>
      </c>
      <c r="K2055" s="174">
        <v>20150900000122</v>
      </c>
      <c r="L2055" s="173" t="s">
        <v>1185</v>
      </c>
      <c r="M2055" s="173" t="s">
        <v>1171</v>
      </c>
      <c r="N2055" s="173" t="s">
        <v>54</v>
      </c>
      <c r="O2055" s="87">
        <v>73</v>
      </c>
      <c r="P2055" s="173" t="s">
        <v>26</v>
      </c>
      <c r="Q2055" s="1" t="s">
        <v>1342</v>
      </c>
      <c r="R2055" s="175">
        <v>8</v>
      </c>
      <c r="S2055">
        <v>2</v>
      </c>
    </row>
    <row r="2056" spans="1:19" x14ac:dyDescent="0.25">
      <c r="A2056" s="87">
        <v>2019</v>
      </c>
      <c r="B2056" s="87">
        <v>10</v>
      </c>
      <c r="C2056" s="173" t="s">
        <v>16</v>
      </c>
      <c r="D2056" s="173" t="s">
        <v>23</v>
      </c>
      <c r="E2056" s="173" t="s">
        <v>24</v>
      </c>
      <c r="F2056" s="173" t="s">
        <v>16</v>
      </c>
      <c r="G2056" s="87" t="b">
        <v>1</v>
      </c>
      <c r="H2056" s="87" t="b">
        <v>0</v>
      </c>
      <c r="I2056" s="87" t="b">
        <v>0</v>
      </c>
      <c r="J2056" s="173" t="s">
        <v>450</v>
      </c>
      <c r="K2056" s="174">
        <v>20812223000241</v>
      </c>
      <c r="L2056" s="173" t="s">
        <v>588</v>
      </c>
      <c r="M2056" s="173" t="s">
        <v>29</v>
      </c>
      <c r="N2056" s="173" t="s">
        <v>19</v>
      </c>
      <c r="O2056" s="87">
        <v>73</v>
      </c>
      <c r="P2056" s="173" t="s">
        <v>26</v>
      </c>
      <c r="Q2056" s="1" t="s">
        <v>1339</v>
      </c>
      <c r="R2056" s="175">
        <v>6</v>
      </c>
      <c r="S2056">
        <v>3</v>
      </c>
    </row>
    <row r="2057" spans="1:19" x14ac:dyDescent="0.25">
      <c r="A2057" s="87">
        <v>2019</v>
      </c>
      <c r="B2057" s="87">
        <v>10</v>
      </c>
      <c r="C2057" s="173" t="s">
        <v>16</v>
      </c>
      <c r="D2057" s="173" t="s">
        <v>23</v>
      </c>
      <c r="E2057" s="173" t="s">
        <v>24</v>
      </c>
      <c r="F2057" s="173" t="s">
        <v>16</v>
      </c>
      <c r="G2057" s="87" t="b">
        <v>1</v>
      </c>
      <c r="H2057" s="87" t="b">
        <v>0</v>
      </c>
      <c r="I2057" s="87" t="b">
        <v>0</v>
      </c>
      <c r="J2057" s="173" t="s">
        <v>450</v>
      </c>
      <c r="K2057" s="174">
        <v>20812223000241</v>
      </c>
      <c r="L2057" s="173" t="s">
        <v>588</v>
      </c>
      <c r="M2057" s="173" t="s">
        <v>29</v>
      </c>
      <c r="N2057" s="173" t="s">
        <v>19</v>
      </c>
      <c r="O2057" s="87">
        <v>73</v>
      </c>
      <c r="P2057" s="173" t="s">
        <v>26</v>
      </c>
      <c r="Q2057" s="1" t="s">
        <v>1342</v>
      </c>
      <c r="R2057" s="175">
        <v>24</v>
      </c>
      <c r="S2057">
        <v>6</v>
      </c>
    </row>
    <row r="2058" spans="1:19" x14ac:dyDescent="0.25">
      <c r="A2058" s="87">
        <v>2019</v>
      </c>
      <c r="B2058" s="87">
        <v>10</v>
      </c>
      <c r="C2058" s="173" t="s">
        <v>16</v>
      </c>
      <c r="D2058" s="173" t="s">
        <v>23</v>
      </c>
      <c r="E2058" s="173" t="s">
        <v>24</v>
      </c>
      <c r="F2058" s="173" t="s">
        <v>16</v>
      </c>
      <c r="G2058" s="87" t="b">
        <v>1</v>
      </c>
      <c r="H2058" s="87" t="b">
        <v>0</v>
      </c>
      <c r="I2058" s="87" t="b">
        <v>0</v>
      </c>
      <c r="J2058" s="173" t="s">
        <v>464</v>
      </c>
      <c r="K2058" s="174">
        <v>21040696000311</v>
      </c>
      <c r="L2058" s="173" t="s">
        <v>1190</v>
      </c>
      <c r="M2058" s="173" t="s">
        <v>1191</v>
      </c>
      <c r="N2058" s="173" t="s">
        <v>54</v>
      </c>
      <c r="O2058" s="87">
        <v>64</v>
      </c>
      <c r="P2058" s="173" t="s">
        <v>25</v>
      </c>
      <c r="Q2058" s="1" t="s">
        <v>1344</v>
      </c>
      <c r="R2058" s="175">
        <v>2</v>
      </c>
      <c r="S2058">
        <v>2</v>
      </c>
    </row>
    <row r="2059" spans="1:19" x14ac:dyDescent="0.25">
      <c r="A2059" s="87">
        <v>2019</v>
      </c>
      <c r="B2059" s="87">
        <v>10</v>
      </c>
      <c r="C2059" s="173" t="s">
        <v>16</v>
      </c>
      <c r="D2059" s="173" t="s">
        <v>23</v>
      </c>
      <c r="E2059" s="173" t="s">
        <v>24</v>
      </c>
      <c r="F2059" s="173" t="s">
        <v>16</v>
      </c>
      <c r="G2059" s="87" t="b">
        <v>1</v>
      </c>
      <c r="H2059" s="87" t="b">
        <v>0</v>
      </c>
      <c r="I2059" s="87" t="b">
        <v>0</v>
      </c>
      <c r="J2059" s="173" t="s">
        <v>470</v>
      </c>
      <c r="K2059" s="174">
        <v>21265360000195</v>
      </c>
      <c r="L2059" s="173" t="s">
        <v>1094</v>
      </c>
      <c r="M2059" s="173" t="s">
        <v>131</v>
      </c>
      <c r="N2059" s="173" t="s">
        <v>61</v>
      </c>
      <c r="O2059" s="87">
        <v>73</v>
      </c>
      <c r="P2059" s="173" t="s">
        <v>26</v>
      </c>
      <c r="Q2059" s="1" t="s">
        <v>1342</v>
      </c>
      <c r="R2059" s="175">
        <v>16</v>
      </c>
      <c r="S2059">
        <v>4</v>
      </c>
    </row>
    <row r="2060" spans="1:19" x14ac:dyDescent="0.25">
      <c r="A2060" s="87">
        <v>2019</v>
      </c>
      <c r="B2060" s="87">
        <v>10</v>
      </c>
      <c r="C2060" s="173" t="s">
        <v>16</v>
      </c>
      <c r="D2060" s="173" t="s">
        <v>23</v>
      </c>
      <c r="E2060" s="173" t="s">
        <v>24</v>
      </c>
      <c r="F2060" s="173" t="s">
        <v>16</v>
      </c>
      <c r="G2060" s="87" t="b">
        <v>1</v>
      </c>
      <c r="H2060" s="87" t="b">
        <v>0</v>
      </c>
      <c r="I2060" s="87" t="b">
        <v>0</v>
      </c>
      <c r="J2060" s="173" t="s">
        <v>463</v>
      </c>
      <c r="K2060" s="174">
        <v>21371777000132</v>
      </c>
      <c r="L2060" s="173" t="s">
        <v>589</v>
      </c>
      <c r="M2060" s="173" t="s">
        <v>29</v>
      </c>
      <c r="N2060" s="173" t="s">
        <v>19</v>
      </c>
      <c r="O2060" s="87">
        <v>62</v>
      </c>
      <c r="P2060" s="173" t="s">
        <v>27</v>
      </c>
      <c r="Q2060" s="1" t="s">
        <v>1343</v>
      </c>
      <c r="R2060" s="175">
        <v>33</v>
      </c>
      <c r="S2060">
        <v>33</v>
      </c>
    </row>
    <row r="2061" spans="1:19" x14ac:dyDescent="0.25">
      <c r="A2061" s="87">
        <v>2019</v>
      </c>
      <c r="B2061" s="87">
        <v>10</v>
      </c>
      <c r="C2061" s="173" t="s">
        <v>16</v>
      </c>
      <c r="D2061" s="173" t="s">
        <v>23</v>
      </c>
      <c r="E2061" s="173" t="s">
        <v>24</v>
      </c>
      <c r="F2061" s="173" t="s">
        <v>16</v>
      </c>
      <c r="G2061" s="87" t="b">
        <v>1</v>
      </c>
      <c r="H2061" s="87" t="b">
        <v>0</v>
      </c>
      <c r="I2061" s="87" t="b">
        <v>0</v>
      </c>
      <c r="J2061" s="173" t="s">
        <v>452</v>
      </c>
      <c r="K2061" s="174">
        <v>21998635000108</v>
      </c>
      <c r="L2061" s="173" t="s">
        <v>971</v>
      </c>
      <c r="M2061" s="173" t="s">
        <v>112</v>
      </c>
      <c r="N2061" s="173" t="s">
        <v>57</v>
      </c>
      <c r="O2061" s="87">
        <v>70</v>
      </c>
      <c r="P2061" s="173" t="s">
        <v>20</v>
      </c>
      <c r="Q2061" s="1" t="s">
        <v>1338</v>
      </c>
      <c r="R2061" s="175">
        <v>10</v>
      </c>
      <c r="S2061">
        <v>2</v>
      </c>
    </row>
    <row r="2062" spans="1:19" x14ac:dyDescent="0.25">
      <c r="A2062" s="87">
        <v>2019</v>
      </c>
      <c r="B2062" s="87">
        <v>10</v>
      </c>
      <c r="C2062" s="173" t="s">
        <v>16</v>
      </c>
      <c r="D2062" s="173" t="s">
        <v>23</v>
      </c>
      <c r="E2062" s="173" t="s">
        <v>24</v>
      </c>
      <c r="F2062" s="173" t="s">
        <v>16</v>
      </c>
      <c r="G2062" s="87" t="b">
        <v>1</v>
      </c>
      <c r="H2062" s="87" t="b">
        <v>0</v>
      </c>
      <c r="I2062" s="87" t="b">
        <v>0</v>
      </c>
      <c r="J2062" s="173" t="s">
        <v>451</v>
      </c>
      <c r="K2062" s="174">
        <v>22227973000109</v>
      </c>
      <c r="L2062" s="173" t="s">
        <v>590</v>
      </c>
      <c r="M2062" s="173" t="s">
        <v>29</v>
      </c>
      <c r="N2062" s="173" t="s">
        <v>19</v>
      </c>
      <c r="O2062" s="87">
        <v>70</v>
      </c>
      <c r="P2062" s="173" t="s">
        <v>20</v>
      </c>
      <c r="Q2062" s="1" t="s">
        <v>1346</v>
      </c>
      <c r="R2062" s="175">
        <v>2.5</v>
      </c>
      <c r="S2062">
        <v>1</v>
      </c>
    </row>
    <row r="2063" spans="1:19" x14ac:dyDescent="0.25">
      <c r="A2063" s="87">
        <v>2019</v>
      </c>
      <c r="B2063" s="87">
        <v>10</v>
      </c>
      <c r="C2063" s="173" t="s">
        <v>16</v>
      </c>
      <c r="D2063" s="173" t="s">
        <v>23</v>
      </c>
      <c r="E2063" s="173" t="s">
        <v>24</v>
      </c>
      <c r="F2063" s="173" t="s">
        <v>16</v>
      </c>
      <c r="G2063" s="87" t="b">
        <v>1</v>
      </c>
      <c r="H2063" s="87" t="b">
        <v>0</v>
      </c>
      <c r="I2063" s="87" t="b">
        <v>0</v>
      </c>
      <c r="J2063" s="173" t="s">
        <v>470</v>
      </c>
      <c r="K2063" s="174">
        <v>22233557000105</v>
      </c>
      <c r="L2063" s="173" t="s">
        <v>1095</v>
      </c>
      <c r="M2063" s="173" t="s">
        <v>131</v>
      </c>
      <c r="N2063" s="173" t="s">
        <v>61</v>
      </c>
      <c r="O2063" s="87">
        <v>64</v>
      </c>
      <c r="P2063" s="173" t="s">
        <v>25</v>
      </c>
      <c r="Q2063" s="1" t="s">
        <v>1344</v>
      </c>
      <c r="R2063" s="175">
        <v>1</v>
      </c>
      <c r="S2063">
        <v>1</v>
      </c>
    </row>
    <row r="2064" spans="1:19" x14ac:dyDescent="0.25">
      <c r="A2064" s="87">
        <v>2019</v>
      </c>
      <c r="B2064" s="87">
        <v>10</v>
      </c>
      <c r="C2064" s="173" t="s">
        <v>16</v>
      </c>
      <c r="D2064" s="173" t="s">
        <v>23</v>
      </c>
      <c r="E2064" s="173" t="s">
        <v>24</v>
      </c>
      <c r="F2064" s="173" t="s">
        <v>16</v>
      </c>
      <c r="G2064" s="87" t="b">
        <v>1</v>
      </c>
      <c r="H2064" s="87" t="b">
        <v>0</v>
      </c>
      <c r="I2064" s="87" t="b">
        <v>0</v>
      </c>
      <c r="J2064" s="173" t="s">
        <v>500</v>
      </c>
      <c r="K2064" s="174">
        <v>22233557000105</v>
      </c>
      <c r="L2064" s="173" t="s">
        <v>1095</v>
      </c>
      <c r="M2064" s="173" t="s">
        <v>131</v>
      </c>
      <c r="N2064" s="173" t="s">
        <v>61</v>
      </c>
      <c r="O2064" s="87">
        <v>64</v>
      </c>
      <c r="P2064" s="173" t="s">
        <v>25</v>
      </c>
      <c r="Q2064" s="1" t="s">
        <v>1344</v>
      </c>
      <c r="R2064" s="175">
        <v>1</v>
      </c>
      <c r="S2064">
        <v>1</v>
      </c>
    </row>
    <row r="2065" spans="1:19" x14ac:dyDescent="0.25">
      <c r="A2065" s="87">
        <v>2019</v>
      </c>
      <c r="B2065" s="87">
        <v>10</v>
      </c>
      <c r="C2065" s="173" t="s">
        <v>16</v>
      </c>
      <c r="D2065" s="173" t="s">
        <v>23</v>
      </c>
      <c r="E2065" s="173" t="s">
        <v>24</v>
      </c>
      <c r="F2065" s="173" t="s">
        <v>16</v>
      </c>
      <c r="G2065" s="87" t="b">
        <v>1</v>
      </c>
      <c r="H2065" s="87" t="b">
        <v>0</v>
      </c>
      <c r="I2065" s="87" t="b">
        <v>0</v>
      </c>
      <c r="J2065" s="173" t="s">
        <v>1330</v>
      </c>
      <c r="K2065" s="174">
        <v>22675359000100</v>
      </c>
      <c r="L2065" s="173" t="s">
        <v>1193</v>
      </c>
      <c r="M2065" s="173" t="s">
        <v>540</v>
      </c>
      <c r="N2065" s="173" t="s">
        <v>54</v>
      </c>
      <c r="O2065" s="87">
        <v>70</v>
      </c>
      <c r="P2065" s="173" t="s">
        <v>20</v>
      </c>
      <c r="Q2065" s="1" t="s">
        <v>1338</v>
      </c>
      <c r="R2065" s="175">
        <v>250</v>
      </c>
      <c r="S2065">
        <v>50</v>
      </c>
    </row>
    <row r="2066" spans="1:19" x14ac:dyDescent="0.25">
      <c r="A2066" s="87">
        <v>2019</v>
      </c>
      <c r="B2066" s="87">
        <v>10</v>
      </c>
      <c r="C2066" s="173" t="s">
        <v>16</v>
      </c>
      <c r="D2066" s="173" t="s">
        <v>23</v>
      </c>
      <c r="E2066" s="173" t="s">
        <v>24</v>
      </c>
      <c r="F2066" s="173" t="s">
        <v>16</v>
      </c>
      <c r="G2066" s="87" t="b">
        <v>1</v>
      </c>
      <c r="H2066" s="87" t="b">
        <v>0</v>
      </c>
      <c r="I2066" s="87" t="b">
        <v>0</v>
      </c>
      <c r="J2066" s="173" t="s">
        <v>463</v>
      </c>
      <c r="K2066" s="174">
        <v>23338387000196</v>
      </c>
      <c r="L2066" s="173" t="s">
        <v>1195</v>
      </c>
      <c r="M2066" s="173" t="s">
        <v>90</v>
      </c>
      <c r="N2066" s="173" t="s">
        <v>54</v>
      </c>
      <c r="O2066" s="87">
        <v>73</v>
      </c>
      <c r="P2066" s="173" t="s">
        <v>26</v>
      </c>
      <c r="Q2066" s="1" t="s">
        <v>1340</v>
      </c>
      <c r="R2066" s="175">
        <v>10</v>
      </c>
      <c r="S2066">
        <v>10</v>
      </c>
    </row>
    <row r="2067" spans="1:19" x14ac:dyDescent="0.25">
      <c r="A2067" s="87">
        <v>2019</v>
      </c>
      <c r="B2067" s="87">
        <v>10</v>
      </c>
      <c r="C2067" s="173" t="s">
        <v>16</v>
      </c>
      <c r="D2067" s="173" t="s">
        <v>23</v>
      </c>
      <c r="E2067" s="173" t="s">
        <v>24</v>
      </c>
      <c r="F2067" s="173" t="s">
        <v>16</v>
      </c>
      <c r="G2067" s="87" t="b">
        <v>1</v>
      </c>
      <c r="H2067" s="87" t="b">
        <v>0</v>
      </c>
      <c r="I2067" s="87" t="b">
        <v>0</v>
      </c>
      <c r="J2067" s="173" t="s">
        <v>464</v>
      </c>
      <c r="K2067" s="174">
        <v>23443518000103</v>
      </c>
      <c r="L2067" s="173" t="s">
        <v>903</v>
      </c>
      <c r="M2067" s="173" t="s">
        <v>76</v>
      </c>
      <c r="N2067" s="173" t="s">
        <v>77</v>
      </c>
      <c r="O2067" s="87">
        <v>64</v>
      </c>
      <c r="P2067" s="173" t="s">
        <v>25</v>
      </c>
      <c r="Q2067" s="1" t="s">
        <v>1344</v>
      </c>
      <c r="R2067" s="175">
        <v>2</v>
      </c>
      <c r="S2067">
        <v>2</v>
      </c>
    </row>
    <row r="2068" spans="1:19" x14ac:dyDescent="0.25">
      <c r="A2068" s="87">
        <v>2019</v>
      </c>
      <c r="B2068" s="87">
        <v>10</v>
      </c>
      <c r="C2068" s="173" t="s">
        <v>16</v>
      </c>
      <c r="D2068" s="173" t="s">
        <v>23</v>
      </c>
      <c r="E2068" s="173" t="s">
        <v>24</v>
      </c>
      <c r="F2068" s="173" t="s">
        <v>16</v>
      </c>
      <c r="G2068" s="87" t="b">
        <v>1</v>
      </c>
      <c r="H2068" s="87" t="b">
        <v>0</v>
      </c>
      <c r="I2068" s="87" t="b">
        <v>0</v>
      </c>
      <c r="J2068" s="173" t="s">
        <v>453</v>
      </c>
      <c r="K2068" s="174">
        <v>23813270000117</v>
      </c>
      <c r="L2068" s="173" t="s">
        <v>904</v>
      </c>
      <c r="M2068" s="173" t="s">
        <v>777</v>
      </c>
      <c r="N2068" s="173" t="s">
        <v>72</v>
      </c>
      <c r="O2068" s="87">
        <v>70</v>
      </c>
      <c r="P2068" s="173" t="s">
        <v>20</v>
      </c>
      <c r="Q2068" s="1" t="s">
        <v>1338</v>
      </c>
      <c r="R2068" s="175">
        <v>35</v>
      </c>
      <c r="S2068">
        <v>7</v>
      </c>
    </row>
    <row r="2069" spans="1:19" x14ac:dyDescent="0.25">
      <c r="A2069" s="87">
        <v>2019</v>
      </c>
      <c r="B2069" s="87">
        <v>10</v>
      </c>
      <c r="C2069" s="173" t="s">
        <v>16</v>
      </c>
      <c r="D2069" s="173" t="s">
        <v>23</v>
      </c>
      <c r="E2069" s="173" t="s">
        <v>24</v>
      </c>
      <c r="F2069" s="173" t="s">
        <v>16</v>
      </c>
      <c r="G2069" s="87" t="b">
        <v>1</v>
      </c>
      <c r="H2069" s="87" t="b">
        <v>0</v>
      </c>
      <c r="I2069" s="87" t="b">
        <v>0</v>
      </c>
      <c r="J2069" s="173" t="s">
        <v>451</v>
      </c>
      <c r="K2069" s="174">
        <v>23982118000168</v>
      </c>
      <c r="L2069" s="173" t="s">
        <v>972</v>
      </c>
      <c r="M2069" s="173" t="s">
        <v>930</v>
      </c>
      <c r="N2069" s="173" t="s">
        <v>68</v>
      </c>
      <c r="O2069" s="87">
        <v>70</v>
      </c>
      <c r="P2069" s="173" t="s">
        <v>20</v>
      </c>
      <c r="Q2069" s="1" t="s">
        <v>1338</v>
      </c>
      <c r="R2069" s="175">
        <v>765</v>
      </c>
      <c r="S2069">
        <v>153</v>
      </c>
    </row>
    <row r="2070" spans="1:19" x14ac:dyDescent="0.25">
      <c r="A2070" s="87">
        <v>2019</v>
      </c>
      <c r="B2070" s="87">
        <v>10</v>
      </c>
      <c r="C2070" s="173" t="s">
        <v>16</v>
      </c>
      <c r="D2070" s="173" t="s">
        <v>23</v>
      </c>
      <c r="E2070" s="173" t="s">
        <v>24</v>
      </c>
      <c r="F2070" s="173" t="s">
        <v>16</v>
      </c>
      <c r="G2070" s="87" t="b">
        <v>1</v>
      </c>
      <c r="H2070" s="87" t="b">
        <v>0</v>
      </c>
      <c r="I2070" s="87" t="b">
        <v>0</v>
      </c>
      <c r="J2070" s="173" t="s">
        <v>1330</v>
      </c>
      <c r="K2070" s="174">
        <v>24082016000159</v>
      </c>
      <c r="L2070" s="173" t="s">
        <v>665</v>
      </c>
      <c r="M2070" s="173" t="s">
        <v>657</v>
      </c>
      <c r="N2070" s="173" t="s">
        <v>19</v>
      </c>
      <c r="O2070" s="87">
        <v>70</v>
      </c>
      <c r="P2070" s="173" t="s">
        <v>20</v>
      </c>
      <c r="Q2070" s="1" t="s">
        <v>1338</v>
      </c>
      <c r="R2070" s="175">
        <v>250</v>
      </c>
      <c r="S2070">
        <v>50</v>
      </c>
    </row>
    <row r="2071" spans="1:19" x14ac:dyDescent="0.25">
      <c r="A2071" s="87">
        <v>2019</v>
      </c>
      <c r="B2071" s="87">
        <v>10</v>
      </c>
      <c r="C2071" s="173" t="s">
        <v>16</v>
      </c>
      <c r="D2071" s="173" t="s">
        <v>23</v>
      </c>
      <c r="E2071" s="173" t="s">
        <v>24</v>
      </c>
      <c r="F2071" s="173" t="s">
        <v>16</v>
      </c>
      <c r="G2071" s="87" t="b">
        <v>1</v>
      </c>
      <c r="H2071" s="87" t="b">
        <v>0</v>
      </c>
      <c r="I2071" s="87" t="b">
        <v>0</v>
      </c>
      <c r="J2071" s="173" t="s">
        <v>463</v>
      </c>
      <c r="K2071" s="174">
        <v>25026561000190</v>
      </c>
      <c r="L2071" s="173" t="s">
        <v>666</v>
      </c>
      <c r="M2071" s="173" t="s">
        <v>34</v>
      </c>
      <c r="N2071" s="173" t="s">
        <v>19</v>
      </c>
      <c r="O2071" s="87">
        <v>70</v>
      </c>
      <c r="P2071" s="173" t="s">
        <v>20</v>
      </c>
      <c r="Q2071" s="1" t="s">
        <v>1338</v>
      </c>
      <c r="R2071" s="175">
        <v>40</v>
      </c>
      <c r="S2071">
        <v>8</v>
      </c>
    </row>
    <row r="2072" spans="1:19" x14ac:dyDescent="0.25">
      <c r="A2072" s="87">
        <v>2019</v>
      </c>
      <c r="B2072" s="87">
        <v>10</v>
      </c>
      <c r="C2072" s="173" t="s">
        <v>16</v>
      </c>
      <c r="D2072" s="173" t="s">
        <v>23</v>
      </c>
      <c r="E2072" s="173" t="s">
        <v>24</v>
      </c>
      <c r="F2072" s="173" t="s">
        <v>16</v>
      </c>
      <c r="G2072" s="87" t="b">
        <v>1</v>
      </c>
      <c r="H2072" s="87" t="b">
        <v>0</v>
      </c>
      <c r="I2072" s="87" t="b">
        <v>0</v>
      </c>
      <c r="J2072" s="173" t="s">
        <v>470</v>
      </c>
      <c r="K2072" s="174">
        <v>25761040000187</v>
      </c>
      <c r="L2072" s="173" t="s">
        <v>1202</v>
      </c>
      <c r="M2072" s="173" t="s">
        <v>1171</v>
      </c>
      <c r="N2072" s="173" t="s">
        <v>54</v>
      </c>
      <c r="O2072" s="87">
        <v>62</v>
      </c>
      <c r="P2072" s="173" t="s">
        <v>27</v>
      </c>
      <c r="Q2072" s="1" t="s">
        <v>1343</v>
      </c>
      <c r="R2072" s="175">
        <v>2</v>
      </c>
      <c r="S2072">
        <v>2</v>
      </c>
    </row>
    <row r="2073" spans="1:19" x14ac:dyDescent="0.25">
      <c r="A2073" s="87">
        <v>2019</v>
      </c>
      <c r="B2073" s="87">
        <v>10</v>
      </c>
      <c r="C2073" s="173" t="s">
        <v>16</v>
      </c>
      <c r="D2073" s="173" t="s">
        <v>23</v>
      </c>
      <c r="E2073" s="173" t="s">
        <v>24</v>
      </c>
      <c r="F2073" s="173" t="s">
        <v>16</v>
      </c>
      <c r="G2073" s="87" t="b">
        <v>1</v>
      </c>
      <c r="H2073" s="87" t="b">
        <v>0</v>
      </c>
      <c r="I2073" s="87" t="b">
        <v>0</v>
      </c>
      <c r="J2073" s="173" t="s">
        <v>455</v>
      </c>
      <c r="K2073" s="174">
        <v>26048123000196</v>
      </c>
      <c r="L2073" s="173" t="s">
        <v>667</v>
      </c>
      <c r="M2073" s="173" t="s">
        <v>42</v>
      </c>
      <c r="N2073" s="173" t="s">
        <v>19</v>
      </c>
      <c r="O2073" s="87">
        <v>70</v>
      </c>
      <c r="P2073" s="173" t="s">
        <v>20</v>
      </c>
      <c r="Q2073" s="1" t="s">
        <v>1338</v>
      </c>
      <c r="R2073" s="175">
        <v>40</v>
      </c>
      <c r="S2073">
        <v>8</v>
      </c>
    </row>
    <row r="2074" spans="1:19" x14ac:dyDescent="0.25">
      <c r="A2074" s="87">
        <v>2019</v>
      </c>
      <c r="B2074" s="87">
        <v>10</v>
      </c>
      <c r="C2074" s="173" t="s">
        <v>16</v>
      </c>
      <c r="D2074" s="173" t="s">
        <v>23</v>
      </c>
      <c r="E2074" s="173" t="s">
        <v>24</v>
      </c>
      <c r="F2074" s="173" t="s">
        <v>16</v>
      </c>
      <c r="G2074" s="87" t="b">
        <v>1</v>
      </c>
      <c r="H2074" s="87" t="b">
        <v>0</v>
      </c>
      <c r="I2074" s="87" t="b">
        <v>0</v>
      </c>
      <c r="J2074" s="173" t="s">
        <v>491</v>
      </c>
      <c r="K2074" s="174">
        <v>27372066000169</v>
      </c>
      <c r="L2074" s="173" t="s">
        <v>908</v>
      </c>
      <c r="M2074" s="173" t="s">
        <v>75</v>
      </c>
      <c r="N2074" s="173" t="s">
        <v>74</v>
      </c>
      <c r="O2074" s="87">
        <v>62</v>
      </c>
      <c r="P2074" s="173" t="s">
        <v>27</v>
      </c>
      <c r="Q2074" s="1" t="s">
        <v>1343</v>
      </c>
      <c r="R2074" s="175">
        <v>14</v>
      </c>
      <c r="S2074">
        <v>14</v>
      </c>
    </row>
    <row r="2075" spans="1:19" x14ac:dyDescent="0.25">
      <c r="A2075" s="87">
        <v>2019</v>
      </c>
      <c r="B2075" s="87">
        <v>10</v>
      </c>
      <c r="C2075" s="173" t="s">
        <v>16</v>
      </c>
      <c r="D2075" s="173" t="s">
        <v>23</v>
      </c>
      <c r="E2075" s="173" t="s">
        <v>24</v>
      </c>
      <c r="F2075" s="173" t="s">
        <v>16</v>
      </c>
      <c r="G2075" s="87" t="b">
        <v>1</v>
      </c>
      <c r="H2075" s="87" t="b">
        <v>0</v>
      </c>
      <c r="I2075" s="87" t="b">
        <v>0</v>
      </c>
      <c r="J2075" s="173" t="s">
        <v>491</v>
      </c>
      <c r="K2075" s="174">
        <v>27372066000169</v>
      </c>
      <c r="L2075" s="173" t="s">
        <v>908</v>
      </c>
      <c r="M2075" s="173" t="s">
        <v>75</v>
      </c>
      <c r="N2075" s="173" t="s">
        <v>74</v>
      </c>
      <c r="O2075" s="87">
        <v>64</v>
      </c>
      <c r="P2075" s="173" t="s">
        <v>25</v>
      </c>
      <c r="Q2075" s="1" t="s">
        <v>1344</v>
      </c>
      <c r="R2075" s="175">
        <v>5</v>
      </c>
      <c r="S2075">
        <v>5</v>
      </c>
    </row>
    <row r="2076" spans="1:19" x14ac:dyDescent="0.25">
      <c r="A2076" s="87">
        <v>2019</v>
      </c>
      <c r="B2076" s="87">
        <v>10</v>
      </c>
      <c r="C2076" s="173" t="s">
        <v>16</v>
      </c>
      <c r="D2076" s="173" t="s">
        <v>23</v>
      </c>
      <c r="E2076" s="173" t="s">
        <v>24</v>
      </c>
      <c r="F2076" s="173" t="s">
        <v>16</v>
      </c>
      <c r="G2076" s="87" t="b">
        <v>1</v>
      </c>
      <c r="H2076" s="87" t="b">
        <v>0</v>
      </c>
      <c r="I2076" s="87" t="b">
        <v>0</v>
      </c>
      <c r="J2076" s="173" t="s">
        <v>468</v>
      </c>
      <c r="K2076" s="174">
        <v>27578434001525</v>
      </c>
      <c r="L2076" s="173" t="s">
        <v>1208</v>
      </c>
      <c r="M2076" s="173" t="s">
        <v>1157</v>
      </c>
      <c r="N2076" s="173" t="s">
        <v>98</v>
      </c>
      <c r="O2076" s="87">
        <v>70</v>
      </c>
      <c r="P2076" s="173" t="s">
        <v>20</v>
      </c>
      <c r="Q2076" s="1" t="s">
        <v>1338</v>
      </c>
      <c r="R2076" s="175">
        <v>1000</v>
      </c>
      <c r="S2076">
        <v>200</v>
      </c>
    </row>
    <row r="2077" spans="1:19" x14ac:dyDescent="0.25">
      <c r="A2077" s="87">
        <v>2019</v>
      </c>
      <c r="B2077" s="87">
        <v>10</v>
      </c>
      <c r="C2077" s="173" t="s">
        <v>16</v>
      </c>
      <c r="D2077" s="173" t="s">
        <v>23</v>
      </c>
      <c r="E2077" s="173" t="s">
        <v>24</v>
      </c>
      <c r="F2077" s="173" t="s">
        <v>16</v>
      </c>
      <c r="G2077" s="87" t="b">
        <v>1</v>
      </c>
      <c r="H2077" s="87" t="b">
        <v>0</v>
      </c>
      <c r="I2077" s="87" t="b">
        <v>0</v>
      </c>
      <c r="J2077" s="173" t="s">
        <v>491</v>
      </c>
      <c r="K2077" s="174">
        <v>28000107000159</v>
      </c>
      <c r="L2077" s="173" t="s">
        <v>1099</v>
      </c>
      <c r="M2077" s="173" t="s">
        <v>131</v>
      </c>
      <c r="N2077" s="173" t="s">
        <v>61</v>
      </c>
      <c r="O2077" s="87">
        <v>70</v>
      </c>
      <c r="P2077" s="173" t="s">
        <v>20</v>
      </c>
      <c r="Q2077" s="1" t="s">
        <v>1338</v>
      </c>
      <c r="R2077" s="175">
        <v>60</v>
      </c>
      <c r="S2077">
        <v>12</v>
      </c>
    </row>
    <row r="2078" spans="1:19" x14ac:dyDescent="0.25">
      <c r="A2078" s="87">
        <v>2019</v>
      </c>
      <c r="B2078" s="87">
        <v>10</v>
      </c>
      <c r="C2078" s="173" t="s">
        <v>16</v>
      </c>
      <c r="D2078" s="173" t="s">
        <v>23</v>
      </c>
      <c r="E2078" s="173" t="s">
        <v>24</v>
      </c>
      <c r="F2078" s="173" t="s">
        <v>16</v>
      </c>
      <c r="G2078" s="87" t="b">
        <v>1</v>
      </c>
      <c r="H2078" s="87" t="b">
        <v>0</v>
      </c>
      <c r="I2078" s="87" t="b">
        <v>0</v>
      </c>
      <c r="J2078" s="173" t="s">
        <v>451</v>
      </c>
      <c r="K2078" s="174">
        <v>28000107000159</v>
      </c>
      <c r="L2078" s="173" t="s">
        <v>1099</v>
      </c>
      <c r="M2078" s="173" t="s">
        <v>131</v>
      </c>
      <c r="N2078" s="173" t="s">
        <v>61</v>
      </c>
      <c r="O2078" s="87">
        <v>73</v>
      </c>
      <c r="P2078" s="173" t="s">
        <v>26</v>
      </c>
      <c r="Q2078" s="1" t="s">
        <v>1339</v>
      </c>
      <c r="R2078" s="175">
        <v>12</v>
      </c>
      <c r="S2078">
        <v>6</v>
      </c>
    </row>
    <row r="2079" spans="1:19" x14ac:dyDescent="0.25">
      <c r="A2079" s="87">
        <v>2019</v>
      </c>
      <c r="B2079" s="87">
        <v>10</v>
      </c>
      <c r="C2079" s="173" t="s">
        <v>16</v>
      </c>
      <c r="D2079" s="173" t="s">
        <v>23</v>
      </c>
      <c r="E2079" s="173" t="s">
        <v>24</v>
      </c>
      <c r="F2079" s="173" t="s">
        <v>16</v>
      </c>
      <c r="G2079" s="87" t="b">
        <v>1</v>
      </c>
      <c r="H2079" s="87" t="b">
        <v>0</v>
      </c>
      <c r="I2079" s="87" t="b">
        <v>0</v>
      </c>
      <c r="J2079" s="173" t="s">
        <v>451</v>
      </c>
      <c r="K2079" s="174">
        <v>28000107000159</v>
      </c>
      <c r="L2079" s="173" t="s">
        <v>1099</v>
      </c>
      <c r="M2079" s="173" t="s">
        <v>131</v>
      </c>
      <c r="N2079" s="173" t="s">
        <v>61</v>
      </c>
      <c r="O2079" s="87">
        <v>73</v>
      </c>
      <c r="P2079" s="173" t="s">
        <v>26</v>
      </c>
      <c r="Q2079" s="1" t="s">
        <v>1342</v>
      </c>
      <c r="R2079" s="175">
        <v>140</v>
      </c>
      <c r="S2079">
        <v>35</v>
      </c>
    </row>
    <row r="2080" spans="1:19" x14ac:dyDescent="0.25">
      <c r="A2080" s="87">
        <v>2019</v>
      </c>
      <c r="B2080" s="87">
        <v>10</v>
      </c>
      <c r="C2080" s="173" t="s">
        <v>16</v>
      </c>
      <c r="D2080" s="173" t="s">
        <v>23</v>
      </c>
      <c r="E2080" s="173" t="s">
        <v>24</v>
      </c>
      <c r="F2080" s="173" t="s">
        <v>16</v>
      </c>
      <c r="G2080" s="87" t="b">
        <v>1</v>
      </c>
      <c r="H2080" s="87" t="b">
        <v>0</v>
      </c>
      <c r="I2080" s="87" t="b">
        <v>0</v>
      </c>
      <c r="J2080" s="173" t="s">
        <v>478</v>
      </c>
      <c r="K2080" s="174">
        <v>28137925000106</v>
      </c>
      <c r="L2080" s="173" t="s">
        <v>1210</v>
      </c>
      <c r="M2080" s="173" t="s">
        <v>1157</v>
      </c>
      <c r="N2080" s="173" t="s">
        <v>98</v>
      </c>
      <c r="O2080" s="87">
        <v>70</v>
      </c>
      <c r="P2080" s="173" t="s">
        <v>20</v>
      </c>
      <c r="Q2080" s="1" t="s">
        <v>1338</v>
      </c>
      <c r="R2080" s="175">
        <v>550</v>
      </c>
      <c r="S2080">
        <v>110</v>
      </c>
    </row>
    <row r="2081" spans="1:19" x14ac:dyDescent="0.25">
      <c r="A2081" s="87">
        <v>2019</v>
      </c>
      <c r="B2081" s="87">
        <v>10</v>
      </c>
      <c r="C2081" s="173" t="s">
        <v>16</v>
      </c>
      <c r="D2081" s="173" t="s">
        <v>23</v>
      </c>
      <c r="E2081" s="173" t="s">
        <v>24</v>
      </c>
      <c r="F2081" s="173" t="s">
        <v>16</v>
      </c>
      <c r="G2081" s="87" t="b">
        <v>1</v>
      </c>
      <c r="H2081" s="87" t="b">
        <v>0</v>
      </c>
      <c r="I2081" s="87" t="b">
        <v>0</v>
      </c>
      <c r="J2081" s="173" t="s">
        <v>491</v>
      </c>
      <c r="K2081" s="174">
        <v>28290788000137</v>
      </c>
      <c r="L2081" s="173" t="s">
        <v>591</v>
      </c>
      <c r="M2081" s="173" t="s">
        <v>29</v>
      </c>
      <c r="N2081" s="173" t="s">
        <v>19</v>
      </c>
      <c r="O2081" s="87">
        <v>64</v>
      </c>
      <c r="P2081" s="173" t="s">
        <v>25</v>
      </c>
      <c r="Q2081" s="1" t="s">
        <v>1344</v>
      </c>
      <c r="R2081" s="175">
        <v>14</v>
      </c>
      <c r="S2081">
        <v>14</v>
      </c>
    </row>
    <row r="2082" spans="1:19" x14ac:dyDescent="0.25">
      <c r="A2082" s="87">
        <v>2019</v>
      </c>
      <c r="B2082" s="87">
        <v>10</v>
      </c>
      <c r="C2082" s="173" t="s">
        <v>16</v>
      </c>
      <c r="D2082" s="173" t="s">
        <v>23</v>
      </c>
      <c r="E2082" s="173" t="s">
        <v>24</v>
      </c>
      <c r="F2082" s="173" t="s">
        <v>16</v>
      </c>
      <c r="G2082" s="87" t="b">
        <v>1</v>
      </c>
      <c r="H2082" s="87" t="b">
        <v>0</v>
      </c>
      <c r="I2082" s="87" t="b">
        <v>0</v>
      </c>
      <c r="J2082" s="173" t="s">
        <v>1512</v>
      </c>
      <c r="K2082" s="174">
        <v>28806545000532</v>
      </c>
      <c r="L2082" s="173" t="s">
        <v>1050</v>
      </c>
      <c r="M2082" s="173" t="s">
        <v>1051</v>
      </c>
      <c r="N2082" s="173" t="s">
        <v>61</v>
      </c>
      <c r="O2082" s="87">
        <v>73</v>
      </c>
      <c r="P2082" s="173" t="s">
        <v>26</v>
      </c>
      <c r="Q2082" s="1" t="s">
        <v>1342</v>
      </c>
      <c r="R2082" s="175">
        <v>72</v>
      </c>
      <c r="S2082">
        <v>18</v>
      </c>
    </row>
    <row r="2083" spans="1:19" x14ac:dyDescent="0.25">
      <c r="A2083" s="87">
        <v>2019</v>
      </c>
      <c r="B2083" s="87">
        <v>10</v>
      </c>
      <c r="C2083" s="173" t="s">
        <v>16</v>
      </c>
      <c r="D2083" s="173" t="s">
        <v>23</v>
      </c>
      <c r="E2083" s="173" t="s">
        <v>24</v>
      </c>
      <c r="F2083" s="173" t="s">
        <v>16</v>
      </c>
      <c r="G2083" s="87" t="b">
        <v>1</v>
      </c>
      <c r="H2083" s="87" t="b">
        <v>0</v>
      </c>
      <c r="I2083" s="87" t="b">
        <v>0</v>
      </c>
      <c r="J2083" s="173" t="s">
        <v>491</v>
      </c>
      <c r="K2083" s="174">
        <v>29072642000188</v>
      </c>
      <c r="L2083" s="173" t="s">
        <v>1052</v>
      </c>
      <c r="M2083" s="173" t="s">
        <v>92</v>
      </c>
      <c r="N2083" s="173" t="s">
        <v>61</v>
      </c>
      <c r="O2083" s="87">
        <v>64</v>
      </c>
      <c r="P2083" s="173" t="s">
        <v>25</v>
      </c>
      <c r="Q2083" s="1" t="s">
        <v>1344</v>
      </c>
      <c r="R2083" s="175">
        <v>8</v>
      </c>
      <c r="S2083">
        <v>8</v>
      </c>
    </row>
    <row r="2084" spans="1:19" x14ac:dyDescent="0.25">
      <c r="A2084" s="87">
        <v>2019</v>
      </c>
      <c r="B2084" s="87">
        <v>10</v>
      </c>
      <c r="C2084" s="173" t="s">
        <v>16</v>
      </c>
      <c r="D2084" s="173" t="s">
        <v>23</v>
      </c>
      <c r="E2084" s="173" t="s">
        <v>24</v>
      </c>
      <c r="F2084" s="173" t="s">
        <v>16</v>
      </c>
      <c r="G2084" s="87" t="b">
        <v>1</v>
      </c>
      <c r="H2084" s="87" t="b">
        <v>0</v>
      </c>
      <c r="I2084" s="87" t="b">
        <v>0</v>
      </c>
      <c r="J2084" s="173" t="s">
        <v>450</v>
      </c>
      <c r="K2084" s="174">
        <v>29135795000208</v>
      </c>
      <c r="L2084" s="173" t="s">
        <v>1053</v>
      </c>
      <c r="M2084" s="173" t="s">
        <v>120</v>
      </c>
      <c r="N2084" s="173" t="s">
        <v>61</v>
      </c>
      <c r="O2084" s="87">
        <v>70</v>
      </c>
      <c r="P2084" s="173" t="s">
        <v>20</v>
      </c>
      <c r="Q2084" s="1" t="s">
        <v>1338</v>
      </c>
      <c r="R2084" s="175">
        <v>175</v>
      </c>
      <c r="S2084">
        <v>35</v>
      </c>
    </row>
    <row r="2085" spans="1:19" x14ac:dyDescent="0.25">
      <c r="A2085" s="87">
        <v>2019</v>
      </c>
      <c r="B2085" s="87">
        <v>10</v>
      </c>
      <c r="C2085" s="173" t="s">
        <v>16</v>
      </c>
      <c r="D2085" s="173" t="s">
        <v>23</v>
      </c>
      <c r="E2085" s="173" t="s">
        <v>24</v>
      </c>
      <c r="F2085" s="173" t="s">
        <v>16</v>
      </c>
      <c r="G2085" s="87" t="b">
        <v>1</v>
      </c>
      <c r="H2085" s="87" t="b">
        <v>0</v>
      </c>
      <c r="I2085" s="87" t="b">
        <v>0</v>
      </c>
      <c r="J2085" s="173" t="s">
        <v>491</v>
      </c>
      <c r="K2085" s="174">
        <v>29259736000403</v>
      </c>
      <c r="L2085" s="173" t="s">
        <v>1101</v>
      </c>
      <c r="M2085" s="173" t="s">
        <v>131</v>
      </c>
      <c r="N2085" s="173" t="s">
        <v>61</v>
      </c>
      <c r="O2085" s="87">
        <v>64</v>
      </c>
      <c r="P2085" s="173" t="s">
        <v>25</v>
      </c>
      <c r="Q2085" s="1" t="s">
        <v>1344</v>
      </c>
      <c r="R2085" s="175">
        <v>7</v>
      </c>
      <c r="S2085">
        <v>7</v>
      </c>
    </row>
    <row r="2086" spans="1:19" x14ac:dyDescent="0.25">
      <c r="A2086" s="87">
        <v>2019</v>
      </c>
      <c r="B2086" s="87">
        <v>10</v>
      </c>
      <c r="C2086" s="173" t="s">
        <v>16</v>
      </c>
      <c r="D2086" s="173" t="s">
        <v>23</v>
      </c>
      <c r="E2086" s="173" t="s">
        <v>24</v>
      </c>
      <c r="F2086" s="173" t="s">
        <v>16</v>
      </c>
      <c r="G2086" s="87" t="b">
        <v>1</v>
      </c>
      <c r="H2086" s="87" t="b">
        <v>0</v>
      </c>
      <c r="I2086" s="87" t="b">
        <v>0</v>
      </c>
      <c r="J2086" s="173" t="s">
        <v>450</v>
      </c>
      <c r="K2086" s="174">
        <v>29259736000403</v>
      </c>
      <c r="L2086" s="173" t="s">
        <v>1101</v>
      </c>
      <c r="M2086" s="173" t="s">
        <v>131</v>
      </c>
      <c r="N2086" s="173" t="s">
        <v>61</v>
      </c>
      <c r="O2086" s="87">
        <v>73</v>
      </c>
      <c r="P2086" s="173" t="s">
        <v>26</v>
      </c>
      <c r="Q2086" s="1" t="s">
        <v>1340</v>
      </c>
      <c r="R2086" s="175">
        <v>12</v>
      </c>
      <c r="S2086">
        <v>12</v>
      </c>
    </row>
    <row r="2087" spans="1:19" x14ac:dyDescent="0.25">
      <c r="A2087" s="87">
        <v>2019</v>
      </c>
      <c r="B2087" s="87">
        <v>10</v>
      </c>
      <c r="C2087" s="173" t="s">
        <v>16</v>
      </c>
      <c r="D2087" s="173" t="s">
        <v>23</v>
      </c>
      <c r="E2087" s="173" t="s">
        <v>24</v>
      </c>
      <c r="F2087" s="173" t="s">
        <v>16</v>
      </c>
      <c r="G2087" s="87" t="b">
        <v>1</v>
      </c>
      <c r="H2087" s="87" t="b">
        <v>0</v>
      </c>
      <c r="I2087" s="87" t="b">
        <v>0</v>
      </c>
      <c r="J2087" s="173" t="s">
        <v>477</v>
      </c>
      <c r="K2087" s="174">
        <v>29259736000403</v>
      </c>
      <c r="L2087" s="173" t="s">
        <v>1101</v>
      </c>
      <c r="M2087" s="173" t="s">
        <v>131</v>
      </c>
      <c r="N2087" s="173" t="s">
        <v>61</v>
      </c>
      <c r="O2087" s="87">
        <v>73</v>
      </c>
      <c r="P2087" s="173" t="s">
        <v>26</v>
      </c>
      <c r="Q2087" s="1" t="s">
        <v>1340</v>
      </c>
      <c r="R2087" s="175">
        <v>3</v>
      </c>
      <c r="S2087">
        <v>3</v>
      </c>
    </row>
    <row r="2088" spans="1:19" x14ac:dyDescent="0.25">
      <c r="A2088" s="87">
        <v>2019</v>
      </c>
      <c r="B2088" s="87">
        <v>10</v>
      </c>
      <c r="C2088" s="173" t="s">
        <v>16</v>
      </c>
      <c r="D2088" s="173" t="s">
        <v>23</v>
      </c>
      <c r="E2088" s="173" t="s">
        <v>24</v>
      </c>
      <c r="F2088" s="173" t="s">
        <v>16</v>
      </c>
      <c r="G2088" s="87" t="b">
        <v>1</v>
      </c>
      <c r="H2088" s="87" t="b">
        <v>0</v>
      </c>
      <c r="I2088" s="87" t="b">
        <v>0</v>
      </c>
      <c r="J2088" s="173" t="s">
        <v>451</v>
      </c>
      <c r="K2088" s="174">
        <v>29259736000403</v>
      </c>
      <c r="L2088" s="173" t="s">
        <v>1101</v>
      </c>
      <c r="M2088" s="173" t="s">
        <v>131</v>
      </c>
      <c r="N2088" s="173" t="s">
        <v>61</v>
      </c>
      <c r="O2088" s="87">
        <v>73</v>
      </c>
      <c r="P2088" s="173" t="s">
        <v>26</v>
      </c>
      <c r="Q2088" s="1" t="s">
        <v>1340</v>
      </c>
      <c r="R2088" s="175">
        <v>1</v>
      </c>
      <c r="S2088">
        <v>1</v>
      </c>
    </row>
    <row r="2089" spans="1:19" x14ac:dyDescent="0.25">
      <c r="A2089" s="87">
        <v>2019</v>
      </c>
      <c r="B2089" s="87">
        <v>10</v>
      </c>
      <c r="C2089" s="173" t="s">
        <v>16</v>
      </c>
      <c r="D2089" s="173" t="s">
        <v>23</v>
      </c>
      <c r="E2089" s="173" t="s">
        <v>24</v>
      </c>
      <c r="F2089" s="173" t="s">
        <v>16</v>
      </c>
      <c r="G2089" s="87" t="b">
        <v>1</v>
      </c>
      <c r="H2089" s="87" t="b">
        <v>0</v>
      </c>
      <c r="I2089" s="87" t="b">
        <v>0</v>
      </c>
      <c r="J2089" s="173" t="s">
        <v>455</v>
      </c>
      <c r="K2089" s="174">
        <v>29323454000185</v>
      </c>
      <c r="L2089" s="173" t="s">
        <v>1211</v>
      </c>
      <c r="M2089" s="173" t="s">
        <v>543</v>
      </c>
      <c r="N2089" s="173" t="s">
        <v>98</v>
      </c>
      <c r="O2089" s="87">
        <v>70</v>
      </c>
      <c r="P2089" s="173" t="s">
        <v>20</v>
      </c>
      <c r="Q2089" s="1" t="s">
        <v>1338</v>
      </c>
      <c r="R2089" s="175">
        <v>150</v>
      </c>
      <c r="S2089">
        <v>30</v>
      </c>
    </row>
    <row r="2090" spans="1:19" x14ac:dyDescent="0.25">
      <c r="A2090" s="87">
        <v>2019</v>
      </c>
      <c r="B2090" s="87">
        <v>10</v>
      </c>
      <c r="C2090" s="173" t="s">
        <v>16</v>
      </c>
      <c r="D2090" s="173" t="s">
        <v>23</v>
      </c>
      <c r="E2090" s="173" t="s">
        <v>24</v>
      </c>
      <c r="F2090" s="173" t="s">
        <v>16</v>
      </c>
      <c r="G2090" s="87" t="b">
        <v>1</v>
      </c>
      <c r="H2090" s="87" t="b">
        <v>0</v>
      </c>
      <c r="I2090" s="87" t="b">
        <v>0</v>
      </c>
      <c r="J2090" s="173" t="s">
        <v>470</v>
      </c>
      <c r="K2090" s="174">
        <v>29435005002687</v>
      </c>
      <c r="L2090" s="173" t="s">
        <v>593</v>
      </c>
      <c r="M2090" s="173" t="s">
        <v>29</v>
      </c>
      <c r="N2090" s="173" t="s">
        <v>19</v>
      </c>
      <c r="O2090" s="87">
        <v>64</v>
      </c>
      <c r="P2090" s="173" t="s">
        <v>25</v>
      </c>
      <c r="Q2090" s="1" t="s">
        <v>1344</v>
      </c>
      <c r="R2090" s="175">
        <v>5</v>
      </c>
      <c r="S2090">
        <v>5</v>
      </c>
    </row>
    <row r="2091" spans="1:19" x14ac:dyDescent="0.25">
      <c r="A2091" s="87">
        <v>2019</v>
      </c>
      <c r="B2091" s="87">
        <v>10</v>
      </c>
      <c r="C2091" s="173" t="s">
        <v>16</v>
      </c>
      <c r="D2091" s="173" t="s">
        <v>23</v>
      </c>
      <c r="E2091" s="173" t="s">
        <v>24</v>
      </c>
      <c r="F2091" s="173" t="s">
        <v>16</v>
      </c>
      <c r="G2091" s="87" t="b">
        <v>1</v>
      </c>
      <c r="H2091" s="87" t="b">
        <v>0</v>
      </c>
      <c r="I2091" s="87" t="b">
        <v>0</v>
      </c>
      <c r="J2091" s="173" t="s">
        <v>470</v>
      </c>
      <c r="K2091" s="174">
        <v>29435005002687</v>
      </c>
      <c r="L2091" s="173" t="s">
        <v>593</v>
      </c>
      <c r="M2091" s="173" t="s">
        <v>29</v>
      </c>
      <c r="N2091" s="173" t="s">
        <v>19</v>
      </c>
      <c r="O2091" s="87">
        <v>70</v>
      </c>
      <c r="P2091" s="173" t="s">
        <v>20</v>
      </c>
      <c r="Q2091" s="1" t="s">
        <v>1338</v>
      </c>
      <c r="R2091" s="175">
        <v>1300</v>
      </c>
      <c r="S2091">
        <v>260</v>
      </c>
    </row>
    <row r="2092" spans="1:19" x14ac:dyDescent="0.25">
      <c r="A2092" s="87">
        <v>2019</v>
      </c>
      <c r="B2092" s="87">
        <v>10</v>
      </c>
      <c r="C2092" s="173" t="s">
        <v>16</v>
      </c>
      <c r="D2092" s="173" t="s">
        <v>23</v>
      </c>
      <c r="E2092" s="173" t="s">
        <v>24</v>
      </c>
      <c r="F2092" s="173" t="s">
        <v>16</v>
      </c>
      <c r="G2092" s="87" t="b">
        <v>1</v>
      </c>
      <c r="H2092" s="87" t="b">
        <v>0</v>
      </c>
      <c r="I2092" s="87" t="b">
        <v>0</v>
      </c>
      <c r="J2092" s="173" t="s">
        <v>470</v>
      </c>
      <c r="K2092" s="174">
        <v>29435005003497</v>
      </c>
      <c r="L2092" s="173" t="s">
        <v>1054</v>
      </c>
      <c r="M2092" s="173" t="s">
        <v>78</v>
      </c>
      <c r="N2092" s="173" t="s">
        <v>61</v>
      </c>
      <c r="O2092" s="87">
        <v>62</v>
      </c>
      <c r="P2092" s="173" t="s">
        <v>27</v>
      </c>
      <c r="Q2092" s="1" t="s">
        <v>1343</v>
      </c>
      <c r="R2092" s="175">
        <v>3</v>
      </c>
      <c r="S2092">
        <v>3</v>
      </c>
    </row>
    <row r="2093" spans="1:19" x14ac:dyDescent="0.25">
      <c r="A2093" s="87">
        <v>2019</v>
      </c>
      <c r="B2093" s="87">
        <v>10</v>
      </c>
      <c r="C2093" s="173" t="s">
        <v>16</v>
      </c>
      <c r="D2093" s="173" t="s">
        <v>23</v>
      </c>
      <c r="E2093" s="173" t="s">
        <v>24</v>
      </c>
      <c r="F2093" s="173" t="s">
        <v>16</v>
      </c>
      <c r="G2093" s="87" t="b">
        <v>1</v>
      </c>
      <c r="H2093" s="87" t="b">
        <v>0</v>
      </c>
      <c r="I2093" s="87" t="b">
        <v>0</v>
      </c>
      <c r="J2093" s="173" t="s">
        <v>470</v>
      </c>
      <c r="K2093" s="174">
        <v>29435005003497</v>
      </c>
      <c r="L2093" s="173" t="s">
        <v>1054</v>
      </c>
      <c r="M2093" s="173" t="s">
        <v>78</v>
      </c>
      <c r="N2093" s="173" t="s">
        <v>61</v>
      </c>
      <c r="O2093" s="87">
        <v>64</v>
      </c>
      <c r="P2093" s="173" t="s">
        <v>25</v>
      </c>
      <c r="Q2093" s="1" t="s">
        <v>1344</v>
      </c>
      <c r="R2093" s="175">
        <v>14</v>
      </c>
      <c r="S2093">
        <v>14</v>
      </c>
    </row>
    <row r="2094" spans="1:19" x14ac:dyDescent="0.25">
      <c r="A2094" s="87">
        <v>2019</v>
      </c>
      <c r="B2094" s="87">
        <v>10</v>
      </c>
      <c r="C2094" s="173" t="s">
        <v>16</v>
      </c>
      <c r="D2094" s="173" t="s">
        <v>23</v>
      </c>
      <c r="E2094" s="173" t="s">
        <v>24</v>
      </c>
      <c r="F2094" s="173" t="s">
        <v>16</v>
      </c>
      <c r="G2094" s="87" t="b">
        <v>1</v>
      </c>
      <c r="H2094" s="87" t="b">
        <v>0</v>
      </c>
      <c r="I2094" s="87" t="b">
        <v>0</v>
      </c>
      <c r="J2094" s="173" t="s">
        <v>470</v>
      </c>
      <c r="K2094" s="174">
        <v>29435005004540</v>
      </c>
      <c r="L2094" s="173" t="s">
        <v>594</v>
      </c>
      <c r="M2094" s="173" t="s">
        <v>29</v>
      </c>
      <c r="N2094" s="173" t="s">
        <v>19</v>
      </c>
      <c r="O2094" s="87">
        <v>70</v>
      </c>
      <c r="P2094" s="173" t="s">
        <v>20</v>
      </c>
      <c r="Q2094" s="1" t="s">
        <v>1338</v>
      </c>
      <c r="R2094" s="175">
        <v>250</v>
      </c>
      <c r="S2094">
        <v>50</v>
      </c>
    </row>
    <row r="2095" spans="1:19" x14ac:dyDescent="0.25">
      <c r="A2095" s="87">
        <v>2019</v>
      </c>
      <c r="B2095" s="87">
        <v>10</v>
      </c>
      <c r="C2095" s="173" t="s">
        <v>16</v>
      </c>
      <c r="D2095" s="173" t="s">
        <v>23</v>
      </c>
      <c r="E2095" s="173" t="s">
        <v>24</v>
      </c>
      <c r="F2095" s="173" t="s">
        <v>16</v>
      </c>
      <c r="G2095" s="87" t="b">
        <v>1</v>
      </c>
      <c r="H2095" s="87" t="b">
        <v>0</v>
      </c>
      <c r="I2095" s="87" t="b">
        <v>0</v>
      </c>
      <c r="J2095" s="173" t="s">
        <v>470</v>
      </c>
      <c r="K2095" s="174">
        <v>29435005004620</v>
      </c>
      <c r="L2095" s="173" t="s">
        <v>911</v>
      </c>
      <c r="M2095" s="173" t="s">
        <v>739</v>
      </c>
      <c r="N2095" s="173" t="s">
        <v>55</v>
      </c>
      <c r="O2095" s="87">
        <v>62</v>
      </c>
      <c r="P2095" s="173" t="s">
        <v>27</v>
      </c>
      <c r="Q2095" s="1" t="s">
        <v>1343</v>
      </c>
      <c r="R2095" s="175">
        <v>2</v>
      </c>
      <c r="S2095">
        <v>2</v>
      </c>
    </row>
    <row r="2096" spans="1:19" x14ac:dyDescent="0.25">
      <c r="A2096" s="87">
        <v>2019</v>
      </c>
      <c r="B2096" s="87">
        <v>10</v>
      </c>
      <c r="C2096" s="173" t="s">
        <v>16</v>
      </c>
      <c r="D2096" s="173" t="s">
        <v>23</v>
      </c>
      <c r="E2096" s="173" t="s">
        <v>24</v>
      </c>
      <c r="F2096" s="173" t="s">
        <v>16</v>
      </c>
      <c r="G2096" s="87" t="b">
        <v>1</v>
      </c>
      <c r="H2096" s="87" t="b">
        <v>0</v>
      </c>
      <c r="I2096" s="87" t="b">
        <v>0</v>
      </c>
      <c r="J2096" s="173" t="s">
        <v>470</v>
      </c>
      <c r="K2096" s="174">
        <v>29435005005198</v>
      </c>
      <c r="L2096" s="173" t="s">
        <v>1102</v>
      </c>
      <c r="M2096" s="173" t="s">
        <v>131</v>
      </c>
      <c r="N2096" s="173" t="s">
        <v>61</v>
      </c>
      <c r="O2096" s="87">
        <v>62</v>
      </c>
      <c r="P2096" s="173" t="s">
        <v>27</v>
      </c>
      <c r="Q2096" s="1" t="s">
        <v>1343</v>
      </c>
      <c r="R2096" s="175">
        <v>61</v>
      </c>
      <c r="S2096">
        <v>61</v>
      </c>
    </row>
    <row r="2097" spans="1:19" x14ac:dyDescent="0.25">
      <c r="A2097" s="87">
        <v>2019</v>
      </c>
      <c r="B2097" s="87">
        <v>10</v>
      </c>
      <c r="C2097" s="173" t="s">
        <v>16</v>
      </c>
      <c r="D2097" s="173" t="s">
        <v>23</v>
      </c>
      <c r="E2097" s="173" t="s">
        <v>24</v>
      </c>
      <c r="F2097" s="173" t="s">
        <v>16</v>
      </c>
      <c r="G2097" s="87" t="b">
        <v>1</v>
      </c>
      <c r="H2097" s="87" t="b">
        <v>0</v>
      </c>
      <c r="I2097" s="87" t="b">
        <v>0</v>
      </c>
      <c r="J2097" s="173" t="s">
        <v>470</v>
      </c>
      <c r="K2097" s="174">
        <v>29435005005198</v>
      </c>
      <c r="L2097" s="173" t="s">
        <v>1102</v>
      </c>
      <c r="M2097" s="173" t="s">
        <v>131</v>
      </c>
      <c r="N2097" s="173" t="s">
        <v>61</v>
      </c>
      <c r="O2097" s="87">
        <v>64</v>
      </c>
      <c r="P2097" s="173" t="s">
        <v>25</v>
      </c>
      <c r="Q2097" s="1" t="s">
        <v>1344</v>
      </c>
      <c r="R2097" s="175">
        <v>26</v>
      </c>
      <c r="S2097">
        <v>26</v>
      </c>
    </row>
    <row r="2098" spans="1:19" x14ac:dyDescent="0.25">
      <c r="A2098" s="87">
        <v>2019</v>
      </c>
      <c r="B2098" s="87">
        <v>10</v>
      </c>
      <c r="C2098" s="173" t="s">
        <v>16</v>
      </c>
      <c r="D2098" s="173" t="s">
        <v>23</v>
      </c>
      <c r="E2098" s="173" t="s">
        <v>24</v>
      </c>
      <c r="F2098" s="173" t="s">
        <v>16</v>
      </c>
      <c r="G2098" s="87" t="b">
        <v>1</v>
      </c>
      <c r="H2098" s="87" t="b">
        <v>0</v>
      </c>
      <c r="I2098" s="87" t="b">
        <v>0</v>
      </c>
      <c r="J2098" s="173" t="s">
        <v>470</v>
      </c>
      <c r="K2098" s="174">
        <v>29435005005600</v>
      </c>
      <c r="L2098" s="173" t="s">
        <v>974</v>
      </c>
      <c r="M2098" s="173" t="s">
        <v>94</v>
      </c>
      <c r="N2098" s="173" t="s">
        <v>57</v>
      </c>
      <c r="O2098" s="87">
        <v>70</v>
      </c>
      <c r="P2098" s="173" t="s">
        <v>20</v>
      </c>
      <c r="Q2098" s="1" t="s">
        <v>1338</v>
      </c>
      <c r="R2098" s="175">
        <v>310</v>
      </c>
      <c r="S2098">
        <v>62</v>
      </c>
    </row>
    <row r="2099" spans="1:19" x14ac:dyDescent="0.25">
      <c r="A2099" s="87">
        <v>2019</v>
      </c>
      <c r="B2099" s="87">
        <v>10</v>
      </c>
      <c r="C2099" s="173" t="s">
        <v>16</v>
      </c>
      <c r="D2099" s="173" t="s">
        <v>23</v>
      </c>
      <c r="E2099" s="173" t="s">
        <v>24</v>
      </c>
      <c r="F2099" s="173" t="s">
        <v>16</v>
      </c>
      <c r="G2099" s="87" t="b">
        <v>1</v>
      </c>
      <c r="H2099" s="87" t="b">
        <v>0</v>
      </c>
      <c r="I2099" s="87" t="b">
        <v>0</v>
      </c>
      <c r="J2099" s="173" t="s">
        <v>470</v>
      </c>
      <c r="K2099" s="174">
        <v>29435005005783</v>
      </c>
      <c r="L2099" s="173" t="s">
        <v>1104</v>
      </c>
      <c r="M2099" s="173" t="s">
        <v>131</v>
      </c>
      <c r="N2099" s="173" t="s">
        <v>61</v>
      </c>
      <c r="O2099" s="87">
        <v>70</v>
      </c>
      <c r="P2099" s="173" t="s">
        <v>20</v>
      </c>
      <c r="Q2099" s="1" t="s">
        <v>1338</v>
      </c>
      <c r="R2099" s="175">
        <v>305</v>
      </c>
      <c r="S2099">
        <v>61</v>
      </c>
    </row>
    <row r="2100" spans="1:19" x14ac:dyDescent="0.25">
      <c r="A2100" s="87">
        <v>2019</v>
      </c>
      <c r="B2100" s="87">
        <v>10</v>
      </c>
      <c r="C2100" s="173" t="s">
        <v>16</v>
      </c>
      <c r="D2100" s="173" t="s">
        <v>23</v>
      </c>
      <c r="E2100" s="173" t="s">
        <v>24</v>
      </c>
      <c r="F2100" s="173" t="s">
        <v>16</v>
      </c>
      <c r="G2100" s="87" t="b">
        <v>1</v>
      </c>
      <c r="H2100" s="87" t="b">
        <v>0</v>
      </c>
      <c r="I2100" s="87" t="b">
        <v>0</v>
      </c>
      <c r="J2100" s="173" t="s">
        <v>470</v>
      </c>
      <c r="K2100" s="174">
        <v>29435005007484</v>
      </c>
      <c r="L2100" s="173" t="s">
        <v>912</v>
      </c>
      <c r="M2100" s="173" t="s">
        <v>76</v>
      </c>
      <c r="N2100" s="173" t="s">
        <v>77</v>
      </c>
      <c r="O2100" s="87">
        <v>62</v>
      </c>
      <c r="P2100" s="173" t="s">
        <v>27</v>
      </c>
      <c r="Q2100" s="1" t="s">
        <v>1343</v>
      </c>
      <c r="R2100" s="175">
        <v>17</v>
      </c>
      <c r="S2100">
        <v>17</v>
      </c>
    </row>
    <row r="2101" spans="1:19" x14ac:dyDescent="0.25">
      <c r="A2101" s="87">
        <v>2019</v>
      </c>
      <c r="B2101" s="87">
        <v>10</v>
      </c>
      <c r="C2101" s="173" t="s">
        <v>16</v>
      </c>
      <c r="D2101" s="173" t="s">
        <v>23</v>
      </c>
      <c r="E2101" s="173" t="s">
        <v>24</v>
      </c>
      <c r="F2101" s="173" t="s">
        <v>16</v>
      </c>
      <c r="G2101" s="87" t="b">
        <v>1</v>
      </c>
      <c r="H2101" s="87" t="b">
        <v>0</v>
      </c>
      <c r="I2101" s="87" t="b">
        <v>0</v>
      </c>
      <c r="J2101" s="173" t="s">
        <v>470</v>
      </c>
      <c r="K2101" s="174">
        <v>29435005007484</v>
      </c>
      <c r="L2101" s="173" t="s">
        <v>912</v>
      </c>
      <c r="M2101" s="173" t="s">
        <v>76</v>
      </c>
      <c r="N2101" s="173" t="s">
        <v>77</v>
      </c>
      <c r="O2101" s="87">
        <v>64</v>
      </c>
      <c r="P2101" s="173" t="s">
        <v>25</v>
      </c>
      <c r="Q2101" s="1" t="s">
        <v>1344</v>
      </c>
      <c r="R2101" s="175">
        <v>20</v>
      </c>
      <c r="S2101">
        <v>20</v>
      </c>
    </row>
    <row r="2102" spans="1:19" x14ac:dyDescent="0.25">
      <c r="A2102" s="87">
        <v>2019</v>
      </c>
      <c r="B2102" s="87">
        <v>10</v>
      </c>
      <c r="C2102" s="173" t="s">
        <v>16</v>
      </c>
      <c r="D2102" s="173" t="s">
        <v>23</v>
      </c>
      <c r="E2102" s="173" t="s">
        <v>24</v>
      </c>
      <c r="F2102" s="173" t="s">
        <v>16</v>
      </c>
      <c r="G2102" s="87" t="b">
        <v>1</v>
      </c>
      <c r="H2102" s="87" t="b">
        <v>0</v>
      </c>
      <c r="I2102" s="87" t="b">
        <v>0</v>
      </c>
      <c r="J2102" s="173" t="s">
        <v>470</v>
      </c>
      <c r="K2102" s="174">
        <v>29435005007484</v>
      </c>
      <c r="L2102" s="173" t="s">
        <v>912</v>
      </c>
      <c r="M2102" s="173" t="s">
        <v>76</v>
      </c>
      <c r="N2102" s="173" t="s">
        <v>77</v>
      </c>
      <c r="O2102" s="87">
        <v>70</v>
      </c>
      <c r="P2102" s="173" t="s">
        <v>20</v>
      </c>
      <c r="Q2102" s="1" t="s">
        <v>1338</v>
      </c>
      <c r="R2102" s="175">
        <v>105</v>
      </c>
      <c r="S2102">
        <v>21</v>
      </c>
    </row>
    <row r="2103" spans="1:19" x14ac:dyDescent="0.25">
      <c r="A2103" s="87">
        <v>2019</v>
      </c>
      <c r="B2103" s="87">
        <v>10</v>
      </c>
      <c r="C2103" s="173" t="s">
        <v>16</v>
      </c>
      <c r="D2103" s="173" t="s">
        <v>23</v>
      </c>
      <c r="E2103" s="173" t="s">
        <v>24</v>
      </c>
      <c r="F2103" s="173" t="s">
        <v>16</v>
      </c>
      <c r="G2103" s="87" t="b">
        <v>1</v>
      </c>
      <c r="H2103" s="87" t="b">
        <v>0</v>
      </c>
      <c r="I2103" s="87" t="b">
        <v>0</v>
      </c>
      <c r="J2103" s="173" t="s">
        <v>470</v>
      </c>
      <c r="K2103" s="174">
        <v>29435005008294</v>
      </c>
      <c r="L2103" s="173" t="s">
        <v>671</v>
      </c>
      <c r="M2103" s="173" t="s">
        <v>36</v>
      </c>
      <c r="N2103" s="173" t="s">
        <v>19</v>
      </c>
      <c r="O2103" s="87">
        <v>70</v>
      </c>
      <c r="P2103" s="173" t="s">
        <v>20</v>
      </c>
      <c r="Q2103" s="1" t="s">
        <v>1338</v>
      </c>
      <c r="R2103" s="175">
        <v>250</v>
      </c>
      <c r="S2103">
        <v>50</v>
      </c>
    </row>
    <row r="2104" spans="1:19" x14ac:dyDescent="0.25">
      <c r="A2104" s="87">
        <v>2019</v>
      </c>
      <c r="B2104" s="87">
        <v>10</v>
      </c>
      <c r="C2104" s="173" t="s">
        <v>16</v>
      </c>
      <c r="D2104" s="173" t="s">
        <v>23</v>
      </c>
      <c r="E2104" s="173" t="s">
        <v>24</v>
      </c>
      <c r="F2104" s="173" t="s">
        <v>16</v>
      </c>
      <c r="G2104" s="87" t="b">
        <v>1</v>
      </c>
      <c r="H2104" s="87" t="b">
        <v>0</v>
      </c>
      <c r="I2104" s="87" t="b">
        <v>0</v>
      </c>
      <c r="J2104" s="173" t="s">
        <v>470</v>
      </c>
      <c r="K2104" s="174">
        <v>29435005008456</v>
      </c>
      <c r="L2104" s="173" t="s">
        <v>672</v>
      </c>
      <c r="M2104" s="173" t="s">
        <v>33</v>
      </c>
      <c r="N2104" s="173" t="s">
        <v>19</v>
      </c>
      <c r="O2104" s="87">
        <v>70</v>
      </c>
      <c r="P2104" s="173" t="s">
        <v>20</v>
      </c>
      <c r="Q2104" s="1" t="s">
        <v>1338</v>
      </c>
      <c r="R2104" s="175">
        <v>175</v>
      </c>
      <c r="S2104">
        <v>35</v>
      </c>
    </row>
    <row r="2105" spans="1:19" x14ac:dyDescent="0.25">
      <c r="A2105" s="87">
        <v>2019</v>
      </c>
      <c r="B2105" s="87">
        <v>10</v>
      </c>
      <c r="C2105" s="173" t="s">
        <v>16</v>
      </c>
      <c r="D2105" s="173" t="s">
        <v>23</v>
      </c>
      <c r="E2105" s="173" t="s">
        <v>24</v>
      </c>
      <c r="F2105" s="173" t="s">
        <v>16</v>
      </c>
      <c r="G2105" s="87" t="b">
        <v>1</v>
      </c>
      <c r="H2105" s="87" t="b">
        <v>0</v>
      </c>
      <c r="I2105" s="87" t="b">
        <v>0</v>
      </c>
      <c r="J2105" s="173" t="s">
        <v>470</v>
      </c>
      <c r="K2105" s="174">
        <v>29435005009851</v>
      </c>
      <c r="L2105" s="173" t="s">
        <v>913</v>
      </c>
      <c r="M2105" s="173" t="s">
        <v>62</v>
      </c>
      <c r="N2105" s="173" t="s">
        <v>63</v>
      </c>
      <c r="O2105" s="87">
        <v>70</v>
      </c>
      <c r="P2105" s="173" t="s">
        <v>20</v>
      </c>
      <c r="Q2105" s="1" t="s">
        <v>1338</v>
      </c>
      <c r="R2105" s="175">
        <v>100</v>
      </c>
      <c r="S2105">
        <v>20</v>
      </c>
    </row>
    <row r="2106" spans="1:19" x14ac:dyDescent="0.25">
      <c r="A2106" s="87">
        <v>2019</v>
      </c>
      <c r="B2106" s="87">
        <v>10</v>
      </c>
      <c r="C2106" s="173" t="s">
        <v>16</v>
      </c>
      <c r="D2106" s="173" t="s">
        <v>23</v>
      </c>
      <c r="E2106" s="173" t="s">
        <v>24</v>
      </c>
      <c r="F2106" s="173" t="s">
        <v>16</v>
      </c>
      <c r="G2106" s="87" t="b">
        <v>1</v>
      </c>
      <c r="H2106" s="87" t="b">
        <v>0</v>
      </c>
      <c r="I2106" s="87" t="b">
        <v>0</v>
      </c>
      <c r="J2106" s="173" t="s">
        <v>470</v>
      </c>
      <c r="K2106" s="174">
        <v>29435005009932</v>
      </c>
      <c r="L2106" s="173" t="s">
        <v>595</v>
      </c>
      <c r="M2106" s="173" t="s">
        <v>29</v>
      </c>
      <c r="N2106" s="173" t="s">
        <v>19</v>
      </c>
      <c r="O2106" s="87">
        <v>62</v>
      </c>
      <c r="P2106" s="173" t="s">
        <v>27</v>
      </c>
      <c r="Q2106" s="1" t="s">
        <v>1343</v>
      </c>
      <c r="R2106" s="175">
        <v>30</v>
      </c>
      <c r="S2106">
        <v>30</v>
      </c>
    </row>
    <row r="2107" spans="1:19" x14ac:dyDescent="0.25">
      <c r="A2107" s="87">
        <v>2019</v>
      </c>
      <c r="B2107" s="87">
        <v>10</v>
      </c>
      <c r="C2107" s="173" t="s">
        <v>16</v>
      </c>
      <c r="D2107" s="173" t="s">
        <v>23</v>
      </c>
      <c r="E2107" s="173" t="s">
        <v>24</v>
      </c>
      <c r="F2107" s="173" t="s">
        <v>16</v>
      </c>
      <c r="G2107" s="87" t="b">
        <v>1</v>
      </c>
      <c r="H2107" s="87" t="b">
        <v>0</v>
      </c>
      <c r="I2107" s="87" t="b">
        <v>0</v>
      </c>
      <c r="J2107" s="173" t="s">
        <v>470</v>
      </c>
      <c r="K2107" s="174">
        <v>29435005009932</v>
      </c>
      <c r="L2107" s="173" t="s">
        <v>595</v>
      </c>
      <c r="M2107" s="173" t="s">
        <v>29</v>
      </c>
      <c r="N2107" s="173" t="s">
        <v>19</v>
      </c>
      <c r="O2107" s="87">
        <v>70</v>
      </c>
      <c r="P2107" s="173" t="s">
        <v>20</v>
      </c>
      <c r="Q2107" s="1" t="s">
        <v>1338</v>
      </c>
      <c r="R2107" s="175">
        <v>650</v>
      </c>
      <c r="S2107">
        <v>130</v>
      </c>
    </row>
    <row r="2108" spans="1:19" x14ac:dyDescent="0.25">
      <c r="A2108" s="87">
        <v>2019</v>
      </c>
      <c r="B2108" s="87">
        <v>10</v>
      </c>
      <c r="C2108" s="173" t="s">
        <v>16</v>
      </c>
      <c r="D2108" s="173" t="s">
        <v>23</v>
      </c>
      <c r="E2108" s="173" t="s">
        <v>24</v>
      </c>
      <c r="F2108" s="173" t="s">
        <v>16</v>
      </c>
      <c r="G2108" s="87" t="b">
        <v>1</v>
      </c>
      <c r="H2108" s="87" t="b">
        <v>0</v>
      </c>
      <c r="I2108" s="87" t="b">
        <v>0</v>
      </c>
      <c r="J2108" s="173" t="s">
        <v>452</v>
      </c>
      <c r="K2108" s="174">
        <v>30117769000155</v>
      </c>
      <c r="L2108" s="173" t="s">
        <v>976</v>
      </c>
      <c r="M2108" s="173" t="s">
        <v>94</v>
      </c>
      <c r="N2108" s="173" t="s">
        <v>57</v>
      </c>
      <c r="O2108" s="87">
        <v>70</v>
      </c>
      <c r="P2108" s="173" t="s">
        <v>20</v>
      </c>
      <c r="Q2108" s="1" t="s">
        <v>1338</v>
      </c>
      <c r="R2108" s="175">
        <v>150</v>
      </c>
      <c r="S2108">
        <v>30</v>
      </c>
    </row>
    <row r="2109" spans="1:19" x14ac:dyDescent="0.25">
      <c r="A2109" s="87">
        <v>2019</v>
      </c>
      <c r="B2109" s="87">
        <v>10</v>
      </c>
      <c r="C2109" s="173" t="s">
        <v>16</v>
      </c>
      <c r="D2109" s="173" t="s">
        <v>23</v>
      </c>
      <c r="E2109" s="173" t="s">
        <v>24</v>
      </c>
      <c r="F2109" s="173" t="s">
        <v>16</v>
      </c>
      <c r="G2109" s="87" t="b">
        <v>1</v>
      </c>
      <c r="H2109" s="87" t="b">
        <v>0</v>
      </c>
      <c r="I2109" s="87" t="b">
        <v>0</v>
      </c>
      <c r="J2109" s="173" t="s">
        <v>495</v>
      </c>
      <c r="K2109" s="174">
        <v>30117769000155</v>
      </c>
      <c r="L2109" s="173" t="s">
        <v>976</v>
      </c>
      <c r="M2109" s="173" t="s">
        <v>94</v>
      </c>
      <c r="N2109" s="173" t="s">
        <v>57</v>
      </c>
      <c r="O2109" s="87">
        <v>70</v>
      </c>
      <c r="P2109" s="173" t="s">
        <v>20</v>
      </c>
      <c r="Q2109" s="1" t="s">
        <v>1338</v>
      </c>
      <c r="R2109" s="175">
        <v>200</v>
      </c>
      <c r="S2109">
        <v>40</v>
      </c>
    </row>
    <row r="2110" spans="1:19" x14ac:dyDescent="0.25">
      <c r="A2110" s="87">
        <v>2019</v>
      </c>
      <c r="B2110" s="87">
        <v>10</v>
      </c>
      <c r="C2110" s="173" t="s">
        <v>16</v>
      </c>
      <c r="D2110" s="173" t="s">
        <v>23</v>
      </c>
      <c r="E2110" s="173" t="s">
        <v>24</v>
      </c>
      <c r="F2110" s="173" t="s">
        <v>16</v>
      </c>
      <c r="G2110" s="87" t="b">
        <v>1</v>
      </c>
      <c r="H2110" s="87" t="b">
        <v>0</v>
      </c>
      <c r="I2110" s="87" t="b">
        <v>0</v>
      </c>
      <c r="J2110" s="173" t="s">
        <v>491</v>
      </c>
      <c r="K2110" s="174">
        <v>30145502000171</v>
      </c>
      <c r="L2110" s="173" t="s">
        <v>1057</v>
      </c>
      <c r="M2110" s="173" t="s">
        <v>1039</v>
      </c>
      <c r="N2110" s="173" t="s">
        <v>61</v>
      </c>
      <c r="O2110" s="87">
        <v>64</v>
      </c>
      <c r="P2110" s="173" t="s">
        <v>25</v>
      </c>
      <c r="Q2110" s="1" t="s">
        <v>1344</v>
      </c>
      <c r="R2110" s="175">
        <v>10</v>
      </c>
      <c r="S2110">
        <v>10</v>
      </c>
    </row>
    <row r="2111" spans="1:19" x14ac:dyDescent="0.25">
      <c r="A2111" s="87">
        <v>2019</v>
      </c>
      <c r="B2111" s="87">
        <v>10</v>
      </c>
      <c r="C2111" s="173" t="s">
        <v>16</v>
      </c>
      <c r="D2111" s="173" t="s">
        <v>23</v>
      </c>
      <c r="E2111" s="173" t="s">
        <v>24</v>
      </c>
      <c r="F2111" s="173" t="s">
        <v>16</v>
      </c>
      <c r="G2111" s="87" t="b">
        <v>1</v>
      </c>
      <c r="H2111" s="87" t="b">
        <v>0</v>
      </c>
      <c r="I2111" s="87" t="b">
        <v>0</v>
      </c>
      <c r="J2111" s="173" t="s">
        <v>477</v>
      </c>
      <c r="K2111" s="174">
        <v>30537740000122</v>
      </c>
      <c r="L2111" s="173" t="s">
        <v>1058</v>
      </c>
      <c r="M2111" s="173" t="s">
        <v>120</v>
      </c>
      <c r="N2111" s="173" t="s">
        <v>61</v>
      </c>
      <c r="O2111" s="87">
        <v>70</v>
      </c>
      <c r="P2111" s="173" t="s">
        <v>20</v>
      </c>
      <c r="Q2111" s="1" t="s">
        <v>1338</v>
      </c>
      <c r="R2111" s="175">
        <v>60</v>
      </c>
      <c r="S2111">
        <v>12</v>
      </c>
    </row>
    <row r="2112" spans="1:19" x14ac:dyDescent="0.25">
      <c r="A2112" s="87">
        <v>2019</v>
      </c>
      <c r="B2112" s="87">
        <v>10</v>
      </c>
      <c r="C2112" s="173" t="s">
        <v>16</v>
      </c>
      <c r="D2112" s="173" t="s">
        <v>23</v>
      </c>
      <c r="E2112" s="173" t="s">
        <v>24</v>
      </c>
      <c r="F2112" s="173" t="s">
        <v>16</v>
      </c>
      <c r="G2112" s="87" t="b">
        <v>1</v>
      </c>
      <c r="H2112" s="87" t="b">
        <v>0</v>
      </c>
      <c r="I2112" s="87" t="b">
        <v>0</v>
      </c>
      <c r="J2112" s="173" t="s">
        <v>477</v>
      </c>
      <c r="K2112" s="174">
        <v>31635857000292</v>
      </c>
      <c r="L2112" s="173" t="s">
        <v>1107</v>
      </c>
      <c r="M2112" s="173" t="s">
        <v>131</v>
      </c>
      <c r="N2112" s="173" t="s">
        <v>61</v>
      </c>
      <c r="O2112" s="87">
        <v>73</v>
      </c>
      <c r="P2112" s="173" t="s">
        <v>26</v>
      </c>
      <c r="Q2112" s="1" t="s">
        <v>1342</v>
      </c>
      <c r="R2112" s="175">
        <v>16</v>
      </c>
      <c r="S2112">
        <v>4</v>
      </c>
    </row>
    <row r="2113" spans="1:19" x14ac:dyDescent="0.25">
      <c r="A2113" s="87">
        <v>2019</v>
      </c>
      <c r="B2113" s="87">
        <v>10</v>
      </c>
      <c r="C2113" s="173" t="s">
        <v>16</v>
      </c>
      <c r="D2113" s="173" t="s">
        <v>23</v>
      </c>
      <c r="E2113" s="173" t="s">
        <v>24</v>
      </c>
      <c r="F2113" s="173" t="s">
        <v>16</v>
      </c>
      <c r="G2113" s="87" t="b">
        <v>1</v>
      </c>
      <c r="H2113" s="87" t="b">
        <v>0</v>
      </c>
      <c r="I2113" s="87" t="b">
        <v>0</v>
      </c>
      <c r="J2113" s="173" t="s">
        <v>1512</v>
      </c>
      <c r="K2113" s="174">
        <v>31635857000292</v>
      </c>
      <c r="L2113" s="173" t="s">
        <v>1107</v>
      </c>
      <c r="M2113" s="173" t="s">
        <v>131</v>
      </c>
      <c r="N2113" s="173" t="s">
        <v>61</v>
      </c>
      <c r="O2113" s="87">
        <v>73</v>
      </c>
      <c r="P2113" s="173" t="s">
        <v>26</v>
      </c>
      <c r="Q2113" s="1" t="s">
        <v>1342</v>
      </c>
      <c r="R2113" s="175">
        <v>16</v>
      </c>
      <c r="S2113">
        <v>4</v>
      </c>
    </row>
    <row r="2114" spans="1:19" x14ac:dyDescent="0.25">
      <c r="A2114" s="87">
        <v>2019</v>
      </c>
      <c r="B2114" s="87">
        <v>10</v>
      </c>
      <c r="C2114" s="173" t="s">
        <v>16</v>
      </c>
      <c r="D2114" s="173" t="s">
        <v>23</v>
      </c>
      <c r="E2114" s="173" t="s">
        <v>24</v>
      </c>
      <c r="F2114" s="173" t="s">
        <v>16</v>
      </c>
      <c r="G2114" s="87" t="b">
        <v>1</v>
      </c>
      <c r="H2114" s="87" t="b">
        <v>0</v>
      </c>
      <c r="I2114" s="87" t="b">
        <v>0</v>
      </c>
      <c r="J2114" s="173" t="s">
        <v>451</v>
      </c>
      <c r="K2114" s="174">
        <v>31925548000176</v>
      </c>
      <c r="L2114" s="173" t="s">
        <v>1108</v>
      </c>
      <c r="M2114" s="173" t="s">
        <v>131</v>
      </c>
      <c r="N2114" s="173" t="s">
        <v>61</v>
      </c>
      <c r="O2114" s="87">
        <v>70</v>
      </c>
      <c r="P2114" s="173" t="s">
        <v>20</v>
      </c>
      <c r="Q2114" s="1" t="s">
        <v>1338</v>
      </c>
      <c r="R2114" s="175">
        <v>30</v>
      </c>
      <c r="S2114">
        <v>6</v>
      </c>
    </row>
    <row r="2115" spans="1:19" x14ac:dyDescent="0.25">
      <c r="A2115" s="87">
        <v>2019</v>
      </c>
      <c r="B2115" s="87">
        <v>10</v>
      </c>
      <c r="C2115" s="173" t="s">
        <v>16</v>
      </c>
      <c r="D2115" s="173" t="s">
        <v>23</v>
      </c>
      <c r="E2115" s="173" t="s">
        <v>24</v>
      </c>
      <c r="F2115" s="173" t="s">
        <v>16</v>
      </c>
      <c r="G2115" s="87" t="b">
        <v>1</v>
      </c>
      <c r="H2115" s="87" t="b">
        <v>0</v>
      </c>
      <c r="I2115" s="87" t="b">
        <v>0</v>
      </c>
      <c r="J2115" s="173" t="s">
        <v>491</v>
      </c>
      <c r="K2115" s="174">
        <v>31925548000176</v>
      </c>
      <c r="L2115" s="173" t="s">
        <v>1108</v>
      </c>
      <c r="M2115" s="173" t="s">
        <v>131</v>
      </c>
      <c r="N2115" s="173" t="s">
        <v>61</v>
      </c>
      <c r="O2115" s="87">
        <v>70</v>
      </c>
      <c r="P2115" s="173" t="s">
        <v>20</v>
      </c>
      <c r="Q2115" s="1" t="s">
        <v>1338</v>
      </c>
      <c r="R2115" s="175">
        <v>60</v>
      </c>
      <c r="S2115">
        <v>12</v>
      </c>
    </row>
    <row r="2116" spans="1:19" x14ac:dyDescent="0.25">
      <c r="A2116" s="87">
        <v>2019</v>
      </c>
      <c r="B2116" s="87">
        <v>10</v>
      </c>
      <c r="C2116" s="173" t="s">
        <v>16</v>
      </c>
      <c r="D2116" s="173" t="s">
        <v>23</v>
      </c>
      <c r="E2116" s="173" t="s">
        <v>24</v>
      </c>
      <c r="F2116" s="173" t="s">
        <v>16</v>
      </c>
      <c r="G2116" s="87" t="b">
        <v>1</v>
      </c>
      <c r="H2116" s="87" t="b">
        <v>0</v>
      </c>
      <c r="I2116" s="87" t="b">
        <v>0</v>
      </c>
      <c r="J2116" s="173" t="s">
        <v>464</v>
      </c>
      <c r="K2116" s="174">
        <v>33000167000101</v>
      </c>
      <c r="L2116" s="173" t="s">
        <v>1110</v>
      </c>
      <c r="M2116" s="173" t="s">
        <v>131</v>
      </c>
      <c r="N2116" s="173" t="s">
        <v>61</v>
      </c>
      <c r="O2116" s="87">
        <v>70</v>
      </c>
      <c r="P2116" s="173" t="s">
        <v>20</v>
      </c>
      <c r="Q2116" s="1" t="s">
        <v>1338</v>
      </c>
      <c r="R2116" s="175">
        <v>20</v>
      </c>
      <c r="S2116">
        <v>4</v>
      </c>
    </row>
    <row r="2117" spans="1:19" x14ac:dyDescent="0.25">
      <c r="A2117" s="87">
        <v>2019</v>
      </c>
      <c r="B2117" s="87">
        <v>10</v>
      </c>
      <c r="C2117" s="173" t="s">
        <v>16</v>
      </c>
      <c r="D2117" s="173" t="s">
        <v>23</v>
      </c>
      <c r="E2117" s="173" t="s">
        <v>24</v>
      </c>
      <c r="F2117" s="173" t="s">
        <v>16</v>
      </c>
      <c r="G2117" s="87" t="b">
        <v>1</v>
      </c>
      <c r="H2117" s="87" t="b">
        <v>0</v>
      </c>
      <c r="I2117" s="87" t="b">
        <v>0</v>
      </c>
      <c r="J2117" s="173" t="s">
        <v>491</v>
      </c>
      <c r="K2117" s="174">
        <v>33000167002155</v>
      </c>
      <c r="L2117" s="173" t="s">
        <v>915</v>
      </c>
      <c r="M2117" s="173" t="s">
        <v>128</v>
      </c>
      <c r="N2117" s="173" t="s">
        <v>59</v>
      </c>
      <c r="O2117" s="87">
        <v>70</v>
      </c>
      <c r="P2117" s="173" t="s">
        <v>20</v>
      </c>
      <c r="Q2117" s="1" t="s">
        <v>1338</v>
      </c>
      <c r="R2117" s="175">
        <v>225</v>
      </c>
      <c r="S2117">
        <v>45</v>
      </c>
    </row>
    <row r="2118" spans="1:19" x14ac:dyDescent="0.25">
      <c r="A2118" s="87">
        <v>2019</v>
      </c>
      <c r="B2118" s="87">
        <v>10</v>
      </c>
      <c r="C2118" s="173" t="s">
        <v>16</v>
      </c>
      <c r="D2118" s="173" t="s">
        <v>23</v>
      </c>
      <c r="E2118" s="173" t="s">
        <v>24</v>
      </c>
      <c r="F2118" s="173" t="s">
        <v>16</v>
      </c>
      <c r="G2118" s="87" t="b">
        <v>1</v>
      </c>
      <c r="H2118" s="87" t="b">
        <v>0</v>
      </c>
      <c r="I2118" s="87" t="b">
        <v>0</v>
      </c>
      <c r="J2118" s="173" t="s">
        <v>477</v>
      </c>
      <c r="K2118" s="174">
        <v>33419482000259</v>
      </c>
      <c r="L2118" s="173" t="s">
        <v>1111</v>
      </c>
      <c r="M2118" s="173" t="s">
        <v>131</v>
      </c>
      <c r="N2118" s="173" t="s">
        <v>61</v>
      </c>
      <c r="O2118" s="87">
        <v>62</v>
      </c>
      <c r="P2118" s="173" t="s">
        <v>27</v>
      </c>
      <c r="Q2118" s="1" t="s">
        <v>1343</v>
      </c>
      <c r="R2118" s="175">
        <v>4</v>
      </c>
      <c r="S2118">
        <v>4</v>
      </c>
    </row>
    <row r="2119" spans="1:19" x14ac:dyDescent="0.25">
      <c r="A2119" s="87">
        <v>2019</v>
      </c>
      <c r="B2119" s="87">
        <v>10</v>
      </c>
      <c r="C2119" s="173" t="s">
        <v>16</v>
      </c>
      <c r="D2119" s="173" t="s">
        <v>23</v>
      </c>
      <c r="E2119" s="173" t="s">
        <v>24</v>
      </c>
      <c r="F2119" s="173" t="s">
        <v>16</v>
      </c>
      <c r="G2119" s="87" t="b">
        <v>1</v>
      </c>
      <c r="H2119" s="87" t="b">
        <v>0</v>
      </c>
      <c r="I2119" s="87" t="b">
        <v>0</v>
      </c>
      <c r="J2119" s="173" t="s">
        <v>451</v>
      </c>
      <c r="K2119" s="174">
        <v>33419482000259</v>
      </c>
      <c r="L2119" s="173" t="s">
        <v>1111</v>
      </c>
      <c r="M2119" s="173" t="s">
        <v>131</v>
      </c>
      <c r="N2119" s="173" t="s">
        <v>61</v>
      </c>
      <c r="O2119" s="87">
        <v>64</v>
      </c>
      <c r="P2119" s="173" t="s">
        <v>25</v>
      </c>
      <c r="Q2119" s="1" t="s">
        <v>1344</v>
      </c>
      <c r="R2119" s="175">
        <v>3</v>
      </c>
      <c r="S2119">
        <v>3</v>
      </c>
    </row>
    <row r="2120" spans="1:19" x14ac:dyDescent="0.25">
      <c r="A2120" s="87">
        <v>2019</v>
      </c>
      <c r="B2120" s="87">
        <v>10</v>
      </c>
      <c r="C2120" s="173" t="s">
        <v>16</v>
      </c>
      <c r="D2120" s="173" t="s">
        <v>23</v>
      </c>
      <c r="E2120" s="173" t="s">
        <v>24</v>
      </c>
      <c r="F2120" s="173" t="s">
        <v>16</v>
      </c>
      <c r="G2120" s="87" t="b">
        <v>1</v>
      </c>
      <c r="H2120" s="87" t="b">
        <v>0</v>
      </c>
      <c r="I2120" s="87" t="b">
        <v>0</v>
      </c>
      <c r="J2120" s="173" t="s">
        <v>450</v>
      </c>
      <c r="K2120" s="174">
        <v>33419482000259</v>
      </c>
      <c r="L2120" s="173" t="s">
        <v>1111</v>
      </c>
      <c r="M2120" s="173" t="s">
        <v>131</v>
      </c>
      <c r="N2120" s="173" t="s">
        <v>61</v>
      </c>
      <c r="O2120" s="87">
        <v>70</v>
      </c>
      <c r="P2120" s="173" t="s">
        <v>20</v>
      </c>
      <c r="Q2120" s="1" t="s">
        <v>1338</v>
      </c>
      <c r="R2120" s="175">
        <v>50</v>
      </c>
      <c r="S2120">
        <v>10</v>
      </c>
    </row>
    <row r="2121" spans="1:19" x14ac:dyDescent="0.25">
      <c r="A2121" s="87">
        <v>2019</v>
      </c>
      <c r="B2121" s="87">
        <v>10</v>
      </c>
      <c r="C2121" s="173" t="s">
        <v>16</v>
      </c>
      <c r="D2121" s="173" t="s">
        <v>23</v>
      </c>
      <c r="E2121" s="173" t="s">
        <v>24</v>
      </c>
      <c r="F2121" s="173" t="s">
        <v>16</v>
      </c>
      <c r="G2121" s="87" t="b">
        <v>1</v>
      </c>
      <c r="H2121" s="87" t="b">
        <v>0</v>
      </c>
      <c r="I2121" s="87" t="b">
        <v>0</v>
      </c>
      <c r="J2121" s="173" t="s">
        <v>477</v>
      </c>
      <c r="K2121" s="174">
        <v>33540014000157</v>
      </c>
      <c r="L2121" s="173" t="s">
        <v>1112</v>
      </c>
      <c r="M2121" s="173" t="s">
        <v>131</v>
      </c>
      <c r="N2121" s="173" t="s">
        <v>61</v>
      </c>
      <c r="O2121" s="87">
        <v>66</v>
      </c>
      <c r="P2121" s="173" t="s">
        <v>28</v>
      </c>
      <c r="Q2121" s="1" t="s">
        <v>1341</v>
      </c>
      <c r="R2121" s="175">
        <v>3</v>
      </c>
      <c r="S2121">
        <v>3</v>
      </c>
    </row>
    <row r="2122" spans="1:19" x14ac:dyDescent="0.25">
      <c r="A2122" s="87">
        <v>2019</v>
      </c>
      <c r="B2122" s="87">
        <v>10</v>
      </c>
      <c r="C2122" s="173" t="s">
        <v>16</v>
      </c>
      <c r="D2122" s="173" t="s">
        <v>23</v>
      </c>
      <c r="E2122" s="173" t="s">
        <v>24</v>
      </c>
      <c r="F2122" s="173" t="s">
        <v>16</v>
      </c>
      <c r="G2122" s="87" t="b">
        <v>1</v>
      </c>
      <c r="H2122" s="87" t="b">
        <v>0</v>
      </c>
      <c r="I2122" s="87" t="b">
        <v>0</v>
      </c>
      <c r="J2122" s="173" t="s">
        <v>1330</v>
      </c>
      <c r="K2122" s="174">
        <v>33663683005347</v>
      </c>
      <c r="L2122" s="173" t="s">
        <v>1114</v>
      </c>
      <c r="M2122" s="173" t="s">
        <v>131</v>
      </c>
      <c r="N2122" s="173" t="s">
        <v>61</v>
      </c>
      <c r="O2122" s="87">
        <v>62</v>
      </c>
      <c r="P2122" s="173" t="s">
        <v>27</v>
      </c>
      <c r="Q2122" s="1" t="s">
        <v>1343</v>
      </c>
      <c r="R2122" s="175">
        <v>41</v>
      </c>
      <c r="S2122">
        <v>41</v>
      </c>
    </row>
    <row r="2123" spans="1:19" x14ac:dyDescent="0.25">
      <c r="A2123" s="87">
        <v>2019</v>
      </c>
      <c r="B2123" s="87">
        <v>10</v>
      </c>
      <c r="C2123" s="173" t="s">
        <v>16</v>
      </c>
      <c r="D2123" s="173" t="s">
        <v>23</v>
      </c>
      <c r="E2123" s="173" t="s">
        <v>24</v>
      </c>
      <c r="F2123" s="173" t="s">
        <v>16</v>
      </c>
      <c r="G2123" s="87" t="b">
        <v>1</v>
      </c>
      <c r="H2123" s="87" t="b">
        <v>0</v>
      </c>
      <c r="I2123" s="87" t="b">
        <v>0</v>
      </c>
      <c r="J2123" s="173" t="s">
        <v>1330</v>
      </c>
      <c r="K2123" s="174">
        <v>33663683005347</v>
      </c>
      <c r="L2123" s="173" t="s">
        <v>1114</v>
      </c>
      <c r="M2123" s="173" t="s">
        <v>131</v>
      </c>
      <c r="N2123" s="173" t="s">
        <v>61</v>
      </c>
      <c r="O2123" s="87">
        <v>64</v>
      </c>
      <c r="P2123" s="173" t="s">
        <v>25</v>
      </c>
      <c r="Q2123" s="1" t="s">
        <v>1344</v>
      </c>
      <c r="R2123" s="175">
        <v>41</v>
      </c>
      <c r="S2123">
        <v>41</v>
      </c>
    </row>
    <row r="2124" spans="1:19" x14ac:dyDescent="0.25">
      <c r="A2124" s="87">
        <v>2019</v>
      </c>
      <c r="B2124" s="87">
        <v>10</v>
      </c>
      <c r="C2124" s="173" t="s">
        <v>16</v>
      </c>
      <c r="D2124" s="173" t="s">
        <v>23</v>
      </c>
      <c r="E2124" s="173" t="s">
        <v>24</v>
      </c>
      <c r="F2124" s="173" t="s">
        <v>16</v>
      </c>
      <c r="G2124" s="87" t="b">
        <v>1</v>
      </c>
      <c r="H2124" s="87" t="b">
        <v>0</v>
      </c>
      <c r="I2124" s="87" t="b">
        <v>0</v>
      </c>
      <c r="J2124" s="173" t="s">
        <v>1330</v>
      </c>
      <c r="K2124" s="174">
        <v>33663683005347</v>
      </c>
      <c r="L2124" s="173" t="s">
        <v>1114</v>
      </c>
      <c r="M2124" s="173" t="s">
        <v>131</v>
      </c>
      <c r="N2124" s="173" t="s">
        <v>61</v>
      </c>
      <c r="O2124" s="87">
        <v>70</v>
      </c>
      <c r="P2124" s="173" t="s">
        <v>20</v>
      </c>
      <c r="Q2124" s="1" t="s">
        <v>1338</v>
      </c>
      <c r="R2124" s="175">
        <v>1600</v>
      </c>
      <c r="S2124">
        <v>320</v>
      </c>
    </row>
    <row r="2125" spans="1:19" x14ac:dyDescent="0.25">
      <c r="A2125" s="87">
        <v>2019</v>
      </c>
      <c r="B2125" s="87">
        <v>10</v>
      </c>
      <c r="C2125" s="173" t="s">
        <v>16</v>
      </c>
      <c r="D2125" s="173" t="s">
        <v>23</v>
      </c>
      <c r="E2125" s="173" t="s">
        <v>24</v>
      </c>
      <c r="F2125" s="173" t="s">
        <v>16</v>
      </c>
      <c r="G2125" s="87" t="b">
        <v>1</v>
      </c>
      <c r="H2125" s="87" t="b">
        <v>0</v>
      </c>
      <c r="I2125" s="87" t="b">
        <v>0</v>
      </c>
      <c r="J2125" s="173" t="s">
        <v>455</v>
      </c>
      <c r="K2125" s="174">
        <v>33722224000166</v>
      </c>
      <c r="L2125" s="173" t="s">
        <v>1115</v>
      </c>
      <c r="M2125" s="173" t="s">
        <v>131</v>
      </c>
      <c r="N2125" s="173" t="s">
        <v>61</v>
      </c>
      <c r="O2125" s="87">
        <v>64</v>
      </c>
      <c r="P2125" s="173" t="s">
        <v>25</v>
      </c>
      <c r="Q2125" s="1" t="s">
        <v>1344</v>
      </c>
      <c r="R2125" s="175">
        <v>2</v>
      </c>
      <c r="S2125">
        <v>2</v>
      </c>
    </row>
    <row r="2126" spans="1:19" x14ac:dyDescent="0.25">
      <c r="A2126" s="87">
        <v>2019</v>
      </c>
      <c r="B2126" s="87">
        <v>10</v>
      </c>
      <c r="C2126" s="173" t="s">
        <v>16</v>
      </c>
      <c r="D2126" s="173" t="s">
        <v>23</v>
      </c>
      <c r="E2126" s="173" t="s">
        <v>24</v>
      </c>
      <c r="F2126" s="173" t="s">
        <v>16</v>
      </c>
      <c r="G2126" s="87" t="b">
        <v>1</v>
      </c>
      <c r="H2126" s="87" t="b">
        <v>0</v>
      </c>
      <c r="I2126" s="87" t="b">
        <v>0</v>
      </c>
      <c r="J2126" s="173" t="s">
        <v>500</v>
      </c>
      <c r="K2126" s="174">
        <v>33722224000166</v>
      </c>
      <c r="L2126" s="173" t="s">
        <v>1115</v>
      </c>
      <c r="M2126" s="173" t="s">
        <v>131</v>
      </c>
      <c r="N2126" s="173" t="s">
        <v>61</v>
      </c>
      <c r="O2126" s="87">
        <v>64</v>
      </c>
      <c r="P2126" s="173" t="s">
        <v>25</v>
      </c>
      <c r="Q2126" s="1" t="s">
        <v>1344</v>
      </c>
      <c r="R2126" s="175">
        <v>3</v>
      </c>
      <c r="S2126">
        <v>3</v>
      </c>
    </row>
    <row r="2127" spans="1:19" x14ac:dyDescent="0.25">
      <c r="A2127" s="87">
        <v>2019</v>
      </c>
      <c r="B2127" s="87">
        <v>10</v>
      </c>
      <c r="C2127" s="173" t="s">
        <v>16</v>
      </c>
      <c r="D2127" s="173" t="s">
        <v>23</v>
      </c>
      <c r="E2127" s="173" t="s">
        <v>24</v>
      </c>
      <c r="F2127" s="173" t="s">
        <v>16</v>
      </c>
      <c r="G2127" s="87" t="b">
        <v>1</v>
      </c>
      <c r="H2127" s="87" t="b">
        <v>0</v>
      </c>
      <c r="I2127" s="87" t="b">
        <v>0</v>
      </c>
      <c r="J2127" s="173" t="s">
        <v>1330</v>
      </c>
      <c r="K2127" s="174">
        <v>33781055000216</v>
      </c>
      <c r="L2127" s="173" t="s">
        <v>1116</v>
      </c>
      <c r="M2127" s="173" t="s">
        <v>131</v>
      </c>
      <c r="N2127" s="173" t="s">
        <v>61</v>
      </c>
      <c r="O2127" s="87">
        <v>70</v>
      </c>
      <c r="P2127" s="173" t="s">
        <v>20</v>
      </c>
      <c r="Q2127" s="1" t="s">
        <v>1338</v>
      </c>
      <c r="R2127" s="175">
        <v>100</v>
      </c>
      <c r="S2127">
        <v>20</v>
      </c>
    </row>
    <row r="2128" spans="1:19" x14ac:dyDescent="0.25">
      <c r="A2128" s="87">
        <v>2019</v>
      </c>
      <c r="B2128" s="87">
        <v>10</v>
      </c>
      <c r="C2128" s="173" t="s">
        <v>16</v>
      </c>
      <c r="D2128" s="173" t="s">
        <v>23</v>
      </c>
      <c r="E2128" s="173" t="s">
        <v>24</v>
      </c>
      <c r="F2128" s="173" t="s">
        <v>16</v>
      </c>
      <c r="G2128" s="87" t="b">
        <v>1</v>
      </c>
      <c r="H2128" s="87" t="b">
        <v>0</v>
      </c>
      <c r="I2128" s="87" t="b">
        <v>0</v>
      </c>
      <c r="J2128" s="173" t="s">
        <v>477</v>
      </c>
      <c r="K2128" s="174">
        <v>35917970000726</v>
      </c>
      <c r="L2128" s="173" t="s">
        <v>1062</v>
      </c>
      <c r="M2128" s="173" t="s">
        <v>105</v>
      </c>
      <c r="N2128" s="173" t="s">
        <v>61</v>
      </c>
      <c r="O2128" s="87">
        <v>73</v>
      </c>
      <c r="P2128" s="173" t="s">
        <v>26</v>
      </c>
      <c r="Q2128" s="1" t="s">
        <v>1342</v>
      </c>
      <c r="R2128" s="175">
        <v>24</v>
      </c>
      <c r="S2128">
        <v>6</v>
      </c>
    </row>
    <row r="2129" spans="1:19" x14ac:dyDescent="0.25">
      <c r="A2129" s="87">
        <v>2019</v>
      </c>
      <c r="B2129" s="87">
        <v>10</v>
      </c>
      <c r="C2129" s="173" t="s">
        <v>16</v>
      </c>
      <c r="D2129" s="173" t="s">
        <v>23</v>
      </c>
      <c r="E2129" s="173" t="s">
        <v>24</v>
      </c>
      <c r="F2129" s="173" t="s">
        <v>16</v>
      </c>
      <c r="G2129" s="87" t="b">
        <v>1</v>
      </c>
      <c r="H2129" s="87" t="b">
        <v>0</v>
      </c>
      <c r="I2129" s="87" t="b">
        <v>0</v>
      </c>
      <c r="J2129" s="173" t="s">
        <v>477</v>
      </c>
      <c r="K2129" s="174">
        <v>35917970000726</v>
      </c>
      <c r="L2129" s="173" t="s">
        <v>1062</v>
      </c>
      <c r="M2129" s="173" t="s">
        <v>105</v>
      </c>
      <c r="N2129" s="173" t="s">
        <v>61</v>
      </c>
      <c r="O2129" s="87">
        <v>73</v>
      </c>
      <c r="P2129" s="173" t="s">
        <v>26</v>
      </c>
      <c r="Q2129" s="1" t="s">
        <v>1340</v>
      </c>
      <c r="R2129" s="175">
        <v>6</v>
      </c>
      <c r="S2129">
        <v>6</v>
      </c>
    </row>
    <row r="2130" spans="1:19" x14ac:dyDescent="0.25">
      <c r="A2130" s="87">
        <v>2019</v>
      </c>
      <c r="B2130" s="87">
        <v>10</v>
      </c>
      <c r="C2130" s="173" t="s">
        <v>16</v>
      </c>
      <c r="D2130" s="173" t="s">
        <v>23</v>
      </c>
      <c r="E2130" s="173" t="s">
        <v>24</v>
      </c>
      <c r="F2130" s="173" t="s">
        <v>16</v>
      </c>
      <c r="G2130" s="87" t="b">
        <v>1</v>
      </c>
      <c r="H2130" s="87" t="b">
        <v>0</v>
      </c>
      <c r="I2130" s="87" t="b">
        <v>0</v>
      </c>
      <c r="J2130" s="173" t="s">
        <v>477</v>
      </c>
      <c r="K2130" s="174">
        <v>36238913000198</v>
      </c>
      <c r="L2130" s="173" t="s">
        <v>1063</v>
      </c>
      <c r="M2130" s="173" t="s">
        <v>1064</v>
      </c>
      <c r="N2130" s="173" t="s">
        <v>61</v>
      </c>
      <c r="O2130" s="87">
        <v>73</v>
      </c>
      <c r="P2130" s="173" t="s">
        <v>26</v>
      </c>
      <c r="Q2130" s="1" t="s">
        <v>1342</v>
      </c>
      <c r="R2130" s="175">
        <v>68</v>
      </c>
      <c r="S2130">
        <v>17</v>
      </c>
    </row>
    <row r="2131" spans="1:19" x14ac:dyDescent="0.25">
      <c r="A2131" s="87">
        <v>2019</v>
      </c>
      <c r="B2131" s="87">
        <v>10</v>
      </c>
      <c r="C2131" s="173" t="s">
        <v>16</v>
      </c>
      <c r="D2131" s="173" t="s">
        <v>23</v>
      </c>
      <c r="E2131" s="173" t="s">
        <v>24</v>
      </c>
      <c r="F2131" s="173" t="s">
        <v>16</v>
      </c>
      <c r="G2131" s="87" t="b">
        <v>1</v>
      </c>
      <c r="H2131" s="87" t="b">
        <v>0</v>
      </c>
      <c r="I2131" s="87" t="b">
        <v>0</v>
      </c>
      <c r="J2131" s="173" t="s">
        <v>468</v>
      </c>
      <c r="K2131" s="174">
        <v>37108388000159</v>
      </c>
      <c r="L2131" s="173" t="s">
        <v>916</v>
      </c>
      <c r="M2131" s="173" t="s">
        <v>739</v>
      </c>
      <c r="N2131" s="173" t="s">
        <v>55</v>
      </c>
      <c r="O2131" s="87">
        <v>64</v>
      </c>
      <c r="P2131" s="173" t="s">
        <v>25</v>
      </c>
      <c r="Q2131" s="1" t="s">
        <v>1344</v>
      </c>
      <c r="R2131" s="175">
        <v>20</v>
      </c>
      <c r="S2131">
        <v>20</v>
      </c>
    </row>
    <row r="2132" spans="1:19" x14ac:dyDescent="0.25">
      <c r="A2132" s="87">
        <v>2019</v>
      </c>
      <c r="B2132" s="87">
        <v>10</v>
      </c>
      <c r="C2132" s="173" t="s">
        <v>16</v>
      </c>
      <c r="D2132" s="173" t="s">
        <v>23</v>
      </c>
      <c r="E2132" s="173" t="s">
        <v>24</v>
      </c>
      <c r="F2132" s="173" t="s">
        <v>16</v>
      </c>
      <c r="G2132" s="87" t="b">
        <v>1</v>
      </c>
      <c r="H2132" s="87" t="b">
        <v>0</v>
      </c>
      <c r="I2132" s="87" t="b">
        <v>0</v>
      </c>
      <c r="J2132" s="173" t="s">
        <v>468</v>
      </c>
      <c r="K2132" s="174">
        <v>38000485000196</v>
      </c>
      <c r="L2132" s="173" t="s">
        <v>917</v>
      </c>
      <c r="M2132" s="173" t="s">
        <v>739</v>
      </c>
      <c r="N2132" s="173" t="s">
        <v>55</v>
      </c>
      <c r="O2132" s="87">
        <v>64</v>
      </c>
      <c r="P2132" s="173" t="s">
        <v>25</v>
      </c>
      <c r="Q2132" s="1" t="s">
        <v>1344</v>
      </c>
      <c r="R2132" s="175">
        <v>5</v>
      </c>
      <c r="S2132">
        <v>5</v>
      </c>
    </row>
    <row r="2133" spans="1:19" x14ac:dyDescent="0.25">
      <c r="A2133" s="87">
        <v>2019</v>
      </c>
      <c r="B2133" s="87">
        <v>10</v>
      </c>
      <c r="C2133" s="173" t="s">
        <v>16</v>
      </c>
      <c r="D2133" s="173" t="s">
        <v>23</v>
      </c>
      <c r="E2133" s="173" t="s">
        <v>24</v>
      </c>
      <c r="F2133" s="173" t="s">
        <v>16</v>
      </c>
      <c r="G2133" s="87" t="b">
        <v>1</v>
      </c>
      <c r="H2133" s="87" t="b">
        <v>0</v>
      </c>
      <c r="I2133" s="87" t="b">
        <v>0</v>
      </c>
      <c r="J2133" s="173" t="s">
        <v>470</v>
      </c>
      <c r="K2133" s="174">
        <v>39086160000130</v>
      </c>
      <c r="L2133" s="173" t="s">
        <v>1119</v>
      </c>
      <c r="M2133" s="173" t="s">
        <v>131</v>
      </c>
      <c r="N2133" s="173" t="s">
        <v>61</v>
      </c>
      <c r="O2133" s="87">
        <v>70</v>
      </c>
      <c r="P2133" s="173" t="s">
        <v>20</v>
      </c>
      <c r="Q2133" s="1" t="s">
        <v>1338</v>
      </c>
      <c r="R2133" s="175">
        <v>150</v>
      </c>
      <c r="S2133">
        <v>30</v>
      </c>
    </row>
    <row r="2134" spans="1:19" x14ac:dyDescent="0.25">
      <c r="A2134" s="87">
        <v>2019</v>
      </c>
      <c r="B2134" s="87">
        <v>10</v>
      </c>
      <c r="C2134" s="173" t="s">
        <v>16</v>
      </c>
      <c r="D2134" s="173" t="s">
        <v>23</v>
      </c>
      <c r="E2134" s="173" t="s">
        <v>24</v>
      </c>
      <c r="F2134" s="173" t="s">
        <v>16</v>
      </c>
      <c r="G2134" s="87" t="b">
        <v>1</v>
      </c>
      <c r="H2134" s="87" t="b">
        <v>0</v>
      </c>
      <c r="I2134" s="87" t="b">
        <v>0</v>
      </c>
      <c r="J2134" s="173" t="s">
        <v>470</v>
      </c>
      <c r="K2134" s="174">
        <v>39086160000130</v>
      </c>
      <c r="L2134" s="173" t="s">
        <v>1119</v>
      </c>
      <c r="M2134" s="173" t="s">
        <v>131</v>
      </c>
      <c r="N2134" s="173" t="s">
        <v>61</v>
      </c>
      <c r="O2134" s="87">
        <v>73</v>
      </c>
      <c r="P2134" s="173" t="s">
        <v>26</v>
      </c>
      <c r="Q2134" s="1" t="s">
        <v>1342</v>
      </c>
      <c r="R2134" s="175">
        <v>128</v>
      </c>
      <c r="S2134">
        <v>32</v>
      </c>
    </row>
    <row r="2135" spans="1:19" x14ac:dyDescent="0.25">
      <c r="A2135" s="87">
        <v>2019</v>
      </c>
      <c r="B2135" s="87">
        <v>10</v>
      </c>
      <c r="C2135" s="173" t="s">
        <v>16</v>
      </c>
      <c r="D2135" s="173" t="s">
        <v>23</v>
      </c>
      <c r="E2135" s="173" t="s">
        <v>24</v>
      </c>
      <c r="F2135" s="173" t="s">
        <v>16</v>
      </c>
      <c r="G2135" s="87" t="b">
        <v>1</v>
      </c>
      <c r="H2135" s="87" t="b">
        <v>0</v>
      </c>
      <c r="I2135" s="87" t="b">
        <v>0</v>
      </c>
      <c r="J2135" s="173" t="s">
        <v>478</v>
      </c>
      <c r="K2135" s="174">
        <v>39387477000107</v>
      </c>
      <c r="L2135" s="173" t="s">
        <v>1218</v>
      </c>
      <c r="M2135" s="173" t="s">
        <v>1157</v>
      </c>
      <c r="N2135" s="173" t="s">
        <v>98</v>
      </c>
      <c r="O2135" s="87">
        <v>70</v>
      </c>
      <c r="P2135" s="173" t="s">
        <v>20</v>
      </c>
      <c r="Q2135" s="1" t="s">
        <v>1338</v>
      </c>
      <c r="R2135" s="175">
        <v>325</v>
      </c>
      <c r="S2135">
        <v>65</v>
      </c>
    </row>
    <row r="2136" spans="1:19" x14ac:dyDescent="0.25">
      <c r="A2136" s="87">
        <v>2019</v>
      </c>
      <c r="B2136" s="87">
        <v>10</v>
      </c>
      <c r="C2136" s="173" t="s">
        <v>16</v>
      </c>
      <c r="D2136" s="173" t="s">
        <v>23</v>
      </c>
      <c r="E2136" s="173" t="s">
        <v>24</v>
      </c>
      <c r="F2136" s="173" t="s">
        <v>16</v>
      </c>
      <c r="G2136" s="87" t="b">
        <v>1</v>
      </c>
      <c r="H2136" s="87" t="b">
        <v>0</v>
      </c>
      <c r="I2136" s="87" t="b">
        <v>0</v>
      </c>
      <c r="J2136" s="173" t="s">
        <v>477</v>
      </c>
      <c r="K2136" s="174">
        <v>40320103000153</v>
      </c>
      <c r="L2136" s="173" t="s">
        <v>1121</v>
      </c>
      <c r="M2136" s="173" t="s">
        <v>131</v>
      </c>
      <c r="N2136" s="173" t="s">
        <v>61</v>
      </c>
      <c r="O2136" s="87">
        <v>64</v>
      </c>
      <c r="P2136" s="173" t="s">
        <v>25</v>
      </c>
      <c r="Q2136" s="1" t="s">
        <v>1344</v>
      </c>
      <c r="R2136" s="175">
        <v>5</v>
      </c>
      <c r="S2136">
        <v>5</v>
      </c>
    </row>
    <row r="2137" spans="1:19" x14ac:dyDescent="0.25">
      <c r="A2137" s="87">
        <v>2019</v>
      </c>
      <c r="B2137" s="87">
        <v>10</v>
      </c>
      <c r="C2137" s="173" t="s">
        <v>16</v>
      </c>
      <c r="D2137" s="173" t="s">
        <v>23</v>
      </c>
      <c r="E2137" s="173" t="s">
        <v>24</v>
      </c>
      <c r="F2137" s="173" t="s">
        <v>16</v>
      </c>
      <c r="G2137" s="87" t="b">
        <v>1</v>
      </c>
      <c r="H2137" s="87" t="b">
        <v>0</v>
      </c>
      <c r="I2137" s="87" t="b">
        <v>0</v>
      </c>
      <c r="J2137" s="173" t="s">
        <v>1512</v>
      </c>
      <c r="K2137" s="174">
        <v>40320103000153</v>
      </c>
      <c r="L2137" s="173" t="s">
        <v>1121</v>
      </c>
      <c r="M2137" s="173" t="s">
        <v>131</v>
      </c>
      <c r="N2137" s="173" t="s">
        <v>61</v>
      </c>
      <c r="O2137" s="87">
        <v>64</v>
      </c>
      <c r="P2137" s="173" t="s">
        <v>25</v>
      </c>
      <c r="Q2137" s="1" t="s">
        <v>1344</v>
      </c>
      <c r="R2137" s="175">
        <v>5</v>
      </c>
      <c r="S2137">
        <v>5</v>
      </c>
    </row>
    <row r="2138" spans="1:19" x14ac:dyDescent="0.25">
      <c r="A2138" s="87">
        <v>2019</v>
      </c>
      <c r="B2138" s="87">
        <v>10</v>
      </c>
      <c r="C2138" s="173" t="s">
        <v>16</v>
      </c>
      <c r="D2138" s="173" t="s">
        <v>23</v>
      </c>
      <c r="E2138" s="173" t="s">
        <v>24</v>
      </c>
      <c r="F2138" s="173" t="s">
        <v>16</v>
      </c>
      <c r="G2138" s="87" t="b">
        <v>1</v>
      </c>
      <c r="H2138" s="87" t="b">
        <v>0</v>
      </c>
      <c r="I2138" s="87" t="b">
        <v>0</v>
      </c>
      <c r="J2138" s="173" t="s">
        <v>470</v>
      </c>
      <c r="K2138" s="174">
        <v>41781949000234</v>
      </c>
      <c r="L2138" s="173" t="s">
        <v>1219</v>
      </c>
      <c r="M2138" s="173" t="s">
        <v>1220</v>
      </c>
      <c r="N2138" s="173" t="s">
        <v>54</v>
      </c>
      <c r="O2138" s="87">
        <v>70</v>
      </c>
      <c r="P2138" s="173" t="s">
        <v>20</v>
      </c>
      <c r="Q2138" s="1" t="s">
        <v>1338</v>
      </c>
      <c r="R2138" s="175">
        <v>200</v>
      </c>
      <c r="S2138">
        <v>40</v>
      </c>
    </row>
    <row r="2139" spans="1:19" x14ac:dyDescent="0.25">
      <c r="A2139" s="87">
        <v>2019</v>
      </c>
      <c r="B2139" s="87">
        <v>10</v>
      </c>
      <c r="C2139" s="173" t="s">
        <v>16</v>
      </c>
      <c r="D2139" s="173" t="s">
        <v>23</v>
      </c>
      <c r="E2139" s="173" t="s">
        <v>24</v>
      </c>
      <c r="F2139" s="173" t="s">
        <v>16</v>
      </c>
      <c r="G2139" s="87" t="b">
        <v>1</v>
      </c>
      <c r="H2139" s="87" t="b">
        <v>0</v>
      </c>
      <c r="I2139" s="87" t="b">
        <v>0</v>
      </c>
      <c r="J2139" s="173" t="s">
        <v>477</v>
      </c>
      <c r="K2139" s="174">
        <v>42297507000107</v>
      </c>
      <c r="L2139" s="173" t="s">
        <v>1122</v>
      </c>
      <c r="M2139" s="173" t="s">
        <v>131</v>
      </c>
      <c r="N2139" s="173" t="s">
        <v>61</v>
      </c>
      <c r="O2139" s="87">
        <v>62</v>
      </c>
      <c r="P2139" s="173" t="s">
        <v>27</v>
      </c>
      <c r="Q2139" s="1" t="s">
        <v>1343</v>
      </c>
      <c r="R2139" s="175">
        <v>3</v>
      </c>
      <c r="S2139">
        <v>3</v>
      </c>
    </row>
    <row r="2140" spans="1:19" x14ac:dyDescent="0.25">
      <c r="A2140" s="87">
        <v>2019</v>
      </c>
      <c r="B2140" s="87">
        <v>10</v>
      </c>
      <c r="C2140" s="173" t="s">
        <v>16</v>
      </c>
      <c r="D2140" s="173" t="s">
        <v>23</v>
      </c>
      <c r="E2140" s="173" t="s">
        <v>24</v>
      </c>
      <c r="F2140" s="173" t="s">
        <v>16</v>
      </c>
      <c r="G2140" s="87" t="b">
        <v>1</v>
      </c>
      <c r="H2140" s="87" t="b">
        <v>0</v>
      </c>
      <c r="I2140" s="87" t="b">
        <v>0</v>
      </c>
      <c r="J2140" s="173" t="s">
        <v>455</v>
      </c>
      <c r="K2140" s="174">
        <v>42297507000107</v>
      </c>
      <c r="L2140" s="173" t="s">
        <v>1122</v>
      </c>
      <c r="M2140" s="173" t="s">
        <v>131</v>
      </c>
      <c r="N2140" s="173" t="s">
        <v>61</v>
      </c>
      <c r="O2140" s="87">
        <v>64</v>
      </c>
      <c r="P2140" s="173" t="s">
        <v>25</v>
      </c>
      <c r="Q2140" s="1" t="s">
        <v>1344</v>
      </c>
      <c r="R2140" s="175">
        <v>3</v>
      </c>
      <c r="S2140">
        <v>3</v>
      </c>
    </row>
    <row r="2141" spans="1:19" x14ac:dyDescent="0.25">
      <c r="A2141" s="87">
        <v>2019</v>
      </c>
      <c r="B2141" s="87">
        <v>10</v>
      </c>
      <c r="C2141" s="173" t="s">
        <v>16</v>
      </c>
      <c r="D2141" s="173" t="s">
        <v>23</v>
      </c>
      <c r="E2141" s="173" t="s">
        <v>24</v>
      </c>
      <c r="F2141" s="173" t="s">
        <v>16</v>
      </c>
      <c r="G2141" s="87" t="b">
        <v>1</v>
      </c>
      <c r="H2141" s="87" t="b">
        <v>0</v>
      </c>
      <c r="I2141" s="87" t="b">
        <v>0</v>
      </c>
      <c r="J2141" s="173" t="s">
        <v>477</v>
      </c>
      <c r="K2141" s="174">
        <v>42297507000107</v>
      </c>
      <c r="L2141" s="173" t="s">
        <v>1122</v>
      </c>
      <c r="M2141" s="173" t="s">
        <v>131</v>
      </c>
      <c r="N2141" s="173" t="s">
        <v>61</v>
      </c>
      <c r="O2141" s="87">
        <v>64</v>
      </c>
      <c r="P2141" s="173" t="s">
        <v>25</v>
      </c>
      <c r="Q2141" s="1" t="s">
        <v>1344</v>
      </c>
      <c r="R2141" s="175">
        <v>3</v>
      </c>
      <c r="S2141">
        <v>3</v>
      </c>
    </row>
    <row r="2142" spans="1:19" x14ac:dyDescent="0.25">
      <c r="A2142" s="87">
        <v>2019</v>
      </c>
      <c r="B2142" s="87">
        <v>10</v>
      </c>
      <c r="C2142" s="173" t="s">
        <v>16</v>
      </c>
      <c r="D2142" s="173" t="s">
        <v>23</v>
      </c>
      <c r="E2142" s="173" t="s">
        <v>24</v>
      </c>
      <c r="F2142" s="173" t="s">
        <v>16</v>
      </c>
      <c r="G2142" s="87" t="b">
        <v>1</v>
      </c>
      <c r="H2142" s="87" t="b">
        <v>0</v>
      </c>
      <c r="I2142" s="87" t="b">
        <v>0</v>
      </c>
      <c r="J2142" s="173" t="s">
        <v>470</v>
      </c>
      <c r="K2142" s="174">
        <v>43293604002120</v>
      </c>
      <c r="L2142" s="173" t="s">
        <v>673</v>
      </c>
      <c r="M2142" s="173" t="s">
        <v>674</v>
      </c>
      <c r="N2142" s="173" t="s">
        <v>19</v>
      </c>
      <c r="O2142" s="87">
        <v>70</v>
      </c>
      <c r="P2142" s="173" t="s">
        <v>20</v>
      </c>
      <c r="Q2142" s="1" t="s">
        <v>1338</v>
      </c>
      <c r="R2142" s="175">
        <v>150</v>
      </c>
      <c r="S2142">
        <v>30</v>
      </c>
    </row>
    <row r="2143" spans="1:19" x14ac:dyDescent="0.25">
      <c r="A2143" s="87">
        <v>2019</v>
      </c>
      <c r="B2143" s="87">
        <v>10</v>
      </c>
      <c r="C2143" s="173" t="s">
        <v>16</v>
      </c>
      <c r="D2143" s="173" t="s">
        <v>23</v>
      </c>
      <c r="E2143" s="173" t="s">
        <v>24</v>
      </c>
      <c r="F2143" s="173" t="s">
        <v>16</v>
      </c>
      <c r="G2143" s="87" t="b">
        <v>1</v>
      </c>
      <c r="H2143" s="87" t="b">
        <v>0</v>
      </c>
      <c r="I2143" s="87" t="b">
        <v>0</v>
      </c>
      <c r="J2143" s="173" t="s">
        <v>451</v>
      </c>
      <c r="K2143" s="174">
        <v>43775956000178</v>
      </c>
      <c r="L2143" s="173" t="s">
        <v>597</v>
      </c>
      <c r="M2143" s="173" t="s">
        <v>29</v>
      </c>
      <c r="N2143" s="173" t="s">
        <v>19</v>
      </c>
      <c r="O2143" s="87">
        <v>70</v>
      </c>
      <c r="P2143" s="173" t="s">
        <v>20</v>
      </c>
      <c r="Q2143" s="1" t="s">
        <v>1338</v>
      </c>
      <c r="R2143" s="175">
        <v>30</v>
      </c>
      <c r="S2143">
        <v>6</v>
      </c>
    </row>
    <row r="2144" spans="1:19" x14ac:dyDescent="0.25">
      <c r="A2144" s="87">
        <v>2019</v>
      </c>
      <c r="B2144" s="87">
        <v>10</v>
      </c>
      <c r="C2144" s="173" t="s">
        <v>16</v>
      </c>
      <c r="D2144" s="173" t="s">
        <v>23</v>
      </c>
      <c r="E2144" s="173" t="s">
        <v>24</v>
      </c>
      <c r="F2144" s="173" t="s">
        <v>16</v>
      </c>
      <c r="G2144" s="87" t="b">
        <v>1</v>
      </c>
      <c r="H2144" s="87" t="b">
        <v>0</v>
      </c>
      <c r="I2144" s="87" t="b">
        <v>0</v>
      </c>
      <c r="J2144" s="173" t="s">
        <v>491</v>
      </c>
      <c r="K2144" s="174">
        <v>44456036000311</v>
      </c>
      <c r="L2144" s="173" t="s">
        <v>675</v>
      </c>
      <c r="M2144" s="173" t="s">
        <v>37</v>
      </c>
      <c r="N2144" s="173" t="s">
        <v>19</v>
      </c>
      <c r="O2144" s="87">
        <v>62</v>
      </c>
      <c r="P2144" s="173" t="s">
        <v>27</v>
      </c>
      <c r="Q2144" s="1" t="s">
        <v>1343</v>
      </c>
      <c r="R2144" s="175">
        <v>12</v>
      </c>
      <c r="S2144">
        <v>12</v>
      </c>
    </row>
    <row r="2145" spans="1:19" x14ac:dyDescent="0.25">
      <c r="A2145" s="87">
        <v>2019</v>
      </c>
      <c r="B2145" s="87">
        <v>10</v>
      </c>
      <c r="C2145" s="173" t="s">
        <v>16</v>
      </c>
      <c r="D2145" s="173" t="s">
        <v>23</v>
      </c>
      <c r="E2145" s="173" t="s">
        <v>24</v>
      </c>
      <c r="F2145" s="173" t="s">
        <v>16</v>
      </c>
      <c r="G2145" s="87" t="b">
        <v>1</v>
      </c>
      <c r="H2145" s="87" t="b">
        <v>0</v>
      </c>
      <c r="I2145" s="87" t="b">
        <v>0</v>
      </c>
      <c r="J2145" s="173" t="s">
        <v>450</v>
      </c>
      <c r="K2145" s="174">
        <v>44649812005520</v>
      </c>
      <c r="L2145" s="173" t="s">
        <v>598</v>
      </c>
      <c r="M2145" s="173" t="s">
        <v>29</v>
      </c>
      <c r="N2145" s="173" t="s">
        <v>19</v>
      </c>
      <c r="O2145" s="87">
        <v>70</v>
      </c>
      <c r="P2145" s="173" t="s">
        <v>20</v>
      </c>
      <c r="Q2145" s="1" t="s">
        <v>1338</v>
      </c>
      <c r="R2145" s="175">
        <v>70</v>
      </c>
      <c r="S2145">
        <v>14</v>
      </c>
    </row>
    <row r="2146" spans="1:19" x14ac:dyDescent="0.25">
      <c r="A2146" s="87">
        <v>2019</v>
      </c>
      <c r="B2146" s="87">
        <v>10</v>
      </c>
      <c r="C2146" s="173" t="s">
        <v>16</v>
      </c>
      <c r="D2146" s="173" t="s">
        <v>23</v>
      </c>
      <c r="E2146" s="173" t="s">
        <v>24</v>
      </c>
      <c r="F2146" s="173" t="s">
        <v>16</v>
      </c>
      <c r="G2146" s="87" t="b">
        <v>1</v>
      </c>
      <c r="H2146" s="87" t="b">
        <v>0</v>
      </c>
      <c r="I2146" s="87" t="b">
        <v>0</v>
      </c>
      <c r="J2146" s="173" t="s">
        <v>463</v>
      </c>
      <c r="K2146" s="174">
        <v>44649812005520</v>
      </c>
      <c r="L2146" s="173" t="s">
        <v>598</v>
      </c>
      <c r="M2146" s="173" t="s">
        <v>29</v>
      </c>
      <c r="N2146" s="173" t="s">
        <v>19</v>
      </c>
      <c r="O2146" s="87">
        <v>73</v>
      </c>
      <c r="P2146" s="173" t="s">
        <v>26</v>
      </c>
      <c r="Q2146" s="1" t="s">
        <v>1339</v>
      </c>
      <c r="R2146" s="175">
        <v>20</v>
      </c>
      <c r="S2146">
        <v>10</v>
      </c>
    </row>
    <row r="2147" spans="1:19" x14ac:dyDescent="0.25">
      <c r="A2147" s="87">
        <v>2019</v>
      </c>
      <c r="B2147" s="87">
        <v>10</v>
      </c>
      <c r="C2147" s="173" t="s">
        <v>16</v>
      </c>
      <c r="D2147" s="173" t="s">
        <v>23</v>
      </c>
      <c r="E2147" s="173" t="s">
        <v>24</v>
      </c>
      <c r="F2147" s="173" t="s">
        <v>16</v>
      </c>
      <c r="G2147" s="87" t="b">
        <v>1</v>
      </c>
      <c r="H2147" s="87" t="b">
        <v>0</v>
      </c>
      <c r="I2147" s="87" t="b">
        <v>0</v>
      </c>
      <c r="J2147" s="173" t="s">
        <v>463</v>
      </c>
      <c r="K2147" s="174">
        <v>44649812005520</v>
      </c>
      <c r="L2147" s="173" t="s">
        <v>598</v>
      </c>
      <c r="M2147" s="173" t="s">
        <v>29</v>
      </c>
      <c r="N2147" s="173" t="s">
        <v>19</v>
      </c>
      <c r="O2147" s="87">
        <v>73</v>
      </c>
      <c r="P2147" s="173" t="s">
        <v>26</v>
      </c>
      <c r="Q2147" s="1" t="s">
        <v>1342</v>
      </c>
      <c r="R2147" s="175">
        <v>32</v>
      </c>
      <c r="S2147">
        <v>8</v>
      </c>
    </row>
    <row r="2148" spans="1:19" x14ac:dyDescent="0.25">
      <c r="A2148" s="87">
        <v>2019</v>
      </c>
      <c r="B2148" s="87">
        <v>10</v>
      </c>
      <c r="C2148" s="173" t="s">
        <v>16</v>
      </c>
      <c r="D2148" s="173" t="s">
        <v>23</v>
      </c>
      <c r="E2148" s="173" t="s">
        <v>24</v>
      </c>
      <c r="F2148" s="173" t="s">
        <v>16</v>
      </c>
      <c r="G2148" s="87" t="b">
        <v>1</v>
      </c>
      <c r="H2148" s="87" t="b">
        <v>0</v>
      </c>
      <c r="I2148" s="87" t="b">
        <v>0</v>
      </c>
      <c r="J2148" s="173" t="s">
        <v>463</v>
      </c>
      <c r="K2148" s="174">
        <v>44649812019238</v>
      </c>
      <c r="L2148" s="173" t="s">
        <v>679</v>
      </c>
      <c r="M2148" s="173" t="s">
        <v>33</v>
      </c>
      <c r="N2148" s="173" t="s">
        <v>19</v>
      </c>
      <c r="O2148" s="87">
        <v>73</v>
      </c>
      <c r="P2148" s="173" t="s">
        <v>26</v>
      </c>
      <c r="Q2148" s="1" t="s">
        <v>1342</v>
      </c>
      <c r="R2148" s="175">
        <v>8</v>
      </c>
      <c r="S2148">
        <v>2</v>
      </c>
    </row>
    <row r="2149" spans="1:19" x14ac:dyDescent="0.25">
      <c r="A2149" s="87">
        <v>2019</v>
      </c>
      <c r="B2149" s="87">
        <v>10</v>
      </c>
      <c r="C2149" s="173" t="s">
        <v>16</v>
      </c>
      <c r="D2149" s="173" t="s">
        <v>23</v>
      </c>
      <c r="E2149" s="173" t="s">
        <v>24</v>
      </c>
      <c r="F2149" s="173" t="s">
        <v>16</v>
      </c>
      <c r="G2149" s="87" t="b">
        <v>1</v>
      </c>
      <c r="H2149" s="87" t="b">
        <v>0</v>
      </c>
      <c r="I2149" s="87" t="b">
        <v>0</v>
      </c>
      <c r="J2149" s="173" t="s">
        <v>450</v>
      </c>
      <c r="K2149" s="174">
        <v>44663631000590</v>
      </c>
      <c r="L2149" s="173" t="s">
        <v>680</v>
      </c>
      <c r="M2149" s="173" t="s">
        <v>39</v>
      </c>
      <c r="N2149" s="173" t="s">
        <v>19</v>
      </c>
      <c r="O2149" s="87">
        <v>70</v>
      </c>
      <c r="P2149" s="173" t="s">
        <v>20</v>
      </c>
      <c r="Q2149" s="1" t="s">
        <v>1338</v>
      </c>
      <c r="R2149" s="175">
        <v>165</v>
      </c>
      <c r="S2149">
        <v>33</v>
      </c>
    </row>
    <row r="2150" spans="1:19" x14ac:dyDescent="0.25">
      <c r="A2150" s="87">
        <v>2019</v>
      </c>
      <c r="B2150" s="87">
        <v>10</v>
      </c>
      <c r="C2150" s="173" t="s">
        <v>16</v>
      </c>
      <c r="D2150" s="173" t="s">
        <v>23</v>
      </c>
      <c r="E2150" s="173" t="s">
        <v>24</v>
      </c>
      <c r="F2150" s="173" t="s">
        <v>16</v>
      </c>
      <c r="G2150" s="87" t="b">
        <v>1</v>
      </c>
      <c r="H2150" s="87" t="b">
        <v>0</v>
      </c>
      <c r="I2150" s="87" t="b">
        <v>0</v>
      </c>
      <c r="J2150" s="173" t="s">
        <v>491</v>
      </c>
      <c r="K2150" s="174">
        <v>44663631000590</v>
      </c>
      <c r="L2150" s="173" t="s">
        <v>680</v>
      </c>
      <c r="M2150" s="173" t="s">
        <v>39</v>
      </c>
      <c r="N2150" s="173" t="s">
        <v>19</v>
      </c>
      <c r="O2150" s="87">
        <v>70</v>
      </c>
      <c r="P2150" s="173" t="s">
        <v>20</v>
      </c>
      <c r="Q2150" s="1" t="s">
        <v>1338</v>
      </c>
      <c r="R2150" s="175">
        <v>30</v>
      </c>
      <c r="S2150">
        <v>6</v>
      </c>
    </row>
    <row r="2151" spans="1:19" x14ac:dyDescent="0.25">
      <c r="A2151" s="87">
        <v>2019</v>
      </c>
      <c r="B2151" s="87">
        <v>10</v>
      </c>
      <c r="C2151" s="173" t="s">
        <v>16</v>
      </c>
      <c r="D2151" s="173" t="s">
        <v>23</v>
      </c>
      <c r="E2151" s="173" t="s">
        <v>24</v>
      </c>
      <c r="F2151" s="173" t="s">
        <v>16</v>
      </c>
      <c r="G2151" s="87" t="b">
        <v>1</v>
      </c>
      <c r="H2151" s="87" t="b">
        <v>0</v>
      </c>
      <c r="I2151" s="87" t="b">
        <v>0</v>
      </c>
      <c r="J2151" s="173" t="s">
        <v>491</v>
      </c>
      <c r="K2151" s="174">
        <v>44663631000590</v>
      </c>
      <c r="L2151" s="173" t="s">
        <v>680</v>
      </c>
      <c r="M2151" s="173" t="s">
        <v>39</v>
      </c>
      <c r="N2151" s="173" t="s">
        <v>19</v>
      </c>
      <c r="O2151" s="87">
        <v>73</v>
      </c>
      <c r="P2151" s="173" t="s">
        <v>26</v>
      </c>
      <c r="Q2151" s="1" t="s">
        <v>1342</v>
      </c>
      <c r="R2151" s="175">
        <v>32</v>
      </c>
      <c r="S2151">
        <v>8</v>
      </c>
    </row>
    <row r="2152" spans="1:19" x14ac:dyDescent="0.25">
      <c r="A2152" s="87">
        <v>2019</v>
      </c>
      <c r="B2152" s="87">
        <v>10</v>
      </c>
      <c r="C2152" s="173" t="s">
        <v>16</v>
      </c>
      <c r="D2152" s="173" t="s">
        <v>23</v>
      </c>
      <c r="E2152" s="173" t="s">
        <v>24</v>
      </c>
      <c r="F2152" s="173" t="s">
        <v>16</v>
      </c>
      <c r="G2152" s="87" t="b">
        <v>1</v>
      </c>
      <c r="H2152" s="87" t="b">
        <v>0</v>
      </c>
      <c r="I2152" s="87" t="b">
        <v>0</v>
      </c>
      <c r="J2152" s="173" t="s">
        <v>491</v>
      </c>
      <c r="K2152" s="174">
        <v>44803922000293</v>
      </c>
      <c r="L2152" s="173" t="s">
        <v>681</v>
      </c>
      <c r="M2152" s="173" t="s">
        <v>40</v>
      </c>
      <c r="N2152" s="173" t="s">
        <v>19</v>
      </c>
      <c r="O2152" s="87">
        <v>73</v>
      </c>
      <c r="P2152" s="173" t="s">
        <v>26</v>
      </c>
      <c r="Q2152" s="1" t="s">
        <v>1340</v>
      </c>
      <c r="R2152" s="175">
        <v>8</v>
      </c>
      <c r="S2152">
        <v>8</v>
      </c>
    </row>
    <row r="2153" spans="1:19" x14ac:dyDescent="0.25">
      <c r="A2153" s="87">
        <v>2019</v>
      </c>
      <c r="B2153" s="87">
        <v>10</v>
      </c>
      <c r="C2153" s="173" t="s">
        <v>16</v>
      </c>
      <c r="D2153" s="173" t="s">
        <v>23</v>
      </c>
      <c r="E2153" s="173" t="s">
        <v>24</v>
      </c>
      <c r="F2153" s="173" t="s">
        <v>16</v>
      </c>
      <c r="G2153" s="87" t="b">
        <v>1</v>
      </c>
      <c r="H2153" s="87" t="b">
        <v>0</v>
      </c>
      <c r="I2153" s="87" t="b">
        <v>0</v>
      </c>
      <c r="J2153" s="173" t="s">
        <v>463</v>
      </c>
      <c r="K2153" s="174">
        <v>44863959000126</v>
      </c>
      <c r="L2153" s="173" t="s">
        <v>682</v>
      </c>
      <c r="M2153" s="173" t="s">
        <v>544</v>
      </c>
      <c r="N2153" s="173" t="s">
        <v>19</v>
      </c>
      <c r="O2153" s="87">
        <v>70</v>
      </c>
      <c r="P2153" s="173" t="s">
        <v>20</v>
      </c>
      <c r="Q2153" s="1" t="s">
        <v>1338</v>
      </c>
      <c r="R2153" s="175">
        <v>125</v>
      </c>
      <c r="S2153">
        <v>25</v>
      </c>
    </row>
    <row r="2154" spans="1:19" x14ac:dyDescent="0.25">
      <c r="A2154" s="87">
        <v>2019</v>
      </c>
      <c r="B2154" s="87">
        <v>10</v>
      </c>
      <c r="C2154" s="173" t="s">
        <v>16</v>
      </c>
      <c r="D2154" s="173" t="s">
        <v>23</v>
      </c>
      <c r="E2154" s="173" t="s">
        <v>24</v>
      </c>
      <c r="F2154" s="173" t="s">
        <v>16</v>
      </c>
      <c r="G2154" s="87" t="b">
        <v>1</v>
      </c>
      <c r="H2154" s="87" t="b">
        <v>0</v>
      </c>
      <c r="I2154" s="87" t="b">
        <v>0</v>
      </c>
      <c r="J2154" s="173" t="s">
        <v>491</v>
      </c>
      <c r="K2154" s="174">
        <v>45118429001279</v>
      </c>
      <c r="L2154" s="173" t="s">
        <v>683</v>
      </c>
      <c r="M2154" s="173" t="s">
        <v>41</v>
      </c>
      <c r="N2154" s="173" t="s">
        <v>19</v>
      </c>
      <c r="O2154" s="87">
        <v>73</v>
      </c>
      <c r="P2154" s="173" t="s">
        <v>26</v>
      </c>
      <c r="Q2154" s="1" t="s">
        <v>1339</v>
      </c>
      <c r="R2154" s="175">
        <v>8</v>
      </c>
      <c r="S2154">
        <v>4</v>
      </c>
    </row>
    <row r="2155" spans="1:19" x14ac:dyDescent="0.25">
      <c r="A2155" s="87">
        <v>2019</v>
      </c>
      <c r="B2155" s="87">
        <v>10</v>
      </c>
      <c r="C2155" s="173" t="s">
        <v>16</v>
      </c>
      <c r="D2155" s="173" t="s">
        <v>23</v>
      </c>
      <c r="E2155" s="173" t="s">
        <v>24</v>
      </c>
      <c r="F2155" s="173" t="s">
        <v>16</v>
      </c>
      <c r="G2155" s="87" t="b">
        <v>1</v>
      </c>
      <c r="H2155" s="87" t="b">
        <v>0</v>
      </c>
      <c r="I2155" s="87" t="b">
        <v>0</v>
      </c>
      <c r="J2155" s="173" t="s">
        <v>491</v>
      </c>
      <c r="K2155" s="174">
        <v>45118429001279</v>
      </c>
      <c r="L2155" s="173" t="s">
        <v>683</v>
      </c>
      <c r="M2155" s="173" t="s">
        <v>41</v>
      </c>
      <c r="N2155" s="173" t="s">
        <v>19</v>
      </c>
      <c r="O2155" s="87">
        <v>73</v>
      </c>
      <c r="P2155" s="173" t="s">
        <v>26</v>
      </c>
      <c r="Q2155" s="1" t="s">
        <v>1340</v>
      </c>
      <c r="R2155" s="175">
        <v>4</v>
      </c>
      <c r="S2155">
        <v>4</v>
      </c>
    </row>
    <row r="2156" spans="1:19" x14ac:dyDescent="0.25">
      <c r="A2156" s="87">
        <v>2019</v>
      </c>
      <c r="B2156" s="87">
        <v>10</v>
      </c>
      <c r="C2156" s="173" t="s">
        <v>16</v>
      </c>
      <c r="D2156" s="173" t="s">
        <v>23</v>
      </c>
      <c r="E2156" s="173" t="s">
        <v>24</v>
      </c>
      <c r="F2156" s="173" t="s">
        <v>16</v>
      </c>
      <c r="G2156" s="87" t="b">
        <v>1</v>
      </c>
      <c r="H2156" s="87" t="b">
        <v>0</v>
      </c>
      <c r="I2156" s="87" t="b">
        <v>0</v>
      </c>
      <c r="J2156" s="173" t="s">
        <v>463</v>
      </c>
      <c r="K2156" s="174">
        <v>45184066000117</v>
      </c>
      <c r="L2156" s="173" t="s">
        <v>684</v>
      </c>
      <c r="M2156" s="173" t="s">
        <v>650</v>
      </c>
      <c r="N2156" s="173" t="s">
        <v>19</v>
      </c>
      <c r="O2156" s="87">
        <v>64</v>
      </c>
      <c r="P2156" s="173" t="s">
        <v>25</v>
      </c>
      <c r="Q2156" s="1" t="s">
        <v>1344</v>
      </c>
      <c r="R2156" s="175">
        <v>2</v>
      </c>
      <c r="S2156">
        <v>2</v>
      </c>
    </row>
    <row r="2157" spans="1:19" x14ac:dyDescent="0.25">
      <c r="A2157" s="87">
        <v>2019</v>
      </c>
      <c r="B2157" s="87">
        <v>10</v>
      </c>
      <c r="C2157" s="173" t="s">
        <v>16</v>
      </c>
      <c r="D2157" s="173" t="s">
        <v>23</v>
      </c>
      <c r="E2157" s="173" t="s">
        <v>24</v>
      </c>
      <c r="F2157" s="173" t="s">
        <v>16</v>
      </c>
      <c r="G2157" s="87" t="b">
        <v>1</v>
      </c>
      <c r="H2157" s="87" t="b">
        <v>0</v>
      </c>
      <c r="I2157" s="87" t="b">
        <v>0</v>
      </c>
      <c r="J2157" s="173" t="s">
        <v>463</v>
      </c>
      <c r="K2157" s="174">
        <v>45184066000117</v>
      </c>
      <c r="L2157" s="173" t="s">
        <v>684</v>
      </c>
      <c r="M2157" s="173" t="s">
        <v>650</v>
      </c>
      <c r="N2157" s="173" t="s">
        <v>19</v>
      </c>
      <c r="O2157" s="87">
        <v>73</v>
      </c>
      <c r="P2157" s="173" t="s">
        <v>26</v>
      </c>
      <c r="Q2157" s="1" t="s">
        <v>1342</v>
      </c>
      <c r="R2157" s="175">
        <v>8</v>
      </c>
      <c r="S2157">
        <v>2</v>
      </c>
    </row>
    <row r="2158" spans="1:19" x14ac:dyDescent="0.25">
      <c r="A2158" s="87">
        <v>2019</v>
      </c>
      <c r="B2158" s="87">
        <v>10</v>
      </c>
      <c r="C2158" s="173" t="s">
        <v>16</v>
      </c>
      <c r="D2158" s="173" t="s">
        <v>23</v>
      </c>
      <c r="E2158" s="173" t="s">
        <v>24</v>
      </c>
      <c r="F2158" s="173" t="s">
        <v>16</v>
      </c>
      <c r="G2158" s="87" t="b">
        <v>1</v>
      </c>
      <c r="H2158" s="87" t="b">
        <v>0</v>
      </c>
      <c r="I2158" s="87" t="b">
        <v>0</v>
      </c>
      <c r="J2158" s="173" t="s">
        <v>463</v>
      </c>
      <c r="K2158" s="174">
        <v>45184066000117</v>
      </c>
      <c r="L2158" s="173" t="s">
        <v>684</v>
      </c>
      <c r="M2158" s="173" t="s">
        <v>650</v>
      </c>
      <c r="N2158" s="173" t="s">
        <v>19</v>
      </c>
      <c r="O2158" s="87">
        <v>73</v>
      </c>
      <c r="P2158" s="173" t="s">
        <v>26</v>
      </c>
      <c r="Q2158" s="1" t="s">
        <v>1340</v>
      </c>
      <c r="R2158" s="175">
        <v>7</v>
      </c>
      <c r="S2158">
        <v>7</v>
      </c>
    </row>
    <row r="2159" spans="1:19" x14ac:dyDescent="0.25">
      <c r="A2159" s="87">
        <v>2019</v>
      </c>
      <c r="B2159" s="87">
        <v>10</v>
      </c>
      <c r="C2159" s="173" t="s">
        <v>16</v>
      </c>
      <c r="D2159" s="173" t="s">
        <v>23</v>
      </c>
      <c r="E2159" s="173" t="s">
        <v>24</v>
      </c>
      <c r="F2159" s="173" t="s">
        <v>16</v>
      </c>
      <c r="G2159" s="87" t="b">
        <v>1</v>
      </c>
      <c r="H2159" s="87" t="b">
        <v>0</v>
      </c>
      <c r="I2159" s="87" t="b">
        <v>0</v>
      </c>
      <c r="J2159" s="173" t="s">
        <v>463</v>
      </c>
      <c r="K2159" s="174">
        <v>45232246000550</v>
      </c>
      <c r="L2159" s="173" t="s">
        <v>685</v>
      </c>
      <c r="M2159" s="173" t="s">
        <v>639</v>
      </c>
      <c r="N2159" s="173" t="s">
        <v>19</v>
      </c>
      <c r="O2159" s="87">
        <v>62</v>
      </c>
      <c r="P2159" s="173" t="s">
        <v>27</v>
      </c>
      <c r="Q2159" s="1" t="s">
        <v>1343</v>
      </c>
      <c r="R2159" s="175">
        <v>23</v>
      </c>
      <c r="S2159">
        <v>23</v>
      </c>
    </row>
    <row r="2160" spans="1:19" x14ac:dyDescent="0.25">
      <c r="A2160" s="87">
        <v>2019</v>
      </c>
      <c r="B2160" s="87">
        <v>10</v>
      </c>
      <c r="C2160" s="173" t="s">
        <v>16</v>
      </c>
      <c r="D2160" s="173" t="s">
        <v>23</v>
      </c>
      <c r="E2160" s="173" t="s">
        <v>24</v>
      </c>
      <c r="F2160" s="173" t="s">
        <v>16</v>
      </c>
      <c r="G2160" s="87" t="b">
        <v>1</v>
      </c>
      <c r="H2160" s="87" t="b">
        <v>0</v>
      </c>
      <c r="I2160" s="87" t="b">
        <v>0</v>
      </c>
      <c r="J2160" s="173" t="s">
        <v>450</v>
      </c>
      <c r="K2160" s="174">
        <v>45232246000550</v>
      </c>
      <c r="L2160" s="173" t="s">
        <v>685</v>
      </c>
      <c r="M2160" s="173" t="s">
        <v>639</v>
      </c>
      <c r="N2160" s="173" t="s">
        <v>19</v>
      </c>
      <c r="O2160" s="87">
        <v>70</v>
      </c>
      <c r="P2160" s="173" t="s">
        <v>20</v>
      </c>
      <c r="Q2160" s="1" t="s">
        <v>1338</v>
      </c>
      <c r="R2160" s="175">
        <v>100</v>
      </c>
      <c r="S2160">
        <v>20</v>
      </c>
    </row>
    <row r="2161" spans="1:19" x14ac:dyDescent="0.25">
      <c r="A2161" s="87">
        <v>2019</v>
      </c>
      <c r="B2161" s="87">
        <v>10</v>
      </c>
      <c r="C2161" s="173" t="s">
        <v>16</v>
      </c>
      <c r="D2161" s="173" t="s">
        <v>23</v>
      </c>
      <c r="E2161" s="173" t="s">
        <v>24</v>
      </c>
      <c r="F2161" s="173" t="s">
        <v>16</v>
      </c>
      <c r="G2161" s="87" t="b">
        <v>1</v>
      </c>
      <c r="H2161" s="87" t="b">
        <v>0</v>
      </c>
      <c r="I2161" s="87" t="b">
        <v>0</v>
      </c>
      <c r="J2161" s="173" t="s">
        <v>506</v>
      </c>
      <c r="K2161" s="174">
        <v>45232246000550</v>
      </c>
      <c r="L2161" s="173" t="s">
        <v>685</v>
      </c>
      <c r="M2161" s="173" t="s">
        <v>639</v>
      </c>
      <c r="N2161" s="173" t="s">
        <v>19</v>
      </c>
      <c r="O2161" s="87">
        <v>70</v>
      </c>
      <c r="P2161" s="173" t="s">
        <v>20</v>
      </c>
      <c r="Q2161" s="1" t="s">
        <v>1338</v>
      </c>
      <c r="R2161" s="175">
        <v>190</v>
      </c>
      <c r="S2161">
        <v>38</v>
      </c>
    </row>
    <row r="2162" spans="1:19" x14ac:dyDescent="0.25">
      <c r="A2162" s="87">
        <v>2019</v>
      </c>
      <c r="B2162" s="87">
        <v>10</v>
      </c>
      <c r="C2162" s="173" t="s">
        <v>16</v>
      </c>
      <c r="D2162" s="173" t="s">
        <v>23</v>
      </c>
      <c r="E2162" s="173" t="s">
        <v>24</v>
      </c>
      <c r="F2162" s="173" t="s">
        <v>16</v>
      </c>
      <c r="G2162" s="87" t="b">
        <v>1</v>
      </c>
      <c r="H2162" s="87" t="b">
        <v>0</v>
      </c>
      <c r="I2162" s="87" t="b">
        <v>0</v>
      </c>
      <c r="J2162" s="173" t="s">
        <v>463</v>
      </c>
      <c r="K2162" s="174">
        <v>45232246000550</v>
      </c>
      <c r="L2162" s="173" t="s">
        <v>685</v>
      </c>
      <c r="M2162" s="173" t="s">
        <v>639</v>
      </c>
      <c r="N2162" s="173" t="s">
        <v>19</v>
      </c>
      <c r="O2162" s="87">
        <v>73</v>
      </c>
      <c r="P2162" s="173" t="s">
        <v>26</v>
      </c>
      <c r="Q2162" s="1" t="s">
        <v>1339</v>
      </c>
      <c r="R2162" s="175">
        <v>12</v>
      </c>
      <c r="S2162">
        <v>6</v>
      </c>
    </row>
    <row r="2163" spans="1:19" x14ac:dyDescent="0.25">
      <c r="A2163" s="87">
        <v>2019</v>
      </c>
      <c r="B2163" s="87">
        <v>10</v>
      </c>
      <c r="C2163" s="173" t="s">
        <v>16</v>
      </c>
      <c r="D2163" s="173" t="s">
        <v>23</v>
      </c>
      <c r="E2163" s="173" t="s">
        <v>24</v>
      </c>
      <c r="F2163" s="173" t="s">
        <v>16</v>
      </c>
      <c r="G2163" s="87" t="b">
        <v>1</v>
      </c>
      <c r="H2163" s="87" t="b">
        <v>0</v>
      </c>
      <c r="I2163" s="87" t="b">
        <v>0</v>
      </c>
      <c r="J2163" s="173" t="s">
        <v>463</v>
      </c>
      <c r="K2163" s="174">
        <v>45232246000550</v>
      </c>
      <c r="L2163" s="173" t="s">
        <v>685</v>
      </c>
      <c r="M2163" s="173" t="s">
        <v>639</v>
      </c>
      <c r="N2163" s="173" t="s">
        <v>19</v>
      </c>
      <c r="O2163" s="87">
        <v>73</v>
      </c>
      <c r="P2163" s="173" t="s">
        <v>26</v>
      </c>
      <c r="Q2163" s="1" t="s">
        <v>1340</v>
      </c>
      <c r="R2163" s="175">
        <v>3</v>
      </c>
      <c r="S2163">
        <v>3</v>
      </c>
    </row>
    <row r="2164" spans="1:19" x14ac:dyDescent="0.25">
      <c r="A2164" s="87">
        <v>2019</v>
      </c>
      <c r="B2164" s="87">
        <v>10</v>
      </c>
      <c r="C2164" s="173" t="s">
        <v>16</v>
      </c>
      <c r="D2164" s="173" t="s">
        <v>23</v>
      </c>
      <c r="E2164" s="173" t="s">
        <v>24</v>
      </c>
      <c r="F2164" s="173" t="s">
        <v>16</v>
      </c>
      <c r="G2164" s="87" t="b">
        <v>1</v>
      </c>
      <c r="H2164" s="87" t="b">
        <v>0</v>
      </c>
      <c r="I2164" s="87" t="b">
        <v>0</v>
      </c>
      <c r="J2164" s="173" t="s">
        <v>463</v>
      </c>
      <c r="K2164" s="174">
        <v>45359213000576</v>
      </c>
      <c r="L2164" s="173" t="s">
        <v>686</v>
      </c>
      <c r="M2164" s="173" t="s">
        <v>687</v>
      </c>
      <c r="N2164" s="173" t="s">
        <v>19</v>
      </c>
      <c r="O2164" s="87">
        <v>73</v>
      </c>
      <c r="P2164" s="173" t="s">
        <v>26</v>
      </c>
      <c r="Q2164" s="1" t="s">
        <v>1339</v>
      </c>
      <c r="R2164" s="175">
        <v>8</v>
      </c>
      <c r="S2164">
        <v>4</v>
      </c>
    </row>
    <row r="2165" spans="1:19" x14ac:dyDescent="0.25">
      <c r="A2165" s="87">
        <v>2019</v>
      </c>
      <c r="B2165" s="87">
        <v>10</v>
      </c>
      <c r="C2165" s="173" t="s">
        <v>16</v>
      </c>
      <c r="D2165" s="173" t="s">
        <v>23</v>
      </c>
      <c r="E2165" s="173" t="s">
        <v>24</v>
      </c>
      <c r="F2165" s="173" t="s">
        <v>16</v>
      </c>
      <c r="G2165" s="87" t="b">
        <v>1</v>
      </c>
      <c r="H2165" s="87" t="b">
        <v>0</v>
      </c>
      <c r="I2165" s="87" t="b">
        <v>0</v>
      </c>
      <c r="J2165" s="173" t="s">
        <v>491</v>
      </c>
      <c r="K2165" s="174">
        <v>45359213000576</v>
      </c>
      <c r="L2165" s="173" t="s">
        <v>686</v>
      </c>
      <c r="M2165" s="173" t="s">
        <v>687</v>
      </c>
      <c r="N2165" s="173" t="s">
        <v>19</v>
      </c>
      <c r="O2165" s="87">
        <v>73</v>
      </c>
      <c r="P2165" s="173" t="s">
        <v>26</v>
      </c>
      <c r="Q2165" s="1" t="s">
        <v>1339</v>
      </c>
      <c r="R2165" s="175">
        <v>10</v>
      </c>
      <c r="S2165">
        <v>5</v>
      </c>
    </row>
    <row r="2166" spans="1:19" x14ac:dyDescent="0.25">
      <c r="A2166" s="87">
        <v>2019</v>
      </c>
      <c r="B2166" s="87">
        <v>10</v>
      </c>
      <c r="C2166" s="173" t="s">
        <v>16</v>
      </c>
      <c r="D2166" s="173" t="s">
        <v>23</v>
      </c>
      <c r="E2166" s="173" t="s">
        <v>24</v>
      </c>
      <c r="F2166" s="173" t="s">
        <v>16</v>
      </c>
      <c r="G2166" s="87" t="b">
        <v>1</v>
      </c>
      <c r="H2166" s="87" t="b">
        <v>0</v>
      </c>
      <c r="I2166" s="87" t="b">
        <v>0</v>
      </c>
      <c r="J2166" s="173" t="s">
        <v>491</v>
      </c>
      <c r="K2166" s="174">
        <v>45359213000576</v>
      </c>
      <c r="L2166" s="173" t="s">
        <v>686</v>
      </c>
      <c r="M2166" s="173" t="s">
        <v>687</v>
      </c>
      <c r="N2166" s="173" t="s">
        <v>19</v>
      </c>
      <c r="O2166" s="87">
        <v>73</v>
      </c>
      <c r="P2166" s="173" t="s">
        <v>26</v>
      </c>
      <c r="Q2166" s="1" t="s">
        <v>1342</v>
      </c>
      <c r="R2166" s="175">
        <v>48</v>
      </c>
      <c r="S2166">
        <v>12</v>
      </c>
    </row>
    <row r="2167" spans="1:19" x14ac:dyDescent="0.25">
      <c r="A2167" s="87">
        <v>2019</v>
      </c>
      <c r="B2167" s="87">
        <v>10</v>
      </c>
      <c r="C2167" s="173" t="s">
        <v>16</v>
      </c>
      <c r="D2167" s="173" t="s">
        <v>23</v>
      </c>
      <c r="E2167" s="173" t="s">
        <v>24</v>
      </c>
      <c r="F2167" s="173" t="s">
        <v>16</v>
      </c>
      <c r="G2167" s="87" t="b">
        <v>1</v>
      </c>
      <c r="H2167" s="87" t="b">
        <v>0</v>
      </c>
      <c r="I2167" s="87" t="b">
        <v>0</v>
      </c>
      <c r="J2167" s="173" t="s">
        <v>1330</v>
      </c>
      <c r="K2167" s="174">
        <v>45780103000150</v>
      </c>
      <c r="L2167" s="173" t="s">
        <v>689</v>
      </c>
      <c r="M2167" s="173" t="s">
        <v>678</v>
      </c>
      <c r="N2167" s="173" t="s">
        <v>19</v>
      </c>
      <c r="O2167" s="87">
        <v>70</v>
      </c>
      <c r="P2167" s="173" t="s">
        <v>20</v>
      </c>
      <c r="Q2167" s="1" t="s">
        <v>1338</v>
      </c>
      <c r="R2167" s="175">
        <v>365</v>
      </c>
      <c r="S2167">
        <v>73</v>
      </c>
    </row>
    <row r="2168" spans="1:19" x14ac:dyDescent="0.25">
      <c r="A2168" s="87">
        <v>2019</v>
      </c>
      <c r="B2168" s="87">
        <v>10</v>
      </c>
      <c r="C2168" s="173" t="s">
        <v>16</v>
      </c>
      <c r="D2168" s="173" t="s">
        <v>23</v>
      </c>
      <c r="E2168" s="173" t="s">
        <v>24</v>
      </c>
      <c r="F2168" s="173" t="s">
        <v>16</v>
      </c>
      <c r="G2168" s="87" t="b">
        <v>1</v>
      </c>
      <c r="H2168" s="87" t="b">
        <v>0</v>
      </c>
      <c r="I2168" s="87" t="b">
        <v>0</v>
      </c>
      <c r="J2168" s="173" t="s">
        <v>491</v>
      </c>
      <c r="K2168" s="174">
        <v>46009718000140</v>
      </c>
      <c r="L2168" s="173" t="s">
        <v>690</v>
      </c>
      <c r="M2168" s="173" t="s">
        <v>33</v>
      </c>
      <c r="N2168" s="173" t="s">
        <v>19</v>
      </c>
      <c r="O2168" s="87">
        <v>73</v>
      </c>
      <c r="P2168" s="173" t="s">
        <v>26</v>
      </c>
      <c r="Q2168" s="1" t="s">
        <v>1339</v>
      </c>
      <c r="R2168" s="175">
        <v>8</v>
      </c>
      <c r="S2168">
        <v>4</v>
      </c>
    </row>
    <row r="2169" spans="1:19" x14ac:dyDescent="0.25">
      <c r="A2169" s="87">
        <v>2019</v>
      </c>
      <c r="B2169" s="87">
        <v>10</v>
      </c>
      <c r="C2169" s="173" t="s">
        <v>16</v>
      </c>
      <c r="D2169" s="173" t="s">
        <v>23</v>
      </c>
      <c r="E2169" s="173" t="s">
        <v>24</v>
      </c>
      <c r="F2169" s="173" t="s">
        <v>16</v>
      </c>
      <c r="G2169" s="87" t="b">
        <v>1</v>
      </c>
      <c r="H2169" s="87" t="b">
        <v>0</v>
      </c>
      <c r="I2169" s="87" t="b">
        <v>0</v>
      </c>
      <c r="J2169" s="173" t="s">
        <v>491</v>
      </c>
      <c r="K2169" s="174">
        <v>46009718000140</v>
      </c>
      <c r="L2169" s="173" t="s">
        <v>690</v>
      </c>
      <c r="M2169" s="173" t="s">
        <v>33</v>
      </c>
      <c r="N2169" s="173" t="s">
        <v>19</v>
      </c>
      <c r="O2169" s="87">
        <v>73</v>
      </c>
      <c r="P2169" s="173" t="s">
        <v>26</v>
      </c>
      <c r="Q2169" s="1" t="s">
        <v>1342</v>
      </c>
      <c r="R2169" s="175">
        <v>40</v>
      </c>
      <c r="S2169">
        <v>10</v>
      </c>
    </row>
    <row r="2170" spans="1:19" x14ac:dyDescent="0.25">
      <c r="A2170" s="87">
        <v>2019</v>
      </c>
      <c r="B2170" s="87">
        <v>10</v>
      </c>
      <c r="C2170" s="173" t="s">
        <v>16</v>
      </c>
      <c r="D2170" s="173" t="s">
        <v>23</v>
      </c>
      <c r="E2170" s="173" t="s">
        <v>24</v>
      </c>
      <c r="F2170" s="173" t="s">
        <v>16</v>
      </c>
      <c r="G2170" s="87" t="b">
        <v>1</v>
      </c>
      <c r="H2170" s="87" t="b">
        <v>0</v>
      </c>
      <c r="I2170" s="87" t="b">
        <v>0</v>
      </c>
      <c r="J2170" s="173" t="s">
        <v>470</v>
      </c>
      <c r="K2170" s="174">
        <v>46020301000269</v>
      </c>
      <c r="L2170" s="173" t="s">
        <v>691</v>
      </c>
      <c r="M2170" s="173" t="s">
        <v>33</v>
      </c>
      <c r="N2170" s="173" t="s">
        <v>19</v>
      </c>
      <c r="O2170" s="87">
        <v>73</v>
      </c>
      <c r="P2170" s="173" t="s">
        <v>26</v>
      </c>
      <c r="Q2170" s="1" t="s">
        <v>1342</v>
      </c>
      <c r="R2170" s="175">
        <v>32</v>
      </c>
      <c r="S2170">
        <v>8</v>
      </c>
    </row>
    <row r="2171" spans="1:19" x14ac:dyDescent="0.25">
      <c r="A2171" s="87">
        <v>2019</v>
      </c>
      <c r="B2171" s="87">
        <v>10</v>
      </c>
      <c r="C2171" s="173" t="s">
        <v>16</v>
      </c>
      <c r="D2171" s="173" t="s">
        <v>23</v>
      </c>
      <c r="E2171" s="173" t="s">
        <v>24</v>
      </c>
      <c r="F2171" s="173" t="s">
        <v>16</v>
      </c>
      <c r="G2171" s="87" t="b">
        <v>1</v>
      </c>
      <c r="H2171" s="87" t="b">
        <v>0</v>
      </c>
      <c r="I2171" s="87" t="b">
        <v>0</v>
      </c>
      <c r="J2171" s="173" t="s">
        <v>470</v>
      </c>
      <c r="K2171" s="174">
        <v>46020301000269</v>
      </c>
      <c r="L2171" s="173" t="s">
        <v>691</v>
      </c>
      <c r="M2171" s="173" t="s">
        <v>33</v>
      </c>
      <c r="N2171" s="173" t="s">
        <v>19</v>
      </c>
      <c r="O2171" s="87">
        <v>73</v>
      </c>
      <c r="P2171" s="173" t="s">
        <v>26</v>
      </c>
      <c r="Q2171" s="1" t="s">
        <v>1340</v>
      </c>
      <c r="R2171" s="175">
        <v>3</v>
      </c>
      <c r="S2171">
        <v>3</v>
      </c>
    </row>
    <row r="2172" spans="1:19" x14ac:dyDescent="0.25">
      <c r="A2172" s="87">
        <v>2019</v>
      </c>
      <c r="B2172" s="87">
        <v>10</v>
      </c>
      <c r="C2172" s="173" t="s">
        <v>16</v>
      </c>
      <c r="D2172" s="173" t="s">
        <v>23</v>
      </c>
      <c r="E2172" s="173" t="s">
        <v>24</v>
      </c>
      <c r="F2172" s="173" t="s">
        <v>16</v>
      </c>
      <c r="G2172" s="87" t="b">
        <v>1</v>
      </c>
      <c r="H2172" s="87" t="b">
        <v>0</v>
      </c>
      <c r="I2172" s="87" t="b">
        <v>0</v>
      </c>
      <c r="J2172" s="173" t="s">
        <v>450</v>
      </c>
      <c r="K2172" s="174">
        <v>46068425000133</v>
      </c>
      <c r="L2172" s="173" t="s">
        <v>692</v>
      </c>
      <c r="M2172" s="173" t="s">
        <v>33</v>
      </c>
      <c r="N2172" s="173" t="s">
        <v>19</v>
      </c>
      <c r="O2172" s="87">
        <v>66</v>
      </c>
      <c r="P2172" s="173" t="s">
        <v>28</v>
      </c>
      <c r="Q2172" s="1" t="s">
        <v>1341</v>
      </c>
      <c r="R2172" s="175">
        <v>1</v>
      </c>
      <c r="S2172">
        <v>1</v>
      </c>
    </row>
    <row r="2173" spans="1:19" x14ac:dyDescent="0.25">
      <c r="A2173" s="87">
        <v>2019</v>
      </c>
      <c r="B2173" s="87">
        <v>10</v>
      </c>
      <c r="C2173" s="173" t="s">
        <v>16</v>
      </c>
      <c r="D2173" s="173" t="s">
        <v>23</v>
      </c>
      <c r="E2173" s="173" t="s">
        <v>24</v>
      </c>
      <c r="F2173" s="173" t="s">
        <v>16</v>
      </c>
      <c r="G2173" s="87" t="b">
        <v>1</v>
      </c>
      <c r="H2173" s="87" t="b">
        <v>0</v>
      </c>
      <c r="I2173" s="87" t="b">
        <v>0</v>
      </c>
      <c r="J2173" s="173" t="s">
        <v>448</v>
      </c>
      <c r="K2173" s="174">
        <v>46124624000111</v>
      </c>
      <c r="L2173" s="173" t="s">
        <v>693</v>
      </c>
      <c r="M2173" s="173" t="s">
        <v>33</v>
      </c>
      <c r="N2173" s="173" t="s">
        <v>19</v>
      </c>
      <c r="O2173" s="87">
        <v>70</v>
      </c>
      <c r="P2173" s="173" t="s">
        <v>20</v>
      </c>
      <c r="Q2173" s="1" t="s">
        <v>1338</v>
      </c>
      <c r="R2173" s="175">
        <v>1170</v>
      </c>
      <c r="S2173">
        <v>234</v>
      </c>
    </row>
    <row r="2174" spans="1:19" x14ac:dyDescent="0.25">
      <c r="A2174" s="87">
        <v>2019</v>
      </c>
      <c r="B2174" s="87">
        <v>10</v>
      </c>
      <c r="C2174" s="173" t="s">
        <v>16</v>
      </c>
      <c r="D2174" s="173" t="s">
        <v>23</v>
      </c>
      <c r="E2174" s="173" t="s">
        <v>24</v>
      </c>
      <c r="F2174" s="173" t="s">
        <v>16</v>
      </c>
      <c r="G2174" s="87" t="b">
        <v>1</v>
      </c>
      <c r="H2174" s="87" t="b">
        <v>0</v>
      </c>
      <c r="I2174" s="87" t="b">
        <v>0</v>
      </c>
      <c r="J2174" s="173" t="s">
        <v>448</v>
      </c>
      <c r="K2174" s="174">
        <v>46124624000111</v>
      </c>
      <c r="L2174" s="173" t="s">
        <v>693</v>
      </c>
      <c r="M2174" s="173" t="s">
        <v>33</v>
      </c>
      <c r="N2174" s="173" t="s">
        <v>19</v>
      </c>
      <c r="O2174" s="87">
        <v>73</v>
      </c>
      <c r="P2174" s="173" t="s">
        <v>26</v>
      </c>
      <c r="Q2174" s="1" t="s">
        <v>1342</v>
      </c>
      <c r="R2174" s="175">
        <v>72</v>
      </c>
      <c r="S2174">
        <v>18</v>
      </c>
    </row>
    <row r="2175" spans="1:19" x14ac:dyDescent="0.25">
      <c r="A2175" s="87">
        <v>2019</v>
      </c>
      <c r="B2175" s="87">
        <v>10</v>
      </c>
      <c r="C2175" s="173" t="s">
        <v>16</v>
      </c>
      <c r="D2175" s="173" t="s">
        <v>23</v>
      </c>
      <c r="E2175" s="173" t="s">
        <v>24</v>
      </c>
      <c r="F2175" s="173" t="s">
        <v>16</v>
      </c>
      <c r="G2175" s="87" t="b">
        <v>1</v>
      </c>
      <c r="H2175" s="87" t="b">
        <v>0</v>
      </c>
      <c r="I2175" s="87" t="b">
        <v>0</v>
      </c>
      <c r="J2175" s="173" t="s">
        <v>448</v>
      </c>
      <c r="K2175" s="174">
        <v>46124624002599</v>
      </c>
      <c r="L2175" s="173" t="s">
        <v>694</v>
      </c>
      <c r="M2175" s="173" t="s">
        <v>695</v>
      </c>
      <c r="N2175" s="173" t="s">
        <v>19</v>
      </c>
      <c r="O2175" s="87">
        <v>70</v>
      </c>
      <c r="P2175" s="173" t="s">
        <v>20</v>
      </c>
      <c r="Q2175" s="1" t="s">
        <v>1338</v>
      </c>
      <c r="R2175" s="175">
        <v>1100</v>
      </c>
      <c r="S2175">
        <v>220</v>
      </c>
    </row>
    <row r="2176" spans="1:19" x14ac:dyDescent="0.25">
      <c r="A2176" s="87">
        <v>2019</v>
      </c>
      <c r="B2176" s="87">
        <v>10</v>
      </c>
      <c r="C2176" s="173" t="s">
        <v>16</v>
      </c>
      <c r="D2176" s="173" t="s">
        <v>23</v>
      </c>
      <c r="E2176" s="173" t="s">
        <v>24</v>
      </c>
      <c r="F2176" s="173" t="s">
        <v>16</v>
      </c>
      <c r="G2176" s="87" t="b">
        <v>1</v>
      </c>
      <c r="H2176" s="87" t="b">
        <v>0</v>
      </c>
      <c r="I2176" s="87" t="b">
        <v>0</v>
      </c>
      <c r="J2176" s="173" t="s">
        <v>448</v>
      </c>
      <c r="K2176" s="174">
        <v>46124624002599</v>
      </c>
      <c r="L2176" s="173" t="s">
        <v>694</v>
      </c>
      <c r="M2176" s="173" t="s">
        <v>695</v>
      </c>
      <c r="N2176" s="173" t="s">
        <v>19</v>
      </c>
      <c r="O2176" s="87">
        <v>73</v>
      </c>
      <c r="P2176" s="173" t="s">
        <v>26</v>
      </c>
      <c r="Q2176" s="1" t="s">
        <v>1342</v>
      </c>
      <c r="R2176" s="175">
        <v>280</v>
      </c>
      <c r="S2176">
        <v>70</v>
      </c>
    </row>
    <row r="2177" spans="1:19" x14ac:dyDescent="0.25">
      <c r="A2177" s="87">
        <v>2019</v>
      </c>
      <c r="B2177" s="87">
        <v>10</v>
      </c>
      <c r="C2177" s="173" t="s">
        <v>16</v>
      </c>
      <c r="D2177" s="173" t="s">
        <v>23</v>
      </c>
      <c r="E2177" s="173" t="s">
        <v>24</v>
      </c>
      <c r="F2177" s="173" t="s">
        <v>16</v>
      </c>
      <c r="G2177" s="87" t="b">
        <v>1</v>
      </c>
      <c r="H2177" s="87" t="b">
        <v>0</v>
      </c>
      <c r="I2177" s="87" t="b">
        <v>0</v>
      </c>
      <c r="J2177" s="173" t="s">
        <v>1330</v>
      </c>
      <c r="K2177" s="174">
        <v>46374500003533</v>
      </c>
      <c r="L2177" s="173" t="s">
        <v>696</v>
      </c>
      <c r="M2177" s="173" t="s">
        <v>639</v>
      </c>
      <c r="N2177" s="173" t="s">
        <v>19</v>
      </c>
      <c r="O2177" s="87">
        <v>70</v>
      </c>
      <c r="P2177" s="173" t="s">
        <v>20</v>
      </c>
      <c r="Q2177" s="1" t="s">
        <v>1338</v>
      </c>
      <c r="R2177" s="175">
        <v>1000</v>
      </c>
      <c r="S2177">
        <v>200</v>
      </c>
    </row>
    <row r="2178" spans="1:19" x14ac:dyDescent="0.25">
      <c r="A2178" s="87">
        <v>2019</v>
      </c>
      <c r="B2178" s="87">
        <v>10</v>
      </c>
      <c r="C2178" s="173" t="s">
        <v>16</v>
      </c>
      <c r="D2178" s="173" t="s">
        <v>23</v>
      </c>
      <c r="E2178" s="173" t="s">
        <v>24</v>
      </c>
      <c r="F2178" s="173" t="s">
        <v>16</v>
      </c>
      <c r="G2178" s="87" t="b">
        <v>1</v>
      </c>
      <c r="H2178" s="87" t="b">
        <v>0</v>
      </c>
      <c r="I2178" s="87" t="b">
        <v>0</v>
      </c>
      <c r="J2178" s="173" t="s">
        <v>1330</v>
      </c>
      <c r="K2178" s="174">
        <v>46643466000106</v>
      </c>
      <c r="L2178" s="173" t="s">
        <v>701</v>
      </c>
      <c r="M2178" s="173" t="s">
        <v>650</v>
      </c>
      <c r="N2178" s="173" t="s">
        <v>19</v>
      </c>
      <c r="O2178" s="87">
        <v>70</v>
      </c>
      <c r="P2178" s="173" t="s">
        <v>20</v>
      </c>
      <c r="Q2178" s="1" t="s">
        <v>1338</v>
      </c>
      <c r="R2178" s="175">
        <v>1450</v>
      </c>
      <c r="S2178">
        <v>290</v>
      </c>
    </row>
    <row r="2179" spans="1:19" x14ac:dyDescent="0.25">
      <c r="A2179" s="87">
        <v>2019</v>
      </c>
      <c r="B2179" s="87">
        <v>10</v>
      </c>
      <c r="C2179" s="173" t="s">
        <v>16</v>
      </c>
      <c r="D2179" s="173" t="s">
        <v>23</v>
      </c>
      <c r="E2179" s="173" t="s">
        <v>24</v>
      </c>
      <c r="F2179" s="173" t="s">
        <v>16</v>
      </c>
      <c r="G2179" s="87" t="b">
        <v>1</v>
      </c>
      <c r="H2179" s="87" t="b">
        <v>0</v>
      </c>
      <c r="I2179" s="87" t="b">
        <v>0</v>
      </c>
      <c r="J2179" s="173" t="s">
        <v>491</v>
      </c>
      <c r="K2179" s="174">
        <v>47074851000819</v>
      </c>
      <c r="L2179" s="173" t="s">
        <v>702</v>
      </c>
      <c r="M2179" s="173" t="s">
        <v>41</v>
      </c>
      <c r="N2179" s="173" t="s">
        <v>19</v>
      </c>
      <c r="O2179" s="87">
        <v>73</v>
      </c>
      <c r="P2179" s="173" t="s">
        <v>26</v>
      </c>
      <c r="Q2179" s="1" t="s">
        <v>1340</v>
      </c>
      <c r="R2179" s="175">
        <v>12</v>
      </c>
      <c r="S2179">
        <v>12</v>
      </c>
    </row>
    <row r="2180" spans="1:19" x14ac:dyDescent="0.25">
      <c r="A2180" s="87">
        <v>2019</v>
      </c>
      <c r="B2180" s="87">
        <v>10</v>
      </c>
      <c r="C2180" s="173" t="s">
        <v>16</v>
      </c>
      <c r="D2180" s="173" t="s">
        <v>23</v>
      </c>
      <c r="E2180" s="173" t="s">
        <v>24</v>
      </c>
      <c r="F2180" s="173" t="s">
        <v>16</v>
      </c>
      <c r="G2180" s="87" t="b">
        <v>1</v>
      </c>
      <c r="H2180" s="87" t="b">
        <v>0</v>
      </c>
      <c r="I2180" s="87" t="b">
        <v>0</v>
      </c>
      <c r="J2180" s="173" t="s">
        <v>1330</v>
      </c>
      <c r="K2180" s="174">
        <v>48468284000171</v>
      </c>
      <c r="L2180" s="173" t="s">
        <v>705</v>
      </c>
      <c r="M2180" s="173" t="s">
        <v>43</v>
      </c>
      <c r="N2180" s="173" t="s">
        <v>19</v>
      </c>
      <c r="O2180" s="87">
        <v>70</v>
      </c>
      <c r="P2180" s="173" t="s">
        <v>20</v>
      </c>
      <c r="Q2180" s="1" t="s">
        <v>1338</v>
      </c>
      <c r="R2180" s="175">
        <v>100</v>
      </c>
      <c r="S2180">
        <v>20</v>
      </c>
    </row>
    <row r="2181" spans="1:19" x14ac:dyDescent="0.25">
      <c r="A2181" s="87">
        <v>2019</v>
      </c>
      <c r="B2181" s="87">
        <v>10</v>
      </c>
      <c r="C2181" s="173" t="s">
        <v>16</v>
      </c>
      <c r="D2181" s="173" t="s">
        <v>23</v>
      </c>
      <c r="E2181" s="173" t="s">
        <v>24</v>
      </c>
      <c r="F2181" s="173" t="s">
        <v>16</v>
      </c>
      <c r="G2181" s="87" t="b">
        <v>1</v>
      </c>
      <c r="H2181" s="87" t="b">
        <v>0</v>
      </c>
      <c r="I2181" s="87" t="b">
        <v>0</v>
      </c>
      <c r="J2181" s="173" t="s">
        <v>463</v>
      </c>
      <c r="K2181" s="174">
        <v>50486026000160</v>
      </c>
      <c r="L2181" s="173" t="s">
        <v>706</v>
      </c>
      <c r="M2181" s="173" t="s">
        <v>44</v>
      </c>
      <c r="N2181" s="173" t="s">
        <v>19</v>
      </c>
      <c r="O2181" s="87">
        <v>70</v>
      </c>
      <c r="P2181" s="173" t="s">
        <v>20</v>
      </c>
      <c r="Q2181" s="1" t="s">
        <v>1338</v>
      </c>
      <c r="R2181" s="175">
        <v>100</v>
      </c>
      <c r="S2181">
        <v>20</v>
      </c>
    </row>
    <row r="2182" spans="1:19" x14ac:dyDescent="0.25">
      <c r="A2182" s="87">
        <v>2019</v>
      </c>
      <c r="B2182" s="87">
        <v>10</v>
      </c>
      <c r="C2182" s="173" t="s">
        <v>16</v>
      </c>
      <c r="D2182" s="173" t="s">
        <v>23</v>
      </c>
      <c r="E2182" s="173" t="s">
        <v>24</v>
      </c>
      <c r="F2182" s="173" t="s">
        <v>16</v>
      </c>
      <c r="G2182" s="87" t="b">
        <v>1</v>
      </c>
      <c r="H2182" s="87" t="b">
        <v>0</v>
      </c>
      <c r="I2182" s="87" t="b">
        <v>0</v>
      </c>
      <c r="J2182" s="173" t="s">
        <v>470</v>
      </c>
      <c r="K2182" s="174">
        <v>51093193000456</v>
      </c>
      <c r="L2182" s="173" t="s">
        <v>708</v>
      </c>
      <c r="M2182" s="173" t="s">
        <v>698</v>
      </c>
      <c r="N2182" s="173" t="s">
        <v>19</v>
      </c>
      <c r="O2182" s="87">
        <v>70</v>
      </c>
      <c r="P2182" s="173" t="s">
        <v>20</v>
      </c>
      <c r="Q2182" s="1" t="s">
        <v>1338</v>
      </c>
      <c r="R2182" s="175">
        <v>20</v>
      </c>
      <c r="S2182">
        <v>4</v>
      </c>
    </row>
    <row r="2183" spans="1:19" x14ac:dyDescent="0.25">
      <c r="A2183" s="87">
        <v>2019</v>
      </c>
      <c r="B2183" s="87">
        <v>10</v>
      </c>
      <c r="C2183" s="173" t="s">
        <v>16</v>
      </c>
      <c r="D2183" s="173" t="s">
        <v>23</v>
      </c>
      <c r="E2183" s="173" t="s">
        <v>24</v>
      </c>
      <c r="F2183" s="173" t="s">
        <v>16</v>
      </c>
      <c r="G2183" s="87" t="b">
        <v>1</v>
      </c>
      <c r="H2183" s="87" t="b">
        <v>0</v>
      </c>
      <c r="I2183" s="87" t="b">
        <v>0</v>
      </c>
      <c r="J2183" s="173" t="s">
        <v>470</v>
      </c>
      <c r="K2183" s="174">
        <v>51722957010226</v>
      </c>
      <c r="L2183" s="173" t="s">
        <v>603</v>
      </c>
      <c r="M2183" s="173" t="s">
        <v>29</v>
      </c>
      <c r="N2183" s="173" t="s">
        <v>19</v>
      </c>
      <c r="O2183" s="87">
        <v>73</v>
      </c>
      <c r="P2183" s="173" t="s">
        <v>26</v>
      </c>
      <c r="Q2183" s="1" t="s">
        <v>1340</v>
      </c>
      <c r="R2183" s="175">
        <v>1</v>
      </c>
      <c r="S2183">
        <v>1</v>
      </c>
    </row>
    <row r="2184" spans="1:19" x14ac:dyDescent="0.25">
      <c r="A2184" s="87">
        <v>2019</v>
      </c>
      <c r="B2184" s="87">
        <v>10</v>
      </c>
      <c r="C2184" s="173" t="s">
        <v>16</v>
      </c>
      <c r="D2184" s="173" t="s">
        <v>23</v>
      </c>
      <c r="E2184" s="173" t="s">
        <v>24</v>
      </c>
      <c r="F2184" s="173" t="s">
        <v>16</v>
      </c>
      <c r="G2184" s="87" t="b">
        <v>1</v>
      </c>
      <c r="H2184" s="87" t="b">
        <v>0</v>
      </c>
      <c r="I2184" s="87" t="b">
        <v>0</v>
      </c>
      <c r="J2184" s="173" t="s">
        <v>450</v>
      </c>
      <c r="K2184" s="174">
        <v>51722957010226</v>
      </c>
      <c r="L2184" s="173" t="s">
        <v>603</v>
      </c>
      <c r="M2184" s="173" t="s">
        <v>29</v>
      </c>
      <c r="N2184" s="173" t="s">
        <v>19</v>
      </c>
      <c r="O2184" s="87">
        <v>73</v>
      </c>
      <c r="P2184" s="173" t="s">
        <v>26</v>
      </c>
      <c r="Q2184" s="1" t="s">
        <v>1339</v>
      </c>
      <c r="R2184" s="175">
        <v>2</v>
      </c>
      <c r="S2184">
        <v>1</v>
      </c>
    </row>
    <row r="2185" spans="1:19" x14ac:dyDescent="0.25">
      <c r="A2185" s="87">
        <v>2019</v>
      </c>
      <c r="B2185" s="87">
        <v>10</v>
      </c>
      <c r="C2185" s="173" t="s">
        <v>16</v>
      </c>
      <c r="D2185" s="173" t="s">
        <v>23</v>
      </c>
      <c r="E2185" s="173" t="s">
        <v>24</v>
      </c>
      <c r="F2185" s="173" t="s">
        <v>16</v>
      </c>
      <c r="G2185" s="87" t="b">
        <v>1</v>
      </c>
      <c r="H2185" s="87" t="b">
        <v>0</v>
      </c>
      <c r="I2185" s="87" t="b">
        <v>0</v>
      </c>
      <c r="J2185" s="173" t="s">
        <v>470</v>
      </c>
      <c r="K2185" s="174">
        <v>51722957012512</v>
      </c>
      <c r="L2185" s="173" t="s">
        <v>604</v>
      </c>
      <c r="M2185" s="173" t="s">
        <v>29</v>
      </c>
      <c r="N2185" s="173" t="s">
        <v>19</v>
      </c>
      <c r="O2185" s="87">
        <v>70</v>
      </c>
      <c r="P2185" s="173" t="s">
        <v>20</v>
      </c>
      <c r="Q2185" s="1" t="s">
        <v>1338</v>
      </c>
      <c r="R2185" s="175">
        <v>680</v>
      </c>
      <c r="S2185">
        <v>136</v>
      </c>
    </row>
    <row r="2186" spans="1:19" x14ac:dyDescent="0.25">
      <c r="A2186" s="87">
        <v>2019</v>
      </c>
      <c r="B2186" s="87">
        <v>10</v>
      </c>
      <c r="C2186" s="173" t="s">
        <v>16</v>
      </c>
      <c r="D2186" s="173" t="s">
        <v>23</v>
      </c>
      <c r="E2186" s="173" t="s">
        <v>24</v>
      </c>
      <c r="F2186" s="173" t="s">
        <v>16</v>
      </c>
      <c r="G2186" s="87" t="b">
        <v>1</v>
      </c>
      <c r="H2186" s="87" t="b">
        <v>0</v>
      </c>
      <c r="I2186" s="87" t="b">
        <v>0</v>
      </c>
      <c r="J2186" s="173" t="s">
        <v>470</v>
      </c>
      <c r="K2186" s="174">
        <v>51722957014302</v>
      </c>
      <c r="L2186" s="173" t="s">
        <v>709</v>
      </c>
      <c r="M2186" s="173" t="s">
        <v>710</v>
      </c>
      <c r="N2186" s="173" t="s">
        <v>19</v>
      </c>
      <c r="O2186" s="87">
        <v>70</v>
      </c>
      <c r="P2186" s="173" t="s">
        <v>20</v>
      </c>
      <c r="Q2186" s="1" t="s">
        <v>1338</v>
      </c>
      <c r="R2186" s="175">
        <v>75</v>
      </c>
      <c r="S2186">
        <v>15</v>
      </c>
    </row>
    <row r="2187" spans="1:19" x14ac:dyDescent="0.25">
      <c r="A2187" s="87">
        <v>2019</v>
      </c>
      <c r="B2187" s="87">
        <v>10</v>
      </c>
      <c r="C2187" s="173" t="s">
        <v>16</v>
      </c>
      <c r="D2187" s="173" t="s">
        <v>23</v>
      </c>
      <c r="E2187" s="173" t="s">
        <v>24</v>
      </c>
      <c r="F2187" s="173" t="s">
        <v>16</v>
      </c>
      <c r="G2187" s="87" t="b">
        <v>1</v>
      </c>
      <c r="H2187" s="87" t="b">
        <v>0</v>
      </c>
      <c r="I2187" s="87" t="b">
        <v>0</v>
      </c>
      <c r="J2187" s="173" t="s">
        <v>463</v>
      </c>
      <c r="K2187" s="174">
        <v>53311999000156</v>
      </c>
      <c r="L2187" s="173" t="s">
        <v>714</v>
      </c>
      <c r="M2187" s="173" t="s">
        <v>715</v>
      </c>
      <c r="N2187" s="173" t="s">
        <v>19</v>
      </c>
      <c r="O2187" s="87">
        <v>64</v>
      </c>
      <c r="P2187" s="173" t="s">
        <v>25</v>
      </c>
      <c r="Q2187" s="1" t="s">
        <v>1344</v>
      </c>
      <c r="R2187" s="175">
        <v>1</v>
      </c>
      <c r="S2187">
        <v>1</v>
      </c>
    </row>
    <row r="2188" spans="1:19" x14ac:dyDescent="0.25">
      <c r="A2188" s="87">
        <v>2019</v>
      </c>
      <c r="B2188" s="87">
        <v>10</v>
      </c>
      <c r="C2188" s="173" t="s">
        <v>16</v>
      </c>
      <c r="D2188" s="173" t="s">
        <v>23</v>
      </c>
      <c r="E2188" s="173" t="s">
        <v>24</v>
      </c>
      <c r="F2188" s="173" t="s">
        <v>16</v>
      </c>
      <c r="G2188" s="87" t="b">
        <v>1</v>
      </c>
      <c r="H2188" s="87" t="b">
        <v>0</v>
      </c>
      <c r="I2188" s="87" t="b">
        <v>0</v>
      </c>
      <c r="J2188" s="173" t="s">
        <v>463</v>
      </c>
      <c r="K2188" s="174">
        <v>53678264000246</v>
      </c>
      <c r="L2188" s="173" t="s">
        <v>716</v>
      </c>
      <c r="M2188" s="173" t="s">
        <v>717</v>
      </c>
      <c r="N2188" s="173" t="s">
        <v>19</v>
      </c>
      <c r="O2188" s="87">
        <v>70</v>
      </c>
      <c r="P2188" s="173" t="s">
        <v>20</v>
      </c>
      <c r="Q2188" s="1" t="s">
        <v>1345</v>
      </c>
      <c r="R2188" s="175">
        <v>80</v>
      </c>
      <c r="S2188">
        <v>8</v>
      </c>
    </row>
    <row r="2189" spans="1:19" x14ac:dyDescent="0.25">
      <c r="A2189" s="87">
        <v>2019</v>
      </c>
      <c r="B2189" s="87">
        <v>10</v>
      </c>
      <c r="C2189" s="173" t="s">
        <v>16</v>
      </c>
      <c r="D2189" s="173" t="s">
        <v>23</v>
      </c>
      <c r="E2189" s="173" t="s">
        <v>24</v>
      </c>
      <c r="F2189" s="173" t="s">
        <v>16</v>
      </c>
      <c r="G2189" s="87" t="b">
        <v>1</v>
      </c>
      <c r="H2189" s="87" t="b">
        <v>0</v>
      </c>
      <c r="I2189" s="87" t="b">
        <v>0</v>
      </c>
      <c r="J2189" s="173" t="s">
        <v>491</v>
      </c>
      <c r="K2189" s="174">
        <v>54012406000385</v>
      </c>
      <c r="L2189" s="173" t="s">
        <v>718</v>
      </c>
      <c r="M2189" s="173" t="s">
        <v>45</v>
      </c>
      <c r="N2189" s="173" t="s">
        <v>19</v>
      </c>
      <c r="O2189" s="87">
        <v>70</v>
      </c>
      <c r="P2189" s="173" t="s">
        <v>20</v>
      </c>
      <c r="Q2189" s="1" t="s">
        <v>1338</v>
      </c>
      <c r="R2189" s="175">
        <v>70</v>
      </c>
      <c r="S2189">
        <v>14</v>
      </c>
    </row>
    <row r="2190" spans="1:19" x14ac:dyDescent="0.25">
      <c r="A2190" s="87">
        <v>2019</v>
      </c>
      <c r="B2190" s="87">
        <v>10</v>
      </c>
      <c r="C2190" s="173" t="s">
        <v>16</v>
      </c>
      <c r="D2190" s="173" t="s">
        <v>23</v>
      </c>
      <c r="E2190" s="173" t="s">
        <v>24</v>
      </c>
      <c r="F2190" s="173" t="s">
        <v>16</v>
      </c>
      <c r="G2190" s="87" t="b">
        <v>1</v>
      </c>
      <c r="H2190" s="87" t="b">
        <v>0</v>
      </c>
      <c r="I2190" s="87" t="b">
        <v>0</v>
      </c>
      <c r="J2190" s="173" t="s">
        <v>463</v>
      </c>
      <c r="K2190" s="174">
        <v>54370630000187</v>
      </c>
      <c r="L2190" s="173" t="s">
        <v>719</v>
      </c>
      <c r="M2190" s="173" t="s">
        <v>40</v>
      </c>
      <c r="N2190" s="173" t="s">
        <v>19</v>
      </c>
      <c r="O2190" s="87">
        <v>70</v>
      </c>
      <c r="P2190" s="173" t="s">
        <v>20</v>
      </c>
      <c r="Q2190" s="1" t="s">
        <v>1345</v>
      </c>
      <c r="R2190" s="175">
        <v>120</v>
      </c>
      <c r="S2190">
        <v>12</v>
      </c>
    </row>
    <row r="2191" spans="1:19" x14ac:dyDescent="0.25">
      <c r="A2191" s="87">
        <v>2019</v>
      </c>
      <c r="B2191" s="87">
        <v>10</v>
      </c>
      <c r="C2191" s="173" t="s">
        <v>16</v>
      </c>
      <c r="D2191" s="173" t="s">
        <v>23</v>
      </c>
      <c r="E2191" s="173" t="s">
        <v>24</v>
      </c>
      <c r="F2191" s="173" t="s">
        <v>16</v>
      </c>
      <c r="G2191" s="87" t="b">
        <v>1</v>
      </c>
      <c r="H2191" s="87" t="b">
        <v>0</v>
      </c>
      <c r="I2191" s="87" t="b">
        <v>0</v>
      </c>
      <c r="J2191" s="173" t="s">
        <v>450</v>
      </c>
      <c r="K2191" s="174">
        <v>56577059000606</v>
      </c>
      <c r="L2191" s="173" t="s">
        <v>606</v>
      </c>
      <c r="M2191" s="173" t="s">
        <v>29</v>
      </c>
      <c r="N2191" s="173" t="s">
        <v>19</v>
      </c>
      <c r="O2191" s="87">
        <v>64</v>
      </c>
      <c r="P2191" s="173" t="s">
        <v>25</v>
      </c>
      <c r="Q2191" s="1" t="s">
        <v>1344</v>
      </c>
      <c r="R2191" s="175">
        <v>30</v>
      </c>
      <c r="S2191">
        <v>30</v>
      </c>
    </row>
    <row r="2192" spans="1:19" x14ac:dyDescent="0.25">
      <c r="A2192" s="87">
        <v>2019</v>
      </c>
      <c r="B2192" s="87">
        <v>10</v>
      </c>
      <c r="C2192" s="173" t="s">
        <v>16</v>
      </c>
      <c r="D2192" s="173" t="s">
        <v>23</v>
      </c>
      <c r="E2192" s="173" t="s">
        <v>24</v>
      </c>
      <c r="F2192" s="173" t="s">
        <v>16</v>
      </c>
      <c r="G2192" s="87" t="b">
        <v>1</v>
      </c>
      <c r="H2192" s="87" t="b">
        <v>0</v>
      </c>
      <c r="I2192" s="87" t="b">
        <v>0</v>
      </c>
      <c r="J2192" s="173" t="s">
        <v>463</v>
      </c>
      <c r="K2192" s="174">
        <v>57507402000102</v>
      </c>
      <c r="L2192" s="173" t="s">
        <v>721</v>
      </c>
      <c r="M2192" s="173" t="s">
        <v>647</v>
      </c>
      <c r="N2192" s="173" t="s">
        <v>19</v>
      </c>
      <c r="O2192" s="87">
        <v>70</v>
      </c>
      <c r="P2192" s="173" t="s">
        <v>20</v>
      </c>
      <c r="Q2192" s="1" t="s">
        <v>1338</v>
      </c>
      <c r="R2192" s="175">
        <v>150</v>
      </c>
      <c r="S2192">
        <v>30</v>
      </c>
    </row>
    <row r="2193" spans="1:19" x14ac:dyDescent="0.25">
      <c r="A2193" s="87">
        <v>2019</v>
      </c>
      <c r="B2193" s="87">
        <v>10</v>
      </c>
      <c r="C2193" s="173" t="s">
        <v>16</v>
      </c>
      <c r="D2193" s="173" t="s">
        <v>23</v>
      </c>
      <c r="E2193" s="173" t="s">
        <v>24</v>
      </c>
      <c r="F2193" s="173" t="s">
        <v>16</v>
      </c>
      <c r="G2193" s="87" t="b">
        <v>1</v>
      </c>
      <c r="H2193" s="87" t="b">
        <v>0</v>
      </c>
      <c r="I2193" s="87" t="b">
        <v>0</v>
      </c>
      <c r="J2193" s="173" t="s">
        <v>463</v>
      </c>
      <c r="K2193" s="174">
        <v>57507402000102</v>
      </c>
      <c r="L2193" s="173" t="s">
        <v>721</v>
      </c>
      <c r="M2193" s="173" t="s">
        <v>647</v>
      </c>
      <c r="N2193" s="173" t="s">
        <v>19</v>
      </c>
      <c r="O2193" s="87">
        <v>73</v>
      </c>
      <c r="P2193" s="173" t="s">
        <v>26</v>
      </c>
      <c r="Q2193" s="1" t="s">
        <v>1339</v>
      </c>
      <c r="R2193" s="175">
        <v>150</v>
      </c>
      <c r="S2193">
        <v>75</v>
      </c>
    </row>
    <row r="2194" spans="1:19" x14ac:dyDescent="0.25">
      <c r="A2194" s="87">
        <v>2019</v>
      </c>
      <c r="B2194" s="87">
        <v>10</v>
      </c>
      <c r="C2194" s="173" t="s">
        <v>16</v>
      </c>
      <c r="D2194" s="173" t="s">
        <v>23</v>
      </c>
      <c r="E2194" s="173" t="s">
        <v>24</v>
      </c>
      <c r="F2194" s="173" t="s">
        <v>16</v>
      </c>
      <c r="G2194" s="87" t="b">
        <v>1</v>
      </c>
      <c r="H2194" s="87" t="b">
        <v>0</v>
      </c>
      <c r="I2194" s="87" t="b">
        <v>0</v>
      </c>
      <c r="J2194" s="173" t="s">
        <v>1330</v>
      </c>
      <c r="K2194" s="174">
        <v>57722118000302</v>
      </c>
      <c r="L2194" s="173" t="s">
        <v>723</v>
      </c>
      <c r="M2194" s="173" t="s">
        <v>639</v>
      </c>
      <c r="N2194" s="173" t="s">
        <v>19</v>
      </c>
      <c r="O2194" s="87">
        <v>73</v>
      </c>
      <c r="P2194" s="173" t="s">
        <v>26</v>
      </c>
      <c r="Q2194" s="1" t="s">
        <v>1340</v>
      </c>
      <c r="R2194" s="175">
        <v>68</v>
      </c>
      <c r="S2194">
        <v>68</v>
      </c>
    </row>
    <row r="2195" spans="1:19" x14ac:dyDescent="0.25">
      <c r="A2195" s="87">
        <v>2019</v>
      </c>
      <c r="B2195" s="87">
        <v>10</v>
      </c>
      <c r="C2195" s="173" t="s">
        <v>16</v>
      </c>
      <c r="D2195" s="173" t="s">
        <v>23</v>
      </c>
      <c r="E2195" s="173" t="s">
        <v>24</v>
      </c>
      <c r="F2195" s="173" t="s">
        <v>16</v>
      </c>
      <c r="G2195" s="87" t="b">
        <v>1</v>
      </c>
      <c r="H2195" s="87" t="b">
        <v>0</v>
      </c>
      <c r="I2195" s="87" t="b">
        <v>0</v>
      </c>
      <c r="J2195" s="173" t="s">
        <v>450</v>
      </c>
      <c r="K2195" s="174">
        <v>57723280000183</v>
      </c>
      <c r="L2195" s="173" t="s">
        <v>724</v>
      </c>
      <c r="M2195" s="173" t="s">
        <v>639</v>
      </c>
      <c r="N2195" s="173" t="s">
        <v>19</v>
      </c>
      <c r="O2195" s="87">
        <v>70</v>
      </c>
      <c r="P2195" s="173" t="s">
        <v>20</v>
      </c>
      <c r="Q2195" s="1" t="s">
        <v>1338</v>
      </c>
      <c r="R2195" s="175">
        <v>5</v>
      </c>
      <c r="S2195">
        <v>1</v>
      </c>
    </row>
    <row r="2196" spans="1:19" x14ac:dyDescent="0.25">
      <c r="A2196" s="87">
        <v>2019</v>
      </c>
      <c r="B2196" s="87">
        <v>10</v>
      </c>
      <c r="C2196" s="173" t="s">
        <v>16</v>
      </c>
      <c r="D2196" s="173" t="s">
        <v>23</v>
      </c>
      <c r="E2196" s="173" t="s">
        <v>24</v>
      </c>
      <c r="F2196" s="173" t="s">
        <v>16</v>
      </c>
      <c r="G2196" s="87" t="b">
        <v>1</v>
      </c>
      <c r="H2196" s="87" t="b">
        <v>0</v>
      </c>
      <c r="I2196" s="87" t="b">
        <v>0</v>
      </c>
      <c r="J2196" s="173" t="s">
        <v>478</v>
      </c>
      <c r="K2196" s="174">
        <v>58229691001070</v>
      </c>
      <c r="L2196" s="173" t="s">
        <v>725</v>
      </c>
      <c r="M2196" s="173" t="s">
        <v>35</v>
      </c>
      <c r="N2196" s="173" t="s">
        <v>19</v>
      </c>
      <c r="O2196" s="87">
        <v>73</v>
      </c>
      <c r="P2196" s="173" t="s">
        <v>26</v>
      </c>
      <c r="Q2196" s="1" t="s">
        <v>1342</v>
      </c>
      <c r="R2196" s="175">
        <v>32</v>
      </c>
      <c r="S2196">
        <v>8</v>
      </c>
    </row>
    <row r="2197" spans="1:19" x14ac:dyDescent="0.25">
      <c r="A2197" s="87">
        <v>2019</v>
      </c>
      <c r="B2197" s="87">
        <v>10</v>
      </c>
      <c r="C2197" s="173" t="s">
        <v>16</v>
      </c>
      <c r="D2197" s="173" t="s">
        <v>23</v>
      </c>
      <c r="E2197" s="173" t="s">
        <v>24</v>
      </c>
      <c r="F2197" s="173" t="s">
        <v>16</v>
      </c>
      <c r="G2197" s="87" t="b">
        <v>1</v>
      </c>
      <c r="H2197" s="87" t="b">
        <v>0</v>
      </c>
      <c r="I2197" s="87" t="b">
        <v>0</v>
      </c>
      <c r="J2197" s="173" t="s">
        <v>450</v>
      </c>
      <c r="K2197" s="174">
        <v>59481028000130</v>
      </c>
      <c r="L2197" s="173" t="s">
        <v>608</v>
      </c>
      <c r="M2197" s="173" t="s">
        <v>29</v>
      </c>
      <c r="N2197" s="173" t="s">
        <v>19</v>
      </c>
      <c r="O2197" s="87">
        <v>70</v>
      </c>
      <c r="P2197" s="173" t="s">
        <v>20</v>
      </c>
      <c r="Q2197" s="1" t="s">
        <v>1338</v>
      </c>
      <c r="R2197" s="175">
        <v>30</v>
      </c>
      <c r="S2197">
        <v>6</v>
      </c>
    </row>
    <row r="2198" spans="1:19" x14ac:dyDescent="0.25">
      <c r="A2198" s="87">
        <v>2019</v>
      </c>
      <c r="B2198" s="87">
        <v>10</v>
      </c>
      <c r="C2198" s="173" t="s">
        <v>16</v>
      </c>
      <c r="D2198" s="173" t="s">
        <v>23</v>
      </c>
      <c r="E2198" s="173" t="s">
        <v>24</v>
      </c>
      <c r="F2198" s="173" t="s">
        <v>16</v>
      </c>
      <c r="G2198" s="87" t="b">
        <v>1</v>
      </c>
      <c r="H2198" s="87" t="b">
        <v>0</v>
      </c>
      <c r="I2198" s="87" t="b">
        <v>0</v>
      </c>
      <c r="J2198" s="173" t="s">
        <v>1330</v>
      </c>
      <c r="K2198" s="174">
        <v>60003761000129</v>
      </c>
      <c r="L2198" s="173" t="s">
        <v>728</v>
      </c>
      <c r="M2198" s="173" t="s">
        <v>643</v>
      </c>
      <c r="N2198" s="173" t="s">
        <v>19</v>
      </c>
      <c r="O2198" s="87">
        <v>62</v>
      </c>
      <c r="P2198" s="173" t="s">
        <v>27</v>
      </c>
      <c r="Q2198" s="1" t="s">
        <v>1343</v>
      </c>
      <c r="R2198" s="175">
        <v>14</v>
      </c>
      <c r="S2198">
        <v>14</v>
      </c>
    </row>
    <row r="2199" spans="1:19" x14ac:dyDescent="0.25">
      <c r="A2199" s="87">
        <v>2019</v>
      </c>
      <c r="B2199" s="87">
        <v>10</v>
      </c>
      <c r="C2199" s="173" t="s">
        <v>16</v>
      </c>
      <c r="D2199" s="173" t="s">
        <v>23</v>
      </c>
      <c r="E2199" s="173" t="s">
        <v>24</v>
      </c>
      <c r="F2199" s="173" t="s">
        <v>16</v>
      </c>
      <c r="G2199" s="87" t="b">
        <v>1</v>
      </c>
      <c r="H2199" s="87" t="b">
        <v>0</v>
      </c>
      <c r="I2199" s="87" t="b">
        <v>0</v>
      </c>
      <c r="J2199" s="173" t="s">
        <v>470</v>
      </c>
      <c r="K2199" s="174">
        <v>60003761000129</v>
      </c>
      <c r="L2199" s="173" t="s">
        <v>728</v>
      </c>
      <c r="M2199" s="173" t="s">
        <v>643</v>
      </c>
      <c r="N2199" s="173" t="s">
        <v>19</v>
      </c>
      <c r="O2199" s="87">
        <v>62</v>
      </c>
      <c r="P2199" s="173" t="s">
        <v>27</v>
      </c>
      <c r="Q2199" s="1" t="s">
        <v>1343</v>
      </c>
      <c r="R2199" s="175">
        <v>6</v>
      </c>
      <c r="S2199">
        <v>6</v>
      </c>
    </row>
    <row r="2200" spans="1:19" x14ac:dyDescent="0.25">
      <c r="A2200" s="87">
        <v>2019</v>
      </c>
      <c r="B2200" s="87">
        <v>10</v>
      </c>
      <c r="C2200" s="173" t="s">
        <v>16</v>
      </c>
      <c r="D2200" s="173" t="s">
        <v>23</v>
      </c>
      <c r="E2200" s="173" t="s">
        <v>24</v>
      </c>
      <c r="F2200" s="173" t="s">
        <v>16</v>
      </c>
      <c r="G2200" s="87" t="b">
        <v>1</v>
      </c>
      <c r="H2200" s="87" t="b">
        <v>0</v>
      </c>
      <c r="I2200" s="87" t="b">
        <v>0</v>
      </c>
      <c r="J2200" s="173" t="s">
        <v>1330</v>
      </c>
      <c r="K2200" s="174">
        <v>60003761000129</v>
      </c>
      <c r="L2200" s="173" t="s">
        <v>728</v>
      </c>
      <c r="M2200" s="173" t="s">
        <v>643</v>
      </c>
      <c r="N2200" s="173" t="s">
        <v>19</v>
      </c>
      <c r="O2200" s="87">
        <v>64</v>
      </c>
      <c r="P2200" s="173" t="s">
        <v>25</v>
      </c>
      <c r="Q2200" s="1" t="s">
        <v>1344</v>
      </c>
      <c r="R2200" s="175">
        <v>36</v>
      </c>
      <c r="S2200">
        <v>36</v>
      </c>
    </row>
    <row r="2201" spans="1:19" x14ac:dyDescent="0.25">
      <c r="A2201" s="87">
        <v>2019</v>
      </c>
      <c r="B2201" s="87">
        <v>10</v>
      </c>
      <c r="C2201" s="173" t="s">
        <v>16</v>
      </c>
      <c r="D2201" s="173" t="s">
        <v>23</v>
      </c>
      <c r="E2201" s="173" t="s">
        <v>24</v>
      </c>
      <c r="F2201" s="173" t="s">
        <v>16</v>
      </c>
      <c r="G2201" s="87" t="b">
        <v>1</v>
      </c>
      <c r="H2201" s="87" t="b">
        <v>0</v>
      </c>
      <c r="I2201" s="87" t="b">
        <v>0</v>
      </c>
      <c r="J2201" s="173" t="s">
        <v>463</v>
      </c>
      <c r="K2201" s="174">
        <v>60214517001691</v>
      </c>
      <c r="L2201" s="173" t="s">
        <v>732</v>
      </c>
      <c r="M2201" s="173" t="s">
        <v>650</v>
      </c>
      <c r="N2201" s="173" t="s">
        <v>19</v>
      </c>
      <c r="O2201" s="87">
        <v>62</v>
      </c>
      <c r="P2201" s="173" t="s">
        <v>27</v>
      </c>
      <c r="Q2201" s="1" t="s">
        <v>1343</v>
      </c>
      <c r="R2201" s="175">
        <v>20</v>
      </c>
      <c r="S2201">
        <v>20</v>
      </c>
    </row>
    <row r="2202" spans="1:19" x14ac:dyDescent="0.25">
      <c r="A2202" s="87">
        <v>2019</v>
      </c>
      <c r="B2202" s="87">
        <v>10</v>
      </c>
      <c r="C2202" s="173" t="s">
        <v>16</v>
      </c>
      <c r="D2202" s="173" t="s">
        <v>23</v>
      </c>
      <c r="E2202" s="173" t="s">
        <v>24</v>
      </c>
      <c r="F2202" s="173" t="s">
        <v>16</v>
      </c>
      <c r="G2202" s="87" t="b">
        <v>1</v>
      </c>
      <c r="H2202" s="87" t="b">
        <v>0</v>
      </c>
      <c r="I2202" s="87" t="b">
        <v>0</v>
      </c>
      <c r="J2202" s="173" t="s">
        <v>450</v>
      </c>
      <c r="K2202" s="174">
        <v>60214517001691</v>
      </c>
      <c r="L2202" s="173" t="s">
        <v>732</v>
      </c>
      <c r="M2202" s="173" t="s">
        <v>650</v>
      </c>
      <c r="N2202" s="173" t="s">
        <v>19</v>
      </c>
      <c r="O2202" s="87">
        <v>70</v>
      </c>
      <c r="P2202" s="173" t="s">
        <v>20</v>
      </c>
      <c r="Q2202" s="1" t="s">
        <v>1338</v>
      </c>
      <c r="R2202" s="175">
        <v>325</v>
      </c>
      <c r="S2202">
        <v>65</v>
      </c>
    </row>
    <row r="2203" spans="1:19" x14ac:dyDescent="0.25">
      <c r="A2203" s="87">
        <v>2019</v>
      </c>
      <c r="B2203" s="87">
        <v>10</v>
      </c>
      <c r="C2203" s="173" t="s">
        <v>16</v>
      </c>
      <c r="D2203" s="173" t="s">
        <v>23</v>
      </c>
      <c r="E2203" s="173" t="s">
        <v>24</v>
      </c>
      <c r="F2203" s="173" t="s">
        <v>16</v>
      </c>
      <c r="G2203" s="87" t="b">
        <v>1</v>
      </c>
      <c r="H2203" s="87" t="b">
        <v>0</v>
      </c>
      <c r="I2203" s="87" t="b">
        <v>0</v>
      </c>
      <c r="J2203" s="173" t="s">
        <v>464</v>
      </c>
      <c r="K2203" s="174">
        <v>60214517001691</v>
      </c>
      <c r="L2203" s="173" t="s">
        <v>732</v>
      </c>
      <c r="M2203" s="173" t="s">
        <v>650</v>
      </c>
      <c r="N2203" s="173" t="s">
        <v>19</v>
      </c>
      <c r="O2203" s="87">
        <v>70</v>
      </c>
      <c r="P2203" s="173" t="s">
        <v>20</v>
      </c>
      <c r="Q2203" s="1" t="s">
        <v>1338</v>
      </c>
      <c r="R2203" s="175">
        <v>125</v>
      </c>
      <c r="S2203">
        <v>25</v>
      </c>
    </row>
    <row r="2204" spans="1:19" x14ac:dyDescent="0.25">
      <c r="A2204" s="87">
        <v>2019</v>
      </c>
      <c r="B2204" s="87">
        <v>10</v>
      </c>
      <c r="C2204" s="173" t="s">
        <v>16</v>
      </c>
      <c r="D2204" s="173" t="s">
        <v>23</v>
      </c>
      <c r="E2204" s="173" t="s">
        <v>24</v>
      </c>
      <c r="F2204" s="173" t="s">
        <v>16</v>
      </c>
      <c r="G2204" s="87" t="b">
        <v>1</v>
      </c>
      <c r="H2204" s="87" t="b">
        <v>0</v>
      </c>
      <c r="I2204" s="87" t="b">
        <v>0</v>
      </c>
      <c r="J2204" s="173" t="s">
        <v>463</v>
      </c>
      <c r="K2204" s="174">
        <v>60214517001691</v>
      </c>
      <c r="L2204" s="173" t="s">
        <v>732</v>
      </c>
      <c r="M2204" s="173" t="s">
        <v>650</v>
      </c>
      <c r="N2204" s="173" t="s">
        <v>19</v>
      </c>
      <c r="O2204" s="87">
        <v>70</v>
      </c>
      <c r="P2204" s="173" t="s">
        <v>20</v>
      </c>
      <c r="Q2204" s="1" t="s">
        <v>1338</v>
      </c>
      <c r="R2204" s="175">
        <v>50</v>
      </c>
      <c r="S2204">
        <v>10</v>
      </c>
    </row>
    <row r="2205" spans="1:19" x14ac:dyDescent="0.25">
      <c r="A2205" s="87">
        <v>2019</v>
      </c>
      <c r="B2205" s="87">
        <v>10</v>
      </c>
      <c r="C2205" s="173" t="s">
        <v>16</v>
      </c>
      <c r="D2205" s="173" t="s">
        <v>23</v>
      </c>
      <c r="E2205" s="173" t="s">
        <v>24</v>
      </c>
      <c r="F2205" s="173" t="s">
        <v>16</v>
      </c>
      <c r="G2205" s="87" t="b">
        <v>1</v>
      </c>
      <c r="H2205" s="87" t="b">
        <v>0</v>
      </c>
      <c r="I2205" s="87" t="b">
        <v>0</v>
      </c>
      <c r="J2205" s="173" t="s">
        <v>1330</v>
      </c>
      <c r="K2205" s="174">
        <v>60448040000122</v>
      </c>
      <c r="L2205" s="173" t="s">
        <v>609</v>
      </c>
      <c r="M2205" s="173" t="s">
        <v>29</v>
      </c>
      <c r="N2205" s="173" t="s">
        <v>19</v>
      </c>
      <c r="O2205" s="87">
        <v>62</v>
      </c>
      <c r="P2205" s="173" t="s">
        <v>27</v>
      </c>
      <c r="Q2205" s="1" t="s">
        <v>1343</v>
      </c>
      <c r="R2205" s="175">
        <v>66</v>
      </c>
      <c r="S2205">
        <v>66</v>
      </c>
    </row>
    <row r="2206" spans="1:19" x14ac:dyDescent="0.25">
      <c r="A2206" s="87">
        <v>2019</v>
      </c>
      <c r="B2206" s="87">
        <v>10</v>
      </c>
      <c r="C2206" s="173" t="s">
        <v>16</v>
      </c>
      <c r="D2206" s="173" t="s">
        <v>23</v>
      </c>
      <c r="E2206" s="173" t="s">
        <v>24</v>
      </c>
      <c r="F2206" s="173" t="s">
        <v>16</v>
      </c>
      <c r="G2206" s="87" t="b">
        <v>1</v>
      </c>
      <c r="H2206" s="87" t="b">
        <v>0</v>
      </c>
      <c r="I2206" s="87" t="b">
        <v>0</v>
      </c>
      <c r="J2206" s="173" t="s">
        <v>1330</v>
      </c>
      <c r="K2206" s="174">
        <v>60448040000122</v>
      </c>
      <c r="L2206" s="173" t="s">
        <v>609</v>
      </c>
      <c r="M2206" s="173" t="s">
        <v>29</v>
      </c>
      <c r="N2206" s="173" t="s">
        <v>19</v>
      </c>
      <c r="O2206" s="87">
        <v>64</v>
      </c>
      <c r="P2206" s="173" t="s">
        <v>25</v>
      </c>
      <c r="Q2206" s="1" t="s">
        <v>1344</v>
      </c>
      <c r="R2206" s="175">
        <v>70</v>
      </c>
      <c r="S2206">
        <v>70</v>
      </c>
    </row>
    <row r="2207" spans="1:19" x14ac:dyDescent="0.25">
      <c r="A2207" s="87">
        <v>2019</v>
      </c>
      <c r="B2207" s="87">
        <v>10</v>
      </c>
      <c r="C2207" s="173" t="s">
        <v>16</v>
      </c>
      <c r="D2207" s="173" t="s">
        <v>23</v>
      </c>
      <c r="E2207" s="173" t="s">
        <v>24</v>
      </c>
      <c r="F2207" s="173" t="s">
        <v>16</v>
      </c>
      <c r="G2207" s="87" t="b">
        <v>1</v>
      </c>
      <c r="H2207" s="87" t="b">
        <v>0</v>
      </c>
      <c r="I2207" s="87" t="b">
        <v>0</v>
      </c>
      <c r="J2207" s="173" t="s">
        <v>450</v>
      </c>
      <c r="K2207" s="174">
        <v>60453024000390</v>
      </c>
      <c r="L2207" s="173" t="s">
        <v>610</v>
      </c>
      <c r="M2207" s="173" t="s">
        <v>29</v>
      </c>
      <c r="N2207" s="173" t="s">
        <v>19</v>
      </c>
      <c r="O2207" s="87">
        <v>62</v>
      </c>
      <c r="P2207" s="173" t="s">
        <v>27</v>
      </c>
      <c r="Q2207" s="1" t="s">
        <v>1343</v>
      </c>
      <c r="R2207" s="175">
        <v>30</v>
      </c>
      <c r="S2207">
        <v>30</v>
      </c>
    </row>
    <row r="2208" spans="1:19" x14ac:dyDescent="0.25">
      <c r="A2208" s="87">
        <v>2019</v>
      </c>
      <c r="B2208" s="87">
        <v>10</v>
      </c>
      <c r="C2208" s="173" t="s">
        <v>16</v>
      </c>
      <c r="D2208" s="173" t="s">
        <v>23</v>
      </c>
      <c r="E2208" s="173" t="s">
        <v>24</v>
      </c>
      <c r="F2208" s="173" t="s">
        <v>16</v>
      </c>
      <c r="G2208" s="87" t="b">
        <v>1</v>
      </c>
      <c r="H2208" s="87" t="b">
        <v>0</v>
      </c>
      <c r="I2208" s="87" t="b">
        <v>0</v>
      </c>
      <c r="J2208" s="173" t="s">
        <v>450</v>
      </c>
      <c r="K2208" s="174">
        <v>60453024000390</v>
      </c>
      <c r="L2208" s="173" t="s">
        <v>610</v>
      </c>
      <c r="M2208" s="173" t="s">
        <v>29</v>
      </c>
      <c r="N2208" s="173" t="s">
        <v>19</v>
      </c>
      <c r="O2208" s="87">
        <v>64</v>
      </c>
      <c r="P2208" s="173" t="s">
        <v>25</v>
      </c>
      <c r="Q2208" s="1" t="s">
        <v>1344</v>
      </c>
      <c r="R2208" s="175">
        <v>13</v>
      </c>
      <c r="S2208">
        <v>13</v>
      </c>
    </row>
    <row r="2209" spans="1:19" x14ac:dyDescent="0.25">
      <c r="A2209" s="87">
        <v>2019</v>
      </c>
      <c r="B2209" s="87">
        <v>10</v>
      </c>
      <c r="C2209" s="173" t="s">
        <v>16</v>
      </c>
      <c r="D2209" s="173" t="s">
        <v>23</v>
      </c>
      <c r="E2209" s="173" t="s">
        <v>24</v>
      </c>
      <c r="F2209" s="173" t="s">
        <v>16</v>
      </c>
      <c r="G2209" s="87" t="b">
        <v>1</v>
      </c>
      <c r="H2209" s="87" t="b">
        <v>0</v>
      </c>
      <c r="I2209" s="87" t="b">
        <v>0</v>
      </c>
      <c r="J2209" s="173" t="s">
        <v>500</v>
      </c>
      <c r="K2209" s="174">
        <v>60552098000111</v>
      </c>
      <c r="L2209" s="173" t="s">
        <v>611</v>
      </c>
      <c r="M2209" s="173" t="s">
        <v>29</v>
      </c>
      <c r="N2209" s="173" t="s">
        <v>19</v>
      </c>
      <c r="O2209" s="87">
        <v>70</v>
      </c>
      <c r="P2209" s="173" t="s">
        <v>20</v>
      </c>
      <c r="Q2209" s="1" t="s">
        <v>1338</v>
      </c>
      <c r="R2209" s="175">
        <v>635</v>
      </c>
      <c r="S2209">
        <v>127</v>
      </c>
    </row>
    <row r="2210" spans="1:19" x14ac:dyDescent="0.25">
      <c r="A2210" s="87">
        <v>2019</v>
      </c>
      <c r="B2210" s="87">
        <v>10</v>
      </c>
      <c r="C2210" s="173" t="s">
        <v>16</v>
      </c>
      <c r="D2210" s="173" t="s">
        <v>23</v>
      </c>
      <c r="E2210" s="173" t="s">
        <v>24</v>
      </c>
      <c r="F2210" s="173" t="s">
        <v>16</v>
      </c>
      <c r="G2210" s="87" t="b">
        <v>1</v>
      </c>
      <c r="H2210" s="87" t="b">
        <v>0</v>
      </c>
      <c r="I2210" s="87" t="b">
        <v>0</v>
      </c>
      <c r="J2210" s="173" t="s">
        <v>463</v>
      </c>
      <c r="K2210" s="174">
        <v>60678604000113</v>
      </c>
      <c r="L2210" s="173" t="s">
        <v>612</v>
      </c>
      <c r="M2210" s="173" t="s">
        <v>29</v>
      </c>
      <c r="N2210" s="173" t="s">
        <v>19</v>
      </c>
      <c r="O2210" s="87">
        <v>62</v>
      </c>
      <c r="P2210" s="173" t="s">
        <v>27</v>
      </c>
      <c r="Q2210" s="1" t="s">
        <v>1343</v>
      </c>
      <c r="R2210" s="175">
        <v>56</v>
      </c>
      <c r="S2210">
        <v>56</v>
      </c>
    </row>
    <row r="2211" spans="1:19" x14ac:dyDescent="0.25">
      <c r="A2211" s="87">
        <v>2019</v>
      </c>
      <c r="B2211" s="87">
        <v>10</v>
      </c>
      <c r="C2211" s="173" t="s">
        <v>16</v>
      </c>
      <c r="D2211" s="173" t="s">
        <v>23</v>
      </c>
      <c r="E2211" s="173" t="s">
        <v>24</v>
      </c>
      <c r="F2211" s="173" t="s">
        <v>16</v>
      </c>
      <c r="G2211" s="87" t="b">
        <v>1</v>
      </c>
      <c r="H2211" s="87" t="b">
        <v>0</v>
      </c>
      <c r="I2211" s="87" t="b">
        <v>0</v>
      </c>
      <c r="J2211" s="173" t="s">
        <v>464</v>
      </c>
      <c r="K2211" s="174">
        <v>60678604000113</v>
      </c>
      <c r="L2211" s="173" t="s">
        <v>612</v>
      </c>
      <c r="M2211" s="173" t="s">
        <v>29</v>
      </c>
      <c r="N2211" s="173" t="s">
        <v>19</v>
      </c>
      <c r="O2211" s="87">
        <v>64</v>
      </c>
      <c r="P2211" s="173" t="s">
        <v>25</v>
      </c>
      <c r="Q2211" s="1" t="s">
        <v>1344</v>
      </c>
      <c r="R2211" s="175">
        <v>1</v>
      </c>
      <c r="S2211">
        <v>1</v>
      </c>
    </row>
    <row r="2212" spans="1:19" x14ac:dyDescent="0.25">
      <c r="A2212" s="87">
        <v>2019</v>
      </c>
      <c r="B2212" s="87">
        <v>10</v>
      </c>
      <c r="C2212" s="173" t="s">
        <v>16</v>
      </c>
      <c r="D2212" s="173" t="s">
        <v>23</v>
      </c>
      <c r="E2212" s="173" t="s">
        <v>24</v>
      </c>
      <c r="F2212" s="173" t="s">
        <v>16</v>
      </c>
      <c r="G2212" s="87" t="b">
        <v>1</v>
      </c>
      <c r="H2212" s="87" t="b">
        <v>0</v>
      </c>
      <c r="I2212" s="87" t="b">
        <v>0</v>
      </c>
      <c r="J2212" s="173" t="s">
        <v>463</v>
      </c>
      <c r="K2212" s="174">
        <v>60678604000113</v>
      </c>
      <c r="L2212" s="173" t="s">
        <v>612</v>
      </c>
      <c r="M2212" s="173" t="s">
        <v>29</v>
      </c>
      <c r="N2212" s="173" t="s">
        <v>19</v>
      </c>
      <c r="O2212" s="87">
        <v>70</v>
      </c>
      <c r="P2212" s="173" t="s">
        <v>20</v>
      </c>
      <c r="Q2212" s="1" t="s">
        <v>1338</v>
      </c>
      <c r="R2212" s="175">
        <v>100</v>
      </c>
      <c r="S2212">
        <v>20</v>
      </c>
    </row>
    <row r="2213" spans="1:19" x14ac:dyDescent="0.25">
      <c r="A2213" s="87">
        <v>2019</v>
      </c>
      <c r="B2213" s="87">
        <v>10</v>
      </c>
      <c r="C2213" s="173" t="s">
        <v>16</v>
      </c>
      <c r="D2213" s="173" t="s">
        <v>23</v>
      </c>
      <c r="E2213" s="173" t="s">
        <v>24</v>
      </c>
      <c r="F2213" s="173" t="s">
        <v>16</v>
      </c>
      <c r="G2213" s="87" t="b">
        <v>1</v>
      </c>
      <c r="H2213" s="87" t="b">
        <v>0</v>
      </c>
      <c r="I2213" s="87" t="b">
        <v>0</v>
      </c>
      <c r="J2213" s="173" t="s">
        <v>450</v>
      </c>
      <c r="K2213" s="174">
        <v>60726502000126</v>
      </c>
      <c r="L2213" s="173" t="s">
        <v>613</v>
      </c>
      <c r="M2213" s="173" t="s">
        <v>29</v>
      </c>
      <c r="N2213" s="173" t="s">
        <v>19</v>
      </c>
      <c r="O2213" s="87">
        <v>62</v>
      </c>
      <c r="P2213" s="173" t="s">
        <v>27</v>
      </c>
      <c r="Q2213" s="1" t="s">
        <v>1343</v>
      </c>
      <c r="R2213" s="175">
        <v>10</v>
      </c>
      <c r="S2213">
        <v>10</v>
      </c>
    </row>
    <row r="2214" spans="1:19" x14ac:dyDescent="0.25">
      <c r="A2214" s="87">
        <v>2019</v>
      </c>
      <c r="B2214" s="87">
        <v>10</v>
      </c>
      <c r="C2214" s="173" t="s">
        <v>16</v>
      </c>
      <c r="D2214" s="173" t="s">
        <v>23</v>
      </c>
      <c r="E2214" s="173" t="s">
        <v>24</v>
      </c>
      <c r="F2214" s="173" t="s">
        <v>16</v>
      </c>
      <c r="G2214" s="87" t="b">
        <v>1</v>
      </c>
      <c r="H2214" s="87" t="b">
        <v>0</v>
      </c>
      <c r="I2214" s="87" t="b">
        <v>0</v>
      </c>
      <c r="J2214" s="173" t="s">
        <v>450</v>
      </c>
      <c r="K2214" s="174">
        <v>60726502000126</v>
      </c>
      <c r="L2214" s="173" t="s">
        <v>613</v>
      </c>
      <c r="M2214" s="173" t="s">
        <v>29</v>
      </c>
      <c r="N2214" s="173" t="s">
        <v>19</v>
      </c>
      <c r="O2214" s="87">
        <v>64</v>
      </c>
      <c r="P2214" s="173" t="s">
        <v>25</v>
      </c>
      <c r="Q2214" s="1" t="s">
        <v>1344</v>
      </c>
      <c r="R2214" s="175">
        <v>10</v>
      </c>
      <c r="S2214">
        <v>10</v>
      </c>
    </row>
    <row r="2215" spans="1:19" x14ac:dyDescent="0.25">
      <c r="A2215" s="87">
        <v>2019</v>
      </c>
      <c r="B2215" s="87">
        <v>10</v>
      </c>
      <c r="C2215" s="173" t="s">
        <v>16</v>
      </c>
      <c r="D2215" s="173" t="s">
        <v>23</v>
      </c>
      <c r="E2215" s="173" t="s">
        <v>24</v>
      </c>
      <c r="F2215" s="173" t="s">
        <v>16</v>
      </c>
      <c r="G2215" s="87" t="b">
        <v>1</v>
      </c>
      <c r="H2215" s="87" t="b">
        <v>0</v>
      </c>
      <c r="I2215" s="87" t="b">
        <v>0</v>
      </c>
      <c r="J2215" s="173" t="s">
        <v>463</v>
      </c>
      <c r="K2215" s="174">
        <v>60726502000126</v>
      </c>
      <c r="L2215" s="173" t="s">
        <v>613</v>
      </c>
      <c r="M2215" s="173" t="s">
        <v>29</v>
      </c>
      <c r="N2215" s="173" t="s">
        <v>19</v>
      </c>
      <c r="O2215" s="87">
        <v>70</v>
      </c>
      <c r="P2215" s="173" t="s">
        <v>20</v>
      </c>
      <c r="Q2215" s="1" t="s">
        <v>1338</v>
      </c>
      <c r="R2215" s="175">
        <v>405</v>
      </c>
      <c r="S2215">
        <v>81</v>
      </c>
    </row>
    <row r="2216" spans="1:19" x14ac:dyDescent="0.25">
      <c r="A2216" s="87">
        <v>2019</v>
      </c>
      <c r="B2216" s="87">
        <v>10</v>
      </c>
      <c r="C2216" s="173" t="s">
        <v>16</v>
      </c>
      <c r="D2216" s="173" t="s">
        <v>23</v>
      </c>
      <c r="E2216" s="173" t="s">
        <v>24</v>
      </c>
      <c r="F2216" s="173" t="s">
        <v>16</v>
      </c>
      <c r="G2216" s="87" t="b">
        <v>1</v>
      </c>
      <c r="H2216" s="87" t="b">
        <v>0</v>
      </c>
      <c r="I2216" s="87" t="b">
        <v>0</v>
      </c>
      <c r="J2216" s="173" t="s">
        <v>450</v>
      </c>
      <c r="K2216" s="174">
        <v>60726502000711</v>
      </c>
      <c r="L2216" s="173" t="s">
        <v>614</v>
      </c>
      <c r="M2216" s="173" t="s">
        <v>29</v>
      </c>
      <c r="N2216" s="173" t="s">
        <v>19</v>
      </c>
      <c r="O2216" s="87">
        <v>62</v>
      </c>
      <c r="P2216" s="173" t="s">
        <v>27</v>
      </c>
      <c r="Q2216" s="1" t="s">
        <v>1343</v>
      </c>
      <c r="R2216" s="175">
        <v>4</v>
      </c>
      <c r="S2216">
        <v>4</v>
      </c>
    </row>
    <row r="2217" spans="1:19" x14ac:dyDescent="0.25">
      <c r="A2217" s="87">
        <v>2019</v>
      </c>
      <c r="B2217" s="87">
        <v>10</v>
      </c>
      <c r="C2217" s="173" t="s">
        <v>16</v>
      </c>
      <c r="D2217" s="173" t="s">
        <v>23</v>
      </c>
      <c r="E2217" s="173" t="s">
        <v>24</v>
      </c>
      <c r="F2217" s="173" t="s">
        <v>16</v>
      </c>
      <c r="G2217" s="87" t="b">
        <v>1</v>
      </c>
      <c r="H2217" s="87" t="b">
        <v>0</v>
      </c>
      <c r="I2217" s="87" t="b">
        <v>0</v>
      </c>
      <c r="J2217" s="173" t="s">
        <v>1330</v>
      </c>
      <c r="K2217" s="174">
        <v>60765823000130</v>
      </c>
      <c r="L2217" s="173" t="s">
        <v>615</v>
      </c>
      <c r="M2217" s="173" t="s">
        <v>29</v>
      </c>
      <c r="N2217" s="173" t="s">
        <v>19</v>
      </c>
      <c r="O2217" s="87">
        <v>62</v>
      </c>
      <c r="P2217" s="173" t="s">
        <v>27</v>
      </c>
      <c r="Q2217" s="1" t="s">
        <v>1343</v>
      </c>
      <c r="R2217" s="175">
        <v>60</v>
      </c>
      <c r="S2217">
        <v>60</v>
      </c>
    </row>
    <row r="2218" spans="1:19" x14ac:dyDescent="0.25">
      <c r="A2218" s="87">
        <v>2019</v>
      </c>
      <c r="B2218" s="87">
        <v>10</v>
      </c>
      <c r="C2218" s="173" t="s">
        <v>16</v>
      </c>
      <c r="D2218" s="173" t="s">
        <v>23</v>
      </c>
      <c r="E2218" s="173" t="s">
        <v>24</v>
      </c>
      <c r="F2218" s="173" t="s">
        <v>16</v>
      </c>
      <c r="G2218" s="87" t="b">
        <v>1</v>
      </c>
      <c r="H2218" s="87" t="b">
        <v>0</v>
      </c>
      <c r="I2218" s="87" t="b">
        <v>0</v>
      </c>
      <c r="J2218" s="173" t="s">
        <v>470</v>
      </c>
      <c r="K2218" s="174">
        <v>60777901000116</v>
      </c>
      <c r="L2218" s="173" t="s">
        <v>616</v>
      </c>
      <c r="M2218" s="173" t="s">
        <v>29</v>
      </c>
      <c r="N2218" s="173" t="s">
        <v>19</v>
      </c>
      <c r="O2218" s="87">
        <v>70</v>
      </c>
      <c r="P2218" s="173" t="s">
        <v>20</v>
      </c>
      <c r="Q2218" s="1" t="s">
        <v>1338</v>
      </c>
      <c r="R2218" s="175">
        <v>1250</v>
      </c>
      <c r="S2218">
        <v>250</v>
      </c>
    </row>
    <row r="2219" spans="1:19" x14ac:dyDescent="0.25">
      <c r="A2219" s="87">
        <v>2019</v>
      </c>
      <c r="B2219" s="87">
        <v>10</v>
      </c>
      <c r="C2219" s="173" t="s">
        <v>16</v>
      </c>
      <c r="D2219" s="173" t="s">
        <v>23</v>
      </c>
      <c r="E2219" s="173" t="s">
        <v>24</v>
      </c>
      <c r="F2219" s="173" t="s">
        <v>16</v>
      </c>
      <c r="G2219" s="87" t="b">
        <v>1</v>
      </c>
      <c r="H2219" s="87" t="b">
        <v>0</v>
      </c>
      <c r="I2219" s="87" t="b">
        <v>0</v>
      </c>
      <c r="J2219" s="173" t="s">
        <v>470</v>
      </c>
      <c r="K2219" s="174">
        <v>60884855000316</v>
      </c>
      <c r="L2219" s="173" t="s">
        <v>617</v>
      </c>
      <c r="M2219" s="173" t="s">
        <v>29</v>
      </c>
      <c r="N2219" s="173" t="s">
        <v>19</v>
      </c>
      <c r="O2219" s="87">
        <v>62</v>
      </c>
      <c r="P2219" s="173" t="s">
        <v>27</v>
      </c>
      <c r="Q2219" s="1" t="s">
        <v>1343</v>
      </c>
      <c r="R2219" s="175">
        <v>8</v>
      </c>
      <c r="S2219">
        <v>8</v>
      </c>
    </row>
    <row r="2220" spans="1:19" x14ac:dyDescent="0.25">
      <c r="A2220" s="87">
        <v>2019</v>
      </c>
      <c r="B2220" s="87">
        <v>10</v>
      </c>
      <c r="C2220" s="173" t="s">
        <v>16</v>
      </c>
      <c r="D2220" s="173" t="s">
        <v>23</v>
      </c>
      <c r="E2220" s="173" t="s">
        <v>24</v>
      </c>
      <c r="F2220" s="173" t="s">
        <v>16</v>
      </c>
      <c r="G2220" s="87" t="b">
        <v>1</v>
      </c>
      <c r="H2220" s="87" t="b">
        <v>0</v>
      </c>
      <c r="I2220" s="87" t="b">
        <v>0</v>
      </c>
      <c r="J2220" s="173" t="s">
        <v>470</v>
      </c>
      <c r="K2220" s="174">
        <v>60884855000316</v>
      </c>
      <c r="L2220" s="173" t="s">
        <v>617</v>
      </c>
      <c r="M2220" s="173" t="s">
        <v>29</v>
      </c>
      <c r="N2220" s="173" t="s">
        <v>19</v>
      </c>
      <c r="O2220" s="87">
        <v>70</v>
      </c>
      <c r="P2220" s="173" t="s">
        <v>20</v>
      </c>
      <c r="Q2220" s="1" t="s">
        <v>1338</v>
      </c>
      <c r="R2220" s="175">
        <v>1695</v>
      </c>
      <c r="S2220">
        <v>339</v>
      </c>
    </row>
    <row r="2221" spans="1:19" x14ac:dyDescent="0.25">
      <c r="A2221" s="87">
        <v>2019</v>
      </c>
      <c r="B2221" s="87">
        <v>10</v>
      </c>
      <c r="C2221" s="173" t="s">
        <v>16</v>
      </c>
      <c r="D2221" s="173" t="s">
        <v>23</v>
      </c>
      <c r="E2221" s="173" t="s">
        <v>24</v>
      </c>
      <c r="F2221" s="173" t="s">
        <v>16</v>
      </c>
      <c r="G2221" s="87" t="b">
        <v>1</v>
      </c>
      <c r="H2221" s="87" t="b">
        <v>0</v>
      </c>
      <c r="I2221" s="87" t="b">
        <v>0</v>
      </c>
      <c r="J2221" s="173" t="s">
        <v>491</v>
      </c>
      <c r="K2221" s="174">
        <v>60884855000316</v>
      </c>
      <c r="L2221" s="173" t="s">
        <v>617</v>
      </c>
      <c r="M2221" s="173" t="s">
        <v>29</v>
      </c>
      <c r="N2221" s="173" t="s">
        <v>19</v>
      </c>
      <c r="O2221" s="87">
        <v>73</v>
      </c>
      <c r="P2221" s="173" t="s">
        <v>26</v>
      </c>
      <c r="Q2221" s="1" t="s">
        <v>1339</v>
      </c>
      <c r="R2221" s="175">
        <v>40</v>
      </c>
      <c r="S2221">
        <v>20</v>
      </c>
    </row>
    <row r="2222" spans="1:19" x14ac:dyDescent="0.25">
      <c r="A2222" s="87">
        <v>2019</v>
      </c>
      <c r="B2222" s="87">
        <v>10</v>
      </c>
      <c r="C2222" s="173" t="s">
        <v>16</v>
      </c>
      <c r="D2222" s="173" t="s">
        <v>23</v>
      </c>
      <c r="E2222" s="173" t="s">
        <v>24</v>
      </c>
      <c r="F2222" s="173" t="s">
        <v>16</v>
      </c>
      <c r="G2222" s="87" t="b">
        <v>1</v>
      </c>
      <c r="H2222" s="87" t="b">
        <v>0</v>
      </c>
      <c r="I2222" s="87" t="b">
        <v>0</v>
      </c>
      <c r="J2222" s="173" t="s">
        <v>470</v>
      </c>
      <c r="K2222" s="174">
        <v>60884855001207</v>
      </c>
      <c r="L2222" s="173" t="s">
        <v>1065</v>
      </c>
      <c r="M2222" s="173" t="s">
        <v>1039</v>
      </c>
      <c r="N2222" s="173" t="s">
        <v>61</v>
      </c>
      <c r="O2222" s="87">
        <v>62</v>
      </c>
      <c r="P2222" s="173" t="s">
        <v>27</v>
      </c>
      <c r="Q2222" s="1" t="s">
        <v>1343</v>
      </c>
      <c r="R2222" s="175">
        <v>2</v>
      </c>
      <c r="S2222">
        <v>2</v>
      </c>
    </row>
    <row r="2223" spans="1:19" x14ac:dyDescent="0.25">
      <c r="A2223" s="87">
        <v>2019</v>
      </c>
      <c r="B2223" s="87">
        <v>10</v>
      </c>
      <c r="C2223" s="173" t="s">
        <v>16</v>
      </c>
      <c r="D2223" s="173" t="s">
        <v>23</v>
      </c>
      <c r="E2223" s="173" t="s">
        <v>24</v>
      </c>
      <c r="F2223" s="173" t="s">
        <v>16</v>
      </c>
      <c r="G2223" s="87" t="b">
        <v>1</v>
      </c>
      <c r="H2223" s="87" t="b">
        <v>0</v>
      </c>
      <c r="I2223" s="87" t="b">
        <v>0</v>
      </c>
      <c r="J2223" s="173" t="s">
        <v>470</v>
      </c>
      <c r="K2223" s="174">
        <v>60884855001207</v>
      </c>
      <c r="L2223" s="173" t="s">
        <v>1065</v>
      </c>
      <c r="M2223" s="173" t="s">
        <v>1039</v>
      </c>
      <c r="N2223" s="173" t="s">
        <v>61</v>
      </c>
      <c r="O2223" s="87">
        <v>64</v>
      </c>
      <c r="P2223" s="173" t="s">
        <v>25</v>
      </c>
      <c r="Q2223" s="1" t="s">
        <v>1344</v>
      </c>
      <c r="R2223" s="175">
        <v>12</v>
      </c>
      <c r="S2223">
        <v>12</v>
      </c>
    </row>
    <row r="2224" spans="1:19" x14ac:dyDescent="0.25">
      <c r="A2224" s="87">
        <v>2019</v>
      </c>
      <c r="B2224" s="87">
        <v>10</v>
      </c>
      <c r="C2224" s="173" t="s">
        <v>16</v>
      </c>
      <c r="D2224" s="173" t="s">
        <v>23</v>
      </c>
      <c r="E2224" s="173" t="s">
        <v>24</v>
      </c>
      <c r="F2224" s="173" t="s">
        <v>16</v>
      </c>
      <c r="G2224" s="87" t="b">
        <v>1</v>
      </c>
      <c r="H2224" s="87" t="b">
        <v>0</v>
      </c>
      <c r="I2224" s="87" t="b">
        <v>0</v>
      </c>
      <c r="J2224" s="173" t="s">
        <v>470</v>
      </c>
      <c r="K2224" s="174">
        <v>60884855001207</v>
      </c>
      <c r="L2224" s="173" t="s">
        <v>1065</v>
      </c>
      <c r="M2224" s="173" t="s">
        <v>1039</v>
      </c>
      <c r="N2224" s="173" t="s">
        <v>61</v>
      </c>
      <c r="O2224" s="87">
        <v>70</v>
      </c>
      <c r="P2224" s="173" t="s">
        <v>20</v>
      </c>
      <c r="Q2224" s="1" t="s">
        <v>1338</v>
      </c>
      <c r="R2224" s="175">
        <v>765</v>
      </c>
      <c r="S2224">
        <v>153</v>
      </c>
    </row>
    <row r="2225" spans="1:19" x14ac:dyDescent="0.25">
      <c r="A2225" s="87">
        <v>2019</v>
      </c>
      <c r="B2225" s="87">
        <v>10</v>
      </c>
      <c r="C2225" s="173" t="s">
        <v>16</v>
      </c>
      <c r="D2225" s="173" t="s">
        <v>23</v>
      </c>
      <c r="E2225" s="173" t="s">
        <v>24</v>
      </c>
      <c r="F2225" s="173" t="s">
        <v>16</v>
      </c>
      <c r="G2225" s="87" t="b">
        <v>1</v>
      </c>
      <c r="H2225" s="87" t="b">
        <v>0</v>
      </c>
      <c r="I2225" s="87" t="b">
        <v>0</v>
      </c>
      <c r="J2225" s="173" t="s">
        <v>470</v>
      </c>
      <c r="K2225" s="174">
        <v>60884855001207</v>
      </c>
      <c r="L2225" s="173" t="s">
        <v>1065</v>
      </c>
      <c r="M2225" s="173" t="s">
        <v>1039</v>
      </c>
      <c r="N2225" s="173" t="s">
        <v>61</v>
      </c>
      <c r="O2225" s="87">
        <v>73</v>
      </c>
      <c r="P2225" s="173" t="s">
        <v>26</v>
      </c>
      <c r="Q2225" s="1" t="s">
        <v>1339</v>
      </c>
      <c r="R2225" s="175">
        <v>18</v>
      </c>
      <c r="S2225">
        <v>9</v>
      </c>
    </row>
    <row r="2226" spans="1:19" x14ac:dyDescent="0.25">
      <c r="A2226" s="87">
        <v>2019</v>
      </c>
      <c r="B2226" s="87">
        <v>10</v>
      </c>
      <c r="C2226" s="173" t="s">
        <v>16</v>
      </c>
      <c r="D2226" s="173" t="s">
        <v>23</v>
      </c>
      <c r="E2226" s="173" t="s">
        <v>24</v>
      </c>
      <c r="F2226" s="173" t="s">
        <v>16</v>
      </c>
      <c r="G2226" s="87" t="b">
        <v>1</v>
      </c>
      <c r="H2226" s="87" t="b">
        <v>0</v>
      </c>
      <c r="I2226" s="87" t="b">
        <v>0</v>
      </c>
      <c r="J2226" s="173" t="s">
        <v>470</v>
      </c>
      <c r="K2226" s="174">
        <v>60884855001207</v>
      </c>
      <c r="L2226" s="173" t="s">
        <v>1065</v>
      </c>
      <c r="M2226" s="173" t="s">
        <v>1039</v>
      </c>
      <c r="N2226" s="173" t="s">
        <v>61</v>
      </c>
      <c r="O2226" s="87">
        <v>73</v>
      </c>
      <c r="P2226" s="173" t="s">
        <v>26</v>
      </c>
      <c r="Q2226" s="1" t="s">
        <v>1340</v>
      </c>
      <c r="R2226" s="175">
        <v>1</v>
      </c>
      <c r="S2226">
        <v>1</v>
      </c>
    </row>
    <row r="2227" spans="1:19" x14ac:dyDescent="0.25">
      <c r="A2227" s="87">
        <v>2019</v>
      </c>
      <c r="B2227" s="87">
        <v>10</v>
      </c>
      <c r="C2227" s="173" t="s">
        <v>16</v>
      </c>
      <c r="D2227" s="173" t="s">
        <v>23</v>
      </c>
      <c r="E2227" s="173" t="s">
        <v>24</v>
      </c>
      <c r="F2227" s="173" t="s">
        <v>16</v>
      </c>
      <c r="G2227" s="87" t="b">
        <v>1</v>
      </c>
      <c r="H2227" s="87" t="b">
        <v>0</v>
      </c>
      <c r="I2227" s="87" t="b">
        <v>0</v>
      </c>
      <c r="J2227" s="173" t="s">
        <v>491</v>
      </c>
      <c r="K2227" s="174">
        <v>60884855001207</v>
      </c>
      <c r="L2227" s="173" t="s">
        <v>1065</v>
      </c>
      <c r="M2227" s="173" t="s">
        <v>1039</v>
      </c>
      <c r="N2227" s="173" t="s">
        <v>61</v>
      </c>
      <c r="O2227" s="87">
        <v>73</v>
      </c>
      <c r="P2227" s="173" t="s">
        <v>26</v>
      </c>
      <c r="Q2227" s="1" t="s">
        <v>1339</v>
      </c>
      <c r="R2227" s="175">
        <v>30</v>
      </c>
      <c r="S2227">
        <v>15</v>
      </c>
    </row>
    <row r="2228" spans="1:19" x14ac:dyDescent="0.25">
      <c r="A2228" s="87">
        <v>2019</v>
      </c>
      <c r="B2228" s="87">
        <v>10</v>
      </c>
      <c r="C2228" s="173" t="s">
        <v>16</v>
      </c>
      <c r="D2228" s="173" t="s">
        <v>23</v>
      </c>
      <c r="E2228" s="173" t="s">
        <v>24</v>
      </c>
      <c r="F2228" s="173" t="s">
        <v>16</v>
      </c>
      <c r="G2228" s="87" t="b">
        <v>1</v>
      </c>
      <c r="H2228" s="87" t="b">
        <v>0</v>
      </c>
      <c r="I2228" s="87" t="b">
        <v>0</v>
      </c>
      <c r="J2228" s="173" t="s">
        <v>491</v>
      </c>
      <c r="K2228" s="174">
        <v>60884855001207</v>
      </c>
      <c r="L2228" s="173" t="s">
        <v>1065</v>
      </c>
      <c r="M2228" s="173" t="s">
        <v>1039</v>
      </c>
      <c r="N2228" s="173" t="s">
        <v>61</v>
      </c>
      <c r="O2228" s="87">
        <v>73</v>
      </c>
      <c r="P2228" s="173" t="s">
        <v>26</v>
      </c>
      <c r="Q2228" s="1" t="s">
        <v>1340</v>
      </c>
      <c r="R2228" s="175">
        <v>1</v>
      </c>
      <c r="S2228">
        <v>1</v>
      </c>
    </row>
    <row r="2229" spans="1:19" x14ac:dyDescent="0.25">
      <c r="A2229" s="87">
        <v>2019</v>
      </c>
      <c r="B2229" s="87">
        <v>10</v>
      </c>
      <c r="C2229" s="173" t="s">
        <v>16</v>
      </c>
      <c r="D2229" s="173" t="s">
        <v>23</v>
      </c>
      <c r="E2229" s="173" t="s">
        <v>24</v>
      </c>
      <c r="F2229" s="173" t="s">
        <v>16</v>
      </c>
      <c r="G2229" s="87" t="b">
        <v>1</v>
      </c>
      <c r="H2229" s="87" t="b">
        <v>0</v>
      </c>
      <c r="I2229" s="87" t="b">
        <v>0</v>
      </c>
      <c r="J2229" s="173" t="s">
        <v>470</v>
      </c>
      <c r="K2229" s="174">
        <v>60884855001630</v>
      </c>
      <c r="L2229" s="173" t="s">
        <v>1124</v>
      </c>
      <c r="M2229" s="173" t="s">
        <v>131</v>
      </c>
      <c r="N2229" s="173" t="s">
        <v>61</v>
      </c>
      <c r="O2229" s="87">
        <v>62</v>
      </c>
      <c r="P2229" s="173" t="s">
        <v>27</v>
      </c>
      <c r="Q2229" s="1" t="s">
        <v>1343</v>
      </c>
      <c r="R2229" s="175">
        <v>61</v>
      </c>
      <c r="S2229">
        <v>61</v>
      </c>
    </row>
    <row r="2230" spans="1:19" x14ac:dyDescent="0.25">
      <c r="A2230" s="87">
        <v>2019</v>
      </c>
      <c r="B2230" s="87">
        <v>10</v>
      </c>
      <c r="C2230" s="173" t="s">
        <v>16</v>
      </c>
      <c r="D2230" s="173" t="s">
        <v>23</v>
      </c>
      <c r="E2230" s="173" t="s">
        <v>24</v>
      </c>
      <c r="F2230" s="173" t="s">
        <v>16</v>
      </c>
      <c r="G2230" s="87" t="b">
        <v>1</v>
      </c>
      <c r="H2230" s="87" t="b">
        <v>0</v>
      </c>
      <c r="I2230" s="87" t="b">
        <v>0</v>
      </c>
      <c r="J2230" s="173" t="s">
        <v>470</v>
      </c>
      <c r="K2230" s="174">
        <v>60884855001630</v>
      </c>
      <c r="L2230" s="173" t="s">
        <v>1124</v>
      </c>
      <c r="M2230" s="173" t="s">
        <v>131</v>
      </c>
      <c r="N2230" s="173" t="s">
        <v>61</v>
      </c>
      <c r="O2230" s="87">
        <v>64</v>
      </c>
      <c r="P2230" s="173" t="s">
        <v>25</v>
      </c>
      <c r="Q2230" s="1" t="s">
        <v>1344</v>
      </c>
      <c r="R2230" s="175">
        <v>38</v>
      </c>
      <c r="S2230">
        <v>38</v>
      </c>
    </row>
    <row r="2231" spans="1:19" x14ac:dyDescent="0.25">
      <c r="A2231" s="87">
        <v>2019</v>
      </c>
      <c r="B2231" s="87">
        <v>10</v>
      </c>
      <c r="C2231" s="173" t="s">
        <v>16</v>
      </c>
      <c r="D2231" s="173" t="s">
        <v>23</v>
      </c>
      <c r="E2231" s="173" t="s">
        <v>24</v>
      </c>
      <c r="F2231" s="173" t="s">
        <v>16</v>
      </c>
      <c r="G2231" s="87" t="b">
        <v>1</v>
      </c>
      <c r="H2231" s="87" t="b">
        <v>0</v>
      </c>
      <c r="I2231" s="87" t="b">
        <v>0</v>
      </c>
      <c r="J2231" s="173" t="s">
        <v>470</v>
      </c>
      <c r="K2231" s="174">
        <v>60884855002289</v>
      </c>
      <c r="L2231" s="173" t="s">
        <v>920</v>
      </c>
      <c r="M2231" s="173" t="s">
        <v>739</v>
      </c>
      <c r="N2231" s="173" t="s">
        <v>55</v>
      </c>
      <c r="O2231" s="87">
        <v>62</v>
      </c>
      <c r="P2231" s="173" t="s">
        <v>27</v>
      </c>
      <c r="Q2231" s="1" t="s">
        <v>1343</v>
      </c>
      <c r="R2231" s="175">
        <v>20</v>
      </c>
      <c r="S2231">
        <v>20</v>
      </c>
    </row>
    <row r="2232" spans="1:19" x14ac:dyDescent="0.25">
      <c r="A2232" s="87">
        <v>2019</v>
      </c>
      <c r="B2232" s="87">
        <v>10</v>
      </c>
      <c r="C2232" s="173" t="s">
        <v>16</v>
      </c>
      <c r="D2232" s="173" t="s">
        <v>23</v>
      </c>
      <c r="E2232" s="173" t="s">
        <v>24</v>
      </c>
      <c r="F2232" s="173" t="s">
        <v>16</v>
      </c>
      <c r="G2232" s="87" t="b">
        <v>1</v>
      </c>
      <c r="H2232" s="87" t="b">
        <v>0</v>
      </c>
      <c r="I2232" s="87" t="b">
        <v>0</v>
      </c>
      <c r="J2232" s="173" t="s">
        <v>470</v>
      </c>
      <c r="K2232" s="174">
        <v>60884855002289</v>
      </c>
      <c r="L2232" s="173" t="s">
        <v>920</v>
      </c>
      <c r="M2232" s="173" t="s">
        <v>739</v>
      </c>
      <c r="N2232" s="173" t="s">
        <v>55</v>
      </c>
      <c r="O2232" s="87">
        <v>64</v>
      </c>
      <c r="P2232" s="173" t="s">
        <v>25</v>
      </c>
      <c r="Q2232" s="1" t="s">
        <v>1344</v>
      </c>
      <c r="R2232" s="175">
        <v>21</v>
      </c>
      <c r="S2232">
        <v>21</v>
      </c>
    </row>
    <row r="2233" spans="1:19" x14ac:dyDescent="0.25">
      <c r="A2233" s="87">
        <v>2019</v>
      </c>
      <c r="B2233" s="87">
        <v>10</v>
      </c>
      <c r="C2233" s="173" t="s">
        <v>16</v>
      </c>
      <c r="D2233" s="173" t="s">
        <v>23</v>
      </c>
      <c r="E2233" s="173" t="s">
        <v>24</v>
      </c>
      <c r="F2233" s="173" t="s">
        <v>16</v>
      </c>
      <c r="G2233" s="87" t="b">
        <v>1</v>
      </c>
      <c r="H2233" s="87" t="b">
        <v>0</v>
      </c>
      <c r="I2233" s="87" t="b">
        <v>0</v>
      </c>
      <c r="J2233" s="173" t="s">
        <v>470</v>
      </c>
      <c r="K2233" s="174">
        <v>60884855002289</v>
      </c>
      <c r="L2233" s="173" t="s">
        <v>920</v>
      </c>
      <c r="M2233" s="173" t="s">
        <v>739</v>
      </c>
      <c r="N2233" s="173" t="s">
        <v>55</v>
      </c>
      <c r="O2233" s="87">
        <v>70</v>
      </c>
      <c r="P2233" s="173" t="s">
        <v>20</v>
      </c>
      <c r="Q2233" s="1" t="s">
        <v>1338</v>
      </c>
      <c r="R2233" s="175">
        <v>675</v>
      </c>
      <c r="S2233">
        <v>135</v>
      </c>
    </row>
    <row r="2234" spans="1:19" x14ac:dyDescent="0.25">
      <c r="A2234" s="87">
        <v>2019</v>
      </c>
      <c r="B2234" s="87">
        <v>10</v>
      </c>
      <c r="C2234" s="173" t="s">
        <v>16</v>
      </c>
      <c r="D2234" s="173" t="s">
        <v>23</v>
      </c>
      <c r="E2234" s="173" t="s">
        <v>24</v>
      </c>
      <c r="F2234" s="173" t="s">
        <v>16</v>
      </c>
      <c r="G2234" s="87" t="b">
        <v>1</v>
      </c>
      <c r="H2234" s="87" t="b">
        <v>0</v>
      </c>
      <c r="I2234" s="87" t="b">
        <v>0</v>
      </c>
      <c r="J2234" s="173" t="s">
        <v>477</v>
      </c>
      <c r="K2234" s="174">
        <v>60922168000348</v>
      </c>
      <c r="L2234" s="173" t="s">
        <v>1125</v>
      </c>
      <c r="M2234" s="173" t="s">
        <v>131</v>
      </c>
      <c r="N2234" s="173" t="s">
        <v>61</v>
      </c>
      <c r="O2234" s="87">
        <v>62</v>
      </c>
      <c r="P2234" s="173" t="s">
        <v>27</v>
      </c>
      <c r="Q2234" s="1" t="s">
        <v>1343</v>
      </c>
      <c r="R2234" s="175">
        <v>6</v>
      </c>
      <c r="S2234">
        <v>6</v>
      </c>
    </row>
    <row r="2235" spans="1:19" x14ac:dyDescent="0.25">
      <c r="A2235" s="87">
        <v>2019</v>
      </c>
      <c r="B2235" s="87">
        <v>10</v>
      </c>
      <c r="C2235" s="173" t="s">
        <v>16</v>
      </c>
      <c r="D2235" s="173" t="s">
        <v>23</v>
      </c>
      <c r="E2235" s="173" t="s">
        <v>24</v>
      </c>
      <c r="F2235" s="173" t="s">
        <v>16</v>
      </c>
      <c r="G2235" s="87" t="b">
        <v>1</v>
      </c>
      <c r="H2235" s="87" t="b">
        <v>0</v>
      </c>
      <c r="I2235" s="87" t="b">
        <v>0</v>
      </c>
      <c r="J2235" s="173" t="s">
        <v>477</v>
      </c>
      <c r="K2235" s="174">
        <v>60922168000348</v>
      </c>
      <c r="L2235" s="173" t="s">
        <v>1125</v>
      </c>
      <c r="M2235" s="173" t="s">
        <v>131</v>
      </c>
      <c r="N2235" s="173" t="s">
        <v>61</v>
      </c>
      <c r="O2235" s="87">
        <v>64</v>
      </c>
      <c r="P2235" s="173" t="s">
        <v>25</v>
      </c>
      <c r="Q2235" s="1" t="s">
        <v>1344</v>
      </c>
      <c r="R2235" s="175">
        <v>6</v>
      </c>
      <c r="S2235">
        <v>6</v>
      </c>
    </row>
    <row r="2236" spans="1:19" x14ac:dyDescent="0.25">
      <c r="A2236" s="87">
        <v>2019</v>
      </c>
      <c r="B2236" s="87">
        <v>10</v>
      </c>
      <c r="C2236" s="173" t="s">
        <v>16</v>
      </c>
      <c r="D2236" s="173" t="s">
        <v>23</v>
      </c>
      <c r="E2236" s="173" t="s">
        <v>24</v>
      </c>
      <c r="F2236" s="173" t="s">
        <v>16</v>
      </c>
      <c r="G2236" s="87" t="b">
        <v>1</v>
      </c>
      <c r="H2236" s="87" t="b">
        <v>0</v>
      </c>
      <c r="I2236" s="87" t="b">
        <v>0</v>
      </c>
      <c r="J2236" s="173" t="s">
        <v>477</v>
      </c>
      <c r="K2236" s="174">
        <v>60922168000348</v>
      </c>
      <c r="L2236" s="173" t="s">
        <v>1125</v>
      </c>
      <c r="M2236" s="173" t="s">
        <v>131</v>
      </c>
      <c r="N2236" s="173" t="s">
        <v>61</v>
      </c>
      <c r="O2236" s="87">
        <v>70</v>
      </c>
      <c r="P2236" s="173" t="s">
        <v>20</v>
      </c>
      <c r="Q2236" s="1" t="s">
        <v>1345</v>
      </c>
      <c r="R2236" s="175">
        <v>150</v>
      </c>
      <c r="S2236">
        <v>15</v>
      </c>
    </row>
    <row r="2237" spans="1:19" x14ac:dyDescent="0.25">
      <c r="A2237" s="87">
        <v>2019</v>
      </c>
      <c r="B2237" s="87">
        <v>10</v>
      </c>
      <c r="C2237" s="173" t="s">
        <v>16</v>
      </c>
      <c r="D2237" s="173" t="s">
        <v>23</v>
      </c>
      <c r="E2237" s="173" t="s">
        <v>24</v>
      </c>
      <c r="F2237" s="173" t="s">
        <v>16</v>
      </c>
      <c r="G2237" s="87" t="b">
        <v>1</v>
      </c>
      <c r="H2237" s="87" t="b">
        <v>0</v>
      </c>
      <c r="I2237" s="87" t="b">
        <v>0</v>
      </c>
      <c r="J2237" s="173" t="s">
        <v>477</v>
      </c>
      <c r="K2237" s="174">
        <v>60922168000348</v>
      </c>
      <c r="L2237" s="173" t="s">
        <v>1125</v>
      </c>
      <c r="M2237" s="173" t="s">
        <v>131</v>
      </c>
      <c r="N2237" s="173" t="s">
        <v>61</v>
      </c>
      <c r="O2237" s="87">
        <v>70</v>
      </c>
      <c r="P2237" s="173" t="s">
        <v>20</v>
      </c>
      <c r="Q2237" s="1" t="s">
        <v>1338</v>
      </c>
      <c r="R2237" s="175">
        <v>600</v>
      </c>
      <c r="S2237">
        <v>120</v>
      </c>
    </row>
    <row r="2238" spans="1:19" x14ac:dyDescent="0.25">
      <c r="A2238" s="87">
        <v>2019</v>
      </c>
      <c r="B2238" s="87">
        <v>10</v>
      </c>
      <c r="C2238" s="173" t="s">
        <v>16</v>
      </c>
      <c r="D2238" s="173" t="s">
        <v>23</v>
      </c>
      <c r="E2238" s="173" t="s">
        <v>24</v>
      </c>
      <c r="F2238" s="173" t="s">
        <v>16</v>
      </c>
      <c r="G2238" s="87" t="b">
        <v>1</v>
      </c>
      <c r="H2238" s="87" t="b">
        <v>0</v>
      </c>
      <c r="I2238" s="87" t="b">
        <v>0</v>
      </c>
      <c r="J2238" s="173" t="s">
        <v>463</v>
      </c>
      <c r="K2238" s="174">
        <v>60922168000771</v>
      </c>
      <c r="L2238" s="173" t="s">
        <v>618</v>
      </c>
      <c r="M2238" s="173" t="s">
        <v>29</v>
      </c>
      <c r="N2238" s="173" t="s">
        <v>19</v>
      </c>
      <c r="O2238" s="87">
        <v>62</v>
      </c>
      <c r="P2238" s="173" t="s">
        <v>27</v>
      </c>
      <c r="Q2238" s="1" t="s">
        <v>1343</v>
      </c>
      <c r="R2238" s="175">
        <v>18</v>
      </c>
      <c r="S2238">
        <v>18</v>
      </c>
    </row>
    <row r="2239" spans="1:19" x14ac:dyDescent="0.25">
      <c r="A2239" s="87">
        <v>2019</v>
      </c>
      <c r="B2239" s="87">
        <v>10</v>
      </c>
      <c r="C2239" s="173" t="s">
        <v>16</v>
      </c>
      <c r="D2239" s="173" t="s">
        <v>23</v>
      </c>
      <c r="E2239" s="173" t="s">
        <v>24</v>
      </c>
      <c r="F2239" s="173" t="s">
        <v>16</v>
      </c>
      <c r="G2239" s="87" t="b">
        <v>1</v>
      </c>
      <c r="H2239" s="87" t="b">
        <v>0</v>
      </c>
      <c r="I2239" s="87" t="b">
        <v>0</v>
      </c>
      <c r="J2239" s="173" t="s">
        <v>491</v>
      </c>
      <c r="K2239" s="174">
        <v>60922168000771</v>
      </c>
      <c r="L2239" s="173" t="s">
        <v>618</v>
      </c>
      <c r="M2239" s="173" t="s">
        <v>29</v>
      </c>
      <c r="N2239" s="173" t="s">
        <v>19</v>
      </c>
      <c r="O2239" s="87">
        <v>62</v>
      </c>
      <c r="P2239" s="173" t="s">
        <v>27</v>
      </c>
      <c r="Q2239" s="1" t="s">
        <v>1343</v>
      </c>
      <c r="R2239" s="175">
        <v>3</v>
      </c>
      <c r="S2239">
        <v>3</v>
      </c>
    </row>
    <row r="2240" spans="1:19" x14ac:dyDescent="0.25">
      <c r="A2240" s="87">
        <v>2019</v>
      </c>
      <c r="B2240" s="87">
        <v>10</v>
      </c>
      <c r="C2240" s="173" t="s">
        <v>16</v>
      </c>
      <c r="D2240" s="173" t="s">
        <v>23</v>
      </c>
      <c r="E2240" s="173" t="s">
        <v>24</v>
      </c>
      <c r="F2240" s="173" t="s">
        <v>16</v>
      </c>
      <c r="G2240" s="87" t="b">
        <v>1</v>
      </c>
      <c r="H2240" s="87" t="b">
        <v>0</v>
      </c>
      <c r="I2240" s="87" t="b">
        <v>0</v>
      </c>
      <c r="J2240" s="173" t="s">
        <v>450</v>
      </c>
      <c r="K2240" s="174">
        <v>60922168000771</v>
      </c>
      <c r="L2240" s="173" t="s">
        <v>618</v>
      </c>
      <c r="M2240" s="173" t="s">
        <v>29</v>
      </c>
      <c r="N2240" s="173" t="s">
        <v>19</v>
      </c>
      <c r="O2240" s="87">
        <v>70</v>
      </c>
      <c r="P2240" s="173" t="s">
        <v>20</v>
      </c>
      <c r="Q2240" s="1" t="s">
        <v>1338</v>
      </c>
      <c r="R2240" s="175">
        <v>15</v>
      </c>
      <c r="S2240">
        <v>3</v>
      </c>
    </row>
    <row r="2241" spans="1:19" x14ac:dyDescent="0.25">
      <c r="A2241" s="87">
        <v>2019</v>
      </c>
      <c r="B2241" s="87">
        <v>10</v>
      </c>
      <c r="C2241" s="173" t="s">
        <v>16</v>
      </c>
      <c r="D2241" s="173" t="s">
        <v>23</v>
      </c>
      <c r="E2241" s="173" t="s">
        <v>24</v>
      </c>
      <c r="F2241" s="173" t="s">
        <v>16</v>
      </c>
      <c r="G2241" s="87" t="b">
        <v>1</v>
      </c>
      <c r="H2241" s="87" t="b">
        <v>0</v>
      </c>
      <c r="I2241" s="87" t="b">
        <v>0</v>
      </c>
      <c r="J2241" s="173" t="s">
        <v>477</v>
      </c>
      <c r="K2241" s="174">
        <v>60922168000771</v>
      </c>
      <c r="L2241" s="173" t="s">
        <v>618</v>
      </c>
      <c r="M2241" s="173" t="s">
        <v>29</v>
      </c>
      <c r="N2241" s="173" t="s">
        <v>19</v>
      </c>
      <c r="O2241" s="87">
        <v>70</v>
      </c>
      <c r="P2241" s="173" t="s">
        <v>20</v>
      </c>
      <c r="Q2241" s="1" t="s">
        <v>1345</v>
      </c>
      <c r="R2241" s="175">
        <v>40</v>
      </c>
      <c r="S2241">
        <v>4</v>
      </c>
    </row>
    <row r="2242" spans="1:19" x14ac:dyDescent="0.25">
      <c r="A2242" s="87">
        <v>2019</v>
      </c>
      <c r="B2242" s="87">
        <v>10</v>
      </c>
      <c r="C2242" s="173" t="s">
        <v>16</v>
      </c>
      <c r="D2242" s="173" t="s">
        <v>23</v>
      </c>
      <c r="E2242" s="173" t="s">
        <v>24</v>
      </c>
      <c r="F2242" s="173" t="s">
        <v>16</v>
      </c>
      <c r="G2242" s="87" t="b">
        <v>1</v>
      </c>
      <c r="H2242" s="87" t="b">
        <v>0</v>
      </c>
      <c r="I2242" s="87" t="b">
        <v>0</v>
      </c>
      <c r="J2242" s="173" t="s">
        <v>463</v>
      </c>
      <c r="K2242" s="174">
        <v>60922168000771</v>
      </c>
      <c r="L2242" s="173" t="s">
        <v>618</v>
      </c>
      <c r="M2242" s="173" t="s">
        <v>29</v>
      </c>
      <c r="N2242" s="173" t="s">
        <v>19</v>
      </c>
      <c r="O2242" s="87">
        <v>70</v>
      </c>
      <c r="P2242" s="173" t="s">
        <v>20</v>
      </c>
      <c r="Q2242" s="1" t="s">
        <v>1345</v>
      </c>
      <c r="R2242" s="175">
        <v>130</v>
      </c>
      <c r="S2242">
        <v>13</v>
      </c>
    </row>
    <row r="2243" spans="1:19" x14ac:dyDescent="0.25">
      <c r="A2243" s="87">
        <v>2019</v>
      </c>
      <c r="B2243" s="87">
        <v>10</v>
      </c>
      <c r="C2243" s="173" t="s">
        <v>16</v>
      </c>
      <c r="D2243" s="173" t="s">
        <v>23</v>
      </c>
      <c r="E2243" s="173" t="s">
        <v>24</v>
      </c>
      <c r="F2243" s="173" t="s">
        <v>16</v>
      </c>
      <c r="G2243" s="87" t="b">
        <v>1</v>
      </c>
      <c r="H2243" s="87" t="b">
        <v>0</v>
      </c>
      <c r="I2243" s="87" t="b">
        <v>0</v>
      </c>
      <c r="J2243" s="173" t="s">
        <v>463</v>
      </c>
      <c r="K2243" s="174">
        <v>60922168000771</v>
      </c>
      <c r="L2243" s="173" t="s">
        <v>618</v>
      </c>
      <c r="M2243" s="173" t="s">
        <v>29</v>
      </c>
      <c r="N2243" s="173" t="s">
        <v>19</v>
      </c>
      <c r="O2243" s="87">
        <v>70</v>
      </c>
      <c r="P2243" s="173" t="s">
        <v>20</v>
      </c>
      <c r="Q2243" s="1" t="s">
        <v>1338</v>
      </c>
      <c r="R2243" s="175">
        <v>10</v>
      </c>
      <c r="S2243">
        <v>2</v>
      </c>
    </row>
    <row r="2244" spans="1:19" x14ac:dyDescent="0.25">
      <c r="A2244" s="87">
        <v>2019</v>
      </c>
      <c r="B2244" s="87">
        <v>10</v>
      </c>
      <c r="C2244" s="173" t="s">
        <v>16</v>
      </c>
      <c r="D2244" s="173" t="s">
        <v>23</v>
      </c>
      <c r="E2244" s="173" t="s">
        <v>24</v>
      </c>
      <c r="F2244" s="173" t="s">
        <v>16</v>
      </c>
      <c r="G2244" s="87" t="b">
        <v>1</v>
      </c>
      <c r="H2244" s="87" t="b">
        <v>0</v>
      </c>
      <c r="I2244" s="87" t="b">
        <v>0</v>
      </c>
      <c r="J2244" s="173" t="s">
        <v>463</v>
      </c>
      <c r="K2244" s="174">
        <v>60922168000771</v>
      </c>
      <c r="L2244" s="173" t="s">
        <v>618</v>
      </c>
      <c r="M2244" s="173" t="s">
        <v>29</v>
      </c>
      <c r="N2244" s="173" t="s">
        <v>19</v>
      </c>
      <c r="O2244" s="87">
        <v>73</v>
      </c>
      <c r="P2244" s="173" t="s">
        <v>26</v>
      </c>
      <c r="Q2244" s="1" t="s">
        <v>1339</v>
      </c>
      <c r="R2244" s="175">
        <v>6</v>
      </c>
      <c r="S2244">
        <v>3</v>
      </c>
    </row>
    <row r="2245" spans="1:19" x14ac:dyDescent="0.25">
      <c r="A2245" s="87">
        <v>2019</v>
      </c>
      <c r="B2245" s="87">
        <v>10</v>
      </c>
      <c r="C2245" s="173" t="s">
        <v>16</v>
      </c>
      <c r="D2245" s="173" t="s">
        <v>23</v>
      </c>
      <c r="E2245" s="173" t="s">
        <v>24</v>
      </c>
      <c r="F2245" s="173" t="s">
        <v>16</v>
      </c>
      <c r="G2245" s="87" t="b">
        <v>1</v>
      </c>
      <c r="H2245" s="87" t="b">
        <v>0</v>
      </c>
      <c r="I2245" s="87" t="b">
        <v>0</v>
      </c>
      <c r="J2245" s="173" t="s">
        <v>463</v>
      </c>
      <c r="K2245" s="174">
        <v>60922168000771</v>
      </c>
      <c r="L2245" s="173" t="s">
        <v>618</v>
      </c>
      <c r="M2245" s="173" t="s">
        <v>29</v>
      </c>
      <c r="N2245" s="173" t="s">
        <v>19</v>
      </c>
      <c r="O2245" s="87">
        <v>73</v>
      </c>
      <c r="P2245" s="173" t="s">
        <v>26</v>
      </c>
      <c r="Q2245" s="1" t="s">
        <v>1342</v>
      </c>
      <c r="R2245" s="175">
        <v>4</v>
      </c>
      <c r="S2245">
        <v>1</v>
      </c>
    </row>
    <row r="2246" spans="1:19" x14ac:dyDescent="0.25">
      <c r="A2246" s="87">
        <v>2019</v>
      </c>
      <c r="B2246" s="87">
        <v>10</v>
      </c>
      <c r="C2246" s="173" t="s">
        <v>16</v>
      </c>
      <c r="D2246" s="173" t="s">
        <v>23</v>
      </c>
      <c r="E2246" s="173" t="s">
        <v>24</v>
      </c>
      <c r="F2246" s="173" t="s">
        <v>16</v>
      </c>
      <c r="G2246" s="87" t="b">
        <v>1</v>
      </c>
      <c r="H2246" s="87" t="b">
        <v>0</v>
      </c>
      <c r="I2246" s="87" t="b">
        <v>0</v>
      </c>
      <c r="J2246" s="173" t="s">
        <v>491</v>
      </c>
      <c r="K2246" s="174">
        <v>60922168000771</v>
      </c>
      <c r="L2246" s="173" t="s">
        <v>618</v>
      </c>
      <c r="M2246" s="173" t="s">
        <v>29</v>
      </c>
      <c r="N2246" s="173" t="s">
        <v>19</v>
      </c>
      <c r="O2246" s="87">
        <v>73</v>
      </c>
      <c r="P2246" s="173" t="s">
        <v>26</v>
      </c>
      <c r="Q2246" s="1" t="s">
        <v>1342</v>
      </c>
      <c r="R2246" s="175">
        <v>8</v>
      </c>
      <c r="S2246">
        <v>2</v>
      </c>
    </row>
    <row r="2247" spans="1:19" x14ac:dyDescent="0.25">
      <c r="A2247" s="87">
        <v>2019</v>
      </c>
      <c r="B2247" s="87">
        <v>10</v>
      </c>
      <c r="C2247" s="173" t="s">
        <v>16</v>
      </c>
      <c r="D2247" s="173" t="s">
        <v>23</v>
      </c>
      <c r="E2247" s="173" t="s">
        <v>24</v>
      </c>
      <c r="F2247" s="173" t="s">
        <v>16</v>
      </c>
      <c r="G2247" s="87" t="b">
        <v>1</v>
      </c>
      <c r="H2247" s="87" t="b">
        <v>0</v>
      </c>
      <c r="I2247" s="87" t="b">
        <v>0</v>
      </c>
      <c r="J2247" s="173" t="s">
        <v>491</v>
      </c>
      <c r="K2247" s="174">
        <v>60922168000771</v>
      </c>
      <c r="L2247" s="173" t="s">
        <v>618</v>
      </c>
      <c r="M2247" s="173" t="s">
        <v>29</v>
      </c>
      <c r="N2247" s="173" t="s">
        <v>19</v>
      </c>
      <c r="O2247" s="87">
        <v>73</v>
      </c>
      <c r="P2247" s="173" t="s">
        <v>26</v>
      </c>
      <c r="Q2247" s="1" t="s">
        <v>1340</v>
      </c>
      <c r="R2247" s="175">
        <v>4</v>
      </c>
      <c r="S2247">
        <v>4</v>
      </c>
    </row>
    <row r="2248" spans="1:19" x14ac:dyDescent="0.25">
      <c r="A2248" s="87">
        <v>2019</v>
      </c>
      <c r="B2248" s="87">
        <v>10</v>
      </c>
      <c r="C2248" s="173" t="s">
        <v>16</v>
      </c>
      <c r="D2248" s="173" t="s">
        <v>23</v>
      </c>
      <c r="E2248" s="173" t="s">
        <v>24</v>
      </c>
      <c r="F2248" s="173" t="s">
        <v>16</v>
      </c>
      <c r="G2248" s="87" t="b">
        <v>1</v>
      </c>
      <c r="H2248" s="87" t="b">
        <v>0</v>
      </c>
      <c r="I2248" s="87" t="b">
        <v>0</v>
      </c>
      <c r="J2248" s="173" t="s">
        <v>452</v>
      </c>
      <c r="K2248" s="174">
        <v>60922168005226</v>
      </c>
      <c r="L2248" s="173" t="s">
        <v>977</v>
      </c>
      <c r="M2248" s="173" t="s">
        <v>93</v>
      </c>
      <c r="N2248" s="173" t="s">
        <v>68</v>
      </c>
      <c r="O2248" s="87">
        <v>62</v>
      </c>
      <c r="P2248" s="173" t="s">
        <v>27</v>
      </c>
      <c r="Q2248" s="1" t="s">
        <v>1343</v>
      </c>
      <c r="R2248" s="175">
        <v>2</v>
      </c>
      <c r="S2248">
        <v>2</v>
      </c>
    </row>
    <row r="2249" spans="1:19" x14ac:dyDescent="0.25">
      <c r="A2249" s="87">
        <v>2019</v>
      </c>
      <c r="B2249" s="87">
        <v>10</v>
      </c>
      <c r="C2249" s="173" t="s">
        <v>16</v>
      </c>
      <c r="D2249" s="173" t="s">
        <v>23</v>
      </c>
      <c r="E2249" s="173" t="s">
        <v>24</v>
      </c>
      <c r="F2249" s="173" t="s">
        <v>16</v>
      </c>
      <c r="G2249" s="87" t="b">
        <v>1</v>
      </c>
      <c r="H2249" s="87" t="b">
        <v>0</v>
      </c>
      <c r="I2249" s="87" t="b">
        <v>0</v>
      </c>
      <c r="J2249" s="173" t="s">
        <v>470</v>
      </c>
      <c r="K2249" s="174">
        <v>60961422000155</v>
      </c>
      <c r="L2249" s="173" t="s">
        <v>620</v>
      </c>
      <c r="M2249" s="173" t="s">
        <v>29</v>
      </c>
      <c r="N2249" s="173" t="s">
        <v>19</v>
      </c>
      <c r="O2249" s="87">
        <v>62</v>
      </c>
      <c r="P2249" s="173" t="s">
        <v>27</v>
      </c>
      <c r="Q2249" s="1" t="s">
        <v>1343</v>
      </c>
      <c r="R2249" s="175">
        <v>13</v>
      </c>
      <c r="S2249">
        <v>13</v>
      </c>
    </row>
    <row r="2250" spans="1:19" x14ac:dyDescent="0.25">
      <c r="A2250" s="87">
        <v>2019</v>
      </c>
      <c r="B2250" s="87">
        <v>10</v>
      </c>
      <c r="C2250" s="173" t="s">
        <v>16</v>
      </c>
      <c r="D2250" s="173" t="s">
        <v>23</v>
      </c>
      <c r="E2250" s="173" t="s">
        <v>24</v>
      </c>
      <c r="F2250" s="173" t="s">
        <v>16</v>
      </c>
      <c r="G2250" s="87" t="b">
        <v>1</v>
      </c>
      <c r="H2250" s="87" t="b">
        <v>0</v>
      </c>
      <c r="I2250" s="87" t="b">
        <v>0</v>
      </c>
      <c r="J2250" s="173" t="s">
        <v>450</v>
      </c>
      <c r="K2250" s="174">
        <v>60961422000155</v>
      </c>
      <c r="L2250" s="173" t="s">
        <v>620</v>
      </c>
      <c r="M2250" s="173" t="s">
        <v>29</v>
      </c>
      <c r="N2250" s="173" t="s">
        <v>19</v>
      </c>
      <c r="O2250" s="87">
        <v>64</v>
      </c>
      <c r="P2250" s="173" t="s">
        <v>25</v>
      </c>
      <c r="Q2250" s="1" t="s">
        <v>1344</v>
      </c>
      <c r="R2250" s="175">
        <v>3</v>
      </c>
      <c r="S2250">
        <v>3</v>
      </c>
    </row>
    <row r="2251" spans="1:19" x14ac:dyDescent="0.25">
      <c r="A2251" s="87">
        <v>2019</v>
      </c>
      <c r="B2251" s="87">
        <v>10</v>
      </c>
      <c r="C2251" s="173" t="s">
        <v>16</v>
      </c>
      <c r="D2251" s="173" t="s">
        <v>23</v>
      </c>
      <c r="E2251" s="173" t="s">
        <v>24</v>
      </c>
      <c r="F2251" s="173" t="s">
        <v>16</v>
      </c>
      <c r="G2251" s="87" t="b">
        <v>1</v>
      </c>
      <c r="H2251" s="87" t="b">
        <v>0</v>
      </c>
      <c r="I2251" s="87" t="b">
        <v>0</v>
      </c>
      <c r="J2251" s="173" t="s">
        <v>470</v>
      </c>
      <c r="K2251" s="174">
        <v>60961422000155</v>
      </c>
      <c r="L2251" s="173" t="s">
        <v>620</v>
      </c>
      <c r="M2251" s="173" t="s">
        <v>29</v>
      </c>
      <c r="N2251" s="173" t="s">
        <v>19</v>
      </c>
      <c r="O2251" s="87">
        <v>70</v>
      </c>
      <c r="P2251" s="173" t="s">
        <v>20</v>
      </c>
      <c r="Q2251" s="1" t="s">
        <v>1338</v>
      </c>
      <c r="R2251" s="175">
        <v>20</v>
      </c>
      <c r="S2251">
        <v>4</v>
      </c>
    </row>
    <row r="2252" spans="1:19" x14ac:dyDescent="0.25">
      <c r="A2252" s="87">
        <v>2019</v>
      </c>
      <c r="B2252" s="87">
        <v>10</v>
      </c>
      <c r="C2252" s="173" t="s">
        <v>16</v>
      </c>
      <c r="D2252" s="173" t="s">
        <v>23</v>
      </c>
      <c r="E2252" s="173" t="s">
        <v>24</v>
      </c>
      <c r="F2252" s="173" t="s">
        <v>16</v>
      </c>
      <c r="G2252" s="87" t="b">
        <v>1</v>
      </c>
      <c r="H2252" s="87" t="b">
        <v>0</v>
      </c>
      <c r="I2252" s="87" t="b">
        <v>0</v>
      </c>
      <c r="J2252" s="173" t="s">
        <v>463</v>
      </c>
      <c r="K2252" s="174">
        <v>60975737001204</v>
      </c>
      <c r="L2252" s="173" t="s">
        <v>625</v>
      </c>
      <c r="M2252" s="173" t="s">
        <v>29</v>
      </c>
      <c r="N2252" s="173" t="s">
        <v>19</v>
      </c>
      <c r="O2252" s="87">
        <v>62</v>
      </c>
      <c r="P2252" s="173" t="s">
        <v>27</v>
      </c>
      <c r="Q2252" s="1" t="s">
        <v>1343</v>
      </c>
      <c r="R2252" s="175">
        <v>4</v>
      </c>
      <c r="S2252">
        <v>4</v>
      </c>
    </row>
    <row r="2253" spans="1:19" x14ac:dyDescent="0.25">
      <c r="A2253" s="87">
        <v>2019</v>
      </c>
      <c r="B2253" s="87">
        <v>10</v>
      </c>
      <c r="C2253" s="173" t="s">
        <v>16</v>
      </c>
      <c r="D2253" s="173" t="s">
        <v>23</v>
      </c>
      <c r="E2253" s="173" t="s">
        <v>24</v>
      </c>
      <c r="F2253" s="173" t="s">
        <v>16</v>
      </c>
      <c r="G2253" s="87" t="b">
        <v>1</v>
      </c>
      <c r="H2253" s="87" t="b">
        <v>0</v>
      </c>
      <c r="I2253" s="87" t="b">
        <v>0</v>
      </c>
      <c r="J2253" s="173" t="s">
        <v>463</v>
      </c>
      <c r="K2253" s="174">
        <v>60975737001204</v>
      </c>
      <c r="L2253" s="173" t="s">
        <v>625</v>
      </c>
      <c r="M2253" s="173" t="s">
        <v>29</v>
      </c>
      <c r="N2253" s="173" t="s">
        <v>19</v>
      </c>
      <c r="O2253" s="87">
        <v>64</v>
      </c>
      <c r="P2253" s="173" t="s">
        <v>25</v>
      </c>
      <c r="Q2253" s="1" t="s">
        <v>1344</v>
      </c>
      <c r="R2253" s="175">
        <v>10</v>
      </c>
      <c r="S2253">
        <v>10</v>
      </c>
    </row>
    <row r="2254" spans="1:19" x14ac:dyDescent="0.25">
      <c r="A2254" s="87">
        <v>2019</v>
      </c>
      <c r="B2254" s="87">
        <v>10</v>
      </c>
      <c r="C2254" s="173" t="s">
        <v>16</v>
      </c>
      <c r="D2254" s="173" t="s">
        <v>23</v>
      </c>
      <c r="E2254" s="173" t="s">
        <v>24</v>
      </c>
      <c r="F2254" s="173" t="s">
        <v>16</v>
      </c>
      <c r="G2254" s="87" t="b">
        <v>1</v>
      </c>
      <c r="H2254" s="87" t="b">
        <v>0</v>
      </c>
      <c r="I2254" s="87" t="b">
        <v>0</v>
      </c>
      <c r="J2254" s="173" t="s">
        <v>463</v>
      </c>
      <c r="K2254" s="174">
        <v>60992427000650</v>
      </c>
      <c r="L2254" s="173" t="s">
        <v>627</v>
      </c>
      <c r="M2254" s="173" t="s">
        <v>29</v>
      </c>
      <c r="N2254" s="173" t="s">
        <v>19</v>
      </c>
      <c r="O2254" s="87">
        <v>62</v>
      </c>
      <c r="P2254" s="173" t="s">
        <v>27</v>
      </c>
      <c r="Q2254" s="1" t="s">
        <v>1343</v>
      </c>
      <c r="R2254" s="175">
        <v>0</v>
      </c>
      <c r="S2254">
        <v>0</v>
      </c>
    </row>
    <row r="2255" spans="1:19" x14ac:dyDescent="0.25">
      <c r="A2255" s="87">
        <v>2019</v>
      </c>
      <c r="B2255" s="87">
        <v>10</v>
      </c>
      <c r="C2255" s="173" t="s">
        <v>16</v>
      </c>
      <c r="D2255" s="173" t="s">
        <v>23</v>
      </c>
      <c r="E2255" s="173" t="s">
        <v>24</v>
      </c>
      <c r="F2255" s="173" t="s">
        <v>16</v>
      </c>
      <c r="G2255" s="87" t="b">
        <v>1</v>
      </c>
      <c r="H2255" s="87" t="b">
        <v>0</v>
      </c>
      <c r="I2255" s="87" t="b">
        <v>0</v>
      </c>
      <c r="J2255" s="173" t="s">
        <v>450</v>
      </c>
      <c r="K2255" s="174">
        <v>61213674000240</v>
      </c>
      <c r="L2255" s="173" t="s">
        <v>629</v>
      </c>
      <c r="M2255" s="173" t="s">
        <v>29</v>
      </c>
      <c r="N2255" s="173" t="s">
        <v>19</v>
      </c>
      <c r="O2255" s="87">
        <v>62</v>
      </c>
      <c r="P2255" s="173" t="s">
        <v>27</v>
      </c>
      <c r="Q2255" s="1" t="s">
        <v>1343</v>
      </c>
      <c r="R2255" s="175">
        <v>3</v>
      </c>
      <c r="S2255">
        <v>3</v>
      </c>
    </row>
    <row r="2256" spans="1:19" x14ac:dyDescent="0.25">
      <c r="A2256" s="87">
        <v>2019</v>
      </c>
      <c r="B2256" s="87">
        <v>10</v>
      </c>
      <c r="C2256" s="173" t="s">
        <v>16</v>
      </c>
      <c r="D2256" s="173" t="s">
        <v>23</v>
      </c>
      <c r="E2256" s="173" t="s">
        <v>24</v>
      </c>
      <c r="F2256" s="173" t="s">
        <v>16</v>
      </c>
      <c r="G2256" s="87" t="b">
        <v>1</v>
      </c>
      <c r="H2256" s="87" t="b">
        <v>0</v>
      </c>
      <c r="I2256" s="87" t="b">
        <v>0</v>
      </c>
      <c r="J2256" s="173" t="s">
        <v>463</v>
      </c>
      <c r="K2256" s="174">
        <v>61213674000240</v>
      </c>
      <c r="L2256" s="173" t="s">
        <v>629</v>
      </c>
      <c r="M2256" s="173" t="s">
        <v>29</v>
      </c>
      <c r="N2256" s="173" t="s">
        <v>19</v>
      </c>
      <c r="O2256" s="87">
        <v>64</v>
      </c>
      <c r="P2256" s="173" t="s">
        <v>25</v>
      </c>
      <c r="Q2256" s="1" t="s">
        <v>1344</v>
      </c>
      <c r="R2256" s="175">
        <v>3</v>
      </c>
      <c r="S2256">
        <v>3</v>
      </c>
    </row>
    <row r="2257" spans="1:19" x14ac:dyDescent="0.25">
      <c r="A2257" s="87">
        <v>2019</v>
      </c>
      <c r="B2257" s="87">
        <v>10</v>
      </c>
      <c r="C2257" s="173" t="s">
        <v>16</v>
      </c>
      <c r="D2257" s="173" t="s">
        <v>23</v>
      </c>
      <c r="E2257" s="173" t="s">
        <v>24</v>
      </c>
      <c r="F2257" s="173" t="s">
        <v>16</v>
      </c>
      <c r="G2257" s="87" t="b">
        <v>1</v>
      </c>
      <c r="H2257" s="87" t="b">
        <v>0</v>
      </c>
      <c r="I2257" s="87" t="b">
        <v>0</v>
      </c>
      <c r="J2257" s="173" t="s">
        <v>463</v>
      </c>
      <c r="K2257" s="174">
        <v>61213674000240</v>
      </c>
      <c r="L2257" s="173" t="s">
        <v>629</v>
      </c>
      <c r="M2257" s="173" t="s">
        <v>29</v>
      </c>
      <c r="N2257" s="173" t="s">
        <v>19</v>
      </c>
      <c r="O2257" s="87">
        <v>73</v>
      </c>
      <c r="P2257" s="173" t="s">
        <v>26</v>
      </c>
      <c r="Q2257" s="1" t="s">
        <v>1339</v>
      </c>
      <c r="R2257" s="175">
        <v>36</v>
      </c>
      <c r="S2257">
        <v>18</v>
      </c>
    </row>
    <row r="2258" spans="1:19" x14ac:dyDescent="0.25">
      <c r="A2258" s="87">
        <v>2019</v>
      </c>
      <c r="B2258" s="87">
        <v>10</v>
      </c>
      <c r="C2258" s="173" t="s">
        <v>16</v>
      </c>
      <c r="D2258" s="173" t="s">
        <v>23</v>
      </c>
      <c r="E2258" s="173" t="s">
        <v>24</v>
      </c>
      <c r="F2258" s="173" t="s">
        <v>16</v>
      </c>
      <c r="G2258" s="87" t="b">
        <v>1</v>
      </c>
      <c r="H2258" s="87" t="b">
        <v>0</v>
      </c>
      <c r="I2258" s="87" t="b">
        <v>0</v>
      </c>
      <c r="J2258" s="173" t="s">
        <v>463</v>
      </c>
      <c r="K2258" s="174">
        <v>61213674000240</v>
      </c>
      <c r="L2258" s="173" t="s">
        <v>629</v>
      </c>
      <c r="M2258" s="173" t="s">
        <v>29</v>
      </c>
      <c r="N2258" s="173" t="s">
        <v>19</v>
      </c>
      <c r="O2258" s="87">
        <v>73</v>
      </c>
      <c r="P2258" s="173" t="s">
        <v>26</v>
      </c>
      <c r="Q2258" s="1" t="s">
        <v>1342</v>
      </c>
      <c r="R2258" s="175">
        <v>52</v>
      </c>
      <c r="S2258">
        <v>13</v>
      </c>
    </row>
    <row r="2259" spans="1:19" x14ac:dyDescent="0.25">
      <c r="A2259" s="87">
        <v>2019</v>
      </c>
      <c r="B2259" s="87">
        <v>10</v>
      </c>
      <c r="C2259" s="173" t="s">
        <v>16</v>
      </c>
      <c r="D2259" s="173" t="s">
        <v>23</v>
      </c>
      <c r="E2259" s="173" t="s">
        <v>24</v>
      </c>
      <c r="F2259" s="173" t="s">
        <v>16</v>
      </c>
      <c r="G2259" s="87" t="b">
        <v>1</v>
      </c>
      <c r="H2259" s="87" t="b">
        <v>0</v>
      </c>
      <c r="I2259" s="87" t="b">
        <v>0</v>
      </c>
      <c r="J2259" s="173" t="s">
        <v>463</v>
      </c>
      <c r="K2259" s="174">
        <v>61213674000240</v>
      </c>
      <c r="L2259" s="173" t="s">
        <v>629</v>
      </c>
      <c r="M2259" s="173" t="s">
        <v>29</v>
      </c>
      <c r="N2259" s="173" t="s">
        <v>19</v>
      </c>
      <c r="O2259" s="87">
        <v>73</v>
      </c>
      <c r="P2259" s="173" t="s">
        <v>26</v>
      </c>
      <c r="Q2259" s="1" t="s">
        <v>1340</v>
      </c>
      <c r="R2259" s="175">
        <v>9</v>
      </c>
      <c r="S2259">
        <v>9</v>
      </c>
    </row>
    <row r="2260" spans="1:19" x14ac:dyDescent="0.25">
      <c r="A2260" s="87">
        <v>2019</v>
      </c>
      <c r="B2260" s="87">
        <v>10</v>
      </c>
      <c r="C2260" s="173" t="s">
        <v>16</v>
      </c>
      <c r="D2260" s="173" t="s">
        <v>23</v>
      </c>
      <c r="E2260" s="173" t="s">
        <v>24</v>
      </c>
      <c r="F2260" s="173" t="s">
        <v>16</v>
      </c>
      <c r="G2260" s="87" t="b">
        <v>1</v>
      </c>
      <c r="H2260" s="87" t="b">
        <v>0</v>
      </c>
      <c r="I2260" s="87" t="b">
        <v>0</v>
      </c>
      <c r="J2260" s="173" t="s">
        <v>1330</v>
      </c>
      <c r="K2260" s="174">
        <v>61590410000124</v>
      </c>
      <c r="L2260" s="173" t="s">
        <v>630</v>
      </c>
      <c r="M2260" s="173" t="s">
        <v>29</v>
      </c>
      <c r="N2260" s="173" t="s">
        <v>19</v>
      </c>
      <c r="O2260" s="87">
        <v>62</v>
      </c>
      <c r="P2260" s="173" t="s">
        <v>27</v>
      </c>
      <c r="Q2260" s="1" t="s">
        <v>1343</v>
      </c>
      <c r="R2260" s="175">
        <v>42</v>
      </c>
      <c r="S2260">
        <v>42</v>
      </c>
    </row>
    <row r="2261" spans="1:19" x14ac:dyDescent="0.25">
      <c r="A2261" s="87">
        <v>2019</v>
      </c>
      <c r="B2261" s="87">
        <v>10</v>
      </c>
      <c r="C2261" s="173" t="s">
        <v>16</v>
      </c>
      <c r="D2261" s="173" t="s">
        <v>23</v>
      </c>
      <c r="E2261" s="173" t="s">
        <v>24</v>
      </c>
      <c r="F2261" s="173" t="s">
        <v>16</v>
      </c>
      <c r="G2261" s="87" t="b">
        <v>1</v>
      </c>
      <c r="H2261" s="87" t="b">
        <v>0</v>
      </c>
      <c r="I2261" s="87" t="b">
        <v>0</v>
      </c>
      <c r="J2261" s="173" t="s">
        <v>463</v>
      </c>
      <c r="K2261" s="174">
        <v>61590410000124</v>
      </c>
      <c r="L2261" s="173" t="s">
        <v>630</v>
      </c>
      <c r="M2261" s="173" t="s">
        <v>29</v>
      </c>
      <c r="N2261" s="173" t="s">
        <v>19</v>
      </c>
      <c r="O2261" s="87">
        <v>62</v>
      </c>
      <c r="P2261" s="173" t="s">
        <v>27</v>
      </c>
      <c r="Q2261" s="1" t="s">
        <v>1343</v>
      </c>
      <c r="R2261" s="175">
        <v>4</v>
      </c>
      <c r="S2261">
        <v>4</v>
      </c>
    </row>
    <row r="2262" spans="1:19" x14ac:dyDescent="0.25">
      <c r="A2262" s="87">
        <v>2019</v>
      </c>
      <c r="B2262" s="87">
        <v>10</v>
      </c>
      <c r="C2262" s="173" t="s">
        <v>16</v>
      </c>
      <c r="D2262" s="173" t="s">
        <v>23</v>
      </c>
      <c r="E2262" s="173" t="s">
        <v>24</v>
      </c>
      <c r="F2262" s="173" t="s">
        <v>16</v>
      </c>
      <c r="G2262" s="87" t="b">
        <v>1</v>
      </c>
      <c r="H2262" s="87" t="b">
        <v>0</v>
      </c>
      <c r="I2262" s="87" t="b">
        <v>0</v>
      </c>
      <c r="J2262" s="173" t="s">
        <v>1330</v>
      </c>
      <c r="K2262" s="174">
        <v>61590410000124</v>
      </c>
      <c r="L2262" s="173" t="s">
        <v>630</v>
      </c>
      <c r="M2262" s="173" t="s">
        <v>29</v>
      </c>
      <c r="N2262" s="173" t="s">
        <v>19</v>
      </c>
      <c r="O2262" s="87">
        <v>64</v>
      </c>
      <c r="P2262" s="173" t="s">
        <v>25</v>
      </c>
      <c r="Q2262" s="1" t="s">
        <v>1344</v>
      </c>
      <c r="R2262" s="175">
        <v>26</v>
      </c>
      <c r="S2262">
        <v>26</v>
      </c>
    </row>
    <row r="2263" spans="1:19" x14ac:dyDescent="0.25">
      <c r="A2263" s="87">
        <v>2019</v>
      </c>
      <c r="B2263" s="87">
        <v>10</v>
      </c>
      <c r="C2263" s="173" t="s">
        <v>16</v>
      </c>
      <c r="D2263" s="173" t="s">
        <v>23</v>
      </c>
      <c r="E2263" s="173" t="s">
        <v>24</v>
      </c>
      <c r="F2263" s="173" t="s">
        <v>16</v>
      </c>
      <c r="G2263" s="87" t="b">
        <v>1</v>
      </c>
      <c r="H2263" s="87" t="b">
        <v>0</v>
      </c>
      <c r="I2263" s="87" t="b">
        <v>0</v>
      </c>
      <c r="J2263" s="173" t="s">
        <v>1330</v>
      </c>
      <c r="K2263" s="174">
        <v>61590410000124</v>
      </c>
      <c r="L2263" s="173" t="s">
        <v>630</v>
      </c>
      <c r="M2263" s="173" t="s">
        <v>29</v>
      </c>
      <c r="N2263" s="173" t="s">
        <v>19</v>
      </c>
      <c r="O2263" s="87">
        <v>70</v>
      </c>
      <c r="P2263" s="173" t="s">
        <v>20</v>
      </c>
      <c r="Q2263" s="1" t="s">
        <v>1338</v>
      </c>
      <c r="R2263" s="175">
        <v>215</v>
      </c>
      <c r="S2263">
        <v>43</v>
      </c>
    </row>
    <row r="2264" spans="1:19" x14ac:dyDescent="0.25">
      <c r="A2264" s="87">
        <v>2019</v>
      </c>
      <c r="B2264" s="87">
        <v>10</v>
      </c>
      <c r="C2264" s="173" t="s">
        <v>16</v>
      </c>
      <c r="D2264" s="173" t="s">
        <v>23</v>
      </c>
      <c r="E2264" s="173" t="s">
        <v>24</v>
      </c>
      <c r="F2264" s="173" t="s">
        <v>16</v>
      </c>
      <c r="G2264" s="87" t="b">
        <v>1</v>
      </c>
      <c r="H2264" s="87" t="b">
        <v>0</v>
      </c>
      <c r="I2264" s="87" t="b">
        <v>0</v>
      </c>
      <c r="J2264" s="173" t="s">
        <v>463</v>
      </c>
      <c r="K2264" s="174">
        <v>61590410000124</v>
      </c>
      <c r="L2264" s="173" t="s">
        <v>630</v>
      </c>
      <c r="M2264" s="173" t="s">
        <v>29</v>
      </c>
      <c r="N2264" s="173" t="s">
        <v>19</v>
      </c>
      <c r="O2264" s="87">
        <v>70</v>
      </c>
      <c r="P2264" s="173" t="s">
        <v>20</v>
      </c>
      <c r="Q2264" s="1" t="s">
        <v>1338</v>
      </c>
      <c r="R2264" s="175">
        <v>1645</v>
      </c>
      <c r="S2264">
        <v>329</v>
      </c>
    </row>
    <row r="2265" spans="1:19" x14ac:dyDescent="0.25">
      <c r="A2265" s="87">
        <v>2019</v>
      </c>
      <c r="B2265" s="87">
        <v>10</v>
      </c>
      <c r="C2265" s="173" t="s">
        <v>16</v>
      </c>
      <c r="D2265" s="173" t="s">
        <v>23</v>
      </c>
      <c r="E2265" s="173" t="s">
        <v>24</v>
      </c>
      <c r="F2265" s="173" t="s">
        <v>16</v>
      </c>
      <c r="G2265" s="87" t="b">
        <v>1</v>
      </c>
      <c r="H2265" s="87" t="b">
        <v>0</v>
      </c>
      <c r="I2265" s="87" t="b">
        <v>0</v>
      </c>
      <c r="J2265" s="173" t="s">
        <v>468</v>
      </c>
      <c r="K2265" s="174">
        <v>61590410000558</v>
      </c>
      <c r="L2265" s="173" t="s">
        <v>922</v>
      </c>
      <c r="M2265" s="173" t="s">
        <v>739</v>
      </c>
      <c r="N2265" s="173" t="s">
        <v>55</v>
      </c>
      <c r="O2265" s="87">
        <v>73</v>
      </c>
      <c r="P2265" s="173" t="s">
        <v>26</v>
      </c>
      <c r="Q2265" s="1" t="s">
        <v>1342</v>
      </c>
      <c r="R2265" s="175">
        <v>16</v>
      </c>
      <c r="S2265">
        <v>4</v>
      </c>
    </row>
    <row r="2266" spans="1:19" x14ac:dyDescent="0.25">
      <c r="A2266" s="87">
        <v>2019</v>
      </c>
      <c r="B2266" s="87">
        <v>10</v>
      </c>
      <c r="C2266" s="173" t="s">
        <v>16</v>
      </c>
      <c r="D2266" s="173" t="s">
        <v>23</v>
      </c>
      <c r="E2266" s="173" t="s">
        <v>24</v>
      </c>
      <c r="F2266" s="173" t="s">
        <v>16</v>
      </c>
      <c r="G2266" s="87" t="b">
        <v>1</v>
      </c>
      <c r="H2266" s="87" t="b">
        <v>0</v>
      </c>
      <c r="I2266" s="87" t="b">
        <v>0</v>
      </c>
      <c r="J2266" s="173" t="s">
        <v>1330</v>
      </c>
      <c r="K2266" s="174">
        <v>61599908000158</v>
      </c>
      <c r="L2266" s="173" t="s">
        <v>631</v>
      </c>
      <c r="M2266" s="173" t="s">
        <v>29</v>
      </c>
      <c r="N2266" s="173" t="s">
        <v>19</v>
      </c>
      <c r="O2266" s="87">
        <v>62</v>
      </c>
      <c r="P2266" s="173" t="s">
        <v>27</v>
      </c>
      <c r="Q2266" s="1" t="s">
        <v>1343</v>
      </c>
      <c r="R2266" s="175">
        <v>72</v>
      </c>
      <c r="S2266">
        <v>72</v>
      </c>
    </row>
    <row r="2267" spans="1:19" x14ac:dyDescent="0.25">
      <c r="A2267" s="87">
        <v>2019</v>
      </c>
      <c r="B2267" s="87">
        <v>10</v>
      </c>
      <c r="C2267" s="173" t="s">
        <v>16</v>
      </c>
      <c r="D2267" s="173" t="s">
        <v>23</v>
      </c>
      <c r="E2267" s="173" t="s">
        <v>24</v>
      </c>
      <c r="F2267" s="173" t="s">
        <v>16</v>
      </c>
      <c r="G2267" s="87" t="b">
        <v>1</v>
      </c>
      <c r="H2267" s="87" t="b">
        <v>0</v>
      </c>
      <c r="I2267" s="87" t="b">
        <v>0</v>
      </c>
      <c r="J2267" s="173" t="s">
        <v>1330</v>
      </c>
      <c r="K2267" s="174">
        <v>61599908000158</v>
      </c>
      <c r="L2267" s="173" t="s">
        <v>631</v>
      </c>
      <c r="M2267" s="173" t="s">
        <v>29</v>
      </c>
      <c r="N2267" s="173" t="s">
        <v>19</v>
      </c>
      <c r="O2267" s="87">
        <v>64</v>
      </c>
      <c r="P2267" s="173" t="s">
        <v>25</v>
      </c>
      <c r="Q2267" s="1" t="s">
        <v>1344</v>
      </c>
      <c r="R2267" s="175">
        <v>12</v>
      </c>
      <c r="S2267">
        <v>12</v>
      </c>
    </row>
    <row r="2268" spans="1:19" x14ac:dyDescent="0.25">
      <c r="A2268" s="87">
        <v>2019</v>
      </c>
      <c r="B2268" s="87">
        <v>10</v>
      </c>
      <c r="C2268" s="173" t="s">
        <v>16</v>
      </c>
      <c r="D2268" s="173" t="s">
        <v>23</v>
      </c>
      <c r="E2268" s="173" t="s">
        <v>24</v>
      </c>
      <c r="F2268" s="173" t="s">
        <v>16</v>
      </c>
      <c r="G2268" s="87" t="b">
        <v>1</v>
      </c>
      <c r="H2268" s="87" t="b">
        <v>0</v>
      </c>
      <c r="I2268" s="87" t="b">
        <v>0</v>
      </c>
      <c r="J2268" s="173" t="s">
        <v>463</v>
      </c>
      <c r="K2268" s="174">
        <v>61599908000158</v>
      </c>
      <c r="L2268" s="173" t="s">
        <v>631</v>
      </c>
      <c r="M2268" s="173" t="s">
        <v>29</v>
      </c>
      <c r="N2268" s="173" t="s">
        <v>19</v>
      </c>
      <c r="O2268" s="87">
        <v>64</v>
      </c>
      <c r="P2268" s="173" t="s">
        <v>25</v>
      </c>
      <c r="Q2268" s="1" t="s">
        <v>1344</v>
      </c>
      <c r="R2268" s="175">
        <v>15</v>
      </c>
      <c r="S2268">
        <v>15</v>
      </c>
    </row>
    <row r="2269" spans="1:19" x14ac:dyDescent="0.25">
      <c r="A2269" s="87">
        <v>2019</v>
      </c>
      <c r="B2269" s="87">
        <v>10</v>
      </c>
      <c r="C2269" s="173" t="s">
        <v>16</v>
      </c>
      <c r="D2269" s="173" t="s">
        <v>23</v>
      </c>
      <c r="E2269" s="173" t="s">
        <v>24</v>
      </c>
      <c r="F2269" s="173" t="s">
        <v>16</v>
      </c>
      <c r="G2269" s="87" t="b">
        <v>1</v>
      </c>
      <c r="H2269" s="87" t="b">
        <v>0</v>
      </c>
      <c r="I2269" s="87" t="b">
        <v>0</v>
      </c>
      <c r="J2269" s="173" t="s">
        <v>464</v>
      </c>
      <c r="K2269" s="174">
        <v>62779145000190</v>
      </c>
      <c r="L2269" s="173" t="s">
        <v>634</v>
      </c>
      <c r="M2269" s="173" t="s">
        <v>29</v>
      </c>
      <c r="N2269" s="173" t="s">
        <v>19</v>
      </c>
      <c r="O2269" s="87">
        <v>64</v>
      </c>
      <c r="P2269" s="173" t="s">
        <v>25</v>
      </c>
      <c r="Q2269" s="1" t="s">
        <v>1344</v>
      </c>
      <c r="R2269" s="175">
        <v>4</v>
      </c>
      <c r="S2269">
        <v>4</v>
      </c>
    </row>
    <row r="2270" spans="1:19" x14ac:dyDescent="0.25">
      <c r="A2270" s="87">
        <v>2019</v>
      </c>
      <c r="B2270" s="87">
        <v>10</v>
      </c>
      <c r="C2270" s="173" t="s">
        <v>16</v>
      </c>
      <c r="D2270" s="173" t="s">
        <v>23</v>
      </c>
      <c r="E2270" s="173" t="s">
        <v>24</v>
      </c>
      <c r="F2270" s="173" t="s">
        <v>16</v>
      </c>
      <c r="G2270" s="87" t="b">
        <v>1</v>
      </c>
      <c r="H2270" s="87" t="b">
        <v>0</v>
      </c>
      <c r="I2270" s="87" t="b">
        <v>0</v>
      </c>
      <c r="J2270" s="173" t="s">
        <v>463</v>
      </c>
      <c r="K2270" s="174">
        <v>62779145000190</v>
      </c>
      <c r="L2270" s="173" t="s">
        <v>634</v>
      </c>
      <c r="M2270" s="173" t="s">
        <v>29</v>
      </c>
      <c r="N2270" s="173" t="s">
        <v>19</v>
      </c>
      <c r="O2270" s="87">
        <v>64</v>
      </c>
      <c r="P2270" s="173" t="s">
        <v>25</v>
      </c>
      <c r="Q2270" s="1" t="s">
        <v>1344</v>
      </c>
      <c r="R2270" s="175">
        <v>6</v>
      </c>
      <c r="S2270">
        <v>6</v>
      </c>
    </row>
    <row r="2271" spans="1:19" x14ac:dyDescent="0.25">
      <c r="A2271" s="87">
        <v>2019</v>
      </c>
      <c r="B2271" s="87">
        <v>10</v>
      </c>
      <c r="C2271" s="173" t="s">
        <v>16</v>
      </c>
      <c r="D2271" s="173" t="s">
        <v>23</v>
      </c>
      <c r="E2271" s="173" t="s">
        <v>24</v>
      </c>
      <c r="F2271" s="173" t="s">
        <v>16</v>
      </c>
      <c r="G2271" s="87" t="b">
        <v>1</v>
      </c>
      <c r="H2271" s="87" t="b">
        <v>0</v>
      </c>
      <c r="I2271" s="87" t="b">
        <v>0</v>
      </c>
      <c r="J2271" s="173" t="s">
        <v>468</v>
      </c>
      <c r="K2271" s="174">
        <v>70524145000177</v>
      </c>
      <c r="L2271" s="173" t="s">
        <v>925</v>
      </c>
      <c r="M2271" s="173" t="s">
        <v>772</v>
      </c>
      <c r="N2271" s="173" t="s">
        <v>69</v>
      </c>
      <c r="O2271" s="87">
        <v>64</v>
      </c>
      <c r="P2271" s="173" t="s">
        <v>25</v>
      </c>
      <c r="Q2271" s="1" t="s">
        <v>1344</v>
      </c>
      <c r="R2271" s="175">
        <v>2</v>
      </c>
      <c r="S2271">
        <v>2</v>
      </c>
    </row>
    <row r="2272" spans="1:19" x14ac:dyDescent="0.25">
      <c r="A2272" s="87">
        <v>2019</v>
      </c>
      <c r="B2272" s="87">
        <v>10</v>
      </c>
      <c r="C2272" s="173" t="s">
        <v>16</v>
      </c>
      <c r="D2272" s="173" t="s">
        <v>23</v>
      </c>
      <c r="E2272" s="173" t="s">
        <v>24</v>
      </c>
      <c r="F2272" s="173" t="s">
        <v>16</v>
      </c>
      <c r="G2272" s="87" t="b">
        <v>1</v>
      </c>
      <c r="H2272" s="87" t="b">
        <v>0</v>
      </c>
      <c r="I2272" s="87" t="b">
        <v>0</v>
      </c>
      <c r="J2272" s="173" t="s">
        <v>478</v>
      </c>
      <c r="K2272" s="174">
        <v>72101124000506</v>
      </c>
      <c r="L2272" s="173" t="s">
        <v>1126</v>
      </c>
      <c r="M2272" s="173" t="s">
        <v>131</v>
      </c>
      <c r="N2272" s="173" t="s">
        <v>61</v>
      </c>
      <c r="O2272" s="87">
        <v>70</v>
      </c>
      <c r="P2272" s="173" t="s">
        <v>20</v>
      </c>
      <c r="Q2272" s="1" t="s">
        <v>1338</v>
      </c>
      <c r="R2272" s="175">
        <v>25</v>
      </c>
      <c r="S2272">
        <v>5</v>
      </c>
    </row>
    <row r="2273" spans="1:19" x14ac:dyDescent="0.25">
      <c r="A2273" s="87">
        <v>2019</v>
      </c>
      <c r="B2273" s="87">
        <v>10</v>
      </c>
      <c r="C2273" s="173" t="s">
        <v>16</v>
      </c>
      <c r="D2273" s="173" t="s">
        <v>23</v>
      </c>
      <c r="E2273" s="173" t="s">
        <v>24</v>
      </c>
      <c r="F2273" s="173" t="s">
        <v>16</v>
      </c>
      <c r="G2273" s="87" t="b">
        <v>1</v>
      </c>
      <c r="H2273" s="87" t="b">
        <v>0</v>
      </c>
      <c r="I2273" s="87" t="b">
        <v>0</v>
      </c>
      <c r="J2273" s="173" t="s">
        <v>451</v>
      </c>
      <c r="K2273" s="174">
        <v>72101124000506</v>
      </c>
      <c r="L2273" s="173" t="s">
        <v>1126</v>
      </c>
      <c r="M2273" s="173" t="s">
        <v>131</v>
      </c>
      <c r="N2273" s="173" t="s">
        <v>61</v>
      </c>
      <c r="O2273" s="87">
        <v>70</v>
      </c>
      <c r="P2273" s="173" t="s">
        <v>20</v>
      </c>
      <c r="Q2273" s="1" t="s">
        <v>1338</v>
      </c>
      <c r="R2273" s="175">
        <v>680</v>
      </c>
      <c r="S2273">
        <v>136</v>
      </c>
    </row>
    <row r="2274" spans="1:19" x14ac:dyDescent="0.25">
      <c r="A2274" s="87">
        <v>2019</v>
      </c>
      <c r="B2274" s="87">
        <v>10</v>
      </c>
      <c r="C2274" s="173" t="s">
        <v>16</v>
      </c>
      <c r="D2274" s="173" t="s">
        <v>23</v>
      </c>
      <c r="E2274" s="173" t="s">
        <v>24</v>
      </c>
      <c r="F2274" s="173" t="s">
        <v>16</v>
      </c>
      <c r="G2274" s="87" t="b">
        <v>1</v>
      </c>
      <c r="H2274" s="87" t="b">
        <v>0</v>
      </c>
      <c r="I2274" s="87" t="b">
        <v>0</v>
      </c>
      <c r="J2274" s="173" t="s">
        <v>451</v>
      </c>
      <c r="K2274" s="174">
        <v>72101124000506</v>
      </c>
      <c r="L2274" s="173" t="s">
        <v>1126</v>
      </c>
      <c r="M2274" s="173" t="s">
        <v>131</v>
      </c>
      <c r="N2274" s="173" t="s">
        <v>61</v>
      </c>
      <c r="O2274" s="87">
        <v>73</v>
      </c>
      <c r="P2274" s="173" t="s">
        <v>26</v>
      </c>
      <c r="Q2274" s="1" t="s">
        <v>1339</v>
      </c>
      <c r="R2274" s="175">
        <v>6</v>
      </c>
      <c r="S2274">
        <v>3</v>
      </c>
    </row>
    <row r="2275" spans="1:19" x14ac:dyDescent="0.25">
      <c r="A2275" s="87">
        <v>2019</v>
      </c>
      <c r="B2275" s="87">
        <v>10</v>
      </c>
      <c r="C2275" s="173" t="s">
        <v>16</v>
      </c>
      <c r="D2275" s="173" t="s">
        <v>23</v>
      </c>
      <c r="E2275" s="173" t="s">
        <v>24</v>
      </c>
      <c r="F2275" s="173" t="s">
        <v>16</v>
      </c>
      <c r="G2275" s="87" t="b">
        <v>1</v>
      </c>
      <c r="H2275" s="87" t="b">
        <v>0</v>
      </c>
      <c r="I2275" s="87" t="b">
        <v>0</v>
      </c>
      <c r="J2275" s="173" t="s">
        <v>451</v>
      </c>
      <c r="K2275" s="174">
        <v>72101124000506</v>
      </c>
      <c r="L2275" s="173" t="s">
        <v>1126</v>
      </c>
      <c r="M2275" s="173" t="s">
        <v>131</v>
      </c>
      <c r="N2275" s="173" t="s">
        <v>61</v>
      </c>
      <c r="O2275" s="87">
        <v>73</v>
      </c>
      <c r="P2275" s="173" t="s">
        <v>26</v>
      </c>
      <c r="Q2275" s="1" t="s">
        <v>1342</v>
      </c>
      <c r="R2275" s="175">
        <v>124</v>
      </c>
      <c r="S2275">
        <v>31</v>
      </c>
    </row>
    <row r="2276" spans="1:19" x14ac:dyDescent="0.25">
      <c r="A2276" s="87">
        <v>2019</v>
      </c>
      <c r="B2276" s="87">
        <v>10</v>
      </c>
      <c r="C2276" s="173" t="s">
        <v>16</v>
      </c>
      <c r="D2276" s="173" t="s">
        <v>23</v>
      </c>
      <c r="E2276" s="173" t="s">
        <v>24</v>
      </c>
      <c r="F2276" s="173" t="s">
        <v>16</v>
      </c>
      <c r="G2276" s="87" t="b">
        <v>1</v>
      </c>
      <c r="H2276" s="87" t="b">
        <v>0</v>
      </c>
      <c r="I2276" s="87" t="b">
        <v>0</v>
      </c>
      <c r="J2276" s="173" t="s">
        <v>451</v>
      </c>
      <c r="K2276" s="174">
        <v>72101124000506</v>
      </c>
      <c r="L2276" s="173" t="s">
        <v>1126</v>
      </c>
      <c r="M2276" s="173" t="s">
        <v>131</v>
      </c>
      <c r="N2276" s="173" t="s">
        <v>61</v>
      </c>
      <c r="O2276" s="87">
        <v>73</v>
      </c>
      <c r="P2276" s="173" t="s">
        <v>26</v>
      </c>
      <c r="Q2276" s="1" t="s">
        <v>1340</v>
      </c>
      <c r="R2276" s="175">
        <v>3</v>
      </c>
      <c r="S2276">
        <v>3</v>
      </c>
    </row>
    <row r="2277" spans="1:19" x14ac:dyDescent="0.25">
      <c r="A2277" s="87">
        <v>2019</v>
      </c>
      <c r="B2277" s="87">
        <v>10</v>
      </c>
      <c r="C2277" s="173" t="s">
        <v>16</v>
      </c>
      <c r="D2277" s="173" t="s">
        <v>23</v>
      </c>
      <c r="E2277" s="173" t="s">
        <v>24</v>
      </c>
      <c r="F2277" s="173" t="s">
        <v>16</v>
      </c>
      <c r="G2277" s="87" t="b">
        <v>1</v>
      </c>
      <c r="H2277" s="87" t="b">
        <v>0</v>
      </c>
      <c r="I2277" s="87" t="b">
        <v>0</v>
      </c>
      <c r="J2277" s="173" t="s">
        <v>452</v>
      </c>
      <c r="K2277" s="174">
        <v>73863342000109</v>
      </c>
      <c r="L2277" s="173" t="s">
        <v>978</v>
      </c>
      <c r="M2277" s="173" t="s">
        <v>121</v>
      </c>
      <c r="N2277" s="173" t="s">
        <v>57</v>
      </c>
      <c r="O2277" s="87">
        <v>70</v>
      </c>
      <c r="P2277" s="173" t="s">
        <v>20</v>
      </c>
      <c r="Q2277" s="1" t="s">
        <v>1345</v>
      </c>
      <c r="R2277" s="175">
        <v>20</v>
      </c>
      <c r="S2277">
        <v>2</v>
      </c>
    </row>
    <row r="2278" spans="1:19" x14ac:dyDescent="0.25">
      <c r="A2278" s="87">
        <v>2019</v>
      </c>
      <c r="B2278" s="87">
        <v>10</v>
      </c>
      <c r="C2278" s="173" t="s">
        <v>16</v>
      </c>
      <c r="D2278" s="173" t="s">
        <v>23</v>
      </c>
      <c r="E2278" s="173" t="s">
        <v>24</v>
      </c>
      <c r="F2278" s="173" t="s">
        <v>16</v>
      </c>
      <c r="G2278" s="87" t="b">
        <v>1</v>
      </c>
      <c r="H2278" s="87" t="b">
        <v>0</v>
      </c>
      <c r="I2278" s="87" t="b">
        <v>0</v>
      </c>
      <c r="J2278" s="173" t="s">
        <v>464</v>
      </c>
      <c r="K2278" s="174">
        <v>74031865000151</v>
      </c>
      <c r="L2278" s="173" t="s">
        <v>926</v>
      </c>
      <c r="M2278" s="173" t="s">
        <v>76</v>
      </c>
      <c r="N2278" s="173" t="s">
        <v>77</v>
      </c>
      <c r="O2278" s="87">
        <v>62</v>
      </c>
      <c r="P2278" s="173" t="s">
        <v>27</v>
      </c>
      <c r="Q2278" s="1" t="s">
        <v>1343</v>
      </c>
      <c r="R2278" s="175">
        <v>428</v>
      </c>
      <c r="S2278">
        <v>428</v>
      </c>
    </row>
    <row r="2279" spans="1:19" x14ac:dyDescent="0.25">
      <c r="A2279" s="87">
        <v>2019</v>
      </c>
      <c r="B2279" s="87">
        <v>10</v>
      </c>
      <c r="C2279" s="173" t="s">
        <v>16</v>
      </c>
      <c r="D2279" s="173" t="s">
        <v>23</v>
      </c>
      <c r="E2279" s="173" t="s">
        <v>24</v>
      </c>
      <c r="F2279" s="173" t="s">
        <v>16</v>
      </c>
      <c r="G2279" s="87" t="b">
        <v>1</v>
      </c>
      <c r="H2279" s="87" t="b">
        <v>0</v>
      </c>
      <c r="I2279" s="87" t="b">
        <v>0</v>
      </c>
      <c r="J2279" s="173" t="s">
        <v>470</v>
      </c>
      <c r="K2279" s="174">
        <v>75055772002254</v>
      </c>
      <c r="L2279" s="173" t="s">
        <v>979</v>
      </c>
      <c r="M2279" s="173" t="s">
        <v>94</v>
      </c>
      <c r="N2279" s="173" t="s">
        <v>57</v>
      </c>
      <c r="O2279" s="87">
        <v>73</v>
      </c>
      <c r="P2279" s="173" t="s">
        <v>26</v>
      </c>
      <c r="Q2279" s="1" t="s">
        <v>1339</v>
      </c>
      <c r="R2279" s="175">
        <v>2</v>
      </c>
      <c r="S2279">
        <v>1</v>
      </c>
    </row>
    <row r="2280" spans="1:19" x14ac:dyDescent="0.25">
      <c r="A2280" s="87">
        <v>2019</v>
      </c>
      <c r="B2280" s="87">
        <v>10</v>
      </c>
      <c r="C2280" s="173" t="s">
        <v>16</v>
      </c>
      <c r="D2280" s="173" t="s">
        <v>23</v>
      </c>
      <c r="E2280" s="173" t="s">
        <v>24</v>
      </c>
      <c r="F2280" s="173" t="s">
        <v>16</v>
      </c>
      <c r="G2280" s="87" t="b">
        <v>1</v>
      </c>
      <c r="H2280" s="87" t="b">
        <v>0</v>
      </c>
      <c r="I2280" s="87" t="b">
        <v>0</v>
      </c>
      <c r="J2280" s="173" t="s">
        <v>470</v>
      </c>
      <c r="K2280" s="174">
        <v>75055772002254</v>
      </c>
      <c r="L2280" s="173" t="s">
        <v>979</v>
      </c>
      <c r="M2280" s="173" t="s">
        <v>94</v>
      </c>
      <c r="N2280" s="173" t="s">
        <v>57</v>
      </c>
      <c r="O2280" s="87">
        <v>73</v>
      </c>
      <c r="P2280" s="173" t="s">
        <v>26</v>
      </c>
      <c r="Q2280" s="1" t="s">
        <v>1342</v>
      </c>
      <c r="R2280" s="175">
        <v>4</v>
      </c>
      <c r="S2280">
        <v>1</v>
      </c>
    </row>
    <row r="2281" spans="1:19" x14ac:dyDescent="0.25">
      <c r="A2281" s="87">
        <v>2019</v>
      </c>
      <c r="B2281" s="87">
        <v>10</v>
      </c>
      <c r="C2281" s="173" t="s">
        <v>16</v>
      </c>
      <c r="D2281" s="173" t="s">
        <v>23</v>
      </c>
      <c r="E2281" s="173" t="s">
        <v>24</v>
      </c>
      <c r="F2281" s="173" t="s">
        <v>16</v>
      </c>
      <c r="G2281" s="87" t="b">
        <v>1</v>
      </c>
      <c r="H2281" s="87" t="b">
        <v>0</v>
      </c>
      <c r="I2281" s="87" t="b">
        <v>0</v>
      </c>
      <c r="J2281" s="173" t="s">
        <v>470</v>
      </c>
      <c r="K2281" s="174">
        <v>75055772002254</v>
      </c>
      <c r="L2281" s="173" t="s">
        <v>979</v>
      </c>
      <c r="M2281" s="173" t="s">
        <v>94</v>
      </c>
      <c r="N2281" s="173" t="s">
        <v>57</v>
      </c>
      <c r="O2281" s="87">
        <v>73</v>
      </c>
      <c r="P2281" s="173" t="s">
        <v>26</v>
      </c>
      <c r="Q2281" s="1" t="s">
        <v>1340</v>
      </c>
      <c r="R2281" s="175">
        <v>1</v>
      </c>
      <c r="S2281">
        <v>1</v>
      </c>
    </row>
    <row r="2282" spans="1:19" x14ac:dyDescent="0.25">
      <c r="A2282" s="87">
        <v>2019</v>
      </c>
      <c r="B2282" s="87">
        <v>10</v>
      </c>
      <c r="C2282" s="173" t="s">
        <v>16</v>
      </c>
      <c r="D2282" s="173" t="s">
        <v>23</v>
      </c>
      <c r="E2282" s="173" t="s">
        <v>24</v>
      </c>
      <c r="F2282" s="173" t="s">
        <v>16</v>
      </c>
      <c r="G2282" s="87" t="b">
        <v>1</v>
      </c>
      <c r="H2282" s="87" t="b">
        <v>0</v>
      </c>
      <c r="I2282" s="87" t="b">
        <v>0</v>
      </c>
      <c r="J2282" s="173" t="s">
        <v>452</v>
      </c>
      <c r="K2282" s="174">
        <v>75095679000220</v>
      </c>
      <c r="L2282" s="173" t="s">
        <v>980</v>
      </c>
      <c r="M2282" s="173" t="s">
        <v>94</v>
      </c>
      <c r="N2282" s="173" t="s">
        <v>57</v>
      </c>
      <c r="O2282" s="87">
        <v>66</v>
      </c>
      <c r="P2282" s="173" t="s">
        <v>28</v>
      </c>
      <c r="Q2282" s="1" t="s">
        <v>1341</v>
      </c>
      <c r="R2282" s="175">
        <v>48</v>
      </c>
      <c r="S2282">
        <v>48</v>
      </c>
    </row>
    <row r="2283" spans="1:19" x14ac:dyDescent="0.25">
      <c r="A2283" s="87">
        <v>2019</v>
      </c>
      <c r="B2283" s="87">
        <v>10</v>
      </c>
      <c r="C2283" s="173" t="s">
        <v>16</v>
      </c>
      <c r="D2283" s="173" t="s">
        <v>23</v>
      </c>
      <c r="E2283" s="173" t="s">
        <v>24</v>
      </c>
      <c r="F2283" s="173" t="s">
        <v>16</v>
      </c>
      <c r="G2283" s="87" t="b">
        <v>1</v>
      </c>
      <c r="H2283" s="87" t="b">
        <v>0</v>
      </c>
      <c r="I2283" s="87" t="b">
        <v>0</v>
      </c>
      <c r="J2283" s="173" t="s">
        <v>450</v>
      </c>
      <c r="K2283" s="174">
        <v>75222224001895</v>
      </c>
      <c r="L2283" s="173" t="s">
        <v>981</v>
      </c>
      <c r="M2283" s="173" t="s">
        <v>121</v>
      </c>
      <c r="N2283" s="173" t="s">
        <v>57</v>
      </c>
      <c r="O2283" s="87">
        <v>70</v>
      </c>
      <c r="P2283" s="173" t="s">
        <v>20</v>
      </c>
      <c r="Q2283" s="1" t="s">
        <v>1338</v>
      </c>
      <c r="R2283" s="175">
        <v>630</v>
      </c>
      <c r="S2283">
        <v>126</v>
      </c>
    </row>
    <row r="2284" spans="1:19" x14ac:dyDescent="0.25">
      <c r="A2284" s="87">
        <v>2019</v>
      </c>
      <c r="B2284" s="87">
        <v>10</v>
      </c>
      <c r="C2284" s="173" t="s">
        <v>16</v>
      </c>
      <c r="D2284" s="173" t="s">
        <v>23</v>
      </c>
      <c r="E2284" s="173" t="s">
        <v>24</v>
      </c>
      <c r="F2284" s="173" t="s">
        <v>16</v>
      </c>
      <c r="G2284" s="87" t="b">
        <v>1</v>
      </c>
      <c r="H2284" s="87" t="b">
        <v>0</v>
      </c>
      <c r="I2284" s="87" t="b">
        <v>0</v>
      </c>
      <c r="J2284" s="173" t="s">
        <v>452</v>
      </c>
      <c r="K2284" s="174">
        <v>76498013000102</v>
      </c>
      <c r="L2284" s="173" t="s">
        <v>982</v>
      </c>
      <c r="M2284" s="173" t="s">
        <v>94</v>
      </c>
      <c r="N2284" s="173" t="s">
        <v>57</v>
      </c>
      <c r="O2284" s="87">
        <v>70</v>
      </c>
      <c r="P2284" s="173" t="s">
        <v>20</v>
      </c>
      <c r="Q2284" s="1" t="s">
        <v>1338</v>
      </c>
      <c r="R2284" s="175">
        <v>175</v>
      </c>
      <c r="S2284">
        <v>35</v>
      </c>
    </row>
    <row r="2285" spans="1:19" x14ac:dyDescent="0.25">
      <c r="A2285" s="87">
        <v>2019</v>
      </c>
      <c r="B2285" s="87">
        <v>10</v>
      </c>
      <c r="C2285" s="173" t="s">
        <v>16</v>
      </c>
      <c r="D2285" s="173" t="s">
        <v>23</v>
      </c>
      <c r="E2285" s="173" t="s">
        <v>24</v>
      </c>
      <c r="F2285" s="173" t="s">
        <v>16</v>
      </c>
      <c r="G2285" s="87" t="b">
        <v>1</v>
      </c>
      <c r="H2285" s="87" t="b">
        <v>0</v>
      </c>
      <c r="I2285" s="87" t="b">
        <v>0</v>
      </c>
      <c r="J2285" s="173" t="s">
        <v>452</v>
      </c>
      <c r="K2285" s="174">
        <v>76555069000143</v>
      </c>
      <c r="L2285" s="173" t="s">
        <v>983</v>
      </c>
      <c r="M2285" s="173" t="s">
        <v>94</v>
      </c>
      <c r="N2285" s="173" t="s">
        <v>57</v>
      </c>
      <c r="O2285" s="87">
        <v>62</v>
      </c>
      <c r="P2285" s="173" t="s">
        <v>27</v>
      </c>
      <c r="Q2285" s="1" t="s">
        <v>1343</v>
      </c>
      <c r="R2285" s="175">
        <v>3</v>
      </c>
      <c r="S2285">
        <v>3</v>
      </c>
    </row>
    <row r="2286" spans="1:19" x14ac:dyDescent="0.25">
      <c r="A2286" s="87">
        <v>2019</v>
      </c>
      <c r="B2286" s="87">
        <v>10</v>
      </c>
      <c r="C2286" s="173" t="s">
        <v>16</v>
      </c>
      <c r="D2286" s="173" t="s">
        <v>23</v>
      </c>
      <c r="E2286" s="173" t="s">
        <v>24</v>
      </c>
      <c r="F2286" s="173" t="s">
        <v>16</v>
      </c>
      <c r="G2286" s="87" t="b">
        <v>1</v>
      </c>
      <c r="H2286" s="87" t="b">
        <v>0</v>
      </c>
      <c r="I2286" s="87" t="b">
        <v>0</v>
      </c>
      <c r="J2286" s="173" t="s">
        <v>452</v>
      </c>
      <c r="K2286" s="174">
        <v>76555069000143</v>
      </c>
      <c r="L2286" s="173" t="s">
        <v>983</v>
      </c>
      <c r="M2286" s="173" t="s">
        <v>94</v>
      </c>
      <c r="N2286" s="173" t="s">
        <v>57</v>
      </c>
      <c r="O2286" s="87">
        <v>64</v>
      </c>
      <c r="P2286" s="173" t="s">
        <v>25</v>
      </c>
      <c r="Q2286" s="1" t="s">
        <v>1344</v>
      </c>
      <c r="R2286" s="175">
        <v>2</v>
      </c>
      <c r="S2286">
        <v>2</v>
      </c>
    </row>
    <row r="2287" spans="1:19" x14ac:dyDescent="0.25">
      <c r="A2287" s="87">
        <v>2019</v>
      </c>
      <c r="B2287" s="87">
        <v>10</v>
      </c>
      <c r="C2287" s="173" t="s">
        <v>16</v>
      </c>
      <c r="D2287" s="173" t="s">
        <v>23</v>
      </c>
      <c r="E2287" s="173" t="s">
        <v>24</v>
      </c>
      <c r="F2287" s="173" t="s">
        <v>16</v>
      </c>
      <c r="G2287" s="87" t="b">
        <v>1</v>
      </c>
      <c r="H2287" s="87" t="b">
        <v>0</v>
      </c>
      <c r="I2287" s="87" t="b">
        <v>0</v>
      </c>
      <c r="J2287" s="173" t="s">
        <v>452</v>
      </c>
      <c r="K2287" s="174">
        <v>76555069000143</v>
      </c>
      <c r="L2287" s="173" t="s">
        <v>983</v>
      </c>
      <c r="M2287" s="173" t="s">
        <v>94</v>
      </c>
      <c r="N2287" s="173" t="s">
        <v>57</v>
      </c>
      <c r="O2287" s="87">
        <v>70</v>
      </c>
      <c r="P2287" s="173" t="s">
        <v>20</v>
      </c>
      <c r="Q2287" s="1" t="s">
        <v>1338</v>
      </c>
      <c r="R2287" s="175">
        <v>55</v>
      </c>
      <c r="S2287">
        <v>11</v>
      </c>
    </row>
    <row r="2288" spans="1:19" x14ac:dyDescent="0.25">
      <c r="A2288" s="87">
        <v>2019</v>
      </c>
      <c r="B2288" s="87">
        <v>10</v>
      </c>
      <c r="C2288" s="173" t="s">
        <v>16</v>
      </c>
      <c r="D2288" s="173" t="s">
        <v>23</v>
      </c>
      <c r="E2288" s="173" t="s">
        <v>24</v>
      </c>
      <c r="F2288" s="173" t="s">
        <v>16</v>
      </c>
      <c r="G2288" s="87" t="b">
        <v>1</v>
      </c>
      <c r="H2288" s="87" t="b">
        <v>0</v>
      </c>
      <c r="I2288" s="87" t="b">
        <v>0</v>
      </c>
      <c r="J2288" s="173" t="s">
        <v>506</v>
      </c>
      <c r="K2288" s="174">
        <v>76591569000130</v>
      </c>
      <c r="L2288" s="173" t="s">
        <v>985</v>
      </c>
      <c r="M2288" s="173" t="s">
        <v>94</v>
      </c>
      <c r="N2288" s="173" t="s">
        <v>57</v>
      </c>
      <c r="O2288" s="87">
        <v>70</v>
      </c>
      <c r="P2288" s="173" t="s">
        <v>20</v>
      </c>
      <c r="Q2288" s="1" t="s">
        <v>1338</v>
      </c>
      <c r="R2288" s="175">
        <v>500</v>
      </c>
      <c r="S2288">
        <v>100</v>
      </c>
    </row>
    <row r="2289" spans="1:19" x14ac:dyDescent="0.25">
      <c r="A2289" s="87">
        <v>2019</v>
      </c>
      <c r="B2289" s="87">
        <v>10</v>
      </c>
      <c r="C2289" s="173" t="s">
        <v>16</v>
      </c>
      <c r="D2289" s="173" t="s">
        <v>23</v>
      </c>
      <c r="E2289" s="173" t="s">
        <v>24</v>
      </c>
      <c r="F2289" s="173" t="s">
        <v>16</v>
      </c>
      <c r="G2289" s="87" t="b">
        <v>1</v>
      </c>
      <c r="H2289" s="87" t="b">
        <v>0</v>
      </c>
      <c r="I2289" s="87" t="b">
        <v>0</v>
      </c>
      <c r="J2289" s="173" t="s">
        <v>452</v>
      </c>
      <c r="K2289" s="174">
        <v>76659820002367</v>
      </c>
      <c r="L2289" s="173" t="s">
        <v>986</v>
      </c>
      <c r="M2289" s="173" t="s">
        <v>94</v>
      </c>
      <c r="N2289" s="173" t="s">
        <v>57</v>
      </c>
      <c r="O2289" s="87">
        <v>70</v>
      </c>
      <c r="P2289" s="173" t="s">
        <v>20</v>
      </c>
      <c r="Q2289" s="1" t="s">
        <v>1338</v>
      </c>
      <c r="R2289" s="175">
        <v>245</v>
      </c>
      <c r="S2289">
        <v>49</v>
      </c>
    </row>
    <row r="2290" spans="1:19" x14ac:dyDescent="0.25">
      <c r="A2290" s="87">
        <v>2019</v>
      </c>
      <c r="B2290" s="87">
        <v>10</v>
      </c>
      <c r="C2290" s="173" t="s">
        <v>16</v>
      </c>
      <c r="D2290" s="173" t="s">
        <v>23</v>
      </c>
      <c r="E2290" s="173" t="s">
        <v>24</v>
      </c>
      <c r="F2290" s="173" t="s">
        <v>16</v>
      </c>
      <c r="G2290" s="87" t="b">
        <v>1</v>
      </c>
      <c r="H2290" s="87" t="b">
        <v>0</v>
      </c>
      <c r="I2290" s="87" t="b">
        <v>0</v>
      </c>
      <c r="J2290" s="173" t="s">
        <v>492</v>
      </c>
      <c r="K2290" s="174">
        <v>77858611001414</v>
      </c>
      <c r="L2290" s="173" t="s">
        <v>991</v>
      </c>
      <c r="M2290" s="173" t="s">
        <v>969</v>
      </c>
      <c r="N2290" s="173" t="s">
        <v>68</v>
      </c>
      <c r="O2290" s="87">
        <v>70</v>
      </c>
      <c r="P2290" s="173" t="s">
        <v>20</v>
      </c>
      <c r="Q2290" s="1" t="s">
        <v>1338</v>
      </c>
      <c r="R2290" s="175">
        <v>140</v>
      </c>
      <c r="S2290">
        <v>28</v>
      </c>
    </row>
    <row r="2291" spans="1:19" x14ac:dyDescent="0.25">
      <c r="A2291" s="87">
        <v>2019</v>
      </c>
      <c r="B2291" s="87">
        <v>10</v>
      </c>
      <c r="C2291" s="173" t="s">
        <v>16</v>
      </c>
      <c r="D2291" s="173" t="s">
        <v>23</v>
      </c>
      <c r="E2291" s="173" t="s">
        <v>24</v>
      </c>
      <c r="F2291" s="173" t="s">
        <v>16</v>
      </c>
      <c r="G2291" s="87" t="b">
        <v>1</v>
      </c>
      <c r="H2291" s="87" t="b">
        <v>0</v>
      </c>
      <c r="I2291" s="87" t="b">
        <v>0</v>
      </c>
      <c r="J2291" s="173" t="s">
        <v>451</v>
      </c>
      <c r="K2291" s="174">
        <v>77858611001414</v>
      </c>
      <c r="L2291" s="173" t="s">
        <v>991</v>
      </c>
      <c r="M2291" s="173" t="s">
        <v>969</v>
      </c>
      <c r="N2291" s="173" t="s">
        <v>68</v>
      </c>
      <c r="O2291" s="87">
        <v>70</v>
      </c>
      <c r="P2291" s="173" t="s">
        <v>20</v>
      </c>
      <c r="Q2291" s="1" t="s">
        <v>1338</v>
      </c>
      <c r="R2291" s="175">
        <v>25</v>
      </c>
      <c r="S2291">
        <v>5</v>
      </c>
    </row>
    <row r="2292" spans="1:19" x14ac:dyDescent="0.25">
      <c r="A2292" s="87">
        <v>2019</v>
      </c>
      <c r="B2292" s="87">
        <v>10</v>
      </c>
      <c r="C2292" s="173" t="s">
        <v>16</v>
      </c>
      <c r="D2292" s="173" t="s">
        <v>23</v>
      </c>
      <c r="E2292" s="173" t="s">
        <v>24</v>
      </c>
      <c r="F2292" s="173" t="s">
        <v>16</v>
      </c>
      <c r="G2292" s="87" t="b">
        <v>1</v>
      </c>
      <c r="H2292" s="87" t="b">
        <v>0</v>
      </c>
      <c r="I2292" s="87" t="b">
        <v>0</v>
      </c>
      <c r="J2292" s="173" t="s">
        <v>492</v>
      </c>
      <c r="K2292" s="174">
        <v>78614971000119</v>
      </c>
      <c r="L2292" s="173" t="s">
        <v>994</v>
      </c>
      <c r="M2292" s="173" t="s">
        <v>121</v>
      </c>
      <c r="N2292" s="173" t="s">
        <v>57</v>
      </c>
      <c r="O2292" s="87">
        <v>70</v>
      </c>
      <c r="P2292" s="173" t="s">
        <v>20</v>
      </c>
      <c r="Q2292" s="1" t="s">
        <v>1338</v>
      </c>
      <c r="R2292" s="175">
        <v>15</v>
      </c>
      <c r="S2292">
        <v>3</v>
      </c>
    </row>
    <row r="2293" spans="1:19" x14ac:dyDescent="0.25">
      <c r="A2293" s="87">
        <v>2019</v>
      </c>
      <c r="B2293" s="87">
        <v>10</v>
      </c>
      <c r="C2293" s="173" t="s">
        <v>16</v>
      </c>
      <c r="D2293" s="173" t="s">
        <v>23</v>
      </c>
      <c r="E2293" s="173" t="s">
        <v>24</v>
      </c>
      <c r="F2293" s="173" t="s">
        <v>16</v>
      </c>
      <c r="G2293" s="87" t="b">
        <v>1</v>
      </c>
      <c r="H2293" s="87" t="b">
        <v>0</v>
      </c>
      <c r="I2293" s="87" t="b">
        <v>0</v>
      </c>
      <c r="J2293" s="173" t="s">
        <v>492</v>
      </c>
      <c r="K2293" s="174">
        <v>79115762000193</v>
      </c>
      <c r="L2293" s="173" t="s">
        <v>996</v>
      </c>
      <c r="M2293" s="173" t="s">
        <v>988</v>
      </c>
      <c r="N2293" s="173" t="s">
        <v>57</v>
      </c>
      <c r="O2293" s="87">
        <v>70</v>
      </c>
      <c r="P2293" s="173" t="s">
        <v>20</v>
      </c>
      <c r="Q2293" s="1" t="s">
        <v>1338</v>
      </c>
      <c r="R2293" s="175">
        <v>50</v>
      </c>
      <c r="S2293">
        <v>10</v>
      </c>
    </row>
    <row r="2294" spans="1:19" x14ac:dyDescent="0.25">
      <c r="A2294" s="87">
        <v>2019</v>
      </c>
      <c r="B2294" s="87">
        <v>10</v>
      </c>
      <c r="C2294" s="173" t="s">
        <v>16</v>
      </c>
      <c r="D2294" s="173" t="s">
        <v>23</v>
      </c>
      <c r="E2294" s="173" t="s">
        <v>24</v>
      </c>
      <c r="F2294" s="173" t="s">
        <v>16</v>
      </c>
      <c r="G2294" s="87" t="b">
        <v>1</v>
      </c>
      <c r="H2294" s="87" t="b">
        <v>0</v>
      </c>
      <c r="I2294" s="87" t="b">
        <v>0</v>
      </c>
      <c r="J2294" s="173" t="s">
        <v>492</v>
      </c>
      <c r="K2294" s="174">
        <v>80490618000116</v>
      </c>
      <c r="L2294" s="173" t="s">
        <v>997</v>
      </c>
      <c r="M2294" s="173" t="s">
        <v>998</v>
      </c>
      <c r="N2294" s="173" t="s">
        <v>68</v>
      </c>
      <c r="O2294" s="87">
        <v>70</v>
      </c>
      <c r="P2294" s="173" t="s">
        <v>20</v>
      </c>
      <c r="Q2294" s="1" t="s">
        <v>1338</v>
      </c>
      <c r="R2294" s="175">
        <v>60</v>
      </c>
      <c r="S2294">
        <v>12</v>
      </c>
    </row>
    <row r="2295" spans="1:19" x14ac:dyDescent="0.25">
      <c r="A2295" s="87">
        <v>2019</v>
      </c>
      <c r="B2295" s="87">
        <v>10</v>
      </c>
      <c r="C2295" s="173" t="s">
        <v>16</v>
      </c>
      <c r="D2295" s="173" t="s">
        <v>23</v>
      </c>
      <c r="E2295" s="173" t="s">
        <v>24</v>
      </c>
      <c r="F2295" s="173" t="s">
        <v>16</v>
      </c>
      <c r="G2295" s="87" t="b">
        <v>1</v>
      </c>
      <c r="H2295" s="87" t="b">
        <v>0</v>
      </c>
      <c r="I2295" s="87" t="b">
        <v>0</v>
      </c>
      <c r="J2295" s="173" t="s">
        <v>449</v>
      </c>
      <c r="K2295" s="174">
        <v>80673411000187</v>
      </c>
      <c r="L2295" s="173" t="s">
        <v>999</v>
      </c>
      <c r="M2295" s="173" t="s">
        <v>930</v>
      </c>
      <c r="N2295" s="173" t="s">
        <v>68</v>
      </c>
      <c r="O2295" s="87">
        <v>66</v>
      </c>
      <c r="P2295" s="173" t="s">
        <v>28</v>
      </c>
      <c r="Q2295" s="1" t="s">
        <v>1341</v>
      </c>
      <c r="R2295" s="175">
        <v>80</v>
      </c>
      <c r="S2295">
        <v>80</v>
      </c>
    </row>
    <row r="2296" spans="1:19" x14ac:dyDescent="0.25">
      <c r="A2296" s="87">
        <v>2019</v>
      </c>
      <c r="B2296" s="87">
        <v>10</v>
      </c>
      <c r="C2296" s="173" t="s">
        <v>16</v>
      </c>
      <c r="D2296" s="173" t="s">
        <v>23</v>
      </c>
      <c r="E2296" s="173" t="s">
        <v>24</v>
      </c>
      <c r="F2296" s="173" t="s">
        <v>16</v>
      </c>
      <c r="G2296" s="87" t="b">
        <v>1</v>
      </c>
      <c r="H2296" s="87" t="b">
        <v>0</v>
      </c>
      <c r="I2296" s="87" t="b">
        <v>0</v>
      </c>
      <c r="J2296" s="173" t="s">
        <v>506</v>
      </c>
      <c r="K2296" s="174">
        <v>81715716000410</v>
      </c>
      <c r="L2296" s="173" t="s">
        <v>1003</v>
      </c>
      <c r="M2296" s="173" t="s">
        <v>1004</v>
      </c>
      <c r="N2296" s="173" t="s">
        <v>57</v>
      </c>
      <c r="O2296" s="87">
        <v>70</v>
      </c>
      <c r="P2296" s="173" t="s">
        <v>20</v>
      </c>
      <c r="Q2296" s="1" t="s">
        <v>1338</v>
      </c>
      <c r="R2296" s="175">
        <v>30</v>
      </c>
      <c r="S2296">
        <v>6</v>
      </c>
    </row>
    <row r="2297" spans="1:19" x14ac:dyDescent="0.25">
      <c r="A2297" s="87">
        <v>2019</v>
      </c>
      <c r="B2297" s="87">
        <v>10</v>
      </c>
      <c r="C2297" s="173" t="s">
        <v>16</v>
      </c>
      <c r="D2297" s="173" t="s">
        <v>23</v>
      </c>
      <c r="E2297" s="173" t="s">
        <v>24</v>
      </c>
      <c r="F2297" s="173" t="s">
        <v>16</v>
      </c>
      <c r="G2297" s="87" t="b">
        <v>1</v>
      </c>
      <c r="H2297" s="87" t="b">
        <v>0</v>
      </c>
      <c r="I2297" s="87" t="b">
        <v>0</v>
      </c>
      <c r="J2297" s="173" t="s">
        <v>470</v>
      </c>
      <c r="K2297" s="174">
        <v>82624776000651</v>
      </c>
      <c r="L2297" s="173" t="s">
        <v>1007</v>
      </c>
      <c r="M2297" s="173" t="s">
        <v>93</v>
      </c>
      <c r="N2297" s="173" t="s">
        <v>68</v>
      </c>
      <c r="O2297" s="87">
        <v>70</v>
      </c>
      <c r="P2297" s="173" t="s">
        <v>20</v>
      </c>
      <c r="Q2297" s="1" t="s">
        <v>1338</v>
      </c>
      <c r="R2297" s="175">
        <v>35</v>
      </c>
      <c r="S2297">
        <v>7</v>
      </c>
    </row>
    <row r="2298" spans="1:19" x14ac:dyDescent="0.25">
      <c r="A2298" s="87">
        <v>2019</v>
      </c>
      <c r="B2298" s="87">
        <v>10</v>
      </c>
      <c r="C2298" s="173" t="s">
        <v>16</v>
      </c>
      <c r="D2298" s="173" t="s">
        <v>23</v>
      </c>
      <c r="E2298" s="173" t="s">
        <v>24</v>
      </c>
      <c r="F2298" s="173" t="s">
        <v>16</v>
      </c>
      <c r="G2298" s="87" t="b">
        <v>1</v>
      </c>
      <c r="H2298" s="87" t="b">
        <v>0</v>
      </c>
      <c r="I2298" s="87" t="b">
        <v>0</v>
      </c>
      <c r="J2298" s="173" t="s">
        <v>449</v>
      </c>
      <c r="K2298" s="174">
        <v>83884999000106</v>
      </c>
      <c r="L2298" s="173" t="s">
        <v>1009</v>
      </c>
      <c r="M2298" s="173" t="s">
        <v>930</v>
      </c>
      <c r="N2298" s="173" t="s">
        <v>68</v>
      </c>
      <c r="O2298" s="87">
        <v>64</v>
      </c>
      <c r="P2298" s="173" t="s">
        <v>25</v>
      </c>
      <c r="Q2298" s="1" t="s">
        <v>1344</v>
      </c>
      <c r="R2298" s="175">
        <v>6</v>
      </c>
      <c r="S2298">
        <v>6</v>
      </c>
    </row>
    <row r="2299" spans="1:19" x14ac:dyDescent="0.25">
      <c r="A2299" s="87">
        <v>2019</v>
      </c>
      <c r="B2299" s="87">
        <v>10</v>
      </c>
      <c r="C2299" s="173" t="s">
        <v>16</v>
      </c>
      <c r="D2299" s="173" t="s">
        <v>23</v>
      </c>
      <c r="E2299" s="173" t="s">
        <v>24</v>
      </c>
      <c r="F2299" s="173" t="s">
        <v>16</v>
      </c>
      <c r="G2299" s="87" t="b">
        <v>1</v>
      </c>
      <c r="H2299" s="87" t="b">
        <v>0</v>
      </c>
      <c r="I2299" s="87" t="b">
        <v>0</v>
      </c>
      <c r="J2299" s="173" t="s">
        <v>449</v>
      </c>
      <c r="K2299" s="174">
        <v>83899526000425</v>
      </c>
      <c r="L2299" s="173" t="s">
        <v>1010</v>
      </c>
      <c r="M2299" s="173" t="s">
        <v>930</v>
      </c>
      <c r="N2299" s="173" t="s">
        <v>68</v>
      </c>
      <c r="O2299" s="87">
        <v>62</v>
      </c>
      <c r="P2299" s="173" t="s">
        <v>27</v>
      </c>
      <c r="Q2299" s="1" t="s">
        <v>1343</v>
      </c>
      <c r="R2299" s="175">
        <v>11</v>
      </c>
      <c r="S2299">
        <v>11</v>
      </c>
    </row>
    <row r="2300" spans="1:19" x14ac:dyDescent="0.25">
      <c r="A2300" s="87">
        <v>2019</v>
      </c>
      <c r="B2300" s="87">
        <v>10</v>
      </c>
      <c r="C2300" s="173" t="s">
        <v>16</v>
      </c>
      <c r="D2300" s="173" t="s">
        <v>23</v>
      </c>
      <c r="E2300" s="173" t="s">
        <v>24</v>
      </c>
      <c r="F2300" s="173" t="s">
        <v>16</v>
      </c>
      <c r="G2300" s="87" t="b">
        <v>1</v>
      </c>
      <c r="H2300" s="87" t="b">
        <v>0</v>
      </c>
      <c r="I2300" s="87" t="b">
        <v>0</v>
      </c>
      <c r="J2300" s="173" t="s">
        <v>460</v>
      </c>
      <c r="K2300" s="174">
        <v>84537141000138</v>
      </c>
      <c r="L2300" s="173" t="s">
        <v>1238</v>
      </c>
      <c r="M2300" s="173" t="s">
        <v>109</v>
      </c>
      <c r="N2300" s="173" t="s">
        <v>110</v>
      </c>
      <c r="O2300" s="87">
        <v>62</v>
      </c>
      <c r="P2300" s="173" t="s">
        <v>27</v>
      </c>
      <c r="Q2300" s="1" t="s">
        <v>1343</v>
      </c>
      <c r="R2300" s="175">
        <v>6</v>
      </c>
      <c r="S2300">
        <v>6</v>
      </c>
    </row>
    <row r="2301" spans="1:19" x14ac:dyDescent="0.25">
      <c r="A2301" s="87">
        <v>2019</v>
      </c>
      <c r="B2301" s="87">
        <v>10</v>
      </c>
      <c r="C2301" s="173" t="s">
        <v>16</v>
      </c>
      <c r="D2301" s="173" t="s">
        <v>23</v>
      </c>
      <c r="E2301" s="173" t="s">
        <v>24</v>
      </c>
      <c r="F2301" s="173" t="s">
        <v>16</v>
      </c>
      <c r="G2301" s="87" t="b">
        <v>1</v>
      </c>
      <c r="H2301" s="87" t="b">
        <v>0</v>
      </c>
      <c r="I2301" s="87" t="b">
        <v>0</v>
      </c>
      <c r="J2301" s="173" t="s">
        <v>470</v>
      </c>
      <c r="K2301" s="174">
        <v>85241339000809</v>
      </c>
      <c r="L2301" s="173" t="s">
        <v>1011</v>
      </c>
      <c r="M2301" s="173" t="s">
        <v>998</v>
      </c>
      <c r="N2301" s="173" t="s">
        <v>68</v>
      </c>
      <c r="O2301" s="87">
        <v>70</v>
      </c>
      <c r="P2301" s="173" t="s">
        <v>20</v>
      </c>
      <c r="Q2301" s="1" t="s">
        <v>1338</v>
      </c>
      <c r="R2301" s="175">
        <v>260</v>
      </c>
      <c r="S2301">
        <v>52</v>
      </c>
    </row>
    <row r="2302" spans="1:19" x14ac:dyDescent="0.25">
      <c r="A2302" s="87">
        <v>2019</v>
      </c>
      <c r="B2302" s="87">
        <v>10</v>
      </c>
      <c r="C2302" s="173" t="s">
        <v>16</v>
      </c>
      <c r="D2302" s="173" t="s">
        <v>23</v>
      </c>
      <c r="E2302" s="173" t="s">
        <v>24</v>
      </c>
      <c r="F2302" s="173" t="s">
        <v>16</v>
      </c>
      <c r="G2302" s="87" t="b">
        <v>1</v>
      </c>
      <c r="H2302" s="87" t="b">
        <v>0</v>
      </c>
      <c r="I2302" s="87" t="b">
        <v>0</v>
      </c>
      <c r="J2302" s="173" t="s">
        <v>492</v>
      </c>
      <c r="K2302" s="174">
        <v>85241339000809</v>
      </c>
      <c r="L2302" s="173" t="s">
        <v>1011</v>
      </c>
      <c r="M2302" s="173" t="s">
        <v>998</v>
      </c>
      <c r="N2302" s="173" t="s">
        <v>68</v>
      </c>
      <c r="O2302" s="87">
        <v>70</v>
      </c>
      <c r="P2302" s="173" t="s">
        <v>20</v>
      </c>
      <c r="Q2302" s="1" t="s">
        <v>1338</v>
      </c>
      <c r="R2302" s="175">
        <v>130</v>
      </c>
      <c r="S2302">
        <v>26</v>
      </c>
    </row>
    <row r="2303" spans="1:19" x14ac:dyDescent="0.25">
      <c r="A2303" s="87">
        <v>2019</v>
      </c>
      <c r="B2303" s="87">
        <v>10</v>
      </c>
      <c r="C2303" s="173" t="s">
        <v>16</v>
      </c>
      <c r="D2303" s="173" t="s">
        <v>23</v>
      </c>
      <c r="E2303" s="173" t="s">
        <v>24</v>
      </c>
      <c r="F2303" s="173" t="s">
        <v>16</v>
      </c>
      <c r="G2303" s="87" t="b">
        <v>1</v>
      </c>
      <c r="H2303" s="87" t="b">
        <v>0</v>
      </c>
      <c r="I2303" s="87" t="b">
        <v>0</v>
      </c>
      <c r="J2303" s="173" t="s">
        <v>449</v>
      </c>
      <c r="K2303" s="174">
        <v>85377174000392</v>
      </c>
      <c r="L2303" s="173" t="s">
        <v>1012</v>
      </c>
      <c r="M2303" s="173" t="s">
        <v>938</v>
      </c>
      <c r="N2303" s="173" t="s">
        <v>68</v>
      </c>
      <c r="O2303" s="87">
        <v>73</v>
      </c>
      <c r="P2303" s="173" t="s">
        <v>26</v>
      </c>
      <c r="Q2303" s="1" t="s">
        <v>1342</v>
      </c>
      <c r="R2303" s="175">
        <v>28</v>
      </c>
      <c r="S2303">
        <v>7</v>
      </c>
    </row>
    <row r="2304" spans="1:19" x14ac:dyDescent="0.25">
      <c r="A2304" s="87">
        <v>2019</v>
      </c>
      <c r="B2304" s="87">
        <v>10</v>
      </c>
      <c r="C2304" s="173" t="s">
        <v>16</v>
      </c>
      <c r="D2304" s="173" t="s">
        <v>23</v>
      </c>
      <c r="E2304" s="173" t="s">
        <v>24</v>
      </c>
      <c r="F2304" s="173" t="s">
        <v>16</v>
      </c>
      <c r="G2304" s="87" t="b">
        <v>1</v>
      </c>
      <c r="H2304" s="87" t="b">
        <v>0</v>
      </c>
      <c r="I2304" s="87" t="b">
        <v>0</v>
      </c>
      <c r="J2304" s="173" t="s">
        <v>481</v>
      </c>
      <c r="K2304" s="174">
        <v>85377174000392</v>
      </c>
      <c r="L2304" s="173" t="s">
        <v>1012</v>
      </c>
      <c r="M2304" s="173" t="s">
        <v>938</v>
      </c>
      <c r="N2304" s="173" t="s">
        <v>68</v>
      </c>
      <c r="O2304" s="87">
        <v>73</v>
      </c>
      <c r="P2304" s="173" t="s">
        <v>26</v>
      </c>
      <c r="Q2304" s="1" t="s">
        <v>1339</v>
      </c>
      <c r="R2304" s="175">
        <v>14</v>
      </c>
      <c r="S2304">
        <v>7</v>
      </c>
    </row>
    <row r="2305" spans="1:19" x14ac:dyDescent="0.25">
      <c r="A2305" s="87">
        <v>2019</v>
      </c>
      <c r="B2305" s="87">
        <v>10</v>
      </c>
      <c r="C2305" s="173" t="s">
        <v>16</v>
      </c>
      <c r="D2305" s="173" t="s">
        <v>23</v>
      </c>
      <c r="E2305" s="173" t="s">
        <v>24</v>
      </c>
      <c r="F2305" s="173" t="s">
        <v>16</v>
      </c>
      <c r="G2305" s="87" t="b">
        <v>1</v>
      </c>
      <c r="H2305" s="87" t="b">
        <v>0</v>
      </c>
      <c r="I2305" s="87" t="b">
        <v>0</v>
      </c>
      <c r="J2305" s="173" t="s">
        <v>449</v>
      </c>
      <c r="K2305" s="174">
        <v>87020517000120</v>
      </c>
      <c r="L2305" s="173" t="s">
        <v>1013</v>
      </c>
      <c r="M2305" s="173" t="s">
        <v>83</v>
      </c>
      <c r="N2305" s="173" t="s">
        <v>67</v>
      </c>
      <c r="O2305" s="87">
        <v>62</v>
      </c>
      <c r="P2305" s="173" t="s">
        <v>27</v>
      </c>
      <c r="Q2305" s="1" t="s">
        <v>1343</v>
      </c>
      <c r="R2305" s="175">
        <v>20</v>
      </c>
      <c r="S2305">
        <v>20</v>
      </c>
    </row>
    <row r="2306" spans="1:19" x14ac:dyDescent="0.25">
      <c r="A2306" s="87">
        <v>2019</v>
      </c>
      <c r="B2306" s="87">
        <v>10</v>
      </c>
      <c r="C2306" s="173" t="s">
        <v>16</v>
      </c>
      <c r="D2306" s="173" t="s">
        <v>23</v>
      </c>
      <c r="E2306" s="173" t="s">
        <v>24</v>
      </c>
      <c r="F2306" s="173" t="s">
        <v>16</v>
      </c>
      <c r="G2306" s="87" t="b">
        <v>1</v>
      </c>
      <c r="H2306" s="87" t="b">
        <v>0</v>
      </c>
      <c r="I2306" s="87" t="b">
        <v>0</v>
      </c>
      <c r="J2306" s="173" t="s">
        <v>1330</v>
      </c>
      <c r="K2306" s="174">
        <v>87020517000120</v>
      </c>
      <c r="L2306" s="173" t="s">
        <v>1013</v>
      </c>
      <c r="M2306" s="173" t="s">
        <v>83</v>
      </c>
      <c r="N2306" s="173" t="s">
        <v>67</v>
      </c>
      <c r="O2306" s="87">
        <v>64</v>
      </c>
      <c r="P2306" s="173" t="s">
        <v>25</v>
      </c>
      <c r="Q2306" s="1" t="s">
        <v>1344</v>
      </c>
      <c r="R2306" s="175">
        <v>15</v>
      </c>
      <c r="S2306">
        <v>15</v>
      </c>
    </row>
    <row r="2307" spans="1:19" x14ac:dyDescent="0.25">
      <c r="A2307" s="87">
        <v>2019</v>
      </c>
      <c r="B2307" s="87">
        <v>10</v>
      </c>
      <c r="C2307" s="173" t="s">
        <v>16</v>
      </c>
      <c r="D2307" s="173" t="s">
        <v>23</v>
      </c>
      <c r="E2307" s="173" t="s">
        <v>24</v>
      </c>
      <c r="F2307" s="173" t="s">
        <v>16</v>
      </c>
      <c r="G2307" s="87" t="b">
        <v>1</v>
      </c>
      <c r="H2307" s="87" t="b">
        <v>0</v>
      </c>
      <c r="I2307" s="87" t="b">
        <v>0</v>
      </c>
      <c r="J2307" s="173" t="s">
        <v>449</v>
      </c>
      <c r="K2307" s="174">
        <v>87317764001084</v>
      </c>
      <c r="L2307" s="173" t="s">
        <v>1015</v>
      </c>
      <c r="M2307" s="173" t="s">
        <v>83</v>
      </c>
      <c r="N2307" s="173" t="s">
        <v>67</v>
      </c>
      <c r="O2307" s="87">
        <v>70</v>
      </c>
      <c r="P2307" s="173" t="s">
        <v>20</v>
      </c>
      <c r="Q2307" s="1" t="s">
        <v>1345</v>
      </c>
      <c r="R2307" s="175">
        <v>560</v>
      </c>
      <c r="S2307">
        <v>56</v>
      </c>
    </row>
    <row r="2308" spans="1:19" x14ac:dyDescent="0.25">
      <c r="A2308" s="87">
        <v>2019</v>
      </c>
      <c r="B2308" s="87">
        <v>10</v>
      </c>
      <c r="C2308" s="173" t="s">
        <v>16</v>
      </c>
      <c r="D2308" s="173" t="s">
        <v>23</v>
      </c>
      <c r="E2308" s="173" t="s">
        <v>24</v>
      </c>
      <c r="F2308" s="173" t="s">
        <v>16</v>
      </c>
      <c r="G2308" s="87" t="b">
        <v>1</v>
      </c>
      <c r="H2308" s="87" t="b">
        <v>0</v>
      </c>
      <c r="I2308" s="87" t="b">
        <v>0</v>
      </c>
      <c r="J2308" s="173" t="s">
        <v>449</v>
      </c>
      <c r="K2308" s="174">
        <v>87317764001165</v>
      </c>
      <c r="L2308" s="173" t="s">
        <v>1016</v>
      </c>
      <c r="M2308" s="173" t="s">
        <v>541</v>
      </c>
      <c r="N2308" s="173" t="s">
        <v>67</v>
      </c>
      <c r="O2308" s="87">
        <v>73</v>
      </c>
      <c r="P2308" s="173" t="s">
        <v>26</v>
      </c>
      <c r="Q2308" s="1" t="s">
        <v>1340</v>
      </c>
      <c r="R2308" s="175">
        <v>3</v>
      </c>
      <c r="S2308">
        <v>3</v>
      </c>
    </row>
    <row r="2309" spans="1:19" x14ac:dyDescent="0.25">
      <c r="A2309" s="87">
        <v>2019</v>
      </c>
      <c r="B2309" s="87">
        <v>10</v>
      </c>
      <c r="C2309" s="173" t="s">
        <v>16</v>
      </c>
      <c r="D2309" s="173" t="s">
        <v>23</v>
      </c>
      <c r="E2309" s="173" t="s">
        <v>24</v>
      </c>
      <c r="F2309" s="173" t="s">
        <v>16</v>
      </c>
      <c r="G2309" s="87" t="b">
        <v>1</v>
      </c>
      <c r="H2309" s="87" t="b">
        <v>0</v>
      </c>
      <c r="I2309" s="87" t="b">
        <v>0</v>
      </c>
      <c r="J2309" s="173" t="s">
        <v>449</v>
      </c>
      <c r="K2309" s="174">
        <v>87607149000626</v>
      </c>
      <c r="L2309" s="173" t="s">
        <v>1019</v>
      </c>
      <c r="M2309" s="173" t="s">
        <v>96</v>
      </c>
      <c r="N2309" s="173" t="s">
        <v>67</v>
      </c>
      <c r="O2309" s="87">
        <v>70</v>
      </c>
      <c r="P2309" s="173" t="s">
        <v>20</v>
      </c>
      <c r="Q2309" s="1" t="s">
        <v>1345</v>
      </c>
      <c r="R2309" s="175">
        <v>160</v>
      </c>
      <c r="S2309">
        <v>16</v>
      </c>
    </row>
    <row r="2310" spans="1:19" x14ac:dyDescent="0.25">
      <c r="A2310" s="87">
        <v>2019</v>
      </c>
      <c r="B2310" s="87">
        <v>10</v>
      </c>
      <c r="C2310" s="173" t="s">
        <v>16</v>
      </c>
      <c r="D2310" s="173" t="s">
        <v>23</v>
      </c>
      <c r="E2310" s="173" t="s">
        <v>24</v>
      </c>
      <c r="F2310" s="173" t="s">
        <v>16</v>
      </c>
      <c r="G2310" s="87" t="b">
        <v>1</v>
      </c>
      <c r="H2310" s="87" t="b">
        <v>0</v>
      </c>
      <c r="I2310" s="87" t="b">
        <v>0</v>
      </c>
      <c r="J2310" s="173" t="s">
        <v>449</v>
      </c>
      <c r="K2310" s="174">
        <v>87638334000505</v>
      </c>
      <c r="L2310" s="173" t="s">
        <v>1020</v>
      </c>
      <c r="M2310" s="173" t="s">
        <v>129</v>
      </c>
      <c r="N2310" s="173" t="s">
        <v>67</v>
      </c>
      <c r="O2310" s="87">
        <v>70</v>
      </c>
      <c r="P2310" s="173" t="s">
        <v>20</v>
      </c>
      <c r="Q2310" s="1" t="s">
        <v>1345</v>
      </c>
      <c r="R2310" s="175">
        <v>10</v>
      </c>
      <c r="S2310">
        <v>1</v>
      </c>
    </row>
    <row r="2311" spans="1:19" x14ac:dyDescent="0.25">
      <c r="A2311" s="87">
        <v>2019</v>
      </c>
      <c r="B2311" s="87">
        <v>10</v>
      </c>
      <c r="C2311" s="173" t="s">
        <v>16</v>
      </c>
      <c r="D2311" s="173" t="s">
        <v>23</v>
      </c>
      <c r="E2311" s="173" t="s">
        <v>24</v>
      </c>
      <c r="F2311" s="173" t="s">
        <v>16</v>
      </c>
      <c r="G2311" s="87" t="b">
        <v>1</v>
      </c>
      <c r="H2311" s="87" t="b">
        <v>0</v>
      </c>
      <c r="I2311" s="87" t="b">
        <v>0</v>
      </c>
      <c r="J2311" s="173" t="s">
        <v>470</v>
      </c>
      <c r="K2311" s="174">
        <v>87827689002405</v>
      </c>
      <c r="L2311" s="173" t="s">
        <v>1021</v>
      </c>
      <c r="M2311" s="173" t="s">
        <v>66</v>
      </c>
      <c r="N2311" s="173" t="s">
        <v>67</v>
      </c>
      <c r="O2311" s="87">
        <v>70</v>
      </c>
      <c r="P2311" s="173" t="s">
        <v>20</v>
      </c>
      <c r="Q2311" s="1" t="s">
        <v>1338</v>
      </c>
      <c r="R2311" s="175">
        <v>90</v>
      </c>
      <c r="S2311">
        <v>18</v>
      </c>
    </row>
    <row r="2312" spans="1:19" x14ac:dyDescent="0.25">
      <c r="A2312" s="87">
        <v>2019</v>
      </c>
      <c r="B2312" s="87">
        <v>10</v>
      </c>
      <c r="C2312" s="173" t="s">
        <v>16</v>
      </c>
      <c r="D2312" s="173" t="s">
        <v>23</v>
      </c>
      <c r="E2312" s="173" t="s">
        <v>24</v>
      </c>
      <c r="F2312" s="173" t="s">
        <v>16</v>
      </c>
      <c r="G2312" s="87" t="b">
        <v>1</v>
      </c>
      <c r="H2312" s="87" t="b">
        <v>0</v>
      </c>
      <c r="I2312" s="87" t="b">
        <v>0</v>
      </c>
      <c r="J2312" s="173" t="s">
        <v>449</v>
      </c>
      <c r="K2312" s="174">
        <v>87827689002405</v>
      </c>
      <c r="L2312" s="173" t="s">
        <v>1021</v>
      </c>
      <c r="M2312" s="173" t="s">
        <v>66</v>
      </c>
      <c r="N2312" s="173" t="s">
        <v>67</v>
      </c>
      <c r="O2312" s="87">
        <v>73</v>
      </c>
      <c r="P2312" s="173" t="s">
        <v>26</v>
      </c>
      <c r="Q2312" s="1" t="s">
        <v>1339</v>
      </c>
      <c r="R2312" s="175">
        <v>30</v>
      </c>
      <c r="S2312">
        <v>15</v>
      </c>
    </row>
    <row r="2313" spans="1:19" x14ac:dyDescent="0.25">
      <c r="A2313" s="87">
        <v>2019</v>
      </c>
      <c r="B2313" s="87">
        <v>10</v>
      </c>
      <c r="C2313" s="173" t="s">
        <v>16</v>
      </c>
      <c r="D2313" s="173" t="s">
        <v>23</v>
      </c>
      <c r="E2313" s="173" t="s">
        <v>24</v>
      </c>
      <c r="F2313" s="173" t="s">
        <v>16</v>
      </c>
      <c r="G2313" s="87" t="b">
        <v>1</v>
      </c>
      <c r="H2313" s="87" t="b">
        <v>0</v>
      </c>
      <c r="I2313" s="87" t="b">
        <v>0</v>
      </c>
      <c r="J2313" s="173" t="s">
        <v>449</v>
      </c>
      <c r="K2313" s="174">
        <v>87827689002405</v>
      </c>
      <c r="L2313" s="173" t="s">
        <v>1021</v>
      </c>
      <c r="M2313" s="173" t="s">
        <v>66</v>
      </c>
      <c r="N2313" s="173" t="s">
        <v>67</v>
      </c>
      <c r="O2313" s="87">
        <v>73</v>
      </c>
      <c r="P2313" s="173" t="s">
        <v>26</v>
      </c>
      <c r="Q2313" s="1" t="s">
        <v>1342</v>
      </c>
      <c r="R2313" s="175">
        <v>192</v>
      </c>
      <c r="S2313">
        <v>48</v>
      </c>
    </row>
    <row r="2314" spans="1:19" x14ac:dyDescent="0.25">
      <c r="A2314" s="87">
        <v>2019</v>
      </c>
      <c r="B2314" s="87">
        <v>10</v>
      </c>
      <c r="C2314" s="173" t="s">
        <v>16</v>
      </c>
      <c r="D2314" s="173" t="s">
        <v>23</v>
      </c>
      <c r="E2314" s="173" t="s">
        <v>24</v>
      </c>
      <c r="F2314" s="173" t="s">
        <v>16</v>
      </c>
      <c r="G2314" s="87" t="b">
        <v>1</v>
      </c>
      <c r="H2314" s="87" t="b">
        <v>0</v>
      </c>
      <c r="I2314" s="87" t="b">
        <v>0</v>
      </c>
      <c r="J2314" s="173" t="s">
        <v>449</v>
      </c>
      <c r="K2314" s="174">
        <v>87827689002405</v>
      </c>
      <c r="L2314" s="173" t="s">
        <v>1021</v>
      </c>
      <c r="M2314" s="173" t="s">
        <v>66</v>
      </c>
      <c r="N2314" s="173" t="s">
        <v>67</v>
      </c>
      <c r="O2314" s="87">
        <v>73</v>
      </c>
      <c r="P2314" s="173" t="s">
        <v>26</v>
      </c>
      <c r="Q2314" s="1" t="s">
        <v>1340</v>
      </c>
      <c r="R2314" s="175">
        <v>4</v>
      </c>
      <c r="S2314">
        <v>4</v>
      </c>
    </row>
    <row r="2315" spans="1:19" x14ac:dyDescent="0.25">
      <c r="A2315" s="87">
        <v>2019</v>
      </c>
      <c r="B2315" s="87">
        <v>10</v>
      </c>
      <c r="C2315" s="173" t="s">
        <v>16</v>
      </c>
      <c r="D2315" s="173" t="s">
        <v>23</v>
      </c>
      <c r="E2315" s="173" t="s">
        <v>24</v>
      </c>
      <c r="F2315" s="173" t="s">
        <v>16</v>
      </c>
      <c r="G2315" s="87" t="b">
        <v>1</v>
      </c>
      <c r="H2315" s="87" t="b">
        <v>0</v>
      </c>
      <c r="I2315" s="87" t="b">
        <v>0</v>
      </c>
      <c r="J2315" s="173" t="s">
        <v>449</v>
      </c>
      <c r="K2315" s="174">
        <v>88625686002443</v>
      </c>
      <c r="L2315" s="173" t="s">
        <v>1023</v>
      </c>
      <c r="M2315" s="173" t="s">
        <v>83</v>
      </c>
      <c r="N2315" s="173" t="s">
        <v>67</v>
      </c>
      <c r="O2315" s="87">
        <v>62</v>
      </c>
      <c r="P2315" s="173" t="s">
        <v>27</v>
      </c>
      <c r="Q2315" s="1" t="s">
        <v>1343</v>
      </c>
      <c r="R2315" s="175">
        <v>8</v>
      </c>
      <c r="S2315">
        <v>8</v>
      </c>
    </row>
    <row r="2316" spans="1:19" x14ac:dyDescent="0.25">
      <c r="A2316" s="87">
        <v>2019</v>
      </c>
      <c r="B2316" s="87">
        <v>10</v>
      </c>
      <c r="C2316" s="173" t="s">
        <v>16</v>
      </c>
      <c r="D2316" s="173" t="s">
        <v>23</v>
      </c>
      <c r="E2316" s="173" t="s">
        <v>24</v>
      </c>
      <c r="F2316" s="173" t="s">
        <v>16</v>
      </c>
      <c r="G2316" s="87" t="b">
        <v>1</v>
      </c>
      <c r="H2316" s="87" t="b">
        <v>0</v>
      </c>
      <c r="I2316" s="87" t="b">
        <v>0</v>
      </c>
      <c r="J2316" s="173" t="s">
        <v>451</v>
      </c>
      <c r="K2316" s="174">
        <v>88625686002443</v>
      </c>
      <c r="L2316" s="173" t="s">
        <v>1023</v>
      </c>
      <c r="M2316" s="173" t="s">
        <v>83</v>
      </c>
      <c r="N2316" s="173" t="s">
        <v>67</v>
      </c>
      <c r="O2316" s="87">
        <v>64</v>
      </c>
      <c r="P2316" s="173" t="s">
        <v>25</v>
      </c>
      <c r="Q2316" s="1" t="s">
        <v>1344</v>
      </c>
      <c r="R2316" s="175">
        <v>21</v>
      </c>
      <c r="S2316">
        <v>21</v>
      </c>
    </row>
    <row r="2317" spans="1:19" x14ac:dyDescent="0.25">
      <c r="A2317" s="87">
        <v>2019</v>
      </c>
      <c r="B2317" s="87">
        <v>10</v>
      </c>
      <c r="C2317" s="173" t="s">
        <v>16</v>
      </c>
      <c r="D2317" s="173" t="s">
        <v>23</v>
      </c>
      <c r="E2317" s="173" t="s">
        <v>24</v>
      </c>
      <c r="F2317" s="173" t="s">
        <v>16</v>
      </c>
      <c r="G2317" s="87" t="b">
        <v>1</v>
      </c>
      <c r="H2317" s="87" t="b">
        <v>0</v>
      </c>
      <c r="I2317" s="87" t="b">
        <v>0</v>
      </c>
      <c r="J2317" s="173" t="s">
        <v>449</v>
      </c>
      <c r="K2317" s="174">
        <v>88645403001372</v>
      </c>
      <c r="L2317" s="173" t="s">
        <v>1025</v>
      </c>
      <c r="M2317" s="173" t="s">
        <v>66</v>
      </c>
      <c r="N2317" s="173" t="s">
        <v>67</v>
      </c>
      <c r="O2317" s="87">
        <v>73</v>
      </c>
      <c r="P2317" s="173" t="s">
        <v>26</v>
      </c>
      <c r="Q2317" s="1" t="s">
        <v>1342</v>
      </c>
      <c r="R2317" s="175">
        <v>32</v>
      </c>
      <c r="S2317">
        <v>8</v>
      </c>
    </row>
    <row r="2318" spans="1:19" x14ac:dyDescent="0.25">
      <c r="A2318" s="87">
        <v>2019</v>
      </c>
      <c r="B2318" s="87">
        <v>10</v>
      </c>
      <c r="C2318" s="173" t="s">
        <v>16</v>
      </c>
      <c r="D2318" s="173" t="s">
        <v>23</v>
      </c>
      <c r="E2318" s="173" t="s">
        <v>24</v>
      </c>
      <c r="F2318" s="173" t="s">
        <v>16</v>
      </c>
      <c r="G2318" s="87" t="b">
        <v>1</v>
      </c>
      <c r="H2318" s="87" t="b">
        <v>0</v>
      </c>
      <c r="I2318" s="87" t="b">
        <v>0</v>
      </c>
      <c r="J2318" s="173" t="s">
        <v>449</v>
      </c>
      <c r="K2318" s="174">
        <v>92404789000164</v>
      </c>
      <c r="L2318" s="173" t="s">
        <v>1028</v>
      </c>
      <c r="M2318" s="173" t="s">
        <v>106</v>
      </c>
      <c r="N2318" s="173" t="s">
        <v>67</v>
      </c>
      <c r="O2318" s="87">
        <v>73</v>
      </c>
      <c r="P2318" s="173" t="s">
        <v>26</v>
      </c>
      <c r="Q2318" s="1" t="s">
        <v>1342</v>
      </c>
      <c r="R2318" s="175">
        <v>24</v>
      </c>
      <c r="S2318">
        <v>6</v>
      </c>
    </row>
    <row r="2319" spans="1:19" x14ac:dyDescent="0.25">
      <c r="A2319" s="87">
        <v>2019</v>
      </c>
      <c r="B2319" s="87">
        <v>10</v>
      </c>
      <c r="C2319" s="173" t="s">
        <v>16</v>
      </c>
      <c r="D2319" s="173" t="s">
        <v>23</v>
      </c>
      <c r="E2319" s="173" t="s">
        <v>24</v>
      </c>
      <c r="F2319" s="173" t="s">
        <v>16</v>
      </c>
      <c r="G2319" s="87" t="b">
        <v>1</v>
      </c>
      <c r="H2319" s="87" t="b">
        <v>0</v>
      </c>
      <c r="I2319" s="87" t="b">
        <v>0</v>
      </c>
      <c r="J2319" s="173" t="s">
        <v>450</v>
      </c>
      <c r="K2319" s="174">
        <v>92685833000151</v>
      </c>
      <c r="L2319" s="173" t="s">
        <v>1029</v>
      </c>
      <c r="M2319" s="173" t="s">
        <v>83</v>
      </c>
      <c r="N2319" s="173" t="s">
        <v>67</v>
      </c>
      <c r="O2319" s="87">
        <v>62</v>
      </c>
      <c r="P2319" s="173" t="s">
        <v>27</v>
      </c>
      <c r="Q2319" s="1" t="s">
        <v>1343</v>
      </c>
      <c r="R2319" s="175">
        <v>6</v>
      </c>
      <c r="S2319">
        <v>6</v>
      </c>
    </row>
    <row r="2320" spans="1:19" x14ac:dyDescent="0.25">
      <c r="A2320" s="87">
        <v>2019</v>
      </c>
      <c r="B2320" s="87">
        <v>10</v>
      </c>
      <c r="C2320" s="173" t="s">
        <v>16</v>
      </c>
      <c r="D2320" s="173" t="s">
        <v>23</v>
      </c>
      <c r="E2320" s="173" t="s">
        <v>24</v>
      </c>
      <c r="F2320" s="173" t="s">
        <v>16</v>
      </c>
      <c r="G2320" s="87" t="b">
        <v>1</v>
      </c>
      <c r="H2320" s="87" t="b">
        <v>0</v>
      </c>
      <c r="I2320" s="87" t="b">
        <v>0</v>
      </c>
      <c r="J2320" s="173" t="s">
        <v>1512</v>
      </c>
      <c r="K2320" s="174">
        <v>92685833000151</v>
      </c>
      <c r="L2320" s="173" t="s">
        <v>1029</v>
      </c>
      <c r="M2320" s="173" t="s">
        <v>83</v>
      </c>
      <c r="N2320" s="173" t="s">
        <v>67</v>
      </c>
      <c r="O2320" s="87">
        <v>62</v>
      </c>
      <c r="P2320" s="173" t="s">
        <v>27</v>
      </c>
      <c r="Q2320" s="1" t="s">
        <v>1343</v>
      </c>
      <c r="R2320" s="175">
        <v>4</v>
      </c>
      <c r="S2320">
        <v>4</v>
      </c>
    </row>
    <row r="2321" spans="1:19" x14ac:dyDescent="0.25">
      <c r="A2321" s="87">
        <v>2019</v>
      </c>
      <c r="B2321" s="87">
        <v>10</v>
      </c>
      <c r="C2321" s="173" t="s">
        <v>16</v>
      </c>
      <c r="D2321" s="173" t="s">
        <v>23</v>
      </c>
      <c r="E2321" s="173" t="s">
        <v>24</v>
      </c>
      <c r="F2321" s="173" t="s">
        <v>16</v>
      </c>
      <c r="G2321" s="87" t="b">
        <v>1</v>
      </c>
      <c r="H2321" s="87" t="b">
        <v>0</v>
      </c>
      <c r="I2321" s="87" t="b">
        <v>0</v>
      </c>
      <c r="J2321" s="173" t="s">
        <v>464</v>
      </c>
      <c r="K2321" s="174">
        <v>92685833000151</v>
      </c>
      <c r="L2321" s="173" t="s">
        <v>1029</v>
      </c>
      <c r="M2321" s="173" t="s">
        <v>83</v>
      </c>
      <c r="N2321" s="173" t="s">
        <v>67</v>
      </c>
      <c r="O2321" s="87">
        <v>64</v>
      </c>
      <c r="P2321" s="173" t="s">
        <v>25</v>
      </c>
      <c r="Q2321" s="1" t="s">
        <v>1344</v>
      </c>
      <c r="R2321" s="175">
        <v>28</v>
      </c>
      <c r="S2321">
        <v>28</v>
      </c>
    </row>
    <row r="2322" spans="1:19" x14ac:dyDescent="0.25">
      <c r="A2322" s="87">
        <v>2019</v>
      </c>
      <c r="B2322" s="87">
        <v>10</v>
      </c>
      <c r="C2322" s="173" t="s">
        <v>16</v>
      </c>
      <c r="D2322" s="173" t="s">
        <v>23</v>
      </c>
      <c r="E2322" s="173" t="s">
        <v>24</v>
      </c>
      <c r="F2322" s="173" t="s">
        <v>16</v>
      </c>
      <c r="G2322" s="87" t="b">
        <v>1</v>
      </c>
      <c r="H2322" s="87" t="b">
        <v>0</v>
      </c>
      <c r="I2322" s="87" t="b">
        <v>0</v>
      </c>
      <c r="J2322" s="173" t="s">
        <v>449</v>
      </c>
      <c r="K2322" s="174">
        <v>92685833000151</v>
      </c>
      <c r="L2322" s="173" t="s">
        <v>1029</v>
      </c>
      <c r="M2322" s="173" t="s">
        <v>83</v>
      </c>
      <c r="N2322" s="173" t="s">
        <v>67</v>
      </c>
      <c r="O2322" s="87">
        <v>73</v>
      </c>
      <c r="P2322" s="173" t="s">
        <v>26</v>
      </c>
      <c r="Q2322" s="1" t="s">
        <v>1340</v>
      </c>
      <c r="R2322" s="175">
        <v>2</v>
      </c>
      <c r="S2322">
        <v>2</v>
      </c>
    </row>
    <row r="2323" spans="1:19" x14ac:dyDescent="0.25">
      <c r="A2323" s="87">
        <v>2019</v>
      </c>
      <c r="B2323" s="87">
        <v>10</v>
      </c>
      <c r="C2323" s="173" t="s">
        <v>16</v>
      </c>
      <c r="D2323" s="173" t="s">
        <v>23</v>
      </c>
      <c r="E2323" s="173" t="s">
        <v>24</v>
      </c>
      <c r="F2323" s="173" t="s">
        <v>16</v>
      </c>
      <c r="G2323" s="87" t="b">
        <v>1</v>
      </c>
      <c r="H2323" s="87" t="b">
        <v>0</v>
      </c>
      <c r="I2323" s="87" t="b">
        <v>0</v>
      </c>
      <c r="J2323" s="173" t="s">
        <v>470</v>
      </c>
      <c r="K2323" s="174">
        <v>92685833000151</v>
      </c>
      <c r="L2323" s="173" t="s">
        <v>1029</v>
      </c>
      <c r="M2323" s="173" t="s">
        <v>83</v>
      </c>
      <c r="N2323" s="173" t="s">
        <v>67</v>
      </c>
      <c r="O2323" s="87">
        <v>73</v>
      </c>
      <c r="P2323" s="173" t="s">
        <v>26</v>
      </c>
      <c r="Q2323" s="1" t="s">
        <v>1340</v>
      </c>
      <c r="R2323" s="175">
        <v>14</v>
      </c>
      <c r="S2323">
        <v>14</v>
      </c>
    </row>
    <row r="2324" spans="1:19" x14ac:dyDescent="0.25">
      <c r="A2324" s="87">
        <v>2019</v>
      </c>
      <c r="B2324" s="87">
        <v>10</v>
      </c>
      <c r="C2324" s="173" t="s">
        <v>16</v>
      </c>
      <c r="D2324" s="173" t="s">
        <v>23</v>
      </c>
      <c r="E2324" s="173" t="s">
        <v>24</v>
      </c>
      <c r="F2324" s="173" t="s">
        <v>16</v>
      </c>
      <c r="G2324" s="87" t="b">
        <v>1</v>
      </c>
      <c r="H2324" s="87" t="b">
        <v>0</v>
      </c>
      <c r="I2324" s="87" t="b">
        <v>0</v>
      </c>
      <c r="J2324" s="173" t="s">
        <v>450</v>
      </c>
      <c r="K2324" s="174">
        <v>92685833000151</v>
      </c>
      <c r="L2324" s="173" t="s">
        <v>1029</v>
      </c>
      <c r="M2324" s="173" t="s">
        <v>83</v>
      </c>
      <c r="N2324" s="173" t="s">
        <v>67</v>
      </c>
      <c r="O2324" s="87">
        <v>73</v>
      </c>
      <c r="P2324" s="173" t="s">
        <v>26</v>
      </c>
      <c r="Q2324" s="1" t="s">
        <v>1340</v>
      </c>
      <c r="R2324" s="175">
        <v>4</v>
      </c>
      <c r="S2324">
        <v>4</v>
      </c>
    </row>
    <row r="2325" spans="1:19" x14ac:dyDescent="0.25">
      <c r="A2325" s="87">
        <v>2019</v>
      </c>
      <c r="B2325" s="87">
        <v>10</v>
      </c>
      <c r="C2325" s="173" t="s">
        <v>16</v>
      </c>
      <c r="D2325" s="173" t="s">
        <v>23</v>
      </c>
      <c r="E2325" s="173" t="s">
        <v>24</v>
      </c>
      <c r="F2325" s="173" t="s">
        <v>16</v>
      </c>
      <c r="G2325" s="87" t="b">
        <v>1</v>
      </c>
      <c r="H2325" s="87" t="b">
        <v>0</v>
      </c>
      <c r="I2325" s="87" t="b">
        <v>0</v>
      </c>
      <c r="J2325" s="173" t="s">
        <v>449</v>
      </c>
      <c r="K2325" s="174">
        <v>92741016000254</v>
      </c>
      <c r="L2325" s="173" t="s">
        <v>1030</v>
      </c>
      <c r="M2325" s="173" t="s">
        <v>83</v>
      </c>
      <c r="N2325" s="173" t="s">
        <v>67</v>
      </c>
      <c r="O2325" s="87">
        <v>64</v>
      </c>
      <c r="P2325" s="173" t="s">
        <v>25</v>
      </c>
      <c r="Q2325" s="1" t="s">
        <v>1344</v>
      </c>
      <c r="R2325" s="175">
        <v>12</v>
      </c>
      <c r="S2325">
        <v>12</v>
      </c>
    </row>
    <row r="2326" spans="1:19" x14ac:dyDescent="0.25">
      <c r="A2326" s="87">
        <v>2019</v>
      </c>
      <c r="B2326" s="87">
        <v>10</v>
      </c>
      <c r="C2326" s="173" t="s">
        <v>16</v>
      </c>
      <c r="D2326" s="173" t="s">
        <v>23</v>
      </c>
      <c r="E2326" s="173" t="s">
        <v>24</v>
      </c>
      <c r="F2326" s="173" t="s">
        <v>16</v>
      </c>
      <c r="G2326" s="87" t="b">
        <v>1</v>
      </c>
      <c r="H2326" s="87" t="b">
        <v>0</v>
      </c>
      <c r="I2326" s="87" t="b">
        <v>0</v>
      </c>
      <c r="J2326" s="173" t="s">
        <v>449</v>
      </c>
      <c r="K2326" s="174">
        <v>92787118000120</v>
      </c>
      <c r="L2326" s="173" t="s">
        <v>1031</v>
      </c>
      <c r="M2326" s="173" t="s">
        <v>83</v>
      </c>
      <c r="N2326" s="173" t="s">
        <v>67</v>
      </c>
      <c r="O2326" s="87">
        <v>62</v>
      </c>
      <c r="P2326" s="173" t="s">
        <v>27</v>
      </c>
      <c r="Q2326" s="1" t="s">
        <v>1343</v>
      </c>
      <c r="R2326" s="175">
        <v>2</v>
      </c>
      <c r="S2326">
        <v>2</v>
      </c>
    </row>
    <row r="2327" spans="1:19" x14ac:dyDescent="0.25">
      <c r="A2327" s="87">
        <v>2019</v>
      </c>
      <c r="B2327" s="87">
        <v>10</v>
      </c>
      <c r="C2327" s="173" t="s">
        <v>16</v>
      </c>
      <c r="D2327" s="173" t="s">
        <v>23</v>
      </c>
      <c r="E2327" s="173" t="s">
        <v>24</v>
      </c>
      <c r="F2327" s="173" t="s">
        <v>16</v>
      </c>
      <c r="G2327" s="87" t="b">
        <v>1</v>
      </c>
      <c r="H2327" s="87" t="b">
        <v>0</v>
      </c>
      <c r="I2327" s="87" t="b">
        <v>0</v>
      </c>
      <c r="J2327" s="173" t="s">
        <v>449</v>
      </c>
      <c r="K2327" s="174">
        <v>92815000000168</v>
      </c>
      <c r="L2327" s="173" t="s">
        <v>1033</v>
      </c>
      <c r="M2327" s="173" t="s">
        <v>83</v>
      </c>
      <c r="N2327" s="173" t="s">
        <v>67</v>
      </c>
      <c r="O2327" s="87">
        <v>62</v>
      </c>
      <c r="P2327" s="173" t="s">
        <v>27</v>
      </c>
      <c r="Q2327" s="1" t="s">
        <v>1343</v>
      </c>
      <c r="R2327" s="175">
        <v>62</v>
      </c>
      <c r="S2327">
        <v>62</v>
      </c>
    </row>
    <row r="2328" spans="1:19" x14ac:dyDescent="0.25">
      <c r="A2328" s="87">
        <v>2019</v>
      </c>
      <c r="B2328" s="87">
        <v>10</v>
      </c>
      <c r="C2328" s="173" t="s">
        <v>16</v>
      </c>
      <c r="D2328" s="173" t="s">
        <v>23</v>
      </c>
      <c r="E2328" s="173" t="s">
        <v>24</v>
      </c>
      <c r="F2328" s="173" t="s">
        <v>16</v>
      </c>
      <c r="G2328" s="87" t="b">
        <v>1</v>
      </c>
      <c r="H2328" s="87" t="b">
        <v>0</v>
      </c>
      <c r="I2328" s="87" t="b">
        <v>0</v>
      </c>
      <c r="J2328" s="173" t="s">
        <v>449</v>
      </c>
      <c r="K2328" s="174">
        <v>92815000000168</v>
      </c>
      <c r="L2328" s="173" t="s">
        <v>1033</v>
      </c>
      <c r="M2328" s="173" t="s">
        <v>83</v>
      </c>
      <c r="N2328" s="173" t="s">
        <v>67</v>
      </c>
      <c r="O2328" s="87">
        <v>64</v>
      </c>
      <c r="P2328" s="173" t="s">
        <v>25</v>
      </c>
      <c r="Q2328" s="1" t="s">
        <v>1344</v>
      </c>
      <c r="R2328" s="175">
        <v>20</v>
      </c>
      <c r="S2328">
        <v>20</v>
      </c>
    </row>
    <row r="2329" spans="1:19" x14ac:dyDescent="0.25">
      <c r="A2329" s="87">
        <v>2019</v>
      </c>
      <c r="B2329" s="87">
        <v>10</v>
      </c>
      <c r="C2329" s="173" t="s">
        <v>16</v>
      </c>
      <c r="D2329" s="173" t="s">
        <v>23</v>
      </c>
      <c r="E2329" s="173" t="s">
        <v>24</v>
      </c>
      <c r="F2329" s="173" t="s">
        <v>16</v>
      </c>
      <c r="G2329" s="87" t="b">
        <v>1</v>
      </c>
      <c r="H2329" s="87" t="b">
        <v>0</v>
      </c>
      <c r="I2329" s="87" t="b">
        <v>0</v>
      </c>
      <c r="J2329" s="173" t="s">
        <v>449</v>
      </c>
      <c r="K2329" s="174">
        <v>92815000000168</v>
      </c>
      <c r="L2329" s="173" t="s">
        <v>1033</v>
      </c>
      <c r="M2329" s="173" t="s">
        <v>83</v>
      </c>
      <c r="N2329" s="173" t="s">
        <v>67</v>
      </c>
      <c r="O2329" s="87">
        <v>73</v>
      </c>
      <c r="P2329" s="173" t="s">
        <v>26</v>
      </c>
      <c r="Q2329" s="1" t="s">
        <v>1339</v>
      </c>
      <c r="R2329" s="175">
        <v>2</v>
      </c>
      <c r="S2329">
        <v>1</v>
      </c>
    </row>
    <row r="2330" spans="1:19" x14ac:dyDescent="0.25">
      <c r="A2330" s="87">
        <v>2019</v>
      </c>
      <c r="B2330" s="87">
        <v>10</v>
      </c>
      <c r="C2330" s="173" t="s">
        <v>16</v>
      </c>
      <c r="D2330" s="173" t="s">
        <v>23</v>
      </c>
      <c r="E2330" s="173" t="s">
        <v>24</v>
      </c>
      <c r="F2330" s="173" t="s">
        <v>16</v>
      </c>
      <c r="G2330" s="87" t="b">
        <v>1</v>
      </c>
      <c r="H2330" s="87" t="b">
        <v>0</v>
      </c>
      <c r="I2330" s="87" t="b">
        <v>0</v>
      </c>
      <c r="J2330" s="173" t="s">
        <v>449</v>
      </c>
      <c r="K2330" s="174">
        <v>92815000000168</v>
      </c>
      <c r="L2330" s="173" t="s">
        <v>1033</v>
      </c>
      <c r="M2330" s="173" t="s">
        <v>83</v>
      </c>
      <c r="N2330" s="173" t="s">
        <v>67</v>
      </c>
      <c r="O2330" s="87">
        <v>73</v>
      </c>
      <c r="P2330" s="173" t="s">
        <v>26</v>
      </c>
      <c r="Q2330" s="1" t="s">
        <v>1340</v>
      </c>
      <c r="R2330" s="175">
        <v>2</v>
      </c>
      <c r="S2330">
        <v>2</v>
      </c>
    </row>
    <row r="2331" spans="1:19" x14ac:dyDescent="0.25">
      <c r="A2331" s="87">
        <v>2019</v>
      </c>
      <c r="B2331" s="87">
        <v>10</v>
      </c>
      <c r="C2331" s="173" t="s">
        <v>16</v>
      </c>
      <c r="D2331" s="173" t="s">
        <v>23</v>
      </c>
      <c r="E2331" s="173" t="s">
        <v>24</v>
      </c>
      <c r="F2331" s="173" t="s">
        <v>16</v>
      </c>
      <c r="G2331" s="87" t="b">
        <v>1</v>
      </c>
      <c r="H2331" s="87" t="b">
        <v>0</v>
      </c>
      <c r="I2331" s="87" t="b">
        <v>0</v>
      </c>
      <c r="J2331" s="173" t="s">
        <v>470</v>
      </c>
      <c r="K2331" s="174">
        <v>92815000000168</v>
      </c>
      <c r="L2331" s="173" t="s">
        <v>1033</v>
      </c>
      <c r="M2331" s="173" t="s">
        <v>83</v>
      </c>
      <c r="N2331" s="173" t="s">
        <v>67</v>
      </c>
      <c r="O2331" s="87">
        <v>73</v>
      </c>
      <c r="P2331" s="173" t="s">
        <v>26</v>
      </c>
      <c r="Q2331" s="1" t="s">
        <v>1339</v>
      </c>
      <c r="R2331" s="175">
        <v>40</v>
      </c>
      <c r="S2331">
        <v>20</v>
      </c>
    </row>
    <row r="2332" spans="1:19" x14ac:dyDescent="0.25">
      <c r="A2332" s="87">
        <v>2019</v>
      </c>
      <c r="B2332" s="87">
        <v>10</v>
      </c>
      <c r="C2332" s="173" t="s">
        <v>16</v>
      </c>
      <c r="D2332" s="173" t="s">
        <v>23</v>
      </c>
      <c r="E2332" s="173" t="s">
        <v>24</v>
      </c>
      <c r="F2332" s="173" t="s">
        <v>16</v>
      </c>
      <c r="G2332" s="87" t="b">
        <v>1</v>
      </c>
      <c r="H2332" s="87" t="b">
        <v>0</v>
      </c>
      <c r="I2332" s="87" t="b">
        <v>0</v>
      </c>
      <c r="J2332" s="173" t="s">
        <v>470</v>
      </c>
      <c r="K2332" s="174">
        <v>92815000000168</v>
      </c>
      <c r="L2332" s="173" t="s">
        <v>1033</v>
      </c>
      <c r="M2332" s="173" t="s">
        <v>83</v>
      </c>
      <c r="N2332" s="173" t="s">
        <v>67</v>
      </c>
      <c r="O2332" s="87">
        <v>73</v>
      </c>
      <c r="P2332" s="173" t="s">
        <v>26</v>
      </c>
      <c r="Q2332" s="1" t="s">
        <v>1340</v>
      </c>
      <c r="R2332" s="175">
        <v>1</v>
      </c>
      <c r="S2332">
        <v>1</v>
      </c>
    </row>
    <row r="2333" spans="1:19" x14ac:dyDescent="0.25">
      <c r="A2333" s="87">
        <v>2019</v>
      </c>
      <c r="B2333" s="87">
        <v>10</v>
      </c>
      <c r="C2333" s="173" t="s">
        <v>16</v>
      </c>
      <c r="D2333" s="173" t="s">
        <v>23</v>
      </c>
      <c r="E2333" s="173" t="s">
        <v>24</v>
      </c>
      <c r="F2333" s="173" t="s">
        <v>16</v>
      </c>
      <c r="G2333" s="87" t="b">
        <v>1</v>
      </c>
      <c r="H2333" s="87" t="b">
        <v>0</v>
      </c>
      <c r="I2333" s="87" t="b">
        <v>0</v>
      </c>
      <c r="J2333" s="173" t="s">
        <v>449</v>
      </c>
      <c r="K2333" s="174">
        <v>92898550000198</v>
      </c>
      <c r="L2333" s="173" t="s">
        <v>1034</v>
      </c>
      <c r="M2333" s="173" t="s">
        <v>83</v>
      </c>
      <c r="N2333" s="173" t="s">
        <v>67</v>
      </c>
      <c r="O2333" s="87">
        <v>62</v>
      </c>
      <c r="P2333" s="173" t="s">
        <v>27</v>
      </c>
      <c r="Q2333" s="1" t="s">
        <v>1343</v>
      </c>
      <c r="R2333" s="175">
        <v>3</v>
      </c>
      <c r="S2333">
        <v>3</v>
      </c>
    </row>
    <row r="2334" spans="1:19" x14ac:dyDescent="0.25">
      <c r="A2334" s="87">
        <v>2019</v>
      </c>
      <c r="B2334" s="87">
        <v>10</v>
      </c>
      <c r="C2334" s="173" t="s">
        <v>16</v>
      </c>
      <c r="D2334" s="173" t="s">
        <v>23</v>
      </c>
      <c r="E2334" s="173" t="s">
        <v>24</v>
      </c>
      <c r="F2334" s="173" t="s">
        <v>16</v>
      </c>
      <c r="G2334" s="87" t="b">
        <v>1</v>
      </c>
      <c r="H2334" s="87" t="b">
        <v>0</v>
      </c>
      <c r="I2334" s="87" t="b">
        <v>0</v>
      </c>
      <c r="J2334" s="173" t="s">
        <v>449</v>
      </c>
      <c r="K2334" s="174">
        <v>92963560000160</v>
      </c>
      <c r="L2334" s="173" t="s">
        <v>1035</v>
      </c>
      <c r="M2334" s="173" t="s">
        <v>83</v>
      </c>
      <c r="N2334" s="173" t="s">
        <v>67</v>
      </c>
      <c r="O2334" s="87">
        <v>62</v>
      </c>
      <c r="P2334" s="173" t="s">
        <v>27</v>
      </c>
      <c r="Q2334" s="1" t="s">
        <v>1343</v>
      </c>
      <c r="R2334" s="175">
        <v>30</v>
      </c>
      <c r="S2334">
        <v>30</v>
      </c>
    </row>
    <row r="2335" spans="1:19" x14ac:dyDescent="0.25">
      <c r="A2335" s="87">
        <v>2019</v>
      </c>
      <c r="B2335" s="87">
        <v>10</v>
      </c>
      <c r="C2335" s="173" t="s">
        <v>16</v>
      </c>
      <c r="D2335" s="173" t="s">
        <v>23</v>
      </c>
      <c r="E2335" s="173" t="s">
        <v>24</v>
      </c>
      <c r="F2335" s="173" t="s">
        <v>16</v>
      </c>
      <c r="G2335" s="87" t="b">
        <v>1</v>
      </c>
      <c r="H2335" s="87" t="b">
        <v>0</v>
      </c>
      <c r="I2335" s="87" t="b">
        <v>0</v>
      </c>
      <c r="J2335" s="173" t="s">
        <v>449</v>
      </c>
      <c r="K2335" s="174">
        <v>92963560000160</v>
      </c>
      <c r="L2335" s="173" t="s">
        <v>1035</v>
      </c>
      <c r="M2335" s="173" t="s">
        <v>83</v>
      </c>
      <c r="N2335" s="173" t="s">
        <v>67</v>
      </c>
      <c r="O2335" s="87">
        <v>64</v>
      </c>
      <c r="P2335" s="173" t="s">
        <v>25</v>
      </c>
      <c r="Q2335" s="1" t="s">
        <v>1344</v>
      </c>
      <c r="R2335" s="175">
        <v>20</v>
      </c>
      <c r="S2335">
        <v>20</v>
      </c>
    </row>
    <row r="2336" spans="1:19" x14ac:dyDescent="0.25">
      <c r="A2336" s="87">
        <v>2019</v>
      </c>
      <c r="B2336" s="87">
        <v>10</v>
      </c>
      <c r="C2336" s="173" t="s">
        <v>16</v>
      </c>
      <c r="D2336" s="173" t="s">
        <v>23</v>
      </c>
      <c r="E2336" s="173" t="s">
        <v>24</v>
      </c>
      <c r="F2336" s="173" t="s">
        <v>16</v>
      </c>
      <c r="G2336" s="87" t="b">
        <v>1</v>
      </c>
      <c r="H2336" s="87" t="b">
        <v>0</v>
      </c>
      <c r="I2336" s="87" t="b">
        <v>0</v>
      </c>
      <c r="J2336" s="173" t="s">
        <v>492</v>
      </c>
      <c r="K2336" s="174">
        <v>94831294000147</v>
      </c>
      <c r="L2336" s="173" t="s">
        <v>1036</v>
      </c>
      <c r="M2336" s="173" t="s">
        <v>83</v>
      </c>
      <c r="N2336" s="173" t="s">
        <v>67</v>
      </c>
      <c r="O2336" s="87">
        <v>70</v>
      </c>
      <c r="P2336" s="173" t="s">
        <v>20</v>
      </c>
      <c r="Q2336" s="1" t="s">
        <v>1338</v>
      </c>
      <c r="R2336" s="175">
        <v>30</v>
      </c>
      <c r="S2336">
        <v>6</v>
      </c>
    </row>
    <row r="2337" spans="1:19" x14ac:dyDescent="0.25">
      <c r="A2337" s="87">
        <v>2019</v>
      </c>
      <c r="B2337" s="87">
        <v>10</v>
      </c>
      <c r="C2337" s="173" t="s">
        <v>16</v>
      </c>
      <c r="D2337" s="173" t="s">
        <v>23</v>
      </c>
      <c r="E2337" s="173" t="s">
        <v>24</v>
      </c>
      <c r="F2337" s="173" t="s">
        <v>16</v>
      </c>
      <c r="G2337" s="87" t="b">
        <v>1</v>
      </c>
      <c r="H2337" s="87" t="b">
        <v>0</v>
      </c>
      <c r="I2337" s="87" t="b">
        <v>0</v>
      </c>
      <c r="J2337" s="173" t="s">
        <v>449</v>
      </c>
      <c r="K2337" s="174">
        <v>95610887000146</v>
      </c>
      <c r="L2337" s="173" t="s">
        <v>1037</v>
      </c>
      <c r="M2337" s="173" t="s">
        <v>87</v>
      </c>
      <c r="N2337" s="173" t="s">
        <v>67</v>
      </c>
      <c r="O2337" s="87">
        <v>62</v>
      </c>
      <c r="P2337" s="173" t="s">
        <v>27</v>
      </c>
      <c r="Q2337" s="1" t="s">
        <v>1343</v>
      </c>
      <c r="R2337" s="175">
        <v>8</v>
      </c>
      <c r="S2337">
        <v>8</v>
      </c>
    </row>
    <row r="2338" spans="1:19" x14ac:dyDescent="0.25">
      <c r="A2338" s="87">
        <v>2019</v>
      </c>
      <c r="B2338" s="87">
        <v>10</v>
      </c>
      <c r="C2338" s="173" t="s">
        <v>16</v>
      </c>
      <c r="D2338" s="173" t="s">
        <v>23</v>
      </c>
      <c r="E2338" s="173" t="s">
        <v>24</v>
      </c>
      <c r="F2338" s="173" t="s">
        <v>16</v>
      </c>
      <c r="G2338" s="87" t="b">
        <v>1</v>
      </c>
      <c r="H2338" s="87" t="b">
        <v>0</v>
      </c>
      <c r="I2338" s="87" t="b">
        <v>0</v>
      </c>
      <c r="J2338" s="173" t="s">
        <v>470</v>
      </c>
      <c r="K2338" s="174">
        <v>95610887000146</v>
      </c>
      <c r="L2338" s="173" t="s">
        <v>1037</v>
      </c>
      <c r="M2338" s="173" t="s">
        <v>87</v>
      </c>
      <c r="N2338" s="173" t="s">
        <v>67</v>
      </c>
      <c r="O2338" s="87">
        <v>70</v>
      </c>
      <c r="P2338" s="173" t="s">
        <v>20</v>
      </c>
      <c r="Q2338" s="1" t="s">
        <v>1338</v>
      </c>
      <c r="R2338" s="175">
        <v>150</v>
      </c>
      <c r="S2338">
        <v>30</v>
      </c>
    </row>
    <row r="2339" spans="1:19" x14ac:dyDescent="0.25">
      <c r="A2339" s="87">
        <v>2019</v>
      </c>
      <c r="B2339" s="87">
        <v>10</v>
      </c>
      <c r="C2339" s="173" t="s">
        <v>16</v>
      </c>
      <c r="D2339" s="173" t="s">
        <v>23</v>
      </c>
      <c r="E2339" s="173" t="s">
        <v>24</v>
      </c>
      <c r="F2339" s="173" t="s">
        <v>16</v>
      </c>
      <c r="G2339" s="87" t="b">
        <v>1</v>
      </c>
      <c r="H2339" s="87" t="b">
        <v>0</v>
      </c>
      <c r="I2339" s="87" t="b">
        <v>0</v>
      </c>
      <c r="J2339" s="173" t="s">
        <v>492</v>
      </c>
      <c r="K2339" s="174">
        <v>95610887000146</v>
      </c>
      <c r="L2339" s="173" t="s">
        <v>1037</v>
      </c>
      <c r="M2339" s="173" t="s">
        <v>87</v>
      </c>
      <c r="N2339" s="173" t="s">
        <v>67</v>
      </c>
      <c r="O2339" s="87">
        <v>70</v>
      </c>
      <c r="P2339" s="173" t="s">
        <v>20</v>
      </c>
      <c r="Q2339" s="1" t="s">
        <v>1338</v>
      </c>
      <c r="R2339" s="175">
        <v>150</v>
      </c>
      <c r="S2339">
        <v>30</v>
      </c>
    </row>
    <row r="2340" spans="1:19" x14ac:dyDescent="0.25">
      <c r="A2340" s="87">
        <v>2019</v>
      </c>
      <c r="B2340" s="87">
        <v>10</v>
      </c>
      <c r="C2340" s="173" t="s">
        <v>16</v>
      </c>
      <c r="D2340" s="173" t="s">
        <v>23</v>
      </c>
      <c r="E2340" s="173" t="s">
        <v>24</v>
      </c>
      <c r="F2340" s="173" t="s">
        <v>16</v>
      </c>
      <c r="G2340" s="87" t="b">
        <v>1</v>
      </c>
      <c r="H2340" s="87" t="b">
        <v>0</v>
      </c>
      <c r="I2340" s="87" t="b">
        <v>0</v>
      </c>
      <c r="J2340" s="173" t="s">
        <v>470</v>
      </c>
      <c r="K2340" s="174">
        <v>95610887000146</v>
      </c>
      <c r="L2340" s="173" t="s">
        <v>1037</v>
      </c>
      <c r="M2340" s="173" t="s">
        <v>87</v>
      </c>
      <c r="N2340" s="173" t="s">
        <v>67</v>
      </c>
      <c r="O2340" s="87">
        <v>73</v>
      </c>
      <c r="P2340" s="173" t="s">
        <v>26</v>
      </c>
      <c r="Q2340" s="1" t="s">
        <v>1339</v>
      </c>
      <c r="R2340" s="175">
        <v>2</v>
      </c>
      <c r="S2340">
        <v>1</v>
      </c>
    </row>
    <row r="2341" spans="1:19" x14ac:dyDescent="0.25">
      <c r="A2341" s="87">
        <v>2019</v>
      </c>
      <c r="B2341" s="87">
        <v>10</v>
      </c>
      <c r="C2341" s="173" t="s">
        <v>16</v>
      </c>
      <c r="D2341" s="173" t="s">
        <v>23</v>
      </c>
      <c r="E2341" s="173" t="s">
        <v>24</v>
      </c>
      <c r="F2341" s="173" t="s">
        <v>16</v>
      </c>
      <c r="G2341" s="87" t="b">
        <v>1</v>
      </c>
      <c r="H2341" s="87" t="b">
        <v>0</v>
      </c>
      <c r="I2341" s="87" t="b">
        <v>0</v>
      </c>
      <c r="J2341" s="173" t="s">
        <v>470</v>
      </c>
      <c r="K2341" s="174">
        <v>95610887000146</v>
      </c>
      <c r="L2341" s="173" t="s">
        <v>1037</v>
      </c>
      <c r="M2341" s="173" t="s">
        <v>87</v>
      </c>
      <c r="N2341" s="173" t="s">
        <v>67</v>
      </c>
      <c r="O2341" s="87">
        <v>73</v>
      </c>
      <c r="P2341" s="173" t="s">
        <v>26</v>
      </c>
      <c r="Q2341" s="1" t="s">
        <v>1342</v>
      </c>
      <c r="R2341" s="175">
        <v>8</v>
      </c>
      <c r="S2341">
        <v>2</v>
      </c>
    </row>
    <row r="2342" spans="1:19" x14ac:dyDescent="0.25">
      <c r="A2342" s="87">
        <v>2019</v>
      </c>
      <c r="B2342" s="87">
        <v>11</v>
      </c>
      <c r="C2342" s="173" t="s">
        <v>16</v>
      </c>
      <c r="D2342" s="173" t="s">
        <v>229</v>
      </c>
      <c r="E2342" s="173" t="s">
        <v>24</v>
      </c>
      <c r="F2342" s="173" t="s">
        <v>16</v>
      </c>
      <c r="G2342" s="87" t="b">
        <v>1</v>
      </c>
      <c r="H2342" s="87" t="b">
        <v>0</v>
      </c>
      <c r="I2342" s="87" t="b">
        <v>0</v>
      </c>
      <c r="J2342" s="173" t="s">
        <v>1512</v>
      </c>
      <c r="K2342" s="174">
        <v>9324322559</v>
      </c>
      <c r="L2342" s="173" t="s">
        <v>737</v>
      </c>
      <c r="M2342" s="173" t="s">
        <v>75</v>
      </c>
      <c r="N2342" s="173" t="s">
        <v>74</v>
      </c>
      <c r="O2342" s="87">
        <v>73</v>
      </c>
      <c r="P2342" s="173" t="s">
        <v>26</v>
      </c>
      <c r="Q2342" s="1" t="s">
        <v>1340</v>
      </c>
      <c r="R2342" s="175">
        <v>5</v>
      </c>
      <c r="S2342">
        <v>5</v>
      </c>
    </row>
    <row r="2343" spans="1:19" x14ac:dyDescent="0.25">
      <c r="A2343" s="87">
        <v>2019</v>
      </c>
      <c r="B2343" s="87">
        <v>11</v>
      </c>
      <c r="C2343" s="173" t="s">
        <v>16</v>
      </c>
      <c r="D2343" s="173" t="s">
        <v>229</v>
      </c>
      <c r="E2343" s="173" t="s">
        <v>24</v>
      </c>
      <c r="F2343" s="173" t="s">
        <v>16</v>
      </c>
      <c r="G2343" s="87" t="b">
        <v>1</v>
      </c>
      <c r="H2343" s="87" t="b">
        <v>0</v>
      </c>
      <c r="I2343" s="87" t="b">
        <v>0</v>
      </c>
      <c r="J2343" s="173" t="s">
        <v>453</v>
      </c>
      <c r="K2343" s="174">
        <v>12371009253</v>
      </c>
      <c r="L2343" s="173" t="s">
        <v>1128</v>
      </c>
      <c r="M2343" s="173" t="s">
        <v>1129</v>
      </c>
      <c r="N2343" s="173" t="s">
        <v>52</v>
      </c>
      <c r="O2343" s="87">
        <v>73</v>
      </c>
      <c r="P2343" s="173" t="s">
        <v>26</v>
      </c>
      <c r="Q2343" s="1" t="s">
        <v>1339</v>
      </c>
      <c r="R2343" s="175">
        <v>16</v>
      </c>
      <c r="S2343">
        <v>8</v>
      </c>
    </row>
    <row r="2344" spans="1:19" x14ac:dyDescent="0.25">
      <c r="A2344" s="87">
        <v>2019</v>
      </c>
      <c r="B2344" s="87">
        <v>11</v>
      </c>
      <c r="C2344" s="173" t="s">
        <v>16</v>
      </c>
      <c r="D2344" s="173" t="s">
        <v>229</v>
      </c>
      <c r="E2344" s="173" t="s">
        <v>24</v>
      </c>
      <c r="F2344" s="173" t="s">
        <v>16</v>
      </c>
      <c r="G2344" s="87" t="b">
        <v>1</v>
      </c>
      <c r="H2344" s="87" t="b">
        <v>0</v>
      </c>
      <c r="I2344" s="87" t="b">
        <v>0</v>
      </c>
      <c r="J2344" s="173" t="s">
        <v>453</v>
      </c>
      <c r="K2344" s="174">
        <v>12371009253</v>
      </c>
      <c r="L2344" s="173" t="s">
        <v>1128</v>
      </c>
      <c r="M2344" s="173" t="s">
        <v>1129</v>
      </c>
      <c r="N2344" s="173" t="s">
        <v>52</v>
      </c>
      <c r="O2344" s="87">
        <v>73</v>
      </c>
      <c r="P2344" s="173" t="s">
        <v>26</v>
      </c>
      <c r="Q2344" s="1" t="s">
        <v>1340</v>
      </c>
      <c r="R2344" s="175">
        <v>8</v>
      </c>
      <c r="S2344">
        <v>8</v>
      </c>
    </row>
    <row r="2345" spans="1:19" x14ac:dyDescent="0.25">
      <c r="A2345" s="87">
        <v>2019</v>
      </c>
      <c r="B2345" s="87">
        <v>11</v>
      </c>
      <c r="C2345" s="173" t="s">
        <v>16</v>
      </c>
      <c r="D2345" s="173" t="s">
        <v>229</v>
      </c>
      <c r="E2345" s="173" t="s">
        <v>24</v>
      </c>
      <c r="F2345" s="173" t="s">
        <v>16</v>
      </c>
      <c r="G2345" s="87" t="b">
        <v>1</v>
      </c>
      <c r="H2345" s="87" t="b">
        <v>0</v>
      </c>
      <c r="I2345" s="87" t="b">
        <v>0</v>
      </c>
      <c r="J2345" s="173" t="s">
        <v>453</v>
      </c>
      <c r="K2345" s="174">
        <v>83925694404</v>
      </c>
      <c r="L2345" s="173" t="s">
        <v>746</v>
      </c>
      <c r="M2345" s="173" t="s">
        <v>747</v>
      </c>
      <c r="N2345" s="173" t="s">
        <v>56</v>
      </c>
      <c r="O2345" s="87">
        <v>66</v>
      </c>
      <c r="P2345" s="173" t="s">
        <v>28</v>
      </c>
      <c r="Q2345" s="1" t="s">
        <v>1341</v>
      </c>
      <c r="R2345" s="175">
        <v>24</v>
      </c>
      <c r="S2345">
        <v>24</v>
      </c>
    </row>
    <row r="2346" spans="1:19" x14ac:dyDescent="0.25">
      <c r="A2346" s="87">
        <v>2019</v>
      </c>
      <c r="B2346" s="87">
        <v>11</v>
      </c>
      <c r="C2346" s="173" t="s">
        <v>16</v>
      </c>
      <c r="D2346" s="173" t="s">
        <v>229</v>
      </c>
      <c r="E2346" s="173" t="s">
        <v>24</v>
      </c>
      <c r="F2346" s="173" t="s">
        <v>16</v>
      </c>
      <c r="G2346" s="87" t="b">
        <v>1</v>
      </c>
      <c r="H2346" s="87" t="b">
        <v>0</v>
      </c>
      <c r="I2346" s="87" t="b">
        <v>0</v>
      </c>
      <c r="J2346" s="173" t="s">
        <v>477</v>
      </c>
      <c r="K2346" s="174">
        <v>92929000198</v>
      </c>
      <c r="L2346" s="173" t="s">
        <v>1327</v>
      </c>
      <c r="M2346" s="173" t="s">
        <v>131</v>
      </c>
      <c r="N2346" s="173" t="s">
        <v>61</v>
      </c>
      <c r="O2346" s="87">
        <v>73</v>
      </c>
      <c r="P2346" s="173" t="s">
        <v>26</v>
      </c>
      <c r="Q2346" s="1" t="s">
        <v>1339</v>
      </c>
      <c r="R2346" s="175">
        <v>60</v>
      </c>
      <c r="S2346">
        <v>30</v>
      </c>
    </row>
    <row r="2347" spans="1:19" x14ac:dyDescent="0.25">
      <c r="A2347" s="87">
        <v>2019</v>
      </c>
      <c r="B2347" s="87">
        <v>11</v>
      </c>
      <c r="C2347" s="173" t="s">
        <v>16</v>
      </c>
      <c r="D2347" s="173" t="s">
        <v>229</v>
      </c>
      <c r="E2347" s="173" t="s">
        <v>24</v>
      </c>
      <c r="F2347" s="173" t="s">
        <v>16</v>
      </c>
      <c r="G2347" s="87" t="b">
        <v>1</v>
      </c>
      <c r="H2347" s="87" t="b">
        <v>0</v>
      </c>
      <c r="I2347" s="87" t="b">
        <v>0</v>
      </c>
      <c r="J2347" s="173" t="s">
        <v>450</v>
      </c>
      <c r="K2347" s="174">
        <v>132229000180</v>
      </c>
      <c r="L2347" s="173" t="s">
        <v>1135</v>
      </c>
      <c r="M2347" s="173" t="s">
        <v>58</v>
      </c>
      <c r="N2347" s="173" t="s">
        <v>54</v>
      </c>
      <c r="O2347" s="87">
        <v>70</v>
      </c>
      <c r="P2347" s="173" t="s">
        <v>20</v>
      </c>
      <c r="Q2347" s="1" t="s">
        <v>1338</v>
      </c>
      <c r="R2347" s="175">
        <v>25</v>
      </c>
      <c r="S2347">
        <v>5</v>
      </c>
    </row>
    <row r="2348" spans="1:19" x14ac:dyDescent="0.25">
      <c r="A2348" s="87">
        <v>2019</v>
      </c>
      <c r="B2348" s="87">
        <v>11</v>
      </c>
      <c r="C2348" s="173" t="s">
        <v>16</v>
      </c>
      <c r="D2348" s="173" t="s">
        <v>229</v>
      </c>
      <c r="E2348" s="173" t="s">
        <v>24</v>
      </c>
      <c r="F2348" s="173" t="s">
        <v>16</v>
      </c>
      <c r="G2348" s="87" t="b">
        <v>1</v>
      </c>
      <c r="H2348" s="87" t="b">
        <v>0</v>
      </c>
      <c r="I2348" s="87" t="b">
        <v>0</v>
      </c>
      <c r="J2348" s="173" t="s">
        <v>452</v>
      </c>
      <c r="K2348" s="174">
        <v>304148000110</v>
      </c>
      <c r="L2348" s="173" t="s">
        <v>932</v>
      </c>
      <c r="M2348" s="173" t="s">
        <v>933</v>
      </c>
      <c r="N2348" s="173" t="s">
        <v>57</v>
      </c>
      <c r="O2348" s="87">
        <v>73</v>
      </c>
      <c r="P2348" s="173" t="s">
        <v>26</v>
      </c>
      <c r="Q2348" s="1" t="s">
        <v>1339</v>
      </c>
      <c r="R2348" s="175">
        <v>4</v>
      </c>
      <c r="S2348">
        <v>2</v>
      </c>
    </row>
    <row r="2349" spans="1:19" x14ac:dyDescent="0.25">
      <c r="A2349" s="87">
        <v>2019</v>
      </c>
      <c r="B2349" s="87">
        <v>11</v>
      </c>
      <c r="C2349" s="173" t="s">
        <v>16</v>
      </c>
      <c r="D2349" s="173" t="s">
        <v>229</v>
      </c>
      <c r="E2349" s="173" t="s">
        <v>24</v>
      </c>
      <c r="F2349" s="173" t="s">
        <v>16</v>
      </c>
      <c r="G2349" s="87" t="b">
        <v>1</v>
      </c>
      <c r="H2349" s="87" t="b">
        <v>0</v>
      </c>
      <c r="I2349" s="87" t="b">
        <v>0</v>
      </c>
      <c r="J2349" s="173" t="s">
        <v>470</v>
      </c>
      <c r="K2349" s="174">
        <v>382069000127</v>
      </c>
      <c r="L2349" s="173" t="s">
        <v>749</v>
      </c>
      <c r="M2349" s="173" t="s">
        <v>739</v>
      </c>
      <c r="N2349" s="173" t="s">
        <v>55</v>
      </c>
      <c r="O2349" s="87">
        <v>62</v>
      </c>
      <c r="P2349" s="173" t="s">
        <v>27</v>
      </c>
      <c r="Q2349" s="1" t="s">
        <v>1343</v>
      </c>
      <c r="R2349" s="175">
        <v>6</v>
      </c>
      <c r="S2349">
        <v>6</v>
      </c>
    </row>
    <row r="2350" spans="1:19" x14ac:dyDescent="0.25">
      <c r="A2350" s="87">
        <v>2019</v>
      </c>
      <c r="B2350" s="87">
        <v>11</v>
      </c>
      <c r="C2350" s="173" t="s">
        <v>16</v>
      </c>
      <c r="D2350" s="173" t="s">
        <v>229</v>
      </c>
      <c r="E2350" s="173" t="s">
        <v>24</v>
      </c>
      <c r="F2350" s="173" t="s">
        <v>16</v>
      </c>
      <c r="G2350" s="87" t="b">
        <v>1</v>
      </c>
      <c r="H2350" s="87" t="b">
        <v>0</v>
      </c>
      <c r="I2350" s="87" t="b">
        <v>0</v>
      </c>
      <c r="J2350" s="173" t="s">
        <v>468</v>
      </c>
      <c r="K2350" s="174">
        <v>382069000127</v>
      </c>
      <c r="L2350" s="173" t="s">
        <v>749</v>
      </c>
      <c r="M2350" s="173" t="s">
        <v>739</v>
      </c>
      <c r="N2350" s="173" t="s">
        <v>55</v>
      </c>
      <c r="O2350" s="87">
        <v>64</v>
      </c>
      <c r="P2350" s="173" t="s">
        <v>25</v>
      </c>
      <c r="Q2350" s="1" t="s">
        <v>1344</v>
      </c>
      <c r="R2350" s="175">
        <v>9</v>
      </c>
      <c r="S2350">
        <v>9</v>
      </c>
    </row>
    <row r="2351" spans="1:19" x14ac:dyDescent="0.25">
      <c r="A2351" s="87">
        <v>2019</v>
      </c>
      <c r="B2351" s="87">
        <v>11</v>
      </c>
      <c r="C2351" s="173" t="s">
        <v>16</v>
      </c>
      <c r="D2351" s="173" t="s">
        <v>229</v>
      </c>
      <c r="E2351" s="173" t="s">
        <v>24</v>
      </c>
      <c r="F2351" s="173" t="s">
        <v>16</v>
      </c>
      <c r="G2351" s="87" t="b">
        <v>1</v>
      </c>
      <c r="H2351" s="87" t="b">
        <v>0</v>
      </c>
      <c r="I2351" s="87" t="b">
        <v>0</v>
      </c>
      <c r="J2351" s="173" t="s">
        <v>470</v>
      </c>
      <c r="K2351" s="174">
        <v>382069000127</v>
      </c>
      <c r="L2351" s="173" t="s">
        <v>749</v>
      </c>
      <c r="M2351" s="173" t="s">
        <v>739</v>
      </c>
      <c r="N2351" s="173" t="s">
        <v>55</v>
      </c>
      <c r="O2351" s="87">
        <v>70</v>
      </c>
      <c r="P2351" s="173" t="s">
        <v>20</v>
      </c>
      <c r="Q2351" s="1" t="s">
        <v>1338</v>
      </c>
      <c r="R2351" s="175">
        <v>100</v>
      </c>
      <c r="S2351">
        <v>20</v>
      </c>
    </row>
    <row r="2352" spans="1:19" x14ac:dyDescent="0.25">
      <c r="A2352" s="87">
        <v>2019</v>
      </c>
      <c r="B2352" s="87">
        <v>11</v>
      </c>
      <c r="C2352" s="173" t="s">
        <v>16</v>
      </c>
      <c r="D2352" s="173" t="s">
        <v>229</v>
      </c>
      <c r="E2352" s="173" t="s">
        <v>24</v>
      </c>
      <c r="F2352" s="173" t="s">
        <v>16</v>
      </c>
      <c r="G2352" s="87" t="b">
        <v>1</v>
      </c>
      <c r="H2352" s="87" t="b">
        <v>0</v>
      </c>
      <c r="I2352" s="87" t="b">
        <v>0</v>
      </c>
      <c r="J2352" s="173" t="s">
        <v>1512</v>
      </c>
      <c r="K2352" s="174">
        <v>394502014870</v>
      </c>
      <c r="L2352" s="173" t="s">
        <v>1070</v>
      </c>
      <c r="M2352" s="173" t="s">
        <v>131</v>
      </c>
      <c r="N2352" s="173" t="s">
        <v>61</v>
      </c>
      <c r="O2352" s="87">
        <v>64</v>
      </c>
      <c r="P2352" s="173" t="s">
        <v>25</v>
      </c>
      <c r="Q2352" s="1" t="s">
        <v>1344</v>
      </c>
      <c r="R2352" s="175">
        <v>10</v>
      </c>
      <c r="S2352">
        <v>10</v>
      </c>
    </row>
    <row r="2353" spans="1:19" x14ac:dyDescent="0.25">
      <c r="A2353" s="87">
        <v>2019</v>
      </c>
      <c r="B2353" s="87">
        <v>11</v>
      </c>
      <c r="C2353" s="173" t="s">
        <v>16</v>
      </c>
      <c r="D2353" s="173" t="s">
        <v>229</v>
      </c>
      <c r="E2353" s="173" t="s">
        <v>24</v>
      </c>
      <c r="F2353" s="173" t="s">
        <v>16</v>
      </c>
      <c r="G2353" s="87" t="b">
        <v>1</v>
      </c>
      <c r="H2353" s="87" t="b">
        <v>0</v>
      </c>
      <c r="I2353" s="87" t="b">
        <v>0</v>
      </c>
      <c r="J2353" s="173" t="s">
        <v>1330</v>
      </c>
      <c r="K2353" s="174">
        <v>394502014870</v>
      </c>
      <c r="L2353" s="173" t="s">
        <v>1070</v>
      </c>
      <c r="M2353" s="173" t="s">
        <v>131</v>
      </c>
      <c r="N2353" s="173" t="s">
        <v>61</v>
      </c>
      <c r="O2353" s="87">
        <v>70</v>
      </c>
      <c r="P2353" s="173" t="s">
        <v>20</v>
      </c>
      <c r="Q2353" s="1" t="s">
        <v>1338</v>
      </c>
      <c r="R2353" s="175">
        <v>1000</v>
      </c>
      <c r="S2353">
        <v>200</v>
      </c>
    </row>
    <row r="2354" spans="1:19" x14ac:dyDescent="0.25">
      <c r="A2354" s="87">
        <v>2019</v>
      </c>
      <c r="B2354" s="87">
        <v>11</v>
      </c>
      <c r="C2354" s="173" t="s">
        <v>16</v>
      </c>
      <c r="D2354" s="173" t="s">
        <v>229</v>
      </c>
      <c r="E2354" s="173" t="s">
        <v>24</v>
      </c>
      <c r="F2354" s="173" t="s">
        <v>16</v>
      </c>
      <c r="G2354" s="87" t="b">
        <v>1</v>
      </c>
      <c r="H2354" s="87" t="b">
        <v>0</v>
      </c>
      <c r="I2354" s="87" t="b">
        <v>0</v>
      </c>
      <c r="J2354" s="173" t="s">
        <v>1330</v>
      </c>
      <c r="K2354" s="174">
        <v>394544000851</v>
      </c>
      <c r="L2354" s="173" t="s">
        <v>1136</v>
      </c>
      <c r="M2354" s="173" t="s">
        <v>739</v>
      </c>
      <c r="N2354" s="173" t="s">
        <v>55</v>
      </c>
      <c r="O2354" s="87">
        <v>73</v>
      </c>
      <c r="P2354" s="173" t="s">
        <v>26</v>
      </c>
      <c r="Q2354" s="1" t="s">
        <v>1339</v>
      </c>
      <c r="R2354" s="175">
        <v>24</v>
      </c>
      <c r="S2354">
        <v>12</v>
      </c>
    </row>
    <row r="2355" spans="1:19" x14ac:dyDescent="0.25">
      <c r="A2355" s="87">
        <v>2019</v>
      </c>
      <c r="B2355" s="87">
        <v>11</v>
      </c>
      <c r="C2355" s="173" t="s">
        <v>16</v>
      </c>
      <c r="D2355" s="173" t="s">
        <v>229</v>
      </c>
      <c r="E2355" s="173" t="s">
        <v>24</v>
      </c>
      <c r="F2355" s="173" t="s">
        <v>16</v>
      </c>
      <c r="G2355" s="87" t="b">
        <v>1</v>
      </c>
      <c r="H2355" s="87" t="b">
        <v>0</v>
      </c>
      <c r="I2355" s="87" t="b">
        <v>0</v>
      </c>
      <c r="J2355" s="173" t="s">
        <v>451</v>
      </c>
      <c r="K2355" s="174">
        <v>410960000120</v>
      </c>
      <c r="L2355" s="173" t="s">
        <v>1137</v>
      </c>
      <c r="M2355" s="173" t="s">
        <v>58</v>
      </c>
      <c r="N2355" s="173" t="s">
        <v>54</v>
      </c>
      <c r="O2355" s="87">
        <v>70</v>
      </c>
      <c r="P2355" s="173" t="s">
        <v>20</v>
      </c>
      <c r="Q2355" s="1" t="s">
        <v>1338</v>
      </c>
      <c r="R2355" s="175">
        <v>1050</v>
      </c>
      <c r="S2355">
        <v>210</v>
      </c>
    </row>
    <row r="2356" spans="1:19" x14ac:dyDescent="0.25">
      <c r="A2356" s="87">
        <v>2019</v>
      </c>
      <c r="B2356" s="87">
        <v>11</v>
      </c>
      <c r="C2356" s="173" t="s">
        <v>16</v>
      </c>
      <c r="D2356" s="173" t="s">
        <v>229</v>
      </c>
      <c r="E2356" s="173" t="s">
        <v>24</v>
      </c>
      <c r="F2356" s="173" t="s">
        <v>16</v>
      </c>
      <c r="G2356" s="87" t="b">
        <v>1</v>
      </c>
      <c r="H2356" s="87" t="b">
        <v>0</v>
      </c>
      <c r="I2356" s="87" t="b">
        <v>0</v>
      </c>
      <c r="J2356" s="173" t="s">
        <v>451</v>
      </c>
      <c r="K2356" s="174">
        <v>410960000120</v>
      </c>
      <c r="L2356" s="173" t="s">
        <v>1137</v>
      </c>
      <c r="M2356" s="173" t="s">
        <v>58</v>
      </c>
      <c r="N2356" s="173" t="s">
        <v>54</v>
      </c>
      <c r="O2356" s="87">
        <v>73</v>
      </c>
      <c r="P2356" s="173" t="s">
        <v>26</v>
      </c>
      <c r="Q2356" s="1" t="s">
        <v>1342</v>
      </c>
      <c r="R2356" s="175">
        <v>32</v>
      </c>
      <c r="S2356">
        <v>8</v>
      </c>
    </row>
    <row r="2357" spans="1:19" x14ac:dyDescent="0.25">
      <c r="A2357" s="87">
        <v>2019</v>
      </c>
      <c r="B2357" s="87">
        <v>11</v>
      </c>
      <c r="C2357" s="173" t="s">
        <v>16</v>
      </c>
      <c r="D2357" s="173" t="s">
        <v>229</v>
      </c>
      <c r="E2357" s="173" t="s">
        <v>24</v>
      </c>
      <c r="F2357" s="173" t="s">
        <v>16</v>
      </c>
      <c r="G2357" s="87" t="b">
        <v>1</v>
      </c>
      <c r="H2357" s="87" t="b">
        <v>0</v>
      </c>
      <c r="I2357" s="87" t="b">
        <v>0</v>
      </c>
      <c r="J2357" s="173" t="s">
        <v>491</v>
      </c>
      <c r="K2357" s="174">
        <v>437007000175</v>
      </c>
      <c r="L2357" s="173" t="s">
        <v>1038</v>
      </c>
      <c r="M2357" s="173" t="s">
        <v>1039</v>
      </c>
      <c r="N2357" s="173" t="s">
        <v>61</v>
      </c>
      <c r="O2357" s="87">
        <v>70</v>
      </c>
      <c r="P2357" s="173" t="s">
        <v>20</v>
      </c>
      <c r="Q2357" s="1" t="s">
        <v>1338</v>
      </c>
      <c r="R2357" s="175">
        <v>35</v>
      </c>
      <c r="S2357">
        <v>7</v>
      </c>
    </row>
    <row r="2358" spans="1:19" x14ac:dyDescent="0.25">
      <c r="A2358" s="87">
        <v>2019</v>
      </c>
      <c r="B2358" s="87">
        <v>11</v>
      </c>
      <c r="C2358" s="173" t="s">
        <v>16</v>
      </c>
      <c r="D2358" s="173" t="s">
        <v>229</v>
      </c>
      <c r="E2358" s="173" t="s">
        <v>24</v>
      </c>
      <c r="F2358" s="173" t="s">
        <v>16</v>
      </c>
      <c r="G2358" s="87" t="b">
        <v>1</v>
      </c>
      <c r="H2358" s="87" t="b">
        <v>0</v>
      </c>
      <c r="I2358" s="87" t="b">
        <v>0</v>
      </c>
      <c r="J2358" s="173" t="s">
        <v>491</v>
      </c>
      <c r="K2358" s="174">
        <v>437007000175</v>
      </c>
      <c r="L2358" s="173" t="s">
        <v>1038</v>
      </c>
      <c r="M2358" s="173" t="s">
        <v>1039</v>
      </c>
      <c r="N2358" s="173" t="s">
        <v>61</v>
      </c>
      <c r="O2358" s="87">
        <v>73</v>
      </c>
      <c r="P2358" s="173" t="s">
        <v>26</v>
      </c>
      <c r="Q2358" s="1" t="s">
        <v>1339</v>
      </c>
      <c r="R2358" s="175">
        <v>2</v>
      </c>
      <c r="S2358">
        <v>1</v>
      </c>
    </row>
    <row r="2359" spans="1:19" x14ac:dyDescent="0.25">
      <c r="A2359" s="87">
        <v>2019</v>
      </c>
      <c r="B2359" s="87">
        <v>11</v>
      </c>
      <c r="C2359" s="173" t="s">
        <v>16</v>
      </c>
      <c r="D2359" s="173" t="s">
        <v>229</v>
      </c>
      <c r="E2359" s="173" t="s">
        <v>24</v>
      </c>
      <c r="F2359" s="173" t="s">
        <v>16</v>
      </c>
      <c r="G2359" s="87" t="b">
        <v>1</v>
      </c>
      <c r="H2359" s="87" t="b">
        <v>0</v>
      </c>
      <c r="I2359" s="87" t="b">
        <v>0</v>
      </c>
      <c r="J2359" s="173" t="s">
        <v>491</v>
      </c>
      <c r="K2359" s="174">
        <v>437007000175</v>
      </c>
      <c r="L2359" s="173" t="s">
        <v>1038</v>
      </c>
      <c r="M2359" s="173" t="s">
        <v>1039</v>
      </c>
      <c r="N2359" s="173" t="s">
        <v>61</v>
      </c>
      <c r="O2359" s="87">
        <v>73</v>
      </c>
      <c r="P2359" s="173" t="s">
        <v>26</v>
      </c>
      <c r="Q2359" s="1" t="s">
        <v>1342</v>
      </c>
      <c r="R2359" s="175">
        <v>204</v>
      </c>
      <c r="S2359">
        <v>51</v>
      </c>
    </row>
    <row r="2360" spans="1:19" x14ac:dyDescent="0.25">
      <c r="A2360" s="87">
        <v>2019</v>
      </c>
      <c r="B2360" s="87">
        <v>11</v>
      </c>
      <c r="C2360" s="173" t="s">
        <v>16</v>
      </c>
      <c r="D2360" s="173" t="s">
        <v>229</v>
      </c>
      <c r="E2360" s="173" t="s">
        <v>24</v>
      </c>
      <c r="F2360" s="173" t="s">
        <v>16</v>
      </c>
      <c r="G2360" s="87" t="b">
        <v>1</v>
      </c>
      <c r="H2360" s="87" t="b">
        <v>0</v>
      </c>
      <c r="I2360" s="87" t="b">
        <v>0</v>
      </c>
      <c r="J2360" s="173" t="s">
        <v>470</v>
      </c>
      <c r="K2360" s="174">
        <v>461479001054</v>
      </c>
      <c r="L2360" s="173" t="s">
        <v>558</v>
      </c>
      <c r="M2360" s="173" t="s">
        <v>29</v>
      </c>
      <c r="N2360" s="173" t="s">
        <v>19</v>
      </c>
      <c r="O2360" s="87">
        <v>64</v>
      </c>
      <c r="P2360" s="173" t="s">
        <v>25</v>
      </c>
      <c r="Q2360" s="1" t="s">
        <v>1344</v>
      </c>
      <c r="R2360" s="175">
        <v>8</v>
      </c>
      <c r="S2360">
        <v>8</v>
      </c>
    </row>
    <row r="2361" spans="1:19" x14ac:dyDescent="0.25">
      <c r="A2361" s="87">
        <v>2019</v>
      </c>
      <c r="B2361" s="87">
        <v>11</v>
      </c>
      <c r="C2361" s="173" t="s">
        <v>16</v>
      </c>
      <c r="D2361" s="173" t="s">
        <v>229</v>
      </c>
      <c r="E2361" s="173" t="s">
        <v>24</v>
      </c>
      <c r="F2361" s="173" t="s">
        <v>16</v>
      </c>
      <c r="G2361" s="87" t="b">
        <v>1</v>
      </c>
      <c r="H2361" s="87" t="b">
        <v>0</v>
      </c>
      <c r="I2361" s="87" t="b">
        <v>0</v>
      </c>
      <c r="J2361" s="173" t="s">
        <v>450</v>
      </c>
      <c r="K2361" s="174">
        <v>461479004150</v>
      </c>
      <c r="L2361" s="173" t="s">
        <v>1138</v>
      </c>
      <c r="M2361" s="173" t="s">
        <v>29</v>
      </c>
      <c r="N2361" s="173" t="s">
        <v>19</v>
      </c>
      <c r="O2361" s="87">
        <v>70</v>
      </c>
      <c r="P2361" s="173" t="s">
        <v>20</v>
      </c>
      <c r="Q2361" s="1" t="s">
        <v>1338</v>
      </c>
      <c r="R2361" s="175">
        <v>80</v>
      </c>
      <c r="S2361">
        <v>16</v>
      </c>
    </row>
    <row r="2362" spans="1:19" x14ac:dyDescent="0.25">
      <c r="A2362" s="87">
        <v>2019</v>
      </c>
      <c r="B2362" s="87">
        <v>11</v>
      </c>
      <c r="C2362" s="173" t="s">
        <v>16</v>
      </c>
      <c r="D2362" s="173" t="s">
        <v>229</v>
      </c>
      <c r="E2362" s="173" t="s">
        <v>24</v>
      </c>
      <c r="F2362" s="173" t="s">
        <v>16</v>
      </c>
      <c r="G2362" s="87" t="b">
        <v>1</v>
      </c>
      <c r="H2362" s="87" t="b">
        <v>0</v>
      </c>
      <c r="I2362" s="87" t="b">
        <v>0</v>
      </c>
      <c r="J2362" s="173" t="s">
        <v>450</v>
      </c>
      <c r="K2362" s="174">
        <v>461479005122</v>
      </c>
      <c r="L2362" s="173" t="s">
        <v>1139</v>
      </c>
      <c r="M2362" s="173" t="s">
        <v>29</v>
      </c>
      <c r="N2362" s="173" t="s">
        <v>19</v>
      </c>
      <c r="O2362" s="87">
        <v>70</v>
      </c>
      <c r="P2362" s="173" t="s">
        <v>20</v>
      </c>
      <c r="Q2362" s="1" t="s">
        <v>1338</v>
      </c>
      <c r="R2362" s="175">
        <v>125</v>
      </c>
      <c r="S2362">
        <v>25</v>
      </c>
    </row>
    <row r="2363" spans="1:19" x14ac:dyDescent="0.25">
      <c r="A2363" s="87">
        <v>2019</v>
      </c>
      <c r="B2363" s="87">
        <v>11</v>
      </c>
      <c r="C2363" s="173" t="s">
        <v>16</v>
      </c>
      <c r="D2363" s="173" t="s">
        <v>229</v>
      </c>
      <c r="E2363" s="173" t="s">
        <v>24</v>
      </c>
      <c r="F2363" s="173" t="s">
        <v>16</v>
      </c>
      <c r="G2363" s="87" t="b">
        <v>1</v>
      </c>
      <c r="H2363" s="87" t="b">
        <v>0</v>
      </c>
      <c r="I2363" s="87" t="b">
        <v>0</v>
      </c>
      <c r="J2363" s="173" t="s">
        <v>468</v>
      </c>
      <c r="K2363" s="174">
        <v>511816000180</v>
      </c>
      <c r="L2363" s="173" t="s">
        <v>754</v>
      </c>
      <c r="M2363" s="173" t="s">
        <v>739</v>
      </c>
      <c r="N2363" s="173" t="s">
        <v>55</v>
      </c>
      <c r="O2363" s="87">
        <v>64</v>
      </c>
      <c r="P2363" s="173" t="s">
        <v>25</v>
      </c>
      <c r="Q2363" s="1" t="s">
        <v>1344</v>
      </c>
      <c r="R2363" s="175">
        <v>4</v>
      </c>
      <c r="S2363">
        <v>4</v>
      </c>
    </row>
    <row r="2364" spans="1:19" x14ac:dyDescent="0.25">
      <c r="A2364" s="87">
        <v>2019</v>
      </c>
      <c r="B2364" s="87">
        <v>11</v>
      </c>
      <c r="C2364" s="173" t="s">
        <v>16</v>
      </c>
      <c r="D2364" s="173" t="s">
        <v>229</v>
      </c>
      <c r="E2364" s="173" t="s">
        <v>24</v>
      </c>
      <c r="F2364" s="173" t="s">
        <v>16</v>
      </c>
      <c r="G2364" s="87" t="b">
        <v>1</v>
      </c>
      <c r="H2364" s="87" t="b">
        <v>0</v>
      </c>
      <c r="I2364" s="87" t="b">
        <v>0</v>
      </c>
      <c r="J2364" s="173" t="s">
        <v>478</v>
      </c>
      <c r="K2364" s="174">
        <v>520237000101</v>
      </c>
      <c r="L2364" s="173" t="s">
        <v>755</v>
      </c>
      <c r="M2364" s="173" t="s">
        <v>739</v>
      </c>
      <c r="N2364" s="173" t="s">
        <v>55</v>
      </c>
      <c r="O2364" s="87">
        <v>70</v>
      </c>
      <c r="P2364" s="173" t="s">
        <v>20</v>
      </c>
      <c r="Q2364" s="1" t="s">
        <v>1338</v>
      </c>
      <c r="R2364" s="175">
        <v>250</v>
      </c>
      <c r="S2364">
        <v>50</v>
      </c>
    </row>
    <row r="2365" spans="1:19" x14ac:dyDescent="0.25">
      <c r="A2365" s="87">
        <v>2019</v>
      </c>
      <c r="B2365" s="87">
        <v>11</v>
      </c>
      <c r="C2365" s="173" t="s">
        <v>16</v>
      </c>
      <c r="D2365" s="173" t="s">
        <v>229</v>
      </c>
      <c r="E2365" s="173" t="s">
        <v>24</v>
      </c>
      <c r="F2365" s="173" t="s">
        <v>16</v>
      </c>
      <c r="G2365" s="87" t="b">
        <v>1</v>
      </c>
      <c r="H2365" s="87" t="b">
        <v>0</v>
      </c>
      <c r="I2365" s="87" t="b">
        <v>0</v>
      </c>
      <c r="J2365" s="173" t="s">
        <v>450</v>
      </c>
      <c r="K2365" s="174">
        <v>520237000101</v>
      </c>
      <c r="L2365" s="173" t="s">
        <v>755</v>
      </c>
      <c r="M2365" s="173" t="s">
        <v>739</v>
      </c>
      <c r="N2365" s="173" t="s">
        <v>55</v>
      </c>
      <c r="O2365" s="87">
        <v>70</v>
      </c>
      <c r="P2365" s="173" t="s">
        <v>20</v>
      </c>
      <c r="Q2365" s="1" t="s">
        <v>1338</v>
      </c>
      <c r="R2365" s="175">
        <v>300</v>
      </c>
      <c r="S2365">
        <v>60</v>
      </c>
    </row>
    <row r="2366" spans="1:19" x14ac:dyDescent="0.25">
      <c r="A2366" s="87">
        <v>2019</v>
      </c>
      <c r="B2366" s="87">
        <v>11</v>
      </c>
      <c r="C2366" s="173" t="s">
        <v>16</v>
      </c>
      <c r="D2366" s="173" t="s">
        <v>229</v>
      </c>
      <c r="E2366" s="173" t="s">
        <v>24</v>
      </c>
      <c r="F2366" s="173" t="s">
        <v>16</v>
      </c>
      <c r="G2366" s="87" t="b">
        <v>1</v>
      </c>
      <c r="H2366" s="87" t="b">
        <v>0</v>
      </c>
      <c r="I2366" s="87" t="b">
        <v>0</v>
      </c>
      <c r="J2366" s="173" t="s">
        <v>468</v>
      </c>
      <c r="K2366" s="174">
        <v>520237000101</v>
      </c>
      <c r="L2366" s="173" t="s">
        <v>755</v>
      </c>
      <c r="M2366" s="173" t="s">
        <v>739</v>
      </c>
      <c r="N2366" s="173" t="s">
        <v>55</v>
      </c>
      <c r="O2366" s="87">
        <v>73</v>
      </c>
      <c r="P2366" s="173" t="s">
        <v>26</v>
      </c>
      <c r="Q2366" s="1" t="s">
        <v>1339</v>
      </c>
      <c r="R2366" s="175">
        <v>24</v>
      </c>
      <c r="S2366">
        <v>12</v>
      </c>
    </row>
    <row r="2367" spans="1:19" x14ac:dyDescent="0.25">
      <c r="A2367" s="87">
        <v>2019</v>
      </c>
      <c r="B2367" s="87">
        <v>11</v>
      </c>
      <c r="C2367" s="173" t="s">
        <v>16</v>
      </c>
      <c r="D2367" s="173" t="s">
        <v>229</v>
      </c>
      <c r="E2367" s="173" t="s">
        <v>24</v>
      </c>
      <c r="F2367" s="173" t="s">
        <v>16</v>
      </c>
      <c r="G2367" s="87" t="b">
        <v>1</v>
      </c>
      <c r="H2367" s="87" t="b">
        <v>0</v>
      </c>
      <c r="I2367" s="87" t="b">
        <v>0</v>
      </c>
      <c r="J2367" s="173" t="s">
        <v>468</v>
      </c>
      <c r="K2367" s="174">
        <v>520237000101</v>
      </c>
      <c r="L2367" s="173" t="s">
        <v>755</v>
      </c>
      <c r="M2367" s="173" t="s">
        <v>739</v>
      </c>
      <c r="N2367" s="173" t="s">
        <v>55</v>
      </c>
      <c r="O2367" s="87">
        <v>73</v>
      </c>
      <c r="P2367" s="173" t="s">
        <v>26</v>
      </c>
      <c r="Q2367" s="1" t="s">
        <v>1342</v>
      </c>
      <c r="R2367" s="175">
        <v>56</v>
      </c>
      <c r="S2367">
        <v>14</v>
      </c>
    </row>
    <row r="2368" spans="1:19" x14ac:dyDescent="0.25">
      <c r="A2368" s="87">
        <v>2019</v>
      </c>
      <c r="B2368" s="87">
        <v>11</v>
      </c>
      <c r="C2368" s="173" t="s">
        <v>16</v>
      </c>
      <c r="D2368" s="173" t="s">
        <v>229</v>
      </c>
      <c r="E2368" s="173" t="s">
        <v>24</v>
      </c>
      <c r="F2368" s="173" t="s">
        <v>16</v>
      </c>
      <c r="G2368" s="87" t="b">
        <v>1</v>
      </c>
      <c r="H2368" s="87" t="b">
        <v>0</v>
      </c>
      <c r="I2368" s="87" t="b">
        <v>0</v>
      </c>
      <c r="J2368" s="173" t="s">
        <v>468</v>
      </c>
      <c r="K2368" s="174">
        <v>520237000101</v>
      </c>
      <c r="L2368" s="173" t="s">
        <v>755</v>
      </c>
      <c r="M2368" s="173" t="s">
        <v>739</v>
      </c>
      <c r="N2368" s="173" t="s">
        <v>55</v>
      </c>
      <c r="O2368" s="87">
        <v>73</v>
      </c>
      <c r="P2368" s="173" t="s">
        <v>26</v>
      </c>
      <c r="Q2368" s="1" t="s">
        <v>1340</v>
      </c>
      <c r="R2368" s="175">
        <v>6</v>
      </c>
      <c r="S2368">
        <v>6</v>
      </c>
    </row>
    <row r="2369" spans="1:19" x14ac:dyDescent="0.25">
      <c r="A2369" s="87">
        <v>2019</v>
      </c>
      <c r="B2369" s="87">
        <v>11</v>
      </c>
      <c r="C2369" s="173" t="s">
        <v>16</v>
      </c>
      <c r="D2369" s="173" t="s">
        <v>229</v>
      </c>
      <c r="E2369" s="173" t="s">
        <v>24</v>
      </c>
      <c r="F2369" s="173" t="s">
        <v>16</v>
      </c>
      <c r="G2369" s="87" t="b">
        <v>1</v>
      </c>
      <c r="H2369" s="87" t="b">
        <v>0</v>
      </c>
      <c r="I2369" s="87" t="b">
        <v>0</v>
      </c>
      <c r="J2369" s="173" t="s">
        <v>451</v>
      </c>
      <c r="K2369" s="174">
        <v>521197000104</v>
      </c>
      <c r="L2369" s="173" t="s">
        <v>1040</v>
      </c>
      <c r="M2369" s="173" t="s">
        <v>1039</v>
      </c>
      <c r="N2369" s="173" t="s">
        <v>61</v>
      </c>
      <c r="O2369" s="87">
        <v>70</v>
      </c>
      <c r="P2369" s="173" t="s">
        <v>20</v>
      </c>
      <c r="Q2369" s="1" t="s">
        <v>1346</v>
      </c>
      <c r="R2369" s="175">
        <v>20</v>
      </c>
      <c r="S2369">
        <v>8</v>
      </c>
    </row>
    <row r="2370" spans="1:19" x14ac:dyDescent="0.25">
      <c r="A2370" s="87">
        <v>2019</v>
      </c>
      <c r="B2370" s="87">
        <v>11</v>
      </c>
      <c r="C2370" s="173" t="s">
        <v>16</v>
      </c>
      <c r="D2370" s="173" t="s">
        <v>229</v>
      </c>
      <c r="E2370" s="173" t="s">
        <v>24</v>
      </c>
      <c r="F2370" s="173" t="s">
        <v>16</v>
      </c>
      <c r="G2370" s="87" t="b">
        <v>1</v>
      </c>
      <c r="H2370" s="87" t="b">
        <v>0</v>
      </c>
      <c r="I2370" s="87" t="b">
        <v>0</v>
      </c>
      <c r="J2370" s="173" t="s">
        <v>451</v>
      </c>
      <c r="K2370" s="174">
        <v>521197000104</v>
      </c>
      <c r="L2370" s="173" t="s">
        <v>1040</v>
      </c>
      <c r="M2370" s="173" t="s">
        <v>1039</v>
      </c>
      <c r="N2370" s="173" t="s">
        <v>61</v>
      </c>
      <c r="O2370" s="87">
        <v>70</v>
      </c>
      <c r="P2370" s="173" t="s">
        <v>20</v>
      </c>
      <c r="Q2370" s="1" t="s">
        <v>1338</v>
      </c>
      <c r="R2370" s="175">
        <v>120</v>
      </c>
      <c r="S2370">
        <v>24</v>
      </c>
    </row>
    <row r="2371" spans="1:19" x14ac:dyDescent="0.25">
      <c r="A2371" s="87">
        <v>2019</v>
      </c>
      <c r="B2371" s="87">
        <v>11</v>
      </c>
      <c r="C2371" s="173" t="s">
        <v>16</v>
      </c>
      <c r="D2371" s="173" t="s">
        <v>229</v>
      </c>
      <c r="E2371" s="173" t="s">
        <v>24</v>
      </c>
      <c r="F2371" s="173" t="s">
        <v>16</v>
      </c>
      <c r="G2371" s="87" t="b">
        <v>1</v>
      </c>
      <c r="H2371" s="87" t="b">
        <v>0</v>
      </c>
      <c r="I2371" s="87" t="b">
        <v>0</v>
      </c>
      <c r="J2371" s="173" t="s">
        <v>491</v>
      </c>
      <c r="K2371" s="174">
        <v>521197000104</v>
      </c>
      <c r="L2371" s="173" t="s">
        <v>1040</v>
      </c>
      <c r="M2371" s="173" t="s">
        <v>1039</v>
      </c>
      <c r="N2371" s="173" t="s">
        <v>61</v>
      </c>
      <c r="O2371" s="87">
        <v>70</v>
      </c>
      <c r="P2371" s="173" t="s">
        <v>20</v>
      </c>
      <c r="Q2371" s="1" t="s">
        <v>1338</v>
      </c>
      <c r="R2371" s="175">
        <v>170</v>
      </c>
      <c r="S2371">
        <v>34</v>
      </c>
    </row>
    <row r="2372" spans="1:19" x14ac:dyDescent="0.25">
      <c r="A2372" s="87">
        <v>2019</v>
      </c>
      <c r="B2372" s="87">
        <v>11</v>
      </c>
      <c r="C2372" s="173" t="s">
        <v>16</v>
      </c>
      <c r="D2372" s="173" t="s">
        <v>229</v>
      </c>
      <c r="E2372" s="173" t="s">
        <v>24</v>
      </c>
      <c r="F2372" s="173" t="s">
        <v>16</v>
      </c>
      <c r="G2372" s="87" t="b">
        <v>1</v>
      </c>
      <c r="H2372" s="87" t="b">
        <v>0</v>
      </c>
      <c r="I2372" s="87" t="b">
        <v>0</v>
      </c>
      <c r="J2372" s="173" t="s">
        <v>470</v>
      </c>
      <c r="K2372" s="174">
        <v>603226000187</v>
      </c>
      <c r="L2372" s="173" t="s">
        <v>561</v>
      </c>
      <c r="M2372" s="173" t="s">
        <v>29</v>
      </c>
      <c r="N2372" s="173" t="s">
        <v>19</v>
      </c>
      <c r="O2372" s="87">
        <v>73</v>
      </c>
      <c r="P2372" s="173" t="s">
        <v>26</v>
      </c>
      <c r="Q2372" s="1" t="s">
        <v>1342</v>
      </c>
      <c r="R2372" s="175">
        <v>8</v>
      </c>
      <c r="S2372">
        <v>2</v>
      </c>
    </row>
    <row r="2373" spans="1:19" x14ac:dyDescent="0.25">
      <c r="A2373" s="87">
        <v>2019</v>
      </c>
      <c r="B2373" s="87">
        <v>11</v>
      </c>
      <c r="C2373" s="173" t="s">
        <v>16</v>
      </c>
      <c r="D2373" s="173" t="s">
        <v>229</v>
      </c>
      <c r="E2373" s="173" t="s">
        <v>24</v>
      </c>
      <c r="F2373" s="173" t="s">
        <v>16</v>
      </c>
      <c r="G2373" s="87" t="b">
        <v>1</v>
      </c>
      <c r="H2373" s="87" t="b">
        <v>0</v>
      </c>
      <c r="I2373" s="87" t="b">
        <v>0</v>
      </c>
      <c r="J2373" s="173" t="s">
        <v>478</v>
      </c>
      <c r="K2373" s="174">
        <v>610980000144</v>
      </c>
      <c r="L2373" s="173" t="s">
        <v>756</v>
      </c>
      <c r="M2373" s="173" t="s">
        <v>739</v>
      </c>
      <c r="N2373" s="173" t="s">
        <v>55</v>
      </c>
      <c r="O2373" s="87">
        <v>62</v>
      </c>
      <c r="P2373" s="173" t="s">
        <v>27</v>
      </c>
      <c r="Q2373" s="1" t="s">
        <v>1343</v>
      </c>
      <c r="R2373" s="175">
        <v>1</v>
      </c>
      <c r="S2373">
        <v>1</v>
      </c>
    </row>
    <row r="2374" spans="1:19" x14ac:dyDescent="0.25">
      <c r="A2374" s="87">
        <v>2019</v>
      </c>
      <c r="B2374" s="87">
        <v>11</v>
      </c>
      <c r="C2374" s="173" t="s">
        <v>16</v>
      </c>
      <c r="D2374" s="173" t="s">
        <v>229</v>
      </c>
      <c r="E2374" s="173" t="s">
        <v>24</v>
      </c>
      <c r="F2374" s="173" t="s">
        <v>16</v>
      </c>
      <c r="G2374" s="87" t="b">
        <v>1</v>
      </c>
      <c r="H2374" s="87" t="b">
        <v>0</v>
      </c>
      <c r="I2374" s="87" t="b">
        <v>0</v>
      </c>
      <c r="J2374" s="173" t="s">
        <v>450</v>
      </c>
      <c r="K2374" s="174">
        <v>610980000144</v>
      </c>
      <c r="L2374" s="173" t="s">
        <v>756</v>
      </c>
      <c r="M2374" s="173" t="s">
        <v>739</v>
      </c>
      <c r="N2374" s="173" t="s">
        <v>55</v>
      </c>
      <c r="O2374" s="87">
        <v>62</v>
      </c>
      <c r="P2374" s="173" t="s">
        <v>27</v>
      </c>
      <c r="Q2374" s="1" t="s">
        <v>1343</v>
      </c>
      <c r="R2374" s="175">
        <v>1</v>
      </c>
      <c r="S2374">
        <v>1</v>
      </c>
    </row>
    <row r="2375" spans="1:19" x14ac:dyDescent="0.25">
      <c r="A2375" s="87">
        <v>2019</v>
      </c>
      <c r="B2375" s="87">
        <v>11</v>
      </c>
      <c r="C2375" s="173" t="s">
        <v>16</v>
      </c>
      <c r="D2375" s="173" t="s">
        <v>229</v>
      </c>
      <c r="E2375" s="173" t="s">
        <v>24</v>
      </c>
      <c r="F2375" s="173" t="s">
        <v>16</v>
      </c>
      <c r="G2375" s="87" t="b">
        <v>1</v>
      </c>
      <c r="H2375" s="87" t="b">
        <v>0</v>
      </c>
      <c r="I2375" s="87" t="b">
        <v>0</v>
      </c>
      <c r="J2375" s="173" t="s">
        <v>468</v>
      </c>
      <c r="K2375" s="174">
        <v>610980000144</v>
      </c>
      <c r="L2375" s="173" t="s">
        <v>756</v>
      </c>
      <c r="M2375" s="173" t="s">
        <v>739</v>
      </c>
      <c r="N2375" s="173" t="s">
        <v>55</v>
      </c>
      <c r="O2375" s="87">
        <v>64</v>
      </c>
      <c r="P2375" s="173" t="s">
        <v>25</v>
      </c>
      <c r="Q2375" s="1" t="s">
        <v>1344</v>
      </c>
      <c r="R2375" s="175">
        <v>7</v>
      </c>
      <c r="S2375">
        <v>7</v>
      </c>
    </row>
    <row r="2376" spans="1:19" x14ac:dyDescent="0.25">
      <c r="A2376" s="87">
        <v>2019</v>
      </c>
      <c r="B2376" s="87">
        <v>11</v>
      </c>
      <c r="C2376" s="173" t="s">
        <v>16</v>
      </c>
      <c r="D2376" s="173" t="s">
        <v>229</v>
      </c>
      <c r="E2376" s="173" t="s">
        <v>24</v>
      </c>
      <c r="F2376" s="173" t="s">
        <v>16</v>
      </c>
      <c r="G2376" s="87" t="b">
        <v>1</v>
      </c>
      <c r="H2376" s="87" t="b">
        <v>0</v>
      </c>
      <c r="I2376" s="87" t="b">
        <v>0</v>
      </c>
      <c r="J2376" s="173" t="s">
        <v>478</v>
      </c>
      <c r="K2376" s="174">
        <v>610980000144</v>
      </c>
      <c r="L2376" s="173" t="s">
        <v>756</v>
      </c>
      <c r="M2376" s="173" t="s">
        <v>739</v>
      </c>
      <c r="N2376" s="173" t="s">
        <v>55</v>
      </c>
      <c r="O2376" s="87">
        <v>70</v>
      </c>
      <c r="P2376" s="173" t="s">
        <v>20</v>
      </c>
      <c r="Q2376" s="1" t="s">
        <v>1338</v>
      </c>
      <c r="R2376" s="175">
        <v>50</v>
      </c>
      <c r="S2376">
        <v>10</v>
      </c>
    </row>
    <row r="2377" spans="1:19" x14ac:dyDescent="0.25">
      <c r="A2377" s="87">
        <v>2019</v>
      </c>
      <c r="B2377" s="87">
        <v>11</v>
      </c>
      <c r="C2377" s="173" t="s">
        <v>16</v>
      </c>
      <c r="D2377" s="173" t="s">
        <v>229</v>
      </c>
      <c r="E2377" s="173" t="s">
        <v>24</v>
      </c>
      <c r="F2377" s="173" t="s">
        <v>16</v>
      </c>
      <c r="G2377" s="87" t="b">
        <v>1</v>
      </c>
      <c r="H2377" s="87" t="b">
        <v>0</v>
      </c>
      <c r="I2377" s="87" t="b">
        <v>0</v>
      </c>
      <c r="J2377" s="173" t="s">
        <v>477</v>
      </c>
      <c r="K2377" s="174">
        <v>820737000150</v>
      </c>
      <c r="L2377" s="173" t="s">
        <v>757</v>
      </c>
      <c r="M2377" s="173" t="s">
        <v>62</v>
      </c>
      <c r="N2377" s="173" t="s">
        <v>63</v>
      </c>
      <c r="O2377" s="87">
        <v>62</v>
      </c>
      <c r="P2377" s="173" t="s">
        <v>27</v>
      </c>
      <c r="Q2377" s="1" t="s">
        <v>1343</v>
      </c>
      <c r="R2377" s="175">
        <v>9</v>
      </c>
      <c r="S2377">
        <v>9</v>
      </c>
    </row>
    <row r="2378" spans="1:19" x14ac:dyDescent="0.25">
      <c r="A2378" s="87">
        <v>2019</v>
      </c>
      <c r="B2378" s="87">
        <v>11</v>
      </c>
      <c r="C2378" s="173" t="s">
        <v>16</v>
      </c>
      <c r="D2378" s="173" t="s">
        <v>229</v>
      </c>
      <c r="E2378" s="173" t="s">
        <v>24</v>
      </c>
      <c r="F2378" s="173" t="s">
        <v>16</v>
      </c>
      <c r="G2378" s="87" t="b">
        <v>1</v>
      </c>
      <c r="H2378" s="87" t="b">
        <v>0</v>
      </c>
      <c r="I2378" s="87" t="b">
        <v>0</v>
      </c>
      <c r="J2378" s="173" t="s">
        <v>464</v>
      </c>
      <c r="K2378" s="174">
        <v>820737000150</v>
      </c>
      <c r="L2378" s="173" t="s">
        <v>757</v>
      </c>
      <c r="M2378" s="173" t="s">
        <v>62</v>
      </c>
      <c r="N2378" s="173" t="s">
        <v>63</v>
      </c>
      <c r="O2378" s="87">
        <v>64</v>
      </c>
      <c r="P2378" s="173" t="s">
        <v>25</v>
      </c>
      <c r="Q2378" s="1" t="s">
        <v>1344</v>
      </c>
      <c r="R2378" s="175">
        <v>30</v>
      </c>
      <c r="S2378">
        <v>30</v>
      </c>
    </row>
    <row r="2379" spans="1:19" x14ac:dyDescent="0.25">
      <c r="A2379" s="87">
        <v>2019</v>
      </c>
      <c r="B2379" s="87">
        <v>11</v>
      </c>
      <c r="C2379" s="173" t="s">
        <v>16</v>
      </c>
      <c r="D2379" s="173" t="s">
        <v>229</v>
      </c>
      <c r="E2379" s="173" t="s">
        <v>24</v>
      </c>
      <c r="F2379" s="173" t="s">
        <v>16</v>
      </c>
      <c r="G2379" s="87" t="b">
        <v>1</v>
      </c>
      <c r="H2379" s="87" t="b">
        <v>0</v>
      </c>
      <c r="I2379" s="87" t="b">
        <v>0</v>
      </c>
      <c r="J2379" s="173" t="s">
        <v>495</v>
      </c>
      <c r="K2379" s="174">
        <v>840048000450</v>
      </c>
      <c r="L2379" s="173" t="s">
        <v>637</v>
      </c>
      <c r="M2379" s="173" t="s">
        <v>30</v>
      </c>
      <c r="N2379" s="173" t="s">
        <v>19</v>
      </c>
      <c r="O2379" s="87">
        <v>70</v>
      </c>
      <c r="P2379" s="173" t="s">
        <v>20</v>
      </c>
      <c r="Q2379" s="1" t="s">
        <v>1345</v>
      </c>
      <c r="R2379" s="175">
        <v>160</v>
      </c>
      <c r="S2379">
        <v>16</v>
      </c>
    </row>
    <row r="2380" spans="1:19" x14ac:dyDescent="0.25">
      <c r="A2380" s="87">
        <v>2019</v>
      </c>
      <c r="B2380" s="87">
        <v>11</v>
      </c>
      <c r="C2380" s="173" t="s">
        <v>16</v>
      </c>
      <c r="D2380" s="173" t="s">
        <v>229</v>
      </c>
      <c r="E2380" s="173" t="s">
        <v>24</v>
      </c>
      <c r="F2380" s="173" t="s">
        <v>16</v>
      </c>
      <c r="G2380" s="87" t="b">
        <v>1</v>
      </c>
      <c r="H2380" s="87" t="b">
        <v>0</v>
      </c>
      <c r="I2380" s="87" t="b">
        <v>0</v>
      </c>
      <c r="J2380" s="173" t="s">
        <v>450</v>
      </c>
      <c r="K2380" s="174">
        <v>1011865000116</v>
      </c>
      <c r="L2380" s="173" t="s">
        <v>759</v>
      </c>
      <c r="M2380" s="173" t="s">
        <v>745</v>
      </c>
      <c r="N2380" s="173" t="s">
        <v>59</v>
      </c>
      <c r="O2380" s="87">
        <v>70</v>
      </c>
      <c r="P2380" s="173" t="s">
        <v>20</v>
      </c>
      <c r="Q2380" s="1" t="s">
        <v>1338</v>
      </c>
      <c r="R2380" s="175">
        <v>450</v>
      </c>
      <c r="S2380">
        <v>90</v>
      </c>
    </row>
    <row r="2381" spans="1:19" x14ac:dyDescent="0.25">
      <c r="A2381" s="87">
        <v>2019</v>
      </c>
      <c r="B2381" s="87">
        <v>11</v>
      </c>
      <c r="C2381" s="173" t="s">
        <v>16</v>
      </c>
      <c r="D2381" s="173" t="s">
        <v>229</v>
      </c>
      <c r="E2381" s="173" t="s">
        <v>24</v>
      </c>
      <c r="F2381" s="173" t="s">
        <v>16</v>
      </c>
      <c r="G2381" s="87" t="b">
        <v>1</v>
      </c>
      <c r="H2381" s="87" t="b">
        <v>0</v>
      </c>
      <c r="I2381" s="87" t="b">
        <v>0</v>
      </c>
      <c r="J2381" s="173" t="s">
        <v>470</v>
      </c>
      <c r="K2381" s="174">
        <v>1125832000105</v>
      </c>
      <c r="L2381" s="173" t="s">
        <v>935</v>
      </c>
      <c r="M2381" s="173" t="s">
        <v>930</v>
      </c>
      <c r="N2381" s="173" t="s">
        <v>68</v>
      </c>
      <c r="O2381" s="87">
        <v>70</v>
      </c>
      <c r="P2381" s="173" t="s">
        <v>20</v>
      </c>
      <c r="Q2381" s="1" t="s">
        <v>1338</v>
      </c>
      <c r="R2381" s="175">
        <v>140</v>
      </c>
      <c r="S2381">
        <v>28</v>
      </c>
    </row>
    <row r="2382" spans="1:19" x14ac:dyDescent="0.25">
      <c r="A2382" s="87">
        <v>2019</v>
      </c>
      <c r="B2382" s="87">
        <v>11</v>
      </c>
      <c r="C2382" s="173" t="s">
        <v>16</v>
      </c>
      <c r="D2382" s="173" t="s">
        <v>229</v>
      </c>
      <c r="E2382" s="173" t="s">
        <v>24</v>
      </c>
      <c r="F2382" s="173" t="s">
        <v>16</v>
      </c>
      <c r="G2382" s="87" t="b">
        <v>1</v>
      </c>
      <c r="H2382" s="87" t="b">
        <v>0</v>
      </c>
      <c r="I2382" s="87" t="b">
        <v>0</v>
      </c>
      <c r="J2382" s="173" t="s">
        <v>464</v>
      </c>
      <c r="K2382" s="174">
        <v>1277573000120</v>
      </c>
      <c r="L2382" s="173" t="s">
        <v>760</v>
      </c>
      <c r="M2382" s="173" t="s">
        <v>745</v>
      </c>
      <c r="N2382" s="173" t="s">
        <v>59</v>
      </c>
      <c r="O2382" s="87">
        <v>64</v>
      </c>
      <c r="P2382" s="173" t="s">
        <v>25</v>
      </c>
      <c r="Q2382" s="1" t="s">
        <v>1344</v>
      </c>
      <c r="R2382" s="175">
        <v>11</v>
      </c>
      <c r="S2382">
        <v>11</v>
      </c>
    </row>
    <row r="2383" spans="1:19" x14ac:dyDescent="0.25">
      <c r="A2383" s="87">
        <v>2019</v>
      </c>
      <c r="B2383" s="87">
        <v>11</v>
      </c>
      <c r="C2383" s="173" t="s">
        <v>16</v>
      </c>
      <c r="D2383" s="173" t="s">
        <v>229</v>
      </c>
      <c r="E2383" s="173" t="s">
        <v>24</v>
      </c>
      <c r="F2383" s="173" t="s">
        <v>16</v>
      </c>
      <c r="G2383" s="87" t="b">
        <v>1</v>
      </c>
      <c r="H2383" s="87" t="b">
        <v>0</v>
      </c>
      <c r="I2383" s="87" t="b">
        <v>0</v>
      </c>
      <c r="J2383" s="173" t="s">
        <v>450</v>
      </c>
      <c r="K2383" s="174">
        <v>1326206000179</v>
      </c>
      <c r="L2383" s="173" t="s">
        <v>761</v>
      </c>
      <c r="M2383" s="173" t="s">
        <v>762</v>
      </c>
      <c r="N2383" s="173" t="s">
        <v>59</v>
      </c>
      <c r="O2383" s="87">
        <v>73</v>
      </c>
      <c r="P2383" s="173" t="s">
        <v>26</v>
      </c>
      <c r="Q2383" s="1" t="s">
        <v>1339</v>
      </c>
      <c r="R2383" s="175">
        <v>4</v>
      </c>
      <c r="S2383">
        <v>2</v>
      </c>
    </row>
    <row r="2384" spans="1:19" x14ac:dyDescent="0.25">
      <c r="A2384" s="87">
        <v>2019</v>
      </c>
      <c r="B2384" s="87">
        <v>11</v>
      </c>
      <c r="C2384" s="173" t="s">
        <v>16</v>
      </c>
      <c r="D2384" s="173" t="s">
        <v>229</v>
      </c>
      <c r="E2384" s="173" t="s">
        <v>24</v>
      </c>
      <c r="F2384" s="173" t="s">
        <v>16</v>
      </c>
      <c r="G2384" s="87" t="b">
        <v>1</v>
      </c>
      <c r="H2384" s="87" t="b">
        <v>0</v>
      </c>
      <c r="I2384" s="87" t="b">
        <v>0</v>
      </c>
      <c r="J2384" s="173" t="s">
        <v>468</v>
      </c>
      <c r="K2384" s="174">
        <v>1326206000179</v>
      </c>
      <c r="L2384" s="173" t="s">
        <v>761</v>
      </c>
      <c r="M2384" s="173" t="s">
        <v>762</v>
      </c>
      <c r="N2384" s="173" t="s">
        <v>59</v>
      </c>
      <c r="O2384" s="87">
        <v>73</v>
      </c>
      <c r="P2384" s="173" t="s">
        <v>26</v>
      </c>
      <c r="Q2384" s="1" t="s">
        <v>1339</v>
      </c>
      <c r="R2384" s="175">
        <v>4</v>
      </c>
      <c r="S2384">
        <v>2</v>
      </c>
    </row>
    <row r="2385" spans="1:19" x14ac:dyDescent="0.25">
      <c r="A2385" s="87">
        <v>2019</v>
      </c>
      <c r="B2385" s="87">
        <v>11</v>
      </c>
      <c r="C2385" s="173" t="s">
        <v>16</v>
      </c>
      <c r="D2385" s="173" t="s">
        <v>229</v>
      </c>
      <c r="E2385" s="173" t="s">
        <v>24</v>
      </c>
      <c r="F2385" s="173" t="s">
        <v>16</v>
      </c>
      <c r="G2385" s="87" t="b">
        <v>1</v>
      </c>
      <c r="H2385" s="87" t="b">
        <v>0</v>
      </c>
      <c r="I2385" s="87" t="b">
        <v>0</v>
      </c>
      <c r="J2385" s="173" t="s">
        <v>468</v>
      </c>
      <c r="K2385" s="174">
        <v>1326206000179</v>
      </c>
      <c r="L2385" s="173" t="s">
        <v>761</v>
      </c>
      <c r="M2385" s="173" t="s">
        <v>762</v>
      </c>
      <c r="N2385" s="173" t="s">
        <v>59</v>
      </c>
      <c r="O2385" s="87">
        <v>73</v>
      </c>
      <c r="P2385" s="173" t="s">
        <v>26</v>
      </c>
      <c r="Q2385" s="1" t="s">
        <v>1342</v>
      </c>
      <c r="R2385" s="175">
        <v>16</v>
      </c>
      <c r="S2385">
        <v>4</v>
      </c>
    </row>
    <row r="2386" spans="1:19" x14ac:dyDescent="0.25">
      <c r="A2386" s="87">
        <v>2019</v>
      </c>
      <c r="B2386" s="87">
        <v>11</v>
      </c>
      <c r="C2386" s="173" t="s">
        <v>16</v>
      </c>
      <c r="D2386" s="173" t="s">
        <v>229</v>
      </c>
      <c r="E2386" s="173" t="s">
        <v>24</v>
      </c>
      <c r="F2386" s="173" t="s">
        <v>16</v>
      </c>
      <c r="G2386" s="87" t="b">
        <v>1</v>
      </c>
      <c r="H2386" s="87" t="b">
        <v>0</v>
      </c>
      <c r="I2386" s="87" t="b">
        <v>0</v>
      </c>
      <c r="J2386" s="173" t="s">
        <v>468</v>
      </c>
      <c r="K2386" s="174">
        <v>1326206000179</v>
      </c>
      <c r="L2386" s="173" t="s">
        <v>761</v>
      </c>
      <c r="M2386" s="173" t="s">
        <v>762</v>
      </c>
      <c r="N2386" s="173" t="s">
        <v>59</v>
      </c>
      <c r="O2386" s="87">
        <v>73</v>
      </c>
      <c r="P2386" s="173" t="s">
        <v>26</v>
      </c>
      <c r="Q2386" s="1" t="s">
        <v>1340</v>
      </c>
      <c r="R2386" s="175">
        <v>2</v>
      </c>
      <c r="S2386">
        <v>2</v>
      </c>
    </row>
    <row r="2387" spans="1:19" x14ac:dyDescent="0.25">
      <c r="A2387" s="87">
        <v>2019</v>
      </c>
      <c r="B2387" s="87">
        <v>11</v>
      </c>
      <c r="C2387" s="173" t="s">
        <v>16</v>
      </c>
      <c r="D2387" s="173" t="s">
        <v>229</v>
      </c>
      <c r="E2387" s="173" t="s">
        <v>24</v>
      </c>
      <c r="F2387" s="173" t="s">
        <v>16</v>
      </c>
      <c r="G2387" s="87" t="b">
        <v>1</v>
      </c>
      <c r="H2387" s="87" t="b">
        <v>0</v>
      </c>
      <c r="I2387" s="87" t="b">
        <v>0</v>
      </c>
      <c r="J2387" s="173" t="s">
        <v>478</v>
      </c>
      <c r="K2387" s="174">
        <v>1396804000114</v>
      </c>
      <c r="L2387" s="173" t="s">
        <v>1140</v>
      </c>
      <c r="M2387" s="173" t="s">
        <v>97</v>
      </c>
      <c r="N2387" s="173" t="s">
        <v>98</v>
      </c>
      <c r="O2387" s="87">
        <v>70</v>
      </c>
      <c r="P2387" s="173" t="s">
        <v>20</v>
      </c>
      <c r="Q2387" s="1" t="s">
        <v>1338</v>
      </c>
      <c r="R2387" s="175">
        <v>25</v>
      </c>
      <c r="S2387">
        <v>5</v>
      </c>
    </row>
    <row r="2388" spans="1:19" x14ac:dyDescent="0.25">
      <c r="A2388" s="87">
        <v>2019</v>
      </c>
      <c r="B2388" s="87">
        <v>11</v>
      </c>
      <c r="C2388" s="173" t="s">
        <v>16</v>
      </c>
      <c r="D2388" s="173" t="s">
        <v>229</v>
      </c>
      <c r="E2388" s="173" t="s">
        <v>24</v>
      </c>
      <c r="F2388" s="173" t="s">
        <v>16</v>
      </c>
      <c r="G2388" s="87" t="b">
        <v>1</v>
      </c>
      <c r="H2388" s="87" t="b">
        <v>0</v>
      </c>
      <c r="I2388" s="87" t="b">
        <v>0</v>
      </c>
      <c r="J2388" s="173" t="s">
        <v>478</v>
      </c>
      <c r="K2388" s="174">
        <v>1454407000151</v>
      </c>
      <c r="L2388" s="173" t="s">
        <v>764</v>
      </c>
      <c r="M2388" s="173" t="s">
        <v>742</v>
      </c>
      <c r="N2388" s="173" t="s">
        <v>91</v>
      </c>
      <c r="O2388" s="87">
        <v>70</v>
      </c>
      <c r="P2388" s="173" t="s">
        <v>20</v>
      </c>
      <c r="Q2388" s="1" t="s">
        <v>1338</v>
      </c>
      <c r="R2388" s="175">
        <v>180</v>
      </c>
      <c r="S2388">
        <v>36</v>
      </c>
    </row>
    <row r="2389" spans="1:19" x14ac:dyDescent="0.25">
      <c r="A2389" s="87">
        <v>2019</v>
      </c>
      <c r="B2389" s="87">
        <v>11</v>
      </c>
      <c r="C2389" s="173" t="s">
        <v>16</v>
      </c>
      <c r="D2389" s="173" t="s">
        <v>229</v>
      </c>
      <c r="E2389" s="173" t="s">
        <v>24</v>
      </c>
      <c r="F2389" s="173" t="s">
        <v>16</v>
      </c>
      <c r="G2389" s="87" t="b">
        <v>1</v>
      </c>
      <c r="H2389" s="87" t="b">
        <v>0</v>
      </c>
      <c r="I2389" s="87" t="b">
        <v>0</v>
      </c>
      <c r="J2389" s="173" t="s">
        <v>449</v>
      </c>
      <c r="K2389" s="174">
        <v>1517626000132</v>
      </c>
      <c r="L2389" s="173" t="s">
        <v>937</v>
      </c>
      <c r="M2389" s="173" t="s">
        <v>938</v>
      </c>
      <c r="N2389" s="173" t="s">
        <v>68</v>
      </c>
      <c r="O2389" s="87">
        <v>73</v>
      </c>
      <c r="P2389" s="173" t="s">
        <v>26</v>
      </c>
      <c r="Q2389" s="1" t="s">
        <v>1342</v>
      </c>
      <c r="R2389" s="175">
        <v>12</v>
      </c>
      <c r="S2389">
        <v>3</v>
      </c>
    </row>
    <row r="2390" spans="1:19" x14ac:dyDescent="0.25">
      <c r="A2390" s="87">
        <v>2019</v>
      </c>
      <c r="B2390" s="87">
        <v>11</v>
      </c>
      <c r="C2390" s="173" t="s">
        <v>16</v>
      </c>
      <c r="D2390" s="173" t="s">
        <v>229</v>
      </c>
      <c r="E2390" s="173" t="s">
        <v>24</v>
      </c>
      <c r="F2390" s="173" t="s">
        <v>16</v>
      </c>
      <c r="G2390" s="87" t="b">
        <v>1</v>
      </c>
      <c r="H2390" s="87" t="b">
        <v>0</v>
      </c>
      <c r="I2390" s="87" t="b">
        <v>0</v>
      </c>
      <c r="J2390" s="173" t="s">
        <v>470</v>
      </c>
      <c r="K2390" s="174">
        <v>1554266000300</v>
      </c>
      <c r="L2390" s="173" t="s">
        <v>940</v>
      </c>
      <c r="M2390" s="173" t="s">
        <v>113</v>
      </c>
      <c r="N2390" s="173" t="s">
        <v>68</v>
      </c>
      <c r="O2390" s="87">
        <v>70</v>
      </c>
      <c r="P2390" s="173" t="s">
        <v>20</v>
      </c>
      <c r="Q2390" s="1" t="s">
        <v>1338</v>
      </c>
      <c r="R2390" s="175">
        <v>70</v>
      </c>
      <c r="S2390">
        <v>14</v>
      </c>
    </row>
    <row r="2391" spans="1:19" x14ac:dyDescent="0.25">
      <c r="A2391" s="87">
        <v>2019</v>
      </c>
      <c r="B2391" s="87">
        <v>11</v>
      </c>
      <c r="C2391" s="173" t="s">
        <v>16</v>
      </c>
      <c r="D2391" s="173" t="s">
        <v>229</v>
      </c>
      <c r="E2391" s="173" t="s">
        <v>24</v>
      </c>
      <c r="F2391" s="173" t="s">
        <v>16</v>
      </c>
      <c r="G2391" s="87" t="b">
        <v>1</v>
      </c>
      <c r="H2391" s="87" t="b">
        <v>0</v>
      </c>
      <c r="I2391" s="87" t="b">
        <v>0</v>
      </c>
      <c r="J2391" s="173" t="s">
        <v>470</v>
      </c>
      <c r="K2391" s="174">
        <v>1613433006892</v>
      </c>
      <c r="L2391" s="173" t="s">
        <v>638</v>
      </c>
      <c r="M2391" s="173" t="s">
        <v>639</v>
      </c>
      <c r="N2391" s="173" t="s">
        <v>19</v>
      </c>
      <c r="O2391" s="87">
        <v>70</v>
      </c>
      <c r="P2391" s="173" t="s">
        <v>20</v>
      </c>
      <c r="Q2391" s="1" t="s">
        <v>1338</v>
      </c>
      <c r="R2391" s="175">
        <v>805</v>
      </c>
      <c r="S2391">
        <v>161</v>
      </c>
    </row>
    <row r="2392" spans="1:19" x14ac:dyDescent="0.25">
      <c r="A2392" s="87">
        <v>2019</v>
      </c>
      <c r="B2392" s="87">
        <v>11</v>
      </c>
      <c r="C2392" s="173" t="s">
        <v>16</v>
      </c>
      <c r="D2392" s="173" t="s">
        <v>229</v>
      </c>
      <c r="E2392" s="173" t="s">
        <v>24</v>
      </c>
      <c r="F2392" s="173" t="s">
        <v>16</v>
      </c>
      <c r="G2392" s="87" t="b">
        <v>1</v>
      </c>
      <c r="H2392" s="87" t="b">
        <v>0</v>
      </c>
      <c r="I2392" s="87" t="b">
        <v>0</v>
      </c>
      <c r="J2392" s="173" t="s">
        <v>451</v>
      </c>
      <c r="K2392" s="174">
        <v>1682668000129</v>
      </c>
      <c r="L2392" s="173" t="s">
        <v>769</v>
      </c>
      <c r="M2392" s="173" t="s">
        <v>739</v>
      </c>
      <c r="N2392" s="173" t="s">
        <v>55</v>
      </c>
      <c r="O2392" s="87">
        <v>70</v>
      </c>
      <c r="P2392" s="173" t="s">
        <v>20</v>
      </c>
      <c r="Q2392" s="1" t="s">
        <v>1338</v>
      </c>
      <c r="R2392" s="175">
        <v>25</v>
      </c>
      <c r="S2392">
        <v>5</v>
      </c>
    </row>
    <row r="2393" spans="1:19" x14ac:dyDescent="0.25">
      <c r="A2393" s="87">
        <v>2019</v>
      </c>
      <c r="B2393" s="87">
        <v>11</v>
      </c>
      <c r="C2393" s="173" t="s">
        <v>16</v>
      </c>
      <c r="D2393" s="173" t="s">
        <v>229</v>
      </c>
      <c r="E2393" s="173" t="s">
        <v>24</v>
      </c>
      <c r="F2393" s="173" t="s">
        <v>16</v>
      </c>
      <c r="G2393" s="87" t="b">
        <v>1</v>
      </c>
      <c r="H2393" s="87" t="b">
        <v>0</v>
      </c>
      <c r="I2393" s="87" t="b">
        <v>0</v>
      </c>
      <c r="J2393" s="173" t="s">
        <v>1512</v>
      </c>
      <c r="K2393" s="174">
        <v>1757351000104</v>
      </c>
      <c r="L2393" s="173" t="s">
        <v>771</v>
      </c>
      <c r="M2393" s="173" t="s">
        <v>772</v>
      </c>
      <c r="N2393" s="173" t="s">
        <v>69</v>
      </c>
      <c r="O2393" s="87">
        <v>62</v>
      </c>
      <c r="P2393" s="173" t="s">
        <v>27</v>
      </c>
      <c r="Q2393" s="1" t="s">
        <v>1343</v>
      </c>
      <c r="R2393" s="175">
        <v>4</v>
      </c>
      <c r="S2393">
        <v>4</v>
      </c>
    </row>
    <row r="2394" spans="1:19" x14ac:dyDescent="0.25">
      <c r="A2394" s="87">
        <v>2019</v>
      </c>
      <c r="B2394" s="87">
        <v>11</v>
      </c>
      <c r="C2394" s="173" t="s">
        <v>16</v>
      </c>
      <c r="D2394" s="173" t="s">
        <v>229</v>
      </c>
      <c r="E2394" s="173" t="s">
        <v>24</v>
      </c>
      <c r="F2394" s="173" t="s">
        <v>16</v>
      </c>
      <c r="G2394" s="87" t="b">
        <v>1</v>
      </c>
      <c r="H2394" s="87" t="b">
        <v>0</v>
      </c>
      <c r="I2394" s="87" t="b">
        <v>0</v>
      </c>
      <c r="J2394" s="173" t="s">
        <v>470</v>
      </c>
      <c r="K2394" s="174">
        <v>1757351000104</v>
      </c>
      <c r="L2394" s="173" t="s">
        <v>771</v>
      </c>
      <c r="M2394" s="173" t="s">
        <v>772</v>
      </c>
      <c r="N2394" s="173" t="s">
        <v>69</v>
      </c>
      <c r="O2394" s="87">
        <v>64</v>
      </c>
      <c r="P2394" s="173" t="s">
        <v>25</v>
      </c>
      <c r="Q2394" s="1" t="s">
        <v>1344</v>
      </c>
      <c r="R2394" s="175">
        <v>5</v>
      </c>
      <c r="S2394">
        <v>5</v>
      </c>
    </row>
    <row r="2395" spans="1:19" x14ac:dyDescent="0.25">
      <c r="A2395" s="87">
        <v>2019</v>
      </c>
      <c r="B2395" s="87">
        <v>11</v>
      </c>
      <c r="C2395" s="173" t="s">
        <v>16</v>
      </c>
      <c r="D2395" s="173" t="s">
        <v>229</v>
      </c>
      <c r="E2395" s="173" t="s">
        <v>24</v>
      </c>
      <c r="F2395" s="173" t="s">
        <v>16</v>
      </c>
      <c r="G2395" s="87" t="b">
        <v>1</v>
      </c>
      <c r="H2395" s="87" t="b">
        <v>0</v>
      </c>
      <c r="I2395" s="87" t="b">
        <v>0</v>
      </c>
      <c r="J2395" s="173" t="s">
        <v>464</v>
      </c>
      <c r="K2395" s="174">
        <v>1880344000103</v>
      </c>
      <c r="L2395" s="173" t="s">
        <v>941</v>
      </c>
      <c r="M2395" s="173" t="s">
        <v>93</v>
      </c>
      <c r="N2395" s="173" t="s">
        <v>68</v>
      </c>
      <c r="O2395" s="87">
        <v>70</v>
      </c>
      <c r="P2395" s="173" t="s">
        <v>20</v>
      </c>
      <c r="Q2395" s="1" t="s">
        <v>1338</v>
      </c>
      <c r="R2395" s="175">
        <v>20</v>
      </c>
      <c r="S2395">
        <v>4</v>
      </c>
    </row>
    <row r="2396" spans="1:19" x14ac:dyDescent="0.25">
      <c r="A2396" s="87">
        <v>2019</v>
      </c>
      <c r="B2396" s="87">
        <v>11</v>
      </c>
      <c r="C2396" s="173" t="s">
        <v>16</v>
      </c>
      <c r="D2396" s="173" t="s">
        <v>229</v>
      </c>
      <c r="E2396" s="173" t="s">
        <v>24</v>
      </c>
      <c r="F2396" s="173" t="s">
        <v>16</v>
      </c>
      <c r="G2396" s="87" t="b">
        <v>1</v>
      </c>
      <c r="H2396" s="87" t="b">
        <v>0</v>
      </c>
      <c r="I2396" s="87" t="b">
        <v>0</v>
      </c>
      <c r="J2396" s="173" t="s">
        <v>491</v>
      </c>
      <c r="K2396" s="174">
        <v>2284062000521</v>
      </c>
      <c r="L2396" s="173" t="s">
        <v>1077</v>
      </c>
      <c r="M2396" s="173" t="s">
        <v>131</v>
      </c>
      <c r="N2396" s="173" t="s">
        <v>61</v>
      </c>
      <c r="O2396" s="87">
        <v>64</v>
      </c>
      <c r="P2396" s="173" t="s">
        <v>25</v>
      </c>
      <c r="Q2396" s="1" t="s">
        <v>1344</v>
      </c>
      <c r="R2396" s="175">
        <v>5</v>
      </c>
      <c r="S2396">
        <v>5</v>
      </c>
    </row>
    <row r="2397" spans="1:19" x14ac:dyDescent="0.25">
      <c r="A2397" s="87">
        <v>2019</v>
      </c>
      <c r="B2397" s="87">
        <v>11</v>
      </c>
      <c r="C2397" s="173" t="s">
        <v>16</v>
      </c>
      <c r="D2397" s="173" t="s">
        <v>229</v>
      </c>
      <c r="E2397" s="173" t="s">
        <v>24</v>
      </c>
      <c r="F2397" s="173" t="s">
        <v>16</v>
      </c>
      <c r="G2397" s="87" t="b">
        <v>1</v>
      </c>
      <c r="H2397" s="87" t="b">
        <v>0</v>
      </c>
      <c r="I2397" s="87" t="b">
        <v>0</v>
      </c>
      <c r="J2397" s="173" t="s">
        <v>453</v>
      </c>
      <c r="K2397" s="174">
        <v>2284062001170</v>
      </c>
      <c r="L2397" s="173" t="s">
        <v>776</v>
      </c>
      <c r="M2397" s="173" t="s">
        <v>777</v>
      </c>
      <c r="N2397" s="173" t="s">
        <v>72</v>
      </c>
      <c r="O2397" s="87">
        <v>64</v>
      </c>
      <c r="P2397" s="173" t="s">
        <v>25</v>
      </c>
      <c r="Q2397" s="1" t="s">
        <v>1344</v>
      </c>
      <c r="R2397" s="175">
        <v>2</v>
      </c>
      <c r="S2397">
        <v>2</v>
      </c>
    </row>
    <row r="2398" spans="1:19" x14ac:dyDescent="0.25">
      <c r="A2398" s="87">
        <v>2019</v>
      </c>
      <c r="B2398" s="87">
        <v>11</v>
      </c>
      <c r="C2398" s="173" t="s">
        <v>16</v>
      </c>
      <c r="D2398" s="173" t="s">
        <v>229</v>
      </c>
      <c r="E2398" s="173" t="s">
        <v>24</v>
      </c>
      <c r="F2398" s="173" t="s">
        <v>16</v>
      </c>
      <c r="G2398" s="87" t="b">
        <v>1</v>
      </c>
      <c r="H2398" s="87" t="b">
        <v>0</v>
      </c>
      <c r="I2398" s="87" t="b">
        <v>0</v>
      </c>
      <c r="J2398" s="173" t="s">
        <v>451</v>
      </c>
      <c r="K2398" s="174">
        <v>2383508000494</v>
      </c>
      <c r="L2398" s="173" t="s">
        <v>562</v>
      </c>
      <c r="M2398" s="173" t="s">
        <v>29</v>
      </c>
      <c r="N2398" s="173" t="s">
        <v>19</v>
      </c>
      <c r="O2398" s="87">
        <v>73</v>
      </c>
      <c r="P2398" s="173" t="s">
        <v>26</v>
      </c>
      <c r="Q2398" s="1" t="s">
        <v>1339</v>
      </c>
      <c r="R2398" s="175">
        <v>10</v>
      </c>
      <c r="S2398">
        <v>5</v>
      </c>
    </row>
    <row r="2399" spans="1:19" x14ac:dyDescent="0.25">
      <c r="A2399" s="87">
        <v>2019</v>
      </c>
      <c r="B2399" s="87">
        <v>11</v>
      </c>
      <c r="C2399" s="173" t="s">
        <v>16</v>
      </c>
      <c r="D2399" s="173" t="s">
        <v>229</v>
      </c>
      <c r="E2399" s="173" t="s">
        <v>24</v>
      </c>
      <c r="F2399" s="173" t="s">
        <v>16</v>
      </c>
      <c r="G2399" s="87" t="b">
        <v>1</v>
      </c>
      <c r="H2399" s="87" t="b">
        <v>0</v>
      </c>
      <c r="I2399" s="87" t="b">
        <v>0</v>
      </c>
      <c r="J2399" s="173" t="s">
        <v>451</v>
      </c>
      <c r="K2399" s="174">
        <v>2383508000494</v>
      </c>
      <c r="L2399" s="173" t="s">
        <v>562</v>
      </c>
      <c r="M2399" s="173" t="s">
        <v>29</v>
      </c>
      <c r="N2399" s="173" t="s">
        <v>19</v>
      </c>
      <c r="O2399" s="87">
        <v>73</v>
      </c>
      <c r="P2399" s="173" t="s">
        <v>26</v>
      </c>
      <c r="Q2399" s="1" t="s">
        <v>1342</v>
      </c>
      <c r="R2399" s="175">
        <v>4</v>
      </c>
      <c r="S2399">
        <v>1</v>
      </c>
    </row>
    <row r="2400" spans="1:19" x14ac:dyDescent="0.25">
      <c r="A2400" s="87">
        <v>2019</v>
      </c>
      <c r="B2400" s="87">
        <v>11</v>
      </c>
      <c r="C2400" s="173" t="s">
        <v>16</v>
      </c>
      <c r="D2400" s="173" t="s">
        <v>229</v>
      </c>
      <c r="E2400" s="173" t="s">
        <v>24</v>
      </c>
      <c r="F2400" s="173" t="s">
        <v>16</v>
      </c>
      <c r="G2400" s="87" t="b">
        <v>1</v>
      </c>
      <c r="H2400" s="87" t="b">
        <v>0</v>
      </c>
      <c r="I2400" s="87" t="b">
        <v>0</v>
      </c>
      <c r="J2400" s="173" t="s">
        <v>451</v>
      </c>
      <c r="K2400" s="174">
        <v>2383508000494</v>
      </c>
      <c r="L2400" s="173" t="s">
        <v>562</v>
      </c>
      <c r="M2400" s="173" t="s">
        <v>29</v>
      </c>
      <c r="N2400" s="173" t="s">
        <v>19</v>
      </c>
      <c r="O2400" s="87">
        <v>73</v>
      </c>
      <c r="P2400" s="173" t="s">
        <v>26</v>
      </c>
      <c r="Q2400" s="1" t="s">
        <v>1340</v>
      </c>
      <c r="R2400" s="175">
        <v>3</v>
      </c>
      <c r="S2400">
        <v>3</v>
      </c>
    </row>
    <row r="2401" spans="1:19" x14ac:dyDescent="0.25">
      <c r="A2401" s="87">
        <v>2019</v>
      </c>
      <c r="B2401" s="87">
        <v>11</v>
      </c>
      <c r="C2401" s="173" t="s">
        <v>16</v>
      </c>
      <c r="D2401" s="173" t="s">
        <v>229</v>
      </c>
      <c r="E2401" s="173" t="s">
        <v>24</v>
      </c>
      <c r="F2401" s="173" t="s">
        <v>16</v>
      </c>
      <c r="G2401" s="87" t="b">
        <v>1</v>
      </c>
      <c r="H2401" s="87" t="b">
        <v>0</v>
      </c>
      <c r="I2401" s="87" t="b">
        <v>0</v>
      </c>
      <c r="J2401" s="173" t="s">
        <v>468</v>
      </c>
      <c r="K2401" s="174">
        <v>2476067000203</v>
      </c>
      <c r="L2401" s="173" t="s">
        <v>779</v>
      </c>
      <c r="M2401" s="173" t="s">
        <v>745</v>
      </c>
      <c r="N2401" s="173" t="s">
        <v>59</v>
      </c>
      <c r="O2401" s="87">
        <v>73</v>
      </c>
      <c r="P2401" s="173" t="s">
        <v>26</v>
      </c>
      <c r="Q2401" s="1" t="s">
        <v>1339</v>
      </c>
      <c r="R2401" s="175">
        <v>2</v>
      </c>
      <c r="S2401">
        <v>1</v>
      </c>
    </row>
    <row r="2402" spans="1:19" x14ac:dyDescent="0.25">
      <c r="A2402" s="87">
        <v>2019</v>
      </c>
      <c r="B2402" s="87">
        <v>11</v>
      </c>
      <c r="C2402" s="173" t="s">
        <v>16</v>
      </c>
      <c r="D2402" s="173" t="s">
        <v>229</v>
      </c>
      <c r="E2402" s="173" t="s">
        <v>24</v>
      </c>
      <c r="F2402" s="173" t="s">
        <v>16</v>
      </c>
      <c r="G2402" s="87" t="b">
        <v>1</v>
      </c>
      <c r="H2402" s="87" t="b">
        <v>0</v>
      </c>
      <c r="I2402" s="87" t="b">
        <v>0</v>
      </c>
      <c r="J2402" s="173" t="s">
        <v>468</v>
      </c>
      <c r="K2402" s="174">
        <v>2476067000203</v>
      </c>
      <c r="L2402" s="173" t="s">
        <v>779</v>
      </c>
      <c r="M2402" s="173" t="s">
        <v>745</v>
      </c>
      <c r="N2402" s="173" t="s">
        <v>59</v>
      </c>
      <c r="O2402" s="87">
        <v>73</v>
      </c>
      <c r="P2402" s="173" t="s">
        <v>26</v>
      </c>
      <c r="Q2402" s="1" t="s">
        <v>1342</v>
      </c>
      <c r="R2402" s="175">
        <v>48</v>
      </c>
      <c r="S2402">
        <v>12</v>
      </c>
    </row>
    <row r="2403" spans="1:19" x14ac:dyDescent="0.25">
      <c r="A2403" s="87">
        <v>2019</v>
      </c>
      <c r="B2403" s="87">
        <v>11</v>
      </c>
      <c r="C2403" s="173" t="s">
        <v>16</v>
      </c>
      <c r="D2403" s="173" t="s">
        <v>229</v>
      </c>
      <c r="E2403" s="173" t="s">
        <v>24</v>
      </c>
      <c r="F2403" s="173" t="s">
        <v>16</v>
      </c>
      <c r="G2403" s="87" t="b">
        <v>1</v>
      </c>
      <c r="H2403" s="87" t="b">
        <v>0</v>
      </c>
      <c r="I2403" s="87" t="b">
        <v>0</v>
      </c>
      <c r="J2403" s="173" t="s">
        <v>468</v>
      </c>
      <c r="K2403" s="174">
        <v>2476067000203</v>
      </c>
      <c r="L2403" s="173" t="s">
        <v>779</v>
      </c>
      <c r="M2403" s="173" t="s">
        <v>745</v>
      </c>
      <c r="N2403" s="173" t="s">
        <v>59</v>
      </c>
      <c r="O2403" s="87">
        <v>73</v>
      </c>
      <c r="P2403" s="173" t="s">
        <v>26</v>
      </c>
      <c r="Q2403" s="1" t="s">
        <v>1340</v>
      </c>
      <c r="R2403" s="175">
        <v>4</v>
      </c>
      <c r="S2403">
        <v>4</v>
      </c>
    </row>
    <row r="2404" spans="1:19" x14ac:dyDescent="0.25">
      <c r="A2404" s="87">
        <v>2019</v>
      </c>
      <c r="B2404" s="87">
        <v>11</v>
      </c>
      <c r="C2404" s="173" t="s">
        <v>16</v>
      </c>
      <c r="D2404" s="173" t="s">
        <v>229</v>
      </c>
      <c r="E2404" s="173" t="s">
        <v>24</v>
      </c>
      <c r="F2404" s="173" t="s">
        <v>16</v>
      </c>
      <c r="G2404" s="87" t="b">
        <v>1</v>
      </c>
      <c r="H2404" s="87" t="b">
        <v>0</v>
      </c>
      <c r="I2404" s="87" t="b">
        <v>0</v>
      </c>
      <c r="J2404" s="173" t="s">
        <v>463</v>
      </c>
      <c r="K2404" s="174">
        <v>2476067000203</v>
      </c>
      <c r="L2404" s="173" t="s">
        <v>779</v>
      </c>
      <c r="M2404" s="173" t="s">
        <v>745</v>
      </c>
      <c r="N2404" s="173" t="s">
        <v>59</v>
      </c>
      <c r="O2404" s="87">
        <v>73</v>
      </c>
      <c r="P2404" s="173" t="s">
        <v>26</v>
      </c>
      <c r="Q2404" s="1" t="s">
        <v>1340</v>
      </c>
      <c r="R2404" s="175">
        <v>4</v>
      </c>
      <c r="S2404">
        <v>4</v>
      </c>
    </row>
    <row r="2405" spans="1:19" x14ac:dyDescent="0.25">
      <c r="A2405" s="87">
        <v>2019</v>
      </c>
      <c r="B2405" s="87">
        <v>11</v>
      </c>
      <c r="C2405" s="173" t="s">
        <v>16</v>
      </c>
      <c r="D2405" s="173" t="s">
        <v>229</v>
      </c>
      <c r="E2405" s="173" t="s">
        <v>24</v>
      </c>
      <c r="F2405" s="173" t="s">
        <v>16</v>
      </c>
      <c r="G2405" s="87" t="b">
        <v>1</v>
      </c>
      <c r="H2405" s="87" t="b">
        <v>0</v>
      </c>
      <c r="I2405" s="87" t="b">
        <v>0</v>
      </c>
      <c r="J2405" s="173" t="s">
        <v>506</v>
      </c>
      <c r="K2405" s="174">
        <v>2476067000394</v>
      </c>
      <c r="L2405" s="173" t="s">
        <v>780</v>
      </c>
      <c r="M2405" s="173" t="s">
        <v>745</v>
      </c>
      <c r="N2405" s="173" t="s">
        <v>59</v>
      </c>
      <c r="O2405" s="87">
        <v>70</v>
      </c>
      <c r="P2405" s="173" t="s">
        <v>20</v>
      </c>
      <c r="Q2405" s="1" t="s">
        <v>1338</v>
      </c>
      <c r="R2405" s="175">
        <v>135</v>
      </c>
      <c r="S2405">
        <v>27</v>
      </c>
    </row>
    <row r="2406" spans="1:19" x14ac:dyDescent="0.25">
      <c r="A2406" s="87">
        <v>2019</v>
      </c>
      <c r="B2406" s="87">
        <v>11</v>
      </c>
      <c r="C2406" s="173" t="s">
        <v>16</v>
      </c>
      <c r="D2406" s="173" t="s">
        <v>229</v>
      </c>
      <c r="E2406" s="173" t="s">
        <v>24</v>
      </c>
      <c r="F2406" s="173" t="s">
        <v>16</v>
      </c>
      <c r="G2406" s="87" t="b">
        <v>1</v>
      </c>
      <c r="H2406" s="87" t="b">
        <v>0</v>
      </c>
      <c r="I2406" s="87" t="b">
        <v>0</v>
      </c>
      <c r="J2406" s="173" t="s">
        <v>470</v>
      </c>
      <c r="K2406" s="174">
        <v>2560878000107</v>
      </c>
      <c r="L2406" s="173" t="s">
        <v>781</v>
      </c>
      <c r="M2406" s="173" t="s">
        <v>739</v>
      </c>
      <c r="N2406" s="173" t="s">
        <v>55</v>
      </c>
      <c r="O2406" s="87">
        <v>62</v>
      </c>
      <c r="P2406" s="173" t="s">
        <v>27</v>
      </c>
      <c r="Q2406" s="1" t="s">
        <v>1343</v>
      </c>
      <c r="R2406" s="175">
        <v>3</v>
      </c>
      <c r="S2406">
        <v>3</v>
      </c>
    </row>
    <row r="2407" spans="1:19" x14ac:dyDescent="0.25">
      <c r="A2407" s="87">
        <v>2019</v>
      </c>
      <c r="B2407" s="87">
        <v>11</v>
      </c>
      <c r="C2407" s="173" t="s">
        <v>16</v>
      </c>
      <c r="D2407" s="173" t="s">
        <v>229</v>
      </c>
      <c r="E2407" s="173" t="s">
        <v>24</v>
      </c>
      <c r="F2407" s="173" t="s">
        <v>16</v>
      </c>
      <c r="G2407" s="87" t="b">
        <v>1</v>
      </c>
      <c r="H2407" s="87" t="b">
        <v>0</v>
      </c>
      <c r="I2407" s="87" t="b">
        <v>0</v>
      </c>
      <c r="J2407" s="173" t="s">
        <v>1512</v>
      </c>
      <c r="K2407" s="174">
        <v>2560878000107</v>
      </c>
      <c r="L2407" s="173" t="s">
        <v>781</v>
      </c>
      <c r="M2407" s="173" t="s">
        <v>739</v>
      </c>
      <c r="N2407" s="173" t="s">
        <v>55</v>
      </c>
      <c r="O2407" s="87">
        <v>62</v>
      </c>
      <c r="P2407" s="173" t="s">
        <v>27</v>
      </c>
      <c r="Q2407" s="1" t="s">
        <v>1343</v>
      </c>
      <c r="R2407" s="175">
        <v>3</v>
      </c>
      <c r="S2407">
        <v>3</v>
      </c>
    </row>
    <row r="2408" spans="1:19" x14ac:dyDescent="0.25">
      <c r="A2408" s="87">
        <v>2019</v>
      </c>
      <c r="B2408" s="87">
        <v>11</v>
      </c>
      <c r="C2408" s="173" t="s">
        <v>16</v>
      </c>
      <c r="D2408" s="173" t="s">
        <v>229</v>
      </c>
      <c r="E2408" s="173" t="s">
        <v>24</v>
      </c>
      <c r="F2408" s="173" t="s">
        <v>16</v>
      </c>
      <c r="G2408" s="87" t="b">
        <v>1</v>
      </c>
      <c r="H2408" s="87" t="b">
        <v>0</v>
      </c>
      <c r="I2408" s="87" t="b">
        <v>0</v>
      </c>
      <c r="J2408" s="173" t="s">
        <v>468</v>
      </c>
      <c r="K2408" s="174">
        <v>2560878000107</v>
      </c>
      <c r="L2408" s="173" t="s">
        <v>781</v>
      </c>
      <c r="M2408" s="173" t="s">
        <v>739</v>
      </c>
      <c r="N2408" s="173" t="s">
        <v>55</v>
      </c>
      <c r="O2408" s="87">
        <v>64</v>
      </c>
      <c r="P2408" s="173" t="s">
        <v>25</v>
      </c>
      <c r="Q2408" s="1" t="s">
        <v>1344</v>
      </c>
      <c r="R2408" s="175">
        <v>12</v>
      </c>
      <c r="S2408">
        <v>12</v>
      </c>
    </row>
    <row r="2409" spans="1:19" x14ac:dyDescent="0.25">
      <c r="A2409" s="87">
        <v>2019</v>
      </c>
      <c r="B2409" s="87">
        <v>11</v>
      </c>
      <c r="C2409" s="173" t="s">
        <v>16</v>
      </c>
      <c r="D2409" s="173" t="s">
        <v>229</v>
      </c>
      <c r="E2409" s="173" t="s">
        <v>24</v>
      </c>
      <c r="F2409" s="173" t="s">
        <v>16</v>
      </c>
      <c r="G2409" s="87" t="b">
        <v>1</v>
      </c>
      <c r="H2409" s="87" t="b">
        <v>0</v>
      </c>
      <c r="I2409" s="87" t="b">
        <v>0</v>
      </c>
      <c r="J2409" s="173" t="s">
        <v>478</v>
      </c>
      <c r="K2409" s="174">
        <v>2560878000107</v>
      </c>
      <c r="L2409" s="173" t="s">
        <v>781</v>
      </c>
      <c r="M2409" s="173" t="s">
        <v>739</v>
      </c>
      <c r="N2409" s="173" t="s">
        <v>55</v>
      </c>
      <c r="O2409" s="87">
        <v>70</v>
      </c>
      <c r="P2409" s="173" t="s">
        <v>20</v>
      </c>
      <c r="Q2409" s="1" t="s">
        <v>1338</v>
      </c>
      <c r="R2409" s="175">
        <v>25</v>
      </c>
      <c r="S2409">
        <v>5</v>
      </c>
    </row>
    <row r="2410" spans="1:19" x14ac:dyDescent="0.25">
      <c r="A2410" s="87">
        <v>2019</v>
      </c>
      <c r="B2410" s="87">
        <v>11</v>
      </c>
      <c r="C2410" s="173" t="s">
        <v>16</v>
      </c>
      <c r="D2410" s="173" t="s">
        <v>229</v>
      </c>
      <c r="E2410" s="173" t="s">
        <v>24</v>
      </c>
      <c r="F2410" s="173" t="s">
        <v>16</v>
      </c>
      <c r="G2410" s="87" t="b">
        <v>1</v>
      </c>
      <c r="H2410" s="87" t="b">
        <v>0</v>
      </c>
      <c r="I2410" s="87" t="b">
        <v>0</v>
      </c>
      <c r="J2410" s="173" t="s">
        <v>470</v>
      </c>
      <c r="K2410" s="174">
        <v>2560878000107</v>
      </c>
      <c r="L2410" s="173" t="s">
        <v>781</v>
      </c>
      <c r="M2410" s="173" t="s">
        <v>739</v>
      </c>
      <c r="N2410" s="173" t="s">
        <v>55</v>
      </c>
      <c r="O2410" s="87">
        <v>70</v>
      </c>
      <c r="P2410" s="173" t="s">
        <v>20</v>
      </c>
      <c r="Q2410" s="1" t="s">
        <v>1338</v>
      </c>
      <c r="R2410" s="175">
        <v>5</v>
      </c>
      <c r="S2410">
        <v>1</v>
      </c>
    </row>
    <row r="2411" spans="1:19" x14ac:dyDescent="0.25">
      <c r="A2411" s="87">
        <v>2019</v>
      </c>
      <c r="B2411" s="87">
        <v>11</v>
      </c>
      <c r="C2411" s="173" t="s">
        <v>16</v>
      </c>
      <c r="D2411" s="173" t="s">
        <v>229</v>
      </c>
      <c r="E2411" s="173" t="s">
        <v>24</v>
      </c>
      <c r="F2411" s="173" t="s">
        <v>16</v>
      </c>
      <c r="G2411" s="87" t="b">
        <v>1</v>
      </c>
      <c r="H2411" s="87" t="b">
        <v>0</v>
      </c>
      <c r="I2411" s="87" t="b">
        <v>0</v>
      </c>
      <c r="J2411" s="173" t="s">
        <v>450</v>
      </c>
      <c r="K2411" s="174">
        <v>2560878000107</v>
      </c>
      <c r="L2411" s="173" t="s">
        <v>781</v>
      </c>
      <c r="M2411" s="173" t="s">
        <v>739</v>
      </c>
      <c r="N2411" s="173" t="s">
        <v>55</v>
      </c>
      <c r="O2411" s="87">
        <v>70</v>
      </c>
      <c r="P2411" s="173" t="s">
        <v>20</v>
      </c>
      <c r="Q2411" s="1" t="s">
        <v>1338</v>
      </c>
      <c r="R2411" s="175">
        <v>25</v>
      </c>
      <c r="S2411">
        <v>5</v>
      </c>
    </row>
    <row r="2412" spans="1:19" x14ac:dyDescent="0.25">
      <c r="A2412" s="87">
        <v>2019</v>
      </c>
      <c r="B2412" s="87">
        <v>11</v>
      </c>
      <c r="C2412" s="173" t="s">
        <v>16</v>
      </c>
      <c r="D2412" s="173" t="s">
        <v>229</v>
      </c>
      <c r="E2412" s="173" t="s">
        <v>24</v>
      </c>
      <c r="F2412" s="173" t="s">
        <v>16</v>
      </c>
      <c r="G2412" s="87" t="b">
        <v>1</v>
      </c>
      <c r="H2412" s="87" t="b">
        <v>0</v>
      </c>
      <c r="I2412" s="87" t="b">
        <v>0</v>
      </c>
      <c r="J2412" s="173" t="s">
        <v>451</v>
      </c>
      <c r="K2412" s="174">
        <v>2623693000102</v>
      </c>
      <c r="L2412" s="173" t="s">
        <v>1142</v>
      </c>
      <c r="M2412" s="173" t="s">
        <v>58</v>
      </c>
      <c r="N2412" s="173" t="s">
        <v>54</v>
      </c>
      <c r="O2412" s="87">
        <v>70</v>
      </c>
      <c r="P2412" s="173" t="s">
        <v>20</v>
      </c>
      <c r="Q2412" s="1" t="s">
        <v>1345</v>
      </c>
      <c r="R2412" s="175">
        <v>20</v>
      </c>
      <c r="S2412">
        <v>2</v>
      </c>
    </row>
    <row r="2413" spans="1:19" x14ac:dyDescent="0.25">
      <c r="A2413" s="87">
        <v>2019</v>
      </c>
      <c r="B2413" s="87">
        <v>11</v>
      </c>
      <c r="C2413" s="173" t="s">
        <v>16</v>
      </c>
      <c r="D2413" s="173" t="s">
        <v>229</v>
      </c>
      <c r="E2413" s="173" t="s">
        <v>24</v>
      </c>
      <c r="F2413" s="173" t="s">
        <v>16</v>
      </c>
      <c r="G2413" s="87" t="b">
        <v>1</v>
      </c>
      <c r="H2413" s="87" t="b">
        <v>0</v>
      </c>
      <c r="I2413" s="87" t="b">
        <v>0</v>
      </c>
      <c r="J2413" s="173" t="s">
        <v>463</v>
      </c>
      <c r="K2413" s="174">
        <v>2643405000173</v>
      </c>
      <c r="L2413" s="173" t="s">
        <v>642</v>
      </c>
      <c r="M2413" s="173" t="s">
        <v>643</v>
      </c>
      <c r="N2413" s="173" t="s">
        <v>19</v>
      </c>
      <c r="O2413" s="87">
        <v>73</v>
      </c>
      <c r="P2413" s="173" t="s">
        <v>26</v>
      </c>
      <c r="Q2413" s="1" t="s">
        <v>1339</v>
      </c>
      <c r="R2413" s="175">
        <v>12</v>
      </c>
      <c r="S2413">
        <v>6</v>
      </c>
    </row>
    <row r="2414" spans="1:19" x14ac:dyDescent="0.25">
      <c r="A2414" s="87">
        <v>2019</v>
      </c>
      <c r="B2414" s="87">
        <v>11</v>
      </c>
      <c r="C2414" s="173" t="s">
        <v>16</v>
      </c>
      <c r="D2414" s="173" t="s">
        <v>229</v>
      </c>
      <c r="E2414" s="173" t="s">
        <v>24</v>
      </c>
      <c r="F2414" s="173" t="s">
        <v>16</v>
      </c>
      <c r="G2414" s="87" t="b">
        <v>1</v>
      </c>
      <c r="H2414" s="87" t="b">
        <v>0</v>
      </c>
      <c r="I2414" s="87" t="b">
        <v>0</v>
      </c>
      <c r="J2414" s="173" t="s">
        <v>463</v>
      </c>
      <c r="K2414" s="174">
        <v>2643405000173</v>
      </c>
      <c r="L2414" s="173" t="s">
        <v>642</v>
      </c>
      <c r="M2414" s="173" t="s">
        <v>643</v>
      </c>
      <c r="N2414" s="173" t="s">
        <v>19</v>
      </c>
      <c r="O2414" s="87">
        <v>73</v>
      </c>
      <c r="P2414" s="173" t="s">
        <v>26</v>
      </c>
      <c r="Q2414" s="1" t="s">
        <v>1340</v>
      </c>
      <c r="R2414" s="175">
        <v>13</v>
      </c>
      <c r="S2414">
        <v>13</v>
      </c>
    </row>
    <row r="2415" spans="1:19" x14ac:dyDescent="0.25">
      <c r="A2415" s="87">
        <v>2019</v>
      </c>
      <c r="B2415" s="87">
        <v>11</v>
      </c>
      <c r="C2415" s="173" t="s">
        <v>16</v>
      </c>
      <c r="D2415" s="173" t="s">
        <v>229</v>
      </c>
      <c r="E2415" s="173" t="s">
        <v>24</v>
      </c>
      <c r="F2415" s="173" t="s">
        <v>16</v>
      </c>
      <c r="G2415" s="87" t="b">
        <v>1</v>
      </c>
      <c r="H2415" s="87" t="b">
        <v>0</v>
      </c>
      <c r="I2415" s="87" t="b">
        <v>0</v>
      </c>
      <c r="J2415" s="173" t="s">
        <v>450</v>
      </c>
      <c r="K2415" s="174">
        <v>2837922000183</v>
      </c>
      <c r="L2415" s="173" t="s">
        <v>563</v>
      </c>
      <c r="M2415" s="173" t="s">
        <v>29</v>
      </c>
      <c r="N2415" s="173" t="s">
        <v>19</v>
      </c>
      <c r="O2415" s="87">
        <v>73</v>
      </c>
      <c r="P2415" s="173" t="s">
        <v>26</v>
      </c>
      <c r="Q2415" s="1" t="s">
        <v>1342</v>
      </c>
      <c r="R2415" s="175">
        <v>48</v>
      </c>
      <c r="S2415">
        <v>12</v>
      </c>
    </row>
    <row r="2416" spans="1:19" x14ac:dyDescent="0.25">
      <c r="A2416" s="87">
        <v>2019</v>
      </c>
      <c r="B2416" s="87">
        <v>11</v>
      </c>
      <c r="C2416" s="173" t="s">
        <v>16</v>
      </c>
      <c r="D2416" s="173" t="s">
        <v>229</v>
      </c>
      <c r="E2416" s="173" t="s">
        <v>24</v>
      </c>
      <c r="F2416" s="173" t="s">
        <v>16</v>
      </c>
      <c r="G2416" s="87" t="b">
        <v>1</v>
      </c>
      <c r="H2416" s="87" t="b">
        <v>0</v>
      </c>
      <c r="I2416" s="87" t="b">
        <v>0</v>
      </c>
      <c r="J2416" s="173" t="s">
        <v>463</v>
      </c>
      <c r="K2416" s="174">
        <v>2837922000183</v>
      </c>
      <c r="L2416" s="173" t="s">
        <v>563</v>
      </c>
      <c r="M2416" s="173" t="s">
        <v>29</v>
      </c>
      <c r="N2416" s="173" t="s">
        <v>19</v>
      </c>
      <c r="O2416" s="87">
        <v>73</v>
      </c>
      <c r="P2416" s="173" t="s">
        <v>26</v>
      </c>
      <c r="Q2416" s="1" t="s">
        <v>1342</v>
      </c>
      <c r="R2416" s="175">
        <v>48</v>
      </c>
      <c r="S2416">
        <v>12</v>
      </c>
    </row>
    <row r="2417" spans="1:19" x14ac:dyDescent="0.25">
      <c r="A2417" s="87">
        <v>2019</v>
      </c>
      <c r="B2417" s="87">
        <v>11</v>
      </c>
      <c r="C2417" s="173" t="s">
        <v>16</v>
      </c>
      <c r="D2417" s="173" t="s">
        <v>229</v>
      </c>
      <c r="E2417" s="173" t="s">
        <v>24</v>
      </c>
      <c r="F2417" s="173" t="s">
        <v>16</v>
      </c>
      <c r="G2417" s="87" t="b">
        <v>1</v>
      </c>
      <c r="H2417" s="87" t="b">
        <v>0</v>
      </c>
      <c r="I2417" s="87" t="b">
        <v>0</v>
      </c>
      <c r="J2417" s="173" t="s">
        <v>463</v>
      </c>
      <c r="K2417" s="174">
        <v>2837922000183</v>
      </c>
      <c r="L2417" s="173" t="s">
        <v>563</v>
      </c>
      <c r="M2417" s="173" t="s">
        <v>29</v>
      </c>
      <c r="N2417" s="173" t="s">
        <v>19</v>
      </c>
      <c r="O2417" s="87">
        <v>73</v>
      </c>
      <c r="P2417" s="173" t="s">
        <v>26</v>
      </c>
      <c r="Q2417" s="1" t="s">
        <v>1340</v>
      </c>
      <c r="R2417" s="175">
        <v>4</v>
      </c>
      <c r="S2417">
        <v>4</v>
      </c>
    </row>
    <row r="2418" spans="1:19" x14ac:dyDescent="0.25">
      <c r="A2418" s="87">
        <v>2019</v>
      </c>
      <c r="B2418" s="87">
        <v>11</v>
      </c>
      <c r="C2418" s="173" t="s">
        <v>16</v>
      </c>
      <c r="D2418" s="173" t="s">
        <v>229</v>
      </c>
      <c r="E2418" s="173" t="s">
        <v>24</v>
      </c>
      <c r="F2418" s="173" t="s">
        <v>16</v>
      </c>
      <c r="G2418" s="87" t="b">
        <v>1</v>
      </c>
      <c r="H2418" s="87" t="b">
        <v>0</v>
      </c>
      <c r="I2418" s="87" t="b">
        <v>0</v>
      </c>
      <c r="J2418" s="173" t="s">
        <v>477</v>
      </c>
      <c r="K2418" s="174">
        <v>2864097000106</v>
      </c>
      <c r="L2418" s="173" t="s">
        <v>1078</v>
      </c>
      <c r="M2418" s="173" t="s">
        <v>131</v>
      </c>
      <c r="N2418" s="173" t="s">
        <v>61</v>
      </c>
      <c r="O2418" s="87">
        <v>70</v>
      </c>
      <c r="P2418" s="173" t="s">
        <v>20</v>
      </c>
      <c r="Q2418" s="1" t="s">
        <v>1338</v>
      </c>
      <c r="R2418" s="175">
        <v>80</v>
      </c>
      <c r="S2418">
        <v>16</v>
      </c>
    </row>
    <row r="2419" spans="1:19" x14ac:dyDescent="0.25">
      <c r="A2419" s="87">
        <v>2019</v>
      </c>
      <c r="B2419" s="87">
        <v>11</v>
      </c>
      <c r="C2419" s="173" t="s">
        <v>16</v>
      </c>
      <c r="D2419" s="173" t="s">
        <v>229</v>
      </c>
      <c r="E2419" s="173" t="s">
        <v>24</v>
      </c>
      <c r="F2419" s="173" t="s">
        <v>16</v>
      </c>
      <c r="G2419" s="87" t="b">
        <v>1</v>
      </c>
      <c r="H2419" s="87" t="b">
        <v>0</v>
      </c>
      <c r="I2419" s="87" t="b">
        <v>0</v>
      </c>
      <c r="J2419" s="173" t="s">
        <v>478</v>
      </c>
      <c r="K2419" s="174">
        <v>3091003000176</v>
      </c>
      <c r="L2419" s="173" t="s">
        <v>782</v>
      </c>
      <c r="M2419" s="173" t="s">
        <v>84</v>
      </c>
      <c r="N2419" s="173" t="s">
        <v>85</v>
      </c>
      <c r="O2419" s="87">
        <v>70</v>
      </c>
      <c r="P2419" s="173" t="s">
        <v>20</v>
      </c>
      <c r="Q2419" s="1" t="s">
        <v>1338</v>
      </c>
      <c r="R2419" s="175">
        <v>175</v>
      </c>
      <c r="S2419">
        <v>35</v>
      </c>
    </row>
    <row r="2420" spans="1:19" x14ac:dyDescent="0.25">
      <c r="A2420" s="87">
        <v>2019</v>
      </c>
      <c r="B2420" s="87">
        <v>11</v>
      </c>
      <c r="C2420" s="173" t="s">
        <v>16</v>
      </c>
      <c r="D2420" s="173" t="s">
        <v>229</v>
      </c>
      <c r="E2420" s="173" t="s">
        <v>24</v>
      </c>
      <c r="F2420" s="173" t="s">
        <v>16</v>
      </c>
      <c r="G2420" s="87" t="b">
        <v>1</v>
      </c>
      <c r="H2420" s="87" t="b">
        <v>0</v>
      </c>
      <c r="I2420" s="87" t="b">
        <v>0</v>
      </c>
      <c r="J2420" s="173" t="s">
        <v>478</v>
      </c>
      <c r="K2420" s="174">
        <v>3315918000541</v>
      </c>
      <c r="L2420" s="173" t="s">
        <v>785</v>
      </c>
      <c r="M2420" s="173" t="s">
        <v>64</v>
      </c>
      <c r="N2420" s="173" t="s">
        <v>65</v>
      </c>
      <c r="O2420" s="87">
        <v>70</v>
      </c>
      <c r="P2420" s="173" t="s">
        <v>20</v>
      </c>
      <c r="Q2420" s="1" t="s">
        <v>1338</v>
      </c>
      <c r="R2420" s="175">
        <v>50</v>
      </c>
      <c r="S2420">
        <v>10</v>
      </c>
    </row>
    <row r="2421" spans="1:19" x14ac:dyDescent="0.25">
      <c r="A2421" s="87">
        <v>2019</v>
      </c>
      <c r="B2421" s="87">
        <v>11</v>
      </c>
      <c r="C2421" s="173" t="s">
        <v>16</v>
      </c>
      <c r="D2421" s="173" t="s">
        <v>229</v>
      </c>
      <c r="E2421" s="173" t="s">
        <v>24</v>
      </c>
      <c r="F2421" s="173" t="s">
        <v>16</v>
      </c>
      <c r="G2421" s="87" t="b">
        <v>1</v>
      </c>
      <c r="H2421" s="87" t="b">
        <v>0</v>
      </c>
      <c r="I2421" s="87" t="b">
        <v>0</v>
      </c>
      <c r="J2421" s="173" t="s">
        <v>451</v>
      </c>
      <c r="K2421" s="174">
        <v>3354642000187</v>
      </c>
      <c r="L2421" s="173" t="s">
        <v>1143</v>
      </c>
      <c r="M2421" s="173" t="s">
        <v>93</v>
      </c>
      <c r="N2421" s="173" t="s">
        <v>68</v>
      </c>
      <c r="O2421" s="87">
        <v>70</v>
      </c>
      <c r="P2421" s="173" t="s">
        <v>20</v>
      </c>
      <c r="Q2421" s="1" t="s">
        <v>1338</v>
      </c>
      <c r="R2421" s="175">
        <v>15</v>
      </c>
      <c r="S2421">
        <v>3</v>
      </c>
    </row>
    <row r="2422" spans="1:19" x14ac:dyDescent="0.25">
      <c r="A2422" s="87">
        <v>2019</v>
      </c>
      <c r="B2422" s="87">
        <v>11</v>
      </c>
      <c r="C2422" s="173" t="s">
        <v>16</v>
      </c>
      <c r="D2422" s="173" t="s">
        <v>229</v>
      </c>
      <c r="E2422" s="173" t="s">
        <v>24</v>
      </c>
      <c r="F2422" s="173" t="s">
        <v>16</v>
      </c>
      <c r="G2422" s="87" t="b">
        <v>1</v>
      </c>
      <c r="H2422" s="87" t="b">
        <v>0</v>
      </c>
      <c r="I2422" s="87" t="b">
        <v>0</v>
      </c>
      <c r="J2422" s="173" t="s">
        <v>451</v>
      </c>
      <c r="K2422" s="174">
        <v>3850913000195</v>
      </c>
      <c r="L2422" s="173" t="s">
        <v>945</v>
      </c>
      <c r="M2422" s="173" t="s">
        <v>94</v>
      </c>
      <c r="N2422" s="173" t="s">
        <v>57</v>
      </c>
      <c r="O2422" s="87">
        <v>70</v>
      </c>
      <c r="P2422" s="173" t="s">
        <v>20</v>
      </c>
      <c r="Q2422" s="1" t="s">
        <v>1345</v>
      </c>
      <c r="R2422" s="175">
        <v>630</v>
      </c>
      <c r="S2422">
        <v>63</v>
      </c>
    </row>
    <row r="2423" spans="1:19" x14ac:dyDescent="0.25">
      <c r="A2423" s="87">
        <v>2019</v>
      </c>
      <c r="B2423" s="87">
        <v>11</v>
      </c>
      <c r="C2423" s="173" t="s">
        <v>16</v>
      </c>
      <c r="D2423" s="173" t="s">
        <v>229</v>
      </c>
      <c r="E2423" s="173" t="s">
        <v>24</v>
      </c>
      <c r="F2423" s="173" t="s">
        <v>16</v>
      </c>
      <c r="G2423" s="87" t="b">
        <v>1</v>
      </c>
      <c r="H2423" s="87" t="b">
        <v>0</v>
      </c>
      <c r="I2423" s="87" t="b">
        <v>0</v>
      </c>
      <c r="J2423" s="173" t="s">
        <v>470</v>
      </c>
      <c r="K2423" s="174">
        <v>3855214000219</v>
      </c>
      <c r="L2423" s="173" t="s">
        <v>946</v>
      </c>
      <c r="M2423" s="173" t="s">
        <v>947</v>
      </c>
      <c r="N2423" s="173" t="s">
        <v>68</v>
      </c>
      <c r="O2423" s="87">
        <v>70</v>
      </c>
      <c r="P2423" s="173" t="s">
        <v>20</v>
      </c>
      <c r="Q2423" s="1" t="s">
        <v>1338</v>
      </c>
      <c r="R2423" s="175">
        <v>10</v>
      </c>
      <c r="S2423">
        <v>2</v>
      </c>
    </row>
    <row r="2424" spans="1:19" x14ac:dyDescent="0.25">
      <c r="A2424" s="87">
        <v>2019</v>
      </c>
      <c r="B2424" s="87">
        <v>11</v>
      </c>
      <c r="C2424" s="173" t="s">
        <v>16</v>
      </c>
      <c r="D2424" s="173" t="s">
        <v>229</v>
      </c>
      <c r="E2424" s="173" t="s">
        <v>24</v>
      </c>
      <c r="F2424" s="173" t="s">
        <v>16</v>
      </c>
      <c r="G2424" s="87" t="b">
        <v>1</v>
      </c>
      <c r="H2424" s="87" t="b">
        <v>0</v>
      </c>
      <c r="I2424" s="87" t="b">
        <v>0</v>
      </c>
      <c r="J2424" s="173" t="s">
        <v>460</v>
      </c>
      <c r="K2424" s="174">
        <v>3866223000124</v>
      </c>
      <c r="L2424" s="173" t="s">
        <v>792</v>
      </c>
      <c r="M2424" s="173" t="s">
        <v>742</v>
      </c>
      <c r="N2424" s="173" t="s">
        <v>91</v>
      </c>
      <c r="O2424" s="87">
        <v>70</v>
      </c>
      <c r="P2424" s="173" t="s">
        <v>20</v>
      </c>
      <c r="Q2424" s="1" t="s">
        <v>1338</v>
      </c>
      <c r="R2424" s="175">
        <v>10</v>
      </c>
      <c r="S2424">
        <v>2</v>
      </c>
    </row>
    <row r="2425" spans="1:19" x14ac:dyDescent="0.25">
      <c r="A2425" s="87">
        <v>2019</v>
      </c>
      <c r="B2425" s="87">
        <v>11</v>
      </c>
      <c r="C2425" s="173" t="s">
        <v>16</v>
      </c>
      <c r="D2425" s="173" t="s">
        <v>229</v>
      </c>
      <c r="E2425" s="173" t="s">
        <v>24</v>
      </c>
      <c r="F2425" s="173" t="s">
        <v>16</v>
      </c>
      <c r="G2425" s="87" t="b">
        <v>1</v>
      </c>
      <c r="H2425" s="87" t="b">
        <v>0</v>
      </c>
      <c r="I2425" s="87" t="b">
        <v>0</v>
      </c>
      <c r="J2425" s="173" t="s">
        <v>475</v>
      </c>
      <c r="K2425" s="174">
        <v>3866223000124</v>
      </c>
      <c r="L2425" s="173" t="s">
        <v>792</v>
      </c>
      <c r="M2425" s="173" t="s">
        <v>742</v>
      </c>
      <c r="N2425" s="173" t="s">
        <v>91</v>
      </c>
      <c r="O2425" s="87">
        <v>70</v>
      </c>
      <c r="P2425" s="173" t="s">
        <v>20</v>
      </c>
      <c r="Q2425" s="1" t="s">
        <v>1338</v>
      </c>
      <c r="R2425" s="175">
        <v>410</v>
      </c>
      <c r="S2425">
        <v>82</v>
      </c>
    </row>
    <row r="2426" spans="1:19" x14ac:dyDescent="0.25">
      <c r="A2426" s="87">
        <v>2019</v>
      </c>
      <c r="B2426" s="87">
        <v>11</v>
      </c>
      <c r="C2426" s="173" t="s">
        <v>16</v>
      </c>
      <c r="D2426" s="173" t="s">
        <v>229</v>
      </c>
      <c r="E2426" s="173" t="s">
        <v>24</v>
      </c>
      <c r="F2426" s="173" t="s">
        <v>16</v>
      </c>
      <c r="G2426" s="87" t="b">
        <v>1</v>
      </c>
      <c r="H2426" s="87" t="b">
        <v>0</v>
      </c>
      <c r="I2426" s="87" t="b">
        <v>0</v>
      </c>
      <c r="J2426" s="173" t="s">
        <v>450</v>
      </c>
      <c r="K2426" s="174">
        <v>3872790000193</v>
      </c>
      <c r="L2426" s="173" t="s">
        <v>564</v>
      </c>
      <c r="M2426" s="173" t="s">
        <v>29</v>
      </c>
      <c r="N2426" s="173" t="s">
        <v>19</v>
      </c>
      <c r="O2426" s="87">
        <v>73</v>
      </c>
      <c r="P2426" s="173" t="s">
        <v>26</v>
      </c>
      <c r="Q2426" s="1" t="s">
        <v>1342</v>
      </c>
      <c r="R2426" s="175">
        <v>4</v>
      </c>
      <c r="S2426">
        <v>1</v>
      </c>
    </row>
    <row r="2427" spans="1:19" x14ac:dyDescent="0.25">
      <c r="A2427" s="87">
        <v>2019</v>
      </c>
      <c r="B2427" s="87">
        <v>11</v>
      </c>
      <c r="C2427" s="173" t="s">
        <v>16</v>
      </c>
      <c r="D2427" s="173" t="s">
        <v>229</v>
      </c>
      <c r="E2427" s="173" t="s">
        <v>24</v>
      </c>
      <c r="F2427" s="173" t="s">
        <v>16</v>
      </c>
      <c r="G2427" s="87" t="b">
        <v>1</v>
      </c>
      <c r="H2427" s="87" t="b">
        <v>0</v>
      </c>
      <c r="I2427" s="87" t="b">
        <v>0</v>
      </c>
      <c r="J2427" s="173" t="s">
        <v>464</v>
      </c>
      <c r="K2427" s="174">
        <v>3925419000142</v>
      </c>
      <c r="L2427" s="173" t="s">
        <v>795</v>
      </c>
      <c r="M2427" s="173" t="s">
        <v>772</v>
      </c>
      <c r="N2427" s="173" t="s">
        <v>69</v>
      </c>
      <c r="O2427" s="87">
        <v>64</v>
      </c>
      <c r="P2427" s="173" t="s">
        <v>25</v>
      </c>
      <c r="Q2427" s="1" t="s">
        <v>1344</v>
      </c>
      <c r="R2427" s="175">
        <v>4</v>
      </c>
      <c r="S2427">
        <v>4</v>
      </c>
    </row>
    <row r="2428" spans="1:19" x14ac:dyDescent="0.25">
      <c r="A2428" s="87">
        <v>2019</v>
      </c>
      <c r="B2428" s="87">
        <v>11</v>
      </c>
      <c r="C2428" s="173" t="s">
        <v>16</v>
      </c>
      <c r="D2428" s="173" t="s">
        <v>229</v>
      </c>
      <c r="E2428" s="173" t="s">
        <v>24</v>
      </c>
      <c r="F2428" s="173" t="s">
        <v>16</v>
      </c>
      <c r="G2428" s="87" t="b">
        <v>1</v>
      </c>
      <c r="H2428" s="87" t="b">
        <v>0</v>
      </c>
      <c r="I2428" s="87" t="b">
        <v>0</v>
      </c>
      <c r="J2428" s="173" t="s">
        <v>455</v>
      </c>
      <c r="K2428" s="174">
        <v>3925419000142</v>
      </c>
      <c r="L2428" s="173" t="s">
        <v>795</v>
      </c>
      <c r="M2428" s="173" t="s">
        <v>772</v>
      </c>
      <c r="N2428" s="173" t="s">
        <v>69</v>
      </c>
      <c r="O2428" s="87">
        <v>64</v>
      </c>
      <c r="P2428" s="173" t="s">
        <v>25</v>
      </c>
      <c r="Q2428" s="1" t="s">
        <v>1344</v>
      </c>
      <c r="R2428" s="175">
        <v>5</v>
      </c>
      <c r="S2428">
        <v>5</v>
      </c>
    </row>
    <row r="2429" spans="1:19" x14ac:dyDescent="0.25">
      <c r="A2429" s="87">
        <v>2019</v>
      </c>
      <c r="B2429" s="87">
        <v>11</v>
      </c>
      <c r="C2429" s="173" t="s">
        <v>16</v>
      </c>
      <c r="D2429" s="173" t="s">
        <v>229</v>
      </c>
      <c r="E2429" s="173" t="s">
        <v>24</v>
      </c>
      <c r="F2429" s="173" t="s">
        <v>16</v>
      </c>
      <c r="G2429" s="87" t="b">
        <v>1</v>
      </c>
      <c r="H2429" s="87" t="b">
        <v>0</v>
      </c>
      <c r="I2429" s="87" t="b">
        <v>0</v>
      </c>
      <c r="J2429" s="173" t="s">
        <v>450</v>
      </c>
      <c r="K2429" s="174">
        <v>4036348000190</v>
      </c>
      <c r="L2429" s="173" t="s">
        <v>565</v>
      </c>
      <c r="M2429" s="173" t="s">
        <v>29</v>
      </c>
      <c r="N2429" s="173" t="s">
        <v>19</v>
      </c>
      <c r="O2429" s="87">
        <v>70</v>
      </c>
      <c r="P2429" s="173" t="s">
        <v>20</v>
      </c>
      <c r="Q2429" s="1" t="s">
        <v>1338</v>
      </c>
      <c r="R2429" s="175">
        <v>175</v>
      </c>
      <c r="S2429">
        <v>35</v>
      </c>
    </row>
    <row r="2430" spans="1:19" x14ac:dyDescent="0.25">
      <c r="A2430" s="87">
        <v>2019</v>
      </c>
      <c r="B2430" s="87">
        <v>11</v>
      </c>
      <c r="C2430" s="173" t="s">
        <v>16</v>
      </c>
      <c r="D2430" s="173" t="s">
        <v>229</v>
      </c>
      <c r="E2430" s="173" t="s">
        <v>24</v>
      </c>
      <c r="F2430" s="173" t="s">
        <v>16</v>
      </c>
      <c r="G2430" s="87" t="b">
        <v>1</v>
      </c>
      <c r="H2430" s="87" t="b">
        <v>0</v>
      </c>
      <c r="I2430" s="87" t="b">
        <v>0</v>
      </c>
      <c r="J2430" s="173" t="s">
        <v>463</v>
      </c>
      <c r="K2430" s="174">
        <v>4036348000190</v>
      </c>
      <c r="L2430" s="173" t="s">
        <v>565</v>
      </c>
      <c r="M2430" s="173" t="s">
        <v>29</v>
      </c>
      <c r="N2430" s="173" t="s">
        <v>19</v>
      </c>
      <c r="O2430" s="87">
        <v>70</v>
      </c>
      <c r="P2430" s="173" t="s">
        <v>20</v>
      </c>
      <c r="Q2430" s="1" t="s">
        <v>1338</v>
      </c>
      <c r="R2430" s="175">
        <v>75</v>
      </c>
      <c r="S2430">
        <v>15</v>
      </c>
    </row>
    <row r="2431" spans="1:19" x14ac:dyDescent="0.25">
      <c r="A2431" s="87">
        <v>2019</v>
      </c>
      <c r="B2431" s="87">
        <v>11</v>
      </c>
      <c r="C2431" s="173" t="s">
        <v>16</v>
      </c>
      <c r="D2431" s="173" t="s">
        <v>229</v>
      </c>
      <c r="E2431" s="173" t="s">
        <v>24</v>
      </c>
      <c r="F2431" s="173" t="s">
        <v>16</v>
      </c>
      <c r="G2431" s="87" t="b">
        <v>1</v>
      </c>
      <c r="H2431" s="87" t="b">
        <v>0</v>
      </c>
      <c r="I2431" s="87" t="b">
        <v>0</v>
      </c>
      <c r="J2431" s="173" t="s">
        <v>460</v>
      </c>
      <c r="K2431" s="174">
        <v>4201372001028</v>
      </c>
      <c r="L2431" s="173" t="s">
        <v>1145</v>
      </c>
      <c r="M2431" s="173" t="s">
        <v>1129</v>
      </c>
      <c r="N2431" s="173" t="s">
        <v>52</v>
      </c>
      <c r="O2431" s="87">
        <v>73</v>
      </c>
      <c r="P2431" s="173" t="s">
        <v>26</v>
      </c>
      <c r="Q2431" s="1" t="s">
        <v>1339</v>
      </c>
      <c r="R2431" s="175">
        <v>8</v>
      </c>
      <c r="S2431">
        <v>4</v>
      </c>
    </row>
    <row r="2432" spans="1:19" x14ac:dyDescent="0.25">
      <c r="A2432" s="87">
        <v>2019</v>
      </c>
      <c r="B2432" s="87">
        <v>11</v>
      </c>
      <c r="C2432" s="173" t="s">
        <v>16</v>
      </c>
      <c r="D2432" s="173" t="s">
        <v>229</v>
      </c>
      <c r="E2432" s="173" t="s">
        <v>24</v>
      </c>
      <c r="F2432" s="173" t="s">
        <v>16</v>
      </c>
      <c r="G2432" s="87" t="b">
        <v>1</v>
      </c>
      <c r="H2432" s="87" t="b">
        <v>0</v>
      </c>
      <c r="I2432" s="87" t="b">
        <v>0</v>
      </c>
      <c r="J2432" s="173" t="s">
        <v>460</v>
      </c>
      <c r="K2432" s="174">
        <v>4201372001028</v>
      </c>
      <c r="L2432" s="173" t="s">
        <v>1145</v>
      </c>
      <c r="M2432" s="173" t="s">
        <v>1129</v>
      </c>
      <c r="N2432" s="173" t="s">
        <v>52</v>
      </c>
      <c r="O2432" s="87">
        <v>73</v>
      </c>
      <c r="P2432" s="173" t="s">
        <v>26</v>
      </c>
      <c r="Q2432" s="1" t="s">
        <v>1342</v>
      </c>
      <c r="R2432" s="175">
        <v>40</v>
      </c>
      <c r="S2432">
        <v>10</v>
      </c>
    </row>
    <row r="2433" spans="1:19" x14ac:dyDescent="0.25">
      <c r="A2433" s="87">
        <v>2019</v>
      </c>
      <c r="B2433" s="87">
        <v>11</v>
      </c>
      <c r="C2433" s="173" t="s">
        <v>16</v>
      </c>
      <c r="D2433" s="173" t="s">
        <v>229</v>
      </c>
      <c r="E2433" s="173" t="s">
        <v>24</v>
      </c>
      <c r="F2433" s="173" t="s">
        <v>16</v>
      </c>
      <c r="G2433" s="87" t="b">
        <v>1</v>
      </c>
      <c r="H2433" s="87" t="b">
        <v>0</v>
      </c>
      <c r="I2433" s="87" t="b">
        <v>0</v>
      </c>
      <c r="J2433" s="173" t="s">
        <v>478</v>
      </c>
      <c r="K2433" s="174">
        <v>4275687000129</v>
      </c>
      <c r="L2433" s="173" t="s">
        <v>645</v>
      </c>
      <c r="M2433" s="173" t="s">
        <v>31</v>
      </c>
      <c r="N2433" s="173" t="s">
        <v>19</v>
      </c>
      <c r="O2433" s="87">
        <v>73</v>
      </c>
      <c r="P2433" s="173" t="s">
        <v>26</v>
      </c>
      <c r="Q2433" s="1" t="s">
        <v>1342</v>
      </c>
      <c r="R2433" s="175">
        <v>20</v>
      </c>
      <c r="S2433">
        <v>5</v>
      </c>
    </row>
    <row r="2434" spans="1:19" x14ac:dyDescent="0.25">
      <c r="A2434" s="87">
        <v>2019</v>
      </c>
      <c r="B2434" s="87">
        <v>11</v>
      </c>
      <c r="C2434" s="173" t="s">
        <v>16</v>
      </c>
      <c r="D2434" s="173" t="s">
        <v>229</v>
      </c>
      <c r="E2434" s="173" t="s">
        <v>24</v>
      </c>
      <c r="F2434" s="173" t="s">
        <v>16</v>
      </c>
      <c r="G2434" s="87" t="b">
        <v>1</v>
      </c>
      <c r="H2434" s="87" t="b">
        <v>0</v>
      </c>
      <c r="I2434" s="87" t="b">
        <v>0</v>
      </c>
      <c r="J2434" s="173" t="s">
        <v>478</v>
      </c>
      <c r="K2434" s="174">
        <v>4275687000129</v>
      </c>
      <c r="L2434" s="173" t="s">
        <v>645</v>
      </c>
      <c r="M2434" s="173" t="s">
        <v>31</v>
      </c>
      <c r="N2434" s="173" t="s">
        <v>19</v>
      </c>
      <c r="O2434" s="87">
        <v>73</v>
      </c>
      <c r="P2434" s="173" t="s">
        <v>26</v>
      </c>
      <c r="Q2434" s="1" t="s">
        <v>1340</v>
      </c>
      <c r="R2434" s="175">
        <v>5</v>
      </c>
      <c r="S2434">
        <v>5</v>
      </c>
    </row>
    <row r="2435" spans="1:19" x14ac:dyDescent="0.25">
      <c r="A2435" s="87">
        <v>2019</v>
      </c>
      <c r="B2435" s="87">
        <v>11</v>
      </c>
      <c r="C2435" s="173" t="s">
        <v>16</v>
      </c>
      <c r="D2435" s="173" t="s">
        <v>229</v>
      </c>
      <c r="E2435" s="173" t="s">
        <v>24</v>
      </c>
      <c r="F2435" s="173" t="s">
        <v>16</v>
      </c>
      <c r="G2435" s="87" t="b">
        <v>1</v>
      </c>
      <c r="H2435" s="87" t="b">
        <v>0</v>
      </c>
      <c r="I2435" s="87" t="b">
        <v>0</v>
      </c>
      <c r="J2435" s="173" t="s">
        <v>450</v>
      </c>
      <c r="K2435" s="174">
        <v>4275687000129</v>
      </c>
      <c r="L2435" s="173" t="s">
        <v>645</v>
      </c>
      <c r="M2435" s="173" t="s">
        <v>31</v>
      </c>
      <c r="N2435" s="173" t="s">
        <v>19</v>
      </c>
      <c r="O2435" s="87">
        <v>73</v>
      </c>
      <c r="P2435" s="173" t="s">
        <v>26</v>
      </c>
      <c r="Q2435" s="1" t="s">
        <v>1342</v>
      </c>
      <c r="R2435" s="175">
        <v>20</v>
      </c>
      <c r="S2435">
        <v>5</v>
      </c>
    </row>
    <row r="2436" spans="1:19" x14ac:dyDescent="0.25">
      <c r="A2436" s="87">
        <v>2019</v>
      </c>
      <c r="B2436" s="87">
        <v>11</v>
      </c>
      <c r="C2436" s="173" t="s">
        <v>16</v>
      </c>
      <c r="D2436" s="173" t="s">
        <v>229</v>
      </c>
      <c r="E2436" s="173" t="s">
        <v>24</v>
      </c>
      <c r="F2436" s="173" t="s">
        <v>16</v>
      </c>
      <c r="G2436" s="87" t="b">
        <v>1</v>
      </c>
      <c r="H2436" s="87" t="b">
        <v>0</v>
      </c>
      <c r="I2436" s="87" t="b">
        <v>0</v>
      </c>
      <c r="J2436" s="173" t="s">
        <v>492</v>
      </c>
      <c r="K2436" s="174">
        <v>4670913000176</v>
      </c>
      <c r="L2436" s="173" t="s">
        <v>949</v>
      </c>
      <c r="M2436" s="173" t="s">
        <v>930</v>
      </c>
      <c r="N2436" s="173" t="s">
        <v>68</v>
      </c>
      <c r="O2436" s="87">
        <v>70</v>
      </c>
      <c r="P2436" s="173" t="s">
        <v>20</v>
      </c>
      <c r="Q2436" s="1" t="s">
        <v>1338</v>
      </c>
      <c r="R2436" s="175">
        <v>70</v>
      </c>
      <c r="S2436">
        <v>14</v>
      </c>
    </row>
    <row r="2437" spans="1:19" x14ac:dyDescent="0.25">
      <c r="A2437" s="87">
        <v>2019</v>
      </c>
      <c r="B2437" s="87">
        <v>11</v>
      </c>
      <c r="C2437" s="173" t="s">
        <v>16</v>
      </c>
      <c r="D2437" s="173" t="s">
        <v>229</v>
      </c>
      <c r="E2437" s="173" t="s">
        <v>24</v>
      </c>
      <c r="F2437" s="173" t="s">
        <v>16</v>
      </c>
      <c r="G2437" s="87" t="b">
        <v>1</v>
      </c>
      <c r="H2437" s="87" t="b">
        <v>0</v>
      </c>
      <c r="I2437" s="87" t="b">
        <v>0</v>
      </c>
      <c r="J2437" s="173" t="s">
        <v>451</v>
      </c>
      <c r="K2437" s="174">
        <v>4670913000176</v>
      </c>
      <c r="L2437" s="173" t="s">
        <v>949</v>
      </c>
      <c r="M2437" s="173" t="s">
        <v>930</v>
      </c>
      <c r="N2437" s="173" t="s">
        <v>68</v>
      </c>
      <c r="O2437" s="87">
        <v>70</v>
      </c>
      <c r="P2437" s="173" t="s">
        <v>20</v>
      </c>
      <c r="Q2437" s="1" t="s">
        <v>1338</v>
      </c>
      <c r="R2437" s="175">
        <v>130</v>
      </c>
      <c r="S2437">
        <v>26</v>
      </c>
    </row>
    <row r="2438" spans="1:19" x14ac:dyDescent="0.25">
      <c r="A2438" s="87">
        <v>2019</v>
      </c>
      <c r="B2438" s="87">
        <v>11</v>
      </c>
      <c r="C2438" s="173" t="s">
        <v>16</v>
      </c>
      <c r="D2438" s="173" t="s">
        <v>229</v>
      </c>
      <c r="E2438" s="173" t="s">
        <v>24</v>
      </c>
      <c r="F2438" s="173" t="s">
        <v>16</v>
      </c>
      <c r="G2438" s="87" t="b">
        <v>1</v>
      </c>
      <c r="H2438" s="87" t="b">
        <v>0</v>
      </c>
      <c r="I2438" s="87" t="b">
        <v>0</v>
      </c>
      <c r="J2438" s="173" t="s">
        <v>506</v>
      </c>
      <c r="K2438" s="174">
        <v>4670913000176</v>
      </c>
      <c r="L2438" s="173" t="s">
        <v>949</v>
      </c>
      <c r="M2438" s="173" t="s">
        <v>930</v>
      </c>
      <c r="N2438" s="173" t="s">
        <v>68</v>
      </c>
      <c r="O2438" s="87">
        <v>70</v>
      </c>
      <c r="P2438" s="173" t="s">
        <v>20</v>
      </c>
      <c r="Q2438" s="1" t="s">
        <v>1338</v>
      </c>
      <c r="R2438" s="175">
        <v>155</v>
      </c>
      <c r="S2438">
        <v>31</v>
      </c>
    </row>
    <row r="2439" spans="1:19" x14ac:dyDescent="0.25">
      <c r="A2439" s="87">
        <v>2019</v>
      </c>
      <c r="B2439" s="87">
        <v>11</v>
      </c>
      <c r="C2439" s="173" t="s">
        <v>16</v>
      </c>
      <c r="D2439" s="173" t="s">
        <v>229</v>
      </c>
      <c r="E2439" s="173" t="s">
        <v>24</v>
      </c>
      <c r="F2439" s="173" t="s">
        <v>16</v>
      </c>
      <c r="G2439" s="87" t="b">
        <v>1</v>
      </c>
      <c r="H2439" s="87" t="b">
        <v>0</v>
      </c>
      <c r="I2439" s="87" t="b">
        <v>0</v>
      </c>
      <c r="J2439" s="173" t="s">
        <v>460</v>
      </c>
      <c r="K2439" s="174">
        <v>4929345000185</v>
      </c>
      <c r="L2439" s="173" t="s">
        <v>1147</v>
      </c>
      <c r="M2439" s="173" t="s">
        <v>1129</v>
      </c>
      <c r="N2439" s="173" t="s">
        <v>52</v>
      </c>
      <c r="O2439" s="87">
        <v>62</v>
      </c>
      <c r="P2439" s="173" t="s">
        <v>27</v>
      </c>
      <c r="Q2439" s="1" t="s">
        <v>1343</v>
      </c>
      <c r="R2439" s="175">
        <v>25</v>
      </c>
      <c r="S2439">
        <v>25</v>
      </c>
    </row>
    <row r="2440" spans="1:19" x14ac:dyDescent="0.25">
      <c r="A2440" s="87">
        <v>2019</v>
      </c>
      <c r="B2440" s="87">
        <v>11</v>
      </c>
      <c r="C2440" s="173" t="s">
        <v>16</v>
      </c>
      <c r="D2440" s="173" t="s">
        <v>229</v>
      </c>
      <c r="E2440" s="173" t="s">
        <v>24</v>
      </c>
      <c r="F2440" s="173" t="s">
        <v>16</v>
      </c>
      <c r="G2440" s="87" t="b">
        <v>1</v>
      </c>
      <c r="H2440" s="87" t="b">
        <v>0</v>
      </c>
      <c r="I2440" s="87" t="b">
        <v>0</v>
      </c>
      <c r="J2440" s="173" t="s">
        <v>460</v>
      </c>
      <c r="K2440" s="174">
        <v>4929345000185</v>
      </c>
      <c r="L2440" s="173" t="s">
        <v>1147</v>
      </c>
      <c r="M2440" s="173" t="s">
        <v>1129</v>
      </c>
      <c r="N2440" s="173" t="s">
        <v>52</v>
      </c>
      <c r="O2440" s="87">
        <v>64</v>
      </c>
      <c r="P2440" s="173" t="s">
        <v>25</v>
      </c>
      <c r="Q2440" s="1" t="s">
        <v>1344</v>
      </c>
      <c r="R2440" s="175">
        <v>25</v>
      </c>
      <c r="S2440">
        <v>25</v>
      </c>
    </row>
    <row r="2441" spans="1:19" x14ac:dyDescent="0.25">
      <c r="A2441" s="87">
        <v>2019</v>
      </c>
      <c r="B2441" s="87">
        <v>11</v>
      </c>
      <c r="C2441" s="173" t="s">
        <v>16</v>
      </c>
      <c r="D2441" s="173" t="s">
        <v>229</v>
      </c>
      <c r="E2441" s="173" t="s">
        <v>24</v>
      </c>
      <c r="F2441" s="173" t="s">
        <v>16</v>
      </c>
      <c r="G2441" s="87" t="b">
        <v>1</v>
      </c>
      <c r="H2441" s="87" t="b">
        <v>0</v>
      </c>
      <c r="I2441" s="87" t="b">
        <v>0</v>
      </c>
      <c r="J2441" s="173" t="s">
        <v>1330</v>
      </c>
      <c r="K2441" s="174">
        <v>4929345000185</v>
      </c>
      <c r="L2441" s="173" t="s">
        <v>1147</v>
      </c>
      <c r="M2441" s="173" t="s">
        <v>1129</v>
      </c>
      <c r="N2441" s="173" t="s">
        <v>52</v>
      </c>
      <c r="O2441" s="87">
        <v>70</v>
      </c>
      <c r="P2441" s="173" t="s">
        <v>20</v>
      </c>
      <c r="Q2441" s="1" t="s">
        <v>1346</v>
      </c>
      <c r="R2441" s="175">
        <v>125</v>
      </c>
      <c r="S2441">
        <v>50</v>
      </c>
    </row>
    <row r="2442" spans="1:19" x14ac:dyDescent="0.25">
      <c r="A2442" s="87">
        <v>2019</v>
      </c>
      <c r="B2442" s="87">
        <v>11</v>
      </c>
      <c r="C2442" s="173" t="s">
        <v>16</v>
      </c>
      <c r="D2442" s="173" t="s">
        <v>229</v>
      </c>
      <c r="E2442" s="173" t="s">
        <v>24</v>
      </c>
      <c r="F2442" s="173" t="s">
        <v>16</v>
      </c>
      <c r="G2442" s="87" t="b">
        <v>1</v>
      </c>
      <c r="H2442" s="87" t="b">
        <v>0</v>
      </c>
      <c r="I2442" s="87" t="b">
        <v>0</v>
      </c>
      <c r="J2442" s="173" t="s">
        <v>1330</v>
      </c>
      <c r="K2442" s="174">
        <v>4929345000185</v>
      </c>
      <c r="L2442" s="173" t="s">
        <v>1147</v>
      </c>
      <c r="M2442" s="173" t="s">
        <v>1129</v>
      </c>
      <c r="N2442" s="173" t="s">
        <v>52</v>
      </c>
      <c r="O2442" s="87">
        <v>70</v>
      </c>
      <c r="P2442" s="173" t="s">
        <v>20</v>
      </c>
      <c r="Q2442" s="1" t="s">
        <v>1338</v>
      </c>
      <c r="R2442" s="175">
        <v>500</v>
      </c>
      <c r="S2442">
        <v>100</v>
      </c>
    </row>
    <row r="2443" spans="1:19" x14ac:dyDescent="0.25">
      <c r="A2443" s="87">
        <v>2019</v>
      </c>
      <c r="B2443" s="87">
        <v>11</v>
      </c>
      <c r="C2443" s="173" t="s">
        <v>16</v>
      </c>
      <c r="D2443" s="173" t="s">
        <v>229</v>
      </c>
      <c r="E2443" s="173" t="s">
        <v>24</v>
      </c>
      <c r="F2443" s="173" t="s">
        <v>16</v>
      </c>
      <c r="G2443" s="87" t="b">
        <v>1</v>
      </c>
      <c r="H2443" s="87" t="b">
        <v>0</v>
      </c>
      <c r="I2443" s="87" t="b">
        <v>0</v>
      </c>
      <c r="J2443" s="173" t="s">
        <v>1330</v>
      </c>
      <c r="K2443" s="174">
        <v>4929345000185</v>
      </c>
      <c r="L2443" s="173" t="s">
        <v>1147</v>
      </c>
      <c r="M2443" s="173" t="s">
        <v>1129</v>
      </c>
      <c r="N2443" s="173" t="s">
        <v>52</v>
      </c>
      <c r="O2443" s="87">
        <v>73</v>
      </c>
      <c r="P2443" s="173" t="s">
        <v>26</v>
      </c>
      <c r="Q2443" s="1" t="s">
        <v>1340</v>
      </c>
      <c r="R2443" s="175">
        <v>50</v>
      </c>
      <c r="S2443">
        <v>50</v>
      </c>
    </row>
    <row r="2444" spans="1:19" x14ac:dyDescent="0.25">
      <c r="A2444" s="87">
        <v>2019</v>
      </c>
      <c r="B2444" s="87">
        <v>11</v>
      </c>
      <c r="C2444" s="173" t="s">
        <v>16</v>
      </c>
      <c r="D2444" s="173" t="s">
        <v>229</v>
      </c>
      <c r="E2444" s="173" t="s">
        <v>24</v>
      </c>
      <c r="F2444" s="173" t="s">
        <v>16</v>
      </c>
      <c r="G2444" s="87" t="b">
        <v>1</v>
      </c>
      <c r="H2444" s="87" t="b">
        <v>0</v>
      </c>
      <c r="I2444" s="87" t="b">
        <v>0</v>
      </c>
      <c r="J2444" s="173" t="s">
        <v>1330</v>
      </c>
      <c r="K2444" s="174">
        <v>4995603000121</v>
      </c>
      <c r="L2444" s="173" t="s">
        <v>566</v>
      </c>
      <c r="M2444" s="173" t="s">
        <v>29</v>
      </c>
      <c r="N2444" s="173" t="s">
        <v>19</v>
      </c>
      <c r="O2444" s="87">
        <v>70</v>
      </c>
      <c r="P2444" s="173" t="s">
        <v>20</v>
      </c>
      <c r="Q2444" s="1" t="s">
        <v>1338</v>
      </c>
      <c r="R2444" s="175">
        <v>1000</v>
      </c>
      <c r="S2444">
        <v>200</v>
      </c>
    </row>
    <row r="2445" spans="1:19" x14ac:dyDescent="0.25">
      <c r="A2445" s="87">
        <v>2019</v>
      </c>
      <c r="B2445" s="87">
        <v>11</v>
      </c>
      <c r="C2445" s="173" t="s">
        <v>16</v>
      </c>
      <c r="D2445" s="173" t="s">
        <v>229</v>
      </c>
      <c r="E2445" s="173" t="s">
        <v>24</v>
      </c>
      <c r="F2445" s="173" t="s">
        <v>16</v>
      </c>
      <c r="G2445" s="87" t="b">
        <v>1</v>
      </c>
      <c r="H2445" s="87" t="b">
        <v>0</v>
      </c>
      <c r="I2445" s="87" t="b">
        <v>0</v>
      </c>
      <c r="J2445" s="173" t="s">
        <v>478</v>
      </c>
      <c r="K2445" s="174">
        <v>5430118000173</v>
      </c>
      <c r="L2445" s="173" t="s">
        <v>1295</v>
      </c>
      <c r="M2445" s="173" t="s">
        <v>1296</v>
      </c>
      <c r="N2445" s="173" t="s">
        <v>74</v>
      </c>
      <c r="O2445" s="87">
        <v>73</v>
      </c>
      <c r="P2445" s="173" t="s">
        <v>26</v>
      </c>
      <c r="Q2445" s="1" t="s">
        <v>1340</v>
      </c>
      <c r="R2445" s="175">
        <v>8</v>
      </c>
      <c r="S2445">
        <v>8</v>
      </c>
    </row>
    <row r="2446" spans="1:19" x14ac:dyDescent="0.25">
      <c r="A2446" s="87">
        <v>2019</v>
      </c>
      <c r="B2446" s="87">
        <v>11</v>
      </c>
      <c r="C2446" s="173" t="s">
        <v>16</v>
      </c>
      <c r="D2446" s="173" t="s">
        <v>229</v>
      </c>
      <c r="E2446" s="173" t="s">
        <v>24</v>
      </c>
      <c r="F2446" s="173" t="s">
        <v>16</v>
      </c>
      <c r="G2446" s="87" t="b">
        <v>1</v>
      </c>
      <c r="H2446" s="87" t="b">
        <v>0</v>
      </c>
      <c r="I2446" s="87" t="b">
        <v>0</v>
      </c>
      <c r="J2446" s="173" t="s">
        <v>1512</v>
      </c>
      <c r="K2446" s="174">
        <v>5430118000173</v>
      </c>
      <c r="L2446" s="173" t="s">
        <v>1295</v>
      </c>
      <c r="M2446" s="173" t="s">
        <v>1296</v>
      </c>
      <c r="N2446" s="173" t="s">
        <v>74</v>
      </c>
      <c r="O2446" s="87">
        <v>73</v>
      </c>
      <c r="P2446" s="173" t="s">
        <v>26</v>
      </c>
      <c r="Q2446" s="1" t="s">
        <v>1340</v>
      </c>
      <c r="R2446" s="175">
        <v>4</v>
      </c>
      <c r="S2446">
        <v>4</v>
      </c>
    </row>
    <row r="2447" spans="1:19" x14ac:dyDescent="0.25">
      <c r="A2447" s="87">
        <v>2019</v>
      </c>
      <c r="B2447" s="87">
        <v>11</v>
      </c>
      <c r="C2447" s="173" t="s">
        <v>16</v>
      </c>
      <c r="D2447" s="173" t="s">
        <v>229</v>
      </c>
      <c r="E2447" s="173" t="s">
        <v>24</v>
      </c>
      <c r="F2447" s="173" t="s">
        <v>16</v>
      </c>
      <c r="G2447" s="87" t="b">
        <v>1</v>
      </c>
      <c r="H2447" s="87" t="b">
        <v>0</v>
      </c>
      <c r="I2447" s="87" t="b">
        <v>0</v>
      </c>
      <c r="J2447" s="173" t="s">
        <v>470</v>
      </c>
      <c r="K2447" s="174">
        <v>5469172000122</v>
      </c>
      <c r="L2447" s="173" t="s">
        <v>799</v>
      </c>
      <c r="M2447" s="173" t="s">
        <v>75</v>
      </c>
      <c r="N2447" s="173" t="s">
        <v>74</v>
      </c>
      <c r="O2447" s="87">
        <v>62</v>
      </c>
      <c r="P2447" s="173" t="s">
        <v>27</v>
      </c>
      <c r="Q2447" s="1" t="s">
        <v>1343</v>
      </c>
      <c r="R2447" s="175">
        <v>10</v>
      </c>
      <c r="S2447">
        <v>10</v>
      </c>
    </row>
    <row r="2448" spans="1:19" x14ac:dyDescent="0.25">
      <c r="A2448" s="87">
        <v>2019</v>
      </c>
      <c r="B2448" s="87">
        <v>11</v>
      </c>
      <c r="C2448" s="173" t="s">
        <v>16</v>
      </c>
      <c r="D2448" s="173" t="s">
        <v>229</v>
      </c>
      <c r="E2448" s="173" t="s">
        <v>24</v>
      </c>
      <c r="F2448" s="173" t="s">
        <v>16</v>
      </c>
      <c r="G2448" s="87" t="b">
        <v>1</v>
      </c>
      <c r="H2448" s="87" t="b">
        <v>0</v>
      </c>
      <c r="I2448" s="87" t="b">
        <v>0</v>
      </c>
      <c r="J2448" s="173" t="s">
        <v>470</v>
      </c>
      <c r="K2448" s="174">
        <v>5469172000122</v>
      </c>
      <c r="L2448" s="173" t="s">
        <v>799</v>
      </c>
      <c r="M2448" s="173" t="s">
        <v>75</v>
      </c>
      <c r="N2448" s="173" t="s">
        <v>74</v>
      </c>
      <c r="O2448" s="87">
        <v>64</v>
      </c>
      <c r="P2448" s="173" t="s">
        <v>25</v>
      </c>
      <c r="Q2448" s="1" t="s">
        <v>1344</v>
      </c>
      <c r="R2448" s="175">
        <v>31</v>
      </c>
      <c r="S2448">
        <v>31</v>
      </c>
    </row>
    <row r="2449" spans="1:19" x14ac:dyDescent="0.25">
      <c r="A2449" s="87">
        <v>2019</v>
      </c>
      <c r="B2449" s="87">
        <v>11</v>
      </c>
      <c r="C2449" s="173" t="s">
        <v>16</v>
      </c>
      <c r="D2449" s="173" t="s">
        <v>229</v>
      </c>
      <c r="E2449" s="173" t="s">
        <v>24</v>
      </c>
      <c r="F2449" s="173" t="s">
        <v>16</v>
      </c>
      <c r="G2449" s="87" t="b">
        <v>1</v>
      </c>
      <c r="H2449" s="87" t="b">
        <v>0</v>
      </c>
      <c r="I2449" s="87" t="b">
        <v>0</v>
      </c>
      <c r="J2449" s="173" t="s">
        <v>452</v>
      </c>
      <c r="K2449" s="174">
        <v>5503803000182</v>
      </c>
      <c r="L2449" s="173" t="s">
        <v>1400</v>
      </c>
      <c r="M2449" s="173" t="s">
        <v>94</v>
      </c>
      <c r="N2449" s="173" t="s">
        <v>57</v>
      </c>
      <c r="O2449" s="87">
        <v>73</v>
      </c>
      <c r="P2449" s="173" t="s">
        <v>26</v>
      </c>
      <c r="Q2449" s="1" t="s">
        <v>1339</v>
      </c>
      <c r="R2449" s="175">
        <v>12</v>
      </c>
      <c r="S2449">
        <v>6</v>
      </c>
    </row>
    <row r="2450" spans="1:19" x14ac:dyDescent="0.25">
      <c r="A2450" s="87">
        <v>2019</v>
      </c>
      <c r="B2450" s="87">
        <v>11</v>
      </c>
      <c r="C2450" s="173" t="s">
        <v>16</v>
      </c>
      <c r="D2450" s="173" t="s">
        <v>229</v>
      </c>
      <c r="E2450" s="173" t="s">
        <v>24</v>
      </c>
      <c r="F2450" s="173" t="s">
        <v>16</v>
      </c>
      <c r="G2450" s="87" t="b">
        <v>1</v>
      </c>
      <c r="H2450" s="87" t="b">
        <v>0</v>
      </c>
      <c r="I2450" s="87" t="b">
        <v>0</v>
      </c>
      <c r="J2450" s="173" t="s">
        <v>470</v>
      </c>
      <c r="K2450" s="174">
        <v>5612725000154</v>
      </c>
      <c r="L2450" s="173" t="s">
        <v>800</v>
      </c>
      <c r="M2450" s="173" t="s">
        <v>742</v>
      </c>
      <c r="N2450" s="173" t="s">
        <v>91</v>
      </c>
      <c r="O2450" s="87">
        <v>70</v>
      </c>
      <c r="P2450" s="173" t="s">
        <v>20</v>
      </c>
      <c r="Q2450" s="1" t="s">
        <v>1338</v>
      </c>
      <c r="R2450" s="175">
        <v>30</v>
      </c>
      <c r="S2450">
        <v>6</v>
      </c>
    </row>
    <row r="2451" spans="1:19" x14ac:dyDescent="0.25">
      <c r="A2451" s="87">
        <v>2019</v>
      </c>
      <c r="B2451" s="87">
        <v>11</v>
      </c>
      <c r="C2451" s="173" t="s">
        <v>16</v>
      </c>
      <c r="D2451" s="173" t="s">
        <v>229</v>
      </c>
      <c r="E2451" s="173" t="s">
        <v>24</v>
      </c>
      <c r="F2451" s="173" t="s">
        <v>16</v>
      </c>
      <c r="G2451" s="87" t="b">
        <v>1</v>
      </c>
      <c r="H2451" s="87" t="b">
        <v>0</v>
      </c>
      <c r="I2451" s="87" t="b">
        <v>0</v>
      </c>
      <c r="J2451" s="173" t="s">
        <v>1330</v>
      </c>
      <c r="K2451" s="174">
        <v>5816630000152</v>
      </c>
      <c r="L2451" s="173" t="s">
        <v>803</v>
      </c>
      <c r="M2451" s="173" t="s">
        <v>75</v>
      </c>
      <c r="N2451" s="173" t="s">
        <v>74</v>
      </c>
      <c r="O2451" s="87">
        <v>70</v>
      </c>
      <c r="P2451" s="173" t="s">
        <v>20</v>
      </c>
      <c r="Q2451" s="1" t="s">
        <v>1346</v>
      </c>
      <c r="R2451" s="175">
        <v>25</v>
      </c>
      <c r="S2451">
        <v>10</v>
      </c>
    </row>
    <row r="2452" spans="1:19" x14ac:dyDescent="0.25">
      <c r="A2452" s="87">
        <v>2019</v>
      </c>
      <c r="B2452" s="87">
        <v>11</v>
      </c>
      <c r="C2452" s="173" t="s">
        <v>16</v>
      </c>
      <c r="D2452" s="173" t="s">
        <v>229</v>
      </c>
      <c r="E2452" s="173" t="s">
        <v>24</v>
      </c>
      <c r="F2452" s="173" t="s">
        <v>16</v>
      </c>
      <c r="G2452" s="87" t="b">
        <v>1</v>
      </c>
      <c r="H2452" s="87" t="b">
        <v>0</v>
      </c>
      <c r="I2452" s="87" t="b">
        <v>0</v>
      </c>
      <c r="J2452" s="173" t="s">
        <v>1330</v>
      </c>
      <c r="K2452" s="174">
        <v>5816630000152</v>
      </c>
      <c r="L2452" s="173" t="s">
        <v>803</v>
      </c>
      <c r="M2452" s="173" t="s">
        <v>75</v>
      </c>
      <c r="N2452" s="173" t="s">
        <v>74</v>
      </c>
      <c r="O2452" s="87">
        <v>70</v>
      </c>
      <c r="P2452" s="173" t="s">
        <v>20</v>
      </c>
      <c r="Q2452" s="1" t="s">
        <v>1338</v>
      </c>
      <c r="R2452" s="175">
        <v>3430</v>
      </c>
      <c r="S2452">
        <v>686</v>
      </c>
    </row>
    <row r="2453" spans="1:19" x14ac:dyDescent="0.25">
      <c r="A2453" s="87">
        <v>2019</v>
      </c>
      <c r="B2453" s="87">
        <v>11</v>
      </c>
      <c r="C2453" s="173" t="s">
        <v>16</v>
      </c>
      <c r="D2453" s="173" t="s">
        <v>229</v>
      </c>
      <c r="E2453" s="173" t="s">
        <v>24</v>
      </c>
      <c r="F2453" s="173" t="s">
        <v>16</v>
      </c>
      <c r="G2453" s="87" t="b">
        <v>1</v>
      </c>
      <c r="H2453" s="87" t="b">
        <v>0</v>
      </c>
      <c r="I2453" s="87" t="b">
        <v>0</v>
      </c>
      <c r="J2453" s="173" t="s">
        <v>506</v>
      </c>
      <c r="K2453" s="174">
        <v>5831510000124</v>
      </c>
      <c r="L2453" s="173" t="s">
        <v>567</v>
      </c>
      <c r="M2453" s="173" t="s">
        <v>29</v>
      </c>
      <c r="N2453" s="173" t="s">
        <v>19</v>
      </c>
      <c r="O2453" s="87">
        <v>70</v>
      </c>
      <c r="P2453" s="173" t="s">
        <v>20</v>
      </c>
      <c r="Q2453" s="1" t="s">
        <v>1338</v>
      </c>
      <c r="R2453" s="175">
        <v>140</v>
      </c>
      <c r="S2453">
        <v>28</v>
      </c>
    </row>
    <row r="2454" spans="1:19" x14ac:dyDescent="0.25">
      <c r="A2454" s="87">
        <v>2019</v>
      </c>
      <c r="B2454" s="87">
        <v>11</v>
      </c>
      <c r="C2454" s="173" t="s">
        <v>16</v>
      </c>
      <c r="D2454" s="173" t="s">
        <v>229</v>
      </c>
      <c r="E2454" s="173" t="s">
        <v>24</v>
      </c>
      <c r="F2454" s="173" t="s">
        <v>16</v>
      </c>
      <c r="G2454" s="87" t="b">
        <v>1</v>
      </c>
      <c r="H2454" s="87" t="b">
        <v>0</v>
      </c>
      <c r="I2454" s="87" t="b">
        <v>0</v>
      </c>
      <c r="J2454" s="173" t="s">
        <v>470</v>
      </c>
      <c r="K2454" s="174">
        <v>5867015000175</v>
      </c>
      <c r="L2454" s="173" t="s">
        <v>804</v>
      </c>
      <c r="M2454" s="173" t="s">
        <v>76</v>
      </c>
      <c r="N2454" s="173" t="s">
        <v>77</v>
      </c>
      <c r="O2454" s="87">
        <v>73</v>
      </c>
      <c r="P2454" s="173" t="s">
        <v>26</v>
      </c>
      <c r="Q2454" s="1" t="s">
        <v>1340</v>
      </c>
      <c r="R2454" s="175">
        <v>8</v>
      </c>
      <c r="S2454">
        <v>8</v>
      </c>
    </row>
    <row r="2455" spans="1:19" x14ac:dyDescent="0.25">
      <c r="A2455" s="87">
        <v>2019</v>
      </c>
      <c r="B2455" s="87">
        <v>11</v>
      </c>
      <c r="C2455" s="173" t="s">
        <v>16</v>
      </c>
      <c r="D2455" s="173" t="s">
        <v>229</v>
      </c>
      <c r="E2455" s="173" t="s">
        <v>24</v>
      </c>
      <c r="F2455" s="173" t="s">
        <v>16</v>
      </c>
      <c r="G2455" s="87" t="b">
        <v>1</v>
      </c>
      <c r="H2455" s="87" t="b">
        <v>0</v>
      </c>
      <c r="I2455" s="87" t="b">
        <v>0</v>
      </c>
      <c r="J2455" s="173" t="s">
        <v>460</v>
      </c>
      <c r="K2455" s="174">
        <v>5868278000280</v>
      </c>
      <c r="L2455" s="173" t="s">
        <v>805</v>
      </c>
      <c r="M2455" s="173" t="s">
        <v>76</v>
      </c>
      <c r="N2455" s="173" t="s">
        <v>77</v>
      </c>
      <c r="O2455" s="87">
        <v>62</v>
      </c>
      <c r="P2455" s="173" t="s">
        <v>27</v>
      </c>
      <c r="Q2455" s="1" t="s">
        <v>1343</v>
      </c>
      <c r="R2455" s="175">
        <v>24</v>
      </c>
      <c r="S2455">
        <v>24</v>
      </c>
    </row>
    <row r="2456" spans="1:19" x14ac:dyDescent="0.25">
      <c r="A2456" s="87">
        <v>2019</v>
      </c>
      <c r="B2456" s="87">
        <v>11</v>
      </c>
      <c r="C2456" s="173" t="s">
        <v>16</v>
      </c>
      <c r="D2456" s="173" t="s">
        <v>229</v>
      </c>
      <c r="E2456" s="173" t="s">
        <v>24</v>
      </c>
      <c r="F2456" s="173" t="s">
        <v>16</v>
      </c>
      <c r="G2456" s="87" t="b">
        <v>1</v>
      </c>
      <c r="H2456" s="87" t="b">
        <v>0</v>
      </c>
      <c r="I2456" s="87" t="b">
        <v>0</v>
      </c>
      <c r="J2456" s="173" t="s">
        <v>460</v>
      </c>
      <c r="K2456" s="174">
        <v>5868278000280</v>
      </c>
      <c r="L2456" s="173" t="s">
        <v>805</v>
      </c>
      <c r="M2456" s="173" t="s">
        <v>76</v>
      </c>
      <c r="N2456" s="173" t="s">
        <v>77</v>
      </c>
      <c r="O2456" s="87">
        <v>64</v>
      </c>
      <c r="P2456" s="173" t="s">
        <v>25</v>
      </c>
      <c r="Q2456" s="1" t="s">
        <v>1344</v>
      </c>
      <c r="R2456" s="175">
        <v>16</v>
      </c>
      <c r="S2456">
        <v>16</v>
      </c>
    </row>
    <row r="2457" spans="1:19" x14ac:dyDescent="0.25">
      <c r="A2457" s="87">
        <v>2019</v>
      </c>
      <c r="B2457" s="87">
        <v>11</v>
      </c>
      <c r="C2457" s="173" t="s">
        <v>16</v>
      </c>
      <c r="D2457" s="173" t="s">
        <v>229</v>
      </c>
      <c r="E2457" s="173" t="s">
        <v>24</v>
      </c>
      <c r="F2457" s="173" t="s">
        <v>16</v>
      </c>
      <c r="G2457" s="87" t="b">
        <v>1</v>
      </c>
      <c r="H2457" s="87" t="b">
        <v>0</v>
      </c>
      <c r="I2457" s="87" t="b">
        <v>0</v>
      </c>
      <c r="J2457" s="173" t="s">
        <v>460</v>
      </c>
      <c r="K2457" s="174">
        <v>5868278000280</v>
      </c>
      <c r="L2457" s="173" t="s">
        <v>805</v>
      </c>
      <c r="M2457" s="173" t="s">
        <v>76</v>
      </c>
      <c r="N2457" s="173" t="s">
        <v>77</v>
      </c>
      <c r="O2457" s="87">
        <v>70</v>
      </c>
      <c r="P2457" s="173" t="s">
        <v>20</v>
      </c>
      <c r="Q2457" s="1" t="s">
        <v>1338</v>
      </c>
      <c r="R2457" s="175">
        <v>535</v>
      </c>
      <c r="S2457">
        <v>107</v>
      </c>
    </row>
    <row r="2458" spans="1:19" x14ac:dyDescent="0.25">
      <c r="A2458" s="87">
        <v>2019</v>
      </c>
      <c r="B2458" s="87">
        <v>11</v>
      </c>
      <c r="C2458" s="173" t="s">
        <v>16</v>
      </c>
      <c r="D2458" s="173" t="s">
        <v>229</v>
      </c>
      <c r="E2458" s="173" t="s">
        <v>24</v>
      </c>
      <c r="F2458" s="173" t="s">
        <v>16</v>
      </c>
      <c r="G2458" s="87" t="b">
        <v>1</v>
      </c>
      <c r="H2458" s="87" t="b">
        <v>0</v>
      </c>
      <c r="I2458" s="87" t="b">
        <v>0</v>
      </c>
      <c r="J2458" s="173" t="s">
        <v>455</v>
      </c>
      <c r="K2458" s="174">
        <v>5868278000280</v>
      </c>
      <c r="L2458" s="173" t="s">
        <v>805</v>
      </c>
      <c r="M2458" s="173" t="s">
        <v>76</v>
      </c>
      <c r="N2458" s="173" t="s">
        <v>77</v>
      </c>
      <c r="O2458" s="87">
        <v>70</v>
      </c>
      <c r="P2458" s="173" t="s">
        <v>20</v>
      </c>
      <c r="Q2458" s="1" t="s">
        <v>1338</v>
      </c>
      <c r="R2458" s="175">
        <v>50</v>
      </c>
      <c r="S2458">
        <v>10</v>
      </c>
    </row>
    <row r="2459" spans="1:19" x14ac:dyDescent="0.25">
      <c r="A2459" s="87">
        <v>2019</v>
      </c>
      <c r="B2459" s="87">
        <v>11</v>
      </c>
      <c r="C2459" s="173" t="s">
        <v>16</v>
      </c>
      <c r="D2459" s="173" t="s">
        <v>229</v>
      </c>
      <c r="E2459" s="173" t="s">
        <v>24</v>
      </c>
      <c r="F2459" s="173" t="s">
        <v>16</v>
      </c>
      <c r="G2459" s="87" t="b">
        <v>1</v>
      </c>
      <c r="H2459" s="87" t="b">
        <v>0</v>
      </c>
      <c r="I2459" s="87" t="b">
        <v>0</v>
      </c>
      <c r="J2459" s="173" t="s">
        <v>453</v>
      </c>
      <c r="K2459" s="174">
        <v>5868278000280</v>
      </c>
      <c r="L2459" s="173" t="s">
        <v>805</v>
      </c>
      <c r="M2459" s="173" t="s">
        <v>76</v>
      </c>
      <c r="N2459" s="173" t="s">
        <v>77</v>
      </c>
      <c r="O2459" s="87">
        <v>73</v>
      </c>
      <c r="P2459" s="173" t="s">
        <v>26</v>
      </c>
      <c r="Q2459" s="1" t="s">
        <v>1339</v>
      </c>
      <c r="R2459" s="175">
        <v>14</v>
      </c>
      <c r="S2459">
        <v>7</v>
      </c>
    </row>
    <row r="2460" spans="1:19" x14ac:dyDescent="0.25">
      <c r="A2460" s="87">
        <v>2019</v>
      </c>
      <c r="B2460" s="87">
        <v>11</v>
      </c>
      <c r="C2460" s="173" t="s">
        <v>16</v>
      </c>
      <c r="D2460" s="173" t="s">
        <v>229</v>
      </c>
      <c r="E2460" s="173" t="s">
        <v>24</v>
      </c>
      <c r="F2460" s="173" t="s">
        <v>16</v>
      </c>
      <c r="G2460" s="87" t="b">
        <v>1</v>
      </c>
      <c r="H2460" s="87" t="b">
        <v>0</v>
      </c>
      <c r="I2460" s="87" t="b">
        <v>0</v>
      </c>
      <c r="J2460" s="173" t="s">
        <v>453</v>
      </c>
      <c r="K2460" s="174">
        <v>5868278000280</v>
      </c>
      <c r="L2460" s="173" t="s">
        <v>805</v>
      </c>
      <c r="M2460" s="173" t="s">
        <v>76</v>
      </c>
      <c r="N2460" s="173" t="s">
        <v>77</v>
      </c>
      <c r="O2460" s="87">
        <v>73</v>
      </c>
      <c r="P2460" s="173" t="s">
        <v>26</v>
      </c>
      <c r="Q2460" s="1" t="s">
        <v>1342</v>
      </c>
      <c r="R2460" s="175">
        <v>132</v>
      </c>
      <c r="S2460">
        <v>33</v>
      </c>
    </row>
    <row r="2461" spans="1:19" x14ac:dyDescent="0.25">
      <c r="A2461" s="87">
        <v>2019</v>
      </c>
      <c r="B2461" s="87">
        <v>11</v>
      </c>
      <c r="C2461" s="173" t="s">
        <v>16</v>
      </c>
      <c r="D2461" s="173" t="s">
        <v>229</v>
      </c>
      <c r="E2461" s="173" t="s">
        <v>24</v>
      </c>
      <c r="F2461" s="173" t="s">
        <v>16</v>
      </c>
      <c r="G2461" s="87" t="b">
        <v>1</v>
      </c>
      <c r="H2461" s="87" t="b">
        <v>0</v>
      </c>
      <c r="I2461" s="87" t="b">
        <v>0</v>
      </c>
      <c r="J2461" s="173" t="s">
        <v>470</v>
      </c>
      <c r="K2461" s="174">
        <v>5868278000280</v>
      </c>
      <c r="L2461" s="173" t="s">
        <v>805</v>
      </c>
      <c r="M2461" s="173" t="s">
        <v>76</v>
      </c>
      <c r="N2461" s="173" t="s">
        <v>77</v>
      </c>
      <c r="O2461" s="87">
        <v>73</v>
      </c>
      <c r="P2461" s="173" t="s">
        <v>26</v>
      </c>
      <c r="Q2461" s="1" t="s">
        <v>1339</v>
      </c>
      <c r="R2461" s="175">
        <v>8</v>
      </c>
      <c r="S2461">
        <v>4</v>
      </c>
    </row>
    <row r="2462" spans="1:19" x14ac:dyDescent="0.25">
      <c r="A2462" s="87">
        <v>2019</v>
      </c>
      <c r="B2462" s="87">
        <v>11</v>
      </c>
      <c r="C2462" s="173" t="s">
        <v>16</v>
      </c>
      <c r="D2462" s="173" t="s">
        <v>229</v>
      </c>
      <c r="E2462" s="173" t="s">
        <v>24</v>
      </c>
      <c r="F2462" s="173" t="s">
        <v>16</v>
      </c>
      <c r="G2462" s="87" t="b">
        <v>1</v>
      </c>
      <c r="H2462" s="87" t="b">
        <v>0</v>
      </c>
      <c r="I2462" s="87" t="b">
        <v>0</v>
      </c>
      <c r="J2462" s="173" t="s">
        <v>460</v>
      </c>
      <c r="K2462" s="174">
        <v>5874946000281</v>
      </c>
      <c r="L2462" s="173" t="s">
        <v>807</v>
      </c>
      <c r="M2462" s="173" t="s">
        <v>76</v>
      </c>
      <c r="N2462" s="173" t="s">
        <v>77</v>
      </c>
      <c r="O2462" s="87">
        <v>70</v>
      </c>
      <c r="P2462" s="173" t="s">
        <v>20</v>
      </c>
      <c r="Q2462" s="1" t="s">
        <v>1338</v>
      </c>
      <c r="R2462" s="175">
        <v>225</v>
      </c>
      <c r="S2462">
        <v>45</v>
      </c>
    </row>
    <row r="2463" spans="1:19" x14ac:dyDescent="0.25">
      <c r="A2463" s="87">
        <v>2019</v>
      </c>
      <c r="B2463" s="87">
        <v>11</v>
      </c>
      <c r="C2463" s="173" t="s">
        <v>16</v>
      </c>
      <c r="D2463" s="173" t="s">
        <v>229</v>
      </c>
      <c r="E2463" s="173" t="s">
        <v>24</v>
      </c>
      <c r="F2463" s="173" t="s">
        <v>16</v>
      </c>
      <c r="G2463" s="87" t="b">
        <v>1</v>
      </c>
      <c r="H2463" s="87" t="b">
        <v>0</v>
      </c>
      <c r="I2463" s="87" t="b">
        <v>0</v>
      </c>
      <c r="J2463" s="173" t="s">
        <v>491</v>
      </c>
      <c r="K2463" s="174">
        <v>6047087000996</v>
      </c>
      <c r="L2463" s="173" t="s">
        <v>1080</v>
      </c>
      <c r="M2463" s="173" t="s">
        <v>131</v>
      </c>
      <c r="N2463" s="173" t="s">
        <v>61</v>
      </c>
      <c r="O2463" s="87">
        <v>70</v>
      </c>
      <c r="P2463" s="173" t="s">
        <v>20</v>
      </c>
      <c r="Q2463" s="1" t="s">
        <v>1338</v>
      </c>
      <c r="R2463" s="175">
        <v>120</v>
      </c>
      <c r="S2463">
        <v>24</v>
      </c>
    </row>
    <row r="2464" spans="1:19" x14ac:dyDescent="0.25">
      <c r="A2464" s="87">
        <v>2019</v>
      </c>
      <c r="B2464" s="87">
        <v>11</v>
      </c>
      <c r="C2464" s="173" t="s">
        <v>16</v>
      </c>
      <c r="D2464" s="173" t="s">
        <v>229</v>
      </c>
      <c r="E2464" s="173" t="s">
        <v>24</v>
      </c>
      <c r="F2464" s="173" t="s">
        <v>16</v>
      </c>
      <c r="G2464" s="87" t="b">
        <v>1</v>
      </c>
      <c r="H2464" s="87" t="b">
        <v>0</v>
      </c>
      <c r="I2464" s="87" t="b">
        <v>0</v>
      </c>
      <c r="J2464" s="173" t="s">
        <v>477</v>
      </c>
      <c r="K2464" s="174">
        <v>6047087000996</v>
      </c>
      <c r="L2464" s="173" t="s">
        <v>1080</v>
      </c>
      <c r="M2464" s="173" t="s">
        <v>131</v>
      </c>
      <c r="N2464" s="173" t="s">
        <v>61</v>
      </c>
      <c r="O2464" s="87">
        <v>73</v>
      </c>
      <c r="P2464" s="173" t="s">
        <v>26</v>
      </c>
      <c r="Q2464" s="1" t="s">
        <v>1342</v>
      </c>
      <c r="R2464" s="175">
        <v>24</v>
      </c>
      <c r="S2464">
        <v>6</v>
      </c>
    </row>
    <row r="2465" spans="1:19" x14ac:dyDescent="0.25">
      <c r="A2465" s="87">
        <v>2019</v>
      </c>
      <c r="B2465" s="87">
        <v>11</v>
      </c>
      <c r="C2465" s="173" t="s">
        <v>16</v>
      </c>
      <c r="D2465" s="173" t="s">
        <v>229</v>
      </c>
      <c r="E2465" s="173" t="s">
        <v>24</v>
      </c>
      <c r="F2465" s="173" t="s">
        <v>16</v>
      </c>
      <c r="G2465" s="87" t="b">
        <v>1</v>
      </c>
      <c r="H2465" s="87" t="b">
        <v>0</v>
      </c>
      <c r="I2465" s="87" t="b">
        <v>0</v>
      </c>
      <c r="J2465" s="173" t="s">
        <v>491</v>
      </c>
      <c r="K2465" s="174">
        <v>6047087001020</v>
      </c>
      <c r="L2465" s="173" t="s">
        <v>1081</v>
      </c>
      <c r="M2465" s="173" t="s">
        <v>131</v>
      </c>
      <c r="N2465" s="173" t="s">
        <v>61</v>
      </c>
      <c r="O2465" s="87">
        <v>62</v>
      </c>
      <c r="P2465" s="173" t="s">
        <v>27</v>
      </c>
      <c r="Q2465" s="1" t="s">
        <v>1343</v>
      </c>
      <c r="R2465" s="175">
        <v>65</v>
      </c>
      <c r="S2465">
        <v>65</v>
      </c>
    </row>
    <row r="2466" spans="1:19" x14ac:dyDescent="0.25">
      <c r="A2466" s="87">
        <v>2019</v>
      </c>
      <c r="B2466" s="87">
        <v>11</v>
      </c>
      <c r="C2466" s="173" t="s">
        <v>16</v>
      </c>
      <c r="D2466" s="173" t="s">
        <v>229</v>
      </c>
      <c r="E2466" s="173" t="s">
        <v>24</v>
      </c>
      <c r="F2466" s="173" t="s">
        <v>16</v>
      </c>
      <c r="G2466" s="87" t="b">
        <v>1</v>
      </c>
      <c r="H2466" s="87" t="b">
        <v>0</v>
      </c>
      <c r="I2466" s="87" t="b">
        <v>0</v>
      </c>
      <c r="J2466" s="173" t="s">
        <v>491</v>
      </c>
      <c r="K2466" s="174">
        <v>6047087001020</v>
      </c>
      <c r="L2466" s="173" t="s">
        <v>1081</v>
      </c>
      <c r="M2466" s="173" t="s">
        <v>131</v>
      </c>
      <c r="N2466" s="173" t="s">
        <v>61</v>
      </c>
      <c r="O2466" s="87">
        <v>64</v>
      </c>
      <c r="P2466" s="173" t="s">
        <v>25</v>
      </c>
      <c r="Q2466" s="1" t="s">
        <v>1344</v>
      </c>
      <c r="R2466" s="175">
        <v>41</v>
      </c>
      <c r="S2466">
        <v>41</v>
      </c>
    </row>
    <row r="2467" spans="1:19" x14ac:dyDescent="0.25">
      <c r="A2467" s="87">
        <v>2019</v>
      </c>
      <c r="B2467" s="87">
        <v>11</v>
      </c>
      <c r="C2467" s="173" t="s">
        <v>16</v>
      </c>
      <c r="D2467" s="173" t="s">
        <v>229</v>
      </c>
      <c r="E2467" s="173" t="s">
        <v>24</v>
      </c>
      <c r="F2467" s="173" t="s">
        <v>16</v>
      </c>
      <c r="G2467" s="87" t="b">
        <v>1</v>
      </c>
      <c r="H2467" s="87" t="b">
        <v>0</v>
      </c>
      <c r="I2467" s="87" t="b">
        <v>0</v>
      </c>
      <c r="J2467" s="173" t="s">
        <v>491</v>
      </c>
      <c r="K2467" s="174">
        <v>6047087001372</v>
      </c>
      <c r="L2467" s="173" t="s">
        <v>1041</v>
      </c>
      <c r="M2467" s="173" t="s">
        <v>78</v>
      </c>
      <c r="N2467" s="173" t="s">
        <v>61</v>
      </c>
      <c r="O2467" s="87">
        <v>64</v>
      </c>
      <c r="P2467" s="173" t="s">
        <v>25</v>
      </c>
      <c r="Q2467" s="1" t="s">
        <v>1344</v>
      </c>
      <c r="R2467" s="175">
        <v>7</v>
      </c>
      <c r="S2467">
        <v>7</v>
      </c>
    </row>
    <row r="2468" spans="1:19" x14ac:dyDescent="0.25">
      <c r="A2468" s="87">
        <v>2019</v>
      </c>
      <c r="B2468" s="87">
        <v>11</v>
      </c>
      <c r="C2468" s="173" t="s">
        <v>16</v>
      </c>
      <c r="D2468" s="173" t="s">
        <v>229</v>
      </c>
      <c r="E2468" s="173" t="s">
        <v>24</v>
      </c>
      <c r="F2468" s="173" t="s">
        <v>16</v>
      </c>
      <c r="G2468" s="87" t="b">
        <v>1</v>
      </c>
      <c r="H2468" s="87" t="b">
        <v>0</v>
      </c>
      <c r="I2468" s="87" t="b">
        <v>0</v>
      </c>
      <c r="J2468" s="173" t="s">
        <v>491</v>
      </c>
      <c r="K2468" s="174">
        <v>6047087002697</v>
      </c>
      <c r="L2468" s="173" t="s">
        <v>1082</v>
      </c>
      <c r="M2468" s="173" t="s">
        <v>131</v>
      </c>
      <c r="N2468" s="173" t="s">
        <v>61</v>
      </c>
      <c r="O2468" s="87">
        <v>62</v>
      </c>
      <c r="P2468" s="173" t="s">
        <v>27</v>
      </c>
      <c r="Q2468" s="1" t="s">
        <v>1343</v>
      </c>
      <c r="R2468" s="175">
        <v>4</v>
      </c>
      <c r="S2468">
        <v>4</v>
      </c>
    </row>
    <row r="2469" spans="1:19" x14ac:dyDescent="0.25">
      <c r="A2469" s="87">
        <v>2019</v>
      </c>
      <c r="B2469" s="87">
        <v>11</v>
      </c>
      <c r="C2469" s="173" t="s">
        <v>16</v>
      </c>
      <c r="D2469" s="173" t="s">
        <v>229</v>
      </c>
      <c r="E2469" s="173" t="s">
        <v>24</v>
      </c>
      <c r="F2469" s="173" t="s">
        <v>16</v>
      </c>
      <c r="G2469" s="87" t="b">
        <v>1</v>
      </c>
      <c r="H2469" s="87" t="b">
        <v>0</v>
      </c>
      <c r="I2469" s="87" t="b">
        <v>0</v>
      </c>
      <c r="J2469" s="173" t="s">
        <v>450</v>
      </c>
      <c r="K2469" s="174">
        <v>6047087003073</v>
      </c>
      <c r="L2469" s="173" t="s">
        <v>649</v>
      </c>
      <c r="M2469" s="173" t="s">
        <v>650</v>
      </c>
      <c r="N2469" s="173" t="s">
        <v>19</v>
      </c>
      <c r="O2469" s="87">
        <v>66</v>
      </c>
      <c r="P2469" s="173" t="s">
        <v>28</v>
      </c>
      <c r="Q2469" s="1" t="s">
        <v>1341</v>
      </c>
      <c r="R2469" s="175">
        <v>4</v>
      </c>
      <c r="S2469">
        <v>4</v>
      </c>
    </row>
    <row r="2470" spans="1:19" x14ac:dyDescent="0.25">
      <c r="A2470" s="87">
        <v>2019</v>
      </c>
      <c r="B2470" s="87">
        <v>11</v>
      </c>
      <c r="C2470" s="173" t="s">
        <v>16</v>
      </c>
      <c r="D2470" s="173" t="s">
        <v>229</v>
      </c>
      <c r="E2470" s="173" t="s">
        <v>24</v>
      </c>
      <c r="F2470" s="173" t="s">
        <v>16</v>
      </c>
      <c r="G2470" s="87" t="b">
        <v>1</v>
      </c>
      <c r="H2470" s="87" t="b">
        <v>0</v>
      </c>
      <c r="I2470" s="87" t="b">
        <v>0</v>
      </c>
      <c r="J2470" s="173" t="s">
        <v>451</v>
      </c>
      <c r="K2470" s="174">
        <v>6047087003073</v>
      </c>
      <c r="L2470" s="173" t="s">
        <v>649</v>
      </c>
      <c r="M2470" s="173" t="s">
        <v>650</v>
      </c>
      <c r="N2470" s="173" t="s">
        <v>19</v>
      </c>
      <c r="O2470" s="87">
        <v>73</v>
      </c>
      <c r="P2470" s="173" t="s">
        <v>26</v>
      </c>
      <c r="Q2470" s="1" t="s">
        <v>1342</v>
      </c>
      <c r="R2470" s="175">
        <v>48</v>
      </c>
      <c r="S2470">
        <v>12</v>
      </c>
    </row>
    <row r="2471" spans="1:19" x14ac:dyDescent="0.25">
      <c r="A2471" s="87">
        <v>2019</v>
      </c>
      <c r="B2471" s="87">
        <v>11</v>
      </c>
      <c r="C2471" s="173" t="s">
        <v>16</v>
      </c>
      <c r="D2471" s="173" t="s">
        <v>229</v>
      </c>
      <c r="E2471" s="173" t="s">
        <v>24</v>
      </c>
      <c r="F2471" s="173" t="s">
        <v>16</v>
      </c>
      <c r="G2471" s="87" t="b">
        <v>1</v>
      </c>
      <c r="H2471" s="87" t="b">
        <v>0</v>
      </c>
      <c r="I2471" s="87" t="b">
        <v>0</v>
      </c>
      <c r="J2471" s="173" t="s">
        <v>491</v>
      </c>
      <c r="K2471" s="174">
        <v>6047087003316</v>
      </c>
      <c r="L2471" s="173" t="s">
        <v>1083</v>
      </c>
      <c r="M2471" s="173" t="s">
        <v>131</v>
      </c>
      <c r="N2471" s="173" t="s">
        <v>61</v>
      </c>
      <c r="O2471" s="87">
        <v>62</v>
      </c>
      <c r="P2471" s="173" t="s">
        <v>27</v>
      </c>
      <c r="Q2471" s="1" t="s">
        <v>1343</v>
      </c>
      <c r="R2471" s="175">
        <v>2</v>
      </c>
      <c r="S2471">
        <v>2</v>
      </c>
    </row>
    <row r="2472" spans="1:19" x14ac:dyDescent="0.25">
      <c r="A2472" s="87">
        <v>2019</v>
      </c>
      <c r="B2472" s="87">
        <v>11</v>
      </c>
      <c r="C2472" s="173" t="s">
        <v>16</v>
      </c>
      <c r="D2472" s="173" t="s">
        <v>229</v>
      </c>
      <c r="E2472" s="173" t="s">
        <v>24</v>
      </c>
      <c r="F2472" s="173" t="s">
        <v>16</v>
      </c>
      <c r="G2472" s="87" t="b">
        <v>1</v>
      </c>
      <c r="H2472" s="87" t="b">
        <v>0</v>
      </c>
      <c r="I2472" s="87" t="b">
        <v>0</v>
      </c>
      <c r="J2472" s="173" t="s">
        <v>491</v>
      </c>
      <c r="K2472" s="174">
        <v>6047087004207</v>
      </c>
      <c r="L2472" s="173" t="s">
        <v>811</v>
      </c>
      <c r="M2472" s="173" t="s">
        <v>739</v>
      </c>
      <c r="N2472" s="173" t="s">
        <v>55</v>
      </c>
      <c r="O2472" s="87">
        <v>64</v>
      </c>
      <c r="P2472" s="173" t="s">
        <v>25</v>
      </c>
      <c r="Q2472" s="1" t="s">
        <v>1344</v>
      </c>
      <c r="R2472" s="175">
        <v>4</v>
      </c>
      <c r="S2472">
        <v>4</v>
      </c>
    </row>
    <row r="2473" spans="1:19" x14ac:dyDescent="0.25">
      <c r="A2473" s="87">
        <v>2019</v>
      </c>
      <c r="B2473" s="87">
        <v>11</v>
      </c>
      <c r="C2473" s="173" t="s">
        <v>16</v>
      </c>
      <c r="D2473" s="173" t="s">
        <v>229</v>
      </c>
      <c r="E2473" s="173" t="s">
        <v>24</v>
      </c>
      <c r="F2473" s="173" t="s">
        <v>16</v>
      </c>
      <c r="G2473" s="87" t="b">
        <v>1</v>
      </c>
      <c r="H2473" s="87" t="b">
        <v>0</v>
      </c>
      <c r="I2473" s="87" t="b">
        <v>0</v>
      </c>
      <c r="J2473" s="173" t="s">
        <v>491</v>
      </c>
      <c r="K2473" s="174">
        <v>6047087007656</v>
      </c>
      <c r="L2473" s="173" t="s">
        <v>651</v>
      </c>
      <c r="M2473" s="173" t="s">
        <v>32</v>
      </c>
      <c r="N2473" s="173" t="s">
        <v>19</v>
      </c>
      <c r="O2473" s="87">
        <v>62</v>
      </c>
      <c r="P2473" s="173" t="s">
        <v>27</v>
      </c>
      <c r="Q2473" s="1" t="s">
        <v>1343</v>
      </c>
      <c r="R2473" s="175">
        <v>2</v>
      </c>
      <c r="S2473">
        <v>2</v>
      </c>
    </row>
    <row r="2474" spans="1:19" x14ac:dyDescent="0.25">
      <c r="A2474" s="87">
        <v>2019</v>
      </c>
      <c r="B2474" s="87">
        <v>11</v>
      </c>
      <c r="C2474" s="173" t="s">
        <v>16</v>
      </c>
      <c r="D2474" s="173" t="s">
        <v>229</v>
      </c>
      <c r="E2474" s="173" t="s">
        <v>24</v>
      </c>
      <c r="F2474" s="173" t="s">
        <v>16</v>
      </c>
      <c r="G2474" s="87" t="b">
        <v>1</v>
      </c>
      <c r="H2474" s="87" t="b">
        <v>0</v>
      </c>
      <c r="I2474" s="87" t="b">
        <v>0</v>
      </c>
      <c r="J2474" s="173" t="s">
        <v>1330</v>
      </c>
      <c r="K2474" s="174">
        <v>6553564000138</v>
      </c>
      <c r="L2474" s="173" t="s">
        <v>1152</v>
      </c>
      <c r="M2474" s="173" t="s">
        <v>81</v>
      </c>
      <c r="N2474" s="173" t="s">
        <v>82</v>
      </c>
      <c r="O2474" s="87">
        <v>70</v>
      </c>
      <c r="P2474" s="173" t="s">
        <v>20</v>
      </c>
      <c r="Q2474" s="1" t="s">
        <v>1346</v>
      </c>
      <c r="R2474" s="175">
        <v>210</v>
      </c>
      <c r="S2474">
        <v>84</v>
      </c>
    </row>
    <row r="2475" spans="1:19" x14ac:dyDescent="0.25">
      <c r="A2475" s="87">
        <v>2019</v>
      </c>
      <c r="B2475" s="87">
        <v>11</v>
      </c>
      <c r="C2475" s="173" t="s">
        <v>16</v>
      </c>
      <c r="D2475" s="173" t="s">
        <v>229</v>
      </c>
      <c r="E2475" s="173" t="s">
        <v>24</v>
      </c>
      <c r="F2475" s="173" t="s">
        <v>16</v>
      </c>
      <c r="G2475" s="87" t="b">
        <v>1</v>
      </c>
      <c r="H2475" s="87" t="b">
        <v>0</v>
      </c>
      <c r="I2475" s="87" t="b">
        <v>0</v>
      </c>
      <c r="J2475" s="173" t="s">
        <v>464</v>
      </c>
      <c r="K2475" s="174">
        <v>6555031000276</v>
      </c>
      <c r="L2475" s="173" t="s">
        <v>815</v>
      </c>
      <c r="M2475" s="173" t="s">
        <v>81</v>
      </c>
      <c r="N2475" s="173" t="s">
        <v>82</v>
      </c>
      <c r="O2475" s="87">
        <v>64</v>
      </c>
      <c r="P2475" s="173" t="s">
        <v>25</v>
      </c>
      <c r="Q2475" s="1" t="s">
        <v>1344</v>
      </c>
      <c r="R2475" s="175">
        <v>5</v>
      </c>
      <c r="S2475">
        <v>5</v>
      </c>
    </row>
    <row r="2476" spans="1:19" x14ac:dyDescent="0.25">
      <c r="A2476" s="87">
        <v>2019</v>
      </c>
      <c r="B2476" s="87">
        <v>11</v>
      </c>
      <c r="C2476" s="173" t="s">
        <v>16</v>
      </c>
      <c r="D2476" s="173" t="s">
        <v>229</v>
      </c>
      <c r="E2476" s="173" t="s">
        <v>24</v>
      </c>
      <c r="F2476" s="173" t="s">
        <v>16</v>
      </c>
      <c r="G2476" s="87" t="b">
        <v>1</v>
      </c>
      <c r="H2476" s="87" t="b">
        <v>0</v>
      </c>
      <c r="I2476" s="87" t="b">
        <v>0</v>
      </c>
      <c r="J2476" s="173" t="s">
        <v>453</v>
      </c>
      <c r="K2476" s="174">
        <v>6555031000276</v>
      </c>
      <c r="L2476" s="173" t="s">
        <v>815</v>
      </c>
      <c r="M2476" s="173" t="s">
        <v>81</v>
      </c>
      <c r="N2476" s="173" t="s">
        <v>82</v>
      </c>
      <c r="O2476" s="87">
        <v>73</v>
      </c>
      <c r="P2476" s="173" t="s">
        <v>26</v>
      </c>
      <c r="Q2476" s="1" t="s">
        <v>1342</v>
      </c>
      <c r="R2476" s="175">
        <v>24</v>
      </c>
      <c r="S2476">
        <v>6</v>
      </c>
    </row>
    <row r="2477" spans="1:19" x14ac:dyDescent="0.25">
      <c r="A2477" s="87">
        <v>2019</v>
      </c>
      <c r="B2477" s="87">
        <v>11</v>
      </c>
      <c r="C2477" s="173" t="s">
        <v>16</v>
      </c>
      <c r="D2477" s="173" t="s">
        <v>229</v>
      </c>
      <c r="E2477" s="173" t="s">
        <v>24</v>
      </c>
      <c r="F2477" s="173" t="s">
        <v>16</v>
      </c>
      <c r="G2477" s="87" t="b">
        <v>1</v>
      </c>
      <c r="H2477" s="87" t="b">
        <v>0</v>
      </c>
      <c r="I2477" s="87" t="b">
        <v>0</v>
      </c>
      <c r="J2477" s="173" t="s">
        <v>451</v>
      </c>
      <c r="K2477" s="174">
        <v>6555031000276</v>
      </c>
      <c r="L2477" s="173" t="s">
        <v>815</v>
      </c>
      <c r="M2477" s="173" t="s">
        <v>81</v>
      </c>
      <c r="N2477" s="173" t="s">
        <v>82</v>
      </c>
      <c r="O2477" s="87">
        <v>73</v>
      </c>
      <c r="P2477" s="173" t="s">
        <v>26</v>
      </c>
      <c r="Q2477" s="1" t="s">
        <v>1342</v>
      </c>
      <c r="R2477" s="175">
        <v>32</v>
      </c>
      <c r="S2477">
        <v>8</v>
      </c>
    </row>
    <row r="2478" spans="1:19" x14ac:dyDescent="0.25">
      <c r="A2478" s="87">
        <v>2019</v>
      </c>
      <c r="B2478" s="87">
        <v>11</v>
      </c>
      <c r="C2478" s="173" t="s">
        <v>16</v>
      </c>
      <c r="D2478" s="173" t="s">
        <v>229</v>
      </c>
      <c r="E2478" s="173" t="s">
        <v>24</v>
      </c>
      <c r="F2478" s="173" t="s">
        <v>16</v>
      </c>
      <c r="G2478" s="87" t="b">
        <v>1</v>
      </c>
      <c r="H2478" s="87" t="b">
        <v>0</v>
      </c>
      <c r="I2478" s="87" t="b">
        <v>0</v>
      </c>
      <c r="J2478" s="173" t="s">
        <v>491</v>
      </c>
      <c r="K2478" s="174">
        <v>6555031000276</v>
      </c>
      <c r="L2478" s="173" t="s">
        <v>815</v>
      </c>
      <c r="M2478" s="173" t="s">
        <v>81</v>
      </c>
      <c r="N2478" s="173" t="s">
        <v>82</v>
      </c>
      <c r="O2478" s="87">
        <v>73</v>
      </c>
      <c r="P2478" s="173" t="s">
        <v>26</v>
      </c>
      <c r="Q2478" s="1" t="s">
        <v>1342</v>
      </c>
      <c r="R2478" s="175">
        <v>8</v>
      </c>
      <c r="S2478">
        <v>2</v>
      </c>
    </row>
    <row r="2479" spans="1:19" x14ac:dyDescent="0.25">
      <c r="A2479" s="87">
        <v>2019</v>
      </c>
      <c r="B2479" s="87">
        <v>11</v>
      </c>
      <c r="C2479" s="173" t="s">
        <v>16</v>
      </c>
      <c r="D2479" s="173" t="s">
        <v>229</v>
      </c>
      <c r="E2479" s="173" t="s">
        <v>24</v>
      </c>
      <c r="F2479" s="173" t="s">
        <v>16</v>
      </c>
      <c r="G2479" s="87" t="b">
        <v>1</v>
      </c>
      <c r="H2479" s="87" t="b">
        <v>0</v>
      </c>
      <c r="I2479" s="87" t="b">
        <v>0</v>
      </c>
      <c r="J2479" s="173" t="s">
        <v>478</v>
      </c>
      <c r="K2479" s="174">
        <v>7039651000134</v>
      </c>
      <c r="L2479" s="173" t="s">
        <v>1153</v>
      </c>
      <c r="M2479" s="173" t="s">
        <v>116</v>
      </c>
      <c r="N2479" s="173" t="s">
        <v>98</v>
      </c>
      <c r="O2479" s="87">
        <v>70</v>
      </c>
      <c r="P2479" s="173" t="s">
        <v>20</v>
      </c>
      <c r="Q2479" s="1" t="s">
        <v>1338</v>
      </c>
      <c r="R2479" s="175">
        <v>25</v>
      </c>
      <c r="S2479">
        <v>5</v>
      </c>
    </row>
    <row r="2480" spans="1:19" x14ac:dyDescent="0.25">
      <c r="A2480" s="87">
        <v>2019</v>
      </c>
      <c r="B2480" s="87">
        <v>11</v>
      </c>
      <c r="C2480" s="173" t="s">
        <v>16</v>
      </c>
      <c r="D2480" s="173" t="s">
        <v>229</v>
      </c>
      <c r="E2480" s="173" t="s">
        <v>24</v>
      </c>
      <c r="F2480" s="173" t="s">
        <v>16</v>
      </c>
      <c r="G2480" s="87" t="b">
        <v>1</v>
      </c>
      <c r="H2480" s="87" t="b">
        <v>0</v>
      </c>
      <c r="I2480" s="87" t="b">
        <v>0</v>
      </c>
      <c r="J2480" s="173" t="s">
        <v>463</v>
      </c>
      <c r="K2480" s="174">
        <v>7045325000130</v>
      </c>
      <c r="L2480" s="173" t="s">
        <v>571</v>
      </c>
      <c r="M2480" s="173" t="s">
        <v>29</v>
      </c>
      <c r="N2480" s="173" t="s">
        <v>19</v>
      </c>
      <c r="O2480" s="87">
        <v>70</v>
      </c>
      <c r="P2480" s="173" t="s">
        <v>20</v>
      </c>
      <c r="Q2480" s="1" t="s">
        <v>1338</v>
      </c>
      <c r="R2480" s="175">
        <v>375</v>
      </c>
      <c r="S2480">
        <v>75</v>
      </c>
    </row>
    <row r="2481" spans="1:19" x14ac:dyDescent="0.25">
      <c r="A2481" s="87">
        <v>2019</v>
      </c>
      <c r="B2481" s="87">
        <v>11</v>
      </c>
      <c r="C2481" s="173" t="s">
        <v>16</v>
      </c>
      <c r="D2481" s="173" t="s">
        <v>229</v>
      </c>
      <c r="E2481" s="173" t="s">
        <v>24</v>
      </c>
      <c r="F2481" s="173" t="s">
        <v>16</v>
      </c>
      <c r="G2481" s="87" t="b">
        <v>1</v>
      </c>
      <c r="H2481" s="87" t="b">
        <v>0</v>
      </c>
      <c r="I2481" s="87" t="b">
        <v>0</v>
      </c>
      <c r="J2481" s="173" t="s">
        <v>492</v>
      </c>
      <c r="K2481" s="174">
        <v>7404052000172</v>
      </c>
      <c r="L2481" s="173" t="s">
        <v>953</v>
      </c>
      <c r="M2481" s="173" t="s">
        <v>94</v>
      </c>
      <c r="N2481" s="173" t="s">
        <v>57</v>
      </c>
      <c r="O2481" s="87">
        <v>70</v>
      </c>
      <c r="P2481" s="173" t="s">
        <v>20</v>
      </c>
      <c r="Q2481" s="1" t="s">
        <v>1338</v>
      </c>
      <c r="R2481" s="175">
        <v>45</v>
      </c>
      <c r="S2481">
        <v>9</v>
      </c>
    </row>
    <row r="2482" spans="1:19" x14ac:dyDescent="0.25">
      <c r="A2482" s="87">
        <v>2019</v>
      </c>
      <c r="B2482" s="87">
        <v>11</v>
      </c>
      <c r="C2482" s="173" t="s">
        <v>16</v>
      </c>
      <c r="D2482" s="173" t="s">
        <v>229</v>
      </c>
      <c r="E2482" s="173" t="s">
        <v>24</v>
      </c>
      <c r="F2482" s="173" t="s">
        <v>16</v>
      </c>
      <c r="G2482" s="87" t="b">
        <v>1</v>
      </c>
      <c r="H2482" s="87" t="b">
        <v>0</v>
      </c>
      <c r="I2482" s="87" t="b">
        <v>0</v>
      </c>
      <c r="J2482" s="173" t="s">
        <v>452</v>
      </c>
      <c r="K2482" s="174">
        <v>7404052000172</v>
      </c>
      <c r="L2482" s="173" t="s">
        <v>953</v>
      </c>
      <c r="M2482" s="173" t="s">
        <v>94</v>
      </c>
      <c r="N2482" s="173" t="s">
        <v>57</v>
      </c>
      <c r="O2482" s="87">
        <v>70</v>
      </c>
      <c r="P2482" s="173" t="s">
        <v>20</v>
      </c>
      <c r="Q2482" s="1" t="s">
        <v>1338</v>
      </c>
      <c r="R2482" s="175">
        <v>20</v>
      </c>
      <c r="S2482">
        <v>4</v>
      </c>
    </row>
    <row r="2483" spans="1:19" x14ac:dyDescent="0.25">
      <c r="A2483" s="87">
        <v>2019</v>
      </c>
      <c r="B2483" s="87">
        <v>11</v>
      </c>
      <c r="C2483" s="173" t="s">
        <v>16</v>
      </c>
      <c r="D2483" s="173" t="s">
        <v>229</v>
      </c>
      <c r="E2483" s="173" t="s">
        <v>24</v>
      </c>
      <c r="F2483" s="173" t="s">
        <v>16</v>
      </c>
      <c r="G2483" s="87" t="b">
        <v>1</v>
      </c>
      <c r="H2483" s="87" t="b">
        <v>0</v>
      </c>
      <c r="I2483" s="87" t="b">
        <v>0</v>
      </c>
      <c r="J2483" s="173" t="s">
        <v>1330</v>
      </c>
      <c r="K2483" s="174">
        <v>7734165000136</v>
      </c>
      <c r="L2483" s="173" t="s">
        <v>954</v>
      </c>
      <c r="M2483" s="173" t="s">
        <v>94</v>
      </c>
      <c r="N2483" s="173" t="s">
        <v>57</v>
      </c>
      <c r="O2483" s="87">
        <v>70</v>
      </c>
      <c r="P2483" s="173" t="s">
        <v>20</v>
      </c>
      <c r="Q2483" s="1" t="s">
        <v>1345</v>
      </c>
      <c r="R2483" s="175">
        <v>500</v>
      </c>
      <c r="S2483">
        <v>50</v>
      </c>
    </row>
    <row r="2484" spans="1:19" x14ac:dyDescent="0.25">
      <c r="A2484" s="87">
        <v>2019</v>
      </c>
      <c r="B2484" s="87">
        <v>11</v>
      </c>
      <c r="C2484" s="173" t="s">
        <v>16</v>
      </c>
      <c r="D2484" s="173" t="s">
        <v>229</v>
      </c>
      <c r="E2484" s="173" t="s">
        <v>24</v>
      </c>
      <c r="F2484" s="173" t="s">
        <v>16</v>
      </c>
      <c r="G2484" s="87" t="b">
        <v>1</v>
      </c>
      <c r="H2484" s="87" t="b">
        <v>0</v>
      </c>
      <c r="I2484" s="87" t="b">
        <v>0</v>
      </c>
      <c r="J2484" s="173" t="s">
        <v>1330</v>
      </c>
      <c r="K2484" s="174">
        <v>7734165000136</v>
      </c>
      <c r="L2484" s="173" t="s">
        <v>954</v>
      </c>
      <c r="M2484" s="173" t="s">
        <v>94</v>
      </c>
      <c r="N2484" s="173" t="s">
        <v>57</v>
      </c>
      <c r="O2484" s="87">
        <v>70</v>
      </c>
      <c r="P2484" s="173" t="s">
        <v>20</v>
      </c>
      <c r="Q2484" s="1" t="s">
        <v>1338</v>
      </c>
      <c r="R2484" s="175">
        <v>500</v>
      </c>
      <c r="S2484">
        <v>100</v>
      </c>
    </row>
    <row r="2485" spans="1:19" x14ac:dyDescent="0.25">
      <c r="A2485" s="87">
        <v>2019</v>
      </c>
      <c r="B2485" s="87">
        <v>11</v>
      </c>
      <c r="C2485" s="173" t="s">
        <v>16</v>
      </c>
      <c r="D2485" s="173" t="s">
        <v>229</v>
      </c>
      <c r="E2485" s="173" t="s">
        <v>24</v>
      </c>
      <c r="F2485" s="173" t="s">
        <v>16</v>
      </c>
      <c r="G2485" s="87" t="b">
        <v>1</v>
      </c>
      <c r="H2485" s="87" t="b">
        <v>0</v>
      </c>
      <c r="I2485" s="87" t="b">
        <v>0</v>
      </c>
      <c r="J2485" s="173" t="s">
        <v>452</v>
      </c>
      <c r="K2485" s="174">
        <v>7734165000136</v>
      </c>
      <c r="L2485" s="173" t="s">
        <v>954</v>
      </c>
      <c r="M2485" s="173" t="s">
        <v>94</v>
      </c>
      <c r="N2485" s="173" t="s">
        <v>57</v>
      </c>
      <c r="O2485" s="87">
        <v>70</v>
      </c>
      <c r="P2485" s="173" t="s">
        <v>20</v>
      </c>
      <c r="Q2485" s="1" t="s">
        <v>1345</v>
      </c>
      <c r="R2485" s="175">
        <v>500</v>
      </c>
      <c r="S2485">
        <v>50</v>
      </c>
    </row>
    <row r="2486" spans="1:19" x14ac:dyDescent="0.25">
      <c r="A2486" s="87">
        <v>2019</v>
      </c>
      <c r="B2486" s="87">
        <v>11</v>
      </c>
      <c r="C2486" s="173" t="s">
        <v>16</v>
      </c>
      <c r="D2486" s="173" t="s">
        <v>229</v>
      </c>
      <c r="E2486" s="173" t="s">
        <v>24</v>
      </c>
      <c r="F2486" s="173" t="s">
        <v>16</v>
      </c>
      <c r="G2486" s="87" t="b">
        <v>1</v>
      </c>
      <c r="H2486" s="87" t="b">
        <v>0</v>
      </c>
      <c r="I2486" s="87" t="b">
        <v>0</v>
      </c>
      <c r="J2486" s="173" t="s">
        <v>452</v>
      </c>
      <c r="K2486" s="174">
        <v>7734165000136</v>
      </c>
      <c r="L2486" s="173" t="s">
        <v>954</v>
      </c>
      <c r="M2486" s="173" t="s">
        <v>94</v>
      </c>
      <c r="N2486" s="173" t="s">
        <v>57</v>
      </c>
      <c r="O2486" s="87">
        <v>70</v>
      </c>
      <c r="P2486" s="173" t="s">
        <v>20</v>
      </c>
      <c r="Q2486" s="1" t="s">
        <v>1338</v>
      </c>
      <c r="R2486" s="175">
        <v>1500</v>
      </c>
      <c r="S2486">
        <v>300</v>
      </c>
    </row>
    <row r="2487" spans="1:19" x14ac:dyDescent="0.25">
      <c r="A2487" s="87">
        <v>2019</v>
      </c>
      <c r="B2487" s="87">
        <v>11</v>
      </c>
      <c r="C2487" s="173" t="s">
        <v>16</v>
      </c>
      <c r="D2487" s="173" t="s">
        <v>229</v>
      </c>
      <c r="E2487" s="173" t="s">
        <v>24</v>
      </c>
      <c r="F2487" s="173" t="s">
        <v>16</v>
      </c>
      <c r="G2487" s="87" t="b">
        <v>1</v>
      </c>
      <c r="H2487" s="87" t="b">
        <v>0</v>
      </c>
      <c r="I2487" s="87" t="b">
        <v>0</v>
      </c>
      <c r="J2487" s="173" t="s">
        <v>491</v>
      </c>
      <c r="K2487" s="174">
        <v>7734165000136</v>
      </c>
      <c r="L2487" s="173" t="s">
        <v>954</v>
      </c>
      <c r="M2487" s="173" t="s">
        <v>94</v>
      </c>
      <c r="N2487" s="173" t="s">
        <v>57</v>
      </c>
      <c r="O2487" s="87">
        <v>73</v>
      </c>
      <c r="P2487" s="173" t="s">
        <v>26</v>
      </c>
      <c r="Q2487" s="1" t="s">
        <v>1342</v>
      </c>
      <c r="R2487" s="175">
        <v>60</v>
      </c>
      <c r="S2487">
        <v>15</v>
      </c>
    </row>
    <row r="2488" spans="1:19" x14ac:dyDescent="0.25">
      <c r="A2488" s="87">
        <v>2019</v>
      </c>
      <c r="B2488" s="87">
        <v>11</v>
      </c>
      <c r="C2488" s="173" t="s">
        <v>16</v>
      </c>
      <c r="D2488" s="173" t="s">
        <v>229</v>
      </c>
      <c r="E2488" s="173" t="s">
        <v>24</v>
      </c>
      <c r="F2488" s="173" t="s">
        <v>16</v>
      </c>
      <c r="G2488" s="87" t="b">
        <v>1</v>
      </c>
      <c r="H2488" s="87" t="b">
        <v>0</v>
      </c>
      <c r="I2488" s="87" t="b">
        <v>0</v>
      </c>
      <c r="J2488" s="173" t="s">
        <v>452</v>
      </c>
      <c r="K2488" s="174">
        <v>7734165000136</v>
      </c>
      <c r="L2488" s="173" t="s">
        <v>954</v>
      </c>
      <c r="M2488" s="173" t="s">
        <v>94</v>
      </c>
      <c r="N2488" s="173" t="s">
        <v>57</v>
      </c>
      <c r="O2488" s="87">
        <v>73</v>
      </c>
      <c r="P2488" s="173" t="s">
        <v>26</v>
      </c>
      <c r="Q2488" s="1" t="s">
        <v>1342</v>
      </c>
      <c r="R2488" s="175">
        <v>4</v>
      </c>
      <c r="S2488">
        <v>1</v>
      </c>
    </row>
    <row r="2489" spans="1:19" x14ac:dyDescent="0.25">
      <c r="A2489" s="87">
        <v>2019</v>
      </c>
      <c r="B2489" s="87">
        <v>11</v>
      </c>
      <c r="C2489" s="173" t="s">
        <v>16</v>
      </c>
      <c r="D2489" s="173" t="s">
        <v>229</v>
      </c>
      <c r="E2489" s="173" t="s">
        <v>24</v>
      </c>
      <c r="F2489" s="173" t="s">
        <v>16</v>
      </c>
      <c r="G2489" s="87" t="b">
        <v>1</v>
      </c>
      <c r="H2489" s="87" t="b">
        <v>0</v>
      </c>
      <c r="I2489" s="87" t="b">
        <v>0</v>
      </c>
      <c r="J2489" s="173" t="s">
        <v>460</v>
      </c>
      <c r="K2489" s="174">
        <v>7775847000278</v>
      </c>
      <c r="L2489" s="173" t="s">
        <v>820</v>
      </c>
      <c r="M2489" s="173" t="s">
        <v>123</v>
      </c>
      <c r="N2489" s="173" t="s">
        <v>65</v>
      </c>
      <c r="O2489" s="87">
        <v>70</v>
      </c>
      <c r="P2489" s="173" t="s">
        <v>20</v>
      </c>
      <c r="Q2489" s="1" t="s">
        <v>1338</v>
      </c>
      <c r="R2489" s="175">
        <v>360</v>
      </c>
      <c r="S2489">
        <v>72</v>
      </c>
    </row>
    <row r="2490" spans="1:19" x14ac:dyDescent="0.25">
      <c r="A2490" s="87">
        <v>2019</v>
      </c>
      <c r="B2490" s="87">
        <v>11</v>
      </c>
      <c r="C2490" s="173" t="s">
        <v>16</v>
      </c>
      <c r="D2490" s="173" t="s">
        <v>229</v>
      </c>
      <c r="E2490" s="173" t="s">
        <v>24</v>
      </c>
      <c r="F2490" s="173" t="s">
        <v>16</v>
      </c>
      <c r="G2490" s="87" t="b">
        <v>1</v>
      </c>
      <c r="H2490" s="87" t="b">
        <v>0</v>
      </c>
      <c r="I2490" s="87" t="b">
        <v>0</v>
      </c>
      <c r="J2490" s="173" t="s">
        <v>470</v>
      </c>
      <c r="K2490" s="174">
        <v>7794623001528</v>
      </c>
      <c r="L2490" s="173" t="s">
        <v>1042</v>
      </c>
      <c r="M2490" s="173" t="s">
        <v>1043</v>
      </c>
      <c r="N2490" s="173" t="s">
        <v>61</v>
      </c>
      <c r="O2490" s="87">
        <v>73</v>
      </c>
      <c r="P2490" s="173" t="s">
        <v>26</v>
      </c>
      <c r="Q2490" s="1" t="s">
        <v>1339</v>
      </c>
      <c r="R2490" s="175">
        <v>2</v>
      </c>
      <c r="S2490">
        <v>1</v>
      </c>
    </row>
    <row r="2491" spans="1:19" x14ac:dyDescent="0.25">
      <c r="A2491" s="87">
        <v>2019</v>
      </c>
      <c r="B2491" s="87">
        <v>11</v>
      </c>
      <c r="C2491" s="173" t="s">
        <v>16</v>
      </c>
      <c r="D2491" s="173" t="s">
        <v>229</v>
      </c>
      <c r="E2491" s="173" t="s">
        <v>24</v>
      </c>
      <c r="F2491" s="173" t="s">
        <v>16</v>
      </c>
      <c r="G2491" s="87" t="b">
        <v>1</v>
      </c>
      <c r="H2491" s="87" t="b">
        <v>0</v>
      </c>
      <c r="I2491" s="87" t="b">
        <v>0</v>
      </c>
      <c r="J2491" s="173" t="s">
        <v>470</v>
      </c>
      <c r="K2491" s="174">
        <v>7794623001528</v>
      </c>
      <c r="L2491" s="173" t="s">
        <v>1042</v>
      </c>
      <c r="M2491" s="173" t="s">
        <v>1043</v>
      </c>
      <c r="N2491" s="173" t="s">
        <v>61</v>
      </c>
      <c r="O2491" s="87">
        <v>73</v>
      </c>
      <c r="P2491" s="173" t="s">
        <v>26</v>
      </c>
      <c r="Q2491" s="1" t="s">
        <v>1342</v>
      </c>
      <c r="R2491" s="175">
        <v>12</v>
      </c>
      <c r="S2491">
        <v>3</v>
      </c>
    </row>
    <row r="2492" spans="1:19" x14ac:dyDescent="0.25">
      <c r="A2492" s="87">
        <v>2019</v>
      </c>
      <c r="B2492" s="87">
        <v>11</v>
      </c>
      <c r="C2492" s="173" t="s">
        <v>16</v>
      </c>
      <c r="D2492" s="173" t="s">
        <v>229</v>
      </c>
      <c r="E2492" s="173" t="s">
        <v>24</v>
      </c>
      <c r="F2492" s="173" t="s">
        <v>16</v>
      </c>
      <c r="G2492" s="87" t="b">
        <v>1</v>
      </c>
      <c r="H2492" s="87" t="b">
        <v>0</v>
      </c>
      <c r="I2492" s="87" t="b">
        <v>0</v>
      </c>
      <c r="J2492" s="173" t="s">
        <v>470</v>
      </c>
      <c r="K2492" s="174">
        <v>7794623002257</v>
      </c>
      <c r="L2492" s="173" t="s">
        <v>955</v>
      </c>
      <c r="M2492" s="173" t="s">
        <v>956</v>
      </c>
      <c r="N2492" s="173" t="s">
        <v>57</v>
      </c>
      <c r="O2492" s="87">
        <v>70</v>
      </c>
      <c r="P2492" s="173" t="s">
        <v>20</v>
      </c>
      <c r="Q2492" s="1" t="s">
        <v>1338</v>
      </c>
      <c r="R2492" s="175">
        <v>290</v>
      </c>
      <c r="S2492">
        <v>58</v>
      </c>
    </row>
    <row r="2493" spans="1:19" x14ac:dyDescent="0.25">
      <c r="A2493" s="87">
        <v>2019</v>
      </c>
      <c r="B2493" s="87">
        <v>11</v>
      </c>
      <c r="C2493" s="173" t="s">
        <v>16</v>
      </c>
      <c r="D2493" s="173" t="s">
        <v>229</v>
      </c>
      <c r="E2493" s="173" t="s">
        <v>24</v>
      </c>
      <c r="F2493" s="173" t="s">
        <v>16</v>
      </c>
      <c r="G2493" s="87" t="b">
        <v>1</v>
      </c>
      <c r="H2493" s="87" t="b">
        <v>0</v>
      </c>
      <c r="I2493" s="87" t="b">
        <v>0</v>
      </c>
      <c r="J2493" s="173" t="s">
        <v>470</v>
      </c>
      <c r="K2493" s="174">
        <v>7794623004896</v>
      </c>
      <c r="L2493" s="173" t="s">
        <v>1084</v>
      </c>
      <c r="M2493" s="173" t="s">
        <v>131</v>
      </c>
      <c r="N2493" s="173" t="s">
        <v>61</v>
      </c>
      <c r="O2493" s="87">
        <v>70</v>
      </c>
      <c r="P2493" s="173" t="s">
        <v>20</v>
      </c>
      <c r="Q2493" s="1" t="s">
        <v>1338</v>
      </c>
      <c r="R2493" s="175">
        <v>400</v>
      </c>
      <c r="S2493">
        <v>80</v>
      </c>
    </row>
    <row r="2494" spans="1:19" x14ac:dyDescent="0.25">
      <c r="A2494" s="87">
        <v>2019</v>
      </c>
      <c r="B2494" s="87">
        <v>11</v>
      </c>
      <c r="C2494" s="173" t="s">
        <v>16</v>
      </c>
      <c r="D2494" s="173" t="s">
        <v>229</v>
      </c>
      <c r="E2494" s="173" t="s">
        <v>24</v>
      </c>
      <c r="F2494" s="173" t="s">
        <v>16</v>
      </c>
      <c r="G2494" s="87" t="b">
        <v>1</v>
      </c>
      <c r="H2494" s="87" t="b">
        <v>0</v>
      </c>
      <c r="I2494" s="87" t="b">
        <v>0</v>
      </c>
      <c r="J2494" s="173" t="s">
        <v>470</v>
      </c>
      <c r="K2494" s="174">
        <v>8100676000592</v>
      </c>
      <c r="L2494" s="173" t="s">
        <v>572</v>
      </c>
      <c r="M2494" s="173" t="s">
        <v>29</v>
      </c>
      <c r="N2494" s="173" t="s">
        <v>19</v>
      </c>
      <c r="O2494" s="87">
        <v>70</v>
      </c>
      <c r="P2494" s="173" t="s">
        <v>20</v>
      </c>
      <c r="Q2494" s="1" t="s">
        <v>1338</v>
      </c>
      <c r="R2494" s="175">
        <v>285</v>
      </c>
      <c r="S2494">
        <v>57</v>
      </c>
    </row>
    <row r="2495" spans="1:19" x14ac:dyDescent="0.25">
      <c r="A2495" s="87">
        <v>2019</v>
      </c>
      <c r="B2495" s="87">
        <v>11</v>
      </c>
      <c r="C2495" s="173" t="s">
        <v>16</v>
      </c>
      <c r="D2495" s="173" t="s">
        <v>229</v>
      </c>
      <c r="E2495" s="173" t="s">
        <v>24</v>
      </c>
      <c r="F2495" s="173" t="s">
        <v>16</v>
      </c>
      <c r="G2495" s="87" t="b">
        <v>1</v>
      </c>
      <c r="H2495" s="87" t="b">
        <v>0</v>
      </c>
      <c r="I2495" s="87" t="b">
        <v>0</v>
      </c>
      <c r="J2495" s="173" t="s">
        <v>470</v>
      </c>
      <c r="K2495" s="174">
        <v>8100676000673</v>
      </c>
      <c r="L2495" s="173" t="s">
        <v>1155</v>
      </c>
      <c r="M2495" s="173" t="s">
        <v>29</v>
      </c>
      <c r="N2495" s="173" t="s">
        <v>19</v>
      </c>
      <c r="O2495" s="87">
        <v>70</v>
      </c>
      <c r="P2495" s="173" t="s">
        <v>20</v>
      </c>
      <c r="Q2495" s="1" t="s">
        <v>1338</v>
      </c>
      <c r="R2495" s="175">
        <v>10</v>
      </c>
      <c r="S2495">
        <v>2</v>
      </c>
    </row>
    <row r="2496" spans="1:19" x14ac:dyDescent="0.25">
      <c r="A2496" s="87">
        <v>2019</v>
      </c>
      <c r="B2496" s="87">
        <v>11</v>
      </c>
      <c r="C2496" s="173" t="s">
        <v>16</v>
      </c>
      <c r="D2496" s="173" t="s">
        <v>229</v>
      </c>
      <c r="E2496" s="173" t="s">
        <v>24</v>
      </c>
      <c r="F2496" s="173" t="s">
        <v>16</v>
      </c>
      <c r="G2496" s="87" t="b">
        <v>1</v>
      </c>
      <c r="H2496" s="87" t="b">
        <v>0</v>
      </c>
      <c r="I2496" s="87" t="b">
        <v>0</v>
      </c>
      <c r="J2496" s="173" t="s">
        <v>470</v>
      </c>
      <c r="K2496" s="174">
        <v>8100676002102</v>
      </c>
      <c r="L2496" s="173" t="s">
        <v>1085</v>
      </c>
      <c r="M2496" s="173" t="s">
        <v>131</v>
      </c>
      <c r="N2496" s="173" t="s">
        <v>61</v>
      </c>
      <c r="O2496" s="87">
        <v>62</v>
      </c>
      <c r="P2496" s="173" t="s">
        <v>27</v>
      </c>
      <c r="Q2496" s="1" t="s">
        <v>1343</v>
      </c>
      <c r="R2496" s="175">
        <v>10</v>
      </c>
      <c r="S2496">
        <v>10</v>
      </c>
    </row>
    <row r="2497" spans="1:19" x14ac:dyDescent="0.25">
      <c r="A2497" s="87">
        <v>2019</v>
      </c>
      <c r="B2497" s="87">
        <v>11</v>
      </c>
      <c r="C2497" s="173" t="s">
        <v>16</v>
      </c>
      <c r="D2497" s="173" t="s">
        <v>229</v>
      </c>
      <c r="E2497" s="173" t="s">
        <v>24</v>
      </c>
      <c r="F2497" s="173" t="s">
        <v>16</v>
      </c>
      <c r="G2497" s="87" t="b">
        <v>1</v>
      </c>
      <c r="H2497" s="87" t="b">
        <v>0</v>
      </c>
      <c r="I2497" s="87" t="b">
        <v>0</v>
      </c>
      <c r="J2497" s="173" t="s">
        <v>470</v>
      </c>
      <c r="K2497" s="174">
        <v>8100676002102</v>
      </c>
      <c r="L2497" s="173" t="s">
        <v>1085</v>
      </c>
      <c r="M2497" s="173" t="s">
        <v>131</v>
      </c>
      <c r="N2497" s="173" t="s">
        <v>61</v>
      </c>
      <c r="O2497" s="87">
        <v>64</v>
      </c>
      <c r="P2497" s="173" t="s">
        <v>25</v>
      </c>
      <c r="Q2497" s="1" t="s">
        <v>1344</v>
      </c>
      <c r="R2497" s="175">
        <v>20</v>
      </c>
      <c r="S2497">
        <v>20</v>
      </c>
    </row>
    <row r="2498" spans="1:19" x14ac:dyDescent="0.25">
      <c r="A2498" s="87">
        <v>2019</v>
      </c>
      <c r="B2498" s="87">
        <v>11</v>
      </c>
      <c r="C2498" s="173" t="s">
        <v>16</v>
      </c>
      <c r="D2498" s="173" t="s">
        <v>229</v>
      </c>
      <c r="E2498" s="173" t="s">
        <v>24</v>
      </c>
      <c r="F2498" s="173" t="s">
        <v>16</v>
      </c>
      <c r="G2498" s="87" t="b">
        <v>1</v>
      </c>
      <c r="H2498" s="87" t="b">
        <v>0</v>
      </c>
      <c r="I2498" s="87" t="b">
        <v>0</v>
      </c>
      <c r="J2498" s="173" t="s">
        <v>470</v>
      </c>
      <c r="K2498" s="174">
        <v>8100676002455</v>
      </c>
      <c r="L2498" s="173" t="s">
        <v>574</v>
      </c>
      <c r="M2498" s="173" t="s">
        <v>29</v>
      </c>
      <c r="N2498" s="173" t="s">
        <v>19</v>
      </c>
      <c r="O2498" s="87">
        <v>64</v>
      </c>
      <c r="P2498" s="173" t="s">
        <v>25</v>
      </c>
      <c r="Q2498" s="1" t="s">
        <v>1344</v>
      </c>
      <c r="R2498" s="175">
        <v>36</v>
      </c>
      <c r="S2498">
        <v>36</v>
      </c>
    </row>
    <row r="2499" spans="1:19" x14ac:dyDescent="0.25">
      <c r="A2499" s="87">
        <v>2019</v>
      </c>
      <c r="B2499" s="87">
        <v>11</v>
      </c>
      <c r="C2499" s="173" t="s">
        <v>16</v>
      </c>
      <c r="D2499" s="173" t="s">
        <v>229</v>
      </c>
      <c r="E2499" s="173" t="s">
        <v>24</v>
      </c>
      <c r="F2499" s="173" t="s">
        <v>16</v>
      </c>
      <c r="G2499" s="87" t="b">
        <v>1</v>
      </c>
      <c r="H2499" s="87" t="b">
        <v>0</v>
      </c>
      <c r="I2499" s="87" t="b">
        <v>0</v>
      </c>
      <c r="J2499" s="173" t="s">
        <v>451</v>
      </c>
      <c r="K2499" s="174">
        <v>8680639000681</v>
      </c>
      <c r="L2499" s="173" t="s">
        <v>827</v>
      </c>
      <c r="M2499" s="173" t="s">
        <v>747</v>
      </c>
      <c r="N2499" s="173" t="s">
        <v>56</v>
      </c>
      <c r="O2499" s="87">
        <v>73</v>
      </c>
      <c r="P2499" s="173" t="s">
        <v>26</v>
      </c>
      <c r="Q2499" s="1" t="s">
        <v>1342</v>
      </c>
      <c r="R2499" s="175">
        <v>16</v>
      </c>
      <c r="S2499">
        <v>4</v>
      </c>
    </row>
    <row r="2500" spans="1:19" x14ac:dyDescent="0.25">
      <c r="A2500" s="87">
        <v>2019</v>
      </c>
      <c r="B2500" s="87">
        <v>11</v>
      </c>
      <c r="C2500" s="173" t="s">
        <v>16</v>
      </c>
      <c r="D2500" s="173" t="s">
        <v>229</v>
      </c>
      <c r="E2500" s="173" t="s">
        <v>24</v>
      </c>
      <c r="F2500" s="173" t="s">
        <v>16</v>
      </c>
      <c r="G2500" s="87" t="b">
        <v>1</v>
      </c>
      <c r="H2500" s="87" t="b">
        <v>0</v>
      </c>
      <c r="I2500" s="87" t="b">
        <v>0</v>
      </c>
      <c r="J2500" s="173" t="s">
        <v>491</v>
      </c>
      <c r="K2500" s="174">
        <v>8680639000681</v>
      </c>
      <c r="L2500" s="173" t="s">
        <v>827</v>
      </c>
      <c r="M2500" s="173" t="s">
        <v>747</v>
      </c>
      <c r="N2500" s="173" t="s">
        <v>56</v>
      </c>
      <c r="O2500" s="87">
        <v>73</v>
      </c>
      <c r="P2500" s="173" t="s">
        <v>26</v>
      </c>
      <c r="Q2500" s="1" t="s">
        <v>1342</v>
      </c>
      <c r="R2500" s="175">
        <v>36</v>
      </c>
      <c r="S2500">
        <v>9</v>
      </c>
    </row>
    <row r="2501" spans="1:19" x14ac:dyDescent="0.25">
      <c r="A2501" s="87">
        <v>2019</v>
      </c>
      <c r="B2501" s="87">
        <v>11</v>
      </c>
      <c r="C2501" s="173" t="s">
        <v>16</v>
      </c>
      <c r="D2501" s="173" t="s">
        <v>229</v>
      </c>
      <c r="E2501" s="173" t="s">
        <v>24</v>
      </c>
      <c r="F2501" s="173" t="s">
        <v>16</v>
      </c>
      <c r="G2501" s="87" t="b">
        <v>1</v>
      </c>
      <c r="H2501" s="87" t="b">
        <v>0</v>
      </c>
      <c r="I2501" s="87" t="b">
        <v>0</v>
      </c>
      <c r="J2501" s="173" t="s">
        <v>491</v>
      </c>
      <c r="K2501" s="174">
        <v>8850962000222</v>
      </c>
      <c r="L2501" s="173" t="s">
        <v>1086</v>
      </c>
      <c r="M2501" s="173" t="s">
        <v>131</v>
      </c>
      <c r="N2501" s="173" t="s">
        <v>61</v>
      </c>
      <c r="O2501" s="87">
        <v>62</v>
      </c>
      <c r="P2501" s="173" t="s">
        <v>27</v>
      </c>
      <c r="Q2501" s="1" t="s">
        <v>1343</v>
      </c>
      <c r="R2501" s="175">
        <v>7</v>
      </c>
      <c r="S2501">
        <v>7</v>
      </c>
    </row>
    <row r="2502" spans="1:19" x14ac:dyDescent="0.25">
      <c r="A2502" s="87">
        <v>2019</v>
      </c>
      <c r="B2502" s="87">
        <v>11</v>
      </c>
      <c r="C2502" s="173" t="s">
        <v>16</v>
      </c>
      <c r="D2502" s="173" t="s">
        <v>229</v>
      </c>
      <c r="E2502" s="173" t="s">
        <v>24</v>
      </c>
      <c r="F2502" s="173" t="s">
        <v>16</v>
      </c>
      <c r="G2502" s="87" t="b">
        <v>1</v>
      </c>
      <c r="H2502" s="87" t="b">
        <v>0</v>
      </c>
      <c r="I2502" s="87" t="b">
        <v>0</v>
      </c>
      <c r="J2502" s="173" t="s">
        <v>491</v>
      </c>
      <c r="K2502" s="174">
        <v>8850962000222</v>
      </c>
      <c r="L2502" s="173" t="s">
        <v>1086</v>
      </c>
      <c r="M2502" s="173" t="s">
        <v>131</v>
      </c>
      <c r="N2502" s="173" t="s">
        <v>61</v>
      </c>
      <c r="O2502" s="87">
        <v>64</v>
      </c>
      <c r="P2502" s="173" t="s">
        <v>25</v>
      </c>
      <c r="Q2502" s="1" t="s">
        <v>1344</v>
      </c>
      <c r="R2502" s="175">
        <v>4</v>
      </c>
      <c r="S2502">
        <v>4</v>
      </c>
    </row>
    <row r="2503" spans="1:19" x14ac:dyDescent="0.25">
      <c r="A2503" s="87">
        <v>2019</v>
      </c>
      <c r="B2503" s="87">
        <v>11</v>
      </c>
      <c r="C2503" s="173" t="s">
        <v>16</v>
      </c>
      <c r="D2503" s="173" t="s">
        <v>229</v>
      </c>
      <c r="E2503" s="173" t="s">
        <v>24</v>
      </c>
      <c r="F2503" s="173" t="s">
        <v>16</v>
      </c>
      <c r="G2503" s="87" t="b">
        <v>1</v>
      </c>
      <c r="H2503" s="87" t="b">
        <v>0</v>
      </c>
      <c r="I2503" s="87" t="b">
        <v>0</v>
      </c>
      <c r="J2503" s="173" t="s">
        <v>451</v>
      </c>
      <c r="K2503" s="174">
        <v>8871521000126</v>
      </c>
      <c r="L2503" s="173" t="s">
        <v>577</v>
      </c>
      <c r="M2503" s="173" t="s">
        <v>29</v>
      </c>
      <c r="N2503" s="173" t="s">
        <v>19</v>
      </c>
      <c r="O2503" s="87">
        <v>70</v>
      </c>
      <c r="P2503" s="173" t="s">
        <v>20</v>
      </c>
      <c r="Q2503" s="1" t="s">
        <v>1346</v>
      </c>
      <c r="R2503" s="175">
        <v>17.5</v>
      </c>
      <c r="S2503">
        <v>7</v>
      </c>
    </row>
    <row r="2504" spans="1:19" x14ac:dyDescent="0.25">
      <c r="A2504" s="87">
        <v>2019</v>
      </c>
      <c r="B2504" s="87">
        <v>11</v>
      </c>
      <c r="C2504" s="173" t="s">
        <v>16</v>
      </c>
      <c r="D2504" s="173" t="s">
        <v>229</v>
      </c>
      <c r="E2504" s="173" t="s">
        <v>24</v>
      </c>
      <c r="F2504" s="173" t="s">
        <v>16</v>
      </c>
      <c r="G2504" s="87" t="b">
        <v>1</v>
      </c>
      <c r="H2504" s="87" t="b">
        <v>0</v>
      </c>
      <c r="I2504" s="87" t="b">
        <v>0</v>
      </c>
      <c r="J2504" s="173" t="s">
        <v>451</v>
      </c>
      <c r="K2504" s="174">
        <v>8871521000126</v>
      </c>
      <c r="L2504" s="173" t="s">
        <v>577</v>
      </c>
      <c r="M2504" s="173" t="s">
        <v>29</v>
      </c>
      <c r="N2504" s="173" t="s">
        <v>19</v>
      </c>
      <c r="O2504" s="87">
        <v>70</v>
      </c>
      <c r="P2504" s="173" t="s">
        <v>20</v>
      </c>
      <c r="Q2504" s="1" t="s">
        <v>1338</v>
      </c>
      <c r="R2504" s="175">
        <v>130</v>
      </c>
      <c r="S2504">
        <v>26</v>
      </c>
    </row>
    <row r="2505" spans="1:19" x14ac:dyDescent="0.25">
      <c r="A2505" s="87">
        <v>2019</v>
      </c>
      <c r="B2505" s="87">
        <v>11</v>
      </c>
      <c r="C2505" s="173" t="s">
        <v>16</v>
      </c>
      <c r="D2505" s="173" t="s">
        <v>229</v>
      </c>
      <c r="E2505" s="173" t="s">
        <v>24</v>
      </c>
      <c r="F2505" s="173" t="s">
        <v>16</v>
      </c>
      <c r="G2505" s="87" t="b">
        <v>1</v>
      </c>
      <c r="H2505" s="87" t="b">
        <v>0</v>
      </c>
      <c r="I2505" s="87" t="b">
        <v>0</v>
      </c>
      <c r="J2505" s="173" t="s">
        <v>506</v>
      </c>
      <c r="K2505" s="174">
        <v>8871521000126</v>
      </c>
      <c r="L2505" s="173" t="s">
        <v>577</v>
      </c>
      <c r="M2505" s="173" t="s">
        <v>29</v>
      </c>
      <c r="N2505" s="173" t="s">
        <v>19</v>
      </c>
      <c r="O2505" s="87">
        <v>70</v>
      </c>
      <c r="P2505" s="173" t="s">
        <v>20</v>
      </c>
      <c r="Q2505" s="1" t="s">
        <v>1338</v>
      </c>
      <c r="R2505" s="175">
        <v>380</v>
      </c>
      <c r="S2505">
        <v>76</v>
      </c>
    </row>
    <row r="2506" spans="1:19" x14ac:dyDescent="0.25">
      <c r="A2506" s="87">
        <v>2019</v>
      </c>
      <c r="B2506" s="87">
        <v>11</v>
      </c>
      <c r="C2506" s="173" t="s">
        <v>16</v>
      </c>
      <c r="D2506" s="173" t="s">
        <v>229</v>
      </c>
      <c r="E2506" s="173" t="s">
        <v>24</v>
      </c>
      <c r="F2506" s="173" t="s">
        <v>16</v>
      </c>
      <c r="G2506" s="87" t="b">
        <v>1</v>
      </c>
      <c r="H2506" s="87" t="b">
        <v>0</v>
      </c>
      <c r="I2506" s="87" t="b">
        <v>0</v>
      </c>
      <c r="J2506" s="173" t="s">
        <v>478</v>
      </c>
      <c r="K2506" s="174">
        <v>9087150000159</v>
      </c>
      <c r="L2506" s="173" t="s">
        <v>578</v>
      </c>
      <c r="M2506" s="173" t="s">
        <v>29</v>
      </c>
      <c r="N2506" s="173" t="s">
        <v>19</v>
      </c>
      <c r="O2506" s="87">
        <v>73</v>
      </c>
      <c r="P2506" s="173" t="s">
        <v>26</v>
      </c>
      <c r="Q2506" s="1" t="s">
        <v>1340</v>
      </c>
      <c r="R2506" s="175">
        <v>4</v>
      </c>
      <c r="S2506">
        <v>4</v>
      </c>
    </row>
    <row r="2507" spans="1:19" x14ac:dyDescent="0.25">
      <c r="A2507" s="87">
        <v>2019</v>
      </c>
      <c r="B2507" s="87">
        <v>11</v>
      </c>
      <c r="C2507" s="173" t="s">
        <v>16</v>
      </c>
      <c r="D2507" s="173" t="s">
        <v>229</v>
      </c>
      <c r="E2507" s="173" t="s">
        <v>24</v>
      </c>
      <c r="F2507" s="173" t="s">
        <v>16</v>
      </c>
      <c r="G2507" s="87" t="b">
        <v>1</v>
      </c>
      <c r="H2507" s="87" t="b">
        <v>0</v>
      </c>
      <c r="I2507" s="87" t="b">
        <v>0</v>
      </c>
      <c r="J2507" s="173" t="s">
        <v>450</v>
      </c>
      <c r="K2507" s="174">
        <v>9087150000159</v>
      </c>
      <c r="L2507" s="173" t="s">
        <v>578</v>
      </c>
      <c r="M2507" s="173" t="s">
        <v>29</v>
      </c>
      <c r="N2507" s="173" t="s">
        <v>19</v>
      </c>
      <c r="O2507" s="87">
        <v>73</v>
      </c>
      <c r="P2507" s="173" t="s">
        <v>26</v>
      </c>
      <c r="Q2507" s="1" t="s">
        <v>1340</v>
      </c>
      <c r="R2507" s="175">
        <v>3</v>
      </c>
      <c r="S2507">
        <v>3</v>
      </c>
    </row>
    <row r="2508" spans="1:19" x14ac:dyDescent="0.25">
      <c r="A2508" s="87">
        <v>2019</v>
      </c>
      <c r="B2508" s="87">
        <v>11</v>
      </c>
      <c r="C2508" s="173" t="s">
        <v>16</v>
      </c>
      <c r="D2508" s="173" t="s">
        <v>229</v>
      </c>
      <c r="E2508" s="173" t="s">
        <v>24</v>
      </c>
      <c r="F2508" s="173" t="s">
        <v>16</v>
      </c>
      <c r="G2508" s="87" t="b">
        <v>1</v>
      </c>
      <c r="H2508" s="87" t="b">
        <v>0</v>
      </c>
      <c r="I2508" s="87" t="b">
        <v>0</v>
      </c>
      <c r="J2508" s="173" t="s">
        <v>450</v>
      </c>
      <c r="K2508" s="174">
        <v>9087150000230</v>
      </c>
      <c r="L2508" s="173" t="s">
        <v>958</v>
      </c>
      <c r="M2508" s="173" t="s">
        <v>83</v>
      </c>
      <c r="N2508" s="173" t="s">
        <v>67</v>
      </c>
      <c r="O2508" s="87">
        <v>73</v>
      </c>
      <c r="P2508" s="173" t="s">
        <v>26</v>
      </c>
      <c r="Q2508" s="1" t="s">
        <v>1339</v>
      </c>
      <c r="R2508" s="175">
        <v>8</v>
      </c>
      <c r="S2508">
        <v>4</v>
      </c>
    </row>
    <row r="2509" spans="1:19" x14ac:dyDescent="0.25">
      <c r="A2509" s="87">
        <v>2019</v>
      </c>
      <c r="B2509" s="87">
        <v>11</v>
      </c>
      <c r="C2509" s="173" t="s">
        <v>16</v>
      </c>
      <c r="D2509" s="173" t="s">
        <v>229</v>
      </c>
      <c r="E2509" s="173" t="s">
        <v>24</v>
      </c>
      <c r="F2509" s="173" t="s">
        <v>16</v>
      </c>
      <c r="G2509" s="87" t="b">
        <v>1</v>
      </c>
      <c r="H2509" s="87" t="b">
        <v>0</v>
      </c>
      <c r="I2509" s="87" t="b">
        <v>0</v>
      </c>
      <c r="J2509" s="173" t="s">
        <v>451</v>
      </c>
      <c r="K2509" s="174">
        <v>9104513000974</v>
      </c>
      <c r="L2509" s="173" t="s">
        <v>830</v>
      </c>
      <c r="M2509" s="173" t="s">
        <v>739</v>
      </c>
      <c r="N2509" s="173" t="s">
        <v>55</v>
      </c>
      <c r="O2509" s="87">
        <v>70</v>
      </c>
      <c r="P2509" s="173" t="s">
        <v>20</v>
      </c>
      <c r="Q2509" s="1" t="s">
        <v>1345</v>
      </c>
      <c r="R2509" s="175">
        <v>200</v>
      </c>
      <c r="S2509">
        <v>20</v>
      </c>
    </row>
    <row r="2510" spans="1:19" x14ac:dyDescent="0.25">
      <c r="A2510" s="87">
        <v>2019</v>
      </c>
      <c r="B2510" s="87">
        <v>11</v>
      </c>
      <c r="C2510" s="173" t="s">
        <v>16</v>
      </c>
      <c r="D2510" s="173" t="s">
        <v>229</v>
      </c>
      <c r="E2510" s="173" t="s">
        <v>24</v>
      </c>
      <c r="F2510" s="173" t="s">
        <v>16</v>
      </c>
      <c r="G2510" s="87" t="b">
        <v>1</v>
      </c>
      <c r="H2510" s="87" t="b">
        <v>0</v>
      </c>
      <c r="I2510" s="87" t="b">
        <v>0</v>
      </c>
      <c r="J2510" s="173" t="s">
        <v>451</v>
      </c>
      <c r="K2510" s="174">
        <v>9104513000974</v>
      </c>
      <c r="L2510" s="173" t="s">
        <v>830</v>
      </c>
      <c r="M2510" s="173" t="s">
        <v>739</v>
      </c>
      <c r="N2510" s="173" t="s">
        <v>55</v>
      </c>
      <c r="O2510" s="87">
        <v>70</v>
      </c>
      <c r="P2510" s="173" t="s">
        <v>20</v>
      </c>
      <c r="Q2510" s="1" t="s">
        <v>1338</v>
      </c>
      <c r="R2510" s="175">
        <v>370</v>
      </c>
      <c r="S2510">
        <v>74</v>
      </c>
    </row>
    <row r="2511" spans="1:19" x14ac:dyDescent="0.25">
      <c r="A2511" s="87">
        <v>2019</v>
      </c>
      <c r="B2511" s="87">
        <v>11</v>
      </c>
      <c r="C2511" s="173" t="s">
        <v>16</v>
      </c>
      <c r="D2511" s="173" t="s">
        <v>229</v>
      </c>
      <c r="E2511" s="173" t="s">
        <v>24</v>
      </c>
      <c r="F2511" s="173" t="s">
        <v>16</v>
      </c>
      <c r="G2511" s="87" t="b">
        <v>1</v>
      </c>
      <c r="H2511" s="87" t="b">
        <v>0</v>
      </c>
      <c r="I2511" s="87" t="b">
        <v>0</v>
      </c>
      <c r="J2511" s="173" t="s">
        <v>478</v>
      </c>
      <c r="K2511" s="174">
        <v>9219138000401</v>
      </c>
      <c r="L2511" s="173" t="s">
        <v>1087</v>
      </c>
      <c r="M2511" s="173" t="s">
        <v>131</v>
      </c>
      <c r="N2511" s="173" t="s">
        <v>61</v>
      </c>
      <c r="O2511" s="87">
        <v>70</v>
      </c>
      <c r="P2511" s="173" t="s">
        <v>20</v>
      </c>
      <c r="Q2511" s="1" t="s">
        <v>1338</v>
      </c>
      <c r="R2511" s="175">
        <v>180</v>
      </c>
      <c r="S2511">
        <v>36</v>
      </c>
    </row>
    <row r="2512" spans="1:19" x14ac:dyDescent="0.25">
      <c r="A2512" s="87">
        <v>2019</v>
      </c>
      <c r="B2512" s="87">
        <v>11</v>
      </c>
      <c r="C2512" s="173" t="s">
        <v>16</v>
      </c>
      <c r="D2512" s="173" t="s">
        <v>229</v>
      </c>
      <c r="E2512" s="173" t="s">
        <v>24</v>
      </c>
      <c r="F2512" s="173" t="s">
        <v>16</v>
      </c>
      <c r="G2512" s="87" t="b">
        <v>1</v>
      </c>
      <c r="H2512" s="87" t="b">
        <v>0</v>
      </c>
      <c r="I2512" s="87" t="b">
        <v>0</v>
      </c>
      <c r="J2512" s="173" t="s">
        <v>450</v>
      </c>
      <c r="K2512" s="174">
        <v>9219138000401</v>
      </c>
      <c r="L2512" s="173" t="s">
        <v>1087</v>
      </c>
      <c r="M2512" s="173" t="s">
        <v>131</v>
      </c>
      <c r="N2512" s="173" t="s">
        <v>61</v>
      </c>
      <c r="O2512" s="87">
        <v>70</v>
      </c>
      <c r="P2512" s="173" t="s">
        <v>20</v>
      </c>
      <c r="Q2512" s="1" t="s">
        <v>1338</v>
      </c>
      <c r="R2512" s="175">
        <v>535</v>
      </c>
      <c r="S2512">
        <v>107</v>
      </c>
    </row>
    <row r="2513" spans="1:19" x14ac:dyDescent="0.25">
      <c r="A2513" s="87">
        <v>2019</v>
      </c>
      <c r="B2513" s="87">
        <v>11</v>
      </c>
      <c r="C2513" s="173" t="s">
        <v>16</v>
      </c>
      <c r="D2513" s="173" t="s">
        <v>229</v>
      </c>
      <c r="E2513" s="173" t="s">
        <v>24</v>
      </c>
      <c r="F2513" s="173" t="s">
        <v>16</v>
      </c>
      <c r="G2513" s="87" t="b">
        <v>1</v>
      </c>
      <c r="H2513" s="87" t="b">
        <v>0</v>
      </c>
      <c r="I2513" s="87" t="b">
        <v>0</v>
      </c>
      <c r="J2513" s="173" t="s">
        <v>477</v>
      </c>
      <c r="K2513" s="174">
        <v>9219138000401</v>
      </c>
      <c r="L2513" s="173" t="s">
        <v>1087</v>
      </c>
      <c r="M2513" s="173" t="s">
        <v>131</v>
      </c>
      <c r="N2513" s="173" t="s">
        <v>61</v>
      </c>
      <c r="O2513" s="87">
        <v>70</v>
      </c>
      <c r="P2513" s="173" t="s">
        <v>20</v>
      </c>
      <c r="Q2513" s="1" t="s">
        <v>1338</v>
      </c>
      <c r="R2513" s="175">
        <v>390</v>
      </c>
      <c r="S2513">
        <v>78</v>
      </c>
    </row>
    <row r="2514" spans="1:19" x14ac:dyDescent="0.25">
      <c r="A2514" s="87">
        <v>2019</v>
      </c>
      <c r="B2514" s="87">
        <v>11</v>
      </c>
      <c r="C2514" s="173" t="s">
        <v>16</v>
      </c>
      <c r="D2514" s="173" t="s">
        <v>229</v>
      </c>
      <c r="E2514" s="173" t="s">
        <v>24</v>
      </c>
      <c r="F2514" s="173" t="s">
        <v>16</v>
      </c>
      <c r="G2514" s="87" t="b">
        <v>1</v>
      </c>
      <c r="H2514" s="87" t="b">
        <v>0</v>
      </c>
      <c r="I2514" s="87" t="b">
        <v>0</v>
      </c>
      <c r="J2514" s="173" t="s">
        <v>1512</v>
      </c>
      <c r="K2514" s="174">
        <v>9219138000584</v>
      </c>
      <c r="L2514" s="173" t="s">
        <v>1088</v>
      </c>
      <c r="M2514" s="173" t="s">
        <v>131</v>
      </c>
      <c r="N2514" s="173" t="s">
        <v>61</v>
      </c>
      <c r="O2514" s="87">
        <v>62</v>
      </c>
      <c r="P2514" s="173" t="s">
        <v>27</v>
      </c>
      <c r="Q2514" s="1" t="s">
        <v>1343</v>
      </c>
      <c r="R2514" s="175">
        <v>4</v>
      </c>
      <c r="S2514">
        <v>4</v>
      </c>
    </row>
    <row r="2515" spans="1:19" x14ac:dyDescent="0.25">
      <c r="A2515" s="87">
        <v>2019</v>
      </c>
      <c r="B2515" s="87">
        <v>11</v>
      </c>
      <c r="C2515" s="173" t="s">
        <v>16</v>
      </c>
      <c r="D2515" s="173" t="s">
        <v>229</v>
      </c>
      <c r="E2515" s="173" t="s">
        <v>24</v>
      </c>
      <c r="F2515" s="173" t="s">
        <v>16</v>
      </c>
      <c r="G2515" s="87" t="b">
        <v>1</v>
      </c>
      <c r="H2515" s="87" t="b">
        <v>0</v>
      </c>
      <c r="I2515" s="87" t="b">
        <v>0</v>
      </c>
      <c r="J2515" s="173" t="s">
        <v>478</v>
      </c>
      <c r="K2515" s="174">
        <v>9219138000584</v>
      </c>
      <c r="L2515" s="173" t="s">
        <v>1088</v>
      </c>
      <c r="M2515" s="173" t="s">
        <v>131</v>
      </c>
      <c r="N2515" s="173" t="s">
        <v>61</v>
      </c>
      <c r="O2515" s="87">
        <v>70</v>
      </c>
      <c r="P2515" s="173" t="s">
        <v>20</v>
      </c>
      <c r="Q2515" s="1" t="s">
        <v>1338</v>
      </c>
      <c r="R2515" s="175">
        <v>185</v>
      </c>
      <c r="S2515">
        <v>37</v>
      </c>
    </row>
    <row r="2516" spans="1:19" x14ac:dyDescent="0.25">
      <c r="A2516" s="87">
        <v>2019</v>
      </c>
      <c r="B2516" s="87">
        <v>11</v>
      </c>
      <c r="C2516" s="173" t="s">
        <v>16</v>
      </c>
      <c r="D2516" s="173" t="s">
        <v>229</v>
      </c>
      <c r="E2516" s="173" t="s">
        <v>24</v>
      </c>
      <c r="F2516" s="173" t="s">
        <v>16</v>
      </c>
      <c r="G2516" s="87" t="b">
        <v>1</v>
      </c>
      <c r="H2516" s="87" t="b">
        <v>0</v>
      </c>
      <c r="I2516" s="87" t="b">
        <v>0</v>
      </c>
      <c r="J2516" s="173" t="s">
        <v>450</v>
      </c>
      <c r="K2516" s="174">
        <v>9219138000584</v>
      </c>
      <c r="L2516" s="173" t="s">
        <v>1088</v>
      </c>
      <c r="M2516" s="173" t="s">
        <v>131</v>
      </c>
      <c r="N2516" s="173" t="s">
        <v>61</v>
      </c>
      <c r="O2516" s="87">
        <v>70</v>
      </c>
      <c r="P2516" s="173" t="s">
        <v>20</v>
      </c>
      <c r="Q2516" s="1" t="s">
        <v>1338</v>
      </c>
      <c r="R2516" s="175">
        <v>225</v>
      </c>
      <c r="S2516">
        <v>45</v>
      </c>
    </row>
    <row r="2517" spans="1:19" x14ac:dyDescent="0.25">
      <c r="A2517" s="87">
        <v>2019</v>
      </c>
      <c r="B2517" s="87">
        <v>11</v>
      </c>
      <c r="C2517" s="173" t="s">
        <v>16</v>
      </c>
      <c r="D2517" s="173" t="s">
        <v>229</v>
      </c>
      <c r="E2517" s="173" t="s">
        <v>24</v>
      </c>
      <c r="F2517" s="173" t="s">
        <v>16</v>
      </c>
      <c r="G2517" s="87" t="b">
        <v>1</v>
      </c>
      <c r="H2517" s="87" t="b">
        <v>0</v>
      </c>
      <c r="I2517" s="87" t="b">
        <v>0</v>
      </c>
      <c r="J2517" s="173" t="s">
        <v>477</v>
      </c>
      <c r="K2517" s="174">
        <v>9219138000584</v>
      </c>
      <c r="L2517" s="173" t="s">
        <v>1088</v>
      </c>
      <c r="M2517" s="173" t="s">
        <v>131</v>
      </c>
      <c r="N2517" s="173" t="s">
        <v>61</v>
      </c>
      <c r="O2517" s="87">
        <v>70</v>
      </c>
      <c r="P2517" s="173" t="s">
        <v>20</v>
      </c>
      <c r="Q2517" s="1" t="s">
        <v>1338</v>
      </c>
      <c r="R2517" s="175">
        <v>20</v>
      </c>
      <c r="S2517">
        <v>4</v>
      </c>
    </row>
    <row r="2518" spans="1:19" x14ac:dyDescent="0.25">
      <c r="A2518" s="87">
        <v>2019</v>
      </c>
      <c r="B2518" s="87">
        <v>11</v>
      </c>
      <c r="C2518" s="173" t="s">
        <v>16</v>
      </c>
      <c r="D2518" s="173" t="s">
        <v>229</v>
      </c>
      <c r="E2518" s="173" t="s">
        <v>24</v>
      </c>
      <c r="F2518" s="173" t="s">
        <v>16</v>
      </c>
      <c r="G2518" s="87" t="b">
        <v>1</v>
      </c>
      <c r="H2518" s="87" t="b">
        <v>0</v>
      </c>
      <c r="I2518" s="87" t="b">
        <v>0</v>
      </c>
      <c r="J2518" s="173" t="s">
        <v>477</v>
      </c>
      <c r="K2518" s="174">
        <v>9219138000584</v>
      </c>
      <c r="L2518" s="173" t="s">
        <v>1088</v>
      </c>
      <c r="M2518" s="173" t="s">
        <v>131</v>
      </c>
      <c r="N2518" s="173" t="s">
        <v>61</v>
      </c>
      <c r="O2518" s="87">
        <v>73</v>
      </c>
      <c r="P2518" s="173" t="s">
        <v>26</v>
      </c>
      <c r="Q2518" s="1" t="s">
        <v>1342</v>
      </c>
      <c r="R2518" s="175">
        <v>12</v>
      </c>
      <c r="S2518">
        <v>3</v>
      </c>
    </row>
    <row r="2519" spans="1:19" x14ac:dyDescent="0.25">
      <c r="A2519" s="87">
        <v>2019</v>
      </c>
      <c r="B2519" s="87">
        <v>11</v>
      </c>
      <c r="C2519" s="173" t="s">
        <v>16</v>
      </c>
      <c r="D2519" s="173" t="s">
        <v>229</v>
      </c>
      <c r="E2519" s="173" t="s">
        <v>24</v>
      </c>
      <c r="F2519" s="173" t="s">
        <v>16</v>
      </c>
      <c r="G2519" s="87" t="b">
        <v>1</v>
      </c>
      <c r="H2519" s="87" t="b">
        <v>0</v>
      </c>
      <c r="I2519" s="87" t="b">
        <v>0</v>
      </c>
      <c r="J2519" s="173" t="s">
        <v>1512</v>
      </c>
      <c r="K2519" s="174">
        <v>9219138000584</v>
      </c>
      <c r="L2519" s="173" t="s">
        <v>1088</v>
      </c>
      <c r="M2519" s="173" t="s">
        <v>131</v>
      </c>
      <c r="N2519" s="173" t="s">
        <v>61</v>
      </c>
      <c r="O2519" s="87">
        <v>73</v>
      </c>
      <c r="P2519" s="173" t="s">
        <v>26</v>
      </c>
      <c r="Q2519" s="1" t="s">
        <v>1342</v>
      </c>
      <c r="R2519" s="175">
        <v>92</v>
      </c>
      <c r="S2519">
        <v>23</v>
      </c>
    </row>
    <row r="2520" spans="1:19" x14ac:dyDescent="0.25">
      <c r="A2520" s="87">
        <v>2019</v>
      </c>
      <c r="B2520" s="87">
        <v>11</v>
      </c>
      <c r="C2520" s="173" t="s">
        <v>16</v>
      </c>
      <c r="D2520" s="173" t="s">
        <v>229</v>
      </c>
      <c r="E2520" s="173" t="s">
        <v>24</v>
      </c>
      <c r="F2520" s="173" t="s">
        <v>16</v>
      </c>
      <c r="G2520" s="87" t="b">
        <v>1</v>
      </c>
      <c r="H2520" s="87" t="b">
        <v>0</v>
      </c>
      <c r="I2520" s="87" t="b">
        <v>0</v>
      </c>
      <c r="J2520" s="173" t="s">
        <v>491</v>
      </c>
      <c r="K2520" s="174">
        <v>9578217000158</v>
      </c>
      <c r="L2520" s="173" t="s">
        <v>1089</v>
      </c>
      <c r="M2520" s="173" t="s">
        <v>131</v>
      </c>
      <c r="N2520" s="173" t="s">
        <v>61</v>
      </c>
      <c r="O2520" s="87">
        <v>62</v>
      </c>
      <c r="P2520" s="173" t="s">
        <v>27</v>
      </c>
      <c r="Q2520" s="1" t="s">
        <v>1343</v>
      </c>
      <c r="R2520" s="175">
        <v>3</v>
      </c>
      <c r="S2520">
        <v>3</v>
      </c>
    </row>
    <row r="2521" spans="1:19" x14ac:dyDescent="0.25">
      <c r="A2521" s="87">
        <v>2019</v>
      </c>
      <c r="B2521" s="87">
        <v>11</v>
      </c>
      <c r="C2521" s="173" t="s">
        <v>16</v>
      </c>
      <c r="D2521" s="173" t="s">
        <v>229</v>
      </c>
      <c r="E2521" s="173" t="s">
        <v>24</v>
      </c>
      <c r="F2521" s="173" t="s">
        <v>16</v>
      </c>
      <c r="G2521" s="87" t="b">
        <v>1</v>
      </c>
      <c r="H2521" s="87" t="b">
        <v>0</v>
      </c>
      <c r="I2521" s="87" t="b">
        <v>0</v>
      </c>
      <c r="J2521" s="173" t="s">
        <v>491</v>
      </c>
      <c r="K2521" s="174">
        <v>9578217000158</v>
      </c>
      <c r="L2521" s="173" t="s">
        <v>1089</v>
      </c>
      <c r="M2521" s="173" t="s">
        <v>131</v>
      </c>
      <c r="N2521" s="173" t="s">
        <v>61</v>
      </c>
      <c r="O2521" s="87">
        <v>64</v>
      </c>
      <c r="P2521" s="173" t="s">
        <v>25</v>
      </c>
      <c r="Q2521" s="1" t="s">
        <v>1344</v>
      </c>
      <c r="R2521" s="175">
        <v>4</v>
      </c>
      <c r="S2521">
        <v>4</v>
      </c>
    </row>
    <row r="2522" spans="1:19" x14ac:dyDescent="0.25">
      <c r="A2522" s="87">
        <v>2019</v>
      </c>
      <c r="B2522" s="87">
        <v>11</v>
      </c>
      <c r="C2522" s="173" t="s">
        <v>16</v>
      </c>
      <c r="D2522" s="173" t="s">
        <v>229</v>
      </c>
      <c r="E2522" s="173" t="s">
        <v>24</v>
      </c>
      <c r="F2522" s="173" t="s">
        <v>16</v>
      </c>
      <c r="G2522" s="87" t="b">
        <v>1</v>
      </c>
      <c r="H2522" s="87" t="b">
        <v>0</v>
      </c>
      <c r="I2522" s="87" t="b">
        <v>0</v>
      </c>
      <c r="J2522" s="173" t="s">
        <v>449</v>
      </c>
      <c r="K2522" s="174">
        <v>9605231000284</v>
      </c>
      <c r="L2522" s="173" t="s">
        <v>962</v>
      </c>
      <c r="M2522" s="173" t="s">
        <v>87</v>
      </c>
      <c r="N2522" s="173" t="s">
        <v>67</v>
      </c>
      <c r="O2522" s="87">
        <v>70</v>
      </c>
      <c r="P2522" s="173" t="s">
        <v>20</v>
      </c>
      <c r="Q2522" s="1" t="s">
        <v>1338</v>
      </c>
      <c r="R2522" s="175">
        <v>100</v>
      </c>
      <c r="S2522">
        <v>20</v>
      </c>
    </row>
    <row r="2523" spans="1:19" x14ac:dyDescent="0.25">
      <c r="A2523" s="87">
        <v>2019</v>
      </c>
      <c r="B2523" s="87">
        <v>11</v>
      </c>
      <c r="C2523" s="173" t="s">
        <v>16</v>
      </c>
      <c r="D2523" s="173" t="s">
        <v>229</v>
      </c>
      <c r="E2523" s="173" t="s">
        <v>24</v>
      </c>
      <c r="F2523" s="173" t="s">
        <v>16</v>
      </c>
      <c r="G2523" s="87" t="b">
        <v>1</v>
      </c>
      <c r="H2523" s="87" t="b">
        <v>0</v>
      </c>
      <c r="I2523" s="87" t="b">
        <v>0</v>
      </c>
      <c r="J2523" s="173" t="s">
        <v>470</v>
      </c>
      <c r="K2523" s="174">
        <v>10447300000177</v>
      </c>
      <c r="L2523" s="173" t="s">
        <v>658</v>
      </c>
      <c r="M2523" s="173" t="s">
        <v>33</v>
      </c>
      <c r="N2523" s="173" t="s">
        <v>19</v>
      </c>
      <c r="O2523" s="87">
        <v>73</v>
      </c>
      <c r="P2523" s="173" t="s">
        <v>26</v>
      </c>
      <c r="Q2523" s="1" t="s">
        <v>1339</v>
      </c>
      <c r="R2523" s="175">
        <v>4</v>
      </c>
      <c r="S2523">
        <v>2</v>
      </c>
    </row>
    <row r="2524" spans="1:19" x14ac:dyDescent="0.25">
      <c r="A2524" s="87">
        <v>2019</v>
      </c>
      <c r="B2524" s="87">
        <v>11</v>
      </c>
      <c r="C2524" s="173" t="s">
        <v>16</v>
      </c>
      <c r="D2524" s="173" t="s">
        <v>229</v>
      </c>
      <c r="E2524" s="173" t="s">
        <v>24</v>
      </c>
      <c r="F2524" s="173" t="s">
        <v>16</v>
      </c>
      <c r="G2524" s="87" t="b">
        <v>1</v>
      </c>
      <c r="H2524" s="87" t="b">
        <v>0</v>
      </c>
      <c r="I2524" s="87" t="b">
        <v>0</v>
      </c>
      <c r="J2524" s="173" t="s">
        <v>448</v>
      </c>
      <c r="K2524" s="174">
        <v>10447300000177</v>
      </c>
      <c r="L2524" s="173" t="s">
        <v>658</v>
      </c>
      <c r="M2524" s="173" t="s">
        <v>33</v>
      </c>
      <c r="N2524" s="173" t="s">
        <v>19</v>
      </c>
      <c r="O2524" s="87">
        <v>73</v>
      </c>
      <c r="P2524" s="173" t="s">
        <v>26</v>
      </c>
      <c r="Q2524" s="1" t="s">
        <v>1342</v>
      </c>
      <c r="R2524" s="175">
        <v>16</v>
      </c>
      <c r="S2524">
        <v>4</v>
      </c>
    </row>
    <row r="2525" spans="1:19" x14ac:dyDescent="0.25">
      <c r="A2525" s="87">
        <v>2019</v>
      </c>
      <c r="B2525" s="87">
        <v>11</v>
      </c>
      <c r="C2525" s="173" t="s">
        <v>16</v>
      </c>
      <c r="D2525" s="173" t="s">
        <v>229</v>
      </c>
      <c r="E2525" s="173" t="s">
        <v>24</v>
      </c>
      <c r="F2525" s="173" t="s">
        <v>16</v>
      </c>
      <c r="G2525" s="87" t="b">
        <v>1</v>
      </c>
      <c r="H2525" s="87" t="b">
        <v>0</v>
      </c>
      <c r="I2525" s="87" t="b">
        <v>0</v>
      </c>
      <c r="J2525" s="173" t="s">
        <v>450</v>
      </c>
      <c r="K2525" s="174">
        <v>10468341000140</v>
      </c>
      <c r="L2525" s="173" t="s">
        <v>581</v>
      </c>
      <c r="M2525" s="173" t="s">
        <v>29</v>
      </c>
      <c r="N2525" s="173" t="s">
        <v>19</v>
      </c>
      <c r="O2525" s="87">
        <v>70</v>
      </c>
      <c r="P2525" s="173" t="s">
        <v>20</v>
      </c>
      <c r="Q2525" s="1" t="s">
        <v>1338</v>
      </c>
      <c r="R2525" s="175">
        <v>270</v>
      </c>
      <c r="S2525">
        <v>54</v>
      </c>
    </row>
    <row r="2526" spans="1:19" x14ac:dyDescent="0.25">
      <c r="A2526" s="87">
        <v>2019</v>
      </c>
      <c r="B2526" s="87">
        <v>11</v>
      </c>
      <c r="C2526" s="173" t="s">
        <v>16</v>
      </c>
      <c r="D2526" s="173" t="s">
        <v>229</v>
      </c>
      <c r="E2526" s="173" t="s">
        <v>24</v>
      </c>
      <c r="F2526" s="173" t="s">
        <v>16</v>
      </c>
      <c r="G2526" s="87" t="b">
        <v>1</v>
      </c>
      <c r="H2526" s="87" t="b">
        <v>0</v>
      </c>
      <c r="I2526" s="87" t="b">
        <v>0</v>
      </c>
      <c r="J2526" s="173" t="s">
        <v>463</v>
      </c>
      <c r="K2526" s="174">
        <v>10468341000140</v>
      </c>
      <c r="L2526" s="173" t="s">
        <v>581</v>
      </c>
      <c r="M2526" s="173" t="s">
        <v>29</v>
      </c>
      <c r="N2526" s="173" t="s">
        <v>19</v>
      </c>
      <c r="O2526" s="87">
        <v>70</v>
      </c>
      <c r="P2526" s="173" t="s">
        <v>20</v>
      </c>
      <c r="Q2526" s="1" t="s">
        <v>1338</v>
      </c>
      <c r="R2526" s="175">
        <v>490</v>
      </c>
      <c r="S2526">
        <v>98</v>
      </c>
    </row>
    <row r="2527" spans="1:19" x14ac:dyDescent="0.25">
      <c r="A2527" s="87">
        <v>2019</v>
      </c>
      <c r="B2527" s="87">
        <v>11</v>
      </c>
      <c r="C2527" s="173" t="s">
        <v>16</v>
      </c>
      <c r="D2527" s="173" t="s">
        <v>229</v>
      </c>
      <c r="E2527" s="173" t="s">
        <v>24</v>
      </c>
      <c r="F2527" s="173" t="s">
        <v>16</v>
      </c>
      <c r="G2527" s="87" t="b">
        <v>1</v>
      </c>
      <c r="H2527" s="87" t="b">
        <v>0</v>
      </c>
      <c r="I2527" s="87" t="b">
        <v>0</v>
      </c>
      <c r="J2527" s="173" t="s">
        <v>463</v>
      </c>
      <c r="K2527" s="174">
        <v>10468341000140</v>
      </c>
      <c r="L2527" s="173" t="s">
        <v>581</v>
      </c>
      <c r="M2527" s="173" t="s">
        <v>29</v>
      </c>
      <c r="N2527" s="173" t="s">
        <v>19</v>
      </c>
      <c r="O2527" s="87">
        <v>73</v>
      </c>
      <c r="P2527" s="173" t="s">
        <v>26</v>
      </c>
      <c r="Q2527" s="1" t="s">
        <v>1342</v>
      </c>
      <c r="R2527" s="175">
        <v>48</v>
      </c>
      <c r="S2527">
        <v>12</v>
      </c>
    </row>
    <row r="2528" spans="1:19" x14ac:dyDescent="0.25">
      <c r="A2528" s="87">
        <v>2019</v>
      </c>
      <c r="B2528" s="87">
        <v>11</v>
      </c>
      <c r="C2528" s="173" t="s">
        <v>16</v>
      </c>
      <c r="D2528" s="173" t="s">
        <v>229</v>
      </c>
      <c r="E2528" s="173" t="s">
        <v>24</v>
      </c>
      <c r="F2528" s="173" t="s">
        <v>16</v>
      </c>
      <c r="G2528" s="87" t="b">
        <v>1</v>
      </c>
      <c r="H2528" s="87" t="b">
        <v>0</v>
      </c>
      <c r="I2528" s="87" t="b">
        <v>0</v>
      </c>
      <c r="J2528" s="173" t="s">
        <v>450</v>
      </c>
      <c r="K2528" s="174">
        <v>10468341000220</v>
      </c>
      <c r="L2528" s="173" t="s">
        <v>582</v>
      </c>
      <c r="M2528" s="173" t="s">
        <v>29</v>
      </c>
      <c r="N2528" s="173" t="s">
        <v>19</v>
      </c>
      <c r="O2528" s="87">
        <v>70</v>
      </c>
      <c r="P2528" s="173" t="s">
        <v>20</v>
      </c>
      <c r="Q2528" s="1" t="s">
        <v>1338</v>
      </c>
      <c r="R2528" s="175">
        <v>450</v>
      </c>
      <c r="S2528">
        <v>90</v>
      </c>
    </row>
    <row r="2529" spans="1:19" x14ac:dyDescent="0.25">
      <c r="A2529" s="87">
        <v>2019</v>
      </c>
      <c r="B2529" s="87">
        <v>11</v>
      </c>
      <c r="C2529" s="173" t="s">
        <v>16</v>
      </c>
      <c r="D2529" s="173" t="s">
        <v>229</v>
      </c>
      <c r="E2529" s="173" t="s">
        <v>24</v>
      </c>
      <c r="F2529" s="173" t="s">
        <v>16</v>
      </c>
      <c r="G2529" s="87" t="b">
        <v>1</v>
      </c>
      <c r="H2529" s="87" t="b">
        <v>0</v>
      </c>
      <c r="I2529" s="87" t="b">
        <v>0</v>
      </c>
      <c r="J2529" s="173" t="s">
        <v>463</v>
      </c>
      <c r="K2529" s="174">
        <v>10468341000220</v>
      </c>
      <c r="L2529" s="173" t="s">
        <v>582</v>
      </c>
      <c r="M2529" s="173" t="s">
        <v>29</v>
      </c>
      <c r="N2529" s="173" t="s">
        <v>19</v>
      </c>
      <c r="O2529" s="87">
        <v>70</v>
      </c>
      <c r="P2529" s="173" t="s">
        <v>20</v>
      </c>
      <c r="Q2529" s="1" t="s">
        <v>1338</v>
      </c>
      <c r="R2529" s="175">
        <v>445</v>
      </c>
      <c r="S2529">
        <v>89</v>
      </c>
    </row>
    <row r="2530" spans="1:19" x14ac:dyDescent="0.25">
      <c r="A2530" s="87">
        <v>2019</v>
      </c>
      <c r="B2530" s="87">
        <v>11</v>
      </c>
      <c r="C2530" s="173" t="s">
        <v>16</v>
      </c>
      <c r="D2530" s="173" t="s">
        <v>229</v>
      </c>
      <c r="E2530" s="173" t="s">
        <v>24</v>
      </c>
      <c r="F2530" s="173" t="s">
        <v>16</v>
      </c>
      <c r="G2530" s="87" t="b">
        <v>1</v>
      </c>
      <c r="H2530" s="87" t="b">
        <v>0</v>
      </c>
      <c r="I2530" s="87" t="b">
        <v>0</v>
      </c>
      <c r="J2530" s="173" t="s">
        <v>450</v>
      </c>
      <c r="K2530" s="174">
        <v>10475230000160</v>
      </c>
      <c r="L2530" s="173" t="s">
        <v>583</v>
      </c>
      <c r="M2530" s="173" t="s">
        <v>29</v>
      </c>
      <c r="N2530" s="173" t="s">
        <v>19</v>
      </c>
      <c r="O2530" s="87">
        <v>70</v>
      </c>
      <c r="P2530" s="173" t="s">
        <v>20</v>
      </c>
      <c r="Q2530" s="1" t="s">
        <v>1338</v>
      </c>
      <c r="R2530" s="175">
        <v>20</v>
      </c>
      <c r="S2530">
        <v>4</v>
      </c>
    </row>
    <row r="2531" spans="1:19" x14ac:dyDescent="0.25">
      <c r="A2531" s="87">
        <v>2019</v>
      </c>
      <c r="B2531" s="87">
        <v>11</v>
      </c>
      <c r="C2531" s="173" t="s">
        <v>16</v>
      </c>
      <c r="D2531" s="173" t="s">
        <v>229</v>
      </c>
      <c r="E2531" s="173" t="s">
        <v>24</v>
      </c>
      <c r="F2531" s="173" t="s">
        <v>16</v>
      </c>
      <c r="G2531" s="87" t="b">
        <v>1</v>
      </c>
      <c r="H2531" s="87" t="b">
        <v>0</v>
      </c>
      <c r="I2531" s="87" t="b">
        <v>0</v>
      </c>
      <c r="J2531" s="173" t="s">
        <v>464</v>
      </c>
      <c r="K2531" s="174">
        <v>10475230000160</v>
      </c>
      <c r="L2531" s="173" t="s">
        <v>583</v>
      </c>
      <c r="M2531" s="173" t="s">
        <v>29</v>
      </c>
      <c r="N2531" s="173" t="s">
        <v>19</v>
      </c>
      <c r="O2531" s="87">
        <v>70</v>
      </c>
      <c r="P2531" s="173" t="s">
        <v>20</v>
      </c>
      <c r="Q2531" s="1" t="s">
        <v>1338</v>
      </c>
      <c r="R2531" s="175">
        <v>25</v>
      </c>
      <c r="S2531">
        <v>5</v>
      </c>
    </row>
    <row r="2532" spans="1:19" x14ac:dyDescent="0.25">
      <c r="A2532" s="87">
        <v>2019</v>
      </c>
      <c r="B2532" s="87">
        <v>11</v>
      </c>
      <c r="C2532" s="173" t="s">
        <v>16</v>
      </c>
      <c r="D2532" s="173" t="s">
        <v>229</v>
      </c>
      <c r="E2532" s="173" t="s">
        <v>24</v>
      </c>
      <c r="F2532" s="173" t="s">
        <v>16</v>
      </c>
      <c r="G2532" s="87" t="b">
        <v>1</v>
      </c>
      <c r="H2532" s="87" t="b">
        <v>0</v>
      </c>
      <c r="I2532" s="87" t="b">
        <v>0</v>
      </c>
      <c r="J2532" s="173" t="s">
        <v>470</v>
      </c>
      <c r="K2532" s="174">
        <v>10576443000189</v>
      </c>
      <c r="L2532" s="173" t="s">
        <v>659</v>
      </c>
      <c r="M2532" s="173" t="s">
        <v>643</v>
      </c>
      <c r="N2532" s="173" t="s">
        <v>19</v>
      </c>
      <c r="O2532" s="87">
        <v>70</v>
      </c>
      <c r="P2532" s="173" t="s">
        <v>20</v>
      </c>
      <c r="Q2532" s="1" t="s">
        <v>1338</v>
      </c>
      <c r="R2532" s="175">
        <v>25</v>
      </c>
      <c r="S2532">
        <v>5</v>
      </c>
    </row>
    <row r="2533" spans="1:19" x14ac:dyDescent="0.25">
      <c r="A2533" s="87">
        <v>2019</v>
      </c>
      <c r="B2533" s="87">
        <v>11</v>
      </c>
      <c r="C2533" s="173" t="s">
        <v>16</v>
      </c>
      <c r="D2533" s="173" t="s">
        <v>229</v>
      </c>
      <c r="E2533" s="173" t="s">
        <v>24</v>
      </c>
      <c r="F2533" s="173" t="s">
        <v>16</v>
      </c>
      <c r="G2533" s="87" t="b">
        <v>1</v>
      </c>
      <c r="H2533" s="87" t="b">
        <v>0</v>
      </c>
      <c r="I2533" s="87" t="b">
        <v>0</v>
      </c>
      <c r="J2533" s="173" t="s">
        <v>455</v>
      </c>
      <c r="K2533" s="174">
        <v>10576443000189</v>
      </c>
      <c r="L2533" s="173" t="s">
        <v>659</v>
      </c>
      <c r="M2533" s="173" t="s">
        <v>643</v>
      </c>
      <c r="N2533" s="173" t="s">
        <v>19</v>
      </c>
      <c r="O2533" s="87">
        <v>70</v>
      </c>
      <c r="P2533" s="173" t="s">
        <v>20</v>
      </c>
      <c r="Q2533" s="1" t="s">
        <v>1338</v>
      </c>
      <c r="R2533" s="175">
        <v>160</v>
      </c>
      <c r="S2533">
        <v>32</v>
      </c>
    </row>
    <row r="2534" spans="1:19" x14ac:dyDescent="0.25">
      <c r="A2534" s="87">
        <v>2019</v>
      </c>
      <c r="B2534" s="87">
        <v>11</v>
      </c>
      <c r="C2534" s="173" t="s">
        <v>16</v>
      </c>
      <c r="D2534" s="173" t="s">
        <v>229</v>
      </c>
      <c r="E2534" s="173" t="s">
        <v>24</v>
      </c>
      <c r="F2534" s="173" t="s">
        <v>16</v>
      </c>
      <c r="G2534" s="87" t="b">
        <v>1</v>
      </c>
      <c r="H2534" s="87" t="b">
        <v>0</v>
      </c>
      <c r="I2534" s="87" t="b">
        <v>0</v>
      </c>
      <c r="J2534" s="173" t="s">
        <v>1330</v>
      </c>
      <c r="K2534" s="174">
        <v>10586940000168</v>
      </c>
      <c r="L2534" s="173" t="s">
        <v>1156</v>
      </c>
      <c r="M2534" s="173" t="s">
        <v>1157</v>
      </c>
      <c r="N2534" s="173" t="s">
        <v>98</v>
      </c>
      <c r="O2534" s="87">
        <v>64</v>
      </c>
      <c r="P2534" s="173" t="s">
        <v>25</v>
      </c>
      <c r="Q2534" s="1" t="s">
        <v>1344</v>
      </c>
      <c r="R2534" s="175">
        <v>30</v>
      </c>
      <c r="S2534">
        <v>30</v>
      </c>
    </row>
    <row r="2535" spans="1:19" x14ac:dyDescent="0.25">
      <c r="A2535" s="87">
        <v>2019</v>
      </c>
      <c r="B2535" s="87">
        <v>11</v>
      </c>
      <c r="C2535" s="173" t="s">
        <v>16</v>
      </c>
      <c r="D2535" s="173" t="s">
        <v>229</v>
      </c>
      <c r="E2535" s="173" t="s">
        <v>24</v>
      </c>
      <c r="F2535" s="173" t="s">
        <v>16</v>
      </c>
      <c r="G2535" s="87" t="b">
        <v>1</v>
      </c>
      <c r="H2535" s="87" t="b">
        <v>0</v>
      </c>
      <c r="I2535" s="87" t="b">
        <v>0</v>
      </c>
      <c r="J2535" s="173" t="s">
        <v>1330</v>
      </c>
      <c r="K2535" s="174">
        <v>10586940000168</v>
      </c>
      <c r="L2535" s="173" t="s">
        <v>1156</v>
      </c>
      <c r="M2535" s="173" t="s">
        <v>1157</v>
      </c>
      <c r="N2535" s="173" t="s">
        <v>98</v>
      </c>
      <c r="O2535" s="87">
        <v>73</v>
      </c>
      <c r="P2535" s="173" t="s">
        <v>26</v>
      </c>
      <c r="Q2535" s="1" t="s">
        <v>1339</v>
      </c>
      <c r="R2535" s="175">
        <v>20</v>
      </c>
      <c r="S2535">
        <v>10</v>
      </c>
    </row>
    <row r="2536" spans="1:19" x14ac:dyDescent="0.25">
      <c r="A2536" s="87">
        <v>2019</v>
      </c>
      <c r="B2536" s="87">
        <v>11</v>
      </c>
      <c r="C2536" s="173" t="s">
        <v>16</v>
      </c>
      <c r="D2536" s="173" t="s">
        <v>229</v>
      </c>
      <c r="E2536" s="173" t="s">
        <v>24</v>
      </c>
      <c r="F2536" s="173" t="s">
        <v>16</v>
      </c>
      <c r="G2536" s="87" t="b">
        <v>1</v>
      </c>
      <c r="H2536" s="87" t="b">
        <v>0</v>
      </c>
      <c r="I2536" s="87" t="b">
        <v>0</v>
      </c>
      <c r="J2536" s="173" t="s">
        <v>1330</v>
      </c>
      <c r="K2536" s="174">
        <v>10586940000168</v>
      </c>
      <c r="L2536" s="173" t="s">
        <v>1156</v>
      </c>
      <c r="M2536" s="173" t="s">
        <v>1157</v>
      </c>
      <c r="N2536" s="173" t="s">
        <v>98</v>
      </c>
      <c r="O2536" s="87">
        <v>73</v>
      </c>
      <c r="P2536" s="173" t="s">
        <v>26</v>
      </c>
      <c r="Q2536" s="1" t="s">
        <v>1342</v>
      </c>
      <c r="R2536" s="175">
        <v>60</v>
      </c>
      <c r="S2536">
        <v>15</v>
      </c>
    </row>
    <row r="2537" spans="1:19" x14ac:dyDescent="0.25">
      <c r="A2537" s="87">
        <v>2019</v>
      </c>
      <c r="B2537" s="87">
        <v>11</v>
      </c>
      <c r="C2537" s="173" t="s">
        <v>16</v>
      </c>
      <c r="D2537" s="173" t="s">
        <v>229</v>
      </c>
      <c r="E2537" s="173" t="s">
        <v>24</v>
      </c>
      <c r="F2537" s="173" t="s">
        <v>16</v>
      </c>
      <c r="G2537" s="87" t="b">
        <v>1</v>
      </c>
      <c r="H2537" s="87" t="b">
        <v>0</v>
      </c>
      <c r="I2537" s="87" t="b">
        <v>0</v>
      </c>
      <c r="J2537" s="173" t="s">
        <v>477</v>
      </c>
      <c r="K2537" s="174">
        <v>10834118000179</v>
      </c>
      <c r="L2537" s="173" t="s">
        <v>1328</v>
      </c>
      <c r="M2537" s="173" t="s">
        <v>131</v>
      </c>
      <c r="N2537" s="173" t="s">
        <v>61</v>
      </c>
      <c r="O2537" s="87">
        <v>64</v>
      </c>
      <c r="P2537" s="173" t="s">
        <v>25</v>
      </c>
      <c r="Q2537" s="1" t="s">
        <v>1344</v>
      </c>
      <c r="R2537" s="175">
        <v>20</v>
      </c>
      <c r="S2537">
        <v>20</v>
      </c>
    </row>
    <row r="2538" spans="1:19" x14ac:dyDescent="0.25">
      <c r="A2538" s="87">
        <v>2019</v>
      </c>
      <c r="B2538" s="87">
        <v>11</v>
      </c>
      <c r="C2538" s="173" t="s">
        <v>16</v>
      </c>
      <c r="D2538" s="173" t="s">
        <v>229</v>
      </c>
      <c r="E2538" s="173" t="s">
        <v>24</v>
      </c>
      <c r="F2538" s="173" t="s">
        <v>16</v>
      </c>
      <c r="G2538" s="87" t="b">
        <v>1</v>
      </c>
      <c r="H2538" s="87" t="b">
        <v>0</v>
      </c>
      <c r="I2538" s="87" t="b">
        <v>0</v>
      </c>
      <c r="J2538" s="173" t="s">
        <v>470</v>
      </c>
      <c r="K2538" s="174">
        <v>10839561000132</v>
      </c>
      <c r="L2538" s="173" t="s">
        <v>834</v>
      </c>
      <c r="M2538" s="173" t="s">
        <v>70</v>
      </c>
      <c r="N2538" s="173" t="s">
        <v>71</v>
      </c>
      <c r="O2538" s="87">
        <v>73</v>
      </c>
      <c r="P2538" s="173" t="s">
        <v>26</v>
      </c>
      <c r="Q2538" s="1" t="s">
        <v>1340</v>
      </c>
      <c r="R2538" s="175">
        <v>8</v>
      </c>
      <c r="S2538">
        <v>8</v>
      </c>
    </row>
    <row r="2539" spans="1:19" x14ac:dyDescent="0.25">
      <c r="A2539" s="87">
        <v>2019</v>
      </c>
      <c r="B2539" s="87">
        <v>11</v>
      </c>
      <c r="C2539" s="173" t="s">
        <v>16</v>
      </c>
      <c r="D2539" s="173" t="s">
        <v>229</v>
      </c>
      <c r="E2539" s="173" t="s">
        <v>24</v>
      </c>
      <c r="F2539" s="173" t="s">
        <v>16</v>
      </c>
      <c r="G2539" s="87" t="b">
        <v>1</v>
      </c>
      <c r="H2539" s="87" t="b">
        <v>0</v>
      </c>
      <c r="I2539" s="87" t="b">
        <v>0</v>
      </c>
      <c r="J2539" s="173" t="s">
        <v>451</v>
      </c>
      <c r="K2539" s="174">
        <v>10868295000176</v>
      </c>
      <c r="L2539" s="173" t="s">
        <v>660</v>
      </c>
      <c r="M2539" s="173" t="s">
        <v>35</v>
      </c>
      <c r="N2539" s="173" t="s">
        <v>19</v>
      </c>
      <c r="O2539" s="87">
        <v>70</v>
      </c>
      <c r="P2539" s="173" t="s">
        <v>20</v>
      </c>
      <c r="Q2539" s="1" t="s">
        <v>1338</v>
      </c>
      <c r="R2539" s="175">
        <v>270</v>
      </c>
      <c r="S2539">
        <v>54</v>
      </c>
    </row>
    <row r="2540" spans="1:19" x14ac:dyDescent="0.25">
      <c r="A2540" s="87">
        <v>2019</v>
      </c>
      <c r="B2540" s="87">
        <v>11</v>
      </c>
      <c r="C2540" s="173" t="s">
        <v>16</v>
      </c>
      <c r="D2540" s="173" t="s">
        <v>229</v>
      </c>
      <c r="E2540" s="173" t="s">
        <v>24</v>
      </c>
      <c r="F2540" s="173" t="s">
        <v>16</v>
      </c>
      <c r="G2540" s="87" t="b">
        <v>1</v>
      </c>
      <c r="H2540" s="87" t="b">
        <v>0</v>
      </c>
      <c r="I2540" s="87" t="b">
        <v>0</v>
      </c>
      <c r="J2540" s="173" t="s">
        <v>470</v>
      </c>
      <c r="K2540" s="174">
        <v>10892164000124</v>
      </c>
      <c r="L2540" s="173" t="s">
        <v>835</v>
      </c>
      <c r="M2540" s="173" t="s">
        <v>70</v>
      </c>
      <c r="N2540" s="173" t="s">
        <v>71</v>
      </c>
      <c r="O2540" s="87">
        <v>64</v>
      </c>
      <c r="P2540" s="173" t="s">
        <v>25</v>
      </c>
      <c r="Q2540" s="1" t="s">
        <v>1344</v>
      </c>
      <c r="R2540" s="175">
        <v>10</v>
      </c>
      <c r="S2540">
        <v>10</v>
      </c>
    </row>
    <row r="2541" spans="1:19" x14ac:dyDescent="0.25">
      <c r="A2541" s="87">
        <v>2019</v>
      </c>
      <c r="B2541" s="87">
        <v>11</v>
      </c>
      <c r="C2541" s="173" t="s">
        <v>16</v>
      </c>
      <c r="D2541" s="173" t="s">
        <v>229</v>
      </c>
      <c r="E2541" s="173" t="s">
        <v>24</v>
      </c>
      <c r="F2541" s="173" t="s">
        <v>16</v>
      </c>
      <c r="G2541" s="87" t="b">
        <v>1</v>
      </c>
      <c r="H2541" s="87" t="b">
        <v>0</v>
      </c>
      <c r="I2541" s="87" t="b">
        <v>0</v>
      </c>
      <c r="J2541" s="173" t="s">
        <v>451</v>
      </c>
      <c r="K2541" s="174">
        <v>10892164000124</v>
      </c>
      <c r="L2541" s="173" t="s">
        <v>835</v>
      </c>
      <c r="M2541" s="173" t="s">
        <v>70</v>
      </c>
      <c r="N2541" s="173" t="s">
        <v>71</v>
      </c>
      <c r="O2541" s="87">
        <v>73</v>
      </c>
      <c r="P2541" s="173" t="s">
        <v>26</v>
      </c>
      <c r="Q2541" s="1" t="s">
        <v>1342</v>
      </c>
      <c r="R2541" s="175">
        <v>60</v>
      </c>
      <c r="S2541">
        <v>15</v>
      </c>
    </row>
    <row r="2542" spans="1:19" x14ac:dyDescent="0.25">
      <c r="A2542" s="87">
        <v>2019</v>
      </c>
      <c r="B2542" s="87">
        <v>11</v>
      </c>
      <c r="C2542" s="173" t="s">
        <v>16</v>
      </c>
      <c r="D2542" s="173" t="s">
        <v>229</v>
      </c>
      <c r="E2542" s="173" t="s">
        <v>24</v>
      </c>
      <c r="F2542" s="173" t="s">
        <v>16</v>
      </c>
      <c r="G2542" s="87" t="b">
        <v>1</v>
      </c>
      <c r="H2542" s="87" t="b">
        <v>0</v>
      </c>
      <c r="I2542" s="87" t="b">
        <v>0</v>
      </c>
      <c r="J2542" s="173" t="s">
        <v>455</v>
      </c>
      <c r="K2542" s="174">
        <v>10922058000146</v>
      </c>
      <c r="L2542" s="173" t="s">
        <v>1158</v>
      </c>
      <c r="M2542" s="173" t="s">
        <v>131</v>
      </c>
      <c r="N2542" s="173" t="s">
        <v>61</v>
      </c>
      <c r="O2542" s="87">
        <v>70</v>
      </c>
      <c r="P2542" s="173" t="s">
        <v>20</v>
      </c>
      <c r="Q2542" s="1" t="s">
        <v>1338</v>
      </c>
      <c r="R2542" s="175">
        <v>75</v>
      </c>
      <c r="S2542">
        <v>15</v>
      </c>
    </row>
    <row r="2543" spans="1:19" x14ac:dyDescent="0.25">
      <c r="A2543" s="87">
        <v>2019</v>
      </c>
      <c r="B2543" s="87">
        <v>11</v>
      </c>
      <c r="C2543" s="173" t="s">
        <v>16</v>
      </c>
      <c r="D2543" s="173" t="s">
        <v>229</v>
      </c>
      <c r="E2543" s="173" t="s">
        <v>24</v>
      </c>
      <c r="F2543" s="173" t="s">
        <v>16</v>
      </c>
      <c r="G2543" s="87" t="b">
        <v>1</v>
      </c>
      <c r="H2543" s="87" t="b">
        <v>0</v>
      </c>
      <c r="I2543" s="87" t="b">
        <v>0</v>
      </c>
      <c r="J2543" s="173" t="s">
        <v>451</v>
      </c>
      <c r="K2543" s="174">
        <v>10922058000146</v>
      </c>
      <c r="L2543" s="173" t="s">
        <v>1158</v>
      </c>
      <c r="M2543" s="173" t="s">
        <v>131</v>
      </c>
      <c r="N2543" s="173" t="s">
        <v>61</v>
      </c>
      <c r="O2543" s="87">
        <v>70</v>
      </c>
      <c r="P2543" s="173" t="s">
        <v>20</v>
      </c>
      <c r="Q2543" s="1" t="s">
        <v>1338</v>
      </c>
      <c r="R2543" s="175">
        <v>75</v>
      </c>
      <c r="S2543">
        <v>15</v>
      </c>
    </row>
    <row r="2544" spans="1:19" x14ac:dyDescent="0.25">
      <c r="A2544" s="87">
        <v>2019</v>
      </c>
      <c r="B2544" s="87">
        <v>11</v>
      </c>
      <c r="C2544" s="173" t="s">
        <v>16</v>
      </c>
      <c r="D2544" s="173" t="s">
        <v>229</v>
      </c>
      <c r="E2544" s="173" t="s">
        <v>24</v>
      </c>
      <c r="F2544" s="173" t="s">
        <v>16</v>
      </c>
      <c r="G2544" s="87" t="b">
        <v>1</v>
      </c>
      <c r="H2544" s="87" t="b">
        <v>0</v>
      </c>
      <c r="I2544" s="87" t="b">
        <v>0</v>
      </c>
      <c r="J2544" s="173" t="s">
        <v>468</v>
      </c>
      <c r="K2544" s="174">
        <v>10942995000163</v>
      </c>
      <c r="L2544" s="173" t="s">
        <v>836</v>
      </c>
      <c r="M2544" s="173" t="s">
        <v>739</v>
      </c>
      <c r="N2544" s="173" t="s">
        <v>55</v>
      </c>
      <c r="O2544" s="87">
        <v>70</v>
      </c>
      <c r="P2544" s="173" t="s">
        <v>20</v>
      </c>
      <c r="Q2544" s="1" t="s">
        <v>1338</v>
      </c>
      <c r="R2544" s="175">
        <v>850</v>
      </c>
      <c r="S2544">
        <v>170</v>
      </c>
    </row>
    <row r="2545" spans="1:19" x14ac:dyDescent="0.25">
      <c r="A2545" s="87">
        <v>2019</v>
      </c>
      <c r="B2545" s="87">
        <v>11</v>
      </c>
      <c r="C2545" s="173" t="s">
        <v>16</v>
      </c>
      <c r="D2545" s="173" t="s">
        <v>229</v>
      </c>
      <c r="E2545" s="173" t="s">
        <v>24</v>
      </c>
      <c r="F2545" s="173" t="s">
        <v>16</v>
      </c>
      <c r="G2545" s="87" t="b">
        <v>1</v>
      </c>
      <c r="H2545" s="87" t="b">
        <v>0</v>
      </c>
      <c r="I2545" s="87" t="b">
        <v>0</v>
      </c>
      <c r="J2545" s="173" t="s">
        <v>1330</v>
      </c>
      <c r="K2545" s="174">
        <v>10942995000163</v>
      </c>
      <c r="L2545" s="173" t="s">
        <v>836</v>
      </c>
      <c r="M2545" s="173" t="s">
        <v>739</v>
      </c>
      <c r="N2545" s="173" t="s">
        <v>55</v>
      </c>
      <c r="O2545" s="87">
        <v>73</v>
      </c>
      <c r="P2545" s="173" t="s">
        <v>26</v>
      </c>
      <c r="Q2545" s="1" t="s">
        <v>1342</v>
      </c>
      <c r="R2545" s="175">
        <v>200</v>
      </c>
      <c r="S2545">
        <v>50</v>
      </c>
    </row>
    <row r="2546" spans="1:19" x14ac:dyDescent="0.25">
      <c r="A2546" s="87">
        <v>2019</v>
      </c>
      <c r="B2546" s="87">
        <v>11</v>
      </c>
      <c r="C2546" s="173" t="s">
        <v>16</v>
      </c>
      <c r="D2546" s="173" t="s">
        <v>229</v>
      </c>
      <c r="E2546" s="173" t="s">
        <v>24</v>
      </c>
      <c r="F2546" s="173" t="s">
        <v>16</v>
      </c>
      <c r="G2546" s="87" t="b">
        <v>1</v>
      </c>
      <c r="H2546" s="87" t="b">
        <v>0</v>
      </c>
      <c r="I2546" s="87" t="b">
        <v>0</v>
      </c>
      <c r="J2546" s="173" t="s">
        <v>470</v>
      </c>
      <c r="K2546" s="174">
        <v>11006293000130</v>
      </c>
      <c r="L2546" s="173" t="s">
        <v>838</v>
      </c>
      <c r="M2546" s="173" t="s">
        <v>777</v>
      </c>
      <c r="N2546" s="173" t="s">
        <v>72</v>
      </c>
      <c r="O2546" s="87">
        <v>62</v>
      </c>
      <c r="P2546" s="173" t="s">
        <v>27</v>
      </c>
      <c r="Q2546" s="1" t="s">
        <v>1343</v>
      </c>
      <c r="R2546" s="175">
        <v>1</v>
      </c>
      <c r="S2546">
        <v>1</v>
      </c>
    </row>
    <row r="2547" spans="1:19" x14ac:dyDescent="0.25">
      <c r="A2547" s="87">
        <v>2019</v>
      </c>
      <c r="B2547" s="87">
        <v>11</v>
      </c>
      <c r="C2547" s="173" t="s">
        <v>16</v>
      </c>
      <c r="D2547" s="173" t="s">
        <v>229</v>
      </c>
      <c r="E2547" s="173" t="s">
        <v>24</v>
      </c>
      <c r="F2547" s="173" t="s">
        <v>16</v>
      </c>
      <c r="G2547" s="87" t="b">
        <v>1</v>
      </c>
      <c r="H2547" s="87" t="b">
        <v>0</v>
      </c>
      <c r="I2547" s="87" t="b">
        <v>0</v>
      </c>
      <c r="J2547" s="173" t="s">
        <v>453</v>
      </c>
      <c r="K2547" s="174">
        <v>11006293000130</v>
      </c>
      <c r="L2547" s="173" t="s">
        <v>838</v>
      </c>
      <c r="M2547" s="173" t="s">
        <v>777</v>
      </c>
      <c r="N2547" s="173" t="s">
        <v>72</v>
      </c>
      <c r="O2547" s="87">
        <v>70</v>
      </c>
      <c r="P2547" s="173" t="s">
        <v>20</v>
      </c>
      <c r="Q2547" s="1" t="s">
        <v>1338</v>
      </c>
      <c r="R2547" s="175">
        <v>500</v>
      </c>
      <c r="S2547">
        <v>100</v>
      </c>
    </row>
    <row r="2548" spans="1:19" x14ac:dyDescent="0.25">
      <c r="A2548" s="87">
        <v>2019</v>
      </c>
      <c r="B2548" s="87">
        <v>11</v>
      </c>
      <c r="C2548" s="173" t="s">
        <v>16</v>
      </c>
      <c r="D2548" s="173" t="s">
        <v>229</v>
      </c>
      <c r="E2548" s="173" t="s">
        <v>24</v>
      </c>
      <c r="F2548" s="173" t="s">
        <v>16</v>
      </c>
      <c r="G2548" s="87" t="b">
        <v>1</v>
      </c>
      <c r="H2548" s="87" t="b">
        <v>0</v>
      </c>
      <c r="I2548" s="87" t="b">
        <v>0</v>
      </c>
      <c r="J2548" s="173" t="s">
        <v>478</v>
      </c>
      <c r="K2548" s="174">
        <v>11214624000470</v>
      </c>
      <c r="L2548" s="173" t="s">
        <v>841</v>
      </c>
      <c r="M2548" s="173" t="s">
        <v>70</v>
      </c>
      <c r="N2548" s="173" t="s">
        <v>71</v>
      </c>
      <c r="O2548" s="87">
        <v>70</v>
      </c>
      <c r="P2548" s="173" t="s">
        <v>20</v>
      </c>
      <c r="Q2548" s="1" t="s">
        <v>1338</v>
      </c>
      <c r="R2548" s="175">
        <v>50</v>
      </c>
      <c r="S2548">
        <v>10</v>
      </c>
    </row>
    <row r="2549" spans="1:19" x14ac:dyDescent="0.25">
      <c r="A2549" s="87">
        <v>2019</v>
      </c>
      <c r="B2549" s="87">
        <v>11</v>
      </c>
      <c r="C2549" s="173" t="s">
        <v>16</v>
      </c>
      <c r="D2549" s="173" t="s">
        <v>229</v>
      </c>
      <c r="E2549" s="173" t="s">
        <v>24</v>
      </c>
      <c r="F2549" s="173" t="s">
        <v>16</v>
      </c>
      <c r="G2549" s="87" t="b">
        <v>1</v>
      </c>
      <c r="H2549" s="87" t="b">
        <v>0</v>
      </c>
      <c r="I2549" s="87" t="b">
        <v>0</v>
      </c>
      <c r="J2549" s="173" t="s">
        <v>506</v>
      </c>
      <c r="K2549" s="174">
        <v>11836436000131</v>
      </c>
      <c r="L2549" s="173" t="s">
        <v>1297</v>
      </c>
      <c r="M2549" s="173" t="s">
        <v>907</v>
      </c>
      <c r="N2549" s="173" t="s">
        <v>69</v>
      </c>
      <c r="O2549" s="87">
        <v>70</v>
      </c>
      <c r="P2549" s="173" t="s">
        <v>20</v>
      </c>
      <c r="Q2549" s="1" t="s">
        <v>1338</v>
      </c>
      <c r="R2549" s="175">
        <v>25</v>
      </c>
      <c r="S2549">
        <v>5</v>
      </c>
    </row>
    <row r="2550" spans="1:19" x14ac:dyDescent="0.25">
      <c r="A2550" s="87">
        <v>2019</v>
      </c>
      <c r="B2550" s="87">
        <v>11</v>
      </c>
      <c r="C2550" s="173" t="s">
        <v>16</v>
      </c>
      <c r="D2550" s="173" t="s">
        <v>229</v>
      </c>
      <c r="E2550" s="173" t="s">
        <v>24</v>
      </c>
      <c r="F2550" s="173" t="s">
        <v>16</v>
      </c>
      <c r="G2550" s="87" t="b">
        <v>1</v>
      </c>
      <c r="H2550" s="87" t="b">
        <v>0</v>
      </c>
      <c r="I2550" s="87" t="b">
        <v>0</v>
      </c>
      <c r="J2550" s="173" t="s">
        <v>468</v>
      </c>
      <c r="K2550" s="174">
        <v>11859927000106</v>
      </c>
      <c r="L2550" s="173" t="s">
        <v>846</v>
      </c>
      <c r="M2550" s="173" t="s">
        <v>739</v>
      </c>
      <c r="N2550" s="173" t="s">
        <v>55</v>
      </c>
      <c r="O2550" s="87">
        <v>73</v>
      </c>
      <c r="P2550" s="173" t="s">
        <v>26</v>
      </c>
      <c r="Q2550" s="1" t="s">
        <v>1339</v>
      </c>
      <c r="R2550" s="175">
        <v>6</v>
      </c>
      <c r="S2550">
        <v>3</v>
      </c>
    </row>
    <row r="2551" spans="1:19" x14ac:dyDescent="0.25">
      <c r="A2551" s="87">
        <v>2019</v>
      </c>
      <c r="B2551" s="87">
        <v>11</v>
      </c>
      <c r="C2551" s="173" t="s">
        <v>16</v>
      </c>
      <c r="D2551" s="173" t="s">
        <v>229</v>
      </c>
      <c r="E2551" s="173" t="s">
        <v>24</v>
      </c>
      <c r="F2551" s="173" t="s">
        <v>16</v>
      </c>
      <c r="G2551" s="87" t="b">
        <v>1</v>
      </c>
      <c r="H2551" s="87" t="b">
        <v>0</v>
      </c>
      <c r="I2551" s="87" t="b">
        <v>0</v>
      </c>
      <c r="J2551" s="173" t="s">
        <v>468</v>
      </c>
      <c r="K2551" s="174">
        <v>11859927000106</v>
      </c>
      <c r="L2551" s="173" t="s">
        <v>846</v>
      </c>
      <c r="M2551" s="173" t="s">
        <v>739</v>
      </c>
      <c r="N2551" s="173" t="s">
        <v>55</v>
      </c>
      <c r="O2551" s="87">
        <v>73</v>
      </c>
      <c r="P2551" s="173" t="s">
        <v>26</v>
      </c>
      <c r="Q2551" s="1" t="s">
        <v>1340</v>
      </c>
      <c r="R2551" s="175">
        <v>5</v>
      </c>
      <c r="S2551">
        <v>5</v>
      </c>
    </row>
    <row r="2552" spans="1:19" x14ac:dyDescent="0.25">
      <c r="A2552" s="87">
        <v>2019</v>
      </c>
      <c r="B2552" s="87">
        <v>11</v>
      </c>
      <c r="C2552" s="173" t="s">
        <v>16</v>
      </c>
      <c r="D2552" s="173" t="s">
        <v>229</v>
      </c>
      <c r="E2552" s="173" t="s">
        <v>24</v>
      </c>
      <c r="F2552" s="173" t="s">
        <v>16</v>
      </c>
      <c r="G2552" s="87" t="b">
        <v>1</v>
      </c>
      <c r="H2552" s="87" t="b">
        <v>0</v>
      </c>
      <c r="I2552" s="87" t="b">
        <v>0</v>
      </c>
      <c r="J2552" s="173" t="s">
        <v>491</v>
      </c>
      <c r="K2552" s="174">
        <v>11859927000106</v>
      </c>
      <c r="L2552" s="173" t="s">
        <v>846</v>
      </c>
      <c r="M2552" s="173" t="s">
        <v>739</v>
      </c>
      <c r="N2552" s="173" t="s">
        <v>55</v>
      </c>
      <c r="O2552" s="87">
        <v>73</v>
      </c>
      <c r="P2552" s="173" t="s">
        <v>26</v>
      </c>
      <c r="Q2552" s="1" t="s">
        <v>1339</v>
      </c>
      <c r="R2552" s="175">
        <v>18</v>
      </c>
      <c r="S2552">
        <v>9</v>
      </c>
    </row>
    <row r="2553" spans="1:19" x14ac:dyDescent="0.25">
      <c r="A2553" s="87">
        <v>2019</v>
      </c>
      <c r="B2553" s="87">
        <v>11</v>
      </c>
      <c r="C2553" s="173" t="s">
        <v>16</v>
      </c>
      <c r="D2553" s="173" t="s">
        <v>229</v>
      </c>
      <c r="E2553" s="173" t="s">
        <v>24</v>
      </c>
      <c r="F2553" s="173" t="s">
        <v>16</v>
      </c>
      <c r="G2553" s="87" t="b">
        <v>1</v>
      </c>
      <c r="H2553" s="87" t="b">
        <v>0</v>
      </c>
      <c r="I2553" s="87" t="b">
        <v>0</v>
      </c>
      <c r="J2553" s="173" t="s">
        <v>491</v>
      </c>
      <c r="K2553" s="174">
        <v>11859927000106</v>
      </c>
      <c r="L2553" s="173" t="s">
        <v>846</v>
      </c>
      <c r="M2553" s="173" t="s">
        <v>739</v>
      </c>
      <c r="N2553" s="173" t="s">
        <v>55</v>
      </c>
      <c r="O2553" s="87">
        <v>73</v>
      </c>
      <c r="P2553" s="173" t="s">
        <v>26</v>
      </c>
      <c r="Q2553" s="1" t="s">
        <v>1340</v>
      </c>
      <c r="R2553" s="175">
        <v>5</v>
      </c>
      <c r="S2553">
        <v>5</v>
      </c>
    </row>
    <row r="2554" spans="1:19" x14ac:dyDescent="0.25">
      <c r="A2554" s="87">
        <v>2019</v>
      </c>
      <c r="B2554" s="87">
        <v>11</v>
      </c>
      <c r="C2554" s="173" t="s">
        <v>16</v>
      </c>
      <c r="D2554" s="173" t="s">
        <v>229</v>
      </c>
      <c r="E2554" s="173" t="s">
        <v>24</v>
      </c>
      <c r="F2554" s="173" t="s">
        <v>16</v>
      </c>
      <c r="G2554" s="87" t="b">
        <v>1</v>
      </c>
      <c r="H2554" s="87" t="b">
        <v>0</v>
      </c>
      <c r="I2554" s="87" t="b">
        <v>0</v>
      </c>
      <c r="J2554" s="173" t="s">
        <v>460</v>
      </c>
      <c r="K2554" s="174">
        <v>12361267000517</v>
      </c>
      <c r="L2554" s="173" t="s">
        <v>849</v>
      </c>
      <c r="M2554" s="173" t="s">
        <v>84</v>
      </c>
      <c r="N2554" s="173" t="s">
        <v>85</v>
      </c>
      <c r="O2554" s="87">
        <v>64</v>
      </c>
      <c r="P2554" s="173" t="s">
        <v>25</v>
      </c>
      <c r="Q2554" s="1" t="s">
        <v>1344</v>
      </c>
      <c r="R2554" s="175">
        <v>2</v>
      </c>
      <c r="S2554">
        <v>2</v>
      </c>
    </row>
    <row r="2555" spans="1:19" x14ac:dyDescent="0.25">
      <c r="A2555" s="87">
        <v>2019</v>
      </c>
      <c r="B2555" s="87">
        <v>11</v>
      </c>
      <c r="C2555" s="173" t="s">
        <v>16</v>
      </c>
      <c r="D2555" s="173" t="s">
        <v>229</v>
      </c>
      <c r="E2555" s="173" t="s">
        <v>24</v>
      </c>
      <c r="F2555" s="173" t="s">
        <v>16</v>
      </c>
      <c r="G2555" s="87" t="b">
        <v>1</v>
      </c>
      <c r="H2555" s="87" t="b">
        <v>0</v>
      </c>
      <c r="I2555" s="87" t="b">
        <v>0</v>
      </c>
      <c r="J2555" s="173" t="s">
        <v>460</v>
      </c>
      <c r="K2555" s="174">
        <v>12361267000517</v>
      </c>
      <c r="L2555" s="173" t="s">
        <v>849</v>
      </c>
      <c r="M2555" s="173" t="s">
        <v>84</v>
      </c>
      <c r="N2555" s="173" t="s">
        <v>85</v>
      </c>
      <c r="O2555" s="87">
        <v>70</v>
      </c>
      <c r="P2555" s="173" t="s">
        <v>20</v>
      </c>
      <c r="Q2555" s="1" t="s">
        <v>1338</v>
      </c>
      <c r="R2555" s="175">
        <v>30</v>
      </c>
      <c r="S2555">
        <v>6</v>
      </c>
    </row>
    <row r="2556" spans="1:19" x14ac:dyDescent="0.25">
      <c r="A2556" s="87">
        <v>2019</v>
      </c>
      <c r="B2556" s="87">
        <v>11</v>
      </c>
      <c r="C2556" s="173" t="s">
        <v>16</v>
      </c>
      <c r="D2556" s="173" t="s">
        <v>229</v>
      </c>
      <c r="E2556" s="173" t="s">
        <v>24</v>
      </c>
      <c r="F2556" s="173" t="s">
        <v>16</v>
      </c>
      <c r="G2556" s="87" t="b">
        <v>1</v>
      </c>
      <c r="H2556" s="87" t="b">
        <v>0</v>
      </c>
      <c r="I2556" s="87" t="b">
        <v>0</v>
      </c>
      <c r="J2556" s="173" t="s">
        <v>460</v>
      </c>
      <c r="K2556" s="174">
        <v>12361267000789</v>
      </c>
      <c r="L2556" s="173" t="s">
        <v>850</v>
      </c>
      <c r="M2556" s="173" t="s">
        <v>777</v>
      </c>
      <c r="N2556" s="173" t="s">
        <v>72</v>
      </c>
      <c r="O2556" s="87">
        <v>62</v>
      </c>
      <c r="P2556" s="173" t="s">
        <v>27</v>
      </c>
      <c r="Q2556" s="1" t="s">
        <v>1343</v>
      </c>
      <c r="R2556" s="175">
        <v>2</v>
      </c>
      <c r="S2556">
        <v>2</v>
      </c>
    </row>
    <row r="2557" spans="1:19" x14ac:dyDescent="0.25">
      <c r="A2557" s="87">
        <v>2019</v>
      </c>
      <c r="B2557" s="87">
        <v>11</v>
      </c>
      <c r="C2557" s="173" t="s">
        <v>16</v>
      </c>
      <c r="D2557" s="173" t="s">
        <v>229</v>
      </c>
      <c r="E2557" s="173" t="s">
        <v>24</v>
      </c>
      <c r="F2557" s="173" t="s">
        <v>16</v>
      </c>
      <c r="G2557" s="87" t="b">
        <v>1</v>
      </c>
      <c r="H2557" s="87" t="b">
        <v>0</v>
      </c>
      <c r="I2557" s="87" t="b">
        <v>0</v>
      </c>
      <c r="J2557" s="173" t="s">
        <v>460</v>
      </c>
      <c r="K2557" s="174">
        <v>12361267000789</v>
      </c>
      <c r="L2557" s="173" t="s">
        <v>850</v>
      </c>
      <c r="M2557" s="173" t="s">
        <v>777</v>
      </c>
      <c r="N2557" s="173" t="s">
        <v>72</v>
      </c>
      <c r="O2557" s="87">
        <v>64</v>
      </c>
      <c r="P2557" s="173" t="s">
        <v>25</v>
      </c>
      <c r="Q2557" s="1" t="s">
        <v>1344</v>
      </c>
      <c r="R2557" s="175">
        <v>-2</v>
      </c>
      <c r="S2557">
        <v>-2</v>
      </c>
    </row>
    <row r="2558" spans="1:19" x14ac:dyDescent="0.25">
      <c r="A2558" s="87">
        <v>2019</v>
      </c>
      <c r="B2558" s="87">
        <v>11</v>
      </c>
      <c r="C2558" s="173" t="s">
        <v>16</v>
      </c>
      <c r="D2558" s="173" t="s">
        <v>229</v>
      </c>
      <c r="E2558" s="173" t="s">
        <v>24</v>
      </c>
      <c r="F2558" s="173" t="s">
        <v>16</v>
      </c>
      <c r="G2558" s="87" t="b">
        <v>1</v>
      </c>
      <c r="H2558" s="87" t="b">
        <v>0</v>
      </c>
      <c r="I2558" s="87" t="b">
        <v>0</v>
      </c>
      <c r="J2558" s="173" t="s">
        <v>460</v>
      </c>
      <c r="K2558" s="174">
        <v>12361267000789</v>
      </c>
      <c r="L2558" s="173" t="s">
        <v>850</v>
      </c>
      <c r="M2558" s="173" t="s">
        <v>777</v>
      </c>
      <c r="N2558" s="173" t="s">
        <v>72</v>
      </c>
      <c r="O2558" s="87">
        <v>70</v>
      </c>
      <c r="P2558" s="173" t="s">
        <v>20</v>
      </c>
      <c r="Q2558" s="1" t="s">
        <v>1338</v>
      </c>
      <c r="R2558" s="175">
        <v>20</v>
      </c>
      <c r="S2558">
        <v>4</v>
      </c>
    </row>
    <row r="2559" spans="1:19" x14ac:dyDescent="0.25">
      <c r="A2559" s="87">
        <v>2019</v>
      </c>
      <c r="B2559" s="87">
        <v>11</v>
      </c>
      <c r="C2559" s="173" t="s">
        <v>16</v>
      </c>
      <c r="D2559" s="173" t="s">
        <v>229</v>
      </c>
      <c r="E2559" s="173" t="s">
        <v>24</v>
      </c>
      <c r="F2559" s="173" t="s">
        <v>16</v>
      </c>
      <c r="G2559" s="87" t="b">
        <v>1</v>
      </c>
      <c r="H2559" s="87" t="b">
        <v>0</v>
      </c>
      <c r="I2559" s="87" t="b">
        <v>0</v>
      </c>
      <c r="J2559" s="173" t="s">
        <v>460</v>
      </c>
      <c r="K2559" s="174">
        <v>12361267003370</v>
      </c>
      <c r="L2559" s="173" t="s">
        <v>1298</v>
      </c>
      <c r="M2559" s="173" t="s">
        <v>1129</v>
      </c>
      <c r="N2559" s="173" t="s">
        <v>52</v>
      </c>
      <c r="O2559" s="87">
        <v>62</v>
      </c>
      <c r="P2559" s="173" t="s">
        <v>27</v>
      </c>
      <c r="Q2559" s="1" t="s">
        <v>1343</v>
      </c>
      <c r="R2559" s="175">
        <v>4</v>
      </c>
      <c r="S2559">
        <v>4</v>
      </c>
    </row>
    <row r="2560" spans="1:19" x14ac:dyDescent="0.25">
      <c r="A2560" s="87">
        <v>2019</v>
      </c>
      <c r="B2560" s="87">
        <v>11</v>
      </c>
      <c r="C2560" s="173" t="s">
        <v>16</v>
      </c>
      <c r="D2560" s="173" t="s">
        <v>229</v>
      </c>
      <c r="E2560" s="173" t="s">
        <v>24</v>
      </c>
      <c r="F2560" s="173" t="s">
        <v>16</v>
      </c>
      <c r="G2560" s="87" t="b">
        <v>1</v>
      </c>
      <c r="H2560" s="87" t="b">
        <v>0</v>
      </c>
      <c r="I2560" s="87" t="b">
        <v>0</v>
      </c>
      <c r="J2560" s="173" t="s">
        <v>460</v>
      </c>
      <c r="K2560" s="174">
        <v>12361267003370</v>
      </c>
      <c r="L2560" s="173" t="s">
        <v>1298</v>
      </c>
      <c r="M2560" s="173" t="s">
        <v>1129</v>
      </c>
      <c r="N2560" s="173" t="s">
        <v>52</v>
      </c>
      <c r="O2560" s="87">
        <v>70</v>
      </c>
      <c r="P2560" s="173" t="s">
        <v>20</v>
      </c>
      <c r="Q2560" s="1" t="s">
        <v>1338</v>
      </c>
      <c r="R2560" s="175">
        <v>305</v>
      </c>
      <c r="S2560">
        <v>61</v>
      </c>
    </row>
    <row r="2561" spans="1:19" x14ac:dyDescent="0.25">
      <c r="A2561" s="87">
        <v>2019</v>
      </c>
      <c r="B2561" s="87">
        <v>11</v>
      </c>
      <c r="C2561" s="173" t="s">
        <v>16</v>
      </c>
      <c r="D2561" s="173" t="s">
        <v>229</v>
      </c>
      <c r="E2561" s="173" t="s">
        <v>24</v>
      </c>
      <c r="F2561" s="173" t="s">
        <v>16</v>
      </c>
      <c r="G2561" s="87" t="b">
        <v>1</v>
      </c>
      <c r="H2561" s="87" t="b">
        <v>0</v>
      </c>
      <c r="I2561" s="87" t="b">
        <v>0</v>
      </c>
      <c r="J2561" s="173" t="s">
        <v>460</v>
      </c>
      <c r="K2561" s="174">
        <v>12361267005748</v>
      </c>
      <c r="L2561" s="173" t="s">
        <v>1299</v>
      </c>
      <c r="M2561" s="173" t="s">
        <v>794</v>
      </c>
      <c r="N2561" s="173" t="s">
        <v>71</v>
      </c>
      <c r="O2561" s="87">
        <v>62</v>
      </c>
      <c r="P2561" s="173" t="s">
        <v>27</v>
      </c>
      <c r="Q2561" s="1" t="s">
        <v>1343</v>
      </c>
      <c r="R2561" s="175">
        <v>4</v>
      </c>
      <c r="S2561">
        <v>4</v>
      </c>
    </row>
    <row r="2562" spans="1:19" x14ac:dyDescent="0.25">
      <c r="A2562" s="87">
        <v>2019</v>
      </c>
      <c r="B2562" s="87">
        <v>11</v>
      </c>
      <c r="C2562" s="173" t="s">
        <v>16</v>
      </c>
      <c r="D2562" s="173" t="s">
        <v>229</v>
      </c>
      <c r="E2562" s="173" t="s">
        <v>24</v>
      </c>
      <c r="F2562" s="173" t="s">
        <v>16</v>
      </c>
      <c r="G2562" s="87" t="b">
        <v>1</v>
      </c>
      <c r="H2562" s="87" t="b">
        <v>0</v>
      </c>
      <c r="I2562" s="87" t="b">
        <v>0</v>
      </c>
      <c r="J2562" s="173" t="s">
        <v>460</v>
      </c>
      <c r="K2562" s="174">
        <v>12361267008410</v>
      </c>
      <c r="L2562" s="173" t="s">
        <v>854</v>
      </c>
      <c r="M2562" s="173" t="s">
        <v>855</v>
      </c>
      <c r="N2562" s="173" t="s">
        <v>77</v>
      </c>
      <c r="O2562" s="87">
        <v>62</v>
      </c>
      <c r="P2562" s="173" t="s">
        <v>27</v>
      </c>
      <c r="Q2562" s="1" t="s">
        <v>1343</v>
      </c>
      <c r="R2562" s="175">
        <v>2</v>
      </c>
      <c r="S2562">
        <v>2</v>
      </c>
    </row>
    <row r="2563" spans="1:19" x14ac:dyDescent="0.25">
      <c r="A2563" s="87">
        <v>2019</v>
      </c>
      <c r="B2563" s="87">
        <v>11</v>
      </c>
      <c r="C2563" s="173" t="s">
        <v>16</v>
      </c>
      <c r="D2563" s="173" t="s">
        <v>229</v>
      </c>
      <c r="E2563" s="173" t="s">
        <v>24</v>
      </c>
      <c r="F2563" s="173" t="s">
        <v>16</v>
      </c>
      <c r="G2563" s="87" t="b">
        <v>1</v>
      </c>
      <c r="H2563" s="87" t="b">
        <v>0</v>
      </c>
      <c r="I2563" s="87" t="b">
        <v>0</v>
      </c>
      <c r="J2563" s="173" t="s">
        <v>460</v>
      </c>
      <c r="K2563" s="174">
        <v>12361267010407</v>
      </c>
      <c r="L2563" s="173" t="s">
        <v>862</v>
      </c>
      <c r="M2563" s="173" t="s">
        <v>86</v>
      </c>
      <c r="N2563" s="173" t="s">
        <v>74</v>
      </c>
      <c r="O2563" s="87">
        <v>62</v>
      </c>
      <c r="P2563" s="173" t="s">
        <v>27</v>
      </c>
      <c r="Q2563" s="1" t="s">
        <v>1343</v>
      </c>
      <c r="R2563" s="175">
        <v>2</v>
      </c>
      <c r="S2563">
        <v>2</v>
      </c>
    </row>
    <row r="2564" spans="1:19" x14ac:dyDescent="0.25">
      <c r="A2564" s="87">
        <v>2019</v>
      </c>
      <c r="B2564" s="87">
        <v>11</v>
      </c>
      <c r="C2564" s="173" t="s">
        <v>16</v>
      </c>
      <c r="D2564" s="173" t="s">
        <v>229</v>
      </c>
      <c r="E2564" s="173" t="s">
        <v>24</v>
      </c>
      <c r="F2564" s="173" t="s">
        <v>16</v>
      </c>
      <c r="G2564" s="87" t="b">
        <v>1</v>
      </c>
      <c r="H2564" s="87" t="b">
        <v>0</v>
      </c>
      <c r="I2564" s="87" t="b">
        <v>0</v>
      </c>
      <c r="J2564" s="173" t="s">
        <v>460</v>
      </c>
      <c r="K2564" s="174">
        <v>12361267011802</v>
      </c>
      <c r="L2564" s="173" t="s">
        <v>863</v>
      </c>
      <c r="M2564" s="173" t="s">
        <v>76</v>
      </c>
      <c r="N2564" s="173" t="s">
        <v>77</v>
      </c>
      <c r="O2564" s="87">
        <v>62</v>
      </c>
      <c r="P2564" s="173" t="s">
        <v>27</v>
      </c>
      <c r="Q2564" s="1" t="s">
        <v>1343</v>
      </c>
      <c r="R2564" s="175">
        <v>2</v>
      </c>
      <c r="S2564">
        <v>2</v>
      </c>
    </row>
    <row r="2565" spans="1:19" x14ac:dyDescent="0.25">
      <c r="A2565" s="87">
        <v>2019</v>
      </c>
      <c r="B2565" s="87">
        <v>11</v>
      </c>
      <c r="C2565" s="173" t="s">
        <v>16</v>
      </c>
      <c r="D2565" s="173" t="s">
        <v>229</v>
      </c>
      <c r="E2565" s="173" t="s">
        <v>24</v>
      </c>
      <c r="F2565" s="173" t="s">
        <v>16</v>
      </c>
      <c r="G2565" s="87" t="b">
        <v>1</v>
      </c>
      <c r="H2565" s="87" t="b">
        <v>0</v>
      </c>
      <c r="I2565" s="87" t="b">
        <v>0</v>
      </c>
      <c r="J2565" s="173" t="s">
        <v>470</v>
      </c>
      <c r="K2565" s="174">
        <v>12361267011802</v>
      </c>
      <c r="L2565" s="173" t="s">
        <v>863</v>
      </c>
      <c r="M2565" s="173" t="s">
        <v>76</v>
      </c>
      <c r="N2565" s="173" t="s">
        <v>77</v>
      </c>
      <c r="O2565" s="87">
        <v>64</v>
      </c>
      <c r="P2565" s="173" t="s">
        <v>25</v>
      </c>
      <c r="Q2565" s="1" t="s">
        <v>1344</v>
      </c>
      <c r="R2565" s="175">
        <v>3</v>
      </c>
      <c r="S2565">
        <v>3</v>
      </c>
    </row>
    <row r="2566" spans="1:19" x14ac:dyDescent="0.25">
      <c r="A2566" s="87">
        <v>2019</v>
      </c>
      <c r="B2566" s="87">
        <v>11</v>
      </c>
      <c r="C2566" s="173" t="s">
        <v>16</v>
      </c>
      <c r="D2566" s="173" t="s">
        <v>229</v>
      </c>
      <c r="E2566" s="173" t="s">
        <v>24</v>
      </c>
      <c r="F2566" s="173" t="s">
        <v>16</v>
      </c>
      <c r="G2566" s="87" t="b">
        <v>1</v>
      </c>
      <c r="H2566" s="87" t="b">
        <v>0</v>
      </c>
      <c r="I2566" s="87" t="b">
        <v>0</v>
      </c>
      <c r="J2566" s="173" t="s">
        <v>460</v>
      </c>
      <c r="K2566" s="174">
        <v>12361267014739</v>
      </c>
      <c r="L2566" s="173" t="s">
        <v>864</v>
      </c>
      <c r="M2566" s="173" t="s">
        <v>75</v>
      </c>
      <c r="N2566" s="173" t="s">
        <v>74</v>
      </c>
      <c r="O2566" s="87">
        <v>62</v>
      </c>
      <c r="P2566" s="173" t="s">
        <v>27</v>
      </c>
      <c r="Q2566" s="1" t="s">
        <v>1343</v>
      </c>
      <c r="R2566" s="175">
        <v>3</v>
      </c>
      <c r="S2566">
        <v>3</v>
      </c>
    </row>
    <row r="2567" spans="1:19" x14ac:dyDescent="0.25">
      <c r="A2567" s="87">
        <v>2019</v>
      </c>
      <c r="B2567" s="87">
        <v>11</v>
      </c>
      <c r="C2567" s="173" t="s">
        <v>16</v>
      </c>
      <c r="D2567" s="173" t="s">
        <v>229</v>
      </c>
      <c r="E2567" s="173" t="s">
        <v>24</v>
      </c>
      <c r="F2567" s="173" t="s">
        <v>16</v>
      </c>
      <c r="G2567" s="87" t="b">
        <v>1</v>
      </c>
      <c r="H2567" s="87" t="b">
        <v>0</v>
      </c>
      <c r="I2567" s="87" t="b">
        <v>0</v>
      </c>
      <c r="J2567" s="173" t="s">
        <v>470</v>
      </c>
      <c r="K2567" s="174">
        <v>12361267014739</v>
      </c>
      <c r="L2567" s="173" t="s">
        <v>864</v>
      </c>
      <c r="M2567" s="173" t="s">
        <v>75</v>
      </c>
      <c r="N2567" s="173" t="s">
        <v>74</v>
      </c>
      <c r="O2567" s="87">
        <v>62</v>
      </c>
      <c r="P2567" s="173" t="s">
        <v>27</v>
      </c>
      <c r="Q2567" s="1" t="s">
        <v>1343</v>
      </c>
      <c r="R2567" s="175">
        <v>7</v>
      </c>
      <c r="S2567">
        <v>7</v>
      </c>
    </row>
    <row r="2568" spans="1:19" x14ac:dyDescent="0.25">
      <c r="A2568" s="87">
        <v>2019</v>
      </c>
      <c r="B2568" s="87">
        <v>11</v>
      </c>
      <c r="C2568" s="173" t="s">
        <v>16</v>
      </c>
      <c r="D2568" s="173" t="s">
        <v>229</v>
      </c>
      <c r="E2568" s="173" t="s">
        <v>24</v>
      </c>
      <c r="F2568" s="173" t="s">
        <v>16</v>
      </c>
      <c r="G2568" s="87" t="b">
        <v>1</v>
      </c>
      <c r="H2568" s="87" t="b">
        <v>0</v>
      </c>
      <c r="I2568" s="87" t="b">
        <v>0</v>
      </c>
      <c r="J2568" s="173" t="s">
        <v>460</v>
      </c>
      <c r="K2568" s="174">
        <v>12361267014739</v>
      </c>
      <c r="L2568" s="173" t="s">
        <v>864</v>
      </c>
      <c r="M2568" s="173" t="s">
        <v>75</v>
      </c>
      <c r="N2568" s="173" t="s">
        <v>74</v>
      </c>
      <c r="O2568" s="87">
        <v>70</v>
      </c>
      <c r="P2568" s="173" t="s">
        <v>20</v>
      </c>
      <c r="Q2568" s="1" t="s">
        <v>1338</v>
      </c>
      <c r="R2568" s="175">
        <v>220</v>
      </c>
      <c r="S2568">
        <v>44</v>
      </c>
    </row>
    <row r="2569" spans="1:19" x14ac:dyDescent="0.25">
      <c r="A2569" s="87">
        <v>2019</v>
      </c>
      <c r="B2569" s="87">
        <v>11</v>
      </c>
      <c r="C2569" s="173" t="s">
        <v>16</v>
      </c>
      <c r="D2569" s="173" t="s">
        <v>229</v>
      </c>
      <c r="E2569" s="173" t="s">
        <v>24</v>
      </c>
      <c r="F2569" s="173" t="s">
        <v>16</v>
      </c>
      <c r="G2569" s="87" t="b">
        <v>1</v>
      </c>
      <c r="H2569" s="87" t="b">
        <v>0</v>
      </c>
      <c r="I2569" s="87" t="b">
        <v>0</v>
      </c>
      <c r="J2569" s="173" t="s">
        <v>478</v>
      </c>
      <c r="K2569" s="174">
        <v>12442737000496</v>
      </c>
      <c r="L2569" s="173" t="s">
        <v>865</v>
      </c>
      <c r="M2569" s="173" t="s">
        <v>742</v>
      </c>
      <c r="N2569" s="173" t="s">
        <v>91</v>
      </c>
      <c r="O2569" s="87">
        <v>70</v>
      </c>
      <c r="P2569" s="173" t="s">
        <v>20</v>
      </c>
      <c r="Q2569" s="1" t="s">
        <v>1338</v>
      </c>
      <c r="R2569" s="175">
        <v>35</v>
      </c>
      <c r="S2569">
        <v>7</v>
      </c>
    </row>
    <row r="2570" spans="1:19" x14ac:dyDescent="0.25">
      <c r="A2570" s="87">
        <v>2019</v>
      </c>
      <c r="B2570" s="87">
        <v>11</v>
      </c>
      <c r="C2570" s="173" t="s">
        <v>16</v>
      </c>
      <c r="D2570" s="173" t="s">
        <v>229</v>
      </c>
      <c r="E2570" s="173" t="s">
        <v>24</v>
      </c>
      <c r="F2570" s="173" t="s">
        <v>16</v>
      </c>
      <c r="G2570" s="87" t="b">
        <v>1</v>
      </c>
      <c r="H2570" s="87" t="b">
        <v>0</v>
      </c>
      <c r="I2570" s="87" t="b">
        <v>0</v>
      </c>
      <c r="J2570" s="173" t="s">
        <v>470</v>
      </c>
      <c r="K2570" s="174">
        <v>12442737000496</v>
      </c>
      <c r="L2570" s="173" t="s">
        <v>865</v>
      </c>
      <c r="M2570" s="173" t="s">
        <v>742</v>
      </c>
      <c r="N2570" s="173" t="s">
        <v>91</v>
      </c>
      <c r="O2570" s="87">
        <v>70</v>
      </c>
      <c r="P2570" s="173" t="s">
        <v>20</v>
      </c>
      <c r="Q2570" s="1" t="s">
        <v>1338</v>
      </c>
      <c r="R2570" s="175">
        <v>665</v>
      </c>
      <c r="S2570">
        <v>133</v>
      </c>
    </row>
    <row r="2571" spans="1:19" x14ac:dyDescent="0.25">
      <c r="A2571" s="87">
        <v>2019</v>
      </c>
      <c r="B2571" s="87">
        <v>11</v>
      </c>
      <c r="C2571" s="173" t="s">
        <v>16</v>
      </c>
      <c r="D2571" s="173" t="s">
        <v>229</v>
      </c>
      <c r="E2571" s="173" t="s">
        <v>24</v>
      </c>
      <c r="F2571" s="173" t="s">
        <v>16</v>
      </c>
      <c r="G2571" s="87" t="b">
        <v>1</v>
      </c>
      <c r="H2571" s="87" t="b">
        <v>0</v>
      </c>
      <c r="I2571" s="87" t="b">
        <v>0</v>
      </c>
      <c r="J2571" s="173" t="s">
        <v>455</v>
      </c>
      <c r="K2571" s="174">
        <v>12442737000496</v>
      </c>
      <c r="L2571" s="173" t="s">
        <v>865</v>
      </c>
      <c r="M2571" s="173" t="s">
        <v>742</v>
      </c>
      <c r="N2571" s="173" t="s">
        <v>91</v>
      </c>
      <c r="O2571" s="87">
        <v>70</v>
      </c>
      <c r="P2571" s="173" t="s">
        <v>20</v>
      </c>
      <c r="Q2571" s="1" t="s">
        <v>1338</v>
      </c>
      <c r="R2571" s="175">
        <v>185</v>
      </c>
      <c r="S2571">
        <v>37</v>
      </c>
    </row>
    <row r="2572" spans="1:19" x14ac:dyDescent="0.25">
      <c r="A2572" s="87">
        <v>2019</v>
      </c>
      <c r="B2572" s="87">
        <v>11</v>
      </c>
      <c r="C2572" s="173" t="s">
        <v>16</v>
      </c>
      <c r="D2572" s="173" t="s">
        <v>229</v>
      </c>
      <c r="E2572" s="173" t="s">
        <v>24</v>
      </c>
      <c r="F2572" s="173" t="s">
        <v>16</v>
      </c>
      <c r="G2572" s="87" t="b">
        <v>1</v>
      </c>
      <c r="H2572" s="87" t="b">
        <v>0</v>
      </c>
      <c r="I2572" s="87" t="b">
        <v>0</v>
      </c>
      <c r="J2572" s="173" t="s">
        <v>491</v>
      </c>
      <c r="K2572" s="174">
        <v>12442737000496</v>
      </c>
      <c r="L2572" s="173" t="s">
        <v>865</v>
      </c>
      <c r="M2572" s="173" t="s">
        <v>742</v>
      </c>
      <c r="N2572" s="173" t="s">
        <v>91</v>
      </c>
      <c r="O2572" s="87">
        <v>70</v>
      </c>
      <c r="P2572" s="173" t="s">
        <v>20</v>
      </c>
      <c r="Q2572" s="1" t="s">
        <v>1338</v>
      </c>
      <c r="R2572" s="175">
        <v>200</v>
      </c>
      <c r="S2572">
        <v>40</v>
      </c>
    </row>
    <row r="2573" spans="1:19" x14ac:dyDescent="0.25">
      <c r="A2573" s="87">
        <v>2019</v>
      </c>
      <c r="B2573" s="87">
        <v>11</v>
      </c>
      <c r="C2573" s="173" t="s">
        <v>16</v>
      </c>
      <c r="D2573" s="173" t="s">
        <v>229</v>
      </c>
      <c r="E2573" s="173" t="s">
        <v>24</v>
      </c>
      <c r="F2573" s="173" t="s">
        <v>16</v>
      </c>
      <c r="G2573" s="87" t="b">
        <v>1</v>
      </c>
      <c r="H2573" s="87" t="b">
        <v>0</v>
      </c>
      <c r="I2573" s="87" t="b">
        <v>0</v>
      </c>
      <c r="J2573" s="173" t="s">
        <v>470</v>
      </c>
      <c r="K2573" s="174">
        <v>12508728000108</v>
      </c>
      <c r="L2573" s="173" t="s">
        <v>965</v>
      </c>
      <c r="M2573" s="173" t="s">
        <v>87</v>
      </c>
      <c r="N2573" s="173" t="s">
        <v>67</v>
      </c>
      <c r="O2573" s="87">
        <v>70</v>
      </c>
      <c r="P2573" s="173" t="s">
        <v>20</v>
      </c>
      <c r="Q2573" s="1" t="s">
        <v>1338</v>
      </c>
      <c r="R2573" s="175">
        <v>20</v>
      </c>
      <c r="S2573">
        <v>4</v>
      </c>
    </row>
    <row r="2574" spans="1:19" x14ac:dyDescent="0.25">
      <c r="A2574" s="87">
        <v>2019</v>
      </c>
      <c r="B2574" s="87">
        <v>11</v>
      </c>
      <c r="C2574" s="173" t="s">
        <v>16</v>
      </c>
      <c r="D2574" s="173" t="s">
        <v>229</v>
      </c>
      <c r="E2574" s="173" t="s">
        <v>24</v>
      </c>
      <c r="F2574" s="173" t="s">
        <v>16</v>
      </c>
      <c r="G2574" s="87" t="b">
        <v>1</v>
      </c>
      <c r="H2574" s="87" t="b">
        <v>0</v>
      </c>
      <c r="I2574" s="87" t="b">
        <v>0</v>
      </c>
      <c r="J2574" s="173" t="s">
        <v>460</v>
      </c>
      <c r="K2574" s="174">
        <v>12568570000161</v>
      </c>
      <c r="L2574" s="173" t="s">
        <v>866</v>
      </c>
      <c r="M2574" s="173" t="s">
        <v>76</v>
      </c>
      <c r="N2574" s="173" t="s">
        <v>77</v>
      </c>
      <c r="O2574" s="87">
        <v>70</v>
      </c>
      <c r="P2574" s="173" t="s">
        <v>20</v>
      </c>
      <c r="Q2574" s="1" t="s">
        <v>1338</v>
      </c>
      <c r="R2574" s="175">
        <v>5</v>
      </c>
      <c r="S2574">
        <v>1</v>
      </c>
    </row>
    <row r="2575" spans="1:19" x14ac:dyDescent="0.25">
      <c r="A2575" s="87">
        <v>2019</v>
      </c>
      <c r="B2575" s="87">
        <v>11</v>
      </c>
      <c r="C2575" s="173" t="s">
        <v>16</v>
      </c>
      <c r="D2575" s="173" t="s">
        <v>229</v>
      </c>
      <c r="E2575" s="173" t="s">
        <v>24</v>
      </c>
      <c r="F2575" s="173" t="s">
        <v>16</v>
      </c>
      <c r="G2575" s="87" t="b">
        <v>1</v>
      </c>
      <c r="H2575" s="87" t="b">
        <v>0</v>
      </c>
      <c r="I2575" s="87" t="b">
        <v>0</v>
      </c>
      <c r="J2575" s="173" t="s">
        <v>472</v>
      </c>
      <c r="K2575" s="174">
        <v>13016332000106</v>
      </c>
      <c r="L2575" s="173" t="s">
        <v>868</v>
      </c>
      <c r="M2575" s="173" t="s">
        <v>84</v>
      </c>
      <c r="N2575" s="173" t="s">
        <v>85</v>
      </c>
      <c r="O2575" s="87">
        <v>62</v>
      </c>
      <c r="P2575" s="173" t="s">
        <v>27</v>
      </c>
      <c r="Q2575" s="1" t="s">
        <v>1343</v>
      </c>
      <c r="R2575" s="175">
        <v>4</v>
      </c>
      <c r="S2575">
        <v>4</v>
      </c>
    </row>
    <row r="2576" spans="1:19" x14ac:dyDescent="0.25">
      <c r="A2576" s="87">
        <v>2019</v>
      </c>
      <c r="B2576" s="87">
        <v>11</v>
      </c>
      <c r="C2576" s="173" t="s">
        <v>16</v>
      </c>
      <c r="D2576" s="173" t="s">
        <v>229</v>
      </c>
      <c r="E2576" s="173" t="s">
        <v>24</v>
      </c>
      <c r="F2576" s="173" t="s">
        <v>16</v>
      </c>
      <c r="G2576" s="87" t="b">
        <v>1</v>
      </c>
      <c r="H2576" s="87" t="b">
        <v>0</v>
      </c>
      <c r="I2576" s="87" t="b">
        <v>0</v>
      </c>
      <c r="J2576" s="173" t="s">
        <v>472</v>
      </c>
      <c r="K2576" s="174">
        <v>13131370000100</v>
      </c>
      <c r="L2576" s="173" t="s">
        <v>870</v>
      </c>
      <c r="M2576" s="173" t="s">
        <v>84</v>
      </c>
      <c r="N2576" s="173" t="s">
        <v>85</v>
      </c>
      <c r="O2576" s="87">
        <v>64</v>
      </c>
      <c r="P2576" s="173" t="s">
        <v>25</v>
      </c>
      <c r="Q2576" s="1" t="s">
        <v>1344</v>
      </c>
      <c r="R2576" s="175">
        <v>4</v>
      </c>
      <c r="S2576">
        <v>4</v>
      </c>
    </row>
    <row r="2577" spans="1:19" x14ac:dyDescent="0.25">
      <c r="A2577" s="87">
        <v>2019</v>
      </c>
      <c r="B2577" s="87">
        <v>11</v>
      </c>
      <c r="C2577" s="173" t="s">
        <v>16</v>
      </c>
      <c r="D2577" s="173" t="s">
        <v>229</v>
      </c>
      <c r="E2577" s="173" t="s">
        <v>24</v>
      </c>
      <c r="F2577" s="173" t="s">
        <v>16</v>
      </c>
      <c r="G2577" s="87" t="b">
        <v>1</v>
      </c>
      <c r="H2577" s="87" t="b">
        <v>0</v>
      </c>
      <c r="I2577" s="87" t="b">
        <v>0</v>
      </c>
      <c r="J2577" s="173" t="s">
        <v>491</v>
      </c>
      <c r="K2577" s="174">
        <v>13131370000100</v>
      </c>
      <c r="L2577" s="173" t="s">
        <v>870</v>
      </c>
      <c r="M2577" s="173" t="s">
        <v>84</v>
      </c>
      <c r="N2577" s="173" t="s">
        <v>85</v>
      </c>
      <c r="O2577" s="87">
        <v>70</v>
      </c>
      <c r="P2577" s="173" t="s">
        <v>20</v>
      </c>
      <c r="Q2577" s="1" t="s">
        <v>1338</v>
      </c>
      <c r="R2577" s="175">
        <v>200</v>
      </c>
      <c r="S2577">
        <v>40</v>
      </c>
    </row>
    <row r="2578" spans="1:19" x14ac:dyDescent="0.25">
      <c r="A2578" s="87">
        <v>2019</v>
      </c>
      <c r="B2578" s="87">
        <v>11</v>
      </c>
      <c r="C2578" s="173" t="s">
        <v>16</v>
      </c>
      <c r="D2578" s="173" t="s">
        <v>229</v>
      </c>
      <c r="E2578" s="173" t="s">
        <v>24</v>
      </c>
      <c r="F2578" s="173" t="s">
        <v>16</v>
      </c>
      <c r="G2578" s="87" t="b">
        <v>1</v>
      </c>
      <c r="H2578" s="87" t="b">
        <v>0</v>
      </c>
      <c r="I2578" s="87" t="b">
        <v>0</v>
      </c>
      <c r="J2578" s="173" t="s">
        <v>472</v>
      </c>
      <c r="K2578" s="174">
        <v>13131370000100</v>
      </c>
      <c r="L2578" s="173" t="s">
        <v>870</v>
      </c>
      <c r="M2578" s="173" t="s">
        <v>84</v>
      </c>
      <c r="N2578" s="173" t="s">
        <v>85</v>
      </c>
      <c r="O2578" s="87">
        <v>73</v>
      </c>
      <c r="P2578" s="173" t="s">
        <v>26</v>
      </c>
      <c r="Q2578" s="1" t="s">
        <v>1342</v>
      </c>
      <c r="R2578" s="175">
        <v>36</v>
      </c>
      <c r="S2578">
        <v>9</v>
      </c>
    </row>
    <row r="2579" spans="1:19" x14ac:dyDescent="0.25">
      <c r="A2579" s="87">
        <v>2019</v>
      </c>
      <c r="B2579" s="87">
        <v>11</v>
      </c>
      <c r="C2579" s="173" t="s">
        <v>16</v>
      </c>
      <c r="D2579" s="173" t="s">
        <v>229</v>
      </c>
      <c r="E2579" s="173" t="s">
        <v>24</v>
      </c>
      <c r="F2579" s="173" t="s">
        <v>16</v>
      </c>
      <c r="G2579" s="87" t="b">
        <v>1</v>
      </c>
      <c r="H2579" s="87" t="b">
        <v>0</v>
      </c>
      <c r="I2579" s="87" t="b">
        <v>0</v>
      </c>
      <c r="J2579" s="173" t="s">
        <v>472</v>
      </c>
      <c r="K2579" s="174">
        <v>13131370000100</v>
      </c>
      <c r="L2579" s="173" t="s">
        <v>870</v>
      </c>
      <c r="M2579" s="173" t="s">
        <v>84</v>
      </c>
      <c r="N2579" s="173" t="s">
        <v>85</v>
      </c>
      <c r="O2579" s="87">
        <v>73</v>
      </c>
      <c r="P2579" s="173" t="s">
        <v>26</v>
      </c>
      <c r="Q2579" s="1" t="s">
        <v>1340</v>
      </c>
      <c r="R2579" s="175">
        <v>10</v>
      </c>
      <c r="S2579">
        <v>10</v>
      </c>
    </row>
    <row r="2580" spans="1:19" x14ac:dyDescent="0.25">
      <c r="A2580" s="87">
        <v>2019</v>
      </c>
      <c r="B2580" s="87">
        <v>11</v>
      </c>
      <c r="C2580" s="173" t="s">
        <v>16</v>
      </c>
      <c r="D2580" s="173" t="s">
        <v>229</v>
      </c>
      <c r="E2580" s="173" t="s">
        <v>24</v>
      </c>
      <c r="F2580" s="173" t="s">
        <v>16</v>
      </c>
      <c r="G2580" s="87" t="b">
        <v>1</v>
      </c>
      <c r="H2580" s="87" t="b">
        <v>0</v>
      </c>
      <c r="I2580" s="87" t="b">
        <v>0</v>
      </c>
      <c r="J2580" s="173" t="s">
        <v>491</v>
      </c>
      <c r="K2580" s="174">
        <v>13131370000100</v>
      </c>
      <c r="L2580" s="173" t="s">
        <v>870</v>
      </c>
      <c r="M2580" s="173" t="s">
        <v>84</v>
      </c>
      <c r="N2580" s="173" t="s">
        <v>85</v>
      </c>
      <c r="O2580" s="87">
        <v>73</v>
      </c>
      <c r="P2580" s="173" t="s">
        <v>26</v>
      </c>
      <c r="Q2580" s="1" t="s">
        <v>1342</v>
      </c>
      <c r="R2580" s="175">
        <v>20</v>
      </c>
      <c r="S2580">
        <v>5</v>
      </c>
    </row>
    <row r="2581" spans="1:19" x14ac:dyDescent="0.25">
      <c r="A2581" s="87">
        <v>2019</v>
      </c>
      <c r="B2581" s="87">
        <v>11</v>
      </c>
      <c r="C2581" s="173" t="s">
        <v>16</v>
      </c>
      <c r="D2581" s="173" t="s">
        <v>229</v>
      </c>
      <c r="E2581" s="173" t="s">
        <v>24</v>
      </c>
      <c r="F2581" s="173" t="s">
        <v>16</v>
      </c>
      <c r="G2581" s="87" t="b">
        <v>1</v>
      </c>
      <c r="H2581" s="87" t="b">
        <v>0</v>
      </c>
      <c r="I2581" s="87" t="b">
        <v>0</v>
      </c>
      <c r="J2581" s="173" t="s">
        <v>450</v>
      </c>
      <c r="K2581" s="174">
        <v>13718999001041</v>
      </c>
      <c r="L2581" s="173" t="s">
        <v>662</v>
      </c>
      <c r="M2581" s="173" t="s">
        <v>647</v>
      </c>
      <c r="N2581" s="173" t="s">
        <v>19</v>
      </c>
      <c r="O2581" s="87">
        <v>73</v>
      </c>
      <c r="P2581" s="173" t="s">
        <v>26</v>
      </c>
      <c r="Q2581" s="1" t="s">
        <v>1342</v>
      </c>
      <c r="R2581" s="175">
        <v>8</v>
      </c>
      <c r="S2581">
        <v>2</v>
      </c>
    </row>
    <row r="2582" spans="1:19" x14ac:dyDescent="0.25">
      <c r="A2582" s="87">
        <v>2019</v>
      </c>
      <c r="B2582" s="87">
        <v>11</v>
      </c>
      <c r="C2582" s="173" t="s">
        <v>16</v>
      </c>
      <c r="D2582" s="173" t="s">
        <v>229</v>
      </c>
      <c r="E2582" s="173" t="s">
        <v>24</v>
      </c>
      <c r="F2582" s="173" t="s">
        <v>16</v>
      </c>
      <c r="G2582" s="87" t="b">
        <v>1</v>
      </c>
      <c r="H2582" s="87" t="b">
        <v>0</v>
      </c>
      <c r="I2582" s="87" t="b">
        <v>0</v>
      </c>
      <c r="J2582" s="173" t="s">
        <v>478</v>
      </c>
      <c r="K2582" s="174">
        <v>14408631000159</v>
      </c>
      <c r="L2582" s="173" t="s">
        <v>1163</v>
      </c>
      <c r="M2582" s="173" t="s">
        <v>1164</v>
      </c>
      <c r="N2582" s="173" t="s">
        <v>54</v>
      </c>
      <c r="O2582" s="87">
        <v>73</v>
      </c>
      <c r="P2582" s="173" t="s">
        <v>26</v>
      </c>
      <c r="Q2582" s="1" t="s">
        <v>1342</v>
      </c>
      <c r="R2582" s="175">
        <v>4</v>
      </c>
      <c r="S2582">
        <v>1</v>
      </c>
    </row>
    <row r="2583" spans="1:19" x14ac:dyDescent="0.25">
      <c r="A2583" s="87">
        <v>2019</v>
      </c>
      <c r="B2583" s="87">
        <v>11</v>
      </c>
      <c r="C2583" s="173" t="s">
        <v>16</v>
      </c>
      <c r="D2583" s="173" t="s">
        <v>229</v>
      </c>
      <c r="E2583" s="173" t="s">
        <v>24</v>
      </c>
      <c r="F2583" s="173" t="s">
        <v>16</v>
      </c>
      <c r="G2583" s="87" t="b">
        <v>1</v>
      </c>
      <c r="H2583" s="87" t="b">
        <v>0</v>
      </c>
      <c r="I2583" s="87" t="b">
        <v>0</v>
      </c>
      <c r="J2583" s="173" t="s">
        <v>455</v>
      </c>
      <c r="K2583" s="174">
        <v>15016827000160</v>
      </c>
      <c r="L2583" s="173" t="s">
        <v>877</v>
      </c>
      <c r="M2583" s="173" t="s">
        <v>772</v>
      </c>
      <c r="N2583" s="173" t="s">
        <v>69</v>
      </c>
      <c r="O2583" s="87">
        <v>64</v>
      </c>
      <c r="P2583" s="173" t="s">
        <v>25</v>
      </c>
      <c r="Q2583" s="1" t="s">
        <v>1344</v>
      </c>
      <c r="R2583" s="175">
        <v>12</v>
      </c>
      <c r="S2583">
        <v>12</v>
      </c>
    </row>
    <row r="2584" spans="1:19" x14ac:dyDescent="0.25">
      <c r="A2584" s="87">
        <v>2019</v>
      </c>
      <c r="B2584" s="87">
        <v>11</v>
      </c>
      <c r="C2584" s="173" t="s">
        <v>16</v>
      </c>
      <c r="D2584" s="173" t="s">
        <v>229</v>
      </c>
      <c r="E2584" s="173" t="s">
        <v>24</v>
      </c>
      <c r="F2584" s="173" t="s">
        <v>16</v>
      </c>
      <c r="G2584" s="87" t="b">
        <v>1</v>
      </c>
      <c r="H2584" s="87" t="b">
        <v>0</v>
      </c>
      <c r="I2584" s="87" t="b">
        <v>0</v>
      </c>
      <c r="J2584" s="173" t="s">
        <v>1512</v>
      </c>
      <c r="K2584" s="174">
        <v>15016827000160</v>
      </c>
      <c r="L2584" s="173" t="s">
        <v>877</v>
      </c>
      <c r="M2584" s="173" t="s">
        <v>772</v>
      </c>
      <c r="N2584" s="173" t="s">
        <v>69</v>
      </c>
      <c r="O2584" s="87">
        <v>64</v>
      </c>
      <c r="P2584" s="173" t="s">
        <v>25</v>
      </c>
      <c r="Q2584" s="1" t="s">
        <v>1344</v>
      </c>
      <c r="R2584" s="175">
        <v>2</v>
      </c>
      <c r="S2584">
        <v>2</v>
      </c>
    </row>
    <row r="2585" spans="1:19" x14ac:dyDescent="0.25">
      <c r="A2585" s="87">
        <v>2019</v>
      </c>
      <c r="B2585" s="87">
        <v>11</v>
      </c>
      <c r="C2585" s="173" t="s">
        <v>16</v>
      </c>
      <c r="D2585" s="173" t="s">
        <v>229</v>
      </c>
      <c r="E2585" s="173" t="s">
        <v>24</v>
      </c>
      <c r="F2585" s="173" t="s">
        <v>16</v>
      </c>
      <c r="G2585" s="87" t="b">
        <v>1</v>
      </c>
      <c r="H2585" s="87" t="b">
        <v>0</v>
      </c>
      <c r="I2585" s="87" t="b">
        <v>0</v>
      </c>
      <c r="J2585" s="173" t="s">
        <v>456</v>
      </c>
      <c r="K2585" s="174">
        <v>15126437000224</v>
      </c>
      <c r="L2585" s="173" t="s">
        <v>878</v>
      </c>
      <c r="M2585" s="173" t="s">
        <v>81</v>
      </c>
      <c r="N2585" s="173" t="s">
        <v>82</v>
      </c>
      <c r="O2585" s="87">
        <v>64</v>
      </c>
      <c r="P2585" s="173" t="s">
        <v>25</v>
      </c>
      <c r="Q2585" s="1" t="s">
        <v>1344</v>
      </c>
      <c r="R2585" s="175">
        <v>10</v>
      </c>
      <c r="S2585">
        <v>10</v>
      </c>
    </row>
    <row r="2586" spans="1:19" x14ac:dyDescent="0.25">
      <c r="A2586" s="87">
        <v>2019</v>
      </c>
      <c r="B2586" s="87">
        <v>11</v>
      </c>
      <c r="C2586" s="173" t="s">
        <v>16</v>
      </c>
      <c r="D2586" s="173" t="s">
        <v>229</v>
      </c>
      <c r="E2586" s="173" t="s">
        <v>24</v>
      </c>
      <c r="F2586" s="173" t="s">
        <v>16</v>
      </c>
      <c r="G2586" s="87" t="b">
        <v>1</v>
      </c>
      <c r="H2586" s="87" t="b">
        <v>0</v>
      </c>
      <c r="I2586" s="87" t="b">
        <v>0</v>
      </c>
      <c r="J2586" s="173" t="s">
        <v>1330</v>
      </c>
      <c r="K2586" s="174">
        <v>15126437000577</v>
      </c>
      <c r="L2586" s="173" t="s">
        <v>1165</v>
      </c>
      <c r="M2586" s="173" t="s">
        <v>126</v>
      </c>
      <c r="N2586" s="173" t="s">
        <v>54</v>
      </c>
      <c r="O2586" s="87">
        <v>70</v>
      </c>
      <c r="P2586" s="173" t="s">
        <v>20</v>
      </c>
      <c r="Q2586" s="1" t="s">
        <v>1338</v>
      </c>
      <c r="R2586" s="175">
        <v>500</v>
      </c>
      <c r="S2586">
        <v>100</v>
      </c>
    </row>
    <row r="2587" spans="1:19" x14ac:dyDescent="0.25">
      <c r="A2587" s="87">
        <v>2019</v>
      </c>
      <c r="B2587" s="87">
        <v>11</v>
      </c>
      <c r="C2587" s="173" t="s">
        <v>16</v>
      </c>
      <c r="D2587" s="173" t="s">
        <v>229</v>
      </c>
      <c r="E2587" s="173" t="s">
        <v>24</v>
      </c>
      <c r="F2587" s="173" t="s">
        <v>16</v>
      </c>
      <c r="G2587" s="87" t="b">
        <v>1</v>
      </c>
      <c r="H2587" s="87" t="b">
        <v>0</v>
      </c>
      <c r="I2587" s="87" t="b">
        <v>0</v>
      </c>
      <c r="J2587" s="173" t="s">
        <v>1330</v>
      </c>
      <c r="K2587" s="174">
        <v>15126437000739</v>
      </c>
      <c r="L2587" s="173" t="s">
        <v>881</v>
      </c>
      <c r="M2587" s="173" t="s">
        <v>62</v>
      </c>
      <c r="N2587" s="173" t="s">
        <v>63</v>
      </c>
      <c r="O2587" s="87">
        <v>64</v>
      </c>
      <c r="P2587" s="173" t="s">
        <v>25</v>
      </c>
      <c r="Q2587" s="1" t="s">
        <v>1344</v>
      </c>
      <c r="R2587" s="175">
        <v>500</v>
      </c>
      <c r="S2587">
        <v>500</v>
      </c>
    </row>
    <row r="2588" spans="1:19" x14ac:dyDescent="0.25">
      <c r="A2588" s="87">
        <v>2019</v>
      </c>
      <c r="B2588" s="87">
        <v>11</v>
      </c>
      <c r="C2588" s="173" t="s">
        <v>16</v>
      </c>
      <c r="D2588" s="173" t="s">
        <v>229</v>
      </c>
      <c r="E2588" s="173" t="s">
        <v>24</v>
      </c>
      <c r="F2588" s="173" t="s">
        <v>16</v>
      </c>
      <c r="G2588" s="87" t="b">
        <v>1</v>
      </c>
      <c r="H2588" s="87" t="b">
        <v>0</v>
      </c>
      <c r="I2588" s="87" t="b">
        <v>0</v>
      </c>
      <c r="J2588" s="173" t="s">
        <v>1330</v>
      </c>
      <c r="K2588" s="174">
        <v>15126437001468</v>
      </c>
      <c r="L2588" s="173" t="s">
        <v>883</v>
      </c>
      <c r="M2588" s="173" t="s">
        <v>76</v>
      </c>
      <c r="N2588" s="173" t="s">
        <v>77</v>
      </c>
      <c r="O2588" s="87">
        <v>64</v>
      </c>
      <c r="P2588" s="173" t="s">
        <v>25</v>
      </c>
      <c r="Q2588" s="1" t="s">
        <v>1344</v>
      </c>
      <c r="R2588" s="175">
        <v>50</v>
      </c>
      <c r="S2588">
        <v>50</v>
      </c>
    </row>
    <row r="2589" spans="1:19" x14ac:dyDescent="0.25">
      <c r="A2589" s="87">
        <v>2019</v>
      </c>
      <c r="B2589" s="87">
        <v>11</v>
      </c>
      <c r="C2589" s="173" t="s">
        <v>16</v>
      </c>
      <c r="D2589" s="173" t="s">
        <v>229</v>
      </c>
      <c r="E2589" s="173" t="s">
        <v>24</v>
      </c>
      <c r="F2589" s="173" t="s">
        <v>16</v>
      </c>
      <c r="G2589" s="87" t="b">
        <v>1</v>
      </c>
      <c r="H2589" s="87" t="b">
        <v>0</v>
      </c>
      <c r="I2589" s="87" t="b">
        <v>0</v>
      </c>
      <c r="J2589" s="173" t="s">
        <v>449</v>
      </c>
      <c r="K2589" s="174">
        <v>15126437001972</v>
      </c>
      <c r="L2589" s="173" t="s">
        <v>966</v>
      </c>
      <c r="M2589" s="173" t="s">
        <v>87</v>
      </c>
      <c r="N2589" s="173" t="s">
        <v>67</v>
      </c>
      <c r="O2589" s="87">
        <v>62</v>
      </c>
      <c r="P2589" s="173" t="s">
        <v>27</v>
      </c>
      <c r="Q2589" s="1" t="s">
        <v>1343</v>
      </c>
      <c r="R2589" s="175">
        <v>10</v>
      </c>
      <c r="S2589">
        <v>10</v>
      </c>
    </row>
    <row r="2590" spans="1:19" x14ac:dyDescent="0.25">
      <c r="A2590" s="87">
        <v>2019</v>
      </c>
      <c r="B2590" s="87">
        <v>11</v>
      </c>
      <c r="C2590" s="173" t="s">
        <v>16</v>
      </c>
      <c r="D2590" s="173" t="s">
        <v>229</v>
      </c>
      <c r="E2590" s="173" t="s">
        <v>24</v>
      </c>
      <c r="F2590" s="173" t="s">
        <v>16</v>
      </c>
      <c r="G2590" s="87" t="b">
        <v>1</v>
      </c>
      <c r="H2590" s="87" t="b">
        <v>0</v>
      </c>
      <c r="I2590" s="87" t="b">
        <v>0</v>
      </c>
      <c r="J2590" s="173" t="s">
        <v>1330</v>
      </c>
      <c r="K2590" s="174">
        <v>15126437002863</v>
      </c>
      <c r="L2590" s="173" t="s">
        <v>884</v>
      </c>
      <c r="M2590" s="173" t="s">
        <v>75</v>
      </c>
      <c r="N2590" s="173" t="s">
        <v>74</v>
      </c>
      <c r="O2590" s="87">
        <v>64</v>
      </c>
      <c r="P2590" s="173" t="s">
        <v>25</v>
      </c>
      <c r="Q2590" s="1" t="s">
        <v>1344</v>
      </c>
      <c r="R2590" s="175">
        <v>12</v>
      </c>
      <c r="S2590">
        <v>12</v>
      </c>
    </row>
    <row r="2591" spans="1:19" x14ac:dyDescent="0.25">
      <c r="A2591" s="87">
        <v>2019</v>
      </c>
      <c r="B2591" s="87">
        <v>11</v>
      </c>
      <c r="C2591" s="173" t="s">
        <v>16</v>
      </c>
      <c r="D2591" s="173" t="s">
        <v>229</v>
      </c>
      <c r="E2591" s="173" t="s">
        <v>24</v>
      </c>
      <c r="F2591" s="173" t="s">
        <v>16</v>
      </c>
      <c r="G2591" s="87" t="b">
        <v>1</v>
      </c>
      <c r="H2591" s="87" t="b">
        <v>0</v>
      </c>
      <c r="I2591" s="87" t="b">
        <v>0</v>
      </c>
      <c r="J2591" s="173" t="s">
        <v>1330</v>
      </c>
      <c r="K2591" s="174">
        <v>15126437003240</v>
      </c>
      <c r="L2591" s="173" t="s">
        <v>885</v>
      </c>
      <c r="M2591" s="173" t="s">
        <v>130</v>
      </c>
      <c r="N2591" s="173" t="s">
        <v>56</v>
      </c>
      <c r="O2591" s="87">
        <v>70</v>
      </c>
      <c r="P2591" s="173" t="s">
        <v>20</v>
      </c>
      <c r="Q2591" s="1" t="s">
        <v>1346</v>
      </c>
      <c r="R2591" s="175">
        <v>75</v>
      </c>
      <c r="S2591">
        <v>30</v>
      </c>
    </row>
    <row r="2592" spans="1:19" x14ac:dyDescent="0.25">
      <c r="A2592" s="87">
        <v>2019</v>
      </c>
      <c r="B2592" s="87">
        <v>11</v>
      </c>
      <c r="C2592" s="173" t="s">
        <v>16</v>
      </c>
      <c r="D2592" s="173" t="s">
        <v>229</v>
      </c>
      <c r="E2592" s="173" t="s">
        <v>24</v>
      </c>
      <c r="F2592" s="173" t="s">
        <v>16</v>
      </c>
      <c r="G2592" s="87" t="b">
        <v>1</v>
      </c>
      <c r="H2592" s="87" t="b">
        <v>0</v>
      </c>
      <c r="I2592" s="87" t="b">
        <v>0</v>
      </c>
      <c r="J2592" s="173" t="s">
        <v>449</v>
      </c>
      <c r="K2592" s="174">
        <v>15126437003401</v>
      </c>
      <c r="L2592" s="173" t="s">
        <v>967</v>
      </c>
      <c r="M2592" s="173" t="s">
        <v>95</v>
      </c>
      <c r="N2592" s="173" t="s">
        <v>68</v>
      </c>
      <c r="O2592" s="87">
        <v>62</v>
      </c>
      <c r="P2592" s="173" t="s">
        <v>27</v>
      </c>
      <c r="Q2592" s="1" t="s">
        <v>1343</v>
      </c>
      <c r="R2592" s="175">
        <v>8</v>
      </c>
      <c r="S2592">
        <v>8</v>
      </c>
    </row>
    <row r="2593" spans="1:19" x14ac:dyDescent="0.25">
      <c r="A2593" s="87">
        <v>2019</v>
      </c>
      <c r="B2593" s="87">
        <v>11</v>
      </c>
      <c r="C2593" s="173" t="s">
        <v>16</v>
      </c>
      <c r="D2593" s="173" t="s">
        <v>229</v>
      </c>
      <c r="E2593" s="173" t="s">
        <v>24</v>
      </c>
      <c r="F2593" s="173" t="s">
        <v>16</v>
      </c>
      <c r="G2593" s="87" t="b">
        <v>1</v>
      </c>
      <c r="H2593" s="87" t="b">
        <v>0</v>
      </c>
      <c r="I2593" s="87" t="b">
        <v>0</v>
      </c>
      <c r="J2593" s="173" t="s">
        <v>1330</v>
      </c>
      <c r="K2593" s="174">
        <v>15126437003673</v>
      </c>
      <c r="L2593" s="173" t="s">
        <v>1166</v>
      </c>
      <c r="M2593" s="173" t="s">
        <v>60</v>
      </c>
      <c r="N2593" s="173" t="s">
        <v>61</v>
      </c>
      <c r="O2593" s="87">
        <v>64</v>
      </c>
      <c r="P2593" s="173" t="s">
        <v>25</v>
      </c>
      <c r="Q2593" s="1" t="s">
        <v>1344</v>
      </c>
      <c r="R2593" s="175">
        <v>5</v>
      </c>
      <c r="S2593">
        <v>5</v>
      </c>
    </row>
    <row r="2594" spans="1:19" x14ac:dyDescent="0.25">
      <c r="A2594" s="87">
        <v>2019</v>
      </c>
      <c r="B2594" s="87">
        <v>11</v>
      </c>
      <c r="C2594" s="173" t="s">
        <v>16</v>
      </c>
      <c r="D2594" s="173" t="s">
        <v>229</v>
      </c>
      <c r="E2594" s="173" t="s">
        <v>24</v>
      </c>
      <c r="F2594" s="173" t="s">
        <v>16</v>
      </c>
      <c r="G2594" s="87" t="b">
        <v>1</v>
      </c>
      <c r="H2594" s="87" t="b">
        <v>0</v>
      </c>
      <c r="I2594" s="87" t="b">
        <v>0</v>
      </c>
      <c r="J2594" s="173" t="s">
        <v>1330</v>
      </c>
      <c r="K2594" s="174">
        <v>15126437003673</v>
      </c>
      <c r="L2594" s="173" t="s">
        <v>1166</v>
      </c>
      <c r="M2594" s="173" t="s">
        <v>60</v>
      </c>
      <c r="N2594" s="173" t="s">
        <v>61</v>
      </c>
      <c r="O2594" s="87">
        <v>70</v>
      </c>
      <c r="P2594" s="173" t="s">
        <v>20</v>
      </c>
      <c r="Q2594" s="1" t="s">
        <v>1346</v>
      </c>
      <c r="R2594" s="175">
        <v>100</v>
      </c>
      <c r="S2594">
        <v>40</v>
      </c>
    </row>
    <row r="2595" spans="1:19" x14ac:dyDescent="0.25">
      <c r="A2595" s="87">
        <v>2019</v>
      </c>
      <c r="B2595" s="87">
        <v>11</v>
      </c>
      <c r="C2595" s="173" t="s">
        <v>16</v>
      </c>
      <c r="D2595" s="173" t="s">
        <v>229</v>
      </c>
      <c r="E2595" s="173" t="s">
        <v>24</v>
      </c>
      <c r="F2595" s="173" t="s">
        <v>16</v>
      </c>
      <c r="G2595" s="87" t="b">
        <v>1</v>
      </c>
      <c r="H2595" s="87" t="b">
        <v>0</v>
      </c>
      <c r="I2595" s="87" t="b">
        <v>0</v>
      </c>
      <c r="J2595" s="173" t="s">
        <v>491</v>
      </c>
      <c r="K2595" s="174">
        <v>15153745000249</v>
      </c>
      <c r="L2595" s="173" t="s">
        <v>887</v>
      </c>
      <c r="M2595" s="173" t="s">
        <v>75</v>
      </c>
      <c r="N2595" s="173" t="s">
        <v>74</v>
      </c>
      <c r="O2595" s="87">
        <v>62</v>
      </c>
      <c r="P2595" s="173" t="s">
        <v>27</v>
      </c>
      <c r="Q2595" s="1" t="s">
        <v>1343</v>
      </c>
      <c r="R2595" s="175">
        <v>4</v>
      </c>
      <c r="S2595">
        <v>4</v>
      </c>
    </row>
    <row r="2596" spans="1:19" x14ac:dyDescent="0.25">
      <c r="A2596" s="87">
        <v>2019</v>
      </c>
      <c r="B2596" s="87">
        <v>11</v>
      </c>
      <c r="C2596" s="173" t="s">
        <v>16</v>
      </c>
      <c r="D2596" s="173" t="s">
        <v>229</v>
      </c>
      <c r="E2596" s="173" t="s">
        <v>24</v>
      </c>
      <c r="F2596" s="173" t="s">
        <v>16</v>
      </c>
      <c r="G2596" s="87" t="b">
        <v>1</v>
      </c>
      <c r="H2596" s="87" t="b">
        <v>0</v>
      </c>
      <c r="I2596" s="87" t="b">
        <v>0</v>
      </c>
      <c r="J2596" s="173" t="s">
        <v>464</v>
      </c>
      <c r="K2596" s="174">
        <v>15153745000249</v>
      </c>
      <c r="L2596" s="173" t="s">
        <v>887</v>
      </c>
      <c r="M2596" s="173" t="s">
        <v>75</v>
      </c>
      <c r="N2596" s="173" t="s">
        <v>74</v>
      </c>
      <c r="O2596" s="87">
        <v>64</v>
      </c>
      <c r="P2596" s="173" t="s">
        <v>25</v>
      </c>
      <c r="Q2596" s="1" t="s">
        <v>1344</v>
      </c>
      <c r="R2596" s="175">
        <v>2</v>
      </c>
      <c r="S2596">
        <v>2</v>
      </c>
    </row>
    <row r="2597" spans="1:19" x14ac:dyDescent="0.25">
      <c r="A2597" s="87">
        <v>2019</v>
      </c>
      <c r="B2597" s="87">
        <v>11</v>
      </c>
      <c r="C2597" s="173" t="s">
        <v>16</v>
      </c>
      <c r="D2597" s="173" t="s">
        <v>229</v>
      </c>
      <c r="E2597" s="173" t="s">
        <v>24</v>
      </c>
      <c r="F2597" s="173" t="s">
        <v>16</v>
      </c>
      <c r="G2597" s="87" t="b">
        <v>1</v>
      </c>
      <c r="H2597" s="87" t="b">
        <v>0</v>
      </c>
      <c r="I2597" s="87" t="b">
        <v>0</v>
      </c>
      <c r="J2597" s="173" t="s">
        <v>451</v>
      </c>
      <c r="K2597" s="174">
        <v>15153745000249</v>
      </c>
      <c r="L2597" s="173" t="s">
        <v>887</v>
      </c>
      <c r="M2597" s="173" t="s">
        <v>75</v>
      </c>
      <c r="N2597" s="173" t="s">
        <v>74</v>
      </c>
      <c r="O2597" s="87">
        <v>64</v>
      </c>
      <c r="P2597" s="173" t="s">
        <v>25</v>
      </c>
      <c r="Q2597" s="1" t="s">
        <v>1344</v>
      </c>
      <c r="R2597" s="175">
        <v>5</v>
      </c>
      <c r="S2597">
        <v>5</v>
      </c>
    </row>
    <row r="2598" spans="1:19" x14ac:dyDescent="0.25">
      <c r="A2598" s="87">
        <v>2019</v>
      </c>
      <c r="B2598" s="87">
        <v>11</v>
      </c>
      <c r="C2598" s="173" t="s">
        <v>16</v>
      </c>
      <c r="D2598" s="173" t="s">
        <v>229</v>
      </c>
      <c r="E2598" s="173" t="s">
        <v>24</v>
      </c>
      <c r="F2598" s="173" t="s">
        <v>16</v>
      </c>
      <c r="G2598" s="87" t="b">
        <v>1</v>
      </c>
      <c r="H2598" s="87" t="b">
        <v>0</v>
      </c>
      <c r="I2598" s="87" t="b">
        <v>0</v>
      </c>
      <c r="J2598" s="173" t="s">
        <v>460</v>
      </c>
      <c r="K2598" s="174">
        <v>15166416000151</v>
      </c>
      <c r="L2598" s="173" t="s">
        <v>889</v>
      </c>
      <c r="M2598" s="173" t="s">
        <v>75</v>
      </c>
      <c r="N2598" s="173" t="s">
        <v>74</v>
      </c>
      <c r="O2598" s="87">
        <v>62</v>
      </c>
      <c r="P2598" s="173" t="s">
        <v>27</v>
      </c>
      <c r="Q2598" s="1" t="s">
        <v>1343</v>
      </c>
      <c r="R2598" s="175">
        <v>2</v>
      </c>
      <c r="S2598">
        <v>2</v>
      </c>
    </row>
    <row r="2599" spans="1:19" x14ac:dyDescent="0.25">
      <c r="A2599" s="87">
        <v>2019</v>
      </c>
      <c r="B2599" s="87">
        <v>11</v>
      </c>
      <c r="C2599" s="173" t="s">
        <v>16</v>
      </c>
      <c r="D2599" s="173" t="s">
        <v>229</v>
      </c>
      <c r="E2599" s="173" t="s">
        <v>24</v>
      </c>
      <c r="F2599" s="173" t="s">
        <v>16</v>
      </c>
      <c r="G2599" s="87" t="b">
        <v>1</v>
      </c>
      <c r="H2599" s="87" t="b">
        <v>0</v>
      </c>
      <c r="I2599" s="87" t="b">
        <v>0</v>
      </c>
      <c r="J2599" s="173" t="s">
        <v>460</v>
      </c>
      <c r="K2599" s="174">
        <v>15166416000151</v>
      </c>
      <c r="L2599" s="173" t="s">
        <v>889</v>
      </c>
      <c r="M2599" s="173" t="s">
        <v>75</v>
      </c>
      <c r="N2599" s="173" t="s">
        <v>74</v>
      </c>
      <c r="O2599" s="87">
        <v>64</v>
      </c>
      <c r="P2599" s="173" t="s">
        <v>25</v>
      </c>
      <c r="Q2599" s="1" t="s">
        <v>1344</v>
      </c>
      <c r="R2599" s="175">
        <v>2</v>
      </c>
      <c r="S2599">
        <v>2</v>
      </c>
    </row>
    <row r="2600" spans="1:19" x14ac:dyDescent="0.25">
      <c r="A2600" s="87">
        <v>2019</v>
      </c>
      <c r="B2600" s="87">
        <v>11</v>
      </c>
      <c r="C2600" s="173" t="s">
        <v>16</v>
      </c>
      <c r="D2600" s="173" t="s">
        <v>229</v>
      </c>
      <c r="E2600" s="173" t="s">
        <v>24</v>
      </c>
      <c r="F2600" s="173" t="s">
        <v>16</v>
      </c>
      <c r="G2600" s="87" t="b">
        <v>1</v>
      </c>
      <c r="H2600" s="87" t="b">
        <v>0</v>
      </c>
      <c r="I2600" s="87" t="b">
        <v>0</v>
      </c>
      <c r="J2600" s="173" t="s">
        <v>460</v>
      </c>
      <c r="K2600" s="174">
        <v>15170723000106</v>
      </c>
      <c r="L2600" s="173" t="s">
        <v>890</v>
      </c>
      <c r="M2600" s="173" t="s">
        <v>75</v>
      </c>
      <c r="N2600" s="173" t="s">
        <v>74</v>
      </c>
      <c r="O2600" s="87">
        <v>64</v>
      </c>
      <c r="P2600" s="173" t="s">
        <v>25</v>
      </c>
      <c r="Q2600" s="1" t="s">
        <v>1344</v>
      </c>
      <c r="R2600" s="175">
        <v>7</v>
      </c>
      <c r="S2600">
        <v>7</v>
      </c>
    </row>
    <row r="2601" spans="1:19" x14ac:dyDescent="0.25">
      <c r="A2601" s="87">
        <v>2019</v>
      </c>
      <c r="B2601" s="87">
        <v>11</v>
      </c>
      <c r="C2601" s="173" t="s">
        <v>16</v>
      </c>
      <c r="D2601" s="173" t="s">
        <v>229</v>
      </c>
      <c r="E2601" s="173" t="s">
        <v>24</v>
      </c>
      <c r="F2601" s="173" t="s">
        <v>16</v>
      </c>
      <c r="G2601" s="87" t="b">
        <v>1</v>
      </c>
      <c r="H2601" s="87" t="b">
        <v>0</v>
      </c>
      <c r="I2601" s="87" t="b">
        <v>0</v>
      </c>
      <c r="J2601" s="173" t="s">
        <v>1330</v>
      </c>
      <c r="K2601" s="174">
        <v>15180714000287</v>
      </c>
      <c r="L2601" s="173" t="s">
        <v>892</v>
      </c>
      <c r="M2601" s="173" t="s">
        <v>75</v>
      </c>
      <c r="N2601" s="173" t="s">
        <v>74</v>
      </c>
      <c r="O2601" s="87">
        <v>70</v>
      </c>
      <c r="P2601" s="173" t="s">
        <v>20</v>
      </c>
      <c r="Q2601" s="1" t="s">
        <v>1338</v>
      </c>
      <c r="R2601" s="175">
        <v>400</v>
      </c>
      <c r="S2601">
        <v>80</v>
      </c>
    </row>
    <row r="2602" spans="1:19" x14ac:dyDescent="0.25">
      <c r="A2602" s="87">
        <v>2019</v>
      </c>
      <c r="B2602" s="87">
        <v>11</v>
      </c>
      <c r="C2602" s="173" t="s">
        <v>16</v>
      </c>
      <c r="D2602" s="173" t="s">
        <v>229</v>
      </c>
      <c r="E2602" s="173" t="s">
        <v>24</v>
      </c>
      <c r="F2602" s="173" t="s">
        <v>16</v>
      </c>
      <c r="G2602" s="87" t="b">
        <v>1</v>
      </c>
      <c r="H2602" s="87" t="b">
        <v>0</v>
      </c>
      <c r="I2602" s="87" t="b">
        <v>0</v>
      </c>
      <c r="J2602" s="173" t="s">
        <v>455</v>
      </c>
      <c r="K2602" s="174">
        <v>15194004000125</v>
      </c>
      <c r="L2602" s="173" t="s">
        <v>895</v>
      </c>
      <c r="M2602" s="173" t="s">
        <v>75</v>
      </c>
      <c r="N2602" s="173" t="s">
        <v>74</v>
      </c>
      <c r="O2602" s="87">
        <v>64</v>
      </c>
      <c r="P2602" s="173" t="s">
        <v>25</v>
      </c>
      <c r="Q2602" s="1" t="s">
        <v>1344</v>
      </c>
      <c r="R2602" s="175">
        <v>2</v>
      </c>
      <c r="S2602">
        <v>2</v>
      </c>
    </row>
    <row r="2603" spans="1:19" x14ac:dyDescent="0.25">
      <c r="A2603" s="87">
        <v>2019</v>
      </c>
      <c r="B2603" s="87">
        <v>11</v>
      </c>
      <c r="C2603" s="173" t="s">
        <v>16</v>
      </c>
      <c r="D2603" s="173" t="s">
        <v>229</v>
      </c>
      <c r="E2603" s="173" t="s">
        <v>24</v>
      </c>
      <c r="F2603" s="173" t="s">
        <v>16</v>
      </c>
      <c r="G2603" s="87" t="b">
        <v>1</v>
      </c>
      <c r="H2603" s="87" t="b">
        <v>0</v>
      </c>
      <c r="I2603" s="87" t="b">
        <v>0</v>
      </c>
      <c r="J2603" s="173" t="s">
        <v>450</v>
      </c>
      <c r="K2603" s="174">
        <v>15217814000150</v>
      </c>
      <c r="L2603" s="173" t="s">
        <v>1167</v>
      </c>
      <c r="M2603" s="173" t="s">
        <v>29</v>
      </c>
      <c r="N2603" s="173" t="s">
        <v>19</v>
      </c>
      <c r="O2603" s="87">
        <v>70</v>
      </c>
      <c r="P2603" s="173" t="s">
        <v>20</v>
      </c>
      <c r="Q2603" s="1" t="s">
        <v>1338</v>
      </c>
      <c r="R2603" s="175">
        <v>5</v>
      </c>
      <c r="S2603">
        <v>1</v>
      </c>
    </row>
    <row r="2604" spans="1:19" x14ac:dyDescent="0.25">
      <c r="A2604" s="87">
        <v>2019</v>
      </c>
      <c r="B2604" s="87">
        <v>11</v>
      </c>
      <c r="C2604" s="173" t="s">
        <v>16</v>
      </c>
      <c r="D2604" s="173" t="s">
        <v>229</v>
      </c>
      <c r="E2604" s="173" t="s">
        <v>24</v>
      </c>
      <c r="F2604" s="173" t="s">
        <v>16</v>
      </c>
      <c r="G2604" s="87" t="b">
        <v>1</v>
      </c>
      <c r="H2604" s="87" t="b">
        <v>0</v>
      </c>
      <c r="I2604" s="87" t="b">
        <v>0</v>
      </c>
      <c r="J2604" s="173" t="s">
        <v>472</v>
      </c>
      <c r="K2604" s="174">
        <v>15242761000127</v>
      </c>
      <c r="L2604" s="173" t="s">
        <v>896</v>
      </c>
      <c r="M2604" s="173" t="s">
        <v>75</v>
      </c>
      <c r="N2604" s="173" t="s">
        <v>74</v>
      </c>
      <c r="O2604" s="87">
        <v>73</v>
      </c>
      <c r="P2604" s="173" t="s">
        <v>26</v>
      </c>
      <c r="Q2604" s="1" t="s">
        <v>1342</v>
      </c>
      <c r="R2604" s="175">
        <v>44</v>
      </c>
      <c r="S2604">
        <v>11</v>
      </c>
    </row>
    <row r="2605" spans="1:19" x14ac:dyDescent="0.25">
      <c r="A2605" s="87">
        <v>2019</v>
      </c>
      <c r="B2605" s="87">
        <v>11</v>
      </c>
      <c r="C2605" s="173" t="s">
        <v>16</v>
      </c>
      <c r="D2605" s="173" t="s">
        <v>229</v>
      </c>
      <c r="E2605" s="173" t="s">
        <v>24</v>
      </c>
      <c r="F2605" s="173" t="s">
        <v>16</v>
      </c>
      <c r="G2605" s="87" t="b">
        <v>1</v>
      </c>
      <c r="H2605" s="87" t="b">
        <v>0</v>
      </c>
      <c r="I2605" s="87" t="b">
        <v>0</v>
      </c>
      <c r="J2605" s="173" t="s">
        <v>472</v>
      </c>
      <c r="K2605" s="174">
        <v>15242761000127</v>
      </c>
      <c r="L2605" s="173" t="s">
        <v>896</v>
      </c>
      <c r="M2605" s="173" t="s">
        <v>75</v>
      </c>
      <c r="N2605" s="173" t="s">
        <v>74</v>
      </c>
      <c r="O2605" s="87">
        <v>73</v>
      </c>
      <c r="P2605" s="173" t="s">
        <v>26</v>
      </c>
      <c r="Q2605" s="1" t="s">
        <v>1340</v>
      </c>
      <c r="R2605" s="175">
        <v>10</v>
      </c>
      <c r="S2605">
        <v>10</v>
      </c>
    </row>
    <row r="2606" spans="1:19" x14ac:dyDescent="0.25">
      <c r="A2606" s="87">
        <v>2019</v>
      </c>
      <c r="B2606" s="87">
        <v>11</v>
      </c>
      <c r="C2606" s="173" t="s">
        <v>16</v>
      </c>
      <c r="D2606" s="173" t="s">
        <v>229</v>
      </c>
      <c r="E2606" s="173" t="s">
        <v>24</v>
      </c>
      <c r="F2606" s="173" t="s">
        <v>16</v>
      </c>
      <c r="G2606" s="87" t="b">
        <v>1</v>
      </c>
      <c r="H2606" s="87" t="b">
        <v>0</v>
      </c>
      <c r="I2606" s="87" t="b">
        <v>0</v>
      </c>
      <c r="J2606" s="173" t="s">
        <v>472</v>
      </c>
      <c r="K2606" s="174">
        <v>16064313000577</v>
      </c>
      <c r="L2606" s="173" t="s">
        <v>898</v>
      </c>
      <c r="M2606" s="173" t="s">
        <v>84</v>
      </c>
      <c r="N2606" s="173" t="s">
        <v>85</v>
      </c>
      <c r="O2606" s="87">
        <v>73</v>
      </c>
      <c r="P2606" s="173" t="s">
        <v>26</v>
      </c>
      <c r="Q2606" s="1" t="s">
        <v>1339</v>
      </c>
      <c r="R2606" s="175">
        <v>14</v>
      </c>
      <c r="S2606">
        <v>7</v>
      </c>
    </row>
    <row r="2607" spans="1:19" x14ac:dyDescent="0.25">
      <c r="A2607" s="87">
        <v>2019</v>
      </c>
      <c r="B2607" s="87">
        <v>11</v>
      </c>
      <c r="C2607" s="173" t="s">
        <v>16</v>
      </c>
      <c r="D2607" s="173" t="s">
        <v>229</v>
      </c>
      <c r="E2607" s="173" t="s">
        <v>24</v>
      </c>
      <c r="F2607" s="173" t="s">
        <v>16</v>
      </c>
      <c r="G2607" s="87" t="b">
        <v>1</v>
      </c>
      <c r="H2607" s="87" t="b">
        <v>0</v>
      </c>
      <c r="I2607" s="87" t="b">
        <v>0</v>
      </c>
      <c r="J2607" s="173" t="s">
        <v>472</v>
      </c>
      <c r="K2607" s="174">
        <v>16064313000577</v>
      </c>
      <c r="L2607" s="173" t="s">
        <v>898</v>
      </c>
      <c r="M2607" s="173" t="s">
        <v>84</v>
      </c>
      <c r="N2607" s="173" t="s">
        <v>85</v>
      </c>
      <c r="O2607" s="87">
        <v>73</v>
      </c>
      <c r="P2607" s="173" t="s">
        <v>26</v>
      </c>
      <c r="Q2607" s="1" t="s">
        <v>1340</v>
      </c>
      <c r="R2607" s="175">
        <v>7</v>
      </c>
      <c r="S2607">
        <v>7</v>
      </c>
    </row>
    <row r="2608" spans="1:19" x14ac:dyDescent="0.25">
      <c r="A2608" s="87">
        <v>2019</v>
      </c>
      <c r="B2608" s="87">
        <v>11</v>
      </c>
      <c r="C2608" s="173" t="s">
        <v>16</v>
      </c>
      <c r="D2608" s="173" t="s">
        <v>229</v>
      </c>
      <c r="E2608" s="173" t="s">
        <v>24</v>
      </c>
      <c r="F2608" s="173" t="s">
        <v>16</v>
      </c>
      <c r="G2608" s="87" t="b">
        <v>1</v>
      </c>
      <c r="H2608" s="87" t="b">
        <v>0</v>
      </c>
      <c r="I2608" s="87" t="b">
        <v>0</v>
      </c>
      <c r="J2608" s="173" t="s">
        <v>491</v>
      </c>
      <c r="K2608" s="174">
        <v>16739984000167</v>
      </c>
      <c r="L2608" s="173" t="s">
        <v>900</v>
      </c>
      <c r="M2608" s="173" t="s">
        <v>739</v>
      </c>
      <c r="N2608" s="173" t="s">
        <v>55</v>
      </c>
      <c r="O2608" s="87">
        <v>73</v>
      </c>
      <c r="P2608" s="173" t="s">
        <v>26</v>
      </c>
      <c r="Q2608" s="1" t="s">
        <v>1339</v>
      </c>
      <c r="R2608" s="175">
        <v>4</v>
      </c>
      <c r="S2608">
        <v>2</v>
      </c>
    </row>
    <row r="2609" spans="1:19" x14ac:dyDescent="0.25">
      <c r="A2609" s="87">
        <v>2019</v>
      </c>
      <c r="B2609" s="87">
        <v>11</v>
      </c>
      <c r="C2609" s="173" t="s">
        <v>16</v>
      </c>
      <c r="D2609" s="173" t="s">
        <v>229</v>
      </c>
      <c r="E2609" s="173" t="s">
        <v>24</v>
      </c>
      <c r="F2609" s="173" t="s">
        <v>16</v>
      </c>
      <c r="G2609" s="87" t="b">
        <v>1</v>
      </c>
      <c r="H2609" s="87" t="b">
        <v>0</v>
      </c>
      <c r="I2609" s="87" t="b">
        <v>0</v>
      </c>
      <c r="J2609" s="173" t="s">
        <v>491</v>
      </c>
      <c r="K2609" s="174">
        <v>16739984000167</v>
      </c>
      <c r="L2609" s="173" t="s">
        <v>900</v>
      </c>
      <c r="M2609" s="173" t="s">
        <v>739</v>
      </c>
      <c r="N2609" s="173" t="s">
        <v>55</v>
      </c>
      <c r="O2609" s="87">
        <v>73</v>
      </c>
      <c r="P2609" s="173" t="s">
        <v>26</v>
      </c>
      <c r="Q2609" s="1" t="s">
        <v>1342</v>
      </c>
      <c r="R2609" s="175">
        <v>12</v>
      </c>
      <c r="S2609">
        <v>3</v>
      </c>
    </row>
    <row r="2610" spans="1:19" x14ac:dyDescent="0.25">
      <c r="A2610" s="87">
        <v>2019</v>
      </c>
      <c r="B2610" s="87">
        <v>11</v>
      </c>
      <c r="C2610" s="173" t="s">
        <v>16</v>
      </c>
      <c r="D2610" s="173" t="s">
        <v>229</v>
      </c>
      <c r="E2610" s="173" t="s">
        <v>24</v>
      </c>
      <c r="F2610" s="173" t="s">
        <v>16</v>
      </c>
      <c r="G2610" s="87" t="b">
        <v>1</v>
      </c>
      <c r="H2610" s="87" t="b">
        <v>0</v>
      </c>
      <c r="I2610" s="87" t="b">
        <v>0</v>
      </c>
      <c r="J2610" s="173" t="s">
        <v>491</v>
      </c>
      <c r="K2610" s="174">
        <v>16739984000167</v>
      </c>
      <c r="L2610" s="173" t="s">
        <v>900</v>
      </c>
      <c r="M2610" s="173" t="s">
        <v>739</v>
      </c>
      <c r="N2610" s="173" t="s">
        <v>55</v>
      </c>
      <c r="O2610" s="87">
        <v>73</v>
      </c>
      <c r="P2610" s="173" t="s">
        <v>26</v>
      </c>
      <c r="Q2610" s="1" t="s">
        <v>1340</v>
      </c>
      <c r="R2610" s="175">
        <v>2</v>
      </c>
      <c r="S2610">
        <v>2</v>
      </c>
    </row>
    <row r="2611" spans="1:19" x14ac:dyDescent="0.25">
      <c r="A2611" s="87">
        <v>2019</v>
      </c>
      <c r="B2611" s="87">
        <v>11</v>
      </c>
      <c r="C2611" s="173" t="s">
        <v>16</v>
      </c>
      <c r="D2611" s="173" t="s">
        <v>229</v>
      </c>
      <c r="E2611" s="173" t="s">
        <v>24</v>
      </c>
      <c r="F2611" s="173" t="s">
        <v>16</v>
      </c>
      <c r="G2611" s="87" t="b">
        <v>1</v>
      </c>
      <c r="H2611" s="87" t="b">
        <v>0</v>
      </c>
      <c r="I2611" s="87" t="b">
        <v>0</v>
      </c>
      <c r="J2611" s="173" t="s">
        <v>1332</v>
      </c>
      <c r="K2611" s="174">
        <v>17214149000176</v>
      </c>
      <c r="L2611" s="173" t="s">
        <v>1172</v>
      </c>
      <c r="M2611" s="173" t="s">
        <v>58</v>
      </c>
      <c r="N2611" s="173" t="s">
        <v>54</v>
      </c>
      <c r="O2611" s="87">
        <v>62</v>
      </c>
      <c r="P2611" s="173" t="s">
        <v>27</v>
      </c>
      <c r="Q2611" s="1" t="s">
        <v>1343</v>
      </c>
      <c r="R2611" s="175">
        <v>6</v>
      </c>
      <c r="S2611">
        <v>6</v>
      </c>
    </row>
    <row r="2612" spans="1:19" x14ac:dyDescent="0.25">
      <c r="A2612" s="87">
        <v>2019</v>
      </c>
      <c r="B2612" s="87">
        <v>11</v>
      </c>
      <c r="C2612" s="173" t="s">
        <v>16</v>
      </c>
      <c r="D2612" s="173" t="s">
        <v>229</v>
      </c>
      <c r="E2612" s="173" t="s">
        <v>24</v>
      </c>
      <c r="F2612" s="173" t="s">
        <v>16</v>
      </c>
      <c r="G2612" s="87" t="b">
        <v>1</v>
      </c>
      <c r="H2612" s="87" t="b">
        <v>0</v>
      </c>
      <c r="I2612" s="87" t="b">
        <v>0</v>
      </c>
      <c r="J2612" s="173" t="s">
        <v>1512</v>
      </c>
      <c r="K2612" s="174">
        <v>17214149000176</v>
      </c>
      <c r="L2612" s="173" t="s">
        <v>1172</v>
      </c>
      <c r="M2612" s="173" t="s">
        <v>58</v>
      </c>
      <c r="N2612" s="173" t="s">
        <v>54</v>
      </c>
      <c r="O2612" s="87">
        <v>62</v>
      </c>
      <c r="P2612" s="173" t="s">
        <v>27</v>
      </c>
      <c r="Q2612" s="1" t="s">
        <v>1343</v>
      </c>
      <c r="R2612" s="175">
        <v>16</v>
      </c>
      <c r="S2612">
        <v>16</v>
      </c>
    </row>
    <row r="2613" spans="1:19" x14ac:dyDescent="0.25">
      <c r="A2613" s="87">
        <v>2019</v>
      </c>
      <c r="B2613" s="87">
        <v>11</v>
      </c>
      <c r="C2613" s="173" t="s">
        <v>16</v>
      </c>
      <c r="D2613" s="173" t="s">
        <v>229</v>
      </c>
      <c r="E2613" s="173" t="s">
        <v>24</v>
      </c>
      <c r="F2613" s="173" t="s">
        <v>16</v>
      </c>
      <c r="G2613" s="87" t="b">
        <v>1</v>
      </c>
      <c r="H2613" s="87" t="b">
        <v>0</v>
      </c>
      <c r="I2613" s="87" t="b">
        <v>0</v>
      </c>
      <c r="J2613" s="173" t="s">
        <v>478</v>
      </c>
      <c r="K2613" s="174">
        <v>17689407000928</v>
      </c>
      <c r="L2613" s="173" t="s">
        <v>1174</v>
      </c>
      <c r="M2613" s="173" t="s">
        <v>88</v>
      </c>
      <c r="N2613" s="173" t="s">
        <v>54</v>
      </c>
      <c r="O2613" s="87">
        <v>73</v>
      </c>
      <c r="P2613" s="173" t="s">
        <v>26</v>
      </c>
      <c r="Q2613" s="1" t="s">
        <v>1340</v>
      </c>
      <c r="R2613" s="175">
        <v>10</v>
      </c>
      <c r="S2613">
        <v>10</v>
      </c>
    </row>
    <row r="2614" spans="1:19" x14ac:dyDescent="0.25">
      <c r="A2614" s="87">
        <v>2019</v>
      </c>
      <c r="B2614" s="87">
        <v>11</v>
      </c>
      <c r="C2614" s="173" t="s">
        <v>16</v>
      </c>
      <c r="D2614" s="173" t="s">
        <v>229</v>
      </c>
      <c r="E2614" s="173" t="s">
        <v>24</v>
      </c>
      <c r="F2614" s="173" t="s">
        <v>16</v>
      </c>
      <c r="G2614" s="87" t="b">
        <v>1</v>
      </c>
      <c r="H2614" s="87" t="b">
        <v>0</v>
      </c>
      <c r="I2614" s="87" t="b">
        <v>0</v>
      </c>
      <c r="J2614" s="173" t="s">
        <v>470</v>
      </c>
      <c r="K2614" s="174">
        <v>17774738000613</v>
      </c>
      <c r="L2614" s="173" t="s">
        <v>1175</v>
      </c>
      <c r="M2614" s="173" t="s">
        <v>126</v>
      </c>
      <c r="N2614" s="173" t="s">
        <v>54</v>
      </c>
      <c r="O2614" s="87">
        <v>73</v>
      </c>
      <c r="P2614" s="173" t="s">
        <v>26</v>
      </c>
      <c r="Q2614" s="1" t="s">
        <v>1342</v>
      </c>
      <c r="R2614" s="175">
        <v>8</v>
      </c>
      <c r="S2614">
        <v>2</v>
      </c>
    </row>
    <row r="2615" spans="1:19" x14ac:dyDescent="0.25">
      <c r="A2615" s="87">
        <v>2019</v>
      </c>
      <c r="B2615" s="87">
        <v>11</v>
      </c>
      <c r="C2615" s="173" t="s">
        <v>16</v>
      </c>
      <c r="D2615" s="173" t="s">
        <v>229</v>
      </c>
      <c r="E2615" s="173" t="s">
        <v>24</v>
      </c>
      <c r="F2615" s="173" t="s">
        <v>16</v>
      </c>
      <c r="G2615" s="87" t="b">
        <v>1</v>
      </c>
      <c r="H2615" s="87" t="b">
        <v>0</v>
      </c>
      <c r="I2615" s="87" t="b">
        <v>0</v>
      </c>
      <c r="J2615" s="173" t="s">
        <v>477</v>
      </c>
      <c r="K2615" s="174">
        <v>18010750000100</v>
      </c>
      <c r="L2615" s="173" t="s">
        <v>1092</v>
      </c>
      <c r="M2615" s="173" t="s">
        <v>131</v>
      </c>
      <c r="N2615" s="173" t="s">
        <v>61</v>
      </c>
      <c r="O2615" s="87">
        <v>62</v>
      </c>
      <c r="P2615" s="173" t="s">
        <v>27</v>
      </c>
      <c r="Q2615" s="1" t="s">
        <v>1343</v>
      </c>
      <c r="R2615" s="175">
        <v>2</v>
      </c>
      <c r="S2615">
        <v>2</v>
      </c>
    </row>
    <row r="2616" spans="1:19" x14ac:dyDescent="0.25">
      <c r="A2616" s="87">
        <v>2019</v>
      </c>
      <c r="B2616" s="87">
        <v>11</v>
      </c>
      <c r="C2616" s="173" t="s">
        <v>16</v>
      </c>
      <c r="D2616" s="173" t="s">
        <v>229</v>
      </c>
      <c r="E2616" s="173" t="s">
        <v>24</v>
      </c>
      <c r="F2616" s="173" t="s">
        <v>16</v>
      </c>
      <c r="G2616" s="87" t="b">
        <v>1</v>
      </c>
      <c r="H2616" s="87" t="b">
        <v>0</v>
      </c>
      <c r="I2616" s="87" t="b">
        <v>0</v>
      </c>
      <c r="J2616" s="173" t="s">
        <v>477</v>
      </c>
      <c r="K2616" s="174">
        <v>18010750000100</v>
      </c>
      <c r="L2616" s="173" t="s">
        <v>1092</v>
      </c>
      <c r="M2616" s="173" t="s">
        <v>131</v>
      </c>
      <c r="N2616" s="173" t="s">
        <v>61</v>
      </c>
      <c r="O2616" s="87">
        <v>70</v>
      </c>
      <c r="P2616" s="173" t="s">
        <v>20</v>
      </c>
      <c r="Q2616" s="1" t="s">
        <v>1345</v>
      </c>
      <c r="R2616" s="175">
        <v>450</v>
      </c>
      <c r="S2616">
        <v>45</v>
      </c>
    </row>
    <row r="2617" spans="1:19" x14ac:dyDescent="0.25">
      <c r="A2617" s="87">
        <v>2019</v>
      </c>
      <c r="B2617" s="87">
        <v>11</v>
      </c>
      <c r="C2617" s="173" t="s">
        <v>16</v>
      </c>
      <c r="D2617" s="173" t="s">
        <v>229</v>
      </c>
      <c r="E2617" s="173" t="s">
        <v>24</v>
      </c>
      <c r="F2617" s="173" t="s">
        <v>16</v>
      </c>
      <c r="G2617" s="87" t="b">
        <v>1</v>
      </c>
      <c r="H2617" s="87" t="b">
        <v>0</v>
      </c>
      <c r="I2617" s="87" t="b">
        <v>0</v>
      </c>
      <c r="J2617" s="173" t="s">
        <v>477</v>
      </c>
      <c r="K2617" s="174">
        <v>18010750000100</v>
      </c>
      <c r="L2617" s="173" t="s">
        <v>1092</v>
      </c>
      <c r="M2617" s="173" t="s">
        <v>131</v>
      </c>
      <c r="N2617" s="173" t="s">
        <v>61</v>
      </c>
      <c r="O2617" s="87">
        <v>70</v>
      </c>
      <c r="P2617" s="173" t="s">
        <v>20</v>
      </c>
      <c r="Q2617" s="1" t="s">
        <v>1338</v>
      </c>
      <c r="R2617" s="175">
        <v>65</v>
      </c>
      <c r="S2617">
        <v>13</v>
      </c>
    </row>
    <row r="2618" spans="1:19" x14ac:dyDescent="0.25">
      <c r="A2618" s="87">
        <v>2019</v>
      </c>
      <c r="B2618" s="87">
        <v>11</v>
      </c>
      <c r="C2618" s="173" t="s">
        <v>16</v>
      </c>
      <c r="D2618" s="173" t="s">
        <v>229</v>
      </c>
      <c r="E2618" s="173" t="s">
        <v>24</v>
      </c>
      <c r="F2618" s="173" t="s">
        <v>16</v>
      </c>
      <c r="G2618" s="87" t="b">
        <v>1</v>
      </c>
      <c r="H2618" s="87" t="b">
        <v>0</v>
      </c>
      <c r="I2618" s="87" t="b">
        <v>0</v>
      </c>
      <c r="J2618" s="173" t="s">
        <v>492</v>
      </c>
      <c r="K2618" s="174">
        <v>18010750000100</v>
      </c>
      <c r="L2618" s="173" t="s">
        <v>1092</v>
      </c>
      <c r="M2618" s="173" t="s">
        <v>131</v>
      </c>
      <c r="N2618" s="173" t="s">
        <v>61</v>
      </c>
      <c r="O2618" s="87">
        <v>70</v>
      </c>
      <c r="P2618" s="173" t="s">
        <v>20</v>
      </c>
      <c r="Q2618" s="1" t="s">
        <v>1338</v>
      </c>
      <c r="R2618" s="175">
        <v>65</v>
      </c>
      <c r="S2618">
        <v>13</v>
      </c>
    </row>
    <row r="2619" spans="1:19" x14ac:dyDescent="0.25">
      <c r="A2619" s="87">
        <v>2019</v>
      </c>
      <c r="B2619" s="87">
        <v>11</v>
      </c>
      <c r="C2619" s="173" t="s">
        <v>16</v>
      </c>
      <c r="D2619" s="173" t="s">
        <v>229</v>
      </c>
      <c r="E2619" s="173" t="s">
        <v>24</v>
      </c>
      <c r="F2619" s="173" t="s">
        <v>16</v>
      </c>
      <c r="G2619" s="87" t="b">
        <v>1</v>
      </c>
      <c r="H2619" s="87" t="b">
        <v>0</v>
      </c>
      <c r="I2619" s="87" t="b">
        <v>0</v>
      </c>
      <c r="J2619" s="173" t="s">
        <v>491</v>
      </c>
      <c r="K2619" s="174">
        <v>18010750000100</v>
      </c>
      <c r="L2619" s="173" t="s">
        <v>1092</v>
      </c>
      <c r="M2619" s="173" t="s">
        <v>131</v>
      </c>
      <c r="N2619" s="173" t="s">
        <v>61</v>
      </c>
      <c r="O2619" s="87">
        <v>70</v>
      </c>
      <c r="P2619" s="173" t="s">
        <v>20</v>
      </c>
      <c r="Q2619" s="1" t="s">
        <v>1338</v>
      </c>
      <c r="R2619" s="175">
        <v>75</v>
      </c>
      <c r="S2619">
        <v>15</v>
      </c>
    </row>
    <row r="2620" spans="1:19" x14ac:dyDescent="0.25">
      <c r="A2620" s="87">
        <v>2019</v>
      </c>
      <c r="B2620" s="87">
        <v>11</v>
      </c>
      <c r="C2620" s="173" t="s">
        <v>16</v>
      </c>
      <c r="D2620" s="173" t="s">
        <v>229</v>
      </c>
      <c r="E2620" s="173" t="s">
        <v>24</v>
      </c>
      <c r="F2620" s="173" t="s">
        <v>16</v>
      </c>
      <c r="G2620" s="87" t="b">
        <v>1</v>
      </c>
      <c r="H2620" s="87" t="b">
        <v>0</v>
      </c>
      <c r="I2620" s="87" t="b">
        <v>0</v>
      </c>
      <c r="J2620" s="173" t="s">
        <v>450</v>
      </c>
      <c r="K2620" s="174">
        <v>18180008000142</v>
      </c>
      <c r="L2620" s="173" t="s">
        <v>585</v>
      </c>
      <c r="M2620" s="173" t="s">
        <v>29</v>
      </c>
      <c r="N2620" s="173" t="s">
        <v>19</v>
      </c>
      <c r="O2620" s="87">
        <v>62</v>
      </c>
      <c r="P2620" s="173" t="s">
        <v>27</v>
      </c>
      <c r="Q2620" s="1" t="s">
        <v>1343</v>
      </c>
      <c r="R2620" s="175">
        <v>4</v>
      </c>
      <c r="S2620">
        <v>4</v>
      </c>
    </row>
    <row r="2621" spans="1:19" x14ac:dyDescent="0.25">
      <c r="A2621" s="87">
        <v>2019</v>
      </c>
      <c r="B2621" s="87">
        <v>11</v>
      </c>
      <c r="C2621" s="173" t="s">
        <v>16</v>
      </c>
      <c r="D2621" s="173" t="s">
        <v>229</v>
      </c>
      <c r="E2621" s="173" t="s">
        <v>24</v>
      </c>
      <c r="F2621" s="173" t="s">
        <v>16</v>
      </c>
      <c r="G2621" s="87" t="b">
        <v>1</v>
      </c>
      <c r="H2621" s="87" t="b">
        <v>0</v>
      </c>
      <c r="I2621" s="87" t="b">
        <v>0</v>
      </c>
      <c r="J2621" s="173" t="s">
        <v>477</v>
      </c>
      <c r="K2621" s="174">
        <v>18180008000142</v>
      </c>
      <c r="L2621" s="173" t="s">
        <v>585</v>
      </c>
      <c r="M2621" s="173" t="s">
        <v>29</v>
      </c>
      <c r="N2621" s="173" t="s">
        <v>19</v>
      </c>
      <c r="O2621" s="87">
        <v>62</v>
      </c>
      <c r="P2621" s="173" t="s">
        <v>27</v>
      </c>
      <c r="Q2621" s="1" t="s">
        <v>1343</v>
      </c>
      <c r="R2621" s="175">
        <v>2</v>
      </c>
      <c r="S2621">
        <v>2</v>
      </c>
    </row>
    <row r="2622" spans="1:19" x14ac:dyDescent="0.25">
      <c r="A2622" s="87">
        <v>2019</v>
      </c>
      <c r="B2622" s="87">
        <v>11</v>
      </c>
      <c r="C2622" s="173" t="s">
        <v>16</v>
      </c>
      <c r="D2622" s="173" t="s">
        <v>229</v>
      </c>
      <c r="E2622" s="173" t="s">
        <v>24</v>
      </c>
      <c r="F2622" s="173" t="s">
        <v>16</v>
      </c>
      <c r="G2622" s="87" t="b">
        <v>1</v>
      </c>
      <c r="H2622" s="87" t="b">
        <v>0</v>
      </c>
      <c r="I2622" s="87" t="b">
        <v>0</v>
      </c>
      <c r="J2622" s="173" t="s">
        <v>478</v>
      </c>
      <c r="K2622" s="174">
        <v>18180008000142</v>
      </c>
      <c r="L2622" s="173" t="s">
        <v>585</v>
      </c>
      <c r="M2622" s="173" t="s">
        <v>29</v>
      </c>
      <c r="N2622" s="173" t="s">
        <v>19</v>
      </c>
      <c r="O2622" s="87">
        <v>64</v>
      </c>
      <c r="P2622" s="173" t="s">
        <v>25</v>
      </c>
      <c r="Q2622" s="1" t="s">
        <v>1344</v>
      </c>
      <c r="R2622" s="175">
        <v>1</v>
      </c>
      <c r="S2622">
        <v>1</v>
      </c>
    </row>
    <row r="2623" spans="1:19" x14ac:dyDescent="0.25">
      <c r="A2623" s="87">
        <v>2019</v>
      </c>
      <c r="B2623" s="87">
        <v>11</v>
      </c>
      <c r="C2623" s="173" t="s">
        <v>16</v>
      </c>
      <c r="D2623" s="173" t="s">
        <v>229</v>
      </c>
      <c r="E2623" s="173" t="s">
        <v>24</v>
      </c>
      <c r="F2623" s="173" t="s">
        <v>16</v>
      </c>
      <c r="G2623" s="87" t="b">
        <v>1</v>
      </c>
      <c r="H2623" s="87" t="b">
        <v>0</v>
      </c>
      <c r="I2623" s="87" t="b">
        <v>0</v>
      </c>
      <c r="J2623" s="173" t="s">
        <v>450</v>
      </c>
      <c r="K2623" s="174">
        <v>18180008000142</v>
      </c>
      <c r="L2623" s="173" t="s">
        <v>585</v>
      </c>
      <c r="M2623" s="173" t="s">
        <v>29</v>
      </c>
      <c r="N2623" s="173" t="s">
        <v>19</v>
      </c>
      <c r="O2623" s="87">
        <v>64</v>
      </c>
      <c r="P2623" s="173" t="s">
        <v>25</v>
      </c>
      <c r="Q2623" s="1" t="s">
        <v>1344</v>
      </c>
      <c r="R2623" s="175">
        <v>7</v>
      </c>
      <c r="S2623">
        <v>7</v>
      </c>
    </row>
    <row r="2624" spans="1:19" x14ac:dyDescent="0.25">
      <c r="A2624" s="87">
        <v>2019</v>
      </c>
      <c r="B2624" s="87">
        <v>11</v>
      </c>
      <c r="C2624" s="173" t="s">
        <v>16</v>
      </c>
      <c r="D2624" s="173" t="s">
        <v>229</v>
      </c>
      <c r="E2624" s="173" t="s">
        <v>24</v>
      </c>
      <c r="F2624" s="173" t="s">
        <v>16</v>
      </c>
      <c r="G2624" s="87" t="b">
        <v>1</v>
      </c>
      <c r="H2624" s="87" t="b">
        <v>0</v>
      </c>
      <c r="I2624" s="87" t="b">
        <v>0</v>
      </c>
      <c r="J2624" s="173" t="s">
        <v>470</v>
      </c>
      <c r="K2624" s="174">
        <v>18321477000134</v>
      </c>
      <c r="L2624" s="173" t="s">
        <v>664</v>
      </c>
      <c r="M2624" s="173" t="s">
        <v>650</v>
      </c>
      <c r="N2624" s="173" t="s">
        <v>19</v>
      </c>
      <c r="O2624" s="87">
        <v>73</v>
      </c>
      <c r="P2624" s="173" t="s">
        <v>26</v>
      </c>
      <c r="Q2624" s="1" t="s">
        <v>1342</v>
      </c>
      <c r="R2624" s="175">
        <v>48</v>
      </c>
      <c r="S2624">
        <v>12</v>
      </c>
    </row>
    <row r="2625" spans="1:19" x14ac:dyDescent="0.25">
      <c r="A2625" s="87">
        <v>2019</v>
      </c>
      <c r="B2625" s="87">
        <v>11</v>
      </c>
      <c r="C2625" s="173" t="s">
        <v>16</v>
      </c>
      <c r="D2625" s="173" t="s">
        <v>229</v>
      </c>
      <c r="E2625" s="173" t="s">
        <v>24</v>
      </c>
      <c r="F2625" s="173" t="s">
        <v>16</v>
      </c>
      <c r="G2625" s="87" t="b">
        <v>1</v>
      </c>
      <c r="H2625" s="87" t="b">
        <v>0</v>
      </c>
      <c r="I2625" s="87" t="b">
        <v>0</v>
      </c>
      <c r="J2625" s="173" t="s">
        <v>450</v>
      </c>
      <c r="K2625" s="174">
        <v>18321477000134</v>
      </c>
      <c r="L2625" s="173" t="s">
        <v>664</v>
      </c>
      <c r="M2625" s="173" t="s">
        <v>650</v>
      </c>
      <c r="N2625" s="173" t="s">
        <v>19</v>
      </c>
      <c r="O2625" s="87">
        <v>73</v>
      </c>
      <c r="P2625" s="173" t="s">
        <v>26</v>
      </c>
      <c r="Q2625" s="1" t="s">
        <v>1340</v>
      </c>
      <c r="R2625" s="175">
        <v>2</v>
      </c>
      <c r="S2625">
        <v>2</v>
      </c>
    </row>
    <row r="2626" spans="1:19" x14ac:dyDescent="0.25">
      <c r="A2626" s="87">
        <v>2019</v>
      </c>
      <c r="B2626" s="87">
        <v>11</v>
      </c>
      <c r="C2626" s="173" t="s">
        <v>16</v>
      </c>
      <c r="D2626" s="173" t="s">
        <v>229</v>
      </c>
      <c r="E2626" s="173" t="s">
        <v>24</v>
      </c>
      <c r="F2626" s="173" t="s">
        <v>16</v>
      </c>
      <c r="G2626" s="87" t="b">
        <v>1</v>
      </c>
      <c r="H2626" s="87" t="b">
        <v>0</v>
      </c>
      <c r="I2626" s="87" t="b">
        <v>0</v>
      </c>
      <c r="J2626" s="173" t="s">
        <v>477</v>
      </c>
      <c r="K2626" s="174">
        <v>18836965000184</v>
      </c>
      <c r="L2626" s="173" t="s">
        <v>1177</v>
      </c>
      <c r="M2626" s="173" t="s">
        <v>111</v>
      </c>
      <c r="N2626" s="173" t="s">
        <v>54</v>
      </c>
      <c r="O2626" s="87">
        <v>73</v>
      </c>
      <c r="P2626" s="173" t="s">
        <v>26</v>
      </c>
      <c r="Q2626" s="1" t="s">
        <v>1342</v>
      </c>
      <c r="R2626" s="175">
        <v>20</v>
      </c>
      <c r="S2626">
        <v>5</v>
      </c>
    </row>
    <row r="2627" spans="1:19" x14ac:dyDescent="0.25">
      <c r="A2627" s="87">
        <v>2019</v>
      </c>
      <c r="B2627" s="87">
        <v>11</v>
      </c>
      <c r="C2627" s="173" t="s">
        <v>16</v>
      </c>
      <c r="D2627" s="173" t="s">
        <v>229</v>
      </c>
      <c r="E2627" s="173" t="s">
        <v>24</v>
      </c>
      <c r="F2627" s="173" t="s">
        <v>16</v>
      </c>
      <c r="G2627" s="87" t="b">
        <v>1</v>
      </c>
      <c r="H2627" s="87" t="b">
        <v>0</v>
      </c>
      <c r="I2627" s="87" t="b">
        <v>0</v>
      </c>
      <c r="J2627" s="173" t="s">
        <v>478</v>
      </c>
      <c r="K2627" s="174">
        <v>19130186000121</v>
      </c>
      <c r="L2627" s="173" t="s">
        <v>1300</v>
      </c>
      <c r="M2627" s="173" t="s">
        <v>1301</v>
      </c>
      <c r="N2627" s="173" t="s">
        <v>54</v>
      </c>
      <c r="O2627" s="87">
        <v>70</v>
      </c>
      <c r="P2627" s="173" t="s">
        <v>20</v>
      </c>
      <c r="Q2627" s="1" t="s">
        <v>1338</v>
      </c>
      <c r="R2627" s="175">
        <v>5</v>
      </c>
      <c r="S2627">
        <v>1</v>
      </c>
    </row>
    <row r="2628" spans="1:19" x14ac:dyDescent="0.25">
      <c r="A2628" s="87">
        <v>2019</v>
      </c>
      <c r="B2628" s="87">
        <v>11</v>
      </c>
      <c r="C2628" s="173" t="s">
        <v>16</v>
      </c>
      <c r="D2628" s="173" t="s">
        <v>229</v>
      </c>
      <c r="E2628" s="173" t="s">
        <v>24</v>
      </c>
      <c r="F2628" s="173" t="s">
        <v>16</v>
      </c>
      <c r="G2628" s="87" t="b">
        <v>1</v>
      </c>
      <c r="H2628" s="87" t="b">
        <v>0</v>
      </c>
      <c r="I2628" s="87" t="b">
        <v>0</v>
      </c>
      <c r="J2628" s="173" t="s">
        <v>1330</v>
      </c>
      <c r="K2628" s="174">
        <v>19843929001000</v>
      </c>
      <c r="L2628" s="173" t="s">
        <v>1179</v>
      </c>
      <c r="M2628" s="173" t="s">
        <v>88</v>
      </c>
      <c r="N2628" s="173" t="s">
        <v>54</v>
      </c>
      <c r="O2628" s="87">
        <v>70</v>
      </c>
      <c r="P2628" s="173" t="s">
        <v>20</v>
      </c>
      <c r="Q2628" s="1" t="s">
        <v>1338</v>
      </c>
      <c r="R2628" s="175">
        <v>200</v>
      </c>
      <c r="S2628">
        <v>40</v>
      </c>
    </row>
    <row r="2629" spans="1:19" x14ac:dyDescent="0.25">
      <c r="A2629" s="87">
        <v>2019</v>
      </c>
      <c r="B2629" s="87">
        <v>11</v>
      </c>
      <c r="C2629" s="173" t="s">
        <v>16</v>
      </c>
      <c r="D2629" s="173" t="s">
        <v>229</v>
      </c>
      <c r="E2629" s="173" t="s">
        <v>24</v>
      </c>
      <c r="F2629" s="173" t="s">
        <v>16</v>
      </c>
      <c r="G2629" s="87" t="b">
        <v>1</v>
      </c>
      <c r="H2629" s="87" t="b">
        <v>0</v>
      </c>
      <c r="I2629" s="87" t="b">
        <v>0</v>
      </c>
      <c r="J2629" s="173" t="s">
        <v>1330</v>
      </c>
      <c r="K2629" s="174">
        <v>19843929001182</v>
      </c>
      <c r="L2629" s="173" t="s">
        <v>1180</v>
      </c>
      <c r="M2629" s="173" t="s">
        <v>58</v>
      </c>
      <c r="N2629" s="173" t="s">
        <v>54</v>
      </c>
      <c r="O2629" s="87">
        <v>70</v>
      </c>
      <c r="P2629" s="173" t="s">
        <v>20</v>
      </c>
      <c r="Q2629" s="1" t="s">
        <v>1338</v>
      </c>
      <c r="R2629" s="175">
        <v>405</v>
      </c>
      <c r="S2629">
        <v>81</v>
      </c>
    </row>
    <row r="2630" spans="1:19" x14ac:dyDescent="0.25">
      <c r="A2630" s="87">
        <v>2019</v>
      </c>
      <c r="B2630" s="87">
        <v>11</v>
      </c>
      <c r="C2630" s="173" t="s">
        <v>16</v>
      </c>
      <c r="D2630" s="173" t="s">
        <v>229</v>
      </c>
      <c r="E2630" s="173" t="s">
        <v>24</v>
      </c>
      <c r="F2630" s="173" t="s">
        <v>16</v>
      </c>
      <c r="G2630" s="87" t="b">
        <v>1</v>
      </c>
      <c r="H2630" s="87" t="b">
        <v>0</v>
      </c>
      <c r="I2630" s="87" t="b">
        <v>0</v>
      </c>
      <c r="J2630" s="173" t="s">
        <v>1330</v>
      </c>
      <c r="K2630" s="174">
        <v>19843929001344</v>
      </c>
      <c r="L2630" s="173" t="s">
        <v>1303</v>
      </c>
      <c r="M2630" s="173" t="s">
        <v>58</v>
      </c>
      <c r="N2630" s="173" t="s">
        <v>54</v>
      </c>
      <c r="O2630" s="87">
        <v>70</v>
      </c>
      <c r="P2630" s="173" t="s">
        <v>20</v>
      </c>
      <c r="Q2630" s="1" t="s">
        <v>1338</v>
      </c>
      <c r="R2630" s="175">
        <v>125</v>
      </c>
      <c r="S2630">
        <v>25</v>
      </c>
    </row>
    <row r="2631" spans="1:19" x14ac:dyDescent="0.25">
      <c r="A2631" s="87">
        <v>2019</v>
      </c>
      <c r="B2631" s="87">
        <v>11</v>
      </c>
      <c r="C2631" s="173" t="s">
        <v>16</v>
      </c>
      <c r="D2631" s="173" t="s">
        <v>229</v>
      </c>
      <c r="E2631" s="173" t="s">
        <v>24</v>
      </c>
      <c r="F2631" s="173" t="s">
        <v>16</v>
      </c>
      <c r="G2631" s="87" t="b">
        <v>1</v>
      </c>
      <c r="H2631" s="87" t="b">
        <v>0</v>
      </c>
      <c r="I2631" s="87" t="b">
        <v>0</v>
      </c>
      <c r="J2631" s="173" t="s">
        <v>1330</v>
      </c>
      <c r="K2631" s="174">
        <v>19843929001697</v>
      </c>
      <c r="L2631" s="173" t="s">
        <v>1182</v>
      </c>
      <c r="M2631" s="173" t="s">
        <v>539</v>
      </c>
      <c r="N2631" s="173" t="s">
        <v>54</v>
      </c>
      <c r="O2631" s="87">
        <v>70</v>
      </c>
      <c r="P2631" s="173" t="s">
        <v>20</v>
      </c>
      <c r="Q2631" s="1" t="s">
        <v>1338</v>
      </c>
      <c r="R2631" s="175">
        <v>125</v>
      </c>
      <c r="S2631">
        <v>25</v>
      </c>
    </row>
    <row r="2632" spans="1:19" x14ac:dyDescent="0.25">
      <c r="A2632" s="87">
        <v>2019</v>
      </c>
      <c r="B2632" s="87">
        <v>11</v>
      </c>
      <c r="C2632" s="173" t="s">
        <v>16</v>
      </c>
      <c r="D2632" s="173" t="s">
        <v>229</v>
      </c>
      <c r="E2632" s="173" t="s">
        <v>24</v>
      </c>
      <c r="F2632" s="173" t="s">
        <v>16</v>
      </c>
      <c r="G2632" s="87" t="b">
        <v>1</v>
      </c>
      <c r="H2632" s="87" t="b">
        <v>0</v>
      </c>
      <c r="I2632" s="87" t="b">
        <v>0</v>
      </c>
      <c r="J2632" s="173" t="s">
        <v>1330</v>
      </c>
      <c r="K2632" s="174">
        <v>19843929002820</v>
      </c>
      <c r="L2632" s="173" t="s">
        <v>1183</v>
      </c>
      <c r="M2632" s="173" t="s">
        <v>58</v>
      </c>
      <c r="N2632" s="173" t="s">
        <v>54</v>
      </c>
      <c r="O2632" s="87">
        <v>70</v>
      </c>
      <c r="P2632" s="173" t="s">
        <v>20</v>
      </c>
      <c r="Q2632" s="1" t="s">
        <v>1338</v>
      </c>
      <c r="R2632" s="175">
        <v>1170</v>
      </c>
      <c r="S2632">
        <v>234</v>
      </c>
    </row>
    <row r="2633" spans="1:19" x14ac:dyDescent="0.25">
      <c r="A2633" s="87">
        <v>2019</v>
      </c>
      <c r="B2633" s="87">
        <v>11</v>
      </c>
      <c r="C2633" s="173" t="s">
        <v>16</v>
      </c>
      <c r="D2633" s="173" t="s">
        <v>229</v>
      </c>
      <c r="E2633" s="173" t="s">
        <v>24</v>
      </c>
      <c r="F2633" s="173" t="s">
        <v>16</v>
      </c>
      <c r="G2633" s="87" t="b">
        <v>1</v>
      </c>
      <c r="H2633" s="87" t="b">
        <v>0</v>
      </c>
      <c r="I2633" s="87" t="b">
        <v>0</v>
      </c>
      <c r="J2633" s="173" t="s">
        <v>478</v>
      </c>
      <c r="K2633" s="174">
        <v>19878404000100</v>
      </c>
      <c r="L2633" s="173" t="s">
        <v>1184</v>
      </c>
      <c r="M2633" s="173" t="s">
        <v>89</v>
      </c>
      <c r="N2633" s="173" t="s">
        <v>54</v>
      </c>
      <c r="O2633" s="87">
        <v>73</v>
      </c>
      <c r="P2633" s="173" t="s">
        <v>26</v>
      </c>
      <c r="Q2633" s="1" t="s">
        <v>1342</v>
      </c>
      <c r="R2633" s="175">
        <v>96</v>
      </c>
      <c r="S2633">
        <v>24</v>
      </c>
    </row>
    <row r="2634" spans="1:19" x14ac:dyDescent="0.25">
      <c r="A2634" s="87">
        <v>2019</v>
      </c>
      <c r="B2634" s="87">
        <v>11</v>
      </c>
      <c r="C2634" s="173" t="s">
        <v>16</v>
      </c>
      <c r="D2634" s="173" t="s">
        <v>229</v>
      </c>
      <c r="E2634" s="173" t="s">
        <v>24</v>
      </c>
      <c r="F2634" s="173" t="s">
        <v>16</v>
      </c>
      <c r="G2634" s="87" t="b">
        <v>1</v>
      </c>
      <c r="H2634" s="87" t="b">
        <v>0</v>
      </c>
      <c r="I2634" s="87" t="b">
        <v>0</v>
      </c>
      <c r="J2634" s="173" t="s">
        <v>470</v>
      </c>
      <c r="K2634" s="174">
        <v>20150900000122</v>
      </c>
      <c r="L2634" s="173" t="s">
        <v>1185</v>
      </c>
      <c r="M2634" s="173" t="s">
        <v>1171</v>
      </c>
      <c r="N2634" s="173" t="s">
        <v>54</v>
      </c>
      <c r="O2634" s="87">
        <v>73</v>
      </c>
      <c r="P2634" s="173" t="s">
        <v>26</v>
      </c>
      <c r="Q2634" s="1" t="s">
        <v>1339</v>
      </c>
      <c r="R2634" s="175">
        <v>4</v>
      </c>
      <c r="S2634">
        <v>2</v>
      </c>
    </row>
    <row r="2635" spans="1:19" x14ac:dyDescent="0.25">
      <c r="A2635" s="87">
        <v>2019</v>
      </c>
      <c r="B2635" s="87">
        <v>11</v>
      </c>
      <c r="C2635" s="173" t="s">
        <v>16</v>
      </c>
      <c r="D2635" s="173" t="s">
        <v>229</v>
      </c>
      <c r="E2635" s="173" t="s">
        <v>24</v>
      </c>
      <c r="F2635" s="173" t="s">
        <v>16</v>
      </c>
      <c r="G2635" s="87" t="b">
        <v>1</v>
      </c>
      <c r="H2635" s="87" t="b">
        <v>0</v>
      </c>
      <c r="I2635" s="87" t="b">
        <v>0</v>
      </c>
      <c r="J2635" s="173" t="s">
        <v>470</v>
      </c>
      <c r="K2635" s="174">
        <v>20150900000122</v>
      </c>
      <c r="L2635" s="173" t="s">
        <v>1185</v>
      </c>
      <c r="M2635" s="173" t="s">
        <v>1171</v>
      </c>
      <c r="N2635" s="173" t="s">
        <v>54</v>
      </c>
      <c r="O2635" s="87">
        <v>73</v>
      </c>
      <c r="P2635" s="173" t="s">
        <v>26</v>
      </c>
      <c r="Q2635" s="1" t="s">
        <v>1342</v>
      </c>
      <c r="R2635" s="175">
        <v>8</v>
      </c>
      <c r="S2635">
        <v>2</v>
      </c>
    </row>
    <row r="2636" spans="1:19" x14ac:dyDescent="0.25">
      <c r="A2636" s="87">
        <v>2019</v>
      </c>
      <c r="B2636" s="87">
        <v>11</v>
      </c>
      <c r="C2636" s="173" t="s">
        <v>16</v>
      </c>
      <c r="D2636" s="173" t="s">
        <v>229</v>
      </c>
      <c r="E2636" s="173" t="s">
        <v>24</v>
      </c>
      <c r="F2636" s="173" t="s">
        <v>16</v>
      </c>
      <c r="G2636" s="87" t="b">
        <v>1</v>
      </c>
      <c r="H2636" s="87" t="b">
        <v>0</v>
      </c>
      <c r="I2636" s="87" t="b">
        <v>0</v>
      </c>
      <c r="J2636" s="173" t="s">
        <v>450</v>
      </c>
      <c r="K2636" s="174">
        <v>20622890000180</v>
      </c>
      <c r="L2636" s="173" t="s">
        <v>1187</v>
      </c>
      <c r="M2636" s="173" t="s">
        <v>1188</v>
      </c>
      <c r="N2636" s="173" t="s">
        <v>54</v>
      </c>
      <c r="O2636" s="87">
        <v>70</v>
      </c>
      <c r="P2636" s="173" t="s">
        <v>20</v>
      </c>
      <c r="Q2636" s="1" t="s">
        <v>1338</v>
      </c>
      <c r="R2636" s="175">
        <v>325</v>
      </c>
      <c r="S2636">
        <v>65</v>
      </c>
    </row>
    <row r="2637" spans="1:19" x14ac:dyDescent="0.25">
      <c r="A2637" s="87">
        <v>2019</v>
      </c>
      <c r="B2637" s="87">
        <v>11</v>
      </c>
      <c r="C2637" s="173" t="s">
        <v>16</v>
      </c>
      <c r="D2637" s="173" t="s">
        <v>229</v>
      </c>
      <c r="E2637" s="173" t="s">
        <v>24</v>
      </c>
      <c r="F2637" s="173" t="s">
        <v>16</v>
      </c>
      <c r="G2637" s="87" t="b">
        <v>1</v>
      </c>
      <c r="H2637" s="87" t="b">
        <v>0</v>
      </c>
      <c r="I2637" s="87" t="b">
        <v>0</v>
      </c>
      <c r="J2637" s="173" t="s">
        <v>450</v>
      </c>
      <c r="K2637" s="174">
        <v>20812223000241</v>
      </c>
      <c r="L2637" s="173" t="s">
        <v>588</v>
      </c>
      <c r="M2637" s="173" t="s">
        <v>29</v>
      </c>
      <c r="N2637" s="173" t="s">
        <v>19</v>
      </c>
      <c r="O2637" s="87">
        <v>73</v>
      </c>
      <c r="P2637" s="173" t="s">
        <v>26</v>
      </c>
      <c r="Q2637" s="1" t="s">
        <v>1339</v>
      </c>
      <c r="R2637" s="175">
        <v>2</v>
      </c>
      <c r="S2637">
        <v>1</v>
      </c>
    </row>
    <row r="2638" spans="1:19" x14ac:dyDescent="0.25">
      <c r="A2638" s="87">
        <v>2019</v>
      </c>
      <c r="B2638" s="87">
        <v>11</v>
      </c>
      <c r="C2638" s="173" t="s">
        <v>16</v>
      </c>
      <c r="D2638" s="173" t="s">
        <v>229</v>
      </c>
      <c r="E2638" s="173" t="s">
        <v>24</v>
      </c>
      <c r="F2638" s="173" t="s">
        <v>16</v>
      </c>
      <c r="G2638" s="87" t="b">
        <v>1</v>
      </c>
      <c r="H2638" s="87" t="b">
        <v>0</v>
      </c>
      <c r="I2638" s="87" t="b">
        <v>0</v>
      </c>
      <c r="J2638" s="173" t="s">
        <v>450</v>
      </c>
      <c r="K2638" s="174">
        <v>20812223000241</v>
      </c>
      <c r="L2638" s="173" t="s">
        <v>588</v>
      </c>
      <c r="M2638" s="173" t="s">
        <v>29</v>
      </c>
      <c r="N2638" s="173" t="s">
        <v>19</v>
      </c>
      <c r="O2638" s="87">
        <v>73</v>
      </c>
      <c r="P2638" s="173" t="s">
        <v>26</v>
      </c>
      <c r="Q2638" s="1" t="s">
        <v>1342</v>
      </c>
      <c r="R2638" s="175">
        <v>20</v>
      </c>
      <c r="S2638">
        <v>5</v>
      </c>
    </row>
    <row r="2639" spans="1:19" x14ac:dyDescent="0.25">
      <c r="A2639" s="87">
        <v>2019</v>
      </c>
      <c r="B2639" s="87">
        <v>11</v>
      </c>
      <c r="C2639" s="173" t="s">
        <v>16</v>
      </c>
      <c r="D2639" s="173" t="s">
        <v>229</v>
      </c>
      <c r="E2639" s="173" t="s">
        <v>24</v>
      </c>
      <c r="F2639" s="173" t="s">
        <v>16</v>
      </c>
      <c r="G2639" s="87" t="b">
        <v>1</v>
      </c>
      <c r="H2639" s="87" t="b">
        <v>0</v>
      </c>
      <c r="I2639" s="87" t="b">
        <v>0</v>
      </c>
      <c r="J2639" s="173" t="s">
        <v>450</v>
      </c>
      <c r="K2639" s="174">
        <v>20812223000241</v>
      </c>
      <c r="L2639" s="173" t="s">
        <v>588</v>
      </c>
      <c r="M2639" s="173" t="s">
        <v>29</v>
      </c>
      <c r="N2639" s="173" t="s">
        <v>19</v>
      </c>
      <c r="O2639" s="87">
        <v>73</v>
      </c>
      <c r="P2639" s="173" t="s">
        <v>26</v>
      </c>
      <c r="Q2639" s="1" t="s">
        <v>1340</v>
      </c>
      <c r="R2639" s="175">
        <v>1</v>
      </c>
      <c r="S2639">
        <v>1</v>
      </c>
    </row>
    <row r="2640" spans="1:19" x14ac:dyDescent="0.25">
      <c r="A2640" s="87">
        <v>2019</v>
      </c>
      <c r="B2640" s="87">
        <v>11</v>
      </c>
      <c r="C2640" s="173" t="s">
        <v>16</v>
      </c>
      <c r="D2640" s="173" t="s">
        <v>229</v>
      </c>
      <c r="E2640" s="173" t="s">
        <v>24</v>
      </c>
      <c r="F2640" s="173" t="s">
        <v>16</v>
      </c>
      <c r="G2640" s="87" t="b">
        <v>1</v>
      </c>
      <c r="H2640" s="87" t="b">
        <v>0</v>
      </c>
      <c r="I2640" s="87" t="b">
        <v>0</v>
      </c>
      <c r="J2640" s="173" t="s">
        <v>470</v>
      </c>
      <c r="K2640" s="174">
        <v>20909271000171</v>
      </c>
      <c r="L2640" s="173" t="s">
        <v>1189</v>
      </c>
      <c r="M2640" s="173" t="s">
        <v>101</v>
      </c>
      <c r="N2640" s="173" t="s">
        <v>54</v>
      </c>
      <c r="O2640" s="87">
        <v>73</v>
      </c>
      <c r="P2640" s="173" t="s">
        <v>26</v>
      </c>
      <c r="Q2640" s="1" t="s">
        <v>1339</v>
      </c>
      <c r="R2640" s="175">
        <v>40</v>
      </c>
      <c r="S2640">
        <v>20</v>
      </c>
    </row>
    <row r="2641" spans="1:19" x14ac:dyDescent="0.25">
      <c r="A2641" s="87">
        <v>2019</v>
      </c>
      <c r="B2641" s="87">
        <v>11</v>
      </c>
      <c r="C2641" s="173" t="s">
        <v>16</v>
      </c>
      <c r="D2641" s="173" t="s">
        <v>229</v>
      </c>
      <c r="E2641" s="173" t="s">
        <v>24</v>
      </c>
      <c r="F2641" s="173" t="s">
        <v>16</v>
      </c>
      <c r="G2641" s="87" t="b">
        <v>1</v>
      </c>
      <c r="H2641" s="87" t="b">
        <v>0</v>
      </c>
      <c r="I2641" s="87" t="b">
        <v>0</v>
      </c>
      <c r="J2641" s="173" t="s">
        <v>477</v>
      </c>
      <c r="K2641" s="174">
        <v>21265360000195</v>
      </c>
      <c r="L2641" s="173" t="s">
        <v>1094</v>
      </c>
      <c r="M2641" s="173" t="s">
        <v>131</v>
      </c>
      <c r="N2641" s="173" t="s">
        <v>61</v>
      </c>
      <c r="O2641" s="87">
        <v>73</v>
      </c>
      <c r="P2641" s="173" t="s">
        <v>26</v>
      </c>
      <c r="Q2641" s="1" t="s">
        <v>1342</v>
      </c>
      <c r="R2641" s="175">
        <v>16</v>
      </c>
      <c r="S2641">
        <v>4</v>
      </c>
    </row>
    <row r="2642" spans="1:19" x14ac:dyDescent="0.25">
      <c r="A2642" s="87">
        <v>2019</v>
      </c>
      <c r="B2642" s="87">
        <v>11</v>
      </c>
      <c r="C2642" s="173" t="s">
        <v>16</v>
      </c>
      <c r="D2642" s="173" t="s">
        <v>229</v>
      </c>
      <c r="E2642" s="173" t="s">
        <v>24</v>
      </c>
      <c r="F2642" s="173" t="s">
        <v>16</v>
      </c>
      <c r="G2642" s="87" t="b">
        <v>1</v>
      </c>
      <c r="H2642" s="87" t="b">
        <v>0</v>
      </c>
      <c r="I2642" s="87" t="b">
        <v>0</v>
      </c>
      <c r="J2642" s="173" t="s">
        <v>1512</v>
      </c>
      <c r="K2642" s="174">
        <v>21371777000132</v>
      </c>
      <c r="L2642" s="173" t="s">
        <v>589</v>
      </c>
      <c r="M2642" s="173" t="s">
        <v>29</v>
      </c>
      <c r="N2642" s="173" t="s">
        <v>19</v>
      </c>
      <c r="O2642" s="87">
        <v>62</v>
      </c>
      <c r="P2642" s="173" t="s">
        <v>27</v>
      </c>
      <c r="Q2642" s="1" t="s">
        <v>1343</v>
      </c>
      <c r="R2642" s="175">
        <v>10</v>
      </c>
      <c r="S2642">
        <v>10</v>
      </c>
    </row>
    <row r="2643" spans="1:19" x14ac:dyDescent="0.25">
      <c r="A2643" s="87">
        <v>2019</v>
      </c>
      <c r="B2643" s="87">
        <v>11</v>
      </c>
      <c r="C2643" s="173" t="s">
        <v>16</v>
      </c>
      <c r="D2643" s="173" t="s">
        <v>229</v>
      </c>
      <c r="E2643" s="173" t="s">
        <v>24</v>
      </c>
      <c r="F2643" s="173" t="s">
        <v>16</v>
      </c>
      <c r="G2643" s="87" t="b">
        <v>1</v>
      </c>
      <c r="H2643" s="87" t="b">
        <v>0</v>
      </c>
      <c r="I2643" s="87" t="b">
        <v>0</v>
      </c>
      <c r="J2643" s="173" t="s">
        <v>491</v>
      </c>
      <c r="K2643" s="174">
        <v>21371777000132</v>
      </c>
      <c r="L2643" s="173" t="s">
        <v>589</v>
      </c>
      <c r="M2643" s="173" t="s">
        <v>29</v>
      </c>
      <c r="N2643" s="173" t="s">
        <v>19</v>
      </c>
      <c r="O2643" s="87">
        <v>70</v>
      </c>
      <c r="P2643" s="173" t="s">
        <v>20</v>
      </c>
      <c r="Q2643" s="1" t="s">
        <v>1338</v>
      </c>
      <c r="R2643" s="175">
        <v>100</v>
      </c>
      <c r="S2643">
        <v>20</v>
      </c>
    </row>
    <row r="2644" spans="1:19" x14ac:dyDescent="0.25">
      <c r="A2644" s="87">
        <v>2019</v>
      </c>
      <c r="B2644" s="87">
        <v>11</v>
      </c>
      <c r="C2644" s="173" t="s">
        <v>16</v>
      </c>
      <c r="D2644" s="173" t="s">
        <v>229</v>
      </c>
      <c r="E2644" s="173" t="s">
        <v>24</v>
      </c>
      <c r="F2644" s="173" t="s">
        <v>16</v>
      </c>
      <c r="G2644" s="87" t="b">
        <v>1</v>
      </c>
      <c r="H2644" s="87" t="b">
        <v>0</v>
      </c>
      <c r="I2644" s="87" t="b">
        <v>0</v>
      </c>
      <c r="J2644" s="173" t="s">
        <v>452</v>
      </c>
      <c r="K2644" s="174">
        <v>21998635000108</v>
      </c>
      <c r="L2644" s="173" t="s">
        <v>971</v>
      </c>
      <c r="M2644" s="173" t="s">
        <v>112</v>
      </c>
      <c r="N2644" s="173" t="s">
        <v>57</v>
      </c>
      <c r="O2644" s="87">
        <v>70</v>
      </c>
      <c r="P2644" s="173" t="s">
        <v>20</v>
      </c>
      <c r="Q2644" s="1" t="s">
        <v>1338</v>
      </c>
      <c r="R2644" s="175">
        <v>20</v>
      </c>
      <c r="S2644">
        <v>4</v>
      </c>
    </row>
    <row r="2645" spans="1:19" x14ac:dyDescent="0.25">
      <c r="A2645" s="87">
        <v>2019</v>
      </c>
      <c r="B2645" s="87">
        <v>11</v>
      </c>
      <c r="C2645" s="173" t="s">
        <v>16</v>
      </c>
      <c r="D2645" s="173" t="s">
        <v>229</v>
      </c>
      <c r="E2645" s="173" t="s">
        <v>24</v>
      </c>
      <c r="F2645" s="173" t="s">
        <v>16</v>
      </c>
      <c r="G2645" s="87" t="b">
        <v>1</v>
      </c>
      <c r="H2645" s="87" t="b">
        <v>0</v>
      </c>
      <c r="I2645" s="87" t="b">
        <v>0</v>
      </c>
      <c r="J2645" s="173" t="s">
        <v>463</v>
      </c>
      <c r="K2645" s="174">
        <v>23338387000196</v>
      </c>
      <c r="L2645" s="173" t="s">
        <v>1195</v>
      </c>
      <c r="M2645" s="173" t="s">
        <v>90</v>
      </c>
      <c r="N2645" s="173" t="s">
        <v>54</v>
      </c>
      <c r="O2645" s="87">
        <v>73</v>
      </c>
      <c r="P2645" s="173" t="s">
        <v>26</v>
      </c>
      <c r="Q2645" s="1" t="s">
        <v>1340</v>
      </c>
      <c r="R2645" s="175">
        <v>10</v>
      </c>
      <c r="S2645">
        <v>10</v>
      </c>
    </row>
    <row r="2646" spans="1:19" x14ac:dyDescent="0.25">
      <c r="A2646" s="87">
        <v>2019</v>
      </c>
      <c r="B2646" s="87">
        <v>11</v>
      </c>
      <c r="C2646" s="173" t="s">
        <v>16</v>
      </c>
      <c r="D2646" s="173" t="s">
        <v>229</v>
      </c>
      <c r="E2646" s="173" t="s">
        <v>24</v>
      </c>
      <c r="F2646" s="173" t="s">
        <v>16</v>
      </c>
      <c r="G2646" s="87" t="b">
        <v>1</v>
      </c>
      <c r="H2646" s="87" t="b">
        <v>0</v>
      </c>
      <c r="I2646" s="87" t="b">
        <v>0</v>
      </c>
      <c r="J2646" s="173" t="s">
        <v>470</v>
      </c>
      <c r="K2646" s="174">
        <v>23443518000103</v>
      </c>
      <c r="L2646" s="173" t="s">
        <v>903</v>
      </c>
      <c r="M2646" s="173" t="s">
        <v>76</v>
      </c>
      <c r="N2646" s="173" t="s">
        <v>77</v>
      </c>
      <c r="O2646" s="87">
        <v>64</v>
      </c>
      <c r="P2646" s="173" t="s">
        <v>25</v>
      </c>
      <c r="Q2646" s="1" t="s">
        <v>1344</v>
      </c>
      <c r="R2646" s="175">
        <v>3</v>
      </c>
      <c r="S2646">
        <v>3</v>
      </c>
    </row>
    <row r="2647" spans="1:19" x14ac:dyDescent="0.25">
      <c r="A2647" s="87">
        <v>2019</v>
      </c>
      <c r="B2647" s="87">
        <v>11</v>
      </c>
      <c r="C2647" s="173" t="s">
        <v>16</v>
      </c>
      <c r="D2647" s="173" t="s">
        <v>229</v>
      </c>
      <c r="E2647" s="173" t="s">
        <v>24</v>
      </c>
      <c r="F2647" s="173" t="s">
        <v>16</v>
      </c>
      <c r="G2647" s="87" t="b">
        <v>1</v>
      </c>
      <c r="H2647" s="87" t="b">
        <v>0</v>
      </c>
      <c r="I2647" s="87" t="b">
        <v>0</v>
      </c>
      <c r="J2647" s="173" t="s">
        <v>477</v>
      </c>
      <c r="K2647" s="174">
        <v>24217779000160</v>
      </c>
      <c r="L2647" s="173" t="s">
        <v>1097</v>
      </c>
      <c r="M2647" s="173" t="s">
        <v>131</v>
      </c>
      <c r="N2647" s="173" t="s">
        <v>61</v>
      </c>
      <c r="O2647" s="87">
        <v>62</v>
      </c>
      <c r="P2647" s="173" t="s">
        <v>27</v>
      </c>
      <c r="Q2647" s="1" t="s">
        <v>1343</v>
      </c>
      <c r="R2647" s="175">
        <v>3</v>
      </c>
      <c r="S2647">
        <v>3</v>
      </c>
    </row>
    <row r="2648" spans="1:19" x14ac:dyDescent="0.25">
      <c r="A2648" s="87">
        <v>2019</v>
      </c>
      <c r="B2648" s="87">
        <v>11</v>
      </c>
      <c r="C2648" s="173" t="s">
        <v>16</v>
      </c>
      <c r="D2648" s="173" t="s">
        <v>229</v>
      </c>
      <c r="E2648" s="173" t="s">
        <v>24</v>
      </c>
      <c r="F2648" s="173" t="s">
        <v>16</v>
      </c>
      <c r="G2648" s="87" t="b">
        <v>1</v>
      </c>
      <c r="H2648" s="87" t="b">
        <v>0</v>
      </c>
      <c r="I2648" s="87" t="b">
        <v>0</v>
      </c>
      <c r="J2648" s="173" t="s">
        <v>477</v>
      </c>
      <c r="K2648" s="174">
        <v>24217779000160</v>
      </c>
      <c r="L2648" s="173" t="s">
        <v>1097</v>
      </c>
      <c r="M2648" s="173" t="s">
        <v>131</v>
      </c>
      <c r="N2648" s="173" t="s">
        <v>61</v>
      </c>
      <c r="O2648" s="87">
        <v>64</v>
      </c>
      <c r="P2648" s="173" t="s">
        <v>25</v>
      </c>
      <c r="Q2648" s="1" t="s">
        <v>1344</v>
      </c>
      <c r="R2648" s="175">
        <v>4</v>
      </c>
      <c r="S2648">
        <v>4</v>
      </c>
    </row>
    <row r="2649" spans="1:19" x14ac:dyDescent="0.25">
      <c r="A2649" s="87">
        <v>2019</v>
      </c>
      <c r="B2649" s="87">
        <v>11</v>
      </c>
      <c r="C2649" s="173" t="s">
        <v>16</v>
      </c>
      <c r="D2649" s="173" t="s">
        <v>229</v>
      </c>
      <c r="E2649" s="173" t="s">
        <v>24</v>
      </c>
      <c r="F2649" s="173" t="s">
        <v>16</v>
      </c>
      <c r="G2649" s="87" t="b">
        <v>1</v>
      </c>
      <c r="H2649" s="87" t="b">
        <v>0</v>
      </c>
      <c r="I2649" s="87" t="b">
        <v>0</v>
      </c>
      <c r="J2649" s="173" t="s">
        <v>463</v>
      </c>
      <c r="K2649" s="174">
        <v>25026561000190</v>
      </c>
      <c r="L2649" s="173" t="s">
        <v>666</v>
      </c>
      <c r="M2649" s="173" t="s">
        <v>34</v>
      </c>
      <c r="N2649" s="173" t="s">
        <v>19</v>
      </c>
      <c r="O2649" s="87">
        <v>70</v>
      </c>
      <c r="P2649" s="173" t="s">
        <v>20</v>
      </c>
      <c r="Q2649" s="1" t="s">
        <v>1338</v>
      </c>
      <c r="R2649" s="175">
        <v>40</v>
      </c>
      <c r="S2649">
        <v>8</v>
      </c>
    </row>
    <row r="2650" spans="1:19" x14ac:dyDescent="0.25">
      <c r="A2650" s="87">
        <v>2019</v>
      </c>
      <c r="B2650" s="87">
        <v>11</v>
      </c>
      <c r="C2650" s="173" t="s">
        <v>16</v>
      </c>
      <c r="D2650" s="173" t="s">
        <v>229</v>
      </c>
      <c r="E2650" s="173" t="s">
        <v>24</v>
      </c>
      <c r="F2650" s="173" t="s">
        <v>16</v>
      </c>
      <c r="G2650" s="87" t="b">
        <v>1</v>
      </c>
      <c r="H2650" s="87" t="b">
        <v>0</v>
      </c>
      <c r="I2650" s="87" t="b">
        <v>0</v>
      </c>
      <c r="J2650" s="173" t="s">
        <v>1330</v>
      </c>
      <c r="K2650" s="174">
        <v>25648387000207</v>
      </c>
      <c r="L2650" s="173" t="s">
        <v>1201</v>
      </c>
      <c r="M2650" s="173" t="s">
        <v>1171</v>
      </c>
      <c r="N2650" s="173" t="s">
        <v>54</v>
      </c>
      <c r="O2650" s="87">
        <v>70</v>
      </c>
      <c r="P2650" s="173" t="s">
        <v>20</v>
      </c>
      <c r="Q2650" s="1" t="s">
        <v>1338</v>
      </c>
      <c r="R2650" s="175">
        <v>600</v>
      </c>
      <c r="S2650">
        <v>120</v>
      </c>
    </row>
    <row r="2651" spans="1:19" x14ac:dyDescent="0.25">
      <c r="A2651" s="87">
        <v>2019</v>
      </c>
      <c r="B2651" s="87">
        <v>11</v>
      </c>
      <c r="C2651" s="173" t="s">
        <v>16</v>
      </c>
      <c r="D2651" s="173" t="s">
        <v>229</v>
      </c>
      <c r="E2651" s="173" t="s">
        <v>24</v>
      </c>
      <c r="F2651" s="173" t="s">
        <v>16</v>
      </c>
      <c r="G2651" s="87" t="b">
        <v>1</v>
      </c>
      <c r="H2651" s="87" t="b">
        <v>0</v>
      </c>
      <c r="I2651" s="87" t="b">
        <v>0</v>
      </c>
      <c r="J2651" s="173" t="s">
        <v>491</v>
      </c>
      <c r="K2651" s="174">
        <v>27372066000169</v>
      </c>
      <c r="L2651" s="173" t="s">
        <v>908</v>
      </c>
      <c r="M2651" s="173" t="s">
        <v>75</v>
      </c>
      <c r="N2651" s="173" t="s">
        <v>74</v>
      </c>
      <c r="O2651" s="87">
        <v>62</v>
      </c>
      <c r="P2651" s="173" t="s">
        <v>27</v>
      </c>
      <c r="Q2651" s="1" t="s">
        <v>1343</v>
      </c>
      <c r="R2651" s="175">
        <v>5</v>
      </c>
      <c r="S2651">
        <v>5</v>
      </c>
    </row>
    <row r="2652" spans="1:19" x14ac:dyDescent="0.25">
      <c r="A2652" s="87">
        <v>2019</v>
      </c>
      <c r="B2652" s="87">
        <v>11</v>
      </c>
      <c r="C2652" s="173" t="s">
        <v>16</v>
      </c>
      <c r="D2652" s="173" t="s">
        <v>229</v>
      </c>
      <c r="E2652" s="173" t="s">
        <v>24</v>
      </c>
      <c r="F2652" s="173" t="s">
        <v>16</v>
      </c>
      <c r="G2652" s="87" t="b">
        <v>1</v>
      </c>
      <c r="H2652" s="87" t="b">
        <v>0</v>
      </c>
      <c r="I2652" s="87" t="b">
        <v>0</v>
      </c>
      <c r="J2652" s="173" t="s">
        <v>491</v>
      </c>
      <c r="K2652" s="174">
        <v>27372066000169</v>
      </c>
      <c r="L2652" s="173" t="s">
        <v>908</v>
      </c>
      <c r="M2652" s="173" t="s">
        <v>75</v>
      </c>
      <c r="N2652" s="173" t="s">
        <v>74</v>
      </c>
      <c r="O2652" s="87">
        <v>64</v>
      </c>
      <c r="P2652" s="173" t="s">
        <v>25</v>
      </c>
      <c r="Q2652" s="1" t="s">
        <v>1344</v>
      </c>
      <c r="R2652" s="175">
        <v>17</v>
      </c>
      <c r="S2652">
        <v>17</v>
      </c>
    </row>
    <row r="2653" spans="1:19" x14ac:dyDescent="0.25">
      <c r="A2653" s="87">
        <v>2019</v>
      </c>
      <c r="B2653" s="87">
        <v>11</v>
      </c>
      <c r="C2653" s="173" t="s">
        <v>16</v>
      </c>
      <c r="D2653" s="173" t="s">
        <v>229</v>
      </c>
      <c r="E2653" s="173" t="s">
        <v>24</v>
      </c>
      <c r="F2653" s="173" t="s">
        <v>16</v>
      </c>
      <c r="G2653" s="87" t="b">
        <v>1</v>
      </c>
      <c r="H2653" s="87" t="b">
        <v>0</v>
      </c>
      <c r="I2653" s="87" t="b">
        <v>0</v>
      </c>
      <c r="J2653" s="173" t="s">
        <v>468</v>
      </c>
      <c r="K2653" s="174">
        <v>27456372000183</v>
      </c>
      <c r="L2653" s="173" t="s">
        <v>909</v>
      </c>
      <c r="M2653" s="173" t="s">
        <v>745</v>
      </c>
      <c r="N2653" s="173" t="s">
        <v>59</v>
      </c>
      <c r="O2653" s="87">
        <v>64</v>
      </c>
      <c r="P2653" s="173" t="s">
        <v>25</v>
      </c>
      <c r="Q2653" s="1" t="s">
        <v>1344</v>
      </c>
      <c r="R2653" s="175">
        <v>2</v>
      </c>
      <c r="S2653">
        <v>2</v>
      </c>
    </row>
    <row r="2654" spans="1:19" x14ac:dyDescent="0.25">
      <c r="A2654" s="87">
        <v>2019</v>
      </c>
      <c r="B2654" s="87">
        <v>11</v>
      </c>
      <c r="C2654" s="173" t="s">
        <v>16</v>
      </c>
      <c r="D2654" s="173" t="s">
        <v>229</v>
      </c>
      <c r="E2654" s="173" t="s">
        <v>24</v>
      </c>
      <c r="F2654" s="173" t="s">
        <v>16</v>
      </c>
      <c r="G2654" s="87" t="b">
        <v>1</v>
      </c>
      <c r="H2654" s="87" t="b">
        <v>0</v>
      </c>
      <c r="I2654" s="87" t="b">
        <v>0</v>
      </c>
      <c r="J2654" s="173" t="s">
        <v>478</v>
      </c>
      <c r="K2654" s="174">
        <v>27578434001525</v>
      </c>
      <c r="L2654" s="173" t="s">
        <v>1208</v>
      </c>
      <c r="M2654" s="173" t="s">
        <v>1157</v>
      </c>
      <c r="N2654" s="173" t="s">
        <v>98</v>
      </c>
      <c r="O2654" s="87">
        <v>70</v>
      </c>
      <c r="P2654" s="173" t="s">
        <v>20</v>
      </c>
      <c r="Q2654" s="1" t="s">
        <v>1338</v>
      </c>
      <c r="R2654" s="175">
        <v>1000</v>
      </c>
      <c r="S2654">
        <v>200</v>
      </c>
    </row>
    <row r="2655" spans="1:19" x14ac:dyDescent="0.25">
      <c r="A2655" s="87">
        <v>2019</v>
      </c>
      <c r="B2655" s="87">
        <v>11</v>
      </c>
      <c r="C2655" s="173" t="s">
        <v>16</v>
      </c>
      <c r="D2655" s="173" t="s">
        <v>229</v>
      </c>
      <c r="E2655" s="173" t="s">
        <v>24</v>
      </c>
      <c r="F2655" s="173" t="s">
        <v>16</v>
      </c>
      <c r="G2655" s="87" t="b">
        <v>1</v>
      </c>
      <c r="H2655" s="87" t="b">
        <v>0</v>
      </c>
      <c r="I2655" s="87" t="b">
        <v>0</v>
      </c>
      <c r="J2655" s="173" t="s">
        <v>492</v>
      </c>
      <c r="K2655" s="174">
        <v>27578434001525</v>
      </c>
      <c r="L2655" s="173" t="s">
        <v>1208</v>
      </c>
      <c r="M2655" s="173" t="s">
        <v>1157</v>
      </c>
      <c r="N2655" s="173" t="s">
        <v>98</v>
      </c>
      <c r="O2655" s="87">
        <v>70</v>
      </c>
      <c r="P2655" s="173" t="s">
        <v>20</v>
      </c>
      <c r="Q2655" s="1" t="s">
        <v>1338</v>
      </c>
      <c r="R2655" s="175">
        <v>500</v>
      </c>
      <c r="S2655">
        <v>100</v>
      </c>
    </row>
    <row r="2656" spans="1:19" x14ac:dyDescent="0.25">
      <c r="A2656" s="87">
        <v>2019</v>
      </c>
      <c r="B2656" s="87">
        <v>11</v>
      </c>
      <c r="C2656" s="173" t="s">
        <v>16</v>
      </c>
      <c r="D2656" s="173" t="s">
        <v>229</v>
      </c>
      <c r="E2656" s="173" t="s">
        <v>24</v>
      </c>
      <c r="F2656" s="173" t="s">
        <v>16</v>
      </c>
      <c r="G2656" s="87" t="b">
        <v>1</v>
      </c>
      <c r="H2656" s="87" t="b">
        <v>0</v>
      </c>
      <c r="I2656" s="87" t="b">
        <v>0</v>
      </c>
      <c r="J2656" s="173" t="s">
        <v>491</v>
      </c>
      <c r="K2656" s="174">
        <v>27901222000131</v>
      </c>
      <c r="L2656" s="173" t="s">
        <v>1098</v>
      </c>
      <c r="M2656" s="173" t="s">
        <v>131</v>
      </c>
      <c r="N2656" s="173" t="s">
        <v>61</v>
      </c>
      <c r="O2656" s="87">
        <v>64</v>
      </c>
      <c r="P2656" s="173" t="s">
        <v>25</v>
      </c>
      <c r="Q2656" s="1" t="s">
        <v>1344</v>
      </c>
      <c r="R2656" s="175">
        <v>1</v>
      </c>
      <c r="S2656">
        <v>1</v>
      </c>
    </row>
    <row r="2657" spans="1:19" x14ac:dyDescent="0.25">
      <c r="A2657" s="87">
        <v>2019</v>
      </c>
      <c r="B2657" s="87">
        <v>11</v>
      </c>
      <c r="C2657" s="173" t="s">
        <v>16</v>
      </c>
      <c r="D2657" s="173" t="s">
        <v>229</v>
      </c>
      <c r="E2657" s="173" t="s">
        <v>24</v>
      </c>
      <c r="F2657" s="173" t="s">
        <v>16</v>
      </c>
      <c r="G2657" s="87" t="b">
        <v>1</v>
      </c>
      <c r="H2657" s="87" t="b">
        <v>0</v>
      </c>
      <c r="I2657" s="87" t="b">
        <v>0</v>
      </c>
      <c r="J2657" s="173" t="s">
        <v>491</v>
      </c>
      <c r="K2657" s="174">
        <v>28000107000159</v>
      </c>
      <c r="L2657" s="173" t="s">
        <v>1099</v>
      </c>
      <c r="M2657" s="173" t="s">
        <v>131</v>
      </c>
      <c r="N2657" s="173" t="s">
        <v>61</v>
      </c>
      <c r="O2657" s="87">
        <v>70</v>
      </c>
      <c r="P2657" s="173" t="s">
        <v>20</v>
      </c>
      <c r="Q2657" s="1" t="s">
        <v>1338</v>
      </c>
      <c r="R2657" s="175">
        <v>90</v>
      </c>
      <c r="S2657">
        <v>18</v>
      </c>
    </row>
    <row r="2658" spans="1:19" x14ac:dyDescent="0.25">
      <c r="A2658" s="87">
        <v>2019</v>
      </c>
      <c r="B2658" s="87">
        <v>11</v>
      </c>
      <c r="C2658" s="173" t="s">
        <v>16</v>
      </c>
      <c r="D2658" s="173" t="s">
        <v>229</v>
      </c>
      <c r="E2658" s="173" t="s">
        <v>24</v>
      </c>
      <c r="F2658" s="173" t="s">
        <v>16</v>
      </c>
      <c r="G2658" s="87" t="b">
        <v>1</v>
      </c>
      <c r="H2658" s="87" t="b">
        <v>0</v>
      </c>
      <c r="I2658" s="87" t="b">
        <v>0</v>
      </c>
      <c r="J2658" s="173" t="s">
        <v>451</v>
      </c>
      <c r="K2658" s="174">
        <v>28000107000159</v>
      </c>
      <c r="L2658" s="173" t="s">
        <v>1099</v>
      </c>
      <c r="M2658" s="173" t="s">
        <v>131</v>
      </c>
      <c r="N2658" s="173" t="s">
        <v>61</v>
      </c>
      <c r="O2658" s="87">
        <v>73</v>
      </c>
      <c r="P2658" s="173" t="s">
        <v>26</v>
      </c>
      <c r="Q2658" s="1" t="s">
        <v>1339</v>
      </c>
      <c r="R2658" s="175">
        <v>4</v>
      </c>
      <c r="S2658">
        <v>2</v>
      </c>
    </row>
    <row r="2659" spans="1:19" x14ac:dyDescent="0.25">
      <c r="A2659" s="87">
        <v>2019</v>
      </c>
      <c r="B2659" s="87">
        <v>11</v>
      </c>
      <c r="C2659" s="173" t="s">
        <v>16</v>
      </c>
      <c r="D2659" s="173" t="s">
        <v>229</v>
      </c>
      <c r="E2659" s="173" t="s">
        <v>24</v>
      </c>
      <c r="F2659" s="173" t="s">
        <v>16</v>
      </c>
      <c r="G2659" s="87" t="b">
        <v>1</v>
      </c>
      <c r="H2659" s="87" t="b">
        <v>0</v>
      </c>
      <c r="I2659" s="87" t="b">
        <v>0</v>
      </c>
      <c r="J2659" s="173" t="s">
        <v>451</v>
      </c>
      <c r="K2659" s="174">
        <v>28000107000159</v>
      </c>
      <c r="L2659" s="173" t="s">
        <v>1099</v>
      </c>
      <c r="M2659" s="173" t="s">
        <v>131</v>
      </c>
      <c r="N2659" s="173" t="s">
        <v>61</v>
      </c>
      <c r="O2659" s="87">
        <v>73</v>
      </c>
      <c r="P2659" s="173" t="s">
        <v>26</v>
      </c>
      <c r="Q2659" s="1" t="s">
        <v>1342</v>
      </c>
      <c r="R2659" s="175">
        <v>36</v>
      </c>
      <c r="S2659">
        <v>9</v>
      </c>
    </row>
    <row r="2660" spans="1:19" x14ac:dyDescent="0.25">
      <c r="A2660" s="87">
        <v>2019</v>
      </c>
      <c r="B2660" s="87">
        <v>11</v>
      </c>
      <c r="C2660" s="173" t="s">
        <v>16</v>
      </c>
      <c r="D2660" s="173" t="s">
        <v>229</v>
      </c>
      <c r="E2660" s="173" t="s">
        <v>24</v>
      </c>
      <c r="F2660" s="173" t="s">
        <v>16</v>
      </c>
      <c r="G2660" s="87" t="b">
        <v>1</v>
      </c>
      <c r="H2660" s="87" t="b">
        <v>0</v>
      </c>
      <c r="I2660" s="87" t="b">
        <v>0</v>
      </c>
      <c r="J2660" s="173" t="s">
        <v>1330</v>
      </c>
      <c r="K2660" s="174">
        <v>28102490000156</v>
      </c>
      <c r="L2660" s="173" t="s">
        <v>1209</v>
      </c>
      <c r="M2660" s="173" t="s">
        <v>76</v>
      </c>
      <c r="N2660" s="173" t="s">
        <v>77</v>
      </c>
      <c r="O2660" s="87">
        <v>73</v>
      </c>
      <c r="P2660" s="173" t="s">
        <v>26</v>
      </c>
      <c r="Q2660" s="1" t="s">
        <v>1339</v>
      </c>
      <c r="R2660" s="175">
        <v>10</v>
      </c>
      <c r="S2660">
        <v>5</v>
      </c>
    </row>
    <row r="2661" spans="1:19" x14ac:dyDescent="0.25">
      <c r="A2661" s="87">
        <v>2019</v>
      </c>
      <c r="B2661" s="87">
        <v>11</v>
      </c>
      <c r="C2661" s="173" t="s">
        <v>16</v>
      </c>
      <c r="D2661" s="173" t="s">
        <v>229</v>
      </c>
      <c r="E2661" s="173" t="s">
        <v>24</v>
      </c>
      <c r="F2661" s="173" t="s">
        <v>16</v>
      </c>
      <c r="G2661" s="87" t="b">
        <v>1</v>
      </c>
      <c r="H2661" s="87" t="b">
        <v>0</v>
      </c>
      <c r="I2661" s="87" t="b">
        <v>0</v>
      </c>
      <c r="J2661" s="173" t="s">
        <v>1330</v>
      </c>
      <c r="K2661" s="174">
        <v>28102490000156</v>
      </c>
      <c r="L2661" s="173" t="s">
        <v>1209</v>
      </c>
      <c r="M2661" s="173" t="s">
        <v>76</v>
      </c>
      <c r="N2661" s="173" t="s">
        <v>77</v>
      </c>
      <c r="O2661" s="87">
        <v>73</v>
      </c>
      <c r="P2661" s="173" t="s">
        <v>26</v>
      </c>
      <c r="Q2661" s="1" t="s">
        <v>1342</v>
      </c>
      <c r="R2661" s="175">
        <v>20</v>
      </c>
      <c r="S2661">
        <v>5</v>
      </c>
    </row>
    <row r="2662" spans="1:19" x14ac:dyDescent="0.25">
      <c r="A2662" s="87">
        <v>2019</v>
      </c>
      <c r="B2662" s="87">
        <v>11</v>
      </c>
      <c r="C2662" s="173" t="s">
        <v>16</v>
      </c>
      <c r="D2662" s="173" t="s">
        <v>229</v>
      </c>
      <c r="E2662" s="173" t="s">
        <v>24</v>
      </c>
      <c r="F2662" s="173" t="s">
        <v>16</v>
      </c>
      <c r="G2662" s="87" t="b">
        <v>1</v>
      </c>
      <c r="H2662" s="87" t="b">
        <v>0</v>
      </c>
      <c r="I2662" s="87" t="b">
        <v>0</v>
      </c>
      <c r="J2662" s="173" t="s">
        <v>478</v>
      </c>
      <c r="K2662" s="174">
        <v>28137925000106</v>
      </c>
      <c r="L2662" s="173" t="s">
        <v>1210</v>
      </c>
      <c r="M2662" s="173" t="s">
        <v>1157</v>
      </c>
      <c r="N2662" s="173" t="s">
        <v>98</v>
      </c>
      <c r="O2662" s="87">
        <v>70</v>
      </c>
      <c r="P2662" s="173" t="s">
        <v>20</v>
      </c>
      <c r="Q2662" s="1" t="s">
        <v>1338</v>
      </c>
      <c r="R2662" s="175">
        <v>150</v>
      </c>
      <c r="S2662">
        <v>30</v>
      </c>
    </row>
    <row r="2663" spans="1:19" x14ac:dyDescent="0.25">
      <c r="A2663" s="87">
        <v>2019</v>
      </c>
      <c r="B2663" s="87">
        <v>11</v>
      </c>
      <c r="C2663" s="173" t="s">
        <v>16</v>
      </c>
      <c r="D2663" s="173" t="s">
        <v>229</v>
      </c>
      <c r="E2663" s="173" t="s">
        <v>24</v>
      </c>
      <c r="F2663" s="173" t="s">
        <v>16</v>
      </c>
      <c r="G2663" s="87" t="b">
        <v>1</v>
      </c>
      <c r="H2663" s="87" t="b">
        <v>0</v>
      </c>
      <c r="I2663" s="87" t="b">
        <v>0</v>
      </c>
      <c r="J2663" s="173" t="s">
        <v>464</v>
      </c>
      <c r="K2663" s="174">
        <v>28602407000108</v>
      </c>
      <c r="L2663" s="173" t="s">
        <v>1100</v>
      </c>
      <c r="M2663" s="173" t="s">
        <v>131</v>
      </c>
      <c r="N2663" s="173" t="s">
        <v>61</v>
      </c>
      <c r="O2663" s="87">
        <v>64</v>
      </c>
      <c r="P2663" s="173" t="s">
        <v>25</v>
      </c>
      <c r="Q2663" s="1" t="s">
        <v>1344</v>
      </c>
      <c r="R2663" s="175">
        <v>4</v>
      </c>
      <c r="S2663">
        <v>4</v>
      </c>
    </row>
    <row r="2664" spans="1:19" x14ac:dyDescent="0.25">
      <c r="A2664" s="87">
        <v>2019</v>
      </c>
      <c r="B2664" s="87">
        <v>11</v>
      </c>
      <c r="C2664" s="173" t="s">
        <v>16</v>
      </c>
      <c r="D2664" s="173" t="s">
        <v>229</v>
      </c>
      <c r="E2664" s="173" t="s">
        <v>24</v>
      </c>
      <c r="F2664" s="173" t="s">
        <v>16</v>
      </c>
      <c r="G2664" s="87" t="b">
        <v>1</v>
      </c>
      <c r="H2664" s="87" t="b">
        <v>0</v>
      </c>
      <c r="I2664" s="87" t="b">
        <v>0</v>
      </c>
      <c r="J2664" s="173" t="s">
        <v>477</v>
      </c>
      <c r="K2664" s="174">
        <v>28602407000108</v>
      </c>
      <c r="L2664" s="173" t="s">
        <v>1100</v>
      </c>
      <c r="M2664" s="173" t="s">
        <v>131</v>
      </c>
      <c r="N2664" s="173" t="s">
        <v>61</v>
      </c>
      <c r="O2664" s="87">
        <v>73</v>
      </c>
      <c r="P2664" s="173" t="s">
        <v>26</v>
      </c>
      <c r="Q2664" s="1" t="s">
        <v>1339</v>
      </c>
      <c r="R2664" s="175">
        <v>4</v>
      </c>
      <c r="S2664">
        <v>2</v>
      </c>
    </row>
    <row r="2665" spans="1:19" x14ac:dyDescent="0.25">
      <c r="A2665" s="87">
        <v>2019</v>
      </c>
      <c r="B2665" s="87">
        <v>11</v>
      </c>
      <c r="C2665" s="173" t="s">
        <v>16</v>
      </c>
      <c r="D2665" s="173" t="s">
        <v>229</v>
      </c>
      <c r="E2665" s="173" t="s">
        <v>24</v>
      </c>
      <c r="F2665" s="173" t="s">
        <v>16</v>
      </c>
      <c r="G2665" s="87" t="b">
        <v>1</v>
      </c>
      <c r="H2665" s="87" t="b">
        <v>0</v>
      </c>
      <c r="I2665" s="87" t="b">
        <v>0</v>
      </c>
      <c r="J2665" s="173" t="s">
        <v>477</v>
      </c>
      <c r="K2665" s="174">
        <v>28806545000532</v>
      </c>
      <c r="L2665" s="173" t="s">
        <v>1050</v>
      </c>
      <c r="M2665" s="173" t="s">
        <v>1051</v>
      </c>
      <c r="N2665" s="173" t="s">
        <v>61</v>
      </c>
      <c r="O2665" s="87">
        <v>73</v>
      </c>
      <c r="P2665" s="173" t="s">
        <v>26</v>
      </c>
      <c r="Q2665" s="1" t="s">
        <v>1342</v>
      </c>
      <c r="R2665" s="175">
        <v>48</v>
      </c>
      <c r="S2665">
        <v>12</v>
      </c>
    </row>
    <row r="2666" spans="1:19" x14ac:dyDescent="0.25">
      <c r="A2666" s="87">
        <v>2019</v>
      </c>
      <c r="B2666" s="87">
        <v>11</v>
      </c>
      <c r="C2666" s="173" t="s">
        <v>16</v>
      </c>
      <c r="D2666" s="173" t="s">
        <v>229</v>
      </c>
      <c r="E2666" s="173" t="s">
        <v>24</v>
      </c>
      <c r="F2666" s="173" t="s">
        <v>16</v>
      </c>
      <c r="G2666" s="87" t="b">
        <v>1</v>
      </c>
      <c r="H2666" s="87" t="b">
        <v>0</v>
      </c>
      <c r="I2666" s="87" t="b">
        <v>0</v>
      </c>
      <c r="J2666" s="173" t="s">
        <v>1512</v>
      </c>
      <c r="K2666" s="174">
        <v>28806545000532</v>
      </c>
      <c r="L2666" s="173" t="s">
        <v>1050</v>
      </c>
      <c r="M2666" s="173" t="s">
        <v>1051</v>
      </c>
      <c r="N2666" s="173" t="s">
        <v>61</v>
      </c>
      <c r="O2666" s="87">
        <v>73</v>
      </c>
      <c r="P2666" s="173" t="s">
        <v>26</v>
      </c>
      <c r="Q2666" s="1" t="s">
        <v>1342</v>
      </c>
      <c r="R2666" s="175">
        <v>24</v>
      </c>
      <c r="S2666">
        <v>6</v>
      </c>
    </row>
    <row r="2667" spans="1:19" x14ac:dyDescent="0.25">
      <c r="A2667" s="87">
        <v>2019</v>
      </c>
      <c r="B2667" s="87">
        <v>11</v>
      </c>
      <c r="C2667" s="173" t="s">
        <v>16</v>
      </c>
      <c r="D2667" s="173" t="s">
        <v>229</v>
      </c>
      <c r="E2667" s="173" t="s">
        <v>24</v>
      </c>
      <c r="F2667" s="173" t="s">
        <v>16</v>
      </c>
      <c r="G2667" s="87" t="b">
        <v>1</v>
      </c>
      <c r="H2667" s="87" t="b">
        <v>0</v>
      </c>
      <c r="I2667" s="87" t="b">
        <v>0</v>
      </c>
      <c r="J2667" s="173" t="s">
        <v>491</v>
      </c>
      <c r="K2667" s="174">
        <v>29072642000188</v>
      </c>
      <c r="L2667" s="173" t="s">
        <v>1052</v>
      </c>
      <c r="M2667" s="173" t="s">
        <v>92</v>
      </c>
      <c r="N2667" s="173" t="s">
        <v>61</v>
      </c>
      <c r="O2667" s="87">
        <v>64</v>
      </c>
      <c r="P2667" s="173" t="s">
        <v>25</v>
      </c>
      <c r="Q2667" s="1" t="s">
        <v>1344</v>
      </c>
      <c r="R2667" s="175">
        <v>6</v>
      </c>
      <c r="S2667">
        <v>6</v>
      </c>
    </row>
    <row r="2668" spans="1:19" x14ac:dyDescent="0.25">
      <c r="A2668" s="87">
        <v>2019</v>
      </c>
      <c r="B2668" s="87">
        <v>11</v>
      </c>
      <c r="C2668" s="173" t="s">
        <v>16</v>
      </c>
      <c r="D2668" s="173" t="s">
        <v>229</v>
      </c>
      <c r="E2668" s="173" t="s">
        <v>24</v>
      </c>
      <c r="F2668" s="173" t="s">
        <v>16</v>
      </c>
      <c r="G2668" s="87" t="b">
        <v>1</v>
      </c>
      <c r="H2668" s="87" t="b">
        <v>0</v>
      </c>
      <c r="I2668" s="87" t="b">
        <v>0</v>
      </c>
      <c r="J2668" s="173" t="s">
        <v>450</v>
      </c>
      <c r="K2668" s="174">
        <v>29135795000208</v>
      </c>
      <c r="L2668" s="173" t="s">
        <v>1053</v>
      </c>
      <c r="M2668" s="173" t="s">
        <v>120</v>
      </c>
      <c r="N2668" s="173" t="s">
        <v>61</v>
      </c>
      <c r="O2668" s="87">
        <v>70</v>
      </c>
      <c r="P2668" s="173" t="s">
        <v>20</v>
      </c>
      <c r="Q2668" s="1" t="s">
        <v>1338</v>
      </c>
      <c r="R2668" s="175">
        <v>75</v>
      </c>
      <c r="S2668">
        <v>15</v>
      </c>
    </row>
    <row r="2669" spans="1:19" x14ac:dyDescent="0.25">
      <c r="A2669" s="87">
        <v>2019</v>
      </c>
      <c r="B2669" s="87">
        <v>11</v>
      </c>
      <c r="C2669" s="173" t="s">
        <v>16</v>
      </c>
      <c r="D2669" s="173" t="s">
        <v>229</v>
      </c>
      <c r="E2669" s="173" t="s">
        <v>24</v>
      </c>
      <c r="F2669" s="173" t="s">
        <v>16</v>
      </c>
      <c r="G2669" s="87" t="b">
        <v>1</v>
      </c>
      <c r="H2669" s="87" t="b">
        <v>0</v>
      </c>
      <c r="I2669" s="87" t="b">
        <v>0</v>
      </c>
      <c r="J2669" s="173" t="s">
        <v>491</v>
      </c>
      <c r="K2669" s="174">
        <v>29259736000403</v>
      </c>
      <c r="L2669" s="173" t="s">
        <v>1101</v>
      </c>
      <c r="M2669" s="173" t="s">
        <v>131</v>
      </c>
      <c r="N2669" s="173" t="s">
        <v>61</v>
      </c>
      <c r="O2669" s="87">
        <v>64</v>
      </c>
      <c r="P2669" s="173" t="s">
        <v>25</v>
      </c>
      <c r="Q2669" s="1" t="s">
        <v>1344</v>
      </c>
      <c r="R2669" s="175">
        <v>2</v>
      </c>
      <c r="S2669">
        <v>2</v>
      </c>
    </row>
    <row r="2670" spans="1:19" x14ac:dyDescent="0.25">
      <c r="A2670" s="87">
        <v>2019</v>
      </c>
      <c r="B2670" s="87">
        <v>11</v>
      </c>
      <c r="C2670" s="173" t="s">
        <v>16</v>
      </c>
      <c r="D2670" s="173" t="s">
        <v>229</v>
      </c>
      <c r="E2670" s="173" t="s">
        <v>24</v>
      </c>
      <c r="F2670" s="173" t="s">
        <v>16</v>
      </c>
      <c r="G2670" s="87" t="b">
        <v>1</v>
      </c>
      <c r="H2670" s="87" t="b">
        <v>0</v>
      </c>
      <c r="I2670" s="87" t="b">
        <v>0</v>
      </c>
      <c r="J2670" s="173" t="s">
        <v>477</v>
      </c>
      <c r="K2670" s="174">
        <v>29259736000403</v>
      </c>
      <c r="L2670" s="173" t="s">
        <v>1101</v>
      </c>
      <c r="M2670" s="173" t="s">
        <v>131</v>
      </c>
      <c r="N2670" s="173" t="s">
        <v>61</v>
      </c>
      <c r="O2670" s="87">
        <v>73</v>
      </c>
      <c r="P2670" s="173" t="s">
        <v>26</v>
      </c>
      <c r="Q2670" s="1" t="s">
        <v>1340</v>
      </c>
      <c r="R2670" s="175">
        <v>5</v>
      </c>
      <c r="S2670">
        <v>5</v>
      </c>
    </row>
    <row r="2671" spans="1:19" x14ac:dyDescent="0.25">
      <c r="A2671" s="87">
        <v>2019</v>
      </c>
      <c r="B2671" s="87">
        <v>11</v>
      </c>
      <c r="C2671" s="173" t="s">
        <v>16</v>
      </c>
      <c r="D2671" s="173" t="s">
        <v>229</v>
      </c>
      <c r="E2671" s="173" t="s">
        <v>24</v>
      </c>
      <c r="F2671" s="173" t="s">
        <v>16</v>
      </c>
      <c r="G2671" s="87" t="b">
        <v>1</v>
      </c>
      <c r="H2671" s="87" t="b">
        <v>0</v>
      </c>
      <c r="I2671" s="87" t="b">
        <v>0</v>
      </c>
      <c r="J2671" s="173" t="s">
        <v>491</v>
      </c>
      <c r="K2671" s="174">
        <v>29259736000403</v>
      </c>
      <c r="L2671" s="173" t="s">
        <v>1101</v>
      </c>
      <c r="M2671" s="173" t="s">
        <v>131</v>
      </c>
      <c r="N2671" s="173" t="s">
        <v>61</v>
      </c>
      <c r="O2671" s="87">
        <v>73</v>
      </c>
      <c r="P2671" s="173" t="s">
        <v>26</v>
      </c>
      <c r="Q2671" s="1" t="s">
        <v>1342</v>
      </c>
      <c r="R2671" s="175">
        <v>24</v>
      </c>
      <c r="S2671">
        <v>6</v>
      </c>
    </row>
    <row r="2672" spans="1:19" x14ac:dyDescent="0.25">
      <c r="A2672" s="87">
        <v>2019</v>
      </c>
      <c r="B2672" s="87">
        <v>11</v>
      </c>
      <c r="C2672" s="173" t="s">
        <v>16</v>
      </c>
      <c r="D2672" s="173" t="s">
        <v>229</v>
      </c>
      <c r="E2672" s="173" t="s">
        <v>24</v>
      </c>
      <c r="F2672" s="173" t="s">
        <v>16</v>
      </c>
      <c r="G2672" s="87" t="b">
        <v>1</v>
      </c>
      <c r="H2672" s="87" t="b">
        <v>0</v>
      </c>
      <c r="I2672" s="87" t="b">
        <v>0</v>
      </c>
      <c r="J2672" s="173" t="s">
        <v>470</v>
      </c>
      <c r="K2672" s="174">
        <v>29435005002687</v>
      </c>
      <c r="L2672" s="173" t="s">
        <v>593</v>
      </c>
      <c r="M2672" s="173" t="s">
        <v>29</v>
      </c>
      <c r="N2672" s="173" t="s">
        <v>19</v>
      </c>
      <c r="O2672" s="87">
        <v>70</v>
      </c>
      <c r="P2672" s="173" t="s">
        <v>20</v>
      </c>
      <c r="Q2672" s="1" t="s">
        <v>1338</v>
      </c>
      <c r="R2672" s="175">
        <v>500</v>
      </c>
      <c r="S2672">
        <v>100</v>
      </c>
    </row>
    <row r="2673" spans="1:19" x14ac:dyDescent="0.25">
      <c r="A2673" s="87">
        <v>2019</v>
      </c>
      <c r="B2673" s="87">
        <v>11</v>
      </c>
      <c r="C2673" s="173" t="s">
        <v>16</v>
      </c>
      <c r="D2673" s="173" t="s">
        <v>229</v>
      </c>
      <c r="E2673" s="173" t="s">
        <v>24</v>
      </c>
      <c r="F2673" s="173" t="s">
        <v>16</v>
      </c>
      <c r="G2673" s="87" t="b">
        <v>1</v>
      </c>
      <c r="H2673" s="87" t="b">
        <v>0</v>
      </c>
      <c r="I2673" s="87" t="b">
        <v>0</v>
      </c>
      <c r="J2673" s="173" t="s">
        <v>470</v>
      </c>
      <c r="K2673" s="174">
        <v>29435005003497</v>
      </c>
      <c r="L2673" s="173" t="s">
        <v>1054</v>
      </c>
      <c r="M2673" s="173" t="s">
        <v>78</v>
      </c>
      <c r="N2673" s="173" t="s">
        <v>61</v>
      </c>
      <c r="O2673" s="87">
        <v>70</v>
      </c>
      <c r="P2673" s="173" t="s">
        <v>20</v>
      </c>
      <c r="Q2673" s="1" t="s">
        <v>1338</v>
      </c>
      <c r="R2673" s="175">
        <v>100</v>
      </c>
      <c r="S2673">
        <v>20</v>
      </c>
    </row>
    <row r="2674" spans="1:19" x14ac:dyDescent="0.25">
      <c r="A2674" s="87">
        <v>2019</v>
      </c>
      <c r="B2674" s="87">
        <v>11</v>
      </c>
      <c r="C2674" s="173" t="s">
        <v>16</v>
      </c>
      <c r="D2674" s="173" t="s">
        <v>229</v>
      </c>
      <c r="E2674" s="173" t="s">
        <v>24</v>
      </c>
      <c r="F2674" s="173" t="s">
        <v>16</v>
      </c>
      <c r="G2674" s="87" t="b">
        <v>1</v>
      </c>
      <c r="H2674" s="87" t="b">
        <v>0</v>
      </c>
      <c r="I2674" s="87" t="b">
        <v>0</v>
      </c>
      <c r="J2674" s="173" t="s">
        <v>470</v>
      </c>
      <c r="K2674" s="174">
        <v>29435005004540</v>
      </c>
      <c r="L2674" s="173" t="s">
        <v>594</v>
      </c>
      <c r="M2674" s="173" t="s">
        <v>29</v>
      </c>
      <c r="N2674" s="173" t="s">
        <v>19</v>
      </c>
      <c r="O2674" s="87">
        <v>70</v>
      </c>
      <c r="P2674" s="173" t="s">
        <v>20</v>
      </c>
      <c r="Q2674" s="1" t="s">
        <v>1338</v>
      </c>
      <c r="R2674" s="175">
        <v>150</v>
      </c>
      <c r="S2674">
        <v>30</v>
      </c>
    </row>
    <row r="2675" spans="1:19" x14ac:dyDescent="0.25">
      <c r="A2675" s="87">
        <v>2019</v>
      </c>
      <c r="B2675" s="87">
        <v>11</v>
      </c>
      <c r="C2675" s="173" t="s">
        <v>16</v>
      </c>
      <c r="D2675" s="173" t="s">
        <v>229</v>
      </c>
      <c r="E2675" s="173" t="s">
        <v>24</v>
      </c>
      <c r="F2675" s="173" t="s">
        <v>16</v>
      </c>
      <c r="G2675" s="87" t="b">
        <v>1</v>
      </c>
      <c r="H2675" s="87" t="b">
        <v>0</v>
      </c>
      <c r="I2675" s="87" t="b">
        <v>0</v>
      </c>
      <c r="J2675" s="173" t="s">
        <v>470</v>
      </c>
      <c r="K2675" s="174">
        <v>29435005005198</v>
      </c>
      <c r="L2675" s="173" t="s">
        <v>1102</v>
      </c>
      <c r="M2675" s="173" t="s">
        <v>131</v>
      </c>
      <c r="N2675" s="173" t="s">
        <v>61</v>
      </c>
      <c r="O2675" s="87">
        <v>62</v>
      </c>
      <c r="P2675" s="173" t="s">
        <v>27</v>
      </c>
      <c r="Q2675" s="1" t="s">
        <v>1343</v>
      </c>
      <c r="R2675" s="175">
        <v>12</v>
      </c>
      <c r="S2675">
        <v>12</v>
      </c>
    </row>
    <row r="2676" spans="1:19" x14ac:dyDescent="0.25">
      <c r="A2676" s="87">
        <v>2019</v>
      </c>
      <c r="B2676" s="87">
        <v>11</v>
      </c>
      <c r="C2676" s="173" t="s">
        <v>16</v>
      </c>
      <c r="D2676" s="173" t="s">
        <v>229</v>
      </c>
      <c r="E2676" s="173" t="s">
        <v>24</v>
      </c>
      <c r="F2676" s="173" t="s">
        <v>16</v>
      </c>
      <c r="G2676" s="87" t="b">
        <v>1</v>
      </c>
      <c r="H2676" s="87" t="b">
        <v>0</v>
      </c>
      <c r="I2676" s="87" t="b">
        <v>0</v>
      </c>
      <c r="J2676" s="173" t="s">
        <v>470</v>
      </c>
      <c r="K2676" s="174">
        <v>29435005005198</v>
      </c>
      <c r="L2676" s="173" t="s">
        <v>1102</v>
      </c>
      <c r="M2676" s="173" t="s">
        <v>131</v>
      </c>
      <c r="N2676" s="173" t="s">
        <v>61</v>
      </c>
      <c r="O2676" s="87">
        <v>64</v>
      </c>
      <c r="P2676" s="173" t="s">
        <v>25</v>
      </c>
      <c r="Q2676" s="1" t="s">
        <v>1344</v>
      </c>
      <c r="R2676" s="175">
        <v>10</v>
      </c>
      <c r="S2676">
        <v>10</v>
      </c>
    </row>
    <row r="2677" spans="1:19" x14ac:dyDescent="0.25">
      <c r="A2677" s="87">
        <v>2019</v>
      </c>
      <c r="B2677" s="87">
        <v>11</v>
      </c>
      <c r="C2677" s="173" t="s">
        <v>16</v>
      </c>
      <c r="D2677" s="173" t="s">
        <v>229</v>
      </c>
      <c r="E2677" s="173" t="s">
        <v>24</v>
      </c>
      <c r="F2677" s="173" t="s">
        <v>16</v>
      </c>
      <c r="G2677" s="87" t="b">
        <v>1</v>
      </c>
      <c r="H2677" s="87" t="b">
        <v>0</v>
      </c>
      <c r="I2677" s="87" t="b">
        <v>0</v>
      </c>
      <c r="J2677" s="173" t="s">
        <v>477</v>
      </c>
      <c r="K2677" s="174">
        <v>29435005005198</v>
      </c>
      <c r="L2677" s="173" t="s">
        <v>1102</v>
      </c>
      <c r="M2677" s="173" t="s">
        <v>131</v>
      </c>
      <c r="N2677" s="173" t="s">
        <v>61</v>
      </c>
      <c r="O2677" s="87">
        <v>70</v>
      </c>
      <c r="P2677" s="173" t="s">
        <v>20</v>
      </c>
      <c r="Q2677" s="1" t="s">
        <v>1338</v>
      </c>
      <c r="R2677" s="175">
        <v>200</v>
      </c>
      <c r="S2677">
        <v>40</v>
      </c>
    </row>
    <row r="2678" spans="1:19" x14ac:dyDescent="0.25">
      <c r="A2678" s="87">
        <v>2019</v>
      </c>
      <c r="B2678" s="87">
        <v>11</v>
      </c>
      <c r="C2678" s="173" t="s">
        <v>16</v>
      </c>
      <c r="D2678" s="173" t="s">
        <v>229</v>
      </c>
      <c r="E2678" s="173" t="s">
        <v>24</v>
      </c>
      <c r="F2678" s="173" t="s">
        <v>16</v>
      </c>
      <c r="G2678" s="87" t="b">
        <v>1</v>
      </c>
      <c r="H2678" s="87" t="b">
        <v>0</v>
      </c>
      <c r="I2678" s="87" t="b">
        <v>0</v>
      </c>
      <c r="J2678" s="173" t="s">
        <v>470</v>
      </c>
      <c r="K2678" s="174">
        <v>29435005005600</v>
      </c>
      <c r="L2678" s="173" t="s">
        <v>974</v>
      </c>
      <c r="M2678" s="173" t="s">
        <v>94</v>
      </c>
      <c r="N2678" s="173" t="s">
        <v>57</v>
      </c>
      <c r="O2678" s="87">
        <v>70</v>
      </c>
      <c r="P2678" s="173" t="s">
        <v>20</v>
      </c>
      <c r="Q2678" s="1" t="s">
        <v>1338</v>
      </c>
      <c r="R2678" s="175">
        <v>55</v>
      </c>
      <c r="S2678">
        <v>11</v>
      </c>
    </row>
    <row r="2679" spans="1:19" x14ac:dyDescent="0.25">
      <c r="A2679" s="87">
        <v>2019</v>
      </c>
      <c r="B2679" s="87">
        <v>11</v>
      </c>
      <c r="C2679" s="173" t="s">
        <v>16</v>
      </c>
      <c r="D2679" s="173" t="s">
        <v>229</v>
      </c>
      <c r="E2679" s="173" t="s">
        <v>24</v>
      </c>
      <c r="F2679" s="173" t="s">
        <v>16</v>
      </c>
      <c r="G2679" s="87" t="b">
        <v>1</v>
      </c>
      <c r="H2679" s="87" t="b">
        <v>0</v>
      </c>
      <c r="I2679" s="87" t="b">
        <v>0</v>
      </c>
      <c r="J2679" s="173" t="s">
        <v>470</v>
      </c>
      <c r="K2679" s="174">
        <v>29435005005783</v>
      </c>
      <c r="L2679" s="173" t="s">
        <v>1104</v>
      </c>
      <c r="M2679" s="173" t="s">
        <v>131</v>
      </c>
      <c r="N2679" s="173" t="s">
        <v>61</v>
      </c>
      <c r="O2679" s="87">
        <v>70</v>
      </c>
      <c r="P2679" s="173" t="s">
        <v>20</v>
      </c>
      <c r="Q2679" s="1" t="s">
        <v>1338</v>
      </c>
      <c r="R2679" s="175">
        <v>25</v>
      </c>
      <c r="S2679">
        <v>5</v>
      </c>
    </row>
    <row r="2680" spans="1:19" x14ac:dyDescent="0.25">
      <c r="A2680" s="87">
        <v>2019</v>
      </c>
      <c r="B2680" s="87">
        <v>11</v>
      </c>
      <c r="C2680" s="173" t="s">
        <v>16</v>
      </c>
      <c r="D2680" s="173" t="s">
        <v>229</v>
      </c>
      <c r="E2680" s="173" t="s">
        <v>24</v>
      </c>
      <c r="F2680" s="173" t="s">
        <v>16</v>
      </c>
      <c r="G2680" s="87" t="b">
        <v>1</v>
      </c>
      <c r="H2680" s="87" t="b">
        <v>0</v>
      </c>
      <c r="I2680" s="87" t="b">
        <v>0</v>
      </c>
      <c r="J2680" s="173" t="s">
        <v>470</v>
      </c>
      <c r="K2680" s="174">
        <v>29435005006160</v>
      </c>
      <c r="L2680" s="173" t="s">
        <v>1105</v>
      </c>
      <c r="M2680" s="173" t="s">
        <v>131</v>
      </c>
      <c r="N2680" s="173" t="s">
        <v>61</v>
      </c>
      <c r="O2680" s="87">
        <v>62</v>
      </c>
      <c r="P2680" s="173" t="s">
        <v>27</v>
      </c>
      <c r="Q2680" s="1" t="s">
        <v>1343</v>
      </c>
      <c r="R2680" s="175">
        <v>2</v>
      </c>
      <c r="S2680">
        <v>2</v>
      </c>
    </row>
    <row r="2681" spans="1:19" x14ac:dyDescent="0.25">
      <c r="A2681" s="87">
        <v>2019</v>
      </c>
      <c r="B2681" s="87">
        <v>11</v>
      </c>
      <c r="C2681" s="173" t="s">
        <v>16</v>
      </c>
      <c r="D2681" s="173" t="s">
        <v>229</v>
      </c>
      <c r="E2681" s="173" t="s">
        <v>24</v>
      </c>
      <c r="F2681" s="173" t="s">
        <v>16</v>
      </c>
      <c r="G2681" s="87" t="b">
        <v>1</v>
      </c>
      <c r="H2681" s="87" t="b">
        <v>0</v>
      </c>
      <c r="I2681" s="87" t="b">
        <v>0</v>
      </c>
      <c r="J2681" s="173" t="s">
        <v>470</v>
      </c>
      <c r="K2681" s="174">
        <v>29435005007484</v>
      </c>
      <c r="L2681" s="173" t="s">
        <v>912</v>
      </c>
      <c r="M2681" s="173" t="s">
        <v>76</v>
      </c>
      <c r="N2681" s="173" t="s">
        <v>77</v>
      </c>
      <c r="O2681" s="87">
        <v>62</v>
      </c>
      <c r="P2681" s="173" t="s">
        <v>27</v>
      </c>
      <c r="Q2681" s="1" t="s">
        <v>1343</v>
      </c>
      <c r="R2681" s="175">
        <v>6</v>
      </c>
      <c r="S2681">
        <v>6</v>
      </c>
    </row>
    <row r="2682" spans="1:19" x14ac:dyDescent="0.25">
      <c r="A2682" s="87">
        <v>2019</v>
      </c>
      <c r="B2682" s="87">
        <v>11</v>
      </c>
      <c r="C2682" s="173" t="s">
        <v>16</v>
      </c>
      <c r="D2682" s="173" t="s">
        <v>229</v>
      </c>
      <c r="E2682" s="173" t="s">
        <v>24</v>
      </c>
      <c r="F2682" s="173" t="s">
        <v>16</v>
      </c>
      <c r="G2682" s="87" t="b">
        <v>1</v>
      </c>
      <c r="H2682" s="87" t="b">
        <v>0</v>
      </c>
      <c r="I2682" s="87" t="b">
        <v>0</v>
      </c>
      <c r="J2682" s="173" t="s">
        <v>470</v>
      </c>
      <c r="K2682" s="174">
        <v>29435005007484</v>
      </c>
      <c r="L2682" s="173" t="s">
        <v>912</v>
      </c>
      <c r="M2682" s="173" t="s">
        <v>76</v>
      </c>
      <c r="N2682" s="173" t="s">
        <v>77</v>
      </c>
      <c r="O2682" s="87">
        <v>64</v>
      </c>
      <c r="P2682" s="173" t="s">
        <v>25</v>
      </c>
      <c r="Q2682" s="1" t="s">
        <v>1344</v>
      </c>
      <c r="R2682" s="175">
        <v>20</v>
      </c>
      <c r="S2682">
        <v>20</v>
      </c>
    </row>
    <row r="2683" spans="1:19" x14ac:dyDescent="0.25">
      <c r="A2683" s="87">
        <v>2019</v>
      </c>
      <c r="B2683" s="87">
        <v>11</v>
      </c>
      <c r="C2683" s="173" t="s">
        <v>16</v>
      </c>
      <c r="D2683" s="173" t="s">
        <v>229</v>
      </c>
      <c r="E2683" s="173" t="s">
        <v>24</v>
      </c>
      <c r="F2683" s="173" t="s">
        <v>16</v>
      </c>
      <c r="G2683" s="87" t="b">
        <v>1</v>
      </c>
      <c r="H2683" s="87" t="b">
        <v>0</v>
      </c>
      <c r="I2683" s="87" t="b">
        <v>0</v>
      </c>
      <c r="J2683" s="173" t="s">
        <v>470</v>
      </c>
      <c r="K2683" s="174">
        <v>29435005008456</v>
      </c>
      <c r="L2683" s="173" t="s">
        <v>672</v>
      </c>
      <c r="M2683" s="173" t="s">
        <v>33</v>
      </c>
      <c r="N2683" s="173" t="s">
        <v>19</v>
      </c>
      <c r="O2683" s="87">
        <v>70</v>
      </c>
      <c r="P2683" s="173" t="s">
        <v>20</v>
      </c>
      <c r="Q2683" s="1" t="s">
        <v>1338</v>
      </c>
      <c r="R2683" s="175">
        <v>250</v>
      </c>
      <c r="S2683">
        <v>50</v>
      </c>
    </row>
    <row r="2684" spans="1:19" x14ac:dyDescent="0.25">
      <c r="A2684" s="87">
        <v>2019</v>
      </c>
      <c r="B2684" s="87">
        <v>11</v>
      </c>
      <c r="C2684" s="173" t="s">
        <v>16</v>
      </c>
      <c r="D2684" s="173" t="s">
        <v>229</v>
      </c>
      <c r="E2684" s="173" t="s">
        <v>24</v>
      </c>
      <c r="F2684" s="173" t="s">
        <v>16</v>
      </c>
      <c r="G2684" s="87" t="b">
        <v>1</v>
      </c>
      <c r="H2684" s="87" t="b">
        <v>0</v>
      </c>
      <c r="I2684" s="87" t="b">
        <v>0</v>
      </c>
      <c r="J2684" s="173" t="s">
        <v>470</v>
      </c>
      <c r="K2684" s="174">
        <v>29435005009851</v>
      </c>
      <c r="L2684" s="173" t="s">
        <v>913</v>
      </c>
      <c r="M2684" s="173" t="s">
        <v>62</v>
      </c>
      <c r="N2684" s="173" t="s">
        <v>63</v>
      </c>
      <c r="O2684" s="87">
        <v>64</v>
      </c>
      <c r="P2684" s="173" t="s">
        <v>25</v>
      </c>
      <c r="Q2684" s="1" t="s">
        <v>1344</v>
      </c>
      <c r="R2684" s="175">
        <v>25</v>
      </c>
      <c r="S2684">
        <v>25</v>
      </c>
    </row>
    <row r="2685" spans="1:19" x14ac:dyDescent="0.25">
      <c r="A2685" s="87">
        <v>2019</v>
      </c>
      <c r="B2685" s="87">
        <v>11</v>
      </c>
      <c r="C2685" s="173" t="s">
        <v>16</v>
      </c>
      <c r="D2685" s="173" t="s">
        <v>229</v>
      </c>
      <c r="E2685" s="173" t="s">
        <v>24</v>
      </c>
      <c r="F2685" s="173" t="s">
        <v>16</v>
      </c>
      <c r="G2685" s="87" t="b">
        <v>1</v>
      </c>
      <c r="H2685" s="87" t="b">
        <v>0</v>
      </c>
      <c r="I2685" s="87" t="b">
        <v>0</v>
      </c>
      <c r="J2685" s="173" t="s">
        <v>470</v>
      </c>
      <c r="K2685" s="174">
        <v>29435005009851</v>
      </c>
      <c r="L2685" s="173" t="s">
        <v>913</v>
      </c>
      <c r="M2685" s="173" t="s">
        <v>62</v>
      </c>
      <c r="N2685" s="173" t="s">
        <v>63</v>
      </c>
      <c r="O2685" s="87">
        <v>70</v>
      </c>
      <c r="P2685" s="173" t="s">
        <v>20</v>
      </c>
      <c r="Q2685" s="1" t="s">
        <v>1338</v>
      </c>
      <c r="R2685" s="175">
        <v>175</v>
      </c>
      <c r="S2685">
        <v>35</v>
      </c>
    </row>
    <row r="2686" spans="1:19" x14ac:dyDescent="0.25">
      <c r="A2686" s="87">
        <v>2019</v>
      </c>
      <c r="B2686" s="87">
        <v>11</v>
      </c>
      <c r="C2686" s="173" t="s">
        <v>16</v>
      </c>
      <c r="D2686" s="173" t="s">
        <v>229</v>
      </c>
      <c r="E2686" s="173" t="s">
        <v>24</v>
      </c>
      <c r="F2686" s="173" t="s">
        <v>16</v>
      </c>
      <c r="G2686" s="87" t="b">
        <v>1</v>
      </c>
      <c r="H2686" s="87" t="b">
        <v>0</v>
      </c>
      <c r="I2686" s="87" t="b">
        <v>0</v>
      </c>
      <c r="J2686" s="173" t="s">
        <v>470</v>
      </c>
      <c r="K2686" s="174">
        <v>29435005009932</v>
      </c>
      <c r="L2686" s="173" t="s">
        <v>595</v>
      </c>
      <c r="M2686" s="173" t="s">
        <v>29</v>
      </c>
      <c r="N2686" s="173" t="s">
        <v>19</v>
      </c>
      <c r="O2686" s="87">
        <v>64</v>
      </c>
      <c r="P2686" s="173" t="s">
        <v>25</v>
      </c>
      <c r="Q2686" s="1" t="s">
        <v>1344</v>
      </c>
      <c r="R2686" s="175">
        <v>2</v>
      </c>
      <c r="S2686">
        <v>2</v>
      </c>
    </row>
    <row r="2687" spans="1:19" x14ac:dyDescent="0.25">
      <c r="A2687" s="87">
        <v>2019</v>
      </c>
      <c r="B2687" s="87">
        <v>11</v>
      </c>
      <c r="C2687" s="173" t="s">
        <v>16</v>
      </c>
      <c r="D2687" s="173" t="s">
        <v>229</v>
      </c>
      <c r="E2687" s="173" t="s">
        <v>24</v>
      </c>
      <c r="F2687" s="173" t="s">
        <v>16</v>
      </c>
      <c r="G2687" s="87" t="b">
        <v>1</v>
      </c>
      <c r="H2687" s="87" t="b">
        <v>0</v>
      </c>
      <c r="I2687" s="87" t="b">
        <v>0</v>
      </c>
      <c r="J2687" s="173" t="s">
        <v>470</v>
      </c>
      <c r="K2687" s="174">
        <v>29435005009932</v>
      </c>
      <c r="L2687" s="173" t="s">
        <v>595</v>
      </c>
      <c r="M2687" s="173" t="s">
        <v>29</v>
      </c>
      <c r="N2687" s="173" t="s">
        <v>19</v>
      </c>
      <c r="O2687" s="87">
        <v>70</v>
      </c>
      <c r="P2687" s="173" t="s">
        <v>20</v>
      </c>
      <c r="Q2687" s="1" t="s">
        <v>1338</v>
      </c>
      <c r="R2687" s="175">
        <v>1010</v>
      </c>
      <c r="S2687">
        <v>202</v>
      </c>
    </row>
    <row r="2688" spans="1:19" x14ac:dyDescent="0.25">
      <c r="A2688" s="87">
        <v>2019</v>
      </c>
      <c r="B2688" s="87">
        <v>11</v>
      </c>
      <c r="C2688" s="173" t="s">
        <v>16</v>
      </c>
      <c r="D2688" s="173" t="s">
        <v>229</v>
      </c>
      <c r="E2688" s="173" t="s">
        <v>24</v>
      </c>
      <c r="F2688" s="173" t="s">
        <v>16</v>
      </c>
      <c r="G2688" s="87" t="b">
        <v>1</v>
      </c>
      <c r="H2688" s="87" t="b">
        <v>0</v>
      </c>
      <c r="I2688" s="87" t="b">
        <v>0</v>
      </c>
      <c r="J2688" s="173" t="s">
        <v>1512</v>
      </c>
      <c r="K2688" s="174">
        <v>29640612000120</v>
      </c>
      <c r="L2688" s="173" t="s">
        <v>1055</v>
      </c>
      <c r="M2688" s="173" t="s">
        <v>103</v>
      </c>
      <c r="N2688" s="173" t="s">
        <v>61</v>
      </c>
      <c r="O2688" s="87">
        <v>64</v>
      </c>
      <c r="P2688" s="173" t="s">
        <v>25</v>
      </c>
      <c r="Q2688" s="1" t="s">
        <v>1344</v>
      </c>
      <c r="R2688" s="175">
        <v>4</v>
      </c>
      <c r="S2688">
        <v>4</v>
      </c>
    </row>
    <row r="2689" spans="1:19" x14ac:dyDescent="0.25">
      <c r="A2689" s="87">
        <v>2019</v>
      </c>
      <c r="B2689" s="87">
        <v>11</v>
      </c>
      <c r="C2689" s="173" t="s">
        <v>16</v>
      </c>
      <c r="D2689" s="173" t="s">
        <v>229</v>
      </c>
      <c r="E2689" s="173" t="s">
        <v>24</v>
      </c>
      <c r="F2689" s="173" t="s">
        <v>16</v>
      </c>
      <c r="G2689" s="87" t="b">
        <v>1</v>
      </c>
      <c r="H2689" s="87" t="b">
        <v>0</v>
      </c>
      <c r="I2689" s="87" t="b">
        <v>0</v>
      </c>
      <c r="J2689" s="173" t="s">
        <v>470</v>
      </c>
      <c r="K2689" s="174">
        <v>29929600000110</v>
      </c>
      <c r="L2689" s="173" t="s">
        <v>1212</v>
      </c>
      <c r="M2689" s="173" t="s">
        <v>1213</v>
      </c>
      <c r="N2689" s="173" t="s">
        <v>19</v>
      </c>
      <c r="O2689" s="87">
        <v>73</v>
      </c>
      <c r="P2689" s="173" t="s">
        <v>26</v>
      </c>
      <c r="Q2689" s="1" t="s">
        <v>1339</v>
      </c>
      <c r="R2689" s="175">
        <v>8</v>
      </c>
      <c r="S2689">
        <v>4</v>
      </c>
    </row>
    <row r="2690" spans="1:19" x14ac:dyDescent="0.25">
      <c r="A2690" s="87">
        <v>2019</v>
      </c>
      <c r="B2690" s="87">
        <v>11</v>
      </c>
      <c r="C2690" s="173" t="s">
        <v>16</v>
      </c>
      <c r="D2690" s="173" t="s">
        <v>229</v>
      </c>
      <c r="E2690" s="173" t="s">
        <v>24</v>
      </c>
      <c r="F2690" s="173" t="s">
        <v>16</v>
      </c>
      <c r="G2690" s="87" t="b">
        <v>1</v>
      </c>
      <c r="H2690" s="87" t="b">
        <v>0</v>
      </c>
      <c r="I2690" s="87" t="b">
        <v>0</v>
      </c>
      <c r="J2690" s="173" t="s">
        <v>470</v>
      </c>
      <c r="K2690" s="174">
        <v>30135335000188</v>
      </c>
      <c r="L2690" s="173" t="s">
        <v>914</v>
      </c>
      <c r="M2690" s="173" t="s">
        <v>739</v>
      </c>
      <c r="N2690" s="173" t="s">
        <v>55</v>
      </c>
      <c r="O2690" s="87">
        <v>70</v>
      </c>
      <c r="P2690" s="173" t="s">
        <v>20</v>
      </c>
      <c r="Q2690" s="1" t="s">
        <v>1338</v>
      </c>
      <c r="R2690" s="175">
        <v>620</v>
      </c>
      <c r="S2690">
        <v>124</v>
      </c>
    </row>
    <row r="2691" spans="1:19" x14ac:dyDescent="0.25">
      <c r="A2691" s="87">
        <v>2019</v>
      </c>
      <c r="B2691" s="87">
        <v>11</v>
      </c>
      <c r="C2691" s="173" t="s">
        <v>16</v>
      </c>
      <c r="D2691" s="173" t="s">
        <v>229</v>
      </c>
      <c r="E2691" s="173" t="s">
        <v>24</v>
      </c>
      <c r="F2691" s="173" t="s">
        <v>16</v>
      </c>
      <c r="G2691" s="87" t="b">
        <v>1</v>
      </c>
      <c r="H2691" s="87" t="b">
        <v>0</v>
      </c>
      <c r="I2691" s="87" t="b">
        <v>0</v>
      </c>
      <c r="J2691" s="173" t="s">
        <v>455</v>
      </c>
      <c r="K2691" s="174">
        <v>30135335000188</v>
      </c>
      <c r="L2691" s="173" t="s">
        <v>914</v>
      </c>
      <c r="M2691" s="173" t="s">
        <v>739</v>
      </c>
      <c r="N2691" s="173" t="s">
        <v>55</v>
      </c>
      <c r="O2691" s="87">
        <v>70</v>
      </c>
      <c r="P2691" s="173" t="s">
        <v>20</v>
      </c>
      <c r="Q2691" s="1" t="s">
        <v>1338</v>
      </c>
      <c r="R2691" s="175">
        <v>125</v>
      </c>
      <c r="S2691">
        <v>25</v>
      </c>
    </row>
    <row r="2692" spans="1:19" x14ac:dyDescent="0.25">
      <c r="A2692" s="87">
        <v>2019</v>
      </c>
      <c r="B2692" s="87">
        <v>11</v>
      </c>
      <c r="C2692" s="173" t="s">
        <v>16</v>
      </c>
      <c r="D2692" s="173" t="s">
        <v>229</v>
      </c>
      <c r="E2692" s="173" t="s">
        <v>24</v>
      </c>
      <c r="F2692" s="173" t="s">
        <v>16</v>
      </c>
      <c r="G2692" s="87" t="b">
        <v>1</v>
      </c>
      <c r="H2692" s="87" t="b">
        <v>0</v>
      </c>
      <c r="I2692" s="87" t="b">
        <v>0</v>
      </c>
      <c r="J2692" s="173" t="s">
        <v>1512</v>
      </c>
      <c r="K2692" s="174">
        <v>31635857000292</v>
      </c>
      <c r="L2692" s="173" t="s">
        <v>1107</v>
      </c>
      <c r="M2692" s="173" t="s">
        <v>131</v>
      </c>
      <c r="N2692" s="173" t="s">
        <v>61</v>
      </c>
      <c r="O2692" s="87">
        <v>73</v>
      </c>
      <c r="P2692" s="173" t="s">
        <v>26</v>
      </c>
      <c r="Q2692" s="1" t="s">
        <v>1342</v>
      </c>
      <c r="R2692" s="175">
        <v>16</v>
      </c>
      <c r="S2692">
        <v>4</v>
      </c>
    </row>
    <row r="2693" spans="1:19" x14ac:dyDescent="0.25">
      <c r="A2693" s="87">
        <v>2019</v>
      </c>
      <c r="B2693" s="87">
        <v>11</v>
      </c>
      <c r="C2693" s="173" t="s">
        <v>16</v>
      </c>
      <c r="D2693" s="173" t="s">
        <v>229</v>
      </c>
      <c r="E2693" s="173" t="s">
        <v>24</v>
      </c>
      <c r="F2693" s="173" t="s">
        <v>16</v>
      </c>
      <c r="G2693" s="87" t="b">
        <v>1</v>
      </c>
      <c r="H2693" s="87" t="b">
        <v>0</v>
      </c>
      <c r="I2693" s="87" t="b">
        <v>0</v>
      </c>
      <c r="J2693" s="173" t="s">
        <v>451</v>
      </c>
      <c r="K2693" s="174">
        <v>31671480000146</v>
      </c>
      <c r="L2693" s="173" t="s">
        <v>1214</v>
      </c>
      <c r="M2693" s="173" t="s">
        <v>1215</v>
      </c>
      <c r="N2693" s="173" t="s">
        <v>61</v>
      </c>
      <c r="O2693" s="87">
        <v>64</v>
      </c>
      <c r="P2693" s="173" t="s">
        <v>25</v>
      </c>
      <c r="Q2693" s="1" t="s">
        <v>1344</v>
      </c>
      <c r="R2693" s="175">
        <v>10</v>
      </c>
      <c r="S2693">
        <v>10</v>
      </c>
    </row>
    <row r="2694" spans="1:19" x14ac:dyDescent="0.25">
      <c r="A2694" s="87">
        <v>2019</v>
      </c>
      <c r="B2694" s="87">
        <v>11</v>
      </c>
      <c r="C2694" s="173" t="s">
        <v>16</v>
      </c>
      <c r="D2694" s="173" t="s">
        <v>229</v>
      </c>
      <c r="E2694" s="173" t="s">
        <v>24</v>
      </c>
      <c r="F2694" s="173" t="s">
        <v>16</v>
      </c>
      <c r="G2694" s="87" t="b">
        <v>1</v>
      </c>
      <c r="H2694" s="87" t="b">
        <v>0</v>
      </c>
      <c r="I2694" s="87" t="b">
        <v>0</v>
      </c>
      <c r="J2694" s="173" t="s">
        <v>451</v>
      </c>
      <c r="K2694" s="174">
        <v>31671480000308</v>
      </c>
      <c r="L2694" s="173" t="s">
        <v>1216</v>
      </c>
      <c r="M2694" s="173" t="s">
        <v>1039</v>
      </c>
      <c r="N2694" s="173" t="s">
        <v>61</v>
      </c>
      <c r="O2694" s="87">
        <v>64</v>
      </c>
      <c r="P2694" s="173" t="s">
        <v>25</v>
      </c>
      <c r="Q2694" s="1" t="s">
        <v>1344</v>
      </c>
      <c r="R2694" s="175">
        <v>10</v>
      </c>
      <c r="S2694">
        <v>10</v>
      </c>
    </row>
    <row r="2695" spans="1:19" x14ac:dyDescent="0.25">
      <c r="A2695" s="87">
        <v>2019</v>
      </c>
      <c r="B2695" s="87">
        <v>11</v>
      </c>
      <c r="C2695" s="173" t="s">
        <v>16</v>
      </c>
      <c r="D2695" s="173" t="s">
        <v>229</v>
      </c>
      <c r="E2695" s="173" t="s">
        <v>24</v>
      </c>
      <c r="F2695" s="173" t="s">
        <v>16</v>
      </c>
      <c r="G2695" s="87" t="b">
        <v>1</v>
      </c>
      <c r="H2695" s="87" t="b">
        <v>0</v>
      </c>
      <c r="I2695" s="87" t="b">
        <v>0</v>
      </c>
      <c r="J2695" s="173" t="s">
        <v>477</v>
      </c>
      <c r="K2695" s="174">
        <v>33419482000259</v>
      </c>
      <c r="L2695" s="173" t="s">
        <v>1111</v>
      </c>
      <c r="M2695" s="173" t="s">
        <v>131</v>
      </c>
      <c r="N2695" s="173" t="s">
        <v>61</v>
      </c>
      <c r="O2695" s="87">
        <v>62</v>
      </c>
      <c r="P2695" s="173" t="s">
        <v>27</v>
      </c>
      <c r="Q2695" s="1" t="s">
        <v>1343</v>
      </c>
      <c r="R2695" s="175">
        <v>5</v>
      </c>
      <c r="S2695">
        <v>5</v>
      </c>
    </row>
    <row r="2696" spans="1:19" x14ac:dyDescent="0.25">
      <c r="A2696" s="87">
        <v>2019</v>
      </c>
      <c r="B2696" s="87">
        <v>11</v>
      </c>
      <c r="C2696" s="173" t="s">
        <v>16</v>
      </c>
      <c r="D2696" s="173" t="s">
        <v>229</v>
      </c>
      <c r="E2696" s="173" t="s">
        <v>24</v>
      </c>
      <c r="F2696" s="173" t="s">
        <v>16</v>
      </c>
      <c r="G2696" s="87" t="b">
        <v>1</v>
      </c>
      <c r="H2696" s="87" t="b">
        <v>0</v>
      </c>
      <c r="I2696" s="87" t="b">
        <v>0</v>
      </c>
      <c r="J2696" s="173" t="s">
        <v>477</v>
      </c>
      <c r="K2696" s="174">
        <v>33419482000259</v>
      </c>
      <c r="L2696" s="173" t="s">
        <v>1111</v>
      </c>
      <c r="M2696" s="173" t="s">
        <v>131</v>
      </c>
      <c r="N2696" s="173" t="s">
        <v>61</v>
      </c>
      <c r="O2696" s="87">
        <v>64</v>
      </c>
      <c r="P2696" s="173" t="s">
        <v>25</v>
      </c>
      <c r="Q2696" s="1" t="s">
        <v>1344</v>
      </c>
      <c r="R2696" s="175">
        <v>3</v>
      </c>
      <c r="S2696">
        <v>3</v>
      </c>
    </row>
    <row r="2697" spans="1:19" x14ac:dyDescent="0.25">
      <c r="A2697" s="87">
        <v>2019</v>
      </c>
      <c r="B2697" s="87">
        <v>11</v>
      </c>
      <c r="C2697" s="173" t="s">
        <v>16</v>
      </c>
      <c r="D2697" s="173" t="s">
        <v>229</v>
      </c>
      <c r="E2697" s="173" t="s">
        <v>24</v>
      </c>
      <c r="F2697" s="173" t="s">
        <v>16</v>
      </c>
      <c r="G2697" s="87" t="b">
        <v>1</v>
      </c>
      <c r="H2697" s="87" t="b">
        <v>0</v>
      </c>
      <c r="I2697" s="87" t="b">
        <v>0</v>
      </c>
      <c r="J2697" s="173" t="s">
        <v>451</v>
      </c>
      <c r="K2697" s="174">
        <v>33419482000259</v>
      </c>
      <c r="L2697" s="173" t="s">
        <v>1111</v>
      </c>
      <c r="M2697" s="173" t="s">
        <v>131</v>
      </c>
      <c r="N2697" s="173" t="s">
        <v>61</v>
      </c>
      <c r="O2697" s="87">
        <v>64</v>
      </c>
      <c r="P2697" s="173" t="s">
        <v>25</v>
      </c>
      <c r="Q2697" s="1" t="s">
        <v>1344</v>
      </c>
      <c r="R2697" s="175">
        <v>3</v>
      </c>
      <c r="S2697">
        <v>3</v>
      </c>
    </row>
    <row r="2698" spans="1:19" x14ac:dyDescent="0.25">
      <c r="A2698" s="87">
        <v>2019</v>
      </c>
      <c r="B2698" s="87">
        <v>11</v>
      </c>
      <c r="C2698" s="173" t="s">
        <v>16</v>
      </c>
      <c r="D2698" s="173" t="s">
        <v>229</v>
      </c>
      <c r="E2698" s="173" t="s">
        <v>24</v>
      </c>
      <c r="F2698" s="173" t="s">
        <v>16</v>
      </c>
      <c r="G2698" s="87" t="b">
        <v>1</v>
      </c>
      <c r="H2698" s="87" t="b">
        <v>0</v>
      </c>
      <c r="I2698" s="87" t="b">
        <v>0</v>
      </c>
      <c r="J2698" s="173" t="s">
        <v>470</v>
      </c>
      <c r="K2698" s="174">
        <v>33575127000600</v>
      </c>
      <c r="L2698" s="173" t="s">
        <v>1217</v>
      </c>
      <c r="M2698" s="173" t="s">
        <v>131</v>
      </c>
      <c r="N2698" s="173" t="s">
        <v>61</v>
      </c>
      <c r="O2698" s="87">
        <v>70</v>
      </c>
      <c r="P2698" s="173" t="s">
        <v>20</v>
      </c>
      <c r="Q2698" s="1" t="s">
        <v>1338</v>
      </c>
      <c r="R2698" s="175">
        <v>175</v>
      </c>
      <c r="S2698">
        <v>35</v>
      </c>
    </row>
    <row r="2699" spans="1:19" x14ac:dyDescent="0.25">
      <c r="A2699" s="87">
        <v>2019</v>
      </c>
      <c r="B2699" s="87">
        <v>11</v>
      </c>
      <c r="C2699" s="173" t="s">
        <v>16</v>
      </c>
      <c r="D2699" s="173" t="s">
        <v>229</v>
      </c>
      <c r="E2699" s="173" t="s">
        <v>24</v>
      </c>
      <c r="F2699" s="173" t="s">
        <v>16</v>
      </c>
      <c r="G2699" s="87" t="b">
        <v>1</v>
      </c>
      <c r="H2699" s="87" t="b">
        <v>0</v>
      </c>
      <c r="I2699" s="87" t="b">
        <v>0</v>
      </c>
      <c r="J2699" s="173" t="s">
        <v>477</v>
      </c>
      <c r="K2699" s="174">
        <v>33705849000543</v>
      </c>
      <c r="L2699" s="173" t="s">
        <v>1329</v>
      </c>
      <c r="M2699" s="173" t="s">
        <v>131</v>
      </c>
      <c r="N2699" s="173" t="s">
        <v>61</v>
      </c>
      <c r="O2699" s="87">
        <v>62</v>
      </c>
      <c r="P2699" s="173" t="s">
        <v>27</v>
      </c>
      <c r="Q2699" s="1" t="s">
        <v>1343</v>
      </c>
      <c r="R2699" s="175">
        <v>4</v>
      </c>
      <c r="S2699">
        <v>4</v>
      </c>
    </row>
    <row r="2700" spans="1:19" x14ac:dyDescent="0.25">
      <c r="A2700" s="87">
        <v>2019</v>
      </c>
      <c r="B2700" s="87">
        <v>11</v>
      </c>
      <c r="C2700" s="173" t="s">
        <v>16</v>
      </c>
      <c r="D2700" s="173" t="s">
        <v>229</v>
      </c>
      <c r="E2700" s="173" t="s">
        <v>24</v>
      </c>
      <c r="F2700" s="173" t="s">
        <v>16</v>
      </c>
      <c r="G2700" s="87" t="b">
        <v>1</v>
      </c>
      <c r="H2700" s="87" t="b">
        <v>0</v>
      </c>
      <c r="I2700" s="87" t="b">
        <v>0</v>
      </c>
      <c r="J2700" s="173" t="s">
        <v>477</v>
      </c>
      <c r="K2700" s="174">
        <v>33705849000543</v>
      </c>
      <c r="L2700" s="173" t="s">
        <v>1329</v>
      </c>
      <c r="M2700" s="173" t="s">
        <v>131</v>
      </c>
      <c r="N2700" s="173" t="s">
        <v>61</v>
      </c>
      <c r="O2700" s="87">
        <v>64</v>
      </c>
      <c r="P2700" s="173" t="s">
        <v>25</v>
      </c>
      <c r="Q2700" s="1" t="s">
        <v>1344</v>
      </c>
      <c r="R2700" s="175">
        <v>4</v>
      </c>
      <c r="S2700">
        <v>4</v>
      </c>
    </row>
    <row r="2701" spans="1:19" x14ac:dyDescent="0.25">
      <c r="A2701" s="87">
        <v>2019</v>
      </c>
      <c r="B2701" s="87">
        <v>11</v>
      </c>
      <c r="C2701" s="173" t="s">
        <v>16</v>
      </c>
      <c r="D2701" s="173" t="s">
        <v>229</v>
      </c>
      <c r="E2701" s="173" t="s">
        <v>24</v>
      </c>
      <c r="F2701" s="173" t="s">
        <v>16</v>
      </c>
      <c r="G2701" s="87" t="b">
        <v>1</v>
      </c>
      <c r="H2701" s="87" t="b">
        <v>0</v>
      </c>
      <c r="I2701" s="87" t="b">
        <v>0</v>
      </c>
      <c r="J2701" s="173" t="s">
        <v>1330</v>
      </c>
      <c r="K2701" s="174">
        <v>33781055000216</v>
      </c>
      <c r="L2701" s="173" t="s">
        <v>1116</v>
      </c>
      <c r="M2701" s="173" t="s">
        <v>131</v>
      </c>
      <c r="N2701" s="173" t="s">
        <v>61</v>
      </c>
      <c r="O2701" s="87">
        <v>70</v>
      </c>
      <c r="P2701" s="173" t="s">
        <v>20</v>
      </c>
      <c r="Q2701" s="1" t="s">
        <v>1338</v>
      </c>
      <c r="R2701" s="175">
        <v>350</v>
      </c>
      <c r="S2701">
        <v>70</v>
      </c>
    </row>
    <row r="2702" spans="1:19" x14ac:dyDescent="0.25">
      <c r="A2702" s="87">
        <v>2019</v>
      </c>
      <c r="B2702" s="87">
        <v>11</v>
      </c>
      <c r="C2702" s="173" t="s">
        <v>16</v>
      </c>
      <c r="D2702" s="173" t="s">
        <v>229</v>
      </c>
      <c r="E2702" s="173" t="s">
        <v>24</v>
      </c>
      <c r="F2702" s="173" t="s">
        <v>16</v>
      </c>
      <c r="G2702" s="87" t="b">
        <v>1</v>
      </c>
      <c r="H2702" s="87" t="b">
        <v>0</v>
      </c>
      <c r="I2702" s="87" t="b">
        <v>0</v>
      </c>
      <c r="J2702" s="173" t="s">
        <v>450</v>
      </c>
      <c r="K2702" s="174">
        <v>35917970000726</v>
      </c>
      <c r="L2702" s="173" t="s">
        <v>1062</v>
      </c>
      <c r="M2702" s="173" t="s">
        <v>105</v>
      </c>
      <c r="N2702" s="173" t="s">
        <v>61</v>
      </c>
      <c r="O2702" s="87">
        <v>73</v>
      </c>
      <c r="P2702" s="173" t="s">
        <v>26</v>
      </c>
      <c r="Q2702" s="1" t="s">
        <v>1342</v>
      </c>
      <c r="R2702" s="175">
        <v>12</v>
      </c>
      <c r="S2702">
        <v>3</v>
      </c>
    </row>
    <row r="2703" spans="1:19" x14ac:dyDescent="0.25">
      <c r="A2703" s="87">
        <v>2019</v>
      </c>
      <c r="B2703" s="87">
        <v>11</v>
      </c>
      <c r="C2703" s="173" t="s">
        <v>16</v>
      </c>
      <c r="D2703" s="173" t="s">
        <v>229</v>
      </c>
      <c r="E2703" s="173" t="s">
        <v>24</v>
      </c>
      <c r="F2703" s="173" t="s">
        <v>16</v>
      </c>
      <c r="G2703" s="87" t="b">
        <v>1</v>
      </c>
      <c r="H2703" s="87" t="b">
        <v>0</v>
      </c>
      <c r="I2703" s="87" t="b">
        <v>0</v>
      </c>
      <c r="J2703" s="173" t="s">
        <v>477</v>
      </c>
      <c r="K2703" s="174">
        <v>36238913000198</v>
      </c>
      <c r="L2703" s="173" t="s">
        <v>1063</v>
      </c>
      <c r="M2703" s="173" t="s">
        <v>1064</v>
      </c>
      <c r="N2703" s="173" t="s">
        <v>61</v>
      </c>
      <c r="O2703" s="87">
        <v>73</v>
      </c>
      <c r="P2703" s="173" t="s">
        <v>26</v>
      </c>
      <c r="Q2703" s="1" t="s">
        <v>1342</v>
      </c>
      <c r="R2703" s="175">
        <v>112</v>
      </c>
      <c r="S2703">
        <v>28</v>
      </c>
    </row>
    <row r="2704" spans="1:19" x14ac:dyDescent="0.25">
      <c r="A2704" s="87">
        <v>2019</v>
      </c>
      <c r="B2704" s="87">
        <v>11</v>
      </c>
      <c r="C2704" s="173" t="s">
        <v>16</v>
      </c>
      <c r="D2704" s="173" t="s">
        <v>229</v>
      </c>
      <c r="E2704" s="173" t="s">
        <v>24</v>
      </c>
      <c r="F2704" s="173" t="s">
        <v>16</v>
      </c>
      <c r="G2704" s="87" t="b">
        <v>1</v>
      </c>
      <c r="H2704" s="87" t="b">
        <v>0</v>
      </c>
      <c r="I2704" s="87" t="b">
        <v>0</v>
      </c>
      <c r="J2704" s="173" t="s">
        <v>470</v>
      </c>
      <c r="K2704" s="174">
        <v>39086160000130</v>
      </c>
      <c r="L2704" s="173" t="s">
        <v>1119</v>
      </c>
      <c r="M2704" s="173" t="s">
        <v>131</v>
      </c>
      <c r="N2704" s="173" t="s">
        <v>61</v>
      </c>
      <c r="O2704" s="87">
        <v>70</v>
      </c>
      <c r="P2704" s="173" t="s">
        <v>20</v>
      </c>
      <c r="Q2704" s="1" t="s">
        <v>1338</v>
      </c>
      <c r="R2704" s="175">
        <v>200</v>
      </c>
      <c r="S2704">
        <v>40</v>
      </c>
    </row>
    <row r="2705" spans="1:19" x14ac:dyDescent="0.25">
      <c r="A2705" s="87">
        <v>2019</v>
      </c>
      <c r="B2705" s="87">
        <v>11</v>
      </c>
      <c r="C2705" s="173" t="s">
        <v>16</v>
      </c>
      <c r="D2705" s="173" t="s">
        <v>229</v>
      </c>
      <c r="E2705" s="173" t="s">
        <v>24</v>
      </c>
      <c r="F2705" s="173" t="s">
        <v>16</v>
      </c>
      <c r="G2705" s="87" t="b">
        <v>1</v>
      </c>
      <c r="H2705" s="87" t="b">
        <v>0</v>
      </c>
      <c r="I2705" s="87" t="b">
        <v>0</v>
      </c>
      <c r="J2705" s="173" t="s">
        <v>470</v>
      </c>
      <c r="K2705" s="174">
        <v>39086160000130</v>
      </c>
      <c r="L2705" s="173" t="s">
        <v>1119</v>
      </c>
      <c r="M2705" s="173" t="s">
        <v>131</v>
      </c>
      <c r="N2705" s="173" t="s">
        <v>61</v>
      </c>
      <c r="O2705" s="87">
        <v>73</v>
      </c>
      <c r="P2705" s="173" t="s">
        <v>26</v>
      </c>
      <c r="Q2705" s="1" t="s">
        <v>1342</v>
      </c>
      <c r="R2705" s="175">
        <v>120</v>
      </c>
      <c r="S2705">
        <v>30</v>
      </c>
    </row>
    <row r="2706" spans="1:19" x14ac:dyDescent="0.25">
      <c r="A2706" s="87">
        <v>2019</v>
      </c>
      <c r="B2706" s="87">
        <v>11</v>
      </c>
      <c r="C2706" s="173" t="s">
        <v>16</v>
      </c>
      <c r="D2706" s="173" t="s">
        <v>229</v>
      </c>
      <c r="E2706" s="173" t="s">
        <v>24</v>
      </c>
      <c r="F2706" s="173" t="s">
        <v>16</v>
      </c>
      <c r="G2706" s="87" t="b">
        <v>1</v>
      </c>
      <c r="H2706" s="87" t="b">
        <v>0</v>
      </c>
      <c r="I2706" s="87" t="b">
        <v>0</v>
      </c>
      <c r="J2706" s="173" t="s">
        <v>478</v>
      </c>
      <c r="K2706" s="174">
        <v>39387477000107</v>
      </c>
      <c r="L2706" s="173" t="s">
        <v>1218</v>
      </c>
      <c r="M2706" s="173" t="s">
        <v>1157</v>
      </c>
      <c r="N2706" s="173" t="s">
        <v>98</v>
      </c>
      <c r="O2706" s="87">
        <v>70</v>
      </c>
      <c r="P2706" s="173" t="s">
        <v>20</v>
      </c>
      <c r="Q2706" s="1" t="s">
        <v>1338</v>
      </c>
      <c r="R2706" s="175">
        <v>375</v>
      </c>
      <c r="S2706">
        <v>75</v>
      </c>
    </row>
    <row r="2707" spans="1:19" x14ac:dyDescent="0.25">
      <c r="A2707" s="87">
        <v>2019</v>
      </c>
      <c r="B2707" s="87">
        <v>11</v>
      </c>
      <c r="C2707" s="173" t="s">
        <v>16</v>
      </c>
      <c r="D2707" s="173" t="s">
        <v>229</v>
      </c>
      <c r="E2707" s="173" t="s">
        <v>24</v>
      </c>
      <c r="F2707" s="173" t="s">
        <v>16</v>
      </c>
      <c r="G2707" s="87" t="b">
        <v>1</v>
      </c>
      <c r="H2707" s="87" t="b">
        <v>0</v>
      </c>
      <c r="I2707" s="87" t="b">
        <v>0</v>
      </c>
      <c r="J2707" s="173" t="s">
        <v>478</v>
      </c>
      <c r="K2707" s="174">
        <v>41781949000234</v>
      </c>
      <c r="L2707" s="173" t="s">
        <v>1219</v>
      </c>
      <c r="M2707" s="173" t="s">
        <v>1220</v>
      </c>
      <c r="N2707" s="173" t="s">
        <v>54</v>
      </c>
      <c r="O2707" s="87">
        <v>70</v>
      </c>
      <c r="P2707" s="173" t="s">
        <v>20</v>
      </c>
      <c r="Q2707" s="1" t="s">
        <v>1338</v>
      </c>
      <c r="R2707" s="175">
        <v>40</v>
      </c>
      <c r="S2707">
        <v>8</v>
      </c>
    </row>
    <row r="2708" spans="1:19" x14ac:dyDescent="0.25">
      <c r="A2708" s="87">
        <v>2019</v>
      </c>
      <c r="B2708" s="87">
        <v>11</v>
      </c>
      <c r="C2708" s="173" t="s">
        <v>16</v>
      </c>
      <c r="D2708" s="173" t="s">
        <v>229</v>
      </c>
      <c r="E2708" s="173" t="s">
        <v>24</v>
      </c>
      <c r="F2708" s="173" t="s">
        <v>16</v>
      </c>
      <c r="G2708" s="87" t="b">
        <v>1</v>
      </c>
      <c r="H2708" s="87" t="b">
        <v>0</v>
      </c>
      <c r="I2708" s="87" t="b">
        <v>0</v>
      </c>
      <c r="J2708" s="173" t="s">
        <v>1330</v>
      </c>
      <c r="K2708" s="174">
        <v>42498733000148</v>
      </c>
      <c r="L2708" s="173" t="s">
        <v>1221</v>
      </c>
      <c r="M2708" s="173" t="s">
        <v>131</v>
      </c>
      <c r="N2708" s="173" t="s">
        <v>61</v>
      </c>
      <c r="O2708" s="87">
        <v>70</v>
      </c>
      <c r="P2708" s="173" t="s">
        <v>20</v>
      </c>
      <c r="Q2708" s="1" t="s">
        <v>1346</v>
      </c>
      <c r="R2708" s="175">
        <v>200</v>
      </c>
      <c r="S2708">
        <v>80</v>
      </c>
    </row>
    <row r="2709" spans="1:19" x14ac:dyDescent="0.25">
      <c r="A2709" s="87">
        <v>2019</v>
      </c>
      <c r="B2709" s="87">
        <v>11</v>
      </c>
      <c r="C2709" s="173" t="s">
        <v>16</v>
      </c>
      <c r="D2709" s="173" t="s">
        <v>229</v>
      </c>
      <c r="E2709" s="173" t="s">
        <v>24</v>
      </c>
      <c r="F2709" s="173" t="s">
        <v>16</v>
      </c>
      <c r="G2709" s="87" t="b">
        <v>1</v>
      </c>
      <c r="H2709" s="87" t="b">
        <v>0</v>
      </c>
      <c r="I2709" s="87" t="b">
        <v>0</v>
      </c>
      <c r="J2709" s="173" t="s">
        <v>470</v>
      </c>
      <c r="K2709" s="174">
        <v>42855999000362</v>
      </c>
      <c r="L2709" s="173" t="s">
        <v>1222</v>
      </c>
      <c r="M2709" s="173" t="s">
        <v>1223</v>
      </c>
      <c r="N2709" s="173" t="s">
        <v>54</v>
      </c>
      <c r="O2709" s="87">
        <v>70</v>
      </c>
      <c r="P2709" s="173" t="s">
        <v>20</v>
      </c>
      <c r="Q2709" s="1" t="s">
        <v>1338</v>
      </c>
      <c r="R2709" s="175">
        <v>75</v>
      </c>
      <c r="S2709">
        <v>15</v>
      </c>
    </row>
    <row r="2710" spans="1:19" x14ac:dyDescent="0.25">
      <c r="A2710" s="87">
        <v>2019</v>
      </c>
      <c r="B2710" s="87">
        <v>11</v>
      </c>
      <c r="C2710" s="173" t="s">
        <v>16</v>
      </c>
      <c r="D2710" s="173" t="s">
        <v>229</v>
      </c>
      <c r="E2710" s="173" t="s">
        <v>24</v>
      </c>
      <c r="F2710" s="173" t="s">
        <v>16</v>
      </c>
      <c r="G2710" s="87" t="b">
        <v>1</v>
      </c>
      <c r="H2710" s="87" t="b">
        <v>0</v>
      </c>
      <c r="I2710" s="87" t="b">
        <v>0</v>
      </c>
      <c r="J2710" s="173" t="s">
        <v>470</v>
      </c>
      <c r="K2710" s="174">
        <v>42855999000362</v>
      </c>
      <c r="L2710" s="173" t="s">
        <v>1222</v>
      </c>
      <c r="M2710" s="173" t="s">
        <v>1223</v>
      </c>
      <c r="N2710" s="173" t="s">
        <v>54</v>
      </c>
      <c r="O2710" s="87">
        <v>73</v>
      </c>
      <c r="P2710" s="173" t="s">
        <v>26</v>
      </c>
      <c r="Q2710" s="1" t="s">
        <v>1340</v>
      </c>
      <c r="R2710" s="175">
        <v>9</v>
      </c>
      <c r="S2710">
        <v>9</v>
      </c>
    </row>
    <row r="2711" spans="1:19" x14ac:dyDescent="0.25">
      <c r="A2711" s="87">
        <v>2019</v>
      </c>
      <c r="B2711" s="87">
        <v>11</v>
      </c>
      <c r="C2711" s="173" t="s">
        <v>16</v>
      </c>
      <c r="D2711" s="173" t="s">
        <v>229</v>
      </c>
      <c r="E2711" s="173" t="s">
        <v>24</v>
      </c>
      <c r="F2711" s="173" t="s">
        <v>16</v>
      </c>
      <c r="G2711" s="87" t="b">
        <v>1</v>
      </c>
      <c r="H2711" s="87" t="b">
        <v>0</v>
      </c>
      <c r="I2711" s="87" t="b">
        <v>0</v>
      </c>
      <c r="J2711" s="173" t="s">
        <v>470</v>
      </c>
      <c r="K2711" s="174">
        <v>43775956000178</v>
      </c>
      <c r="L2711" s="173" t="s">
        <v>597</v>
      </c>
      <c r="M2711" s="173" t="s">
        <v>29</v>
      </c>
      <c r="N2711" s="173" t="s">
        <v>19</v>
      </c>
      <c r="O2711" s="87">
        <v>70</v>
      </c>
      <c r="P2711" s="173" t="s">
        <v>20</v>
      </c>
      <c r="Q2711" s="1" t="s">
        <v>1338</v>
      </c>
      <c r="R2711" s="175">
        <v>30</v>
      </c>
      <c r="S2711">
        <v>6</v>
      </c>
    </row>
    <row r="2712" spans="1:19" x14ac:dyDescent="0.25">
      <c r="A2712" s="87">
        <v>2019</v>
      </c>
      <c r="B2712" s="87">
        <v>11</v>
      </c>
      <c r="C2712" s="173" t="s">
        <v>16</v>
      </c>
      <c r="D2712" s="173" t="s">
        <v>229</v>
      </c>
      <c r="E2712" s="173" t="s">
        <v>24</v>
      </c>
      <c r="F2712" s="173" t="s">
        <v>16</v>
      </c>
      <c r="G2712" s="87" t="b">
        <v>1</v>
      </c>
      <c r="H2712" s="87" t="b">
        <v>0</v>
      </c>
      <c r="I2712" s="87" t="b">
        <v>0</v>
      </c>
      <c r="J2712" s="173" t="s">
        <v>478</v>
      </c>
      <c r="K2712" s="174">
        <v>44456036000311</v>
      </c>
      <c r="L2712" s="173" t="s">
        <v>675</v>
      </c>
      <c r="M2712" s="173" t="s">
        <v>37</v>
      </c>
      <c r="N2712" s="173" t="s">
        <v>19</v>
      </c>
      <c r="O2712" s="87">
        <v>62</v>
      </c>
      <c r="P2712" s="173" t="s">
        <v>27</v>
      </c>
      <c r="Q2712" s="1" t="s">
        <v>1343</v>
      </c>
      <c r="R2712" s="175">
        <v>1</v>
      </c>
      <c r="S2712">
        <v>1</v>
      </c>
    </row>
    <row r="2713" spans="1:19" x14ac:dyDescent="0.25">
      <c r="A2713" s="87">
        <v>2019</v>
      </c>
      <c r="B2713" s="87">
        <v>11</v>
      </c>
      <c r="C2713" s="173" t="s">
        <v>16</v>
      </c>
      <c r="D2713" s="173" t="s">
        <v>229</v>
      </c>
      <c r="E2713" s="173" t="s">
        <v>24</v>
      </c>
      <c r="F2713" s="173" t="s">
        <v>16</v>
      </c>
      <c r="G2713" s="87" t="b">
        <v>1</v>
      </c>
      <c r="H2713" s="87" t="b">
        <v>0</v>
      </c>
      <c r="I2713" s="87" t="b">
        <v>0</v>
      </c>
      <c r="J2713" s="173" t="s">
        <v>464</v>
      </c>
      <c r="K2713" s="174">
        <v>44456036000311</v>
      </c>
      <c r="L2713" s="173" t="s">
        <v>675</v>
      </c>
      <c r="M2713" s="173" t="s">
        <v>37</v>
      </c>
      <c r="N2713" s="173" t="s">
        <v>19</v>
      </c>
      <c r="O2713" s="87">
        <v>64</v>
      </c>
      <c r="P2713" s="173" t="s">
        <v>25</v>
      </c>
      <c r="Q2713" s="1" t="s">
        <v>1344</v>
      </c>
      <c r="R2713" s="175">
        <v>2</v>
      </c>
      <c r="S2713">
        <v>2</v>
      </c>
    </row>
    <row r="2714" spans="1:19" x14ac:dyDescent="0.25">
      <c r="A2714" s="87">
        <v>2019</v>
      </c>
      <c r="B2714" s="87">
        <v>11</v>
      </c>
      <c r="C2714" s="173" t="s">
        <v>16</v>
      </c>
      <c r="D2714" s="173" t="s">
        <v>229</v>
      </c>
      <c r="E2714" s="173" t="s">
        <v>24</v>
      </c>
      <c r="F2714" s="173" t="s">
        <v>16</v>
      </c>
      <c r="G2714" s="87" t="b">
        <v>1</v>
      </c>
      <c r="H2714" s="87" t="b">
        <v>0</v>
      </c>
      <c r="I2714" s="87" t="b">
        <v>0</v>
      </c>
      <c r="J2714" s="173" t="s">
        <v>452</v>
      </c>
      <c r="K2714" s="174">
        <v>44456036000311</v>
      </c>
      <c r="L2714" s="173" t="s">
        <v>675</v>
      </c>
      <c r="M2714" s="173" t="s">
        <v>37</v>
      </c>
      <c r="N2714" s="173" t="s">
        <v>19</v>
      </c>
      <c r="O2714" s="87">
        <v>66</v>
      </c>
      <c r="P2714" s="173" t="s">
        <v>28</v>
      </c>
      <c r="Q2714" s="1" t="s">
        <v>1341</v>
      </c>
      <c r="R2714" s="175">
        <v>4</v>
      </c>
      <c r="S2714">
        <v>4</v>
      </c>
    </row>
    <row r="2715" spans="1:19" x14ac:dyDescent="0.25">
      <c r="A2715" s="87">
        <v>2019</v>
      </c>
      <c r="B2715" s="87">
        <v>11</v>
      </c>
      <c r="C2715" s="173" t="s">
        <v>16</v>
      </c>
      <c r="D2715" s="173" t="s">
        <v>229</v>
      </c>
      <c r="E2715" s="173" t="s">
        <v>24</v>
      </c>
      <c r="F2715" s="173" t="s">
        <v>16</v>
      </c>
      <c r="G2715" s="87" t="b">
        <v>1</v>
      </c>
      <c r="H2715" s="87" t="b">
        <v>0</v>
      </c>
      <c r="I2715" s="87" t="b">
        <v>0</v>
      </c>
      <c r="J2715" s="173" t="s">
        <v>450</v>
      </c>
      <c r="K2715" s="174">
        <v>44649812001614</v>
      </c>
      <c r="L2715" s="173" t="s">
        <v>677</v>
      </c>
      <c r="M2715" s="173" t="s">
        <v>678</v>
      </c>
      <c r="N2715" s="173" t="s">
        <v>19</v>
      </c>
      <c r="O2715" s="87">
        <v>64</v>
      </c>
      <c r="P2715" s="173" t="s">
        <v>25</v>
      </c>
      <c r="Q2715" s="1" t="s">
        <v>1344</v>
      </c>
      <c r="R2715" s="175">
        <v>2</v>
      </c>
      <c r="S2715">
        <v>2</v>
      </c>
    </row>
    <row r="2716" spans="1:19" x14ac:dyDescent="0.25">
      <c r="A2716" s="87">
        <v>2019</v>
      </c>
      <c r="B2716" s="87">
        <v>11</v>
      </c>
      <c r="C2716" s="173" t="s">
        <v>16</v>
      </c>
      <c r="D2716" s="173" t="s">
        <v>229</v>
      </c>
      <c r="E2716" s="173" t="s">
        <v>24</v>
      </c>
      <c r="F2716" s="173" t="s">
        <v>16</v>
      </c>
      <c r="G2716" s="87" t="b">
        <v>1</v>
      </c>
      <c r="H2716" s="87" t="b">
        <v>0</v>
      </c>
      <c r="I2716" s="87" t="b">
        <v>0</v>
      </c>
      <c r="J2716" s="173" t="s">
        <v>492</v>
      </c>
      <c r="K2716" s="174">
        <v>44732469000190</v>
      </c>
      <c r="L2716" s="173" t="s">
        <v>1224</v>
      </c>
      <c r="M2716" s="173" t="s">
        <v>1225</v>
      </c>
      <c r="N2716" s="173" t="s">
        <v>19</v>
      </c>
      <c r="O2716" s="87">
        <v>70</v>
      </c>
      <c r="P2716" s="173" t="s">
        <v>20</v>
      </c>
      <c r="Q2716" s="1" t="s">
        <v>1338</v>
      </c>
      <c r="R2716" s="175">
        <v>55</v>
      </c>
      <c r="S2716">
        <v>11</v>
      </c>
    </row>
    <row r="2717" spans="1:19" x14ac:dyDescent="0.25">
      <c r="A2717" s="87">
        <v>2019</v>
      </c>
      <c r="B2717" s="87">
        <v>11</v>
      </c>
      <c r="C2717" s="173" t="s">
        <v>16</v>
      </c>
      <c r="D2717" s="173" t="s">
        <v>229</v>
      </c>
      <c r="E2717" s="173" t="s">
        <v>24</v>
      </c>
      <c r="F2717" s="173" t="s">
        <v>16</v>
      </c>
      <c r="G2717" s="87" t="b">
        <v>1</v>
      </c>
      <c r="H2717" s="87" t="b">
        <v>0</v>
      </c>
      <c r="I2717" s="87" t="b">
        <v>0</v>
      </c>
      <c r="J2717" s="173" t="s">
        <v>491</v>
      </c>
      <c r="K2717" s="174">
        <v>45118429001279</v>
      </c>
      <c r="L2717" s="173" t="s">
        <v>683</v>
      </c>
      <c r="M2717" s="173" t="s">
        <v>41</v>
      </c>
      <c r="N2717" s="173" t="s">
        <v>19</v>
      </c>
      <c r="O2717" s="87">
        <v>70</v>
      </c>
      <c r="P2717" s="173" t="s">
        <v>20</v>
      </c>
      <c r="Q2717" s="1" t="s">
        <v>1338</v>
      </c>
      <c r="R2717" s="175">
        <v>50</v>
      </c>
      <c r="S2717">
        <v>10</v>
      </c>
    </row>
    <row r="2718" spans="1:19" x14ac:dyDescent="0.25">
      <c r="A2718" s="87">
        <v>2019</v>
      </c>
      <c r="B2718" s="87">
        <v>11</v>
      </c>
      <c r="C2718" s="173" t="s">
        <v>16</v>
      </c>
      <c r="D2718" s="173" t="s">
        <v>229</v>
      </c>
      <c r="E2718" s="173" t="s">
        <v>24</v>
      </c>
      <c r="F2718" s="173" t="s">
        <v>16</v>
      </c>
      <c r="G2718" s="87" t="b">
        <v>1</v>
      </c>
      <c r="H2718" s="87" t="b">
        <v>0</v>
      </c>
      <c r="I2718" s="87" t="b">
        <v>0</v>
      </c>
      <c r="J2718" s="173" t="s">
        <v>463</v>
      </c>
      <c r="K2718" s="174">
        <v>45184066000117</v>
      </c>
      <c r="L2718" s="173" t="s">
        <v>684</v>
      </c>
      <c r="M2718" s="173" t="s">
        <v>650</v>
      </c>
      <c r="N2718" s="173" t="s">
        <v>19</v>
      </c>
      <c r="O2718" s="87">
        <v>73</v>
      </c>
      <c r="P2718" s="173" t="s">
        <v>26</v>
      </c>
      <c r="Q2718" s="1" t="s">
        <v>1342</v>
      </c>
      <c r="R2718" s="175">
        <v>8</v>
      </c>
      <c r="S2718">
        <v>2</v>
      </c>
    </row>
    <row r="2719" spans="1:19" x14ac:dyDescent="0.25">
      <c r="A2719" s="87">
        <v>2019</v>
      </c>
      <c r="B2719" s="87">
        <v>11</v>
      </c>
      <c r="C2719" s="173" t="s">
        <v>16</v>
      </c>
      <c r="D2719" s="173" t="s">
        <v>229</v>
      </c>
      <c r="E2719" s="173" t="s">
        <v>24</v>
      </c>
      <c r="F2719" s="173" t="s">
        <v>16</v>
      </c>
      <c r="G2719" s="87" t="b">
        <v>1</v>
      </c>
      <c r="H2719" s="87" t="b">
        <v>0</v>
      </c>
      <c r="I2719" s="87" t="b">
        <v>0</v>
      </c>
      <c r="J2719" s="173" t="s">
        <v>463</v>
      </c>
      <c r="K2719" s="174">
        <v>45184066000117</v>
      </c>
      <c r="L2719" s="173" t="s">
        <v>684</v>
      </c>
      <c r="M2719" s="173" t="s">
        <v>650</v>
      </c>
      <c r="N2719" s="173" t="s">
        <v>19</v>
      </c>
      <c r="O2719" s="87">
        <v>73</v>
      </c>
      <c r="P2719" s="173" t="s">
        <v>26</v>
      </c>
      <c r="Q2719" s="1" t="s">
        <v>1340</v>
      </c>
      <c r="R2719" s="175">
        <v>2</v>
      </c>
      <c r="S2719">
        <v>2</v>
      </c>
    </row>
    <row r="2720" spans="1:19" x14ac:dyDescent="0.25">
      <c r="A2720" s="87">
        <v>2019</v>
      </c>
      <c r="B2720" s="87">
        <v>11</v>
      </c>
      <c r="C2720" s="173" t="s">
        <v>16</v>
      </c>
      <c r="D2720" s="173" t="s">
        <v>229</v>
      </c>
      <c r="E2720" s="173" t="s">
        <v>24</v>
      </c>
      <c r="F2720" s="173" t="s">
        <v>16</v>
      </c>
      <c r="G2720" s="87" t="b">
        <v>1</v>
      </c>
      <c r="H2720" s="87" t="b">
        <v>0</v>
      </c>
      <c r="I2720" s="87" t="b">
        <v>0</v>
      </c>
      <c r="J2720" s="173" t="s">
        <v>506</v>
      </c>
      <c r="K2720" s="174">
        <v>45232246000550</v>
      </c>
      <c r="L2720" s="173" t="s">
        <v>685</v>
      </c>
      <c r="M2720" s="173" t="s">
        <v>639</v>
      </c>
      <c r="N2720" s="173" t="s">
        <v>19</v>
      </c>
      <c r="O2720" s="87">
        <v>70</v>
      </c>
      <c r="P2720" s="173" t="s">
        <v>20</v>
      </c>
      <c r="Q2720" s="1" t="s">
        <v>1338</v>
      </c>
      <c r="R2720" s="175">
        <v>80</v>
      </c>
      <c r="S2720">
        <v>16</v>
      </c>
    </row>
    <row r="2721" spans="1:19" x14ac:dyDescent="0.25">
      <c r="A2721" s="87">
        <v>2019</v>
      </c>
      <c r="B2721" s="87">
        <v>11</v>
      </c>
      <c r="C2721" s="173" t="s">
        <v>16</v>
      </c>
      <c r="D2721" s="173" t="s">
        <v>229</v>
      </c>
      <c r="E2721" s="173" t="s">
        <v>24</v>
      </c>
      <c r="F2721" s="173" t="s">
        <v>16</v>
      </c>
      <c r="G2721" s="87" t="b">
        <v>1</v>
      </c>
      <c r="H2721" s="87" t="b">
        <v>0</v>
      </c>
      <c r="I2721" s="87" t="b">
        <v>0</v>
      </c>
      <c r="J2721" s="173" t="s">
        <v>478</v>
      </c>
      <c r="K2721" s="174">
        <v>45232246000550</v>
      </c>
      <c r="L2721" s="173" t="s">
        <v>685</v>
      </c>
      <c r="M2721" s="173" t="s">
        <v>639</v>
      </c>
      <c r="N2721" s="173" t="s">
        <v>19</v>
      </c>
      <c r="O2721" s="87">
        <v>73</v>
      </c>
      <c r="P2721" s="173" t="s">
        <v>26</v>
      </c>
      <c r="Q2721" s="1" t="s">
        <v>1339</v>
      </c>
      <c r="R2721" s="175">
        <v>8</v>
      </c>
      <c r="S2721">
        <v>4</v>
      </c>
    </row>
    <row r="2722" spans="1:19" x14ac:dyDescent="0.25">
      <c r="A2722" s="87">
        <v>2019</v>
      </c>
      <c r="B2722" s="87">
        <v>11</v>
      </c>
      <c r="C2722" s="173" t="s">
        <v>16</v>
      </c>
      <c r="D2722" s="173" t="s">
        <v>229</v>
      </c>
      <c r="E2722" s="173" t="s">
        <v>24</v>
      </c>
      <c r="F2722" s="173" t="s">
        <v>16</v>
      </c>
      <c r="G2722" s="87" t="b">
        <v>1</v>
      </c>
      <c r="H2722" s="87" t="b">
        <v>0</v>
      </c>
      <c r="I2722" s="87" t="b">
        <v>0</v>
      </c>
      <c r="J2722" s="173" t="s">
        <v>478</v>
      </c>
      <c r="K2722" s="174">
        <v>45232246000550</v>
      </c>
      <c r="L2722" s="173" t="s">
        <v>685</v>
      </c>
      <c r="M2722" s="173" t="s">
        <v>639</v>
      </c>
      <c r="N2722" s="173" t="s">
        <v>19</v>
      </c>
      <c r="O2722" s="87">
        <v>73</v>
      </c>
      <c r="P2722" s="173" t="s">
        <v>26</v>
      </c>
      <c r="Q2722" s="1" t="s">
        <v>1340</v>
      </c>
      <c r="R2722" s="175">
        <v>2</v>
      </c>
      <c r="S2722">
        <v>2</v>
      </c>
    </row>
    <row r="2723" spans="1:19" x14ac:dyDescent="0.25">
      <c r="A2723" s="87">
        <v>2019</v>
      </c>
      <c r="B2723" s="87">
        <v>11</v>
      </c>
      <c r="C2723" s="173" t="s">
        <v>16</v>
      </c>
      <c r="D2723" s="173" t="s">
        <v>229</v>
      </c>
      <c r="E2723" s="173" t="s">
        <v>24</v>
      </c>
      <c r="F2723" s="173" t="s">
        <v>16</v>
      </c>
      <c r="G2723" s="87" t="b">
        <v>1</v>
      </c>
      <c r="H2723" s="87" t="b">
        <v>0</v>
      </c>
      <c r="I2723" s="87" t="b">
        <v>0</v>
      </c>
      <c r="J2723" s="173" t="s">
        <v>491</v>
      </c>
      <c r="K2723" s="174">
        <v>45232246000550</v>
      </c>
      <c r="L2723" s="173" t="s">
        <v>685</v>
      </c>
      <c r="M2723" s="173" t="s">
        <v>639</v>
      </c>
      <c r="N2723" s="173" t="s">
        <v>19</v>
      </c>
      <c r="O2723" s="87">
        <v>73</v>
      </c>
      <c r="P2723" s="173" t="s">
        <v>26</v>
      </c>
      <c r="Q2723" s="1" t="s">
        <v>1342</v>
      </c>
      <c r="R2723" s="175">
        <v>32</v>
      </c>
      <c r="S2723">
        <v>8</v>
      </c>
    </row>
    <row r="2724" spans="1:19" x14ac:dyDescent="0.25">
      <c r="A2724" s="87">
        <v>2019</v>
      </c>
      <c r="B2724" s="87">
        <v>11</v>
      </c>
      <c r="C2724" s="173" t="s">
        <v>16</v>
      </c>
      <c r="D2724" s="173" t="s">
        <v>229</v>
      </c>
      <c r="E2724" s="173" t="s">
        <v>24</v>
      </c>
      <c r="F2724" s="173" t="s">
        <v>16</v>
      </c>
      <c r="G2724" s="87" t="b">
        <v>1</v>
      </c>
      <c r="H2724" s="87" t="b">
        <v>0</v>
      </c>
      <c r="I2724" s="87" t="b">
        <v>0</v>
      </c>
      <c r="J2724" s="173" t="s">
        <v>491</v>
      </c>
      <c r="K2724" s="174">
        <v>45359213000576</v>
      </c>
      <c r="L2724" s="173" t="s">
        <v>686</v>
      </c>
      <c r="M2724" s="173" t="s">
        <v>687</v>
      </c>
      <c r="N2724" s="173" t="s">
        <v>19</v>
      </c>
      <c r="O2724" s="87">
        <v>73</v>
      </c>
      <c r="P2724" s="173" t="s">
        <v>26</v>
      </c>
      <c r="Q2724" s="1" t="s">
        <v>1342</v>
      </c>
      <c r="R2724" s="175">
        <v>16</v>
      </c>
      <c r="S2724">
        <v>4</v>
      </c>
    </row>
    <row r="2725" spans="1:19" x14ac:dyDescent="0.25">
      <c r="A2725" s="87">
        <v>2019</v>
      </c>
      <c r="B2725" s="87">
        <v>11</v>
      </c>
      <c r="C2725" s="173" t="s">
        <v>16</v>
      </c>
      <c r="D2725" s="173" t="s">
        <v>229</v>
      </c>
      <c r="E2725" s="173" t="s">
        <v>24</v>
      </c>
      <c r="F2725" s="173" t="s">
        <v>16</v>
      </c>
      <c r="G2725" s="87" t="b">
        <v>1</v>
      </c>
      <c r="H2725" s="87" t="b">
        <v>0</v>
      </c>
      <c r="I2725" s="87" t="b">
        <v>0</v>
      </c>
      <c r="J2725" s="173" t="s">
        <v>450</v>
      </c>
      <c r="K2725" s="174">
        <v>45399961000230</v>
      </c>
      <c r="L2725" s="173" t="s">
        <v>688</v>
      </c>
      <c r="M2725" s="173" t="s">
        <v>42</v>
      </c>
      <c r="N2725" s="173" t="s">
        <v>19</v>
      </c>
      <c r="O2725" s="87">
        <v>70</v>
      </c>
      <c r="P2725" s="173" t="s">
        <v>20</v>
      </c>
      <c r="Q2725" s="1" t="s">
        <v>1338</v>
      </c>
      <c r="R2725" s="175">
        <v>150</v>
      </c>
      <c r="S2725">
        <v>30</v>
      </c>
    </row>
    <row r="2726" spans="1:19" x14ac:dyDescent="0.25">
      <c r="A2726" s="87">
        <v>2019</v>
      </c>
      <c r="B2726" s="87">
        <v>11</v>
      </c>
      <c r="C2726" s="173" t="s">
        <v>16</v>
      </c>
      <c r="D2726" s="173" t="s">
        <v>229</v>
      </c>
      <c r="E2726" s="173" t="s">
        <v>24</v>
      </c>
      <c r="F2726" s="173" t="s">
        <v>16</v>
      </c>
      <c r="G2726" s="87" t="b">
        <v>1</v>
      </c>
      <c r="H2726" s="87" t="b">
        <v>0</v>
      </c>
      <c r="I2726" s="87" t="b">
        <v>0</v>
      </c>
      <c r="J2726" s="173" t="s">
        <v>451</v>
      </c>
      <c r="K2726" s="174">
        <v>45399961000230</v>
      </c>
      <c r="L2726" s="173" t="s">
        <v>688</v>
      </c>
      <c r="M2726" s="173" t="s">
        <v>42</v>
      </c>
      <c r="N2726" s="173" t="s">
        <v>19</v>
      </c>
      <c r="O2726" s="87">
        <v>70</v>
      </c>
      <c r="P2726" s="173" t="s">
        <v>20</v>
      </c>
      <c r="Q2726" s="1" t="s">
        <v>1338</v>
      </c>
      <c r="R2726" s="175">
        <v>100</v>
      </c>
      <c r="S2726">
        <v>20</v>
      </c>
    </row>
    <row r="2727" spans="1:19" x14ac:dyDescent="0.25">
      <c r="A2727" s="87">
        <v>2019</v>
      </c>
      <c r="B2727" s="87">
        <v>11</v>
      </c>
      <c r="C2727" s="173" t="s">
        <v>16</v>
      </c>
      <c r="D2727" s="173" t="s">
        <v>229</v>
      </c>
      <c r="E2727" s="173" t="s">
        <v>24</v>
      </c>
      <c r="F2727" s="173" t="s">
        <v>16</v>
      </c>
      <c r="G2727" s="87" t="b">
        <v>1</v>
      </c>
      <c r="H2727" s="87" t="b">
        <v>0</v>
      </c>
      <c r="I2727" s="87" t="b">
        <v>0</v>
      </c>
      <c r="J2727" s="173" t="s">
        <v>491</v>
      </c>
      <c r="K2727" s="174">
        <v>46009718000140</v>
      </c>
      <c r="L2727" s="173" t="s">
        <v>690</v>
      </c>
      <c r="M2727" s="173" t="s">
        <v>33</v>
      </c>
      <c r="N2727" s="173" t="s">
        <v>19</v>
      </c>
      <c r="O2727" s="87">
        <v>73</v>
      </c>
      <c r="P2727" s="173" t="s">
        <v>26</v>
      </c>
      <c r="Q2727" s="1" t="s">
        <v>1339</v>
      </c>
      <c r="R2727" s="175">
        <v>16</v>
      </c>
      <c r="S2727">
        <v>8</v>
      </c>
    </row>
    <row r="2728" spans="1:19" x14ac:dyDescent="0.25">
      <c r="A2728" s="87">
        <v>2019</v>
      </c>
      <c r="B2728" s="87">
        <v>11</v>
      </c>
      <c r="C2728" s="173" t="s">
        <v>16</v>
      </c>
      <c r="D2728" s="173" t="s">
        <v>229</v>
      </c>
      <c r="E2728" s="173" t="s">
        <v>24</v>
      </c>
      <c r="F2728" s="173" t="s">
        <v>16</v>
      </c>
      <c r="G2728" s="87" t="b">
        <v>1</v>
      </c>
      <c r="H2728" s="87" t="b">
        <v>0</v>
      </c>
      <c r="I2728" s="87" t="b">
        <v>0</v>
      </c>
      <c r="J2728" s="173" t="s">
        <v>491</v>
      </c>
      <c r="K2728" s="174">
        <v>46009718000140</v>
      </c>
      <c r="L2728" s="173" t="s">
        <v>690</v>
      </c>
      <c r="M2728" s="173" t="s">
        <v>33</v>
      </c>
      <c r="N2728" s="173" t="s">
        <v>19</v>
      </c>
      <c r="O2728" s="87">
        <v>73</v>
      </c>
      <c r="P2728" s="173" t="s">
        <v>26</v>
      </c>
      <c r="Q2728" s="1" t="s">
        <v>1342</v>
      </c>
      <c r="R2728" s="175">
        <v>20</v>
      </c>
      <c r="S2728">
        <v>5</v>
      </c>
    </row>
    <row r="2729" spans="1:19" x14ac:dyDescent="0.25">
      <c r="A2729" s="87">
        <v>2019</v>
      </c>
      <c r="B2729" s="87">
        <v>11</v>
      </c>
      <c r="C2729" s="173" t="s">
        <v>16</v>
      </c>
      <c r="D2729" s="173" t="s">
        <v>229</v>
      </c>
      <c r="E2729" s="173" t="s">
        <v>24</v>
      </c>
      <c r="F2729" s="173" t="s">
        <v>16</v>
      </c>
      <c r="G2729" s="87" t="b">
        <v>1</v>
      </c>
      <c r="H2729" s="87" t="b">
        <v>0</v>
      </c>
      <c r="I2729" s="87" t="b">
        <v>0</v>
      </c>
      <c r="J2729" s="173" t="s">
        <v>463</v>
      </c>
      <c r="K2729" s="174">
        <v>46020301000269</v>
      </c>
      <c r="L2729" s="173" t="s">
        <v>691</v>
      </c>
      <c r="M2729" s="173" t="s">
        <v>33</v>
      </c>
      <c r="N2729" s="173" t="s">
        <v>19</v>
      </c>
      <c r="O2729" s="87">
        <v>64</v>
      </c>
      <c r="P2729" s="173" t="s">
        <v>25</v>
      </c>
      <c r="Q2729" s="1" t="s">
        <v>1344</v>
      </c>
      <c r="R2729" s="175">
        <v>1</v>
      </c>
      <c r="S2729">
        <v>1</v>
      </c>
    </row>
    <row r="2730" spans="1:19" x14ac:dyDescent="0.25">
      <c r="A2730" s="87">
        <v>2019</v>
      </c>
      <c r="B2730" s="87">
        <v>11</v>
      </c>
      <c r="C2730" s="173" t="s">
        <v>16</v>
      </c>
      <c r="D2730" s="173" t="s">
        <v>229</v>
      </c>
      <c r="E2730" s="173" t="s">
        <v>24</v>
      </c>
      <c r="F2730" s="173" t="s">
        <v>16</v>
      </c>
      <c r="G2730" s="87" t="b">
        <v>1</v>
      </c>
      <c r="H2730" s="87" t="b">
        <v>0</v>
      </c>
      <c r="I2730" s="87" t="b">
        <v>0</v>
      </c>
      <c r="J2730" s="173" t="s">
        <v>470</v>
      </c>
      <c r="K2730" s="174">
        <v>46020301000269</v>
      </c>
      <c r="L2730" s="173" t="s">
        <v>691</v>
      </c>
      <c r="M2730" s="173" t="s">
        <v>33</v>
      </c>
      <c r="N2730" s="173" t="s">
        <v>19</v>
      </c>
      <c r="O2730" s="87">
        <v>73</v>
      </c>
      <c r="P2730" s="173" t="s">
        <v>26</v>
      </c>
      <c r="Q2730" s="1" t="s">
        <v>1340</v>
      </c>
      <c r="R2730" s="175">
        <v>3</v>
      </c>
      <c r="S2730">
        <v>3</v>
      </c>
    </row>
    <row r="2731" spans="1:19" x14ac:dyDescent="0.25">
      <c r="A2731" s="87">
        <v>2019</v>
      </c>
      <c r="B2731" s="87">
        <v>11</v>
      </c>
      <c r="C2731" s="173" t="s">
        <v>16</v>
      </c>
      <c r="D2731" s="173" t="s">
        <v>229</v>
      </c>
      <c r="E2731" s="173" t="s">
        <v>24</v>
      </c>
      <c r="F2731" s="173" t="s">
        <v>16</v>
      </c>
      <c r="G2731" s="87" t="b">
        <v>1</v>
      </c>
      <c r="H2731" s="87" t="b">
        <v>0</v>
      </c>
      <c r="I2731" s="87" t="b">
        <v>0</v>
      </c>
      <c r="J2731" s="173" t="s">
        <v>450</v>
      </c>
      <c r="K2731" s="174">
        <v>46020301000269</v>
      </c>
      <c r="L2731" s="173" t="s">
        <v>691</v>
      </c>
      <c r="M2731" s="173" t="s">
        <v>33</v>
      </c>
      <c r="N2731" s="173" t="s">
        <v>19</v>
      </c>
      <c r="O2731" s="87">
        <v>73</v>
      </c>
      <c r="P2731" s="173" t="s">
        <v>26</v>
      </c>
      <c r="Q2731" s="1" t="s">
        <v>1342</v>
      </c>
      <c r="R2731" s="175">
        <v>12</v>
      </c>
      <c r="S2731">
        <v>3</v>
      </c>
    </row>
    <row r="2732" spans="1:19" x14ac:dyDescent="0.25">
      <c r="A2732" s="87">
        <v>2019</v>
      </c>
      <c r="B2732" s="87">
        <v>11</v>
      </c>
      <c r="C2732" s="173" t="s">
        <v>16</v>
      </c>
      <c r="D2732" s="173" t="s">
        <v>229</v>
      </c>
      <c r="E2732" s="173" t="s">
        <v>24</v>
      </c>
      <c r="F2732" s="173" t="s">
        <v>16</v>
      </c>
      <c r="G2732" s="87" t="b">
        <v>1</v>
      </c>
      <c r="H2732" s="87" t="b">
        <v>0</v>
      </c>
      <c r="I2732" s="87" t="b">
        <v>0</v>
      </c>
      <c r="J2732" s="173" t="s">
        <v>448</v>
      </c>
      <c r="K2732" s="174">
        <v>46020301000269</v>
      </c>
      <c r="L2732" s="173" t="s">
        <v>691</v>
      </c>
      <c r="M2732" s="173" t="s">
        <v>33</v>
      </c>
      <c r="N2732" s="173" t="s">
        <v>19</v>
      </c>
      <c r="O2732" s="87">
        <v>73</v>
      </c>
      <c r="P2732" s="173" t="s">
        <v>26</v>
      </c>
      <c r="Q2732" s="1" t="s">
        <v>1342</v>
      </c>
      <c r="R2732" s="175">
        <v>20</v>
      </c>
      <c r="S2732">
        <v>5</v>
      </c>
    </row>
    <row r="2733" spans="1:19" x14ac:dyDescent="0.25">
      <c r="A2733" s="87">
        <v>2019</v>
      </c>
      <c r="B2733" s="87">
        <v>11</v>
      </c>
      <c r="C2733" s="173" t="s">
        <v>16</v>
      </c>
      <c r="D2733" s="173" t="s">
        <v>229</v>
      </c>
      <c r="E2733" s="173" t="s">
        <v>24</v>
      </c>
      <c r="F2733" s="173" t="s">
        <v>16</v>
      </c>
      <c r="G2733" s="87" t="b">
        <v>1</v>
      </c>
      <c r="H2733" s="87" t="b">
        <v>0</v>
      </c>
      <c r="I2733" s="87" t="b">
        <v>0</v>
      </c>
      <c r="J2733" s="173" t="s">
        <v>450</v>
      </c>
      <c r="K2733" s="174">
        <v>46068425000133</v>
      </c>
      <c r="L2733" s="173" t="s">
        <v>692</v>
      </c>
      <c r="M2733" s="173" t="s">
        <v>33</v>
      </c>
      <c r="N2733" s="173" t="s">
        <v>19</v>
      </c>
      <c r="O2733" s="87">
        <v>66</v>
      </c>
      <c r="P2733" s="173" t="s">
        <v>28</v>
      </c>
      <c r="Q2733" s="1" t="s">
        <v>1341</v>
      </c>
      <c r="R2733" s="175">
        <v>2</v>
      </c>
      <c r="S2733">
        <v>2</v>
      </c>
    </row>
    <row r="2734" spans="1:19" x14ac:dyDescent="0.25">
      <c r="A2734" s="87">
        <v>2019</v>
      </c>
      <c r="B2734" s="87">
        <v>11</v>
      </c>
      <c r="C2734" s="173" t="s">
        <v>16</v>
      </c>
      <c r="D2734" s="173" t="s">
        <v>229</v>
      </c>
      <c r="E2734" s="173" t="s">
        <v>24</v>
      </c>
      <c r="F2734" s="173" t="s">
        <v>16</v>
      </c>
      <c r="G2734" s="87" t="b">
        <v>1</v>
      </c>
      <c r="H2734" s="87" t="b">
        <v>0</v>
      </c>
      <c r="I2734" s="87" t="b">
        <v>0</v>
      </c>
      <c r="J2734" s="173" t="s">
        <v>448</v>
      </c>
      <c r="K2734" s="174">
        <v>46124624000111</v>
      </c>
      <c r="L2734" s="173" t="s">
        <v>693</v>
      </c>
      <c r="M2734" s="173" t="s">
        <v>33</v>
      </c>
      <c r="N2734" s="173" t="s">
        <v>19</v>
      </c>
      <c r="O2734" s="87">
        <v>70</v>
      </c>
      <c r="P2734" s="173" t="s">
        <v>20</v>
      </c>
      <c r="Q2734" s="1" t="s">
        <v>1338</v>
      </c>
      <c r="R2734" s="175">
        <v>690</v>
      </c>
      <c r="S2734">
        <v>138</v>
      </c>
    </row>
    <row r="2735" spans="1:19" x14ac:dyDescent="0.25">
      <c r="A2735" s="87">
        <v>2019</v>
      </c>
      <c r="B2735" s="87">
        <v>11</v>
      </c>
      <c r="C2735" s="173" t="s">
        <v>16</v>
      </c>
      <c r="D2735" s="173" t="s">
        <v>229</v>
      </c>
      <c r="E2735" s="173" t="s">
        <v>24</v>
      </c>
      <c r="F2735" s="173" t="s">
        <v>16</v>
      </c>
      <c r="G2735" s="87" t="b">
        <v>1</v>
      </c>
      <c r="H2735" s="87" t="b">
        <v>0</v>
      </c>
      <c r="I2735" s="87" t="b">
        <v>0</v>
      </c>
      <c r="J2735" s="173" t="s">
        <v>448</v>
      </c>
      <c r="K2735" s="174">
        <v>46124624000111</v>
      </c>
      <c r="L2735" s="173" t="s">
        <v>693</v>
      </c>
      <c r="M2735" s="173" t="s">
        <v>33</v>
      </c>
      <c r="N2735" s="173" t="s">
        <v>19</v>
      </c>
      <c r="O2735" s="87">
        <v>73</v>
      </c>
      <c r="P2735" s="173" t="s">
        <v>26</v>
      </c>
      <c r="Q2735" s="1" t="s">
        <v>1342</v>
      </c>
      <c r="R2735" s="175">
        <v>32</v>
      </c>
      <c r="S2735">
        <v>8</v>
      </c>
    </row>
    <row r="2736" spans="1:19" x14ac:dyDescent="0.25">
      <c r="A2736" s="87">
        <v>2019</v>
      </c>
      <c r="B2736" s="87">
        <v>11</v>
      </c>
      <c r="C2736" s="173" t="s">
        <v>16</v>
      </c>
      <c r="D2736" s="173" t="s">
        <v>229</v>
      </c>
      <c r="E2736" s="173" t="s">
        <v>24</v>
      </c>
      <c r="F2736" s="173" t="s">
        <v>16</v>
      </c>
      <c r="G2736" s="87" t="b">
        <v>1</v>
      </c>
      <c r="H2736" s="87" t="b">
        <v>0</v>
      </c>
      <c r="I2736" s="87" t="b">
        <v>0</v>
      </c>
      <c r="J2736" s="173" t="s">
        <v>448</v>
      </c>
      <c r="K2736" s="174">
        <v>46124624002599</v>
      </c>
      <c r="L2736" s="173" t="s">
        <v>694</v>
      </c>
      <c r="M2736" s="173" t="s">
        <v>695</v>
      </c>
      <c r="N2736" s="173" t="s">
        <v>19</v>
      </c>
      <c r="O2736" s="87">
        <v>70</v>
      </c>
      <c r="P2736" s="173" t="s">
        <v>20</v>
      </c>
      <c r="Q2736" s="1" t="s">
        <v>1338</v>
      </c>
      <c r="R2736" s="175">
        <v>300</v>
      </c>
      <c r="S2736">
        <v>60</v>
      </c>
    </row>
    <row r="2737" spans="1:19" x14ac:dyDescent="0.25">
      <c r="A2737" s="87">
        <v>2019</v>
      </c>
      <c r="B2737" s="87">
        <v>11</v>
      </c>
      <c r="C2737" s="173" t="s">
        <v>16</v>
      </c>
      <c r="D2737" s="173" t="s">
        <v>229</v>
      </c>
      <c r="E2737" s="173" t="s">
        <v>24</v>
      </c>
      <c r="F2737" s="173" t="s">
        <v>16</v>
      </c>
      <c r="G2737" s="87" t="b">
        <v>1</v>
      </c>
      <c r="H2737" s="87" t="b">
        <v>0</v>
      </c>
      <c r="I2737" s="87" t="b">
        <v>0</v>
      </c>
      <c r="J2737" s="173" t="s">
        <v>448</v>
      </c>
      <c r="K2737" s="174">
        <v>46124624002599</v>
      </c>
      <c r="L2737" s="173" t="s">
        <v>694</v>
      </c>
      <c r="M2737" s="173" t="s">
        <v>695</v>
      </c>
      <c r="N2737" s="173" t="s">
        <v>19</v>
      </c>
      <c r="O2737" s="87">
        <v>73</v>
      </c>
      <c r="P2737" s="173" t="s">
        <v>26</v>
      </c>
      <c r="Q2737" s="1" t="s">
        <v>1342</v>
      </c>
      <c r="R2737" s="175">
        <v>120</v>
      </c>
      <c r="S2737">
        <v>30</v>
      </c>
    </row>
    <row r="2738" spans="1:19" x14ac:dyDescent="0.25">
      <c r="A2738" s="87">
        <v>2019</v>
      </c>
      <c r="B2738" s="87">
        <v>11</v>
      </c>
      <c r="C2738" s="173" t="s">
        <v>16</v>
      </c>
      <c r="D2738" s="173" t="s">
        <v>229</v>
      </c>
      <c r="E2738" s="173" t="s">
        <v>24</v>
      </c>
      <c r="F2738" s="173" t="s">
        <v>16</v>
      </c>
      <c r="G2738" s="87" t="b">
        <v>1</v>
      </c>
      <c r="H2738" s="87" t="b">
        <v>0</v>
      </c>
      <c r="I2738" s="87" t="b">
        <v>0</v>
      </c>
      <c r="J2738" s="173" t="s">
        <v>448</v>
      </c>
      <c r="K2738" s="174">
        <v>46124624002670</v>
      </c>
      <c r="L2738" s="173" t="s">
        <v>1226</v>
      </c>
      <c r="M2738" s="173" t="s">
        <v>29</v>
      </c>
      <c r="N2738" s="173" t="s">
        <v>19</v>
      </c>
      <c r="O2738" s="87">
        <v>70</v>
      </c>
      <c r="P2738" s="173" t="s">
        <v>20</v>
      </c>
      <c r="Q2738" s="1" t="s">
        <v>1338</v>
      </c>
      <c r="R2738" s="175">
        <v>750</v>
      </c>
      <c r="S2738">
        <v>150</v>
      </c>
    </row>
    <row r="2739" spans="1:19" x14ac:dyDescent="0.25">
      <c r="A2739" s="87">
        <v>2019</v>
      </c>
      <c r="B2739" s="87">
        <v>11</v>
      </c>
      <c r="C2739" s="173" t="s">
        <v>16</v>
      </c>
      <c r="D2739" s="173" t="s">
        <v>229</v>
      </c>
      <c r="E2739" s="173" t="s">
        <v>24</v>
      </c>
      <c r="F2739" s="173" t="s">
        <v>16</v>
      </c>
      <c r="G2739" s="87" t="b">
        <v>1</v>
      </c>
      <c r="H2739" s="87" t="b">
        <v>0</v>
      </c>
      <c r="I2739" s="87" t="b">
        <v>0</v>
      </c>
      <c r="J2739" s="173" t="s">
        <v>448</v>
      </c>
      <c r="K2739" s="174">
        <v>46124624002670</v>
      </c>
      <c r="L2739" s="173" t="s">
        <v>1226</v>
      </c>
      <c r="M2739" s="173" t="s">
        <v>29</v>
      </c>
      <c r="N2739" s="173" t="s">
        <v>19</v>
      </c>
      <c r="O2739" s="87">
        <v>73</v>
      </c>
      <c r="P2739" s="173" t="s">
        <v>26</v>
      </c>
      <c r="Q2739" s="1" t="s">
        <v>1342</v>
      </c>
      <c r="R2739" s="175">
        <v>240</v>
      </c>
      <c r="S2739">
        <v>60</v>
      </c>
    </row>
    <row r="2740" spans="1:19" x14ac:dyDescent="0.25">
      <c r="A2740" s="87">
        <v>2019</v>
      </c>
      <c r="B2740" s="87">
        <v>11</v>
      </c>
      <c r="C2740" s="173" t="s">
        <v>16</v>
      </c>
      <c r="D2740" s="173" t="s">
        <v>229</v>
      </c>
      <c r="E2740" s="173" t="s">
        <v>24</v>
      </c>
      <c r="F2740" s="173" t="s">
        <v>16</v>
      </c>
      <c r="G2740" s="87" t="b">
        <v>1</v>
      </c>
      <c r="H2740" s="87" t="b">
        <v>0</v>
      </c>
      <c r="I2740" s="87" t="b">
        <v>0</v>
      </c>
      <c r="J2740" s="173" t="s">
        <v>1330</v>
      </c>
      <c r="K2740" s="174">
        <v>46374500000941</v>
      </c>
      <c r="L2740" s="173" t="s">
        <v>1227</v>
      </c>
      <c r="M2740" s="173" t="s">
        <v>29</v>
      </c>
      <c r="N2740" s="173" t="s">
        <v>19</v>
      </c>
      <c r="O2740" s="87">
        <v>64</v>
      </c>
      <c r="P2740" s="173" t="s">
        <v>25</v>
      </c>
      <c r="Q2740" s="1" t="s">
        <v>1344</v>
      </c>
      <c r="R2740" s="175">
        <v>24</v>
      </c>
      <c r="S2740">
        <v>24</v>
      </c>
    </row>
    <row r="2741" spans="1:19" x14ac:dyDescent="0.25">
      <c r="A2741" s="87">
        <v>2019</v>
      </c>
      <c r="B2741" s="87">
        <v>11</v>
      </c>
      <c r="C2741" s="173" t="s">
        <v>16</v>
      </c>
      <c r="D2741" s="173" t="s">
        <v>229</v>
      </c>
      <c r="E2741" s="173" t="s">
        <v>24</v>
      </c>
      <c r="F2741" s="173" t="s">
        <v>16</v>
      </c>
      <c r="G2741" s="87" t="b">
        <v>1</v>
      </c>
      <c r="H2741" s="87" t="b">
        <v>0</v>
      </c>
      <c r="I2741" s="87" t="b">
        <v>0</v>
      </c>
      <c r="J2741" s="173" t="s">
        <v>1330</v>
      </c>
      <c r="K2741" s="174">
        <v>46374500003533</v>
      </c>
      <c r="L2741" s="173" t="s">
        <v>696</v>
      </c>
      <c r="M2741" s="173" t="s">
        <v>639</v>
      </c>
      <c r="N2741" s="173" t="s">
        <v>19</v>
      </c>
      <c r="O2741" s="87">
        <v>70</v>
      </c>
      <c r="P2741" s="173" t="s">
        <v>20</v>
      </c>
      <c r="Q2741" s="1" t="s">
        <v>1338</v>
      </c>
      <c r="R2741" s="175">
        <v>1000</v>
      </c>
      <c r="S2741">
        <v>200</v>
      </c>
    </row>
    <row r="2742" spans="1:19" x14ac:dyDescent="0.25">
      <c r="A2742" s="87">
        <v>2019</v>
      </c>
      <c r="B2742" s="87">
        <v>11</v>
      </c>
      <c r="C2742" s="173" t="s">
        <v>16</v>
      </c>
      <c r="D2742" s="173" t="s">
        <v>229</v>
      </c>
      <c r="E2742" s="173" t="s">
        <v>24</v>
      </c>
      <c r="F2742" s="173" t="s">
        <v>16</v>
      </c>
      <c r="G2742" s="87" t="b">
        <v>1</v>
      </c>
      <c r="H2742" s="87" t="b">
        <v>0</v>
      </c>
      <c r="I2742" s="87" t="b">
        <v>0</v>
      </c>
      <c r="J2742" s="173" t="s">
        <v>470</v>
      </c>
      <c r="K2742" s="174">
        <v>49150352000201</v>
      </c>
      <c r="L2742" s="173" t="s">
        <v>1228</v>
      </c>
      <c r="M2742" s="173" t="s">
        <v>1229</v>
      </c>
      <c r="N2742" s="173" t="s">
        <v>19</v>
      </c>
      <c r="O2742" s="87">
        <v>64</v>
      </c>
      <c r="P2742" s="173" t="s">
        <v>25</v>
      </c>
      <c r="Q2742" s="1" t="s">
        <v>1344</v>
      </c>
      <c r="R2742" s="175">
        <v>5</v>
      </c>
      <c r="S2742">
        <v>5</v>
      </c>
    </row>
    <row r="2743" spans="1:19" x14ac:dyDescent="0.25">
      <c r="A2743" s="87">
        <v>2019</v>
      </c>
      <c r="B2743" s="87">
        <v>11</v>
      </c>
      <c r="C2743" s="173" t="s">
        <v>16</v>
      </c>
      <c r="D2743" s="173" t="s">
        <v>229</v>
      </c>
      <c r="E2743" s="173" t="s">
        <v>24</v>
      </c>
      <c r="F2743" s="173" t="s">
        <v>16</v>
      </c>
      <c r="G2743" s="87" t="b">
        <v>1</v>
      </c>
      <c r="H2743" s="87" t="b">
        <v>0</v>
      </c>
      <c r="I2743" s="87" t="b">
        <v>0</v>
      </c>
      <c r="J2743" s="173" t="s">
        <v>463</v>
      </c>
      <c r="K2743" s="174">
        <v>50486026000160</v>
      </c>
      <c r="L2743" s="173" t="s">
        <v>706</v>
      </c>
      <c r="M2743" s="173" t="s">
        <v>44</v>
      </c>
      <c r="N2743" s="173" t="s">
        <v>19</v>
      </c>
      <c r="O2743" s="87">
        <v>70</v>
      </c>
      <c r="P2743" s="173" t="s">
        <v>20</v>
      </c>
      <c r="Q2743" s="1" t="s">
        <v>1338</v>
      </c>
      <c r="R2743" s="175">
        <v>100</v>
      </c>
      <c r="S2743">
        <v>20</v>
      </c>
    </row>
    <row r="2744" spans="1:19" x14ac:dyDescent="0.25">
      <c r="A2744" s="87">
        <v>2019</v>
      </c>
      <c r="B2744" s="87">
        <v>11</v>
      </c>
      <c r="C2744" s="173" t="s">
        <v>16</v>
      </c>
      <c r="D2744" s="173" t="s">
        <v>229</v>
      </c>
      <c r="E2744" s="173" t="s">
        <v>24</v>
      </c>
      <c r="F2744" s="173" t="s">
        <v>16</v>
      </c>
      <c r="G2744" s="87" t="b">
        <v>1</v>
      </c>
      <c r="H2744" s="87" t="b">
        <v>0</v>
      </c>
      <c r="I2744" s="87" t="b">
        <v>0</v>
      </c>
      <c r="J2744" s="173" t="s">
        <v>463</v>
      </c>
      <c r="K2744" s="174">
        <v>50944198000130</v>
      </c>
      <c r="L2744" s="173" t="s">
        <v>707</v>
      </c>
      <c r="M2744" s="173" t="s">
        <v>678</v>
      </c>
      <c r="N2744" s="173" t="s">
        <v>19</v>
      </c>
      <c r="O2744" s="87">
        <v>64</v>
      </c>
      <c r="P2744" s="173" t="s">
        <v>25</v>
      </c>
      <c r="Q2744" s="1" t="s">
        <v>1344</v>
      </c>
      <c r="R2744" s="175">
        <v>16</v>
      </c>
      <c r="S2744">
        <v>16</v>
      </c>
    </row>
    <row r="2745" spans="1:19" x14ac:dyDescent="0.25">
      <c r="A2745" s="87">
        <v>2019</v>
      </c>
      <c r="B2745" s="87">
        <v>11</v>
      </c>
      <c r="C2745" s="173" t="s">
        <v>16</v>
      </c>
      <c r="D2745" s="173" t="s">
        <v>229</v>
      </c>
      <c r="E2745" s="173" t="s">
        <v>24</v>
      </c>
      <c r="F2745" s="173" t="s">
        <v>16</v>
      </c>
      <c r="G2745" s="87" t="b">
        <v>1</v>
      </c>
      <c r="H2745" s="87" t="b">
        <v>0</v>
      </c>
      <c r="I2745" s="87" t="b">
        <v>0</v>
      </c>
      <c r="J2745" s="173" t="s">
        <v>470</v>
      </c>
      <c r="K2745" s="174">
        <v>51093193000456</v>
      </c>
      <c r="L2745" s="173" t="s">
        <v>708</v>
      </c>
      <c r="M2745" s="173" t="s">
        <v>698</v>
      </c>
      <c r="N2745" s="173" t="s">
        <v>19</v>
      </c>
      <c r="O2745" s="87">
        <v>70</v>
      </c>
      <c r="P2745" s="173" t="s">
        <v>20</v>
      </c>
      <c r="Q2745" s="1" t="s">
        <v>1338</v>
      </c>
      <c r="R2745" s="175">
        <v>10</v>
      </c>
      <c r="S2745">
        <v>2</v>
      </c>
    </row>
    <row r="2746" spans="1:19" x14ac:dyDescent="0.25">
      <c r="A2746" s="87">
        <v>2019</v>
      </c>
      <c r="B2746" s="87">
        <v>11</v>
      </c>
      <c r="C2746" s="173" t="s">
        <v>16</v>
      </c>
      <c r="D2746" s="173" t="s">
        <v>229</v>
      </c>
      <c r="E2746" s="173" t="s">
        <v>24</v>
      </c>
      <c r="F2746" s="173" t="s">
        <v>16</v>
      </c>
      <c r="G2746" s="87" t="b">
        <v>1</v>
      </c>
      <c r="H2746" s="87" t="b">
        <v>0</v>
      </c>
      <c r="I2746" s="87" t="b">
        <v>0</v>
      </c>
      <c r="J2746" s="173" t="s">
        <v>455</v>
      </c>
      <c r="K2746" s="174">
        <v>51093193000456</v>
      </c>
      <c r="L2746" s="173" t="s">
        <v>708</v>
      </c>
      <c r="M2746" s="173" t="s">
        <v>698</v>
      </c>
      <c r="N2746" s="173" t="s">
        <v>19</v>
      </c>
      <c r="O2746" s="87">
        <v>70</v>
      </c>
      <c r="P2746" s="173" t="s">
        <v>20</v>
      </c>
      <c r="Q2746" s="1" t="s">
        <v>1338</v>
      </c>
      <c r="R2746" s="175">
        <v>10</v>
      </c>
      <c r="S2746">
        <v>2</v>
      </c>
    </row>
    <row r="2747" spans="1:19" x14ac:dyDescent="0.25">
      <c r="A2747" s="87">
        <v>2019</v>
      </c>
      <c r="B2747" s="87">
        <v>11</v>
      </c>
      <c r="C2747" s="173" t="s">
        <v>16</v>
      </c>
      <c r="D2747" s="173" t="s">
        <v>229</v>
      </c>
      <c r="E2747" s="173" t="s">
        <v>24</v>
      </c>
      <c r="F2747" s="173" t="s">
        <v>16</v>
      </c>
      <c r="G2747" s="87" t="b">
        <v>1</v>
      </c>
      <c r="H2747" s="87" t="b">
        <v>0</v>
      </c>
      <c r="I2747" s="87" t="b">
        <v>0</v>
      </c>
      <c r="J2747" s="173" t="s">
        <v>470</v>
      </c>
      <c r="K2747" s="174">
        <v>51722957000506</v>
      </c>
      <c r="L2747" s="173" t="s">
        <v>602</v>
      </c>
      <c r="M2747" s="173" t="s">
        <v>29</v>
      </c>
      <c r="N2747" s="173" t="s">
        <v>19</v>
      </c>
      <c r="O2747" s="87">
        <v>70</v>
      </c>
      <c r="P2747" s="173" t="s">
        <v>20</v>
      </c>
      <c r="Q2747" s="1" t="s">
        <v>1338</v>
      </c>
      <c r="R2747" s="175">
        <v>100</v>
      </c>
      <c r="S2747">
        <v>20</v>
      </c>
    </row>
    <row r="2748" spans="1:19" x14ac:dyDescent="0.25">
      <c r="A2748" s="87">
        <v>2019</v>
      </c>
      <c r="B2748" s="87">
        <v>11</v>
      </c>
      <c r="C2748" s="173" t="s">
        <v>16</v>
      </c>
      <c r="D2748" s="173" t="s">
        <v>229</v>
      </c>
      <c r="E2748" s="173" t="s">
        <v>24</v>
      </c>
      <c r="F2748" s="173" t="s">
        <v>16</v>
      </c>
      <c r="G2748" s="87" t="b">
        <v>1</v>
      </c>
      <c r="H2748" s="87" t="b">
        <v>0</v>
      </c>
      <c r="I2748" s="87" t="b">
        <v>0</v>
      </c>
      <c r="J2748" s="173" t="s">
        <v>470</v>
      </c>
      <c r="K2748" s="174">
        <v>51722957010226</v>
      </c>
      <c r="L2748" s="173" t="s">
        <v>603</v>
      </c>
      <c r="M2748" s="173" t="s">
        <v>29</v>
      </c>
      <c r="N2748" s="173" t="s">
        <v>19</v>
      </c>
      <c r="O2748" s="87">
        <v>70</v>
      </c>
      <c r="P2748" s="173" t="s">
        <v>20</v>
      </c>
      <c r="Q2748" s="1" t="s">
        <v>1338</v>
      </c>
      <c r="R2748" s="175">
        <v>165</v>
      </c>
      <c r="S2748">
        <v>33</v>
      </c>
    </row>
    <row r="2749" spans="1:19" x14ac:dyDescent="0.25">
      <c r="A2749" s="87">
        <v>2019</v>
      </c>
      <c r="B2749" s="87">
        <v>11</v>
      </c>
      <c r="C2749" s="173" t="s">
        <v>16</v>
      </c>
      <c r="D2749" s="173" t="s">
        <v>229</v>
      </c>
      <c r="E2749" s="173" t="s">
        <v>24</v>
      </c>
      <c r="F2749" s="173" t="s">
        <v>16</v>
      </c>
      <c r="G2749" s="87" t="b">
        <v>1</v>
      </c>
      <c r="H2749" s="87" t="b">
        <v>0</v>
      </c>
      <c r="I2749" s="87" t="b">
        <v>0</v>
      </c>
      <c r="J2749" s="173" t="s">
        <v>470</v>
      </c>
      <c r="K2749" s="174">
        <v>51722957010226</v>
      </c>
      <c r="L2749" s="173" t="s">
        <v>603</v>
      </c>
      <c r="M2749" s="173" t="s">
        <v>29</v>
      </c>
      <c r="N2749" s="173" t="s">
        <v>19</v>
      </c>
      <c r="O2749" s="87">
        <v>73</v>
      </c>
      <c r="P2749" s="173" t="s">
        <v>26</v>
      </c>
      <c r="Q2749" s="1" t="s">
        <v>1339</v>
      </c>
      <c r="R2749" s="175">
        <v>2</v>
      </c>
      <c r="S2749">
        <v>1</v>
      </c>
    </row>
    <row r="2750" spans="1:19" x14ac:dyDescent="0.25">
      <c r="A2750" s="87">
        <v>2019</v>
      </c>
      <c r="B2750" s="87">
        <v>11</v>
      </c>
      <c r="C2750" s="173" t="s">
        <v>16</v>
      </c>
      <c r="D2750" s="173" t="s">
        <v>229</v>
      </c>
      <c r="E2750" s="173" t="s">
        <v>24</v>
      </c>
      <c r="F2750" s="173" t="s">
        <v>16</v>
      </c>
      <c r="G2750" s="87" t="b">
        <v>1</v>
      </c>
      <c r="H2750" s="87" t="b">
        <v>0</v>
      </c>
      <c r="I2750" s="87" t="b">
        <v>0</v>
      </c>
      <c r="J2750" s="173" t="s">
        <v>470</v>
      </c>
      <c r="K2750" s="174">
        <v>51722957010226</v>
      </c>
      <c r="L2750" s="173" t="s">
        <v>603</v>
      </c>
      <c r="M2750" s="173" t="s">
        <v>29</v>
      </c>
      <c r="N2750" s="173" t="s">
        <v>19</v>
      </c>
      <c r="O2750" s="87">
        <v>73</v>
      </c>
      <c r="P2750" s="173" t="s">
        <v>26</v>
      </c>
      <c r="Q2750" s="1" t="s">
        <v>1340</v>
      </c>
      <c r="R2750" s="175">
        <v>2</v>
      </c>
      <c r="S2750">
        <v>2</v>
      </c>
    </row>
    <row r="2751" spans="1:19" x14ac:dyDescent="0.25">
      <c r="A2751" s="87">
        <v>2019</v>
      </c>
      <c r="B2751" s="87">
        <v>11</v>
      </c>
      <c r="C2751" s="173" t="s">
        <v>16</v>
      </c>
      <c r="D2751" s="173" t="s">
        <v>229</v>
      </c>
      <c r="E2751" s="173" t="s">
        <v>24</v>
      </c>
      <c r="F2751" s="173" t="s">
        <v>16</v>
      </c>
      <c r="G2751" s="87" t="b">
        <v>1</v>
      </c>
      <c r="H2751" s="87" t="b">
        <v>0</v>
      </c>
      <c r="I2751" s="87" t="b">
        <v>0</v>
      </c>
      <c r="J2751" s="173" t="s">
        <v>450</v>
      </c>
      <c r="K2751" s="174">
        <v>51722957010226</v>
      </c>
      <c r="L2751" s="173" t="s">
        <v>603</v>
      </c>
      <c r="M2751" s="173" t="s">
        <v>29</v>
      </c>
      <c r="N2751" s="173" t="s">
        <v>19</v>
      </c>
      <c r="O2751" s="87">
        <v>73</v>
      </c>
      <c r="P2751" s="173" t="s">
        <v>26</v>
      </c>
      <c r="Q2751" s="1" t="s">
        <v>1339</v>
      </c>
      <c r="R2751" s="175">
        <v>4</v>
      </c>
      <c r="S2751">
        <v>2</v>
      </c>
    </row>
    <row r="2752" spans="1:19" x14ac:dyDescent="0.25">
      <c r="A2752" s="87">
        <v>2019</v>
      </c>
      <c r="B2752" s="87">
        <v>11</v>
      </c>
      <c r="C2752" s="173" t="s">
        <v>16</v>
      </c>
      <c r="D2752" s="173" t="s">
        <v>229</v>
      </c>
      <c r="E2752" s="173" t="s">
        <v>24</v>
      </c>
      <c r="F2752" s="173" t="s">
        <v>16</v>
      </c>
      <c r="G2752" s="87" t="b">
        <v>1</v>
      </c>
      <c r="H2752" s="87" t="b">
        <v>0</v>
      </c>
      <c r="I2752" s="87" t="b">
        <v>0</v>
      </c>
      <c r="J2752" s="173" t="s">
        <v>470</v>
      </c>
      <c r="K2752" s="174">
        <v>51722957012512</v>
      </c>
      <c r="L2752" s="173" t="s">
        <v>604</v>
      </c>
      <c r="M2752" s="173" t="s">
        <v>29</v>
      </c>
      <c r="N2752" s="173" t="s">
        <v>19</v>
      </c>
      <c r="O2752" s="87">
        <v>70</v>
      </c>
      <c r="P2752" s="173" t="s">
        <v>20</v>
      </c>
      <c r="Q2752" s="1" t="s">
        <v>1338</v>
      </c>
      <c r="R2752" s="175">
        <v>280</v>
      </c>
      <c r="S2752">
        <v>56</v>
      </c>
    </row>
    <row r="2753" spans="1:19" x14ac:dyDescent="0.25">
      <c r="A2753" s="87">
        <v>2019</v>
      </c>
      <c r="B2753" s="87">
        <v>11</v>
      </c>
      <c r="C2753" s="173" t="s">
        <v>16</v>
      </c>
      <c r="D2753" s="173" t="s">
        <v>229</v>
      </c>
      <c r="E2753" s="173" t="s">
        <v>24</v>
      </c>
      <c r="F2753" s="173" t="s">
        <v>16</v>
      </c>
      <c r="G2753" s="87" t="b">
        <v>1</v>
      </c>
      <c r="H2753" s="87" t="b">
        <v>0</v>
      </c>
      <c r="I2753" s="87" t="b">
        <v>0</v>
      </c>
      <c r="J2753" s="173" t="s">
        <v>1330</v>
      </c>
      <c r="K2753" s="174">
        <v>51885242000140</v>
      </c>
      <c r="L2753" s="173" t="s">
        <v>712</v>
      </c>
      <c r="M2753" s="173" t="s">
        <v>33</v>
      </c>
      <c r="N2753" s="173" t="s">
        <v>19</v>
      </c>
      <c r="O2753" s="87">
        <v>73</v>
      </c>
      <c r="P2753" s="173" t="s">
        <v>26</v>
      </c>
      <c r="Q2753" s="1" t="s">
        <v>1339</v>
      </c>
      <c r="R2753" s="175">
        <v>240</v>
      </c>
      <c r="S2753">
        <v>120</v>
      </c>
    </row>
    <row r="2754" spans="1:19" x14ac:dyDescent="0.25">
      <c r="A2754" s="87">
        <v>2019</v>
      </c>
      <c r="B2754" s="87">
        <v>11</v>
      </c>
      <c r="C2754" s="173" t="s">
        <v>16</v>
      </c>
      <c r="D2754" s="173" t="s">
        <v>229</v>
      </c>
      <c r="E2754" s="173" t="s">
        <v>24</v>
      </c>
      <c r="F2754" s="173" t="s">
        <v>16</v>
      </c>
      <c r="G2754" s="87" t="b">
        <v>1</v>
      </c>
      <c r="H2754" s="87" t="b">
        <v>0</v>
      </c>
      <c r="I2754" s="87" t="b">
        <v>0</v>
      </c>
      <c r="J2754" s="173" t="s">
        <v>450</v>
      </c>
      <c r="K2754" s="174">
        <v>53221255004995</v>
      </c>
      <c r="L2754" s="173" t="s">
        <v>1123</v>
      </c>
      <c r="M2754" s="173" t="s">
        <v>131</v>
      </c>
      <c r="N2754" s="173" t="s">
        <v>61</v>
      </c>
      <c r="O2754" s="87">
        <v>62</v>
      </c>
      <c r="P2754" s="173" t="s">
        <v>27</v>
      </c>
      <c r="Q2754" s="1" t="s">
        <v>1343</v>
      </c>
      <c r="R2754" s="175">
        <v>1</v>
      </c>
      <c r="S2754">
        <v>1</v>
      </c>
    </row>
    <row r="2755" spans="1:19" x14ac:dyDescent="0.25">
      <c r="A2755" s="87">
        <v>2019</v>
      </c>
      <c r="B2755" s="87">
        <v>11</v>
      </c>
      <c r="C2755" s="173" t="s">
        <v>16</v>
      </c>
      <c r="D2755" s="173" t="s">
        <v>229</v>
      </c>
      <c r="E2755" s="173" t="s">
        <v>24</v>
      </c>
      <c r="F2755" s="173" t="s">
        <v>16</v>
      </c>
      <c r="G2755" s="87" t="b">
        <v>1</v>
      </c>
      <c r="H2755" s="87" t="b">
        <v>0</v>
      </c>
      <c r="I2755" s="87" t="b">
        <v>0</v>
      </c>
      <c r="J2755" s="173" t="s">
        <v>463</v>
      </c>
      <c r="K2755" s="174">
        <v>53311999000156</v>
      </c>
      <c r="L2755" s="173" t="s">
        <v>714</v>
      </c>
      <c r="M2755" s="173" t="s">
        <v>715</v>
      </c>
      <c r="N2755" s="173" t="s">
        <v>19</v>
      </c>
      <c r="O2755" s="87">
        <v>64</v>
      </c>
      <c r="P2755" s="173" t="s">
        <v>25</v>
      </c>
      <c r="Q2755" s="1" t="s">
        <v>1344</v>
      </c>
      <c r="R2755" s="175">
        <v>10</v>
      </c>
      <c r="S2755">
        <v>10</v>
      </c>
    </row>
    <row r="2756" spans="1:19" x14ac:dyDescent="0.25">
      <c r="A2756" s="87">
        <v>2019</v>
      </c>
      <c r="B2756" s="87">
        <v>11</v>
      </c>
      <c r="C2756" s="173" t="s">
        <v>16</v>
      </c>
      <c r="D2756" s="173" t="s">
        <v>229</v>
      </c>
      <c r="E2756" s="173" t="s">
        <v>24</v>
      </c>
      <c r="F2756" s="173" t="s">
        <v>16</v>
      </c>
      <c r="G2756" s="87" t="b">
        <v>1</v>
      </c>
      <c r="H2756" s="87" t="b">
        <v>0</v>
      </c>
      <c r="I2756" s="87" t="b">
        <v>0</v>
      </c>
      <c r="J2756" s="173" t="s">
        <v>463</v>
      </c>
      <c r="K2756" s="174">
        <v>54012406000385</v>
      </c>
      <c r="L2756" s="173" t="s">
        <v>718</v>
      </c>
      <c r="M2756" s="173" t="s">
        <v>45</v>
      </c>
      <c r="N2756" s="173" t="s">
        <v>19</v>
      </c>
      <c r="O2756" s="87">
        <v>70</v>
      </c>
      <c r="P2756" s="173" t="s">
        <v>20</v>
      </c>
      <c r="Q2756" s="1" t="s">
        <v>1338</v>
      </c>
      <c r="R2756" s="175">
        <v>65</v>
      </c>
      <c r="S2756">
        <v>13</v>
      </c>
    </row>
    <row r="2757" spans="1:19" x14ac:dyDescent="0.25">
      <c r="A2757" s="87">
        <v>2019</v>
      </c>
      <c r="B2757" s="87">
        <v>11</v>
      </c>
      <c r="C2757" s="173" t="s">
        <v>16</v>
      </c>
      <c r="D2757" s="173" t="s">
        <v>229</v>
      </c>
      <c r="E2757" s="173" t="s">
        <v>24</v>
      </c>
      <c r="F2757" s="173" t="s">
        <v>16</v>
      </c>
      <c r="G2757" s="87" t="b">
        <v>1</v>
      </c>
      <c r="H2757" s="87" t="b">
        <v>0</v>
      </c>
      <c r="I2757" s="87" t="b">
        <v>0</v>
      </c>
      <c r="J2757" s="173" t="s">
        <v>450</v>
      </c>
      <c r="K2757" s="174">
        <v>56727134001216</v>
      </c>
      <c r="L2757" s="173" t="s">
        <v>1230</v>
      </c>
      <c r="M2757" s="173" t="s">
        <v>678</v>
      </c>
      <c r="N2757" s="173" t="s">
        <v>19</v>
      </c>
      <c r="O2757" s="87">
        <v>64</v>
      </c>
      <c r="P2757" s="173" t="s">
        <v>25</v>
      </c>
      <c r="Q2757" s="1" t="s">
        <v>1344</v>
      </c>
      <c r="R2757" s="175">
        <v>2</v>
      </c>
      <c r="S2757">
        <v>2</v>
      </c>
    </row>
    <row r="2758" spans="1:19" x14ac:dyDescent="0.25">
      <c r="A2758" s="87">
        <v>2019</v>
      </c>
      <c r="B2758" s="87">
        <v>11</v>
      </c>
      <c r="C2758" s="173" t="s">
        <v>16</v>
      </c>
      <c r="D2758" s="173" t="s">
        <v>229</v>
      </c>
      <c r="E2758" s="173" t="s">
        <v>24</v>
      </c>
      <c r="F2758" s="173" t="s">
        <v>16</v>
      </c>
      <c r="G2758" s="87" t="b">
        <v>1</v>
      </c>
      <c r="H2758" s="87" t="b">
        <v>0</v>
      </c>
      <c r="I2758" s="87" t="b">
        <v>0</v>
      </c>
      <c r="J2758" s="173" t="s">
        <v>451</v>
      </c>
      <c r="K2758" s="174">
        <v>57723280000183</v>
      </c>
      <c r="L2758" s="173" t="s">
        <v>724</v>
      </c>
      <c r="M2758" s="173" t="s">
        <v>639</v>
      </c>
      <c r="N2758" s="173" t="s">
        <v>19</v>
      </c>
      <c r="O2758" s="87">
        <v>70</v>
      </c>
      <c r="P2758" s="173" t="s">
        <v>20</v>
      </c>
      <c r="Q2758" s="1" t="s">
        <v>1338</v>
      </c>
      <c r="R2758" s="175">
        <v>35</v>
      </c>
      <c r="S2758">
        <v>7</v>
      </c>
    </row>
    <row r="2759" spans="1:19" x14ac:dyDescent="0.25">
      <c r="A2759" s="87">
        <v>2019</v>
      </c>
      <c r="B2759" s="87">
        <v>11</v>
      </c>
      <c r="C2759" s="173" t="s">
        <v>16</v>
      </c>
      <c r="D2759" s="173" t="s">
        <v>229</v>
      </c>
      <c r="E2759" s="173" t="s">
        <v>24</v>
      </c>
      <c r="F2759" s="173" t="s">
        <v>16</v>
      </c>
      <c r="G2759" s="87" t="b">
        <v>1</v>
      </c>
      <c r="H2759" s="87" t="b">
        <v>0</v>
      </c>
      <c r="I2759" s="87" t="b">
        <v>0</v>
      </c>
      <c r="J2759" s="173" t="s">
        <v>450</v>
      </c>
      <c r="K2759" s="174">
        <v>58229691001070</v>
      </c>
      <c r="L2759" s="173" t="s">
        <v>725</v>
      </c>
      <c r="M2759" s="173" t="s">
        <v>35</v>
      </c>
      <c r="N2759" s="173" t="s">
        <v>19</v>
      </c>
      <c r="O2759" s="87">
        <v>73</v>
      </c>
      <c r="P2759" s="173" t="s">
        <v>26</v>
      </c>
      <c r="Q2759" s="1" t="s">
        <v>1342</v>
      </c>
      <c r="R2759" s="175">
        <v>16</v>
      </c>
      <c r="S2759">
        <v>4</v>
      </c>
    </row>
    <row r="2760" spans="1:19" x14ac:dyDescent="0.25">
      <c r="A2760" s="87">
        <v>2019</v>
      </c>
      <c r="B2760" s="87">
        <v>11</v>
      </c>
      <c r="C2760" s="173" t="s">
        <v>16</v>
      </c>
      <c r="D2760" s="173" t="s">
        <v>229</v>
      </c>
      <c r="E2760" s="173" t="s">
        <v>24</v>
      </c>
      <c r="F2760" s="173" t="s">
        <v>16</v>
      </c>
      <c r="G2760" s="87" t="b">
        <v>1</v>
      </c>
      <c r="H2760" s="87" t="b">
        <v>0</v>
      </c>
      <c r="I2760" s="87" t="b">
        <v>0</v>
      </c>
      <c r="J2760" s="173" t="s">
        <v>451</v>
      </c>
      <c r="K2760" s="174">
        <v>59481028000130</v>
      </c>
      <c r="L2760" s="173" t="s">
        <v>608</v>
      </c>
      <c r="M2760" s="173" t="s">
        <v>29</v>
      </c>
      <c r="N2760" s="173" t="s">
        <v>19</v>
      </c>
      <c r="O2760" s="87">
        <v>70</v>
      </c>
      <c r="P2760" s="173" t="s">
        <v>20</v>
      </c>
      <c r="Q2760" s="1" t="s">
        <v>1338</v>
      </c>
      <c r="R2760" s="175">
        <v>15</v>
      </c>
      <c r="S2760">
        <v>3</v>
      </c>
    </row>
    <row r="2761" spans="1:19" x14ac:dyDescent="0.25">
      <c r="A2761" s="87">
        <v>2019</v>
      </c>
      <c r="B2761" s="87">
        <v>11</v>
      </c>
      <c r="C2761" s="173" t="s">
        <v>16</v>
      </c>
      <c r="D2761" s="173" t="s">
        <v>229</v>
      </c>
      <c r="E2761" s="173" t="s">
        <v>24</v>
      </c>
      <c r="F2761" s="173" t="s">
        <v>16</v>
      </c>
      <c r="G2761" s="87" t="b">
        <v>1</v>
      </c>
      <c r="H2761" s="87" t="b">
        <v>0</v>
      </c>
      <c r="I2761" s="87" t="b">
        <v>0</v>
      </c>
      <c r="J2761" s="173" t="s">
        <v>491</v>
      </c>
      <c r="K2761" s="174">
        <v>59481028000130</v>
      </c>
      <c r="L2761" s="173" t="s">
        <v>608</v>
      </c>
      <c r="M2761" s="173" t="s">
        <v>29</v>
      </c>
      <c r="N2761" s="173" t="s">
        <v>19</v>
      </c>
      <c r="O2761" s="87">
        <v>70</v>
      </c>
      <c r="P2761" s="173" t="s">
        <v>20</v>
      </c>
      <c r="Q2761" s="1" t="s">
        <v>1338</v>
      </c>
      <c r="R2761" s="175">
        <v>15</v>
      </c>
      <c r="S2761">
        <v>3</v>
      </c>
    </row>
    <row r="2762" spans="1:19" x14ac:dyDescent="0.25">
      <c r="A2762" s="87">
        <v>2019</v>
      </c>
      <c r="B2762" s="87">
        <v>11</v>
      </c>
      <c r="C2762" s="173" t="s">
        <v>16</v>
      </c>
      <c r="D2762" s="173" t="s">
        <v>229</v>
      </c>
      <c r="E2762" s="173" t="s">
        <v>24</v>
      </c>
      <c r="F2762" s="173" t="s">
        <v>16</v>
      </c>
      <c r="G2762" s="87" t="b">
        <v>1</v>
      </c>
      <c r="H2762" s="87" t="b">
        <v>0</v>
      </c>
      <c r="I2762" s="87" t="b">
        <v>0</v>
      </c>
      <c r="J2762" s="173" t="s">
        <v>1330</v>
      </c>
      <c r="K2762" s="174">
        <v>60003761000129</v>
      </c>
      <c r="L2762" s="173" t="s">
        <v>728</v>
      </c>
      <c r="M2762" s="173" t="s">
        <v>643</v>
      </c>
      <c r="N2762" s="173" t="s">
        <v>19</v>
      </c>
      <c r="O2762" s="87">
        <v>62</v>
      </c>
      <c r="P2762" s="173" t="s">
        <v>27</v>
      </c>
      <c r="Q2762" s="1" t="s">
        <v>1343</v>
      </c>
      <c r="R2762" s="175">
        <v>16</v>
      </c>
      <c r="S2762">
        <v>16</v>
      </c>
    </row>
    <row r="2763" spans="1:19" x14ac:dyDescent="0.25">
      <c r="A2763" s="87">
        <v>2019</v>
      </c>
      <c r="B2763" s="87">
        <v>11</v>
      </c>
      <c r="C2763" s="173" t="s">
        <v>16</v>
      </c>
      <c r="D2763" s="173" t="s">
        <v>229</v>
      </c>
      <c r="E2763" s="173" t="s">
        <v>24</v>
      </c>
      <c r="F2763" s="173" t="s">
        <v>16</v>
      </c>
      <c r="G2763" s="87" t="b">
        <v>1</v>
      </c>
      <c r="H2763" s="87" t="b">
        <v>0</v>
      </c>
      <c r="I2763" s="87" t="b">
        <v>0</v>
      </c>
      <c r="J2763" s="173" t="s">
        <v>1330</v>
      </c>
      <c r="K2763" s="174">
        <v>60003761000129</v>
      </c>
      <c r="L2763" s="173" t="s">
        <v>728</v>
      </c>
      <c r="M2763" s="173" t="s">
        <v>643</v>
      </c>
      <c r="N2763" s="173" t="s">
        <v>19</v>
      </c>
      <c r="O2763" s="87">
        <v>64</v>
      </c>
      <c r="P2763" s="173" t="s">
        <v>25</v>
      </c>
      <c r="Q2763" s="1" t="s">
        <v>1344</v>
      </c>
      <c r="R2763" s="175">
        <v>30</v>
      </c>
      <c r="S2763">
        <v>30</v>
      </c>
    </row>
    <row r="2764" spans="1:19" x14ac:dyDescent="0.25">
      <c r="A2764" s="87">
        <v>2019</v>
      </c>
      <c r="B2764" s="87">
        <v>11</v>
      </c>
      <c r="C2764" s="173" t="s">
        <v>16</v>
      </c>
      <c r="D2764" s="173" t="s">
        <v>229</v>
      </c>
      <c r="E2764" s="173" t="s">
        <v>24</v>
      </c>
      <c r="F2764" s="173" t="s">
        <v>16</v>
      </c>
      <c r="G2764" s="87" t="b">
        <v>1</v>
      </c>
      <c r="H2764" s="87" t="b">
        <v>0</v>
      </c>
      <c r="I2764" s="87" t="b">
        <v>0</v>
      </c>
      <c r="J2764" s="173" t="s">
        <v>1332</v>
      </c>
      <c r="K2764" s="174">
        <v>60194990000844</v>
      </c>
      <c r="L2764" s="173" t="s">
        <v>1231</v>
      </c>
      <c r="M2764" s="173" t="s">
        <v>58</v>
      </c>
      <c r="N2764" s="173" t="s">
        <v>54</v>
      </c>
      <c r="O2764" s="87">
        <v>62</v>
      </c>
      <c r="P2764" s="173" t="s">
        <v>27</v>
      </c>
      <c r="Q2764" s="1" t="s">
        <v>1343</v>
      </c>
      <c r="R2764" s="175">
        <v>6</v>
      </c>
      <c r="S2764">
        <v>6</v>
      </c>
    </row>
    <row r="2765" spans="1:19" x14ac:dyDescent="0.25">
      <c r="A2765" s="87">
        <v>2019</v>
      </c>
      <c r="B2765" s="87">
        <v>11</v>
      </c>
      <c r="C2765" s="173" t="s">
        <v>16</v>
      </c>
      <c r="D2765" s="173" t="s">
        <v>229</v>
      </c>
      <c r="E2765" s="173" t="s">
        <v>24</v>
      </c>
      <c r="F2765" s="173" t="s">
        <v>16</v>
      </c>
      <c r="G2765" s="87" t="b">
        <v>1</v>
      </c>
      <c r="H2765" s="87" t="b">
        <v>0</v>
      </c>
      <c r="I2765" s="87" t="b">
        <v>0</v>
      </c>
      <c r="J2765" s="173" t="s">
        <v>478</v>
      </c>
      <c r="K2765" s="174">
        <v>60214517001691</v>
      </c>
      <c r="L2765" s="173" t="s">
        <v>732</v>
      </c>
      <c r="M2765" s="173" t="s">
        <v>650</v>
      </c>
      <c r="N2765" s="173" t="s">
        <v>19</v>
      </c>
      <c r="O2765" s="87">
        <v>70</v>
      </c>
      <c r="P2765" s="173" t="s">
        <v>20</v>
      </c>
      <c r="Q2765" s="1" t="s">
        <v>1338</v>
      </c>
      <c r="R2765" s="175">
        <v>35</v>
      </c>
      <c r="S2765">
        <v>7</v>
      </c>
    </row>
    <row r="2766" spans="1:19" x14ac:dyDescent="0.25">
      <c r="A2766" s="87">
        <v>2019</v>
      </c>
      <c r="B2766" s="87">
        <v>11</v>
      </c>
      <c r="C2766" s="173" t="s">
        <v>16</v>
      </c>
      <c r="D2766" s="173" t="s">
        <v>229</v>
      </c>
      <c r="E2766" s="173" t="s">
        <v>24</v>
      </c>
      <c r="F2766" s="173" t="s">
        <v>16</v>
      </c>
      <c r="G2766" s="87" t="b">
        <v>1</v>
      </c>
      <c r="H2766" s="87" t="b">
        <v>0</v>
      </c>
      <c r="I2766" s="87" t="b">
        <v>0</v>
      </c>
      <c r="J2766" s="173" t="s">
        <v>1330</v>
      </c>
      <c r="K2766" s="174">
        <v>60448040000122</v>
      </c>
      <c r="L2766" s="173" t="s">
        <v>609</v>
      </c>
      <c r="M2766" s="173" t="s">
        <v>29</v>
      </c>
      <c r="N2766" s="173" t="s">
        <v>19</v>
      </c>
      <c r="O2766" s="87">
        <v>62</v>
      </c>
      <c r="P2766" s="173" t="s">
        <v>27</v>
      </c>
      <c r="Q2766" s="1" t="s">
        <v>1343</v>
      </c>
      <c r="R2766" s="175">
        <v>66</v>
      </c>
      <c r="S2766">
        <v>66</v>
      </c>
    </row>
    <row r="2767" spans="1:19" x14ac:dyDescent="0.25">
      <c r="A2767" s="87">
        <v>2019</v>
      </c>
      <c r="B2767" s="87">
        <v>11</v>
      </c>
      <c r="C2767" s="173" t="s">
        <v>16</v>
      </c>
      <c r="D2767" s="173" t="s">
        <v>229</v>
      </c>
      <c r="E2767" s="173" t="s">
        <v>24</v>
      </c>
      <c r="F2767" s="173" t="s">
        <v>16</v>
      </c>
      <c r="G2767" s="87" t="b">
        <v>1</v>
      </c>
      <c r="H2767" s="87" t="b">
        <v>0</v>
      </c>
      <c r="I2767" s="87" t="b">
        <v>0</v>
      </c>
      <c r="J2767" s="173" t="s">
        <v>1330</v>
      </c>
      <c r="K2767" s="174">
        <v>60448040000122</v>
      </c>
      <c r="L2767" s="173" t="s">
        <v>609</v>
      </c>
      <c r="M2767" s="173" t="s">
        <v>29</v>
      </c>
      <c r="N2767" s="173" t="s">
        <v>19</v>
      </c>
      <c r="O2767" s="87">
        <v>73</v>
      </c>
      <c r="P2767" s="173" t="s">
        <v>26</v>
      </c>
      <c r="Q2767" s="1" t="s">
        <v>1342</v>
      </c>
      <c r="R2767" s="175">
        <v>40</v>
      </c>
      <c r="S2767">
        <v>10</v>
      </c>
    </row>
    <row r="2768" spans="1:19" x14ac:dyDescent="0.25">
      <c r="A2768" s="87">
        <v>2019</v>
      </c>
      <c r="B2768" s="87">
        <v>11</v>
      </c>
      <c r="C2768" s="173" t="s">
        <v>16</v>
      </c>
      <c r="D2768" s="173" t="s">
        <v>229</v>
      </c>
      <c r="E2768" s="173" t="s">
        <v>24</v>
      </c>
      <c r="F2768" s="173" t="s">
        <v>16</v>
      </c>
      <c r="G2768" s="87" t="b">
        <v>1</v>
      </c>
      <c r="H2768" s="87" t="b">
        <v>0</v>
      </c>
      <c r="I2768" s="87" t="b">
        <v>0</v>
      </c>
      <c r="J2768" s="173" t="s">
        <v>450</v>
      </c>
      <c r="K2768" s="174">
        <v>60453024000390</v>
      </c>
      <c r="L2768" s="173" t="s">
        <v>610</v>
      </c>
      <c r="M2768" s="173" t="s">
        <v>29</v>
      </c>
      <c r="N2768" s="173" t="s">
        <v>19</v>
      </c>
      <c r="O2768" s="87">
        <v>62</v>
      </c>
      <c r="P2768" s="173" t="s">
        <v>27</v>
      </c>
      <c r="Q2768" s="1" t="s">
        <v>1343</v>
      </c>
      <c r="R2768" s="175">
        <v>33</v>
      </c>
      <c r="S2768">
        <v>33</v>
      </c>
    </row>
    <row r="2769" spans="1:19" x14ac:dyDescent="0.25">
      <c r="A2769" s="87">
        <v>2019</v>
      </c>
      <c r="B2769" s="87">
        <v>11</v>
      </c>
      <c r="C2769" s="173" t="s">
        <v>16</v>
      </c>
      <c r="D2769" s="173" t="s">
        <v>229</v>
      </c>
      <c r="E2769" s="173" t="s">
        <v>24</v>
      </c>
      <c r="F2769" s="173" t="s">
        <v>16</v>
      </c>
      <c r="G2769" s="87" t="b">
        <v>1</v>
      </c>
      <c r="H2769" s="87" t="b">
        <v>0</v>
      </c>
      <c r="I2769" s="87" t="b">
        <v>0</v>
      </c>
      <c r="J2769" s="173" t="s">
        <v>450</v>
      </c>
      <c r="K2769" s="174">
        <v>60453024000390</v>
      </c>
      <c r="L2769" s="173" t="s">
        <v>610</v>
      </c>
      <c r="M2769" s="173" t="s">
        <v>29</v>
      </c>
      <c r="N2769" s="173" t="s">
        <v>19</v>
      </c>
      <c r="O2769" s="87">
        <v>64</v>
      </c>
      <c r="P2769" s="173" t="s">
        <v>25</v>
      </c>
      <c r="Q2769" s="1" t="s">
        <v>1344</v>
      </c>
      <c r="R2769" s="175">
        <v>11</v>
      </c>
      <c r="S2769">
        <v>11</v>
      </c>
    </row>
    <row r="2770" spans="1:19" x14ac:dyDescent="0.25">
      <c r="A2770" s="87">
        <v>2019</v>
      </c>
      <c r="B2770" s="87">
        <v>11</v>
      </c>
      <c r="C2770" s="173" t="s">
        <v>16</v>
      </c>
      <c r="D2770" s="173" t="s">
        <v>229</v>
      </c>
      <c r="E2770" s="173" t="s">
        <v>24</v>
      </c>
      <c r="F2770" s="173" t="s">
        <v>16</v>
      </c>
      <c r="G2770" s="87" t="b">
        <v>1</v>
      </c>
      <c r="H2770" s="87" t="b">
        <v>0</v>
      </c>
      <c r="I2770" s="87" t="b">
        <v>0</v>
      </c>
      <c r="J2770" s="173" t="s">
        <v>463</v>
      </c>
      <c r="K2770" s="174">
        <v>60678604000113</v>
      </c>
      <c r="L2770" s="173" t="s">
        <v>612</v>
      </c>
      <c r="M2770" s="173" t="s">
        <v>29</v>
      </c>
      <c r="N2770" s="173" t="s">
        <v>19</v>
      </c>
      <c r="O2770" s="87">
        <v>62</v>
      </c>
      <c r="P2770" s="173" t="s">
        <v>27</v>
      </c>
      <c r="Q2770" s="1" t="s">
        <v>1343</v>
      </c>
      <c r="R2770" s="175">
        <v>26</v>
      </c>
      <c r="S2770">
        <v>26</v>
      </c>
    </row>
    <row r="2771" spans="1:19" x14ac:dyDescent="0.25">
      <c r="A2771" s="87">
        <v>2019</v>
      </c>
      <c r="B2771" s="87">
        <v>11</v>
      </c>
      <c r="C2771" s="173" t="s">
        <v>16</v>
      </c>
      <c r="D2771" s="173" t="s">
        <v>229</v>
      </c>
      <c r="E2771" s="173" t="s">
        <v>24</v>
      </c>
      <c r="F2771" s="173" t="s">
        <v>16</v>
      </c>
      <c r="G2771" s="87" t="b">
        <v>1</v>
      </c>
      <c r="H2771" s="87" t="b">
        <v>0</v>
      </c>
      <c r="I2771" s="87" t="b">
        <v>0</v>
      </c>
      <c r="J2771" s="173" t="s">
        <v>464</v>
      </c>
      <c r="K2771" s="174">
        <v>60678604000113</v>
      </c>
      <c r="L2771" s="173" t="s">
        <v>612</v>
      </c>
      <c r="M2771" s="173" t="s">
        <v>29</v>
      </c>
      <c r="N2771" s="173" t="s">
        <v>19</v>
      </c>
      <c r="O2771" s="87">
        <v>64</v>
      </c>
      <c r="P2771" s="173" t="s">
        <v>25</v>
      </c>
      <c r="Q2771" s="1" t="s">
        <v>1344</v>
      </c>
      <c r="R2771" s="175">
        <v>1</v>
      </c>
      <c r="S2771">
        <v>1</v>
      </c>
    </row>
    <row r="2772" spans="1:19" x14ac:dyDescent="0.25">
      <c r="A2772" s="87">
        <v>2019</v>
      </c>
      <c r="B2772" s="87">
        <v>11</v>
      </c>
      <c r="C2772" s="173" t="s">
        <v>16</v>
      </c>
      <c r="D2772" s="173" t="s">
        <v>229</v>
      </c>
      <c r="E2772" s="173" t="s">
        <v>24</v>
      </c>
      <c r="F2772" s="173" t="s">
        <v>16</v>
      </c>
      <c r="G2772" s="87" t="b">
        <v>1</v>
      </c>
      <c r="H2772" s="87" t="b">
        <v>0</v>
      </c>
      <c r="I2772" s="87" t="b">
        <v>0</v>
      </c>
      <c r="J2772" s="173" t="s">
        <v>450</v>
      </c>
      <c r="K2772" s="174">
        <v>60726502000126</v>
      </c>
      <c r="L2772" s="173" t="s">
        <v>613</v>
      </c>
      <c r="M2772" s="173" t="s">
        <v>29</v>
      </c>
      <c r="N2772" s="173" t="s">
        <v>19</v>
      </c>
      <c r="O2772" s="87">
        <v>64</v>
      </c>
      <c r="P2772" s="173" t="s">
        <v>25</v>
      </c>
      <c r="Q2772" s="1" t="s">
        <v>1344</v>
      </c>
      <c r="R2772" s="175">
        <v>3</v>
      </c>
      <c r="S2772">
        <v>3</v>
      </c>
    </row>
    <row r="2773" spans="1:19" x14ac:dyDescent="0.25">
      <c r="A2773" s="87">
        <v>2019</v>
      </c>
      <c r="B2773" s="87">
        <v>11</v>
      </c>
      <c r="C2773" s="173" t="s">
        <v>16</v>
      </c>
      <c r="D2773" s="173" t="s">
        <v>229</v>
      </c>
      <c r="E2773" s="173" t="s">
        <v>24</v>
      </c>
      <c r="F2773" s="173" t="s">
        <v>16</v>
      </c>
      <c r="G2773" s="87" t="b">
        <v>1</v>
      </c>
      <c r="H2773" s="87" t="b">
        <v>0</v>
      </c>
      <c r="I2773" s="87" t="b">
        <v>0</v>
      </c>
      <c r="J2773" s="173" t="s">
        <v>463</v>
      </c>
      <c r="K2773" s="174">
        <v>60726502000126</v>
      </c>
      <c r="L2773" s="173" t="s">
        <v>613</v>
      </c>
      <c r="M2773" s="173" t="s">
        <v>29</v>
      </c>
      <c r="N2773" s="173" t="s">
        <v>19</v>
      </c>
      <c r="O2773" s="87">
        <v>70</v>
      </c>
      <c r="P2773" s="173" t="s">
        <v>20</v>
      </c>
      <c r="Q2773" s="1" t="s">
        <v>1338</v>
      </c>
      <c r="R2773" s="175">
        <v>70</v>
      </c>
      <c r="S2773">
        <v>14</v>
      </c>
    </row>
    <row r="2774" spans="1:19" x14ac:dyDescent="0.25">
      <c r="A2774" s="87">
        <v>2019</v>
      </c>
      <c r="B2774" s="87">
        <v>11</v>
      </c>
      <c r="C2774" s="173" t="s">
        <v>16</v>
      </c>
      <c r="D2774" s="173" t="s">
        <v>229</v>
      </c>
      <c r="E2774" s="173" t="s">
        <v>24</v>
      </c>
      <c r="F2774" s="173" t="s">
        <v>16</v>
      </c>
      <c r="G2774" s="87" t="b">
        <v>1</v>
      </c>
      <c r="H2774" s="87" t="b">
        <v>0</v>
      </c>
      <c r="I2774" s="87" t="b">
        <v>0</v>
      </c>
      <c r="J2774" s="173" t="s">
        <v>1330</v>
      </c>
      <c r="K2774" s="174">
        <v>60765823000130</v>
      </c>
      <c r="L2774" s="173" t="s">
        <v>615</v>
      </c>
      <c r="M2774" s="173" t="s">
        <v>29</v>
      </c>
      <c r="N2774" s="173" t="s">
        <v>19</v>
      </c>
      <c r="O2774" s="87">
        <v>62</v>
      </c>
      <c r="P2774" s="173" t="s">
        <v>27</v>
      </c>
      <c r="Q2774" s="1" t="s">
        <v>1343</v>
      </c>
      <c r="R2774" s="175">
        <v>200</v>
      </c>
      <c r="S2774">
        <v>200</v>
      </c>
    </row>
    <row r="2775" spans="1:19" x14ac:dyDescent="0.25">
      <c r="A2775" s="87">
        <v>2019</v>
      </c>
      <c r="B2775" s="87">
        <v>11</v>
      </c>
      <c r="C2775" s="173" t="s">
        <v>16</v>
      </c>
      <c r="D2775" s="173" t="s">
        <v>229</v>
      </c>
      <c r="E2775" s="173" t="s">
        <v>24</v>
      </c>
      <c r="F2775" s="173" t="s">
        <v>16</v>
      </c>
      <c r="G2775" s="87" t="b">
        <v>1</v>
      </c>
      <c r="H2775" s="87" t="b">
        <v>0</v>
      </c>
      <c r="I2775" s="87" t="b">
        <v>0</v>
      </c>
      <c r="J2775" s="173" t="s">
        <v>1330</v>
      </c>
      <c r="K2775" s="174">
        <v>60765823000130</v>
      </c>
      <c r="L2775" s="173" t="s">
        <v>615</v>
      </c>
      <c r="M2775" s="173" t="s">
        <v>29</v>
      </c>
      <c r="N2775" s="173" t="s">
        <v>19</v>
      </c>
      <c r="O2775" s="87">
        <v>64</v>
      </c>
      <c r="P2775" s="173" t="s">
        <v>25</v>
      </c>
      <c r="Q2775" s="1" t="s">
        <v>1344</v>
      </c>
      <c r="R2775" s="175">
        <v>40</v>
      </c>
      <c r="S2775">
        <v>40</v>
      </c>
    </row>
    <row r="2776" spans="1:19" x14ac:dyDescent="0.25">
      <c r="A2776" s="87">
        <v>2019</v>
      </c>
      <c r="B2776" s="87">
        <v>11</v>
      </c>
      <c r="C2776" s="173" t="s">
        <v>16</v>
      </c>
      <c r="D2776" s="173" t="s">
        <v>229</v>
      </c>
      <c r="E2776" s="173" t="s">
        <v>24</v>
      </c>
      <c r="F2776" s="173" t="s">
        <v>16</v>
      </c>
      <c r="G2776" s="87" t="b">
        <v>1</v>
      </c>
      <c r="H2776" s="87" t="b">
        <v>0</v>
      </c>
      <c r="I2776" s="87" t="b">
        <v>0</v>
      </c>
      <c r="J2776" s="173" t="s">
        <v>1330</v>
      </c>
      <c r="K2776" s="174">
        <v>60765823000130</v>
      </c>
      <c r="L2776" s="173" t="s">
        <v>615</v>
      </c>
      <c r="M2776" s="173" t="s">
        <v>29</v>
      </c>
      <c r="N2776" s="173" t="s">
        <v>19</v>
      </c>
      <c r="O2776" s="87">
        <v>70</v>
      </c>
      <c r="P2776" s="173" t="s">
        <v>20</v>
      </c>
      <c r="Q2776" s="1" t="s">
        <v>1346</v>
      </c>
      <c r="R2776" s="175">
        <v>75</v>
      </c>
      <c r="S2776">
        <v>30</v>
      </c>
    </row>
    <row r="2777" spans="1:19" x14ac:dyDescent="0.25">
      <c r="A2777" s="87">
        <v>2019</v>
      </c>
      <c r="B2777" s="87">
        <v>11</v>
      </c>
      <c r="C2777" s="173" t="s">
        <v>16</v>
      </c>
      <c r="D2777" s="173" t="s">
        <v>229</v>
      </c>
      <c r="E2777" s="173" t="s">
        <v>24</v>
      </c>
      <c r="F2777" s="173" t="s">
        <v>16</v>
      </c>
      <c r="G2777" s="87" t="b">
        <v>1</v>
      </c>
      <c r="H2777" s="87" t="b">
        <v>0</v>
      </c>
      <c r="I2777" s="87" t="b">
        <v>0</v>
      </c>
      <c r="J2777" s="173" t="s">
        <v>1330</v>
      </c>
      <c r="K2777" s="174">
        <v>60765823000130</v>
      </c>
      <c r="L2777" s="173" t="s">
        <v>615</v>
      </c>
      <c r="M2777" s="173" t="s">
        <v>29</v>
      </c>
      <c r="N2777" s="173" t="s">
        <v>19</v>
      </c>
      <c r="O2777" s="87">
        <v>73</v>
      </c>
      <c r="P2777" s="173" t="s">
        <v>26</v>
      </c>
      <c r="Q2777" s="1" t="s">
        <v>1340</v>
      </c>
      <c r="R2777" s="175">
        <v>130</v>
      </c>
      <c r="S2777">
        <v>130</v>
      </c>
    </row>
    <row r="2778" spans="1:19" x14ac:dyDescent="0.25">
      <c r="A2778" s="87">
        <v>2019</v>
      </c>
      <c r="B2778" s="87">
        <v>11</v>
      </c>
      <c r="C2778" s="173" t="s">
        <v>16</v>
      </c>
      <c r="D2778" s="173" t="s">
        <v>229</v>
      </c>
      <c r="E2778" s="173" t="s">
        <v>24</v>
      </c>
      <c r="F2778" s="173" t="s">
        <v>16</v>
      </c>
      <c r="G2778" s="87" t="b">
        <v>1</v>
      </c>
      <c r="H2778" s="87" t="b">
        <v>0</v>
      </c>
      <c r="I2778" s="87" t="b">
        <v>0</v>
      </c>
      <c r="J2778" s="173" t="s">
        <v>470</v>
      </c>
      <c r="K2778" s="174">
        <v>60777901000116</v>
      </c>
      <c r="L2778" s="173" t="s">
        <v>616</v>
      </c>
      <c r="M2778" s="173" t="s">
        <v>29</v>
      </c>
      <c r="N2778" s="173" t="s">
        <v>19</v>
      </c>
      <c r="O2778" s="87">
        <v>70</v>
      </c>
      <c r="P2778" s="173" t="s">
        <v>20</v>
      </c>
      <c r="Q2778" s="1" t="s">
        <v>1338</v>
      </c>
      <c r="R2778" s="175">
        <v>1150</v>
      </c>
      <c r="S2778">
        <v>230</v>
      </c>
    </row>
    <row r="2779" spans="1:19" x14ac:dyDescent="0.25">
      <c r="A2779" s="87">
        <v>2019</v>
      </c>
      <c r="B2779" s="87">
        <v>11</v>
      </c>
      <c r="C2779" s="173" t="s">
        <v>16</v>
      </c>
      <c r="D2779" s="173" t="s">
        <v>229</v>
      </c>
      <c r="E2779" s="173" t="s">
        <v>24</v>
      </c>
      <c r="F2779" s="173" t="s">
        <v>16</v>
      </c>
      <c r="G2779" s="87" t="b">
        <v>1</v>
      </c>
      <c r="H2779" s="87" t="b">
        <v>0</v>
      </c>
      <c r="I2779" s="87" t="b">
        <v>0</v>
      </c>
      <c r="J2779" s="173" t="s">
        <v>470</v>
      </c>
      <c r="K2779" s="174">
        <v>60884855000316</v>
      </c>
      <c r="L2779" s="173" t="s">
        <v>617</v>
      </c>
      <c r="M2779" s="173" t="s">
        <v>29</v>
      </c>
      <c r="N2779" s="173" t="s">
        <v>19</v>
      </c>
      <c r="O2779" s="87">
        <v>62</v>
      </c>
      <c r="P2779" s="173" t="s">
        <v>27</v>
      </c>
      <c r="Q2779" s="1" t="s">
        <v>1343</v>
      </c>
      <c r="R2779" s="175">
        <v>5</v>
      </c>
      <c r="S2779">
        <v>5</v>
      </c>
    </row>
    <row r="2780" spans="1:19" x14ac:dyDescent="0.25">
      <c r="A2780" s="87">
        <v>2019</v>
      </c>
      <c r="B2780" s="87">
        <v>11</v>
      </c>
      <c r="C2780" s="173" t="s">
        <v>16</v>
      </c>
      <c r="D2780" s="173" t="s">
        <v>229</v>
      </c>
      <c r="E2780" s="173" t="s">
        <v>24</v>
      </c>
      <c r="F2780" s="173" t="s">
        <v>16</v>
      </c>
      <c r="G2780" s="87" t="b">
        <v>1</v>
      </c>
      <c r="H2780" s="87" t="b">
        <v>0</v>
      </c>
      <c r="I2780" s="87" t="b">
        <v>0</v>
      </c>
      <c r="J2780" s="173" t="s">
        <v>470</v>
      </c>
      <c r="K2780" s="174">
        <v>60884855000316</v>
      </c>
      <c r="L2780" s="173" t="s">
        <v>617</v>
      </c>
      <c r="M2780" s="173" t="s">
        <v>29</v>
      </c>
      <c r="N2780" s="173" t="s">
        <v>19</v>
      </c>
      <c r="O2780" s="87">
        <v>64</v>
      </c>
      <c r="P2780" s="173" t="s">
        <v>25</v>
      </c>
      <c r="Q2780" s="1" t="s">
        <v>1344</v>
      </c>
      <c r="R2780" s="175">
        <v>6</v>
      </c>
      <c r="S2780">
        <v>6</v>
      </c>
    </row>
    <row r="2781" spans="1:19" x14ac:dyDescent="0.25">
      <c r="A2781" s="87">
        <v>2019</v>
      </c>
      <c r="B2781" s="87">
        <v>11</v>
      </c>
      <c r="C2781" s="173" t="s">
        <v>16</v>
      </c>
      <c r="D2781" s="173" t="s">
        <v>229</v>
      </c>
      <c r="E2781" s="173" t="s">
        <v>24</v>
      </c>
      <c r="F2781" s="173" t="s">
        <v>16</v>
      </c>
      <c r="G2781" s="87" t="b">
        <v>1</v>
      </c>
      <c r="H2781" s="87" t="b">
        <v>0</v>
      </c>
      <c r="I2781" s="87" t="b">
        <v>0</v>
      </c>
      <c r="J2781" s="173" t="s">
        <v>470</v>
      </c>
      <c r="K2781" s="174">
        <v>60884855000316</v>
      </c>
      <c r="L2781" s="173" t="s">
        <v>617</v>
      </c>
      <c r="M2781" s="173" t="s">
        <v>29</v>
      </c>
      <c r="N2781" s="173" t="s">
        <v>19</v>
      </c>
      <c r="O2781" s="87">
        <v>70</v>
      </c>
      <c r="P2781" s="173" t="s">
        <v>20</v>
      </c>
      <c r="Q2781" s="1" t="s">
        <v>1338</v>
      </c>
      <c r="R2781" s="175">
        <v>1205</v>
      </c>
      <c r="S2781">
        <v>241</v>
      </c>
    </row>
    <row r="2782" spans="1:19" x14ac:dyDescent="0.25">
      <c r="A2782" s="87">
        <v>2019</v>
      </c>
      <c r="B2782" s="87">
        <v>11</v>
      </c>
      <c r="C2782" s="173" t="s">
        <v>16</v>
      </c>
      <c r="D2782" s="173" t="s">
        <v>229</v>
      </c>
      <c r="E2782" s="173" t="s">
        <v>24</v>
      </c>
      <c r="F2782" s="173" t="s">
        <v>16</v>
      </c>
      <c r="G2782" s="87" t="b">
        <v>1</v>
      </c>
      <c r="H2782" s="87" t="b">
        <v>0</v>
      </c>
      <c r="I2782" s="87" t="b">
        <v>0</v>
      </c>
      <c r="J2782" s="173" t="s">
        <v>450</v>
      </c>
      <c r="K2782" s="174">
        <v>60884855000316</v>
      </c>
      <c r="L2782" s="173" t="s">
        <v>617</v>
      </c>
      <c r="M2782" s="173" t="s">
        <v>29</v>
      </c>
      <c r="N2782" s="173" t="s">
        <v>19</v>
      </c>
      <c r="O2782" s="87">
        <v>73</v>
      </c>
      <c r="P2782" s="173" t="s">
        <v>26</v>
      </c>
      <c r="Q2782" s="1" t="s">
        <v>1339</v>
      </c>
      <c r="R2782" s="175">
        <v>32</v>
      </c>
      <c r="S2782">
        <v>16</v>
      </c>
    </row>
    <row r="2783" spans="1:19" x14ac:dyDescent="0.25">
      <c r="A2783" s="87">
        <v>2019</v>
      </c>
      <c r="B2783" s="87">
        <v>11</v>
      </c>
      <c r="C2783" s="173" t="s">
        <v>16</v>
      </c>
      <c r="D2783" s="173" t="s">
        <v>229</v>
      </c>
      <c r="E2783" s="173" t="s">
        <v>24</v>
      </c>
      <c r="F2783" s="173" t="s">
        <v>16</v>
      </c>
      <c r="G2783" s="87" t="b">
        <v>1</v>
      </c>
      <c r="H2783" s="87" t="b">
        <v>0</v>
      </c>
      <c r="I2783" s="87" t="b">
        <v>0</v>
      </c>
      <c r="J2783" s="173" t="s">
        <v>491</v>
      </c>
      <c r="K2783" s="174">
        <v>60884855000316</v>
      </c>
      <c r="L2783" s="173" t="s">
        <v>617</v>
      </c>
      <c r="M2783" s="173" t="s">
        <v>29</v>
      </c>
      <c r="N2783" s="173" t="s">
        <v>19</v>
      </c>
      <c r="O2783" s="87">
        <v>73</v>
      </c>
      <c r="P2783" s="173" t="s">
        <v>26</v>
      </c>
      <c r="Q2783" s="1" t="s">
        <v>1339</v>
      </c>
      <c r="R2783" s="175">
        <v>16</v>
      </c>
      <c r="S2783">
        <v>8</v>
      </c>
    </row>
    <row r="2784" spans="1:19" x14ac:dyDescent="0.25">
      <c r="A2784" s="87">
        <v>2019</v>
      </c>
      <c r="B2784" s="87">
        <v>11</v>
      </c>
      <c r="C2784" s="173" t="s">
        <v>16</v>
      </c>
      <c r="D2784" s="173" t="s">
        <v>229</v>
      </c>
      <c r="E2784" s="173" t="s">
        <v>24</v>
      </c>
      <c r="F2784" s="173" t="s">
        <v>16</v>
      </c>
      <c r="G2784" s="87" t="b">
        <v>1</v>
      </c>
      <c r="H2784" s="87" t="b">
        <v>0</v>
      </c>
      <c r="I2784" s="87" t="b">
        <v>0</v>
      </c>
      <c r="J2784" s="173" t="s">
        <v>470</v>
      </c>
      <c r="K2784" s="174">
        <v>60884855001207</v>
      </c>
      <c r="L2784" s="173" t="s">
        <v>1065</v>
      </c>
      <c r="M2784" s="173" t="s">
        <v>1039</v>
      </c>
      <c r="N2784" s="173" t="s">
        <v>61</v>
      </c>
      <c r="O2784" s="87">
        <v>62</v>
      </c>
      <c r="P2784" s="173" t="s">
        <v>27</v>
      </c>
      <c r="Q2784" s="1" t="s">
        <v>1343</v>
      </c>
      <c r="R2784" s="175">
        <v>28</v>
      </c>
      <c r="S2784">
        <v>28</v>
      </c>
    </row>
    <row r="2785" spans="1:19" x14ac:dyDescent="0.25">
      <c r="A2785" s="87">
        <v>2019</v>
      </c>
      <c r="B2785" s="87">
        <v>11</v>
      </c>
      <c r="C2785" s="173" t="s">
        <v>16</v>
      </c>
      <c r="D2785" s="173" t="s">
        <v>229</v>
      </c>
      <c r="E2785" s="173" t="s">
        <v>24</v>
      </c>
      <c r="F2785" s="173" t="s">
        <v>16</v>
      </c>
      <c r="G2785" s="87" t="b">
        <v>1</v>
      </c>
      <c r="H2785" s="87" t="b">
        <v>0</v>
      </c>
      <c r="I2785" s="87" t="b">
        <v>0</v>
      </c>
      <c r="J2785" s="173" t="s">
        <v>470</v>
      </c>
      <c r="K2785" s="174">
        <v>60884855001207</v>
      </c>
      <c r="L2785" s="173" t="s">
        <v>1065</v>
      </c>
      <c r="M2785" s="173" t="s">
        <v>1039</v>
      </c>
      <c r="N2785" s="173" t="s">
        <v>61</v>
      </c>
      <c r="O2785" s="87">
        <v>64</v>
      </c>
      <c r="P2785" s="173" t="s">
        <v>25</v>
      </c>
      <c r="Q2785" s="1" t="s">
        <v>1344</v>
      </c>
      <c r="R2785" s="175">
        <v>53</v>
      </c>
      <c r="S2785">
        <v>53</v>
      </c>
    </row>
    <row r="2786" spans="1:19" x14ac:dyDescent="0.25">
      <c r="A2786" s="87">
        <v>2019</v>
      </c>
      <c r="B2786" s="87">
        <v>11</v>
      </c>
      <c r="C2786" s="173" t="s">
        <v>16</v>
      </c>
      <c r="D2786" s="173" t="s">
        <v>229</v>
      </c>
      <c r="E2786" s="173" t="s">
        <v>24</v>
      </c>
      <c r="F2786" s="173" t="s">
        <v>16</v>
      </c>
      <c r="G2786" s="87" t="b">
        <v>1</v>
      </c>
      <c r="H2786" s="87" t="b">
        <v>0</v>
      </c>
      <c r="I2786" s="87" t="b">
        <v>0</v>
      </c>
      <c r="J2786" s="173" t="s">
        <v>470</v>
      </c>
      <c r="K2786" s="174">
        <v>60884855001207</v>
      </c>
      <c r="L2786" s="173" t="s">
        <v>1065</v>
      </c>
      <c r="M2786" s="173" t="s">
        <v>1039</v>
      </c>
      <c r="N2786" s="173" t="s">
        <v>61</v>
      </c>
      <c r="O2786" s="87">
        <v>70</v>
      </c>
      <c r="P2786" s="173" t="s">
        <v>20</v>
      </c>
      <c r="Q2786" s="1" t="s">
        <v>1338</v>
      </c>
      <c r="R2786" s="175">
        <v>910</v>
      </c>
      <c r="S2786">
        <v>182</v>
      </c>
    </row>
    <row r="2787" spans="1:19" x14ac:dyDescent="0.25">
      <c r="A2787" s="87">
        <v>2019</v>
      </c>
      <c r="B2787" s="87">
        <v>11</v>
      </c>
      <c r="C2787" s="173" t="s">
        <v>16</v>
      </c>
      <c r="D2787" s="173" t="s">
        <v>229</v>
      </c>
      <c r="E2787" s="173" t="s">
        <v>24</v>
      </c>
      <c r="F2787" s="173" t="s">
        <v>16</v>
      </c>
      <c r="G2787" s="87" t="b">
        <v>1</v>
      </c>
      <c r="H2787" s="87" t="b">
        <v>0</v>
      </c>
      <c r="I2787" s="87" t="b">
        <v>0</v>
      </c>
      <c r="J2787" s="173" t="s">
        <v>470</v>
      </c>
      <c r="K2787" s="174">
        <v>60884855001630</v>
      </c>
      <c r="L2787" s="173" t="s">
        <v>1124</v>
      </c>
      <c r="M2787" s="173" t="s">
        <v>131</v>
      </c>
      <c r="N2787" s="173" t="s">
        <v>61</v>
      </c>
      <c r="O2787" s="87">
        <v>62</v>
      </c>
      <c r="P2787" s="173" t="s">
        <v>27</v>
      </c>
      <c r="Q2787" s="1" t="s">
        <v>1343</v>
      </c>
      <c r="R2787" s="175">
        <v>27</v>
      </c>
      <c r="S2787">
        <v>27</v>
      </c>
    </row>
    <row r="2788" spans="1:19" x14ac:dyDescent="0.25">
      <c r="A2788" s="87">
        <v>2019</v>
      </c>
      <c r="B2788" s="87">
        <v>11</v>
      </c>
      <c r="C2788" s="173" t="s">
        <v>16</v>
      </c>
      <c r="D2788" s="173" t="s">
        <v>229</v>
      </c>
      <c r="E2788" s="173" t="s">
        <v>24</v>
      </c>
      <c r="F2788" s="173" t="s">
        <v>16</v>
      </c>
      <c r="G2788" s="87" t="b">
        <v>1</v>
      </c>
      <c r="H2788" s="87" t="b">
        <v>0</v>
      </c>
      <c r="I2788" s="87" t="b">
        <v>0</v>
      </c>
      <c r="J2788" s="173" t="s">
        <v>470</v>
      </c>
      <c r="K2788" s="174">
        <v>60884855001630</v>
      </c>
      <c r="L2788" s="173" t="s">
        <v>1124</v>
      </c>
      <c r="M2788" s="173" t="s">
        <v>131</v>
      </c>
      <c r="N2788" s="173" t="s">
        <v>61</v>
      </c>
      <c r="O2788" s="87">
        <v>64</v>
      </c>
      <c r="P2788" s="173" t="s">
        <v>25</v>
      </c>
      <c r="Q2788" s="1" t="s">
        <v>1344</v>
      </c>
      <c r="R2788" s="175">
        <v>20</v>
      </c>
      <c r="S2788">
        <v>20</v>
      </c>
    </row>
    <row r="2789" spans="1:19" x14ac:dyDescent="0.25">
      <c r="A2789" s="87">
        <v>2019</v>
      </c>
      <c r="B2789" s="87">
        <v>11</v>
      </c>
      <c r="C2789" s="173" t="s">
        <v>16</v>
      </c>
      <c r="D2789" s="173" t="s">
        <v>229</v>
      </c>
      <c r="E2789" s="173" t="s">
        <v>24</v>
      </c>
      <c r="F2789" s="173" t="s">
        <v>16</v>
      </c>
      <c r="G2789" s="87" t="b">
        <v>1</v>
      </c>
      <c r="H2789" s="87" t="b">
        <v>0</v>
      </c>
      <c r="I2789" s="87" t="b">
        <v>0</v>
      </c>
      <c r="J2789" s="173" t="s">
        <v>470</v>
      </c>
      <c r="K2789" s="174">
        <v>60884855001630</v>
      </c>
      <c r="L2789" s="173" t="s">
        <v>1124</v>
      </c>
      <c r="M2789" s="173" t="s">
        <v>131</v>
      </c>
      <c r="N2789" s="173" t="s">
        <v>61</v>
      </c>
      <c r="O2789" s="87">
        <v>70</v>
      </c>
      <c r="P2789" s="173" t="s">
        <v>20</v>
      </c>
      <c r="Q2789" s="1" t="s">
        <v>1338</v>
      </c>
      <c r="R2789" s="175">
        <v>255</v>
      </c>
      <c r="S2789">
        <v>51</v>
      </c>
    </row>
    <row r="2790" spans="1:19" x14ac:dyDescent="0.25">
      <c r="A2790" s="87">
        <v>2019</v>
      </c>
      <c r="B2790" s="87">
        <v>11</v>
      </c>
      <c r="C2790" s="173" t="s">
        <v>16</v>
      </c>
      <c r="D2790" s="173" t="s">
        <v>229</v>
      </c>
      <c r="E2790" s="173" t="s">
        <v>24</v>
      </c>
      <c r="F2790" s="173" t="s">
        <v>16</v>
      </c>
      <c r="G2790" s="87" t="b">
        <v>1</v>
      </c>
      <c r="H2790" s="87" t="b">
        <v>0</v>
      </c>
      <c r="I2790" s="87" t="b">
        <v>0</v>
      </c>
      <c r="J2790" s="173" t="s">
        <v>470</v>
      </c>
      <c r="K2790" s="174">
        <v>60884855002289</v>
      </c>
      <c r="L2790" s="173" t="s">
        <v>920</v>
      </c>
      <c r="M2790" s="173" t="s">
        <v>739</v>
      </c>
      <c r="N2790" s="173" t="s">
        <v>55</v>
      </c>
      <c r="O2790" s="87">
        <v>62</v>
      </c>
      <c r="P2790" s="173" t="s">
        <v>27</v>
      </c>
      <c r="Q2790" s="1" t="s">
        <v>1343</v>
      </c>
      <c r="R2790" s="175">
        <v>19</v>
      </c>
      <c r="S2790">
        <v>19</v>
      </c>
    </row>
    <row r="2791" spans="1:19" x14ac:dyDescent="0.25">
      <c r="A2791" s="87">
        <v>2019</v>
      </c>
      <c r="B2791" s="87">
        <v>11</v>
      </c>
      <c r="C2791" s="173" t="s">
        <v>16</v>
      </c>
      <c r="D2791" s="173" t="s">
        <v>229</v>
      </c>
      <c r="E2791" s="173" t="s">
        <v>24</v>
      </c>
      <c r="F2791" s="173" t="s">
        <v>16</v>
      </c>
      <c r="G2791" s="87" t="b">
        <v>1</v>
      </c>
      <c r="H2791" s="87" t="b">
        <v>0</v>
      </c>
      <c r="I2791" s="87" t="b">
        <v>0</v>
      </c>
      <c r="J2791" s="173" t="s">
        <v>470</v>
      </c>
      <c r="K2791" s="174">
        <v>60884855002289</v>
      </c>
      <c r="L2791" s="173" t="s">
        <v>920</v>
      </c>
      <c r="M2791" s="173" t="s">
        <v>739</v>
      </c>
      <c r="N2791" s="173" t="s">
        <v>55</v>
      </c>
      <c r="O2791" s="87">
        <v>64</v>
      </c>
      <c r="P2791" s="173" t="s">
        <v>25</v>
      </c>
      <c r="Q2791" s="1" t="s">
        <v>1344</v>
      </c>
      <c r="R2791" s="175">
        <v>28</v>
      </c>
      <c r="S2791">
        <v>28</v>
      </c>
    </row>
    <row r="2792" spans="1:19" x14ac:dyDescent="0.25">
      <c r="A2792" s="87">
        <v>2019</v>
      </c>
      <c r="B2792" s="87">
        <v>11</v>
      </c>
      <c r="C2792" s="173" t="s">
        <v>16</v>
      </c>
      <c r="D2792" s="173" t="s">
        <v>229</v>
      </c>
      <c r="E2792" s="173" t="s">
        <v>24</v>
      </c>
      <c r="F2792" s="173" t="s">
        <v>16</v>
      </c>
      <c r="G2792" s="87" t="b">
        <v>1</v>
      </c>
      <c r="H2792" s="87" t="b">
        <v>0</v>
      </c>
      <c r="I2792" s="87" t="b">
        <v>0</v>
      </c>
      <c r="J2792" s="173" t="s">
        <v>470</v>
      </c>
      <c r="K2792" s="174">
        <v>60884855002289</v>
      </c>
      <c r="L2792" s="173" t="s">
        <v>920</v>
      </c>
      <c r="M2792" s="173" t="s">
        <v>739</v>
      </c>
      <c r="N2792" s="173" t="s">
        <v>55</v>
      </c>
      <c r="O2792" s="87">
        <v>70</v>
      </c>
      <c r="P2792" s="173" t="s">
        <v>20</v>
      </c>
      <c r="Q2792" s="1" t="s">
        <v>1338</v>
      </c>
      <c r="R2792" s="175">
        <v>75</v>
      </c>
      <c r="S2792">
        <v>15</v>
      </c>
    </row>
    <row r="2793" spans="1:19" x14ac:dyDescent="0.25">
      <c r="A2793" s="87">
        <v>2019</v>
      </c>
      <c r="B2793" s="87">
        <v>11</v>
      </c>
      <c r="C2793" s="173" t="s">
        <v>16</v>
      </c>
      <c r="D2793" s="173" t="s">
        <v>229</v>
      </c>
      <c r="E2793" s="173" t="s">
        <v>24</v>
      </c>
      <c r="F2793" s="173" t="s">
        <v>16</v>
      </c>
      <c r="G2793" s="87" t="b">
        <v>1</v>
      </c>
      <c r="H2793" s="87" t="b">
        <v>0</v>
      </c>
      <c r="I2793" s="87" t="b">
        <v>0</v>
      </c>
      <c r="J2793" s="173" t="s">
        <v>477</v>
      </c>
      <c r="K2793" s="174">
        <v>60922168000348</v>
      </c>
      <c r="L2793" s="173" t="s">
        <v>1125</v>
      </c>
      <c r="M2793" s="173" t="s">
        <v>131</v>
      </c>
      <c r="N2793" s="173" t="s">
        <v>61</v>
      </c>
      <c r="O2793" s="87">
        <v>64</v>
      </c>
      <c r="P2793" s="173" t="s">
        <v>25</v>
      </c>
      <c r="Q2793" s="1" t="s">
        <v>1344</v>
      </c>
      <c r="R2793" s="175">
        <v>12</v>
      </c>
      <c r="S2793">
        <v>12</v>
      </c>
    </row>
    <row r="2794" spans="1:19" x14ac:dyDescent="0.25">
      <c r="A2794" s="87">
        <v>2019</v>
      </c>
      <c r="B2794" s="87">
        <v>11</v>
      </c>
      <c r="C2794" s="173" t="s">
        <v>16</v>
      </c>
      <c r="D2794" s="173" t="s">
        <v>229</v>
      </c>
      <c r="E2794" s="173" t="s">
        <v>24</v>
      </c>
      <c r="F2794" s="173" t="s">
        <v>16</v>
      </c>
      <c r="G2794" s="87" t="b">
        <v>1</v>
      </c>
      <c r="H2794" s="87" t="b">
        <v>0</v>
      </c>
      <c r="I2794" s="87" t="b">
        <v>0</v>
      </c>
      <c r="J2794" s="173" t="s">
        <v>477</v>
      </c>
      <c r="K2794" s="174">
        <v>60922168000348</v>
      </c>
      <c r="L2794" s="173" t="s">
        <v>1125</v>
      </c>
      <c r="M2794" s="173" t="s">
        <v>131</v>
      </c>
      <c r="N2794" s="173" t="s">
        <v>61</v>
      </c>
      <c r="O2794" s="87">
        <v>70</v>
      </c>
      <c r="P2794" s="173" t="s">
        <v>20</v>
      </c>
      <c r="Q2794" s="1" t="s">
        <v>1345</v>
      </c>
      <c r="R2794" s="175">
        <v>60</v>
      </c>
      <c r="S2794">
        <v>6</v>
      </c>
    </row>
    <row r="2795" spans="1:19" x14ac:dyDescent="0.25">
      <c r="A2795" s="87">
        <v>2019</v>
      </c>
      <c r="B2795" s="87">
        <v>11</v>
      </c>
      <c r="C2795" s="173" t="s">
        <v>16</v>
      </c>
      <c r="D2795" s="173" t="s">
        <v>229</v>
      </c>
      <c r="E2795" s="173" t="s">
        <v>24</v>
      </c>
      <c r="F2795" s="173" t="s">
        <v>16</v>
      </c>
      <c r="G2795" s="87" t="b">
        <v>1</v>
      </c>
      <c r="H2795" s="87" t="b">
        <v>0</v>
      </c>
      <c r="I2795" s="87" t="b">
        <v>0</v>
      </c>
      <c r="J2795" s="173" t="s">
        <v>477</v>
      </c>
      <c r="K2795" s="174">
        <v>60922168000348</v>
      </c>
      <c r="L2795" s="173" t="s">
        <v>1125</v>
      </c>
      <c r="M2795" s="173" t="s">
        <v>131</v>
      </c>
      <c r="N2795" s="173" t="s">
        <v>61</v>
      </c>
      <c r="O2795" s="87">
        <v>70</v>
      </c>
      <c r="P2795" s="173" t="s">
        <v>20</v>
      </c>
      <c r="Q2795" s="1" t="s">
        <v>1338</v>
      </c>
      <c r="R2795" s="175">
        <v>320</v>
      </c>
      <c r="S2795">
        <v>64</v>
      </c>
    </row>
    <row r="2796" spans="1:19" x14ac:dyDescent="0.25">
      <c r="A2796" s="87">
        <v>2019</v>
      </c>
      <c r="B2796" s="87">
        <v>11</v>
      </c>
      <c r="C2796" s="173" t="s">
        <v>16</v>
      </c>
      <c r="D2796" s="173" t="s">
        <v>229</v>
      </c>
      <c r="E2796" s="173" t="s">
        <v>24</v>
      </c>
      <c r="F2796" s="173" t="s">
        <v>16</v>
      </c>
      <c r="G2796" s="87" t="b">
        <v>1</v>
      </c>
      <c r="H2796" s="87" t="b">
        <v>0</v>
      </c>
      <c r="I2796" s="87" t="b">
        <v>0</v>
      </c>
      <c r="J2796" s="173" t="s">
        <v>491</v>
      </c>
      <c r="K2796" s="174">
        <v>60922168000771</v>
      </c>
      <c r="L2796" s="173" t="s">
        <v>618</v>
      </c>
      <c r="M2796" s="173" t="s">
        <v>29</v>
      </c>
      <c r="N2796" s="173" t="s">
        <v>19</v>
      </c>
      <c r="O2796" s="87">
        <v>62</v>
      </c>
      <c r="P2796" s="173" t="s">
        <v>27</v>
      </c>
      <c r="Q2796" s="1" t="s">
        <v>1343</v>
      </c>
      <c r="R2796" s="175">
        <v>13</v>
      </c>
      <c r="S2796">
        <v>13</v>
      </c>
    </row>
    <row r="2797" spans="1:19" x14ac:dyDescent="0.25">
      <c r="A2797" s="87">
        <v>2019</v>
      </c>
      <c r="B2797" s="87">
        <v>11</v>
      </c>
      <c r="C2797" s="173" t="s">
        <v>16</v>
      </c>
      <c r="D2797" s="173" t="s">
        <v>229</v>
      </c>
      <c r="E2797" s="173" t="s">
        <v>24</v>
      </c>
      <c r="F2797" s="173" t="s">
        <v>16</v>
      </c>
      <c r="G2797" s="87" t="b">
        <v>1</v>
      </c>
      <c r="H2797" s="87" t="b">
        <v>0</v>
      </c>
      <c r="I2797" s="87" t="b">
        <v>0</v>
      </c>
      <c r="J2797" s="173" t="s">
        <v>478</v>
      </c>
      <c r="K2797" s="174">
        <v>60922168000771</v>
      </c>
      <c r="L2797" s="173" t="s">
        <v>618</v>
      </c>
      <c r="M2797" s="173" t="s">
        <v>29</v>
      </c>
      <c r="N2797" s="173" t="s">
        <v>19</v>
      </c>
      <c r="O2797" s="87">
        <v>70</v>
      </c>
      <c r="P2797" s="173" t="s">
        <v>20</v>
      </c>
      <c r="Q2797" s="1" t="s">
        <v>1338</v>
      </c>
      <c r="R2797" s="175">
        <v>5</v>
      </c>
      <c r="S2797">
        <v>1</v>
      </c>
    </row>
    <row r="2798" spans="1:19" x14ac:dyDescent="0.25">
      <c r="A2798" s="87">
        <v>2019</v>
      </c>
      <c r="B2798" s="87">
        <v>11</v>
      </c>
      <c r="C2798" s="173" t="s">
        <v>16</v>
      </c>
      <c r="D2798" s="173" t="s">
        <v>229</v>
      </c>
      <c r="E2798" s="173" t="s">
        <v>24</v>
      </c>
      <c r="F2798" s="173" t="s">
        <v>16</v>
      </c>
      <c r="G2798" s="87" t="b">
        <v>1</v>
      </c>
      <c r="H2798" s="87" t="b">
        <v>0</v>
      </c>
      <c r="I2798" s="87" t="b">
        <v>0</v>
      </c>
      <c r="J2798" s="173" t="s">
        <v>450</v>
      </c>
      <c r="K2798" s="174">
        <v>60922168000771</v>
      </c>
      <c r="L2798" s="173" t="s">
        <v>618</v>
      </c>
      <c r="M2798" s="173" t="s">
        <v>29</v>
      </c>
      <c r="N2798" s="173" t="s">
        <v>19</v>
      </c>
      <c r="O2798" s="87">
        <v>70</v>
      </c>
      <c r="P2798" s="173" t="s">
        <v>20</v>
      </c>
      <c r="Q2798" s="1" t="s">
        <v>1338</v>
      </c>
      <c r="R2798" s="175">
        <v>5</v>
      </c>
      <c r="S2798">
        <v>1</v>
      </c>
    </row>
    <row r="2799" spans="1:19" x14ac:dyDescent="0.25">
      <c r="A2799" s="87">
        <v>2019</v>
      </c>
      <c r="B2799" s="87">
        <v>11</v>
      </c>
      <c r="C2799" s="173" t="s">
        <v>16</v>
      </c>
      <c r="D2799" s="173" t="s">
        <v>229</v>
      </c>
      <c r="E2799" s="173" t="s">
        <v>24</v>
      </c>
      <c r="F2799" s="173" t="s">
        <v>16</v>
      </c>
      <c r="G2799" s="87" t="b">
        <v>1</v>
      </c>
      <c r="H2799" s="87" t="b">
        <v>0</v>
      </c>
      <c r="I2799" s="87" t="b">
        <v>0</v>
      </c>
      <c r="J2799" s="173" t="s">
        <v>477</v>
      </c>
      <c r="K2799" s="174">
        <v>60922168000771</v>
      </c>
      <c r="L2799" s="173" t="s">
        <v>618</v>
      </c>
      <c r="M2799" s="173" t="s">
        <v>29</v>
      </c>
      <c r="N2799" s="173" t="s">
        <v>19</v>
      </c>
      <c r="O2799" s="87">
        <v>70</v>
      </c>
      <c r="P2799" s="173" t="s">
        <v>20</v>
      </c>
      <c r="Q2799" s="1" t="s">
        <v>1345</v>
      </c>
      <c r="R2799" s="175">
        <v>10</v>
      </c>
      <c r="S2799">
        <v>1</v>
      </c>
    </row>
    <row r="2800" spans="1:19" x14ac:dyDescent="0.25">
      <c r="A2800" s="87">
        <v>2019</v>
      </c>
      <c r="B2800" s="87">
        <v>11</v>
      </c>
      <c r="C2800" s="173" t="s">
        <v>16</v>
      </c>
      <c r="D2800" s="173" t="s">
        <v>229</v>
      </c>
      <c r="E2800" s="173" t="s">
        <v>24</v>
      </c>
      <c r="F2800" s="173" t="s">
        <v>16</v>
      </c>
      <c r="G2800" s="87" t="b">
        <v>1</v>
      </c>
      <c r="H2800" s="87" t="b">
        <v>0</v>
      </c>
      <c r="I2800" s="87" t="b">
        <v>0</v>
      </c>
      <c r="J2800" s="173" t="s">
        <v>463</v>
      </c>
      <c r="K2800" s="174">
        <v>60922168000771</v>
      </c>
      <c r="L2800" s="173" t="s">
        <v>618</v>
      </c>
      <c r="M2800" s="173" t="s">
        <v>29</v>
      </c>
      <c r="N2800" s="173" t="s">
        <v>19</v>
      </c>
      <c r="O2800" s="87">
        <v>70</v>
      </c>
      <c r="P2800" s="173" t="s">
        <v>20</v>
      </c>
      <c r="Q2800" s="1" t="s">
        <v>1345</v>
      </c>
      <c r="R2800" s="175">
        <v>80</v>
      </c>
      <c r="S2800">
        <v>8</v>
      </c>
    </row>
    <row r="2801" spans="1:19" x14ac:dyDescent="0.25">
      <c r="A2801" s="87">
        <v>2019</v>
      </c>
      <c r="B2801" s="87">
        <v>11</v>
      </c>
      <c r="C2801" s="173" t="s">
        <v>16</v>
      </c>
      <c r="D2801" s="173" t="s">
        <v>229</v>
      </c>
      <c r="E2801" s="173" t="s">
        <v>24</v>
      </c>
      <c r="F2801" s="173" t="s">
        <v>16</v>
      </c>
      <c r="G2801" s="87" t="b">
        <v>1</v>
      </c>
      <c r="H2801" s="87" t="b">
        <v>0</v>
      </c>
      <c r="I2801" s="87" t="b">
        <v>0</v>
      </c>
      <c r="J2801" s="173" t="s">
        <v>478</v>
      </c>
      <c r="K2801" s="174">
        <v>60922168000771</v>
      </c>
      <c r="L2801" s="173" t="s">
        <v>618</v>
      </c>
      <c r="M2801" s="173" t="s">
        <v>29</v>
      </c>
      <c r="N2801" s="173" t="s">
        <v>19</v>
      </c>
      <c r="O2801" s="87">
        <v>73</v>
      </c>
      <c r="P2801" s="173" t="s">
        <v>26</v>
      </c>
      <c r="Q2801" s="1" t="s">
        <v>1339</v>
      </c>
      <c r="R2801" s="175">
        <v>2</v>
      </c>
      <c r="S2801">
        <v>1</v>
      </c>
    </row>
    <row r="2802" spans="1:19" x14ac:dyDescent="0.25">
      <c r="A2802" s="87">
        <v>2019</v>
      </c>
      <c r="B2802" s="87">
        <v>11</v>
      </c>
      <c r="C2802" s="173" t="s">
        <v>16</v>
      </c>
      <c r="D2802" s="173" t="s">
        <v>229</v>
      </c>
      <c r="E2802" s="173" t="s">
        <v>24</v>
      </c>
      <c r="F2802" s="173" t="s">
        <v>16</v>
      </c>
      <c r="G2802" s="87" t="b">
        <v>1</v>
      </c>
      <c r="H2802" s="87" t="b">
        <v>0</v>
      </c>
      <c r="I2802" s="87" t="b">
        <v>0</v>
      </c>
      <c r="J2802" s="173" t="s">
        <v>463</v>
      </c>
      <c r="K2802" s="174">
        <v>60922168000771</v>
      </c>
      <c r="L2802" s="173" t="s">
        <v>618</v>
      </c>
      <c r="M2802" s="173" t="s">
        <v>29</v>
      </c>
      <c r="N2802" s="173" t="s">
        <v>19</v>
      </c>
      <c r="O2802" s="87">
        <v>73</v>
      </c>
      <c r="P2802" s="173" t="s">
        <v>26</v>
      </c>
      <c r="Q2802" s="1" t="s">
        <v>1339</v>
      </c>
      <c r="R2802" s="175">
        <v>2</v>
      </c>
      <c r="S2802">
        <v>1</v>
      </c>
    </row>
    <row r="2803" spans="1:19" x14ac:dyDescent="0.25">
      <c r="A2803" s="87">
        <v>2019</v>
      </c>
      <c r="B2803" s="87">
        <v>11</v>
      </c>
      <c r="C2803" s="173" t="s">
        <v>16</v>
      </c>
      <c r="D2803" s="173" t="s">
        <v>229</v>
      </c>
      <c r="E2803" s="173" t="s">
        <v>24</v>
      </c>
      <c r="F2803" s="173" t="s">
        <v>16</v>
      </c>
      <c r="G2803" s="87" t="b">
        <v>1</v>
      </c>
      <c r="H2803" s="87" t="b">
        <v>0</v>
      </c>
      <c r="I2803" s="87" t="b">
        <v>0</v>
      </c>
      <c r="J2803" s="173" t="s">
        <v>491</v>
      </c>
      <c r="K2803" s="174">
        <v>60922168000771</v>
      </c>
      <c r="L2803" s="173" t="s">
        <v>618</v>
      </c>
      <c r="M2803" s="173" t="s">
        <v>29</v>
      </c>
      <c r="N2803" s="173" t="s">
        <v>19</v>
      </c>
      <c r="O2803" s="87">
        <v>73</v>
      </c>
      <c r="P2803" s="173" t="s">
        <v>26</v>
      </c>
      <c r="Q2803" s="1" t="s">
        <v>1340</v>
      </c>
      <c r="R2803" s="175">
        <v>2</v>
      </c>
      <c r="S2803">
        <v>2</v>
      </c>
    </row>
    <row r="2804" spans="1:19" x14ac:dyDescent="0.25">
      <c r="A2804" s="87">
        <v>2019</v>
      </c>
      <c r="B2804" s="87">
        <v>11</v>
      </c>
      <c r="C2804" s="173" t="s">
        <v>16</v>
      </c>
      <c r="D2804" s="173" t="s">
        <v>229</v>
      </c>
      <c r="E2804" s="173" t="s">
        <v>24</v>
      </c>
      <c r="F2804" s="173" t="s">
        <v>16</v>
      </c>
      <c r="G2804" s="87" t="b">
        <v>1</v>
      </c>
      <c r="H2804" s="87" t="b">
        <v>0</v>
      </c>
      <c r="I2804" s="87" t="b">
        <v>0</v>
      </c>
      <c r="J2804" s="173" t="s">
        <v>452</v>
      </c>
      <c r="K2804" s="174">
        <v>60922168005226</v>
      </c>
      <c r="L2804" s="173" t="s">
        <v>977</v>
      </c>
      <c r="M2804" s="173" t="s">
        <v>93</v>
      </c>
      <c r="N2804" s="173" t="s">
        <v>68</v>
      </c>
      <c r="O2804" s="87">
        <v>62</v>
      </c>
      <c r="P2804" s="173" t="s">
        <v>27</v>
      </c>
      <c r="Q2804" s="1" t="s">
        <v>1343</v>
      </c>
      <c r="R2804" s="175">
        <v>4</v>
      </c>
      <c r="S2804">
        <v>4</v>
      </c>
    </row>
    <row r="2805" spans="1:19" x14ac:dyDescent="0.25">
      <c r="A2805" s="87">
        <v>2019</v>
      </c>
      <c r="B2805" s="87">
        <v>11</v>
      </c>
      <c r="C2805" s="173" t="s">
        <v>16</v>
      </c>
      <c r="D2805" s="173" t="s">
        <v>229</v>
      </c>
      <c r="E2805" s="173" t="s">
        <v>24</v>
      </c>
      <c r="F2805" s="173" t="s">
        <v>16</v>
      </c>
      <c r="G2805" s="87" t="b">
        <v>1</v>
      </c>
      <c r="H2805" s="87" t="b">
        <v>0</v>
      </c>
      <c r="I2805" s="87" t="b">
        <v>0</v>
      </c>
      <c r="J2805" s="173" t="s">
        <v>481</v>
      </c>
      <c r="K2805" s="174">
        <v>60922168005226</v>
      </c>
      <c r="L2805" s="173" t="s">
        <v>977</v>
      </c>
      <c r="M2805" s="173" t="s">
        <v>93</v>
      </c>
      <c r="N2805" s="173" t="s">
        <v>68</v>
      </c>
      <c r="O2805" s="87">
        <v>62</v>
      </c>
      <c r="P2805" s="173" t="s">
        <v>27</v>
      </c>
      <c r="Q2805" s="1" t="s">
        <v>1343</v>
      </c>
      <c r="R2805" s="175">
        <v>3</v>
      </c>
      <c r="S2805">
        <v>3</v>
      </c>
    </row>
    <row r="2806" spans="1:19" x14ac:dyDescent="0.25">
      <c r="A2806" s="87">
        <v>2019</v>
      </c>
      <c r="B2806" s="87">
        <v>11</v>
      </c>
      <c r="C2806" s="173" t="s">
        <v>16</v>
      </c>
      <c r="D2806" s="173" t="s">
        <v>229</v>
      </c>
      <c r="E2806" s="173" t="s">
        <v>24</v>
      </c>
      <c r="F2806" s="173" t="s">
        <v>16</v>
      </c>
      <c r="G2806" s="87" t="b">
        <v>1</v>
      </c>
      <c r="H2806" s="87" t="b">
        <v>0</v>
      </c>
      <c r="I2806" s="87" t="b">
        <v>0</v>
      </c>
      <c r="J2806" s="173" t="s">
        <v>451</v>
      </c>
      <c r="K2806" s="174">
        <v>60922168005226</v>
      </c>
      <c r="L2806" s="173" t="s">
        <v>977</v>
      </c>
      <c r="M2806" s="173" t="s">
        <v>93</v>
      </c>
      <c r="N2806" s="173" t="s">
        <v>68</v>
      </c>
      <c r="O2806" s="87">
        <v>64</v>
      </c>
      <c r="P2806" s="173" t="s">
        <v>25</v>
      </c>
      <c r="Q2806" s="1" t="s">
        <v>1344</v>
      </c>
      <c r="R2806" s="175">
        <v>2</v>
      </c>
      <c r="S2806">
        <v>2</v>
      </c>
    </row>
    <row r="2807" spans="1:19" x14ac:dyDescent="0.25">
      <c r="A2807" s="87">
        <v>2019</v>
      </c>
      <c r="B2807" s="87">
        <v>11</v>
      </c>
      <c r="C2807" s="173" t="s">
        <v>16</v>
      </c>
      <c r="D2807" s="173" t="s">
        <v>229</v>
      </c>
      <c r="E2807" s="173" t="s">
        <v>24</v>
      </c>
      <c r="F2807" s="173" t="s">
        <v>16</v>
      </c>
      <c r="G2807" s="87" t="b">
        <v>1</v>
      </c>
      <c r="H2807" s="87" t="b">
        <v>0</v>
      </c>
      <c r="I2807" s="87" t="b">
        <v>0</v>
      </c>
      <c r="J2807" s="173" t="s">
        <v>450</v>
      </c>
      <c r="K2807" s="174">
        <v>60961422000155</v>
      </c>
      <c r="L2807" s="173" t="s">
        <v>620</v>
      </c>
      <c r="M2807" s="173" t="s">
        <v>29</v>
      </c>
      <c r="N2807" s="173" t="s">
        <v>19</v>
      </c>
      <c r="O2807" s="87">
        <v>62</v>
      </c>
      <c r="P2807" s="173" t="s">
        <v>27</v>
      </c>
      <c r="Q2807" s="1" t="s">
        <v>1343</v>
      </c>
      <c r="R2807" s="175">
        <v>11</v>
      </c>
      <c r="S2807">
        <v>11</v>
      </c>
    </row>
    <row r="2808" spans="1:19" x14ac:dyDescent="0.25">
      <c r="A2808" s="87">
        <v>2019</v>
      </c>
      <c r="B2808" s="87">
        <v>11</v>
      </c>
      <c r="C2808" s="173" t="s">
        <v>16</v>
      </c>
      <c r="D2808" s="173" t="s">
        <v>229</v>
      </c>
      <c r="E2808" s="173" t="s">
        <v>24</v>
      </c>
      <c r="F2808" s="173" t="s">
        <v>16</v>
      </c>
      <c r="G2808" s="87" t="b">
        <v>1</v>
      </c>
      <c r="H2808" s="87" t="b">
        <v>0</v>
      </c>
      <c r="I2808" s="87" t="b">
        <v>0</v>
      </c>
      <c r="J2808" s="173" t="s">
        <v>450</v>
      </c>
      <c r="K2808" s="174">
        <v>60961422000155</v>
      </c>
      <c r="L2808" s="173" t="s">
        <v>620</v>
      </c>
      <c r="M2808" s="173" t="s">
        <v>29</v>
      </c>
      <c r="N2808" s="173" t="s">
        <v>19</v>
      </c>
      <c r="O2808" s="87">
        <v>64</v>
      </c>
      <c r="P2808" s="173" t="s">
        <v>25</v>
      </c>
      <c r="Q2808" s="1" t="s">
        <v>1344</v>
      </c>
      <c r="R2808" s="175">
        <v>4</v>
      </c>
      <c r="S2808">
        <v>4</v>
      </c>
    </row>
    <row r="2809" spans="1:19" x14ac:dyDescent="0.25">
      <c r="A2809" s="87">
        <v>2019</v>
      </c>
      <c r="B2809" s="87">
        <v>11</v>
      </c>
      <c r="C2809" s="173" t="s">
        <v>16</v>
      </c>
      <c r="D2809" s="173" t="s">
        <v>229</v>
      </c>
      <c r="E2809" s="173" t="s">
        <v>24</v>
      </c>
      <c r="F2809" s="173" t="s">
        <v>16</v>
      </c>
      <c r="G2809" s="87" t="b">
        <v>1</v>
      </c>
      <c r="H2809" s="87" t="b">
        <v>0</v>
      </c>
      <c r="I2809" s="87" t="b">
        <v>0</v>
      </c>
      <c r="J2809" s="173" t="s">
        <v>470</v>
      </c>
      <c r="K2809" s="174">
        <v>60961422000155</v>
      </c>
      <c r="L2809" s="173" t="s">
        <v>620</v>
      </c>
      <c r="M2809" s="173" t="s">
        <v>29</v>
      </c>
      <c r="N2809" s="173" t="s">
        <v>19</v>
      </c>
      <c r="O2809" s="87">
        <v>70</v>
      </c>
      <c r="P2809" s="173" t="s">
        <v>20</v>
      </c>
      <c r="Q2809" s="1" t="s">
        <v>1338</v>
      </c>
      <c r="R2809" s="175">
        <v>20</v>
      </c>
      <c r="S2809">
        <v>4</v>
      </c>
    </row>
    <row r="2810" spans="1:19" x14ac:dyDescent="0.25">
      <c r="A2810" s="87">
        <v>2019</v>
      </c>
      <c r="B2810" s="87">
        <v>11</v>
      </c>
      <c r="C2810" s="173" t="s">
        <v>16</v>
      </c>
      <c r="D2810" s="173" t="s">
        <v>229</v>
      </c>
      <c r="E2810" s="173" t="s">
        <v>24</v>
      </c>
      <c r="F2810" s="173" t="s">
        <v>16</v>
      </c>
      <c r="G2810" s="87" t="b">
        <v>1</v>
      </c>
      <c r="H2810" s="87" t="b">
        <v>0</v>
      </c>
      <c r="I2810" s="87" t="b">
        <v>0</v>
      </c>
      <c r="J2810" s="173" t="s">
        <v>463</v>
      </c>
      <c r="K2810" s="174">
        <v>60975737000232</v>
      </c>
      <c r="L2810" s="173" t="s">
        <v>624</v>
      </c>
      <c r="M2810" s="173" t="s">
        <v>29</v>
      </c>
      <c r="N2810" s="173" t="s">
        <v>19</v>
      </c>
      <c r="O2810" s="87">
        <v>62</v>
      </c>
      <c r="P2810" s="173" t="s">
        <v>27</v>
      </c>
      <c r="Q2810" s="1" t="s">
        <v>1343</v>
      </c>
      <c r="R2810" s="175">
        <v>8</v>
      </c>
      <c r="S2810">
        <v>8</v>
      </c>
    </row>
    <row r="2811" spans="1:19" x14ac:dyDescent="0.25">
      <c r="A2811" s="87">
        <v>2019</v>
      </c>
      <c r="B2811" s="87">
        <v>11</v>
      </c>
      <c r="C2811" s="173" t="s">
        <v>16</v>
      </c>
      <c r="D2811" s="173" t="s">
        <v>229</v>
      </c>
      <c r="E2811" s="173" t="s">
        <v>24</v>
      </c>
      <c r="F2811" s="173" t="s">
        <v>16</v>
      </c>
      <c r="G2811" s="87" t="b">
        <v>1</v>
      </c>
      <c r="H2811" s="87" t="b">
        <v>0</v>
      </c>
      <c r="I2811" s="87" t="b">
        <v>0</v>
      </c>
      <c r="J2811" s="173" t="s">
        <v>463</v>
      </c>
      <c r="K2811" s="174">
        <v>60975737001204</v>
      </c>
      <c r="L2811" s="173" t="s">
        <v>625</v>
      </c>
      <c r="M2811" s="173" t="s">
        <v>29</v>
      </c>
      <c r="N2811" s="173" t="s">
        <v>19</v>
      </c>
      <c r="O2811" s="87">
        <v>62</v>
      </c>
      <c r="P2811" s="173" t="s">
        <v>27</v>
      </c>
      <c r="Q2811" s="1" t="s">
        <v>1343</v>
      </c>
      <c r="R2811" s="175">
        <v>4</v>
      </c>
      <c r="S2811">
        <v>4</v>
      </c>
    </row>
    <row r="2812" spans="1:19" x14ac:dyDescent="0.25">
      <c r="A2812" s="87">
        <v>2019</v>
      </c>
      <c r="B2812" s="87">
        <v>11</v>
      </c>
      <c r="C2812" s="173" t="s">
        <v>16</v>
      </c>
      <c r="D2812" s="173" t="s">
        <v>229</v>
      </c>
      <c r="E2812" s="173" t="s">
        <v>24</v>
      </c>
      <c r="F2812" s="173" t="s">
        <v>16</v>
      </c>
      <c r="G2812" s="87" t="b">
        <v>1</v>
      </c>
      <c r="H2812" s="87" t="b">
        <v>0</v>
      </c>
      <c r="I2812" s="87" t="b">
        <v>0</v>
      </c>
      <c r="J2812" s="173" t="s">
        <v>470</v>
      </c>
      <c r="K2812" s="174">
        <v>60975737003509</v>
      </c>
      <c r="L2812" s="173" t="s">
        <v>921</v>
      </c>
      <c r="M2812" s="173" t="s">
        <v>76</v>
      </c>
      <c r="N2812" s="173" t="s">
        <v>77</v>
      </c>
      <c r="O2812" s="87">
        <v>62</v>
      </c>
      <c r="P2812" s="173" t="s">
        <v>27</v>
      </c>
      <c r="Q2812" s="1" t="s">
        <v>1343</v>
      </c>
      <c r="R2812" s="175">
        <v>12</v>
      </c>
      <c r="S2812">
        <v>12</v>
      </c>
    </row>
    <row r="2813" spans="1:19" x14ac:dyDescent="0.25">
      <c r="A2813" s="87">
        <v>2019</v>
      </c>
      <c r="B2813" s="87">
        <v>11</v>
      </c>
      <c r="C2813" s="173" t="s">
        <v>16</v>
      </c>
      <c r="D2813" s="173" t="s">
        <v>229</v>
      </c>
      <c r="E2813" s="173" t="s">
        <v>24</v>
      </c>
      <c r="F2813" s="173" t="s">
        <v>16</v>
      </c>
      <c r="G2813" s="87" t="b">
        <v>1</v>
      </c>
      <c r="H2813" s="87" t="b">
        <v>0</v>
      </c>
      <c r="I2813" s="87" t="b">
        <v>0</v>
      </c>
      <c r="J2813" s="173" t="s">
        <v>470</v>
      </c>
      <c r="K2813" s="174">
        <v>60975737003509</v>
      </c>
      <c r="L2813" s="173" t="s">
        <v>921</v>
      </c>
      <c r="M2813" s="173" t="s">
        <v>76</v>
      </c>
      <c r="N2813" s="173" t="s">
        <v>77</v>
      </c>
      <c r="O2813" s="87">
        <v>64</v>
      </c>
      <c r="P2813" s="173" t="s">
        <v>25</v>
      </c>
      <c r="Q2813" s="1" t="s">
        <v>1344</v>
      </c>
      <c r="R2813" s="175">
        <v>4</v>
      </c>
      <c r="S2813">
        <v>4</v>
      </c>
    </row>
    <row r="2814" spans="1:19" x14ac:dyDescent="0.25">
      <c r="A2814" s="87">
        <v>2019</v>
      </c>
      <c r="B2814" s="87">
        <v>11</v>
      </c>
      <c r="C2814" s="173" t="s">
        <v>16</v>
      </c>
      <c r="D2814" s="173" t="s">
        <v>229</v>
      </c>
      <c r="E2814" s="173" t="s">
        <v>24</v>
      </c>
      <c r="F2814" s="173" t="s">
        <v>16</v>
      </c>
      <c r="G2814" s="87" t="b">
        <v>1</v>
      </c>
      <c r="H2814" s="87" t="b">
        <v>0</v>
      </c>
      <c r="I2814" s="87" t="b">
        <v>0</v>
      </c>
      <c r="J2814" s="173" t="s">
        <v>464</v>
      </c>
      <c r="K2814" s="174">
        <v>60975737003509</v>
      </c>
      <c r="L2814" s="173" t="s">
        <v>921</v>
      </c>
      <c r="M2814" s="173" t="s">
        <v>76</v>
      </c>
      <c r="N2814" s="173" t="s">
        <v>77</v>
      </c>
      <c r="O2814" s="87">
        <v>64</v>
      </c>
      <c r="P2814" s="173" t="s">
        <v>25</v>
      </c>
      <c r="Q2814" s="1" t="s">
        <v>1344</v>
      </c>
      <c r="R2814" s="175">
        <v>4</v>
      </c>
      <c r="S2814">
        <v>4</v>
      </c>
    </row>
    <row r="2815" spans="1:19" x14ac:dyDescent="0.25">
      <c r="A2815" s="87">
        <v>2019</v>
      </c>
      <c r="B2815" s="87">
        <v>11</v>
      </c>
      <c r="C2815" s="173" t="s">
        <v>16</v>
      </c>
      <c r="D2815" s="173" t="s">
        <v>229</v>
      </c>
      <c r="E2815" s="173" t="s">
        <v>24</v>
      </c>
      <c r="F2815" s="173" t="s">
        <v>16</v>
      </c>
      <c r="G2815" s="87" t="b">
        <v>1</v>
      </c>
      <c r="H2815" s="87" t="b">
        <v>0</v>
      </c>
      <c r="I2815" s="87" t="b">
        <v>0</v>
      </c>
      <c r="J2815" s="173" t="s">
        <v>451</v>
      </c>
      <c r="K2815" s="174">
        <v>60975737003509</v>
      </c>
      <c r="L2815" s="173" t="s">
        <v>921</v>
      </c>
      <c r="M2815" s="173" t="s">
        <v>76</v>
      </c>
      <c r="N2815" s="173" t="s">
        <v>77</v>
      </c>
      <c r="O2815" s="87">
        <v>64</v>
      </c>
      <c r="P2815" s="173" t="s">
        <v>25</v>
      </c>
      <c r="Q2815" s="1" t="s">
        <v>1344</v>
      </c>
      <c r="R2815" s="175">
        <v>9</v>
      </c>
      <c r="S2815">
        <v>9</v>
      </c>
    </row>
    <row r="2816" spans="1:19" x14ac:dyDescent="0.25">
      <c r="A2816" s="87">
        <v>2019</v>
      </c>
      <c r="B2816" s="87">
        <v>11</v>
      </c>
      <c r="C2816" s="173" t="s">
        <v>16</v>
      </c>
      <c r="D2816" s="173" t="s">
        <v>229</v>
      </c>
      <c r="E2816" s="173" t="s">
        <v>24</v>
      </c>
      <c r="F2816" s="173" t="s">
        <v>16</v>
      </c>
      <c r="G2816" s="87" t="b">
        <v>1</v>
      </c>
      <c r="H2816" s="87" t="b">
        <v>0</v>
      </c>
      <c r="I2816" s="87" t="b">
        <v>0</v>
      </c>
      <c r="J2816" s="173" t="s">
        <v>451</v>
      </c>
      <c r="K2816" s="174">
        <v>60975737003509</v>
      </c>
      <c r="L2816" s="173" t="s">
        <v>921</v>
      </c>
      <c r="M2816" s="173" t="s">
        <v>76</v>
      </c>
      <c r="N2816" s="173" t="s">
        <v>77</v>
      </c>
      <c r="O2816" s="87">
        <v>73</v>
      </c>
      <c r="P2816" s="173" t="s">
        <v>26</v>
      </c>
      <c r="Q2816" s="1" t="s">
        <v>1339</v>
      </c>
      <c r="R2816" s="175">
        <v>2</v>
      </c>
      <c r="S2816">
        <v>1</v>
      </c>
    </row>
    <row r="2817" spans="1:19" x14ac:dyDescent="0.25">
      <c r="A2817" s="87">
        <v>2019</v>
      </c>
      <c r="B2817" s="87">
        <v>11</v>
      </c>
      <c r="C2817" s="173" t="s">
        <v>16</v>
      </c>
      <c r="D2817" s="173" t="s">
        <v>229</v>
      </c>
      <c r="E2817" s="173" t="s">
        <v>24</v>
      </c>
      <c r="F2817" s="173" t="s">
        <v>16</v>
      </c>
      <c r="G2817" s="87" t="b">
        <v>1</v>
      </c>
      <c r="H2817" s="87" t="b">
        <v>0</v>
      </c>
      <c r="I2817" s="87" t="b">
        <v>0</v>
      </c>
      <c r="J2817" s="173" t="s">
        <v>451</v>
      </c>
      <c r="K2817" s="174">
        <v>60975737003509</v>
      </c>
      <c r="L2817" s="173" t="s">
        <v>921</v>
      </c>
      <c r="M2817" s="173" t="s">
        <v>76</v>
      </c>
      <c r="N2817" s="173" t="s">
        <v>77</v>
      </c>
      <c r="O2817" s="87">
        <v>73</v>
      </c>
      <c r="P2817" s="173" t="s">
        <v>26</v>
      </c>
      <c r="Q2817" s="1" t="s">
        <v>1340</v>
      </c>
      <c r="R2817" s="175">
        <v>1</v>
      </c>
      <c r="S2817">
        <v>1</v>
      </c>
    </row>
    <row r="2818" spans="1:19" x14ac:dyDescent="0.25">
      <c r="A2818" s="87">
        <v>2019</v>
      </c>
      <c r="B2818" s="87">
        <v>11</v>
      </c>
      <c r="C2818" s="173" t="s">
        <v>16</v>
      </c>
      <c r="D2818" s="173" t="s">
        <v>229</v>
      </c>
      <c r="E2818" s="173" t="s">
        <v>24</v>
      </c>
      <c r="F2818" s="173" t="s">
        <v>16</v>
      </c>
      <c r="G2818" s="87" t="b">
        <v>1</v>
      </c>
      <c r="H2818" s="87" t="b">
        <v>0</v>
      </c>
      <c r="I2818" s="87" t="b">
        <v>0</v>
      </c>
      <c r="J2818" s="173" t="s">
        <v>463</v>
      </c>
      <c r="K2818" s="174">
        <v>60975737005110</v>
      </c>
      <c r="L2818" s="173" t="s">
        <v>626</v>
      </c>
      <c r="M2818" s="173" t="s">
        <v>29</v>
      </c>
      <c r="N2818" s="173" t="s">
        <v>19</v>
      </c>
      <c r="O2818" s="87">
        <v>62</v>
      </c>
      <c r="P2818" s="173" t="s">
        <v>27</v>
      </c>
      <c r="Q2818" s="1" t="s">
        <v>1343</v>
      </c>
      <c r="R2818" s="175">
        <v>2</v>
      </c>
      <c r="S2818">
        <v>2</v>
      </c>
    </row>
    <row r="2819" spans="1:19" x14ac:dyDescent="0.25">
      <c r="A2819" s="87">
        <v>2019</v>
      </c>
      <c r="B2819" s="87">
        <v>11</v>
      </c>
      <c r="C2819" s="173" t="s">
        <v>16</v>
      </c>
      <c r="D2819" s="173" t="s">
        <v>229</v>
      </c>
      <c r="E2819" s="173" t="s">
        <v>24</v>
      </c>
      <c r="F2819" s="173" t="s">
        <v>16</v>
      </c>
      <c r="G2819" s="87" t="b">
        <v>1</v>
      </c>
      <c r="H2819" s="87" t="b">
        <v>0</v>
      </c>
      <c r="I2819" s="87" t="b">
        <v>0</v>
      </c>
      <c r="J2819" s="173" t="s">
        <v>463</v>
      </c>
      <c r="K2819" s="174">
        <v>60975737005110</v>
      </c>
      <c r="L2819" s="173" t="s">
        <v>626</v>
      </c>
      <c r="M2819" s="173" t="s">
        <v>29</v>
      </c>
      <c r="N2819" s="173" t="s">
        <v>19</v>
      </c>
      <c r="O2819" s="87">
        <v>64</v>
      </c>
      <c r="P2819" s="173" t="s">
        <v>25</v>
      </c>
      <c r="Q2819" s="1" t="s">
        <v>1344</v>
      </c>
      <c r="R2819" s="175">
        <v>2</v>
      </c>
      <c r="S2819">
        <v>2</v>
      </c>
    </row>
    <row r="2820" spans="1:19" x14ac:dyDescent="0.25">
      <c r="A2820" s="87">
        <v>2019</v>
      </c>
      <c r="B2820" s="87">
        <v>11</v>
      </c>
      <c r="C2820" s="173" t="s">
        <v>16</v>
      </c>
      <c r="D2820" s="173" t="s">
        <v>229</v>
      </c>
      <c r="E2820" s="173" t="s">
        <v>24</v>
      </c>
      <c r="F2820" s="173" t="s">
        <v>16</v>
      </c>
      <c r="G2820" s="87" t="b">
        <v>1</v>
      </c>
      <c r="H2820" s="87" t="b">
        <v>0</v>
      </c>
      <c r="I2820" s="87" t="b">
        <v>0</v>
      </c>
      <c r="J2820" s="173" t="s">
        <v>450</v>
      </c>
      <c r="K2820" s="174">
        <v>60979457000111</v>
      </c>
      <c r="L2820" s="173" t="s">
        <v>1232</v>
      </c>
      <c r="M2820" s="173" t="s">
        <v>29</v>
      </c>
      <c r="N2820" s="173" t="s">
        <v>19</v>
      </c>
      <c r="O2820" s="87">
        <v>70</v>
      </c>
      <c r="P2820" s="173" t="s">
        <v>20</v>
      </c>
      <c r="Q2820" s="1" t="s">
        <v>1338</v>
      </c>
      <c r="R2820" s="175">
        <v>20</v>
      </c>
      <c r="S2820">
        <v>4</v>
      </c>
    </row>
    <row r="2821" spans="1:19" x14ac:dyDescent="0.25">
      <c r="A2821" s="87">
        <v>2019</v>
      </c>
      <c r="B2821" s="87">
        <v>11</v>
      </c>
      <c r="C2821" s="173" t="s">
        <v>16</v>
      </c>
      <c r="D2821" s="173" t="s">
        <v>229</v>
      </c>
      <c r="E2821" s="173" t="s">
        <v>24</v>
      </c>
      <c r="F2821" s="173" t="s">
        <v>16</v>
      </c>
      <c r="G2821" s="87" t="b">
        <v>1</v>
      </c>
      <c r="H2821" s="87" t="b">
        <v>0</v>
      </c>
      <c r="I2821" s="87" t="b">
        <v>0</v>
      </c>
      <c r="J2821" s="173" t="s">
        <v>464</v>
      </c>
      <c r="K2821" s="174">
        <v>60992427000650</v>
      </c>
      <c r="L2821" s="173" t="s">
        <v>627</v>
      </c>
      <c r="M2821" s="173" t="s">
        <v>29</v>
      </c>
      <c r="N2821" s="173" t="s">
        <v>19</v>
      </c>
      <c r="O2821" s="87">
        <v>64</v>
      </c>
      <c r="P2821" s="173" t="s">
        <v>25</v>
      </c>
      <c r="Q2821" s="1" t="s">
        <v>1344</v>
      </c>
      <c r="R2821" s="175">
        <v>11</v>
      </c>
      <c r="S2821">
        <v>11</v>
      </c>
    </row>
    <row r="2822" spans="1:19" x14ac:dyDescent="0.25">
      <c r="A2822" s="87">
        <v>2019</v>
      </c>
      <c r="B2822" s="87">
        <v>11</v>
      </c>
      <c r="C2822" s="173" t="s">
        <v>16</v>
      </c>
      <c r="D2822" s="173" t="s">
        <v>229</v>
      </c>
      <c r="E2822" s="173" t="s">
        <v>24</v>
      </c>
      <c r="F2822" s="173" t="s">
        <v>16</v>
      </c>
      <c r="G2822" s="87" t="b">
        <v>1</v>
      </c>
      <c r="H2822" s="87" t="b">
        <v>0</v>
      </c>
      <c r="I2822" s="87" t="b">
        <v>0</v>
      </c>
      <c r="J2822" s="173" t="s">
        <v>470</v>
      </c>
      <c r="K2822" s="174">
        <v>61213674000240</v>
      </c>
      <c r="L2822" s="173" t="s">
        <v>629</v>
      </c>
      <c r="M2822" s="173" t="s">
        <v>29</v>
      </c>
      <c r="N2822" s="173" t="s">
        <v>19</v>
      </c>
      <c r="O2822" s="87">
        <v>62</v>
      </c>
      <c r="P2822" s="173" t="s">
        <v>27</v>
      </c>
      <c r="Q2822" s="1" t="s">
        <v>1343</v>
      </c>
      <c r="R2822" s="175">
        <v>3</v>
      </c>
      <c r="S2822">
        <v>3</v>
      </c>
    </row>
    <row r="2823" spans="1:19" x14ac:dyDescent="0.25">
      <c r="A2823" s="87">
        <v>2019</v>
      </c>
      <c r="B2823" s="87">
        <v>11</v>
      </c>
      <c r="C2823" s="173" t="s">
        <v>16</v>
      </c>
      <c r="D2823" s="173" t="s">
        <v>229</v>
      </c>
      <c r="E2823" s="173" t="s">
        <v>24</v>
      </c>
      <c r="F2823" s="173" t="s">
        <v>16</v>
      </c>
      <c r="G2823" s="87" t="b">
        <v>1</v>
      </c>
      <c r="H2823" s="87" t="b">
        <v>0</v>
      </c>
      <c r="I2823" s="87" t="b">
        <v>0</v>
      </c>
      <c r="J2823" s="173" t="s">
        <v>450</v>
      </c>
      <c r="K2823" s="174">
        <v>61213674000240</v>
      </c>
      <c r="L2823" s="173" t="s">
        <v>629</v>
      </c>
      <c r="M2823" s="173" t="s">
        <v>29</v>
      </c>
      <c r="N2823" s="173" t="s">
        <v>19</v>
      </c>
      <c r="O2823" s="87">
        <v>62</v>
      </c>
      <c r="P2823" s="173" t="s">
        <v>27</v>
      </c>
      <c r="Q2823" s="1" t="s">
        <v>1343</v>
      </c>
      <c r="R2823" s="175">
        <v>13</v>
      </c>
      <c r="S2823">
        <v>13</v>
      </c>
    </row>
    <row r="2824" spans="1:19" x14ac:dyDescent="0.25">
      <c r="A2824" s="87">
        <v>2019</v>
      </c>
      <c r="B2824" s="87">
        <v>11</v>
      </c>
      <c r="C2824" s="173" t="s">
        <v>16</v>
      </c>
      <c r="D2824" s="173" t="s">
        <v>229</v>
      </c>
      <c r="E2824" s="173" t="s">
        <v>24</v>
      </c>
      <c r="F2824" s="173" t="s">
        <v>16</v>
      </c>
      <c r="G2824" s="87" t="b">
        <v>1</v>
      </c>
      <c r="H2824" s="87" t="b">
        <v>0</v>
      </c>
      <c r="I2824" s="87" t="b">
        <v>0</v>
      </c>
      <c r="J2824" s="173" t="s">
        <v>463</v>
      </c>
      <c r="K2824" s="174">
        <v>61213674000240</v>
      </c>
      <c r="L2824" s="173" t="s">
        <v>629</v>
      </c>
      <c r="M2824" s="173" t="s">
        <v>29</v>
      </c>
      <c r="N2824" s="173" t="s">
        <v>19</v>
      </c>
      <c r="O2824" s="87">
        <v>64</v>
      </c>
      <c r="P2824" s="173" t="s">
        <v>25</v>
      </c>
      <c r="Q2824" s="1" t="s">
        <v>1344</v>
      </c>
      <c r="R2824" s="175">
        <v>5</v>
      </c>
      <c r="S2824">
        <v>5</v>
      </c>
    </row>
    <row r="2825" spans="1:19" x14ac:dyDescent="0.25">
      <c r="A2825" s="87">
        <v>2019</v>
      </c>
      <c r="B2825" s="87">
        <v>11</v>
      </c>
      <c r="C2825" s="173" t="s">
        <v>16</v>
      </c>
      <c r="D2825" s="173" t="s">
        <v>229</v>
      </c>
      <c r="E2825" s="173" t="s">
        <v>24</v>
      </c>
      <c r="F2825" s="173" t="s">
        <v>16</v>
      </c>
      <c r="G2825" s="87" t="b">
        <v>1</v>
      </c>
      <c r="H2825" s="87" t="b">
        <v>0</v>
      </c>
      <c r="I2825" s="87" t="b">
        <v>0</v>
      </c>
      <c r="J2825" s="173" t="s">
        <v>450</v>
      </c>
      <c r="K2825" s="174">
        <v>61213674000240</v>
      </c>
      <c r="L2825" s="173" t="s">
        <v>629</v>
      </c>
      <c r="M2825" s="173" t="s">
        <v>29</v>
      </c>
      <c r="N2825" s="173" t="s">
        <v>19</v>
      </c>
      <c r="O2825" s="87">
        <v>73</v>
      </c>
      <c r="P2825" s="173" t="s">
        <v>26</v>
      </c>
      <c r="Q2825" s="1" t="s">
        <v>1339</v>
      </c>
      <c r="R2825" s="175">
        <v>18</v>
      </c>
      <c r="S2825">
        <v>9</v>
      </c>
    </row>
    <row r="2826" spans="1:19" x14ac:dyDescent="0.25">
      <c r="A2826" s="87">
        <v>2019</v>
      </c>
      <c r="B2826" s="87">
        <v>11</v>
      </c>
      <c r="C2826" s="173" t="s">
        <v>16</v>
      </c>
      <c r="D2826" s="173" t="s">
        <v>229</v>
      </c>
      <c r="E2826" s="173" t="s">
        <v>24</v>
      </c>
      <c r="F2826" s="173" t="s">
        <v>16</v>
      </c>
      <c r="G2826" s="87" t="b">
        <v>1</v>
      </c>
      <c r="H2826" s="87" t="b">
        <v>0</v>
      </c>
      <c r="I2826" s="87" t="b">
        <v>0</v>
      </c>
      <c r="J2826" s="173" t="s">
        <v>450</v>
      </c>
      <c r="K2826" s="174">
        <v>61213674000240</v>
      </c>
      <c r="L2826" s="173" t="s">
        <v>629</v>
      </c>
      <c r="M2826" s="173" t="s">
        <v>29</v>
      </c>
      <c r="N2826" s="173" t="s">
        <v>19</v>
      </c>
      <c r="O2826" s="87">
        <v>73</v>
      </c>
      <c r="P2826" s="173" t="s">
        <v>26</v>
      </c>
      <c r="Q2826" s="1" t="s">
        <v>1342</v>
      </c>
      <c r="R2826" s="175">
        <v>56</v>
      </c>
      <c r="S2826">
        <v>14</v>
      </c>
    </row>
    <row r="2827" spans="1:19" x14ac:dyDescent="0.25">
      <c r="A2827" s="87">
        <v>2019</v>
      </c>
      <c r="B2827" s="87">
        <v>11</v>
      </c>
      <c r="C2827" s="173" t="s">
        <v>16</v>
      </c>
      <c r="D2827" s="173" t="s">
        <v>229</v>
      </c>
      <c r="E2827" s="173" t="s">
        <v>24</v>
      </c>
      <c r="F2827" s="173" t="s">
        <v>16</v>
      </c>
      <c r="G2827" s="87" t="b">
        <v>1</v>
      </c>
      <c r="H2827" s="87" t="b">
        <v>0</v>
      </c>
      <c r="I2827" s="87" t="b">
        <v>0</v>
      </c>
      <c r="J2827" s="173" t="s">
        <v>450</v>
      </c>
      <c r="K2827" s="174">
        <v>61213674000240</v>
      </c>
      <c r="L2827" s="173" t="s">
        <v>629</v>
      </c>
      <c r="M2827" s="173" t="s">
        <v>29</v>
      </c>
      <c r="N2827" s="173" t="s">
        <v>19</v>
      </c>
      <c r="O2827" s="87">
        <v>73</v>
      </c>
      <c r="P2827" s="173" t="s">
        <v>26</v>
      </c>
      <c r="Q2827" s="1" t="s">
        <v>1340</v>
      </c>
      <c r="R2827" s="175">
        <v>9</v>
      </c>
      <c r="S2827">
        <v>9</v>
      </c>
    </row>
    <row r="2828" spans="1:19" x14ac:dyDescent="0.25">
      <c r="A2828" s="87">
        <v>2019</v>
      </c>
      <c r="B2828" s="87">
        <v>11</v>
      </c>
      <c r="C2828" s="173" t="s">
        <v>16</v>
      </c>
      <c r="D2828" s="173" t="s">
        <v>229</v>
      </c>
      <c r="E2828" s="173" t="s">
        <v>24</v>
      </c>
      <c r="F2828" s="173" t="s">
        <v>16</v>
      </c>
      <c r="G2828" s="87" t="b">
        <v>1</v>
      </c>
      <c r="H2828" s="87" t="b">
        <v>0</v>
      </c>
      <c r="I2828" s="87" t="b">
        <v>0</v>
      </c>
      <c r="J2828" s="173" t="s">
        <v>463</v>
      </c>
      <c r="K2828" s="174">
        <v>61213674000240</v>
      </c>
      <c r="L2828" s="173" t="s">
        <v>629</v>
      </c>
      <c r="M2828" s="173" t="s">
        <v>29</v>
      </c>
      <c r="N2828" s="173" t="s">
        <v>19</v>
      </c>
      <c r="O2828" s="87">
        <v>73</v>
      </c>
      <c r="P2828" s="173" t="s">
        <v>26</v>
      </c>
      <c r="Q2828" s="1" t="s">
        <v>1342</v>
      </c>
      <c r="R2828" s="175">
        <v>24</v>
      </c>
      <c r="S2828">
        <v>6</v>
      </c>
    </row>
    <row r="2829" spans="1:19" x14ac:dyDescent="0.25">
      <c r="A2829" s="87">
        <v>2019</v>
      </c>
      <c r="B2829" s="87">
        <v>11</v>
      </c>
      <c r="C2829" s="173" t="s">
        <v>16</v>
      </c>
      <c r="D2829" s="173" t="s">
        <v>229</v>
      </c>
      <c r="E2829" s="173" t="s">
        <v>24</v>
      </c>
      <c r="F2829" s="173" t="s">
        <v>16</v>
      </c>
      <c r="G2829" s="87" t="b">
        <v>1</v>
      </c>
      <c r="H2829" s="87" t="b">
        <v>0</v>
      </c>
      <c r="I2829" s="87" t="b">
        <v>0</v>
      </c>
      <c r="J2829" s="173" t="s">
        <v>463</v>
      </c>
      <c r="K2829" s="174">
        <v>61213674000240</v>
      </c>
      <c r="L2829" s="173" t="s">
        <v>629</v>
      </c>
      <c r="M2829" s="173" t="s">
        <v>29</v>
      </c>
      <c r="N2829" s="173" t="s">
        <v>19</v>
      </c>
      <c r="O2829" s="87">
        <v>73</v>
      </c>
      <c r="P2829" s="173" t="s">
        <v>26</v>
      </c>
      <c r="Q2829" s="1" t="s">
        <v>1340</v>
      </c>
      <c r="R2829" s="175">
        <v>3</v>
      </c>
      <c r="S2829">
        <v>3</v>
      </c>
    </row>
    <row r="2830" spans="1:19" x14ac:dyDescent="0.25">
      <c r="A2830" s="87">
        <v>2019</v>
      </c>
      <c r="B2830" s="87">
        <v>11</v>
      </c>
      <c r="C2830" s="173" t="s">
        <v>16</v>
      </c>
      <c r="D2830" s="173" t="s">
        <v>229</v>
      </c>
      <c r="E2830" s="173" t="s">
        <v>24</v>
      </c>
      <c r="F2830" s="173" t="s">
        <v>16</v>
      </c>
      <c r="G2830" s="87" t="b">
        <v>1</v>
      </c>
      <c r="H2830" s="87" t="b">
        <v>0</v>
      </c>
      <c r="I2830" s="87" t="b">
        <v>0</v>
      </c>
      <c r="J2830" s="173" t="s">
        <v>1330</v>
      </c>
      <c r="K2830" s="174">
        <v>61590410000124</v>
      </c>
      <c r="L2830" s="173" t="s">
        <v>630</v>
      </c>
      <c r="M2830" s="173" t="s">
        <v>29</v>
      </c>
      <c r="N2830" s="173" t="s">
        <v>19</v>
      </c>
      <c r="O2830" s="87">
        <v>62</v>
      </c>
      <c r="P2830" s="173" t="s">
        <v>27</v>
      </c>
      <c r="Q2830" s="1" t="s">
        <v>1343</v>
      </c>
      <c r="R2830" s="175">
        <v>4</v>
      </c>
      <c r="S2830">
        <v>4</v>
      </c>
    </row>
    <row r="2831" spans="1:19" x14ac:dyDescent="0.25">
      <c r="A2831" s="87">
        <v>2019</v>
      </c>
      <c r="B2831" s="87">
        <v>11</v>
      </c>
      <c r="C2831" s="173" t="s">
        <v>16</v>
      </c>
      <c r="D2831" s="173" t="s">
        <v>229</v>
      </c>
      <c r="E2831" s="173" t="s">
        <v>24</v>
      </c>
      <c r="F2831" s="173" t="s">
        <v>16</v>
      </c>
      <c r="G2831" s="87" t="b">
        <v>1</v>
      </c>
      <c r="H2831" s="87" t="b">
        <v>0</v>
      </c>
      <c r="I2831" s="87" t="b">
        <v>0</v>
      </c>
      <c r="J2831" s="173" t="s">
        <v>1330</v>
      </c>
      <c r="K2831" s="174">
        <v>61590410000124</v>
      </c>
      <c r="L2831" s="173" t="s">
        <v>630</v>
      </c>
      <c r="M2831" s="173" t="s">
        <v>29</v>
      </c>
      <c r="N2831" s="173" t="s">
        <v>19</v>
      </c>
      <c r="O2831" s="87">
        <v>64</v>
      </c>
      <c r="P2831" s="173" t="s">
        <v>25</v>
      </c>
      <c r="Q2831" s="1" t="s">
        <v>1344</v>
      </c>
      <c r="R2831" s="175">
        <v>20</v>
      </c>
      <c r="S2831">
        <v>20</v>
      </c>
    </row>
    <row r="2832" spans="1:19" x14ac:dyDescent="0.25">
      <c r="A2832" s="87">
        <v>2019</v>
      </c>
      <c r="B2832" s="87">
        <v>11</v>
      </c>
      <c r="C2832" s="173" t="s">
        <v>16</v>
      </c>
      <c r="D2832" s="173" t="s">
        <v>229</v>
      </c>
      <c r="E2832" s="173" t="s">
        <v>24</v>
      </c>
      <c r="F2832" s="173" t="s">
        <v>16</v>
      </c>
      <c r="G2832" s="87" t="b">
        <v>1</v>
      </c>
      <c r="H2832" s="87" t="b">
        <v>0</v>
      </c>
      <c r="I2832" s="87" t="b">
        <v>0</v>
      </c>
      <c r="J2832" s="173" t="s">
        <v>1330</v>
      </c>
      <c r="K2832" s="174">
        <v>61599908000158</v>
      </c>
      <c r="L2832" s="173" t="s">
        <v>631</v>
      </c>
      <c r="M2832" s="173" t="s">
        <v>29</v>
      </c>
      <c r="N2832" s="173" t="s">
        <v>19</v>
      </c>
      <c r="O2832" s="87">
        <v>62</v>
      </c>
      <c r="P2832" s="173" t="s">
        <v>27</v>
      </c>
      <c r="Q2832" s="1" t="s">
        <v>1343</v>
      </c>
      <c r="R2832" s="175">
        <v>168</v>
      </c>
      <c r="S2832">
        <v>168</v>
      </c>
    </row>
    <row r="2833" spans="1:19" x14ac:dyDescent="0.25">
      <c r="A2833" s="87">
        <v>2019</v>
      </c>
      <c r="B2833" s="87">
        <v>11</v>
      </c>
      <c r="C2833" s="173" t="s">
        <v>16</v>
      </c>
      <c r="D2833" s="173" t="s">
        <v>229</v>
      </c>
      <c r="E2833" s="173" t="s">
        <v>24</v>
      </c>
      <c r="F2833" s="173" t="s">
        <v>16</v>
      </c>
      <c r="G2833" s="87" t="b">
        <v>1</v>
      </c>
      <c r="H2833" s="87" t="b">
        <v>0</v>
      </c>
      <c r="I2833" s="87" t="b">
        <v>0</v>
      </c>
      <c r="J2833" s="173" t="s">
        <v>1330</v>
      </c>
      <c r="K2833" s="174">
        <v>61599908000158</v>
      </c>
      <c r="L2833" s="173" t="s">
        <v>631</v>
      </c>
      <c r="M2833" s="173" t="s">
        <v>29</v>
      </c>
      <c r="N2833" s="173" t="s">
        <v>19</v>
      </c>
      <c r="O2833" s="87">
        <v>64</v>
      </c>
      <c r="P2833" s="173" t="s">
        <v>25</v>
      </c>
      <c r="Q2833" s="1" t="s">
        <v>1344</v>
      </c>
      <c r="R2833" s="175">
        <v>180</v>
      </c>
      <c r="S2833">
        <v>180</v>
      </c>
    </row>
    <row r="2834" spans="1:19" x14ac:dyDescent="0.25">
      <c r="A2834" s="87">
        <v>2019</v>
      </c>
      <c r="B2834" s="87">
        <v>11</v>
      </c>
      <c r="C2834" s="173" t="s">
        <v>16</v>
      </c>
      <c r="D2834" s="173" t="s">
        <v>229</v>
      </c>
      <c r="E2834" s="173" t="s">
        <v>24</v>
      </c>
      <c r="F2834" s="173" t="s">
        <v>16</v>
      </c>
      <c r="G2834" s="87" t="b">
        <v>1</v>
      </c>
      <c r="H2834" s="87" t="b">
        <v>0</v>
      </c>
      <c r="I2834" s="87" t="b">
        <v>0</v>
      </c>
      <c r="J2834" s="173" t="s">
        <v>450</v>
      </c>
      <c r="K2834" s="174">
        <v>61699567000869</v>
      </c>
      <c r="L2834" s="173" t="s">
        <v>1233</v>
      </c>
      <c r="M2834" s="173" t="s">
        <v>710</v>
      </c>
      <c r="N2834" s="173" t="s">
        <v>19</v>
      </c>
      <c r="O2834" s="87">
        <v>70</v>
      </c>
      <c r="P2834" s="173" t="s">
        <v>20</v>
      </c>
      <c r="Q2834" s="1" t="s">
        <v>1338</v>
      </c>
      <c r="R2834" s="175">
        <v>160</v>
      </c>
      <c r="S2834">
        <v>32</v>
      </c>
    </row>
    <row r="2835" spans="1:19" x14ac:dyDescent="0.25">
      <c r="A2835" s="87">
        <v>2019</v>
      </c>
      <c r="B2835" s="87">
        <v>11</v>
      </c>
      <c r="C2835" s="173" t="s">
        <v>16</v>
      </c>
      <c r="D2835" s="173" t="s">
        <v>229</v>
      </c>
      <c r="E2835" s="173" t="s">
        <v>24</v>
      </c>
      <c r="F2835" s="173" t="s">
        <v>16</v>
      </c>
      <c r="G2835" s="87" t="b">
        <v>1</v>
      </c>
      <c r="H2835" s="87" t="b">
        <v>0</v>
      </c>
      <c r="I2835" s="87" t="b">
        <v>0</v>
      </c>
      <c r="J2835" s="173" t="s">
        <v>450</v>
      </c>
      <c r="K2835" s="174">
        <v>61699567008924</v>
      </c>
      <c r="L2835" s="173" t="s">
        <v>1234</v>
      </c>
      <c r="M2835" s="173" t="s">
        <v>1213</v>
      </c>
      <c r="N2835" s="173" t="s">
        <v>19</v>
      </c>
      <c r="O2835" s="87">
        <v>70</v>
      </c>
      <c r="P2835" s="173" t="s">
        <v>20</v>
      </c>
      <c r="Q2835" s="1" t="s">
        <v>1338</v>
      </c>
      <c r="R2835" s="175">
        <v>30</v>
      </c>
      <c r="S2835">
        <v>6</v>
      </c>
    </row>
    <row r="2836" spans="1:19" x14ac:dyDescent="0.25">
      <c r="A2836" s="87">
        <v>2019</v>
      </c>
      <c r="B2836" s="87">
        <v>11</v>
      </c>
      <c r="C2836" s="173" t="s">
        <v>16</v>
      </c>
      <c r="D2836" s="173" t="s">
        <v>229</v>
      </c>
      <c r="E2836" s="173" t="s">
        <v>24</v>
      </c>
      <c r="F2836" s="173" t="s">
        <v>16</v>
      </c>
      <c r="G2836" s="87" t="b">
        <v>1</v>
      </c>
      <c r="H2836" s="87" t="b">
        <v>0</v>
      </c>
      <c r="I2836" s="87" t="b">
        <v>0</v>
      </c>
      <c r="J2836" s="173" t="s">
        <v>477</v>
      </c>
      <c r="K2836" s="174">
        <v>68709211000212</v>
      </c>
      <c r="L2836" s="173" t="s">
        <v>1066</v>
      </c>
      <c r="M2836" s="173" t="s">
        <v>92</v>
      </c>
      <c r="N2836" s="173" t="s">
        <v>61</v>
      </c>
      <c r="O2836" s="87">
        <v>70</v>
      </c>
      <c r="P2836" s="173" t="s">
        <v>20</v>
      </c>
      <c r="Q2836" s="1" t="s">
        <v>1345</v>
      </c>
      <c r="R2836" s="175">
        <v>440</v>
      </c>
      <c r="S2836">
        <v>44</v>
      </c>
    </row>
    <row r="2837" spans="1:19" x14ac:dyDescent="0.25">
      <c r="A2837" s="87">
        <v>2019</v>
      </c>
      <c r="B2837" s="87">
        <v>11</v>
      </c>
      <c r="C2837" s="173" t="s">
        <v>16</v>
      </c>
      <c r="D2837" s="173" t="s">
        <v>229</v>
      </c>
      <c r="E2837" s="173" t="s">
        <v>24</v>
      </c>
      <c r="F2837" s="173" t="s">
        <v>16</v>
      </c>
      <c r="G2837" s="87" t="b">
        <v>1</v>
      </c>
      <c r="H2837" s="87" t="b">
        <v>0</v>
      </c>
      <c r="I2837" s="87" t="b">
        <v>0</v>
      </c>
      <c r="J2837" s="173" t="s">
        <v>477</v>
      </c>
      <c r="K2837" s="174">
        <v>68709211000212</v>
      </c>
      <c r="L2837" s="173" t="s">
        <v>1066</v>
      </c>
      <c r="M2837" s="173" t="s">
        <v>92</v>
      </c>
      <c r="N2837" s="173" t="s">
        <v>61</v>
      </c>
      <c r="O2837" s="87">
        <v>70</v>
      </c>
      <c r="P2837" s="173" t="s">
        <v>20</v>
      </c>
      <c r="Q2837" s="1" t="s">
        <v>1338</v>
      </c>
      <c r="R2837" s="175">
        <v>35</v>
      </c>
      <c r="S2837">
        <v>7</v>
      </c>
    </row>
    <row r="2838" spans="1:19" x14ac:dyDescent="0.25">
      <c r="A2838" s="87">
        <v>2019</v>
      </c>
      <c r="B2838" s="87">
        <v>11</v>
      </c>
      <c r="C2838" s="173" t="s">
        <v>16</v>
      </c>
      <c r="D2838" s="173" t="s">
        <v>229</v>
      </c>
      <c r="E2838" s="173" t="s">
        <v>24</v>
      </c>
      <c r="F2838" s="173" t="s">
        <v>16</v>
      </c>
      <c r="G2838" s="87" t="b">
        <v>1</v>
      </c>
      <c r="H2838" s="87" t="b">
        <v>0</v>
      </c>
      <c r="I2838" s="87" t="b">
        <v>0</v>
      </c>
      <c r="J2838" s="173" t="s">
        <v>451</v>
      </c>
      <c r="K2838" s="174">
        <v>72101124000506</v>
      </c>
      <c r="L2838" s="173" t="s">
        <v>1126</v>
      </c>
      <c r="M2838" s="173" t="s">
        <v>131</v>
      </c>
      <c r="N2838" s="173" t="s">
        <v>61</v>
      </c>
      <c r="O2838" s="87">
        <v>70</v>
      </c>
      <c r="P2838" s="173" t="s">
        <v>20</v>
      </c>
      <c r="Q2838" s="1" t="s">
        <v>1338</v>
      </c>
      <c r="R2838" s="175">
        <v>280</v>
      </c>
      <c r="S2838">
        <v>56</v>
      </c>
    </row>
    <row r="2839" spans="1:19" x14ac:dyDescent="0.25">
      <c r="A2839" s="87">
        <v>2019</v>
      </c>
      <c r="B2839" s="87">
        <v>11</v>
      </c>
      <c r="C2839" s="173" t="s">
        <v>16</v>
      </c>
      <c r="D2839" s="173" t="s">
        <v>229</v>
      </c>
      <c r="E2839" s="173" t="s">
        <v>24</v>
      </c>
      <c r="F2839" s="173" t="s">
        <v>16</v>
      </c>
      <c r="G2839" s="87" t="b">
        <v>1</v>
      </c>
      <c r="H2839" s="87" t="b">
        <v>0</v>
      </c>
      <c r="I2839" s="87" t="b">
        <v>0</v>
      </c>
      <c r="J2839" s="173" t="s">
        <v>451</v>
      </c>
      <c r="K2839" s="174">
        <v>72101124000506</v>
      </c>
      <c r="L2839" s="173" t="s">
        <v>1126</v>
      </c>
      <c r="M2839" s="173" t="s">
        <v>131</v>
      </c>
      <c r="N2839" s="173" t="s">
        <v>61</v>
      </c>
      <c r="O2839" s="87">
        <v>73</v>
      </c>
      <c r="P2839" s="173" t="s">
        <v>26</v>
      </c>
      <c r="Q2839" s="1" t="s">
        <v>1339</v>
      </c>
      <c r="R2839" s="175">
        <v>6</v>
      </c>
      <c r="S2839">
        <v>3</v>
      </c>
    </row>
    <row r="2840" spans="1:19" x14ac:dyDescent="0.25">
      <c r="A2840" s="87">
        <v>2019</v>
      </c>
      <c r="B2840" s="87">
        <v>11</v>
      </c>
      <c r="C2840" s="173" t="s">
        <v>16</v>
      </c>
      <c r="D2840" s="173" t="s">
        <v>229</v>
      </c>
      <c r="E2840" s="173" t="s">
        <v>24</v>
      </c>
      <c r="F2840" s="173" t="s">
        <v>16</v>
      </c>
      <c r="G2840" s="87" t="b">
        <v>1</v>
      </c>
      <c r="H2840" s="87" t="b">
        <v>0</v>
      </c>
      <c r="I2840" s="87" t="b">
        <v>0</v>
      </c>
      <c r="J2840" s="173" t="s">
        <v>451</v>
      </c>
      <c r="K2840" s="174">
        <v>72101124000506</v>
      </c>
      <c r="L2840" s="173" t="s">
        <v>1126</v>
      </c>
      <c r="M2840" s="173" t="s">
        <v>131</v>
      </c>
      <c r="N2840" s="173" t="s">
        <v>61</v>
      </c>
      <c r="O2840" s="87">
        <v>73</v>
      </c>
      <c r="P2840" s="173" t="s">
        <v>26</v>
      </c>
      <c r="Q2840" s="1" t="s">
        <v>1342</v>
      </c>
      <c r="R2840" s="175">
        <v>48</v>
      </c>
      <c r="S2840">
        <v>12</v>
      </c>
    </row>
    <row r="2841" spans="1:19" x14ac:dyDescent="0.25">
      <c r="A2841" s="87">
        <v>2019</v>
      </c>
      <c r="B2841" s="87">
        <v>11</v>
      </c>
      <c r="C2841" s="173" t="s">
        <v>16</v>
      </c>
      <c r="D2841" s="173" t="s">
        <v>229</v>
      </c>
      <c r="E2841" s="173" t="s">
        <v>24</v>
      </c>
      <c r="F2841" s="173" t="s">
        <v>16</v>
      </c>
      <c r="G2841" s="87" t="b">
        <v>1</v>
      </c>
      <c r="H2841" s="87" t="b">
        <v>0</v>
      </c>
      <c r="I2841" s="87" t="b">
        <v>0</v>
      </c>
      <c r="J2841" s="173" t="s">
        <v>451</v>
      </c>
      <c r="K2841" s="174">
        <v>72101124000506</v>
      </c>
      <c r="L2841" s="173" t="s">
        <v>1126</v>
      </c>
      <c r="M2841" s="173" t="s">
        <v>131</v>
      </c>
      <c r="N2841" s="173" t="s">
        <v>61</v>
      </c>
      <c r="O2841" s="87">
        <v>73</v>
      </c>
      <c r="P2841" s="173" t="s">
        <v>26</v>
      </c>
      <c r="Q2841" s="1" t="s">
        <v>1340</v>
      </c>
      <c r="R2841" s="175">
        <v>1</v>
      </c>
      <c r="S2841">
        <v>1</v>
      </c>
    </row>
    <row r="2842" spans="1:19" x14ac:dyDescent="0.25">
      <c r="A2842" s="87">
        <v>2019</v>
      </c>
      <c r="B2842" s="87">
        <v>11</v>
      </c>
      <c r="C2842" s="173" t="s">
        <v>16</v>
      </c>
      <c r="D2842" s="173" t="s">
        <v>229</v>
      </c>
      <c r="E2842" s="173" t="s">
        <v>24</v>
      </c>
      <c r="F2842" s="173" t="s">
        <v>16</v>
      </c>
      <c r="G2842" s="87" t="b">
        <v>1</v>
      </c>
      <c r="H2842" s="87" t="b">
        <v>0</v>
      </c>
      <c r="I2842" s="87" t="b">
        <v>0</v>
      </c>
      <c r="J2842" s="173" t="s">
        <v>464</v>
      </c>
      <c r="K2842" s="174">
        <v>72576143000157</v>
      </c>
      <c r="L2842" s="173" t="s">
        <v>1235</v>
      </c>
      <c r="M2842" s="173" t="s">
        <v>739</v>
      </c>
      <c r="N2842" s="173" t="s">
        <v>55</v>
      </c>
      <c r="O2842" s="87">
        <v>64</v>
      </c>
      <c r="P2842" s="173" t="s">
        <v>25</v>
      </c>
      <c r="Q2842" s="1" t="s">
        <v>1344</v>
      </c>
      <c r="R2842" s="175">
        <v>6</v>
      </c>
      <c r="S2842">
        <v>6</v>
      </c>
    </row>
    <row r="2843" spans="1:19" x14ac:dyDescent="0.25">
      <c r="A2843" s="87">
        <v>2019</v>
      </c>
      <c r="B2843" s="87">
        <v>11</v>
      </c>
      <c r="C2843" s="173" t="s">
        <v>16</v>
      </c>
      <c r="D2843" s="173" t="s">
        <v>229</v>
      </c>
      <c r="E2843" s="173" t="s">
        <v>24</v>
      </c>
      <c r="F2843" s="173" t="s">
        <v>16</v>
      </c>
      <c r="G2843" s="87" t="b">
        <v>1</v>
      </c>
      <c r="H2843" s="87" t="b">
        <v>0</v>
      </c>
      <c r="I2843" s="87" t="b">
        <v>0</v>
      </c>
      <c r="J2843" s="173" t="s">
        <v>455</v>
      </c>
      <c r="K2843" s="174">
        <v>72576143000157</v>
      </c>
      <c r="L2843" s="173" t="s">
        <v>1235</v>
      </c>
      <c r="M2843" s="173" t="s">
        <v>739</v>
      </c>
      <c r="N2843" s="173" t="s">
        <v>55</v>
      </c>
      <c r="O2843" s="87">
        <v>64</v>
      </c>
      <c r="P2843" s="173" t="s">
        <v>25</v>
      </c>
      <c r="Q2843" s="1" t="s">
        <v>1344</v>
      </c>
      <c r="R2843" s="175">
        <v>14</v>
      </c>
      <c r="S2843">
        <v>14</v>
      </c>
    </row>
    <row r="2844" spans="1:19" x14ac:dyDescent="0.25">
      <c r="A2844" s="87">
        <v>2019</v>
      </c>
      <c r="B2844" s="87">
        <v>11</v>
      </c>
      <c r="C2844" s="173" t="s">
        <v>16</v>
      </c>
      <c r="D2844" s="173" t="s">
        <v>229</v>
      </c>
      <c r="E2844" s="173" t="s">
        <v>24</v>
      </c>
      <c r="F2844" s="173" t="s">
        <v>16</v>
      </c>
      <c r="G2844" s="87" t="b">
        <v>1</v>
      </c>
      <c r="H2844" s="87" t="b">
        <v>0</v>
      </c>
      <c r="I2844" s="87" t="b">
        <v>0</v>
      </c>
      <c r="J2844" s="173" t="s">
        <v>1512</v>
      </c>
      <c r="K2844" s="174">
        <v>73696718000219</v>
      </c>
      <c r="L2844" s="173" t="s">
        <v>1127</v>
      </c>
      <c r="M2844" s="173" t="s">
        <v>131</v>
      </c>
      <c r="N2844" s="173" t="s">
        <v>61</v>
      </c>
      <c r="O2844" s="87">
        <v>62</v>
      </c>
      <c r="P2844" s="173" t="s">
        <v>27</v>
      </c>
      <c r="Q2844" s="1" t="s">
        <v>1343</v>
      </c>
      <c r="R2844" s="175">
        <v>8</v>
      </c>
      <c r="S2844">
        <v>8</v>
      </c>
    </row>
    <row r="2845" spans="1:19" x14ac:dyDescent="0.25">
      <c r="A2845" s="87">
        <v>2019</v>
      </c>
      <c r="B2845" s="87">
        <v>11</v>
      </c>
      <c r="C2845" s="173" t="s">
        <v>16</v>
      </c>
      <c r="D2845" s="173" t="s">
        <v>229</v>
      </c>
      <c r="E2845" s="173" t="s">
        <v>24</v>
      </c>
      <c r="F2845" s="173" t="s">
        <v>16</v>
      </c>
      <c r="G2845" s="87" t="b">
        <v>1</v>
      </c>
      <c r="H2845" s="87" t="b">
        <v>0</v>
      </c>
      <c r="I2845" s="87" t="b">
        <v>0</v>
      </c>
      <c r="J2845" s="173" t="s">
        <v>477</v>
      </c>
      <c r="K2845" s="174">
        <v>73696718000219</v>
      </c>
      <c r="L2845" s="173" t="s">
        <v>1127</v>
      </c>
      <c r="M2845" s="173" t="s">
        <v>131</v>
      </c>
      <c r="N2845" s="173" t="s">
        <v>61</v>
      </c>
      <c r="O2845" s="87">
        <v>64</v>
      </c>
      <c r="P2845" s="173" t="s">
        <v>25</v>
      </c>
      <c r="Q2845" s="1" t="s">
        <v>1344</v>
      </c>
      <c r="R2845" s="175">
        <v>4</v>
      </c>
      <c r="S2845">
        <v>4</v>
      </c>
    </row>
    <row r="2846" spans="1:19" x14ac:dyDescent="0.25">
      <c r="A2846" s="87">
        <v>2019</v>
      </c>
      <c r="B2846" s="87">
        <v>11</v>
      </c>
      <c r="C2846" s="173" t="s">
        <v>16</v>
      </c>
      <c r="D2846" s="173" t="s">
        <v>229</v>
      </c>
      <c r="E2846" s="173" t="s">
        <v>24</v>
      </c>
      <c r="F2846" s="173" t="s">
        <v>16</v>
      </c>
      <c r="G2846" s="87" t="b">
        <v>1</v>
      </c>
      <c r="H2846" s="87" t="b">
        <v>0</v>
      </c>
      <c r="I2846" s="87" t="b">
        <v>0</v>
      </c>
      <c r="J2846" s="173" t="s">
        <v>1512</v>
      </c>
      <c r="K2846" s="174">
        <v>73696718000219</v>
      </c>
      <c r="L2846" s="173" t="s">
        <v>1127</v>
      </c>
      <c r="M2846" s="173" t="s">
        <v>131</v>
      </c>
      <c r="N2846" s="173" t="s">
        <v>61</v>
      </c>
      <c r="O2846" s="87">
        <v>64</v>
      </c>
      <c r="P2846" s="173" t="s">
        <v>25</v>
      </c>
      <c r="Q2846" s="1" t="s">
        <v>1344</v>
      </c>
      <c r="R2846" s="175">
        <v>1</v>
      </c>
      <c r="S2846">
        <v>1</v>
      </c>
    </row>
    <row r="2847" spans="1:19" x14ac:dyDescent="0.25">
      <c r="A2847" s="87">
        <v>2019</v>
      </c>
      <c r="B2847" s="87">
        <v>11</v>
      </c>
      <c r="C2847" s="173" t="s">
        <v>16</v>
      </c>
      <c r="D2847" s="173" t="s">
        <v>229</v>
      </c>
      <c r="E2847" s="173" t="s">
        <v>24</v>
      </c>
      <c r="F2847" s="173" t="s">
        <v>16</v>
      </c>
      <c r="G2847" s="87" t="b">
        <v>1</v>
      </c>
      <c r="H2847" s="87" t="b">
        <v>0</v>
      </c>
      <c r="I2847" s="87" t="b">
        <v>0</v>
      </c>
      <c r="J2847" s="173" t="s">
        <v>1330</v>
      </c>
      <c r="K2847" s="174">
        <v>74031865000151</v>
      </c>
      <c r="L2847" s="173" t="s">
        <v>926</v>
      </c>
      <c r="M2847" s="173" t="s">
        <v>76</v>
      </c>
      <c r="N2847" s="173" t="s">
        <v>77</v>
      </c>
      <c r="O2847" s="87">
        <v>62</v>
      </c>
      <c r="P2847" s="173" t="s">
        <v>27</v>
      </c>
      <c r="Q2847" s="1" t="s">
        <v>1343</v>
      </c>
      <c r="R2847" s="175">
        <v>390</v>
      </c>
      <c r="S2847">
        <v>390</v>
      </c>
    </row>
    <row r="2848" spans="1:19" x14ac:dyDescent="0.25">
      <c r="A2848" s="87">
        <v>2019</v>
      </c>
      <c r="B2848" s="87">
        <v>11</v>
      </c>
      <c r="C2848" s="173" t="s">
        <v>16</v>
      </c>
      <c r="D2848" s="173" t="s">
        <v>229</v>
      </c>
      <c r="E2848" s="173" t="s">
        <v>24</v>
      </c>
      <c r="F2848" s="173" t="s">
        <v>16</v>
      </c>
      <c r="G2848" s="87" t="b">
        <v>1</v>
      </c>
      <c r="H2848" s="87" t="b">
        <v>0</v>
      </c>
      <c r="I2848" s="87" t="b">
        <v>0</v>
      </c>
      <c r="J2848" s="173" t="s">
        <v>452</v>
      </c>
      <c r="K2848" s="174">
        <v>75055772002254</v>
      </c>
      <c r="L2848" s="173" t="s">
        <v>979</v>
      </c>
      <c r="M2848" s="173" t="s">
        <v>94</v>
      </c>
      <c r="N2848" s="173" t="s">
        <v>57</v>
      </c>
      <c r="O2848" s="87">
        <v>70</v>
      </c>
      <c r="P2848" s="173" t="s">
        <v>20</v>
      </c>
      <c r="Q2848" s="1" t="s">
        <v>1338</v>
      </c>
      <c r="R2848" s="175">
        <v>120</v>
      </c>
      <c r="S2848">
        <v>24</v>
      </c>
    </row>
    <row r="2849" spans="1:19" x14ac:dyDescent="0.25">
      <c r="A2849" s="87">
        <v>2019</v>
      </c>
      <c r="B2849" s="87">
        <v>11</v>
      </c>
      <c r="C2849" s="173" t="s">
        <v>16</v>
      </c>
      <c r="D2849" s="173" t="s">
        <v>229</v>
      </c>
      <c r="E2849" s="173" t="s">
        <v>24</v>
      </c>
      <c r="F2849" s="173" t="s">
        <v>16</v>
      </c>
      <c r="G2849" s="87" t="b">
        <v>1</v>
      </c>
      <c r="H2849" s="87" t="b">
        <v>0</v>
      </c>
      <c r="I2849" s="87" t="b">
        <v>0</v>
      </c>
      <c r="J2849" s="173" t="s">
        <v>450</v>
      </c>
      <c r="K2849" s="174">
        <v>75222224001895</v>
      </c>
      <c r="L2849" s="173" t="s">
        <v>981</v>
      </c>
      <c r="M2849" s="173" t="s">
        <v>121</v>
      </c>
      <c r="N2849" s="173" t="s">
        <v>57</v>
      </c>
      <c r="O2849" s="87">
        <v>70</v>
      </c>
      <c r="P2849" s="173" t="s">
        <v>20</v>
      </c>
      <c r="Q2849" s="1" t="s">
        <v>1338</v>
      </c>
      <c r="R2849" s="175">
        <v>630</v>
      </c>
      <c r="S2849">
        <v>126</v>
      </c>
    </row>
    <row r="2850" spans="1:19" x14ac:dyDescent="0.25">
      <c r="A2850" s="87">
        <v>2019</v>
      </c>
      <c r="B2850" s="87">
        <v>11</v>
      </c>
      <c r="C2850" s="173" t="s">
        <v>16</v>
      </c>
      <c r="D2850" s="173" t="s">
        <v>229</v>
      </c>
      <c r="E2850" s="173" t="s">
        <v>24</v>
      </c>
      <c r="F2850" s="173" t="s">
        <v>16</v>
      </c>
      <c r="G2850" s="87" t="b">
        <v>1</v>
      </c>
      <c r="H2850" s="87" t="b">
        <v>0</v>
      </c>
      <c r="I2850" s="87" t="b">
        <v>0</v>
      </c>
      <c r="J2850" s="173" t="s">
        <v>464</v>
      </c>
      <c r="K2850" s="174">
        <v>76498013000102</v>
      </c>
      <c r="L2850" s="173" t="s">
        <v>982</v>
      </c>
      <c r="M2850" s="173" t="s">
        <v>94</v>
      </c>
      <c r="N2850" s="173" t="s">
        <v>57</v>
      </c>
      <c r="O2850" s="87">
        <v>70</v>
      </c>
      <c r="P2850" s="173" t="s">
        <v>20</v>
      </c>
      <c r="Q2850" s="1" t="s">
        <v>1338</v>
      </c>
      <c r="R2850" s="175">
        <v>150</v>
      </c>
      <c r="S2850">
        <v>30</v>
      </c>
    </row>
    <row r="2851" spans="1:19" x14ac:dyDescent="0.25">
      <c r="A2851" s="87">
        <v>2019</v>
      </c>
      <c r="B2851" s="87">
        <v>11</v>
      </c>
      <c r="C2851" s="173" t="s">
        <v>16</v>
      </c>
      <c r="D2851" s="173" t="s">
        <v>229</v>
      </c>
      <c r="E2851" s="173" t="s">
        <v>24</v>
      </c>
      <c r="F2851" s="173" t="s">
        <v>16</v>
      </c>
      <c r="G2851" s="87" t="b">
        <v>1</v>
      </c>
      <c r="H2851" s="87" t="b">
        <v>0</v>
      </c>
      <c r="I2851" s="87" t="b">
        <v>0</v>
      </c>
      <c r="J2851" s="173" t="s">
        <v>452</v>
      </c>
      <c r="K2851" s="174">
        <v>76555069000143</v>
      </c>
      <c r="L2851" s="173" t="s">
        <v>983</v>
      </c>
      <c r="M2851" s="173" t="s">
        <v>94</v>
      </c>
      <c r="N2851" s="173" t="s">
        <v>57</v>
      </c>
      <c r="O2851" s="87">
        <v>70</v>
      </c>
      <c r="P2851" s="173" t="s">
        <v>20</v>
      </c>
      <c r="Q2851" s="1" t="s">
        <v>1338</v>
      </c>
      <c r="R2851" s="175">
        <v>95</v>
      </c>
      <c r="S2851">
        <v>19</v>
      </c>
    </row>
    <row r="2852" spans="1:19" x14ac:dyDescent="0.25">
      <c r="A2852" s="87">
        <v>2019</v>
      </c>
      <c r="B2852" s="87">
        <v>11</v>
      </c>
      <c r="C2852" s="173" t="s">
        <v>16</v>
      </c>
      <c r="D2852" s="173" t="s">
        <v>229</v>
      </c>
      <c r="E2852" s="173" t="s">
        <v>24</v>
      </c>
      <c r="F2852" s="173" t="s">
        <v>16</v>
      </c>
      <c r="G2852" s="87" t="b">
        <v>1</v>
      </c>
      <c r="H2852" s="87" t="b">
        <v>0</v>
      </c>
      <c r="I2852" s="87" t="b">
        <v>0</v>
      </c>
      <c r="J2852" s="173" t="s">
        <v>492</v>
      </c>
      <c r="K2852" s="174">
        <v>76591569000130</v>
      </c>
      <c r="L2852" s="173" t="s">
        <v>985</v>
      </c>
      <c r="M2852" s="173" t="s">
        <v>94</v>
      </c>
      <c r="N2852" s="173" t="s">
        <v>57</v>
      </c>
      <c r="O2852" s="87">
        <v>70</v>
      </c>
      <c r="P2852" s="173" t="s">
        <v>20</v>
      </c>
      <c r="Q2852" s="1" t="s">
        <v>1338</v>
      </c>
      <c r="R2852" s="175">
        <v>125</v>
      </c>
      <c r="S2852">
        <v>25</v>
      </c>
    </row>
    <row r="2853" spans="1:19" x14ac:dyDescent="0.25">
      <c r="A2853" s="87">
        <v>2019</v>
      </c>
      <c r="B2853" s="87">
        <v>11</v>
      </c>
      <c r="C2853" s="173" t="s">
        <v>16</v>
      </c>
      <c r="D2853" s="173" t="s">
        <v>229</v>
      </c>
      <c r="E2853" s="173" t="s">
        <v>24</v>
      </c>
      <c r="F2853" s="173" t="s">
        <v>16</v>
      </c>
      <c r="G2853" s="87" t="b">
        <v>1</v>
      </c>
      <c r="H2853" s="87" t="b">
        <v>0</v>
      </c>
      <c r="I2853" s="87" t="b">
        <v>0</v>
      </c>
      <c r="J2853" s="173" t="s">
        <v>506</v>
      </c>
      <c r="K2853" s="174">
        <v>76591569000130</v>
      </c>
      <c r="L2853" s="173" t="s">
        <v>985</v>
      </c>
      <c r="M2853" s="173" t="s">
        <v>94</v>
      </c>
      <c r="N2853" s="173" t="s">
        <v>57</v>
      </c>
      <c r="O2853" s="87">
        <v>70</v>
      </c>
      <c r="P2853" s="173" t="s">
        <v>20</v>
      </c>
      <c r="Q2853" s="1" t="s">
        <v>1338</v>
      </c>
      <c r="R2853" s="175">
        <v>250</v>
      </c>
      <c r="S2853">
        <v>50</v>
      </c>
    </row>
    <row r="2854" spans="1:19" x14ac:dyDescent="0.25">
      <c r="A2854" s="87">
        <v>2019</v>
      </c>
      <c r="B2854" s="87">
        <v>11</v>
      </c>
      <c r="C2854" s="173" t="s">
        <v>16</v>
      </c>
      <c r="D2854" s="173" t="s">
        <v>229</v>
      </c>
      <c r="E2854" s="173" t="s">
        <v>24</v>
      </c>
      <c r="F2854" s="173" t="s">
        <v>16</v>
      </c>
      <c r="G2854" s="87" t="b">
        <v>1</v>
      </c>
      <c r="H2854" s="87" t="b">
        <v>0</v>
      </c>
      <c r="I2854" s="87" t="b">
        <v>0</v>
      </c>
      <c r="J2854" s="173" t="s">
        <v>452</v>
      </c>
      <c r="K2854" s="174">
        <v>76659820002367</v>
      </c>
      <c r="L2854" s="173" t="s">
        <v>986</v>
      </c>
      <c r="M2854" s="173" t="s">
        <v>94</v>
      </c>
      <c r="N2854" s="173" t="s">
        <v>57</v>
      </c>
      <c r="O2854" s="87">
        <v>70</v>
      </c>
      <c r="P2854" s="173" t="s">
        <v>20</v>
      </c>
      <c r="Q2854" s="1" t="s">
        <v>1338</v>
      </c>
      <c r="R2854" s="175">
        <v>90</v>
      </c>
      <c r="S2854">
        <v>18</v>
      </c>
    </row>
    <row r="2855" spans="1:19" x14ac:dyDescent="0.25">
      <c r="A2855" s="87">
        <v>2019</v>
      </c>
      <c r="B2855" s="87">
        <v>11</v>
      </c>
      <c r="C2855" s="173" t="s">
        <v>16</v>
      </c>
      <c r="D2855" s="173" t="s">
        <v>229</v>
      </c>
      <c r="E2855" s="173" t="s">
        <v>24</v>
      </c>
      <c r="F2855" s="173" t="s">
        <v>16</v>
      </c>
      <c r="G2855" s="87" t="b">
        <v>1</v>
      </c>
      <c r="H2855" s="87" t="b">
        <v>0</v>
      </c>
      <c r="I2855" s="87" t="b">
        <v>0</v>
      </c>
      <c r="J2855" s="173" t="s">
        <v>470</v>
      </c>
      <c r="K2855" s="174">
        <v>77265361000194</v>
      </c>
      <c r="L2855" s="173" t="s">
        <v>987</v>
      </c>
      <c r="M2855" s="173" t="s">
        <v>988</v>
      </c>
      <c r="N2855" s="173" t="s">
        <v>57</v>
      </c>
      <c r="O2855" s="87">
        <v>70</v>
      </c>
      <c r="P2855" s="173" t="s">
        <v>20</v>
      </c>
      <c r="Q2855" s="1" t="s">
        <v>1338</v>
      </c>
      <c r="R2855" s="175">
        <v>175</v>
      </c>
      <c r="S2855">
        <v>35</v>
      </c>
    </row>
    <row r="2856" spans="1:19" x14ac:dyDescent="0.25">
      <c r="A2856" s="87">
        <v>2019</v>
      </c>
      <c r="B2856" s="87">
        <v>11</v>
      </c>
      <c r="C2856" s="173" t="s">
        <v>16</v>
      </c>
      <c r="D2856" s="173" t="s">
        <v>229</v>
      </c>
      <c r="E2856" s="173" t="s">
        <v>24</v>
      </c>
      <c r="F2856" s="173" t="s">
        <v>16</v>
      </c>
      <c r="G2856" s="87" t="b">
        <v>1</v>
      </c>
      <c r="H2856" s="87" t="b">
        <v>0</v>
      </c>
      <c r="I2856" s="87" t="b">
        <v>0</v>
      </c>
      <c r="J2856" s="173" t="s">
        <v>470</v>
      </c>
      <c r="K2856" s="174">
        <v>77781706000243</v>
      </c>
      <c r="L2856" s="173" t="s">
        <v>989</v>
      </c>
      <c r="M2856" s="173" t="s">
        <v>990</v>
      </c>
      <c r="N2856" s="173" t="s">
        <v>57</v>
      </c>
      <c r="O2856" s="87">
        <v>70</v>
      </c>
      <c r="P2856" s="173" t="s">
        <v>20</v>
      </c>
      <c r="Q2856" s="1" t="s">
        <v>1338</v>
      </c>
      <c r="R2856" s="175">
        <v>10</v>
      </c>
      <c r="S2856">
        <v>2</v>
      </c>
    </row>
    <row r="2857" spans="1:19" x14ac:dyDescent="0.25">
      <c r="A2857" s="87">
        <v>2019</v>
      </c>
      <c r="B2857" s="87">
        <v>11</v>
      </c>
      <c r="C2857" s="173" t="s">
        <v>16</v>
      </c>
      <c r="D2857" s="173" t="s">
        <v>229</v>
      </c>
      <c r="E2857" s="173" t="s">
        <v>24</v>
      </c>
      <c r="F2857" s="173" t="s">
        <v>16</v>
      </c>
      <c r="G2857" s="87" t="b">
        <v>1</v>
      </c>
      <c r="H2857" s="87" t="b">
        <v>0</v>
      </c>
      <c r="I2857" s="87" t="b">
        <v>0</v>
      </c>
      <c r="J2857" s="173" t="s">
        <v>492</v>
      </c>
      <c r="K2857" s="174">
        <v>77858611001414</v>
      </c>
      <c r="L2857" s="173" t="s">
        <v>991</v>
      </c>
      <c r="M2857" s="173" t="s">
        <v>969</v>
      </c>
      <c r="N2857" s="173" t="s">
        <v>68</v>
      </c>
      <c r="O2857" s="87">
        <v>70</v>
      </c>
      <c r="P2857" s="173" t="s">
        <v>20</v>
      </c>
      <c r="Q2857" s="1" t="s">
        <v>1338</v>
      </c>
      <c r="R2857" s="175">
        <v>325</v>
      </c>
      <c r="S2857">
        <v>65</v>
      </c>
    </row>
    <row r="2858" spans="1:19" x14ac:dyDescent="0.25">
      <c r="A2858" s="87">
        <v>2019</v>
      </c>
      <c r="B2858" s="87">
        <v>11</v>
      </c>
      <c r="C2858" s="173" t="s">
        <v>16</v>
      </c>
      <c r="D2858" s="173" t="s">
        <v>229</v>
      </c>
      <c r="E2858" s="173" t="s">
        <v>24</v>
      </c>
      <c r="F2858" s="173" t="s">
        <v>16</v>
      </c>
      <c r="G2858" s="87" t="b">
        <v>1</v>
      </c>
      <c r="H2858" s="87" t="b">
        <v>0</v>
      </c>
      <c r="I2858" s="87" t="b">
        <v>0</v>
      </c>
      <c r="J2858" s="173" t="s">
        <v>492</v>
      </c>
      <c r="K2858" s="174">
        <v>78044815000240</v>
      </c>
      <c r="L2858" s="173" t="s">
        <v>992</v>
      </c>
      <c r="M2858" s="173" t="s">
        <v>993</v>
      </c>
      <c r="N2858" s="173" t="s">
        <v>57</v>
      </c>
      <c r="O2858" s="87">
        <v>70</v>
      </c>
      <c r="P2858" s="173" t="s">
        <v>20</v>
      </c>
      <c r="Q2858" s="1" t="s">
        <v>1338</v>
      </c>
      <c r="R2858" s="175">
        <v>75</v>
      </c>
      <c r="S2858">
        <v>15</v>
      </c>
    </row>
    <row r="2859" spans="1:19" x14ac:dyDescent="0.25">
      <c r="A2859" s="87">
        <v>2019</v>
      </c>
      <c r="B2859" s="87">
        <v>11</v>
      </c>
      <c r="C2859" s="173" t="s">
        <v>16</v>
      </c>
      <c r="D2859" s="173" t="s">
        <v>229</v>
      </c>
      <c r="E2859" s="173" t="s">
        <v>24</v>
      </c>
      <c r="F2859" s="173" t="s">
        <v>16</v>
      </c>
      <c r="G2859" s="87" t="b">
        <v>1</v>
      </c>
      <c r="H2859" s="87" t="b">
        <v>0</v>
      </c>
      <c r="I2859" s="87" t="b">
        <v>0</v>
      </c>
      <c r="J2859" s="173" t="s">
        <v>492</v>
      </c>
      <c r="K2859" s="174">
        <v>78633088000176</v>
      </c>
      <c r="L2859" s="173" t="s">
        <v>995</v>
      </c>
      <c r="M2859" s="173" t="s">
        <v>121</v>
      </c>
      <c r="N2859" s="173" t="s">
        <v>57</v>
      </c>
      <c r="O2859" s="87">
        <v>70</v>
      </c>
      <c r="P2859" s="173" t="s">
        <v>20</v>
      </c>
      <c r="Q2859" s="1" t="s">
        <v>1338</v>
      </c>
      <c r="R2859" s="175">
        <v>25</v>
      </c>
      <c r="S2859">
        <v>5</v>
      </c>
    </row>
    <row r="2860" spans="1:19" x14ac:dyDescent="0.25">
      <c r="A2860" s="87">
        <v>2019</v>
      </c>
      <c r="B2860" s="87">
        <v>11</v>
      </c>
      <c r="C2860" s="173" t="s">
        <v>16</v>
      </c>
      <c r="D2860" s="173" t="s">
        <v>229</v>
      </c>
      <c r="E2860" s="173" t="s">
        <v>24</v>
      </c>
      <c r="F2860" s="173" t="s">
        <v>16</v>
      </c>
      <c r="G2860" s="87" t="b">
        <v>1</v>
      </c>
      <c r="H2860" s="87" t="b">
        <v>0</v>
      </c>
      <c r="I2860" s="87" t="b">
        <v>0</v>
      </c>
      <c r="J2860" s="173" t="s">
        <v>492</v>
      </c>
      <c r="K2860" s="174">
        <v>79115762000193</v>
      </c>
      <c r="L2860" s="173" t="s">
        <v>996</v>
      </c>
      <c r="M2860" s="173" t="s">
        <v>988</v>
      </c>
      <c r="N2860" s="173" t="s">
        <v>57</v>
      </c>
      <c r="O2860" s="87">
        <v>70</v>
      </c>
      <c r="P2860" s="173" t="s">
        <v>20</v>
      </c>
      <c r="Q2860" s="1" t="s">
        <v>1338</v>
      </c>
      <c r="R2860" s="175">
        <v>175</v>
      </c>
      <c r="S2860">
        <v>35</v>
      </c>
    </row>
    <row r="2861" spans="1:19" x14ac:dyDescent="0.25">
      <c r="A2861" s="87">
        <v>2019</v>
      </c>
      <c r="B2861" s="87">
        <v>11</v>
      </c>
      <c r="C2861" s="173" t="s">
        <v>16</v>
      </c>
      <c r="D2861" s="173" t="s">
        <v>229</v>
      </c>
      <c r="E2861" s="173" t="s">
        <v>24</v>
      </c>
      <c r="F2861" s="173" t="s">
        <v>16</v>
      </c>
      <c r="G2861" s="87" t="b">
        <v>1</v>
      </c>
      <c r="H2861" s="87" t="b">
        <v>0</v>
      </c>
      <c r="I2861" s="87" t="b">
        <v>0</v>
      </c>
      <c r="J2861" s="173" t="s">
        <v>492</v>
      </c>
      <c r="K2861" s="174">
        <v>80490618000116</v>
      </c>
      <c r="L2861" s="173" t="s">
        <v>997</v>
      </c>
      <c r="M2861" s="173" t="s">
        <v>998</v>
      </c>
      <c r="N2861" s="173" t="s">
        <v>68</v>
      </c>
      <c r="O2861" s="87">
        <v>70</v>
      </c>
      <c r="P2861" s="173" t="s">
        <v>20</v>
      </c>
      <c r="Q2861" s="1" t="s">
        <v>1338</v>
      </c>
      <c r="R2861" s="175">
        <v>60</v>
      </c>
      <c r="S2861">
        <v>12</v>
      </c>
    </row>
    <row r="2862" spans="1:19" x14ac:dyDescent="0.25">
      <c r="A2862" s="87">
        <v>2019</v>
      </c>
      <c r="B2862" s="87">
        <v>11</v>
      </c>
      <c r="C2862" s="173" t="s">
        <v>16</v>
      </c>
      <c r="D2862" s="173" t="s">
        <v>229</v>
      </c>
      <c r="E2862" s="173" t="s">
        <v>24</v>
      </c>
      <c r="F2862" s="173" t="s">
        <v>16</v>
      </c>
      <c r="G2862" s="87" t="b">
        <v>1</v>
      </c>
      <c r="H2862" s="87" t="b">
        <v>0</v>
      </c>
      <c r="I2862" s="87" t="b">
        <v>0</v>
      </c>
      <c r="J2862" s="173" t="s">
        <v>449</v>
      </c>
      <c r="K2862" s="174">
        <v>80673411000187</v>
      </c>
      <c r="L2862" s="173" t="s">
        <v>999</v>
      </c>
      <c r="M2862" s="173" t="s">
        <v>930</v>
      </c>
      <c r="N2862" s="173" t="s">
        <v>68</v>
      </c>
      <c r="O2862" s="87">
        <v>70</v>
      </c>
      <c r="P2862" s="173" t="s">
        <v>20</v>
      </c>
      <c r="Q2862" s="1" t="s">
        <v>1346</v>
      </c>
      <c r="R2862" s="175">
        <v>1000</v>
      </c>
      <c r="S2862">
        <v>400</v>
      </c>
    </row>
    <row r="2863" spans="1:19" x14ac:dyDescent="0.25">
      <c r="A2863" s="87">
        <v>2019</v>
      </c>
      <c r="B2863" s="87">
        <v>11</v>
      </c>
      <c r="C2863" s="173" t="s">
        <v>16</v>
      </c>
      <c r="D2863" s="173" t="s">
        <v>229</v>
      </c>
      <c r="E2863" s="173" t="s">
        <v>24</v>
      </c>
      <c r="F2863" s="173" t="s">
        <v>16</v>
      </c>
      <c r="G2863" s="87" t="b">
        <v>1</v>
      </c>
      <c r="H2863" s="87" t="b">
        <v>0</v>
      </c>
      <c r="I2863" s="87" t="b">
        <v>0</v>
      </c>
      <c r="J2863" s="173" t="s">
        <v>1330</v>
      </c>
      <c r="K2863" s="174">
        <v>80673411000187</v>
      </c>
      <c r="L2863" s="173" t="s">
        <v>999</v>
      </c>
      <c r="M2863" s="173" t="s">
        <v>930</v>
      </c>
      <c r="N2863" s="173" t="s">
        <v>68</v>
      </c>
      <c r="O2863" s="87">
        <v>73</v>
      </c>
      <c r="P2863" s="173" t="s">
        <v>26</v>
      </c>
      <c r="Q2863" s="1" t="s">
        <v>1342</v>
      </c>
      <c r="R2863" s="175">
        <v>64</v>
      </c>
      <c r="S2863">
        <v>16</v>
      </c>
    </row>
    <row r="2864" spans="1:19" x14ac:dyDescent="0.25">
      <c r="A2864" s="87">
        <v>2019</v>
      </c>
      <c r="B2864" s="87">
        <v>11</v>
      </c>
      <c r="C2864" s="173" t="s">
        <v>16</v>
      </c>
      <c r="D2864" s="173" t="s">
        <v>229</v>
      </c>
      <c r="E2864" s="173" t="s">
        <v>24</v>
      </c>
      <c r="F2864" s="173" t="s">
        <v>16</v>
      </c>
      <c r="G2864" s="87" t="b">
        <v>1</v>
      </c>
      <c r="H2864" s="87" t="b">
        <v>0</v>
      </c>
      <c r="I2864" s="87" t="b">
        <v>0</v>
      </c>
      <c r="J2864" s="173" t="s">
        <v>450</v>
      </c>
      <c r="K2864" s="174">
        <v>81170003000256</v>
      </c>
      <c r="L2864" s="173" t="s">
        <v>1000</v>
      </c>
      <c r="M2864" s="173" t="s">
        <v>112</v>
      </c>
      <c r="N2864" s="173" t="s">
        <v>57</v>
      </c>
      <c r="O2864" s="87">
        <v>66</v>
      </c>
      <c r="P2864" s="173" t="s">
        <v>28</v>
      </c>
      <c r="Q2864" s="1" t="s">
        <v>1341</v>
      </c>
      <c r="R2864" s="175">
        <v>1</v>
      </c>
      <c r="S2864">
        <v>1</v>
      </c>
    </row>
    <row r="2865" spans="1:19" x14ac:dyDescent="0.25">
      <c r="A2865" s="87">
        <v>2019</v>
      </c>
      <c r="B2865" s="87">
        <v>11</v>
      </c>
      <c r="C2865" s="173" t="s">
        <v>16</v>
      </c>
      <c r="D2865" s="173" t="s">
        <v>229</v>
      </c>
      <c r="E2865" s="173" t="s">
        <v>24</v>
      </c>
      <c r="F2865" s="173" t="s">
        <v>16</v>
      </c>
      <c r="G2865" s="87" t="b">
        <v>1</v>
      </c>
      <c r="H2865" s="87" t="b">
        <v>0</v>
      </c>
      <c r="I2865" s="87" t="b">
        <v>0</v>
      </c>
      <c r="J2865" s="173" t="s">
        <v>452</v>
      </c>
      <c r="K2865" s="174">
        <v>81270548000153</v>
      </c>
      <c r="L2865" s="173" t="s">
        <v>1002</v>
      </c>
      <c r="M2865" s="173" t="s">
        <v>112</v>
      </c>
      <c r="N2865" s="173" t="s">
        <v>57</v>
      </c>
      <c r="O2865" s="87">
        <v>62</v>
      </c>
      <c r="P2865" s="173" t="s">
        <v>27</v>
      </c>
      <c r="Q2865" s="1" t="s">
        <v>1343</v>
      </c>
      <c r="R2865" s="175">
        <v>5</v>
      </c>
      <c r="S2865">
        <v>5</v>
      </c>
    </row>
    <row r="2866" spans="1:19" x14ac:dyDescent="0.25">
      <c r="A2866" s="87">
        <v>2019</v>
      </c>
      <c r="B2866" s="87">
        <v>11</v>
      </c>
      <c r="C2866" s="173" t="s">
        <v>16</v>
      </c>
      <c r="D2866" s="173" t="s">
        <v>229</v>
      </c>
      <c r="E2866" s="173" t="s">
        <v>24</v>
      </c>
      <c r="F2866" s="173" t="s">
        <v>16</v>
      </c>
      <c r="G2866" s="87" t="b">
        <v>1</v>
      </c>
      <c r="H2866" s="87" t="b">
        <v>0</v>
      </c>
      <c r="I2866" s="87" t="b">
        <v>0</v>
      </c>
      <c r="J2866" s="173" t="s">
        <v>470</v>
      </c>
      <c r="K2866" s="174">
        <v>81733115000197</v>
      </c>
      <c r="L2866" s="173" t="s">
        <v>1005</v>
      </c>
      <c r="M2866" s="173" t="s">
        <v>1006</v>
      </c>
      <c r="N2866" s="173" t="s">
        <v>57</v>
      </c>
      <c r="O2866" s="87">
        <v>70</v>
      </c>
      <c r="P2866" s="173" t="s">
        <v>20</v>
      </c>
      <c r="Q2866" s="1" t="s">
        <v>1338</v>
      </c>
      <c r="R2866" s="175">
        <v>60</v>
      </c>
      <c r="S2866">
        <v>12</v>
      </c>
    </row>
    <row r="2867" spans="1:19" x14ac:dyDescent="0.25">
      <c r="A2867" s="87">
        <v>2019</v>
      </c>
      <c r="B2867" s="87">
        <v>11</v>
      </c>
      <c r="C2867" s="173" t="s">
        <v>16</v>
      </c>
      <c r="D2867" s="173" t="s">
        <v>229</v>
      </c>
      <c r="E2867" s="173" t="s">
        <v>24</v>
      </c>
      <c r="F2867" s="173" t="s">
        <v>16</v>
      </c>
      <c r="G2867" s="87" t="b">
        <v>1</v>
      </c>
      <c r="H2867" s="87" t="b">
        <v>0</v>
      </c>
      <c r="I2867" s="87" t="b">
        <v>0</v>
      </c>
      <c r="J2867" s="173" t="s">
        <v>451</v>
      </c>
      <c r="K2867" s="174">
        <v>82602327000360</v>
      </c>
      <c r="L2867" s="173" t="s">
        <v>1236</v>
      </c>
      <c r="M2867" s="173" t="s">
        <v>125</v>
      </c>
      <c r="N2867" s="173" t="s">
        <v>68</v>
      </c>
      <c r="O2867" s="87">
        <v>64</v>
      </c>
      <c r="P2867" s="173" t="s">
        <v>25</v>
      </c>
      <c r="Q2867" s="1" t="s">
        <v>1344</v>
      </c>
      <c r="R2867" s="175">
        <v>6</v>
      </c>
      <c r="S2867">
        <v>6</v>
      </c>
    </row>
    <row r="2868" spans="1:19" x14ac:dyDescent="0.25">
      <c r="A2868" s="87">
        <v>2019</v>
      </c>
      <c r="B2868" s="87">
        <v>11</v>
      </c>
      <c r="C2868" s="173" t="s">
        <v>16</v>
      </c>
      <c r="D2868" s="173" t="s">
        <v>229</v>
      </c>
      <c r="E2868" s="173" t="s">
        <v>24</v>
      </c>
      <c r="F2868" s="173" t="s">
        <v>16</v>
      </c>
      <c r="G2868" s="87" t="b">
        <v>1</v>
      </c>
      <c r="H2868" s="87" t="b">
        <v>0</v>
      </c>
      <c r="I2868" s="87" t="b">
        <v>0</v>
      </c>
      <c r="J2868" s="173" t="s">
        <v>492</v>
      </c>
      <c r="K2868" s="174">
        <v>82624776000651</v>
      </c>
      <c r="L2868" s="173" t="s">
        <v>1007</v>
      </c>
      <c r="M2868" s="173" t="s">
        <v>93</v>
      </c>
      <c r="N2868" s="173" t="s">
        <v>68</v>
      </c>
      <c r="O2868" s="87">
        <v>70</v>
      </c>
      <c r="P2868" s="173" t="s">
        <v>20</v>
      </c>
      <c r="Q2868" s="1" t="s">
        <v>1338</v>
      </c>
      <c r="R2868" s="175">
        <v>15</v>
      </c>
      <c r="S2868">
        <v>3</v>
      </c>
    </row>
    <row r="2869" spans="1:19" x14ac:dyDescent="0.25">
      <c r="A2869" s="87">
        <v>2019</v>
      </c>
      <c r="B2869" s="87">
        <v>11</v>
      </c>
      <c r="C2869" s="173" t="s">
        <v>16</v>
      </c>
      <c r="D2869" s="173" t="s">
        <v>229</v>
      </c>
      <c r="E2869" s="173" t="s">
        <v>24</v>
      </c>
      <c r="F2869" s="173" t="s">
        <v>16</v>
      </c>
      <c r="G2869" s="87" t="b">
        <v>1</v>
      </c>
      <c r="H2869" s="87" t="b">
        <v>0</v>
      </c>
      <c r="I2869" s="87" t="b">
        <v>0</v>
      </c>
      <c r="J2869" s="173" t="s">
        <v>464</v>
      </c>
      <c r="K2869" s="174">
        <v>83367342000252</v>
      </c>
      <c r="L2869" s="173" t="s">
        <v>1237</v>
      </c>
      <c r="M2869" s="173" t="s">
        <v>1129</v>
      </c>
      <c r="N2869" s="173" t="s">
        <v>52</v>
      </c>
      <c r="O2869" s="87">
        <v>64</v>
      </c>
      <c r="P2869" s="173" t="s">
        <v>25</v>
      </c>
      <c r="Q2869" s="1" t="s">
        <v>1344</v>
      </c>
      <c r="R2869" s="175">
        <v>10</v>
      </c>
      <c r="S2869">
        <v>10</v>
      </c>
    </row>
    <row r="2870" spans="1:19" x14ac:dyDescent="0.25">
      <c r="A2870" s="87">
        <v>2019</v>
      </c>
      <c r="B2870" s="87">
        <v>11</v>
      </c>
      <c r="C2870" s="173" t="s">
        <v>16</v>
      </c>
      <c r="D2870" s="173" t="s">
        <v>229</v>
      </c>
      <c r="E2870" s="173" t="s">
        <v>24</v>
      </c>
      <c r="F2870" s="173" t="s">
        <v>16</v>
      </c>
      <c r="G2870" s="87" t="b">
        <v>1</v>
      </c>
      <c r="H2870" s="87" t="b">
        <v>0</v>
      </c>
      <c r="I2870" s="87" t="b">
        <v>0</v>
      </c>
      <c r="J2870" s="173" t="s">
        <v>460</v>
      </c>
      <c r="K2870" s="174">
        <v>83367342000252</v>
      </c>
      <c r="L2870" s="173" t="s">
        <v>1237</v>
      </c>
      <c r="M2870" s="173" t="s">
        <v>1129</v>
      </c>
      <c r="N2870" s="173" t="s">
        <v>52</v>
      </c>
      <c r="O2870" s="87">
        <v>70</v>
      </c>
      <c r="P2870" s="173" t="s">
        <v>20</v>
      </c>
      <c r="Q2870" s="1" t="s">
        <v>1338</v>
      </c>
      <c r="R2870" s="175">
        <v>25</v>
      </c>
      <c r="S2870">
        <v>5</v>
      </c>
    </row>
    <row r="2871" spans="1:19" x14ac:dyDescent="0.25">
      <c r="A2871" s="87">
        <v>2019</v>
      </c>
      <c r="B2871" s="87">
        <v>11</v>
      </c>
      <c r="C2871" s="173" t="s">
        <v>16</v>
      </c>
      <c r="D2871" s="173" t="s">
        <v>229</v>
      </c>
      <c r="E2871" s="173" t="s">
        <v>24</v>
      </c>
      <c r="F2871" s="173" t="s">
        <v>16</v>
      </c>
      <c r="G2871" s="87" t="b">
        <v>1</v>
      </c>
      <c r="H2871" s="87" t="b">
        <v>0</v>
      </c>
      <c r="I2871" s="87" t="b">
        <v>0</v>
      </c>
      <c r="J2871" s="173" t="s">
        <v>449</v>
      </c>
      <c r="K2871" s="174">
        <v>83899526000425</v>
      </c>
      <c r="L2871" s="173" t="s">
        <v>1010</v>
      </c>
      <c r="M2871" s="173" t="s">
        <v>930</v>
      </c>
      <c r="N2871" s="173" t="s">
        <v>68</v>
      </c>
      <c r="O2871" s="87">
        <v>70</v>
      </c>
      <c r="P2871" s="173" t="s">
        <v>20</v>
      </c>
      <c r="Q2871" s="1" t="s">
        <v>1338</v>
      </c>
      <c r="R2871" s="175">
        <v>300</v>
      </c>
      <c r="S2871">
        <v>60</v>
      </c>
    </row>
    <row r="2872" spans="1:19" x14ac:dyDescent="0.25">
      <c r="A2872" s="87">
        <v>2019</v>
      </c>
      <c r="B2872" s="87">
        <v>11</v>
      </c>
      <c r="C2872" s="173" t="s">
        <v>16</v>
      </c>
      <c r="D2872" s="173" t="s">
        <v>229</v>
      </c>
      <c r="E2872" s="173" t="s">
        <v>24</v>
      </c>
      <c r="F2872" s="173" t="s">
        <v>16</v>
      </c>
      <c r="G2872" s="87" t="b">
        <v>1</v>
      </c>
      <c r="H2872" s="87" t="b">
        <v>0</v>
      </c>
      <c r="I2872" s="87" t="b">
        <v>0</v>
      </c>
      <c r="J2872" s="173" t="s">
        <v>460</v>
      </c>
      <c r="K2872" s="174">
        <v>84537141000138</v>
      </c>
      <c r="L2872" s="173" t="s">
        <v>1238</v>
      </c>
      <c r="M2872" s="173" t="s">
        <v>109</v>
      </c>
      <c r="N2872" s="173" t="s">
        <v>110</v>
      </c>
      <c r="O2872" s="87">
        <v>64</v>
      </c>
      <c r="P2872" s="173" t="s">
        <v>25</v>
      </c>
      <c r="Q2872" s="1" t="s">
        <v>1344</v>
      </c>
      <c r="R2872" s="175">
        <v>3</v>
      </c>
      <c r="S2872">
        <v>3</v>
      </c>
    </row>
    <row r="2873" spans="1:19" x14ac:dyDescent="0.25">
      <c r="A2873" s="87">
        <v>2019</v>
      </c>
      <c r="B2873" s="87">
        <v>11</v>
      </c>
      <c r="C2873" s="173" t="s">
        <v>16</v>
      </c>
      <c r="D2873" s="173" t="s">
        <v>229</v>
      </c>
      <c r="E2873" s="173" t="s">
        <v>24</v>
      </c>
      <c r="F2873" s="173" t="s">
        <v>16</v>
      </c>
      <c r="G2873" s="87" t="b">
        <v>1</v>
      </c>
      <c r="H2873" s="87" t="b">
        <v>0</v>
      </c>
      <c r="I2873" s="87" t="b">
        <v>0</v>
      </c>
      <c r="J2873" s="173" t="s">
        <v>452</v>
      </c>
      <c r="K2873" s="174">
        <v>85377174000392</v>
      </c>
      <c r="L2873" s="173" t="s">
        <v>1012</v>
      </c>
      <c r="M2873" s="173" t="s">
        <v>938</v>
      </c>
      <c r="N2873" s="173" t="s">
        <v>68</v>
      </c>
      <c r="O2873" s="87">
        <v>70</v>
      </c>
      <c r="P2873" s="173" t="s">
        <v>20</v>
      </c>
      <c r="Q2873" s="1" t="s">
        <v>1345</v>
      </c>
      <c r="R2873" s="175">
        <v>10</v>
      </c>
      <c r="S2873">
        <v>1</v>
      </c>
    </row>
    <row r="2874" spans="1:19" x14ac:dyDescent="0.25">
      <c r="A2874" s="87">
        <v>2019</v>
      </c>
      <c r="B2874" s="87">
        <v>11</v>
      </c>
      <c r="C2874" s="173" t="s">
        <v>16</v>
      </c>
      <c r="D2874" s="173" t="s">
        <v>229</v>
      </c>
      <c r="E2874" s="173" t="s">
        <v>24</v>
      </c>
      <c r="F2874" s="173" t="s">
        <v>16</v>
      </c>
      <c r="G2874" s="87" t="b">
        <v>1</v>
      </c>
      <c r="H2874" s="87" t="b">
        <v>0</v>
      </c>
      <c r="I2874" s="87" t="b">
        <v>0</v>
      </c>
      <c r="J2874" s="173" t="s">
        <v>449</v>
      </c>
      <c r="K2874" s="174">
        <v>85377174000392</v>
      </c>
      <c r="L2874" s="173" t="s">
        <v>1012</v>
      </c>
      <c r="M2874" s="173" t="s">
        <v>938</v>
      </c>
      <c r="N2874" s="173" t="s">
        <v>68</v>
      </c>
      <c r="O2874" s="87">
        <v>73</v>
      </c>
      <c r="P2874" s="173" t="s">
        <v>26</v>
      </c>
      <c r="Q2874" s="1" t="s">
        <v>1340</v>
      </c>
      <c r="R2874" s="175">
        <v>11</v>
      </c>
      <c r="S2874">
        <v>11</v>
      </c>
    </row>
    <row r="2875" spans="1:19" x14ac:dyDescent="0.25">
      <c r="A2875" s="87">
        <v>2019</v>
      </c>
      <c r="B2875" s="87">
        <v>11</v>
      </c>
      <c r="C2875" s="173" t="s">
        <v>16</v>
      </c>
      <c r="D2875" s="173" t="s">
        <v>229</v>
      </c>
      <c r="E2875" s="173" t="s">
        <v>24</v>
      </c>
      <c r="F2875" s="173" t="s">
        <v>16</v>
      </c>
      <c r="G2875" s="87" t="b">
        <v>1</v>
      </c>
      <c r="H2875" s="87" t="b">
        <v>0</v>
      </c>
      <c r="I2875" s="87" t="b">
        <v>0</v>
      </c>
      <c r="J2875" s="173" t="s">
        <v>481</v>
      </c>
      <c r="K2875" s="174">
        <v>85377174000392</v>
      </c>
      <c r="L2875" s="173" t="s">
        <v>1012</v>
      </c>
      <c r="M2875" s="173" t="s">
        <v>938</v>
      </c>
      <c r="N2875" s="173" t="s">
        <v>68</v>
      </c>
      <c r="O2875" s="87">
        <v>73</v>
      </c>
      <c r="P2875" s="173" t="s">
        <v>26</v>
      </c>
      <c r="Q2875" s="1" t="s">
        <v>1340</v>
      </c>
      <c r="R2875" s="175">
        <v>2</v>
      </c>
      <c r="S2875">
        <v>2</v>
      </c>
    </row>
    <row r="2876" spans="1:19" x14ac:dyDescent="0.25">
      <c r="A2876" s="87">
        <v>2019</v>
      </c>
      <c r="B2876" s="87">
        <v>11</v>
      </c>
      <c r="C2876" s="173" t="s">
        <v>16</v>
      </c>
      <c r="D2876" s="173" t="s">
        <v>229</v>
      </c>
      <c r="E2876" s="173" t="s">
        <v>24</v>
      </c>
      <c r="F2876" s="173" t="s">
        <v>16</v>
      </c>
      <c r="G2876" s="87" t="b">
        <v>1</v>
      </c>
      <c r="H2876" s="87" t="b">
        <v>0</v>
      </c>
      <c r="I2876" s="87" t="b">
        <v>0</v>
      </c>
      <c r="J2876" s="173" t="s">
        <v>449</v>
      </c>
      <c r="K2876" s="174">
        <v>87317764001084</v>
      </c>
      <c r="L2876" s="173" t="s">
        <v>1015</v>
      </c>
      <c r="M2876" s="173" t="s">
        <v>83</v>
      </c>
      <c r="N2876" s="173" t="s">
        <v>67</v>
      </c>
      <c r="O2876" s="87">
        <v>64</v>
      </c>
      <c r="P2876" s="173" t="s">
        <v>25</v>
      </c>
      <c r="Q2876" s="1" t="s">
        <v>1344</v>
      </c>
      <c r="R2876" s="175">
        <v>1</v>
      </c>
      <c r="S2876">
        <v>1</v>
      </c>
    </row>
    <row r="2877" spans="1:19" x14ac:dyDescent="0.25">
      <c r="A2877" s="87">
        <v>2019</v>
      </c>
      <c r="B2877" s="87">
        <v>11</v>
      </c>
      <c r="C2877" s="173" t="s">
        <v>16</v>
      </c>
      <c r="D2877" s="173" t="s">
        <v>229</v>
      </c>
      <c r="E2877" s="173" t="s">
        <v>24</v>
      </c>
      <c r="F2877" s="173" t="s">
        <v>16</v>
      </c>
      <c r="G2877" s="87" t="b">
        <v>1</v>
      </c>
      <c r="H2877" s="87" t="b">
        <v>0</v>
      </c>
      <c r="I2877" s="87" t="b">
        <v>0</v>
      </c>
      <c r="J2877" s="173" t="s">
        <v>449</v>
      </c>
      <c r="K2877" s="174">
        <v>87317764001084</v>
      </c>
      <c r="L2877" s="173" t="s">
        <v>1015</v>
      </c>
      <c r="M2877" s="173" t="s">
        <v>83</v>
      </c>
      <c r="N2877" s="173" t="s">
        <v>67</v>
      </c>
      <c r="O2877" s="87">
        <v>70</v>
      </c>
      <c r="P2877" s="173" t="s">
        <v>20</v>
      </c>
      <c r="Q2877" s="1" t="s">
        <v>1345</v>
      </c>
      <c r="R2877" s="175">
        <v>130</v>
      </c>
      <c r="S2877">
        <v>13</v>
      </c>
    </row>
    <row r="2878" spans="1:19" x14ac:dyDescent="0.25">
      <c r="A2878" s="87">
        <v>2019</v>
      </c>
      <c r="B2878" s="87">
        <v>11</v>
      </c>
      <c r="C2878" s="173" t="s">
        <v>16</v>
      </c>
      <c r="D2878" s="173" t="s">
        <v>229</v>
      </c>
      <c r="E2878" s="173" t="s">
        <v>24</v>
      </c>
      <c r="F2878" s="173" t="s">
        <v>16</v>
      </c>
      <c r="G2878" s="87" t="b">
        <v>1</v>
      </c>
      <c r="H2878" s="87" t="b">
        <v>0</v>
      </c>
      <c r="I2878" s="87" t="b">
        <v>0</v>
      </c>
      <c r="J2878" s="173" t="s">
        <v>451</v>
      </c>
      <c r="K2878" s="174">
        <v>87607149000626</v>
      </c>
      <c r="L2878" s="173" t="s">
        <v>1019</v>
      </c>
      <c r="M2878" s="173" t="s">
        <v>96</v>
      </c>
      <c r="N2878" s="173" t="s">
        <v>67</v>
      </c>
      <c r="O2878" s="87">
        <v>70</v>
      </c>
      <c r="P2878" s="173" t="s">
        <v>20</v>
      </c>
      <c r="Q2878" s="1" t="s">
        <v>1345</v>
      </c>
      <c r="R2878" s="175">
        <v>140</v>
      </c>
      <c r="S2878">
        <v>14</v>
      </c>
    </row>
    <row r="2879" spans="1:19" x14ac:dyDescent="0.25">
      <c r="A2879" s="87">
        <v>2019</v>
      </c>
      <c r="B2879" s="87">
        <v>11</v>
      </c>
      <c r="C2879" s="173" t="s">
        <v>16</v>
      </c>
      <c r="D2879" s="173" t="s">
        <v>229</v>
      </c>
      <c r="E2879" s="173" t="s">
        <v>24</v>
      </c>
      <c r="F2879" s="173" t="s">
        <v>16</v>
      </c>
      <c r="G2879" s="87" t="b">
        <v>1</v>
      </c>
      <c r="H2879" s="87" t="b">
        <v>0</v>
      </c>
      <c r="I2879" s="87" t="b">
        <v>0</v>
      </c>
      <c r="J2879" s="173" t="s">
        <v>451</v>
      </c>
      <c r="K2879" s="174">
        <v>87607149000626</v>
      </c>
      <c r="L2879" s="173" t="s">
        <v>1019</v>
      </c>
      <c r="M2879" s="173" t="s">
        <v>96</v>
      </c>
      <c r="N2879" s="173" t="s">
        <v>67</v>
      </c>
      <c r="O2879" s="87">
        <v>70</v>
      </c>
      <c r="P2879" s="173" t="s">
        <v>20</v>
      </c>
      <c r="Q2879" s="1" t="s">
        <v>1346</v>
      </c>
      <c r="R2879" s="175">
        <v>5</v>
      </c>
      <c r="S2879">
        <v>2</v>
      </c>
    </row>
    <row r="2880" spans="1:19" x14ac:dyDescent="0.25">
      <c r="A2880" s="87">
        <v>2019</v>
      </c>
      <c r="B2880" s="87">
        <v>11</v>
      </c>
      <c r="C2880" s="173" t="s">
        <v>16</v>
      </c>
      <c r="D2880" s="173" t="s">
        <v>229</v>
      </c>
      <c r="E2880" s="173" t="s">
        <v>24</v>
      </c>
      <c r="F2880" s="173" t="s">
        <v>16</v>
      </c>
      <c r="G2880" s="87" t="b">
        <v>1</v>
      </c>
      <c r="H2880" s="87" t="b">
        <v>0</v>
      </c>
      <c r="I2880" s="87" t="b">
        <v>0</v>
      </c>
      <c r="J2880" s="173" t="s">
        <v>449</v>
      </c>
      <c r="K2880" s="174">
        <v>87638334000505</v>
      </c>
      <c r="L2880" s="173" t="s">
        <v>1020</v>
      </c>
      <c r="M2880" s="173" t="s">
        <v>129</v>
      </c>
      <c r="N2880" s="173" t="s">
        <v>67</v>
      </c>
      <c r="O2880" s="87">
        <v>70</v>
      </c>
      <c r="P2880" s="173" t="s">
        <v>20</v>
      </c>
      <c r="Q2880" s="1" t="s">
        <v>1345</v>
      </c>
      <c r="R2880" s="175">
        <v>10</v>
      </c>
      <c r="S2880">
        <v>1</v>
      </c>
    </row>
    <row r="2881" spans="1:19" x14ac:dyDescent="0.25">
      <c r="A2881" s="87">
        <v>2019</v>
      </c>
      <c r="B2881" s="87">
        <v>11</v>
      </c>
      <c r="C2881" s="173" t="s">
        <v>16</v>
      </c>
      <c r="D2881" s="173" t="s">
        <v>229</v>
      </c>
      <c r="E2881" s="173" t="s">
        <v>24</v>
      </c>
      <c r="F2881" s="173" t="s">
        <v>16</v>
      </c>
      <c r="G2881" s="87" t="b">
        <v>1</v>
      </c>
      <c r="H2881" s="87" t="b">
        <v>0</v>
      </c>
      <c r="I2881" s="87" t="b">
        <v>0</v>
      </c>
      <c r="J2881" s="173" t="s">
        <v>449</v>
      </c>
      <c r="K2881" s="174">
        <v>87827689002405</v>
      </c>
      <c r="L2881" s="173" t="s">
        <v>1021</v>
      </c>
      <c r="M2881" s="173" t="s">
        <v>66</v>
      </c>
      <c r="N2881" s="173" t="s">
        <v>67</v>
      </c>
      <c r="O2881" s="87">
        <v>73</v>
      </c>
      <c r="P2881" s="173" t="s">
        <v>26</v>
      </c>
      <c r="Q2881" s="1" t="s">
        <v>1339</v>
      </c>
      <c r="R2881" s="175">
        <v>40</v>
      </c>
      <c r="S2881">
        <v>20</v>
      </c>
    </row>
    <row r="2882" spans="1:19" x14ac:dyDescent="0.25">
      <c r="A2882" s="87">
        <v>2019</v>
      </c>
      <c r="B2882" s="87">
        <v>11</v>
      </c>
      <c r="C2882" s="173" t="s">
        <v>16</v>
      </c>
      <c r="D2882" s="173" t="s">
        <v>229</v>
      </c>
      <c r="E2882" s="173" t="s">
        <v>24</v>
      </c>
      <c r="F2882" s="173" t="s">
        <v>16</v>
      </c>
      <c r="G2882" s="87" t="b">
        <v>1</v>
      </c>
      <c r="H2882" s="87" t="b">
        <v>0</v>
      </c>
      <c r="I2882" s="87" t="b">
        <v>0</v>
      </c>
      <c r="J2882" s="173" t="s">
        <v>449</v>
      </c>
      <c r="K2882" s="174">
        <v>87827689002405</v>
      </c>
      <c r="L2882" s="173" t="s">
        <v>1021</v>
      </c>
      <c r="M2882" s="173" t="s">
        <v>66</v>
      </c>
      <c r="N2882" s="173" t="s">
        <v>67</v>
      </c>
      <c r="O2882" s="87">
        <v>73</v>
      </c>
      <c r="P2882" s="173" t="s">
        <v>26</v>
      </c>
      <c r="Q2882" s="1" t="s">
        <v>1342</v>
      </c>
      <c r="R2882" s="175">
        <v>144</v>
      </c>
      <c r="S2882">
        <v>36</v>
      </c>
    </row>
    <row r="2883" spans="1:19" x14ac:dyDescent="0.25">
      <c r="A2883" s="87">
        <v>2019</v>
      </c>
      <c r="B2883" s="87">
        <v>11</v>
      </c>
      <c r="C2883" s="173" t="s">
        <v>16</v>
      </c>
      <c r="D2883" s="173" t="s">
        <v>229</v>
      </c>
      <c r="E2883" s="173" t="s">
        <v>24</v>
      </c>
      <c r="F2883" s="173" t="s">
        <v>16</v>
      </c>
      <c r="G2883" s="87" t="b">
        <v>1</v>
      </c>
      <c r="H2883" s="87" t="b">
        <v>0</v>
      </c>
      <c r="I2883" s="87" t="b">
        <v>0</v>
      </c>
      <c r="J2883" s="173" t="s">
        <v>470</v>
      </c>
      <c r="K2883" s="174">
        <v>87827689002405</v>
      </c>
      <c r="L2883" s="173" t="s">
        <v>1021</v>
      </c>
      <c r="M2883" s="173" t="s">
        <v>66</v>
      </c>
      <c r="N2883" s="173" t="s">
        <v>67</v>
      </c>
      <c r="O2883" s="87">
        <v>73</v>
      </c>
      <c r="P2883" s="173" t="s">
        <v>26</v>
      </c>
      <c r="Q2883" s="1" t="s">
        <v>1340</v>
      </c>
      <c r="R2883" s="175">
        <v>2</v>
      </c>
      <c r="S2883">
        <v>2</v>
      </c>
    </row>
    <row r="2884" spans="1:19" x14ac:dyDescent="0.25">
      <c r="A2884" s="87">
        <v>2019</v>
      </c>
      <c r="B2884" s="87">
        <v>11</v>
      </c>
      <c r="C2884" s="173" t="s">
        <v>16</v>
      </c>
      <c r="D2884" s="173" t="s">
        <v>229</v>
      </c>
      <c r="E2884" s="173" t="s">
        <v>24</v>
      </c>
      <c r="F2884" s="173" t="s">
        <v>16</v>
      </c>
      <c r="G2884" s="87" t="b">
        <v>1</v>
      </c>
      <c r="H2884" s="87" t="b">
        <v>0</v>
      </c>
      <c r="I2884" s="87" t="b">
        <v>0</v>
      </c>
      <c r="J2884" s="173" t="s">
        <v>451</v>
      </c>
      <c r="K2884" s="174">
        <v>88625686002443</v>
      </c>
      <c r="L2884" s="173" t="s">
        <v>1023</v>
      </c>
      <c r="M2884" s="173" t="s">
        <v>83</v>
      </c>
      <c r="N2884" s="173" t="s">
        <v>67</v>
      </c>
      <c r="O2884" s="87">
        <v>64</v>
      </c>
      <c r="P2884" s="173" t="s">
        <v>25</v>
      </c>
      <c r="Q2884" s="1" t="s">
        <v>1344</v>
      </c>
      <c r="R2884" s="175">
        <v>17</v>
      </c>
      <c r="S2884">
        <v>17</v>
      </c>
    </row>
    <row r="2885" spans="1:19" x14ac:dyDescent="0.25">
      <c r="A2885" s="87">
        <v>2019</v>
      </c>
      <c r="B2885" s="87">
        <v>11</v>
      </c>
      <c r="C2885" s="173" t="s">
        <v>16</v>
      </c>
      <c r="D2885" s="173" t="s">
        <v>229</v>
      </c>
      <c r="E2885" s="173" t="s">
        <v>24</v>
      </c>
      <c r="F2885" s="173" t="s">
        <v>16</v>
      </c>
      <c r="G2885" s="87" t="b">
        <v>1</v>
      </c>
      <c r="H2885" s="87" t="b">
        <v>0</v>
      </c>
      <c r="I2885" s="87" t="b">
        <v>0</v>
      </c>
      <c r="J2885" s="173" t="s">
        <v>449</v>
      </c>
      <c r="K2885" s="174">
        <v>88630413000796</v>
      </c>
      <c r="L2885" s="173" t="s">
        <v>1024</v>
      </c>
      <c r="M2885" s="173" t="s">
        <v>83</v>
      </c>
      <c r="N2885" s="173" t="s">
        <v>67</v>
      </c>
      <c r="O2885" s="87">
        <v>64</v>
      </c>
      <c r="P2885" s="173" t="s">
        <v>25</v>
      </c>
      <c r="Q2885" s="1" t="s">
        <v>1344</v>
      </c>
      <c r="R2885" s="175">
        <v>14</v>
      </c>
      <c r="S2885">
        <v>14</v>
      </c>
    </row>
    <row r="2886" spans="1:19" x14ac:dyDescent="0.25">
      <c r="A2886" s="87">
        <v>2019</v>
      </c>
      <c r="B2886" s="87">
        <v>11</v>
      </c>
      <c r="C2886" s="173" t="s">
        <v>16</v>
      </c>
      <c r="D2886" s="173" t="s">
        <v>229</v>
      </c>
      <c r="E2886" s="173" t="s">
        <v>24</v>
      </c>
      <c r="F2886" s="173" t="s">
        <v>16</v>
      </c>
      <c r="G2886" s="87" t="b">
        <v>1</v>
      </c>
      <c r="H2886" s="87" t="b">
        <v>0</v>
      </c>
      <c r="I2886" s="87" t="b">
        <v>0</v>
      </c>
      <c r="J2886" s="173" t="s">
        <v>449</v>
      </c>
      <c r="K2886" s="174">
        <v>88645403001372</v>
      </c>
      <c r="L2886" s="173" t="s">
        <v>1025</v>
      </c>
      <c r="M2886" s="173" t="s">
        <v>66</v>
      </c>
      <c r="N2886" s="173" t="s">
        <v>67</v>
      </c>
      <c r="O2886" s="87">
        <v>73</v>
      </c>
      <c r="P2886" s="173" t="s">
        <v>26</v>
      </c>
      <c r="Q2886" s="1" t="s">
        <v>1342</v>
      </c>
      <c r="R2886" s="175">
        <v>32</v>
      </c>
      <c r="S2886">
        <v>8</v>
      </c>
    </row>
    <row r="2887" spans="1:19" x14ac:dyDescent="0.25">
      <c r="A2887" s="87">
        <v>2019</v>
      </c>
      <c r="B2887" s="87">
        <v>11</v>
      </c>
      <c r="C2887" s="173" t="s">
        <v>16</v>
      </c>
      <c r="D2887" s="173" t="s">
        <v>229</v>
      </c>
      <c r="E2887" s="173" t="s">
        <v>24</v>
      </c>
      <c r="F2887" s="173" t="s">
        <v>16</v>
      </c>
      <c r="G2887" s="87" t="b">
        <v>1</v>
      </c>
      <c r="H2887" s="87" t="b">
        <v>0</v>
      </c>
      <c r="I2887" s="87" t="b">
        <v>0</v>
      </c>
      <c r="J2887" s="173" t="s">
        <v>449</v>
      </c>
      <c r="K2887" s="174">
        <v>92404789000164</v>
      </c>
      <c r="L2887" s="173" t="s">
        <v>1028</v>
      </c>
      <c r="M2887" s="173" t="s">
        <v>106</v>
      </c>
      <c r="N2887" s="173" t="s">
        <v>67</v>
      </c>
      <c r="O2887" s="87">
        <v>73</v>
      </c>
      <c r="P2887" s="173" t="s">
        <v>26</v>
      </c>
      <c r="Q2887" s="1" t="s">
        <v>1342</v>
      </c>
      <c r="R2887" s="175">
        <v>16</v>
      </c>
      <c r="S2887">
        <v>4</v>
      </c>
    </row>
    <row r="2888" spans="1:19" x14ac:dyDescent="0.25">
      <c r="A2888" s="87">
        <v>2019</v>
      </c>
      <c r="B2888" s="87">
        <v>11</v>
      </c>
      <c r="C2888" s="173" t="s">
        <v>16</v>
      </c>
      <c r="D2888" s="173" t="s">
        <v>229</v>
      </c>
      <c r="E2888" s="173" t="s">
        <v>24</v>
      </c>
      <c r="F2888" s="173" t="s">
        <v>16</v>
      </c>
      <c r="G2888" s="87" t="b">
        <v>1</v>
      </c>
      <c r="H2888" s="87" t="b">
        <v>0</v>
      </c>
      <c r="I2888" s="87" t="b">
        <v>0</v>
      </c>
      <c r="J2888" s="173" t="s">
        <v>449</v>
      </c>
      <c r="K2888" s="174">
        <v>92685833000151</v>
      </c>
      <c r="L2888" s="173" t="s">
        <v>1029</v>
      </c>
      <c r="M2888" s="173" t="s">
        <v>83</v>
      </c>
      <c r="N2888" s="173" t="s">
        <v>67</v>
      </c>
      <c r="O2888" s="87">
        <v>62</v>
      </c>
      <c r="P2888" s="173" t="s">
        <v>27</v>
      </c>
      <c r="Q2888" s="1" t="s">
        <v>1343</v>
      </c>
      <c r="R2888" s="175">
        <v>10</v>
      </c>
      <c r="S2888">
        <v>10</v>
      </c>
    </row>
    <row r="2889" spans="1:19" x14ac:dyDescent="0.25">
      <c r="A2889" s="87">
        <v>2019</v>
      </c>
      <c r="B2889" s="87">
        <v>11</v>
      </c>
      <c r="C2889" s="173" t="s">
        <v>16</v>
      </c>
      <c r="D2889" s="173" t="s">
        <v>229</v>
      </c>
      <c r="E2889" s="173" t="s">
        <v>24</v>
      </c>
      <c r="F2889" s="173" t="s">
        <v>16</v>
      </c>
      <c r="G2889" s="87" t="b">
        <v>1</v>
      </c>
      <c r="H2889" s="87" t="b">
        <v>0</v>
      </c>
      <c r="I2889" s="87" t="b">
        <v>0</v>
      </c>
      <c r="J2889" s="173" t="s">
        <v>1512</v>
      </c>
      <c r="K2889" s="174">
        <v>92685833000151</v>
      </c>
      <c r="L2889" s="173" t="s">
        <v>1029</v>
      </c>
      <c r="M2889" s="173" t="s">
        <v>83</v>
      </c>
      <c r="N2889" s="173" t="s">
        <v>67</v>
      </c>
      <c r="O2889" s="87">
        <v>62</v>
      </c>
      <c r="P2889" s="173" t="s">
        <v>27</v>
      </c>
      <c r="Q2889" s="1" t="s">
        <v>1343</v>
      </c>
      <c r="R2889" s="175">
        <v>4</v>
      </c>
      <c r="S2889">
        <v>4</v>
      </c>
    </row>
    <row r="2890" spans="1:19" x14ac:dyDescent="0.25">
      <c r="A2890" s="87">
        <v>2019</v>
      </c>
      <c r="B2890" s="87">
        <v>11</v>
      </c>
      <c r="C2890" s="173" t="s">
        <v>16</v>
      </c>
      <c r="D2890" s="173" t="s">
        <v>229</v>
      </c>
      <c r="E2890" s="173" t="s">
        <v>24</v>
      </c>
      <c r="F2890" s="173" t="s">
        <v>16</v>
      </c>
      <c r="G2890" s="87" t="b">
        <v>1</v>
      </c>
      <c r="H2890" s="87" t="b">
        <v>0</v>
      </c>
      <c r="I2890" s="87" t="b">
        <v>0</v>
      </c>
      <c r="J2890" s="173" t="s">
        <v>455</v>
      </c>
      <c r="K2890" s="174">
        <v>92685833000151</v>
      </c>
      <c r="L2890" s="173" t="s">
        <v>1029</v>
      </c>
      <c r="M2890" s="173" t="s">
        <v>83</v>
      </c>
      <c r="N2890" s="173" t="s">
        <v>67</v>
      </c>
      <c r="O2890" s="87">
        <v>64</v>
      </c>
      <c r="P2890" s="173" t="s">
        <v>25</v>
      </c>
      <c r="Q2890" s="1" t="s">
        <v>1344</v>
      </c>
      <c r="R2890" s="175">
        <v>6</v>
      </c>
      <c r="S2890">
        <v>6</v>
      </c>
    </row>
    <row r="2891" spans="1:19" x14ac:dyDescent="0.25">
      <c r="A2891" s="87">
        <v>2019</v>
      </c>
      <c r="B2891" s="87">
        <v>11</v>
      </c>
      <c r="C2891" s="173" t="s">
        <v>16</v>
      </c>
      <c r="D2891" s="173" t="s">
        <v>229</v>
      </c>
      <c r="E2891" s="173" t="s">
        <v>24</v>
      </c>
      <c r="F2891" s="173" t="s">
        <v>16</v>
      </c>
      <c r="G2891" s="87" t="b">
        <v>1</v>
      </c>
      <c r="H2891" s="87" t="b">
        <v>0</v>
      </c>
      <c r="I2891" s="87" t="b">
        <v>0</v>
      </c>
      <c r="J2891" s="173" t="s">
        <v>470</v>
      </c>
      <c r="K2891" s="174">
        <v>92685833000151</v>
      </c>
      <c r="L2891" s="173" t="s">
        <v>1029</v>
      </c>
      <c r="M2891" s="173" t="s">
        <v>83</v>
      </c>
      <c r="N2891" s="173" t="s">
        <v>67</v>
      </c>
      <c r="O2891" s="87">
        <v>73</v>
      </c>
      <c r="P2891" s="173" t="s">
        <v>26</v>
      </c>
      <c r="Q2891" s="1" t="s">
        <v>1340</v>
      </c>
      <c r="R2891" s="175">
        <v>26</v>
      </c>
      <c r="S2891">
        <v>26</v>
      </c>
    </row>
    <row r="2892" spans="1:19" x14ac:dyDescent="0.25">
      <c r="A2892" s="87">
        <v>2019</v>
      </c>
      <c r="B2892" s="87">
        <v>11</v>
      </c>
      <c r="C2892" s="173" t="s">
        <v>16</v>
      </c>
      <c r="D2892" s="173" t="s">
        <v>229</v>
      </c>
      <c r="E2892" s="173" t="s">
        <v>24</v>
      </c>
      <c r="F2892" s="173" t="s">
        <v>16</v>
      </c>
      <c r="G2892" s="87" t="b">
        <v>1</v>
      </c>
      <c r="H2892" s="87" t="b">
        <v>0</v>
      </c>
      <c r="I2892" s="87" t="b">
        <v>0</v>
      </c>
      <c r="J2892" s="173" t="s">
        <v>449</v>
      </c>
      <c r="K2892" s="174">
        <v>92741016000254</v>
      </c>
      <c r="L2892" s="173" t="s">
        <v>1030</v>
      </c>
      <c r="M2892" s="173" t="s">
        <v>83</v>
      </c>
      <c r="N2892" s="173" t="s">
        <v>67</v>
      </c>
      <c r="O2892" s="87">
        <v>64</v>
      </c>
      <c r="P2892" s="173" t="s">
        <v>25</v>
      </c>
      <c r="Q2892" s="1" t="s">
        <v>1344</v>
      </c>
      <c r="R2892" s="175">
        <v>10</v>
      </c>
      <c r="S2892">
        <v>10</v>
      </c>
    </row>
    <row r="2893" spans="1:19" x14ac:dyDescent="0.25">
      <c r="A2893" s="87">
        <v>2019</v>
      </c>
      <c r="B2893" s="87">
        <v>11</v>
      </c>
      <c r="C2893" s="173" t="s">
        <v>16</v>
      </c>
      <c r="D2893" s="173" t="s">
        <v>229</v>
      </c>
      <c r="E2893" s="173" t="s">
        <v>24</v>
      </c>
      <c r="F2893" s="173" t="s">
        <v>16</v>
      </c>
      <c r="G2893" s="87" t="b">
        <v>1</v>
      </c>
      <c r="H2893" s="87" t="b">
        <v>0</v>
      </c>
      <c r="I2893" s="87" t="b">
        <v>0</v>
      </c>
      <c r="J2893" s="173" t="s">
        <v>449</v>
      </c>
      <c r="K2893" s="174">
        <v>92787118000391</v>
      </c>
      <c r="L2893" s="173" t="s">
        <v>1032</v>
      </c>
      <c r="M2893" s="173" t="s">
        <v>83</v>
      </c>
      <c r="N2893" s="173" t="s">
        <v>67</v>
      </c>
      <c r="O2893" s="87">
        <v>62</v>
      </c>
      <c r="P2893" s="173" t="s">
        <v>27</v>
      </c>
      <c r="Q2893" s="1" t="s">
        <v>1343</v>
      </c>
      <c r="R2893" s="175">
        <v>1</v>
      </c>
      <c r="S2893">
        <v>1</v>
      </c>
    </row>
    <row r="2894" spans="1:19" x14ac:dyDescent="0.25">
      <c r="A2894" s="87">
        <v>2019</v>
      </c>
      <c r="B2894" s="87">
        <v>11</v>
      </c>
      <c r="C2894" s="173" t="s">
        <v>16</v>
      </c>
      <c r="D2894" s="173" t="s">
        <v>229</v>
      </c>
      <c r="E2894" s="173" t="s">
        <v>24</v>
      </c>
      <c r="F2894" s="173" t="s">
        <v>16</v>
      </c>
      <c r="G2894" s="87" t="b">
        <v>1</v>
      </c>
      <c r="H2894" s="87" t="b">
        <v>0</v>
      </c>
      <c r="I2894" s="87" t="b">
        <v>0</v>
      </c>
      <c r="J2894" s="173" t="s">
        <v>449</v>
      </c>
      <c r="K2894" s="174">
        <v>92815000000168</v>
      </c>
      <c r="L2894" s="173" t="s">
        <v>1033</v>
      </c>
      <c r="M2894" s="173" t="s">
        <v>83</v>
      </c>
      <c r="N2894" s="173" t="s">
        <v>67</v>
      </c>
      <c r="O2894" s="87">
        <v>62</v>
      </c>
      <c r="P2894" s="173" t="s">
        <v>27</v>
      </c>
      <c r="Q2894" s="1" t="s">
        <v>1343</v>
      </c>
      <c r="R2894" s="175">
        <v>93</v>
      </c>
      <c r="S2894">
        <v>93</v>
      </c>
    </row>
    <row r="2895" spans="1:19" x14ac:dyDescent="0.25">
      <c r="A2895" s="87">
        <v>2019</v>
      </c>
      <c r="B2895" s="87">
        <v>11</v>
      </c>
      <c r="C2895" s="173" t="s">
        <v>16</v>
      </c>
      <c r="D2895" s="173" t="s">
        <v>229</v>
      </c>
      <c r="E2895" s="173" t="s">
        <v>24</v>
      </c>
      <c r="F2895" s="173" t="s">
        <v>16</v>
      </c>
      <c r="G2895" s="87" t="b">
        <v>1</v>
      </c>
      <c r="H2895" s="87" t="b">
        <v>0</v>
      </c>
      <c r="I2895" s="87" t="b">
        <v>0</v>
      </c>
      <c r="J2895" s="173" t="s">
        <v>449</v>
      </c>
      <c r="K2895" s="174">
        <v>92815000000168</v>
      </c>
      <c r="L2895" s="173" t="s">
        <v>1033</v>
      </c>
      <c r="M2895" s="173" t="s">
        <v>83</v>
      </c>
      <c r="N2895" s="173" t="s">
        <v>67</v>
      </c>
      <c r="O2895" s="87">
        <v>64</v>
      </c>
      <c r="P2895" s="173" t="s">
        <v>25</v>
      </c>
      <c r="Q2895" s="1" t="s">
        <v>1344</v>
      </c>
      <c r="R2895" s="175">
        <v>20</v>
      </c>
      <c r="S2895">
        <v>20</v>
      </c>
    </row>
    <row r="2896" spans="1:19" x14ac:dyDescent="0.25">
      <c r="A2896" s="87">
        <v>2019</v>
      </c>
      <c r="B2896" s="87">
        <v>11</v>
      </c>
      <c r="C2896" s="173" t="s">
        <v>16</v>
      </c>
      <c r="D2896" s="173" t="s">
        <v>229</v>
      </c>
      <c r="E2896" s="173" t="s">
        <v>24</v>
      </c>
      <c r="F2896" s="173" t="s">
        <v>16</v>
      </c>
      <c r="G2896" s="87" t="b">
        <v>1</v>
      </c>
      <c r="H2896" s="87" t="b">
        <v>0</v>
      </c>
      <c r="I2896" s="87" t="b">
        <v>0</v>
      </c>
      <c r="J2896" s="173" t="s">
        <v>470</v>
      </c>
      <c r="K2896" s="174">
        <v>92815000000168</v>
      </c>
      <c r="L2896" s="173" t="s">
        <v>1033</v>
      </c>
      <c r="M2896" s="173" t="s">
        <v>83</v>
      </c>
      <c r="N2896" s="173" t="s">
        <v>67</v>
      </c>
      <c r="O2896" s="87">
        <v>73</v>
      </c>
      <c r="P2896" s="173" t="s">
        <v>26</v>
      </c>
      <c r="Q2896" s="1" t="s">
        <v>1339</v>
      </c>
      <c r="R2896" s="175">
        <v>34</v>
      </c>
      <c r="S2896">
        <v>17</v>
      </c>
    </row>
    <row r="2897" spans="1:19" x14ac:dyDescent="0.25">
      <c r="A2897" s="87">
        <v>2019</v>
      </c>
      <c r="B2897" s="87">
        <v>11</v>
      </c>
      <c r="C2897" s="173" t="s">
        <v>16</v>
      </c>
      <c r="D2897" s="173" t="s">
        <v>229</v>
      </c>
      <c r="E2897" s="173" t="s">
        <v>24</v>
      </c>
      <c r="F2897" s="173" t="s">
        <v>16</v>
      </c>
      <c r="G2897" s="87" t="b">
        <v>1</v>
      </c>
      <c r="H2897" s="87" t="b">
        <v>0</v>
      </c>
      <c r="I2897" s="87" t="b">
        <v>0</v>
      </c>
      <c r="J2897" s="173" t="s">
        <v>470</v>
      </c>
      <c r="K2897" s="174">
        <v>92815000000168</v>
      </c>
      <c r="L2897" s="173" t="s">
        <v>1033</v>
      </c>
      <c r="M2897" s="173" t="s">
        <v>83</v>
      </c>
      <c r="N2897" s="173" t="s">
        <v>67</v>
      </c>
      <c r="O2897" s="87">
        <v>73</v>
      </c>
      <c r="P2897" s="173" t="s">
        <v>26</v>
      </c>
      <c r="Q2897" s="1" t="s">
        <v>1340</v>
      </c>
      <c r="R2897" s="175">
        <v>2</v>
      </c>
      <c r="S2897">
        <v>2</v>
      </c>
    </row>
    <row r="2898" spans="1:19" x14ac:dyDescent="0.25">
      <c r="A2898" s="87">
        <v>2019</v>
      </c>
      <c r="B2898" s="87">
        <v>11</v>
      </c>
      <c r="C2898" s="173" t="s">
        <v>16</v>
      </c>
      <c r="D2898" s="173" t="s">
        <v>229</v>
      </c>
      <c r="E2898" s="173" t="s">
        <v>24</v>
      </c>
      <c r="F2898" s="173" t="s">
        <v>16</v>
      </c>
      <c r="G2898" s="87" t="b">
        <v>1</v>
      </c>
      <c r="H2898" s="87" t="b">
        <v>0</v>
      </c>
      <c r="I2898" s="87" t="b">
        <v>0</v>
      </c>
      <c r="J2898" s="173" t="s">
        <v>449</v>
      </c>
      <c r="K2898" s="174">
        <v>92898550000198</v>
      </c>
      <c r="L2898" s="173" t="s">
        <v>1034</v>
      </c>
      <c r="M2898" s="173" t="s">
        <v>83</v>
      </c>
      <c r="N2898" s="173" t="s">
        <v>67</v>
      </c>
      <c r="O2898" s="87">
        <v>62</v>
      </c>
      <c r="P2898" s="173" t="s">
        <v>27</v>
      </c>
      <c r="Q2898" s="1" t="s">
        <v>1343</v>
      </c>
      <c r="R2898" s="175">
        <v>1</v>
      </c>
      <c r="S2898">
        <v>1</v>
      </c>
    </row>
    <row r="2899" spans="1:19" x14ac:dyDescent="0.25">
      <c r="A2899" s="87">
        <v>2019</v>
      </c>
      <c r="B2899" s="87">
        <v>11</v>
      </c>
      <c r="C2899" s="173" t="s">
        <v>16</v>
      </c>
      <c r="D2899" s="173" t="s">
        <v>229</v>
      </c>
      <c r="E2899" s="173" t="s">
        <v>24</v>
      </c>
      <c r="F2899" s="173" t="s">
        <v>16</v>
      </c>
      <c r="G2899" s="87" t="b">
        <v>1</v>
      </c>
      <c r="H2899" s="87" t="b">
        <v>0</v>
      </c>
      <c r="I2899" s="87" t="b">
        <v>0</v>
      </c>
      <c r="J2899" s="173" t="s">
        <v>449</v>
      </c>
      <c r="K2899" s="174">
        <v>92898550000198</v>
      </c>
      <c r="L2899" s="173" t="s">
        <v>1034</v>
      </c>
      <c r="M2899" s="173" t="s">
        <v>83</v>
      </c>
      <c r="N2899" s="173" t="s">
        <v>67</v>
      </c>
      <c r="O2899" s="87">
        <v>64</v>
      </c>
      <c r="P2899" s="173" t="s">
        <v>25</v>
      </c>
      <c r="Q2899" s="1" t="s">
        <v>1344</v>
      </c>
      <c r="R2899" s="175">
        <v>2</v>
      </c>
      <c r="S2899">
        <v>2</v>
      </c>
    </row>
    <row r="2900" spans="1:19" x14ac:dyDescent="0.25">
      <c r="A2900" s="87">
        <v>2019</v>
      </c>
      <c r="B2900" s="87">
        <v>11</v>
      </c>
      <c r="C2900" s="173" t="s">
        <v>16</v>
      </c>
      <c r="D2900" s="173" t="s">
        <v>229</v>
      </c>
      <c r="E2900" s="173" t="s">
        <v>24</v>
      </c>
      <c r="F2900" s="173" t="s">
        <v>16</v>
      </c>
      <c r="G2900" s="87" t="b">
        <v>1</v>
      </c>
      <c r="H2900" s="87" t="b">
        <v>0</v>
      </c>
      <c r="I2900" s="87" t="b">
        <v>0</v>
      </c>
      <c r="J2900" s="173" t="s">
        <v>492</v>
      </c>
      <c r="K2900" s="174">
        <v>94831294000147</v>
      </c>
      <c r="L2900" s="173" t="s">
        <v>1036</v>
      </c>
      <c r="M2900" s="173" t="s">
        <v>83</v>
      </c>
      <c r="N2900" s="173" t="s">
        <v>67</v>
      </c>
      <c r="O2900" s="87">
        <v>70</v>
      </c>
      <c r="P2900" s="173" t="s">
        <v>20</v>
      </c>
      <c r="Q2900" s="1" t="s">
        <v>1338</v>
      </c>
      <c r="R2900" s="175">
        <v>30</v>
      </c>
      <c r="S2900">
        <v>6</v>
      </c>
    </row>
    <row r="2901" spans="1:19" x14ac:dyDescent="0.25">
      <c r="A2901" s="87">
        <v>2019</v>
      </c>
      <c r="B2901" s="87">
        <v>11</v>
      </c>
      <c r="C2901" s="173" t="s">
        <v>16</v>
      </c>
      <c r="D2901" s="173" t="s">
        <v>229</v>
      </c>
      <c r="E2901" s="173" t="s">
        <v>24</v>
      </c>
      <c r="F2901" s="173" t="s">
        <v>16</v>
      </c>
      <c r="G2901" s="87" t="b">
        <v>1</v>
      </c>
      <c r="H2901" s="87" t="b">
        <v>0</v>
      </c>
      <c r="I2901" s="87" t="b">
        <v>0</v>
      </c>
      <c r="J2901" s="173" t="s">
        <v>449</v>
      </c>
      <c r="K2901" s="174">
        <v>95610887000146</v>
      </c>
      <c r="L2901" s="173" t="s">
        <v>1037</v>
      </c>
      <c r="M2901" s="173" t="s">
        <v>87</v>
      </c>
      <c r="N2901" s="173" t="s">
        <v>67</v>
      </c>
      <c r="O2901" s="87">
        <v>62</v>
      </c>
      <c r="P2901" s="173" t="s">
        <v>27</v>
      </c>
      <c r="Q2901" s="1" t="s">
        <v>1343</v>
      </c>
      <c r="R2901" s="175">
        <v>13</v>
      </c>
      <c r="S2901">
        <v>13</v>
      </c>
    </row>
    <row r="2902" spans="1:19" x14ac:dyDescent="0.25">
      <c r="A2902" s="87">
        <v>2019</v>
      </c>
      <c r="B2902" s="87">
        <v>11</v>
      </c>
      <c r="C2902" s="173" t="s">
        <v>16</v>
      </c>
      <c r="D2902" s="173" t="s">
        <v>229</v>
      </c>
      <c r="E2902" s="173" t="s">
        <v>24</v>
      </c>
      <c r="F2902" s="173" t="s">
        <v>16</v>
      </c>
      <c r="G2902" s="87" t="b">
        <v>1</v>
      </c>
      <c r="H2902" s="87" t="b">
        <v>0</v>
      </c>
      <c r="I2902" s="87" t="b">
        <v>0</v>
      </c>
      <c r="J2902" s="173" t="s">
        <v>449</v>
      </c>
      <c r="K2902" s="174">
        <v>95610887000146</v>
      </c>
      <c r="L2902" s="173" t="s">
        <v>1037</v>
      </c>
      <c r="M2902" s="173" t="s">
        <v>87</v>
      </c>
      <c r="N2902" s="173" t="s">
        <v>67</v>
      </c>
      <c r="O2902" s="87">
        <v>70</v>
      </c>
      <c r="P2902" s="173" t="s">
        <v>20</v>
      </c>
      <c r="Q2902" s="1" t="s">
        <v>1338</v>
      </c>
      <c r="R2902" s="175">
        <v>100</v>
      </c>
      <c r="S2902">
        <v>20</v>
      </c>
    </row>
    <row r="2903" spans="1:19" x14ac:dyDescent="0.25">
      <c r="A2903" s="87">
        <v>2019</v>
      </c>
      <c r="B2903" s="87">
        <v>11</v>
      </c>
      <c r="C2903" s="173" t="s">
        <v>16</v>
      </c>
      <c r="D2903" s="173" t="s">
        <v>229</v>
      </c>
      <c r="E2903" s="173" t="s">
        <v>24</v>
      </c>
      <c r="F2903" s="173" t="s">
        <v>16</v>
      </c>
      <c r="G2903" s="87" t="b">
        <v>1</v>
      </c>
      <c r="H2903" s="87" t="b">
        <v>0</v>
      </c>
      <c r="I2903" s="87" t="b">
        <v>0</v>
      </c>
      <c r="J2903" s="173" t="s">
        <v>470</v>
      </c>
      <c r="K2903" s="174">
        <v>95610887000146</v>
      </c>
      <c r="L2903" s="173" t="s">
        <v>1037</v>
      </c>
      <c r="M2903" s="173" t="s">
        <v>87</v>
      </c>
      <c r="N2903" s="173" t="s">
        <v>67</v>
      </c>
      <c r="O2903" s="87">
        <v>70</v>
      </c>
      <c r="P2903" s="173" t="s">
        <v>20</v>
      </c>
      <c r="Q2903" s="1" t="s">
        <v>1338</v>
      </c>
      <c r="R2903" s="175">
        <v>500</v>
      </c>
      <c r="S2903">
        <v>100</v>
      </c>
    </row>
    <row r="2904" spans="1:19" x14ac:dyDescent="0.25">
      <c r="A2904" s="87">
        <v>2019</v>
      </c>
      <c r="B2904" s="87">
        <v>11</v>
      </c>
      <c r="C2904" s="173" t="s">
        <v>16</v>
      </c>
      <c r="D2904" s="173" t="s">
        <v>229</v>
      </c>
      <c r="E2904" s="173" t="s">
        <v>24</v>
      </c>
      <c r="F2904" s="173" t="s">
        <v>16</v>
      </c>
      <c r="G2904" s="87" t="b">
        <v>1</v>
      </c>
      <c r="H2904" s="87" t="b">
        <v>0</v>
      </c>
      <c r="I2904" s="87" t="b">
        <v>0</v>
      </c>
      <c r="J2904" s="173" t="s">
        <v>492</v>
      </c>
      <c r="K2904" s="174">
        <v>95610887000146</v>
      </c>
      <c r="L2904" s="173" t="s">
        <v>1037</v>
      </c>
      <c r="M2904" s="173" t="s">
        <v>87</v>
      </c>
      <c r="N2904" s="173" t="s">
        <v>67</v>
      </c>
      <c r="O2904" s="87">
        <v>70</v>
      </c>
      <c r="P2904" s="173" t="s">
        <v>20</v>
      </c>
      <c r="Q2904" s="1" t="s">
        <v>1338</v>
      </c>
      <c r="R2904" s="175">
        <v>150</v>
      </c>
      <c r="S2904">
        <v>30</v>
      </c>
    </row>
    <row r="2905" spans="1:19" x14ac:dyDescent="0.25">
      <c r="A2905" s="87">
        <v>2019</v>
      </c>
      <c r="B2905" s="87">
        <v>11</v>
      </c>
      <c r="C2905" s="173" t="s">
        <v>16</v>
      </c>
      <c r="D2905" s="173" t="s">
        <v>229</v>
      </c>
      <c r="E2905" s="173" t="s">
        <v>24</v>
      </c>
      <c r="F2905" s="173" t="s">
        <v>16</v>
      </c>
      <c r="G2905" s="87" t="b">
        <v>1</v>
      </c>
      <c r="H2905" s="87" t="b">
        <v>0</v>
      </c>
      <c r="I2905" s="87" t="b">
        <v>0</v>
      </c>
      <c r="J2905" s="173" t="s">
        <v>470</v>
      </c>
      <c r="K2905" s="174">
        <v>95610887000146</v>
      </c>
      <c r="L2905" s="173" t="s">
        <v>1037</v>
      </c>
      <c r="M2905" s="173" t="s">
        <v>87</v>
      </c>
      <c r="N2905" s="173" t="s">
        <v>67</v>
      </c>
      <c r="O2905" s="87">
        <v>73</v>
      </c>
      <c r="P2905" s="173" t="s">
        <v>26</v>
      </c>
      <c r="Q2905" s="1" t="s">
        <v>1339</v>
      </c>
      <c r="R2905" s="175">
        <v>4</v>
      </c>
      <c r="S2905">
        <v>2</v>
      </c>
    </row>
    <row r="2906" spans="1:19" x14ac:dyDescent="0.25">
      <c r="A2906" s="87">
        <v>2019</v>
      </c>
      <c r="B2906" s="87">
        <v>11</v>
      </c>
      <c r="C2906" s="173" t="s">
        <v>16</v>
      </c>
      <c r="D2906" s="173" t="s">
        <v>229</v>
      </c>
      <c r="E2906" s="173" t="s">
        <v>24</v>
      </c>
      <c r="F2906" s="173" t="s">
        <v>16</v>
      </c>
      <c r="G2906" s="87" t="b">
        <v>1</v>
      </c>
      <c r="H2906" s="87" t="b">
        <v>0</v>
      </c>
      <c r="I2906" s="87" t="b">
        <v>0</v>
      </c>
      <c r="J2906" s="173" t="s">
        <v>470</v>
      </c>
      <c r="K2906" s="174">
        <v>95610887000146</v>
      </c>
      <c r="L2906" s="173" t="s">
        <v>1037</v>
      </c>
      <c r="M2906" s="173" t="s">
        <v>87</v>
      </c>
      <c r="N2906" s="173" t="s">
        <v>67</v>
      </c>
      <c r="O2906" s="87">
        <v>73</v>
      </c>
      <c r="P2906" s="173" t="s">
        <v>26</v>
      </c>
      <c r="Q2906" s="1" t="s">
        <v>1342</v>
      </c>
      <c r="R2906" s="175">
        <v>16</v>
      </c>
      <c r="S2906">
        <v>4</v>
      </c>
    </row>
    <row r="2907" spans="1:19" x14ac:dyDescent="0.25">
      <c r="A2907" s="87">
        <v>2019</v>
      </c>
      <c r="B2907" s="87">
        <v>12</v>
      </c>
      <c r="C2907" s="173" t="s">
        <v>16</v>
      </c>
      <c r="D2907" s="173" t="s">
        <v>230</v>
      </c>
      <c r="E2907" s="173" t="s">
        <v>24</v>
      </c>
      <c r="F2907" s="173" t="s">
        <v>16</v>
      </c>
      <c r="G2907" s="87" t="b">
        <v>1</v>
      </c>
      <c r="H2907" s="87" t="b">
        <v>1</v>
      </c>
      <c r="I2907" s="87" t="b">
        <v>0</v>
      </c>
      <c r="J2907" s="173" t="s">
        <v>453</v>
      </c>
      <c r="K2907" s="174">
        <v>1325113204</v>
      </c>
      <c r="L2907" s="173" t="s">
        <v>1431</v>
      </c>
      <c r="M2907" s="173" t="s">
        <v>1432</v>
      </c>
      <c r="N2907" s="173" t="s">
        <v>52</v>
      </c>
      <c r="O2907" s="87">
        <v>73</v>
      </c>
      <c r="P2907" s="173" t="s">
        <v>26</v>
      </c>
      <c r="Q2907" s="1" t="s">
        <v>1340</v>
      </c>
      <c r="R2907" s="175">
        <v>4</v>
      </c>
      <c r="S2907">
        <v>4</v>
      </c>
    </row>
    <row r="2908" spans="1:19" x14ac:dyDescent="0.25">
      <c r="A2908" s="87">
        <v>2019</v>
      </c>
      <c r="B2908" s="87">
        <v>12</v>
      </c>
      <c r="C2908" s="173" t="s">
        <v>16</v>
      </c>
      <c r="D2908" s="173" t="s">
        <v>230</v>
      </c>
      <c r="E2908" s="173" t="s">
        <v>24</v>
      </c>
      <c r="F2908" s="173" t="s">
        <v>16</v>
      </c>
      <c r="G2908" s="87" t="b">
        <v>1</v>
      </c>
      <c r="H2908" s="87" t="b">
        <v>1</v>
      </c>
      <c r="I2908" s="87" t="b">
        <v>0</v>
      </c>
      <c r="J2908" s="173" t="s">
        <v>1512</v>
      </c>
      <c r="K2908" s="174">
        <v>10364254602</v>
      </c>
      <c r="L2908" s="173" t="s">
        <v>1414</v>
      </c>
      <c r="M2908" s="173" t="s">
        <v>1415</v>
      </c>
      <c r="N2908" s="173" t="s">
        <v>54</v>
      </c>
      <c r="O2908" s="87">
        <v>66</v>
      </c>
      <c r="P2908" s="173" t="s">
        <v>28</v>
      </c>
      <c r="Q2908" s="1" t="s">
        <v>1341</v>
      </c>
      <c r="R2908" s="175">
        <v>29</v>
      </c>
      <c r="S2908">
        <v>29</v>
      </c>
    </row>
    <row r="2909" spans="1:19" x14ac:dyDescent="0.25">
      <c r="A2909" s="87">
        <v>2019</v>
      </c>
      <c r="B2909" s="87">
        <v>12</v>
      </c>
      <c r="C2909" s="173" t="s">
        <v>16</v>
      </c>
      <c r="D2909" s="173" t="s">
        <v>230</v>
      </c>
      <c r="E2909" s="173" t="s">
        <v>24</v>
      </c>
      <c r="F2909" s="173" t="s">
        <v>16</v>
      </c>
      <c r="G2909" s="87" t="b">
        <v>1</v>
      </c>
      <c r="H2909" s="87" t="b">
        <v>1</v>
      </c>
      <c r="I2909" s="87" t="b">
        <v>0</v>
      </c>
      <c r="J2909" s="173" t="s">
        <v>453</v>
      </c>
      <c r="K2909" s="174">
        <v>12371009253</v>
      </c>
      <c r="L2909" s="173" t="s">
        <v>1128</v>
      </c>
      <c r="M2909" s="173" t="s">
        <v>1129</v>
      </c>
      <c r="N2909" s="173" t="s">
        <v>52</v>
      </c>
      <c r="O2909" s="87">
        <v>73</v>
      </c>
      <c r="P2909" s="173" t="s">
        <v>26</v>
      </c>
      <c r="Q2909" s="1" t="s">
        <v>1339</v>
      </c>
      <c r="R2909" s="175">
        <v>8</v>
      </c>
      <c r="S2909">
        <v>4</v>
      </c>
    </row>
    <row r="2910" spans="1:19" x14ac:dyDescent="0.25">
      <c r="A2910" s="87">
        <v>2019</v>
      </c>
      <c r="B2910" s="87">
        <v>12</v>
      </c>
      <c r="C2910" s="173" t="s">
        <v>16</v>
      </c>
      <c r="D2910" s="173" t="s">
        <v>230</v>
      </c>
      <c r="E2910" s="173" t="s">
        <v>24</v>
      </c>
      <c r="F2910" s="173" t="s">
        <v>16</v>
      </c>
      <c r="G2910" s="87" t="b">
        <v>1</v>
      </c>
      <c r="H2910" s="87" t="b">
        <v>1</v>
      </c>
      <c r="I2910" s="87" t="b">
        <v>0</v>
      </c>
      <c r="J2910" s="173" t="s">
        <v>453</v>
      </c>
      <c r="K2910" s="174">
        <v>12371009253</v>
      </c>
      <c r="L2910" s="173" t="s">
        <v>1128</v>
      </c>
      <c r="M2910" s="173" t="s">
        <v>1129</v>
      </c>
      <c r="N2910" s="173" t="s">
        <v>52</v>
      </c>
      <c r="O2910" s="87">
        <v>73</v>
      </c>
      <c r="P2910" s="173" t="s">
        <v>26</v>
      </c>
      <c r="Q2910" s="1" t="s">
        <v>1340</v>
      </c>
      <c r="R2910" s="175">
        <v>4</v>
      </c>
      <c r="S2910">
        <v>4</v>
      </c>
    </row>
    <row r="2911" spans="1:19" x14ac:dyDescent="0.25">
      <c r="A2911" s="87">
        <v>2019</v>
      </c>
      <c r="B2911" s="87">
        <v>12</v>
      </c>
      <c r="C2911" s="173" t="s">
        <v>16</v>
      </c>
      <c r="D2911" s="173" t="s">
        <v>230</v>
      </c>
      <c r="E2911" s="173" t="s">
        <v>24</v>
      </c>
      <c r="F2911" s="173" t="s">
        <v>16</v>
      </c>
      <c r="G2911" s="87" t="b">
        <v>1</v>
      </c>
      <c r="H2911" s="87" t="b">
        <v>1</v>
      </c>
      <c r="I2911" s="87" t="b">
        <v>0</v>
      </c>
      <c r="J2911" s="173" t="s">
        <v>1512</v>
      </c>
      <c r="K2911" s="174">
        <v>23941593838</v>
      </c>
      <c r="L2911" s="173" t="s">
        <v>555</v>
      </c>
      <c r="M2911" s="173" t="s">
        <v>29</v>
      </c>
      <c r="N2911" s="173" t="s">
        <v>19</v>
      </c>
      <c r="O2911" s="87">
        <v>73</v>
      </c>
      <c r="P2911" s="173" t="s">
        <v>26</v>
      </c>
      <c r="Q2911" s="1" t="s">
        <v>1342</v>
      </c>
      <c r="R2911" s="175">
        <v>48</v>
      </c>
      <c r="S2911">
        <v>12</v>
      </c>
    </row>
    <row r="2912" spans="1:19" x14ac:dyDescent="0.25">
      <c r="A2912" s="87">
        <v>2019</v>
      </c>
      <c r="B2912" s="87">
        <v>12</v>
      </c>
      <c r="C2912" s="173" t="s">
        <v>16</v>
      </c>
      <c r="D2912" s="173" t="s">
        <v>230</v>
      </c>
      <c r="E2912" s="173" t="s">
        <v>24</v>
      </c>
      <c r="F2912" s="173" t="s">
        <v>16</v>
      </c>
      <c r="G2912" s="87" t="b">
        <v>1</v>
      </c>
      <c r="H2912" s="87" t="b">
        <v>1</v>
      </c>
      <c r="I2912" s="87" t="b">
        <v>0</v>
      </c>
      <c r="J2912" s="173" t="s">
        <v>1512</v>
      </c>
      <c r="K2912" s="174">
        <v>23941593838</v>
      </c>
      <c r="L2912" s="173" t="s">
        <v>555</v>
      </c>
      <c r="M2912" s="173" t="s">
        <v>29</v>
      </c>
      <c r="N2912" s="173" t="s">
        <v>19</v>
      </c>
      <c r="O2912" s="87">
        <v>73</v>
      </c>
      <c r="P2912" s="173" t="s">
        <v>26</v>
      </c>
      <c r="Q2912" s="1" t="s">
        <v>1340</v>
      </c>
      <c r="R2912" s="175">
        <v>12</v>
      </c>
      <c r="S2912">
        <v>12</v>
      </c>
    </row>
    <row r="2913" spans="1:19" x14ac:dyDescent="0.25">
      <c r="A2913" s="87">
        <v>2019</v>
      </c>
      <c r="B2913" s="87">
        <v>12</v>
      </c>
      <c r="C2913" s="173" t="s">
        <v>16</v>
      </c>
      <c r="D2913" s="173" t="s">
        <v>230</v>
      </c>
      <c r="E2913" s="173" t="s">
        <v>24</v>
      </c>
      <c r="F2913" s="173" t="s">
        <v>16</v>
      </c>
      <c r="G2913" s="87" t="b">
        <v>1</v>
      </c>
      <c r="H2913" s="87" t="b">
        <v>1</v>
      </c>
      <c r="I2913" s="87" t="b">
        <v>0</v>
      </c>
      <c r="J2913" s="173" t="s">
        <v>468</v>
      </c>
      <c r="K2913" s="174">
        <v>25841000153</v>
      </c>
      <c r="L2913" s="173" t="s">
        <v>738</v>
      </c>
      <c r="M2913" s="173" t="s">
        <v>739</v>
      </c>
      <c r="N2913" s="173" t="s">
        <v>55</v>
      </c>
      <c r="O2913" s="87">
        <v>64</v>
      </c>
      <c r="P2913" s="173" t="s">
        <v>25</v>
      </c>
      <c r="Q2913" s="1" t="s">
        <v>1344</v>
      </c>
      <c r="R2913" s="175">
        <v>24</v>
      </c>
      <c r="S2913">
        <v>24</v>
      </c>
    </row>
    <row r="2914" spans="1:19" x14ac:dyDescent="0.25">
      <c r="A2914" s="87">
        <v>2019</v>
      </c>
      <c r="B2914" s="87">
        <v>12</v>
      </c>
      <c r="C2914" s="173" t="s">
        <v>16</v>
      </c>
      <c r="D2914" s="173" t="s">
        <v>230</v>
      </c>
      <c r="E2914" s="173" t="s">
        <v>24</v>
      </c>
      <c r="F2914" s="173" t="s">
        <v>16</v>
      </c>
      <c r="G2914" s="87" t="b">
        <v>1</v>
      </c>
      <c r="H2914" s="87" t="b">
        <v>1</v>
      </c>
      <c r="I2914" s="87" t="b">
        <v>0</v>
      </c>
      <c r="J2914" s="173" t="s">
        <v>1512</v>
      </c>
      <c r="K2914" s="174">
        <v>46709932249</v>
      </c>
      <c r="L2914" s="173" t="s">
        <v>1511</v>
      </c>
      <c r="M2914" s="173" t="s">
        <v>1129</v>
      </c>
      <c r="N2914" s="173" t="s">
        <v>52</v>
      </c>
      <c r="O2914" s="87">
        <v>70</v>
      </c>
      <c r="P2914" s="173" t="s">
        <v>20</v>
      </c>
      <c r="Q2914" s="1" t="s">
        <v>1338</v>
      </c>
      <c r="R2914" s="175">
        <v>10</v>
      </c>
      <c r="S2914">
        <v>2</v>
      </c>
    </row>
    <row r="2915" spans="1:19" x14ac:dyDescent="0.25">
      <c r="A2915" s="87">
        <v>2019</v>
      </c>
      <c r="B2915" s="87">
        <v>12</v>
      </c>
      <c r="C2915" s="173" t="s">
        <v>16</v>
      </c>
      <c r="D2915" s="173" t="s">
        <v>230</v>
      </c>
      <c r="E2915" s="173" t="s">
        <v>24</v>
      </c>
      <c r="F2915" s="173" t="s">
        <v>16</v>
      </c>
      <c r="G2915" s="87" t="b">
        <v>1</v>
      </c>
      <c r="H2915" s="87" t="b">
        <v>1</v>
      </c>
      <c r="I2915" s="87" t="b">
        <v>0</v>
      </c>
      <c r="J2915" s="173" t="s">
        <v>477</v>
      </c>
      <c r="K2915" s="174">
        <v>92929000198</v>
      </c>
      <c r="L2915" s="173" t="s">
        <v>1327</v>
      </c>
      <c r="M2915" s="173" t="s">
        <v>131</v>
      </c>
      <c r="N2915" s="173" t="s">
        <v>61</v>
      </c>
      <c r="O2915" s="87">
        <v>73</v>
      </c>
      <c r="P2915" s="173" t="s">
        <v>26</v>
      </c>
      <c r="Q2915" s="1" t="s">
        <v>1339</v>
      </c>
      <c r="R2915" s="175">
        <v>60</v>
      </c>
      <c r="S2915">
        <v>30</v>
      </c>
    </row>
    <row r="2916" spans="1:19" x14ac:dyDescent="0.25">
      <c r="A2916" s="87">
        <v>2019</v>
      </c>
      <c r="B2916" s="87">
        <v>12</v>
      </c>
      <c r="C2916" s="173" t="s">
        <v>16</v>
      </c>
      <c r="D2916" s="173" t="s">
        <v>230</v>
      </c>
      <c r="E2916" s="173" t="s">
        <v>24</v>
      </c>
      <c r="F2916" s="173" t="s">
        <v>16</v>
      </c>
      <c r="G2916" s="87" t="b">
        <v>1</v>
      </c>
      <c r="H2916" s="87" t="b">
        <v>1</v>
      </c>
      <c r="I2916" s="87" t="b">
        <v>0</v>
      </c>
      <c r="J2916" s="173" t="s">
        <v>491</v>
      </c>
      <c r="K2916" s="174">
        <v>92929000198</v>
      </c>
      <c r="L2916" s="173" t="s">
        <v>1327</v>
      </c>
      <c r="M2916" s="173" t="s">
        <v>131</v>
      </c>
      <c r="N2916" s="173" t="s">
        <v>61</v>
      </c>
      <c r="O2916" s="87">
        <v>73</v>
      </c>
      <c r="P2916" s="173" t="s">
        <v>26</v>
      </c>
      <c r="Q2916" s="1" t="s">
        <v>1339</v>
      </c>
      <c r="R2916" s="175">
        <v>72</v>
      </c>
      <c r="S2916">
        <v>36</v>
      </c>
    </row>
    <row r="2917" spans="1:19" x14ac:dyDescent="0.25">
      <c r="A2917" s="87">
        <v>2019</v>
      </c>
      <c r="B2917" s="87">
        <v>12</v>
      </c>
      <c r="C2917" s="173" t="s">
        <v>16</v>
      </c>
      <c r="D2917" s="173" t="s">
        <v>230</v>
      </c>
      <c r="E2917" s="173" t="s">
        <v>24</v>
      </c>
      <c r="F2917" s="173" t="s">
        <v>16</v>
      </c>
      <c r="G2917" s="87" t="b">
        <v>1</v>
      </c>
      <c r="H2917" s="87" t="b">
        <v>1</v>
      </c>
      <c r="I2917" s="87" t="b">
        <v>0</v>
      </c>
      <c r="J2917" s="173" t="s">
        <v>453</v>
      </c>
      <c r="K2917" s="174">
        <v>93326645287</v>
      </c>
      <c r="L2917" s="173" t="s">
        <v>1239</v>
      </c>
      <c r="M2917" s="173" t="s">
        <v>1129</v>
      </c>
      <c r="N2917" s="173" t="s">
        <v>52</v>
      </c>
      <c r="O2917" s="87">
        <v>73</v>
      </c>
      <c r="P2917" s="173" t="s">
        <v>26</v>
      </c>
      <c r="Q2917" s="1" t="s">
        <v>1342</v>
      </c>
      <c r="R2917" s="175">
        <v>12</v>
      </c>
      <c r="S2917">
        <v>3</v>
      </c>
    </row>
    <row r="2918" spans="1:19" x14ac:dyDescent="0.25">
      <c r="A2918" s="87">
        <v>2019</v>
      </c>
      <c r="B2918" s="87">
        <v>12</v>
      </c>
      <c r="C2918" s="173" t="s">
        <v>16</v>
      </c>
      <c r="D2918" s="173" t="s">
        <v>230</v>
      </c>
      <c r="E2918" s="173" t="s">
        <v>24</v>
      </c>
      <c r="F2918" s="173" t="s">
        <v>16</v>
      </c>
      <c r="G2918" s="87" t="b">
        <v>1</v>
      </c>
      <c r="H2918" s="87" t="b">
        <v>1</v>
      </c>
      <c r="I2918" s="87" t="b">
        <v>0</v>
      </c>
      <c r="J2918" s="173" t="s">
        <v>506</v>
      </c>
      <c r="K2918" s="174">
        <v>304148000110</v>
      </c>
      <c r="L2918" s="173" t="s">
        <v>932</v>
      </c>
      <c r="M2918" s="173" t="s">
        <v>933</v>
      </c>
      <c r="N2918" s="173" t="s">
        <v>57</v>
      </c>
      <c r="O2918" s="87">
        <v>70</v>
      </c>
      <c r="P2918" s="173" t="s">
        <v>20</v>
      </c>
      <c r="Q2918" s="1" t="s">
        <v>1338</v>
      </c>
      <c r="R2918" s="175">
        <v>150</v>
      </c>
      <c r="S2918">
        <v>30</v>
      </c>
    </row>
    <row r="2919" spans="1:19" x14ac:dyDescent="0.25">
      <c r="A2919" s="87">
        <v>2019</v>
      </c>
      <c r="B2919" s="87">
        <v>12</v>
      </c>
      <c r="C2919" s="173" t="s">
        <v>16</v>
      </c>
      <c r="D2919" s="173" t="s">
        <v>230</v>
      </c>
      <c r="E2919" s="173" t="s">
        <v>24</v>
      </c>
      <c r="F2919" s="173" t="s">
        <v>16</v>
      </c>
      <c r="G2919" s="87" t="b">
        <v>1</v>
      </c>
      <c r="H2919" s="87" t="b">
        <v>1</v>
      </c>
      <c r="I2919" s="87" t="b">
        <v>0</v>
      </c>
      <c r="J2919" s="173" t="s">
        <v>470</v>
      </c>
      <c r="K2919" s="174">
        <v>304148000110</v>
      </c>
      <c r="L2919" s="173" t="s">
        <v>932</v>
      </c>
      <c r="M2919" s="173" t="s">
        <v>933</v>
      </c>
      <c r="N2919" s="173" t="s">
        <v>57</v>
      </c>
      <c r="O2919" s="87">
        <v>73</v>
      </c>
      <c r="P2919" s="173" t="s">
        <v>26</v>
      </c>
      <c r="Q2919" s="1" t="s">
        <v>1339</v>
      </c>
      <c r="R2919" s="175">
        <v>2</v>
      </c>
      <c r="S2919">
        <v>1</v>
      </c>
    </row>
    <row r="2920" spans="1:19" x14ac:dyDescent="0.25">
      <c r="A2920" s="87">
        <v>2019</v>
      </c>
      <c r="B2920" s="87">
        <v>12</v>
      </c>
      <c r="C2920" s="173" t="s">
        <v>16</v>
      </c>
      <c r="D2920" s="173" t="s">
        <v>230</v>
      </c>
      <c r="E2920" s="173" t="s">
        <v>24</v>
      </c>
      <c r="F2920" s="173" t="s">
        <v>16</v>
      </c>
      <c r="G2920" s="87" t="b">
        <v>1</v>
      </c>
      <c r="H2920" s="87" t="b">
        <v>1</v>
      </c>
      <c r="I2920" s="87" t="b">
        <v>0</v>
      </c>
      <c r="J2920" s="173" t="s">
        <v>452</v>
      </c>
      <c r="K2920" s="174">
        <v>304148000110</v>
      </c>
      <c r="L2920" s="173" t="s">
        <v>932</v>
      </c>
      <c r="M2920" s="173" t="s">
        <v>933</v>
      </c>
      <c r="N2920" s="173" t="s">
        <v>57</v>
      </c>
      <c r="O2920" s="87">
        <v>73</v>
      </c>
      <c r="P2920" s="173" t="s">
        <v>26</v>
      </c>
      <c r="Q2920" s="1" t="s">
        <v>1339</v>
      </c>
      <c r="R2920" s="175">
        <v>4</v>
      </c>
      <c r="S2920">
        <v>2</v>
      </c>
    </row>
    <row r="2921" spans="1:19" x14ac:dyDescent="0.25">
      <c r="A2921" s="87">
        <v>2019</v>
      </c>
      <c r="B2921" s="87">
        <v>12</v>
      </c>
      <c r="C2921" s="173" t="s">
        <v>16</v>
      </c>
      <c r="D2921" s="173" t="s">
        <v>230</v>
      </c>
      <c r="E2921" s="173" t="s">
        <v>24</v>
      </c>
      <c r="F2921" s="173" t="s">
        <v>16</v>
      </c>
      <c r="G2921" s="87" t="b">
        <v>1</v>
      </c>
      <c r="H2921" s="87" t="b">
        <v>1</v>
      </c>
      <c r="I2921" s="87" t="b">
        <v>0</v>
      </c>
      <c r="J2921" s="173" t="s">
        <v>1512</v>
      </c>
      <c r="K2921" s="174">
        <v>394429017429</v>
      </c>
      <c r="L2921" s="173" t="s">
        <v>1410</v>
      </c>
      <c r="M2921" s="173" t="s">
        <v>131</v>
      </c>
      <c r="N2921" s="173" t="s">
        <v>61</v>
      </c>
      <c r="O2921" s="87">
        <v>64</v>
      </c>
      <c r="P2921" s="173" t="s">
        <v>25</v>
      </c>
      <c r="Q2921" s="1" t="s">
        <v>1344</v>
      </c>
      <c r="R2921" s="175">
        <v>22</v>
      </c>
      <c r="S2921">
        <v>22</v>
      </c>
    </row>
    <row r="2922" spans="1:19" x14ac:dyDescent="0.25">
      <c r="A2922" s="87">
        <v>2019</v>
      </c>
      <c r="B2922" s="87">
        <v>12</v>
      </c>
      <c r="C2922" s="173" t="s">
        <v>16</v>
      </c>
      <c r="D2922" s="173" t="s">
        <v>230</v>
      </c>
      <c r="E2922" s="173" t="s">
        <v>24</v>
      </c>
      <c r="F2922" s="173" t="s">
        <v>16</v>
      </c>
      <c r="G2922" s="87" t="b">
        <v>1</v>
      </c>
      <c r="H2922" s="87" t="b">
        <v>1</v>
      </c>
      <c r="I2922" s="87" t="b">
        <v>0</v>
      </c>
      <c r="J2922" s="173" t="s">
        <v>1330</v>
      </c>
      <c r="K2922" s="174">
        <v>394502006770</v>
      </c>
      <c r="L2922" s="173" t="s">
        <v>1385</v>
      </c>
      <c r="M2922" s="173" t="s">
        <v>75</v>
      </c>
      <c r="N2922" s="173" t="s">
        <v>74</v>
      </c>
      <c r="O2922" s="87">
        <v>70</v>
      </c>
      <c r="P2922" s="173" t="s">
        <v>20</v>
      </c>
      <c r="Q2922" s="1" t="s">
        <v>1338</v>
      </c>
      <c r="R2922" s="175">
        <v>200</v>
      </c>
      <c r="S2922">
        <v>40</v>
      </c>
    </row>
    <row r="2923" spans="1:19" x14ac:dyDescent="0.25">
      <c r="A2923" s="87">
        <v>2019</v>
      </c>
      <c r="B2923" s="87">
        <v>12</v>
      </c>
      <c r="C2923" s="173" t="s">
        <v>16</v>
      </c>
      <c r="D2923" s="173" t="s">
        <v>230</v>
      </c>
      <c r="E2923" s="173" t="s">
        <v>24</v>
      </c>
      <c r="F2923" s="173" t="s">
        <v>16</v>
      </c>
      <c r="G2923" s="87" t="b">
        <v>1</v>
      </c>
      <c r="H2923" s="87" t="b">
        <v>1</v>
      </c>
      <c r="I2923" s="87" t="b">
        <v>0</v>
      </c>
      <c r="J2923" s="173" t="s">
        <v>1330</v>
      </c>
      <c r="K2923" s="174">
        <v>394544020291</v>
      </c>
      <c r="L2923" s="173" t="s">
        <v>1072</v>
      </c>
      <c r="M2923" s="173" t="s">
        <v>131</v>
      </c>
      <c r="N2923" s="173" t="s">
        <v>61</v>
      </c>
      <c r="O2923" s="87">
        <v>70</v>
      </c>
      <c r="P2923" s="173" t="s">
        <v>20</v>
      </c>
      <c r="Q2923" s="1" t="s">
        <v>1346</v>
      </c>
      <c r="R2923" s="175">
        <v>585</v>
      </c>
      <c r="S2923">
        <v>234</v>
      </c>
    </row>
    <row r="2924" spans="1:19" x14ac:dyDescent="0.25">
      <c r="A2924" s="87">
        <v>2019</v>
      </c>
      <c r="B2924" s="87">
        <v>12</v>
      </c>
      <c r="C2924" s="173" t="s">
        <v>16</v>
      </c>
      <c r="D2924" s="173" t="s">
        <v>230</v>
      </c>
      <c r="E2924" s="173" t="s">
        <v>24</v>
      </c>
      <c r="F2924" s="173" t="s">
        <v>16</v>
      </c>
      <c r="G2924" s="87" t="b">
        <v>1</v>
      </c>
      <c r="H2924" s="87" t="b">
        <v>1</v>
      </c>
      <c r="I2924" s="87" t="b">
        <v>0</v>
      </c>
      <c r="J2924" s="173" t="s">
        <v>1330</v>
      </c>
      <c r="K2924" s="174">
        <v>394544020453</v>
      </c>
      <c r="L2924" s="173" t="s">
        <v>1074</v>
      </c>
      <c r="M2924" s="173" t="s">
        <v>131</v>
      </c>
      <c r="N2924" s="173" t="s">
        <v>61</v>
      </c>
      <c r="O2924" s="87">
        <v>70</v>
      </c>
      <c r="P2924" s="173" t="s">
        <v>20</v>
      </c>
      <c r="Q2924" s="1" t="s">
        <v>1338</v>
      </c>
      <c r="R2924" s="175">
        <v>900</v>
      </c>
      <c r="S2924">
        <v>180</v>
      </c>
    </row>
    <row r="2925" spans="1:19" x14ac:dyDescent="0.25">
      <c r="A2925" s="87">
        <v>2019</v>
      </c>
      <c r="B2925" s="87">
        <v>12</v>
      </c>
      <c r="C2925" s="173" t="s">
        <v>16</v>
      </c>
      <c r="D2925" s="173" t="s">
        <v>230</v>
      </c>
      <c r="E2925" s="173" t="s">
        <v>24</v>
      </c>
      <c r="F2925" s="173" t="s">
        <v>16</v>
      </c>
      <c r="G2925" s="87" t="b">
        <v>1</v>
      </c>
      <c r="H2925" s="87" t="b">
        <v>1</v>
      </c>
      <c r="I2925" s="87" t="b">
        <v>0</v>
      </c>
      <c r="J2925" s="173" t="s">
        <v>1330</v>
      </c>
      <c r="K2925" s="174">
        <v>394544021344</v>
      </c>
      <c r="L2925" s="173" t="s">
        <v>1076</v>
      </c>
      <c r="M2925" s="173" t="s">
        <v>131</v>
      </c>
      <c r="N2925" s="173" t="s">
        <v>61</v>
      </c>
      <c r="O2925" s="87">
        <v>64</v>
      </c>
      <c r="P2925" s="173" t="s">
        <v>25</v>
      </c>
      <c r="Q2925" s="1" t="s">
        <v>1344</v>
      </c>
      <c r="R2925" s="175">
        <v>160</v>
      </c>
      <c r="S2925">
        <v>160</v>
      </c>
    </row>
    <row r="2926" spans="1:19" x14ac:dyDescent="0.25">
      <c r="A2926" s="87">
        <v>2019</v>
      </c>
      <c r="B2926" s="87">
        <v>12</v>
      </c>
      <c r="C2926" s="173" t="s">
        <v>16</v>
      </c>
      <c r="D2926" s="173" t="s">
        <v>230</v>
      </c>
      <c r="E2926" s="173" t="s">
        <v>24</v>
      </c>
      <c r="F2926" s="173" t="s">
        <v>16</v>
      </c>
      <c r="G2926" s="87" t="b">
        <v>1</v>
      </c>
      <c r="H2926" s="87" t="b">
        <v>1</v>
      </c>
      <c r="I2926" s="87" t="b">
        <v>0</v>
      </c>
      <c r="J2926" s="173" t="s">
        <v>451</v>
      </c>
      <c r="K2926" s="174">
        <v>410960000120</v>
      </c>
      <c r="L2926" s="173" t="s">
        <v>1137</v>
      </c>
      <c r="M2926" s="173" t="s">
        <v>58</v>
      </c>
      <c r="N2926" s="173" t="s">
        <v>54</v>
      </c>
      <c r="O2926" s="87">
        <v>70</v>
      </c>
      <c r="P2926" s="173" t="s">
        <v>20</v>
      </c>
      <c r="Q2926" s="1" t="s">
        <v>1338</v>
      </c>
      <c r="R2926" s="175">
        <v>1170</v>
      </c>
      <c r="S2926">
        <v>234</v>
      </c>
    </row>
    <row r="2927" spans="1:19" x14ac:dyDescent="0.25">
      <c r="A2927" s="87">
        <v>2019</v>
      </c>
      <c r="B2927" s="87">
        <v>12</v>
      </c>
      <c r="C2927" s="173" t="s">
        <v>16</v>
      </c>
      <c r="D2927" s="173" t="s">
        <v>230</v>
      </c>
      <c r="E2927" s="173" t="s">
        <v>24</v>
      </c>
      <c r="F2927" s="173" t="s">
        <v>16</v>
      </c>
      <c r="G2927" s="87" t="b">
        <v>1</v>
      </c>
      <c r="H2927" s="87" t="b">
        <v>1</v>
      </c>
      <c r="I2927" s="87" t="b">
        <v>0</v>
      </c>
      <c r="J2927" s="173" t="s">
        <v>451</v>
      </c>
      <c r="K2927" s="174">
        <v>410960000120</v>
      </c>
      <c r="L2927" s="173" t="s">
        <v>1137</v>
      </c>
      <c r="M2927" s="173" t="s">
        <v>58</v>
      </c>
      <c r="N2927" s="173" t="s">
        <v>54</v>
      </c>
      <c r="O2927" s="87">
        <v>73</v>
      </c>
      <c r="P2927" s="173" t="s">
        <v>26</v>
      </c>
      <c r="Q2927" s="1" t="s">
        <v>1342</v>
      </c>
      <c r="R2927" s="175">
        <v>32</v>
      </c>
      <c r="S2927">
        <v>8</v>
      </c>
    </row>
    <row r="2928" spans="1:19" x14ac:dyDescent="0.25">
      <c r="A2928" s="87">
        <v>2019</v>
      </c>
      <c r="B2928" s="87">
        <v>12</v>
      </c>
      <c r="C2928" s="173" t="s">
        <v>16</v>
      </c>
      <c r="D2928" s="173" t="s">
        <v>230</v>
      </c>
      <c r="E2928" s="173" t="s">
        <v>24</v>
      </c>
      <c r="F2928" s="173" t="s">
        <v>16</v>
      </c>
      <c r="G2928" s="87" t="b">
        <v>1</v>
      </c>
      <c r="H2928" s="87" t="b">
        <v>1</v>
      </c>
      <c r="I2928" s="87" t="b">
        <v>0</v>
      </c>
      <c r="J2928" s="173" t="s">
        <v>451</v>
      </c>
      <c r="K2928" s="174">
        <v>437007000175</v>
      </c>
      <c r="L2928" s="173" t="s">
        <v>1038</v>
      </c>
      <c r="M2928" s="173" t="s">
        <v>1039</v>
      </c>
      <c r="N2928" s="173" t="s">
        <v>61</v>
      </c>
      <c r="O2928" s="87">
        <v>70</v>
      </c>
      <c r="P2928" s="173" t="s">
        <v>20</v>
      </c>
      <c r="Q2928" s="1" t="s">
        <v>1338</v>
      </c>
      <c r="R2928" s="175">
        <v>330</v>
      </c>
      <c r="S2928">
        <v>66</v>
      </c>
    </row>
    <row r="2929" spans="1:19" x14ac:dyDescent="0.25">
      <c r="A2929" s="87">
        <v>2019</v>
      </c>
      <c r="B2929" s="87">
        <v>12</v>
      </c>
      <c r="C2929" s="173" t="s">
        <v>16</v>
      </c>
      <c r="D2929" s="173" t="s">
        <v>230</v>
      </c>
      <c r="E2929" s="173" t="s">
        <v>24</v>
      </c>
      <c r="F2929" s="173" t="s">
        <v>16</v>
      </c>
      <c r="G2929" s="87" t="b">
        <v>1</v>
      </c>
      <c r="H2929" s="87" t="b">
        <v>1</v>
      </c>
      <c r="I2929" s="87" t="b">
        <v>0</v>
      </c>
      <c r="J2929" s="173" t="s">
        <v>491</v>
      </c>
      <c r="K2929" s="174">
        <v>437007000175</v>
      </c>
      <c r="L2929" s="173" t="s">
        <v>1038</v>
      </c>
      <c r="M2929" s="173" t="s">
        <v>1039</v>
      </c>
      <c r="N2929" s="173" t="s">
        <v>61</v>
      </c>
      <c r="O2929" s="87">
        <v>70</v>
      </c>
      <c r="P2929" s="173" t="s">
        <v>20</v>
      </c>
      <c r="Q2929" s="1" t="s">
        <v>1338</v>
      </c>
      <c r="R2929" s="175">
        <v>175</v>
      </c>
      <c r="S2929">
        <v>35</v>
      </c>
    </row>
    <row r="2930" spans="1:19" x14ac:dyDescent="0.25">
      <c r="A2930" s="87">
        <v>2019</v>
      </c>
      <c r="B2930" s="87">
        <v>12</v>
      </c>
      <c r="C2930" s="173" t="s">
        <v>16</v>
      </c>
      <c r="D2930" s="173" t="s">
        <v>230</v>
      </c>
      <c r="E2930" s="173" t="s">
        <v>24</v>
      </c>
      <c r="F2930" s="173" t="s">
        <v>16</v>
      </c>
      <c r="G2930" s="87" t="b">
        <v>1</v>
      </c>
      <c r="H2930" s="87" t="b">
        <v>1</v>
      </c>
      <c r="I2930" s="87" t="b">
        <v>0</v>
      </c>
      <c r="J2930" s="173" t="s">
        <v>491</v>
      </c>
      <c r="K2930" s="174">
        <v>437007000175</v>
      </c>
      <c r="L2930" s="173" t="s">
        <v>1038</v>
      </c>
      <c r="M2930" s="173" t="s">
        <v>1039</v>
      </c>
      <c r="N2930" s="173" t="s">
        <v>61</v>
      </c>
      <c r="O2930" s="87">
        <v>73</v>
      </c>
      <c r="P2930" s="173" t="s">
        <v>26</v>
      </c>
      <c r="Q2930" s="1" t="s">
        <v>1339</v>
      </c>
      <c r="R2930" s="175">
        <v>4</v>
      </c>
      <c r="S2930">
        <v>2</v>
      </c>
    </row>
    <row r="2931" spans="1:19" x14ac:dyDescent="0.25">
      <c r="A2931" s="87">
        <v>2019</v>
      </c>
      <c r="B2931" s="87">
        <v>12</v>
      </c>
      <c r="C2931" s="173" t="s">
        <v>16</v>
      </c>
      <c r="D2931" s="173" t="s">
        <v>230</v>
      </c>
      <c r="E2931" s="173" t="s">
        <v>24</v>
      </c>
      <c r="F2931" s="173" t="s">
        <v>16</v>
      </c>
      <c r="G2931" s="87" t="b">
        <v>1</v>
      </c>
      <c r="H2931" s="87" t="b">
        <v>1</v>
      </c>
      <c r="I2931" s="87" t="b">
        <v>0</v>
      </c>
      <c r="J2931" s="173" t="s">
        <v>491</v>
      </c>
      <c r="K2931" s="174">
        <v>437007000175</v>
      </c>
      <c r="L2931" s="173" t="s">
        <v>1038</v>
      </c>
      <c r="M2931" s="173" t="s">
        <v>1039</v>
      </c>
      <c r="N2931" s="173" t="s">
        <v>61</v>
      </c>
      <c r="O2931" s="87">
        <v>73</v>
      </c>
      <c r="P2931" s="173" t="s">
        <v>26</v>
      </c>
      <c r="Q2931" s="1" t="s">
        <v>1342</v>
      </c>
      <c r="R2931" s="175">
        <v>472</v>
      </c>
      <c r="S2931">
        <v>118</v>
      </c>
    </row>
    <row r="2932" spans="1:19" x14ac:dyDescent="0.25">
      <c r="A2932" s="87">
        <v>2019</v>
      </c>
      <c r="B2932" s="87">
        <v>12</v>
      </c>
      <c r="C2932" s="173" t="s">
        <v>16</v>
      </c>
      <c r="D2932" s="173" t="s">
        <v>230</v>
      </c>
      <c r="E2932" s="173" t="s">
        <v>24</v>
      </c>
      <c r="F2932" s="173" t="s">
        <v>16</v>
      </c>
      <c r="G2932" s="87" t="b">
        <v>1</v>
      </c>
      <c r="H2932" s="87" t="b">
        <v>1</v>
      </c>
      <c r="I2932" s="87" t="b">
        <v>0</v>
      </c>
      <c r="J2932" s="173" t="s">
        <v>491</v>
      </c>
      <c r="K2932" s="174">
        <v>437007000175</v>
      </c>
      <c r="L2932" s="173" t="s">
        <v>1038</v>
      </c>
      <c r="M2932" s="173" t="s">
        <v>1039</v>
      </c>
      <c r="N2932" s="173" t="s">
        <v>61</v>
      </c>
      <c r="O2932" s="87">
        <v>73</v>
      </c>
      <c r="P2932" s="173" t="s">
        <v>26</v>
      </c>
      <c r="Q2932" s="1" t="s">
        <v>1340</v>
      </c>
      <c r="R2932" s="175">
        <v>2</v>
      </c>
      <c r="S2932">
        <v>2</v>
      </c>
    </row>
    <row r="2933" spans="1:19" x14ac:dyDescent="0.25">
      <c r="A2933" s="87">
        <v>2019</v>
      </c>
      <c r="B2933" s="87">
        <v>12</v>
      </c>
      <c r="C2933" s="173" t="s">
        <v>16</v>
      </c>
      <c r="D2933" s="173" t="s">
        <v>230</v>
      </c>
      <c r="E2933" s="173" t="s">
        <v>24</v>
      </c>
      <c r="F2933" s="173" t="s">
        <v>16</v>
      </c>
      <c r="G2933" s="87" t="b">
        <v>1</v>
      </c>
      <c r="H2933" s="87" t="b">
        <v>1</v>
      </c>
      <c r="I2933" s="87" t="b">
        <v>0</v>
      </c>
      <c r="J2933" s="173" t="s">
        <v>450</v>
      </c>
      <c r="K2933" s="174">
        <v>461479001054</v>
      </c>
      <c r="L2933" s="173" t="s">
        <v>558</v>
      </c>
      <c r="M2933" s="173" t="s">
        <v>29</v>
      </c>
      <c r="N2933" s="173" t="s">
        <v>19</v>
      </c>
      <c r="O2933" s="87">
        <v>70</v>
      </c>
      <c r="P2933" s="173" t="s">
        <v>20</v>
      </c>
      <c r="Q2933" s="1" t="s">
        <v>1338</v>
      </c>
      <c r="R2933" s="175">
        <v>100</v>
      </c>
      <c r="S2933">
        <v>20</v>
      </c>
    </row>
    <row r="2934" spans="1:19" x14ac:dyDescent="0.25">
      <c r="A2934" s="87">
        <v>2019</v>
      </c>
      <c r="B2934" s="87">
        <v>12</v>
      </c>
      <c r="C2934" s="173" t="s">
        <v>16</v>
      </c>
      <c r="D2934" s="173" t="s">
        <v>230</v>
      </c>
      <c r="E2934" s="173" t="s">
        <v>24</v>
      </c>
      <c r="F2934" s="173" t="s">
        <v>16</v>
      </c>
      <c r="G2934" s="87" t="b">
        <v>1</v>
      </c>
      <c r="H2934" s="87" t="b">
        <v>1</v>
      </c>
      <c r="I2934" s="87" t="b">
        <v>0</v>
      </c>
      <c r="J2934" s="173" t="s">
        <v>450</v>
      </c>
      <c r="K2934" s="174">
        <v>461479004584</v>
      </c>
      <c r="L2934" s="173" t="s">
        <v>560</v>
      </c>
      <c r="M2934" s="173" t="s">
        <v>29</v>
      </c>
      <c r="N2934" s="173" t="s">
        <v>19</v>
      </c>
      <c r="O2934" s="87">
        <v>70</v>
      </c>
      <c r="P2934" s="173" t="s">
        <v>20</v>
      </c>
      <c r="Q2934" s="1" t="s">
        <v>1338</v>
      </c>
      <c r="R2934" s="175">
        <v>570</v>
      </c>
      <c r="S2934">
        <v>114</v>
      </c>
    </row>
    <row r="2935" spans="1:19" x14ac:dyDescent="0.25">
      <c r="A2935" s="87">
        <v>2019</v>
      </c>
      <c r="B2935" s="87">
        <v>12</v>
      </c>
      <c r="C2935" s="173" t="s">
        <v>16</v>
      </c>
      <c r="D2935" s="173" t="s">
        <v>230</v>
      </c>
      <c r="E2935" s="173" t="s">
        <v>24</v>
      </c>
      <c r="F2935" s="173" t="s">
        <v>16</v>
      </c>
      <c r="G2935" s="87" t="b">
        <v>1</v>
      </c>
      <c r="H2935" s="87" t="b">
        <v>1</v>
      </c>
      <c r="I2935" s="87" t="b">
        <v>0</v>
      </c>
      <c r="J2935" s="173" t="s">
        <v>463</v>
      </c>
      <c r="K2935" s="174">
        <v>461479004584</v>
      </c>
      <c r="L2935" s="173" t="s">
        <v>560</v>
      </c>
      <c r="M2935" s="173" t="s">
        <v>29</v>
      </c>
      <c r="N2935" s="173" t="s">
        <v>19</v>
      </c>
      <c r="O2935" s="87">
        <v>70</v>
      </c>
      <c r="P2935" s="173" t="s">
        <v>20</v>
      </c>
      <c r="Q2935" s="1" t="s">
        <v>1338</v>
      </c>
      <c r="R2935" s="175">
        <v>650</v>
      </c>
      <c r="S2935">
        <v>130</v>
      </c>
    </row>
    <row r="2936" spans="1:19" x14ac:dyDescent="0.25">
      <c r="A2936" s="87">
        <v>2019</v>
      </c>
      <c r="B2936" s="87">
        <v>12</v>
      </c>
      <c r="C2936" s="173" t="s">
        <v>16</v>
      </c>
      <c r="D2936" s="173" t="s">
        <v>230</v>
      </c>
      <c r="E2936" s="173" t="s">
        <v>24</v>
      </c>
      <c r="F2936" s="173" t="s">
        <v>16</v>
      </c>
      <c r="G2936" s="87" t="b">
        <v>1</v>
      </c>
      <c r="H2936" s="87" t="b">
        <v>1</v>
      </c>
      <c r="I2936" s="87" t="b">
        <v>0</v>
      </c>
      <c r="J2936" s="173" t="s">
        <v>470</v>
      </c>
      <c r="K2936" s="174">
        <v>461479007176</v>
      </c>
      <c r="L2936" s="173" t="s">
        <v>1357</v>
      </c>
      <c r="M2936" s="173" t="s">
        <v>29</v>
      </c>
      <c r="N2936" s="173" t="s">
        <v>19</v>
      </c>
      <c r="O2936" s="87">
        <v>64</v>
      </c>
      <c r="P2936" s="173" t="s">
        <v>25</v>
      </c>
      <c r="Q2936" s="1" t="s">
        <v>1344</v>
      </c>
      <c r="R2936" s="175">
        <v>10</v>
      </c>
      <c r="S2936">
        <v>10</v>
      </c>
    </row>
    <row r="2937" spans="1:19" x14ac:dyDescent="0.25">
      <c r="A2937" s="87">
        <v>2019</v>
      </c>
      <c r="B2937" s="87">
        <v>12</v>
      </c>
      <c r="C2937" s="173" t="s">
        <v>16</v>
      </c>
      <c r="D2937" s="173" t="s">
        <v>230</v>
      </c>
      <c r="E2937" s="173" t="s">
        <v>24</v>
      </c>
      <c r="F2937" s="173" t="s">
        <v>16</v>
      </c>
      <c r="G2937" s="87" t="b">
        <v>1</v>
      </c>
      <c r="H2937" s="87" t="b">
        <v>1</v>
      </c>
      <c r="I2937" s="87" t="b">
        <v>0</v>
      </c>
      <c r="J2937" s="173" t="s">
        <v>468</v>
      </c>
      <c r="K2937" s="174">
        <v>511816000180</v>
      </c>
      <c r="L2937" s="173" t="s">
        <v>754</v>
      </c>
      <c r="M2937" s="173" t="s">
        <v>739</v>
      </c>
      <c r="N2937" s="173" t="s">
        <v>55</v>
      </c>
      <c r="O2937" s="87">
        <v>64</v>
      </c>
      <c r="P2937" s="173" t="s">
        <v>25</v>
      </c>
      <c r="Q2937" s="1" t="s">
        <v>1344</v>
      </c>
      <c r="R2937" s="175">
        <v>3</v>
      </c>
      <c r="S2937">
        <v>3</v>
      </c>
    </row>
    <row r="2938" spans="1:19" x14ac:dyDescent="0.25">
      <c r="A2938" s="87">
        <v>2019</v>
      </c>
      <c r="B2938" s="87">
        <v>12</v>
      </c>
      <c r="C2938" s="173" t="s">
        <v>16</v>
      </c>
      <c r="D2938" s="173" t="s">
        <v>230</v>
      </c>
      <c r="E2938" s="173" t="s">
        <v>24</v>
      </c>
      <c r="F2938" s="173" t="s">
        <v>16</v>
      </c>
      <c r="G2938" s="87" t="b">
        <v>1</v>
      </c>
      <c r="H2938" s="87" t="b">
        <v>1</v>
      </c>
      <c r="I2938" s="87" t="b">
        <v>0</v>
      </c>
      <c r="J2938" s="173" t="s">
        <v>477</v>
      </c>
      <c r="K2938" s="174">
        <v>520237000101</v>
      </c>
      <c r="L2938" s="173" t="s">
        <v>755</v>
      </c>
      <c r="M2938" s="173" t="s">
        <v>739</v>
      </c>
      <c r="N2938" s="173" t="s">
        <v>55</v>
      </c>
      <c r="O2938" s="87">
        <v>70</v>
      </c>
      <c r="P2938" s="173" t="s">
        <v>20</v>
      </c>
      <c r="Q2938" s="1" t="s">
        <v>1338</v>
      </c>
      <c r="R2938" s="175">
        <v>10</v>
      </c>
      <c r="S2938">
        <v>2</v>
      </c>
    </row>
    <row r="2939" spans="1:19" x14ac:dyDescent="0.25">
      <c r="A2939" s="87">
        <v>2019</v>
      </c>
      <c r="B2939" s="87">
        <v>12</v>
      </c>
      <c r="C2939" s="173" t="s">
        <v>16</v>
      </c>
      <c r="D2939" s="173" t="s">
        <v>230</v>
      </c>
      <c r="E2939" s="173" t="s">
        <v>24</v>
      </c>
      <c r="F2939" s="173" t="s">
        <v>16</v>
      </c>
      <c r="G2939" s="87" t="b">
        <v>1</v>
      </c>
      <c r="H2939" s="87" t="b">
        <v>1</v>
      </c>
      <c r="I2939" s="87" t="b">
        <v>0</v>
      </c>
      <c r="J2939" s="173" t="s">
        <v>468</v>
      </c>
      <c r="K2939" s="174">
        <v>520237000101</v>
      </c>
      <c r="L2939" s="173" t="s">
        <v>755</v>
      </c>
      <c r="M2939" s="173" t="s">
        <v>739</v>
      </c>
      <c r="N2939" s="173" t="s">
        <v>55</v>
      </c>
      <c r="O2939" s="87">
        <v>70</v>
      </c>
      <c r="P2939" s="173" t="s">
        <v>20</v>
      </c>
      <c r="Q2939" s="1" t="s">
        <v>1338</v>
      </c>
      <c r="R2939" s="175">
        <v>650</v>
      </c>
      <c r="S2939">
        <v>130</v>
      </c>
    </row>
    <row r="2940" spans="1:19" x14ac:dyDescent="0.25">
      <c r="A2940" s="87">
        <v>2019</v>
      </c>
      <c r="B2940" s="87">
        <v>12</v>
      </c>
      <c r="C2940" s="173" t="s">
        <v>16</v>
      </c>
      <c r="D2940" s="173" t="s">
        <v>230</v>
      </c>
      <c r="E2940" s="173" t="s">
        <v>24</v>
      </c>
      <c r="F2940" s="173" t="s">
        <v>16</v>
      </c>
      <c r="G2940" s="87" t="b">
        <v>1</v>
      </c>
      <c r="H2940" s="87" t="b">
        <v>1</v>
      </c>
      <c r="I2940" s="87" t="b">
        <v>0</v>
      </c>
      <c r="J2940" s="173" t="s">
        <v>468</v>
      </c>
      <c r="K2940" s="174">
        <v>520237000101</v>
      </c>
      <c r="L2940" s="173" t="s">
        <v>755</v>
      </c>
      <c r="M2940" s="173" t="s">
        <v>739</v>
      </c>
      <c r="N2940" s="173" t="s">
        <v>55</v>
      </c>
      <c r="O2940" s="87">
        <v>73</v>
      </c>
      <c r="P2940" s="173" t="s">
        <v>26</v>
      </c>
      <c r="Q2940" s="1" t="s">
        <v>1339</v>
      </c>
      <c r="R2940" s="175">
        <v>10</v>
      </c>
      <c r="S2940">
        <v>5</v>
      </c>
    </row>
    <row r="2941" spans="1:19" x14ac:dyDescent="0.25">
      <c r="A2941" s="87">
        <v>2019</v>
      </c>
      <c r="B2941" s="87">
        <v>12</v>
      </c>
      <c r="C2941" s="173" t="s">
        <v>16</v>
      </c>
      <c r="D2941" s="173" t="s">
        <v>230</v>
      </c>
      <c r="E2941" s="173" t="s">
        <v>24</v>
      </c>
      <c r="F2941" s="173" t="s">
        <v>16</v>
      </c>
      <c r="G2941" s="87" t="b">
        <v>1</v>
      </c>
      <c r="H2941" s="87" t="b">
        <v>1</v>
      </c>
      <c r="I2941" s="87" t="b">
        <v>0</v>
      </c>
      <c r="J2941" s="173" t="s">
        <v>468</v>
      </c>
      <c r="K2941" s="174">
        <v>520237000101</v>
      </c>
      <c r="L2941" s="173" t="s">
        <v>755</v>
      </c>
      <c r="M2941" s="173" t="s">
        <v>739</v>
      </c>
      <c r="N2941" s="173" t="s">
        <v>55</v>
      </c>
      <c r="O2941" s="87">
        <v>73</v>
      </c>
      <c r="P2941" s="173" t="s">
        <v>26</v>
      </c>
      <c r="Q2941" s="1" t="s">
        <v>1342</v>
      </c>
      <c r="R2941" s="175">
        <v>24</v>
      </c>
      <c r="S2941">
        <v>6</v>
      </c>
    </row>
    <row r="2942" spans="1:19" x14ac:dyDescent="0.25">
      <c r="A2942" s="87">
        <v>2019</v>
      </c>
      <c r="B2942" s="87">
        <v>12</v>
      </c>
      <c r="C2942" s="173" t="s">
        <v>16</v>
      </c>
      <c r="D2942" s="173" t="s">
        <v>230</v>
      </c>
      <c r="E2942" s="173" t="s">
        <v>24</v>
      </c>
      <c r="F2942" s="173" t="s">
        <v>16</v>
      </c>
      <c r="G2942" s="87" t="b">
        <v>1</v>
      </c>
      <c r="H2942" s="87" t="b">
        <v>1</v>
      </c>
      <c r="I2942" s="87" t="b">
        <v>0</v>
      </c>
      <c r="J2942" s="173" t="s">
        <v>468</v>
      </c>
      <c r="K2942" s="174">
        <v>520237000101</v>
      </c>
      <c r="L2942" s="173" t="s">
        <v>755</v>
      </c>
      <c r="M2942" s="173" t="s">
        <v>739</v>
      </c>
      <c r="N2942" s="173" t="s">
        <v>55</v>
      </c>
      <c r="O2942" s="87">
        <v>73</v>
      </c>
      <c r="P2942" s="173" t="s">
        <v>26</v>
      </c>
      <c r="Q2942" s="1" t="s">
        <v>1340</v>
      </c>
      <c r="R2942" s="175">
        <v>10</v>
      </c>
      <c r="S2942">
        <v>10</v>
      </c>
    </row>
    <row r="2943" spans="1:19" x14ac:dyDescent="0.25">
      <c r="A2943" s="87">
        <v>2019</v>
      </c>
      <c r="B2943" s="87">
        <v>12</v>
      </c>
      <c r="C2943" s="173" t="s">
        <v>16</v>
      </c>
      <c r="D2943" s="173" t="s">
        <v>230</v>
      </c>
      <c r="E2943" s="173" t="s">
        <v>24</v>
      </c>
      <c r="F2943" s="173" t="s">
        <v>16</v>
      </c>
      <c r="G2943" s="87" t="b">
        <v>1</v>
      </c>
      <c r="H2943" s="87" t="b">
        <v>1</v>
      </c>
      <c r="I2943" s="87" t="b">
        <v>0</v>
      </c>
      <c r="J2943" s="173" t="s">
        <v>491</v>
      </c>
      <c r="K2943" s="174">
        <v>520237000101</v>
      </c>
      <c r="L2943" s="173" t="s">
        <v>755</v>
      </c>
      <c r="M2943" s="173" t="s">
        <v>739</v>
      </c>
      <c r="N2943" s="173" t="s">
        <v>55</v>
      </c>
      <c r="O2943" s="87">
        <v>73</v>
      </c>
      <c r="P2943" s="173" t="s">
        <v>26</v>
      </c>
      <c r="Q2943" s="1" t="s">
        <v>1342</v>
      </c>
      <c r="R2943" s="175">
        <v>120</v>
      </c>
      <c r="S2943">
        <v>30</v>
      </c>
    </row>
    <row r="2944" spans="1:19" x14ac:dyDescent="0.25">
      <c r="A2944" s="87">
        <v>2019</v>
      </c>
      <c r="B2944" s="87">
        <v>12</v>
      </c>
      <c r="C2944" s="173" t="s">
        <v>16</v>
      </c>
      <c r="D2944" s="173" t="s">
        <v>230</v>
      </c>
      <c r="E2944" s="173" t="s">
        <v>24</v>
      </c>
      <c r="F2944" s="173" t="s">
        <v>16</v>
      </c>
      <c r="G2944" s="87" t="b">
        <v>1</v>
      </c>
      <c r="H2944" s="87" t="b">
        <v>1</v>
      </c>
      <c r="I2944" s="87" t="b">
        <v>0</v>
      </c>
      <c r="J2944" s="173" t="s">
        <v>491</v>
      </c>
      <c r="K2944" s="174">
        <v>520237000101</v>
      </c>
      <c r="L2944" s="173" t="s">
        <v>755</v>
      </c>
      <c r="M2944" s="173" t="s">
        <v>739</v>
      </c>
      <c r="N2944" s="173" t="s">
        <v>55</v>
      </c>
      <c r="O2944" s="87">
        <v>73</v>
      </c>
      <c r="P2944" s="173" t="s">
        <v>26</v>
      </c>
      <c r="Q2944" s="1" t="s">
        <v>1340</v>
      </c>
      <c r="R2944" s="175">
        <v>3</v>
      </c>
      <c r="S2944">
        <v>3</v>
      </c>
    </row>
    <row r="2945" spans="1:19" x14ac:dyDescent="0.25">
      <c r="A2945" s="87">
        <v>2019</v>
      </c>
      <c r="B2945" s="87">
        <v>12</v>
      </c>
      <c r="C2945" s="173" t="s">
        <v>16</v>
      </c>
      <c r="D2945" s="173" t="s">
        <v>230</v>
      </c>
      <c r="E2945" s="173" t="s">
        <v>24</v>
      </c>
      <c r="F2945" s="173" t="s">
        <v>16</v>
      </c>
      <c r="G2945" s="87" t="b">
        <v>1</v>
      </c>
      <c r="H2945" s="87" t="b">
        <v>1</v>
      </c>
      <c r="I2945" s="87" t="b">
        <v>0</v>
      </c>
      <c r="J2945" s="173" t="s">
        <v>477</v>
      </c>
      <c r="K2945" s="174">
        <v>521197000104</v>
      </c>
      <c r="L2945" s="173" t="s">
        <v>1040</v>
      </c>
      <c r="M2945" s="173" t="s">
        <v>1039</v>
      </c>
      <c r="N2945" s="173" t="s">
        <v>61</v>
      </c>
      <c r="O2945" s="87">
        <v>70</v>
      </c>
      <c r="P2945" s="173" t="s">
        <v>20</v>
      </c>
      <c r="Q2945" s="1" t="s">
        <v>1338</v>
      </c>
      <c r="R2945" s="175">
        <v>50</v>
      </c>
      <c r="S2945">
        <v>10</v>
      </c>
    </row>
    <row r="2946" spans="1:19" x14ac:dyDescent="0.25">
      <c r="A2946" s="87">
        <v>2019</v>
      </c>
      <c r="B2946" s="87">
        <v>12</v>
      </c>
      <c r="C2946" s="173" t="s">
        <v>16</v>
      </c>
      <c r="D2946" s="173" t="s">
        <v>230</v>
      </c>
      <c r="E2946" s="173" t="s">
        <v>24</v>
      </c>
      <c r="F2946" s="173" t="s">
        <v>16</v>
      </c>
      <c r="G2946" s="87" t="b">
        <v>1</v>
      </c>
      <c r="H2946" s="87" t="b">
        <v>1</v>
      </c>
      <c r="I2946" s="87" t="b">
        <v>0</v>
      </c>
      <c r="J2946" s="173" t="s">
        <v>451</v>
      </c>
      <c r="K2946" s="174">
        <v>521197000104</v>
      </c>
      <c r="L2946" s="173" t="s">
        <v>1040</v>
      </c>
      <c r="M2946" s="173" t="s">
        <v>1039</v>
      </c>
      <c r="N2946" s="173" t="s">
        <v>61</v>
      </c>
      <c r="O2946" s="87">
        <v>70</v>
      </c>
      <c r="P2946" s="173" t="s">
        <v>20</v>
      </c>
      <c r="Q2946" s="1" t="s">
        <v>1346</v>
      </c>
      <c r="R2946" s="175">
        <v>12.5</v>
      </c>
      <c r="S2946">
        <v>5</v>
      </c>
    </row>
    <row r="2947" spans="1:19" x14ac:dyDescent="0.25">
      <c r="A2947" s="87">
        <v>2019</v>
      </c>
      <c r="B2947" s="87">
        <v>12</v>
      </c>
      <c r="C2947" s="173" t="s">
        <v>16</v>
      </c>
      <c r="D2947" s="173" t="s">
        <v>230</v>
      </c>
      <c r="E2947" s="173" t="s">
        <v>24</v>
      </c>
      <c r="F2947" s="173" t="s">
        <v>16</v>
      </c>
      <c r="G2947" s="87" t="b">
        <v>1</v>
      </c>
      <c r="H2947" s="87" t="b">
        <v>1</v>
      </c>
      <c r="I2947" s="87" t="b">
        <v>0</v>
      </c>
      <c r="J2947" s="173" t="s">
        <v>451</v>
      </c>
      <c r="K2947" s="174">
        <v>521197000104</v>
      </c>
      <c r="L2947" s="173" t="s">
        <v>1040</v>
      </c>
      <c r="M2947" s="173" t="s">
        <v>1039</v>
      </c>
      <c r="N2947" s="173" t="s">
        <v>61</v>
      </c>
      <c r="O2947" s="87">
        <v>70</v>
      </c>
      <c r="P2947" s="173" t="s">
        <v>20</v>
      </c>
      <c r="Q2947" s="1" t="s">
        <v>1338</v>
      </c>
      <c r="R2947" s="175">
        <v>290</v>
      </c>
      <c r="S2947">
        <v>58</v>
      </c>
    </row>
    <row r="2948" spans="1:19" x14ac:dyDescent="0.25">
      <c r="A2948" s="87">
        <v>2019</v>
      </c>
      <c r="B2948" s="87">
        <v>12</v>
      </c>
      <c r="C2948" s="173" t="s">
        <v>16</v>
      </c>
      <c r="D2948" s="173" t="s">
        <v>230</v>
      </c>
      <c r="E2948" s="173" t="s">
        <v>24</v>
      </c>
      <c r="F2948" s="173" t="s">
        <v>16</v>
      </c>
      <c r="G2948" s="87" t="b">
        <v>1</v>
      </c>
      <c r="H2948" s="87" t="b">
        <v>1</v>
      </c>
      <c r="I2948" s="87" t="b">
        <v>0</v>
      </c>
      <c r="J2948" s="173" t="s">
        <v>491</v>
      </c>
      <c r="K2948" s="174">
        <v>521197000104</v>
      </c>
      <c r="L2948" s="173" t="s">
        <v>1040</v>
      </c>
      <c r="M2948" s="173" t="s">
        <v>1039</v>
      </c>
      <c r="N2948" s="173" t="s">
        <v>61</v>
      </c>
      <c r="O2948" s="87">
        <v>70</v>
      </c>
      <c r="P2948" s="173" t="s">
        <v>20</v>
      </c>
      <c r="Q2948" s="1" t="s">
        <v>1338</v>
      </c>
      <c r="R2948" s="175">
        <v>100</v>
      </c>
      <c r="S2948">
        <v>20</v>
      </c>
    </row>
    <row r="2949" spans="1:19" x14ac:dyDescent="0.25">
      <c r="A2949" s="87">
        <v>2019</v>
      </c>
      <c r="B2949" s="87">
        <v>12</v>
      </c>
      <c r="C2949" s="173" t="s">
        <v>16</v>
      </c>
      <c r="D2949" s="173" t="s">
        <v>230</v>
      </c>
      <c r="E2949" s="173" t="s">
        <v>24</v>
      </c>
      <c r="F2949" s="173" t="s">
        <v>16</v>
      </c>
      <c r="G2949" s="87" t="b">
        <v>1</v>
      </c>
      <c r="H2949" s="87" t="b">
        <v>1</v>
      </c>
      <c r="I2949" s="87" t="b">
        <v>0</v>
      </c>
      <c r="J2949" s="173" t="s">
        <v>470</v>
      </c>
      <c r="K2949" s="174">
        <v>603226000187</v>
      </c>
      <c r="L2949" s="173" t="s">
        <v>561</v>
      </c>
      <c r="M2949" s="173" t="s">
        <v>29</v>
      </c>
      <c r="N2949" s="173" t="s">
        <v>19</v>
      </c>
      <c r="O2949" s="87">
        <v>73</v>
      </c>
      <c r="P2949" s="173" t="s">
        <v>26</v>
      </c>
      <c r="Q2949" s="1" t="s">
        <v>1342</v>
      </c>
      <c r="R2949" s="175">
        <v>12</v>
      </c>
      <c r="S2949">
        <v>3</v>
      </c>
    </row>
    <row r="2950" spans="1:19" x14ac:dyDescent="0.25">
      <c r="A2950" s="87">
        <v>2019</v>
      </c>
      <c r="B2950" s="87">
        <v>12</v>
      </c>
      <c r="C2950" s="173" t="s">
        <v>16</v>
      </c>
      <c r="D2950" s="173" t="s">
        <v>230</v>
      </c>
      <c r="E2950" s="173" t="s">
        <v>24</v>
      </c>
      <c r="F2950" s="173" t="s">
        <v>16</v>
      </c>
      <c r="G2950" s="87" t="b">
        <v>1</v>
      </c>
      <c r="H2950" s="87" t="b">
        <v>1</v>
      </c>
      <c r="I2950" s="87" t="b">
        <v>0</v>
      </c>
      <c r="J2950" s="173" t="s">
        <v>449</v>
      </c>
      <c r="K2950" s="174">
        <v>773639000100</v>
      </c>
      <c r="L2950" s="173" t="s">
        <v>1397</v>
      </c>
      <c r="M2950" s="173" t="s">
        <v>83</v>
      </c>
      <c r="N2950" s="173" t="s">
        <v>67</v>
      </c>
      <c r="O2950" s="87">
        <v>73</v>
      </c>
      <c r="P2950" s="173" t="s">
        <v>26</v>
      </c>
      <c r="Q2950" s="1" t="s">
        <v>1342</v>
      </c>
      <c r="R2950" s="175">
        <v>8</v>
      </c>
      <c r="S2950">
        <v>2</v>
      </c>
    </row>
    <row r="2951" spans="1:19" x14ac:dyDescent="0.25">
      <c r="A2951" s="87">
        <v>2019</v>
      </c>
      <c r="B2951" s="87">
        <v>12</v>
      </c>
      <c r="C2951" s="173" t="s">
        <v>16</v>
      </c>
      <c r="D2951" s="173" t="s">
        <v>230</v>
      </c>
      <c r="E2951" s="173" t="s">
        <v>24</v>
      </c>
      <c r="F2951" s="173" t="s">
        <v>16</v>
      </c>
      <c r="G2951" s="87" t="b">
        <v>1</v>
      </c>
      <c r="H2951" s="87" t="b">
        <v>1</v>
      </c>
      <c r="I2951" s="87" t="b">
        <v>0</v>
      </c>
      <c r="J2951" s="173" t="s">
        <v>495</v>
      </c>
      <c r="K2951" s="174">
        <v>840048000450</v>
      </c>
      <c r="L2951" s="173" t="s">
        <v>637</v>
      </c>
      <c r="M2951" s="173" t="s">
        <v>30</v>
      </c>
      <c r="N2951" s="173" t="s">
        <v>19</v>
      </c>
      <c r="O2951" s="87">
        <v>70</v>
      </c>
      <c r="P2951" s="173" t="s">
        <v>20</v>
      </c>
      <c r="Q2951" s="1" t="s">
        <v>1345</v>
      </c>
      <c r="R2951" s="175">
        <v>20</v>
      </c>
      <c r="S2951">
        <v>2</v>
      </c>
    </row>
    <row r="2952" spans="1:19" x14ac:dyDescent="0.25">
      <c r="A2952" s="87">
        <v>2019</v>
      </c>
      <c r="B2952" s="87">
        <v>12</v>
      </c>
      <c r="C2952" s="173" t="s">
        <v>16</v>
      </c>
      <c r="D2952" s="173" t="s">
        <v>230</v>
      </c>
      <c r="E2952" s="173" t="s">
        <v>24</v>
      </c>
      <c r="F2952" s="173" t="s">
        <v>16</v>
      </c>
      <c r="G2952" s="87" t="b">
        <v>1</v>
      </c>
      <c r="H2952" s="87" t="b">
        <v>1</v>
      </c>
      <c r="I2952" s="87" t="b">
        <v>0</v>
      </c>
      <c r="J2952" s="173" t="s">
        <v>470</v>
      </c>
      <c r="K2952" s="174">
        <v>942063000167</v>
      </c>
      <c r="L2952" s="173" t="s">
        <v>934</v>
      </c>
      <c r="M2952" s="173" t="s">
        <v>94</v>
      </c>
      <c r="N2952" s="173" t="s">
        <v>57</v>
      </c>
      <c r="O2952" s="87">
        <v>70</v>
      </c>
      <c r="P2952" s="173" t="s">
        <v>20</v>
      </c>
      <c r="Q2952" s="1" t="s">
        <v>1338</v>
      </c>
      <c r="R2952" s="175">
        <v>200</v>
      </c>
      <c r="S2952">
        <v>40</v>
      </c>
    </row>
    <row r="2953" spans="1:19" x14ac:dyDescent="0.25">
      <c r="A2953" s="87">
        <v>2019</v>
      </c>
      <c r="B2953" s="87">
        <v>12</v>
      </c>
      <c r="C2953" s="173" t="s">
        <v>16</v>
      </c>
      <c r="D2953" s="173" t="s">
        <v>230</v>
      </c>
      <c r="E2953" s="173" t="s">
        <v>24</v>
      </c>
      <c r="F2953" s="173" t="s">
        <v>16</v>
      </c>
      <c r="G2953" s="87" t="b">
        <v>1</v>
      </c>
      <c r="H2953" s="87" t="b">
        <v>1</v>
      </c>
      <c r="I2953" s="87" t="b">
        <v>0</v>
      </c>
      <c r="J2953" s="173" t="s">
        <v>492</v>
      </c>
      <c r="K2953" s="174">
        <v>942063000167</v>
      </c>
      <c r="L2953" s="173" t="s">
        <v>934</v>
      </c>
      <c r="M2953" s="173" t="s">
        <v>94</v>
      </c>
      <c r="N2953" s="173" t="s">
        <v>57</v>
      </c>
      <c r="O2953" s="87">
        <v>70</v>
      </c>
      <c r="P2953" s="173" t="s">
        <v>20</v>
      </c>
      <c r="Q2953" s="1" t="s">
        <v>1338</v>
      </c>
      <c r="R2953" s="175">
        <v>200</v>
      </c>
      <c r="S2953">
        <v>40</v>
      </c>
    </row>
    <row r="2954" spans="1:19" x14ac:dyDescent="0.25">
      <c r="A2954" s="87">
        <v>2019</v>
      </c>
      <c r="B2954" s="87">
        <v>12</v>
      </c>
      <c r="C2954" s="173" t="s">
        <v>16</v>
      </c>
      <c r="D2954" s="173" t="s">
        <v>230</v>
      </c>
      <c r="E2954" s="173" t="s">
        <v>24</v>
      </c>
      <c r="F2954" s="173" t="s">
        <v>16</v>
      </c>
      <c r="G2954" s="87" t="b">
        <v>1</v>
      </c>
      <c r="H2954" s="87" t="b">
        <v>1</v>
      </c>
      <c r="I2954" s="87" t="b">
        <v>0</v>
      </c>
      <c r="J2954" s="173" t="s">
        <v>450</v>
      </c>
      <c r="K2954" s="174">
        <v>1011865000116</v>
      </c>
      <c r="L2954" s="173" t="s">
        <v>759</v>
      </c>
      <c r="M2954" s="173" t="s">
        <v>745</v>
      </c>
      <c r="N2954" s="173" t="s">
        <v>59</v>
      </c>
      <c r="O2954" s="87">
        <v>70</v>
      </c>
      <c r="P2954" s="173" t="s">
        <v>20</v>
      </c>
      <c r="Q2954" s="1" t="s">
        <v>1338</v>
      </c>
      <c r="R2954" s="175">
        <v>150</v>
      </c>
      <c r="S2954">
        <v>30</v>
      </c>
    </row>
    <row r="2955" spans="1:19" x14ac:dyDescent="0.25">
      <c r="A2955" s="87">
        <v>2019</v>
      </c>
      <c r="B2955" s="87">
        <v>12</v>
      </c>
      <c r="C2955" s="173" t="s">
        <v>16</v>
      </c>
      <c r="D2955" s="173" t="s">
        <v>230</v>
      </c>
      <c r="E2955" s="173" t="s">
        <v>24</v>
      </c>
      <c r="F2955" s="173" t="s">
        <v>16</v>
      </c>
      <c r="G2955" s="87" t="b">
        <v>1</v>
      </c>
      <c r="H2955" s="87" t="b">
        <v>1</v>
      </c>
      <c r="I2955" s="87" t="b">
        <v>0</v>
      </c>
      <c r="J2955" s="173" t="s">
        <v>468</v>
      </c>
      <c r="K2955" s="174">
        <v>1011865000116</v>
      </c>
      <c r="L2955" s="173" t="s">
        <v>759</v>
      </c>
      <c r="M2955" s="173" t="s">
        <v>745</v>
      </c>
      <c r="N2955" s="173" t="s">
        <v>59</v>
      </c>
      <c r="O2955" s="87">
        <v>70</v>
      </c>
      <c r="P2955" s="173" t="s">
        <v>20</v>
      </c>
      <c r="Q2955" s="1" t="s">
        <v>1338</v>
      </c>
      <c r="R2955" s="175">
        <v>400</v>
      </c>
      <c r="S2955">
        <v>80</v>
      </c>
    </row>
    <row r="2956" spans="1:19" x14ac:dyDescent="0.25">
      <c r="A2956" s="87">
        <v>2019</v>
      </c>
      <c r="B2956" s="87">
        <v>12</v>
      </c>
      <c r="C2956" s="173" t="s">
        <v>16</v>
      </c>
      <c r="D2956" s="173" t="s">
        <v>230</v>
      </c>
      <c r="E2956" s="173" t="s">
        <v>24</v>
      </c>
      <c r="F2956" s="173" t="s">
        <v>16</v>
      </c>
      <c r="G2956" s="87" t="b">
        <v>1</v>
      </c>
      <c r="H2956" s="87" t="b">
        <v>1</v>
      </c>
      <c r="I2956" s="87" t="b">
        <v>0</v>
      </c>
      <c r="J2956" s="173" t="s">
        <v>463</v>
      </c>
      <c r="K2956" s="174">
        <v>1011865000116</v>
      </c>
      <c r="L2956" s="173" t="s">
        <v>759</v>
      </c>
      <c r="M2956" s="173" t="s">
        <v>745</v>
      </c>
      <c r="N2956" s="173" t="s">
        <v>59</v>
      </c>
      <c r="O2956" s="87">
        <v>70</v>
      </c>
      <c r="P2956" s="173" t="s">
        <v>20</v>
      </c>
      <c r="Q2956" s="1" t="s">
        <v>1338</v>
      </c>
      <c r="R2956" s="175">
        <v>600</v>
      </c>
      <c r="S2956">
        <v>120</v>
      </c>
    </row>
    <row r="2957" spans="1:19" x14ac:dyDescent="0.25">
      <c r="A2957" s="87">
        <v>2019</v>
      </c>
      <c r="B2957" s="87">
        <v>12</v>
      </c>
      <c r="C2957" s="173" t="s">
        <v>16</v>
      </c>
      <c r="D2957" s="173" t="s">
        <v>230</v>
      </c>
      <c r="E2957" s="173" t="s">
        <v>24</v>
      </c>
      <c r="F2957" s="173" t="s">
        <v>16</v>
      </c>
      <c r="G2957" s="87" t="b">
        <v>1</v>
      </c>
      <c r="H2957" s="87" t="b">
        <v>1</v>
      </c>
      <c r="I2957" s="87" t="b">
        <v>0</v>
      </c>
      <c r="J2957" s="173" t="s">
        <v>470</v>
      </c>
      <c r="K2957" s="174">
        <v>1125832000105</v>
      </c>
      <c r="L2957" s="173" t="s">
        <v>935</v>
      </c>
      <c r="M2957" s="173" t="s">
        <v>930</v>
      </c>
      <c r="N2957" s="173" t="s">
        <v>68</v>
      </c>
      <c r="O2957" s="87">
        <v>70</v>
      </c>
      <c r="P2957" s="173" t="s">
        <v>20</v>
      </c>
      <c r="Q2957" s="1" t="s">
        <v>1338</v>
      </c>
      <c r="R2957" s="175">
        <v>100</v>
      </c>
      <c r="S2957">
        <v>20</v>
      </c>
    </row>
    <row r="2958" spans="1:19" x14ac:dyDescent="0.25">
      <c r="A2958" s="87">
        <v>2019</v>
      </c>
      <c r="B2958" s="87">
        <v>12</v>
      </c>
      <c r="C2958" s="173" t="s">
        <v>16</v>
      </c>
      <c r="D2958" s="173" t="s">
        <v>230</v>
      </c>
      <c r="E2958" s="173" t="s">
        <v>24</v>
      </c>
      <c r="F2958" s="173" t="s">
        <v>16</v>
      </c>
      <c r="G2958" s="87" t="b">
        <v>1</v>
      </c>
      <c r="H2958" s="87" t="b">
        <v>1</v>
      </c>
      <c r="I2958" s="87" t="b">
        <v>0</v>
      </c>
      <c r="J2958" s="173" t="s">
        <v>495</v>
      </c>
      <c r="K2958" s="174">
        <v>1269903000135</v>
      </c>
      <c r="L2958" s="173" t="s">
        <v>1398</v>
      </c>
      <c r="M2958" s="173" t="s">
        <v>94</v>
      </c>
      <c r="N2958" s="173" t="s">
        <v>57</v>
      </c>
      <c r="O2958" s="87">
        <v>70</v>
      </c>
      <c r="P2958" s="173" t="s">
        <v>20</v>
      </c>
      <c r="Q2958" s="1" t="s">
        <v>1338</v>
      </c>
      <c r="R2958" s="175">
        <v>10</v>
      </c>
      <c r="S2958">
        <v>2</v>
      </c>
    </row>
    <row r="2959" spans="1:19" x14ac:dyDescent="0.25">
      <c r="A2959" s="87">
        <v>2019</v>
      </c>
      <c r="B2959" s="87">
        <v>12</v>
      </c>
      <c r="C2959" s="173" t="s">
        <v>16</v>
      </c>
      <c r="D2959" s="173" t="s">
        <v>230</v>
      </c>
      <c r="E2959" s="173" t="s">
        <v>24</v>
      </c>
      <c r="F2959" s="173" t="s">
        <v>16</v>
      </c>
      <c r="G2959" s="87" t="b">
        <v>1</v>
      </c>
      <c r="H2959" s="87" t="b">
        <v>1</v>
      </c>
      <c r="I2959" s="87" t="b">
        <v>0</v>
      </c>
      <c r="J2959" s="173" t="s">
        <v>450</v>
      </c>
      <c r="K2959" s="174">
        <v>1326206000179</v>
      </c>
      <c r="L2959" s="173" t="s">
        <v>761</v>
      </c>
      <c r="M2959" s="173" t="s">
        <v>762</v>
      </c>
      <c r="N2959" s="173" t="s">
        <v>59</v>
      </c>
      <c r="O2959" s="87">
        <v>73</v>
      </c>
      <c r="P2959" s="173" t="s">
        <v>26</v>
      </c>
      <c r="Q2959" s="1" t="s">
        <v>1339</v>
      </c>
      <c r="R2959" s="175">
        <v>4</v>
      </c>
      <c r="S2959">
        <v>2</v>
      </c>
    </row>
    <row r="2960" spans="1:19" x14ac:dyDescent="0.25">
      <c r="A2960" s="87">
        <v>2019</v>
      </c>
      <c r="B2960" s="87">
        <v>12</v>
      </c>
      <c r="C2960" s="173" t="s">
        <v>16</v>
      </c>
      <c r="D2960" s="173" t="s">
        <v>230</v>
      </c>
      <c r="E2960" s="173" t="s">
        <v>24</v>
      </c>
      <c r="F2960" s="173" t="s">
        <v>16</v>
      </c>
      <c r="G2960" s="87" t="b">
        <v>1</v>
      </c>
      <c r="H2960" s="87" t="b">
        <v>1</v>
      </c>
      <c r="I2960" s="87" t="b">
        <v>0</v>
      </c>
      <c r="J2960" s="173" t="s">
        <v>468</v>
      </c>
      <c r="K2960" s="174">
        <v>1326206000179</v>
      </c>
      <c r="L2960" s="173" t="s">
        <v>761</v>
      </c>
      <c r="M2960" s="173" t="s">
        <v>762</v>
      </c>
      <c r="N2960" s="173" t="s">
        <v>59</v>
      </c>
      <c r="O2960" s="87">
        <v>73</v>
      </c>
      <c r="P2960" s="173" t="s">
        <v>26</v>
      </c>
      <c r="Q2960" s="1" t="s">
        <v>1342</v>
      </c>
      <c r="R2960" s="175">
        <v>32</v>
      </c>
      <c r="S2960">
        <v>8</v>
      </c>
    </row>
    <row r="2961" spans="1:19" x14ac:dyDescent="0.25">
      <c r="A2961" s="87">
        <v>2019</v>
      </c>
      <c r="B2961" s="87">
        <v>12</v>
      </c>
      <c r="C2961" s="173" t="s">
        <v>16</v>
      </c>
      <c r="D2961" s="173" t="s">
        <v>230</v>
      </c>
      <c r="E2961" s="173" t="s">
        <v>24</v>
      </c>
      <c r="F2961" s="173" t="s">
        <v>16</v>
      </c>
      <c r="G2961" s="87" t="b">
        <v>1</v>
      </c>
      <c r="H2961" s="87" t="b">
        <v>1</v>
      </c>
      <c r="I2961" s="87" t="b">
        <v>0</v>
      </c>
      <c r="J2961" s="173" t="s">
        <v>463</v>
      </c>
      <c r="K2961" s="174">
        <v>1326206000179</v>
      </c>
      <c r="L2961" s="173" t="s">
        <v>761</v>
      </c>
      <c r="M2961" s="173" t="s">
        <v>762</v>
      </c>
      <c r="N2961" s="173" t="s">
        <v>59</v>
      </c>
      <c r="O2961" s="87">
        <v>73</v>
      </c>
      <c r="P2961" s="173" t="s">
        <v>26</v>
      </c>
      <c r="Q2961" s="1" t="s">
        <v>1339</v>
      </c>
      <c r="R2961" s="175">
        <v>4</v>
      </c>
      <c r="S2961">
        <v>2</v>
      </c>
    </row>
    <row r="2962" spans="1:19" x14ac:dyDescent="0.25">
      <c r="A2962" s="87">
        <v>2019</v>
      </c>
      <c r="B2962" s="87">
        <v>12</v>
      </c>
      <c r="C2962" s="173" t="s">
        <v>16</v>
      </c>
      <c r="D2962" s="173" t="s">
        <v>230</v>
      </c>
      <c r="E2962" s="173" t="s">
        <v>24</v>
      </c>
      <c r="F2962" s="173" t="s">
        <v>16</v>
      </c>
      <c r="G2962" s="87" t="b">
        <v>1</v>
      </c>
      <c r="H2962" s="87" t="b">
        <v>1</v>
      </c>
      <c r="I2962" s="87" t="b">
        <v>0</v>
      </c>
      <c r="J2962" s="173" t="s">
        <v>463</v>
      </c>
      <c r="K2962" s="174">
        <v>1326206000179</v>
      </c>
      <c r="L2962" s="173" t="s">
        <v>761</v>
      </c>
      <c r="M2962" s="173" t="s">
        <v>762</v>
      </c>
      <c r="N2962" s="173" t="s">
        <v>59</v>
      </c>
      <c r="O2962" s="87">
        <v>73</v>
      </c>
      <c r="P2962" s="173" t="s">
        <v>26</v>
      </c>
      <c r="Q2962" s="1" t="s">
        <v>1340</v>
      </c>
      <c r="R2962" s="175">
        <v>4</v>
      </c>
      <c r="S2962">
        <v>4</v>
      </c>
    </row>
    <row r="2963" spans="1:19" x14ac:dyDescent="0.25">
      <c r="A2963" s="87">
        <v>2019</v>
      </c>
      <c r="B2963" s="87">
        <v>12</v>
      </c>
      <c r="C2963" s="173" t="s">
        <v>16</v>
      </c>
      <c r="D2963" s="173" t="s">
        <v>230</v>
      </c>
      <c r="E2963" s="173" t="s">
        <v>24</v>
      </c>
      <c r="F2963" s="173" t="s">
        <v>16</v>
      </c>
      <c r="G2963" s="87" t="b">
        <v>1</v>
      </c>
      <c r="H2963" s="87" t="b">
        <v>1</v>
      </c>
      <c r="I2963" s="87" t="b">
        <v>0</v>
      </c>
      <c r="J2963" s="173" t="s">
        <v>478</v>
      </c>
      <c r="K2963" s="174">
        <v>1396804000114</v>
      </c>
      <c r="L2963" s="173" t="s">
        <v>1140</v>
      </c>
      <c r="M2963" s="173" t="s">
        <v>97</v>
      </c>
      <c r="N2963" s="173" t="s">
        <v>98</v>
      </c>
      <c r="O2963" s="87">
        <v>70</v>
      </c>
      <c r="P2963" s="173" t="s">
        <v>20</v>
      </c>
      <c r="Q2963" s="1" t="s">
        <v>1338</v>
      </c>
      <c r="R2963" s="175">
        <v>25</v>
      </c>
      <c r="S2963">
        <v>5</v>
      </c>
    </row>
    <row r="2964" spans="1:19" x14ac:dyDescent="0.25">
      <c r="A2964" s="87">
        <v>2019</v>
      </c>
      <c r="B2964" s="87">
        <v>12</v>
      </c>
      <c r="C2964" s="173" t="s">
        <v>16</v>
      </c>
      <c r="D2964" s="173" t="s">
        <v>230</v>
      </c>
      <c r="E2964" s="173" t="s">
        <v>24</v>
      </c>
      <c r="F2964" s="173" t="s">
        <v>16</v>
      </c>
      <c r="G2964" s="87" t="b">
        <v>1</v>
      </c>
      <c r="H2964" s="87" t="b">
        <v>1</v>
      </c>
      <c r="I2964" s="87" t="b">
        <v>0</v>
      </c>
      <c r="J2964" s="173" t="s">
        <v>460</v>
      </c>
      <c r="K2964" s="174">
        <v>1454407000151</v>
      </c>
      <c r="L2964" s="173" t="s">
        <v>764</v>
      </c>
      <c r="M2964" s="173" t="s">
        <v>742</v>
      </c>
      <c r="N2964" s="173" t="s">
        <v>91</v>
      </c>
      <c r="O2964" s="87">
        <v>70</v>
      </c>
      <c r="P2964" s="173" t="s">
        <v>20</v>
      </c>
      <c r="Q2964" s="1" t="s">
        <v>1338</v>
      </c>
      <c r="R2964" s="175">
        <v>100</v>
      </c>
      <c r="S2964">
        <v>20</v>
      </c>
    </row>
    <row r="2965" spans="1:19" x14ac:dyDescent="0.25">
      <c r="A2965" s="87">
        <v>2019</v>
      </c>
      <c r="B2965" s="87">
        <v>12</v>
      </c>
      <c r="C2965" s="173" t="s">
        <v>16</v>
      </c>
      <c r="D2965" s="173" t="s">
        <v>230</v>
      </c>
      <c r="E2965" s="173" t="s">
        <v>24</v>
      </c>
      <c r="F2965" s="173" t="s">
        <v>16</v>
      </c>
      <c r="G2965" s="87" t="b">
        <v>1</v>
      </c>
      <c r="H2965" s="87" t="b">
        <v>1</v>
      </c>
      <c r="I2965" s="87" t="b">
        <v>0</v>
      </c>
      <c r="J2965" s="173" t="s">
        <v>478</v>
      </c>
      <c r="K2965" s="174">
        <v>1507901000137</v>
      </c>
      <c r="L2965" s="173" t="s">
        <v>765</v>
      </c>
      <c r="M2965" s="173" t="s">
        <v>62</v>
      </c>
      <c r="N2965" s="173" t="s">
        <v>63</v>
      </c>
      <c r="O2965" s="87">
        <v>70</v>
      </c>
      <c r="P2965" s="173" t="s">
        <v>20</v>
      </c>
      <c r="Q2965" s="1" t="s">
        <v>1338</v>
      </c>
      <c r="R2965" s="175">
        <v>75</v>
      </c>
      <c r="S2965">
        <v>15</v>
      </c>
    </row>
    <row r="2966" spans="1:19" x14ac:dyDescent="0.25">
      <c r="A2966" s="87">
        <v>2019</v>
      </c>
      <c r="B2966" s="87">
        <v>12</v>
      </c>
      <c r="C2966" s="173" t="s">
        <v>16</v>
      </c>
      <c r="D2966" s="173" t="s">
        <v>230</v>
      </c>
      <c r="E2966" s="173" t="s">
        <v>24</v>
      </c>
      <c r="F2966" s="173" t="s">
        <v>16</v>
      </c>
      <c r="G2966" s="87" t="b">
        <v>1</v>
      </c>
      <c r="H2966" s="87" t="b">
        <v>1</v>
      </c>
      <c r="I2966" s="87" t="b">
        <v>0</v>
      </c>
      <c r="J2966" s="173" t="s">
        <v>468</v>
      </c>
      <c r="K2966" s="174">
        <v>1545649000150</v>
      </c>
      <c r="L2966" s="173" t="s">
        <v>1386</v>
      </c>
      <c r="M2966" s="173" t="s">
        <v>745</v>
      </c>
      <c r="N2966" s="173" t="s">
        <v>59</v>
      </c>
      <c r="O2966" s="87">
        <v>70</v>
      </c>
      <c r="P2966" s="173" t="s">
        <v>20</v>
      </c>
      <c r="Q2966" s="1" t="s">
        <v>1338</v>
      </c>
      <c r="R2966" s="175">
        <v>80</v>
      </c>
      <c r="S2966">
        <v>16</v>
      </c>
    </row>
    <row r="2967" spans="1:19" x14ac:dyDescent="0.25">
      <c r="A2967" s="87">
        <v>2019</v>
      </c>
      <c r="B2967" s="87">
        <v>12</v>
      </c>
      <c r="C2967" s="173" t="s">
        <v>16</v>
      </c>
      <c r="D2967" s="173" t="s">
        <v>230</v>
      </c>
      <c r="E2967" s="173" t="s">
        <v>24</v>
      </c>
      <c r="F2967" s="173" t="s">
        <v>16</v>
      </c>
      <c r="G2967" s="87" t="b">
        <v>1</v>
      </c>
      <c r="H2967" s="87" t="b">
        <v>1</v>
      </c>
      <c r="I2967" s="87" t="b">
        <v>0</v>
      </c>
      <c r="J2967" s="173" t="s">
        <v>451</v>
      </c>
      <c r="K2967" s="174">
        <v>1554266000149</v>
      </c>
      <c r="L2967" s="173" t="s">
        <v>939</v>
      </c>
      <c r="M2967" s="173" t="s">
        <v>113</v>
      </c>
      <c r="N2967" s="173" t="s">
        <v>68</v>
      </c>
      <c r="O2967" s="87">
        <v>70</v>
      </c>
      <c r="P2967" s="173" t="s">
        <v>20</v>
      </c>
      <c r="Q2967" s="1" t="s">
        <v>1338</v>
      </c>
      <c r="R2967" s="175">
        <v>35</v>
      </c>
      <c r="S2967">
        <v>7</v>
      </c>
    </row>
    <row r="2968" spans="1:19" x14ac:dyDescent="0.25">
      <c r="A2968" s="87">
        <v>2019</v>
      </c>
      <c r="B2968" s="87">
        <v>12</v>
      </c>
      <c r="C2968" s="173" t="s">
        <v>16</v>
      </c>
      <c r="D2968" s="173" t="s">
        <v>230</v>
      </c>
      <c r="E2968" s="173" t="s">
        <v>24</v>
      </c>
      <c r="F2968" s="173" t="s">
        <v>16</v>
      </c>
      <c r="G2968" s="87" t="b">
        <v>1</v>
      </c>
      <c r="H2968" s="87" t="b">
        <v>1</v>
      </c>
      <c r="I2968" s="87" t="b">
        <v>0</v>
      </c>
      <c r="J2968" s="173" t="s">
        <v>470</v>
      </c>
      <c r="K2968" s="174">
        <v>1554266000300</v>
      </c>
      <c r="L2968" s="173" t="s">
        <v>940</v>
      </c>
      <c r="M2968" s="173" t="s">
        <v>113</v>
      </c>
      <c r="N2968" s="173" t="s">
        <v>68</v>
      </c>
      <c r="O2968" s="87">
        <v>70</v>
      </c>
      <c r="P2968" s="173" t="s">
        <v>20</v>
      </c>
      <c r="Q2968" s="1" t="s">
        <v>1338</v>
      </c>
      <c r="R2968" s="175">
        <v>105</v>
      </c>
      <c r="S2968">
        <v>21</v>
      </c>
    </row>
    <row r="2969" spans="1:19" x14ac:dyDescent="0.25">
      <c r="A2969" s="87">
        <v>2019</v>
      </c>
      <c r="B2969" s="87">
        <v>12</v>
      </c>
      <c r="C2969" s="173" t="s">
        <v>16</v>
      </c>
      <c r="D2969" s="173" t="s">
        <v>230</v>
      </c>
      <c r="E2969" s="173" t="s">
        <v>24</v>
      </c>
      <c r="F2969" s="173" t="s">
        <v>16</v>
      </c>
      <c r="G2969" s="87" t="b">
        <v>1</v>
      </c>
      <c r="H2969" s="87" t="b">
        <v>1</v>
      </c>
      <c r="I2969" s="87" t="b">
        <v>0</v>
      </c>
      <c r="J2969" s="173" t="s">
        <v>492</v>
      </c>
      <c r="K2969" s="174">
        <v>1595799000179</v>
      </c>
      <c r="L2969" s="173" t="s">
        <v>1399</v>
      </c>
      <c r="M2969" s="173" t="s">
        <v>998</v>
      </c>
      <c r="N2969" s="173" t="s">
        <v>68</v>
      </c>
      <c r="O2969" s="87">
        <v>70</v>
      </c>
      <c r="P2969" s="173" t="s">
        <v>20</v>
      </c>
      <c r="Q2969" s="1" t="s">
        <v>1338</v>
      </c>
      <c r="R2969" s="175">
        <v>125</v>
      </c>
      <c r="S2969">
        <v>25</v>
      </c>
    </row>
    <row r="2970" spans="1:19" x14ac:dyDescent="0.25">
      <c r="A2970" s="87">
        <v>2019</v>
      </c>
      <c r="B2970" s="87">
        <v>12</v>
      </c>
      <c r="C2970" s="173" t="s">
        <v>16</v>
      </c>
      <c r="D2970" s="173" t="s">
        <v>230</v>
      </c>
      <c r="E2970" s="173" t="s">
        <v>24</v>
      </c>
      <c r="F2970" s="173" t="s">
        <v>16</v>
      </c>
      <c r="G2970" s="87" t="b">
        <v>1</v>
      </c>
      <c r="H2970" s="87" t="b">
        <v>1</v>
      </c>
      <c r="I2970" s="87" t="b">
        <v>0</v>
      </c>
      <c r="J2970" s="173" t="s">
        <v>470</v>
      </c>
      <c r="K2970" s="174">
        <v>1613433006892</v>
      </c>
      <c r="L2970" s="173" t="s">
        <v>638</v>
      </c>
      <c r="M2970" s="173" t="s">
        <v>639</v>
      </c>
      <c r="N2970" s="173" t="s">
        <v>19</v>
      </c>
      <c r="O2970" s="87">
        <v>70</v>
      </c>
      <c r="P2970" s="173" t="s">
        <v>20</v>
      </c>
      <c r="Q2970" s="1" t="s">
        <v>1338</v>
      </c>
      <c r="R2970" s="175">
        <v>565</v>
      </c>
      <c r="S2970">
        <v>113</v>
      </c>
    </row>
    <row r="2971" spans="1:19" x14ac:dyDescent="0.25">
      <c r="A2971" s="87">
        <v>2019</v>
      </c>
      <c r="B2971" s="87">
        <v>12</v>
      </c>
      <c r="C2971" s="173" t="s">
        <v>16</v>
      </c>
      <c r="D2971" s="173" t="s">
        <v>230</v>
      </c>
      <c r="E2971" s="173" t="s">
        <v>24</v>
      </c>
      <c r="F2971" s="173" t="s">
        <v>16</v>
      </c>
      <c r="G2971" s="87" t="b">
        <v>1</v>
      </c>
      <c r="H2971" s="87" t="b">
        <v>1</v>
      </c>
      <c r="I2971" s="87" t="b">
        <v>0</v>
      </c>
      <c r="J2971" s="173" t="s">
        <v>491</v>
      </c>
      <c r="K2971" s="174">
        <v>1773319000201</v>
      </c>
      <c r="L2971" s="173" t="s">
        <v>1373</v>
      </c>
      <c r="M2971" s="173" t="s">
        <v>1374</v>
      </c>
      <c r="N2971" s="173" t="s">
        <v>19</v>
      </c>
      <c r="O2971" s="87">
        <v>70</v>
      </c>
      <c r="P2971" s="173" t="s">
        <v>20</v>
      </c>
      <c r="Q2971" s="1" t="s">
        <v>1338</v>
      </c>
      <c r="R2971" s="175">
        <v>35</v>
      </c>
      <c r="S2971">
        <v>7</v>
      </c>
    </row>
    <row r="2972" spans="1:19" x14ac:dyDescent="0.25">
      <c r="A2972" s="87">
        <v>2019</v>
      </c>
      <c r="B2972" s="87">
        <v>12</v>
      </c>
      <c r="C2972" s="173" t="s">
        <v>16</v>
      </c>
      <c r="D2972" s="173" t="s">
        <v>230</v>
      </c>
      <c r="E2972" s="173" t="s">
        <v>24</v>
      </c>
      <c r="F2972" s="173" t="s">
        <v>16</v>
      </c>
      <c r="G2972" s="87" t="b">
        <v>1</v>
      </c>
      <c r="H2972" s="87" t="b">
        <v>1</v>
      </c>
      <c r="I2972" s="87" t="b">
        <v>0</v>
      </c>
      <c r="J2972" s="173" t="s">
        <v>491</v>
      </c>
      <c r="K2972" s="174">
        <v>1837492000137</v>
      </c>
      <c r="L2972" s="173" t="s">
        <v>1387</v>
      </c>
      <c r="M2972" s="173" t="s">
        <v>75</v>
      </c>
      <c r="N2972" s="173" t="s">
        <v>74</v>
      </c>
      <c r="O2972" s="87">
        <v>70</v>
      </c>
      <c r="P2972" s="173" t="s">
        <v>20</v>
      </c>
      <c r="Q2972" s="1" t="s">
        <v>1338</v>
      </c>
      <c r="R2972" s="175">
        <v>120</v>
      </c>
      <c r="S2972">
        <v>24</v>
      </c>
    </row>
    <row r="2973" spans="1:19" x14ac:dyDescent="0.25">
      <c r="A2973" s="87">
        <v>2019</v>
      </c>
      <c r="B2973" s="87">
        <v>12</v>
      </c>
      <c r="C2973" s="173" t="s">
        <v>16</v>
      </c>
      <c r="D2973" s="173" t="s">
        <v>230</v>
      </c>
      <c r="E2973" s="173" t="s">
        <v>24</v>
      </c>
      <c r="F2973" s="173" t="s">
        <v>16</v>
      </c>
      <c r="G2973" s="87" t="b">
        <v>1</v>
      </c>
      <c r="H2973" s="87" t="b">
        <v>1</v>
      </c>
      <c r="I2973" s="87" t="b">
        <v>0</v>
      </c>
      <c r="J2973" s="173" t="s">
        <v>452</v>
      </c>
      <c r="K2973" s="174">
        <v>1880344000103</v>
      </c>
      <c r="L2973" s="173" t="s">
        <v>941</v>
      </c>
      <c r="M2973" s="173" t="s">
        <v>93</v>
      </c>
      <c r="N2973" s="173" t="s">
        <v>68</v>
      </c>
      <c r="O2973" s="87">
        <v>64</v>
      </c>
      <c r="P2973" s="173" t="s">
        <v>25</v>
      </c>
      <c r="Q2973" s="1" t="s">
        <v>1344</v>
      </c>
      <c r="R2973" s="175">
        <v>3</v>
      </c>
      <c r="S2973">
        <v>3</v>
      </c>
    </row>
    <row r="2974" spans="1:19" x14ac:dyDescent="0.25">
      <c r="A2974" s="87">
        <v>2019</v>
      </c>
      <c r="B2974" s="87">
        <v>12</v>
      </c>
      <c r="C2974" s="173" t="s">
        <v>16</v>
      </c>
      <c r="D2974" s="173" t="s">
        <v>230</v>
      </c>
      <c r="E2974" s="173" t="s">
        <v>24</v>
      </c>
      <c r="F2974" s="173" t="s">
        <v>16</v>
      </c>
      <c r="G2974" s="87" t="b">
        <v>1</v>
      </c>
      <c r="H2974" s="87" t="b">
        <v>1</v>
      </c>
      <c r="I2974" s="87" t="b">
        <v>0</v>
      </c>
      <c r="J2974" s="173" t="s">
        <v>464</v>
      </c>
      <c r="K2974" s="174">
        <v>1880344000103</v>
      </c>
      <c r="L2974" s="173" t="s">
        <v>941</v>
      </c>
      <c r="M2974" s="173" t="s">
        <v>93</v>
      </c>
      <c r="N2974" s="173" t="s">
        <v>68</v>
      </c>
      <c r="O2974" s="87">
        <v>70</v>
      </c>
      <c r="P2974" s="173" t="s">
        <v>20</v>
      </c>
      <c r="Q2974" s="1" t="s">
        <v>1338</v>
      </c>
      <c r="R2974" s="175">
        <v>5</v>
      </c>
      <c r="S2974">
        <v>1</v>
      </c>
    </row>
    <row r="2975" spans="1:19" x14ac:dyDescent="0.25">
      <c r="A2975" s="87">
        <v>2019</v>
      </c>
      <c r="B2975" s="87">
        <v>12</v>
      </c>
      <c r="C2975" s="173" t="s">
        <v>16</v>
      </c>
      <c r="D2975" s="173" t="s">
        <v>230</v>
      </c>
      <c r="E2975" s="173" t="s">
        <v>24</v>
      </c>
      <c r="F2975" s="173" t="s">
        <v>16</v>
      </c>
      <c r="G2975" s="87" t="b">
        <v>1</v>
      </c>
      <c r="H2975" s="87" t="b">
        <v>1</v>
      </c>
      <c r="I2975" s="87" t="b">
        <v>0</v>
      </c>
      <c r="J2975" s="173" t="s">
        <v>491</v>
      </c>
      <c r="K2975" s="174">
        <v>2284062000106</v>
      </c>
      <c r="L2975" s="173" t="s">
        <v>774</v>
      </c>
      <c r="M2975" s="173" t="s">
        <v>70</v>
      </c>
      <c r="N2975" s="173" t="s">
        <v>71</v>
      </c>
      <c r="O2975" s="87">
        <v>64</v>
      </c>
      <c r="P2975" s="173" t="s">
        <v>25</v>
      </c>
      <c r="Q2975" s="1" t="s">
        <v>1344</v>
      </c>
      <c r="R2975" s="175">
        <v>2</v>
      </c>
      <c r="S2975">
        <v>2</v>
      </c>
    </row>
    <row r="2976" spans="1:19" x14ac:dyDescent="0.25">
      <c r="A2976" s="87">
        <v>2019</v>
      </c>
      <c r="B2976" s="87">
        <v>12</v>
      </c>
      <c r="C2976" s="173" t="s">
        <v>16</v>
      </c>
      <c r="D2976" s="173" t="s">
        <v>230</v>
      </c>
      <c r="E2976" s="173" t="s">
        <v>24</v>
      </c>
      <c r="F2976" s="173" t="s">
        <v>16</v>
      </c>
      <c r="G2976" s="87" t="b">
        <v>1</v>
      </c>
      <c r="H2976" s="87" t="b">
        <v>1</v>
      </c>
      <c r="I2976" s="87" t="b">
        <v>0</v>
      </c>
      <c r="J2976" s="173" t="s">
        <v>453</v>
      </c>
      <c r="K2976" s="174">
        <v>2284062001170</v>
      </c>
      <c r="L2976" s="173" t="s">
        <v>776</v>
      </c>
      <c r="M2976" s="173" t="s">
        <v>777</v>
      </c>
      <c r="N2976" s="173" t="s">
        <v>72</v>
      </c>
      <c r="O2976" s="87">
        <v>64</v>
      </c>
      <c r="P2976" s="173" t="s">
        <v>25</v>
      </c>
      <c r="Q2976" s="1" t="s">
        <v>1344</v>
      </c>
      <c r="R2976" s="175">
        <v>3</v>
      </c>
      <c r="S2976">
        <v>3</v>
      </c>
    </row>
    <row r="2977" spans="1:19" x14ac:dyDescent="0.25">
      <c r="A2977" s="87">
        <v>2019</v>
      </c>
      <c r="B2977" s="87">
        <v>12</v>
      </c>
      <c r="C2977" s="173" t="s">
        <v>16</v>
      </c>
      <c r="D2977" s="173" t="s">
        <v>230</v>
      </c>
      <c r="E2977" s="173" t="s">
        <v>24</v>
      </c>
      <c r="F2977" s="173" t="s">
        <v>16</v>
      </c>
      <c r="G2977" s="87" t="b">
        <v>1</v>
      </c>
      <c r="H2977" s="87" t="b">
        <v>1</v>
      </c>
      <c r="I2977" s="87" t="b">
        <v>0</v>
      </c>
      <c r="J2977" s="173" t="s">
        <v>453</v>
      </c>
      <c r="K2977" s="174">
        <v>2284062001170</v>
      </c>
      <c r="L2977" s="173" t="s">
        <v>776</v>
      </c>
      <c r="M2977" s="173" t="s">
        <v>777</v>
      </c>
      <c r="N2977" s="173" t="s">
        <v>72</v>
      </c>
      <c r="O2977" s="87">
        <v>70</v>
      </c>
      <c r="P2977" s="173" t="s">
        <v>20</v>
      </c>
      <c r="Q2977" s="1" t="s">
        <v>1338</v>
      </c>
      <c r="R2977" s="175">
        <v>75</v>
      </c>
      <c r="S2977">
        <v>15</v>
      </c>
    </row>
    <row r="2978" spans="1:19" x14ac:dyDescent="0.25">
      <c r="A2978" s="87">
        <v>2019</v>
      </c>
      <c r="B2978" s="87">
        <v>12</v>
      </c>
      <c r="C2978" s="173" t="s">
        <v>16</v>
      </c>
      <c r="D2978" s="173" t="s">
        <v>230</v>
      </c>
      <c r="E2978" s="173" t="s">
        <v>24</v>
      </c>
      <c r="F2978" s="173" t="s">
        <v>16</v>
      </c>
      <c r="G2978" s="87" t="b">
        <v>1</v>
      </c>
      <c r="H2978" s="87" t="b">
        <v>1</v>
      </c>
      <c r="I2978" s="87" t="b">
        <v>0</v>
      </c>
      <c r="J2978" s="173" t="s">
        <v>451</v>
      </c>
      <c r="K2978" s="174">
        <v>2383508000494</v>
      </c>
      <c r="L2978" s="173" t="s">
        <v>562</v>
      </c>
      <c r="M2978" s="173" t="s">
        <v>29</v>
      </c>
      <c r="N2978" s="173" t="s">
        <v>19</v>
      </c>
      <c r="O2978" s="87">
        <v>73</v>
      </c>
      <c r="P2978" s="173" t="s">
        <v>26</v>
      </c>
      <c r="Q2978" s="1" t="s">
        <v>1339</v>
      </c>
      <c r="R2978" s="175">
        <v>10</v>
      </c>
      <c r="S2978">
        <v>5</v>
      </c>
    </row>
    <row r="2979" spans="1:19" x14ac:dyDescent="0.25">
      <c r="A2979" s="87">
        <v>2019</v>
      </c>
      <c r="B2979" s="87">
        <v>12</v>
      </c>
      <c r="C2979" s="173" t="s">
        <v>16</v>
      </c>
      <c r="D2979" s="173" t="s">
        <v>230</v>
      </c>
      <c r="E2979" s="173" t="s">
        <v>24</v>
      </c>
      <c r="F2979" s="173" t="s">
        <v>16</v>
      </c>
      <c r="G2979" s="87" t="b">
        <v>1</v>
      </c>
      <c r="H2979" s="87" t="b">
        <v>1</v>
      </c>
      <c r="I2979" s="87" t="b">
        <v>0</v>
      </c>
      <c r="J2979" s="173" t="s">
        <v>451</v>
      </c>
      <c r="K2979" s="174">
        <v>2383508000494</v>
      </c>
      <c r="L2979" s="173" t="s">
        <v>562</v>
      </c>
      <c r="M2979" s="173" t="s">
        <v>29</v>
      </c>
      <c r="N2979" s="173" t="s">
        <v>19</v>
      </c>
      <c r="O2979" s="87">
        <v>73</v>
      </c>
      <c r="P2979" s="173" t="s">
        <v>26</v>
      </c>
      <c r="Q2979" s="1" t="s">
        <v>1342</v>
      </c>
      <c r="R2979" s="175">
        <v>28</v>
      </c>
      <c r="S2979">
        <v>7</v>
      </c>
    </row>
    <row r="2980" spans="1:19" x14ac:dyDescent="0.25">
      <c r="A2980" s="87">
        <v>2019</v>
      </c>
      <c r="B2980" s="87">
        <v>12</v>
      </c>
      <c r="C2980" s="173" t="s">
        <v>16</v>
      </c>
      <c r="D2980" s="173" t="s">
        <v>230</v>
      </c>
      <c r="E2980" s="173" t="s">
        <v>24</v>
      </c>
      <c r="F2980" s="173" t="s">
        <v>16</v>
      </c>
      <c r="G2980" s="87" t="b">
        <v>1</v>
      </c>
      <c r="H2980" s="87" t="b">
        <v>1</v>
      </c>
      <c r="I2980" s="87" t="b">
        <v>0</v>
      </c>
      <c r="J2980" s="173" t="s">
        <v>451</v>
      </c>
      <c r="K2980" s="174">
        <v>2383508000494</v>
      </c>
      <c r="L2980" s="173" t="s">
        <v>562</v>
      </c>
      <c r="M2980" s="173" t="s">
        <v>29</v>
      </c>
      <c r="N2980" s="173" t="s">
        <v>19</v>
      </c>
      <c r="O2980" s="87">
        <v>73</v>
      </c>
      <c r="P2980" s="173" t="s">
        <v>26</v>
      </c>
      <c r="Q2980" s="1" t="s">
        <v>1340</v>
      </c>
      <c r="R2980" s="175">
        <v>13</v>
      </c>
      <c r="S2980">
        <v>13</v>
      </c>
    </row>
    <row r="2981" spans="1:19" x14ac:dyDescent="0.25">
      <c r="A2981" s="87">
        <v>2019</v>
      </c>
      <c r="B2981" s="87">
        <v>12</v>
      </c>
      <c r="C2981" s="173" t="s">
        <v>16</v>
      </c>
      <c r="D2981" s="173" t="s">
        <v>230</v>
      </c>
      <c r="E2981" s="173" t="s">
        <v>24</v>
      </c>
      <c r="F2981" s="173" t="s">
        <v>16</v>
      </c>
      <c r="G2981" s="87" t="b">
        <v>1</v>
      </c>
      <c r="H2981" s="87" t="b">
        <v>1</v>
      </c>
      <c r="I2981" s="87" t="b">
        <v>0</v>
      </c>
      <c r="J2981" s="173" t="s">
        <v>491</v>
      </c>
      <c r="K2981" s="174">
        <v>2476067000203</v>
      </c>
      <c r="L2981" s="173" t="s">
        <v>779</v>
      </c>
      <c r="M2981" s="173" t="s">
        <v>745</v>
      </c>
      <c r="N2981" s="173" t="s">
        <v>59</v>
      </c>
      <c r="O2981" s="87">
        <v>73</v>
      </c>
      <c r="P2981" s="173" t="s">
        <v>26</v>
      </c>
      <c r="Q2981" s="1" t="s">
        <v>1339</v>
      </c>
      <c r="R2981" s="175">
        <v>20</v>
      </c>
      <c r="S2981">
        <v>10</v>
      </c>
    </row>
    <row r="2982" spans="1:19" x14ac:dyDescent="0.25">
      <c r="A2982" s="87">
        <v>2019</v>
      </c>
      <c r="B2982" s="87">
        <v>12</v>
      </c>
      <c r="C2982" s="173" t="s">
        <v>16</v>
      </c>
      <c r="D2982" s="173" t="s">
        <v>230</v>
      </c>
      <c r="E2982" s="173" t="s">
        <v>24</v>
      </c>
      <c r="F2982" s="173" t="s">
        <v>16</v>
      </c>
      <c r="G2982" s="87" t="b">
        <v>1</v>
      </c>
      <c r="H2982" s="87" t="b">
        <v>1</v>
      </c>
      <c r="I2982" s="87" t="b">
        <v>0</v>
      </c>
      <c r="J2982" s="173" t="s">
        <v>491</v>
      </c>
      <c r="K2982" s="174">
        <v>2476067000203</v>
      </c>
      <c r="L2982" s="173" t="s">
        <v>779</v>
      </c>
      <c r="M2982" s="173" t="s">
        <v>745</v>
      </c>
      <c r="N2982" s="173" t="s">
        <v>59</v>
      </c>
      <c r="O2982" s="87">
        <v>73</v>
      </c>
      <c r="P2982" s="173" t="s">
        <v>26</v>
      </c>
      <c r="Q2982" s="1" t="s">
        <v>1342</v>
      </c>
      <c r="R2982" s="175">
        <v>80</v>
      </c>
      <c r="S2982">
        <v>20</v>
      </c>
    </row>
    <row r="2983" spans="1:19" x14ac:dyDescent="0.25">
      <c r="A2983" s="87">
        <v>2019</v>
      </c>
      <c r="B2983" s="87">
        <v>12</v>
      </c>
      <c r="C2983" s="173" t="s">
        <v>16</v>
      </c>
      <c r="D2983" s="173" t="s">
        <v>230</v>
      </c>
      <c r="E2983" s="173" t="s">
        <v>24</v>
      </c>
      <c r="F2983" s="173" t="s">
        <v>16</v>
      </c>
      <c r="G2983" s="87" t="b">
        <v>1</v>
      </c>
      <c r="H2983" s="87" t="b">
        <v>1</v>
      </c>
      <c r="I2983" s="87" t="b">
        <v>0</v>
      </c>
      <c r="J2983" s="173" t="s">
        <v>491</v>
      </c>
      <c r="K2983" s="174">
        <v>2476067000203</v>
      </c>
      <c r="L2983" s="173" t="s">
        <v>779</v>
      </c>
      <c r="M2983" s="173" t="s">
        <v>745</v>
      </c>
      <c r="N2983" s="173" t="s">
        <v>59</v>
      </c>
      <c r="O2983" s="87">
        <v>73</v>
      </c>
      <c r="P2983" s="173" t="s">
        <v>26</v>
      </c>
      <c r="Q2983" s="1" t="s">
        <v>1340</v>
      </c>
      <c r="R2983" s="175">
        <v>10</v>
      </c>
      <c r="S2983">
        <v>10</v>
      </c>
    </row>
    <row r="2984" spans="1:19" x14ac:dyDescent="0.25">
      <c r="A2984" s="87">
        <v>2019</v>
      </c>
      <c r="B2984" s="87">
        <v>12</v>
      </c>
      <c r="C2984" s="173" t="s">
        <v>16</v>
      </c>
      <c r="D2984" s="173" t="s">
        <v>230</v>
      </c>
      <c r="E2984" s="173" t="s">
        <v>24</v>
      </c>
      <c r="F2984" s="173" t="s">
        <v>16</v>
      </c>
      <c r="G2984" s="87" t="b">
        <v>1</v>
      </c>
      <c r="H2984" s="87" t="b">
        <v>1</v>
      </c>
      <c r="I2984" s="87" t="b">
        <v>0</v>
      </c>
      <c r="J2984" s="173" t="s">
        <v>468</v>
      </c>
      <c r="K2984" s="174">
        <v>2476067000394</v>
      </c>
      <c r="L2984" s="173" t="s">
        <v>780</v>
      </c>
      <c r="M2984" s="173" t="s">
        <v>745</v>
      </c>
      <c r="N2984" s="173" t="s">
        <v>59</v>
      </c>
      <c r="O2984" s="87">
        <v>70</v>
      </c>
      <c r="P2984" s="173" t="s">
        <v>20</v>
      </c>
      <c r="Q2984" s="1" t="s">
        <v>1338</v>
      </c>
      <c r="R2984" s="175">
        <v>40</v>
      </c>
      <c r="S2984">
        <v>8</v>
      </c>
    </row>
    <row r="2985" spans="1:19" x14ac:dyDescent="0.25">
      <c r="A2985" s="87">
        <v>2019</v>
      </c>
      <c r="B2985" s="87">
        <v>12</v>
      </c>
      <c r="C2985" s="173" t="s">
        <v>16</v>
      </c>
      <c r="D2985" s="173" t="s">
        <v>230</v>
      </c>
      <c r="E2985" s="173" t="s">
        <v>24</v>
      </c>
      <c r="F2985" s="173" t="s">
        <v>16</v>
      </c>
      <c r="G2985" s="87" t="b">
        <v>1</v>
      </c>
      <c r="H2985" s="87" t="b">
        <v>1</v>
      </c>
      <c r="I2985" s="87" t="b">
        <v>0</v>
      </c>
      <c r="J2985" s="173" t="s">
        <v>506</v>
      </c>
      <c r="K2985" s="174">
        <v>2476067000394</v>
      </c>
      <c r="L2985" s="173" t="s">
        <v>780</v>
      </c>
      <c r="M2985" s="173" t="s">
        <v>745</v>
      </c>
      <c r="N2985" s="173" t="s">
        <v>59</v>
      </c>
      <c r="O2985" s="87">
        <v>70</v>
      </c>
      <c r="P2985" s="173" t="s">
        <v>20</v>
      </c>
      <c r="Q2985" s="1" t="s">
        <v>1338</v>
      </c>
      <c r="R2985" s="175">
        <v>95</v>
      </c>
      <c r="S2985">
        <v>19</v>
      </c>
    </row>
    <row r="2986" spans="1:19" x14ac:dyDescent="0.25">
      <c r="A2986" s="87">
        <v>2019</v>
      </c>
      <c r="B2986" s="87">
        <v>12</v>
      </c>
      <c r="C2986" s="173" t="s">
        <v>16</v>
      </c>
      <c r="D2986" s="173" t="s">
        <v>230</v>
      </c>
      <c r="E2986" s="173" t="s">
        <v>24</v>
      </c>
      <c r="F2986" s="173" t="s">
        <v>16</v>
      </c>
      <c r="G2986" s="87" t="b">
        <v>1</v>
      </c>
      <c r="H2986" s="87" t="b">
        <v>1</v>
      </c>
      <c r="I2986" s="87" t="b">
        <v>0</v>
      </c>
      <c r="J2986" s="173" t="s">
        <v>468</v>
      </c>
      <c r="K2986" s="174">
        <v>2560878000107</v>
      </c>
      <c r="L2986" s="173" t="s">
        <v>781</v>
      </c>
      <c r="M2986" s="173" t="s">
        <v>739</v>
      </c>
      <c r="N2986" s="173" t="s">
        <v>55</v>
      </c>
      <c r="O2986" s="87">
        <v>62</v>
      </c>
      <c r="P2986" s="173" t="s">
        <v>27</v>
      </c>
      <c r="Q2986" s="1" t="s">
        <v>1343</v>
      </c>
      <c r="R2986" s="175">
        <v>7</v>
      </c>
      <c r="S2986">
        <v>7</v>
      </c>
    </row>
    <row r="2987" spans="1:19" x14ac:dyDescent="0.25">
      <c r="A2987" s="87">
        <v>2019</v>
      </c>
      <c r="B2987" s="87">
        <v>12</v>
      </c>
      <c r="C2987" s="173" t="s">
        <v>16</v>
      </c>
      <c r="D2987" s="173" t="s">
        <v>230</v>
      </c>
      <c r="E2987" s="173" t="s">
        <v>24</v>
      </c>
      <c r="F2987" s="173" t="s">
        <v>16</v>
      </c>
      <c r="G2987" s="87" t="b">
        <v>1</v>
      </c>
      <c r="H2987" s="87" t="b">
        <v>1</v>
      </c>
      <c r="I2987" s="87" t="b">
        <v>0</v>
      </c>
      <c r="J2987" s="173" t="s">
        <v>1512</v>
      </c>
      <c r="K2987" s="174">
        <v>2560878000107</v>
      </c>
      <c r="L2987" s="173" t="s">
        <v>781</v>
      </c>
      <c r="M2987" s="173" t="s">
        <v>739</v>
      </c>
      <c r="N2987" s="173" t="s">
        <v>55</v>
      </c>
      <c r="O2987" s="87">
        <v>62</v>
      </c>
      <c r="P2987" s="173" t="s">
        <v>27</v>
      </c>
      <c r="Q2987" s="1" t="s">
        <v>1343</v>
      </c>
      <c r="R2987" s="175">
        <v>3</v>
      </c>
      <c r="S2987">
        <v>3</v>
      </c>
    </row>
    <row r="2988" spans="1:19" x14ac:dyDescent="0.25">
      <c r="A2988" s="87">
        <v>2019</v>
      </c>
      <c r="B2988" s="87">
        <v>12</v>
      </c>
      <c r="C2988" s="173" t="s">
        <v>16</v>
      </c>
      <c r="D2988" s="173" t="s">
        <v>230</v>
      </c>
      <c r="E2988" s="173" t="s">
        <v>24</v>
      </c>
      <c r="F2988" s="173" t="s">
        <v>16</v>
      </c>
      <c r="G2988" s="87" t="b">
        <v>1</v>
      </c>
      <c r="H2988" s="87" t="b">
        <v>1</v>
      </c>
      <c r="I2988" s="87" t="b">
        <v>0</v>
      </c>
      <c r="J2988" s="173" t="s">
        <v>450</v>
      </c>
      <c r="K2988" s="174">
        <v>2560878000107</v>
      </c>
      <c r="L2988" s="173" t="s">
        <v>781</v>
      </c>
      <c r="M2988" s="173" t="s">
        <v>739</v>
      </c>
      <c r="N2988" s="173" t="s">
        <v>55</v>
      </c>
      <c r="O2988" s="87">
        <v>64</v>
      </c>
      <c r="P2988" s="173" t="s">
        <v>25</v>
      </c>
      <c r="Q2988" s="1" t="s">
        <v>1344</v>
      </c>
      <c r="R2988" s="175">
        <v>2</v>
      </c>
      <c r="S2988">
        <v>2</v>
      </c>
    </row>
    <row r="2989" spans="1:19" x14ac:dyDescent="0.25">
      <c r="A2989" s="87">
        <v>2019</v>
      </c>
      <c r="B2989" s="87">
        <v>12</v>
      </c>
      <c r="C2989" s="173" t="s">
        <v>16</v>
      </c>
      <c r="D2989" s="173" t="s">
        <v>230</v>
      </c>
      <c r="E2989" s="173" t="s">
        <v>24</v>
      </c>
      <c r="F2989" s="173" t="s">
        <v>16</v>
      </c>
      <c r="G2989" s="87" t="b">
        <v>1</v>
      </c>
      <c r="H2989" s="87" t="b">
        <v>1</v>
      </c>
      <c r="I2989" s="87" t="b">
        <v>0</v>
      </c>
      <c r="J2989" s="173" t="s">
        <v>468</v>
      </c>
      <c r="K2989" s="174">
        <v>2560878000107</v>
      </c>
      <c r="L2989" s="173" t="s">
        <v>781</v>
      </c>
      <c r="M2989" s="173" t="s">
        <v>739</v>
      </c>
      <c r="N2989" s="173" t="s">
        <v>55</v>
      </c>
      <c r="O2989" s="87">
        <v>64</v>
      </c>
      <c r="P2989" s="173" t="s">
        <v>25</v>
      </c>
      <c r="Q2989" s="1" t="s">
        <v>1344</v>
      </c>
      <c r="R2989" s="175">
        <v>16</v>
      </c>
      <c r="S2989">
        <v>16</v>
      </c>
    </row>
    <row r="2990" spans="1:19" x14ac:dyDescent="0.25">
      <c r="A2990" s="87">
        <v>2019</v>
      </c>
      <c r="B2990" s="87">
        <v>12</v>
      </c>
      <c r="C2990" s="173" t="s">
        <v>16</v>
      </c>
      <c r="D2990" s="173" t="s">
        <v>230</v>
      </c>
      <c r="E2990" s="173" t="s">
        <v>24</v>
      </c>
      <c r="F2990" s="173" t="s">
        <v>16</v>
      </c>
      <c r="G2990" s="87" t="b">
        <v>1</v>
      </c>
      <c r="H2990" s="87" t="b">
        <v>1</v>
      </c>
      <c r="I2990" s="87" t="b">
        <v>0</v>
      </c>
      <c r="J2990" s="173" t="s">
        <v>455</v>
      </c>
      <c r="K2990" s="174">
        <v>2560878000107</v>
      </c>
      <c r="L2990" s="173" t="s">
        <v>781</v>
      </c>
      <c r="M2990" s="173" t="s">
        <v>739</v>
      </c>
      <c r="N2990" s="173" t="s">
        <v>55</v>
      </c>
      <c r="O2990" s="87">
        <v>70</v>
      </c>
      <c r="P2990" s="173" t="s">
        <v>20</v>
      </c>
      <c r="Q2990" s="1" t="s">
        <v>1338</v>
      </c>
      <c r="R2990" s="175">
        <v>50</v>
      </c>
      <c r="S2990">
        <v>10</v>
      </c>
    </row>
    <row r="2991" spans="1:19" x14ac:dyDescent="0.25">
      <c r="A2991" s="87">
        <v>2019</v>
      </c>
      <c r="B2991" s="87">
        <v>12</v>
      </c>
      <c r="C2991" s="173" t="s">
        <v>16</v>
      </c>
      <c r="D2991" s="173" t="s">
        <v>230</v>
      </c>
      <c r="E2991" s="173" t="s">
        <v>24</v>
      </c>
      <c r="F2991" s="173" t="s">
        <v>16</v>
      </c>
      <c r="G2991" s="87" t="b">
        <v>1</v>
      </c>
      <c r="H2991" s="87" t="b">
        <v>1</v>
      </c>
      <c r="I2991" s="87" t="b">
        <v>0</v>
      </c>
      <c r="J2991" s="173" t="s">
        <v>468</v>
      </c>
      <c r="K2991" s="174">
        <v>2560878000107</v>
      </c>
      <c r="L2991" s="173" t="s">
        <v>781</v>
      </c>
      <c r="M2991" s="173" t="s">
        <v>739</v>
      </c>
      <c r="N2991" s="173" t="s">
        <v>55</v>
      </c>
      <c r="O2991" s="87">
        <v>70</v>
      </c>
      <c r="P2991" s="173" t="s">
        <v>20</v>
      </c>
      <c r="Q2991" s="1" t="s">
        <v>1338</v>
      </c>
      <c r="R2991" s="175">
        <v>100</v>
      </c>
      <c r="S2991">
        <v>20</v>
      </c>
    </row>
    <row r="2992" spans="1:19" x14ac:dyDescent="0.25">
      <c r="A2992" s="87">
        <v>2019</v>
      </c>
      <c r="B2992" s="87">
        <v>12</v>
      </c>
      <c r="C2992" s="173" t="s">
        <v>16</v>
      </c>
      <c r="D2992" s="173" t="s">
        <v>230</v>
      </c>
      <c r="E2992" s="173" t="s">
        <v>24</v>
      </c>
      <c r="F2992" s="173" t="s">
        <v>16</v>
      </c>
      <c r="G2992" s="87" t="b">
        <v>1</v>
      </c>
      <c r="H2992" s="87" t="b">
        <v>1</v>
      </c>
      <c r="I2992" s="87" t="b">
        <v>0</v>
      </c>
      <c r="J2992" s="173" t="s">
        <v>491</v>
      </c>
      <c r="K2992" s="174">
        <v>2560878000107</v>
      </c>
      <c r="L2992" s="173" t="s">
        <v>781</v>
      </c>
      <c r="M2992" s="173" t="s">
        <v>739</v>
      </c>
      <c r="N2992" s="173" t="s">
        <v>55</v>
      </c>
      <c r="O2992" s="87">
        <v>70</v>
      </c>
      <c r="P2992" s="173" t="s">
        <v>20</v>
      </c>
      <c r="Q2992" s="1" t="s">
        <v>1338</v>
      </c>
      <c r="R2992" s="175">
        <v>25</v>
      </c>
      <c r="S2992">
        <v>5</v>
      </c>
    </row>
    <row r="2993" spans="1:19" x14ac:dyDescent="0.25">
      <c r="A2993" s="87">
        <v>2019</v>
      </c>
      <c r="B2993" s="87">
        <v>12</v>
      </c>
      <c r="C2993" s="173" t="s">
        <v>16</v>
      </c>
      <c r="D2993" s="173" t="s">
        <v>230</v>
      </c>
      <c r="E2993" s="173" t="s">
        <v>24</v>
      </c>
      <c r="F2993" s="173" t="s">
        <v>16</v>
      </c>
      <c r="G2993" s="87" t="b">
        <v>1</v>
      </c>
      <c r="H2993" s="87" t="b">
        <v>1</v>
      </c>
      <c r="I2993" s="87" t="b">
        <v>0</v>
      </c>
      <c r="J2993" s="173" t="s">
        <v>451</v>
      </c>
      <c r="K2993" s="174">
        <v>2623693000102</v>
      </c>
      <c r="L2993" s="173" t="s">
        <v>1142</v>
      </c>
      <c r="M2993" s="173" t="s">
        <v>58</v>
      </c>
      <c r="N2993" s="173" t="s">
        <v>54</v>
      </c>
      <c r="O2993" s="87">
        <v>70</v>
      </c>
      <c r="P2993" s="173" t="s">
        <v>20</v>
      </c>
      <c r="Q2993" s="1" t="s">
        <v>1345</v>
      </c>
      <c r="R2993" s="175">
        <v>20</v>
      </c>
      <c r="S2993">
        <v>2</v>
      </c>
    </row>
    <row r="2994" spans="1:19" x14ac:dyDescent="0.25">
      <c r="A2994" s="87">
        <v>2019</v>
      </c>
      <c r="B2994" s="87">
        <v>12</v>
      </c>
      <c r="C2994" s="173" t="s">
        <v>16</v>
      </c>
      <c r="D2994" s="173" t="s">
        <v>230</v>
      </c>
      <c r="E2994" s="173" t="s">
        <v>24</v>
      </c>
      <c r="F2994" s="173" t="s">
        <v>16</v>
      </c>
      <c r="G2994" s="87" t="b">
        <v>1</v>
      </c>
      <c r="H2994" s="87" t="b">
        <v>1</v>
      </c>
      <c r="I2994" s="87" t="b">
        <v>0</v>
      </c>
      <c r="J2994" s="173" t="s">
        <v>451</v>
      </c>
      <c r="K2994" s="174">
        <v>2623693000102</v>
      </c>
      <c r="L2994" s="173" t="s">
        <v>1142</v>
      </c>
      <c r="M2994" s="173" t="s">
        <v>58</v>
      </c>
      <c r="N2994" s="173" t="s">
        <v>54</v>
      </c>
      <c r="O2994" s="87">
        <v>70</v>
      </c>
      <c r="P2994" s="173" t="s">
        <v>20</v>
      </c>
      <c r="Q2994" s="1" t="s">
        <v>1338</v>
      </c>
      <c r="R2994" s="175">
        <v>5</v>
      </c>
      <c r="S2994">
        <v>1</v>
      </c>
    </row>
    <row r="2995" spans="1:19" x14ac:dyDescent="0.25">
      <c r="A2995" s="87">
        <v>2019</v>
      </c>
      <c r="B2995" s="87">
        <v>12</v>
      </c>
      <c r="C2995" s="173" t="s">
        <v>16</v>
      </c>
      <c r="D2995" s="173" t="s">
        <v>230</v>
      </c>
      <c r="E2995" s="173" t="s">
        <v>24</v>
      </c>
      <c r="F2995" s="173" t="s">
        <v>16</v>
      </c>
      <c r="G2995" s="87" t="b">
        <v>1</v>
      </c>
      <c r="H2995" s="87" t="b">
        <v>1</v>
      </c>
      <c r="I2995" s="87" t="b">
        <v>0</v>
      </c>
      <c r="J2995" s="173" t="s">
        <v>463</v>
      </c>
      <c r="K2995" s="174">
        <v>2643405000173</v>
      </c>
      <c r="L2995" s="173" t="s">
        <v>642</v>
      </c>
      <c r="M2995" s="173" t="s">
        <v>643</v>
      </c>
      <c r="N2995" s="173" t="s">
        <v>19</v>
      </c>
      <c r="O2995" s="87">
        <v>73</v>
      </c>
      <c r="P2995" s="173" t="s">
        <v>26</v>
      </c>
      <c r="Q2995" s="1" t="s">
        <v>1339</v>
      </c>
      <c r="R2995" s="175">
        <v>12</v>
      </c>
      <c r="S2995">
        <v>6</v>
      </c>
    </row>
    <row r="2996" spans="1:19" x14ac:dyDescent="0.25">
      <c r="A2996" s="87">
        <v>2019</v>
      </c>
      <c r="B2996" s="87">
        <v>12</v>
      </c>
      <c r="C2996" s="173" t="s">
        <v>16</v>
      </c>
      <c r="D2996" s="173" t="s">
        <v>230</v>
      </c>
      <c r="E2996" s="173" t="s">
        <v>24</v>
      </c>
      <c r="F2996" s="173" t="s">
        <v>16</v>
      </c>
      <c r="G2996" s="87" t="b">
        <v>1</v>
      </c>
      <c r="H2996" s="87" t="b">
        <v>1</v>
      </c>
      <c r="I2996" s="87" t="b">
        <v>0</v>
      </c>
      <c r="J2996" s="173" t="s">
        <v>463</v>
      </c>
      <c r="K2996" s="174">
        <v>2643405000173</v>
      </c>
      <c r="L2996" s="173" t="s">
        <v>642</v>
      </c>
      <c r="M2996" s="173" t="s">
        <v>643</v>
      </c>
      <c r="N2996" s="173" t="s">
        <v>19</v>
      </c>
      <c r="O2996" s="87">
        <v>73</v>
      </c>
      <c r="P2996" s="173" t="s">
        <v>26</v>
      </c>
      <c r="Q2996" s="1" t="s">
        <v>1340</v>
      </c>
      <c r="R2996" s="175">
        <v>10</v>
      </c>
      <c r="S2996">
        <v>10</v>
      </c>
    </row>
    <row r="2997" spans="1:19" x14ac:dyDescent="0.25">
      <c r="A2997" s="87">
        <v>2019</v>
      </c>
      <c r="B2997" s="87">
        <v>12</v>
      </c>
      <c r="C2997" s="173" t="s">
        <v>16</v>
      </c>
      <c r="D2997" s="173" t="s">
        <v>230</v>
      </c>
      <c r="E2997" s="173" t="s">
        <v>24</v>
      </c>
      <c r="F2997" s="173" t="s">
        <v>16</v>
      </c>
      <c r="G2997" s="87" t="b">
        <v>1</v>
      </c>
      <c r="H2997" s="87" t="b">
        <v>1</v>
      </c>
      <c r="I2997" s="87" t="b">
        <v>0</v>
      </c>
      <c r="J2997" s="173" t="s">
        <v>450</v>
      </c>
      <c r="K2997" s="174">
        <v>2837922000183</v>
      </c>
      <c r="L2997" s="173" t="s">
        <v>563</v>
      </c>
      <c r="M2997" s="173" t="s">
        <v>29</v>
      </c>
      <c r="N2997" s="173" t="s">
        <v>19</v>
      </c>
      <c r="O2997" s="87">
        <v>73</v>
      </c>
      <c r="P2997" s="173" t="s">
        <v>26</v>
      </c>
      <c r="Q2997" s="1" t="s">
        <v>1342</v>
      </c>
      <c r="R2997" s="175">
        <v>40</v>
      </c>
      <c r="S2997">
        <v>10</v>
      </c>
    </row>
    <row r="2998" spans="1:19" x14ac:dyDescent="0.25">
      <c r="A2998" s="87">
        <v>2019</v>
      </c>
      <c r="B2998" s="87">
        <v>12</v>
      </c>
      <c r="C2998" s="173" t="s">
        <v>16</v>
      </c>
      <c r="D2998" s="173" t="s">
        <v>230</v>
      </c>
      <c r="E2998" s="173" t="s">
        <v>24</v>
      </c>
      <c r="F2998" s="173" t="s">
        <v>16</v>
      </c>
      <c r="G2998" s="87" t="b">
        <v>1</v>
      </c>
      <c r="H2998" s="87" t="b">
        <v>1</v>
      </c>
      <c r="I2998" s="87" t="b">
        <v>0</v>
      </c>
      <c r="J2998" s="173" t="s">
        <v>477</v>
      </c>
      <c r="K2998" s="174">
        <v>2864097000106</v>
      </c>
      <c r="L2998" s="173" t="s">
        <v>1078</v>
      </c>
      <c r="M2998" s="173" t="s">
        <v>131</v>
      </c>
      <c r="N2998" s="173" t="s">
        <v>61</v>
      </c>
      <c r="O2998" s="87">
        <v>70</v>
      </c>
      <c r="P2998" s="173" t="s">
        <v>20</v>
      </c>
      <c r="Q2998" s="1" t="s">
        <v>1338</v>
      </c>
      <c r="R2998" s="175">
        <v>135</v>
      </c>
      <c r="S2998">
        <v>27</v>
      </c>
    </row>
    <row r="2999" spans="1:19" x14ac:dyDescent="0.25">
      <c r="A2999" s="87">
        <v>2019</v>
      </c>
      <c r="B2999" s="87">
        <v>12</v>
      </c>
      <c r="C2999" s="173" t="s">
        <v>16</v>
      </c>
      <c r="D2999" s="173" t="s">
        <v>230</v>
      </c>
      <c r="E2999" s="173" t="s">
        <v>24</v>
      </c>
      <c r="F2999" s="173" t="s">
        <v>16</v>
      </c>
      <c r="G2999" s="87" t="b">
        <v>1</v>
      </c>
      <c r="H2999" s="87" t="b">
        <v>1</v>
      </c>
      <c r="I2999" s="87" t="b">
        <v>0</v>
      </c>
      <c r="J2999" s="173" t="s">
        <v>451</v>
      </c>
      <c r="K2999" s="174">
        <v>2864097000106</v>
      </c>
      <c r="L2999" s="173" t="s">
        <v>1078</v>
      </c>
      <c r="M2999" s="173" t="s">
        <v>131</v>
      </c>
      <c r="N2999" s="173" t="s">
        <v>61</v>
      </c>
      <c r="O2999" s="87">
        <v>70</v>
      </c>
      <c r="P2999" s="173" t="s">
        <v>20</v>
      </c>
      <c r="Q2999" s="1" t="s">
        <v>1338</v>
      </c>
      <c r="R2999" s="175">
        <v>75</v>
      </c>
      <c r="S2999">
        <v>15</v>
      </c>
    </row>
    <row r="3000" spans="1:19" x14ac:dyDescent="0.25">
      <c r="A3000" s="87">
        <v>2019</v>
      </c>
      <c r="B3000" s="87">
        <v>12</v>
      </c>
      <c r="C3000" s="173" t="s">
        <v>16</v>
      </c>
      <c r="D3000" s="173" t="s">
        <v>230</v>
      </c>
      <c r="E3000" s="173" t="s">
        <v>24</v>
      </c>
      <c r="F3000" s="173" t="s">
        <v>16</v>
      </c>
      <c r="G3000" s="87" t="b">
        <v>1</v>
      </c>
      <c r="H3000" s="87" t="b">
        <v>1</v>
      </c>
      <c r="I3000" s="87" t="b">
        <v>0</v>
      </c>
      <c r="J3000" s="173" t="s">
        <v>491</v>
      </c>
      <c r="K3000" s="174">
        <v>2864097000106</v>
      </c>
      <c r="L3000" s="173" t="s">
        <v>1078</v>
      </c>
      <c r="M3000" s="173" t="s">
        <v>131</v>
      </c>
      <c r="N3000" s="173" t="s">
        <v>61</v>
      </c>
      <c r="O3000" s="87">
        <v>70</v>
      </c>
      <c r="P3000" s="173" t="s">
        <v>20</v>
      </c>
      <c r="Q3000" s="1" t="s">
        <v>1338</v>
      </c>
      <c r="R3000" s="175">
        <v>75</v>
      </c>
      <c r="S3000">
        <v>15</v>
      </c>
    </row>
    <row r="3001" spans="1:19" x14ac:dyDescent="0.25">
      <c r="A3001" s="87">
        <v>2019</v>
      </c>
      <c r="B3001" s="87">
        <v>12</v>
      </c>
      <c r="C3001" s="173" t="s">
        <v>16</v>
      </c>
      <c r="D3001" s="173" t="s">
        <v>230</v>
      </c>
      <c r="E3001" s="173" t="s">
        <v>24</v>
      </c>
      <c r="F3001" s="173" t="s">
        <v>16</v>
      </c>
      <c r="G3001" s="87" t="b">
        <v>1</v>
      </c>
      <c r="H3001" s="87" t="b">
        <v>1</v>
      </c>
      <c r="I3001" s="87" t="b">
        <v>0</v>
      </c>
      <c r="J3001" s="173" t="s">
        <v>477</v>
      </c>
      <c r="K3001" s="174">
        <v>2880648000125</v>
      </c>
      <c r="L3001" s="173" t="s">
        <v>1411</v>
      </c>
      <c r="M3001" s="173" t="s">
        <v>131</v>
      </c>
      <c r="N3001" s="173" t="s">
        <v>61</v>
      </c>
      <c r="O3001" s="87">
        <v>73</v>
      </c>
      <c r="P3001" s="173" t="s">
        <v>26</v>
      </c>
      <c r="Q3001" s="1" t="s">
        <v>1342</v>
      </c>
      <c r="R3001" s="175">
        <v>16</v>
      </c>
      <c r="S3001">
        <v>4</v>
      </c>
    </row>
    <row r="3002" spans="1:19" x14ac:dyDescent="0.25">
      <c r="A3002" s="87">
        <v>2019</v>
      </c>
      <c r="B3002" s="87">
        <v>12</v>
      </c>
      <c r="C3002" s="173" t="s">
        <v>16</v>
      </c>
      <c r="D3002" s="173" t="s">
        <v>230</v>
      </c>
      <c r="E3002" s="173" t="s">
        <v>24</v>
      </c>
      <c r="F3002" s="173" t="s">
        <v>16</v>
      </c>
      <c r="G3002" s="87" t="b">
        <v>1</v>
      </c>
      <c r="H3002" s="87" t="b">
        <v>1</v>
      </c>
      <c r="I3002" s="87" t="b">
        <v>0</v>
      </c>
      <c r="J3002" s="173" t="s">
        <v>1512</v>
      </c>
      <c r="K3002" s="174">
        <v>2880648000125</v>
      </c>
      <c r="L3002" s="173" t="s">
        <v>1411</v>
      </c>
      <c r="M3002" s="173" t="s">
        <v>131</v>
      </c>
      <c r="N3002" s="173" t="s">
        <v>61</v>
      </c>
      <c r="O3002" s="87">
        <v>73</v>
      </c>
      <c r="P3002" s="173" t="s">
        <v>26</v>
      </c>
      <c r="Q3002" s="1" t="s">
        <v>1342</v>
      </c>
      <c r="R3002" s="175">
        <v>8</v>
      </c>
      <c r="S3002">
        <v>2</v>
      </c>
    </row>
    <row r="3003" spans="1:19" x14ac:dyDescent="0.25">
      <c r="A3003" s="87">
        <v>2019</v>
      </c>
      <c r="B3003" s="87">
        <v>12</v>
      </c>
      <c r="C3003" s="173" t="s">
        <v>16</v>
      </c>
      <c r="D3003" s="173" t="s">
        <v>230</v>
      </c>
      <c r="E3003" s="173" t="s">
        <v>24</v>
      </c>
      <c r="F3003" s="173" t="s">
        <v>16</v>
      </c>
      <c r="G3003" s="87" t="b">
        <v>1</v>
      </c>
      <c r="H3003" s="87" t="b">
        <v>1</v>
      </c>
      <c r="I3003" s="87" t="b">
        <v>0</v>
      </c>
      <c r="J3003" s="173" t="s">
        <v>451</v>
      </c>
      <c r="K3003" s="174">
        <v>3354642000187</v>
      </c>
      <c r="L3003" s="173" t="s">
        <v>1143</v>
      </c>
      <c r="M3003" s="173" t="s">
        <v>93</v>
      </c>
      <c r="N3003" s="173" t="s">
        <v>68</v>
      </c>
      <c r="O3003" s="87">
        <v>70</v>
      </c>
      <c r="P3003" s="173" t="s">
        <v>20</v>
      </c>
      <c r="Q3003" s="1" t="s">
        <v>1338</v>
      </c>
      <c r="R3003" s="175">
        <v>30</v>
      </c>
      <c r="S3003">
        <v>6</v>
      </c>
    </row>
    <row r="3004" spans="1:19" x14ac:dyDescent="0.25">
      <c r="A3004" s="87">
        <v>2019</v>
      </c>
      <c r="B3004" s="87">
        <v>12</v>
      </c>
      <c r="C3004" s="173" t="s">
        <v>16</v>
      </c>
      <c r="D3004" s="173" t="s">
        <v>230</v>
      </c>
      <c r="E3004" s="173" t="s">
        <v>24</v>
      </c>
      <c r="F3004" s="173" t="s">
        <v>16</v>
      </c>
      <c r="G3004" s="87" t="b">
        <v>1</v>
      </c>
      <c r="H3004" s="87" t="b">
        <v>1</v>
      </c>
      <c r="I3004" s="87" t="b">
        <v>0</v>
      </c>
      <c r="J3004" s="173" t="s">
        <v>478</v>
      </c>
      <c r="K3004" s="174">
        <v>3533726001583</v>
      </c>
      <c r="L3004" s="173" t="s">
        <v>788</v>
      </c>
      <c r="M3004" s="173" t="s">
        <v>789</v>
      </c>
      <c r="N3004" s="173" t="s">
        <v>69</v>
      </c>
      <c r="O3004" s="87">
        <v>70</v>
      </c>
      <c r="P3004" s="173" t="s">
        <v>20</v>
      </c>
      <c r="Q3004" s="1" t="s">
        <v>1338</v>
      </c>
      <c r="R3004" s="175">
        <v>60</v>
      </c>
      <c r="S3004">
        <v>12</v>
      </c>
    </row>
    <row r="3005" spans="1:19" x14ac:dyDescent="0.25">
      <c r="A3005" s="87">
        <v>2019</v>
      </c>
      <c r="B3005" s="87">
        <v>12</v>
      </c>
      <c r="C3005" s="173" t="s">
        <v>16</v>
      </c>
      <c r="D3005" s="173" t="s">
        <v>230</v>
      </c>
      <c r="E3005" s="173" t="s">
        <v>24</v>
      </c>
      <c r="F3005" s="173" t="s">
        <v>16</v>
      </c>
      <c r="G3005" s="87" t="b">
        <v>1</v>
      </c>
      <c r="H3005" s="87" t="b">
        <v>1</v>
      </c>
      <c r="I3005" s="87" t="b">
        <v>0</v>
      </c>
      <c r="J3005" s="173" t="s">
        <v>506</v>
      </c>
      <c r="K3005" s="174">
        <v>3533726001583</v>
      </c>
      <c r="L3005" s="173" t="s">
        <v>788</v>
      </c>
      <c r="M3005" s="173" t="s">
        <v>789</v>
      </c>
      <c r="N3005" s="173" t="s">
        <v>69</v>
      </c>
      <c r="O3005" s="87">
        <v>70</v>
      </c>
      <c r="P3005" s="173" t="s">
        <v>20</v>
      </c>
      <c r="Q3005" s="1" t="s">
        <v>1338</v>
      </c>
      <c r="R3005" s="175">
        <v>95</v>
      </c>
      <c r="S3005">
        <v>19</v>
      </c>
    </row>
    <row r="3006" spans="1:19" x14ac:dyDescent="0.25">
      <c r="A3006" s="87">
        <v>2019</v>
      </c>
      <c r="B3006" s="87">
        <v>12</v>
      </c>
      <c r="C3006" s="173" t="s">
        <v>16</v>
      </c>
      <c r="D3006" s="173" t="s">
        <v>230</v>
      </c>
      <c r="E3006" s="173" t="s">
        <v>24</v>
      </c>
      <c r="F3006" s="173" t="s">
        <v>16</v>
      </c>
      <c r="G3006" s="87" t="b">
        <v>1</v>
      </c>
      <c r="H3006" s="87" t="b">
        <v>1</v>
      </c>
      <c r="I3006" s="87" t="b">
        <v>0</v>
      </c>
      <c r="J3006" s="173" t="s">
        <v>451</v>
      </c>
      <c r="K3006" s="174">
        <v>3850913000195</v>
      </c>
      <c r="L3006" s="173" t="s">
        <v>945</v>
      </c>
      <c r="M3006" s="173" t="s">
        <v>94</v>
      </c>
      <c r="N3006" s="173" t="s">
        <v>57</v>
      </c>
      <c r="O3006" s="87">
        <v>70</v>
      </c>
      <c r="P3006" s="173" t="s">
        <v>20</v>
      </c>
      <c r="Q3006" s="1" t="s">
        <v>1345</v>
      </c>
      <c r="R3006" s="175">
        <v>440</v>
      </c>
      <c r="S3006">
        <v>44</v>
      </c>
    </row>
    <row r="3007" spans="1:19" x14ac:dyDescent="0.25">
      <c r="A3007" s="87">
        <v>2019</v>
      </c>
      <c r="B3007" s="87">
        <v>12</v>
      </c>
      <c r="C3007" s="173" t="s">
        <v>16</v>
      </c>
      <c r="D3007" s="173" t="s">
        <v>230</v>
      </c>
      <c r="E3007" s="173" t="s">
        <v>24</v>
      </c>
      <c r="F3007" s="173" t="s">
        <v>16</v>
      </c>
      <c r="G3007" s="87" t="b">
        <v>1</v>
      </c>
      <c r="H3007" s="87" t="b">
        <v>1</v>
      </c>
      <c r="I3007" s="87" t="b">
        <v>0</v>
      </c>
      <c r="J3007" s="173" t="s">
        <v>451</v>
      </c>
      <c r="K3007" s="174">
        <v>3850913000195</v>
      </c>
      <c r="L3007" s="173" t="s">
        <v>945</v>
      </c>
      <c r="M3007" s="173" t="s">
        <v>94</v>
      </c>
      <c r="N3007" s="173" t="s">
        <v>57</v>
      </c>
      <c r="O3007" s="87">
        <v>70</v>
      </c>
      <c r="P3007" s="173" t="s">
        <v>20</v>
      </c>
      <c r="Q3007" s="1" t="s">
        <v>1338</v>
      </c>
      <c r="R3007" s="175">
        <v>40</v>
      </c>
      <c r="S3007">
        <v>8</v>
      </c>
    </row>
    <row r="3008" spans="1:19" x14ac:dyDescent="0.25">
      <c r="A3008" s="87">
        <v>2019</v>
      </c>
      <c r="B3008" s="87">
        <v>12</v>
      </c>
      <c r="C3008" s="173" t="s">
        <v>16</v>
      </c>
      <c r="D3008" s="173" t="s">
        <v>230</v>
      </c>
      <c r="E3008" s="173" t="s">
        <v>24</v>
      </c>
      <c r="F3008" s="173" t="s">
        <v>16</v>
      </c>
      <c r="G3008" s="87" t="b">
        <v>1</v>
      </c>
      <c r="H3008" s="87" t="b">
        <v>1</v>
      </c>
      <c r="I3008" s="87" t="b">
        <v>0</v>
      </c>
      <c r="J3008" s="173" t="s">
        <v>492</v>
      </c>
      <c r="K3008" s="174">
        <v>3855214000219</v>
      </c>
      <c r="L3008" s="173" t="s">
        <v>946</v>
      </c>
      <c r="M3008" s="173" t="s">
        <v>947</v>
      </c>
      <c r="N3008" s="173" t="s">
        <v>68</v>
      </c>
      <c r="O3008" s="87">
        <v>70</v>
      </c>
      <c r="P3008" s="173" t="s">
        <v>20</v>
      </c>
      <c r="Q3008" s="1" t="s">
        <v>1338</v>
      </c>
      <c r="R3008" s="175">
        <v>20</v>
      </c>
      <c r="S3008">
        <v>4</v>
      </c>
    </row>
    <row r="3009" spans="1:19" x14ac:dyDescent="0.25">
      <c r="A3009" s="87">
        <v>2019</v>
      </c>
      <c r="B3009" s="87">
        <v>12</v>
      </c>
      <c r="C3009" s="173" t="s">
        <v>16</v>
      </c>
      <c r="D3009" s="173" t="s">
        <v>230</v>
      </c>
      <c r="E3009" s="173" t="s">
        <v>24</v>
      </c>
      <c r="F3009" s="173" t="s">
        <v>16</v>
      </c>
      <c r="G3009" s="87" t="b">
        <v>1</v>
      </c>
      <c r="H3009" s="87" t="b">
        <v>1</v>
      </c>
      <c r="I3009" s="87" t="b">
        <v>0</v>
      </c>
      <c r="J3009" s="173" t="s">
        <v>491</v>
      </c>
      <c r="K3009" s="174">
        <v>3866223000124</v>
      </c>
      <c r="L3009" s="173" t="s">
        <v>792</v>
      </c>
      <c r="M3009" s="173" t="s">
        <v>742</v>
      </c>
      <c r="N3009" s="173" t="s">
        <v>91</v>
      </c>
      <c r="O3009" s="87">
        <v>70</v>
      </c>
      <c r="P3009" s="173" t="s">
        <v>20</v>
      </c>
      <c r="Q3009" s="1" t="s">
        <v>1338</v>
      </c>
      <c r="R3009" s="175">
        <v>1395</v>
      </c>
      <c r="S3009">
        <v>279</v>
      </c>
    </row>
    <row r="3010" spans="1:19" x14ac:dyDescent="0.25">
      <c r="A3010" s="87">
        <v>2019</v>
      </c>
      <c r="B3010" s="87">
        <v>12</v>
      </c>
      <c r="C3010" s="173" t="s">
        <v>16</v>
      </c>
      <c r="D3010" s="173" t="s">
        <v>230</v>
      </c>
      <c r="E3010" s="173" t="s">
        <v>24</v>
      </c>
      <c r="F3010" s="173" t="s">
        <v>16</v>
      </c>
      <c r="G3010" s="87" t="b">
        <v>1</v>
      </c>
      <c r="H3010" s="87" t="b">
        <v>1</v>
      </c>
      <c r="I3010" s="87" t="b">
        <v>0</v>
      </c>
      <c r="J3010" s="173" t="s">
        <v>450</v>
      </c>
      <c r="K3010" s="174">
        <v>3872790000193</v>
      </c>
      <c r="L3010" s="173" t="s">
        <v>564</v>
      </c>
      <c r="M3010" s="173" t="s">
        <v>29</v>
      </c>
      <c r="N3010" s="173" t="s">
        <v>19</v>
      </c>
      <c r="O3010" s="87">
        <v>73</v>
      </c>
      <c r="P3010" s="173" t="s">
        <v>26</v>
      </c>
      <c r="Q3010" s="1" t="s">
        <v>1342</v>
      </c>
      <c r="R3010" s="175">
        <v>8</v>
      </c>
      <c r="S3010">
        <v>2</v>
      </c>
    </row>
    <row r="3011" spans="1:19" x14ac:dyDescent="0.25">
      <c r="A3011" s="87">
        <v>2019</v>
      </c>
      <c r="B3011" s="87">
        <v>12</v>
      </c>
      <c r="C3011" s="173" t="s">
        <v>16</v>
      </c>
      <c r="D3011" s="173" t="s">
        <v>230</v>
      </c>
      <c r="E3011" s="173" t="s">
        <v>24</v>
      </c>
      <c r="F3011" s="173" t="s">
        <v>16</v>
      </c>
      <c r="G3011" s="87" t="b">
        <v>1</v>
      </c>
      <c r="H3011" s="87" t="b">
        <v>1</v>
      </c>
      <c r="I3011" s="87" t="b">
        <v>0</v>
      </c>
      <c r="J3011" s="173" t="s">
        <v>468</v>
      </c>
      <c r="K3011" s="174">
        <v>3925419000142</v>
      </c>
      <c r="L3011" s="173" t="s">
        <v>795</v>
      </c>
      <c r="M3011" s="173" t="s">
        <v>772</v>
      </c>
      <c r="N3011" s="173" t="s">
        <v>69</v>
      </c>
      <c r="O3011" s="87">
        <v>64</v>
      </c>
      <c r="P3011" s="173" t="s">
        <v>25</v>
      </c>
      <c r="Q3011" s="1" t="s">
        <v>1344</v>
      </c>
      <c r="R3011" s="175">
        <v>3</v>
      </c>
      <c r="S3011">
        <v>3</v>
      </c>
    </row>
    <row r="3012" spans="1:19" x14ac:dyDescent="0.25">
      <c r="A3012" s="87">
        <v>2019</v>
      </c>
      <c r="B3012" s="87">
        <v>12</v>
      </c>
      <c r="C3012" s="173" t="s">
        <v>16</v>
      </c>
      <c r="D3012" s="173" t="s">
        <v>230</v>
      </c>
      <c r="E3012" s="173" t="s">
        <v>24</v>
      </c>
      <c r="F3012" s="173" t="s">
        <v>16</v>
      </c>
      <c r="G3012" s="87" t="b">
        <v>1</v>
      </c>
      <c r="H3012" s="87" t="b">
        <v>1</v>
      </c>
      <c r="I3012" s="87" t="b">
        <v>0</v>
      </c>
      <c r="J3012" s="173" t="s">
        <v>491</v>
      </c>
      <c r="K3012" s="174">
        <v>3989821000190</v>
      </c>
      <c r="L3012" s="173" t="s">
        <v>796</v>
      </c>
      <c r="M3012" s="173" t="s">
        <v>739</v>
      </c>
      <c r="N3012" s="173" t="s">
        <v>55</v>
      </c>
      <c r="O3012" s="87">
        <v>70</v>
      </c>
      <c r="P3012" s="173" t="s">
        <v>20</v>
      </c>
      <c r="Q3012" s="1" t="s">
        <v>1338</v>
      </c>
      <c r="R3012" s="175">
        <v>45</v>
      </c>
      <c r="S3012">
        <v>9</v>
      </c>
    </row>
    <row r="3013" spans="1:19" x14ac:dyDescent="0.25">
      <c r="A3013" s="87">
        <v>2019</v>
      </c>
      <c r="B3013" s="87">
        <v>12</v>
      </c>
      <c r="C3013" s="173" t="s">
        <v>16</v>
      </c>
      <c r="D3013" s="173" t="s">
        <v>230</v>
      </c>
      <c r="E3013" s="173" t="s">
        <v>24</v>
      </c>
      <c r="F3013" s="173" t="s">
        <v>16</v>
      </c>
      <c r="G3013" s="87" t="b">
        <v>1</v>
      </c>
      <c r="H3013" s="87" t="b">
        <v>1</v>
      </c>
      <c r="I3013" s="87" t="b">
        <v>0</v>
      </c>
      <c r="J3013" s="173" t="s">
        <v>463</v>
      </c>
      <c r="K3013" s="174">
        <v>4036348000190</v>
      </c>
      <c r="L3013" s="173" t="s">
        <v>565</v>
      </c>
      <c r="M3013" s="173" t="s">
        <v>29</v>
      </c>
      <c r="N3013" s="173" t="s">
        <v>19</v>
      </c>
      <c r="O3013" s="87">
        <v>70</v>
      </c>
      <c r="P3013" s="173" t="s">
        <v>20</v>
      </c>
      <c r="Q3013" s="1" t="s">
        <v>1338</v>
      </c>
      <c r="R3013" s="175">
        <v>200</v>
      </c>
      <c r="S3013">
        <v>40</v>
      </c>
    </row>
    <row r="3014" spans="1:19" x14ac:dyDescent="0.25">
      <c r="A3014" s="87">
        <v>2019</v>
      </c>
      <c r="B3014" s="87">
        <v>12</v>
      </c>
      <c r="C3014" s="173" t="s">
        <v>16</v>
      </c>
      <c r="D3014" s="173" t="s">
        <v>230</v>
      </c>
      <c r="E3014" s="173" t="s">
        <v>24</v>
      </c>
      <c r="F3014" s="173" t="s">
        <v>16</v>
      </c>
      <c r="G3014" s="87" t="b">
        <v>1</v>
      </c>
      <c r="H3014" s="87" t="b">
        <v>1</v>
      </c>
      <c r="I3014" s="87" t="b">
        <v>0</v>
      </c>
      <c r="J3014" s="173" t="s">
        <v>491</v>
      </c>
      <c r="K3014" s="174">
        <v>4036348000190</v>
      </c>
      <c r="L3014" s="173" t="s">
        <v>565</v>
      </c>
      <c r="M3014" s="173" t="s">
        <v>29</v>
      </c>
      <c r="N3014" s="173" t="s">
        <v>19</v>
      </c>
      <c r="O3014" s="87">
        <v>70</v>
      </c>
      <c r="P3014" s="173" t="s">
        <v>20</v>
      </c>
      <c r="Q3014" s="1" t="s">
        <v>1338</v>
      </c>
      <c r="R3014" s="175">
        <v>195</v>
      </c>
      <c r="S3014">
        <v>39</v>
      </c>
    </row>
    <row r="3015" spans="1:19" x14ac:dyDescent="0.25">
      <c r="A3015" s="87">
        <v>2019</v>
      </c>
      <c r="B3015" s="87">
        <v>12</v>
      </c>
      <c r="C3015" s="173" t="s">
        <v>16</v>
      </c>
      <c r="D3015" s="173" t="s">
        <v>230</v>
      </c>
      <c r="E3015" s="173" t="s">
        <v>24</v>
      </c>
      <c r="F3015" s="173" t="s">
        <v>16</v>
      </c>
      <c r="G3015" s="87" t="b">
        <v>1</v>
      </c>
      <c r="H3015" s="87" t="b">
        <v>1</v>
      </c>
      <c r="I3015" s="87" t="b">
        <v>0</v>
      </c>
      <c r="J3015" s="173" t="s">
        <v>460</v>
      </c>
      <c r="K3015" s="174">
        <v>4201372001028</v>
      </c>
      <c r="L3015" s="173" t="s">
        <v>1145</v>
      </c>
      <c r="M3015" s="173" t="s">
        <v>1129</v>
      </c>
      <c r="N3015" s="173" t="s">
        <v>52</v>
      </c>
      <c r="O3015" s="87">
        <v>73</v>
      </c>
      <c r="P3015" s="173" t="s">
        <v>26</v>
      </c>
      <c r="Q3015" s="1" t="s">
        <v>1339</v>
      </c>
      <c r="R3015" s="175">
        <v>48</v>
      </c>
      <c r="S3015">
        <v>24</v>
      </c>
    </row>
    <row r="3016" spans="1:19" x14ac:dyDescent="0.25">
      <c r="A3016" s="87">
        <v>2019</v>
      </c>
      <c r="B3016" s="87">
        <v>12</v>
      </c>
      <c r="C3016" s="173" t="s">
        <v>16</v>
      </c>
      <c r="D3016" s="173" t="s">
        <v>230</v>
      </c>
      <c r="E3016" s="173" t="s">
        <v>24</v>
      </c>
      <c r="F3016" s="173" t="s">
        <v>16</v>
      </c>
      <c r="G3016" s="87" t="b">
        <v>1</v>
      </c>
      <c r="H3016" s="87" t="b">
        <v>1</v>
      </c>
      <c r="I3016" s="87" t="b">
        <v>0</v>
      </c>
      <c r="J3016" s="173" t="s">
        <v>460</v>
      </c>
      <c r="K3016" s="174">
        <v>4201372001028</v>
      </c>
      <c r="L3016" s="173" t="s">
        <v>1145</v>
      </c>
      <c r="M3016" s="173" t="s">
        <v>1129</v>
      </c>
      <c r="N3016" s="173" t="s">
        <v>52</v>
      </c>
      <c r="O3016" s="87">
        <v>73</v>
      </c>
      <c r="P3016" s="173" t="s">
        <v>26</v>
      </c>
      <c r="Q3016" s="1" t="s">
        <v>1342</v>
      </c>
      <c r="R3016" s="175">
        <v>24</v>
      </c>
      <c r="S3016">
        <v>6</v>
      </c>
    </row>
    <row r="3017" spans="1:19" x14ac:dyDescent="0.25">
      <c r="A3017" s="87">
        <v>2019</v>
      </c>
      <c r="B3017" s="87">
        <v>12</v>
      </c>
      <c r="C3017" s="173" t="s">
        <v>16</v>
      </c>
      <c r="D3017" s="173" t="s">
        <v>230</v>
      </c>
      <c r="E3017" s="173" t="s">
        <v>24</v>
      </c>
      <c r="F3017" s="173" t="s">
        <v>16</v>
      </c>
      <c r="G3017" s="87" t="b">
        <v>1</v>
      </c>
      <c r="H3017" s="87" t="b">
        <v>1</v>
      </c>
      <c r="I3017" s="87" t="b">
        <v>0</v>
      </c>
      <c r="J3017" s="173" t="s">
        <v>478</v>
      </c>
      <c r="K3017" s="174">
        <v>4275687000129</v>
      </c>
      <c r="L3017" s="173" t="s">
        <v>645</v>
      </c>
      <c r="M3017" s="173" t="s">
        <v>31</v>
      </c>
      <c r="N3017" s="173" t="s">
        <v>19</v>
      </c>
      <c r="O3017" s="87">
        <v>73</v>
      </c>
      <c r="P3017" s="173" t="s">
        <v>26</v>
      </c>
      <c r="Q3017" s="1" t="s">
        <v>1342</v>
      </c>
      <c r="R3017" s="175">
        <v>20</v>
      </c>
      <c r="S3017">
        <v>5</v>
      </c>
    </row>
    <row r="3018" spans="1:19" x14ac:dyDescent="0.25">
      <c r="A3018" s="87">
        <v>2019</v>
      </c>
      <c r="B3018" s="87">
        <v>12</v>
      </c>
      <c r="C3018" s="173" t="s">
        <v>16</v>
      </c>
      <c r="D3018" s="173" t="s">
        <v>230</v>
      </c>
      <c r="E3018" s="173" t="s">
        <v>24</v>
      </c>
      <c r="F3018" s="173" t="s">
        <v>16</v>
      </c>
      <c r="G3018" s="87" t="b">
        <v>1</v>
      </c>
      <c r="H3018" s="87" t="b">
        <v>1</v>
      </c>
      <c r="I3018" s="87" t="b">
        <v>0</v>
      </c>
      <c r="J3018" s="173" t="s">
        <v>478</v>
      </c>
      <c r="K3018" s="174">
        <v>4275687000129</v>
      </c>
      <c r="L3018" s="173" t="s">
        <v>645</v>
      </c>
      <c r="M3018" s="173" t="s">
        <v>31</v>
      </c>
      <c r="N3018" s="173" t="s">
        <v>19</v>
      </c>
      <c r="O3018" s="87">
        <v>73</v>
      </c>
      <c r="P3018" s="173" t="s">
        <v>26</v>
      </c>
      <c r="Q3018" s="1" t="s">
        <v>1340</v>
      </c>
      <c r="R3018" s="175">
        <v>5</v>
      </c>
      <c r="S3018">
        <v>5</v>
      </c>
    </row>
    <row r="3019" spans="1:19" x14ac:dyDescent="0.25">
      <c r="A3019" s="87">
        <v>2019</v>
      </c>
      <c r="B3019" s="87">
        <v>12</v>
      </c>
      <c r="C3019" s="173" t="s">
        <v>16</v>
      </c>
      <c r="D3019" s="173" t="s">
        <v>230</v>
      </c>
      <c r="E3019" s="173" t="s">
        <v>24</v>
      </c>
      <c r="F3019" s="173" t="s">
        <v>16</v>
      </c>
      <c r="G3019" s="87" t="b">
        <v>1</v>
      </c>
      <c r="H3019" s="87" t="b">
        <v>1</v>
      </c>
      <c r="I3019" s="87" t="b">
        <v>0</v>
      </c>
      <c r="J3019" s="173" t="s">
        <v>451</v>
      </c>
      <c r="K3019" s="174">
        <v>4670913000176</v>
      </c>
      <c r="L3019" s="173" t="s">
        <v>949</v>
      </c>
      <c r="M3019" s="173" t="s">
        <v>930</v>
      </c>
      <c r="N3019" s="173" t="s">
        <v>68</v>
      </c>
      <c r="O3019" s="87">
        <v>70</v>
      </c>
      <c r="P3019" s="173" t="s">
        <v>20</v>
      </c>
      <c r="Q3019" s="1" t="s">
        <v>1338</v>
      </c>
      <c r="R3019" s="175">
        <v>225</v>
      </c>
      <c r="S3019">
        <v>45</v>
      </c>
    </row>
    <row r="3020" spans="1:19" x14ac:dyDescent="0.25">
      <c r="A3020" s="87">
        <v>2019</v>
      </c>
      <c r="B3020" s="87">
        <v>12</v>
      </c>
      <c r="C3020" s="173" t="s">
        <v>16</v>
      </c>
      <c r="D3020" s="173" t="s">
        <v>230</v>
      </c>
      <c r="E3020" s="173" t="s">
        <v>24</v>
      </c>
      <c r="F3020" s="173" t="s">
        <v>16</v>
      </c>
      <c r="G3020" s="87" t="b">
        <v>1</v>
      </c>
      <c r="H3020" s="87" t="b">
        <v>1</v>
      </c>
      <c r="I3020" s="87" t="b">
        <v>0</v>
      </c>
      <c r="J3020" s="173" t="s">
        <v>477</v>
      </c>
      <c r="K3020" s="174">
        <v>4703117000192</v>
      </c>
      <c r="L3020" s="173" t="s">
        <v>1404</v>
      </c>
      <c r="M3020" s="173" t="s">
        <v>1405</v>
      </c>
      <c r="N3020" s="173" t="s">
        <v>61</v>
      </c>
      <c r="O3020" s="87">
        <v>70</v>
      </c>
      <c r="P3020" s="173" t="s">
        <v>20</v>
      </c>
      <c r="Q3020" s="1" t="s">
        <v>1338</v>
      </c>
      <c r="R3020" s="175">
        <v>150</v>
      </c>
      <c r="S3020">
        <v>30</v>
      </c>
    </row>
    <row r="3021" spans="1:19" x14ac:dyDescent="0.25">
      <c r="A3021" s="87">
        <v>2019</v>
      </c>
      <c r="B3021" s="87">
        <v>12</v>
      </c>
      <c r="C3021" s="173" t="s">
        <v>16</v>
      </c>
      <c r="D3021" s="173" t="s">
        <v>230</v>
      </c>
      <c r="E3021" s="173" t="s">
        <v>24</v>
      </c>
      <c r="F3021" s="173" t="s">
        <v>16</v>
      </c>
      <c r="G3021" s="87" t="b">
        <v>1</v>
      </c>
      <c r="H3021" s="87" t="b">
        <v>1</v>
      </c>
      <c r="I3021" s="87" t="b">
        <v>0</v>
      </c>
      <c r="J3021" s="173" t="s">
        <v>492</v>
      </c>
      <c r="K3021" s="174">
        <v>4786490000154</v>
      </c>
      <c r="L3021" s="173" t="s">
        <v>1146</v>
      </c>
      <c r="M3021" s="173" t="s">
        <v>97</v>
      </c>
      <c r="N3021" s="173" t="s">
        <v>98</v>
      </c>
      <c r="O3021" s="87">
        <v>70</v>
      </c>
      <c r="P3021" s="173" t="s">
        <v>20</v>
      </c>
      <c r="Q3021" s="1" t="s">
        <v>1338</v>
      </c>
      <c r="R3021" s="175">
        <v>245</v>
      </c>
      <c r="S3021">
        <v>49</v>
      </c>
    </row>
    <row r="3022" spans="1:19" x14ac:dyDescent="0.25">
      <c r="A3022" s="87">
        <v>2019</v>
      </c>
      <c r="B3022" s="87">
        <v>12</v>
      </c>
      <c r="C3022" s="173" t="s">
        <v>16</v>
      </c>
      <c r="D3022" s="173" t="s">
        <v>230</v>
      </c>
      <c r="E3022" s="173" t="s">
        <v>24</v>
      </c>
      <c r="F3022" s="173" t="s">
        <v>16</v>
      </c>
      <c r="G3022" s="87" t="b">
        <v>1</v>
      </c>
      <c r="H3022" s="87" t="b">
        <v>1</v>
      </c>
      <c r="I3022" s="87" t="b">
        <v>0</v>
      </c>
      <c r="J3022" s="173" t="s">
        <v>460</v>
      </c>
      <c r="K3022" s="174">
        <v>4966545000370</v>
      </c>
      <c r="L3022" s="173" t="s">
        <v>1148</v>
      </c>
      <c r="M3022" s="173" t="s">
        <v>1129</v>
      </c>
      <c r="N3022" s="173" t="s">
        <v>52</v>
      </c>
      <c r="O3022" s="87">
        <v>70</v>
      </c>
      <c r="P3022" s="173" t="s">
        <v>20</v>
      </c>
      <c r="Q3022" s="1" t="s">
        <v>1338</v>
      </c>
      <c r="R3022" s="175">
        <v>40</v>
      </c>
      <c r="S3022">
        <v>8</v>
      </c>
    </row>
    <row r="3023" spans="1:19" x14ac:dyDescent="0.25">
      <c r="A3023" s="87">
        <v>2019</v>
      </c>
      <c r="B3023" s="87">
        <v>12</v>
      </c>
      <c r="C3023" s="173" t="s">
        <v>16</v>
      </c>
      <c r="D3023" s="173" t="s">
        <v>230</v>
      </c>
      <c r="E3023" s="173" t="s">
        <v>24</v>
      </c>
      <c r="F3023" s="173" t="s">
        <v>16</v>
      </c>
      <c r="G3023" s="87" t="b">
        <v>1</v>
      </c>
      <c r="H3023" s="87" t="b">
        <v>1</v>
      </c>
      <c r="I3023" s="87" t="b">
        <v>0</v>
      </c>
      <c r="J3023" s="173" t="s">
        <v>464</v>
      </c>
      <c r="K3023" s="174">
        <v>4966545000370</v>
      </c>
      <c r="L3023" s="173" t="s">
        <v>1148</v>
      </c>
      <c r="M3023" s="173" t="s">
        <v>1129</v>
      </c>
      <c r="N3023" s="173" t="s">
        <v>52</v>
      </c>
      <c r="O3023" s="87">
        <v>70</v>
      </c>
      <c r="P3023" s="173" t="s">
        <v>20</v>
      </c>
      <c r="Q3023" s="1" t="s">
        <v>1338</v>
      </c>
      <c r="R3023" s="175">
        <v>40</v>
      </c>
      <c r="S3023">
        <v>8</v>
      </c>
    </row>
    <row r="3024" spans="1:19" x14ac:dyDescent="0.25">
      <c r="A3024" s="87">
        <v>2019</v>
      </c>
      <c r="B3024" s="87">
        <v>12</v>
      </c>
      <c r="C3024" s="173" t="s">
        <v>16</v>
      </c>
      <c r="D3024" s="173" t="s">
        <v>230</v>
      </c>
      <c r="E3024" s="173" t="s">
        <v>24</v>
      </c>
      <c r="F3024" s="173" t="s">
        <v>16</v>
      </c>
      <c r="G3024" s="87" t="b">
        <v>1</v>
      </c>
      <c r="H3024" s="87" t="b">
        <v>1</v>
      </c>
      <c r="I3024" s="87" t="b">
        <v>0</v>
      </c>
      <c r="J3024" s="173" t="s">
        <v>470</v>
      </c>
      <c r="K3024" s="174">
        <v>5469172000122</v>
      </c>
      <c r="L3024" s="173" t="s">
        <v>799</v>
      </c>
      <c r="M3024" s="173" t="s">
        <v>75</v>
      </c>
      <c r="N3024" s="173" t="s">
        <v>74</v>
      </c>
      <c r="O3024" s="87">
        <v>62</v>
      </c>
      <c r="P3024" s="173" t="s">
        <v>27</v>
      </c>
      <c r="Q3024" s="1" t="s">
        <v>1343</v>
      </c>
      <c r="R3024" s="175">
        <v>2</v>
      </c>
      <c r="S3024">
        <v>2</v>
      </c>
    </row>
    <row r="3025" spans="1:19" x14ac:dyDescent="0.25">
      <c r="A3025" s="87">
        <v>2019</v>
      </c>
      <c r="B3025" s="87">
        <v>12</v>
      </c>
      <c r="C3025" s="173" t="s">
        <v>16</v>
      </c>
      <c r="D3025" s="173" t="s">
        <v>230</v>
      </c>
      <c r="E3025" s="173" t="s">
        <v>24</v>
      </c>
      <c r="F3025" s="173" t="s">
        <v>16</v>
      </c>
      <c r="G3025" s="87" t="b">
        <v>1</v>
      </c>
      <c r="H3025" s="87" t="b">
        <v>1</v>
      </c>
      <c r="I3025" s="87" t="b">
        <v>0</v>
      </c>
      <c r="J3025" s="173" t="s">
        <v>455</v>
      </c>
      <c r="K3025" s="174">
        <v>5469172000122</v>
      </c>
      <c r="L3025" s="173" t="s">
        <v>799</v>
      </c>
      <c r="M3025" s="173" t="s">
        <v>75</v>
      </c>
      <c r="N3025" s="173" t="s">
        <v>74</v>
      </c>
      <c r="O3025" s="87">
        <v>64</v>
      </c>
      <c r="P3025" s="173" t="s">
        <v>25</v>
      </c>
      <c r="Q3025" s="1" t="s">
        <v>1344</v>
      </c>
      <c r="R3025" s="175">
        <v>5</v>
      </c>
      <c r="S3025">
        <v>5</v>
      </c>
    </row>
    <row r="3026" spans="1:19" x14ac:dyDescent="0.25">
      <c r="A3026" s="87">
        <v>2019</v>
      </c>
      <c r="B3026" s="87">
        <v>12</v>
      </c>
      <c r="C3026" s="173" t="s">
        <v>16</v>
      </c>
      <c r="D3026" s="173" t="s">
        <v>230</v>
      </c>
      <c r="E3026" s="173" t="s">
        <v>24</v>
      </c>
      <c r="F3026" s="173" t="s">
        <v>16</v>
      </c>
      <c r="G3026" s="87" t="b">
        <v>1</v>
      </c>
      <c r="H3026" s="87" t="b">
        <v>1</v>
      </c>
      <c r="I3026" s="87" t="b">
        <v>0</v>
      </c>
      <c r="J3026" s="173" t="s">
        <v>451</v>
      </c>
      <c r="K3026" s="174">
        <v>5469172000122</v>
      </c>
      <c r="L3026" s="173" t="s">
        <v>799</v>
      </c>
      <c r="M3026" s="173" t="s">
        <v>75</v>
      </c>
      <c r="N3026" s="173" t="s">
        <v>74</v>
      </c>
      <c r="O3026" s="87">
        <v>64</v>
      </c>
      <c r="P3026" s="173" t="s">
        <v>25</v>
      </c>
      <c r="Q3026" s="1" t="s">
        <v>1344</v>
      </c>
      <c r="R3026" s="175">
        <v>3</v>
      </c>
      <c r="S3026">
        <v>3</v>
      </c>
    </row>
    <row r="3027" spans="1:19" x14ac:dyDescent="0.25">
      <c r="A3027" s="87">
        <v>2019</v>
      </c>
      <c r="B3027" s="87">
        <v>12</v>
      </c>
      <c r="C3027" s="173" t="s">
        <v>16</v>
      </c>
      <c r="D3027" s="173" t="s">
        <v>230</v>
      </c>
      <c r="E3027" s="173" t="s">
        <v>24</v>
      </c>
      <c r="F3027" s="173" t="s">
        <v>16</v>
      </c>
      <c r="G3027" s="87" t="b">
        <v>1</v>
      </c>
      <c r="H3027" s="87" t="b">
        <v>1</v>
      </c>
      <c r="I3027" s="87" t="b">
        <v>0</v>
      </c>
      <c r="J3027" s="173" t="s">
        <v>452</v>
      </c>
      <c r="K3027" s="174">
        <v>5503803000182</v>
      </c>
      <c r="L3027" s="173" t="s">
        <v>1400</v>
      </c>
      <c r="M3027" s="173" t="s">
        <v>94</v>
      </c>
      <c r="N3027" s="173" t="s">
        <v>57</v>
      </c>
      <c r="O3027" s="87">
        <v>73</v>
      </c>
      <c r="P3027" s="173" t="s">
        <v>26</v>
      </c>
      <c r="Q3027" s="1" t="s">
        <v>1339</v>
      </c>
      <c r="R3027" s="175">
        <v>8</v>
      </c>
      <c r="S3027">
        <v>4</v>
      </c>
    </row>
    <row r="3028" spans="1:19" x14ac:dyDescent="0.25">
      <c r="A3028" s="87">
        <v>2019</v>
      </c>
      <c r="B3028" s="87">
        <v>12</v>
      </c>
      <c r="C3028" s="173" t="s">
        <v>16</v>
      </c>
      <c r="D3028" s="173" t="s">
        <v>230</v>
      </c>
      <c r="E3028" s="173" t="s">
        <v>24</v>
      </c>
      <c r="F3028" s="173" t="s">
        <v>16</v>
      </c>
      <c r="G3028" s="87" t="b">
        <v>1</v>
      </c>
      <c r="H3028" s="87" t="b">
        <v>1</v>
      </c>
      <c r="I3028" s="87" t="b">
        <v>0</v>
      </c>
      <c r="J3028" s="173" t="s">
        <v>468</v>
      </c>
      <c r="K3028" s="174">
        <v>5562645000131</v>
      </c>
      <c r="L3028" s="173" t="s">
        <v>1388</v>
      </c>
      <c r="M3028" s="173" t="s">
        <v>745</v>
      </c>
      <c r="N3028" s="173" t="s">
        <v>59</v>
      </c>
      <c r="O3028" s="87">
        <v>70</v>
      </c>
      <c r="P3028" s="173" t="s">
        <v>20</v>
      </c>
      <c r="Q3028" s="1" t="s">
        <v>1338</v>
      </c>
      <c r="R3028" s="175">
        <v>10</v>
      </c>
      <c r="S3028">
        <v>2</v>
      </c>
    </row>
    <row r="3029" spans="1:19" x14ac:dyDescent="0.25">
      <c r="A3029" s="87">
        <v>2019</v>
      </c>
      <c r="B3029" s="87">
        <v>12</v>
      </c>
      <c r="C3029" s="173" t="s">
        <v>16</v>
      </c>
      <c r="D3029" s="173" t="s">
        <v>230</v>
      </c>
      <c r="E3029" s="173" t="s">
        <v>24</v>
      </c>
      <c r="F3029" s="173" t="s">
        <v>16</v>
      </c>
      <c r="G3029" s="87" t="b">
        <v>1</v>
      </c>
      <c r="H3029" s="87" t="b">
        <v>1</v>
      </c>
      <c r="I3029" s="87" t="b">
        <v>0</v>
      </c>
      <c r="J3029" s="173" t="s">
        <v>460</v>
      </c>
      <c r="K3029" s="174">
        <v>5612725000154</v>
      </c>
      <c r="L3029" s="173" t="s">
        <v>800</v>
      </c>
      <c r="M3029" s="173" t="s">
        <v>742</v>
      </c>
      <c r="N3029" s="173" t="s">
        <v>91</v>
      </c>
      <c r="O3029" s="87">
        <v>70</v>
      </c>
      <c r="P3029" s="173" t="s">
        <v>20</v>
      </c>
      <c r="Q3029" s="1" t="s">
        <v>1338</v>
      </c>
      <c r="R3029" s="175">
        <v>30</v>
      </c>
      <c r="S3029">
        <v>6</v>
      </c>
    </row>
    <row r="3030" spans="1:19" x14ac:dyDescent="0.25">
      <c r="A3030" s="87">
        <v>2019</v>
      </c>
      <c r="B3030" s="87">
        <v>12</v>
      </c>
      <c r="C3030" s="173" t="s">
        <v>16</v>
      </c>
      <c r="D3030" s="173" t="s">
        <v>230</v>
      </c>
      <c r="E3030" s="173" t="s">
        <v>24</v>
      </c>
      <c r="F3030" s="173" t="s">
        <v>16</v>
      </c>
      <c r="G3030" s="87" t="b">
        <v>1</v>
      </c>
      <c r="H3030" s="87" t="b">
        <v>1</v>
      </c>
      <c r="I3030" s="87" t="b">
        <v>0</v>
      </c>
      <c r="J3030" s="173" t="s">
        <v>475</v>
      </c>
      <c r="K3030" s="174">
        <v>5816630000152</v>
      </c>
      <c r="L3030" s="173" t="s">
        <v>803</v>
      </c>
      <c r="M3030" s="173" t="s">
        <v>75</v>
      </c>
      <c r="N3030" s="173" t="s">
        <v>74</v>
      </c>
      <c r="O3030" s="87">
        <v>64</v>
      </c>
      <c r="P3030" s="173" t="s">
        <v>25</v>
      </c>
      <c r="Q3030" s="1" t="s">
        <v>1344</v>
      </c>
      <c r="R3030" s="175">
        <v>50</v>
      </c>
      <c r="S3030">
        <v>50</v>
      </c>
    </row>
    <row r="3031" spans="1:19" x14ac:dyDescent="0.25">
      <c r="A3031" s="87">
        <v>2019</v>
      </c>
      <c r="B3031" s="87">
        <v>12</v>
      </c>
      <c r="C3031" s="173" t="s">
        <v>16</v>
      </c>
      <c r="D3031" s="173" t="s">
        <v>230</v>
      </c>
      <c r="E3031" s="173" t="s">
        <v>24</v>
      </c>
      <c r="F3031" s="173" t="s">
        <v>16</v>
      </c>
      <c r="G3031" s="87" t="b">
        <v>1</v>
      </c>
      <c r="H3031" s="87" t="b">
        <v>1</v>
      </c>
      <c r="I3031" s="87" t="b">
        <v>0</v>
      </c>
      <c r="J3031" s="173" t="s">
        <v>1330</v>
      </c>
      <c r="K3031" s="174">
        <v>5816630000152</v>
      </c>
      <c r="L3031" s="173" t="s">
        <v>803</v>
      </c>
      <c r="M3031" s="173" t="s">
        <v>75</v>
      </c>
      <c r="N3031" s="173" t="s">
        <v>74</v>
      </c>
      <c r="O3031" s="87">
        <v>70</v>
      </c>
      <c r="P3031" s="173" t="s">
        <v>20</v>
      </c>
      <c r="Q3031" s="1" t="s">
        <v>1338</v>
      </c>
      <c r="R3031" s="175">
        <v>790</v>
      </c>
      <c r="S3031">
        <v>158</v>
      </c>
    </row>
    <row r="3032" spans="1:19" x14ac:dyDescent="0.25">
      <c r="A3032" s="87">
        <v>2019</v>
      </c>
      <c r="B3032" s="87">
        <v>12</v>
      </c>
      <c r="C3032" s="173" t="s">
        <v>16</v>
      </c>
      <c r="D3032" s="173" t="s">
        <v>230</v>
      </c>
      <c r="E3032" s="173" t="s">
        <v>24</v>
      </c>
      <c r="F3032" s="173" t="s">
        <v>16</v>
      </c>
      <c r="G3032" s="87" t="b">
        <v>1</v>
      </c>
      <c r="H3032" s="87" t="b">
        <v>1</v>
      </c>
      <c r="I3032" s="87" t="b">
        <v>0</v>
      </c>
      <c r="J3032" s="173" t="s">
        <v>506</v>
      </c>
      <c r="K3032" s="174">
        <v>5831510000124</v>
      </c>
      <c r="L3032" s="173" t="s">
        <v>567</v>
      </c>
      <c r="M3032" s="173" t="s">
        <v>29</v>
      </c>
      <c r="N3032" s="173" t="s">
        <v>19</v>
      </c>
      <c r="O3032" s="87">
        <v>70</v>
      </c>
      <c r="P3032" s="173" t="s">
        <v>20</v>
      </c>
      <c r="Q3032" s="1" t="s">
        <v>1338</v>
      </c>
      <c r="R3032" s="175">
        <v>140</v>
      </c>
      <c r="S3032">
        <v>28</v>
      </c>
    </row>
    <row r="3033" spans="1:19" x14ac:dyDescent="0.25">
      <c r="A3033" s="87">
        <v>2019</v>
      </c>
      <c r="B3033" s="87">
        <v>12</v>
      </c>
      <c r="C3033" s="173" t="s">
        <v>16</v>
      </c>
      <c r="D3033" s="173" t="s">
        <v>230</v>
      </c>
      <c r="E3033" s="173" t="s">
        <v>24</v>
      </c>
      <c r="F3033" s="173" t="s">
        <v>16</v>
      </c>
      <c r="G3033" s="87" t="b">
        <v>1</v>
      </c>
      <c r="H3033" s="87" t="b">
        <v>1</v>
      </c>
      <c r="I3033" s="87" t="b">
        <v>0</v>
      </c>
      <c r="J3033" s="173" t="s">
        <v>460</v>
      </c>
      <c r="K3033" s="174">
        <v>5867015000175</v>
      </c>
      <c r="L3033" s="173" t="s">
        <v>804</v>
      </c>
      <c r="M3033" s="173" t="s">
        <v>76</v>
      </c>
      <c r="N3033" s="173" t="s">
        <v>77</v>
      </c>
      <c r="O3033" s="87">
        <v>73</v>
      </c>
      <c r="P3033" s="173" t="s">
        <v>26</v>
      </c>
      <c r="Q3033" s="1" t="s">
        <v>1340</v>
      </c>
      <c r="R3033" s="175">
        <v>8</v>
      </c>
      <c r="S3033">
        <v>8</v>
      </c>
    </row>
    <row r="3034" spans="1:19" x14ac:dyDescent="0.25">
      <c r="A3034" s="87">
        <v>2019</v>
      </c>
      <c r="B3034" s="87">
        <v>12</v>
      </c>
      <c r="C3034" s="173" t="s">
        <v>16</v>
      </c>
      <c r="D3034" s="173" t="s">
        <v>230</v>
      </c>
      <c r="E3034" s="173" t="s">
        <v>24</v>
      </c>
      <c r="F3034" s="173" t="s">
        <v>16</v>
      </c>
      <c r="G3034" s="87" t="b">
        <v>1</v>
      </c>
      <c r="H3034" s="87" t="b">
        <v>1</v>
      </c>
      <c r="I3034" s="87" t="b">
        <v>0</v>
      </c>
      <c r="J3034" s="173" t="s">
        <v>460</v>
      </c>
      <c r="K3034" s="174">
        <v>5868278000280</v>
      </c>
      <c r="L3034" s="173" t="s">
        <v>805</v>
      </c>
      <c r="M3034" s="173" t="s">
        <v>76</v>
      </c>
      <c r="N3034" s="173" t="s">
        <v>77</v>
      </c>
      <c r="O3034" s="87">
        <v>62</v>
      </c>
      <c r="P3034" s="173" t="s">
        <v>27</v>
      </c>
      <c r="Q3034" s="1" t="s">
        <v>1343</v>
      </c>
      <c r="R3034" s="175">
        <v>38</v>
      </c>
      <c r="S3034">
        <v>38</v>
      </c>
    </row>
    <row r="3035" spans="1:19" x14ac:dyDescent="0.25">
      <c r="A3035" s="87">
        <v>2019</v>
      </c>
      <c r="B3035" s="87">
        <v>12</v>
      </c>
      <c r="C3035" s="173" t="s">
        <v>16</v>
      </c>
      <c r="D3035" s="173" t="s">
        <v>230</v>
      </c>
      <c r="E3035" s="173" t="s">
        <v>24</v>
      </c>
      <c r="F3035" s="173" t="s">
        <v>16</v>
      </c>
      <c r="G3035" s="87" t="b">
        <v>1</v>
      </c>
      <c r="H3035" s="87" t="b">
        <v>1</v>
      </c>
      <c r="I3035" s="87" t="b">
        <v>0</v>
      </c>
      <c r="J3035" s="173" t="s">
        <v>460</v>
      </c>
      <c r="K3035" s="174">
        <v>5868278000280</v>
      </c>
      <c r="L3035" s="173" t="s">
        <v>805</v>
      </c>
      <c r="M3035" s="173" t="s">
        <v>76</v>
      </c>
      <c r="N3035" s="173" t="s">
        <v>77</v>
      </c>
      <c r="O3035" s="87">
        <v>64</v>
      </c>
      <c r="P3035" s="173" t="s">
        <v>25</v>
      </c>
      <c r="Q3035" s="1" t="s">
        <v>1344</v>
      </c>
      <c r="R3035" s="175">
        <v>22</v>
      </c>
      <c r="S3035">
        <v>22</v>
      </c>
    </row>
    <row r="3036" spans="1:19" x14ac:dyDescent="0.25">
      <c r="A3036" s="87">
        <v>2019</v>
      </c>
      <c r="B3036" s="87">
        <v>12</v>
      </c>
      <c r="C3036" s="173" t="s">
        <v>16</v>
      </c>
      <c r="D3036" s="173" t="s">
        <v>230</v>
      </c>
      <c r="E3036" s="173" t="s">
        <v>24</v>
      </c>
      <c r="F3036" s="173" t="s">
        <v>16</v>
      </c>
      <c r="G3036" s="87" t="b">
        <v>1</v>
      </c>
      <c r="H3036" s="87" t="b">
        <v>1</v>
      </c>
      <c r="I3036" s="87" t="b">
        <v>0</v>
      </c>
      <c r="J3036" s="173" t="s">
        <v>470</v>
      </c>
      <c r="K3036" s="174">
        <v>5868278000280</v>
      </c>
      <c r="L3036" s="173" t="s">
        <v>805</v>
      </c>
      <c r="M3036" s="173" t="s">
        <v>76</v>
      </c>
      <c r="N3036" s="173" t="s">
        <v>77</v>
      </c>
      <c r="O3036" s="87">
        <v>73</v>
      </c>
      <c r="P3036" s="173" t="s">
        <v>26</v>
      </c>
      <c r="Q3036" s="1" t="s">
        <v>1342</v>
      </c>
      <c r="R3036" s="175">
        <v>40</v>
      </c>
      <c r="S3036">
        <v>10</v>
      </c>
    </row>
    <row r="3037" spans="1:19" x14ac:dyDescent="0.25">
      <c r="A3037" s="87">
        <v>2019</v>
      </c>
      <c r="B3037" s="87">
        <v>12</v>
      </c>
      <c r="C3037" s="173" t="s">
        <v>16</v>
      </c>
      <c r="D3037" s="173" t="s">
        <v>230</v>
      </c>
      <c r="E3037" s="173" t="s">
        <v>24</v>
      </c>
      <c r="F3037" s="173" t="s">
        <v>16</v>
      </c>
      <c r="G3037" s="87" t="b">
        <v>1</v>
      </c>
      <c r="H3037" s="87" t="b">
        <v>1</v>
      </c>
      <c r="I3037" s="87" t="b">
        <v>0</v>
      </c>
      <c r="J3037" s="173" t="s">
        <v>460</v>
      </c>
      <c r="K3037" s="174">
        <v>5874946000281</v>
      </c>
      <c r="L3037" s="173" t="s">
        <v>807</v>
      </c>
      <c r="M3037" s="173" t="s">
        <v>76</v>
      </c>
      <c r="N3037" s="173" t="s">
        <v>77</v>
      </c>
      <c r="O3037" s="87">
        <v>70</v>
      </c>
      <c r="P3037" s="173" t="s">
        <v>20</v>
      </c>
      <c r="Q3037" s="1" t="s">
        <v>1338</v>
      </c>
      <c r="R3037" s="175">
        <v>25</v>
      </c>
      <c r="S3037">
        <v>5</v>
      </c>
    </row>
    <row r="3038" spans="1:19" x14ac:dyDescent="0.25">
      <c r="A3038" s="87">
        <v>2019</v>
      </c>
      <c r="B3038" s="87">
        <v>12</v>
      </c>
      <c r="C3038" s="173" t="s">
        <v>16</v>
      </c>
      <c r="D3038" s="173" t="s">
        <v>230</v>
      </c>
      <c r="E3038" s="173" t="s">
        <v>24</v>
      </c>
      <c r="F3038" s="173" t="s">
        <v>16</v>
      </c>
      <c r="G3038" s="87" t="b">
        <v>1</v>
      </c>
      <c r="H3038" s="87" t="b">
        <v>1</v>
      </c>
      <c r="I3038" s="87" t="b">
        <v>0</v>
      </c>
      <c r="J3038" s="173" t="s">
        <v>491</v>
      </c>
      <c r="K3038" s="174">
        <v>6047087000210</v>
      </c>
      <c r="L3038" s="173" t="s">
        <v>569</v>
      </c>
      <c r="M3038" s="173" t="s">
        <v>29</v>
      </c>
      <c r="N3038" s="173" t="s">
        <v>19</v>
      </c>
      <c r="O3038" s="87">
        <v>62</v>
      </c>
      <c r="P3038" s="173" t="s">
        <v>27</v>
      </c>
      <c r="Q3038" s="1" t="s">
        <v>1343</v>
      </c>
      <c r="R3038" s="175">
        <v>35</v>
      </c>
      <c r="S3038">
        <v>35</v>
      </c>
    </row>
    <row r="3039" spans="1:19" x14ac:dyDescent="0.25">
      <c r="A3039" s="87">
        <v>2019</v>
      </c>
      <c r="B3039" s="87">
        <v>12</v>
      </c>
      <c r="C3039" s="173" t="s">
        <v>16</v>
      </c>
      <c r="D3039" s="173" t="s">
        <v>230</v>
      </c>
      <c r="E3039" s="173" t="s">
        <v>24</v>
      </c>
      <c r="F3039" s="173" t="s">
        <v>16</v>
      </c>
      <c r="G3039" s="87" t="b">
        <v>1</v>
      </c>
      <c r="H3039" s="87" t="b">
        <v>1</v>
      </c>
      <c r="I3039" s="87" t="b">
        <v>0</v>
      </c>
      <c r="J3039" s="173" t="s">
        <v>491</v>
      </c>
      <c r="K3039" s="174">
        <v>6047087000210</v>
      </c>
      <c r="L3039" s="173" t="s">
        <v>569</v>
      </c>
      <c r="M3039" s="173" t="s">
        <v>29</v>
      </c>
      <c r="N3039" s="173" t="s">
        <v>19</v>
      </c>
      <c r="O3039" s="87">
        <v>64</v>
      </c>
      <c r="P3039" s="173" t="s">
        <v>25</v>
      </c>
      <c r="Q3039" s="1" t="s">
        <v>1344</v>
      </c>
      <c r="R3039" s="175">
        <v>35</v>
      </c>
      <c r="S3039">
        <v>35</v>
      </c>
    </row>
    <row r="3040" spans="1:19" x14ac:dyDescent="0.25">
      <c r="A3040" s="87">
        <v>2019</v>
      </c>
      <c r="B3040" s="87">
        <v>12</v>
      </c>
      <c r="C3040" s="173" t="s">
        <v>16</v>
      </c>
      <c r="D3040" s="173" t="s">
        <v>230</v>
      </c>
      <c r="E3040" s="173" t="s">
        <v>24</v>
      </c>
      <c r="F3040" s="173" t="s">
        <v>16</v>
      </c>
      <c r="G3040" s="87" t="b">
        <v>1</v>
      </c>
      <c r="H3040" s="87" t="b">
        <v>1</v>
      </c>
      <c r="I3040" s="87" t="b">
        <v>0</v>
      </c>
      <c r="J3040" s="173" t="s">
        <v>491</v>
      </c>
      <c r="K3040" s="174">
        <v>6047087000996</v>
      </c>
      <c r="L3040" s="173" t="s">
        <v>1080</v>
      </c>
      <c r="M3040" s="173" t="s">
        <v>131</v>
      </c>
      <c r="N3040" s="173" t="s">
        <v>61</v>
      </c>
      <c r="O3040" s="87">
        <v>62</v>
      </c>
      <c r="P3040" s="173" t="s">
        <v>27</v>
      </c>
      <c r="Q3040" s="1" t="s">
        <v>1343</v>
      </c>
      <c r="R3040" s="175">
        <v>15</v>
      </c>
      <c r="S3040">
        <v>15</v>
      </c>
    </row>
    <row r="3041" spans="1:19" x14ac:dyDescent="0.25">
      <c r="A3041" s="87">
        <v>2019</v>
      </c>
      <c r="B3041" s="87">
        <v>12</v>
      </c>
      <c r="C3041" s="173" t="s">
        <v>16</v>
      </c>
      <c r="D3041" s="173" t="s">
        <v>230</v>
      </c>
      <c r="E3041" s="173" t="s">
        <v>24</v>
      </c>
      <c r="F3041" s="173" t="s">
        <v>16</v>
      </c>
      <c r="G3041" s="87" t="b">
        <v>1</v>
      </c>
      <c r="H3041" s="87" t="b">
        <v>1</v>
      </c>
      <c r="I3041" s="87" t="b">
        <v>0</v>
      </c>
      <c r="J3041" s="173" t="s">
        <v>477</v>
      </c>
      <c r="K3041" s="174">
        <v>6047087000996</v>
      </c>
      <c r="L3041" s="173" t="s">
        <v>1080</v>
      </c>
      <c r="M3041" s="173" t="s">
        <v>131</v>
      </c>
      <c r="N3041" s="173" t="s">
        <v>61</v>
      </c>
      <c r="O3041" s="87">
        <v>73</v>
      </c>
      <c r="P3041" s="173" t="s">
        <v>26</v>
      </c>
      <c r="Q3041" s="1" t="s">
        <v>1342</v>
      </c>
      <c r="R3041" s="175">
        <v>48</v>
      </c>
      <c r="S3041">
        <v>12</v>
      </c>
    </row>
    <row r="3042" spans="1:19" x14ac:dyDescent="0.25">
      <c r="A3042" s="87">
        <v>2019</v>
      </c>
      <c r="B3042" s="87">
        <v>12</v>
      </c>
      <c r="C3042" s="173" t="s">
        <v>16</v>
      </c>
      <c r="D3042" s="173" t="s">
        <v>230</v>
      </c>
      <c r="E3042" s="173" t="s">
        <v>24</v>
      </c>
      <c r="F3042" s="173" t="s">
        <v>16</v>
      </c>
      <c r="G3042" s="87" t="b">
        <v>1</v>
      </c>
      <c r="H3042" s="87" t="b">
        <v>1</v>
      </c>
      <c r="I3042" s="87" t="b">
        <v>0</v>
      </c>
      <c r="J3042" s="173" t="s">
        <v>491</v>
      </c>
      <c r="K3042" s="174">
        <v>6047087001020</v>
      </c>
      <c r="L3042" s="173" t="s">
        <v>1081</v>
      </c>
      <c r="M3042" s="173" t="s">
        <v>131</v>
      </c>
      <c r="N3042" s="173" t="s">
        <v>61</v>
      </c>
      <c r="O3042" s="87">
        <v>62</v>
      </c>
      <c r="P3042" s="173" t="s">
        <v>27</v>
      </c>
      <c r="Q3042" s="1" t="s">
        <v>1343</v>
      </c>
      <c r="R3042" s="175">
        <v>72</v>
      </c>
      <c r="S3042">
        <v>72</v>
      </c>
    </row>
    <row r="3043" spans="1:19" x14ac:dyDescent="0.25">
      <c r="A3043" s="87">
        <v>2019</v>
      </c>
      <c r="B3043" s="87">
        <v>12</v>
      </c>
      <c r="C3043" s="173" t="s">
        <v>16</v>
      </c>
      <c r="D3043" s="173" t="s">
        <v>230</v>
      </c>
      <c r="E3043" s="173" t="s">
        <v>24</v>
      </c>
      <c r="F3043" s="173" t="s">
        <v>16</v>
      </c>
      <c r="G3043" s="87" t="b">
        <v>1</v>
      </c>
      <c r="H3043" s="87" t="b">
        <v>1</v>
      </c>
      <c r="I3043" s="87" t="b">
        <v>0</v>
      </c>
      <c r="J3043" s="173" t="s">
        <v>491</v>
      </c>
      <c r="K3043" s="174">
        <v>6047087001020</v>
      </c>
      <c r="L3043" s="173" t="s">
        <v>1081</v>
      </c>
      <c r="M3043" s="173" t="s">
        <v>131</v>
      </c>
      <c r="N3043" s="173" t="s">
        <v>61</v>
      </c>
      <c r="O3043" s="87">
        <v>64</v>
      </c>
      <c r="P3043" s="173" t="s">
        <v>25</v>
      </c>
      <c r="Q3043" s="1" t="s">
        <v>1344</v>
      </c>
      <c r="R3043" s="175">
        <v>74</v>
      </c>
      <c r="S3043">
        <v>74</v>
      </c>
    </row>
    <row r="3044" spans="1:19" x14ac:dyDescent="0.25">
      <c r="A3044" s="87">
        <v>2019</v>
      </c>
      <c r="B3044" s="87">
        <v>12</v>
      </c>
      <c r="C3044" s="173" t="s">
        <v>16</v>
      </c>
      <c r="D3044" s="173" t="s">
        <v>230</v>
      </c>
      <c r="E3044" s="173" t="s">
        <v>24</v>
      </c>
      <c r="F3044" s="173" t="s">
        <v>16</v>
      </c>
      <c r="G3044" s="87" t="b">
        <v>1</v>
      </c>
      <c r="H3044" s="87" t="b">
        <v>1</v>
      </c>
      <c r="I3044" s="87" t="b">
        <v>0</v>
      </c>
      <c r="J3044" s="173" t="s">
        <v>451</v>
      </c>
      <c r="K3044" s="174">
        <v>6047087003073</v>
      </c>
      <c r="L3044" s="173" t="s">
        <v>649</v>
      </c>
      <c r="M3044" s="173" t="s">
        <v>650</v>
      </c>
      <c r="N3044" s="173" t="s">
        <v>19</v>
      </c>
      <c r="O3044" s="87">
        <v>73</v>
      </c>
      <c r="P3044" s="173" t="s">
        <v>26</v>
      </c>
      <c r="Q3044" s="1" t="s">
        <v>1342</v>
      </c>
      <c r="R3044" s="175">
        <v>120</v>
      </c>
      <c r="S3044">
        <v>30</v>
      </c>
    </row>
    <row r="3045" spans="1:19" x14ac:dyDescent="0.25">
      <c r="A3045" s="87">
        <v>2019</v>
      </c>
      <c r="B3045" s="87">
        <v>12</v>
      </c>
      <c r="C3045" s="173" t="s">
        <v>16</v>
      </c>
      <c r="D3045" s="173" t="s">
        <v>230</v>
      </c>
      <c r="E3045" s="173" t="s">
        <v>24</v>
      </c>
      <c r="F3045" s="173" t="s">
        <v>16</v>
      </c>
      <c r="G3045" s="87" t="b">
        <v>1</v>
      </c>
      <c r="H3045" s="87" t="b">
        <v>1</v>
      </c>
      <c r="I3045" s="87" t="b">
        <v>0</v>
      </c>
      <c r="J3045" s="173" t="s">
        <v>491</v>
      </c>
      <c r="K3045" s="174">
        <v>6047087004207</v>
      </c>
      <c r="L3045" s="173" t="s">
        <v>811</v>
      </c>
      <c r="M3045" s="173" t="s">
        <v>739</v>
      </c>
      <c r="N3045" s="173" t="s">
        <v>55</v>
      </c>
      <c r="O3045" s="87">
        <v>62</v>
      </c>
      <c r="P3045" s="173" t="s">
        <v>27</v>
      </c>
      <c r="Q3045" s="1" t="s">
        <v>1343</v>
      </c>
      <c r="R3045" s="175">
        <v>11</v>
      </c>
      <c r="S3045">
        <v>11</v>
      </c>
    </row>
    <row r="3046" spans="1:19" x14ac:dyDescent="0.25">
      <c r="A3046" s="87">
        <v>2019</v>
      </c>
      <c r="B3046" s="87">
        <v>12</v>
      </c>
      <c r="C3046" s="173" t="s">
        <v>16</v>
      </c>
      <c r="D3046" s="173" t="s">
        <v>230</v>
      </c>
      <c r="E3046" s="173" t="s">
        <v>24</v>
      </c>
      <c r="F3046" s="173" t="s">
        <v>16</v>
      </c>
      <c r="G3046" s="87" t="b">
        <v>1</v>
      </c>
      <c r="H3046" s="87" t="b">
        <v>1</v>
      </c>
      <c r="I3046" s="87" t="b">
        <v>0</v>
      </c>
      <c r="J3046" s="173" t="s">
        <v>491</v>
      </c>
      <c r="K3046" s="174">
        <v>6047087004207</v>
      </c>
      <c r="L3046" s="173" t="s">
        <v>811</v>
      </c>
      <c r="M3046" s="173" t="s">
        <v>739</v>
      </c>
      <c r="N3046" s="173" t="s">
        <v>55</v>
      </c>
      <c r="O3046" s="87">
        <v>64</v>
      </c>
      <c r="P3046" s="173" t="s">
        <v>25</v>
      </c>
      <c r="Q3046" s="1" t="s">
        <v>1344</v>
      </c>
      <c r="R3046" s="175">
        <v>34</v>
      </c>
      <c r="S3046">
        <v>34</v>
      </c>
    </row>
    <row r="3047" spans="1:19" x14ac:dyDescent="0.25">
      <c r="A3047" s="87">
        <v>2019</v>
      </c>
      <c r="B3047" s="87">
        <v>12</v>
      </c>
      <c r="C3047" s="173" t="s">
        <v>16</v>
      </c>
      <c r="D3047" s="173" t="s">
        <v>230</v>
      </c>
      <c r="E3047" s="173" t="s">
        <v>24</v>
      </c>
      <c r="F3047" s="173" t="s">
        <v>16</v>
      </c>
      <c r="G3047" s="87" t="b">
        <v>1</v>
      </c>
      <c r="H3047" s="87" t="b">
        <v>1</v>
      </c>
      <c r="I3047" s="87" t="b">
        <v>0</v>
      </c>
      <c r="J3047" s="173" t="s">
        <v>491</v>
      </c>
      <c r="K3047" s="174">
        <v>6047087009276</v>
      </c>
      <c r="L3047" s="173" t="s">
        <v>812</v>
      </c>
      <c r="M3047" s="173" t="s">
        <v>70</v>
      </c>
      <c r="N3047" s="173" t="s">
        <v>71</v>
      </c>
      <c r="O3047" s="87">
        <v>64</v>
      </c>
      <c r="P3047" s="173" t="s">
        <v>25</v>
      </c>
      <c r="Q3047" s="1" t="s">
        <v>1344</v>
      </c>
      <c r="R3047" s="175">
        <v>5</v>
      </c>
      <c r="S3047">
        <v>5</v>
      </c>
    </row>
    <row r="3048" spans="1:19" x14ac:dyDescent="0.25">
      <c r="A3048" s="87">
        <v>2019</v>
      </c>
      <c r="B3048" s="87">
        <v>12</v>
      </c>
      <c r="C3048" s="173" t="s">
        <v>16</v>
      </c>
      <c r="D3048" s="173" t="s">
        <v>230</v>
      </c>
      <c r="E3048" s="173" t="s">
        <v>24</v>
      </c>
      <c r="F3048" s="173" t="s">
        <v>16</v>
      </c>
      <c r="G3048" s="87" t="b">
        <v>1</v>
      </c>
      <c r="H3048" s="87" t="b">
        <v>1</v>
      </c>
      <c r="I3048" s="87" t="b">
        <v>0</v>
      </c>
      <c r="J3048" s="173" t="s">
        <v>464</v>
      </c>
      <c r="K3048" s="174">
        <v>6337035000105</v>
      </c>
      <c r="L3048" s="173" t="s">
        <v>814</v>
      </c>
      <c r="M3048" s="173" t="s">
        <v>745</v>
      </c>
      <c r="N3048" s="173" t="s">
        <v>59</v>
      </c>
      <c r="O3048" s="87">
        <v>70</v>
      </c>
      <c r="P3048" s="173" t="s">
        <v>20</v>
      </c>
      <c r="Q3048" s="1" t="s">
        <v>1338</v>
      </c>
      <c r="R3048" s="175">
        <v>30</v>
      </c>
      <c r="S3048">
        <v>6</v>
      </c>
    </row>
    <row r="3049" spans="1:19" x14ac:dyDescent="0.25">
      <c r="A3049" s="87">
        <v>2019</v>
      </c>
      <c r="B3049" s="87">
        <v>12</v>
      </c>
      <c r="C3049" s="173" t="s">
        <v>16</v>
      </c>
      <c r="D3049" s="173" t="s">
        <v>230</v>
      </c>
      <c r="E3049" s="173" t="s">
        <v>24</v>
      </c>
      <c r="F3049" s="173" t="s">
        <v>16</v>
      </c>
      <c r="G3049" s="87" t="b">
        <v>1</v>
      </c>
      <c r="H3049" s="87" t="b">
        <v>1</v>
      </c>
      <c r="I3049" s="87" t="b">
        <v>0</v>
      </c>
      <c r="J3049" s="173" t="s">
        <v>492</v>
      </c>
      <c r="K3049" s="174">
        <v>7039651000134</v>
      </c>
      <c r="L3049" s="173" t="s">
        <v>1153</v>
      </c>
      <c r="M3049" s="173" t="s">
        <v>116</v>
      </c>
      <c r="N3049" s="173" t="s">
        <v>98</v>
      </c>
      <c r="O3049" s="87">
        <v>70</v>
      </c>
      <c r="P3049" s="173" t="s">
        <v>20</v>
      </c>
      <c r="Q3049" s="1" t="s">
        <v>1338</v>
      </c>
      <c r="R3049" s="175">
        <v>25</v>
      </c>
      <c r="S3049">
        <v>5</v>
      </c>
    </row>
    <row r="3050" spans="1:19" x14ac:dyDescent="0.25">
      <c r="A3050" s="87">
        <v>2019</v>
      </c>
      <c r="B3050" s="87">
        <v>12</v>
      </c>
      <c r="C3050" s="173" t="s">
        <v>16</v>
      </c>
      <c r="D3050" s="173" t="s">
        <v>230</v>
      </c>
      <c r="E3050" s="173" t="s">
        <v>24</v>
      </c>
      <c r="F3050" s="173" t="s">
        <v>16</v>
      </c>
      <c r="G3050" s="87" t="b">
        <v>1</v>
      </c>
      <c r="H3050" s="87" t="b">
        <v>1</v>
      </c>
      <c r="I3050" s="87" t="b">
        <v>0</v>
      </c>
      <c r="J3050" s="173" t="s">
        <v>470</v>
      </c>
      <c r="K3050" s="174">
        <v>7045325000130</v>
      </c>
      <c r="L3050" s="173" t="s">
        <v>571</v>
      </c>
      <c r="M3050" s="173" t="s">
        <v>29</v>
      </c>
      <c r="N3050" s="173" t="s">
        <v>19</v>
      </c>
      <c r="O3050" s="87">
        <v>70</v>
      </c>
      <c r="P3050" s="173" t="s">
        <v>20</v>
      </c>
      <c r="Q3050" s="1" t="s">
        <v>1338</v>
      </c>
      <c r="R3050" s="175">
        <v>250</v>
      </c>
      <c r="S3050">
        <v>50</v>
      </c>
    </row>
    <row r="3051" spans="1:19" x14ac:dyDescent="0.25">
      <c r="A3051" s="87">
        <v>2019</v>
      </c>
      <c r="B3051" s="87">
        <v>12</v>
      </c>
      <c r="C3051" s="173" t="s">
        <v>16</v>
      </c>
      <c r="D3051" s="173" t="s">
        <v>230</v>
      </c>
      <c r="E3051" s="173" t="s">
        <v>24</v>
      </c>
      <c r="F3051" s="173" t="s">
        <v>16</v>
      </c>
      <c r="G3051" s="87" t="b">
        <v>1</v>
      </c>
      <c r="H3051" s="87" t="b">
        <v>1</v>
      </c>
      <c r="I3051" s="87" t="b">
        <v>0</v>
      </c>
      <c r="J3051" s="173" t="s">
        <v>463</v>
      </c>
      <c r="K3051" s="174">
        <v>7045325000130</v>
      </c>
      <c r="L3051" s="173" t="s">
        <v>571</v>
      </c>
      <c r="M3051" s="173" t="s">
        <v>29</v>
      </c>
      <c r="N3051" s="173" t="s">
        <v>19</v>
      </c>
      <c r="O3051" s="87">
        <v>70</v>
      </c>
      <c r="P3051" s="173" t="s">
        <v>20</v>
      </c>
      <c r="Q3051" s="1" t="s">
        <v>1338</v>
      </c>
      <c r="R3051" s="175">
        <v>600</v>
      </c>
      <c r="S3051">
        <v>120</v>
      </c>
    </row>
    <row r="3052" spans="1:19" x14ac:dyDescent="0.25">
      <c r="A3052" s="87">
        <v>2019</v>
      </c>
      <c r="B3052" s="87">
        <v>12</v>
      </c>
      <c r="C3052" s="173" t="s">
        <v>16</v>
      </c>
      <c r="D3052" s="173" t="s">
        <v>230</v>
      </c>
      <c r="E3052" s="173" t="s">
        <v>24</v>
      </c>
      <c r="F3052" s="173" t="s">
        <v>16</v>
      </c>
      <c r="G3052" s="87" t="b">
        <v>1</v>
      </c>
      <c r="H3052" s="87" t="b">
        <v>1</v>
      </c>
      <c r="I3052" s="87" t="b">
        <v>0</v>
      </c>
      <c r="J3052" s="173" t="s">
        <v>470</v>
      </c>
      <c r="K3052" s="174">
        <v>7045325000130</v>
      </c>
      <c r="L3052" s="173" t="s">
        <v>571</v>
      </c>
      <c r="M3052" s="173" t="s">
        <v>29</v>
      </c>
      <c r="N3052" s="173" t="s">
        <v>19</v>
      </c>
      <c r="O3052" s="87">
        <v>73</v>
      </c>
      <c r="P3052" s="173" t="s">
        <v>26</v>
      </c>
      <c r="Q3052" s="1" t="s">
        <v>1342</v>
      </c>
      <c r="R3052" s="175">
        <v>60</v>
      </c>
      <c r="S3052">
        <v>15</v>
      </c>
    </row>
    <row r="3053" spans="1:19" x14ac:dyDescent="0.25">
      <c r="A3053" s="87">
        <v>2019</v>
      </c>
      <c r="B3053" s="87">
        <v>12</v>
      </c>
      <c r="C3053" s="173" t="s">
        <v>16</v>
      </c>
      <c r="D3053" s="173" t="s">
        <v>230</v>
      </c>
      <c r="E3053" s="173" t="s">
        <v>24</v>
      </c>
      <c r="F3053" s="173" t="s">
        <v>16</v>
      </c>
      <c r="G3053" s="87" t="b">
        <v>1</v>
      </c>
      <c r="H3053" s="87" t="b">
        <v>1</v>
      </c>
      <c r="I3053" s="87" t="b">
        <v>0</v>
      </c>
      <c r="J3053" s="173" t="s">
        <v>453</v>
      </c>
      <c r="K3053" s="174">
        <v>7272636000212</v>
      </c>
      <c r="L3053" s="173" t="s">
        <v>818</v>
      </c>
      <c r="M3053" s="173" t="s">
        <v>76</v>
      </c>
      <c r="N3053" s="173" t="s">
        <v>77</v>
      </c>
      <c r="O3053" s="87">
        <v>62</v>
      </c>
      <c r="P3053" s="173" t="s">
        <v>27</v>
      </c>
      <c r="Q3053" s="1" t="s">
        <v>1343</v>
      </c>
      <c r="R3053" s="175">
        <v>30</v>
      </c>
      <c r="S3053">
        <v>30</v>
      </c>
    </row>
    <row r="3054" spans="1:19" x14ac:dyDescent="0.25">
      <c r="A3054" s="87">
        <v>2019</v>
      </c>
      <c r="B3054" s="87">
        <v>12</v>
      </c>
      <c r="C3054" s="173" t="s">
        <v>16</v>
      </c>
      <c r="D3054" s="173" t="s">
        <v>230</v>
      </c>
      <c r="E3054" s="173" t="s">
        <v>24</v>
      </c>
      <c r="F3054" s="173" t="s">
        <v>16</v>
      </c>
      <c r="G3054" s="87" t="b">
        <v>1</v>
      </c>
      <c r="H3054" s="87" t="b">
        <v>1</v>
      </c>
      <c r="I3054" s="87" t="b">
        <v>0</v>
      </c>
      <c r="J3054" s="173" t="s">
        <v>452</v>
      </c>
      <c r="K3054" s="174">
        <v>7404052000172</v>
      </c>
      <c r="L3054" s="173" t="s">
        <v>953</v>
      </c>
      <c r="M3054" s="173" t="s">
        <v>94</v>
      </c>
      <c r="N3054" s="173" t="s">
        <v>57</v>
      </c>
      <c r="O3054" s="87">
        <v>70</v>
      </c>
      <c r="P3054" s="173" t="s">
        <v>20</v>
      </c>
      <c r="Q3054" s="1" t="s">
        <v>1338</v>
      </c>
      <c r="R3054" s="175">
        <v>75</v>
      </c>
      <c r="S3054">
        <v>15</v>
      </c>
    </row>
    <row r="3055" spans="1:19" x14ac:dyDescent="0.25">
      <c r="A3055" s="87">
        <v>2019</v>
      </c>
      <c r="B3055" s="87">
        <v>12</v>
      </c>
      <c r="C3055" s="173" t="s">
        <v>16</v>
      </c>
      <c r="D3055" s="173" t="s">
        <v>230</v>
      </c>
      <c r="E3055" s="173" t="s">
        <v>24</v>
      </c>
      <c r="F3055" s="173" t="s">
        <v>16</v>
      </c>
      <c r="G3055" s="87" t="b">
        <v>1</v>
      </c>
      <c r="H3055" s="87" t="b">
        <v>1</v>
      </c>
      <c r="I3055" s="87" t="b">
        <v>0</v>
      </c>
      <c r="J3055" s="173" t="s">
        <v>495</v>
      </c>
      <c r="K3055" s="174">
        <v>7404052000172</v>
      </c>
      <c r="L3055" s="173" t="s">
        <v>953</v>
      </c>
      <c r="M3055" s="173" t="s">
        <v>94</v>
      </c>
      <c r="N3055" s="173" t="s">
        <v>57</v>
      </c>
      <c r="O3055" s="87">
        <v>70</v>
      </c>
      <c r="P3055" s="173" t="s">
        <v>20</v>
      </c>
      <c r="Q3055" s="1" t="s">
        <v>1338</v>
      </c>
      <c r="R3055" s="175">
        <v>25</v>
      </c>
      <c r="S3055">
        <v>5</v>
      </c>
    </row>
    <row r="3056" spans="1:19" x14ac:dyDescent="0.25">
      <c r="A3056" s="87">
        <v>2019</v>
      </c>
      <c r="B3056" s="87">
        <v>12</v>
      </c>
      <c r="C3056" s="173" t="s">
        <v>16</v>
      </c>
      <c r="D3056" s="173" t="s">
        <v>230</v>
      </c>
      <c r="E3056" s="173" t="s">
        <v>24</v>
      </c>
      <c r="F3056" s="173" t="s">
        <v>16</v>
      </c>
      <c r="G3056" s="87" t="b">
        <v>1</v>
      </c>
      <c r="H3056" s="87" t="b">
        <v>1</v>
      </c>
      <c r="I3056" s="87" t="b">
        <v>0</v>
      </c>
      <c r="J3056" s="173" t="s">
        <v>1330</v>
      </c>
      <c r="K3056" s="174">
        <v>7734165000136</v>
      </c>
      <c r="L3056" s="173" t="s">
        <v>954</v>
      </c>
      <c r="M3056" s="173" t="s">
        <v>94</v>
      </c>
      <c r="N3056" s="173" t="s">
        <v>57</v>
      </c>
      <c r="O3056" s="87">
        <v>70</v>
      </c>
      <c r="P3056" s="173" t="s">
        <v>20</v>
      </c>
      <c r="Q3056" s="1" t="s">
        <v>1345</v>
      </c>
      <c r="R3056" s="175">
        <v>1500</v>
      </c>
      <c r="S3056">
        <v>150</v>
      </c>
    </row>
    <row r="3057" spans="1:19" x14ac:dyDescent="0.25">
      <c r="A3057" s="87">
        <v>2019</v>
      </c>
      <c r="B3057" s="87">
        <v>12</v>
      </c>
      <c r="C3057" s="173" t="s">
        <v>16</v>
      </c>
      <c r="D3057" s="173" t="s">
        <v>230</v>
      </c>
      <c r="E3057" s="173" t="s">
        <v>24</v>
      </c>
      <c r="F3057" s="173" t="s">
        <v>16</v>
      </c>
      <c r="G3057" s="87" t="b">
        <v>1</v>
      </c>
      <c r="H3057" s="87" t="b">
        <v>1</v>
      </c>
      <c r="I3057" s="87" t="b">
        <v>0</v>
      </c>
      <c r="J3057" s="173" t="s">
        <v>452</v>
      </c>
      <c r="K3057" s="174">
        <v>7734165000136</v>
      </c>
      <c r="L3057" s="173" t="s">
        <v>954</v>
      </c>
      <c r="M3057" s="173" t="s">
        <v>94</v>
      </c>
      <c r="N3057" s="173" t="s">
        <v>57</v>
      </c>
      <c r="O3057" s="87">
        <v>70</v>
      </c>
      <c r="P3057" s="173" t="s">
        <v>20</v>
      </c>
      <c r="Q3057" s="1" t="s">
        <v>1338</v>
      </c>
      <c r="R3057" s="175">
        <v>500</v>
      </c>
      <c r="S3057">
        <v>100</v>
      </c>
    </row>
    <row r="3058" spans="1:19" x14ac:dyDescent="0.25">
      <c r="A3058" s="87">
        <v>2019</v>
      </c>
      <c r="B3058" s="87">
        <v>12</v>
      </c>
      <c r="C3058" s="173" t="s">
        <v>16</v>
      </c>
      <c r="D3058" s="173" t="s">
        <v>230</v>
      </c>
      <c r="E3058" s="173" t="s">
        <v>24</v>
      </c>
      <c r="F3058" s="173" t="s">
        <v>16</v>
      </c>
      <c r="G3058" s="87" t="b">
        <v>1</v>
      </c>
      <c r="H3058" s="87" t="b">
        <v>1</v>
      </c>
      <c r="I3058" s="87" t="b">
        <v>0</v>
      </c>
      <c r="J3058" s="173" t="s">
        <v>491</v>
      </c>
      <c r="K3058" s="174">
        <v>7734165000136</v>
      </c>
      <c r="L3058" s="173" t="s">
        <v>954</v>
      </c>
      <c r="M3058" s="173" t="s">
        <v>94</v>
      </c>
      <c r="N3058" s="173" t="s">
        <v>57</v>
      </c>
      <c r="O3058" s="87">
        <v>73</v>
      </c>
      <c r="P3058" s="173" t="s">
        <v>26</v>
      </c>
      <c r="Q3058" s="1" t="s">
        <v>1342</v>
      </c>
      <c r="R3058" s="175">
        <v>200</v>
      </c>
      <c r="S3058">
        <v>50</v>
      </c>
    </row>
    <row r="3059" spans="1:19" x14ac:dyDescent="0.25">
      <c r="A3059" s="87">
        <v>2019</v>
      </c>
      <c r="B3059" s="87">
        <v>12</v>
      </c>
      <c r="C3059" s="173" t="s">
        <v>16</v>
      </c>
      <c r="D3059" s="173" t="s">
        <v>230</v>
      </c>
      <c r="E3059" s="173" t="s">
        <v>24</v>
      </c>
      <c r="F3059" s="173" t="s">
        <v>16</v>
      </c>
      <c r="G3059" s="87" t="b">
        <v>1</v>
      </c>
      <c r="H3059" s="87" t="b">
        <v>1</v>
      </c>
      <c r="I3059" s="87" t="b">
        <v>0</v>
      </c>
      <c r="J3059" s="173" t="s">
        <v>470</v>
      </c>
      <c r="K3059" s="174">
        <v>7794623001528</v>
      </c>
      <c r="L3059" s="173" t="s">
        <v>1042</v>
      </c>
      <c r="M3059" s="173" t="s">
        <v>1043</v>
      </c>
      <c r="N3059" s="173" t="s">
        <v>61</v>
      </c>
      <c r="O3059" s="87">
        <v>73</v>
      </c>
      <c r="P3059" s="173" t="s">
        <v>26</v>
      </c>
      <c r="Q3059" s="1" t="s">
        <v>1339</v>
      </c>
      <c r="R3059" s="175">
        <v>4</v>
      </c>
      <c r="S3059">
        <v>2</v>
      </c>
    </row>
    <row r="3060" spans="1:19" x14ac:dyDescent="0.25">
      <c r="A3060" s="87">
        <v>2019</v>
      </c>
      <c r="B3060" s="87">
        <v>12</v>
      </c>
      <c r="C3060" s="173" t="s">
        <v>16</v>
      </c>
      <c r="D3060" s="173" t="s">
        <v>230</v>
      </c>
      <c r="E3060" s="173" t="s">
        <v>24</v>
      </c>
      <c r="F3060" s="173" t="s">
        <v>16</v>
      </c>
      <c r="G3060" s="87" t="b">
        <v>1</v>
      </c>
      <c r="H3060" s="87" t="b">
        <v>1</v>
      </c>
      <c r="I3060" s="87" t="b">
        <v>0</v>
      </c>
      <c r="J3060" s="173" t="s">
        <v>470</v>
      </c>
      <c r="K3060" s="174">
        <v>7794623001528</v>
      </c>
      <c r="L3060" s="173" t="s">
        <v>1042</v>
      </c>
      <c r="M3060" s="173" t="s">
        <v>1043</v>
      </c>
      <c r="N3060" s="173" t="s">
        <v>61</v>
      </c>
      <c r="O3060" s="87">
        <v>73</v>
      </c>
      <c r="P3060" s="173" t="s">
        <v>26</v>
      </c>
      <c r="Q3060" s="1" t="s">
        <v>1342</v>
      </c>
      <c r="R3060" s="175">
        <v>24</v>
      </c>
      <c r="S3060">
        <v>6</v>
      </c>
    </row>
    <row r="3061" spans="1:19" x14ac:dyDescent="0.25">
      <c r="A3061" s="87">
        <v>2019</v>
      </c>
      <c r="B3061" s="87">
        <v>12</v>
      </c>
      <c r="C3061" s="173" t="s">
        <v>16</v>
      </c>
      <c r="D3061" s="173" t="s">
        <v>230</v>
      </c>
      <c r="E3061" s="173" t="s">
        <v>24</v>
      </c>
      <c r="F3061" s="173" t="s">
        <v>16</v>
      </c>
      <c r="G3061" s="87" t="b">
        <v>1</v>
      </c>
      <c r="H3061" s="87" t="b">
        <v>1</v>
      </c>
      <c r="I3061" s="87" t="b">
        <v>0</v>
      </c>
      <c r="J3061" s="173" t="s">
        <v>470</v>
      </c>
      <c r="K3061" s="174">
        <v>7794623002257</v>
      </c>
      <c r="L3061" s="173" t="s">
        <v>955</v>
      </c>
      <c r="M3061" s="173" t="s">
        <v>956</v>
      </c>
      <c r="N3061" s="173" t="s">
        <v>57</v>
      </c>
      <c r="O3061" s="87">
        <v>70</v>
      </c>
      <c r="P3061" s="173" t="s">
        <v>20</v>
      </c>
      <c r="Q3061" s="1" t="s">
        <v>1338</v>
      </c>
      <c r="R3061" s="175">
        <v>85</v>
      </c>
      <c r="S3061">
        <v>17</v>
      </c>
    </row>
    <row r="3062" spans="1:19" x14ac:dyDescent="0.25">
      <c r="A3062" s="87">
        <v>2019</v>
      </c>
      <c r="B3062" s="87">
        <v>12</v>
      </c>
      <c r="C3062" s="173" t="s">
        <v>16</v>
      </c>
      <c r="D3062" s="173" t="s">
        <v>230</v>
      </c>
      <c r="E3062" s="173" t="s">
        <v>24</v>
      </c>
      <c r="F3062" s="173" t="s">
        <v>16</v>
      </c>
      <c r="G3062" s="87" t="b">
        <v>1</v>
      </c>
      <c r="H3062" s="87" t="b">
        <v>1</v>
      </c>
      <c r="I3062" s="87" t="b">
        <v>0</v>
      </c>
      <c r="J3062" s="173" t="s">
        <v>470</v>
      </c>
      <c r="K3062" s="174">
        <v>7794623004896</v>
      </c>
      <c r="L3062" s="173" t="s">
        <v>1084</v>
      </c>
      <c r="M3062" s="173" t="s">
        <v>131</v>
      </c>
      <c r="N3062" s="173" t="s">
        <v>61</v>
      </c>
      <c r="O3062" s="87">
        <v>70</v>
      </c>
      <c r="P3062" s="173" t="s">
        <v>20</v>
      </c>
      <c r="Q3062" s="1" t="s">
        <v>1338</v>
      </c>
      <c r="R3062" s="175">
        <v>1275</v>
      </c>
      <c r="S3062">
        <v>255</v>
      </c>
    </row>
    <row r="3063" spans="1:19" x14ac:dyDescent="0.25">
      <c r="A3063" s="87">
        <v>2019</v>
      </c>
      <c r="B3063" s="87">
        <v>12</v>
      </c>
      <c r="C3063" s="173" t="s">
        <v>16</v>
      </c>
      <c r="D3063" s="173" t="s">
        <v>230</v>
      </c>
      <c r="E3063" s="173" t="s">
        <v>24</v>
      </c>
      <c r="F3063" s="173" t="s">
        <v>16</v>
      </c>
      <c r="G3063" s="87" t="b">
        <v>1</v>
      </c>
      <c r="H3063" s="87" t="b">
        <v>1</v>
      </c>
      <c r="I3063" s="87" t="b">
        <v>0</v>
      </c>
      <c r="J3063" s="173" t="s">
        <v>470</v>
      </c>
      <c r="K3063" s="174">
        <v>8100676000401</v>
      </c>
      <c r="L3063" s="173" t="s">
        <v>1365</v>
      </c>
      <c r="M3063" s="173" t="s">
        <v>674</v>
      </c>
      <c r="N3063" s="173" t="s">
        <v>19</v>
      </c>
      <c r="O3063" s="87">
        <v>70</v>
      </c>
      <c r="P3063" s="173" t="s">
        <v>20</v>
      </c>
      <c r="Q3063" s="1" t="s">
        <v>1338</v>
      </c>
      <c r="R3063" s="175">
        <v>50</v>
      </c>
      <c r="S3063">
        <v>10</v>
      </c>
    </row>
    <row r="3064" spans="1:19" x14ac:dyDescent="0.25">
      <c r="A3064" s="87">
        <v>2019</v>
      </c>
      <c r="B3064" s="87">
        <v>12</v>
      </c>
      <c r="C3064" s="173" t="s">
        <v>16</v>
      </c>
      <c r="D3064" s="173" t="s">
        <v>230</v>
      </c>
      <c r="E3064" s="173" t="s">
        <v>24</v>
      </c>
      <c r="F3064" s="173" t="s">
        <v>16</v>
      </c>
      <c r="G3064" s="87" t="b">
        <v>1</v>
      </c>
      <c r="H3064" s="87" t="b">
        <v>1</v>
      </c>
      <c r="I3064" s="87" t="b">
        <v>0</v>
      </c>
      <c r="J3064" s="173" t="s">
        <v>470</v>
      </c>
      <c r="K3064" s="174">
        <v>8100676000592</v>
      </c>
      <c r="L3064" s="173" t="s">
        <v>572</v>
      </c>
      <c r="M3064" s="173" t="s">
        <v>29</v>
      </c>
      <c r="N3064" s="173" t="s">
        <v>19</v>
      </c>
      <c r="O3064" s="87">
        <v>70</v>
      </c>
      <c r="P3064" s="173" t="s">
        <v>20</v>
      </c>
      <c r="Q3064" s="1" t="s">
        <v>1338</v>
      </c>
      <c r="R3064" s="175">
        <v>335</v>
      </c>
      <c r="S3064">
        <v>67</v>
      </c>
    </row>
    <row r="3065" spans="1:19" x14ac:dyDescent="0.25">
      <c r="A3065" s="87">
        <v>2019</v>
      </c>
      <c r="B3065" s="87">
        <v>12</v>
      </c>
      <c r="C3065" s="173" t="s">
        <v>16</v>
      </c>
      <c r="D3065" s="173" t="s">
        <v>230</v>
      </c>
      <c r="E3065" s="173" t="s">
        <v>24</v>
      </c>
      <c r="F3065" s="173" t="s">
        <v>16</v>
      </c>
      <c r="G3065" s="87" t="b">
        <v>1</v>
      </c>
      <c r="H3065" s="87" t="b">
        <v>1</v>
      </c>
      <c r="I3065" s="87" t="b">
        <v>0</v>
      </c>
      <c r="J3065" s="173" t="s">
        <v>439</v>
      </c>
      <c r="K3065" s="174">
        <v>8579164000127</v>
      </c>
      <c r="L3065" s="173" t="s">
        <v>1401</v>
      </c>
      <c r="M3065" s="173" t="s">
        <v>1402</v>
      </c>
      <c r="N3065" s="173" t="s">
        <v>67</v>
      </c>
      <c r="O3065" s="87">
        <v>64</v>
      </c>
      <c r="P3065" s="173" t="s">
        <v>25</v>
      </c>
      <c r="Q3065" s="1" t="s">
        <v>1344</v>
      </c>
      <c r="R3065" s="175">
        <v>2</v>
      </c>
      <c r="S3065">
        <v>2</v>
      </c>
    </row>
    <row r="3066" spans="1:19" x14ac:dyDescent="0.25">
      <c r="A3066" s="87">
        <v>2019</v>
      </c>
      <c r="B3066" s="87">
        <v>12</v>
      </c>
      <c r="C3066" s="173" t="s">
        <v>16</v>
      </c>
      <c r="D3066" s="173" t="s">
        <v>230</v>
      </c>
      <c r="E3066" s="173" t="s">
        <v>24</v>
      </c>
      <c r="F3066" s="173" t="s">
        <v>16</v>
      </c>
      <c r="G3066" s="87" t="b">
        <v>1</v>
      </c>
      <c r="H3066" s="87" t="b">
        <v>1</v>
      </c>
      <c r="I3066" s="87" t="b">
        <v>0</v>
      </c>
      <c r="J3066" s="173" t="s">
        <v>450</v>
      </c>
      <c r="K3066" s="174">
        <v>8604105000161</v>
      </c>
      <c r="L3066" s="173" t="s">
        <v>1358</v>
      </c>
      <c r="M3066" s="173" t="s">
        <v>29</v>
      </c>
      <c r="N3066" s="173" t="s">
        <v>19</v>
      </c>
      <c r="O3066" s="87">
        <v>70</v>
      </c>
      <c r="P3066" s="173" t="s">
        <v>20</v>
      </c>
      <c r="Q3066" s="1" t="s">
        <v>1338</v>
      </c>
      <c r="R3066" s="175">
        <v>35</v>
      </c>
      <c r="S3066">
        <v>7</v>
      </c>
    </row>
    <row r="3067" spans="1:19" x14ac:dyDescent="0.25">
      <c r="A3067" s="87">
        <v>2019</v>
      </c>
      <c r="B3067" s="87">
        <v>12</v>
      </c>
      <c r="C3067" s="173" t="s">
        <v>16</v>
      </c>
      <c r="D3067" s="173" t="s">
        <v>230</v>
      </c>
      <c r="E3067" s="173" t="s">
        <v>24</v>
      </c>
      <c r="F3067" s="173" t="s">
        <v>16</v>
      </c>
      <c r="G3067" s="87" t="b">
        <v>1</v>
      </c>
      <c r="H3067" s="87" t="b">
        <v>1</v>
      </c>
      <c r="I3067" s="87" t="b">
        <v>0</v>
      </c>
      <c r="J3067" s="173" t="s">
        <v>491</v>
      </c>
      <c r="K3067" s="174">
        <v>8677327000104</v>
      </c>
      <c r="L3067" s="173" t="s">
        <v>576</v>
      </c>
      <c r="M3067" s="173" t="s">
        <v>29</v>
      </c>
      <c r="N3067" s="173" t="s">
        <v>19</v>
      </c>
      <c r="O3067" s="87">
        <v>70</v>
      </c>
      <c r="P3067" s="173" t="s">
        <v>20</v>
      </c>
      <c r="Q3067" s="1" t="s">
        <v>1338</v>
      </c>
      <c r="R3067" s="175">
        <v>60</v>
      </c>
      <c r="S3067">
        <v>12</v>
      </c>
    </row>
    <row r="3068" spans="1:19" x14ac:dyDescent="0.25">
      <c r="A3068" s="87">
        <v>2019</v>
      </c>
      <c r="B3068" s="87">
        <v>12</v>
      </c>
      <c r="C3068" s="173" t="s">
        <v>16</v>
      </c>
      <c r="D3068" s="173" t="s">
        <v>230</v>
      </c>
      <c r="E3068" s="173" t="s">
        <v>24</v>
      </c>
      <c r="F3068" s="173" t="s">
        <v>16</v>
      </c>
      <c r="G3068" s="87" t="b">
        <v>1</v>
      </c>
      <c r="H3068" s="87" t="b">
        <v>1</v>
      </c>
      <c r="I3068" s="87" t="b">
        <v>0</v>
      </c>
      <c r="J3068" s="173" t="s">
        <v>491</v>
      </c>
      <c r="K3068" s="174">
        <v>8680639000681</v>
      </c>
      <c r="L3068" s="173" t="s">
        <v>827</v>
      </c>
      <c r="M3068" s="173" t="s">
        <v>747</v>
      </c>
      <c r="N3068" s="173" t="s">
        <v>56</v>
      </c>
      <c r="O3068" s="87">
        <v>70</v>
      </c>
      <c r="P3068" s="173" t="s">
        <v>20</v>
      </c>
      <c r="Q3068" s="1" t="s">
        <v>1338</v>
      </c>
      <c r="R3068" s="175">
        <v>175</v>
      </c>
      <c r="S3068">
        <v>35</v>
      </c>
    </row>
    <row r="3069" spans="1:19" x14ac:dyDescent="0.25">
      <c r="A3069" s="87">
        <v>2019</v>
      </c>
      <c r="B3069" s="87">
        <v>12</v>
      </c>
      <c r="C3069" s="173" t="s">
        <v>16</v>
      </c>
      <c r="D3069" s="173" t="s">
        <v>230</v>
      </c>
      <c r="E3069" s="173" t="s">
        <v>24</v>
      </c>
      <c r="F3069" s="173" t="s">
        <v>16</v>
      </c>
      <c r="G3069" s="87" t="b">
        <v>1</v>
      </c>
      <c r="H3069" s="87" t="b">
        <v>1</v>
      </c>
      <c r="I3069" s="87" t="b">
        <v>0</v>
      </c>
      <c r="J3069" s="173" t="s">
        <v>464</v>
      </c>
      <c r="K3069" s="174">
        <v>8680639000681</v>
      </c>
      <c r="L3069" s="173" t="s">
        <v>827</v>
      </c>
      <c r="M3069" s="173" t="s">
        <v>747</v>
      </c>
      <c r="N3069" s="173" t="s">
        <v>56</v>
      </c>
      <c r="O3069" s="87">
        <v>73</v>
      </c>
      <c r="P3069" s="173" t="s">
        <v>26</v>
      </c>
      <c r="Q3069" s="1" t="s">
        <v>1339</v>
      </c>
      <c r="R3069" s="175">
        <v>4</v>
      </c>
      <c r="S3069">
        <v>2</v>
      </c>
    </row>
    <row r="3070" spans="1:19" x14ac:dyDescent="0.25">
      <c r="A3070" s="87">
        <v>2019</v>
      </c>
      <c r="B3070" s="87">
        <v>12</v>
      </c>
      <c r="C3070" s="173" t="s">
        <v>16</v>
      </c>
      <c r="D3070" s="173" t="s">
        <v>230</v>
      </c>
      <c r="E3070" s="173" t="s">
        <v>24</v>
      </c>
      <c r="F3070" s="173" t="s">
        <v>16</v>
      </c>
      <c r="G3070" s="87" t="b">
        <v>1</v>
      </c>
      <c r="H3070" s="87" t="b">
        <v>1</v>
      </c>
      <c r="I3070" s="87" t="b">
        <v>0</v>
      </c>
      <c r="J3070" s="173" t="s">
        <v>491</v>
      </c>
      <c r="K3070" s="174">
        <v>8680639000681</v>
      </c>
      <c r="L3070" s="173" t="s">
        <v>827</v>
      </c>
      <c r="M3070" s="173" t="s">
        <v>747</v>
      </c>
      <c r="N3070" s="173" t="s">
        <v>56</v>
      </c>
      <c r="O3070" s="87">
        <v>73</v>
      </c>
      <c r="P3070" s="173" t="s">
        <v>26</v>
      </c>
      <c r="Q3070" s="1" t="s">
        <v>1342</v>
      </c>
      <c r="R3070" s="175">
        <v>32</v>
      </c>
      <c r="S3070">
        <v>8</v>
      </c>
    </row>
    <row r="3071" spans="1:19" x14ac:dyDescent="0.25">
      <c r="A3071" s="87">
        <v>2019</v>
      </c>
      <c r="B3071" s="87">
        <v>12</v>
      </c>
      <c r="C3071" s="173" t="s">
        <v>16</v>
      </c>
      <c r="D3071" s="173" t="s">
        <v>230</v>
      </c>
      <c r="E3071" s="173" t="s">
        <v>24</v>
      </c>
      <c r="F3071" s="173" t="s">
        <v>16</v>
      </c>
      <c r="G3071" s="87" t="b">
        <v>1</v>
      </c>
      <c r="H3071" s="87" t="b">
        <v>1</v>
      </c>
      <c r="I3071" s="87" t="b">
        <v>0</v>
      </c>
      <c r="J3071" s="173" t="s">
        <v>451</v>
      </c>
      <c r="K3071" s="174">
        <v>8871521000126</v>
      </c>
      <c r="L3071" s="173" t="s">
        <v>577</v>
      </c>
      <c r="M3071" s="173" t="s">
        <v>29</v>
      </c>
      <c r="N3071" s="173" t="s">
        <v>19</v>
      </c>
      <c r="O3071" s="87">
        <v>70</v>
      </c>
      <c r="P3071" s="173" t="s">
        <v>20</v>
      </c>
      <c r="Q3071" s="1" t="s">
        <v>1346</v>
      </c>
      <c r="R3071" s="175">
        <v>5</v>
      </c>
      <c r="S3071">
        <v>2</v>
      </c>
    </row>
    <row r="3072" spans="1:19" x14ac:dyDescent="0.25">
      <c r="A3072" s="87">
        <v>2019</v>
      </c>
      <c r="B3072" s="87">
        <v>12</v>
      </c>
      <c r="C3072" s="173" t="s">
        <v>16</v>
      </c>
      <c r="D3072" s="173" t="s">
        <v>230</v>
      </c>
      <c r="E3072" s="173" t="s">
        <v>24</v>
      </c>
      <c r="F3072" s="173" t="s">
        <v>16</v>
      </c>
      <c r="G3072" s="87" t="b">
        <v>1</v>
      </c>
      <c r="H3072" s="87" t="b">
        <v>1</v>
      </c>
      <c r="I3072" s="87" t="b">
        <v>0</v>
      </c>
      <c r="J3072" s="173" t="s">
        <v>451</v>
      </c>
      <c r="K3072" s="174">
        <v>8871521000126</v>
      </c>
      <c r="L3072" s="173" t="s">
        <v>577</v>
      </c>
      <c r="M3072" s="173" t="s">
        <v>29</v>
      </c>
      <c r="N3072" s="173" t="s">
        <v>19</v>
      </c>
      <c r="O3072" s="87">
        <v>70</v>
      </c>
      <c r="P3072" s="173" t="s">
        <v>20</v>
      </c>
      <c r="Q3072" s="1" t="s">
        <v>1338</v>
      </c>
      <c r="R3072" s="175">
        <v>505</v>
      </c>
      <c r="S3072">
        <v>101</v>
      </c>
    </row>
    <row r="3073" spans="1:19" x14ac:dyDescent="0.25">
      <c r="A3073" s="87">
        <v>2019</v>
      </c>
      <c r="B3073" s="87">
        <v>12</v>
      </c>
      <c r="C3073" s="173" t="s">
        <v>16</v>
      </c>
      <c r="D3073" s="173" t="s">
        <v>230</v>
      </c>
      <c r="E3073" s="173" t="s">
        <v>24</v>
      </c>
      <c r="F3073" s="173" t="s">
        <v>16</v>
      </c>
      <c r="G3073" s="87" t="b">
        <v>1</v>
      </c>
      <c r="H3073" s="87" t="b">
        <v>1</v>
      </c>
      <c r="I3073" s="87" t="b">
        <v>0</v>
      </c>
      <c r="J3073" s="173" t="s">
        <v>506</v>
      </c>
      <c r="K3073" s="174">
        <v>8871521000126</v>
      </c>
      <c r="L3073" s="173" t="s">
        <v>577</v>
      </c>
      <c r="M3073" s="173" t="s">
        <v>29</v>
      </c>
      <c r="N3073" s="173" t="s">
        <v>19</v>
      </c>
      <c r="O3073" s="87">
        <v>70</v>
      </c>
      <c r="P3073" s="173" t="s">
        <v>20</v>
      </c>
      <c r="Q3073" s="1" t="s">
        <v>1338</v>
      </c>
      <c r="R3073" s="175">
        <v>55</v>
      </c>
      <c r="S3073">
        <v>11</v>
      </c>
    </row>
    <row r="3074" spans="1:19" x14ac:dyDescent="0.25">
      <c r="A3074" s="87">
        <v>2019</v>
      </c>
      <c r="B3074" s="87">
        <v>12</v>
      </c>
      <c r="C3074" s="173" t="s">
        <v>16</v>
      </c>
      <c r="D3074" s="173" t="s">
        <v>230</v>
      </c>
      <c r="E3074" s="173" t="s">
        <v>24</v>
      </c>
      <c r="F3074" s="173" t="s">
        <v>16</v>
      </c>
      <c r="G3074" s="87" t="b">
        <v>1</v>
      </c>
      <c r="H3074" s="87" t="b">
        <v>1</v>
      </c>
      <c r="I3074" s="87" t="b">
        <v>0</v>
      </c>
      <c r="J3074" s="173" t="s">
        <v>450</v>
      </c>
      <c r="K3074" s="174">
        <v>9087150000159</v>
      </c>
      <c r="L3074" s="173" t="s">
        <v>578</v>
      </c>
      <c r="M3074" s="173" t="s">
        <v>29</v>
      </c>
      <c r="N3074" s="173" t="s">
        <v>19</v>
      </c>
      <c r="O3074" s="87">
        <v>73</v>
      </c>
      <c r="P3074" s="173" t="s">
        <v>26</v>
      </c>
      <c r="Q3074" s="1" t="s">
        <v>1340</v>
      </c>
      <c r="R3074" s="175">
        <v>10</v>
      </c>
      <c r="S3074">
        <v>10</v>
      </c>
    </row>
    <row r="3075" spans="1:19" x14ac:dyDescent="0.25">
      <c r="A3075" s="87">
        <v>2019</v>
      </c>
      <c r="B3075" s="87">
        <v>12</v>
      </c>
      <c r="C3075" s="173" t="s">
        <v>16</v>
      </c>
      <c r="D3075" s="173" t="s">
        <v>230</v>
      </c>
      <c r="E3075" s="173" t="s">
        <v>24</v>
      </c>
      <c r="F3075" s="173" t="s">
        <v>16</v>
      </c>
      <c r="G3075" s="87" t="b">
        <v>1</v>
      </c>
      <c r="H3075" s="87" t="b">
        <v>1</v>
      </c>
      <c r="I3075" s="87" t="b">
        <v>0</v>
      </c>
      <c r="J3075" s="173" t="s">
        <v>451</v>
      </c>
      <c r="K3075" s="174">
        <v>9104513000974</v>
      </c>
      <c r="L3075" s="173" t="s">
        <v>830</v>
      </c>
      <c r="M3075" s="173" t="s">
        <v>739</v>
      </c>
      <c r="N3075" s="173" t="s">
        <v>55</v>
      </c>
      <c r="O3075" s="87">
        <v>70</v>
      </c>
      <c r="P3075" s="173" t="s">
        <v>20</v>
      </c>
      <c r="Q3075" s="1" t="s">
        <v>1345</v>
      </c>
      <c r="R3075" s="175">
        <v>160</v>
      </c>
      <c r="S3075">
        <v>16</v>
      </c>
    </row>
    <row r="3076" spans="1:19" x14ac:dyDescent="0.25">
      <c r="A3076" s="87">
        <v>2019</v>
      </c>
      <c r="B3076" s="87">
        <v>12</v>
      </c>
      <c r="C3076" s="173" t="s">
        <v>16</v>
      </c>
      <c r="D3076" s="173" t="s">
        <v>230</v>
      </c>
      <c r="E3076" s="173" t="s">
        <v>24</v>
      </c>
      <c r="F3076" s="173" t="s">
        <v>16</v>
      </c>
      <c r="G3076" s="87" t="b">
        <v>1</v>
      </c>
      <c r="H3076" s="87" t="b">
        <v>1</v>
      </c>
      <c r="I3076" s="87" t="b">
        <v>0</v>
      </c>
      <c r="J3076" s="173" t="s">
        <v>451</v>
      </c>
      <c r="K3076" s="174">
        <v>9104513000974</v>
      </c>
      <c r="L3076" s="173" t="s">
        <v>830</v>
      </c>
      <c r="M3076" s="173" t="s">
        <v>739</v>
      </c>
      <c r="N3076" s="173" t="s">
        <v>55</v>
      </c>
      <c r="O3076" s="87">
        <v>70</v>
      </c>
      <c r="P3076" s="173" t="s">
        <v>20</v>
      </c>
      <c r="Q3076" s="1" t="s">
        <v>1338</v>
      </c>
      <c r="R3076" s="175">
        <v>450</v>
      </c>
      <c r="S3076">
        <v>90</v>
      </c>
    </row>
    <row r="3077" spans="1:19" x14ac:dyDescent="0.25">
      <c r="A3077" s="87">
        <v>2019</v>
      </c>
      <c r="B3077" s="87">
        <v>12</v>
      </c>
      <c r="C3077" s="173" t="s">
        <v>16</v>
      </c>
      <c r="D3077" s="173" t="s">
        <v>230</v>
      </c>
      <c r="E3077" s="173" t="s">
        <v>24</v>
      </c>
      <c r="F3077" s="173" t="s">
        <v>16</v>
      </c>
      <c r="G3077" s="87" t="b">
        <v>1</v>
      </c>
      <c r="H3077" s="87" t="b">
        <v>1</v>
      </c>
      <c r="I3077" s="87" t="b">
        <v>0</v>
      </c>
      <c r="J3077" s="173" t="s">
        <v>451</v>
      </c>
      <c r="K3077" s="174">
        <v>9104513000974</v>
      </c>
      <c r="L3077" s="173" t="s">
        <v>830</v>
      </c>
      <c r="M3077" s="173" t="s">
        <v>739</v>
      </c>
      <c r="N3077" s="173" t="s">
        <v>55</v>
      </c>
      <c r="O3077" s="87">
        <v>73</v>
      </c>
      <c r="P3077" s="173" t="s">
        <v>26</v>
      </c>
      <c r="Q3077" s="1" t="s">
        <v>1340</v>
      </c>
      <c r="R3077" s="175">
        <v>2</v>
      </c>
      <c r="S3077">
        <v>2</v>
      </c>
    </row>
    <row r="3078" spans="1:19" x14ac:dyDescent="0.25">
      <c r="A3078" s="87">
        <v>2019</v>
      </c>
      <c r="B3078" s="87">
        <v>12</v>
      </c>
      <c r="C3078" s="173" t="s">
        <v>16</v>
      </c>
      <c r="D3078" s="173" t="s">
        <v>230</v>
      </c>
      <c r="E3078" s="173" t="s">
        <v>24</v>
      </c>
      <c r="F3078" s="173" t="s">
        <v>16</v>
      </c>
      <c r="G3078" s="87" t="b">
        <v>1</v>
      </c>
      <c r="H3078" s="87" t="b">
        <v>1</v>
      </c>
      <c r="I3078" s="87" t="b">
        <v>0</v>
      </c>
      <c r="J3078" s="173" t="s">
        <v>450</v>
      </c>
      <c r="K3078" s="174">
        <v>9219138000401</v>
      </c>
      <c r="L3078" s="173" t="s">
        <v>1087</v>
      </c>
      <c r="M3078" s="173" t="s">
        <v>131</v>
      </c>
      <c r="N3078" s="173" t="s">
        <v>61</v>
      </c>
      <c r="O3078" s="87">
        <v>70</v>
      </c>
      <c r="P3078" s="173" t="s">
        <v>20</v>
      </c>
      <c r="Q3078" s="1" t="s">
        <v>1338</v>
      </c>
      <c r="R3078" s="175">
        <v>75</v>
      </c>
      <c r="S3078">
        <v>15</v>
      </c>
    </row>
    <row r="3079" spans="1:19" x14ac:dyDescent="0.25">
      <c r="A3079" s="87">
        <v>2019</v>
      </c>
      <c r="B3079" s="87">
        <v>12</v>
      </c>
      <c r="C3079" s="173" t="s">
        <v>16</v>
      </c>
      <c r="D3079" s="173" t="s">
        <v>230</v>
      </c>
      <c r="E3079" s="173" t="s">
        <v>24</v>
      </c>
      <c r="F3079" s="173" t="s">
        <v>16</v>
      </c>
      <c r="G3079" s="87" t="b">
        <v>1</v>
      </c>
      <c r="H3079" s="87" t="b">
        <v>1</v>
      </c>
      <c r="I3079" s="87" t="b">
        <v>0</v>
      </c>
      <c r="J3079" s="173" t="s">
        <v>492</v>
      </c>
      <c r="K3079" s="174">
        <v>9219138000401</v>
      </c>
      <c r="L3079" s="173" t="s">
        <v>1087</v>
      </c>
      <c r="M3079" s="173" t="s">
        <v>131</v>
      </c>
      <c r="N3079" s="173" t="s">
        <v>61</v>
      </c>
      <c r="O3079" s="87">
        <v>70</v>
      </c>
      <c r="P3079" s="173" t="s">
        <v>20</v>
      </c>
      <c r="Q3079" s="1" t="s">
        <v>1338</v>
      </c>
      <c r="R3079" s="175">
        <v>350</v>
      </c>
      <c r="S3079">
        <v>70</v>
      </c>
    </row>
    <row r="3080" spans="1:19" x14ac:dyDescent="0.25">
      <c r="A3080" s="87">
        <v>2019</v>
      </c>
      <c r="B3080" s="87">
        <v>12</v>
      </c>
      <c r="C3080" s="173" t="s">
        <v>16</v>
      </c>
      <c r="D3080" s="173" t="s">
        <v>230</v>
      </c>
      <c r="E3080" s="173" t="s">
        <v>24</v>
      </c>
      <c r="F3080" s="173" t="s">
        <v>16</v>
      </c>
      <c r="G3080" s="87" t="b">
        <v>1</v>
      </c>
      <c r="H3080" s="87" t="b">
        <v>1</v>
      </c>
      <c r="I3080" s="87" t="b">
        <v>0</v>
      </c>
      <c r="J3080" s="173" t="s">
        <v>477</v>
      </c>
      <c r="K3080" s="174">
        <v>9219138000401</v>
      </c>
      <c r="L3080" s="173" t="s">
        <v>1087</v>
      </c>
      <c r="M3080" s="173" t="s">
        <v>131</v>
      </c>
      <c r="N3080" s="173" t="s">
        <v>61</v>
      </c>
      <c r="O3080" s="87">
        <v>73</v>
      </c>
      <c r="P3080" s="173" t="s">
        <v>26</v>
      </c>
      <c r="Q3080" s="1" t="s">
        <v>1342</v>
      </c>
      <c r="R3080" s="175">
        <v>80</v>
      </c>
      <c r="S3080">
        <v>20</v>
      </c>
    </row>
    <row r="3081" spans="1:19" x14ac:dyDescent="0.25">
      <c r="A3081" s="87">
        <v>2019</v>
      </c>
      <c r="B3081" s="87">
        <v>12</v>
      </c>
      <c r="C3081" s="173" t="s">
        <v>16</v>
      </c>
      <c r="D3081" s="173" t="s">
        <v>230</v>
      </c>
      <c r="E3081" s="173" t="s">
        <v>24</v>
      </c>
      <c r="F3081" s="173" t="s">
        <v>16</v>
      </c>
      <c r="G3081" s="87" t="b">
        <v>1</v>
      </c>
      <c r="H3081" s="87" t="b">
        <v>1</v>
      </c>
      <c r="I3081" s="87" t="b">
        <v>0</v>
      </c>
      <c r="J3081" s="173" t="s">
        <v>1512</v>
      </c>
      <c r="K3081" s="174">
        <v>9219138000401</v>
      </c>
      <c r="L3081" s="173" t="s">
        <v>1087</v>
      </c>
      <c r="M3081" s="173" t="s">
        <v>131</v>
      </c>
      <c r="N3081" s="173" t="s">
        <v>61</v>
      </c>
      <c r="O3081" s="87">
        <v>73</v>
      </c>
      <c r="P3081" s="173" t="s">
        <v>26</v>
      </c>
      <c r="Q3081" s="1" t="s">
        <v>1342</v>
      </c>
      <c r="R3081" s="175">
        <v>40</v>
      </c>
      <c r="S3081">
        <v>10</v>
      </c>
    </row>
    <row r="3082" spans="1:19" x14ac:dyDescent="0.25">
      <c r="A3082" s="87">
        <v>2019</v>
      </c>
      <c r="B3082" s="87">
        <v>12</v>
      </c>
      <c r="C3082" s="173" t="s">
        <v>16</v>
      </c>
      <c r="D3082" s="173" t="s">
        <v>230</v>
      </c>
      <c r="E3082" s="173" t="s">
        <v>24</v>
      </c>
      <c r="F3082" s="173" t="s">
        <v>16</v>
      </c>
      <c r="G3082" s="87" t="b">
        <v>1</v>
      </c>
      <c r="H3082" s="87" t="b">
        <v>1</v>
      </c>
      <c r="I3082" s="87" t="b">
        <v>0</v>
      </c>
      <c r="J3082" s="173" t="s">
        <v>477</v>
      </c>
      <c r="K3082" s="174">
        <v>9219138000584</v>
      </c>
      <c r="L3082" s="173" t="s">
        <v>1088</v>
      </c>
      <c r="M3082" s="173" t="s">
        <v>131</v>
      </c>
      <c r="N3082" s="173" t="s">
        <v>61</v>
      </c>
      <c r="O3082" s="87">
        <v>64</v>
      </c>
      <c r="P3082" s="173" t="s">
        <v>25</v>
      </c>
      <c r="Q3082" s="1" t="s">
        <v>1344</v>
      </c>
      <c r="R3082" s="175">
        <v>10</v>
      </c>
      <c r="S3082">
        <v>10</v>
      </c>
    </row>
    <row r="3083" spans="1:19" x14ac:dyDescent="0.25">
      <c r="A3083" s="87">
        <v>2019</v>
      </c>
      <c r="B3083" s="87">
        <v>12</v>
      </c>
      <c r="C3083" s="173" t="s">
        <v>16</v>
      </c>
      <c r="D3083" s="173" t="s">
        <v>230</v>
      </c>
      <c r="E3083" s="173" t="s">
        <v>24</v>
      </c>
      <c r="F3083" s="173" t="s">
        <v>16</v>
      </c>
      <c r="G3083" s="87" t="b">
        <v>1</v>
      </c>
      <c r="H3083" s="87" t="b">
        <v>1</v>
      </c>
      <c r="I3083" s="87" t="b">
        <v>0</v>
      </c>
      <c r="J3083" s="173" t="s">
        <v>450</v>
      </c>
      <c r="K3083" s="174">
        <v>9219138000584</v>
      </c>
      <c r="L3083" s="173" t="s">
        <v>1088</v>
      </c>
      <c r="M3083" s="173" t="s">
        <v>131</v>
      </c>
      <c r="N3083" s="173" t="s">
        <v>61</v>
      </c>
      <c r="O3083" s="87">
        <v>70</v>
      </c>
      <c r="P3083" s="173" t="s">
        <v>20</v>
      </c>
      <c r="Q3083" s="1" t="s">
        <v>1338</v>
      </c>
      <c r="R3083" s="175">
        <v>410</v>
      </c>
      <c r="S3083">
        <v>82</v>
      </c>
    </row>
    <row r="3084" spans="1:19" x14ac:dyDescent="0.25">
      <c r="A3084" s="87">
        <v>2019</v>
      </c>
      <c r="B3084" s="87">
        <v>12</v>
      </c>
      <c r="C3084" s="173" t="s">
        <v>16</v>
      </c>
      <c r="D3084" s="173" t="s">
        <v>230</v>
      </c>
      <c r="E3084" s="173" t="s">
        <v>24</v>
      </c>
      <c r="F3084" s="173" t="s">
        <v>16</v>
      </c>
      <c r="G3084" s="87" t="b">
        <v>1</v>
      </c>
      <c r="H3084" s="87" t="b">
        <v>1</v>
      </c>
      <c r="I3084" s="87" t="b">
        <v>0</v>
      </c>
      <c r="J3084" s="173" t="s">
        <v>477</v>
      </c>
      <c r="K3084" s="174">
        <v>9219138000584</v>
      </c>
      <c r="L3084" s="173" t="s">
        <v>1088</v>
      </c>
      <c r="M3084" s="173" t="s">
        <v>131</v>
      </c>
      <c r="N3084" s="173" t="s">
        <v>61</v>
      </c>
      <c r="O3084" s="87">
        <v>70</v>
      </c>
      <c r="P3084" s="173" t="s">
        <v>20</v>
      </c>
      <c r="Q3084" s="1" t="s">
        <v>1338</v>
      </c>
      <c r="R3084" s="175">
        <v>60</v>
      </c>
      <c r="S3084">
        <v>12</v>
      </c>
    </row>
    <row r="3085" spans="1:19" x14ac:dyDescent="0.25">
      <c r="A3085" s="87">
        <v>2019</v>
      </c>
      <c r="B3085" s="87">
        <v>12</v>
      </c>
      <c r="C3085" s="173" t="s">
        <v>16</v>
      </c>
      <c r="D3085" s="173" t="s">
        <v>230</v>
      </c>
      <c r="E3085" s="173" t="s">
        <v>24</v>
      </c>
      <c r="F3085" s="173" t="s">
        <v>16</v>
      </c>
      <c r="G3085" s="87" t="b">
        <v>1</v>
      </c>
      <c r="H3085" s="87" t="b">
        <v>1</v>
      </c>
      <c r="I3085" s="87" t="b">
        <v>0</v>
      </c>
      <c r="J3085" s="173" t="s">
        <v>492</v>
      </c>
      <c r="K3085" s="174">
        <v>9219138000584</v>
      </c>
      <c r="L3085" s="173" t="s">
        <v>1088</v>
      </c>
      <c r="M3085" s="173" t="s">
        <v>131</v>
      </c>
      <c r="N3085" s="173" t="s">
        <v>61</v>
      </c>
      <c r="O3085" s="87">
        <v>70</v>
      </c>
      <c r="P3085" s="173" t="s">
        <v>20</v>
      </c>
      <c r="Q3085" s="1" t="s">
        <v>1338</v>
      </c>
      <c r="R3085" s="175">
        <v>60</v>
      </c>
      <c r="S3085">
        <v>12</v>
      </c>
    </row>
    <row r="3086" spans="1:19" x14ac:dyDescent="0.25">
      <c r="A3086" s="87">
        <v>2019</v>
      </c>
      <c r="B3086" s="87">
        <v>12</v>
      </c>
      <c r="C3086" s="173" t="s">
        <v>16</v>
      </c>
      <c r="D3086" s="173" t="s">
        <v>230</v>
      </c>
      <c r="E3086" s="173" t="s">
        <v>24</v>
      </c>
      <c r="F3086" s="173" t="s">
        <v>16</v>
      </c>
      <c r="G3086" s="87" t="b">
        <v>1</v>
      </c>
      <c r="H3086" s="87" t="b">
        <v>1</v>
      </c>
      <c r="I3086" s="87" t="b">
        <v>0</v>
      </c>
      <c r="J3086" s="173" t="s">
        <v>477</v>
      </c>
      <c r="K3086" s="174">
        <v>9219138000584</v>
      </c>
      <c r="L3086" s="173" t="s">
        <v>1088</v>
      </c>
      <c r="M3086" s="173" t="s">
        <v>131</v>
      </c>
      <c r="N3086" s="173" t="s">
        <v>61</v>
      </c>
      <c r="O3086" s="87">
        <v>73</v>
      </c>
      <c r="P3086" s="173" t="s">
        <v>26</v>
      </c>
      <c r="Q3086" s="1" t="s">
        <v>1342</v>
      </c>
      <c r="R3086" s="175">
        <v>124</v>
      </c>
      <c r="S3086">
        <v>31</v>
      </c>
    </row>
    <row r="3087" spans="1:19" x14ac:dyDescent="0.25">
      <c r="A3087" s="87">
        <v>2019</v>
      </c>
      <c r="B3087" s="87">
        <v>12</v>
      </c>
      <c r="C3087" s="173" t="s">
        <v>16</v>
      </c>
      <c r="D3087" s="173" t="s">
        <v>230</v>
      </c>
      <c r="E3087" s="173" t="s">
        <v>24</v>
      </c>
      <c r="F3087" s="173" t="s">
        <v>16</v>
      </c>
      <c r="G3087" s="87" t="b">
        <v>1</v>
      </c>
      <c r="H3087" s="87" t="b">
        <v>1</v>
      </c>
      <c r="I3087" s="87" t="b">
        <v>0</v>
      </c>
      <c r="J3087" s="173" t="s">
        <v>1330</v>
      </c>
      <c r="K3087" s="174">
        <v>9577422000280</v>
      </c>
      <c r="L3087" s="173" t="s">
        <v>1390</v>
      </c>
      <c r="M3087" s="173" t="s">
        <v>70</v>
      </c>
      <c r="N3087" s="173" t="s">
        <v>71</v>
      </c>
      <c r="O3087" s="87">
        <v>70</v>
      </c>
      <c r="P3087" s="173" t="s">
        <v>20</v>
      </c>
      <c r="Q3087" s="1" t="s">
        <v>1338</v>
      </c>
      <c r="R3087" s="175">
        <v>135</v>
      </c>
      <c r="S3087">
        <v>27</v>
      </c>
    </row>
    <row r="3088" spans="1:19" x14ac:dyDescent="0.25">
      <c r="A3088" s="87">
        <v>2019</v>
      </c>
      <c r="B3088" s="87">
        <v>12</v>
      </c>
      <c r="C3088" s="173" t="s">
        <v>16</v>
      </c>
      <c r="D3088" s="173" t="s">
        <v>230</v>
      </c>
      <c r="E3088" s="173" t="s">
        <v>24</v>
      </c>
      <c r="F3088" s="173" t="s">
        <v>16</v>
      </c>
      <c r="G3088" s="87" t="b">
        <v>1</v>
      </c>
      <c r="H3088" s="87" t="b">
        <v>1</v>
      </c>
      <c r="I3088" s="87" t="b">
        <v>0</v>
      </c>
      <c r="J3088" s="173" t="s">
        <v>491</v>
      </c>
      <c r="K3088" s="174">
        <v>9578217000158</v>
      </c>
      <c r="L3088" s="173" t="s">
        <v>1089</v>
      </c>
      <c r="M3088" s="173" t="s">
        <v>131</v>
      </c>
      <c r="N3088" s="173" t="s">
        <v>61</v>
      </c>
      <c r="O3088" s="87">
        <v>64</v>
      </c>
      <c r="P3088" s="173" t="s">
        <v>25</v>
      </c>
      <c r="Q3088" s="1" t="s">
        <v>1344</v>
      </c>
      <c r="R3088" s="175">
        <v>19</v>
      </c>
      <c r="S3088">
        <v>19</v>
      </c>
    </row>
    <row r="3089" spans="1:19" x14ac:dyDescent="0.25">
      <c r="A3089" s="87">
        <v>2019</v>
      </c>
      <c r="B3089" s="87">
        <v>12</v>
      </c>
      <c r="C3089" s="173" t="s">
        <v>16</v>
      </c>
      <c r="D3089" s="173" t="s">
        <v>230</v>
      </c>
      <c r="E3089" s="173" t="s">
        <v>24</v>
      </c>
      <c r="F3089" s="173" t="s">
        <v>16</v>
      </c>
      <c r="G3089" s="87" t="b">
        <v>1</v>
      </c>
      <c r="H3089" s="87" t="b">
        <v>1</v>
      </c>
      <c r="I3089" s="87" t="b">
        <v>0</v>
      </c>
      <c r="J3089" s="173" t="s">
        <v>1330</v>
      </c>
      <c r="K3089" s="174">
        <v>9579964000291</v>
      </c>
      <c r="L3089" s="173" t="s">
        <v>961</v>
      </c>
      <c r="M3089" s="173" t="s">
        <v>94</v>
      </c>
      <c r="N3089" s="173" t="s">
        <v>57</v>
      </c>
      <c r="O3089" s="87">
        <v>70</v>
      </c>
      <c r="P3089" s="173" t="s">
        <v>20</v>
      </c>
      <c r="Q3089" s="1" t="s">
        <v>1338</v>
      </c>
      <c r="R3089" s="175">
        <v>285</v>
      </c>
      <c r="S3089">
        <v>57</v>
      </c>
    </row>
    <row r="3090" spans="1:19" x14ac:dyDescent="0.25">
      <c r="A3090" s="87">
        <v>2019</v>
      </c>
      <c r="B3090" s="87">
        <v>12</v>
      </c>
      <c r="C3090" s="173" t="s">
        <v>16</v>
      </c>
      <c r="D3090" s="173" t="s">
        <v>230</v>
      </c>
      <c r="E3090" s="173" t="s">
        <v>24</v>
      </c>
      <c r="F3090" s="173" t="s">
        <v>16</v>
      </c>
      <c r="G3090" s="87" t="b">
        <v>1</v>
      </c>
      <c r="H3090" s="87" t="b">
        <v>1</v>
      </c>
      <c r="I3090" s="87" t="b">
        <v>0</v>
      </c>
      <c r="J3090" s="173" t="s">
        <v>1330</v>
      </c>
      <c r="K3090" s="174">
        <v>9609235000230</v>
      </c>
      <c r="L3090" s="173" t="s">
        <v>1090</v>
      </c>
      <c r="M3090" s="173" t="s">
        <v>131</v>
      </c>
      <c r="N3090" s="173" t="s">
        <v>61</v>
      </c>
      <c r="O3090" s="87">
        <v>70</v>
      </c>
      <c r="P3090" s="173" t="s">
        <v>20</v>
      </c>
      <c r="Q3090" s="1" t="s">
        <v>1338</v>
      </c>
      <c r="R3090" s="175">
        <v>750</v>
      </c>
      <c r="S3090">
        <v>150</v>
      </c>
    </row>
    <row r="3091" spans="1:19" x14ac:dyDescent="0.25">
      <c r="A3091" s="87">
        <v>2019</v>
      </c>
      <c r="B3091" s="87">
        <v>12</v>
      </c>
      <c r="C3091" s="173" t="s">
        <v>16</v>
      </c>
      <c r="D3091" s="173" t="s">
        <v>230</v>
      </c>
      <c r="E3091" s="173" t="s">
        <v>24</v>
      </c>
      <c r="F3091" s="173" t="s">
        <v>16</v>
      </c>
      <c r="G3091" s="87" t="b">
        <v>1</v>
      </c>
      <c r="H3091" s="87" t="b">
        <v>1</v>
      </c>
      <c r="I3091" s="87" t="b">
        <v>0</v>
      </c>
      <c r="J3091" s="173" t="s">
        <v>448</v>
      </c>
      <c r="K3091" s="174">
        <v>10447300000177</v>
      </c>
      <c r="L3091" s="173" t="s">
        <v>658</v>
      </c>
      <c r="M3091" s="173" t="s">
        <v>33</v>
      </c>
      <c r="N3091" s="173" t="s">
        <v>19</v>
      </c>
      <c r="O3091" s="87">
        <v>70</v>
      </c>
      <c r="P3091" s="173" t="s">
        <v>20</v>
      </c>
      <c r="Q3091" s="1" t="s">
        <v>1338</v>
      </c>
      <c r="R3091" s="175">
        <v>30</v>
      </c>
      <c r="S3091">
        <v>6</v>
      </c>
    </row>
    <row r="3092" spans="1:19" x14ac:dyDescent="0.25">
      <c r="A3092" s="87">
        <v>2019</v>
      </c>
      <c r="B3092" s="87">
        <v>12</v>
      </c>
      <c r="C3092" s="173" t="s">
        <v>16</v>
      </c>
      <c r="D3092" s="173" t="s">
        <v>230</v>
      </c>
      <c r="E3092" s="173" t="s">
        <v>24</v>
      </c>
      <c r="F3092" s="173" t="s">
        <v>16</v>
      </c>
      <c r="G3092" s="87" t="b">
        <v>1</v>
      </c>
      <c r="H3092" s="87" t="b">
        <v>1</v>
      </c>
      <c r="I3092" s="87" t="b">
        <v>0</v>
      </c>
      <c r="J3092" s="173" t="s">
        <v>470</v>
      </c>
      <c r="K3092" s="174">
        <v>10447300000177</v>
      </c>
      <c r="L3092" s="173" t="s">
        <v>658</v>
      </c>
      <c r="M3092" s="173" t="s">
        <v>33</v>
      </c>
      <c r="N3092" s="173" t="s">
        <v>19</v>
      </c>
      <c r="O3092" s="87">
        <v>73</v>
      </c>
      <c r="P3092" s="173" t="s">
        <v>26</v>
      </c>
      <c r="Q3092" s="1" t="s">
        <v>1339</v>
      </c>
      <c r="R3092" s="175">
        <v>4</v>
      </c>
      <c r="S3092">
        <v>2</v>
      </c>
    </row>
    <row r="3093" spans="1:19" x14ac:dyDescent="0.25">
      <c r="A3093" s="87">
        <v>2019</v>
      </c>
      <c r="B3093" s="87">
        <v>12</v>
      </c>
      <c r="C3093" s="173" t="s">
        <v>16</v>
      </c>
      <c r="D3093" s="173" t="s">
        <v>230</v>
      </c>
      <c r="E3093" s="173" t="s">
        <v>24</v>
      </c>
      <c r="F3093" s="173" t="s">
        <v>16</v>
      </c>
      <c r="G3093" s="87" t="b">
        <v>1</v>
      </c>
      <c r="H3093" s="87" t="b">
        <v>1</v>
      </c>
      <c r="I3093" s="87" t="b">
        <v>0</v>
      </c>
      <c r="J3093" s="173" t="s">
        <v>470</v>
      </c>
      <c r="K3093" s="174">
        <v>10447300000177</v>
      </c>
      <c r="L3093" s="173" t="s">
        <v>658</v>
      </c>
      <c r="M3093" s="173" t="s">
        <v>33</v>
      </c>
      <c r="N3093" s="173" t="s">
        <v>19</v>
      </c>
      <c r="O3093" s="87">
        <v>73</v>
      </c>
      <c r="P3093" s="173" t="s">
        <v>26</v>
      </c>
      <c r="Q3093" s="1" t="s">
        <v>1342</v>
      </c>
      <c r="R3093" s="175">
        <v>8</v>
      </c>
      <c r="S3093">
        <v>2</v>
      </c>
    </row>
    <row r="3094" spans="1:19" x14ac:dyDescent="0.25">
      <c r="A3094" s="87">
        <v>2019</v>
      </c>
      <c r="B3094" s="87">
        <v>12</v>
      </c>
      <c r="C3094" s="173" t="s">
        <v>16</v>
      </c>
      <c r="D3094" s="173" t="s">
        <v>230</v>
      </c>
      <c r="E3094" s="173" t="s">
        <v>24</v>
      </c>
      <c r="F3094" s="173" t="s">
        <v>16</v>
      </c>
      <c r="G3094" s="87" t="b">
        <v>1</v>
      </c>
      <c r="H3094" s="87" t="b">
        <v>1</v>
      </c>
      <c r="I3094" s="87" t="b">
        <v>0</v>
      </c>
      <c r="J3094" s="173" t="s">
        <v>448</v>
      </c>
      <c r="K3094" s="174">
        <v>10447300000177</v>
      </c>
      <c r="L3094" s="173" t="s">
        <v>658</v>
      </c>
      <c r="M3094" s="173" t="s">
        <v>33</v>
      </c>
      <c r="N3094" s="173" t="s">
        <v>19</v>
      </c>
      <c r="O3094" s="87">
        <v>73</v>
      </c>
      <c r="P3094" s="173" t="s">
        <v>26</v>
      </c>
      <c r="Q3094" s="1" t="s">
        <v>1342</v>
      </c>
      <c r="R3094" s="175">
        <v>16</v>
      </c>
      <c r="S3094">
        <v>4</v>
      </c>
    </row>
    <row r="3095" spans="1:19" x14ac:dyDescent="0.25">
      <c r="A3095" s="87">
        <v>2019</v>
      </c>
      <c r="B3095" s="87">
        <v>12</v>
      </c>
      <c r="C3095" s="173" t="s">
        <v>16</v>
      </c>
      <c r="D3095" s="173" t="s">
        <v>230</v>
      </c>
      <c r="E3095" s="173" t="s">
        <v>24</v>
      </c>
      <c r="F3095" s="173" t="s">
        <v>16</v>
      </c>
      <c r="G3095" s="87" t="b">
        <v>1</v>
      </c>
      <c r="H3095" s="87" t="b">
        <v>1</v>
      </c>
      <c r="I3095" s="87" t="b">
        <v>0</v>
      </c>
      <c r="J3095" s="173" t="s">
        <v>463</v>
      </c>
      <c r="K3095" s="174">
        <v>10468341000140</v>
      </c>
      <c r="L3095" s="173" t="s">
        <v>581</v>
      </c>
      <c r="M3095" s="173" t="s">
        <v>29</v>
      </c>
      <c r="N3095" s="173" t="s">
        <v>19</v>
      </c>
      <c r="O3095" s="87">
        <v>70</v>
      </c>
      <c r="P3095" s="173" t="s">
        <v>20</v>
      </c>
      <c r="Q3095" s="1" t="s">
        <v>1338</v>
      </c>
      <c r="R3095" s="175">
        <v>445</v>
      </c>
      <c r="S3095">
        <v>89</v>
      </c>
    </row>
    <row r="3096" spans="1:19" x14ac:dyDescent="0.25">
      <c r="A3096" s="87">
        <v>2019</v>
      </c>
      <c r="B3096" s="87">
        <v>12</v>
      </c>
      <c r="C3096" s="173" t="s">
        <v>16</v>
      </c>
      <c r="D3096" s="173" t="s">
        <v>230</v>
      </c>
      <c r="E3096" s="173" t="s">
        <v>24</v>
      </c>
      <c r="F3096" s="173" t="s">
        <v>16</v>
      </c>
      <c r="G3096" s="87" t="b">
        <v>1</v>
      </c>
      <c r="H3096" s="87" t="b">
        <v>1</v>
      </c>
      <c r="I3096" s="87" t="b">
        <v>0</v>
      </c>
      <c r="J3096" s="173" t="s">
        <v>463</v>
      </c>
      <c r="K3096" s="174">
        <v>10468341000140</v>
      </c>
      <c r="L3096" s="173" t="s">
        <v>581</v>
      </c>
      <c r="M3096" s="173" t="s">
        <v>29</v>
      </c>
      <c r="N3096" s="173" t="s">
        <v>19</v>
      </c>
      <c r="O3096" s="87">
        <v>73</v>
      </c>
      <c r="P3096" s="173" t="s">
        <v>26</v>
      </c>
      <c r="Q3096" s="1" t="s">
        <v>1342</v>
      </c>
      <c r="R3096" s="175">
        <v>36</v>
      </c>
      <c r="S3096">
        <v>9</v>
      </c>
    </row>
    <row r="3097" spans="1:19" x14ac:dyDescent="0.25">
      <c r="A3097" s="87">
        <v>2019</v>
      </c>
      <c r="B3097" s="87">
        <v>12</v>
      </c>
      <c r="C3097" s="173" t="s">
        <v>16</v>
      </c>
      <c r="D3097" s="173" t="s">
        <v>230</v>
      </c>
      <c r="E3097" s="173" t="s">
        <v>24</v>
      </c>
      <c r="F3097" s="173" t="s">
        <v>16</v>
      </c>
      <c r="G3097" s="87" t="b">
        <v>1</v>
      </c>
      <c r="H3097" s="87" t="b">
        <v>1</v>
      </c>
      <c r="I3097" s="87" t="b">
        <v>0</v>
      </c>
      <c r="J3097" s="173" t="s">
        <v>463</v>
      </c>
      <c r="K3097" s="174">
        <v>10468341000220</v>
      </c>
      <c r="L3097" s="173" t="s">
        <v>582</v>
      </c>
      <c r="M3097" s="173" t="s">
        <v>29</v>
      </c>
      <c r="N3097" s="173" t="s">
        <v>19</v>
      </c>
      <c r="O3097" s="87">
        <v>70</v>
      </c>
      <c r="P3097" s="173" t="s">
        <v>20</v>
      </c>
      <c r="Q3097" s="1" t="s">
        <v>1338</v>
      </c>
      <c r="R3097" s="175">
        <v>750</v>
      </c>
      <c r="S3097">
        <v>150</v>
      </c>
    </row>
    <row r="3098" spans="1:19" x14ac:dyDescent="0.25">
      <c r="A3098" s="87">
        <v>2019</v>
      </c>
      <c r="B3098" s="87">
        <v>12</v>
      </c>
      <c r="C3098" s="173" t="s">
        <v>16</v>
      </c>
      <c r="D3098" s="173" t="s">
        <v>230</v>
      </c>
      <c r="E3098" s="173" t="s">
        <v>24</v>
      </c>
      <c r="F3098" s="173" t="s">
        <v>16</v>
      </c>
      <c r="G3098" s="87" t="b">
        <v>1</v>
      </c>
      <c r="H3098" s="87" t="b">
        <v>1</v>
      </c>
      <c r="I3098" s="87" t="b">
        <v>0</v>
      </c>
      <c r="J3098" s="173" t="s">
        <v>464</v>
      </c>
      <c r="K3098" s="174">
        <v>10475230000160</v>
      </c>
      <c r="L3098" s="173" t="s">
        <v>583</v>
      </c>
      <c r="M3098" s="173" t="s">
        <v>29</v>
      </c>
      <c r="N3098" s="173" t="s">
        <v>19</v>
      </c>
      <c r="O3098" s="87">
        <v>70</v>
      </c>
      <c r="P3098" s="173" t="s">
        <v>20</v>
      </c>
      <c r="Q3098" s="1" t="s">
        <v>1338</v>
      </c>
      <c r="R3098" s="175">
        <v>45</v>
      </c>
      <c r="S3098">
        <v>9</v>
      </c>
    </row>
    <row r="3099" spans="1:19" x14ac:dyDescent="0.25">
      <c r="A3099" s="87">
        <v>2019</v>
      </c>
      <c r="B3099" s="87">
        <v>12</v>
      </c>
      <c r="C3099" s="173" t="s">
        <v>16</v>
      </c>
      <c r="D3099" s="173" t="s">
        <v>230</v>
      </c>
      <c r="E3099" s="173" t="s">
        <v>24</v>
      </c>
      <c r="F3099" s="173" t="s">
        <v>16</v>
      </c>
      <c r="G3099" s="87" t="b">
        <v>1</v>
      </c>
      <c r="H3099" s="87" t="b">
        <v>1</v>
      </c>
      <c r="I3099" s="87" t="b">
        <v>0</v>
      </c>
      <c r="J3099" s="173" t="s">
        <v>1330</v>
      </c>
      <c r="K3099" s="174">
        <v>10572048000209</v>
      </c>
      <c r="L3099" s="173" t="s">
        <v>833</v>
      </c>
      <c r="M3099" s="173" t="s">
        <v>70</v>
      </c>
      <c r="N3099" s="173" t="s">
        <v>71</v>
      </c>
      <c r="O3099" s="87">
        <v>70</v>
      </c>
      <c r="P3099" s="173" t="s">
        <v>20</v>
      </c>
      <c r="Q3099" s="1" t="s">
        <v>1338</v>
      </c>
      <c r="R3099" s="175">
        <v>2000</v>
      </c>
      <c r="S3099">
        <v>400</v>
      </c>
    </row>
    <row r="3100" spans="1:19" x14ac:dyDescent="0.25">
      <c r="A3100" s="87">
        <v>2019</v>
      </c>
      <c r="B3100" s="87">
        <v>12</v>
      </c>
      <c r="C3100" s="173" t="s">
        <v>16</v>
      </c>
      <c r="D3100" s="173" t="s">
        <v>230</v>
      </c>
      <c r="E3100" s="173" t="s">
        <v>24</v>
      </c>
      <c r="F3100" s="173" t="s">
        <v>16</v>
      </c>
      <c r="G3100" s="87" t="b">
        <v>1</v>
      </c>
      <c r="H3100" s="87" t="b">
        <v>1</v>
      </c>
      <c r="I3100" s="87" t="b">
        <v>0</v>
      </c>
      <c r="J3100" s="173" t="s">
        <v>492</v>
      </c>
      <c r="K3100" s="174">
        <v>10576443000189</v>
      </c>
      <c r="L3100" s="173" t="s">
        <v>659</v>
      </c>
      <c r="M3100" s="173" t="s">
        <v>643</v>
      </c>
      <c r="N3100" s="173" t="s">
        <v>19</v>
      </c>
      <c r="O3100" s="87">
        <v>70</v>
      </c>
      <c r="P3100" s="173" t="s">
        <v>20</v>
      </c>
      <c r="Q3100" s="1" t="s">
        <v>1338</v>
      </c>
      <c r="R3100" s="175">
        <v>185</v>
      </c>
      <c r="S3100">
        <v>37</v>
      </c>
    </row>
    <row r="3101" spans="1:19" x14ac:dyDescent="0.25">
      <c r="A3101" s="87">
        <v>2019</v>
      </c>
      <c r="B3101" s="87">
        <v>12</v>
      </c>
      <c r="C3101" s="173" t="s">
        <v>16</v>
      </c>
      <c r="D3101" s="173" t="s">
        <v>230</v>
      </c>
      <c r="E3101" s="173" t="s">
        <v>24</v>
      </c>
      <c r="F3101" s="173" t="s">
        <v>16</v>
      </c>
      <c r="G3101" s="87" t="b">
        <v>1</v>
      </c>
      <c r="H3101" s="87" t="b">
        <v>1</v>
      </c>
      <c r="I3101" s="87" t="b">
        <v>0</v>
      </c>
      <c r="J3101" s="173" t="s">
        <v>1330</v>
      </c>
      <c r="K3101" s="174">
        <v>10586940000168</v>
      </c>
      <c r="L3101" s="173" t="s">
        <v>1156</v>
      </c>
      <c r="M3101" s="173" t="s">
        <v>1157</v>
      </c>
      <c r="N3101" s="173" t="s">
        <v>98</v>
      </c>
      <c r="O3101" s="87">
        <v>62</v>
      </c>
      <c r="P3101" s="173" t="s">
        <v>27</v>
      </c>
      <c r="Q3101" s="1" t="s">
        <v>1343</v>
      </c>
      <c r="R3101" s="175">
        <v>5</v>
      </c>
      <c r="S3101">
        <v>5</v>
      </c>
    </row>
    <row r="3102" spans="1:19" x14ac:dyDescent="0.25">
      <c r="A3102" s="87">
        <v>2019</v>
      </c>
      <c r="B3102" s="87">
        <v>12</v>
      </c>
      <c r="C3102" s="173" t="s">
        <v>16</v>
      </c>
      <c r="D3102" s="173" t="s">
        <v>230</v>
      </c>
      <c r="E3102" s="173" t="s">
        <v>24</v>
      </c>
      <c r="F3102" s="173" t="s">
        <v>16</v>
      </c>
      <c r="G3102" s="87" t="b">
        <v>1</v>
      </c>
      <c r="H3102" s="87" t="b">
        <v>1</v>
      </c>
      <c r="I3102" s="87" t="b">
        <v>0</v>
      </c>
      <c r="J3102" s="173" t="s">
        <v>1330</v>
      </c>
      <c r="K3102" s="174">
        <v>10586940000168</v>
      </c>
      <c r="L3102" s="173" t="s">
        <v>1156</v>
      </c>
      <c r="M3102" s="173" t="s">
        <v>1157</v>
      </c>
      <c r="N3102" s="173" t="s">
        <v>98</v>
      </c>
      <c r="O3102" s="87">
        <v>73</v>
      </c>
      <c r="P3102" s="173" t="s">
        <v>26</v>
      </c>
      <c r="Q3102" s="1" t="s">
        <v>1342</v>
      </c>
      <c r="R3102" s="175">
        <v>24</v>
      </c>
      <c r="S3102">
        <v>6</v>
      </c>
    </row>
    <row r="3103" spans="1:19" x14ac:dyDescent="0.25">
      <c r="A3103" s="87">
        <v>2019</v>
      </c>
      <c r="B3103" s="87">
        <v>12</v>
      </c>
      <c r="C3103" s="173" t="s">
        <v>16</v>
      </c>
      <c r="D3103" s="173" t="s">
        <v>230</v>
      </c>
      <c r="E3103" s="173" t="s">
        <v>24</v>
      </c>
      <c r="F3103" s="173" t="s">
        <v>16</v>
      </c>
      <c r="G3103" s="87" t="b">
        <v>1</v>
      </c>
      <c r="H3103" s="87" t="b">
        <v>1</v>
      </c>
      <c r="I3103" s="87" t="b">
        <v>0</v>
      </c>
      <c r="J3103" s="173" t="s">
        <v>470</v>
      </c>
      <c r="K3103" s="174">
        <v>10839561000132</v>
      </c>
      <c r="L3103" s="173" t="s">
        <v>834</v>
      </c>
      <c r="M3103" s="173" t="s">
        <v>70</v>
      </c>
      <c r="N3103" s="173" t="s">
        <v>71</v>
      </c>
      <c r="O3103" s="87">
        <v>70</v>
      </c>
      <c r="P3103" s="173" t="s">
        <v>20</v>
      </c>
      <c r="Q3103" s="1" t="s">
        <v>1338</v>
      </c>
      <c r="R3103" s="175">
        <v>350</v>
      </c>
      <c r="S3103">
        <v>70</v>
      </c>
    </row>
    <row r="3104" spans="1:19" x14ac:dyDescent="0.25">
      <c r="A3104" s="87">
        <v>2019</v>
      </c>
      <c r="B3104" s="87">
        <v>12</v>
      </c>
      <c r="C3104" s="173" t="s">
        <v>16</v>
      </c>
      <c r="D3104" s="173" t="s">
        <v>230</v>
      </c>
      <c r="E3104" s="173" t="s">
        <v>24</v>
      </c>
      <c r="F3104" s="173" t="s">
        <v>16</v>
      </c>
      <c r="G3104" s="87" t="b">
        <v>1</v>
      </c>
      <c r="H3104" s="87" t="b">
        <v>1</v>
      </c>
      <c r="I3104" s="87" t="b">
        <v>0</v>
      </c>
      <c r="J3104" s="173" t="s">
        <v>491</v>
      </c>
      <c r="K3104" s="174">
        <v>10892164000124</v>
      </c>
      <c r="L3104" s="173" t="s">
        <v>835</v>
      </c>
      <c r="M3104" s="173" t="s">
        <v>70</v>
      </c>
      <c r="N3104" s="173" t="s">
        <v>71</v>
      </c>
      <c r="O3104" s="87">
        <v>62</v>
      </c>
      <c r="P3104" s="173" t="s">
        <v>27</v>
      </c>
      <c r="Q3104" s="1" t="s">
        <v>1343</v>
      </c>
      <c r="R3104" s="175">
        <v>5</v>
      </c>
      <c r="S3104">
        <v>5</v>
      </c>
    </row>
    <row r="3105" spans="1:19" x14ac:dyDescent="0.25">
      <c r="A3105" s="87">
        <v>2019</v>
      </c>
      <c r="B3105" s="87">
        <v>12</v>
      </c>
      <c r="C3105" s="173" t="s">
        <v>16</v>
      </c>
      <c r="D3105" s="173" t="s">
        <v>230</v>
      </c>
      <c r="E3105" s="173" t="s">
        <v>24</v>
      </c>
      <c r="F3105" s="173" t="s">
        <v>16</v>
      </c>
      <c r="G3105" s="87" t="b">
        <v>1</v>
      </c>
      <c r="H3105" s="87" t="b">
        <v>1</v>
      </c>
      <c r="I3105" s="87" t="b">
        <v>0</v>
      </c>
      <c r="J3105" s="173" t="s">
        <v>451</v>
      </c>
      <c r="K3105" s="174">
        <v>10892164000124</v>
      </c>
      <c r="L3105" s="173" t="s">
        <v>835</v>
      </c>
      <c r="M3105" s="173" t="s">
        <v>70</v>
      </c>
      <c r="N3105" s="173" t="s">
        <v>71</v>
      </c>
      <c r="O3105" s="87">
        <v>73</v>
      </c>
      <c r="P3105" s="173" t="s">
        <v>26</v>
      </c>
      <c r="Q3105" s="1" t="s">
        <v>1342</v>
      </c>
      <c r="R3105" s="175">
        <v>20</v>
      </c>
      <c r="S3105">
        <v>5</v>
      </c>
    </row>
    <row r="3106" spans="1:19" x14ac:dyDescent="0.25">
      <c r="A3106" s="87">
        <v>2019</v>
      </c>
      <c r="B3106" s="87">
        <v>12</v>
      </c>
      <c r="C3106" s="173" t="s">
        <v>16</v>
      </c>
      <c r="D3106" s="173" t="s">
        <v>230</v>
      </c>
      <c r="E3106" s="173" t="s">
        <v>24</v>
      </c>
      <c r="F3106" s="173" t="s">
        <v>16</v>
      </c>
      <c r="G3106" s="87" t="b">
        <v>1</v>
      </c>
      <c r="H3106" s="87" t="b">
        <v>1</v>
      </c>
      <c r="I3106" s="87" t="b">
        <v>0</v>
      </c>
      <c r="J3106" s="173" t="s">
        <v>491</v>
      </c>
      <c r="K3106" s="174">
        <v>10892164000124</v>
      </c>
      <c r="L3106" s="173" t="s">
        <v>835</v>
      </c>
      <c r="M3106" s="173" t="s">
        <v>70</v>
      </c>
      <c r="N3106" s="173" t="s">
        <v>71</v>
      </c>
      <c r="O3106" s="87">
        <v>73</v>
      </c>
      <c r="P3106" s="173" t="s">
        <v>26</v>
      </c>
      <c r="Q3106" s="1" t="s">
        <v>1342</v>
      </c>
      <c r="R3106" s="175">
        <v>40</v>
      </c>
      <c r="S3106">
        <v>10</v>
      </c>
    </row>
    <row r="3107" spans="1:19" x14ac:dyDescent="0.25">
      <c r="A3107" s="87">
        <v>2019</v>
      </c>
      <c r="B3107" s="87">
        <v>12</v>
      </c>
      <c r="C3107" s="173" t="s">
        <v>16</v>
      </c>
      <c r="D3107" s="173" t="s">
        <v>230</v>
      </c>
      <c r="E3107" s="173" t="s">
        <v>24</v>
      </c>
      <c r="F3107" s="173" t="s">
        <v>16</v>
      </c>
      <c r="G3107" s="87" t="b">
        <v>1</v>
      </c>
      <c r="H3107" s="87" t="b">
        <v>1</v>
      </c>
      <c r="I3107" s="87" t="b">
        <v>0</v>
      </c>
      <c r="J3107" s="173" t="s">
        <v>451</v>
      </c>
      <c r="K3107" s="174">
        <v>10922058000146</v>
      </c>
      <c r="L3107" s="173" t="s">
        <v>1158</v>
      </c>
      <c r="M3107" s="173" t="s">
        <v>131</v>
      </c>
      <c r="N3107" s="173" t="s">
        <v>61</v>
      </c>
      <c r="O3107" s="87">
        <v>70</v>
      </c>
      <c r="P3107" s="173" t="s">
        <v>20</v>
      </c>
      <c r="Q3107" s="1" t="s">
        <v>1338</v>
      </c>
      <c r="R3107" s="175">
        <v>75</v>
      </c>
      <c r="S3107">
        <v>15</v>
      </c>
    </row>
    <row r="3108" spans="1:19" x14ac:dyDescent="0.25">
      <c r="A3108" s="87">
        <v>2019</v>
      </c>
      <c r="B3108" s="87">
        <v>12</v>
      </c>
      <c r="C3108" s="173" t="s">
        <v>16</v>
      </c>
      <c r="D3108" s="173" t="s">
        <v>230</v>
      </c>
      <c r="E3108" s="173" t="s">
        <v>24</v>
      </c>
      <c r="F3108" s="173" t="s">
        <v>16</v>
      </c>
      <c r="G3108" s="87" t="b">
        <v>1</v>
      </c>
      <c r="H3108" s="87" t="b">
        <v>1</v>
      </c>
      <c r="I3108" s="87" t="b">
        <v>0</v>
      </c>
      <c r="J3108" s="173" t="s">
        <v>468</v>
      </c>
      <c r="K3108" s="174">
        <v>10942995000163</v>
      </c>
      <c r="L3108" s="173" t="s">
        <v>836</v>
      </c>
      <c r="M3108" s="173" t="s">
        <v>739</v>
      </c>
      <c r="N3108" s="173" t="s">
        <v>55</v>
      </c>
      <c r="O3108" s="87">
        <v>70</v>
      </c>
      <c r="P3108" s="173" t="s">
        <v>20</v>
      </c>
      <c r="Q3108" s="1" t="s">
        <v>1338</v>
      </c>
      <c r="R3108" s="175">
        <v>500</v>
      </c>
      <c r="S3108">
        <v>100</v>
      </c>
    </row>
    <row r="3109" spans="1:19" x14ac:dyDescent="0.25">
      <c r="A3109" s="87">
        <v>2019</v>
      </c>
      <c r="B3109" s="87">
        <v>12</v>
      </c>
      <c r="C3109" s="173" t="s">
        <v>16</v>
      </c>
      <c r="D3109" s="173" t="s">
        <v>230</v>
      </c>
      <c r="E3109" s="173" t="s">
        <v>24</v>
      </c>
      <c r="F3109" s="173" t="s">
        <v>16</v>
      </c>
      <c r="G3109" s="87" t="b">
        <v>1</v>
      </c>
      <c r="H3109" s="87" t="b">
        <v>1</v>
      </c>
      <c r="I3109" s="87" t="b">
        <v>0</v>
      </c>
      <c r="J3109" s="173" t="s">
        <v>1330</v>
      </c>
      <c r="K3109" s="174">
        <v>10942995000163</v>
      </c>
      <c r="L3109" s="173" t="s">
        <v>836</v>
      </c>
      <c r="M3109" s="173" t="s">
        <v>739</v>
      </c>
      <c r="N3109" s="173" t="s">
        <v>55</v>
      </c>
      <c r="O3109" s="87">
        <v>73</v>
      </c>
      <c r="P3109" s="173" t="s">
        <v>26</v>
      </c>
      <c r="Q3109" s="1" t="s">
        <v>1342</v>
      </c>
      <c r="R3109" s="175">
        <v>80</v>
      </c>
      <c r="S3109">
        <v>20</v>
      </c>
    </row>
    <row r="3110" spans="1:19" x14ac:dyDescent="0.25">
      <c r="A3110" s="87">
        <v>2019</v>
      </c>
      <c r="B3110" s="87">
        <v>12</v>
      </c>
      <c r="C3110" s="173" t="s">
        <v>16</v>
      </c>
      <c r="D3110" s="173" t="s">
        <v>230</v>
      </c>
      <c r="E3110" s="173" t="s">
        <v>24</v>
      </c>
      <c r="F3110" s="173" t="s">
        <v>16</v>
      </c>
      <c r="G3110" s="87" t="b">
        <v>1</v>
      </c>
      <c r="H3110" s="87" t="b">
        <v>1</v>
      </c>
      <c r="I3110" s="87" t="b">
        <v>0</v>
      </c>
      <c r="J3110" s="173" t="s">
        <v>453</v>
      </c>
      <c r="K3110" s="174">
        <v>11006293000130</v>
      </c>
      <c r="L3110" s="173" t="s">
        <v>838</v>
      </c>
      <c r="M3110" s="173" t="s">
        <v>777</v>
      </c>
      <c r="N3110" s="173" t="s">
        <v>72</v>
      </c>
      <c r="O3110" s="87">
        <v>70</v>
      </c>
      <c r="P3110" s="173" t="s">
        <v>20</v>
      </c>
      <c r="Q3110" s="1" t="s">
        <v>1338</v>
      </c>
      <c r="R3110" s="175">
        <v>990</v>
      </c>
      <c r="S3110">
        <v>198</v>
      </c>
    </row>
    <row r="3111" spans="1:19" x14ac:dyDescent="0.25">
      <c r="A3111" s="87">
        <v>2019</v>
      </c>
      <c r="B3111" s="87">
        <v>12</v>
      </c>
      <c r="C3111" s="173" t="s">
        <v>16</v>
      </c>
      <c r="D3111" s="173" t="s">
        <v>230</v>
      </c>
      <c r="E3111" s="173" t="s">
        <v>24</v>
      </c>
      <c r="F3111" s="173" t="s">
        <v>16</v>
      </c>
      <c r="G3111" s="87" t="b">
        <v>1</v>
      </c>
      <c r="H3111" s="87" t="b">
        <v>1</v>
      </c>
      <c r="I3111" s="87" t="b">
        <v>0</v>
      </c>
      <c r="J3111" s="173" t="s">
        <v>1330</v>
      </c>
      <c r="K3111" s="174">
        <v>11022597001325</v>
      </c>
      <c r="L3111" s="173" t="s">
        <v>839</v>
      </c>
      <c r="M3111" s="173" t="s">
        <v>70</v>
      </c>
      <c r="N3111" s="173" t="s">
        <v>71</v>
      </c>
      <c r="O3111" s="87">
        <v>62</v>
      </c>
      <c r="P3111" s="173" t="s">
        <v>27</v>
      </c>
      <c r="Q3111" s="1" t="s">
        <v>1343</v>
      </c>
      <c r="R3111" s="175">
        <v>4</v>
      </c>
      <c r="S3111">
        <v>4</v>
      </c>
    </row>
    <row r="3112" spans="1:19" x14ac:dyDescent="0.25">
      <c r="A3112" s="87">
        <v>2019</v>
      </c>
      <c r="B3112" s="87">
        <v>12</v>
      </c>
      <c r="C3112" s="173" t="s">
        <v>16</v>
      </c>
      <c r="D3112" s="173" t="s">
        <v>230</v>
      </c>
      <c r="E3112" s="173" t="s">
        <v>24</v>
      </c>
      <c r="F3112" s="173" t="s">
        <v>16</v>
      </c>
      <c r="G3112" s="87" t="b">
        <v>1</v>
      </c>
      <c r="H3112" s="87" t="b">
        <v>1</v>
      </c>
      <c r="I3112" s="87" t="b">
        <v>0</v>
      </c>
      <c r="J3112" s="173" t="s">
        <v>460</v>
      </c>
      <c r="K3112" s="174">
        <v>11022597001325</v>
      </c>
      <c r="L3112" s="173" t="s">
        <v>839</v>
      </c>
      <c r="M3112" s="173" t="s">
        <v>70</v>
      </c>
      <c r="N3112" s="173" t="s">
        <v>71</v>
      </c>
      <c r="O3112" s="87">
        <v>64</v>
      </c>
      <c r="P3112" s="173" t="s">
        <v>25</v>
      </c>
      <c r="Q3112" s="1" t="s">
        <v>1344</v>
      </c>
      <c r="R3112" s="175">
        <v>36</v>
      </c>
      <c r="S3112">
        <v>36</v>
      </c>
    </row>
    <row r="3113" spans="1:19" x14ac:dyDescent="0.25">
      <c r="A3113" s="87">
        <v>2019</v>
      </c>
      <c r="B3113" s="87">
        <v>12</v>
      </c>
      <c r="C3113" s="173" t="s">
        <v>16</v>
      </c>
      <c r="D3113" s="173" t="s">
        <v>230</v>
      </c>
      <c r="E3113" s="173" t="s">
        <v>24</v>
      </c>
      <c r="F3113" s="173" t="s">
        <v>16</v>
      </c>
      <c r="G3113" s="87" t="b">
        <v>1</v>
      </c>
      <c r="H3113" s="87" t="b">
        <v>1</v>
      </c>
      <c r="I3113" s="87" t="b">
        <v>0</v>
      </c>
      <c r="J3113" s="173" t="s">
        <v>1330</v>
      </c>
      <c r="K3113" s="174">
        <v>11022597001325</v>
      </c>
      <c r="L3113" s="173" t="s">
        <v>839</v>
      </c>
      <c r="M3113" s="173" t="s">
        <v>70</v>
      </c>
      <c r="N3113" s="173" t="s">
        <v>71</v>
      </c>
      <c r="O3113" s="87">
        <v>70</v>
      </c>
      <c r="P3113" s="173" t="s">
        <v>20</v>
      </c>
      <c r="Q3113" s="1" t="s">
        <v>1338</v>
      </c>
      <c r="R3113" s="175">
        <v>1000</v>
      </c>
      <c r="S3113">
        <v>200</v>
      </c>
    </row>
    <row r="3114" spans="1:19" x14ac:dyDescent="0.25">
      <c r="A3114" s="87">
        <v>2019</v>
      </c>
      <c r="B3114" s="87">
        <v>12</v>
      </c>
      <c r="C3114" s="173" t="s">
        <v>16</v>
      </c>
      <c r="D3114" s="173" t="s">
        <v>230</v>
      </c>
      <c r="E3114" s="173" t="s">
        <v>24</v>
      </c>
      <c r="F3114" s="173" t="s">
        <v>16</v>
      </c>
      <c r="G3114" s="87" t="b">
        <v>1</v>
      </c>
      <c r="H3114" s="87" t="b">
        <v>1</v>
      </c>
      <c r="I3114" s="87" t="b">
        <v>0</v>
      </c>
      <c r="J3114" s="173" t="s">
        <v>1330</v>
      </c>
      <c r="K3114" s="174">
        <v>11022597001597</v>
      </c>
      <c r="L3114" s="173" t="s">
        <v>840</v>
      </c>
      <c r="M3114" s="173" t="s">
        <v>70</v>
      </c>
      <c r="N3114" s="173" t="s">
        <v>71</v>
      </c>
      <c r="O3114" s="87">
        <v>64</v>
      </c>
      <c r="P3114" s="173" t="s">
        <v>25</v>
      </c>
      <c r="Q3114" s="1" t="s">
        <v>1344</v>
      </c>
      <c r="R3114" s="175">
        <v>70</v>
      </c>
      <c r="S3114">
        <v>70</v>
      </c>
    </row>
    <row r="3115" spans="1:19" x14ac:dyDescent="0.25">
      <c r="A3115" s="87">
        <v>2019</v>
      </c>
      <c r="B3115" s="87">
        <v>12</v>
      </c>
      <c r="C3115" s="173" t="s">
        <v>16</v>
      </c>
      <c r="D3115" s="173" t="s">
        <v>230</v>
      </c>
      <c r="E3115" s="173" t="s">
        <v>24</v>
      </c>
      <c r="F3115" s="173" t="s">
        <v>16</v>
      </c>
      <c r="G3115" s="87" t="b">
        <v>1</v>
      </c>
      <c r="H3115" s="87" t="b">
        <v>1</v>
      </c>
      <c r="I3115" s="87" t="b">
        <v>0</v>
      </c>
      <c r="J3115" s="173" t="s">
        <v>491</v>
      </c>
      <c r="K3115" s="174">
        <v>11214624001957</v>
      </c>
      <c r="L3115" s="173" t="s">
        <v>842</v>
      </c>
      <c r="M3115" s="173" t="s">
        <v>70</v>
      </c>
      <c r="N3115" s="173" t="s">
        <v>71</v>
      </c>
      <c r="O3115" s="87">
        <v>73</v>
      </c>
      <c r="P3115" s="173" t="s">
        <v>26</v>
      </c>
      <c r="Q3115" s="1" t="s">
        <v>1342</v>
      </c>
      <c r="R3115" s="175">
        <v>192</v>
      </c>
      <c r="S3115">
        <v>48</v>
      </c>
    </row>
    <row r="3116" spans="1:19" x14ac:dyDescent="0.25">
      <c r="A3116" s="87">
        <v>2019</v>
      </c>
      <c r="B3116" s="87">
        <v>12</v>
      </c>
      <c r="C3116" s="173" t="s">
        <v>16</v>
      </c>
      <c r="D3116" s="173" t="s">
        <v>230</v>
      </c>
      <c r="E3116" s="173" t="s">
        <v>24</v>
      </c>
      <c r="F3116" s="173" t="s">
        <v>16</v>
      </c>
      <c r="G3116" s="87" t="b">
        <v>1</v>
      </c>
      <c r="H3116" s="87" t="b">
        <v>1</v>
      </c>
      <c r="I3116" s="87" t="b">
        <v>0</v>
      </c>
      <c r="J3116" s="173" t="s">
        <v>470</v>
      </c>
      <c r="K3116" s="174">
        <v>11452240000143</v>
      </c>
      <c r="L3116" s="173" t="s">
        <v>844</v>
      </c>
      <c r="M3116" s="173" t="s">
        <v>70</v>
      </c>
      <c r="N3116" s="173" t="s">
        <v>71</v>
      </c>
      <c r="O3116" s="87">
        <v>70</v>
      </c>
      <c r="P3116" s="173" t="s">
        <v>20</v>
      </c>
      <c r="Q3116" s="1" t="s">
        <v>1338</v>
      </c>
      <c r="R3116" s="175">
        <v>150</v>
      </c>
      <c r="S3116">
        <v>30</v>
      </c>
    </row>
    <row r="3117" spans="1:19" x14ac:dyDescent="0.25">
      <c r="A3117" s="87">
        <v>2019</v>
      </c>
      <c r="B3117" s="87">
        <v>12</v>
      </c>
      <c r="C3117" s="173" t="s">
        <v>16</v>
      </c>
      <c r="D3117" s="173" t="s">
        <v>230</v>
      </c>
      <c r="E3117" s="173" t="s">
        <v>24</v>
      </c>
      <c r="F3117" s="173" t="s">
        <v>16</v>
      </c>
      <c r="G3117" s="87" t="b">
        <v>1</v>
      </c>
      <c r="H3117" s="87" t="b">
        <v>1</v>
      </c>
      <c r="I3117" s="87" t="b">
        <v>0</v>
      </c>
      <c r="J3117" s="173" t="s">
        <v>468</v>
      </c>
      <c r="K3117" s="174">
        <v>11794674000121</v>
      </c>
      <c r="L3117" s="173" t="s">
        <v>845</v>
      </c>
      <c r="M3117" s="173" t="s">
        <v>76</v>
      </c>
      <c r="N3117" s="173" t="s">
        <v>77</v>
      </c>
      <c r="O3117" s="87">
        <v>64</v>
      </c>
      <c r="P3117" s="173" t="s">
        <v>25</v>
      </c>
      <c r="Q3117" s="1" t="s">
        <v>1344</v>
      </c>
      <c r="R3117" s="175">
        <v>18</v>
      </c>
      <c r="S3117">
        <v>18</v>
      </c>
    </row>
    <row r="3118" spans="1:19" x14ac:dyDescent="0.25">
      <c r="A3118" s="87">
        <v>2019</v>
      </c>
      <c r="B3118" s="87">
        <v>12</v>
      </c>
      <c r="C3118" s="173" t="s">
        <v>16</v>
      </c>
      <c r="D3118" s="173" t="s">
        <v>230</v>
      </c>
      <c r="E3118" s="173" t="s">
        <v>24</v>
      </c>
      <c r="F3118" s="173" t="s">
        <v>16</v>
      </c>
      <c r="G3118" s="87" t="b">
        <v>1</v>
      </c>
      <c r="H3118" s="87" t="b">
        <v>1</v>
      </c>
      <c r="I3118" s="87" t="b">
        <v>0</v>
      </c>
      <c r="J3118" s="173" t="s">
        <v>460</v>
      </c>
      <c r="K3118" s="174">
        <v>11794674000121</v>
      </c>
      <c r="L3118" s="173" t="s">
        <v>845</v>
      </c>
      <c r="M3118" s="173" t="s">
        <v>76</v>
      </c>
      <c r="N3118" s="173" t="s">
        <v>77</v>
      </c>
      <c r="O3118" s="87">
        <v>70</v>
      </c>
      <c r="P3118" s="173" t="s">
        <v>20</v>
      </c>
      <c r="Q3118" s="1" t="s">
        <v>1338</v>
      </c>
      <c r="R3118" s="175">
        <v>250</v>
      </c>
      <c r="S3118">
        <v>50</v>
      </c>
    </row>
    <row r="3119" spans="1:19" x14ac:dyDescent="0.25">
      <c r="A3119" s="87">
        <v>2019</v>
      </c>
      <c r="B3119" s="87">
        <v>12</v>
      </c>
      <c r="C3119" s="173" t="s">
        <v>16</v>
      </c>
      <c r="D3119" s="173" t="s">
        <v>230</v>
      </c>
      <c r="E3119" s="173" t="s">
        <v>24</v>
      </c>
      <c r="F3119" s="173" t="s">
        <v>16</v>
      </c>
      <c r="G3119" s="87" t="b">
        <v>1</v>
      </c>
      <c r="H3119" s="87" t="b">
        <v>1</v>
      </c>
      <c r="I3119" s="87" t="b">
        <v>0</v>
      </c>
      <c r="J3119" s="173" t="s">
        <v>468</v>
      </c>
      <c r="K3119" s="174">
        <v>11859927000106</v>
      </c>
      <c r="L3119" s="173" t="s">
        <v>846</v>
      </c>
      <c r="M3119" s="173" t="s">
        <v>739</v>
      </c>
      <c r="N3119" s="173" t="s">
        <v>55</v>
      </c>
      <c r="O3119" s="87">
        <v>73</v>
      </c>
      <c r="P3119" s="173" t="s">
        <v>26</v>
      </c>
      <c r="Q3119" s="1" t="s">
        <v>1339</v>
      </c>
      <c r="R3119" s="175">
        <v>24</v>
      </c>
      <c r="S3119">
        <v>12</v>
      </c>
    </row>
    <row r="3120" spans="1:19" x14ac:dyDescent="0.25">
      <c r="A3120" s="87">
        <v>2019</v>
      </c>
      <c r="B3120" s="87">
        <v>12</v>
      </c>
      <c r="C3120" s="173" t="s">
        <v>16</v>
      </c>
      <c r="D3120" s="173" t="s">
        <v>230</v>
      </c>
      <c r="E3120" s="173" t="s">
        <v>24</v>
      </c>
      <c r="F3120" s="173" t="s">
        <v>16</v>
      </c>
      <c r="G3120" s="87" t="b">
        <v>1</v>
      </c>
      <c r="H3120" s="87" t="b">
        <v>1</v>
      </c>
      <c r="I3120" s="87" t="b">
        <v>0</v>
      </c>
      <c r="J3120" s="173" t="s">
        <v>468</v>
      </c>
      <c r="K3120" s="174">
        <v>11859927000106</v>
      </c>
      <c r="L3120" s="173" t="s">
        <v>846</v>
      </c>
      <c r="M3120" s="173" t="s">
        <v>739</v>
      </c>
      <c r="N3120" s="173" t="s">
        <v>55</v>
      </c>
      <c r="O3120" s="87">
        <v>73</v>
      </c>
      <c r="P3120" s="173" t="s">
        <v>26</v>
      </c>
      <c r="Q3120" s="1" t="s">
        <v>1340</v>
      </c>
      <c r="R3120" s="175">
        <v>9</v>
      </c>
      <c r="S3120">
        <v>9</v>
      </c>
    </row>
    <row r="3121" spans="1:19" x14ac:dyDescent="0.25">
      <c r="A3121" s="87">
        <v>2019</v>
      </c>
      <c r="B3121" s="87">
        <v>12</v>
      </c>
      <c r="C3121" s="173" t="s">
        <v>16</v>
      </c>
      <c r="D3121" s="173" t="s">
        <v>230</v>
      </c>
      <c r="E3121" s="173" t="s">
        <v>24</v>
      </c>
      <c r="F3121" s="173" t="s">
        <v>16</v>
      </c>
      <c r="G3121" s="87" t="b">
        <v>1</v>
      </c>
      <c r="H3121" s="87" t="b">
        <v>1</v>
      </c>
      <c r="I3121" s="87" t="b">
        <v>0</v>
      </c>
      <c r="J3121" s="173" t="s">
        <v>491</v>
      </c>
      <c r="K3121" s="174">
        <v>11859927000106</v>
      </c>
      <c r="L3121" s="173" t="s">
        <v>846</v>
      </c>
      <c r="M3121" s="173" t="s">
        <v>739</v>
      </c>
      <c r="N3121" s="173" t="s">
        <v>55</v>
      </c>
      <c r="O3121" s="87">
        <v>73</v>
      </c>
      <c r="P3121" s="173" t="s">
        <v>26</v>
      </c>
      <c r="Q3121" s="1" t="s">
        <v>1340</v>
      </c>
      <c r="R3121" s="175">
        <v>10</v>
      </c>
      <c r="S3121">
        <v>10</v>
      </c>
    </row>
    <row r="3122" spans="1:19" x14ac:dyDescent="0.25">
      <c r="A3122" s="87">
        <v>2019</v>
      </c>
      <c r="B3122" s="87">
        <v>12</v>
      </c>
      <c r="C3122" s="173" t="s">
        <v>16</v>
      </c>
      <c r="D3122" s="173" t="s">
        <v>230</v>
      </c>
      <c r="E3122" s="173" t="s">
        <v>24</v>
      </c>
      <c r="F3122" s="173" t="s">
        <v>16</v>
      </c>
      <c r="G3122" s="87" t="b">
        <v>1</v>
      </c>
      <c r="H3122" s="87" t="b">
        <v>1</v>
      </c>
      <c r="I3122" s="87" t="b">
        <v>0</v>
      </c>
      <c r="J3122" s="173" t="s">
        <v>451</v>
      </c>
      <c r="K3122" s="174">
        <v>12282163000193</v>
      </c>
      <c r="L3122" s="173" t="s">
        <v>1391</v>
      </c>
      <c r="M3122" s="173" t="s">
        <v>84</v>
      </c>
      <c r="N3122" s="173" t="s">
        <v>85</v>
      </c>
      <c r="O3122" s="87">
        <v>70</v>
      </c>
      <c r="P3122" s="173" t="s">
        <v>20</v>
      </c>
      <c r="Q3122" s="1" t="s">
        <v>1338</v>
      </c>
      <c r="R3122" s="175">
        <v>25</v>
      </c>
      <c r="S3122">
        <v>5</v>
      </c>
    </row>
    <row r="3123" spans="1:19" x14ac:dyDescent="0.25">
      <c r="A3123" s="87">
        <v>2019</v>
      </c>
      <c r="B3123" s="87">
        <v>12</v>
      </c>
      <c r="C3123" s="173" t="s">
        <v>16</v>
      </c>
      <c r="D3123" s="173" t="s">
        <v>230</v>
      </c>
      <c r="E3123" s="173" t="s">
        <v>24</v>
      </c>
      <c r="F3123" s="173" t="s">
        <v>16</v>
      </c>
      <c r="G3123" s="87" t="b">
        <v>1</v>
      </c>
      <c r="H3123" s="87" t="b">
        <v>1</v>
      </c>
      <c r="I3123" s="87" t="b">
        <v>0</v>
      </c>
      <c r="J3123" s="173" t="s">
        <v>460</v>
      </c>
      <c r="K3123" s="174">
        <v>12361267000517</v>
      </c>
      <c r="L3123" s="173" t="s">
        <v>849</v>
      </c>
      <c r="M3123" s="173" t="s">
        <v>84</v>
      </c>
      <c r="N3123" s="173" t="s">
        <v>85</v>
      </c>
      <c r="O3123" s="87">
        <v>70</v>
      </c>
      <c r="P3123" s="173" t="s">
        <v>20</v>
      </c>
      <c r="Q3123" s="1" t="s">
        <v>1338</v>
      </c>
      <c r="R3123" s="175">
        <v>60</v>
      </c>
      <c r="S3123">
        <v>12</v>
      </c>
    </row>
    <row r="3124" spans="1:19" x14ac:dyDescent="0.25">
      <c r="A3124" s="87">
        <v>2019</v>
      </c>
      <c r="B3124" s="87">
        <v>12</v>
      </c>
      <c r="C3124" s="173" t="s">
        <v>16</v>
      </c>
      <c r="D3124" s="173" t="s">
        <v>230</v>
      </c>
      <c r="E3124" s="173" t="s">
        <v>24</v>
      </c>
      <c r="F3124" s="173" t="s">
        <v>16</v>
      </c>
      <c r="G3124" s="87" t="b">
        <v>1</v>
      </c>
      <c r="H3124" s="87" t="b">
        <v>1</v>
      </c>
      <c r="I3124" s="87" t="b">
        <v>0</v>
      </c>
      <c r="J3124" s="173" t="s">
        <v>460</v>
      </c>
      <c r="K3124" s="174">
        <v>12361267000860</v>
      </c>
      <c r="L3124" s="173" t="s">
        <v>851</v>
      </c>
      <c r="M3124" s="173" t="s">
        <v>742</v>
      </c>
      <c r="N3124" s="173" t="s">
        <v>91</v>
      </c>
      <c r="O3124" s="87">
        <v>62</v>
      </c>
      <c r="P3124" s="173" t="s">
        <v>27</v>
      </c>
      <c r="Q3124" s="1" t="s">
        <v>1343</v>
      </c>
      <c r="R3124" s="175">
        <v>5</v>
      </c>
      <c r="S3124">
        <v>5</v>
      </c>
    </row>
    <row r="3125" spans="1:19" x14ac:dyDescent="0.25">
      <c r="A3125" s="87">
        <v>2019</v>
      </c>
      <c r="B3125" s="87">
        <v>12</v>
      </c>
      <c r="C3125" s="173" t="s">
        <v>16</v>
      </c>
      <c r="D3125" s="173" t="s">
        <v>230</v>
      </c>
      <c r="E3125" s="173" t="s">
        <v>24</v>
      </c>
      <c r="F3125" s="173" t="s">
        <v>16</v>
      </c>
      <c r="G3125" s="87" t="b">
        <v>1</v>
      </c>
      <c r="H3125" s="87" t="b">
        <v>1</v>
      </c>
      <c r="I3125" s="87" t="b">
        <v>0</v>
      </c>
      <c r="J3125" s="173" t="s">
        <v>460</v>
      </c>
      <c r="K3125" s="174">
        <v>12361267003370</v>
      </c>
      <c r="L3125" s="173" t="s">
        <v>1298</v>
      </c>
      <c r="M3125" s="173" t="s">
        <v>1129</v>
      </c>
      <c r="N3125" s="173" t="s">
        <v>52</v>
      </c>
      <c r="O3125" s="87">
        <v>70</v>
      </c>
      <c r="P3125" s="173" t="s">
        <v>20</v>
      </c>
      <c r="Q3125" s="1" t="s">
        <v>1338</v>
      </c>
      <c r="R3125" s="175">
        <v>220</v>
      </c>
      <c r="S3125">
        <v>44</v>
      </c>
    </row>
    <row r="3126" spans="1:19" x14ac:dyDescent="0.25">
      <c r="A3126" s="87">
        <v>2019</v>
      </c>
      <c r="B3126" s="87">
        <v>12</v>
      </c>
      <c r="C3126" s="173" t="s">
        <v>16</v>
      </c>
      <c r="D3126" s="173" t="s">
        <v>230</v>
      </c>
      <c r="E3126" s="173" t="s">
        <v>24</v>
      </c>
      <c r="F3126" s="173" t="s">
        <v>16</v>
      </c>
      <c r="G3126" s="87" t="b">
        <v>1</v>
      </c>
      <c r="H3126" s="87" t="b">
        <v>1</v>
      </c>
      <c r="I3126" s="87" t="b">
        <v>0</v>
      </c>
      <c r="J3126" s="173" t="s">
        <v>460</v>
      </c>
      <c r="K3126" s="174">
        <v>12361267004008</v>
      </c>
      <c r="L3126" s="173" t="s">
        <v>852</v>
      </c>
      <c r="M3126" s="173" t="s">
        <v>81</v>
      </c>
      <c r="N3126" s="173" t="s">
        <v>82</v>
      </c>
      <c r="O3126" s="87">
        <v>62</v>
      </c>
      <c r="P3126" s="173" t="s">
        <v>27</v>
      </c>
      <c r="Q3126" s="1" t="s">
        <v>1343</v>
      </c>
      <c r="R3126" s="175">
        <v>2</v>
      </c>
      <c r="S3126">
        <v>2</v>
      </c>
    </row>
    <row r="3127" spans="1:19" x14ac:dyDescent="0.25">
      <c r="A3127" s="87">
        <v>2019</v>
      </c>
      <c r="B3127" s="87">
        <v>12</v>
      </c>
      <c r="C3127" s="173" t="s">
        <v>16</v>
      </c>
      <c r="D3127" s="173" t="s">
        <v>230</v>
      </c>
      <c r="E3127" s="173" t="s">
        <v>24</v>
      </c>
      <c r="F3127" s="173" t="s">
        <v>16</v>
      </c>
      <c r="G3127" s="87" t="b">
        <v>1</v>
      </c>
      <c r="H3127" s="87" t="b">
        <v>1</v>
      </c>
      <c r="I3127" s="87" t="b">
        <v>0</v>
      </c>
      <c r="J3127" s="173" t="s">
        <v>460</v>
      </c>
      <c r="K3127" s="174">
        <v>12361267005748</v>
      </c>
      <c r="L3127" s="173" t="s">
        <v>1299</v>
      </c>
      <c r="M3127" s="173" t="s">
        <v>794</v>
      </c>
      <c r="N3127" s="173" t="s">
        <v>71</v>
      </c>
      <c r="O3127" s="87">
        <v>70</v>
      </c>
      <c r="P3127" s="173" t="s">
        <v>20</v>
      </c>
      <c r="Q3127" s="1" t="s">
        <v>1338</v>
      </c>
      <c r="R3127" s="175">
        <v>125</v>
      </c>
      <c r="S3127">
        <v>25</v>
      </c>
    </row>
    <row r="3128" spans="1:19" x14ac:dyDescent="0.25">
      <c r="A3128" s="87">
        <v>2019</v>
      </c>
      <c r="B3128" s="87">
        <v>12</v>
      </c>
      <c r="C3128" s="173" t="s">
        <v>16</v>
      </c>
      <c r="D3128" s="173" t="s">
        <v>230</v>
      </c>
      <c r="E3128" s="173" t="s">
        <v>24</v>
      </c>
      <c r="F3128" s="173" t="s">
        <v>16</v>
      </c>
      <c r="G3128" s="87" t="b">
        <v>1</v>
      </c>
      <c r="H3128" s="87" t="b">
        <v>1</v>
      </c>
      <c r="I3128" s="87" t="b">
        <v>0</v>
      </c>
      <c r="J3128" s="173" t="s">
        <v>460</v>
      </c>
      <c r="K3128" s="174">
        <v>12361267008844</v>
      </c>
      <c r="L3128" s="173" t="s">
        <v>856</v>
      </c>
      <c r="M3128" s="173" t="s">
        <v>857</v>
      </c>
      <c r="N3128" s="173" t="s">
        <v>56</v>
      </c>
      <c r="O3128" s="87">
        <v>62</v>
      </c>
      <c r="P3128" s="173" t="s">
        <v>27</v>
      </c>
      <c r="Q3128" s="1" t="s">
        <v>1343</v>
      </c>
      <c r="R3128" s="175">
        <v>2</v>
      </c>
      <c r="S3128">
        <v>2</v>
      </c>
    </row>
    <row r="3129" spans="1:19" x14ac:dyDescent="0.25">
      <c r="A3129" s="87">
        <v>2019</v>
      </c>
      <c r="B3129" s="87">
        <v>12</v>
      </c>
      <c r="C3129" s="173" t="s">
        <v>16</v>
      </c>
      <c r="D3129" s="173" t="s">
        <v>230</v>
      </c>
      <c r="E3129" s="173" t="s">
        <v>24</v>
      </c>
      <c r="F3129" s="173" t="s">
        <v>16</v>
      </c>
      <c r="G3129" s="87" t="b">
        <v>1</v>
      </c>
      <c r="H3129" s="87" t="b">
        <v>1</v>
      </c>
      <c r="I3129" s="87" t="b">
        <v>0</v>
      </c>
      <c r="J3129" s="173" t="s">
        <v>460</v>
      </c>
      <c r="K3129" s="174">
        <v>12361267008844</v>
      </c>
      <c r="L3129" s="173" t="s">
        <v>856</v>
      </c>
      <c r="M3129" s="173" t="s">
        <v>857</v>
      </c>
      <c r="N3129" s="173" t="s">
        <v>56</v>
      </c>
      <c r="O3129" s="87">
        <v>70</v>
      </c>
      <c r="P3129" s="173" t="s">
        <v>20</v>
      </c>
      <c r="Q3129" s="1" t="s">
        <v>1338</v>
      </c>
      <c r="R3129" s="175">
        <v>75</v>
      </c>
      <c r="S3129">
        <v>15</v>
      </c>
    </row>
    <row r="3130" spans="1:19" x14ac:dyDescent="0.25">
      <c r="A3130" s="87">
        <v>2019</v>
      </c>
      <c r="B3130" s="87">
        <v>12</v>
      </c>
      <c r="C3130" s="173" t="s">
        <v>16</v>
      </c>
      <c r="D3130" s="173" t="s">
        <v>230</v>
      </c>
      <c r="E3130" s="173" t="s">
        <v>24</v>
      </c>
      <c r="F3130" s="173" t="s">
        <v>16</v>
      </c>
      <c r="G3130" s="87" t="b">
        <v>1</v>
      </c>
      <c r="H3130" s="87" t="b">
        <v>1</v>
      </c>
      <c r="I3130" s="87" t="b">
        <v>0</v>
      </c>
      <c r="J3130" s="173" t="s">
        <v>460</v>
      </c>
      <c r="K3130" s="174">
        <v>12361267011632</v>
      </c>
      <c r="L3130" s="173" t="s">
        <v>1160</v>
      </c>
      <c r="M3130" s="173" t="s">
        <v>109</v>
      </c>
      <c r="N3130" s="173" t="s">
        <v>110</v>
      </c>
      <c r="O3130" s="87">
        <v>70</v>
      </c>
      <c r="P3130" s="173" t="s">
        <v>20</v>
      </c>
      <c r="Q3130" s="1" t="s">
        <v>1338</v>
      </c>
      <c r="R3130" s="175">
        <v>35</v>
      </c>
      <c r="S3130">
        <v>7</v>
      </c>
    </row>
    <row r="3131" spans="1:19" x14ac:dyDescent="0.25">
      <c r="A3131" s="87">
        <v>2019</v>
      </c>
      <c r="B3131" s="87">
        <v>12</v>
      </c>
      <c r="C3131" s="173" t="s">
        <v>16</v>
      </c>
      <c r="D3131" s="173" t="s">
        <v>230</v>
      </c>
      <c r="E3131" s="173" t="s">
        <v>24</v>
      </c>
      <c r="F3131" s="173" t="s">
        <v>16</v>
      </c>
      <c r="G3131" s="87" t="b">
        <v>1</v>
      </c>
      <c r="H3131" s="87" t="b">
        <v>1</v>
      </c>
      <c r="I3131" s="87" t="b">
        <v>0</v>
      </c>
      <c r="J3131" s="173" t="s">
        <v>470</v>
      </c>
      <c r="K3131" s="174">
        <v>12442737000496</v>
      </c>
      <c r="L3131" s="173" t="s">
        <v>865</v>
      </c>
      <c r="M3131" s="173" t="s">
        <v>742</v>
      </c>
      <c r="N3131" s="173" t="s">
        <v>91</v>
      </c>
      <c r="O3131" s="87">
        <v>70</v>
      </c>
      <c r="P3131" s="173" t="s">
        <v>20</v>
      </c>
      <c r="Q3131" s="1" t="s">
        <v>1338</v>
      </c>
      <c r="R3131" s="175">
        <v>300</v>
      </c>
      <c r="S3131">
        <v>60</v>
      </c>
    </row>
    <row r="3132" spans="1:19" x14ac:dyDescent="0.25">
      <c r="A3132" s="87">
        <v>2019</v>
      </c>
      <c r="B3132" s="87">
        <v>12</v>
      </c>
      <c r="C3132" s="173" t="s">
        <v>16</v>
      </c>
      <c r="D3132" s="173" t="s">
        <v>230</v>
      </c>
      <c r="E3132" s="173" t="s">
        <v>24</v>
      </c>
      <c r="F3132" s="173" t="s">
        <v>16</v>
      </c>
      <c r="G3132" s="87" t="b">
        <v>1</v>
      </c>
      <c r="H3132" s="87" t="b">
        <v>1</v>
      </c>
      <c r="I3132" s="87" t="b">
        <v>0</v>
      </c>
      <c r="J3132" s="173" t="s">
        <v>477</v>
      </c>
      <c r="K3132" s="174">
        <v>12442737000496</v>
      </c>
      <c r="L3132" s="173" t="s">
        <v>865</v>
      </c>
      <c r="M3132" s="173" t="s">
        <v>742</v>
      </c>
      <c r="N3132" s="173" t="s">
        <v>91</v>
      </c>
      <c r="O3132" s="87">
        <v>70</v>
      </c>
      <c r="P3132" s="173" t="s">
        <v>20</v>
      </c>
      <c r="Q3132" s="1" t="s">
        <v>1338</v>
      </c>
      <c r="R3132" s="175">
        <v>400</v>
      </c>
      <c r="S3132">
        <v>80</v>
      </c>
    </row>
    <row r="3133" spans="1:19" x14ac:dyDescent="0.25">
      <c r="A3133" s="87">
        <v>2019</v>
      </c>
      <c r="B3133" s="87">
        <v>12</v>
      </c>
      <c r="C3133" s="173" t="s">
        <v>16</v>
      </c>
      <c r="D3133" s="173" t="s">
        <v>230</v>
      </c>
      <c r="E3133" s="173" t="s">
        <v>24</v>
      </c>
      <c r="F3133" s="173" t="s">
        <v>16</v>
      </c>
      <c r="G3133" s="87" t="b">
        <v>1</v>
      </c>
      <c r="H3133" s="87" t="b">
        <v>1</v>
      </c>
      <c r="I3133" s="87" t="b">
        <v>0</v>
      </c>
      <c r="J3133" s="173" t="s">
        <v>491</v>
      </c>
      <c r="K3133" s="174">
        <v>12442737000496</v>
      </c>
      <c r="L3133" s="173" t="s">
        <v>865</v>
      </c>
      <c r="M3133" s="173" t="s">
        <v>742</v>
      </c>
      <c r="N3133" s="173" t="s">
        <v>91</v>
      </c>
      <c r="O3133" s="87">
        <v>70</v>
      </c>
      <c r="P3133" s="173" t="s">
        <v>20</v>
      </c>
      <c r="Q3133" s="1" t="s">
        <v>1338</v>
      </c>
      <c r="R3133" s="175">
        <v>595</v>
      </c>
      <c r="S3133">
        <v>119</v>
      </c>
    </row>
    <row r="3134" spans="1:19" x14ac:dyDescent="0.25">
      <c r="A3134" s="87">
        <v>2019</v>
      </c>
      <c r="B3134" s="87">
        <v>12</v>
      </c>
      <c r="C3134" s="173" t="s">
        <v>16</v>
      </c>
      <c r="D3134" s="173" t="s">
        <v>230</v>
      </c>
      <c r="E3134" s="173" t="s">
        <v>24</v>
      </c>
      <c r="F3134" s="173" t="s">
        <v>16</v>
      </c>
      <c r="G3134" s="87" t="b">
        <v>1</v>
      </c>
      <c r="H3134" s="87" t="b">
        <v>1</v>
      </c>
      <c r="I3134" s="87" t="b">
        <v>0</v>
      </c>
      <c r="J3134" s="173" t="s">
        <v>470</v>
      </c>
      <c r="K3134" s="174">
        <v>12508728000108</v>
      </c>
      <c r="L3134" s="173" t="s">
        <v>965</v>
      </c>
      <c r="M3134" s="173" t="s">
        <v>87</v>
      </c>
      <c r="N3134" s="173" t="s">
        <v>67</v>
      </c>
      <c r="O3134" s="87">
        <v>70</v>
      </c>
      <c r="P3134" s="173" t="s">
        <v>20</v>
      </c>
      <c r="Q3134" s="1" t="s">
        <v>1338</v>
      </c>
      <c r="R3134" s="175">
        <v>20</v>
      </c>
      <c r="S3134">
        <v>4</v>
      </c>
    </row>
    <row r="3135" spans="1:19" x14ac:dyDescent="0.25">
      <c r="A3135" s="87">
        <v>2019</v>
      </c>
      <c r="B3135" s="87">
        <v>12</v>
      </c>
      <c r="C3135" s="173" t="s">
        <v>16</v>
      </c>
      <c r="D3135" s="173" t="s">
        <v>230</v>
      </c>
      <c r="E3135" s="173" t="s">
        <v>24</v>
      </c>
      <c r="F3135" s="173" t="s">
        <v>16</v>
      </c>
      <c r="G3135" s="87" t="b">
        <v>1</v>
      </c>
      <c r="H3135" s="87" t="b">
        <v>1</v>
      </c>
      <c r="I3135" s="87" t="b">
        <v>0</v>
      </c>
      <c r="J3135" s="173" t="s">
        <v>451</v>
      </c>
      <c r="K3135" s="174">
        <v>13016092000140</v>
      </c>
      <c r="L3135" s="173" t="s">
        <v>867</v>
      </c>
      <c r="M3135" s="173" t="s">
        <v>75</v>
      </c>
      <c r="N3135" s="173" t="s">
        <v>74</v>
      </c>
      <c r="O3135" s="87">
        <v>64</v>
      </c>
      <c r="P3135" s="173" t="s">
        <v>25</v>
      </c>
      <c r="Q3135" s="1" t="s">
        <v>1344</v>
      </c>
      <c r="R3135" s="175">
        <v>5</v>
      </c>
      <c r="S3135">
        <v>5</v>
      </c>
    </row>
    <row r="3136" spans="1:19" x14ac:dyDescent="0.25">
      <c r="A3136" s="87">
        <v>2019</v>
      </c>
      <c r="B3136" s="87">
        <v>12</v>
      </c>
      <c r="C3136" s="173" t="s">
        <v>16</v>
      </c>
      <c r="D3136" s="173" t="s">
        <v>230</v>
      </c>
      <c r="E3136" s="173" t="s">
        <v>24</v>
      </c>
      <c r="F3136" s="173" t="s">
        <v>16</v>
      </c>
      <c r="G3136" s="87" t="b">
        <v>1</v>
      </c>
      <c r="H3136" s="87" t="b">
        <v>1</v>
      </c>
      <c r="I3136" s="87" t="b">
        <v>0</v>
      </c>
      <c r="J3136" s="173" t="s">
        <v>470</v>
      </c>
      <c r="K3136" s="174">
        <v>13016332000106</v>
      </c>
      <c r="L3136" s="173" t="s">
        <v>868</v>
      </c>
      <c r="M3136" s="173" t="s">
        <v>84</v>
      </c>
      <c r="N3136" s="173" t="s">
        <v>85</v>
      </c>
      <c r="O3136" s="87">
        <v>62</v>
      </c>
      <c r="P3136" s="173" t="s">
        <v>27</v>
      </c>
      <c r="Q3136" s="1" t="s">
        <v>1343</v>
      </c>
      <c r="R3136" s="175">
        <v>5</v>
      </c>
      <c r="S3136">
        <v>5</v>
      </c>
    </row>
    <row r="3137" spans="1:19" x14ac:dyDescent="0.25">
      <c r="A3137" s="87">
        <v>2019</v>
      </c>
      <c r="B3137" s="87">
        <v>12</v>
      </c>
      <c r="C3137" s="173" t="s">
        <v>16</v>
      </c>
      <c r="D3137" s="173" t="s">
        <v>230</v>
      </c>
      <c r="E3137" s="173" t="s">
        <v>24</v>
      </c>
      <c r="F3137" s="173" t="s">
        <v>16</v>
      </c>
      <c r="G3137" s="87" t="b">
        <v>1</v>
      </c>
      <c r="H3137" s="87" t="b">
        <v>1</v>
      </c>
      <c r="I3137" s="87" t="b">
        <v>0</v>
      </c>
      <c r="J3137" s="173" t="s">
        <v>491</v>
      </c>
      <c r="K3137" s="174">
        <v>13131370000100</v>
      </c>
      <c r="L3137" s="173" t="s">
        <v>870</v>
      </c>
      <c r="M3137" s="173" t="s">
        <v>84</v>
      </c>
      <c r="N3137" s="173" t="s">
        <v>85</v>
      </c>
      <c r="O3137" s="87">
        <v>70</v>
      </c>
      <c r="P3137" s="173" t="s">
        <v>20</v>
      </c>
      <c r="Q3137" s="1" t="s">
        <v>1338</v>
      </c>
      <c r="R3137" s="175">
        <v>750</v>
      </c>
      <c r="S3137">
        <v>150</v>
      </c>
    </row>
    <row r="3138" spans="1:19" x14ac:dyDescent="0.25">
      <c r="A3138" s="87">
        <v>2019</v>
      </c>
      <c r="B3138" s="87">
        <v>12</v>
      </c>
      <c r="C3138" s="173" t="s">
        <v>16</v>
      </c>
      <c r="D3138" s="173" t="s">
        <v>230</v>
      </c>
      <c r="E3138" s="173" t="s">
        <v>24</v>
      </c>
      <c r="F3138" s="173" t="s">
        <v>16</v>
      </c>
      <c r="G3138" s="87" t="b">
        <v>1</v>
      </c>
      <c r="H3138" s="87" t="b">
        <v>1</v>
      </c>
      <c r="I3138" s="87" t="b">
        <v>0</v>
      </c>
      <c r="J3138" s="173" t="s">
        <v>472</v>
      </c>
      <c r="K3138" s="174">
        <v>13131370000100</v>
      </c>
      <c r="L3138" s="173" t="s">
        <v>870</v>
      </c>
      <c r="M3138" s="173" t="s">
        <v>84</v>
      </c>
      <c r="N3138" s="173" t="s">
        <v>85</v>
      </c>
      <c r="O3138" s="87">
        <v>73</v>
      </c>
      <c r="P3138" s="173" t="s">
        <v>26</v>
      </c>
      <c r="Q3138" s="1" t="s">
        <v>1339</v>
      </c>
      <c r="R3138" s="175">
        <v>20</v>
      </c>
      <c r="S3138">
        <v>10</v>
      </c>
    </row>
    <row r="3139" spans="1:19" x14ac:dyDescent="0.25">
      <c r="A3139" s="87">
        <v>2019</v>
      </c>
      <c r="B3139" s="87">
        <v>12</v>
      </c>
      <c r="C3139" s="173" t="s">
        <v>16</v>
      </c>
      <c r="D3139" s="173" t="s">
        <v>230</v>
      </c>
      <c r="E3139" s="173" t="s">
        <v>24</v>
      </c>
      <c r="F3139" s="173" t="s">
        <v>16</v>
      </c>
      <c r="G3139" s="87" t="b">
        <v>1</v>
      </c>
      <c r="H3139" s="87" t="b">
        <v>1</v>
      </c>
      <c r="I3139" s="87" t="b">
        <v>0</v>
      </c>
      <c r="J3139" s="173" t="s">
        <v>472</v>
      </c>
      <c r="K3139" s="174">
        <v>13131370000100</v>
      </c>
      <c r="L3139" s="173" t="s">
        <v>870</v>
      </c>
      <c r="M3139" s="173" t="s">
        <v>84</v>
      </c>
      <c r="N3139" s="173" t="s">
        <v>85</v>
      </c>
      <c r="O3139" s="87">
        <v>73</v>
      </c>
      <c r="P3139" s="173" t="s">
        <v>26</v>
      </c>
      <c r="Q3139" s="1" t="s">
        <v>1340</v>
      </c>
      <c r="R3139" s="175">
        <v>11</v>
      </c>
      <c r="S3139">
        <v>11</v>
      </c>
    </row>
    <row r="3140" spans="1:19" x14ac:dyDescent="0.25">
      <c r="A3140" s="87">
        <v>2019</v>
      </c>
      <c r="B3140" s="87">
        <v>12</v>
      </c>
      <c r="C3140" s="173" t="s">
        <v>16</v>
      </c>
      <c r="D3140" s="173" t="s">
        <v>230</v>
      </c>
      <c r="E3140" s="173" t="s">
        <v>24</v>
      </c>
      <c r="F3140" s="173" t="s">
        <v>16</v>
      </c>
      <c r="G3140" s="87" t="b">
        <v>1</v>
      </c>
      <c r="H3140" s="87" t="b">
        <v>1</v>
      </c>
      <c r="I3140" s="87" t="b">
        <v>0</v>
      </c>
      <c r="J3140" s="173" t="s">
        <v>450</v>
      </c>
      <c r="K3140" s="174">
        <v>13718999001041</v>
      </c>
      <c r="L3140" s="173" t="s">
        <v>662</v>
      </c>
      <c r="M3140" s="173" t="s">
        <v>647</v>
      </c>
      <c r="N3140" s="173" t="s">
        <v>19</v>
      </c>
      <c r="O3140" s="87">
        <v>70</v>
      </c>
      <c r="P3140" s="173" t="s">
        <v>20</v>
      </c>
      <c r="Q3140" s="1" t="s">
        <v>1338</v>
      </c>
      <c r="R3140" s="175">
        <v>80</v>
      </c>
      <c r="S3140">
        <v>16</v>
      </c>
    </row>
    <row r="3141" spans="1:19" x14ac:dyDescent="0.25">
      <c r="A3141" s="87">
        <v>2019</v>
      </c>
      <c r="B3141" s="87">
        <v>12</v>
      </c>
      <c r="C3141" s="173" t="s">
        <v>16</v>
      </c>
      <c r="D3141" s="173" t="s">
        <v>230</v>
      </c>
      <c r="E3141" s="173" t="s">
        <v>24</v>
      </c>
      <c r="F3141" s="173" t="s">
        <v>16</v>
      </c>
      <c r="G3141" s="87" t="b">
        <v>1</v>
      </c>
      <c r="H3141" s="87" t="b">
        <v>1</v>
      </c>
      <c r="I3141" s="87" t="b">
        <v>0</v>
      </c>
      <c r="J3141" s="173" t="s">
        <v>450</v>
      </c>
      <c r="K3141" s="174">
        <v>13718999001041</v>
      </c>
      <c r="L3141" s="173" t="s">
        <v>662</v>
      </c>
      <c r="M3141" s="173" t="s">
        <v>647</v>
      </c>
      <c r="N3141" s="173" t="s">
        <v>19</v>
      </c>
      <c r="O3141" s="87">
        <v>73</v>
      </c>
      <c r="P3141" s="173" t="s">
        <v>26</v>
      </c>
      <c r="Q3141" s="1" t="s">
        <v>1342</v>
      </c>
      <c r="R3141" s="175">
        <v>4</v>
      </c>
      <c r="S3141">
        <v>1</v>
      </c>
    </row>
    <row r="3142" spans="1:19" x14ac:dyDescent="0.25">
      <c r="A3142" s="87">
        <v>2019</v>
      </c>
      <c r="B3142" s="87">
        <v>12</v>
      </c>
      <c r="C3142" s="173" t="s">
        <v>16</v>
      </c>
      <c r="D3142" s="173" t="s">
        <v>230</v>
      </c>
      <c r="E3142" s="173" t="s">
        <v>24</v>
      </c>
      <c r="F3142" s="173" t="s">
        <v>16</v>
      </c>
      <c r="G3142" s="87" t="b">
        <v>1</v>
      </c>
      <c r="H3142" s="87" t="b">
        <v>1</v>
      </c>
      <c r="I3142" s="87" t="b">
        <v>0</v>
      </c>
      <c r="J3142" s="173" t="s">
        <v>455</v>
      </c>
      <c r="K3142" s="174">
        <v>13969621000120</v>
      </c>
      <c r="L3142" s="173" t="s">
        <v>1393</v>
      </c>
      <c r="M3142" s="173" t="s">
        <v>86</v>
      </c>
      <c r="N3142" s="173" t="s">
        <v>74</v>
      </c>
      <c r="O3142" s="87">
        <v>70</v>
      </c>
      <c r="P3142" s="173" t="s">
        <v>20</v>
      </c>
      <c r="Q3142" s="1" t="s">
        <v>1338</v>
      </c>
      <c r="R3142" s="175">
        <v>35</v>
      </c>
      <c r="S3142">
        <v>7</v>
      </c>
    </row>
    <row r="3143" spans="1:19" x14ac:dyDescent="0.25">
      <c r="A3143" s="87">
        <v>2019</v>
      </c>
      <c r="B3143" s="87">
        <v>12</v>
      </c>
      <c r="C3143" s="173" t="s">
        <v>16</v>
      </c>
      <c r="D3143" s="173" t="s">
        <v>230</v>
      </c>
      <c r="E3143" s="173" t="s">
        <v>24</v>
      </c>
      <c r="F3143" s="173" t="s">
        <v>16</v>
      </c>
      <c r="G3143" s="87" t="b">
        <v>1</v>
      </c>
      <c r="H3143" s="87" t="b">
        <v>1</v>
      </c>
      <c r="I3143" s="87" t="b">
        <v>0</v>
      </c>
      <c r="J3143" s="173" t="s">
        <v>455</v>
      </c>
      <c r="K3143" s="174">
        <v>14074546000100</v>
      </c>
      <c r="L3143" s="173" t="s">
        <v>876</v>
      </c>
      <c r="M3143" s="173" t="s">
        <v>86</v>
      </c>
      <c r="N3143" s="173" t="s">
        <v>74</v>
      </c>
      <c r="O3143" s="87">
        <v>64</v>
      </c>
      <c r="P3143" s="173" t="s">
        <v>25</v>
      </c>
      <c r="Q3143" s="1" t="s">
        <v>1344</v>
      </c>
      <c r="R3143" s="175">
        <v>1</v>
      </c>
      <c r="S3143">
        <v>1</v>
      </c>
    </row>
    <row r="3144" spans="1:19" x14ac:dyDescent="0.25">
      <c r="A3144" s="87">
        <v>2019</v>
      </c>
      <c r="B3144" s="87">
        <v>12</v>
      </c>
      <c r="C3144" s="173" t="s">
        <v>16</v>
      </c>
      <c r="D3144" s="173" t="s">
        <v>230</v>
      </c>
      <c r="E3144" s="173" t="s">
        <v>24</v>
      </c>
      <c r="F3144" s="173" t="s">
        <v>16</v>
      </c>
      <c r="G3144" s="87" t="b">
        <v>1</v>
      </c>
      <c r="H3144" s="87" t="b">
        <v>1</v>
      </c>
      <c r="I3144" s="87" t="b">
        <v>0</v>
      </c>
      <c r="J3144" s="173" t="s">
        <v>478</v>
      </c>
      <c r="K3144" s="174">
        <v>14408631000159</v>
      </c>
      <c r="L3144" s="173" t="s">
        <v>1163</v>
      </c>
      <c r="M3144" s="173" t="s">
        <v>1164</v>
      </c>
      <c r="N3144" s="173" t="s">
        <v>54</v>
      </c>
      <c r="O3144" s="87">
        <v>73</v>
      </c>
      <c r="P3144" s="173" t="s">
        <v>26</v>
      </c>
      <c r="Q3144" s="1" t="s">
        <v>1342</v>
      </c>
      <c r="R3144" s="175">
        <v>8</v>
      </c>
      <c r="S3144">
        <v>2</v>
      </c>
    </row>
    <row r="3145" spans="1:19" x14ac:dyDescent="0.25">
      <c r="A3145" s="87">
        <v>2019</v>
      </c>
      <c r="B3145" s="87">
        <v>12</v>
      </c>
      <c r="C3145" s="173" t="s">
        <v>16</v>
      </c>
      <c r="D3145" s="173" t="s">
        <v>230</v>
      </c>
      <c r="E3145" s="173" t="s">
        <v>24</v>
      </c>
      <c r="F3145" s="173" t="s">
        <v>16</v>
      </c>
      <c r="G3145" s="87" t="b">
        <v>1</v>
      </c>
      <c r="H3145" s="87" t="b">
        <v>1</v>
      </c>
      <c r="I3145" s="87" t="b">
        <v>0</v>
      </c>
      <c r="J3145" s="173" t="s">
        <v>449</v>
      </c>
      <c r="K3145" s="174">
        <v>15126437001972</v>
      </c>
      <c r="L3145" s="173" t="s">
        <v>966</v>
      </c>
      <c r="M3145" s="173" t="s">
        <v>87</v>
      </c>
      <c r="N3145" s="173" t="s">
        <v>67</v>
      </c>
      <c r="O3145" s="87">
        <v>62</v>
      </c>
      <c r="P3145" s="173" t="s">
        <v>27</v>
      </c>
      <c r="Q3145" s="1" t="s">
        <v>1343</v>
      </c>
      <c r="R3145" s="175">
        <v>33</v>
      </c>
      <c r="S3145">
        <v>33</v>
      </c>
    </row>
    <row r="3146" spans="1:19" x14ac:dyDescent="0.25">
      <c r="A3146" s="87">
        <v>2019</v>
      </c>
      <c r="B3146" s="87">
        <v>12</v>
      </c>
      <c r="C3146" s="173" t="s">
        <v>16</v>
      </c>
      <c r="D3146" s="173" t="s">
        <v>230</v>
      </c>
      <c r="E3146" s="173" t="s">
        <v>24</v>
      </c>
      <c r="F3146" s="173" t="s">
        <v>16</v>
      </c>
      <c r="G3146" s="87" t="b">
        <v>1</v>
      </c>
      <c r="H3146" s="87" t="b">
        <v>1</v>
      </c>
      <c r="I3146" s="87" t="b">
        <v>0</v>
      </c>
      <c r="J3146" s="173" t="s">
        <v>1330</v>
      </c>
      <c r="K3146" s="174">
        <v>15126437001972</v>
      </c>
      <c r="L3146" s="173" t="s">
        <v>966</v>
      </c>
      <c r="M3146" s="173" t="s">
        <v>87</v>
      </c>
      <c r="N3146" s="173" t="s">
        <v>67</v>
      </c>
      <c r="O3146" s="87">
        <v>64</v>
      </c>
      <c r="P3146" s="173" t="s">
        <v>25</v>
      </c>
      <c r="Q3146" s="1" t="s">
        <v>1344</v>
      </c>
      <c r="R3146" s="175">
        <v>25</v>
      </c>
      <c r="S3146">
        <v>25</v>
      </c>
    </row>
    <row r="3147" spans="1:19" x14ac:dyDescent="0.25">
      <c r="A3147" s="87">
        <v>2019</v>
      </c>
      <c r="B3147" s="87">
        <v>12</v>
      </c>
      <c r="C3147" s="173" t="s">
        <v>16</v>
      </c>
      <c r="D3147" s="173" t="s">
        <v>230</v>
      </c>
      <c r="E3147" s="173" t="s">
        <v>24</v>
      </c>
      <c r="F3147" s="173" t="s">
        <v>16</v>
      </c>
      <c r="G3147" s="87" t="b">
        <v>1</v>
      </c>
      <c r="H3147" s="87" t="b">
        <v>1</v>
      </c>
      <c r="I3147" s="87" t="b">
        <v>0</v>
      </c>
      <c r="J3147" s="173" t="s">
        <v>449</v>
      </c>
      <c r="K3147" s="174">
        <v>15126437003401</v>
      </c>
      <c r="L3147" s="173" t="s">
        <v>967</v>
      </c>
      <c r="M3147" s="173" t="s">
        <v>95</v>
      </c>
      <c r="N3147" s="173" t="s">
        <v>68</v>
      </c>
      <c r="O3147" s="87">
        <v>62</v>
      </c>
      <c r="P3147" s="173" t="s">
        <v>27</v>
      </c>
      <c r="Q3147" s="1" t="s">
        <v>1343</v>
      </c>
      <c r="R3147" s="175">
        <v>10</v>
      </c>
      <c r="S3147">
        <v>10</v>
      </c>
    </row>
    <row r="3148" spans="1:19" x14ac:dyDescent="0.25">
      <c r="A3148" s="87">
        <v>2019</v>
      </c>
      <c r="B3148" s="87">
        <v>12</v>
      </c>
      <c r="C3148" s="173" t="s">
        <v>16</v>
      </c>
      <c r="D3148" s="173" t="s">
        <v>230</v>
      </c>
      <c r="E3148" s="173" t="s">
        <v>24</v>
      </c>
      <c r="F3148" s="173" t="s">
        <v>16</v>
      </c>
      <c r="G3148" s="87" t="b">
        <v>1</v>
      </c>
      <c r="H3148" s="87" t="b">
        <v>1</v>
      </c>
      <c r="I3148" s="87" t="b">
        <v>0</v>
      </c>
      <c r="J3148" s="173" t="s">
        <v>1305</v>
      </c>
      <c r="K3148" s="174">
        <v>15153745000249</v>
      </c>
      <c r="L3148" s="173" t="s">
        <v>887</v>
      </c>
      <c r="M3148" s="173" t="s">
        <v>75</v>
      </c>
      <c r="N3148" s="173" t="s">
        <v>74</v>
      </c>
      <c r="O3148" s="87">
        <v>64</v>
      </c>
      <c r="P3148" s="173" t="s">
        <v>25</v>
      </c>
      <c r="Q3148" s="1" t="s">
        <v>1344</v>
      </c>
      <c r="R3148" s="175">
        <v>8</v>
      </c>
      <c r="S3148">
        <v>8</v>
      </c>
    </row>
    <row r="3149" spans="1:19" x14ac:dyDescent="0.25">
      <c r="A3149" s="87">
        <v>2019</v>
      </c>
      <c r="B3149" s="87">
        <v>12</v>
      </c>
      <c r="C3149" s="173" t="s">
        <v>16</v>
      </c>
      <c r="D3149" s="173" t="s">
        <v>230</v>
      </c>
      <c r="E3149" s="173" t="s">
        <v>24</v>
      </c>
      <c r="F3149" s="173" t="s">
        <v>16</v>
      </c>
      <c r="G3149" s="87" t="b">
        <v>1</v>
      </c>
      <c r="H3149" s="87" t="b">
        <v>1</v>
      </c>
      <c r="I3149" s="87" t="b">
        <v>0</v>
      </c>
      <c r="J3149" s="173" t="s">
        <v>491</v>
      </c>
      <c r="K3149" s="174">
        <v>15166416000151</v>
      </c>
      <c r="L3149" s="173" t="s">
        <v>889</v>
      </c>
      <c r="M3149" s="173" t="s">
        <v>75</v>
      </c>
      <c r="N3149" s="173" t="s">
        <v>74</v>
      </c>
      <c r="O3149" s="87">
        <v>62</v>
      </c>
      <c r="P3149" s="173" t="s">
        <v>27</v>
      </c>
      <c r="Q3149" s="1" t="s">
        <v>1343</v>
      </c>
      <c r="R3149" s="175">
        <v>10</v>
      </c>
      <c r="S3149">
        <v>10</v>
      </c>
    </row>
    <row r="3150" spans="1:19" x14ac:dyDescent="0.25">
      <c r="A3150" s="87">
        <v>2019</v>
      </c>
      <c r="B3150" s="87">
        <v>12</v>
      </c>
      <c r="C3150" s="173" t="s">
        <v>16</v>
      </c>
      <c r="D3150" s="173" t="s">
        <v>230</v>
      </c>
      <c r="E3150" s="173" t="s">
        <v>24</v>
      </c>
      <c r="F3150" s="173" t="s">
        <v>16</v>
      </c>
      <c r="G3150" s="87" t="b">
        <v>1</v>
      </c>
      <c r="H3150" s="87" t="b">
        <v>1</v>
      </c>
      <c r="I3150" s="87" t="b">
        <v>0</v>
      </c>
      <c r="J3150" s="173" t="s">
        <v>460</v>
      </c>
      <c r="K3150" s="174">
        <v>15166416000151</v>
      </c>
      <c r="L3150" s="173" t="s">
        <v>889</v>
      </c>
      <c r="M3150" s="173" t="s">
        <v>75</v>
      </c>
      <c r="N3150" s="173" t="s">
        <v>74</v>
      </c>
      <c r="O3150" s="87">
        <v>64</v>
      </c>
      <c r="P3150" s="173" t="s">
        <v>25</v>
      </c>
      <c r="Q3150" s="1" t="s">
        <v>1344</v>
      </c>
      <c r="R3150" s="175">
        <v>3</v>
      </c>
      <c r="S3150">
        <v>3</v>
      </c>
    </row>
    <row r="3151" spans="1:19" x14ac:dyDescent="0.25">
      <c r="A3151" s="87">
        <v>2019</v>
      </c>
      <c r="B3151" s="87">
        <v>12</v>
      </c>
      <c r="C3151" s="173" t="s">
        <v>16</v>
      </c>
      <c r="D3151" s="173" t="s">
        <v>230</v>
      </c>
      <c r="E3151" s="173" t="s">
        <v>24</v>
      </c>
      <c r="F3151" s="173" t="s">
        <v>16</v>
      </c>
      <c r="G3151" s="87" t="b">
        <v>1</v>
      </c>
      <c r="H3151" s="87" t="b">
        <v>1</v>
      </c>
      <c r="I3151" s="87" t="b">
        <v>0</v>
      </c>
      <c r="J3151" s="173" t="s">
        <v>1305</v>
      </c>
      <c r="K3151" s="174">
        <v>15166416000151</v>
      </c>
      <c r="L3151" s="173" t="s">
        <v>889</v>
      </c>
      <c r="M3151" s="173" t="s">
        <v>75</v>
      </c>
      <c r="N3151" s="173" t="s">
        <v>74</v>
      </c>
      <c r="O3151" s="87">
        <v>64</v>
      </c>
      <c r="P3151" s="173" t="s">
        <v>25</v>
      </c>
      <c r="Q3151" s="1" t="s">
        <v>1344</v>
      </c>
      <c r="R3151" s="175">
        <v>39</v>
      </c>
      <c r="S3151">
        <v>39</v>
      </c>
    </row>
    <row r="3152" spans="1:19" x14ac:dyDescent="0.25">
      <c r="A3152" s="87">
        <v>2019</v>
      </c>
      <c r="B3152" s="87">
        <v>12</v>
      </c>
      <c r="C3152" s="173" t="s">
        <v>16</v>
      </c>
      <c r="D3152" s="173" t="s">
        <v>230</v>
      </c>
      <c r="E3152" s="173" t="s">
        <v>24</v>
      </c>
      <c r="F3152" s="173" t="s">
        <v>16</v>
      </c>
      <c r="G3152" s="87" t="b">
        <v>1</v>
      </c>
      <c r="H3152" s="87" t="b">
        <v>1</v>
      </c>
      <c r="I3152" s="87" t="b">
        <v>0</v>
      </c>
      <c r="J3152" s="173" t="s">
        <v>468</v>
      </c>
      <c r="K3152" s="174">
        <v>15166416000151</v>
      </c>
      <c r="L3152" s="173" t="s">
        <v>889</v>
      </c>
      <c r="M3152" s="173" t="s">
        <v>75</v>
      </c>
      <c r="N3152" s="173" t="s">
        <v>74</v>
      </c>
      <c r="O3152" s="87">
        <v>64</v>
      </c>
      <c r="P3152" s="173" t="s">
        <v>25</v>
      </c>
      <c r="Q3152" s="1" t="s">
        <v>1344</v>
      </c>
      <c r="R3152" s="175">
        <v>18</v>
      </c>
      <c r="S3152">
        <v>18</v>
      </c>
    </row>
    <row r="3153" spans="1:19" x14ac:dyDescent="0.25">
      <c r="A3153" s="87">
        <v>2019</v>
      </c>
      <c r="B3153" s="87">
        <v>12</v>
      </c>
      <c r="C3153" s="173" t="s">
        <v>16</v>
      </c>
      <c r="D3153" s="173" t="s">
        <v>230</v>
      </c>
      <c r="E3153" s="173" t="s">
        <v>24</v>
      </c>
      <c r="F3153" s="173" t="s">
        <v>16</v>
      </c>
      <c r="G3153" s="87" t="b">
        <v>1</v>
      </c>
      <c r="H3153" s="87" t="b">
        <v>1</v>
      </c>
      <c r="I3153" s="87" t="b">
        <v>0</v>
      </c>
      <c r="J3153" s="173" t="s">
        <v>460</v>
      </c>
      <c r="K3153" s="174">
        <v>15170723000106</v>
      </c>
      <c r="L3153" s="173" t="s">
        <v>890</v>
      </c>
      <c r="M3153" s="173" t="s">
        <v>75</v>
      </c>
      <c r="N3153" s="173" t="s">
        <v>74</v>
      </c>
      <c r="O3153" s="87">
        <v>70</v>
      </c>
      <c r="P3153" s="173" t="s">
        <v>20</v>
      </c>
      <c r="Q3153" s="1" t="s">
        <v>1338</v>
      </c>
      <c r="R3153" s="175">
        <v>75</v>
      </c>
      <c r="S3153">
        <v>15</v>
      </c>
    </row>
    <row r="3154" spans="1:19" x14ac:dyDescent="0.25">
      <c r="A3154" s="87">
        <v>2019</v>
      </c>
      <c r="B3154" s="87">
        <v>12</v>
      </c>
      <c r="C3154" s="173" t="s">
        <v>16</v>
      </c>
      <c r="D3154" s="173" t="s">
        <v>230</v>
      </c>
      <c r="E3154" s="173" t="s">
        <v>24</v>
      </c>
      <c r="F3154" s="173" t="s">
        <v>16</v>
      </c>
      <c r="G3154" s="87" t="b">
        <v>1</v>
      </c>
      <c r="H3154" s="87" t="b">
        <v>1</v>
      </c>
      <c r="I3154" s="87" t="b">
        <v>0</v>
      </c>
      <c r="J3154" s="173" t="s">
        <v>455</v>
      </c>
      <c r="K3154" s="174">
        <v>15194004000125</v>
      </c>
      <c r="L3154" s="173" t="s">
        <v>895</v>
      </c>
      <c r="M3154" s="173" t="s">
        <v>75</v>
      </c>
      <c r="N3154" s="173" t="s">
        <v>74</v>
      </c>
      <c r="O3154" s="87">
        <v>64</v>
      </c>
      <c r="P3154" s="173" t="s">
        <v>25</v>
      </c>
      <c r="Q3154" s="1" t="s">
        <v>1344</v>
      </c>
      <c r="R3154" s="175">
        <v>1</v>
      </c>
      <c r="S3154">
        <v>1</v>
      </c>
    </row>
    <row r="3155" spans="1:19" x14ac:dyDescent="0.25">
      <c r="A3155" s="87">
        <v>2019</v>
      </c>
      <c r="B3155" s="87">
        <v>12</v>
      </c>
      <c r="C3155" s="173" t="s">
        <v>16</v>
      </c>
      <c r="D3155" s="173" t="s">
        <v>230</v>
      </c>
      <c r="E3155" s="173" t="s">
        <v>24</v>
      </c>
      <c r="F3155" s="173" t="s">
        <v>16</v>
      </c>
      <c r="G3155" s="87" t="b">
        <v>1</v>
      </c>
      <c r="H3155" s="87" t="b">
        <v>1</v>
      </c>
      <c r="I3155" s="87" t="b">
        <v>0</v>
      </c>
      <c r="J3155" s="173" t="s">
        <v>478</v>
      </c>
      <c r="K3155" s="174">
        <v>15592785000106</v>
      </c>
      <c r="L3155" s="173" t="s">
        <v>897</v>
      </c>
      <c r="M3155" s="173" t="s">
        <v>84</v>
      </c>
      <c r="N3155" s="173" t="s">
        <v>85</v>
      </c>
      <c r="O3155" s="87">
        <v>70</v>
      </c>
      <c r="P3155" s="173" t="s">
        <v>20</v>
      </c>
      <c r="Q3155" s="1" t="s">
        <v>1338</v>
      </c>
      <c r="R3155" s="175">
        <v>15</v>
      </c>
      <c r="S3155">
        <v>3</v>
      </c>
    </row>
    <row r="3156" spans="1:19" x14ac:dyDescent="0.25">
      <c r="A3156" s="87">
        <v>2019</v>
      </c>
      <c r="B3156" s="87">
        <v>12</v>
      </c>
      <c r="C3156" s="173" t="s">
        <v>16</v>
      </c>
      <c r="D3156" s="173" t="s">
        <v>230</v>
      </c>
      <c r="E3156" s="173" t="s">
        <v>24</v>
      </c>
      <c r="F3156" s="173" t="s">
        <v>16</v>
      </c>
      <c r="G3156" s="87" t="b">
        <v>1</v>
      </c>
      <c r="H3156" s="87" t="b">
        <v>1</v>
      </c>
      <c r="I3156" s="87" t="b">
        <v>0</v>
      </c>
      <c r="J3156" s="173" t="s">
        <v>455</v>
      </c>
      <c r="K3156" s="174">
        <v>15592785000106</v>
      </c>
      <c r="L3156" s="173" t="s">
        <v>897</v>
      </c>
      <c r="M3156" s="173" t="s">
        <v>84</v>
      </c>
      <c r="N3156" s="173" t="s">
        <v>85</v>
      </c>
      <c r="O3156" s="87">
        <v>70</v>
      </c>
      <c r="P3156" s="173" t="s">
        <v>20</v>
      </c>
      <c r="Q3156" s="1" t="s">
        <v>1338</v>
      </c>
      <c r="R3156" s="175">
        <v>150</v>
      </c>
      <c r="S3156">
        <v>30</v>
      </c>
    </row>
    <row r="3157" spans="1:19" x14ac:dyDescent="0.25">
      <c r="A3157" s="87">
        <v>2019</v>
      </c>
      <c r="B3157" s="87">
        <v>12</v>
      </c>
      <c r="C3157" s="173" t="s">
        <v>16</v>
      </c>
      <c r="D3157" s="173" t="s">
        <v>230</v>
      </c>
      <c r="E3157" s="173" t="s">
        <v>24</v>
      </c>
      <c r="F3157" s="173" t="s">
        <v>16</v>
      </c>
      <c r="G3157" s="87" t="b">
        <v>1</v>
      </c>
      <c r="H3157" s="87" t="b">
        <v>1</v>
      </c>
      <c r="I3157" s="87" t="b">
        <v>0</v>
      </c>
      <c r="J3157" s="173" t="s">
        <v>472</v>
      </c>
      <c r="K3157" s="174">
        <v>16064313000577</v>
      </c>
      <c r="L3157" s="173" t="s">
        <v>898</v>
      </c>
      <c r="M3157" s="173" t="s">
        <v>84</v>
      </c>
      <c r="N3157" s="173" t="s">
        <v>85</v>
      </c>
      <c r="O3157" s="87">
        <v>73</v>
      </c>
      <c r="P3157" s="173" t="s">
        <v>26</v>
      </c>
      <c r="Q3157" s="1" t="s">
        <v>1339</v>
      </c>
      <c r="R3157" s="175">
        <v>22</v>
      </c>
      <c r="S3157">
        <v>11</v>
      </c>
    </row>
    <row r="3158" spans="1:19" x14ac:dyDescent="0.25">
      <c r="A3158" s="87">
        <v>2019</v>
      </c>
      <c r="B3158" s="87">
        <v>12</v>
      </c>
      <c r="C3158" s="173" t="s">
        <v>16</v>
      </c>
      <c r="D3158" s="173" t="s">
        <v>230</v>
      </c>
      <c r="E3158" s="173" t="s">
        <v>24</v>
      </c>
      <c r="F3158" s="173" t="s">
        <v>16</v>
      </c>
      <c r="G3158" s="87" t="b">
        <v>1</v>
      </c>
      <c r="H3158" s="87" t="b">
        <v>1</v>
      </c>
      <c r="I3158" s="87" t="b">
        <v>0</v>
      </c>
      <c r="J3158" s="173" t="s">
        <v>1330</v>
      </c>
      <c r="K3158" s="174">
        <v>16695025000197</v>
      </c>
      <c r="L3158" s="173" t="s">
        <v>1417</v>
      </c>
      <c r="M3158" s="173" t="s">
        <v>58</v>
      </c>
      <c r="N3158" s="173" t="s">
        <v>54</v>
      </c>
      <c r="O3158" s="87">
        <v>70</v>
      </c>
      <c r="P3158" s="173" t="s">
        <v>20</v>
      </c>
      <c r="Q3158" s="1" t="s">
        <v>1338</v>
      </c>
      <c r="R3158" s="175">
        <v>250</v>
      </c>
      <c r="S3158">
        <v>50</v>
      </c>
    </row>
    <row r="3159" spans="1:19" x14ac:dyDescent="0.25">
      <c r="A3159" s="87">
        <v>2019</v>
      </c>
      <c r="B3159" s="87">
        <v>12</v>
      </c>
      <c r="C3159" s="173" t="s">
        <v>16</v>
      </c>
      <c r="D3159" s="173" t="s">
        <v>230</v>
      </c>
      <c r="E3159" s="173" t="s">
        <v>24</v>
      </c>
      <c r="F3159" s="173" t="s">
        <v>16</v>
      </c>
      <c r="G3159" s="87" t="b">
        <v>1</v>
      </c>
      <c r="H3159" s="87" t="b">
        <v>1</v>
      </c>
      <c r="I3159" s="87" t="b">
        <v>0</v>
      </c>
      <c r="J3159" s="173" t="s">
        <v>491</v>
      </c>
      <c r="K3159" s="174">
        <v>16739984000167</v>
      </c>
      <c r="L3159" s="173" t="s">
        <v>900</v>
      </c>
      <c r="M3159" s="173" t="s">
        <v>739</v>
      </c>
      <c r="N3159" s="173" t="s">
        <v>55</v>
      </c>
      <c r="O3159" s="87">
        <v>73</v>
      </c>
      <c r="P3159" s="173" t="s">
        <v>26</v>
      </c>
      <c r="Q3159" s="1" t="s">
        <v>1339</v>
      </c>
      <c r="R3159" s="175">
        <v>10</v>
      </c>
      <c r="S3159">
        <v>5</v>
      </c>
    </row>
    <row r="3160" spans="1:19" x14ac:dyDescent="0.25">
      <c r="A3160" s="87">
        <v>2019</v>
      </c>
      <c r="B3160" s="87">
        <v>12</v>
      </c>
      <c r="C3160" s="173" t="s">
        <v>16</v>
      </c>
      <c r="D3160" s="173" t="s">
        <v>230</v>
      </c>
      <c r="E3160" s="173" t="s">
        <v>24</v>
      </c>
      <c r="F3160" s="173" t="s">
        <v>16</v>
      </c>
      <c r="G3160" s="87" t="b">
        <v>1</v>
      </c>
      <c r="H3160" s="87" t="b">
        <v>1</v>
      </c>
      <c r="I3160" s="87" t="b">
        <v>0</v>
      </c>
      <c r="J3160" s="173" t="s">
        <v>491</v>
      </c>
      <c r="K3160" s="174">
        <v>16739984000167</v>
      </c>
      <c r="L3160" s="173" t="s">
        <v>900</v>
      </c>
      <c r="M3160" s="173" t="s">
        <v>739</v>
      </c>
      <c r="N3160" s="173" t="s">
        <v>55</v>
      </c>
      <c r="O3160" s="87">
        <v>73</v>
      </c>
      <c r="P3160" s="173" t="s">
        <v>26</v>
      </c>
      <c r="Q3160" s="1" t="s">
        <v>1342</v>
      </c>
      <c r="R3160" s="175">
        <v>32</v>
      </c>
      <c r="S3160">
        <v>8</v>
      </c>
    </row>
    <row r="3161" spans="1:19" x14ac:dyDescent="0.25">
      <c r="A3161" s="87">
        <v>2019</v>
      </c>
      <c r="B3161" s="87">
        <v>12</v>
      </c>
      <c r="C3161" s="173" t="s">
        <v>16</v>
      </c>
      <c r="D3161" s="173" t="s">
        <v>230</v>
      </c>
      <c r="E3161" s="173" t="s">
        <v>24</v>
      </c>
      <c r="F3161" s="173" t="s">
        <v>16</v>
      </c>
      <c r="G3161" s="87" t="b">
        <v>1</v>
      </c>
      <c r="H3161" s="87" t="b">
        <v>1</v>
      </c>
      <c r="I3161" s="87" t="b">
        <v>0</v>
      </c>
      <c r="J3161" s="173" t="s">
        <v>491</v>
      </c>
      <c r="K3161" s="174">
        <v>16739984000167</v>
      </c>
      <c r="L3161" s="173" t="s">
        <v>900</v>
      </c>
      <c r="M3161" s="173" t="s">
        <v>739</v>
      </c>
      <c r="N3161" s="173" t="s">
        <v>55</v>
      </c>
      <c r="O3161" s="87">
        <v>73</v>
      </c>
      <c r="P3161" s="173" t="s">
        <v>26</v>
      </c>
      <c r="Q3161" s="1" t="s">
        <v>1340</v>
      </c>
      <c r="R3161" s="175">
        <v>6</v>
      </c>
      <c r="S3161">
        <v>6</v>
      </c>
    </row>
    <row r="3162" spans="1:19" x14ac:dyDescent="0.25">
      <c r="A3162" s="87">
        <v>2019</v>
      </c>
      <c r="B3162" s="87">
        <v>12</v>
      </c>
      <c r="C3162" s="173" t="s">
        <v>16</v>
      </c>
      <c r="D3162" s="173" t="s">
        <v>230</v>
      </c>
      <c r="E3162" s="173" t="s">
        <v>24</v>
      </c>
      <c r="F3162" s="173" t="s">
        <v>16</v>
      </c>
      <c r="G3162" s="87" t="b">
        <v>1</v>
      </c>
      <c r="H3162" s="87" t="b">
        <v>1</v>
      </c>
      <c r="I3162" s="87" t="b">
        <v>0</v>
      </c>
      <c r="J3162" s="173" t="s">
        <v>464</v>
      </c>
      <c r="K3162" s="174">
        <v>17087591000189</v>
      </c>
      <c r="L3162" s="173" t="s">
        <v>1170</v>
      </c>
      <c r="M3162" s="173" t="s">
        <v>1171</v>
      </c>
      <c r="N3162" s="173" t="s">
        <v>54</v>
      </c>
      <c r="O3162" s="87">
        <v>62</v>
      </c>
      <c r="P3162" s="173" t="s">
        <v>27</v>
      </c>
      <c r="Q3162" s="1" t="s">
        <v>1343</v>
      </c>
      <c r="R3162" s="175">
        <v>3</v>
      </c>
      <c r="S3162">
        <v>3</v>
      </c>
    </row>
    <row r="3163" spans="1:19" x14ac:dyDescent="0.25">
      <c r="A3163" s="87">
        <v>2019</v>
      </c>
      <c r="B3163" s="87">
        <v>12</v>
      </c>
      <c r="C3163" s="173" t="s">
        <v>16</v>
      </c>
      <c r="D3163" s="173" t="s">
        <v>230</v>
      </c>
      <c r="E3163" s="173" t="s">
        <v>24</v>
      </c>
      <c r="F3163" s="173" t="s">
        <v>16</v>
      </c>
      <c r="G3163" s="87" t="b">
        <v>1</v>
      </c>
      <c r="H3163" s="87" t="b">
        <v>1</v>
      </c>
      <c r="I3163" s="87" t="b">
        <v>0</v>
      </c>
      <c r="J3163" s="173" t="s">
        <v>1512</v>
      </c>
      <c r="K3163" s="174">
        <v>17214149000176</v>
      </c>
      <c r="L3163" s="173" t="s">
        <v>1172</v>
      </c>
      <c r="M3163" s="173" t="s">
        <v>58</v>
      </c>
      <c r="N3163" s="173" t="s">
        <v>54</v>
      </c>
      <c r="O3163" s="87">
        <v>62</v>
      </c>
      <c r="P3163" s="173" t="s">
        <v>27</v>
      </c>
      <c r="Q3163" s="1" t="s">
        <v>1343</v>
      </c>
      <c r="R3163" s="175">
        <v>27</v>
      </c>
      <c r="S3163">
        <v>27</v>
      </c>
    </row>
    <row r="3164" spans="1:19" x14ac:dyDescent="0.25">
      <c r="A3164" s="87">
        <v>2019</v>
      </c>
      <c r="B3164" s="87">
        <v>12</v>
      </c>
      <c r="C3164" s="173" t="s">
        <v>16</v>
      </c>
      <c r="D3164" s="173" t="s">
        <v>230</v>
      </c>
      <c r="E3164" s="173" t="s">
        <v>24</v>
      </c>
      <c r="F3164" s="173" t="s">
        <v>16</v>
      </c>
      <c r="G3164" s="87" t="b">
        <v>1</v>
      </c>
      <c r="H3164" s="87" t="b">
        <v>1</v>
      </c>
      <c r="I3164" s="87" t="b">
        <v>0</v>
      </c>
      <c r="J3164" s="173" t="s">
        <v>468</v>
      </c>
      <c r="K3164" s="174">
        <v>17239624000169</v>
      </c>
      <c r="L3164" s="173" t="s">
        <v>1394</v>
      </c>
      <c r="M3164" s="173" t="s">
        <v>1395</v>
      </c>
      <c r="N3164" s="173" t="s">
        <v>59</v>
      </c>
      <c r="O3164" s="87">
        <v>64</v>
      </c>
      <c r="P3164" s="173" t="s">
        <v>25</v>
      </c>
      <c r="Q3164" s="1" t="s">
        <v>1344</v>
      </c>
      <c r="R3164" s="175">
        <v>2</v>
      </c>
      <c r="S3164">
        <v>2</v>
      </c>
    </row>
    <row r="3165" spans="1:19" x14ac:dyDescent="0.25">
      <c r="A3165" s="87">
        <v>2019</v>
      </c>
      <c r="B3165" s="87">
        <v>12</v>
      </c>
      <c r="C3165" s="173" t="s">
        <v>16</v>
      </c>
      <c r="D3165" s="173" t="s">
        <v>230</v>
      </c>
      <c r="E3165" s="173" t="s">
        <v>24</v>
      </c>
      <c r="F3165" s="173" t="s">
        <v>16</v>
      </c>
      <c r="G3165" s="87" t="b">
        <v>1</v>
      </c>
      <c r="H3165" s="87" t="b">
        <v>1</v>
      </c>
      <c r="I3165" s="87" t="b">
        <v>0</v>
      </c>
      <c r="J3165" s="173" t="s">
        <v>478</v>
      </c>
      <c r="K3165" s="174">
        <v>17689407000928</v>
      </c>
      <c r="L3165" s="173" t="s">
        <v>1174</v>
      </c>
      <c r="M3165" s="173" t="s">
        <v>88</v>
      </c>
      <c r="N3165" s="173" t="s">
        <v>54</v>
      </c>
      <c r="O3165" s="87">
        <v>73</v>
      </c>
      <c r="P3165" s="173" t="s">
        <v>26</v>
      </c>
      <c r="Q3165" s="1" t="s">
        <v>1340</v>
      </c>
      <c r="R3165" s="175">
        <v>10</v>
      </c>
      <c r="S3165">
        <v>10</v>
      </c>
    </row>
    <row r="3166" spans="1:19" x14ac:dyDescent="0.25">
      <c r="A3166" s="87">
        <v>2019</v>
      </c>
      <c r="B3166" s="87">
        <v>12</v>
      </c>
      <c r="C3166" s="173" t="s">
        <v>16</v>
      </c>
      <c r="D3166" s="173" t="s">
        <v>230</v>
      </c>
      <c r="E3166" s="173" t="s">
        <v>24</v>
      </c>
      <c r="F3166" s="173" t="s">
        <v>16</v>
      </c>
      <c r="G3166" s="87" t="b">
        <v>1</v>
      </c>
      <c r="H3166" s="87" t="b">
        <v>1</v>
      </c>
      <c r="I3166" s="87" t="b">
        <v>0</v>
      </c>
      <c r="J3166" s="173" t="s">
        <v>491</v>
      </c>
      <c r="K3166" s="174">
        <v>17774738000613</v>
      </c>
      <c r="L3166" s="173" t="s">
        <v>1175</v>
      </c>
      <c r="M3166" s="173" t="s">
        <v>126</v>
      </c>
      <c r="N3166" s="173" t="s">
        <v>54</v>
      </c>
      <c r="O3166" s="87">
        <v>73</v>
      </c>
      <c r="P3166" s="173" t="s">
        <v>26</v>
      </c>
      <c r="Q3166" s="1" t="s">
        <v>1342</v>
      </c>
      <c r="R3166" s="175">
        <v>28</v>
      </c>
      <c r="S3166">
        <v>7</v>
      </c>
    </row>
    <row r="3167" spans="1:19" x14ac:dyDescent="0.25">
      <c r="A3167" s="87">
        <v>2019</v>
      </c>
      <c r="B3167" s="87">
        <v>12</v>
      </c>
      <c r="C3167" s="173" t="s">
        <v>16</v>
      </c>
      <c r="D3167" s="173" t="s">
        <v>230</v>
      </c>
      <c r="E3167" s="173" t="s">
        <v>24</v>
      </c>
      <c r="F3167" s="173" t="s">
        <v>16</v>
      </c>
      <c r="G3167" s="87" t="b">
        <v>1</v>
      </c>
      <c r="H3167" s="87" t="b">
        <v>1</v>
      </c>
      <c r="I3167" s="87" t="b">
        <v>0</v>
      </c>
      <c r="J3167" s="173" t="s">
        <v>492</v>
      </c>
      <c r="K3167" s="174">
        <v>17864888000103</v>
      </c>
      <c r="L3167" s="173" t="s">
        <v>970</v>
      </c>
      <c r="M3167" s="173" t="s">
        <v>112</v>
      </c>
      <c r="N3167" s="173" t="s">
        <v>57</v>
      </c>
      <c r="O3167" s="87">
        <v>70</v>
      </c>
      <c r="P3167" s="173" t="s">
        <v>20</v>
      </c>
      <c r="Q3167" s="1" t="s">
        <v>1338</v>
      </c>
      <c r="R3167" s="175">
        <v>140</v>
      </c>
      <c r="S3167">
        <v>28</v>
      </c>
    </row>
    <row r="3168" spans="1:19" x14ac:dyDescent="0.25">
      <c r="A3168" s="87">
        <v>2019</v>
      </c>
      <c r="B3168" s="87">
        <v>12</v>
      </c>
      <c r="C3168" s="173" t="s">
        <v>16</v>
      </c>
      <c r="D3168" s="173" t="s">
        <v>230</v>
      </c>
      <c r="E3168" s="173" t="s">
        <v>24</v>
      </c>
      <c r="F3168" s="173" t="s">
        <v>16</v>
      </c>
      <c r="G3168" s="87" t="b">
        <v>1</v>
      </c>
      <c r="H3168" s="87" t="b">
        <v>1</v>
      </c>
      <c r="I3168" s="87" t="b">
        <v>0</v>
      </c>
      <c r="J3168" s="173" t="s">
        <v>477</v>
      </c>
      <c r="K3168" s="174">
        <v>18010750000100</v>
      </c>
      <c r="L3168" s="173" t="s">
        <v>1092</v>
      </c>
      <c r="M3168" s="173" t="s">
        <v>131</v>
      </c>
      <c r="N3168" s="173" t="s">
        <v>61</v>
      </c>
      <c r="O3168" s="87">
        <v>70</v>
      </c>
      <c r="P3168" s="173" t="s">
        <v>20</v>
      </c>
      <c r="Q3168" s="1" t="s">
        <v>1345</v>
      </c>
      <c r="R3168" s="175">
        <v>250</v>
      </c>
      <c r="S3168">
        <v>25</v>
      </c>
    </row>
    <row r="3169" spans="1:19" x14ac:dyDescent="0.25">
      <c r="A3169" s="87">
        <v>2019</v>
      </c>
      <c r="B3169" s="87">
        <v>12</v>
      </c>
      <c r="C3169" s="173" t="s">
        <v>16</v>
      </c>
      <c r="D3169" s="173" t="s">
        <v>230</v>
      </c>
      <c r="E3169" s="173" t="s">
        <v>24</v>
      </c>
      <c r="F3169" s="173" t="s">
        <v>16</v>
      </c>
      <c r="G3169" s="87" t="b">
        <v>1</v>
      </c>
      <c r="H3169" s="87" t="b">
        <v>1</v>
      </c>
      <c r="I3169" s="87" t="b">
        <v>0</v>
      </c>
      <c r="J3169" s="173" t="s">
        <v>477</v>
      </c>
      <c r="K3169" s="174">
        <v>18010750000100</v>
      </c>
      <c r="L3169" s="173" t="s">
        <v>1092</v>
      </c>
      <c r="M3169" s="173" t="s">
        <v>131</v>
      </c>
      <c r="N3169" s="173" t="s">
        <v>61</v>
      </c>
      <c r="O3169" s="87">
        <v>70</v>
      </c>
      <c r="P3169" s="173" t="s">
        <v>20</v>
      </c>
      <c r="Q3169" s="1" t="s">
        <v>1338</v>
      </c>
      <c r="R3169" s="175">
        <v>100</v>
      </c>
      <c r="S3169">
        <v>20</v>
      </c>
    </row>
    <row r="3170" spans="1:19" x14ac:dyDescent="0.25">
      <c r="A3170" s="87">
        <v>2019</v>
      </c>
      <c r="B3170" s="87">
        <v>12</v>
      </c>
      <c r="C3170" s="173" t="s">
        <v>16</v>
      </c>
      <c r="D3170" s="173" t="s">
        <v>230</v>
      </c>
      <c r="E3170" s="173" t="s">
        <v>24</v>
      </c>
      <c r="F3170" s="173" t="s">
        <v>16</v>
      </c>
      <c r="G3170" s="87" t="b">
        <v>1</v>
      </c>
      <c r="H3170" s="87" t="b">
        <v>1</v>
      </c>
      <c r="I3170" s="87" t="b">
        <v>0</v>
      </c>
      <c r="J3170" s="173" t="s">
        <v>491</v>
      </c>
      <c r="K3170" s="174">
        <v>18010750000100</v>
      </c>
      <c r="L3170" s="173" t="s">
        <v>1092</v>
      </c>
      <c r="M3170" s="173" t="s">
        <v>131</v>
      </c>
      <c r="N3170" s="173" t="s">
        <v>61</v>
      </c>
      <c r="O3170" s="87">
        <v>70</v>
      </c>
      <c r="P3170" s="173" t="s">
        <v>20</v>
      </c>
      <c r="Q3170" s="1" t="s">
        <v>1338</v>
      </c>
      <c r="R3170" s="175">
        <v>25</v>
      </c>
      <c r="S3170">
        <v>5</v>
      </c>
    </row>
    <row r="3171" spans="1:19" x14ac:dyDescent="0.25">
      <c r="A3171" s="87">
        <v>2019</v>
      </c>
      <c r="B3171" s="87">
        <v>12</v>
      </c>
      <c r="C3171" s="173" t="s">
        <v>16</v>
      </c>
      <c r="D3171" s="173" t="s">
        <v>230</v>
      </c>
      <c r="E3171" s="173" t="s">
        <v>24</v>
      </c>
      <c r="F3171" s="173" t="s">
        <v>16</v>
      </c>
      <c r="G3171" s="87" t="b">
        <v>1</v>
      </c>
      <c r="H3171" s="87" t="b">
        <v>1</v>
      </c>
      <c r="I3171" s="87" t="b">
        <v>0</v>
      </c>
      <c r="J3171" s="173" t="s">
        <v>468</v>
      </c>
      <c r="K3171" s="174">
        <v>18034143000180</v>
      </c>
      <c r="L3171" s="173" t="s">
        <v>1396</v>
      </c>
      <c r="M3171" s="173" t="s">
        <v>753</v>
      </c>
      <c r="N3171" s="173" t="s">
        <v>59</v>
      </c>
      <c r="O3171" s="87">
        <v>70</v>
      </c>
      <c r="P3171" s="173" t="s">
        <v>20</v>
      </c>
      <c r="Q3171" s="1" t="s">
        <v>1338</v>
      </c>
      <c r="R3171" s="175">
        <v>65</v>
      </c>
      <c r="S3171">
        <v>13</v>
      </c>
    </row>
    <row r="3172" spans="1:19" x14ac:dyDescent="0.25">
      <c r="A3172" s="87">
        <v>2019</v>
      </c>
      <c r="B3172" s="87">
        <v>12</v>
      </c>
      <c r="C3172" s="173" t="s">
        <v>16</v>
      </c>
      <c r="D3172" s="173" t="s">
        <v>230</v>
      </c>
      <c r="E3172" s="173" t="s">
        <v>24</v>
      </c>
      <c r="F3172" s="173" t="s">
        <v>16</v>
      </c>
      <c r="G3172" s="87" t="b">
        <v>1</v>
      </c>
      <c r="H3172" s="87" t="b">
        <v>1</v>
      </c>
      <c r="I3172" s="87" t="b">
        <v>0</v>
      </c>
      <c r="J3172" s="173" t="s">
        <v>450</v>
      </c>
      <c r="K3172" s="174">
        <v>18321477000134</v>
      </c>
      <c r="L3172" s="173" t="s">
        <v>664</v>
      </c>
      <c r="M3172" s="173" t="s">
        <v>650</v>
      </c>
      <c r="N3172" s="173" t="s">
        <v>19</v>
      </c>
      <c r="O3172" s="87">
        <v>73</v>
      </c>
      <c r="P3172" s="173" t="s">
        <v>26</v>
      </c>
      <c r="Q3172" s="1" t="s">
        <v>1340</v>
      </c>
      <c r="R3172" s="175">
        <v>6</v>
      </c>
      <c r="S3172">
        <v>6</v>
      </c>
    </row>
    <row r="3173" spans="1:19" x14ac:dyDescent="0.25">
      <c r="A3173" s="87">
        <v>2019</v>
      </c>
      <c r="B3173" s="87">
        <v>12</v>
      </c>
      <c r="C3173" s="173" t="s">
        <v>16</v>
      </c>
      <c r="D3173" s="173" t="s">
        <v>230</v>
      </c>
      <c r="E3173" s="173" t="s">
        <v>24</v>
      </c>
      <c r="F3173" s="173" t="s">
        <v>16</v>
      </c>
      <c r="G3173" s="87" t="b">
        <v>1</v>
      </c>
      <c r="H3173" s="87" t="b">
        <v>1</v>
      </c>
      <c r="I3173" s="87" t="b">
        <v>0</v>
      </c>
      <c r="J3173" s="173" t="s">
        <v>477</v>
      </c>
      <c r="K3173" s="174">
        <v>18321477000134</v>
      </c>
      <c r="L3173" s="173" t="s">
        <v>664</v>
      </c>
      <c r="M3173" s="173" t="s">
        <v>650</v>
      </c>
      <c r="N3173" s="173" t="s">
        <v>19</v>
      </c>
      <c r="O3173" s="87">
        <v>73</v>
      </c>
      <c r="P3173" s="173" t="s">
        <v>26</v>
      </c>
      <c r="Q3173" s="1" t="s">
        <v>1342</v>
      </c>
      <c r="R3173" s="175">
        <v>48</v>
      </c>
      <c r="S3173">
        <v>12</v>
      </c>
    </row>
    <row r="3174" spans="1:19" x14ac:dyDescent="0.25">
      <c r="A3174" s="87">
        <v>2019</v>
      </c>
      <c r="B3174" s="87">
        <v>12</v>
      </c>
      <c r="C3174" s="173" t="s">
        <v>16</v>
      </c>
      <c r="D3174" s="173" t="s">
        <v>230</v>
      </c>
      <c r="E3174" s="173" t="s">
        <v>24</v>
      </c>
      <c r="F3174" s="173" t="s">
        <v>16</v>
      </c>
      <c r="G3174" s="87" t="b">
        <v>1</v>
      </c>
      <c r="H3174" s="87" t="b">
        <v>1</v>
      </c>
      <c r="I3174" s="87" t="b">
        <v>0</v>
      </c>
      <c r="J3174" s="173" t="s">
        <v>491</v>
      </c>
      <c r="K3174" s="174">
        <v>18484378000173</v>
      </c>
      <c r="L3174" s="173" t="s">
        <v>1176</v>
      </c>
      <c r="M3174" s="173" t="s">
        <v>1171</v>
      </c>
      <c r="N3174" s="173" t="s">
        <v>54</v>
      </c>
      <c r="O3174" s="87">
        <v>62</v>
      </c>
      <c r="P3174" s="173" t="s">
        <v>27</v>
      </c>
      <c r="Q3174" s="1" t="s">
        <v>1343</v>
      </c>
      <c r="R3174" s="175">
        <v>3</v>
      </c>
      <c r="S3174">
        <v>3</v>
      </c>
    </row>
    <row r="3175" spans="1:19" x14ac:dyDescent="0.25">
      <c r="A3175" s="87">
        <v>2019</v>
      </c>
      <c r="B3175" s="87">
        <v>12</v>
      </c>
      <c r="C3175" s="173" t="s">
        <v>16</v>
      </c>
      <c r="D3175" s="173" t="s">
        <v>230</v>
      </c>
      <c r="E3175" s="173" t="s">
        <v>24</v>
      </c>
      <c r="F3175" s="173" t="s">
        <v>16</v>
      </c>
      <c r="G3175" s="87" t="b">
        <v>1</v>
      </c>
      <c r="H3175" s="87" t="b">
        <v>1</v>
      </c>
      <c r="I3175" s="87" t="b">
        <v>0</v>
      </c>
      <c r="J3175" s="173" t="s">
        <v>1330</v>
      </c>
      <c r="K3175" s="174">
        <v>18715516000188</v>
      </c>
      <c r="L3175" s="173" t="s">
        <v>1421</v>
      </c>
      <c r="M3175" s="173" t="s">
        <v>58</v>
      </c>
      <c r="N3175" s="173" t="s">
        <v>54</v>
      </c>
      <c r="O3175" s="87">
        <v>70</v>
      </c>
      <c r="P3175" s="173" t="s">
        <v>20</v>
      </c>
      <c r="Q3175" s="1" t="s">
        <v>1338</v>
      </c>
      <c r="R3175" s="175">
        <v>100</v>
      </c>
      <c r="S3175">
        <v>20</v>
      </c>
    </row>
    <row r="3176" spans="1:19" x14ac:dyDescent="0.25">
      <c r="A3176" s="87">
        <v>2019</v>
      </c>
      <c r="B3176" s="87">
        <v>12</v>
      </c>
      <c r="C3176" s="173" t="s">
        <v>16</v>
      </c>
      <c r="D3176" s="173" t="s">
        <v>230</v>
      </c>
      <c r="E3176" s="173" t="s">
        <v>24</v>
      </c>
      <c r="F3176" s="173" t="s">
        <v>16</v>
      </c>
      <c r="G3176" s="87" t="b">
        <v>1</v>
      </c>
      <c r="H3176" s="87" t="b">
        <v>1</v>
      </c>
      <c r="I3176" s="87" t="b">
        <v>0</v>
      </c>
      <c r="J3176" s="173" t="s">
        <v>450</v>
      </c>
      <c r="K3176" s="174">
        <v>19056055000141</v>
      </c>
      <c r="L3176" s="173" t="s">
        <v>586</v>
      </c>
      <c r="M3176" s="173" t="s">
        <v>29</v>
      </c>
      <c r="N3176" s="173" t="s">
        <v>19</v>
      </c>
      <c r="O3176" s="87">
        <v>62</v>
      </c>
      <c r="P3176" s="173" t="s">
        <v>27</v>
      </c>
      <c r="Q3176" s="1" t="s">
        <v>1343</v>
      </c>
      <c r="R3176" s="175">
        <v>8</v>
      </c>
      <c r="S3176">
        <v>8</v>
      </c>
    </row>
    <row r="3177" spans="1:19" x14ac:dyDescent="0.25">
      <c r="A3177" s="87">
        <v>2019</v>
      </c>
      <c r="B3177" s="87">
        <v>12</v>
      </c>
      <c r="C3177" s="173" t="s">
        <v>16</v>
      </c>
      <c r="D3177" s="173" t="s">
        <v>230</v>
      </c>
      <c r="E3177" s="173" t="s">
        <v>24</v>
      </c>
      <c r="F3177" s="173" t="s">
        <v>16</v>
      </c>
      <c r="G3177" s="87" t="b">
        <v>1</v>
      </c>
      <c r="H3177" s="87" t="b">
        <v>1</v>
      </c>
      <c r="I3177" s="87" t="b">
        <v>0</v>
      </c>
      <c r="J3177" s="173" t="s">
        <v>463</v>
      </c>
      <c r="K3177" s="174">
        <v>19128248000160</v>
      </c>
      <c r="L3177" s="173" t="s">
        <v>1422</v>
      </c>
      <c r="M3177" s="173" t="s">
        <v>1301</v>
      </c>
      <c r="N3177" s="173" t="s">
        <v>54</v>
      </c>
      <c r="O3177" s="87">
        <v>70</v>
      </c>
      <c r="P3177" s="173" t="s">
        <v>20</v>
      </c>
      <c r="Q3177" s="1" t="s">
        <v>1338</v>
      </c>
      <c r="R3177" s="175">
        <v>5</v>
      </c>
      <c r="S3177">
        <v>1</v>
      </c>
    </row>
    <row r="3178" spans="1:19" x14ac:dyDescent="0.25">
      <c r="A3178" s="87">
        <v>2019</v>
      </c>
      <c r="B3178" s="87">
        <v>12</v>
      </c>
      <c r="C3178" s="173" t="s">
        <v>16</v>
      </c>
      <c r="D3178" s="173" t="s">
        <v>230</v>
      </c>
      <c r="E3178" s="173" t="s">
        <v>24</v>
      </c>
      <c r="F3178" s="173" t="s">
        <v>16</v>
      </c>
      <c r="G3178" s="87" t="b">
        <v>1</v>
      </c>
      <c r="H3178" s="87" t="b">
        <v>1</v>
      </c>
      <c r="I3178" s="87" t="b">
        <v>0</v>
      </c>
      <c r="J3178" s="173" t="s">
        <v>463</v>
      </c>
      <c r="K3178" s="174">
        <v>19803199000114</v>
      </c>
      <c r="L3178" s="173" t="s">
        <v>587</v>
      </c>
      <c r="M3178" s="173" t="s">
        <v>29</v>
      </c>
      <c r="N3178" s="173" t="s">
        <v>19</v>
      </c>
      <c r="O3178" s="87">
        <v>62</v>
      </c>
      <c r="P3178" s="173" t="s">
        <v>27</v>
      </c>
      <c r="Q3178" s="1" t="s">
        <v>1343</v>
      </c>
      <c r="R3178" s="175">
        <v>10</v>
      </c>
      <c r="S3178">
        <v>10</v>
      </c>
    </row>
    <row r="3179" spans="1:19" x14ac:dyDescent="0.25">
      <c r="A3179" s="87">
        <v>2019</v>
      </c>
      <c r="B3179" s="87">
        <v>12</v>
      </c>
      <c r="C3179" s="173" t="s">
        <v>16</v>
      </c>
      <c r="D3179" s="173" t="s">
        <v>230</v>
      </c>
      <c r="E3179" s="173" t="s">
        <v>24</v>
      </c>
      <c r="F3179" s="173" t="s">
        <v>16</v>
      </c>
      <c r="G3179" s="87" t="b">
        <v>1</v>
      </c>
      <c r="H3179" s="87" t="b">
        <v>1</v>
      </c>
      <c r="I3179" s="87" t="b">
        <v>0</v>
      </c>
      <c r="J3179" s="173" t="s">
        <v>1512</v>
      </c>
      <c r="K3179" s="174">
        <v>19803199000114</v>
      </c>
      <c r="L3179" s="173" t="s">
        <v>587</v>
      </c>
      <c r="M3179" s="173" t="s">
        <v>29</v>
      </c>
      <c r="N3179" s="173" t="s">
        <v>19</v>
      </c>
      <c r="O3179" s="87">
        <v>62</v>
      </c>
      <c r="P3179" s="173" t="s">
        <v>27</v>
      </c>
      <c r="Q3179" s="1" t="s">
        <v>1343</v>
      </c>
      <c r="R3179" s="175">
        <v>6</v>
      </c>
      <c r="S3179">
        <v>6</v>
      </c>
    </row>
    <row r="3180" spans="1:19" x14ac:dyDescent="0.25">
      <c r="A3180" s="87">
        <v>2019</v>
      </c>
      <c r="B3180" s="87">
        <v>12</v>
      </c>
      <c r="C3180" s="173" t="s">
        <v>16</v>
      </c>
      <c r="D3180" s="173" t="s">
        <v>230</v>
      </c>
      <c r="E3180" s="173" t="s">
        <v>24</v>
      </c>
      <c r="F3180" s="173" t="s">
        <v>16</v>
      </c>
      <c r="G3180" s="87" t="b">
        <v>1</v>
      </c>
      <c r="H3180" s="87" t="b">
        <v>1</v>
      </c>
      <c r="I3180" s="87" t="b">
        <v>0</v>
      </c>
      <c r="J3180" s="173" t="s">
        <v>1330</v>
      </c>
      <c r="K3180" s="174">
        <v>19843929001000</v>
      </c>
      <c r="L3180" s="173" t="s">
        <v>1179</v>
      </c>
      <c r="M3180" s="173" t="s">
        <v>88</v>
      </c>
      <c r="N3180" s="173" t="s">
        <v>54</v>
      </c>
      <c r="O3180" s="87">
        <v>70</v>
      </c>
      <c r="P3180" s="173" t="s">
        <v>20</v>
      </c>
      <c r="Q3180" s="1" t="s">
        <v>1338</v>
      </c>
      <c r="R3180" s="175">
        <v>5</v>
      </c>
      <c r="S3180">
        <v>1</v>
      </c>
    </row>
    <row r="3181" spans="1:19" x14ac:dyDescent="0.25">
      <c r="A3181" s="87">
        <v>2019</v>
      </c>
      <c r="B3181" s="87">
        <v>12</v>
      </c>
      <c r="C3181" s="173" t="s">
        <v>16</v>
      </c>
      <c r="D3181" s="173" t="s">
        <v>230</v>
      </c>
      <c r="E3181" s="173" t="s">
        <v>24</v>
      </c>
      <c r="F3181" s="173" t="s">
        <v>16</v>
      </c>
      <c r="G3181" s="87" t="b">
        <v>1</v>
      </c>
      <c r="H3181" s="87" t="b">
        <v>1</v>
      </c>
      <c r="I3181" s="87" t="b">
        <v>0</v>
      </c>
      <c r="J3181" s="173" t="s">
        <v>1330</v>
      </c>
      <c r="K3181" s="174">
        <v>19843929001506</v>
      </c>
      <c r="L3181" s="173" t="s">
        <v>1181</v>
      </c>
      <c r="M3181" s="173" t="s">
        <v>58</v>
      </c>
      <c r="N3181" s="173" t="s">
        <v>54</v>
      </c>
      <c r="O3181" s="87">
        <v>70</v>
      </c>
      <c r="P3181" s="173" t="s">
        <v>20</v>
      </c>
      <c r="Q3181" s="1" t="s">
        <v>1338</v>
      </c>
      <c r="R3181" s="175">
        <v>600</v>
      </c>
      <c r="S3181">
        <v>120</v>
      </c>
    </row>
    <row r="3182" spans="1:19" x14ac:dyDescent="0.25">
      <c r="A3182" s="87">
        <v>2019</v>
      </c>
      <c r="B3182" s="87">
        <v>12</v>
      </c>
      <c r="C3182" s="173" t="s">
        <v>16</v>
      </c>
      <c r="D3182" s="173" t="s">
        <v>230</v>
      </c>
      <c r="E3182" s="173" t="s">
        <v>24</v>
      </c>
      <c r="F3182" s="173" t="s">
        <v>16</v>
      </c>
      <c r="G3182" s="87" t="b">
        <v>1</v>
      </c>
      <c r="H3182" s="87" t="b">
        <v>1</v>
      </c>
      <c r="I3182" s="87" t="b">
        <v>0</v>
      </c>
      <c r="J3182" s="173" t="s">
        <v>1330</v>
      </c>
      <c r="K3182" s="174">
        <v>19843929002901</v>
      </c>
      <c r="L3182" s="173" t="s">
        <v>1423</v>
      </c>
      <c r="M3182" s="173" t="s">
        <v>58</v>
      </c>
      <c r="N3182" s="173" t="s">
        <v>54</v>
      </c>
      <c r="O3182" s="87">
        <v>70</v>
      </c>
      <c r="P3182" s="173" t="s">
        <v>20</v>
      </c>
      <c r="Q3182" s="1" t="s">
        <v>1338</v>
      </c>
      <c r="R3182" s="175">
        <v>140</v>
      </c>
      <c r="S3182">
        <v>28</v>
      </c>
    </row>
    <row r="3183" spans="1:19" x14ac:dyDescent="0.25">
      <c r="A3183" s="87">
        <v>2019</v>
      </c>
      <c r="B3183" s="87">
        <v>12</v>
      </c>
      <c r="C3183" s="173" t="s">
        <v>16</v>
      </c>
      <c r="D3183" s="173" t="s">
        <v>230</v>
      </c>
      <c r="E3183" s="173" t="s">
        <v>24</v>
      </c>
      <c r="F3183" s="173" t="s">
        <v>16</v>
      </c>
      <c r="G3183" s="87" t="b">
        <v>1</v>
      </c>
      <c r="H3183" s="87" t="b">
        <v>1</v>
      </c>
      <c r="I3183" s="87" t="b">
        <v>0</v>
      </c>
      <c r="J3183" s="173" t="s">
        <v>470</v>
      </c>
      <c r="K3183" s="174">
        <v>20150900000122</v>
      </c>
      <c r="L3183" s="173" t="s">
        <v>1185</v>
      </c>
      <c r="M3183" s="173" t="s">
        <v>1171</v>
      </c>
      <c r="N3183" s="173" t="s">
        <v>54</v>
      </c>
      <c r="O3183" s="87">
        <v>73</v>
      </c>
      <c r="P3183" s="173" t="s">
        <v>26</v>
      </c>
      <c r="Q3183" s="1" t="s">
        <v>1339</v>
      </c>
      <c r="R3183" s="175">
        <v>4</v>
      </c>
      <c r="S3183">
        <v>2</v>
      </c>
    </row>
    <row r="3184" spans="1:19" x14ac:dyDescent="0.25">
      <c r="A3184" s="87">
        <v>2019</v>
      </c>
      <c r="B3184" s="87">
        <v>12</v>
      </c>
      <c r="C3184" s="173" t="s">
        <v>16</v>
      </c>
      <c r="D3184" s="173" t="s">
        <v>230</v>
      </c>
      <c r="E3184" s="173" t="s">
        <v>24</v>
      </c>
      <c r="F3184" s="173" t="s">
        <v>16</v>
      </c>
      <c r="G3184" s="87" t="b">
        <v>1</v>
      </c>
      <c r="H3184" s="87" t="b">
        <v>1</v>
      </c>
      <c r="I3184" s="87" t="b">
        <v>0</v>
      </c>
      <c r="J3184" s="173" t="s">
        <v>470</v>
      </c>
      <c r="K3184" s="174">
        <v>20150900000122</v>
      </c>
      <c r="L3184" s="173" t="s">
        <v>1185</v>
      </c>
      <c r="M3184" s="173" t="s">
        <v>1171</v>
      </c>
      <c r="N3184" s="173" t="s">
        <v>54</v>
      </c>
      <c r="O3184" s="87">
        <v>73</v>
      </c>
      <c r="P3184" s="173" t="s">
        <v>26</v>
      </c>
      <c r="Q3184" s="1" t="s">
        <v>1342</v>
      </c>
      <c r="R3184" s="175">
        <v>8</v>
      </c>
      <c r="S3184">
        <v>2</v>
      </c>
    </row>
    <row r="3185" spans="1:19" x14ac:dyDescent="0.25">
      <c r="A3185" s="87">
        <v>2019</v>
      </c>
      <c r="B3185" s="87">
        <v>12</v>
      </c>
      <c r="C3185" s="173" t="s">
        <v>16</v>
      </c>
      <c r="D3185" s="173" t="s">
        <v>230</v>
      </c>
      <c r="E3185" s="173" t="s">
        <v>24</v>
      </c>
      <c r="F3185" s="173" t="s">
        <v>16</v>
      </c>
      <c r="G3185" s="87" t="b">
        <v>1</v>
      </c>
      <c r="H3185" s="87" t="b">
        <v>1</v>
      </c>
      <c r="I3185" s="87" t="b">
        <v>0</v>
      </c>
      <c r="J3185" s="173" t="s">
        <v>478</v>
      </c>
      <c r="K3185" s="174">
        <v>20599890000107</v>
      </c>
      <c r="L3185" s="173" t="s">
        <v>1424</v>
      </c>
      <c r="M3185" s="173" t="s">
        <v>1188</v>
      </c>
      <c r="N3185" s="173" t="s">
        <v>54</v>
      </c>
      <c r="O3185" s="87">
        <v>70</v>
      </c>
      <c r="P3185" s="173" t="s">
        <v>20</v>
      </c>
      <c r="Q3185" s="1" t="s">
        <v>1338</v>
      </c>
      <c r="R3185" s="175">
        <v>80</v>
      </c>
      <c r="S3185">
        <v>16</v>
      </c>
    </row>
    <row r="3186" spans="1:19" x14ac:dyDescent="0.25">
      <c r="A3186" s="87">
        <v>2019</v>
      </c>
      <c r="B3186" s="87">
        <v>12</v>
      </c>
      <c r="C3186" s="173" t="s">
        <v>16</v>
      </c>
      <c r="D3186" s="173" t="s">
        <v>230</v>
      </c>
      <c r="E3186" s="173" t="s">
        <v>24</v>
      </c>
      <c r="F3186" s="173" t="s">
        <v>16</v>
      </c>
      <c r="G3186" s="87" t="b">
        <v>1</v>
      </c>
      <c r="H3186" s="87" t="b">
        <v>1</v>
      </c>
      <c r="I3186" s="87" t="b">
        <v>0</v>
      </c>
      <c r="J3186" s="173" t="s">
        <v>450</v>
      </c>
      <c r="K3186" s="174">
        <v>20812223000241</v>
      </c>
      <c r="L3186" s="173" t="s">
        <v>588</v>
      </c>
      <c r="M3186" s="173" t="s">
        <v>29</v>
      </c>
      <c r="N3186" s="173" t="s">
        <v>19</v>
      </c>
      <c r="O3186" s="87">
        <v>73</v>
      </c>
      <c r="P3186" s="173" t="s">
        <v>26</v>
      </c>
      <c r="Q3186" s="1" t="s">
        <v>1342</v>
      </c>
      <c r="R3186" s="175">
        <v>12</v>
      </c>
      <c r="S3186">
        <v>3</v>
      </c>
    </row>
    <row r="3187" spans="1:19" x14ac:dyDescent="0.25">
      <c r="A3187" s="87">
        <v>2019</v>
      </c>
      <c r="B3187" s="87">
        <v>12</v>
      </c>
      <c r="C3187" s="173" t="s">
        <v>16</v>
      </c>
      <c r="D3187" s="173" t="s">
        <v>230</v>
      </c>
      <c r="E3187" s="173" t="s">
        <v>24</v>
      </c>
      <c r="F3187" s="173" t="s">
        <v>16</v>
      </c>
      <c r="G3187" s="87" t="b">
        <v>1</v>
      </c>
      <c r="H3187" s="87" t="b">
        <v>1</v>
      </c>
      <c r="I3187" s="87" t="b">
        <v>0</v>
      </c>
      <c r="J3187" s="173" t="s">
        <v>450</v>
      </c>
      <c r="K3187" s="174">
        <v>20812223000241</v>
      </c>
      <c r="L3187" s="173" t="s">
        <v>588</v>
      </c>
      <c r="M3187" s="173" t="s">
        <v>29</v>
      </c>
      <c r="N3187" s="173" t="s">
        <v>19</v>
      </c>
      <c r="O3187" s="87">
        <v>73</v>
      </c>
      <c r="P3187" s="173" t="s">
        <v>26</v>
      </c>
      <c r="Q3187" s="1" t="s">
        <v>1340</v>
      </c>
      <c r="R3187" s="175">
        <v>1</v>
      </c>
      <c r="S3187">
        <v>1</v>
      </c>
    </row>
    <row r="3188" spans="1:19" x14ac:dyDescent="0.25">
      <c r="A3188" s="87">
        <v>2019</v>
      </c>
      <c r="B3188" s="87">
        <v>12</v>
      </c>
      <c r="C3188" s="173" t="s">
        <v>16</v>
      </c>
      <c r="D3188" s="173" t="s">
        <v>230</v>
      </c>
      <c r="E3188" s="173" t="s">
        <v>24</v>
      </c>
      <c r="F3188" s="173" t="s">
        <v>16</v>
      </c>
      <c r="G3188" s="87" t="b">
        <v>1</v>
      </c>
      <c r="H3188" s="87" t="b">
        <v>1</v>
      </c>
      <c r="I3188" s="87" t="b">
        <v>0</v>
      </c>
      <c r="J3188" s="173" t="s">
        <v>470</v>
      </c>
      <c r="K3188" s="174">
        <v>20909271000171</v>
      </c>
      <c r="L3188" s="173" t="s">
        <v>1189</v>
      </c>
      <c r="M3188" s="173" t="s">
        <v>101</v>
      </c>
      <c r="N3188" s="173" t="s">
        <v>54</v>
      </c>
      <c r="O3188" s="87">
        <v>73</v>
      </c>
      <c r="P3188" s="173" t="s">
        <v>26</v>
      </c>
      <c r="Q3188" s="1" t="s">
        <v>1339</v>
      </c>
      <c r="R3188" s="175">
        <v>40</v>
      </c>
      <c r="S3188">
        <v>20</v>
      </c>
    </row>
    <row r="3189" spans="1:19" x14ac:dyDescent="0.25">
      <c r="A3189" s="87">
        <v>2019</v>
      </c>
      <c r="B3189" s="87">
        <v>12</v>
      </c>
      <c r="C3189" s="173" t="s">
        <v>16</v>
      </c>
      <c r="D3189" s="173" t="s">
        <v>230</v>
      </c>
      <c r="E3189" s="173" t="s">
        <v>24</v>
      </c>
      <c r="F3189" s="173" t="s">
        <v>16</v>
      </c>
      <c r="G3189" s="87" t="b">
        <v>1</v>
      </c>
      <c r="H3189" s="87" t="b">
        <v>1</v>
      </c>
      <c r="I3189" s="87" t="b">
        <v>0</v>
      </c>
      <c r="J3189" s="173" t="s">
        <v>450</v>
      </c>
      <c r="K3189" s="174">
        <v>20973216000140</v>
      </c>
      <c r="L3189" s="173" t="s">
        <v>1359</v>
      </c>
      <c r="M3189" s="173" t="s">
        <v>29</v>
      </c>
      <c r="N3189" s="173" t="s">
        <v>19</v>
      </c>
      <c r="O3189" s="87">
        <v>73</v>
      </c>
      <c r="P3189" s="173" t="s">
        <v>26</v>
      </c>
      <c r="Q3189" s="1" t="s">
        <v>1342</v>
      </c>
      <c r="R3189" s="175">
        <v>20</v>
      </c>
      <c r="S3189">
        <v>5</v>
      </c>
    </row>
    <row r="3190" spans="1:19" x14ac:dyDescent="0.25">
      <c r="A3190" s="87">
        <v>2019</v>
      </c>
      <c r="B3190" s="87">
        <v>12</v>
      </c>
      <c r="C3190" s="173" t="s">
        <v>16</v>
      </c>
      <c r="D3190" s="173" t="s">
        <v>230</v>
      </c>
      <c r="E3190" s="173" t="s">
        <v>24</v>
      </c>
      <c r="F3190" s="173" t="s">
        <v>16</v>
      </c>
      <c r="G3190" s="87" t="b">
        <v>1</v>
      </c>
      <c r="H3190" s="87" t="b">
        <v>1</v>
      </c>
      <c r="I3190" s="87" t="b">
        <v>0</v>
      </c>
      <c r="J3190" s="173" t="s">
        <v>1512</v>
      </c>
      <c r="K3190" s="174">
        <v>21109731000140</v>
      </c>
      <c r="L3190" s="173" t="s">
        <v>1093</v>
      </c>
      <c r="M3190" s="173" t="s">
        <v>131</v>
      </c>
      <c r="N3190" s="173" t="s">
        <v>61</v>
      </c>
      <c r="O3190" s="87">
        <v>73</v>
      </c>
      <c r="P3190" s="173" t="s">
        <v>26</v>
      </c>
      <c r="Q3190" s="1" t="s">
        <v>1342</v>
      </c>
      <c r="R3190" s="175">
        <v>184</v>
      </c>
      <c r="S3190">
        <v>46</v>
      </c>
    </row>
    <row r="3191" spans="1:19" x14ac:dyDescent="0.25">
      <c r="A3191" s="87">
        <v>2019</v>
      </c>
      <c r="B3191" s="87">
        <v>12</v>
      </c>
      <c r="C3191" s="173" t="s">
        <v>16</v>
      </c>
      <c r="D3191" s="173" t="s">
        <v>230</v>
      </c>
      <c r="E3191" s="173" t="s">
        <v>24</v>
      </c>
      <c r="F3191" s="173" t="s">
        <v>16</v>
      </c>
      <c r="G3191" s="87" t="b">
        <v>1</v>
      </c>
      <c r="H3191" s="87" t="b">
        <v>1</v>
      </c>
      <c r="I3191" s="87" t="b">
        <v>0</v>
      </c>
      <c r="J3191" s="173" t="s">
        <v>478</v>
      </c>
      <c r="K3191" s="174">
        <v>21265360000195</v>
      </c>
      <c r="L3191" s="173" t="s">
        <v>1094</v>
      </c>
      <c r="M3191" s="173" t="s">
        <v>131</v>
      </c>
      <c r="N3191" s="173" t="s">
        <v>61</v>
      </c>
      <c r="O3191" s="87">
        <v>73</v>
      </c>
      <c r="P3191" s="173" t="s">
        <v>26</v>
      </c>
      <c r="Q3191" s="1" t="s">
        <v>1342</v>
      </c>
      <c r="R3191" s="175">
        <v>16</v>
      </c>
      <c r="S3191">
        <v>4</v>
      </c>
    </row>
    <row r="3192" spans="1:19" x14ac:dyDescent="0.25">
      <c r="A3192" s="87">
        <v>2019</v>
      </c>
      <c r="B3192" s="87">
        <v>12</v>
      </c>
      <c r="C3192" s="173" t="s">
        <v>16</v>
      </c>
      <c r="D3192" s="173" t="s">
        <v>230</v>
      </c>
      <c r="E3192" s="173" t="s">
        <v>24</v>
      </c>
      <c r="F3192" s="173" t="s">
        <v>16</v>
      </c>
      <c r="G3192" s="87" t="b">
        <v>1</v>
      </c>
      <c r="H3192" s="87" t="b">
        <v>1</v>
      </c>
      <c r="I3192" s="87" t="b">
        <v>0</v>
      </c>
      <c r="J3192" s="173" t="s">
        <v>477</v>
      </c>
      <c r="K3192" s="174">
        <v>21265360000195</v>
      </c>
      <c r="L3192" s="173" t="s">
        <v>1094</v>
      </c>
      <c r="M3192" s="173" t="s">
        <v>131</v>
      </c>
      <c r="N3192" s="173" t="s">
        <v>61</v>
      </c>
      <c r="O3192" s="87">
        <v>73</v>
      </c>
      <c r="P3192" s="173" t="s">
        <v>26</v>
      </c>
      <c r="Q3192" s="1" t="s">
        <v>1342</v>
      </c>
      <c r="R3192" s="175">
        <v>4</v>
      </c>
      <c r="S3192">
        <v>1</v>
      </c>
    </row>
    <row r="3193" spans="1:19" x14ac:dyDescent="0.25">
      <c r="A3193" s="87">
        <v>2019</v>
      </c>
      <c r="B3193" s="87">
        <v>12</v>
      </c>
      <c r="C3193" s="173" t="s">
        <v>16</v>
      </c>
      <c r="D3193" s="173" t="s">
        <v>230</v>
      </c>
      <c r="E3193" s="173" t="s">
        <v>24</v>
      </c>
      <c r="F3193" s="173" t="s">
        <v>16</v>
      </c>
      <c r="G3193" s="87" t="b">
        <v>1</v>
      </c>
      <c r="H3193" s="87" t="b">
        <v>1</v>
      </c>
      <c r="I3193" s="87" t="b">
        <v>0</v>
      </c>
      <c r="J3193" s="173" t="s">
        <v>450</v>
      </c>
      <c r="K3193" s="174">
        <v>22227973000109</v>
      </c>
      <c r="L3193" s="173" t="s">
        <v>590</v>
      </c>
      <c r="M3193" s="173" t="s">
        <v>29</v>
      </c>
      <c r="N3193" s="173" t="s">
        <v>19</v>
      </c>
      <c r="O3193" s="87">
        <v>66</v>
      </c>
      <c r="P3193" s="173" t="s">
        <v>28</v>
      </c>
      <c r="Q3193" s="1" t="s">
        <v>1341</v>
      </c>
      <c r="R3193" s="175">
        <v>31</v>
      </c>
      <c r="S3193">
        <v>31</v>
      </c>
    </row>
    <row r="3194" spans="1:19" x14ac:dyDescent="0.25">
      <c r="A3194" s="87">
        <v>2019</v>
      </c>
      <c r="B3194" s="87">
        <v>12</v>
      </c>
      <c r="C3194" s="173" t="s">
        <v>16</v>
      </c>
      <c r="D3194" s="173" t="s">
        <v>230</v>
      </c>
      <c r="E3194" s="173" t="s">
        <v>24</v>
      </c>
      <c r="F3194" s="173" t="s">
        <v>16</v>
      </c>
      <c r="G3194" s="87" t="b">
        <v>1</v>
      </c>
      <c r="H3194" s="87" t="b">
        <v>1</v>
      </c>
      <c r="I3194" s="87" t="b">
        <v>0</v>
      </c>
      <c r="J3194" s="173" t="s">
        <v>463</v>
      </c>
      <c r="K3194" s="174">
        <v>23278898000160</v>
      </c>
      <c r="L3194" s="173" t="s">
        <v>1194</v>
      </c>
      <c r="M3194" s="173" t="s">
        <v>119</v>
      </c>
      <c r="N3194" s="173" t="s">
        <v>54</v>
      </c>
      <c r="O3194" s="87">
        <v>70</v>
      </c>
      <c r="P3194" s="173" t="s">
        <v>20</v>
      </c>
      <c r="Q3194" s="1" t="s">
        <v>1338</v>
      </c>
      <c r="R3194" s="175">
        <v>105</v>
      </c>
      <c r="S3194">
        <v>21</v>
      </c>
    </row>
    <row r="3195" spans="1:19" x14ac:dyDescent="0.25">
      <c r="A3195" s="87">
        <v>2019</v>
      </c>
      <c r="B3195" s="87">
        <v>12</v>
      </c>
      <c r="C3195" s="173" t="s">
        <v>16</v>
      </c>
      <c r="D3195" s="173" t="s">
        <v>230</v>
      </c>
      <c r="E3195" s="173" t="s">
        <v>24</v>
      </c>
      <c r="F3195" s="173" t="s">
        <v>16</v>
      </c>
      <c r="G3195" s="87" t="b">
        <v>1</v>
      </c>
      <c r="H3195" s="87" t="b">
        <v>1</v>
      </c>
      <c r="I3195" s="87" t="b">
        <v>0</v>
      </c>
      <c r="J3195" s="173" t="s">
        <v>1512</v>
      </c>
      <c r="K3195" s="174">
        <v>23443518000103</v>
      </c>
      <c r="L3195" s="173" t="s">
        <v>903</v>
      </c>
      <c r="M3195" s="173" t="s">
        <v>76</v>
      </c>
      <c r="N3195" s="173" t="s">
        <v>77</v>
      </c>
      <c r="O3195" s="87">
        <v>62</v>
      </c>
      <c r="P3195" s="173" t="s">
        <v>27</v>
      </c>
      <c r="Q3195" s="1" t="s">
        <v>1343</v>
      </c>
      <c r="R3195" s="175">
        <v>6</v>
      </c>
      <c r="S3195">
        <v>6</v>
      </c>
    </row>
    <row r="3196" spans="1:19" x14ac:dyDescent="0.25">
      <c r="A3196" s="87">
        <v>2019</v>
      </c>
      <c r="B3196" s="87">
        <v>12</v>
      </c>
      <c r="C3196" s="173" t="s">
        <v>16</v>
      </c>
      <c r="D3196" s="173" t="s">
        <v>230</v>
      </c>
      <c r="E3196" s="173" t="s">
        <v>24</v>
      </c>
      <c r="F3196" s="173" t="s">
        <v>16</v>
      </c>
      <c r="G3196" s="87" t="b">
        <v>1</v>
      </c>
      <c r="H3196" s="87" t="b">
        <v>1</v>
      </c>
      <c r="I3196" s="87" t="b">
        <v>0</v>
      </c>
      <c r="J3196" s="173" t="s">
        <v>491</v>
      </c>
      <c r="K3196" s="174">
        <v>23982118000168</v>
      </c>
      <c r="L3196" s="173" t="s">
        <v>972</v>
      </c>
      <c r="M3196" s="173" t="s">
        <v>930</v>
      </c>
      <c r="N3196" s="173" t="s">
        <v>68</v>
      </c>
      <c r="O3196" s="87">
        <v>73</v>
      </c>
      <c r="P3196" s="173" t="s">
        <v>26</v>
      </c>
      <c r="Q3196" s="1" t="s">
        <v>1342</v>
      </c>
      <c r="R3196" s="175">
        <v>32</v>
      </c>
      <c r="S3196">
        <v>8</v>
      </c>
    </row>
    <row r="3197" spans="1:19" x14ac:dyDescent="0.25">
      <c r="A3197" s="87">
        <v>2019</v>
      </c>
      <c r="B3197" s="87">
        <v>12</v>
      </c>
      <c r="C3197" s="173" t="s">
        <v>16</v>
      </c>
      <c r="D3197" s="173" t="s">
        <v>230</v>
      </c>
      <c r="E3197" s="173" t="s">
        <v>24</v>
      </c>
      <c r="F3197" s="173" t="s">
        <v>16</v>
      </c>
      <c r="G3197" s="87" t="b">
        <v>1</v>
      </c>
      <c r="H3197" s="87" t="b">
        <v>1</v>
      </c>
      <c r="I3197" s="87" t="b">
        <v>0</v>
      </c>
      <c r="J3197" s="173" t="s">
        <v>477</v>
      </c>
      <c r="K3197" s="174">
        <v>24217779000160</v>
      </c>
      <c r="L3197" s="173" t="s">
        <v>1097</v>
      </c>
      <c r="M3197" s="173" t="s">
        <v>131</v>
      </c>
      <c r="N3197" s="173" t="s">
        <v>61</v>
      </c>
      <c r="O3197" s="87">
        <v>62</v>
      </c>
      <c r="P3197" s="173" t="s">
        <v>27</v>
      </c>
      <c r="Q3197" s="1" t="s">
        <v>1343</v>
      </c>
      <c r="R3197" s="175">
        <v>24</v>
      </c>
      <c r="S3197">
        <v>24</v>
      </c>
    </row>
    <row r="3198" spans="1:19" x14ac:dyDescent="0.25">
      <c r="A3198" s="87">
        <v>2019</v>
      </c>
      <c r="B3198" s="87">
        <v>12</v>
      </c>
      <c r="C3198" s="173" t="s">
        <v>16</v>
      </c>
      <c r="D3198" s="173" t="s">
        <v>230</v>
      </c>
      <c r="E3198" s="173" t="s">
        <v>24</v>
      </c>
      <c r="F3198" s="173" t="s">
        <v>16</v>
      </c>
      <c r="G3198" s="87" t="b">
        <v>1</v>
      </c>
      <c r="H3198" s="87" t="b">
        <v>1</v>
      </c>
      <c r="I3198" s="87" t="b">
        <v>0</v>
      </c>
      <c r="J3198" s="173" t="s">
        <v>460</v>
      </c>
      <c r="K3198" s="174">
        <v>24232886008303</v>
      </c>
      <c r="L3198" s="173" t="s">
        <v>1198</v>
      </c>
      <c r="M3198" s="173" t="s">
        <v>1199</v>
      </c>
      <c r="N3198" s="173" t="s">
        <v>52</v>
      </c>
      <c r="O3198" s="87">
        <v>62</v>
      </c>
      <c r="P3198" s="173" t="s">
        <v>27</v>
      </c>
      <c r="Q3198" s="1" t="s">
        <v>1343</v>
      </c>
      <c r="R3198" s="175">
        <v>6</v>
      </c>
      <c r="S3198">
        <v>6</v>
      </c>
    </row>
    <row r="3199" spans="1:19" x14ac:dyDescent="0.25">
      <c r="A3199" s="87">
        <v>2019</v>
      </c>
      <c r="B3199" s="87">
        <v>12</v>
      </c>
      <c r="C3199" s="173" t="s">
        <v>16</v>
      </c>
      <c r="D3199" s="173" t="s">
        <v>230</v>
      </c>
      <c r="E3199" s="173" t="s">
        <v>24</v>
      </c>
      <c r="F3199" s="173" t="s">
        <v>16</v>
      </c>
      <c r="G3199" s="87" t="b">
        <v>1</v>
      </c>
      <c r="H3199" s="87" t="b">
        <v>1</v>
      </c>
      <c r="I3199" s="87" t="b">
        <v>0</v>
      </c>
      <c r="J3199" s="173" t="s">
        <v>460</v>
      </c>
      <c r="K3199" s="174">
        <v>24232886008303</v>
      </c>
      <c r="L3199" s="173" t="s">
        <v>1198</v>
      </c>
      <c r="M3199" s="173" t="s">
        <v>1199</v>
      </c>
      <c r="N3199" s="173" t="s">
        <v>52</v>
      </c>
      <c r="O3199" s="87">
        <v>64</v>
      </c>
      <c r="P3199" s="173" t="s">
        <v>25</v>
      </c>
      <c r="Q3199" s="1" t="s">
        <v>1344</v>
      </c>
      <c r="R3199" s="175">
        <v>8</v>
      </c>
      <c r="S3199">
        <v>8</v>
      </c>
    </row>
    <row r="3200" spans="1:19" x14ac:dyDescent="0.25">
      <c r="A3200" s="87">
        <v>2019</v>
      </c>
      <c r="B3200" s="87">
        <v>12</v>
      </c>
      <c r="C3200" s="173" t="s">
        <v>16</v>
      </c>
      <c r="D3200" s="173" t="s">
        <v>230</v>
      </c>
      <c r="E3200" s="173" t="s">
        <v>24</v>
      </c>
      <c r="F3200" s="173" t="s">
        <v>16</v>
      </c>
      <c r="G3200" s="87" t="b">
        <v>1</v>
      </c>
      <c r="H3200" s="87" t="b">
        <v>1</v>
      </c>
      <c r="I3200" s="87" t="b">
        <v>0</v>
      </c>
      <c r="J3200" s="173" t="s">
        <v>1512</v>
      </c>
      <c r="K3200" s="174">
        <v>24464109000229</v>
      </c>
      <c r="L3200" s="173" t="s">
        <v>905</v>
      </c>
      <c r="M3200" s="173" t="s">
        <v>742</v>
      </c>
      <c r="N3200" s="173" t="s">
        <v>91</v>
      </c>
      <c r="O3200" s="87">
        <v>66</v>
      </c>
      <c r="P3200" s="173" t="s">
        <v>28</v>
      </c>
      <c r="Q3200" s="1" t="s">
        <v>1341</v>
      </c>
      <c r="R3200" s="175">
        <v>24</v>
      </c>
      <c r="S3200">
        <v>24</v>
      </c>
    </row>
    <row r="3201" spans="1:19" x14ac:dyDescent="0.25">
      <c r="A3201" s="87">
        <v>2019</v>
      </c>
      <c r="B3201" s="87">
        <v>12</v>
      </c>
      <c r="C3201" s="173" t="s">
        <v>16</v>
      </c>
      <c r="D3201" s="173" t="s">
        <v>230</v>
      </c>
      <c r="E3201" s="173" t="s">
        <v>24</v>
      </c>
      <c r="F3201" s="173" t="s">
        <v>16</v>
      </c>
      <c r="G3201" s="87" t="b">
        <v>1</v>
      </c>
      <c r="H3201" s="87" t="b">
        <v>1</v>
      </c>
      <c r="I3201" s="87" t="b">
        <v>0</v>
      </c>
      <c r="J3201" s="173" t="s">
        <v>463</v>
      </c>
      <c r="K3201" s="174">
        <v>25431834000182</v>
      </c>
      <c r="L3201" s="173" t="s">
        <v>1425</v>
      </c>
      <c r="M3201" s="173" t="s">
        <v>126</v>
      </c>
      <c r="N3201" s="173" t="s">
        <v>54</v>
      </c>
      <c r="O3201" s="87">
        <v>70</v>
      </c>
      <c r="P3201" s="173" t="s">
        <v>20</v>
      </c>
      <c r="Q3201" s="1" t="s">
        <v>1338</v>
      </c>
      <c r="R3201" s="175">
        <v>150</v>
      </c>
      <c r="S3201">
        <v>30</v>
      </c>
    </row>
    <row r="3202" spans="1:19" x14ac:dyDescent="0.25">
      <c r="A3202" s="87">
        <v>2019</v>
      </c>
      <c r="B3202" s="87">
        <v>12</v>
      </c>
      <c r="C3202" s="173" t="s">
        <v>16</v>
      </c>
      <c r="D3202" s="173" t="s">
        <v>230</v>
      </c>
      <c r="E3202" s="173" t="s">
        <v>24</v>
      </c>
      <c r="F3202" s="173" t="s">
        <v>16</v>
      </c>
      <c r="G3202" s="87" t="b">
        <v>1</v>
      </c>
      <c r="H3202" s="87" t="b">
        <v>1</v>
      </c>
      <c r="I3202" s="87" t="b">
        <v>0</v>
      </c>
      <c r="J3202" s="173" t="s">
        <v>1330</v>
      </c>
      <c r="K3202" s="174">
        <v>27080605000781</v>
      </c>
      <c r="L3202" s="173" t="s">
        <v>1426</v>
      </c>
      <c r="M3202" s="173" t="s">
        <v>1427</v>
      </c>
      <c r="N3202" s="173" t="s">
        <v>98</v>
      </c>
      <c r="O3202" s="87">
        <v>70</v>
      </c>
      <c r="P3202" s="173" t="s">
        <v>20</v>
      </c>
      <c r="Q3202" s="1" t="s">
        <v>1338</v>
      </c>
      <c r="R3202" s="175">
        <v>250</v>
      </c>
      <c r="S3202">
        <v>50</v>
      </c>
    </row>
    <row r="3203" spans="1:19" x14ac:dyDescent="0.25">
      <c r="A3203" s="87">
        <v>2019</v>
      </c>
      <c r="B3203" s="87">
        <v>12</v>
      </c>
      <c r="C3203" s="173" t="s">
        <v>16</v>
      </c>
      <c r="D3203" s="173" t="s">
        <v>230</v>
      </c>
      <c r="E3203" s="173" t="s">
        <v>24</v>
      </c>
      <c r="F3203" s="173" t="s">
        <v>16</v>
      </c>
      <c r="G3203" s="87" t="b">
        <v>1</v>
      </c>
      <c r="H3203" s="87" t="b">
        <v>1</v>
      </c>
      <c r="I3203" s="87" t="b">
        <v>0</v>
      </c>
      <c r="J3203" s="173" t="s">
        <v>491</v>
      </c>
      <c r="K3203" s="174">
        <v>27193705000129</v>
      </c>
      <c r="L3203" s="173" t="s">
        <v>1428</v>
      </c>
      <c r="M3203" s="173" t="s">
        <v>1429</v>
      </c>
      <c r="N3203" s="173" t="s">
        <v>98</v>
      </c>
      <c r="O3203" s="87">
        <v>64</v>
      </c>
      <c r="P3203" s="173" t="s">
        <v>25</v>
      </c>
      <c r="Q3203" s="1" t="s">
        <v>1344</v>
      </c>
      <c r="R3203" s="175">
        <v>10</v>
      </c>
      <c r="S3203">
        <v>10</v>
      </c>
    </row>
    <row r="3204" spans="1:19" x14ac:dyDescent="0.25">
      <c r="A3204" s="87">
        <v>2019</v>
      </c>
      <c r="B3204" s="87">
        <v>12</v>
      </c>
      <c r="C3204" s="173" t="s">
        <v>16</v>
      </c>
      <c r="D3204" s="173" t="s">
        <v>230</v>
      </c>
      <c r="E3204" s="173" t="s">
        <v>24</v>
      </c>
      <c r="F3204" s="173" t="s">
        <v>16</v>
      </c>
      <c r="G3204" s="87" t="b">
        <v>1</v>
      </c>
      <c r="H3204" s="87" t="b">
        <v>1</v>
      </c>
      <c r="I3204" s="87" t="b">
        <v>0</v>
      </c>
      <c r="J3204" s="173" t="s">
        <v>491</v>
      </c>
      <c r="K3204" s="174">
        <v>27372066000169</v>
      </c>
      <c r="L3204" s="173" t="s">
        <v>908</v>
      </c>
      <c r="M3204" s="173" t="s">
        <v>75</v>
      </c>
      <c r="N3204" s="173" t="s">
        <v>74</v>
      </c>
      <c r="O3204" s="87">
        <v>62</v>
      </c>
      <c r="P3204" s="173" t="s">
        <v>27</v>
      </c>
      <c r="Q3204" s="1" t="s">
        <v>1343</v>
      </c>
      <c r="R3204" s="175">
        <v>15</v>
      </c>
      <c r="S3204">
        <v>15</v>
      </c>
    </row>
    <row r="3205" spans="1:19" x14ac:dyDescent="0.25">
      <c r="A3205" s="87">
        <v>2019</v>
      </c>
      <c r="B3205" s="87">
        <v>12</v>
      </c>
      <c r="C3205" s="173" t="s">
        <v>16</v>
      </c>
      <c r="D3205" s="173" t="s">
        <v>230</v>
      </c>
      <c r="E3205" s="173" t="s">
        <v>24</v>
      </c>
      <c r="F3205" s="173" t="s">
        <v>16</v>
      </c>
      <c r="G3205" s="87" t="b">
        <v>1</v>
      </c>
      <c r="H3205" s="87" t="b">
        <v>1</v>
      </c>
      <c r="I3205" s="87" t="b">
        <v>0</v>
      </c>
      <c r="J3205" s="173" t="s">
        <v>491</v>
      </c>
      <c r="K3205" s="174">
        <v>27372066000169</v>
      </c>
      <c r="L3205" s="173" t="s">
        <v>908</v>
      </c>
      <c r="M3205" s="173" t="s">
        <v>75</v>
      </c>
      <c r="N3205" s="173" t="s">
        <v>74</v>
      </c>
      <c r="O3205" s="87">
        <v>64</v>
      </c>
      <c r="P3205" s="173" t="s">
        <v>25</v>
      </c>
      <c r="Q3205" s="1" t="s">
        <v>1344</v>
      </c>
      <c r="R3205" s="175">
        <v>10</v>
      </c>
      <c r="S3205">
        <v>10</v>
      </c>
    </row>
    <row r="3206" spans="1:19" x14ac:dyDescent="0.25">
      <c r="A3206" s="87">
        <v>2019</v>
      </c>
      <c r="B3206" s="87">
        <v>12</v>
      </c>
      <c r="C3206" s="173" t="s">
        <v>16</v>
      </c>
      <c r="D3206" s="173" t="s">
        <v>230</v>
      </c>
      <c r="E3206" s="173" t="s">
        <v>24</v>
      </c>
      <c r="F3206" s="173" t="s">
        <v>16</v>
      </c>
      <c r="G3206" s="87" t="b">
        <v>1</v>
      </c>
      <c r="H3206" s="87" t="b">
        <v>1</v>
      </c>
      <c r="I3206" s="87" t="b">
        <v>0</v>
      </c>
      <c r="J3206" s="173" t="s">
        <v>491</v>
      </c>
      <c r="K3206" s="174">
        <v>27901222000131</v>
      </c>
      <c r="L3206" s="173" t="s">
        <v>1098</v>
      </c>
      <c r="M3206" s="173" t="s">
        <v>131</v>
      </c>
      <c r="N3206" s="173" t="s">
        <v>61</v>
      </c>
      <c r="O3206" s="87">
        <v>64</v>
      </c>
      <c r="P3206" s="173" t="s">
        <v>25</v>
      </c>
      <c r="Q3206" s="1" t="s">
        <v>1344</v>
      </c>
      <c r="R3206" s="175">
        <v>3</v>
      </c>
      <c r="S3206">
        <v>3</v>
      </c>
    </row>
    <row r="3207" spans="1:19" x14ac:dyDescent="0.25">
      <c r="A3207" s="87">
        <v>2019</v>
      </c>
      <c r="B3207" s="87">
        <v>12</v>
      </c>
      <c r="C3207" s="173" t="s">
        <v>16</v>
      </c>
      <c r="D3207" s="173" t="s">
        <v>230</v>
      </c>
      <c r="E3207" s="173" t="s">
        <v>24</v>
      </c>
      <c r="F3207" s="173" t="s">
        <v>16</v>
      </c>
      <c r="G3207" s="87" t="b">
        <v>1</v>
      </c>
      <c r="H3207" s="87" t="b">
        <v>1</v>
      </c>
      <c r="I3207" s="87" t="b">
        <v>0</v>
      </c>
      <c r="J3207" s="173" t="s">
        <v>491</v>
      </c>
      <c r="K3207" s="174">
        <v>28000107000159</v>
      </c>
      <c r="L3207" s="173" t="s">
        <v>1099</v>
      </c>
      <c r="M3207" s="173" t="s">
        <v>131</v>
      </c>
      <c r="N3207" s="173" t="s">
        <v>61</v>
      </c>
      <c r="O3207" s="87">
        <v>70</v>
      </c>
      <c r="P3207" s="173" t="s">
        <v>20</v>
      </c>
      <c r="Q3207" s="1" t="s">
        <v>1338</v>
      </c>
      <c r="R3207" s="175">
        <v>120</v>
      </c>
      <c r="S3207">
        <v>24</v>
      </c>
    </row>
    <row r="3208" spans="1:19" x14ac:dyDescent="0.25">
      <c r="A3208" s="87">
        <v>2019</v>
      </c>
      <c r="B3208" s="87">
        <v>12</v>
      </c>
      <c r="C3208" s="173" t="s">
        <v>16</v>
      </c>
      <c r="D3208" s="173" t="s">
        <v>230</v>
      </c>
      <c r="E3208" s="173" t="s">
        <v>24</v>
      </c>
      <c r="F3208" s="173" t="s">
        <v>16</v>
      </c>
      <c r="G3208" s="87" t="b">
        <v>1</v>
      </c>
      <c r="H3208" s="87" t="b">
        <v>1</v>
      </c>
      <c r="I3208" s="87" t="b">
        <v>0</v>
      </c>
      <c r="J3208" s="173" t="s">
        <v>451</v>
      </c>
      <c r="K3208" s="174">
        <v>28000107000159</v>
      </c>
      <c r="L3208" s="173" t="s">
        <v>1099</v>
      </c>
      <c r="M3208" s="173" t="s">
        <v>131</v>
      </c>
      <c r="N3208" s="173" t="s">
        <v>61</v>
      </c>
      <c r="O3208" s="87">
        <v>73</v>
      </c>
      <c r="P3208" s="173" t="s">
        <v>26</v>
      </c>
      <c r="Q3208" s="1" t="s">
        <v>1339</v>
      </c>
      <c r="R3208" s="175">
        <v>6</v>
      </c>
      <c r="S3208">
        <v>3</v>
      </c>
    </row>
    <row r="3209" spans="1:19" x14ac:dyDescent="0.25">
      <c r="A3209" s="87">
        <v>2019</v>
      </c>
      <c r="B3209" s="87">
        <v>12</v>
      </c>
      <c r="C3209" s="173" t="s">
        <v>16</v>
      </c>
      <c r="D3209" s="173" t="s">
        <v>230</v>
      </c>
      <c r="E3209" s="173" t="s">
        <v>24</v>
      </c>
      <c r="F3209" s="173" t="s">
        <v>16</v>
      </c>
      <c r="G3209" s="87" t="b">
        <v>1</v>
      </c>
      <c r="H3209" s="87" t="b">
        <v>1</v>
      </c>
      <c r="I3209" s="87" t="b">
        <v>0</v>
      </c>
      <c r="J3209" s="173" t="s">
        <v>451</v>
      </c>
      <c r="K3209" s="174">
        <v>28000107000159</v>
      </c>
      <c r="L3209" s="173" t="s">
        <v>1099</v>
      </c>
      <c r="M3209" s="173" t="s">
        <v>131</v>
      </c>
      <c r="N3209" s="173" t="s">
        <v>61</v>
      </c>
      <c r="O3209" s="87">
        <v>73</v>
      </c>
      <c r="P3209" s="173" t="s">
        <v>26</v>
      </c>
      <c r="Q3209" s="1" t="s">
        <v>1342</v>
      </c>
      <c r="R3209" s="175">
        <v>88</v>
      </c>
      <c r="S3209">
        <v>22</v>
      </c>
    </row>
    <row r="3210" spans="1:19" x14ac:dyDescent="0.25">
      <c r="A3210" s="87">
        <v>2019</v>
      </c>
      <c r="B3210" s="87">
        <v>12</v>
      </c>
      <c r="C3210" s="173" t="s">
        <v>16</v>
      </c>
      <c r="D3210" s="173" t="s">
        <v>230</v>
      </c>
      <c r="E3210" s="173" t="s">
        <v>24</v>
      </c>
      <c r="F3210" s="173" t="s">
        <v>16</v>
      </c>
      <c r="G3210" s="87" t="b">
        <v>1</v>
      </c>
      <c r="H3210" s="87" t="b">
        <v>1</v>
      </c>
      <c r="I3210" s="87" t="b">
        <v>0</v>
      </c>
      <c r="J3210" s="173" t="s">
        <v>478</v>
      </c>
      <c r="K3210" s="174">
        <v>28137925000106</v>
      </c>
      <c r="L3210" s="173" t="s">
        <v>1210</v>
      </c>
      <c r="M3210" s="173" t="s">
        <v>1157</v>
      </c>
      <c r="N3210" s="173" t="s">
        <v>98</v>
      </c>
      <c r="O3210" s="87">
        <v>70</v>
      </c>
      <c r="P3210" s="173" t="s">
        <v>20</v>
      </c>
      <c r="Q3210" s="1" t="s">
        <v>1338</v>
      </c>
      <c r="R3210" s="175">
        <v>190</v>
      </c>
      <c r="S3210">
        <v>38</v>
      </c>
    </row>
    <row r="3211" spans="1:19" x14ac:dyDescent="0.25">
      <c r="A3211" s="87">
        <v>2019</v>
      </c>
      <c r="B3211" s="87">
        <v>12</v>
      </c>
      <c r="C3211" s="173" t="s">
        <v>16</v>
      </c>
      <c r="D3211" s="173" t="s">
        <v>230</v>
      </c>
      <c r="E3211" s="173" t="s">
        <v>24</v>
      </c>
      <c r="F3211" s="173" t="s">
        <v>16</v>
      </c>
      <c r="G3211" s="87" t="b">
        <v>1</v>
      </c>
      <c r="H3211" s="87" t="b">
        <v>1</v>
      </c>
      <c r="I3211" s="87" t="b">
        <v>0</v>
      </c>
      <c r="J3211" s="173" t="s">
        <v>491</v>
      </c>
      <c r="K3211" s="174">
        <v>28290788000137</v>
      </c>
      <c r="L3211" s="173" t="s">
        <v>591</v>
      </c>
      <c r="M3211" s="173" t="s">
        <v>29</v>
      </c>
      <c r="N3211" s="173" t="s">
        <v>19</v>
      </c>
      <c r="O3211" s="87">
        <v>62</v>
      </c>
      <c r="P3211" s="173" t="s">
        <v>27</v>
      </c>
      <c r="Q3211" s="1" t="s">
        <v>1343</v>
      </c>
      <c r="R3211" s="175">
        <v>11</v>
      </c>
      <c r="S3211">
        <v>11</v>
      </c>
    </row>
    <row r="3212" spans="1:19" x14ac:dyDescent="0.25">
      <c r="A3212" s="87">
        <v>2019</v>
      </c>
      <c r="B3212" s="87">
        <v>12</v>
      </c>
      <c r="C3212" s="173" t="s">
        <v>16</v>
      </c>
      <c r="D3212" s="173" t="s">
        <v>230</v>
      </c>
      <c r="E3212" s="173" t="s">
        <v>24</v>
      </c>
      <c r="F3212" s="173" t="s">
        <v>16</v>
      </c>
      <c r="G3212" s="87" t="b">
        <v>1</v>
      </c>
      <c r="H3212" s="87" t="b">
        <v>1</v>
      </c>
      <c r="I3212" s="87" t="b">
        <v>0</v>
      </c>
      <c r="J3212" s="173" t="s">
        <v>491</v>
      </c>
      <c r="K3212" s="174">
        <v>28290788000137</v>
      </c>
      <c r="L3212" s="173" t="s">
        <v>591</v>
      </c>
      <c r="M3212" s="173" t="s">
        <v>29</v>
      </c>
      <c r="N3212" s="173" t="s">
        <v>19</v>
      </c>
      <c r="O3212" s="87">
        <v>64</v>
      </c>
      <c r="P3212" s="173" t="s">
        <v>25</v>
      </c>
      <c r="Q3212" s="1" t="s">
        <v>1344</v>
      </c>
      <c r="R3212" s="175">
        <v>21</v>
      </c>
      <c r="S3212">
        <v>21</v>
      </c>
    </row>
    <row r="3213" spans="1:19" x14ac:dyDescent="0.25">
      <c r="A3213" s="87">
        <v>2019</v>
      </c>
      <c r="B3213" s="87">
        <v>12</v>
      </c>
      <c r="C3213" s="173" t="s">
        <v>16</v>
      </c>
      <c r="D3213" s="173" t="s">
        <v>230</v>
      </c>
      <c r="E3213" s="173" t="s">
        <v>24</v>
      </c>
      <c r="F3213" s="173" t="s">
        <v>16</v>
      </c>
      <c r="G3213" s="87" t="b">
        <v>1</v>
      </c>
      <c r="H3213" s="87" t="b">
        <v>1</v>
      </c>
      <c r="I3213" s="87" t="b">
        <v>0</v>
      </c>
      <c r="J3213" s="173" t="s">
        <v>477</v>
      </c>
      <c r="K3213" s="174">
        <v>28602407000108</v>
      </c>
      <c r="L3213" s="173" t="s">
        <v>1100</v>
      </c>
      <c r="M3213" s="173" t="s">
        <v>131</v>
      </c>
      <c r="N3213" s="173" t="s">
        <v>61</v>
      </c>
      <c r="O3213" s="87">
        <v>73</v>
      </c>
      <c r="P3213" s="173" t="s">
        <v>26</v>
      </c>
      <c r="Q3213" s="1" t="s">
        <v>1339</v>
      </c>
      <c r="R3213" s="175">
        <v>2</v>
      </c>
      <c r="S3213">
        <v>1</v>
      </c>
    </row>
    <row r="3214" spans="1:19" x14ac:dyDescent="0.25">
      <c r="A3214" s="87">
        <v>2019</v>
      </c>
      <c r="B3214" s="87">
        <v>12</v>
      </c>
      <c r="C3214" s="173" t="s">
        <v>16</v>
      </c>
      <c r="D3214" s="173" t="s">
        <v>230</v>
      </c>
      <c r="E3214" s="173" t="s">
        <v>24</v>
      </c>
      <c r="F3214" s="173" t="s">
        <v>16</v>
      </c>
      <c r="G3214" s="87" t="b">
        <v>1</v>
      </c>
      <c r="H3214" s="87" t="b">
        <v>1</v>
      </c>
      <c r="I3214" s="87" t="b">
        <v>0</v>
      </c>
      <c r="J3214" s="173" t="s">
        <v>477</v>
      </c>
      <c r="K3214" s="174">
        <v>28806545000532</v>
      </c>
      <c r="L3214" s="173" t="s">
        <v>1050</v>
      </c>
      <c r="M3214" s="173" t="s">
        <v>1051</v>
      </c>
      <c r="N3214" s="173" t="s">
        <v>61</v>
      </c>
      <c r="O3214" s="87">
        <v>73</v>
      </c>
      <c r="P3214" s="173" t="s">
        <v>26</v>
      </c>
      <c r="Q3214" s="1" t="s">
        <v>1342</v>
      </c>
      <c r="R3214" s="175">
        <v>72</v>
      </c>
      <c r="S3214">
        <v>18</v>
      </c>
    </row>
    <row r="3215" spans="1:19" x14ac:dyDescent="0.25">
      <c r="A3215" s="87">
        <v>2019</v>
      </c>
      <c r="B3215" s="87">
        <v>12</v>
      </c>
      <c r="C3215" s="173" t="s">
        <v>16</v>
      </c>
      <c r="D3215" s="173" t="s">
        <v>230</v>
      </c>
      <c r="E3215" s="173" t="s">
        <v>24</v>
      </c>
      <c r="F3215" s="173" t="s">
        <v>16</v>
      </c>
      <c r="G3215" s="87" t="b">
        <v>1</v>
      </c>
      <c r="H3215" s="87" t="b">
        <v>1</v>
      </c>
      <c r="I3215" s="87" t="b">
        <v>0</v>
      </c>
      <c r="J3215" s="173" t="s">
        <v>1512</v>
      </c>
      <c r="K3215" s="174">
        <v>28806545000532</v>
      </c>
      <c r="L3215" s="173" t="s">
        <v>1050</v>
      </c>
      <c r="M3215" s="173" t="s">
        <v>1051</v>
      </c>
      <c r="N3215" s="173" t="s">
        <v>61</v>
      </c>
      <c r="O3215" s="87">
        <v>73</v>
      </c>
      <c r="P3215" s="173" t="s">
        <v>26</v>
      </c>
      <c r="Q3215" s="1" t="s">
        <v>1342</v>
      </c>
      <c r="R3215" s="175">
        <v>24</v>
      </c>
      <c r="S3215">
        <v>6</v>
      </c>
    </row>
    <row r="3216" spans="1:19" x14ac:dyDescent="0.25">
      <c r="A3216" s="87">
        <v>2019</v>
      </c>
      <c r="B3216" s="87">
        <v>12</v>
      </c>
      <c r="C3216" s="173" t="s">
        <v>16</v>
      </c>
      <c r="D3216" s="173" t="s">
        <v>230</v>
      </c>
      <c r="E3216" s="173" t="s">
        <v>24</v>
      </c>
      <c r="F3216" s="173" t="s">
        <v>16</v>
      </c>
      <c r="G3216" s="87" t="b">
        <v>1</v>
      </c>
      <c r="H3216" s="87" t="b">
        <v>1</v>
      </c>
      <c r="I3216" s="87" t="b">
        <v>0</v>
      </c>
      <c r="J3216" s="173" t="s">
        <v>491</v>
      </c>
      <c r="K3216" s="174">
        <v>29072642000188</v>
      </c>
      <c r="L3216" s="173" t="s">
        <v>1052</v>
      </c>
      <c r="M3216" s="173" t="s">
        <v>92</v>
      </c>
      <c r="N3216" s="173" t="s">
        <v>61</v>
      </c>
      <c r="O3216" s="87">
        <v>64</v>
      </c>
      <c r="P3216" s="173" t="s">
        <v>25</v>
      </c>
      <c r="Q3216" s="1" t="s">
        <v>1344</v>
      </c>
      <c r="R3216" s="175">
        <v>3</v>
      </c>
      <c r="S3216">
        <v>3</v>
      </c>
    </row>
    <row r="3217" spans="1:19" x14ac:dyDescent="0.25">
      <c r="A3217" s="87">
        <v>2019</v>
      </c>
      <c r="B3217" s="87">
        <v>12</v>
      </c>
      <c r="C3217" s="173" t="s">
        <v>16</v>
      </c>
      <c r="D3217" s="173" t="s">
        <v>230</v>
      </c>
      <c r="E3217" s="173" t="s">
        <v>24</v>
      </c>
      <c r="F3217" s="173" t="s">
        <v>16</v>
      </c>
      <c r="G3217" s="87" t="b">
        <v>1</v>
      </c>
      <c r="H3217" s="87" t="b">
        <v>1</v>
      </c>
      <c r="I3217" s="87" t="b">
        <v>0</v>
      </c>
      <c r="J3217" s="173" t="s">
        <v>477</v>
      </c>
      <c r="K3217" s="174">
        <v>29135795000208</v>
      </c>
      <c r="L3217" s="173" t="s">
        <v>1053</v>
      </c>
      <c r="M3217" s="173" t="s">
        <v>120</v>
      </c>
      <c r="N3217" s="173" t="s">
        <v>61</v>
      </c>
      <c r="O3217" s="87">
        <v>70</v>
      </c>
      <c r="P3217" s="173" t="s">
        <v>20</v>
      </c>
      <c r="Q3217" s="1" t="s">
        <v>1338</v>
      </c>
      <c r="R3217" s="175">
        <v>75</v>
      </c>
      <c r="S3217">
        <v>15</v>
      </c>
    </row>
    <row r="3218" spans="1:19" x14ac:dyDescent="0.25">
      <c r="A3218" s="87">
        <v>2019</v>
      </c>
      <c r="B3218" s="87">
        <v>12</v>
      </c>
      <c r="C3218" s="173" t="s">
        <v>16</v>
      </c>
      <c r="D3218" s="173" t="s">
        <v>230</v>
      </c>
      <c r="E3218" s="173" t="s">
        <v>24</v>
      </c>
      <c r="F3218" s="173" t="s">
        <v>16</v>
      </c>
      <c r="G3218" s="87" t="b">
        <v>1</v>
      </c>
      <c r="H3218" s="87" t="b">
        <v>1</v>
      </c>
      <c r="I3218" s="87" t="b">
        <v>0</v>
      </c>
      <c r="J3218" s="173" t="s">
        <v>492</v>
      </c>
      <c r="K3218" s="174">
        <v>29135795000208</v>
      </c>
      <c r="L3218" s="173" t="s">
        <v>1053</v>
      </c>
      <c r="M3218" s="173" t="s">
        <v>120</v>
      </c>
      <c r="N3218" s="173" t="s">
        <v>61</v>
      </c>
      <c r="O3218" s="87">
        <v>70</v>
      </c>
      <c r="P3218" s="173" t="s">
        <v>20</v>
      </c>
      <c r="Q3218" s="1" t="s">
        <v>1338</v>
      </c>
      <c r="R3218" s="175">
        <v>150</v>
      </c>
      <c r="S3218">
        <v>30</v>
      </c>
    </row>
    <row r="3219" spans="1:19" x14ac:dyDescent="0.25">
      <c r="A3219" s="87">
        <v>2019</v>
      </c>
      <c r="B3219" s="87">
        <v>12</v>
      </c>
      <c r="C3219" s="173" t="s">
        <v>16</v>
      </c>
      <c r="D3219" s="173" t="s">
        <v>230</v>
      </c>
      <c r="E3219" s="173" t="s">
        <v>24</v>
      </c>
      <c r="F3219" s="173" t="s">
        <v>16</v>
      </c>
      <c r="G3219" s="87" t="b">
        <v>1</v>
      </c>
      <c r="H3219" s="87" t="b">
        <v>1</v>
      </c>
      <c r="I3219" s="87" t="b">
        <v>0</v>
      </c>
      <c r="J3219" s="173" t="s">
        <v>477</v>
      </c>
      <c r="K3219" s="174">
        <v>29259736000403</v>
      </c>
      <c r="L3219" s="173" t="s">
        <v>1101</v>
      </c>
      <c r="M3219" s="173" t="s">
        <v>131</v>
      </c>
      <c r="N3219" s="173" t="s">
        <v>61</v>
      </c>
      <c r="O3219" s="87">
        <v>73</v>
      </c>
      <c r="P3219" s="173" t="s">
        <v>26</v>
      </c>
      <c r="Q3219" s="1" t="s">
        <v>1342</v>
      </c>
      <c r="R3219" s="175">
        <v>4</v>
      </c>
      <c r="S3219">
        <v>1</v>
      </c>
    </row>
    <row r="3220" spans="1:19" x14ac:dyDescent="0.25">
      <c r="A3220" s="87">
        <v>2019</v>
      </c>
      <c r="B3220" s="87">
        <v>12</v>
      </c>
      <c r="C3220" s="173" t="s">
        <v>16</v>
      </c>
      <c r="D3220" s="173" t="s">
        <v>230</v>
      </c>
      <c r="E3220" s="173" t="s">
        <v>24</v>
      </c>
      <c r="F3220" s="173" t="s">
        <v>16</v>
      </c>
      <c r="G3220" s="87" t="b">
        <v>1</v>
      </c>
      <c r="H3220" s="87" t="b">
        <v>1</v>
      </c>
      <c r="I3220" s="87" t="b">
        <v>0</v>
      </c>
      <c r="J3220" s="173" t="s">
        <v>451</v>
      </c>
      <c r="K3220" s="174">
        <v>29259736000403</v>
      </c>
      <c r="L3220" s="173" t="s">
        <v>1101</v>
      </c>
      <c r="M3220" s="173" t="s">
        <v>131</v>
      </c>
      <c r="N3220" s="173" t="s">
        <v>61</v>
      </c>
      <c r="O3220" s="87">
        <v>73</v>
      </c>
      <c r="P3220" s="173" t="s">
        <v>26</v>
      </c>
      <c r="Q3220" s="1" t="s">
        <v>1342</v>
      </c>
      <c r="R3220" s="175">
        <v>8</v>
      </c>
      <c r="S3220">
        <v>2</v>
      </c>
    </row>
    <row r="3221" spans="1:19" x14ac:dyDescent="0.25">
      <c r="A3221" s="87">
        <v>2019</v>
      </c>
      <c r="B3221" s="87">
        <v>12</v>
      </c>
      <c r="C3221" s="173" t="s">
        <v>16</v>
      </c>
      <c r="D3221" s="173" t="s">
        <v>230</v>
      </c>
      <c r="E3221" s="173" t="s">
        <v>24</v>
      </c>
      <c r="F3221" s="173" t="s">
        <v>16</v>
      </c>
      <c r="G3221" s="87" t="b">
        <v>1</v>
      </c>
      <c r="H3221" s="87" t="b">
        <v>1</v>
      </c>
      <c r="I3221" s="87" t="b">
        <v>0</v>
      </c>
      <c r="J3221" s="173" t="s">
        <v>451</v>
      </c>
      <c r="K3221" s="174">
        <v>29259736000403</v>
      </c>
      <c r="L3221" s="173" t="s">
        <v>1101</v>
      </c>
      <c r="M3221" s="173" t="s">
        <v>131</v>
      </c>
      <c r="N3221" s="173" t="s">
        <v>61</v>
      </c>
      <c r="O3221" s="87">
        <v>73</v>
      </c>
      <c r="P3221" s="173" t="s">
        <v>26</v>
      </c>
      <c r="Q3221" s="1" t="s">
        <v>1340</v>
      </c>
      <c r="R3221" s="175">
        <v>12</v>
      </c>
      <c r="S3221">
        <v>12</v>
      </c>
    </row>
    <row r="3222" spans="1:19" x14ac:dyDescent="0.25">
      <c r="A3222" s="87">
        <v>2019</v>
      </c>
      <c r="B3222" s="87">
        <v>12</v>
      </c>
      <c r="C3222" s="173" t="s">
        <v>16</v>
      </c>
      <c r="D3222" s="173" t="s">
        <v>230</v>
      </c>
      <c r="E3222" s="173" t="s">
        <v>24</v>
      </c>
      <c r="F3222" s="173" t="s">
        <v>16</v>
      </c>
      <c r="G3222" s="87" t="b">
        <v>1</v>
      </c>
      <c r="H3222" s="87" t="b">
        <v>1</v>
      </c>
      <c r="I3222" s="87" t="b">
        <v>0</v>
      </c>
      <c r="J3222" s="173" t="s">
        <v>455</v>
      </c>
      <c r="K3222" s="174">
        <v>29323454000185</v>
      </c>
      <c r="L3222" s="173" t="s">
        <v>1211</v>
      </c>
      <c r="M3222" s="173" t="s">
        <v>543</v>
      </c>
      <c r="N3222" s="173" t="s">
        <v>98</v>
      </c>
      <c r="O3222" s="87">
        <v>70</v>
      </c>
      <c r="P3222" s="173" t="s">
        <v>20</v>
      </c>
      <c r="Q3222" s="1" t="s">
        <v>1338</v>
      </c>
      <c r="R3222" s="175">
        <v>350</v>
      </c>
      <c r="S3222">
        <v>70</v>
      </c>
    </row>
    <row r="3223" spans="1:19" x14ac:dyDescent="0.25">
      <c r="A3223" s="87">
        <v>2019</v>
      </c>
      <c r="B3223" s="87">
        <v>12</v>
      </c>
      <c r="C3223" s="173" t="s">
        <v>16</v>
      </c>
      <c r="D3223" s="173" t="s">
        <v>230</v>
      </c>
      <c r="E3223" s="173" t="s">
        <v>24</v>
      </c>
      <c r="F3223" s="173" t="s">
        <v>16</v>
      </c>
      <c r="G3223" s="87" t="b">
        <v>1</v>
      </c>
      <c r="H3223" s="87" t="b">
        <v>1</v>
      </c>
      <c r="I3223" s="87" t="b">
        <v>0</v>
      </c>
      <c r="J3223" s="173" t="s">
        <v>470</v>
      </c>
      <c r="K3223" s="174">
        <v>29435005002687</v>
      </c>
      <c r="L3223" s="173" t="s">
        <v>593</v>
      </c>
      <c r="M3223" s="173" t="s">
        <v>29</v>
      </c>
      <c r="N3223" s="173" t="s">
        <v>19</v>
      </c>
      <c r="O3223" s="87">
        <v>64</v>
      </c>
      <c r="P3223" s="173" t="s">
        <v>25</v>
      </c>
      <c r="Q3223" s="1" t="s">
        <v>1344</v>
      </c>
      <c r="R3223" s="175">
        <v>15</v>
      </c>
      <c r="S3223">
        <v>15</v>
      </c>
    </row>
    <row r="3224" spans="1:19" x14ac:dyDescent="0.25">
      <c r="A3224" s="87">
        <v>2019</v>
      </c>
      <c r="B3224" s="87">
        <v>12</v>
      </c>
      <c r="C3224" s="173" t="s">
        <v>16</v>
      </c>
      <c r="D3224" s="173" t="s">
        <v>230</v>
      </c>
      <c r="E3224" s="173" t="s">
        <v>24</v>
      </c>
      <c r="F3224" s="173" t="s">
        <v>16</v>
      </c>
      <c r="G3224" s="87" t="b">
        <v>1</v>
      </c>
      <c r="H3224" s="87" t="b">
        <v>1</v>
      </c>
      <c r="I3224" s="87" t="b">
        <v>0</v>
      </c>
      <c r="J3224" s="173" t="s">
        <v>470</v>
      </c>
      <c r="K3224" s="174">
        <v>29435005002687</v>
      </c>
      <c r="L3224" s="173" t="s">
        <v>593</v>
      </c>
      <c r="M3224" s="173" t="s">
        <v>29</v>
      </c>
      <c r="N3224" s="173" t="s">
        <v>19</v>
      </c>
      <c r="O3224" s="87">
        <v>70</v>
      </c>
      <c r="P3224" s="173" t="s">
        <v>20</v>
      </c>
      <c r="Q3224" s="1" t="s">
        <v>1338</v>
      </c>
      <c r="R3224" s="175">
        <v>2000</v>
      </c>
      <c r="S3224">
        <v>400</v>
      </c>
    </row>
    <row r="3225" spans="1:19" x14ac:dyDescent="0.25">
      <c r="A3225" s="87">
        <v>2019</v>
      </c>
      <c r="B3225" s="87">
        <v>12</v>
      </c>
      <c r="C3225" s="173" t="s">
        <v>16</v>
      </c>
      <c r="D3225" s="173" t="s">
        <v>230</v>
      </c>
      <c r="E3225" s="173" t="s">
        <v>24</v>
      </c>
      <c r="F3225" s="173" t="s">
        <v>16</v>
      </c>
      <c r="G3225" s="87" t="b">
        <v>1</v>
      </c>
      <c r="H3225" s="87" t="b">
        <v>1</v>
      </c>
      <c r="I3225" s="87" t="b">
        <v>0</v>
      </c>
      <c r="J3225" s="173" t="s">
        <v>470</v>
      </c>
      <c r="K3225" s="174">
        <v>29435005004540</v>
      </c>
      <c r="L3225" s="173" t="s">
        <v>594</v>
      </c>
      <c r="M3225" s="173" t="s">
        <v>29</v>
      </c>
      <c r="N3225" s="173" t="s">
        <v>19</v>
      </c>
      <c r="O3225" s="87">
        <v>70</v>
      </c>
      <c r="P3225" s="173" t="s">
        <v>20</v>
      </c>
      <c r="Q3225" s="1" t="s">
        <v>1338</v>
      </c>
      <c r="R3225" s="175">
        <v>100</v>
      </c>
      <c r="S3225">
        <v>20</v>
      </c>
    </row>
    <row r="3226" spans="1:19" x14ac:dyDescent="0.25">
      <c r="A3226" s="87">
        <v>2019</v>
      </c>
      <c r="B3226" s="87">
        <v>12</v>
      </c>
      <c r="C3226" s="173" t="s">
        <v>16</v>
      </c>
      <c r="D3226" s="173" t="s">
        <v>230</v>
      </c>
      <c r="E3226" s="173" t="s">
        <v>24</v>
      </c>
      <c r="F3226" s="173" t="s">
        <v>16</v>
      </c>
      <c r="G3226" s="87" t="b">
        <v>1</v>
      </c>
      <c r="H3226" s="87" t="b">
        <v>1</v>
      </c>
      <c r="I3226" s="87" t="b">
        <v>0</v>
      </c>
      <c r="J3226" s="173" t="s">
        <v>470</v>
      </c>
      <c r="K3226" s="174">
        <v>29435005004620</v>
      </c>
      <c r="L3226" s="173" t="s">
        <v>911</v>
      </c>
      <c r="M3226" s="173" t="s">
        <v>739</v>
      </c>
      <c r="N3226" s="173" t="s">
        <v>55</v>
      </c>
      <c r="O3226" s="87">
        <v>62</v>
      </c>
      <c r="P3226" s="173" t="s">
        <v>27</v>
      </c>
      <c r="Q3226" s="1" t="s">
        <v>1343</v>
      </c>
      <c r="R3226" s="175">
        <v>3</v>
      </c>
      <c r="S3226">
        <v>3</v>
      </c>
    </row>
    <row r="3227" spans="1:19" x14ac:dyDescent="0.25">
      <c r="A3227" s="87">
        <v>2019</v>
      </c>
      <c r="B3227" s="87">
        <v>12</v>
      </c>
      <c r="C3227" s="173" t="s">
        <v>16</v>
      </c>
      <c r="D3227" s="173" t="s">
        <v>230</v>
      </c>
      <c r="E3227" s="173" t="s">
        <v>24</v>
      </c>
      <c r="F3227" s="173" t="s">
        <v>16</v>
      </c>
      <c r="G3227" s="87" t="b">
        <v>1</v>
      </c>
      <c r="H3227" s="87" t="b">
        <v>1</v>
      </c>
      <c r="I3227" s="87" t="b">
        <v>0</v>
      </c>
      <c r="J3227" s="173" t="s">
        <v>470</v>
      </c>
      <c r="K3227" s="174">
        <v>29435005005783</v>
      </c>
      <c r="L3227" s="173" t="s">
        <v>1104</v>
      </c>
      <c r="M3227" s="173" t="s">
        <v>131</v>
      </c>
      <c r="N3227" s="173" t="s">
        <v>61</v>
      </c>
      <c r="O3227" s="87">
        <v>70</v>
      </c>
      <c r="P3227" s="173" t="s">
        <v>20</v>
      </c>
      <c r="Q3227" s="1" t="s">
        <v>1338</v>
      </c>
      <c r="R3227" s="175">
        <v>875</v>
      </c>
      <c r="S3227">
        <v>175</v>
      </c>
    </row>
    <row r="3228" spans="1:19" x14ac:dyDescent="0.25">
      <c r="A3228" s="87">
        <v>2019</v>
      </c>
      <c r="B3228" s="87">
        <v>12</v>
      </c>
      <c r="C3228" s="173" t="s">
        <v>16</v>
      </c>
      <c r="D3228" s="173" t="s">
        <v>230</v>
      </c>
      <c r="E3228" s="173" t="s">
        <v>24</v>
      </c>
      <c r="F3228" s="173" t="s">
        <v>16</v>
      </c>
      <c r="G3228" s="87" t="b">
        <v>1</v>
      </c>
      <c r="H3228" s="87" t="b">
        <v>1</v>
      </c>
      <c r="I3228" s="87" t="b">
        <v>0</v>
      </c>
      <c r="J3228" s="173" t="s">
        <v>470</v>
      </c>
      <c r="K3228" s="174">
        <v>29435005006160</v>
      </c>
      <c r="L3228" s="173" t="s">
        <v>1105</v>
      </c>
      <c r="M3228" s="173" t="s">
        <v>131</v>
      </c>
      <c r="N3228" s="173" t="s">
        <v>61</v>
      </c>
      <c r="O3228" s="87">
        <v>62</v>
      </c>
      <c r="P3228" s="173" t="s">
        <v>27</v>
      </c>
      <c r="Q3228" s="1" t="s">
        <v>1343</v>
      </c>
      <c r="R3228" s="175">
        <v>8</v>
      </c>
      <c r="S3228">
        <v>8</v>
      </c>
    </row>
    <row r="3229" spans="1:19" x14ac:dyDescent="0.25">
      <c r="A3229" s="87">
        <v>2019</v>
      </c>
      <c r="B3229" s="87">
        <v>12</v>
      </c>
      <c r="C3229" s="173" t="s">
        <v>16</v>
      </c>
      <c r="D3229" s="173" t="s">
        <v>230</v>
      </c>
      <c r="E3229" s="173" t="s">
        <v>24</v>
      </c>
      <c r="F3229" s="173" t="s">
        <v>16</v>
      </c>
      <c r="G3229" s="87" t="b">
        <v>1</v>
      </c>
      <c r="H3229" s="87" t="b">
        <v>1</v>
      </c>
      <c r="I3229" s="87" t="b">
        <v>0</v>
      </c>
      <c r="J3229" s="173" t="s">
        <v>470</v>
      </c>
      <c r="K3229" s="174">
        <v>29435005006160</v>
      </c>
      <c r="L3229" s="173" t="s">
        <v>1105</v>
      </c>
      <c r="M3229" s="173" t="s">
        <v>131</v>
      </c>
      <c r="N3229" s="173" t="s">
        <v>61</v>
      </c>
      <c r="O3229" s="87">
        <v>64</v>
      </c>
      <c r="P3229" s="173" t="s">
        <v>25</v>
      </c>
      <c r="Q3229" s="1" t="s">
        <v>1344</v>
      </c>
      <c r="R3229" s="175">
        <v>4</v>
      </c>
      <c r="S3229">
        <v>4</v>
      </c>
    </row>
    <row r="3230" spans="1:19" x14ac:dyDescent="0.25">
      <c r="A3230" s="87">
        <v>2019</v>
      </c>
      <c r="B3230" s="87">
        <v>12</v>
      </c>
      <c r="C3230" s="173" t="s">
        <v>16</v>
      </c>
      <c r="D3230" s="173" t="s">
        <v>230</v>
      </c>
      <c r="E3230" s="173" t="s">
        <v>24</v>
      </c>
      <c r="F3230" s="173" t="s">
        <v>16</v>
      </c>
      <c r="G3230" s="87" t="b">
        <v>1</v>
      </c>
      <c r="H3230" s="87" t="b">
        <v>1</v>
      </c>
      <c r="I3230" s="87" t="b">
        <v>0</v>
      </c>
      <c r="J3230" s="173" t="s">
        <v>470</v>
      </c>
      <c r="K3230" s="174">
        <v>29435005008456</v>
      </c>
      <c r="L3230" s="173" t="s">
        <v>672</v>
      </c>
      <c r="M3230" s="173" t="s">
        <v>33</v>
      </c>
      <c r="N3230" s="173" t="s">
        <v>19</v>
      </c>
      <c r="O3230" s="87">
        <v>70</v>
      </c>
      <c r="P3230" s="173" t="s">
        <v>20</v>
      </c>
      <c r="Q3230" s="1" t="s">
        <v>1338</v>
      </c>
      <c r="R3230" s="175">
        <v>50</v>
      </c>
      <c r="S3230">
        <v>10</v>
      </c>
    </row>
    <row r="3231" spans="1:19" x14ac:dyDescent="0.25">
      <c r="A3231" s="87">
        <v>2019</v>
      </c>
      <c r="B3231" s="87">
        <v>12</v>
      </c>
      <c r="C3231" s="173" t="s">
        <v>16</v>
      </c>
      <c r="D3231" s="173" t="s">
        <v>230</v>
      </c>
      <c r="E3231" s="173" t="s">
        <v>24</v>
      </c>
      <c r="F3231" s="173" t="s">
        <v>16</v>
      </c>
      <c r="G3231" s="87" t="b">
        <v>1</v>
      </c>
      <c r="H3231" s="87" t="b">
        <v>1</v>
      </c>
      <c r="I3231" s="87" t="b">
        <v>0</v>
      </c>
      <c r="J3231" s="173" t="s">
        <v>470</v>
      </c>
      <c r="K3231" s="174">
        <v>29435005009932</v>
      </c>
      <c r="L3231" s="173" t="s">
        <v>595</v>
      </c>
      <c r="M3231" s="173" t="s">
        <v>29</v>
      </c>
      <c r="N3231" s="173" t="s">
        <v>19</v>
      </c>
      <c r="O3231" s="87">
        <v>62</v>
      </c>
      <c r="P3231" s="173" t="s">
        <v>27</v>
      </c>
      <c r="Q3231" s="1" t="s">
        <v>1343</v>
      </c>
      <c r="R3231" s="175">
        <v>9</v>
      </c>
      <c r="S3231">
        <v>9</v>
      </c>
    </row>
    <row r="3232" spans="1:19" x14ac:dyDescent="0.25">
      <c r="A3232" s="87">
        <v>2019</v>
      </c>
      <c r="B3232" s="87">
        <v>12</v>
      </c>
      <c r="C3232" s="173" t="s">
        <v>16</v>
      </c>
      <c r="D3232" s="173" t="s">
        <v>230</v>
      </c>
      <c r="E3232" s="173" t="s">
        <v>24</v>
      </c>
      <c r="F3232" s="173" t="s">
        <v>16</v>
      </c>
      <c r="G3232" s="87" t="b">
        <v>1</v>
      </c>
      <c r="H3232" s="87" t="b">
        <v>1</v>
      </c>
      <c r="I3232" s="87" t="b">
        <v>0</v>
      </c>
      <c r="J3232" s="173" t="s">
        <v>470</v>
      </c>
      <c r="K3232" s="174">
        <v>29435005009932</v>
      </c>
      <c r="L3232" s="173" t="s">
        <v>595</v>
      </c>
      <c r="M3232" s="173" t="s">
        <v>29</v>
      </c>
      <c r="N3232" s="173" t="s">
        <v>19</v>
      </c>
      <c r="O3232" s="87">
        <v>64</v>
      </c>
      <c r="P3232" s="173" t="s">
        <v>25</v>
      </c>
      <c r="Q3232" s="1" t="s">
        <v>1344</v>
      </c>
      <c r="R3232" s="175">
        <v>30</v>
      </c>
      <c r="S3232">
        <v>30</v>
      </c>
    </row>
    <row r="3233" spans="1:19" x14ac:dyDescent="0.25">
      <c r="A3233" s="87">
        <v>2019</v>
      </c>
      <c r="B3233" s="87">
        <v>12</v>
      </c>
      <c r="C3233" s="173" t="s">
        <v>16</v>
      </c>
      <c r="D3233" s="173" t="s">
        <v>230</v>
      </c>
      <c r="E3233" s="173" t="s">
        <v>24</v>
      </c>
      <c r="F3233" s="173" t="s">
        <v>16</v>
      </c>
      <c r="G3233" s="87" t="b">
        <v>1</v>
      </c>
      <c r="H3233" s="87" t="b">
        <v>1</v>
      </c>
      <c r="I3233" s="87" t="b">
        <v>0</v>
      </c>
      <c r="J3233" s="173" t="s">
        <v>470</v>
      </c>
      <c r="K3233" s="174">
        <v>29435005009932</v>
      </c>
      <c r="L3233" s="173" t="s">
        <v>595</v>
      </c>
      <c r="M3233" s="173" t="s">
        <v>29</v>
      </c>
      <c r="N3233" s="173" t="s">
        <v>19</v>
      </c>
      <c r="O3233" s="87">
        <v>70</v>
      </c>
      <c r="P3233" s="173" t="s">
        <v>20</v>
      </c>
      <c r="Q3233" s="1" t="s">
        <v>1338</v>
      </c>
      <c r="R3233" s="175">
        <v>900</v>
      </c>
      <c r="S3233">
        <v>180</v>
      </c>
    </row>
    <row r="3234" spans="1:19" x14ac:dyDescent="0.25">
      <c r="A3234" s="87">
        <v>2019</v>
      </c>
      <c r="B3234" s="87">
        <v>12</v>
      </c>
      <c r="C3234" s="173" t="s">
        <v>16</v>
      </c>
      <c r="D3234" s="173" t="s">
        <v>230</v>
      </c>
      <c r="E3234" s="173" t="s">
        <v>24</v>
      </c>
      <c r="F3234" s="173" t="s">
        <v>16</v>
      </c>
      <c r="G3234" s="87" t="b">
        <v>1</v>
      </c>
      <c r="H3234" s="87" t="b">
        <v>1</v>
      </c>
      <c r="I3234" s="87" t="b">
        <v>0</v>
      </c>
      <c r="J3234" s="173" t="s">
        <v>470</v>
      </c>
      <c r="K3234" s="174">
        <v>29929600000110</v>
      </c>
      <c r="L3234" s="173" t="s">
        <v>1212</v>
      </c>
      <c r="M3234" s="173" t="s">
        <v>1213</v>
      </c>
      <c r="N3234" s="173" t="s">
        <v>19</v>
      </c>
      <c r="O3234" s="87">
        <v>73</v>
      </c>
      <c r="P3234" s="173" t="s">
        <v>26</v>
      </c>
      <c r="Q3234" s="1" t="s">
        <v>1339</v>
      </c>
      <c r="R3234" s="175">
        <v>4</v>
      </c>
      <c r="S3234">
        <v>2</v>
      </c>
    </row>
    <row r="3235" spans="1:19" x14ac:dyDescent="0.25">
      <c r="A3235" s="87">
        <v>2019</v>
      </c>
      <c r="B3235" s="87">
        <v>12</v>
      </c>
      <c r="C3235" s="173" t="s">
        <v>16</v>
      </c>
      <c r="D3235" s="173" t="s">
        <v>230</v>
      </c>
      <c r="E3235" s="173" t="s">
        <v>24</v>
      </c>
      <c r="F3235" s="173" t="s">
        <v>16</v>
      </c>
      <c r="G3235" s="87" t="b">
        <v>1</v>
      </c>
      <c r="H3235" s="87" t="b">
        <v>1</v>
      </c>
      <c r="I3235" s="87" t="b">
        <v>0</v>
      </c>
      <c r="J3235" s="173" t="s">
        <v>477</v>
      </c>
      <c r="K3235" s="174">
        <v>30079461000162</v>
      </c>
      <c r="L3235" s="173" t="s">
        <v>1056</v>
      </c>
      <c r="M3235" s="173" t="s">
        <v>1039</v>
      </c>
      <c r="N3235" s="173" t="s">
        <v>61</v>
      </c>
      <c r="O3235" s="87">
        <v>62</v>
      </c>
      <c r="P3235" s="173" t="s">
        <v>27</v>
      </c>
      <c r="Q3235" s="1" t="s">
        <v>1343</v>
      </c>
      <c r="R3235" s="175">
        <v>3</v>
      </c>
      <c r="S3235">
        <v>3</v>
      </c>
    </row>
    <row r="3236" spans="1:19" x14ac:dyDescent="0.25">
      <c r="A3236" s="87">
        <v>2019</v>
      </c>
      <c r="B3236" s="87">
        <v>12</v>
      </c>
      <c r="C3236" s="173" t="s">
        <v>16</v>
      </c>
      <c r="D3236" s="173" t="s">
        <v>230</v>
      </c>
      <c r="E3236" s="173" t="s">
        <v>24</v>
      </c>
      <c r="F3236" s="173" t="s">
        <v>16</v>
      </c>
      <c r="G3236" s="87" t="b">
        <v>1</v>
      </c>
      <c r="H3236" s="87" t="b">
        <v>1</v>
      </c>
      <c r="I3236" s="87" t="b">
        <v>0</v>
      </c>
      <c r="J3236" s="173" t="s">
        <v>452</v>
      </c>
      <c r="K3236" s="174">
        <v>30117769000155</v>
      </c>
      <c r="L3236" s="173" t="s">
        <v>976</v>
      </c>
      <c r="M3236" s="173" t="s">
        <v>94</v>
      </c>
      <c r="N3236" s="173" t="s">
        <v>57</v>
      </c>
      <c r="O3236" s="87">
        <v>70</v>
      </c>
      <c r="P3236" s="173" t="s">
        <v>20</v>
      </c>
      <c r="Q3236" s="1" t="s">
        <v>1338</v>
      </c>
      <c r="R3236" s="175">
        <v>150</v>
      </c>
      <c r="S3236">
        <v>30</v>
      </c>
    </row>
    <row r="3237" spans="1:19" x14ac:dyDescent="0.25">
      <c r="A3237" s="87">
        <v>2019</v>
      </c>
      <c r="B3237" s="87">
        <v>12</v>
      </c>
      <c r="C3237" s="173" t="s">
        <v>16</v>
      </c>
      <c r="D3237" s="173" t="s">
        <v>230</v>
      </c>
      <c r="E3237" s="173" t="s">
        <v>24</v>
      </c>
      <c r="F3237" s="173" t="s">
        <v>16</v>
      </c>
      <c r="G3237" s="87" t="b">
        <v>1</v>
      </c>
      <c r="H3237" s="87" t="b">
        <v>1</v>
      </c>
      <c r="I3237" s="87" t="b">
        <v>0</v>
      </c>
      <c r="J3237" s="173" t="s">
        <v>470</v>
      </c>
      <c r="K3237" s="174">
        <v>30135335000188</v>
      </c>
      <c r="L3237" s="173" t="s">
        <v>914</v>
      </c>
      <c r="M3237" s="173" t="s">
        <v>739</v>
      </c>
      <c r="N3237" s="173" t="s">
        <v>55</v>
      </c>
      <c r="O3237" s="87">
        <v>70</v>
      </c>
      <c r="P3237" s="173" t="s">
        <v>20</v>
      </c>
      <c r="Q3237" s="1" t="s">
        <v>1338</v>
      </c>
      <c r="R3237" s="175">
        <v>100</v>
      </c>
      <c r="S3237">
        <v>20</v>
      </c>
    </row>
    <row r="3238" spans="1:19" x14ac:dyDescent="0.25">
      <c r="A3238" s="87">
        <v>2019</v>
      </c>
      <c r="B3238" s="87">
        <v>12</v>
      </c>
      <c r="C3238" s="173" t="s">
        <v>16</v>
      </c>
      <c r="D3238" s="173" t="s">
        <v>230</v>
      </c>
      <c r="E3238" s="173" t="s">
        <v>24</v>
      </c>
      <c r="F3238" s="173" t="s">
        <v>16</v>
      </c>
      <c r="G3238" s="87" t="b">
        <v>1</v>
      </c>
      <c r="H3238" s="87" t="b">
        <v>1</v>
      </c>
      <c r="I3238" s="87" t="b">
        <v>0</v>
      </c>
      <c r="J3238" s="173" t="s">
        <v>477</v>
      </c>
      <c r="K3238" s="174">
        <v>30358881000188</v>
      </c>
      <c r="L3238" s="173" t="s">
        <v>1407</v>
      </c>
      <c r="M3238" s="173" t="s">
        <v>1215</v>
      </c>
      <c r="N3238" s="173" t="s">
        <v>61</v>
      </c>
      <c r="O3238" s="87">
        <v>70</v>
      </c>
      <c r="P3238" s="173" t="s">
        <v>20</v>
      </c>
      <c r="Q3238" s="1" t="s">
        <v>1338</v>
      </c>
      <c r="R3238" s="175">
        <v>200</v>
      </c>
      <c r="S3238">
        <v>40</v>
      </c>
    </row>
    <row r="3239" spans="1:19" x14ac:dyDescent="0.25">
      <c r="A3239" s="87">
        <v>2019</v>
      </c>
      <c r="B3239" s="87">
        <v>12</v>
      </c>
      <c r="C3239" s="173" t="s">
        <v>16</v>
      </c>
      <c r="D3239" s="173" t="s">
        <v>230</v>
      </c>
      <c r="E3239" s="173" t="s">
        <v>24</v>
      </c>
      <c r="F3239" s="173" t="s">
        <v>16</v>
      </c>
      <c r="G3239" s="87" t="b">
        <v>1</v>
      </c>
      <c r="H3239" s="87" t="b">
        <v>1</v>
      </c>
      <c r="I3239" s="87" t="b">
        <v>0</v>
      </c>
      <c r="J3239" s="173" t="s">
        <v>491</v>
      </c>
      <c r="K3239" s="174">
        <v>31635857000101</v>
      </c>
      <c r="L3239" s="173" t="s">
        <v>1106</v>
      </c>
      <c r="M3239" s="173" t="s">
        <v>131</v>
      </c>
      <c r="N3239" s="173" t="s">
        <v>61</v>
      </c>
      <c r="O3239" s="87">
        <v>64</v>
      </c>
      <c r="P3239" s="173" t="s">
        <v>25</v>
      </c>
      <c r="Q3239" s="1" t="s">
        <v>1344</v>
      </c>
      <c r="R3239" s="175">
        <v>3</v>
      </c>
      <c r="S3239">
        <v>3</v>
      </c>
    </row>
    <row r="3240" spans="1:19" x14ac:dyDescent="0.25">
      <c r="A3240" s="87">
        <v>2019</v>
      </c>
      <c r="B3240" s="87">
        <v>12</v>
      </c>
      <c r="C3240" s="173" t="s">
        <v>16</v>
      </c>
      <c r="D3240" s="173" t="s">
        <v>230</v>
      </c>
      <c r="E3240" s="173" t="s">
        <v>24</v>
      </c>
      <c r="F3240" s="173" t="s">
        <v>16</v>
      </c>
      <c r="G3240" s="87" t="b">
        <v>1</v>
      </c>
      <c r="H3240" s="87" t="b">
        <v>1</v>
      </c>
      <c r="I3240" s="87" t="b">
        <v>0</v>
      </c>
      <c r="J3240" s="173" t="s">
        <v>491</v>
      </c>
      <c r="K3240" s="174">
        <v>31635857000292</v>
      </c>
      <c r="L3240" s="173" t="s">
        <v>1107</v>
      </c>
      <c r="M3240" s="173" t="s">
        <v>131</v>
      </c>
      <c r="N3240" s="173" t="s">
        <v>61</v>
      </c>
      <c r="O3240" s="87">
        <v>62</v>
      </c>
      <c r="P3240" s="173" t="s">
        <v>27</v>
      </c>
      <c r="Q3240" s="1" t="s">
        <v>1343</v>
      </c>
      <c r="R3240" s="175">
        <v>8</v>
      </c>
      <c r="S3240">
        <v>8</v>
      </c>
    </row>
    <row r="3241" spans="1:19" x14ac:dyDescent="0.25">
      <c r="A3241" s="87">
        <v>2019</v>
      </c>
      <c r="B3241" s="87">
        <v>12</v>
      </c>
      <c r="C3241" s="173" t="s">
        <v>16</v>
      </c>
      <c r="D3241" s="173" t="s">
        <v>230</v>
      </c>
      <c r="E3241" s="173" t="s">
        <v>24</v>
      </c>
      <c r="F3241" s="173" t="s">
        <v>16</v>
      </c>
      <c r="G3241" s="87" t="b">
        <v>1</v>
      </c>
      <c r="H3241" s="87" t="b">
        <v>1</v>
      </c>
      <c r="I3241" s="87" t="b">
        <v>0</v>
      </c>
      <c r="J3241" s="173" t="s">
        <v>491</v>
      </c>
      <c r="K3241" s="174">
        <v>31635857000292</v>
      </c>
      <c r="L3241" s="173" t="s">
        <v>1107</v>
      </c>
      <c r="M3241" s="173" t="s">
        <v>131</v>
      </c>
      <c r="N3241" s="173" t="s">
        <v>61</v>
      </c>
      <c r="O3241" s="87">
        <v>64</v>
      </c>
      <c r="P3241" s="173" t="s">
        <v>25</v>
      </c>
      <c r="Q3241" s="1" t="s">
        <v>1344</v>
      </c>
      <c r="R3241" s="175">
        <v>2</v>
      </c>
      <c r="S3241">
        <v>2</v>
      </c>
    </row>
    <row r="3242" spans="1:19" x14ac:dyDescent="0.25">
      <c r="A3242" s="87">
        <v>2019</v>
      </c>
      <c r="B3242" s="87">
        <v>12</v>
      </c>
      <c r="C3242" s="173" t="s">
        <v>16</v>
      </c>
      <c r="D3242" s="173" t="s">
        <v>230</v>
      </c>
      <c r="E3242" s="173" t="s">
        <v>24</v>
      </c>
      <c r="F3242" s="173" t="s">
        <v>16</v>
      </c>
      <c r="G3242" s="87" t="b">
        <v>1</v>
      </c>
      <c r="H3242" s="87" t="b">
        <v>1</v>
      </c>
      <c r="I3242" s="87" t="b">
        <v>0</v>
      </c>
      <c r="J3242" s="173" t="s">
        <v>477</v>
      </c>
      <c r="K3242" s="174">
        <v>31635857000292</v>
      </c>
      <c r="L3242" s="173" t="s">
        <v>1107</v>
      </c>
      <c r="M3242" s="173" t="s">
        <v>131</v>
      </c>
      <c r="N3242" s="173" t="s">
        <v>61</v>
      </c>
      <c r="O3242" s="87">
        <v>73</v>
      </c>
      <c r="P3242" s="173" t="s">
        <v>26</v>
      </c>
      <c r="Q3242" s="1" t="s">
        <v>1342</v>
      </c>
      <c r="R3242" s="175">
        <v>32</v>
      </c>
      <c r="S3242">
        <v>8</v>
      </c>
    </row>
    <row r="3243" spans="1:19" x14ac:dyDescent="0.25">
      <c r="A3243" s="87">
        <v>2019</v>
      </c>
      <c r="B3243" s="87">
        <v>12</v>
      </c>
      <c r="C3243" s="173" t="s">
        <v>16</v>
      </c>
      <c r="D3243" s="173" t="s">
        <v>230</v>
      </c>
      <c r="E3243" s="173" t="s">
        <v>24</v>
      </c>
      <c r="F3243" s="173" t="s">
        <v>16</v>
      </c>
      <c r="G3243" s="87" t="b">
        <v>1</v>
      </c>
      <c r="H3243" s="87" t="b">
        <v>1</v>
      </c>
      <c r="I3243" s="87" t="b">
        <v>0</v>
      </c>
      <c r="J3243" s="173" t="s">
        <v>477</v>
      </c>
      <c r="K3243" s="174">
        <v>31684384000132</v>
      </c>
      <c r="L3243" s="173" t="s">
        <v>1408</v>
      </c>
      <c r="M3243" s="173" t="s">
        <v>1215</v>
      </c>
      <c r="N3243" s="173" t="s">
        <v>61</v>
      </c>
      <c r="O3243" s="87">
        <v>70</v>
      </c>
      <c r="P3243" s="173" t="s">
        <v>20</v>
      </c>
      <c r="Q3243" s="1" t="s">
        <v>1338</v>
      </c>
      <c r="R3243" s="175">
        <v>50</v>
      </c>
      <c r="S3243">
        <v>10</v>
      </c>
    </row>
    <row r="3244" spans="1:19" x14ac:dyDescent="0.25">
      <c r="A3244" s="87">
        <v>2019</v>
      </c>
      <c r="B3244" s="87">
        <v>12</v>
      </c>
      <c r="C3244" s="173" t="s">
        <v>16</v>
      </c>
      <c r="D3244" s="173" t="s">
        <v>230</v>
      </c>
      <c r="E3244" s="173" t="s">
        <v>24</v>
      </c>
      <c r="F3244" s="173" t="s">
        <v>16</v>
      </c>
      <c r="G3244" s="87" t="b">
        <v>1</v>
      </c>
      <c r="H3244" s="87" t="b">
        <v>1</v>
      </c>
      <c r="I3244" s="87" t="b">
        <v>0</v>
      </c>
      <c r="J3244" s="173" t="s">
        <v>495</v>
      </c>
      <c r="K3244" s="174">
        <v>31824062000141</v>
      </c>
      <c r="L3244" s="173" t="s">
        <v>1403</v>
      </c>
      <c r="M3244" s="173" t="s">
        <v>94</v>
      </c>
      <c r="N3244" s="173" t="s">
        <v>57</v>
      </c>
      <c r="O3244" s="87">
        <v>70</v>
      </c>
      <c r="P3244" s="173" t="s">
        <v>20</v>
      </c>
      <c r="Q3244" s="1" t="s">
        <v>1338</v>
      </c>
      <c r="R3244" s="175">
        <v>5</v>
      </c>
      <c r="S3244">
        <v>1</v>
      </c>
    </row>
    <row r="3245" spans="1:19" x14ac:dyDescent="0.25">
      <c r="A3245" s="87">
        <v>2019</v>
      </c>
      <c r="B3245" s="87">
        <v>12</v>
      </c>
      <c r="C3245" s="173" t="s">
        <v>16</v>
      </c>
      <c r="D3245" s="173" t="s">
        <v>230</v>
      </c>
      <c r="E3245" s="173" t="s">
        <v>24</v>
      </c>
      <c r="F3245" s="173" t="s">
        <v>16</v>
      </c>
      <c r="G3245" s="87" t="b">
        <v>1</v>
      </c>
      <c r="H3245" s="87" t="b">
        <v>1</v>
      </c>
      <c r="I3245" s="87" t="b">
        <v>0</v>
      </c>
      <c r="J3245" s="173" t="s">
        <v>451</v>
      </c>
      <c r="K3245" s="174">
        <v>31925548000176</v>
      </c>
      <c r="L3245" s="173" t="s">
        <v>1108</v>
      </c>
      <c r="M3245" s="173" t="s">
        <v>131</v>
      </c>
      <c r="N3245" s="173" t="s">
        <v>61</v>
      </c>
      <c r="O3245" s="87">
        <v>70</v>
      </c>
      <c r="P3245" s="173" t="s">
        <v>20</v>
      </c>
      <c r="Q3245" s="1" t="s">
        <v>1338</v>
      </c>
      <c r="R3245" s="175">
        <v>30</v>
      </c>
      <c r="S3245">
        <v>6</v>
      </c>
    </row>
    <row r="3246" spans="1:19" x14ac:dyDescent="0.25">
      <c r="A3246" s="87">
        <v>2019</v>
      </c>
      <c r="B3246" s="87">
        <v>12</v>
      </c>
      <c r="C3246" s="173" t="s">
        <v>16</v>
      </c>
      <c r="D3246" s="173" t="s">
        <v>230</v>
      </c>
      <c r="E3246" s="173" t="s">
        <v>24</v>
      </c>
      <c r="F3246" s="173" t="s">
        <v>16</v>
      </c>
      <c r="G3246" s="87" t="b">
        <v>1</v>
      </c>
      <c r="H3246" s="87" t="b">
        <v>1</v>
      </c>
      <c r="I3246" s="87" t="b">
        <v>0</v>
      </c>
      <c r="J3246" s="173" t="s">
        <v>491</v>
      </c>
      <c r="K3246" s="174">
        <v>33000167002155</v>
      </c>
      <c r="L3246" s="173" t="s">
        <v>915</v>
      </c>
      <c r="M3246" s="173" t="s">
        <v>128</v>
      </c>
      <c r="N3246" s="173" t="s">
        <v>59</v>
      </c>
      <c r="O3246" s="87">
        <v>70</v>
      </c>
      <c r="P3246" s="173" t="s">
        <v>20</v>
      </c>
      <c r="Q3246" s="1" t="s">
        <v>1338</v>
      </c>
      <c r="R3246" s="175">
        <v>145</v>
      </c>
      <c r="S3246">
        <v>29</v>
      </c>
    </row>
    <row r="3247" spans="1:19" x14ac:dyDescent="0.25">
      <c r="A3247" s="87">
        <v>2019</v>
      </c>
      <c r="B3247" s="87">
        <v>12</v>
      </c>
      <c r="C3247" s="173" t="s">
        <v>16</v>
      </c>
      <c r="D3247" s="173" t="s">
        <v>230</v>
      </c>
      <c r="E3247" s="173" t="s">
        <v>24</v>
      </c>
      <c r="F3247" s="173" t="s">
        <v>16</v>
      </c>
      <c r="G3247" s="87" t="b">
        <v>1</v>
      </c>
      <c r="H3247" s="87" t="b">
        <v>1</v>
      </c>
      <c r="I3247" s="87" t="b">
        <v>0</v>
      </c>
      <c r="J3247" s="173" t="s">
        <v>1512</v>
      </c>
      <c r="K3247" s="174">
        <v>33092116000157</v>
      </c>
      <c r="L3247" s="173" t="s">
        <v>1409</v>
      </c>
      <c r="M3247" s="173" t="s">
        <v>78</v>
      </c>
      <c r="N3247" s="173" t="s">
        <v>61</v>
      </c>
      <c r="O3247" s="87">
        <v>62</v>
      </c>
      <c r="P3247" s="173" t="s">
        <v>27</v>
      </c>
      <c r="Q3247" s="1" t="s">
        <v>1343</v>
      </c>
      <c r="R3247" s="175">
        <v>4</v>
      </c>
      <c r="S3247">
        <v>4</v>
      </c>
    </row>
    <row r="3248" spans="1:19" x14ac:dyDescent="0.25">
      <c r="A3248" s="87">
        <v>2019</v>
      </c>
      <c r="B3248" s="87">
        <v>12</v>
      </c>
      <c r="C3248" s="173" t="s">
        <v>16</v>
      </c>
      <c r="D3248" s="173" t="s">
        <v>230</v>
      </c>
      <c r="E3248" s="173" t="s">
        <v>24</v>
      </c>
      <c r="F3248" s="173" t="s">
        <v>16</v>
      </c>
      <c r="G3248" s="87" t="b">
        <v>1</v>
      </c>
      <c r="H3248" s="87" t="b">
        <v>1</v>
      </c>
      <c r="I3248" s="87" t="b">
        <v>0</v>
      </c>
      <c r="J3248" s="173" t="s">
        <v>477</v>
      </c>
      <c r="K3248" s="174">
        <v>33419482000259</v>
      </c>
      <c r="L3248" s="173" t="s">
        <v>1111</v>
      </c>
      <c r="M3248" s="173" t="s">
        <v>131</v>
      </c>
      <c r="N3248" s="173" t="s">
        <v>61</v>
      </c>
      <c r="O3248" s="87">
        <v>62</v>
      </c>
      <c r="P3248" s="173" t="s">
        <v>27</v>
      </c>
      <c r="Q3248" s="1" t="s">
        <v>1343</v>
      </c>
      <c r="R3248" s="175">
        <v>8</v>
      </c>
      <c r="S3248">
        <v>8</v>
      </c>
    </row>
    <row r="3249" spans="1:19" x14ac:dyDescent="0.25">
      <c r="A3249" s="87">
        <v>2019</v>
      </c>
      <c r="B3249" s="87">
        <v>12</v>
      </c>
      <c r="C3249" s="173" t="s">
        <v>16</v>
      </c>
      <c r="D3249" s="173" t="s">
        <v>230</v>
      </c>
      <c r="E3249" s="173" t="s">
        <v>24</v>
      </c>
      <c r="F3249" s="173" t="s">
        <v>16</v>
      </c>
      <c r="G3249" s="87" t="b">
        <v>1</v>
      </c>
      <c r="H3249" s="87" t="b">
        <v>1</v>
      </c>
      <c r="I3249" s="87" t="b">
        <v>0</v>
      </c>
      <c r="J3249" s="173" t="s">
        <v>451</v>
      </c>
      <c r="K3249" s="174">
        <v>33419482000259</v>
      </c>
      <c r="L3249" s="173" t="s">
        <v>1111</v>
      </c>
      <c r="M3249" s="173" t="s">
        <v>131</v>
      </c>
      <c r="N3249" s="173" t="s">
        <v>61</v>
      </c>
      <c r="O3249" s="87">
        <v>64</v>
      </c>
      <c r="P3249" s="173" t="s">
        <v>25</v>
      </c>
      <c r="Q3249" s="1" t="s">
        <v>1344</v>
      </c>
      <c r="R3249" s="175">
        <v>4</v>
      </c>
      <c r="S3249">
        <v>4</v>
      </c>
    </row>
    <row r="3250" spans="1:19" x14ac:dyDescent="0.25">
      <c r="A3250" s="87">
        <v>2019</v>
      </c>
      <c r="B3250" s="87">
        <v>12</v>
      </c>
      <c r="C3250" s="173" t="s">
        <v>16</v>
      </c>
      <c r="D3250" s="173" t="s">
        <v>230</v>
      </c>
      <c r="E3250" s="173" t="s">
        <v>24</v>
      </c>
      <c r="F3250" s="173" t="s">
        <v>16</v>
      </c>
      <c r="G3250" s="87" t="b">
        <v>1</v>
      </c>
      <c r="H3250" s="87" t="b">
        <v>1</v>
      </c>
      <c r="I3250" s="87" t="b">
        <v>0</v>
      </c>
      <c r="J3250" s="173" t="s">
        <v>477</v>
      </c>
      <c r="K3250" s="174">
        <v>33476482000100</v>
      </c>
      <c r="L3250" s="173" t="s">
        <v>1412</v>
      </c>
      <c r="M3250" s="173" t="s">
        <v>131</v>
      </c>
      <c r="N3250" s="173" t="s">
        <v>61</v>
      </c>
      <c r="O3250" s="87">
        <v>66</v>
      </c>
      <c r="P3250" s="173" t="s">
        <v>28</v>
      </c>
      <c r="Q3250" s="1" t="s">
        <v>1341</v>
      </c>
      <c r="R3250" s="175">
        <v>15</v>
      </c>
      <c r="S3250">
        <v>15</v>
      </c>
    </row>
    <row r="3251" spans="1:19" x14ac:dyDescent="0.25">
      <c r="A3251" s="87">
        <v>2019</v>
      </c>
      <c r="B3251" s="87">
        <v>12</v>
      </c>
      <c r="C3251" s="173" t="s">
        <v>16</v>
      </c>
      <c r="D3251" s="173" t="s">
        <v>230</v>
      </c>
      <c r="E3251" s="173" t="s">
        <v>24</v>
      </c>
      <c r="F3251" s="173" t="s">
        <v>16</v>
      </c>
      <c r="G3251" s="87" t="b">
        <v>1</v>
      </c>
      <c r="H3251" s="87" t="b">
        <v>1</v>
      </c>
      <c r="I3251" s="87" t="b">
        <v>0</v>
      </c>
      <c r="J3251" s="173" t="s">
        <v>477</v>
      </c>
      <c r="K3251" s="174">
        <v>33540014000157</v>
      </c>
      <c r="L3251" s="173" t="s">
        <v>1112</v>
      </c>
      <c r="M3251" s="173" t="s">
        <v>131</v>
      </c>
      <c r="N3251" s="173" t="s">
        <v>61</v>
      </c>
      <c r="O3251" s="87">
        <v>70</v>
      </c>
      <c r="P3251" s="173" t="s">
        <v>20</v>
      </c>
      <c r="Q3251" s="1" t="s">
        <v>1338</v>
      </c>
      <c r="R3251" s="175">
        <v>120</v>
      </c>
      <c r="S3251">
        <v>24</v>
      </c>
    </row>
    <row r="3252" spans="1:19" x14ac:dyDescent="0.25">
      <c r="A3252" s="87">
        <v>2019</v>
      </c>
      <c r="B3252" s="87">
        <v>12</v>
      </c>
      <c r="C3252" s="173" t="s">
        <v>16</v>
      </c>
      <c r="D3252" s="173" t="s">
        <v>230</v>
      </c>
      <c r="E3252" s="173" t="s">
        <v>24</v>
      </c>
      <c r="F3252" s="173" t="s">
        <v>16</v>
      </c>
      <c r="G3252" s="87" t="b">
        <v>1</v>
      </c>
      <c r="H3252" s="87" t="b">
        <v>1</v>
      </c>
      <c r="I3252" s="87" t="b">
        <v>0</v>
      </c>
      <c r="J3252" s="173" t="s">
        <v>1330</v>
      </c>
      <c r="K3252" s="174">
        <v>33663683002674</v>
      </c>
      <c r="L3252" s="173" t="s">
        <v>1113</v>
      </c>
      <c r="M3252" s="173" t="s">
        <v>131</v>
      </c>
      <c r="N3252" s="173" t="s">
        <v>61</v>
      </c>
      <c r="O3252" s="87">
        <v>70</v>
      </c>
      <c r="P3252" s="173" t="s">
        <v>20</v>
      </c>
      <c r="Q3252" s="1" t="s">
        <v>1346</v>
      </c>
      <c r="R3252" s="175">
        <v>600</v>
      </c>
      <c r="S3252">
        <v>240</v>
      </c>
    </row>
    <row r="3253" spans="1:19" x14ac:dyDescent="0.25">
      <c r="A3253" s="87">
        <v>2019</v>
      </c>
      <c r="B3253" s="87">
        <v>12</v>
      </c>
      <c r="C3253" s="173" t="s">
        <v>16</v>
      </c>
      <c r="D3253" s="173" t="s">
        <v>230</v>
      </c>
      <c r="E3253" s="173" t="s">
        <v>24</v>
      </c>
      <c r="F3253" s="173" t="s">
        <v>16</v>
      </c>
      <c r="G3253" s="87" t="b">
        <v>1</v>
      </c>
      <c r="H3253" s="87" t="b">
        <v>1</v>
      </c>
      <c r="I3253" s="87" t="b">
        <v>0</v>
      </c>
      <c r="J3253" s="173" t="s">
        <v>491</v>
      </c>
      <c r="K3253" s="174">
        <v>33804212000180</v>
      </c>
      <c r="L3253" s="173" t="s">
        <v>1413</v>
      </c>
      <c r="M3253" s="173" t="s">
        <v>131</v>
      </c>
      <c r="N3253" s="173" t="s">
        <v>61</v>
      </c>
      <c r="O3253" s="87">
        <v>70</v>
      </c>
      <c r="P3253" s="173" t="s">
        <v>20</v>
      </c>
      <c r="Q3253" s="1" t="s">
        <v>1338</v>
      </c>
      <c r="R3253" s="175">
        <v>60</v>
      </c>
      <c r="S3253">
        <v>12</v>
      </c>
    </row>
    <row r="3254" spans="1:19" x14ac:dyDescent="0.25">
      <c r="A3254" s="87">
        <v>2019</v>
      </c>
      <c r="B3254" s="87">
        <v>12</v>
      </c>
      <c r="C3254" s="173" t="s">
        <v>16</v>
      </c>
      <c r="D3254" s="173" t="s">
        <v>230</v>
      </c>
      <c r="E3254" s="173" t="s">
        <v>24</v>
      </c>
      <c r="F3254" s="173" t="s">
        <v>16</v>
      </c>
      <c r="G3254" s="87" t="b">
        <v>1</v>
      </c>
      <c r="H3254" s="87" t="b">
        <v>1</v>
      </c>
      <c r="I3254" s="87" t="b">
        <v>0</v>
      </c>
      <c r="J3254" s="173" t="s">
        <v>470</v>
      </c>
      <c r="K3254" s="174">
        <v>34058123000103</v>
      </c>
      <c r="L3254" s="173" t="s">
        <v>1118</v>
      </c>
      <c r="M3254" s="173" t="s">
        <v>131</v>
      </c>
      <c r="N3254" s="173" t="s">
        <v>61</v>
      </c>
      <c r="O3254" s="87">
        <v>70</v>
      </c>
      <c r="P3254" s="173" t="s">
        <v>20</v>
      </c>
      <c r="Q3254" s="1" t="s">
        <v>1338</v>
      </c>
      <c r="R3254" s="175">
        <v>155</v>
      </c>
      <c r="S3254">
        <v>31</v>
      </c>
    </row>
    <row r="3255" spans="1:19" x14ac:dyDescent="0.25">
      <c r="A3255" s="87">
        <v>2019</v>
      </c>
      <c r="B3255" s="87">
        <v>12</v>
      </c>
      <c r="C3255" s="173" t="s">
        <v>16</v>
      </c>
      <c r="D3255" s="173" t="s">
        <v>230</v>
      </c>
      <c r="E3255" s="173" t="s">
        <v>24</v>
      </c>
      <c r="F3255" s="173" t="s">
        <v>16</v>
      </c>
      <c r="G3255" s="87" t="b">
        <v>1</v>
      </c>
      <c r="H3255" s="87" t="b">
        <v>1</v>
      </c>
      <c r="I3255" s="87" t="b">
        <v>0</v>
      </c>
      <c r="J3255" s="173" t="s">
        <v>450</v>
      </c>
      <c r="K3255" s="174">
        <v>35917970000726</v>
      </c>
      <c r="L3255" s="173" t="s">
        <v>1062</v>
      </c>
      <c r="M3255" s="173" t="s">
        <v>105</v>
      </c>
      <c r="N3255" s="173" t="s">
        <v>61</v>
      </c>
      <c r="O3255" s="87">
        <v>73</v>
      </c>
      <c r="P3255" s="173" t="s">
        <v>26</v>
      </c>
      <c r="Q3255" s="1" t="s">
        <v>1340</v>
      </c>
      <c r="R3255" s="175">
        <v>3</v>
      </c>
      <c r="S3255">
        <v>3</v>
      </c>
    </row>
    <row r="3256" spans="1:19" x14ac:dyDescent="0.25">
      <c r="A3256" s="87">
        <v>2019</v>
      </c>
      <c r="B3256" s="87">
        <v>12</v>
      </c>
      <c r="C3256" s="173" t="s">
        <v>16</v>
      </c>
      <c r="D3256" s="173" t="s">
        <v>230</v>
      </c>
      <c r="E3256" s="173" t="s">
        <v>24</v>
      </c>
      <c r="F3256" s="173" t="s">
        <v>16</v>
      </c>
      <c r="G3256" s="87" t="b">
        <v>1</v>
      </c>
      <c r="H3256" s="87" t="b">
        <v>1</v>
      </c>
      <c r="I3256" s="87" t="b">
        <v>0</v>
      </c>
      <c r="J3256" s="173" t="s">
        <v>477</v>
      </c>
      <c r="K3256" s="174">
        <v>36238913000198</v>
      </c>
      <c r="L3256" s="173" t="s">
        <v>1063</v>
      </c>
      <c r="M3256" s="173" t="s">
        <v>1064</v>
      </c>
      <c r="N3256" s="173" t="s">
        <v>61</v>
      </c>
      <c r="O3256" s="87">
        <v>73</v>
      </c>
      <c r="P3256" s="173" t="s">
        <v>26</v>
      </c>
      <c r="Q3256" s="1" t="s">
        <v>1342</v>
      </c>
      <c r="R3256" s="175">
        <v>64</v>
      </c>
      <c r="S3256">
        <v>16</v>
      </c>
    </row>
    <row r="3257" spans="1:19" x14ac:dyDescent="0.25">
      <c r="A3257" s="87">
        <v>2019</v>
      </c>
      <c r="B3257" s="87">
        <v>12</v>
      </c>
      <c r="C3257" s="173" t="s">
        <v>16</v>
      </c>
      <c r="D3257" s="173" t="s">
        <v>230</v>
      </c>
      <c r="E3257" s="173" t="s">
        <v>24</v>
      </c>
      <c r="F3257" s="173" t="s">
        <v>16</v>
      </c>
      <c r="G3257" s="87" t="b">
        <v>1</v>
      </c>
      <c r="H3257" s="87" t="b">
        <v>1</v>
      </c>
      <c r="I3257" s="87" t="b">
        <v>0</v>
      </c>
      <c r="J3257" s="173" t="s">
        <v>450</v>
      </c>
      <c r="K3257" s="174">
        <v>37108388000159</v>
      </c>
      <c r="L3257" s="173" t="s">
        <v>916</v>
      </c>
      <c r="M3257" s="173" t="s">
        <v>739</v>
      </c>
      <c r="N3257" s="173" t="s">
        <v>55</v>
      </c>
      <c r="O3257" s="87">
        <v>62</v>
      </c>
      <c r="P3257" s="173" t="s">
        <v>27</v>
      </c>
      <c r="Q3257" s="1" t="s">
        <v>1343</v>
      </c>
      <c r="R3257" s="175">
        <v>4</v>
      </c>
      <c r="S3257">
        <v>4</v>
      </c>
    </row>
    <row r="3258" spans="1:19" x14ac:dyDescent="0.25">
      <c r="A3258" s="87">
        <v>2019</v>
      </c>
      <c r="B3258" s="87">
        <v>12</v>
      </c>
      <c r="C3258" s="173" t="s">
        <v>16</v>
      </c>
      <c r="D3258" s="173" t="s">
        <v>230</v>
      </c>
      <c r="E3258" s="173" t="s">
        <v>24</v>
      </c>
      <c r="F3258" s="173" t="s">
        <v>16</v>
      </c>
      <c r="G3258" s="87" t="b">
        <v>1</v>
      </c>
      <c r="H3258" s="87" t="b">
        <v>1</v>
      </c>
      <c r="I3258" s="87" t="b">
        <v>0</v>
      </c>
      <c r="J3258" s="173" t="s">
        <v>468</v>
      </c>
      <c r="K3258" s="174">
        <v>37108388000159</v>
      </c>
      <c r="L3258" s="173" t="s">
        <v>916</v>
      </c>
      <c r="M3258" s="173" t="s">
        <v>739</v>
      </c>
      <c r="N3258" s="173" t="s">
        <v>55</v>
      </c>
      <c r="O3258" s="87">
        <v>64</v>
      </c>
      <c r="P3258" s="173" t="s">
        <v>25</v>
      </c>
      <c r="Q3258" s="1" t="s">
        <v>1344</v>
      </c>
      <c r="R3258" s="175">
        <v>17</v>
      </c>
      <c r="S3258">
        <v>17</v>
      </c>
    </row>
    <row r="3259" spans="1:19" x14ac:dyDescent="0.25">
      <c r="A3259" s="87">
        <v>2019</v>
      </c>
      <c r="B3259" s="87">
        <v>12</v>
      </c>
      <c r="C3259" s="173" t="s">
        <v>16</v>
      </c>
      <c r="D3259" s="173" t="s">
        <v>230</v>
      </c>
      <c r="E3259" s="173" t="s">
        <v>24</v>
      </c>
      <c r="F3259" s="173" t="s">
        <v>16</v>
      </c>
      <c r="G3259" s="87" t="b">
        <v>1</v>
      </c>
      <c r="H3259" s="87" t="b">
        <v>1</v>
      </c>
      <c r="I3259" s="87" t="b">
        <v>0</v>
      </c>
      <c r="J3259" s="173" t="s">
        <v>468</v>
      </c>
      <c r="K3259" s="174">
        <v>38000485000196</v>
      </c>
      <c r="L3259" s="173" t="s">
        <v>917</v>
      </c>
      <c r="M3259" s="173" t="s">
        <v>739</v>
      </c>
      <c r="N3259" s="173" t="s">
        <v>55</v>
      </c>
      <c r="O3259" s="87">
        <v>64</v>
      </c>
      <c r="P3259" s="173" t="s">
        <v>25</v>
      </c>
      <c r="Q3259" s="1" t="s">
        <v>1344</v>
      </c>
      <c r="R3259" s="175">
        <v>7</v>
      </c>
      <c r="S3259">
        <v>7</v>
      </c>
    </row>
    <row r="3260" spans="1:19" x14ac:dyDescent="0.25">
      <c r="A3260" s="87">
        <v>2019</v>
      </c>
      <c r="B3260" s="87">
        <v>12</v>
      </c>
      <c r="C3260" s="173" t="s">
        <v>16</v>
      </c>
      <c r="D3260" s="173" t="s">
        <v>230</v>
      </c>
      <c r="E3260" s="173" t="s">
        <v>24</v>
      </c>
      <c r="F3260" s="173" t="s">
        <v>16</v>
      </c>
      <c r="G3260" s="87" t="b">
        <v>1</v>
      </c>
      <c r="H3260" s="87" t="b">
        <v>1</v>
      </c>
      <c r="I3260" s="87" t="b">
        <v>0</v>
      </c>
      <c r="J3260" s="173" t="s">
        <v>470</v>
      </c>
      <c r="K3260" s="174">
        <v>39086160000130</v>
      </c>
      <c r="L3260" s="173" t="s">
        <v>1119</v>
      </c>
      <c r="M3260" s="173" t="s">
        <v>131</v>
      </c>
      <c r="N3260" s="173" t="s">
        <v>61</v>
      </c>
      <c r="O3260" s="87">
        <v>70</v>
      </c>
      <c r="P3260" s="173" t="s">
        <v>20</v>
      </c>
      <c r="Q3260" s="1" t="s">
        <v>1338</v>
      </c>
      <c r="R3260" s="175">
        <v>250</v>
      </c>
      <c r="S3260">
        <v>50</v>
      </c>
    </row>
    <row r="3261" spans="1:19" x14ac:dyDescent="0.25">
      <c r="A3261" s="87">
        <v>2019</v>
      </c>
      <c r="B3261" s="87">
        <v>12</v>
      </c>
      <c r="C3261" s="173" t="s">
        <v>16</v>
      </c>
      <c r="D3261" s="173" t="s">
        <v>230</v>
      </c>
      <c r="E3261" s="173" t="s">
        <v>24</v>
      </c>
      <c r="F3261" s="173" t="s">
        <v>16</v>
      </c>
      <c r="G3261" s="87" t="b">
        <v>1</v>
      </c>
      <c r="H3261" s="87" t="b">
        <v>1</v>
      </c>
      <c r="I3261" s="87" t="b">
        <v>0</v>
      </c>
      <c r="J3261" s="173" t="s">
        <v>470</v>
      </c>
      <c r="K3261" s="174">
        <v>39086160000130</v>
      </c>
      <c r="L3261" s="173" t="s">
        <v>1119</v>
      </c>
      <c r="M3261" s="173" t="s">
        <v>131</v>
      </c>
      <c r="N3261" s="173" t="s">
        <v>61</v>
      </c>
      <c r="O3261" s="87">
        <v>73</v>
      </c>
      <c r="P3261" s="173" t="s">
        <v>26</v>
      </c>
      <c r="Q3261" s="1" t="s">
        <v>1342</v>
      </c>
      <c r="R3261" s="175">
        <v>24</v>
      </c>
      <c r="S3261">
        <v>6</v>
      </c>
    </row>
    <row r="3262" spans="1:19" x14ac:dyDescent="0.25">
      <c r="A3262" s="87">
        <v>2019</v>
      </c>
      <c r="B3262" s="87">
        <v>12</v>
      </c>
      <c r="C3262" s="173" t="s">
        <v>16</v>
      </c>
      <c r="D3262" s="173" t="s">
        <v>230</v>
      </c>
      <c r="E3262" s="173" t="s">
        <v>24</v>
      </c>
      <c r="F3262" s="173" t="s">
        <v>16</v>
      </c>
      <c r="G3262" s="87" t="b">
        <v>1</v>
      </c>
      <c r="H3262" s="87" t="b">
        <v>1</v>
      </c>
      <c r="I3262" s="87" t="b">
        <v>0</v>
      </c>
      <c r="J3262" s="173" t="s">
        <v>492</v>
      </c>
      <c r="K3262" s="174">
        <v>39387477000107</v>
      </c>
      <c r="L3262" s="173" t="s">
        <v>1218</v>
      </c>
      <c r="M3262" s="173" t="s">
        <v>1157</v>
      </c>
      <c r="N3262" s="173" t="s">
        <v>98</v>
      </c>
      <c r="O3262" s="87">
        <v>70</v>
      </c>
      <c r="P3262" s="173" t="s">
        <v>20</v>
      </c>
      <c r="Q3262" s="1" t="s">
        <v>1338</v>
      </c>
      <c r="R3262" s="175">
        <v>175</v>
      </c>
      <c r="S3262">
        <v>35</v>
      </c>
    </row>
    <row r="3263" spans="1:19" x14ac:dyDescent="0.25">
      <c r="A3263" s="87">
        <v>2019</v>
      </c>
      <c r="B3263" s="87">
        <v>12</v>
      </c>
      <c r="C3263" s="173" t="s">
        <v>16</v>
      </c>
      <c r="D3263" s="173" t="s">
        <v>230</v>
      </c>
      <c r="E3263" s="173" t="s">
        <v>24</v>
      </c>
      <c r="F3263" s="173" t="s">
        <v>16</v>
      </c>
      <c r="G3263" s="87" t="b">
        <v>1</v>
      </c>
      <c r="H3263" s="87" t="b">
        <v>1</v>
      </c>
      <c r="I3263" s="87" t="b">
        <v>0</v>
      </c>
      <c r="J3263" s="173" t="s">
        <v>478</v>
      </c>
      <c r="K3263" s="174">
        <v>41781949000234</v>
      </c>
      <c r="L3263" s="173" t="s">
        <v>1219</v>
      </c>
      <c r="M3263" s="173" t="s">
        <v>1220</v>
      </c>
      <c r="N3263" s="173" t="s">
        <v>54</v>
      </c>
      <c r="O3263" s="87">
        <v>70</v>
      </c>
      <c r="P3263" s="173" t="s">
        <v>20</v>
      </c>
      <c r="Q3263" s="1" t="s">
        <v>1338</v>
      </c>
      <c r="R3263" s="175">
        <v>120</v>
      </c>
      <c r="S3263">
        <v>24</v>
      </c>
    </row>
    <row r="3264" spans="1:19" x14ac:dyDescent="0.25">
      <c r="A3264" s="87">
        <v>2019</v>
      </c>
      <c r="B3264" s="87">
        <v>12</v>
      </c>
      <c r="C3264" s="173" t="s">
        <v>16</v>
      </c>
      <c r="D3264" s="173" t="s">
        <v>230</v>
      </c>
      <c r="E3264" s="173" t="s">
        <v>24</v>
      </c>
      <c r="F3264" s="173" t="s">
        <v>16</v>
      </c>
      <c r="G3264" s="87" t="b">
        <v>1</v>
      </c>
      <c r="H3264" s="87" t="b">
        <v>1</v>
      </c>
      <c r="I3264" s="87" t="b">
        <v>0</v>
      </c>
      <c r="J3264" s="173" t="s">
        <v>463</v>
      </c>
      <c r="K3264" s="174">
        <v>41781949000234</v>
      </c>
      <c r="L3264" s="173" t="s">
        <v>1219</v>
      </c>
      <c r="M3264" s="173" t="s">
        <v>1220</v>
      </c>
      <c r="N3264" s="173" t="s">
        <v>54</v>
      </c>
      <c r="O3264" s="87">
        <v>70</v>
      </c>
      <c r="P3264" s="173" t="s">
        <v>20</v>
      </c>
      <c r="Q3264" s="1" t="s">
        <v>1338</v>
      </c>
      <c r="R3264" s="175">
        <v>40</v>
      </c>
      <c r="S3264">
        <v>8</v>
      </c>
    </row>
    <row r="3265" spans="1:19" x14ac:dyDescent="0.25">
      <c r="A3265" s="87">
        <v>2019</v>
      </c>
      <c r="B3265" s="87">
        <v>12</v>
      </c>
      <c r="C3265" s="173" t="s">
        <v>16</v>
      </c>
      <c r="D3265" s="173" t="s">
        <v>230</v>
      </c>
      <c r="E3265" s="173" t="s">
        <v>24</v>
      </c>
      <c r="F3265" s="173" t="s">
        <v>16</v>
      </c>
      <c r="G3265" s="87" t="b">
        <v>1</v>
      </c>
      <c r="H3265" s="87" t="b">
        <v>1</v>
      </c>
      <c r="I3265" s="87" t="b">
        <v>0</v>
      </c>
      <c r="J3265" s="173" t="s">
        <v>477</v>
      </c>
      <c r="K3265" s="174">
        <v>42297507000107</v>
      </c>
      <c r="L3265" s="173" t="s">
        <v>1122</v>
      </c>
      <c r="M3265" s="173" t="s">
        <v>131</v>
      </c>
      <c r="N3265" s="173" t="s">
        <v>61</v>
      </c>
      <c r="O3265" s="87">
        <v>62</v>
      </c>
      <c r="P3265" s="173" t="s">
        <v>27</v>
      </c>
      <c r="Q3265" s="1" t="s">
        <v>1343</v>
      </c>
      <c r="R3265" s="175">
        <v>6</v>
      </c>
      <c r="S3265">
        <v>6</v>
      </c>
    </row>
    <row r="3266" spans="1:19" x14ac:dyDescent="0.25">
      <c r="A3266" s="87">
        <v>2019</v>
      </c>
      <c r="B3266" s="87">
        <v>12</v>
      </c>
      <c r="C3266" s="173" t="s">
        <v>16</v>
      </c>
      <c r="D3266" s="173" t="s">
        <v>230</v>
      </c>
      <c r="E3266" s="173" t="s">
        <v>24</v>
      </c>
      <c r="F3266" s="173" t="s">
        <v>16</v>
      </c>
      <c r="G3266" s="87" t="b">
        <v>1</v>
      </c>
      <c r="H3266" s="87" t="b">
        <v>1</v>
      </c>
      <c r="I3266" s="87" t="b">
        <v>0</v>
      </c>
      <c r="J3266" s="173" t="s">
        <v>477</v>
      </c>
      <c r="K3266" s="174">
        <v>42297507000107</v>
      </c>
      <c r="L3266" s="173" t="s">
        <v>1122</v>
      </c>
      <c r="M3266" s="173" t="s">
        <v>131</v>
      </c>
      <c r="N3266" s="173" t="s">
        <v>61</v>
      </c>
      <c r="O3266" s="87">
        <v>64</v>
      </c>
      <c r="P3266" s="173" t="s">
        <v>25</v>
      </c>
      <c r="Q3266" s="1" t="s">
        <v>1344</v>
      </c>
      <c r="R3266" s="175">
        <v>6</v>
      </c>
      <c r="S3266">
        <v>6</v>
      </c>
    </row>
    <row r="3267" spans="1:19" x14ac:dyDescent="0.25">
      <c r="A3267" s="87">
        <v>2019</v>
      </c>
      <c r="B3267" s="87">
        <v>12</v>
      </c>
      <c r="C3267" s="173" t="s">
        <v>16</v>
      </c>
      <c r="D3267" s="173" t="s">
        <v>230</v>
      </c>
      <c r="E3267" s="173" t="s">
        <v>24</v>
      </c>
      <c r="F3267" s="173" t="s">
        <v>16</v>
      </c>
      <c r="G3267" s="87" t="b">
        <v>1</v>
      </c>
      <c r="H3267" s="87" t="b">
        <v>1</v>
      </c>
      <c r="I3267" s="87" t="b">
        <v>0</v>
      </c>
      <c r="J3267" s="173" t="s">
        <v>1330</v>
      </c>
      <c r="K3267" s="174">
        <v>42498733000148</v>
      </c>
      <c r="L3267" s="173" t="s">
        <v>1221</v>
      </c>
      <c r="M3267" s="173" t="s">
        <v>131</v>
      </c>
      <c r="N3267" s="173" t="s">
        <v>61</v>
      </c>
      <c r="O3267" s="87">
        <v>70</v>
      </c>
      <c r="P3267" s="173" t="s">
        <v>20</v>
      </c>
      <c r="Q3267" s="1" t="s">
        <v>1346</v>
      </c>
      <c r="R3267" s="175">
        <v>730</v>
      </c>
      <c r="S3267">
        <v>292</v>
      </c>
    </row>
    <row r="3268" spans="1:19" x14ac:dyDescent="0.25">
      <c r="A3268" s="87">
        <v>2019</v>
      </c>
      <c r="B3268" s="87">
        <v>12</v>
      </c>
      <c r="C3268" s="173" t="s">
        <v>16</v>
      </c>
      <c r="D3268" s="173" t="s">
        <v>230</v>
      </c>
      <c r="E3268" s="173" t="s">
        <v>24</v>
      </c>
      <c r="F3268" s="173" t="s">
        <v>16</v>
      </c>
      <c r="G3268" s="87" t="b">
        <v>1</v>
      </c>
      <c r="H3268" s="87" t="b">
        <v>1</v>
      </c>
      <c r="I3268" s="87" t="b">
        <v>0</v>
      </c>
      <c r="J3268" s="173" t="s">
        <v>470</v>
      </c>
      <c r="K3268" s="174">
        <v>43775956000178</v>
      </c>
      <c r="L3268" s="173" t="s">
        <v>597</v>
      </c>
      <c r="M3268" s="173" t="s">
        <v>29</v>
      </c>
      <c r="N3268" s="173" t="s">
        <v>19</v>
      </c>
      <c r="O3268" s="87">
        <v>70</v>
      </c>
      <c r="P3268" s="173" t="s">
        <v>20</v>
      </c>
      <c r="Q3268" s="1" t="s">
        <v>1338</v>
      </c>
      <c r="R3268" s="175">
        <v>90</v>
      </c>
      <c r="S3268">
        <v>18</v>
      </c>
    </row>
    <row r="3269" spans="1:19" x14ac:dyDescent="0.25">
      <c r="A3269" s="87">
        <v>2019</v>
      </c>
      <c r="B3269" s="87">
        <v>12</v>
      </c>
      <c r="C3269" s="173" t="s">
        <v>16</v>
      </c>
      <c r="D3269" s="173" t="s">
        <v>230</v>
      </c>
      <c r="E3269" s="173" t="s">
        <v>24</v>
      </c>
      <c r="F3269" s="173" t="s">
        <v>16</v>
      </c>
      <c r="G3269" s="87" t="b">
        <v>1</v>
      </c>
      <c r="H3269" s="87" t="b">
        <v>1</v>
      </c>
      <c r="I3269" s="87" t="b">
        <v>0</v>
      </c>
      <c r="J3269" s="173" t="s">
        <v>491</v>
      </c>
      <c r="K3269" s="174">
        <v>44456036000311</v>
      </c>
      <c r="L3269" s="173" t="s">
        <v>675</v>
      </c>
      <c r="M3269" s="173" t="s">
        <v>37</v>
      </c>
      <c r="N3269" s="173" t="s">
        <v>19</v>
      </c>
      <c r="O3269" s="87">
        <v>62</v>
      </c>
      <c r="P3269" s="173" t="s">
        <v>27</v>
      </c>
      <c r="Q3269" s="1" t="s">
        <v>1343</v>
      </c>
      <c r="R3269" s="175">
        <v>2</v>
      </c>
      <c r="S3269">
        <v>2</v>
      </c>
    </row>
    <row r="3270" spans="1:19" x14ac:dyDescent="0.25">
      <c r="A3270" s="87">
        <v>2019</v>
      </c>
      <c r="B3270" s="87">
        <v>12</v>
      </c>
      <c r="C3270" s="173" t="s">
        <v>16</v>
      </c>
      <c r="D3270" s="173" t="s">
        <v>230</v>
      </c>
      <c r="E3270" s="173" t="s">
        <v>24</v>
      </c>
      <c r="F3270" s="173" t="s">
        <v>16</v>
      </c>
      <c r="G3270" s="87" t="b">
        <v>1</v>
      </c>
      <c r="H3270" s="87" t="b">
        <v>1</v>
      </c>
      <c r="I3270" s="87" t="b">
        <v>0</v>
      </c>
      <c r="J3270" s="173" t="s">
        <v>491</v>
      </c>
      <c r="K3270" s="174">
        <v>44456036000311</v>
      </c>
      <c r="L3270" s="173" t="s">
        <v>675</v>
      </c>
      <c r="M3270" s="173" t="s">
        <v>37</v>
      </c>
      <c r="N3270" s="173" t="s">
        <v>19</v>
      </c>
      <c r="O3270" s="87">
        <v>64</v>
      </c>
      <c r="P3270" s="173" t="s">
        <v>25</v>
      </c>
      <c r="Q3270" s="1" t="s">
        <v>1344</v>
      </c>
      <c r="R3270" s="175">
        <v>1</v>
      </c>
      <c r="S3270">
        <v>1</v>
      </c>
    </row>
    <row r="3271" spans="1:19" x14ac:dyDescent="0.25">
      <c r="A3271" s="87">
        <v>2019</v>
      </c>
      <c r="B3271" s="87">
        <v>12</v>
      </c>
      <c r="C3271" s="173" t="s">
        <v>16</v>
      </c>
      <c r="D3271" s="173" t="s">
        <v>230</v>
      </c>
      <c r="E3271" s="173" t="s">
        <v>24</v>
      </c>
      <c r="F3271" s="173" t="s">
        <v>16</v>
      </c>
      <c r="G3271" s="87" t="b">
        <v>1</v>
      </c>
      <c r="H3271" s="87" t="b">
        <v>1</v>
      </c>
      <c r="I3271" s="87" t="b">
        <v>0</v>
      </c>
      <c r="J3271" s="173" t="s">
        <v>1330</v>
      </c>
      <c r="K3271" s="174">
        <v>44531788000138</v>
      </c>
      <c r="L3271" s="173" t="s">
        <v>676</v>
      </c>
      <c r="M3271" s="173" t="s">
        <v>38</v>
      </c>
      <c r="N3271" s="173" t="s">
        <v>19</v>
      </c>
      <c r="O3271" s="87">
        <v>73</v>
      </c>
      <c r="P3271" s="173" t="s">
        <v>26</v>
      </c>
      <c r="Q3271" s="1" t="s">
        <v>1339</v>
      </c>
      <c r="R3271" s="175">
        <v>8</v>
      </c>
      <c r="S3271">
        <v>4</v>
      </c>
    </row>
    <row r="3272" spans="1:19" x14ac:dyDescent="0.25">
      <c r="A3272" s="87">
        <v>2019</v>
      </c>
      <c r="B3272" s="87">
        <v>12</v>
      </c>
      <c r="C3272" s="173" t="s">
        <v>16</v>
      </c>
      <c r="D3272" s="173" t="s">
        <v>230</v>
      </c>
      <c r="E3272" s="173" t="s">
        <v>24</v>
      </c>
      <c r="F3272" s="173" t="s">
        <v>16</v>
      </c>
      <c r="G3272" s="87" t="b">
        <v>1</v>
      </c>
      <c r="H3272" s="87" t="b">
        <v>1</v>
      </c>
      <c r="I3272" s="87" t="b">
        <v>0</v>
      </c>
      <c r="J3272" s="173" t="s">
        <v>1330</v>
      </c>
      <c r="K3272" s="174">
        <v>44531788000138</v>
      </c>
      <c r="L3272" s="173" t="s">
        <v>676</v>
      </c>
      <c r="M3272" s="173" t="s">
        <v>38</v>
      </c>
      <c r="N3272" s="173" t="s">
        <v>19</v>
      </c>
      <c r="O3272" s="87">
        <v>73</v>
      </c>
      <c r="P3272" s="173" t="s">
        <v>26</v>
      </c>
      <c r="Q3272" s="1" t="s">
        <v>1342</v>
      </c>
      <c r="R3272" s="175">
        <v>32</v>
      </c>
      <c r="S3272">
        <v>8</v>
      </c>
    </row>
    <row r="3273" spans="1:19" x14ac:dyDescent="0.25">
      <c r="A3273" s="87">
        <v>2019</v>
      </c>
      <c r="B3273" s="87">
        <v>12</v>
      </c>
      <c r="C3273" s="173" t="s">
        <v>16</v>
      </c>
      <c r="D3273" s="173" t="s">
        <v>230</v>
      </c>
      <c r="E3273" s="173" t="s">
        <v>24</v>
      </c>
      <c r="F3273" s="173" t="s">
        <v>16</v>
      </c>
      <c r="G3273" s="87" t="b">
        <v>1</v>
      </c>
      <c r="H3273" s="87" t="b">
        <v>1</v>
      </c>
      <c r="I3273" s="87" t="b">
        <v>0</v>
      </c>
      <c r="J3273" s="173" t="s">
        <v>450</v>
      </c>
      <c r="K3273" s="174">
        <v>44595700000141</v>
      </c>
      <c r="L3273" s="173" t="s">
        <v>1375</v>
      </c>
      <c r="M3273" s="173" t="s">
        <v>33</v>
      </c>
      <c r="N3273" s="173" t="s">
        <v>19</v>
      </c>
      <c r="O3273" s="87">
        <v>70</v>
      </c>
      <c r="P3273" s="173" t="s">
        <v>20</v>
      </c>
      <c r="Q3273" s="1" t="s">
        <v>1338</v>
      </c>
      <c r="R3273" s="175">
        <v>45</v>
      </c>
      <c r="S3273">
        <v>9</v>
      </c>
    </row>
    <row r="3274" spans="1:19" x14ac:dyDescent="0.25">
      <c r="A3274" s="87">
        <v>2019</v>
      </c>
      <c r="B3274" s="87">
        <v>12</v>
      </c>
      <c r="C3274" s="173" t="s">
        <v>16</v>
      </c>
      <c r="D3274" s="173" t="s">
        <v>230</v>
      </c>
      <c r="E3274" s="173" t="s">
        <v>24</v>
      </c>
      <c r="F3274" s="173" t="s">
        <v>16</v>
      </c>
      <c r="G3274" s="87" t="b">
        <v>1</v>
      </c>
      <c r="H3274" s="87" t="b">
        <v>1</v>
      </c>
      <c r="I3274" s="87" t="b">
        <v>0</v>
      </c>
      <c r="J3274" s="173" t="s">
        <v>463</v>
      </c>
      <c r="K3274" s="174">
        <v>44649812005520</v>
      </c>
      <c r="L3274" s="173" t="s">
        <v>598</v>
      </c>
      <c r="M3274" s="173" t="s">
        <v>29</v>
      </c>
      <c r="N3274" s="173" t="s">
        <v>19</v>
      </c>
      <c r="O3274" s="87">
        <v>70</v>
      </c>
      <c r="P3274" s="173" t="s">
        <v>20</v>
      </c>
      <c r="Q3274" s="1" t="s">
        <v>1338</v>
      </c>
      <c r="R3274" s="175">
        <v>70</v>
      </c>
      <c r="S3274">
        <v>14</v>
      </c>
    </row>
    <row r="3275" spans="1:19" x14ac:dyDescent="0.25">
      <c r="A3275" s="87">
        <v>2019</v>
      </c>
      <c r="B3275" s="87">
        <v>12</v>
      </c>
      <c r="C3275" s="173" t="s">
        <v>16</v>
      </c>
      <c r="D3275" s="173" t="s">
        <v>230</v>
      </c>
      <c r="E3275" s="173" t="s">
        <v>24</v>
      </c>
      <c r="F3275" s="173" t="s">
        <v>16</v>
      </c>
      <c r="G3275" s="87" t="b">
        <v>1</v>
      </c>
      <c r="H3275" s="87" t="b">
        <v>1</v>
      </c>
      <c r="I3275" s="87" t="b">
        <v>0</v>
      </c>
      <c r="J3275" s="173" t="s">
        <v>450</v>
      </c>
      <c r="K3275" s="174">
        <v>44649812019238</v>
      </c>
      <c r="L3275" s="173" t="s">
        <v>679</v>
      </c>
      <c r="M3275" s="173" t="s">
        <v>33</v>
      </c>
      <c r="N3275" s="173" t="s">
        <v>19</v>
      </c>
      <c r="O3275" s="87">
        <v>73</v>
      </c>
      <c r="P3275" s="173" t="s">
        <v>26</v>
      </c>
      <c r="Q3275" s="1" t="s">
        <v>1342</v>
      </c>
      <c r="R3275" s="175">
        <v>8</v>
      </c>
      <c r="S3275">
        <v>2</v>
      </c>
    </row>
    <row r="3276" spans="1:19" x14ac:dyDescent="0.25">
      <c r="A3276" s="87">
        <v>2019</v>
      </c>
      <c r="B3276" s="87">
        <v>12</v>
      </c>
      <c r="C3276" s="173" t="s">
        <v>16</v>
      </c>
      <c r="D3276" s="173" t="s">
        <v>230</v>
      </c>
      <c r="E3276" s="173" t="s">
        <v>24</v>
      </c>
      <c r="F3276" s="173" t="s">
        <v>16</v>
      </c>
      <c r="G3276" s="87" t="b">
        <v>1</v>
      </c>
      <c r="H3276" s="87" t="b">
        <v>1</v>
      </c>
      <c r="I3276" s="87" t="b">
        <v>0</v>
      </c>
      <c r="J3276" s="173" t="s">
        <v>463</v>
      </c>
      <c r="K3276" s="174">
        <v>44649812021216</v>
      </c>
      <c r="L3276" s="173" t="s">
        <v>1360</v>
      </c>
      <c r="M3276" s="173" t="s">
        <v>29</v>
      </c>
      <c r="N3276" s="173" t="s">
        <v>19</v>
      </c>
      <c r="O3276" s="87">
        <v>73</v>
      </c>
      <c r="P3276" s="173" t="s">
        <v>26</v>
      </c>
      <c r="Q3276" s="1" t="s">
        <v>1339</v>
      </c>
      <c r="R3276" s="175">
        <v>8</v>
      </c>
      <c r="S3276">
        <v>4</v>
      </c>
    </row>
    <row r="3277" spans="1:19" x14ac:dyDescent="0.25">
      <c r="A3277" s="87">
        <v>2019</v>
      </c>
      <c r="B3277" s="87">
        <v>12</v>
      </c>
      <c r="C3277" s="173" t="s">
        <v>16</v>
      </c>
      <c r="D3277" s="173" t="s">
        <v>230</v>
      </c>
      <c r="E3277" s="173" t="s">
        <v>24</v>
      </c>
      <c r="F3277" s="173" t="s">
        <v>16</v>
      </c>
      <c r="G3277" s="87" t="b">
        <v>1</v>
      </c>
      <c r="H3277" s="87" t="b">
        <v>1</v>
      </c>
      <c r="I3277" s="87" t="b">
        <v>0</v>
      </c>
      <c r="J3277" s="173" t="s">
        <v>450</v>
      </c>
      <c r="K3277" s="174">
        <v>44663631000590</v>
      </c>
      <c r="L3277" s="173" t="s">
        <v>680</v>
      </c>
      <c r="M3277" s="173" t="s">
        <v>39</v>
      </c>
      <c r="N3277" s="173" t="s">
        <v>19</v>
      </c>
      <c r="O3277" s="87">
        <v>70</v>
      </c>
      <c r="P3277" s="173" t="s">
        <v>20</v>
      </c>
      <c r="Q3277" s="1" t="s">
        <v>1338</v>
      </c>
      <c r="R3277" s="175">
        <v>30</v>
      </c>
      <c r="S3277">
        <v>6</v>
      </c>
    </row>
    <row r="3278" spans="1:19" x14ac:dyDescent="0.25">
      <c r="A3278" s="87">
        <v>2019</v>
      </c>
      <c r="B3278" s="87">
        <v>12</v>
      </c>
      <c r="C3278" s="173" t="s">
        <v>16</v>
      </c>
      <c r="D3278" s="173" t="s">
        <v>230</v>
      </c>
      <c r="E3278" s="173" t="s">
        <v>24</v>
      </c>
      <c r="F3278" s="173" t="s">
        <v>16</v>
      </c>
      <c r="G3278" s="87" t="b">
        <v>1</v>
      </c>
      <c r="H3278" s="87" t="b">
        <v>1</v>
      </c>
      <c r="I3278" s="87" t="b">
        <v>0</v>
      </c>
      <c r="J3278" s="173" t="s">
        <v>491</v>
      </c>
      <c r="K3278" s="174">
        <v>44663631000590</v>
      </c>
      <c r="L3278" s="173" t="s">
        <v>680</v>
      </c>
      <c r="M3278" s="173" t="s">
        <v>39</v>
      </c>
      <c r="N3278" s="173" t="s">
        <v>19</v>
      </c>
      <c r="O3278" s="87">
        <v>73</v>
      </c>
      <c r="P3278" s="173" t="s">
        <v>26</v>
      </c>
      <c r="Q3278" s="1" t="s">
        <v>1342</v>
      </c>
      <c r="R3278" s="175">
        <v>32</v>
      </c>
      <c r="S3278">
        <v>8</v>
      </c>
    </row>
    <row r="3279" spans="1:19" x14ac:dyDescent="0.25">
      <c r="A3279" s="87">
        <v>2019</v>
      </c>
      <c r="B3279" s="87">
        <v>12</v>
      </c>
      <c r="C3279" s="173" t="s">
        <v>16</v>
      </c>
      <c r="D3279" s="173" t="s">
        <v>230</v>
      </c>
      <c r="E3279" s="173" t="s">
        <v>24</v>
      </c>
      <c r="F3279" s="173" t="s">
        <v>16</v>
      </c>
      <c r="G3279" s="87" t="b">
        <v>1</v>
      </c>
      <c r="H3279" s="87" t="b">
        <v>1</v>
      </c>
      <c r="I3279" s="87" t="b">
        <v>0</v>
      </c>
      <c r="J3279" s="173" t="s">
        <v>450</v>
      </c>
      <c r="K3279" s="174">
        <v>44803922000293</v>
      </c>
      <c r="L3279" s="173" t="s">
        <v>681</v>
      </c>
      <c r="M3279" s="173" t="s">
        <v>40</v>
      </c>
      <c r="N3279" s="173" t="s">
        <v>19</v>
      </c>
      <c r="O3279" s="87">
        <v>73</v>
      </c>
      <c r="P3279" s="173" t="s">
        <v>26</v>
      </c>
      <c r="Q3279" s="1" t="s">
        <v>1340</v>
      </c>
      <c r="R3279" s="175">
        <v>8</v>
      </c>
      <c r="S3279">
        <v>8</v>
      </c>
    </row>
    <row r="3280" spans="1:19" x14ac:dyDescent="0.25">
      <c r="A3280" s="87">
        <v>2019</v>
      </c>
      <c r="B3280" s="87">
        <v>12</v>
      </c>
      <c r="C3280" s="173" t="s">
        <v>16</v>
      </c>
      <c r="D3280" s="173" t="s">
        <v>230</v>
      </c>
      <c r="E3280" s="173" t="s">
        <v>24</v>
      </c>
      <c r="F3280" s="173" t="s">
        <v>16</v>
      </c>
      <c r="G3280" s="87" t="b">
        <v>1</v>
      </c>
      <c r="H3280" s="87" t="b">
        <v>1</v>
      </c>
      <c r="I3280" s="87" t="b">
        <v>0</v>
      </c>
      <c r="J3280" s="173" t="s">
        <v>463</v>
      </c>
      <c r="K3280" s="174">
        <v>44863959000126</v>
      </c>
      <c r="L3280" s="173" t="s">
        <v>682</v>
      </c>
      <c r="M3280" s="173" t="s">
        <v>544</v>
      </c>
      <c r="N3280" s="173" t="s">
        <v>19</v>
      </c>
      <c r="O3280" s="87">
        <v>70</v>
      </c>
      <c r="P3280" s="173" t="s">
        <v>20</v>
      </c>
      <c r="Q3280" s="1" t="s">
        <v>1338</v>
      </c>
      <c r="R3280" s="175">
        <v>30</v>
      </c>
      <c r="S3280">
        <v>6</v>
      </c>
    </row>
    <row r="3281" spans="1:19" x14ac:dyDescent="0.25">
      <c r="A3281" s="87">
        <v>2019</v>
      </c>
      <c r="B3281" s="87">
        <v>12</v>
      </c>
      <c r="C3281" s="173" t="s">
        <v>16</v>
      </c>
      <c r="D3281" s="173" t="s">
        <v>230</v>
      </c>
      <c r="E3281" s="173" t="s">
        <v>24</v>
      </c>
      <c r="F3281" s="173" t="s">
        <v>16</v>
      </c>
      <c r="G3281" s="87" t="b">
        <v>1</v>
      </c>
      <c r="H3281" s="87" t="b">
        <v>1</v>
      </c>
      <c r="I3281" s="87" t="b">
        <v>0</v>
      </c>
      <c r="J3281" s="173" t="s">
        <v>450</v>
      </c>
      <c r="K3281" s="174">
        <v>45118429001279</v>
      </c>
      <c r="L3281" s="173" t="s">
        <v>683</v>
      </c>
      <c r="M3281" s="173" t="s">
        <v>41</v>
      </c>
      <c r="N3281" s="173" t="s">
        <v>19</v>
      </c>
      <c r="O3281" s="87">
        <v>70</v>
      </c>
      <c r="P3281" s="173" t="s">
        <v>20</v>
      </c>
      <c r="Q3281" s="1" t="s">
        <v>1338</v>
      </c>
      <c r="R3281" s="175">
        <v>50</v>
      </c>
      <c r="S3281">
        <v>10</v>
      </c>
    </row>
    <row r="3282" spans="1:19" x14ac:dyDescent="0.25">
      <c r="A3282" s="87">
        <v>2019</v>
      </c>
      <c r="B3282" s="87">
        <v>12</v>
      </c>
      <c r="C3282" s="173" t="s">
        <v>16</v>
      </c>
      <c r="D3282" s="173" t="s">
        <v>230</v>
      </c>
      <c r="E3282" s="173" t="s">
        <v>24</v>
      </c>
      <c r="F3282" s="173" t="s">
        <v>16</v>
      </c>
      <c r="G3282" s="87" t="b">
        <v>1</v>
      </c>
      <c r="H3282" s="87" t="b">
        <v>1</v>
      </c>
      <c r="I3282" s="87" t="b">
        <v>0</v>
      </c>
      <c r="J3282" s="173" t="s">
        <v>463</v>
      </c>
      <c r="K3282" s="174">
        <v>45118429001279</v>
      </c>
      <c r="L3282" s="173" t="s">
        <v>683</v>
      </c>
      <c r="M3282" s="173" t="s">
        <v>41</v>
      </c>
      <c r="N3282" s="173" t="s">
        <v>19</v>
      </c>
      <c r="O3282" s="87">
        <v>70</v>
      </c>
      <c r="P3282" s="173" t="s">
        <v>20</v>
      </c>
      <c r="Q3282" s="1" t="s">
        <v>1338</v>
      </c>
      <c r="R3282" s="175">
        <v>50</v>
      </c>
      <c r="S3282">
        <v>10</v>
      </c>
    </row>
    <row r="3283" spans="1:19" x14ac:dyDescent="0.25">
      <c r="A3283" s="87">
        <v>2019</v>
      </c>
      <c r="B3283" s="87">
        <v>12</v>
      </c>
      <c r="C3283" s="173" t="s">
        <v>16</v>
      </c>
      <c r="D3283" s="173" t="s">
        <v>230</v>
      </c>
      <c r="E3283" s="173" t="s">
        <v>24</v>
      </c>
      <c r="F3283" s="173" t="s">
        <v>16</v>
      </c>
      <c r="G3283" s="87" t="b">
        <v>1</v>
      </c>
      <c r="H3283" s="87" t="b">
        <v>1</v>
      </c>
      <c r="I3283" s="87" t="b">
        <v>0</v>
      </c>
      <c r="J3283" s="173" t="s">
        <v>491</v>
      </c>
      <c r="K3283" s="174">
        <v>45118429001279</v>
      </c>
      <c r="L3283" s="173" t="s">
        <v>683</v>
      </c>
      <c r="M3283" s="173" t="s">
        <v>41</v>
      </c>
      <c r="N3283" s="173" t="s">
        <v>19</v>
      </c>
      <c r="O3283" s="87">
        <v>73</v>
      </c>
      <c r="P3283" s="173" t="s">
        <v>26</v>
      </c>
      <c r="Q3283" s="1" t="s">
        <v>1339</v>
      </c>
      <c r="R3283" s="175">
        <v>4</v>
      </c>
      <c r="S3283">
        <v>2</v>
      </c>
    </row>
    <row r="3284" spans="1:19" x14ac:dyDescent="0.25">
      <c r="A3284" s="87">
        <v>2019</v>
      </c>
      <c r="B3284" s="87">
        <v>12</v>
      </c>
      <c r="C3284" s="173" t="s">
        <v>16</v>
      </c>
      <c r="D3284" s="173" t="s">
        <v>230</v>
      </c>
      <c r="E3284" s="173" t="s">
        <v>24</v>
      </c>
      <c r="F3284" s="173" t="s">
        <v>16</v>
      </c>
      <c r="G3284" s="87" t="b">
        <v>1</v>
      </c>
      <c r="H3284" s="87" t="b">
        <v>1</v>
      </c>
      <c r="I3284" s="87" t="b">
        <v>0</v>
      </c>
      <c r="J3284" s="173" t="s">
        <v>491</v>
      </c>
      <c r="K3284" s="174">
        <v>45118429001279</v>
      </c>
      <c r="L3284" s="173" t="s">
        <v>683</v>
      </c>
      <c r="M3284" s="173" t="s">
        <v>41</v>
      </c>
      <c r="N3284" s="173" t="s">
        <v>19</v>
      </c>
      <c r="O3284" s="87">
        <v>73</v>
      </c>
      <c r="P3284" s="173" t="s">
        <v>26</v>
      </c>
      <c r="Q3284" s="1" t="s">
        <v>1340</v>
      </c>
      <c r="R3284" s="175">
        <v>2</v>
      </c>
      <c r="S3284">
        <v>2</v>
      </c>
    </row>
    <row r="3285" spans="1:19" x14ac:dyDescent="0.25">
      <c r="A3285" s="87">
        <v>2019</v>
      </c>
      <c r="B3285" s="87">
        <v>12</v>
      </c>
      <c r="C3285" s="173" t="s">
        <v>16</v>
      </c>
      <c r="D3285" s="173" t="s">
        <v>230</v>
      </c>
      <c r="E3285" s="173" t="s">
        <v>24</v>
      </c>
      <c r="F3285" s="173" t="s">
        <v>16</v>
      </c>
      <c r="G3285" s="87" t="b">
        <v>1</v>
      </c>
      <c r="H3285" s="87" t="b">
        <v>1</v>
      </c>
      <c r="I3285" s="87" t="b">
        <v>0</v>
      </c>
      <c r="J3285" s="173" t="s">
        <v>463</v>
      </c>
      <c r="K3285" s="174">
        <v>45184066000117</v>
      </c>
      <c r="L3285" s="173" t="s">
        <v>684</v>
      </c>
      <c r="M3285" s="173" t="s">
        <v>650</v>
      </c>
      <c r="N3285" s="173" t="s">
        <v>19</v>
      </c>
      <c r="O3285" s="87">
        <v>73</v>
      </c>
      <c r="P3285" s="173" t="s">
        <v>26</v>
      </c>
      <c r="Q3285" s="1" t="s">
        <v>1342</v>
      </c>
      <c r="R3285" s="175">
        <v>8</v>
      </c>
      <c r="S3285">
        <v>2</v>
      </c>
    </row>
    <row r="3286" spans="1:19" x14ac:dyDescent="0.25">
      <c r="A3286" s="87">
        <v>2019</v>
      </c>
      <c r="B3286" s="87">
        <v>12</v>
      </c>
      <c r="C3286" s="173" t="s">
        <v>16</v>
      </c>
      <c r="D3286" s="173" t="s">
        <v>230</v>
      </c>
      <c r="E3286" s="173" t="s">
        <v>24</v>
      </c>
      <c r="F3286" s="173" t="s">
        <v>16</v>
      </c>
      <c r="G3286" s="87" t="b">
        <v>1</v>
      </c>
      <c r="H3286" s="87" t="b">
        <v>1</v>
      </c>
      <c r="I3286" s="87" t="b">
        <v>0</v>
      </c>
      <c r="J3286" s="173" t="s">
        <v>463</v>
      </c>
      <c r="K3286" s="174">
        <v>45184066000117</v>
      </c>
      <c r="L3286" s="173" t="s">
        <v>684</v>
      </c>
      <c r="M3286" s="173" t="s">
        <v>650</v>
      </c>
      <c r="N3286" s="173" t="s">
        <v>19</v>
      </c>
      <c r="O3286" s="87">
        <v>73</v>
      </c>
      <c r="P3286" s="173" t="s">
        <v>26</v>
      </c>
      <c r="Q3286" s="1" t="s">
        <v>1340</v>
      </c>
      <c r="R3286" s="175">
        <v>7</v>
      </c>
      <c r="S3286">
        <v>7</v>
      </c>
    </row>
    <row r="3287" spans="1:19" x14ac:dyDescent="0.25">
      <c r="A3287" s="87">
        <v>2019</v>
      </c>
      <c r="B3287" s="87">
        <v>12</v>
      </c>
      <c r="C3287" s="173" t="s">
        <v>16</v>
      </c>
      <c r="D3287" s="173" t="s">
        <v>230</v>
      </c>
      <c r="E3287" s="173" t="s">
        <v>24</v>
      </c>
      <c r="F3287" s="173" t="s">
        <v>16</v>
      </c>
      <c r="G3287" s="87" t="b">
        <v>1</v>
      </c>
      <c r="H3287" s="87" t="b">
        <v>1</v>
      </c>
      <c r="I3287" s="87" t="b">
        <v>0</v>
      </c>
      <c r="J3287" s="173" t="s">
        <v>470</v>
      </c>
      <c r="K3287" s="174">
        <v>45232246000550</v>
      </c>
      <c r="L3287" s="173" t="s">
        <v>685</v>
      </c>
      <c r="M3287" s="173" t="s">
        <v>639</v>
      </c>
      <c r="N3287" s="173" t="s">
        <v>19</v>
      </c>
      <c r="O3287" s="87">
        <v>70</v>
      </c>
      <c r="P3287" s="173" t="s">
        <v>20</v>
      </c>
      <c r="Q3287" s="1" t="s">
        <v>1338</v>
      </c>
      <c r="R3287" s="175">
        <v>150</v>
      </c>
      <c r="S3287">
        <v>30</v>
      </c>
    </row>
    <row r="3288" spans="1:19" x14ac:dyDescent="0.25">
      <c r="A3288" s="87">
        <v>2019</v>
      </c>
      <c r="B3288" s="87">
        <v>12</v>
      </c>
      <c r="C3288" s="173" t="s">
        <v>16</v>
      </c>
      <c r="D3288" s="173" t="s">
        <v>230</v>
      </c>
      <c r="E3288" s="173" t="s">
        <v>24</v>
      </c>
      <c r="F3288" s="173" t="s">
        <v>16</v>
      </c>
      <c r="G3288" s="87" t="b">
        <v>1</v>
      </c>
      <c r="H3288" s="87" t="b">
        <v>1</v>
      </c>
      <c r="I3288" s="87" t="b">
        <v>0</v>
      </c>
      <c r="J3288" s="173" t="s">
        <v>506</v>
      </c>
      <c r="K3288" s="174">
        <v>45232246000550</v>
      </c>
      <c r="L3288" s="173" t="s">
        <v>685</v>
      </c>
      <c r="M3288" s="173" t="s">
        <v>639</v>
      </c>
      <c r="N3288" s="173" t="s">
        <v>19</v>
      </c>
      <c r="O3288" s="87">
        <v>70</v>
      </c>
      <c r="P3288" s="173" t="s">
        <v>20</v>
      </c>
      <c r="Q3288" s="1" t="s">
        <v>1338</v>
      </c>
      <c r="R3288" s="175">
        <v>25</v>
      </c>
      <c r="S3288">
        <v>5</v>
      </c>
    </row>
    <row r="3289" spans="1:19" x14ac:dyDescent="0.25">
      <c r="A3289" s="87">
        <v>2019</v>
      </c>
      <c r="B3289" s="87">
        <v>12</v>
      </c>
      <c r="C3289" s="173" t="s">
        <v>16</v>
      </c>
      <c r="D3289" s="173" t="s">
        <v>230</v>
      </c>
      <c r="E3289" s="173" t="s">
        <v>24</v>
      </c>
      <c r="F3289" s="173" t="s">
        <v>16</v>
      </c>
      <c r="G3289" s="87" t="b">
        <v>1</v>
      </c>
      <c r="H3289" s="87" t="b">
        <v>1</v>
      </c>
      <c r="I3289" s="87" t="b">
        <v>0</v>
      </c>
      <c r="J3289" s="173" t="s">
        <v>463</v>
      </c>
      <c r="K3289" s="174">
        <v>45232246000550</v>
      </c>
      <c r="L3289" s="173" t="s">
        <v>685</v>
      </c>
      <c r="M3289" s="173" t="s">
        <v>639</v>
      </c>
      <c r="N3289" s="173" t="s">
        <v>19</v>
      </c>
      <c r="O3289" s="87">
        <v>73</v>
      </c>
      <c r="P3289" s="173" t="s">
        <v>26</v>
      </c>
      <c r="Q3289" s="1" t="s">
        <v>1339</v>
      </c>
      <c r="R3289" s="175">
        <v>8</v>
      </c>
      <c r="S3289">
        <v>4</v>
      </c>
    </row>
    <row r="3290" spans="1:19" x14ac:dyDescent="0.25">
      <c r="A3290" s="87">
        <v>2019</v>
      </c>
      <c r="B3290" s="87">
        <v>12</v>
      </c>
      <c r="C3290" s="173" t="s">
        <v>16</v>
      </c>
      <c r="D3290" s="173" t="s">
        <v>230</v>
      </c>
      <c r="E3290" s="173" t="s">
        <v>24</v>
      </c>
      <c r="F3290" s="173" t="s">
        <v>16</v>
      </c>
      <c r="G3290" s="87" t="b">
        <v>1</v>
      </c>
      <c r="H3290" s="87" t="b">
        <v>1</v>
      </c>
      <c r="I3290" s="87" t="b">
        <v>0</v>
      </c>
      <c r="J3290" s="173" t="s">
        <v>463</v>
      </c>
      <c r="K3290" s="174">
        <v>45232246000550</v>
      </c>
      <c r="L3290" s="173" t="s">
        <v>685</v>
      </c>
      <c r="M3290" s="173" t="s">
        <v>639</v>
      </c>
      <c r="N3290" s="173" t="s">
        <v>19</v>
      </c>
      <c r="O3290" s="87">
        <v>73</v>
      </c>
      <c r="P3290" s="173" t="s">
        <v>26</v>
      </c>
      <c r="Q3290" s="1" t="s">
        <v>1340</v>
      </c>
      <c r="R3290" s="175">
        <v>10</v>
      </c>
      <c r="S3290">
        <v>10</v>
      </c>
    </row>
    <row r="3291" spans="1:19" x14ac:dyDescent="0.25">
      <c r="A3291" s="87">
        <v>2019</v>
      </c>
      <c r="B3291" s="87">
        <v>12</v>
      </c>
      <c r="C3291" s="173" t="s">
        <v>16</v>
      </c>
      <c r="D3291" s="173" t="s">
        <v>230</v>
      </c>
      <c r="E3291" s="173" t="s">
        <v>24</v>
      </c>
      <c r="F3291" s="173" t="s">
        <v>16</v>
      </c>
      <c r="G3291" s="87" t="b">
        <v>1</v>
      </c>
      <c r="H3291" s="87" t="b">
        <v>1</v>
      </c>
      <c r="I3291" s="87" t="b">
        <v>0</v>
      </c>
      <c r="J3291" s="173" t="s">
        <v>491</v>
      </c>
      <c r="K3291" s="174">
        <v>45359213000576</v>
      </c>
      <c r="L3291" s="173" t="s">
        <v>686</v>
      </c>
      <c r="M3291" s="173" t="s">
        <v>687</v>
      </c>
      <c r="N3291" s="173" t="s">
        <v>19</v>
      </c>
      <c r="O3291" s="87">
        <v>73</v>
      </c>
      <c r="P3291" s="173" t="s">
        <v>26</v>
      </c>
      <c r="Q3291" s="1" t="s">
        <v>1342</v>
      </c>
      <c r="R3291" s="175">
        <v>16</v>
      </c>
      <c r="S3291">
        <v>4</v>
      </c>
    </row>
    <row r="3292" spans="1:19" x14ac:dyDescent="0.25">
      <c r="A3292" s="87">
        <v>2019</v>
      </c>
      <c r="B3292" s="87">
        <v>12</v>
      </c>
      <c r="C3292" s="173" t="s">
        <v>16</v>
      </c>
      <c r="D3292" s="173" t="s">
        <v>230</v>
      </c>
      <c r="E3292" s="173" t="s">
        <v>24</v>
      </c>
      <c r="F3292" s="173" t="s">
        <v>16</v>
      </c>
      <c r="G3292" s="87" t="b">
        <v>1</v>
      </c>
      <c r="H3292" s="87" t="b">
        <v>1</v>
      </c>
      <c r="I3292" s="87" t="b">
        <v>0</v>
      </c>
      <c r="J3292" s="173" t="s">
        <v>491</v>
      </c>
      <c r="K3292" s="174">
        <v>45399961000230</v>
      </c>
      <c r="L3292" s="173" t="s">
        <v>688</v>
      </c>
      <c r="M3292" s="173" t="s">
        <v>42</v>
      </c>
      <c r="N3292" s="173" t="s">
        <v>19</v>
      </c>
      <c r="O3292" s="87">
        <v>70</v>
      </c>
      <c r="P3292" s="173" t="s">
        <v>20</v>
      </c>
      <c r="Q3292" s="1" t="s">
        <v>1338</v>
      </c>
      <c r="R3292" s="175">
        <v>200</v>
      </c>
      <c r="S3292">
        <v>40</v>
      </c>
    </row>
    <row r="3293" spans="1:19" x14ac:dyDescent="0.25">
      <c r="A3293" s="87">
        <v>2019</v>
      </c>
      <c r="B3293" s="87">
        <v>12</v>
      </c>
      <c r="C3293" s="173" t="s">
        <v>16</v>
      </c>
      <c r="D3293" s="173" t="s">
        <v>230</v>
      </c>
      <c r="E3293" s="173" t="s">
        <v>24</v>
      </c>
      <c r="F3293" s="173" t="s">
        <v>16</v>
      </c>
      <c r="G3293" s="87" t="b">
        <v>1</v>
      </c>
      <c r="H3293" s="87" t="b">
        <v>1</v>
      </c>
      <c r="I3293" s="87" t="b">
        <v>0</v>
      </c>
      <c r="J3293" s="173" t="s">
        <v>463</v>
      </c>
      <c r="K3293" s="174">
        <v>46009718000140</v>
      </c>
      <c r="L3293" s="173" t="s">
        <v>690</v>
      </c>
      <c r="M3293" s="173" t="s">
        <v>33</v>
      </c>
      <c r="N3293" s="173" t="s">
        <v>19</v>
      </c>
      <c r="O3293" s="87">
        <v>70</v>
      </c>
      <c r="P3293" s="173" t="s">
        <v>20</v>
      </c>
      <c r="Q3293" s="1" t="s">
        <v>1338</v>
      </c>
      <c r="R3293" s="175">
        <v>450</v>
      </c>
      <c r="S3293">
        <v>90</v>
      </c>
    </row>
    <row r="3294" spans="1:19" x14ac:dyDescent="0.25">
      <c r="A3294" s="87">
        <v>2019</v>
      </c>
      <c r="B3294" s="87">
        <v>12</v>
      </c>
      <c r="C3294" s="173" t="s">
        <v>16</v>
      </c>
      <c r="D3294" s="173" t="s">
        <v>230</v>
      </c>
      <c r="E3294" s="173" t="s">
        <v>24</v>
      </c>
      <c r="F3294" s="173" t="s">
        <v>16</v>
      </c>
      <c r="G3294" s="87" t="b">
        <v>1</v>
      </c>
      <c r="H3294" s="87" t="b">
        <v>1</v>
      </c>
      <c r="I3294" s="87" t="b">
        <v>0</v>
      </c>
      <c r="J3294" s="173" t="s">
        <v>491</v>
      </c>
      <c r="K3294" s="174">
        <v>46009718000140</v>
      </c>
      <c r="L3294" s="173" t="s">
        <v>690</v>
      </c>
      <c r="M3294" s="173" t="s">
        <v>33</v>
      </c>
      <c r="N3294" s="173" t="s">
        <v>19</v>
      </c>
      <c r="O3294" s="87">
        <v>73</v>
      </c>
      <c r="P3294" s="173" t="s">
        <v>26</v>
      </c>
      <c r="Q3294" s="1" t="s">
        <v>1339</v>
      </c>
      <c r="R3294" s="175">
        <v>14</v>
      </c>
      <c r="S3294">
        <v>7</v>
      </c>
    </row>
    <row r="3295" spans="1:19" x14ac:dyDescent="0.25">
      <c r="A3295" s="87">
        <v>2019</v>
      </c>
      <c r="B3295" s="87">
        <v>12</v>
      </c>
      <c r="C3295" s="173" t="s">
        <v>16</v>
      </c>
      <c r="D3295" s="173" t="s">
        <v>230</v>
      </c>
      <c r="E3295" s="173" t="s">
        <v>24</v>
      </c>
      <c r="F3295" s="173" t="s">
        <v>16</v>
      </c>
      <c r="G3295" s="87" t="b">
        <v>1</v>
      </c>
      <c r="H3295" s="87" t="b">
        <v>1</v>
      </c>
      <c r="I3295" s="87" t="b">
        <v>0</v>
      </c>
      <c r="J3295" s="173" t="s">
        <v>491</v>
      </c>
      <c r="K3295" s="174">
        <v>46009718000140</v>
      </c>
      <c r="L3295" s="173" t="s">
        <v>690</v>
      </c>
      <c r="M3295" s="173" t="s">
        <v>33</v>
      </c>
      <c r="N3295" s="173" t="s">
        <v>19</v>
      </c>
      <c r="O3295" s="87">
        <v>73</v>
      </c>
      <c r="P3295" s="173" t="s">
        <v>26</v>
      </c>
      <c r="Q3295" s="1" t="s">
        <v>1342</v>
      </c>
      <c r="R3295" s="175">
        <v>40</v>
      </c>
      <c r="S3295">
        <v>10</v>
      </c>
    </row>
    <row r="3296" spans="1:19" x14ac:dyDescent="0.25">
      <c r="A3296" s="87">
        <v>2019</v>
      </c>
      <c r="B3296" s="87">
        <v>12</v>
      </c>
      <c r="C3296" s="173" t="s">
        <v>16</v>
      </c>
      <c r="D3296" s="173" t="s">
        <v>230</v>
      </c>
      <c r="E3296" s="173" t="s">
        <v>24</v>
      </c>
      <c r="F3296" s="173" t="s">
        <v>16</v>
      </c>
      <c r="G3296" s="87" t="b">
        <v>1</v>
      </c>
      <c r="H3296" s="87" t="b">
        <v>1</v>
      </c>
      <c r="I3296" s="87" t="b">
        <v>0</v>
      </c>
      <c r="J3296" s="173" t="s">
        <v>450</v>
      </c>
      <c r="K3296" s="174">
        <v>46020301000269</v>
      </c>
      <c r="L3296" s="173" t="s">
        <v>691</v>
      </c>
      <c r="M3296" s="173" t="s">
        <v>33</v>
      </c>
      <c r="N3296" s="173" t="s">
        <v>19</v>
      </c>
      <c r="O3296" s="87">
        <v>73</v>
      </c>
      <c r="P3296" s="173" t="s">
        <v>26</v>
      </c>
      <c r="Q3296" s="1" t="s">
        <v>1342</v>
      </c>
      <c r="R3296" s="175">
        <v>32</v>
      </c>
      <c r="S3296">
        <v>8</v>
      </c>
    </row>
    <row r="3297" spans="1:19" x14ac:dyDescent="0.25">
      <c r="A3297" s="87">
        <v>2019</v>
      </c>
      <c r="B3297" s="87">
        <v>12</v>
      </c>
      <c r="C3297" s="173" t="s">
        <v>16</v>
      </c>
      <c r="D3297" s="173" t="s">
        <v>230</v>
      </c>
      <c r="E3297" s="173" t="s">
        <v>24</v>
      </c>
      <c r="F3297" s="173" t="s">
        <v>16</v>
      </c>
      <c r="G3297" s="87" t="b">
        <v>1</v>
      </c>
      <c r="H3297" s="87" t="b">
        <v>1</v>
      </c>
      <c r="I3297" s="87" t="b">
        <v>0</v>
      </c>
      <c r="J3297" s="173" t="s">
        <v>450</v>
      </c>
      <c r="K3297" s="174">
        <v>46020301000269</v>
      </c>
      <c r="L3297" s="173" t="s">
        <v>691</v>
      </c>
      <c r="M3297" s="173" t="s">
        <v>33</v>
      </c>
      <c r="N3297" s="173" t="s">
        <v>19</v>
      </c>
      <c r="O3297" s="87">
        <v>73</v>
      </c>
      <c r="P3297" s="173" t="s">
        <v>26</v>
      </c>
      <c r="Q3297" s="1" t="s">
        <v>1340</v>
      </c>
      <c r="R3297" s="175">
        <v>3</v>
      </c>
      <c r="S3297">
        <v>3</v>
      </c>
    </row>
    <row r="3298" spans="1:19" x14ac:dyDescent="0.25">
      <c r="A3298" s="87">
        <v>2019</v>
      </c>
      <c r="B3298" s="87">
        <v>12</v>
      </c>
      <c r="C3298" s="173" t="s">
        <v>16</v>
      </c>
      <c r="D3298" s="173" t="s">
        <v>230</v>
      </c>
      <c r="E3298" s="173" t="s">
        <v>24</v>
      </c>
      <c r="F3298" s="173" t="s">
        <v>16</v>
      </c>
      <c r="G3298" s="87" t="b">
        <v>1</v>
      </c>
      <c r="H3298" s="87" t="b">
        <v>1</v>
      </c>
      <c r="I3298" s="87" t="b">
        <v>0</v>
      </c>
      <c r="J3298" s="173" t="s">
        <v>448</v>
      </c>
      <c r="K3298" s="174">
        <v>46124624000111</v>
      </c>
      <c r="L3298" s="173" t="s">
        <v>693</v>
      </c>
      <c r="M3298" s="173" t="s">
        <v>33</v>
      </c>
      <c r="N3298" s="173" t="s">
        <v>19</v>
      </c>
      <c r="O3298" s="87">
        <v>70</v>
      </c>
      <c r="P3298" s="173" t="s">
        <v>20</v>
      </c>
      <c r="Q3298" s="1" t="s">
        <v>1338</v>
      </c>
      <c r="R3298" s="175">
        <v>155</v>
      </c>
      <c r="S3298">
        <v>31</v>
      </c>
    </row>
    <row r="3299" spans="1:19" x14ac:dyDescent="0.25">
      <c r="A3299" s="87">
        <v>2019</v>
      </c>
      <c r="B3299" s="87">
        <v>12</v>
      </c>
      <c r="C3299" s="173" t="s">
        <v>16</v>
      </c>
      <c r="D3299" s="173" t="s">
        <v>230</v>
      </c>
      <c r="E3299" s="173" t="s">
        <v>24</v>
      </c>
      <c r="F3299" s="173" t="s">
        <v>16</v>
      </c>
      <c r="G3299" s="87" t="b">
        <v>1</v>
      </c>
      <c r="H3299" s="87" t="b">
        <v>1</v>
      </c>
      <c r="I3299" s="87" t="b">
        <v>0</v>
      </c>
      <c r="J3299" s="173" t="s">
        <v>448</v>
      </c>
      <c r="K3299" s="174">
        <v>46124624000111</v>
      </c>
      <c r="L3299" s="173" t="s">
        <v>693</v>
      </c>
      <c r="M3299" s="173" t="s">
        <v>33</v>
      </c>
      <c r="N3299" s="173" t="s">
        <v>19</v>
      </c>
      <c r="O3299" s="87">
        <v>73</v>
      </c>
      <c r="P3299" s="173" t="s">
        <v>26</v>
      </c>
      <c r="Q3299" s="1" t="s">
        <v>1342</v>
      </c>
      <c r="R3299" s="175">
        <v>96</v>
      </c>
      <c r="S3299">
        <v>24</v>
      </c>
    </row>
    <row r="3300" spans="1:19" x14ac:dyDescent="0.25">
      <c r="A3300" s="87">
        <v>2019</v>
      </c>
      <c r="B3300" s="87">
        <v>12</v>
      </c>
      <c r="C3300" s="173" t="s">
        <v>16</v>
      </c>
      <c r="D3300" s="173" t="s">
        <v>230</v>
      </c>
      <c r="E3300" s="173" t="s">
        <v>24</v>
      </c>
      <c r="F3300" s="173" t="s">
        <v>16</v>
      </c>
      <c r="G3300" s="87" t="b">
        <v>1</v>
      </c>
      <c r="H3300" s="87" t="b">
        <v>1</v>
      </c>
      <c r="I3300" s="87" t="b">
        <v>0</v>
      </c>
      <c r="J3300" s="173" t="s">
        <v>448</v>
      </c>
      <c r="K3300" s="174">
        <v>46124624002670</v>
      </c>
      <c r="L3300" s="173" t="s">
        <v>1226</v>
      </c>
      <c r="M3300" s="173" t="s">
        <v>29</v>
      </c>
      <c r="N3300" s="173" t="s">
        <v>19</v>
      </c>
      <c r="O3300" s="87">
        <v>70</v>
      </c>
      <c r="P3300" s="173" t="s">
        <v>20</v>
      </c>
      <c r="Q3300" s="1" t="s">
        <v>1338</v>
      </c>
      <c r="R3300" s="175">
        <v>1300</v>
      </c>
      <c r="S3300">
        <v>260</v>
      </c>
    </row>
    <row r="3301" spans="1:19" x14ac:dyDescent="0.25">
      <c r="A3301" s="87">
        <v>2019</v>
      </c>
      <c r="B3301" s="87">
        <v>12</v>
      </c>
      <c r="C3301" s="173" t="s">
        <v>16</v>
      </c>
      <c r="D3301" s="173" t="s">
        <v>230</v>
      </c>
      <c r="E3301" s="173" t="s">
        <v>24</v>
      </c>
      <c r="F3301" s="173" t="s">
        <v>16</v>
      </c>
      <c r="G3301" s="87" t="b">
        <v>1</v>
      </c>
      <c r="H3301" s="87" t="b">
        <v>1</v>
      </c>
      <c r="I3301" s="87" t="b">
        <v>0</v>
      </c>
      <c r="J3301" s="173" t="s">
        <v>448</v>
      </c>
      <c r="K3301" s="174">
        <v>46124624002670</v>
      </c>
      <c r="L3301" s="173" t="s">
        <v>1226</v>
      </c>
      <c r="M3301" s="173" t="s">
        <v>29</v>
      </c>
      <c r="N3301" s="173" t="s">
        <v>19</v>
      </c>
      <c r="O3301" s="87">
        <v>73</v>
      </c>
      <c r="P3301" s="173" t="s">
        <v>26</v>
      </c>
      <c r="Q3301" s="1" t="s">
        <v>1342</v>
      </c>
      <c r="R3301" s="175">
        <v>204</v>
      </c>
      <c r="S3301">
        <v>51</v>
      </c>
    </row>
    <row r="3302" spans="1:19" x14ac:dyDescent="0.25">
      <c r="A3302" s="87">
        <v>2019</v>
      </c>
      <c r="B3302" s="87">
        <v>12</v>
      </c>
      <c r="C3302" s="173" t="s">
        <v>16</v>
      </c>
      <c r="D3302" s="173" t="s">
        <v>230</v>
      </c>
      <c r="E3302" s="173" t="s">
        <v>24</v>
      </c>
      <c r="F3302" s="173" t="s">
        <v>16</v>
      </c>
      <c r="G3302" s="87" t="b">
        <v>1</v>
      </c>
      <c r="H3302" s="87" t="b">
        <v>1</v>
      </c>
      <c r="I3302" s="87" t="b">
        <v>0</v>
      </c>
      <c r="J3302" s="173" t="s">
        <v>1330</v>
      </c>
      <c r="K3302" s="174">
        <v>46374500001670</v>
      </c>
      <c r="L3302" s="173" t="s">
        <v>1366</v>
      </c>
      <c r="M3302" s="173" t="s">
        <v>35</v>
      </c>
      <c r="N3302" s="173" t="s">
        <v>19</v>
      </c>
      <c r="O3302" s="87">
        <v>70</v>
      </c>
      <c r="P3302" s="173" t="s">
        <v>20</v>
      </c>
      <c r="Q3302" s="1" t="s">
        <v>1338</v>
      </c>
      <c r="R3302" s="175">
        <v>75</v>
      </c>
      <c r="S3302">
        <v>15</v>
      </c>
    </row>
    <row r="3303" spans="1:19" x14ac:dyDescent="0.25">
      <c r="A3303" s="87">
        <v>2019</v>
      </c>
      <c r="B3303" s="87">
        <v>12</v>
      </c>
      <c r="C3303" s="173" t="s">
        <v>16</v>
      </c>
      <c r="D3303" s="173" t="s">
        <v>230</v>
      </c>
      <c r="E3303" s="173" t="s">
        <v>24</v>
      </c>
      <c r="F3303" s="173" t="s">
        <v>16</v>
      </c>
      <c r="G3303" s="87" t="b">
        <v>1</v>
      </c>
      <c r="H3303" s="87" t="b">
        <v>1</v>
      </c>
      <c r="I3303" s="87" t="b">
        <v>0</v>
      </c>
      <c r="J3303" s="173" t="s">
        <v>1330</v>
      </c>
      <c r="K3303" s="174">
        <v>46374500009221</v>
      </c>
      <c r="L3303" s="173" t="s">
        <v>700</v>
      </c>
      <c r="M3303" s="173" t="s">
        <v>49</v>
      </c>
      <c r="N3303" s="173" t="s">
        <v>19</v>
      </c>
      <c r="O3303" s="87">
        <v>70</v>
      </c>
      <c r="P3303" s="173" t="s">
        <v>20</v>
      </c>
      <c r="Q3303" s="1" t="s">
        <v>1338</v>
      </c>
      <c r="R3303" s="175">
        <v>840</v>
      </c>
      <c r="S3303">
        <v>168</v>
      </c>
    </row>
    <row r="3304" spans="1:19" x14ac:dyDescent="0.25">
      <c r="A3304" s="87">
        <v>2019</v>
      </c>
      <c r="B3304" s="87">
        <v>12</v>
      </c>
      <c r="C3304" s="173" t="s">
        <v>16</v>
      </c>
      <c r="D3304" s="173" t="s">
        <v>230</v>
      </c>
      <c r="E3304" s="173" t="s">
        <v>24</v>
      </c>
      <c r="F3304" s="173" t="s">
        <v>16</v>
      </c>
      <c r="G3304" s="87" t="b">
        <v>1</v>
      </c>
      <c r="H3304" s="87" t="b">
        <v>1</v>
      </c>
      <c r="I3304" s="87" t="b">
        <v>0</v>
      </c>
      <c r="J3304" s="173" t="s">
        <v>470</v>
      </c>
      <c r="K3304" s="174">
        <v>48547806000120</v>
      </c>
      <c r="L3304" s="173" t="s">
        <v>1367</v>
      </c>
      <c r="M3304" s="173" t="s">
        <v>1368</v>
      </c>
      <c r="N3304" s="173" t="s">
        <v>19</v>
      </c>
      <c r="O3304" s="87">
        <v>70</v>
      </c>
      <c r="P3304" s="173" t="s">
        <v>20</v>
      </c>
      <c r="Q3304" s="1" t="s">
        <v>1338</v>
      </c>
      <c r="R3304" s="175">
        <v>20</v>
      </c>
      <c r="S3304">
        <v>4</v>
      </c>
    </row>
    <row r="3305" spans="1:19" x14ac:dyDescent="0.25">
      <c r="A3305" s="87">
        <v>2019</v>
      </c>
      <c r="B3305" s="87">
        <v>12</v>
      </c>
      <c r="C3305" s="173" t="s">
        <v>16</v>
      </c>
      <c r="D3305" s="173" t="s">
        <v>230</v>
      </c>
      <c r="E3305" s="173" t="s">
        <v>24</v>
      </c>
      <c r="F3305" s="173" t="s">
        <v>16</v>
      </c>
      <c r="G3305" s="87" t="b">
        <v>1</v>
      </c>
      <c r="H3305" s="87" t="b">
        <v>1</v>
      </c>
      <c r="I3305" s="87" t="b">
        <v>0</v>
      </c>
      <c r="J3305" s="173" t="s">
        <v>463</v>
      </c>
      <c r="K3305" s="174">
        <v>48628366000721</v>
      </c>
      <c r="L3305" s="173" t="s">
        <v>1376</v>
      </c>
      <c r="M3305" s="173" t="s">
        <v>1377</v>
      </c>
      <c r="N3305" s="173" t="s">
        <v>19</v>
      </c>
      <c r="O3305" s="87">
        <v>70</v>
      </c>
      <c r="P3305" s="173" t="s">
        <v>20</v>
      </c>
      <c r="Q3305" s="1" t="s">
        <v>1338</v>
      </c>
      <c r="R3305" s="175">
        <v>40</v>
      </c>
      <c r="S3305">
        <v>8</v>
      </c>
    </row>
    <row r="3306" spans="1:19" x14ac:dyDescent="0.25">
      <c r="A3306" s="87">
        <v>2019</v>
      </c>
      <c r="B3306" s="87">
        <v>12</v>
      </c>
      <c r="C3306" s="173" t="s">
        <v>16</v>
      </c>
      <c r="D3306" s="173" t="s">
        <v>230</v>
      </c>
      <c r="E3306" s="173" t="s">
        <v>24</v>
      </c>
      <c r="F3306" s="173" t="s">
        <v>16</v>
      </c>
      <c r="G3306" s="87" t="b">
        <v>1</v>
      </c>
      <c r="H3306" s="87" t="b">
        <v>1</v>
      </c>
      <c r="I3306" s="87" t="b">
        <v>0</v>
      </c>
      <c r="J3306" s="173" t="s">
        <v>463</v>
      </c>
      <c r="K3306" s="174">
        <v>50944198000130</v>
      </c>
      <c r="L3306" s="173" t="s">
        <v>707</v>
      </c>
      <c r="M3306" s="173" t="s">
        <v>678</v>
      </c>
      <c r="N3306" s="173" t="s">
        <v>19</v>
      </c>
      <c r="O3306" s="87">
        <v>64</v>
      </c>
      <c r="P3306" s="173" t="s">
        <v>25</v>
      </c>
      <c r="Q3306" s="1" t="s">
        <v>1344</v>
      </c>
      <c r="R3306" s="175">
        <v>4</v>
      </c>
      <c r="S3306">
        <v>4</v>
      </c>
    </row>
    <row r="3307" spans="1:19" x14ac:dyDescent="0.25">
      <c r="A3307" s="87">
        <v>2019</v>
      </c>
      <c r="B3307" s="87">
        <v>12</v>
      </c>
      <c r="C3307" s="173" t="s">
        <v>16</v>
      </c>
      <c r="D3307" s="173" t="s">
        <v>230</v>
      </c>
      <c r="E3307" s="173" t="s">
        <v>24</v>
      </c>
      <c r="F3307" s="173" t="s">
        <v>16</v>
      </c>
      <c r="G3307" s="87" t="b">
        <v>1</v>
      </c>
      <c r="H3307" s="87" t="b">
        <v>1</v>
      </c>
      <c r="I3307" s="87" t="b">
        <v>0</v>
      </c>
      <c r="J3307" s="173" t="s">
        <v>470</v>
      </c>
      <c r="K3307" s="174">
        <v>51722957000506</v>
      </c>
      <c r="L3307" s="173" t="s">
        <v>602</v>
      </c>
      <c r="M3307" s="173" t="s">
        <v>29</v>
      </c>
      <c r="N3307" s="173" t="s">
        <v>19</v>
      </c>
      <c r="O3307" s="87">
        <v>64</v>
      </c>
      <c r="P3307" s="173" t="s">
        <v>25</v>
      </c>
      <c r="Q3307" s="1" t="s">
        <v>1344</v>
      </c>
      <c r="R3307" s="175">
        <v>3</v>
      </c>
      <c r="S3307">
        <v>3</v>
      </c>
    </row>
    <row r="3308" spans="1:19" x14ac:dyDescent="0.25">
      <c r="A3308" s="87">
        <v>2019</v>
      </c>
      <c r="B3308" s="87">
        <v>12</v>
      </c>
      <c r="C3308" s="173" t="s">
        <v>16</v>
      </c>
      <c r="D3308" s="173" t="s">
        <v>230</v>
      </c>
      <c r="E3308" s="173" t="s">
        <v>24</v>
      </c>
      <c r="F3308" s="173" t="s">
        <v>16</v>
      </c>
      <c r="G3308" s="87" t="b">
        <v>1</v>
      </c>
      <c r="H3308" s="87" t="b">
        <v>1</v>
      </c>
      <c r="I3308" s="87" t="b">
        <v>0</v>
      </c>
      <c r="J3308" s="173" t="s">
        <v>470</v>
      </c>
      <c r="K3308" s="174">
        <v>51722957000506</v>
      </c>
      <c r="L3308" s="173" t="s">
        <v>602</v>
      </c>
      <c r="M3308" s="173" t="s">
        <v>29</v>
      </c>
      <c r="N3308" s="173" t="s">
        <v>19</v>
      </c>
      <c r="O3308" s="87">
        <v>70</v>
      </c>
      <c r="P3308" s="173" t="s">
        <v>20</v>
      </c>
      <c r="Q3308" s="1" t="s">
        <v>1338</v>
      </c>
      <c r="R3308" s="175">
        <v>150</v>
      </c>
      <c r="S3308">
        <v>30</v>
      </c>
    </row>
    <row r="3309" spans="1:19" x14ac:dyDescent="0.25">
      <c r="A3309" s="87">
        <v>2019</v>
      </c>
      <c r="B3309" s="87">
        <v>12</v>
      </c>
      <c r="C3309" s="173" t="s">
        <v>16</v>
      </c>
      <c r="D3309" s="173" t="s">
        <v>230</v>
      </c>
      <c r="E3309" s="173" t="s">
        <v>24</v>
      </c>
      <c r="F3309" s="173" t="s">
        <v>16</v>
      </c>
      <c r="G3309" s="87" t="b">
        <v>1</v>
      </c>
      <c r="H3309" s="87" t="b">
        <v>1</v>
      </c>
      <c r="I3309" s="87" t="b">
        <v>0</v>
      </c>
      <c r="J3309" s="173" t="s">
        <v>470</v>
      </c>
      <c r="K3309" s="174">
        <v>51722957010226</v>
      </c>
      <c r="L3309" s="173" t="s">
        <v>603</v>
      </c>
      <c r="M3309" s="173" t="s">
        <v>29</v>
      </c>
      <c r="N3309" s="173" t="s">
        <v>19</v>
      </c>
      <c r="O3309" s="87">
        <v>70</v>
      </c>
      <c r="P3309" s="173" t="s">
        <v>20</v>
      </c>
      <c r="Q3309" s="1" t="s">
        <v>1338</v>
      </c>
      <c r="R3309" s="175">
        <v>1090</v>
      </c>
      <c r="S3309">
        <v>218</v>
      </c>
    </row>
    <row r="3310" spans="1:19" x14ac:dyDescent="0.25">
      <c r="A3310" s="87">
        <v>2019</v>
      </c>
      <c r="B3310" s="87">
        <v>12</v>
      </c>
      <c r="C3310" s="173" t="s">
        <v>16</v>
      </c>
      <c r="D3310" s="173" t="s">
        <v>230</v>
      </c>
      <c r="E3310" s="173" t="s">
        <v>24</v>
      </c>
      <c r="F3310" s="173" t="s">
        <v>16</v>
      </c>
      <c r="G3310" s="87" t="b">
        <v>1</v>
      </c>
      <c r="H3310" s="87" t="b">
        <v>1</v>
      </c>
      <c r="I3310" s="87" t="b">
        <v>0</v>
      </c>
      <c r="J3310" s="173" t="s">
        <v>470</v>
      </c>
      <c r="K3310" s="174">
        <v>51722957010226</v>
      </c>
      <c r="L3310" s="173" t="s">
        <v>603</v>
      </c>
      <c r="M3310" s="173" t="s">
        <v>29</v>
      </c>
      <c r="N3310" s="173" t="s">
        <v>19</v>
      </c>
      <c r="O3310" s="87">
        <v>73</v>
      </c>
      <c r="P3310" s="173" t="s">
        <v>26</v>
      </c>
      <c r="Q3310" s="1" t="s">
        <v>1342</v>
      </c>
      <c r="R3310" s="175">
        <v>12</v>
      </c>
      <c r="S3310">
        <v>3</v>
      </c>
    </row>
    <row r="3311" spans="1:19" x14ac:dyDescent="0.25">
      <c r="A3311" s="87">
        <v>2019</v>
      </c>
      <c r="B3311" s="87">
        <v>12</v>
      </c>
      <c r="C3311" s="173" t="s">
        <v>16</v>
      </c>
      <c r="D3311" s="173" t="s">
        <v>230</v>
      </c>
      <c r="E3311" s="173" t="s">
        <v>24</v>
      </c>
      <c r="F3311" s="173" t="s">
        <v>16</v>
      </c>
      <c r="G3311" s="87" t="b">
        <v>1</v>
      </c>
      <c r="H3311" s="87" t="b">
        <v>1</v>
      </c>
      <c r="I3311" s="87" t="b">
        <v>0</v>
      </c>
      <c r="J3311" s="173" t="s">
        <v>470</v>
      </c>
      <c r="K3311" s="174">
        <v>51722957010226</v>
      </c>
      <c r="L3311" s="173" t="s">
        <v>603</v>
      </c>
      <c r="M3311" s="173" t="s">
        <v>29</v>
      </c>
      <c r="N3311" s="173" t="s">
        <v>19</v>
      </c>
      <c r="O3311" s="87">
        <v>73</v>
      </c>
      <c r="P3311" s="173" t="s">
        <v>26</v>
      </c>
      <c r="Q3311" s="1" t="s">
        <v>1340</v>
      </c>
      <c r="R3311" s="175">
        <v>3</v>
      </c>
      <c r="S3311">
        <v>3</v>
      </c>
    </row>
    <row r="3312" spans="1:19" x14ac:dyDescent="0.25">
      <c r="A3312" s="87">
        <v>2019</v>
      </c>
      <c r="B3312" s="87">
        <v>12</v>
      </c>
      <c r="C3312" s="173" t="s">
        <v>16</v>
      </c>
      <c r="D3312" s="173" t="s">
        <v>230</v>
      </c>
      <c r="E3312" s="173" t="s">
        <v>24</v>
      </c>
      <c r="F3312" s="173" t="s">
        <v>16</v>
      </c>
      <c r="G3312" s="87" t="b">
        <v>1</v>
      </c>
      <c r="H3312" s="87" t="b">
        <v>1</v>
      </c>
      <c r="I3312" s="87" t="b">
        <v>0</v>
      </c>
      <c r="J3312" s="173" t="s">
        <v>470</v>
      </c>
      <c r="K3312" s="174">
        <v>51722957012512</v>
      </c>
      <c r="L3312" s="173" t="s">
        <v>604</v>
      </c>
      <c r="M3312" s="173" t="s">
        <v>29</v>
      </c>
      <c r="N3312" s="173" t="s">
        <v>19</v>
      </c>
      <c r="O3312" s="87">
        <v>70</v>
      </c>
      <c r="P3312" s="173" t="s">
        <v>20</v>
      </c>
      <c r="Q3312" s="1" t="s">
        <v>1338</v>
      </c>
      <c r="R3312" s="175">
        <v>600</v>
      </c>
      <c r="S3312">
        <v>120</v>
      </c>
    </row>
    <row r="3313" spans="1:19" x14ac:dyDescent="0.25">
      <c r="A3313" s="87">
        <v>2019</v>
      </c>
      <c r="B3313" s="87">
        <v>12</v>
      </c>
      <c r="C3313" s="173" t="s">
        <v>16</v>
      </c>
      <c r="D3313" s="173" t="s">
        <v>230</v>
      </c>
      <c r="E3313" s="173" t="s">
        <v>24</v>
      </c>
      <c r="F3313" s="173" t="s">
        <v>16</v>
      </c>
      <c r="G3313" s="87" t="b">
        <v>1</v>
      </c>
      <c r="H3313" s="87" t="b">
        <v>1</v>
      </c>
      <c r="I3313" s="87" t="b">
        <v>0</v>
      </c>
      <c r="J3313" s="173" t="s">
        <v>463</v>
      </c>
      <c r="K3313" s="174">
        <v>53221255003247</v>
      </c>
      <c r="L3313" s="173" t="s">
        <v>1378</v>
      </c>
      <c r="M3313" s="173" t="s">
        <v>544</v>
      </c>
      <c r="N3313" s="173" t="s">
        <v>19</v>
      </c>
      <c r="O3313" s="87">
        <v>70</v>
      </c>
      <c r="P3313" s="173" t="s">
        <v>20</v>
      </c>
      <c r="Q3313" s="1" t="s">
        <v>1338</v>
      </c>
      <c r="R3313" s="175">
        <v>150</v>
      </c>
      <c r="S3313">
        <v>30</v>
      </c>
    </row>
    <row r="3314" spans="1:19" x14ac:dyDescent="0.25">
      <c r="A3314" s="87">
        <v>2019</v>
      </c>
      <c r="B3314" s="87">
        <v>12</v>
      </c>
      <c r="C3314" s="173" t="s">
        <v>16</v>
      </c>
      <c r="D3314" s="173" t="s">
        <v>230</v>
      </c>
      <c r="E3314" s="173" t="s">
        <v>24</v>
      </c>
      <c r="F3314" s="173" t="s">
        <v>16</v>
      </c>
      <c r="G3314" s="87" t="b">
        <v>1</v>
      </c>
      <c r="H3314" s="87" t="b">
        <v>1</v>
      </c>
      <c r="I3314" s="87" t="b">
        <v>0</v>
      </c>
      <c r="J3314" s="173" t="s">
        <v>463</v>
      </c>
      <c r="K3314" s="174">
        <v>53311999000156</v>
      </c>
      <c r="L3314" s="173" t="s">
        <v>714</v>
      </c>
      <c r="M3314" s="173" t="s">
        <v>715</v>
      </c>
      <c r="N3314" s="173" t="s">
        <v>19</v>
      </c>
      <c r="O3314" s="87">
        <v>64</v>
      </c>
      <c r="P3314" s="173" t="s">
        <v>25</v>
      </c>
      <c r="Q3314" s="1" t="s">
        <v>1344</v>
      </c>
      <c r="R3314" s="175">
        <v>2</v>
      </c>
      <c r="S3314">
        <v>2</v>
      </c>
    </row>
    <row r="3315" spans="1:19" x14ac:dyDescent="0.25">
      <c r="A3315" s="87">
        <v>2019</v>
      </c>
      <c r="B3315" s="87">
        <v>12</v>
      </c>
      <c r="C3315" s="173" t="s">
        <v>16</v>
      </c>
      <c r="D3315" s="173" t="s">
        <v>230</v>
      </c>
      <c r="E3315" s="173" t="s">
        <v>24</v>
      </c>
      <c r="F3315" s="173" t="s">
        <v>16</v>
      </c>
      <c r="G3315" s="87" t="b">
        <v>1</v>
      </c>
      <c r="H3315" s="87" t="b">
        <v>1</v>
      </c>
      <c r="I3315" s="87" t="b">
        <v>0</v>
      </c>
      <c r="J3315" s="173" t="s">
        <v>463</v>
      </c>
      <c r="K3315" s="174">
        <v>53678264000246</v>
      </c>
      <c r="L3315" s="173" t="s">
        <v>716</v>
      </c>
      <c r="M3315" s="173" t="s">
        <v>717</v>
      </c>
      <c r="N3315" s="173" t="s">
        <v>19</v>
      </c>
      <c r="O3315" s="87">
        <v>70</v>
      </c>
      <c r="P3315" s="173" t="s">
        <v>20</v>
      </c>
      <c r="Q3315" s="1" t="s">
        <v>1345</v>
      </c>
      <c r="R3315" s="175">
        <v>40</v>
      </c>
      <c r="S3315">
        <v>4</v>
      </c>
    </row>
    <row r="3316" spans="1:19" x14ac:dyDescent="0.25">
      <c r="A3316" s="87">
        <v>2019</v>
      </c>
      <c r="B3316" s="87">
        <v>12</v>
      </c>
      <c r="C3316" s="173" t="s">
        <v>16</v>
      </c>
      <c r="D3316" s="173" t="s">
        <v>230</v>
      </c>
      <c r="E3316" s="173" t="s">
        <v>24</v>
      </c>
      <c r="F3316" s="173" t="s">
        <v>16</v>
      </c>
      <c r="G3316" s="87" t="b">
        <v>1</v>
      </c>
      <c r="H3316" s="87" t="b">
        <v>1</v>
      </c>
      <c r="I3316" s="87" t="b">
        <v>0</v>
      </c>
      <c r="J3316" s="173" t="s">
        <v>463</v>
      </c>
      <c r="K3316" s="174">
        <v>54012406000385</v>
      </c>
      <c r="L3316" s="173" t="s">
        <v>718</v>
      </c>
      <c r="M3316" s="173" t="s">
        <v>45</v>
      </c>
      <c r="N3316" s="173" t="s">
        <v>19</v>
      </c>
      <c r="O3316" s="87">
        <v>70</v>
      </c>
      <c r="P3316" s="173" t="s">
        <v>20</v>
      </c>
      <c r="Q3316" s="1" t="s">
        <v>1338</v>
      </c>
      <c r="R3316" s="175">
        <v>65</v>
      </c>
      <c r="S3316">
        <v>13</v>
      </c>
    </row>
    <row r="3317" spans="1:19" x14ac:dyDescent="0.25">
      <c r="A3317" s="87">
        <v>2019</v>
      </c>
      <c r="B3317" s="87">
        <v>12</v>
      </c>
      <c r="C3317" s="173" t="s">
        <v>16</v>
      </c>
      <c r="D3317" s="173" t="s">
        <v>230</v>
      </c>
      <c r="E3317" s="173" t="s">
        <v>24</v>
      </c>
      <c r="F3317" s="173" t="s">
        <v>16</v>
      </c>
      <c r="G3317" s="87" t="b">
        <v>1</v>
      </c>
      <c r="H3317" s="87" t="b">
        <v>1</v>
      </c>
      <c r="I3317" s="87" t="b">
        <v>0</v>
      </c>
      <c r="J3317" s="173" t="s">
        <v>463</v>
      </c>
      <c r="K3317" s="174">
        <v>54370630000187</v>
      </c>
      <c r="L3317" s="173" t="s">
        <v>719</v>
      </c>
      <c r="M3317" s="173" t="s">
        <v>40</v>
      </c>
      <c r="N3317" s="173" t="s">
        <v>19</v>
      </c>
      <c r="O3317" s="87">
        <v>70</v>
      </c>
      <c r="P3317" s="173" t="s">
        <v>20</v>
      </c>
      <c r="Q3317" s="1" t="s">
        <v>1345</v>
      </c>
      <c r="R3317" s="175">
        <v>50</v>
      </c>
      <c r="S3317">
        <v>5</v>
      </c>
    </row>
    <row r="3318" spans="1:19" x14ac:dyDescent="0.25">
      <c r="A3318" s="87">
        <v>2019</v>
      </c>
      <c r="B3318" s="87">
        <v>12</v>
      </c>
      <c r="C3318" s="173" t="s">
        <v>16</v>
      </c>
      <c r="D3318" s="173" t="s">
        <v>230</v>
      </c>
      <c r="E3318" s="173" t="s">
        <v>24</v>
      </c>
      <c r="F3318" s="173" t="s">
        <v>16</v>
      </c>
      <c r="G3318" s="87" t="b">
        <v>1</v>
      </c>
      <c r="H3318" s="87" t="b">
        <v>1</v>
      </c>
      <c r="I3318" s="87" t="b">
        <v>0</v>
      </c>
      <c r="J3318" s="173" t="s">
        <v>470</v>
      </c>
      <c r="K3318" s="174">
        <v>56023443000152</v>
      </c>
      <c r="L3318" s="173" t="s">
        <v>1379</v>
      </c>
      <c r="M3318" s="173" t="s">
        <v>639</v>
      </c>
      <c r="N3318" s="173" t="s">
        <v>19</v>
      </c>
      <c r="O3318" s="87">
        <v>73</v>
      </c>
      <c r="P3318" s="173" t="s">
        <v>26</v>
      </c>
      <c r="Q3318" s="1" t="s">
        <v>1340</v>
      </c>
      <c r="R3318" s="175">
        <v>24</v>
      </c>
      <c r="S3318">
        <v>24</v>
      </c>
    </row>
    <row r="3319" spans="1:19" x14ac:dyDescent="0.25">
      <c r="A3319" s="87">
        <v>2019</v>
      </c>
      <c r="B3319" s="87">
        <v>12</v>
      </c>
      <c r="C3319" s="173" t="s">
        <v>16</v>
      </c>
      <c r="D3319" s="173" t="s">
        <v>230</v>
      </c>
      <c r="E3319" s="173" t="s">
        <v>24</v>
      </c>
      <c r="F3319" s="173" t="s">
        <v>16</v>
      </c>
      <c r="G3319" s="87" t="b">
        <v>1</v>
      </c>
      <c r="H3319" s="87" t="b">
        <v>1</v>
      </c>
      <c r="I3319" s="87" t="b">
        <v>0</v>
      </c>
      <c r="J3319" s="173" t="s">
        <v>1330</v>
      </c>
      <c r="K3319" s="174">
        <v>56577059000100</v>
      </c>
      <c r="L3319" s="173" t="s">
        <v>605</v>
      </c>
      <c r="M3319" s="173" t="s">
        <v>29</v>
      </c>
      <c r="N3319" s="173" t="s">
        <v>19</v>
      </c>
      <c r="O3319" s="87">
        <v>70</v>
      </c>
      <c r="P3319" s="173" t="s">
        <v>20</v>
      </c>
      <c r="Q3319" s="1" t="s">
        <v>1338</v>
      </c>
      <c r="R3319" s="175">
        <v>1530</v>
      </c>
      <c r="S3319">
        <v>306</v>
      </c>
    </row>
    <row r="3320" spans="1:19" x14ac:dyDescent="0.25">
      <c r="A3320" s="87">
        <v>2019</v>
      </c>
      <c r="B3320" s="87">
        <v>12</v>
      </c>
      <c r="C3320" s="173" t="s">
        <v>16</v>
      </c>
      <c r="D3320" s="173" t="s">
        <v>230</v>
      </c>
      <c r="E3320" s="173" t="s">
        <v>24</v>
      </c>
      <c r="F3320" s="173" t="s">
        <v>16</v>
      </c>
      <c r="G3320" s="87" t="b">
        <v>1</v>
      </c>
      <c r="H3320" s="87" t="b">
        <v>1</v>
      </c>
      <c r="I3320" s="87" t="b">
        <v>0</v>
      </c>
      <c r="J3320" s="173" t="s">
        <v>450</v>
      </c>
      <c r="K3320" s="174">
        <v>56577059000606</v>
      </c>
      <c r="L3320" s="173" t="s">
        <v>606</v>
      </c>
      <c r="M3320" s="173" t="s">
        <v>29</v>
      </c>
      <c r="N3320" s="173" t="s">
        <v>19</v>
      </c>
      <c r="O3320" s="87">
        <v>64</v>
      </c>
      <c r="P3320" s="173" t="s">
        <v>25</v>
      </c>
      <c r="Q3320" s="1" t="s">
        <v>1344</v>
      </c>
      <c r="R3320" s="175">
        <v>8</v>
      </c>
      <c r="S3320">
        <v>8</v>
      </c>
    </row>
    <row r="3321" spans="1:19" x14ac:dyDescent="0.25">
      <c r="A3321" s="87">
        <v>2019</v>
      </c>
      <c r="B3321" s="87">
        <v>12</v>
      </c>
      <c r="C3321" s="173" t="s">
        <v>16</v>
      </c>
      <c r="D3321" s="173" t="s">
        <v>230</v>
      </c>
      <c r="E3321" s="173" t="s">
        <v>24</v>
      </c>
      <c r="F3321" s="173" t="s">
        <v>16</v>
      </c>
      <c r="G3321" s="87" t="b">
        <v>1</v>
      </c>
      <c r="H3321" s="87" t="b">
        <v>1</v>
      </c>
      <c r="I3321" s="87" t="b">
        <v>0</v>
      </c>
      <c r="J3321" s="173" t="s">
        <v>463</v>
      </c>
      <c r="K3321" s="174">
        <v>57507402000102</v>
      </c>
      <c r="L3321" s="173" t="s">
        <v>721</v>
      </c>
      <c r="M3321" s="173" t="s">
        <v>647</v>
      </c>
      <c r="N3321" s="173" t="s">
        <v>19</v>
      </c>
      <c r="O3321" s="87">
        <v>70</v>
      </c>
      <c r="P3321" s="173" t="s">
        <v>20</v>
      </c>
      <c r="Q3321" s="1" t="s">
        <v>1338</v>
      </c>
      <c r="R3321" s="175">
        <v>150</v>
      </c>
      <c r="S3321">
        <v>30</v>
      </c>
    </row>
    <row r="3322" spans="1:19" x14ac:dyDescent="0.25">
      <c r="A3322" s="87">
        <v>2019</v>
      </c>
      <c r="B3322" s="87">
        <v>12</v>
      </c>
      <c r="C3322" s="173" t="s">
        <v>16</v>
      </c>
      <c r="D3322" s="173" t="s">
        <v>230</v>
      </c>
      <c r="E3322" s="173" t="s">
        <v>24</v>
      </c>
      <c r="F3322" s="173" t="s">
        <v>16</v>
      </c>
      <c r="G3322" s="87" t="b">
        <v>1</v>
      </c>
      <c r="H3322" s="87" t="b">
        <v>1</v>
      </c>
      <c r="I3322" s="87" t="b">
        <v>0</v>
      </c>
      <c r="J3322" s="173" t="s">
        <v>463</v>
      </c>
      <c r="K3322" s="174">
        <v>57507402000102</v>
      </c>
      <c r="L3322" s="173" t="s">
        <v>721</v>
      </c>
      <c r="M3322" s="173" t="s">
        <v>647</v>
      </c>
      <c r="N3322" s="173" t="s">
        <v>19</v>
      </c>
      <c r="O3322" s="87">
        <v>73</v>
      </c>
      <c r="P3322" s="173" t="s">
        <v>26</v>
      </c>
      <c r="Q3322" s="1" t="s">
        <v>1339</v>
      </c>
      <c r="R3322" s="175">
        <v>150</v>
      </c>
      <c r="S3322">
        <v>75</v>
      </c>
    </row>
    <row r="3323" spans="1:19" x14ac:dyDescent="0.25">
      <c r="A3323" s="87">
        <v>2019</v>
      </c>
      <c r="B3323" s="87">
        <v>12</v>
      </c>
      <c r="C3323" s="173" t="s">
        <v>16</v>
      </c>
      <c r="D3323" s="173" t="s">
        <v>230</v>
      </c>
      <c r="E3323" s="173" t="s">
        <v>24</v>
      </c>
      <c r="F3323" s="173" t="s">
        <v>16</v>
      </c>
      <c r="G3323" s="87" t="b">
        <v>1</v>
      </c>
      <c r="H3323" s="87" t="b">
        <v>1</v>
      </c>
      <c r="I3323" s="87" t="b">
        <v>0</v>
      </c>
      <c r="J3323" s="173" t="s">
        <v>463</v>
      </c>
      <c r="K3323" s="174">
        <v>57722118000140</v>
      </c>
      <c r="L3323" s="173" t="s">
        <v>722</v>
      </c>
      <c r="M3323" s="173" t="s">
        <v>639</v>
      </c>
      <c r="N3323" s="173" t="s">
        <v>19</v>
      </c>
      <c r="O3323" s="87">
        <v>70</v>
      </c>
      <c r="P3323" s="173" t="s">
        <v>20</v>
      </c>
      <c r="Q3323" s="1" t="s">
        <v>1338</v>
      </c>
      <c r="R3323" s="175">
        <v>150</v>
      </c>
      <c r="S3323">
        <v>30</v>
      </c>
    </row>
    <row r="3324" spans="1:19" x14ac:dyDescent="0.25">
      <c r="A3324" s="87">
        <v>2019</v>
      </c>
      <c r="B3324" s="87">
        <v>12</v>
      </c>
      <c r="C3324" s="173" t="s">
        <v>16</v>
      </c>
      <c r="D3324" s="173" t="s">
        <v>230</v>
      </c>
      <c r="E3324" s="173" t="s">
        <v>24</v>
      </c>
      <c r="F3324" s="173" t="s">
        <v>16</v>
      </c>
      <c r="G3324" s="87" t="b">
        <v>1</v>
      </c>
      <c r="H3324" s="87" t="b">
        <v>1</v>
      </c>
      <c r="I3324" s="87" t="b">
        <v>0</v>
      </c>
      <c r="J3324" s="173" t="s">
        <v>1330</v>
      </c>
      <c r="K3324" s="174">
        <v>57722118000302</v>
      </c>
      <c r="L3324" s="173" t="s">
        <v>723</v>
      </c>
      <c r="M3324" s="173" t="s">
        <v>639</v>
      </c>
      <c r="N3324" s="173" t="s">
        <v>19</v>
      </c>
      <c r="O3324" s="87">
        <v>73</v>
      </c>
      <c r="P3324" s="173" t="s">
        <v>26</v>
      </c>
      <c r="Q3324" s="1" t="s">
        <v>1340</v>
      </c>
      <c r="R3324" s="175">
        <v>32</v>
      </c>
      <c r="S3324">
        <v>32</v>
      </c>
    </row>
    <row r="3325" spans="1:19" x14ac:dyDescent="0.25">
      <c r="A3325" s="87">
        <v>2019</v>
      </c>
      <c r="B3325" s="87">
        <v>12</v>
      </c>
      <c r="C3325" s="173" t="s">
        <v>16</v>
      </c>
      <c r="D3325" s="173" t="s">
        <v>230</v>
      </c>
      <c r="E3325" s="173" t="s">
        <v>24</v>
      </c>
      <c r="F3325" s="173" t="s">
        <v>16</v>
      </c>
      <c r="G3325" s="87" t="b">
        <v>1</v>
      </c>
      <c r="H3325" s="87" t="b">
        <v>1</v>
      </c>
      <c r="I3325" s="87" t="b">
        <v>0</v>
      </c>
      <c r="J3325" s="173" t="s">
        <v>451</v>
      </c>
      <c r="K3325" s="174">
        <v>57723280000183</v>
      </c>
      <c r="L3325" s="173" t="s">
        <v>724</v>
      </c>
      <c r="M3325" s="173" t="s">
        <v>639</v>
      </c>
      <c r="N3325" s="173" t="s">
        <v>19</v>
      </c>
      <c r="O3325" s="87">
        <v>70</v>
      </c>
      <c r="P3325" s="173" t="s">
        <v>20</v>
      </c>
      <c r="Q3325" s="1" t="s">
        <v>1338</v>
      </c>
      <c r="R3325" s="175">
        <v>35</v>
      </c>
      <c r="S3325">
        <v>7</v>
      </c>
    </row>
    <row r="3326" spans="1:19" x14ac:dyDescent="0.25">
      <c r="A3326" s="87">
        <v>2019</v>
      </c>
      <c r="B3326" s="87">
        <v>12</v>
      </c>
      <c r="C3326" s="173" t="s">
        <v>16</v>
      </c>
      <c r="D3326" s="173" t="s">
        <v>230</v>
      </c>
      <c r="E3326" s="173" t="s">
        <v>24</v>
      </c>
      <c r="F3326" s="173" t="s">
        <v>16</v>
      </c>
      <c r="G3326" s="87" t="b">
        <v>1</v>
      </c>
      <c r="H3326" s="87" t="b">
        <v>1</v>
      </c>
      <c r="I3326" s="87" t="b">
        <v>0</v>
      </c>
      <c r="J3326" s="173" t="s">
        <v>450</v>
      </c>
      <c r="K3326" s="174">
        <v>58229691001070</v>
      </c>
      <c r="L3326" s="173" t="s">
        <v>725</v>
      </c>
      <c r="M3326" s="173" t="s">
        <v>35</v>
      </c>
      <c r="N3326" s="173" t="s">
        <v>19</v>
      </c>
      <c r="O3326" s="87">
        <v>73</v>
      </c>
      <c r="P3326" s="173" t="s">
        <v>26</v>
      </c>
      <c r="Q3326" s="1" t="s">
        <v>1342</v>
      </c>
      <c r="R3326" s="175">
        <v>32</v>
      </c>
      <c r="S3326">
        <v>8</v>
      </c>
    </row>
    <row r="3327" spans="1:19" x14ac:dyDescent="0.25">
      <c r="A3327" s="87">
        <v>2019</v>
      </c>
      <c r="B3327" s="87">
        <v>12</v>
      </c>
      <c r="C3327" s="173" t="s">
        <v>16</v>
      </c>
      <c r="D3327" s="173" t="s">
        <v>230</v>
      </c>
      <c r="E3327" s="173" t="s">
        <v>24</v>
      </c>
      <c r="F3327" s="173" t="s">
        <v>16</v>
      </c>
      <c r="G3327" s="87" t="b">
        <v>1</v>
      </c>
      <c r="H3327" s="87" t="b">
        <v>1</v>
      </c>
      <c r="I3327" s="87" t="b">
        <v>0</v>
      </c>
      <c r="J3327" s="173" t="s">
        <v>463</v>
      </c>
      <c r="K3327" s="174">
        <v>58837188000298</v>
      </c>
      <c r="L3327" s="173" t="s">
        <v>1369</v>
      </c>
      <c r="M3327" s="173" t="s">
        <v>1370</v>
      </c>
      <c r="N3327" s="173" t="s">
        <v>19</v>
      </c>
      <c r="O3327" s="87">
        <v>70</v>
      </c>
      <c r="P3327" s="173" t="s">
        <v>20</v>
      </c>
      <c r="Q3327" s="1" t="s">
        <v>1338</v>
      </c>
      <c r="R3327" s="175">
        <v>20</v>
      </c>
      <c r="S3327">
        <v>4</v>
      </c>
    </row>
    <row r="3328" spans="1:19" x14ac:dyDescent="0.25">
      <c r="A3328" s="87">
        <v>2019</v>
      </c>
      <c r="B3328" s="87">
        <v>12</v>
      </c>
      <c r="C3328" s="173" t="s">
        <v>16</v>
      </c>
      <c r="D3328" s="173" t="s">
        <v>230</v>
      </c>
      <c r="E3328" s="173" t="s">
        <v>24</v>
      </c>
      <c r="F3328" s="173" t="s">
        <v>16</v>
      </c>
      <c r="G3328" s="87" t="b">
        <v>1</v>
      </c>
      <c r="H3328" s="87" t="b">
        <v>1</v>
      </c>
      <c r="I3328" s="87" t="b">
        <v>0</v>
      </c>
      <c r="J3328" s="173" t="s">
        <v>491</v>
      </c>
      <c r="K3328" s="174">
        <v>59481028000130</v>
      </c>
      <c r="L3328" s="173" t="s">
        <v>608</v>
      </c>
      <c r="M3328" s="173" t="s">
        <v>29</v>
      </c>
      <c r="N3328" s="173" t="s">
        <v>19</v>
      </c>
      <c r="O3328" s="87">
        <v>70</v>
      </c>
      <c r="P3328" s="173" t="s">
        <v>20</v>
      </c>
      <c r="Q3328" s="1" t="s">
        <v>1338</v>
      </c>
      <c r="R3328" s="175">
        <v>30</v>
      </c>
      <c r="S3328">
        <v>6</v>
      </c>
    </row>
    <row r="3329" spans="1:19" x14ac:dyDescent="0.25">
      <c r="A3329" s="87">
        <v>2019</v>
      </c>
      <c r="B3329" s="87">
        <v>12</v>
      </c>
      <c r="C3329" s="173" t="s">
        <v>16</v>
      </c>
      <c r="D3329" s="173" t="s">
        <v>230</v>
      </c>
      <c r="E3329" s="173" t="s">
        <v>24</v>
      </c>
      <c r="F3329" s="173" t="s">
        <v>16</v>
      </c>
      <c r="G3329" s="87" t="b">
        <v>1</v>
      </c>
      <c r="H3329" s="87" t="b">
        <v>1</v>
      </c>
      <c r="I3329" s="87" t="b">
        <v>0</v>
      </c>
      <c r="J3329" s="173" t="s">
        <v>1330</v>
      </c>
      <c r="K3329" s="174">
        <v>60003761000129</v>
      </c>
      <c r="L3329" s="173" t="s">
        <v>728</v>
      </c>
      <c r="M3329" s="173" t="s">
        <v>643</v>
      </c>
      <c r="N3329" s="173" t="s">
        <v>19</v>
      </c>
      <c r="O3329" s="87">
        <v>62</v>
      </c>
      <c r="P3329" s="173" t="s">
        <v>27</v>
      </c>
      <c r="Q3329" s="1" t="s">
        <v>1343</v>
      </c>
      <c r="R3329" s="175">
        <v>8</v>
      </c>
      <c r="S3329">
        <v>8</v>
      </c>
    </row>
    <row r="3330" spans="1:19" x14ac:dyDescent="0.25">
      <c r="A3330" s="87">
        <v>2019</v>
      </c>
      <c r="B3330" s="87">
        <v>12</v>
      </c>
      <c r="C3330" s="173" t="s">
        <v>16</v>
      </c>
      <c r="D3330" s="173" t="s">
        <v>230</v>
      </c>
      <c r="E3330" s="173" t="s">
        <v>24</v>
      </c>
      <c r="F3330" s="173" t="s">
        <v>16</v>
      </c>
      <c r="G3330" s="87" t="b">
        <v>1</v>
      </c>
      <c r="H3330" s="87" t="b">
        <v>1</v>
      </c>
      <c r="I3330" s="87" t="b">
        <v>0</v>
      </c>
      <c r="J3330" s="173" t="s">
        <v>1330</v>
      </c>
      <c r="K3330" s="174">
        <v>60003761000129</v>
      </c>
      <c r="L3330" s="173" t="s">
        <v>728</v>
      </c>
      <c r="M3330" s="173" t="s">
        <v>643</v>
      </c>
      <c r="N3330" s="173" t="s">
        <v>19</v>
      </c>
      <c r="O3330" s="87">
        <v>64</v>
      </c>
      <c r="P3330" s="173" t="s">
        <v>25</v>
      </c>
      <c r="Q3330" s="1" t="s">
        <v>1344</v>
      </c>
      <c r="R3330" s="175">
        <v>35</v>
      </c>
      <c r="S3330">
        <v>35</v>
      </c>
    </row>
    <row r="3331" spans="1:19" x14ac:dyDescent="0.25">
      <c r="A3331" s="87">
        <v>2019</v>
      </c>
      <c r="B3331" s="87">
        <v>12</v>
      </c>
      <c r="C3331" s="173" t="s">
        <v>16</v>
      </c>
      <c r="D3331" s="173" t="s">
        <v>230</v>
      </c>
      <c r="E3331" s="173" t="s">
        <v>24</v>
      </c>
      <c r="F3331" s="173" t="s">
        <v>16</v>
      </c>
      <c r="G3331" s="87" t="b">
        <v>1</v>
      </c>
      <c r="H3331" s="87" t="b">
        <v>1</v>
      </c>
      <c r="I3331" s="87" t="b">
        <v>0</v>
      </c>
      <c r="J3331" s="173" t="s">
        <v>478</v>
      </c>
      <c r="K3331" s="174">
        <v>60194990000844</v>
      </c>
      <c r="L3331" s="173" t="s">
        <v>1231</v>
      </c>
      <c r="M3331" s="173" t="s">
        <v>58</v>
      </c>
      <c r="N3331" s="173" t="s">
        <v>54</v>
      </c>
      <c r="O3331" s="87">
        <v>70</v>
      </c>
      <c r="P3331" s="173" t="s">
        <v>20</v>
      </c>
      <c r="Q3331" s="1" t="s">
        <v>1338</v>
      </c>
      <c r="R3331" s="175">
        <v>550</v>
      </c>
      <c r="S3331">
        <v>110</v>
      </c>
    </row>
    <row r="3332" spans="1:19" x14ac:dyDescent="0.25">
      <c r="A3332" s="87">
        <v>2019</v>
      </c>
      <c r="B3332" s="87">
        <v>12</v>
      </c>
      <c r="C3332" s="173" t="s">
        <v>16</v>
      </c>
      <c r="D3332" s="173" t="s">
        <v>230</v>
      </c>
      <c r="E3332" s="173" t="s">
        <v>24</v>
      </c>
      <c r="F3332" s="173" t="s">
        <v>16</v>
      </c>
      <c r="G3332" s="87" t="b">
        <v>1</v>
      </c>
      <c r="H3332" s="87" t="b">
        <v>1</v>
      </c>
      <c r="I3332" s="87" t="b">
        <v>0</v>
      </c>
      <c r="J3332" s="173" t="s">
        <v>463</v>
      </c>
      <c r="K3332" s="174">
        <v>60214517000962</v>
      </c>
      <c r="L3332" s="173" t="s">
        <v>729</v>
      </c>
      <c r="M3332" s="173" t="s">
        <v>650</v>
      </c>
      <c r="N3332" s="173" t="s">
        <v>19</v>
      </c>
      <c r="O3332" s="87">
        <v>70</v>
      </c>
      <c r="P3332" s="173" t="s">
        <v>20</v>
      </c>
      <c r="Q3332" s="1" t="s">
        <v>1338</v>
      </c>
      <c r="R3332" s="175">
        <v>200</v>
      </c>
      <c r="S3332">
        <v>40</v>
      </c>
    </row>
    <row r="3333" spans="1:19" x14ac:dyDescent="0.25">
      <c r="A3333" s="87">
        <v>2019</v>
      </c>
      <c r="B3333" s="87">
        <v>12</v>
      </c>
      <c r="C3333" s="173" t="s">
        <v>16</v>
      </c>
      <c r="D3333" s="173" t="s">
        <v>230</v>
      </c>
      <c r="E3333" s="173" t="s">
        <v>24</v>
      </c>
      <c r="F3333" s="173" t="s">
        <v>16</v>
      </c>
      <c r="G3333" s="87" t="b">
        <v>1</v>
      </c>
      <c r="H3333" s="87" t="b">
        <v>1</v>
      </c>
      <c r="I3333" s="87" t="b">
        <v>0</v>
      </c>
      <c r="J3333" s="173" t="s">
        <v>450</v>
      </c>
      <c r="K3333" s="174">
        <v>60214517001691</v>
      </c>
      <c r="L3333" s="173" t="s">
        <v>732</v>
      </c>
      <c r="M3333" s="173" t="s">
        <v>650</v>
      </c>
      <c r="N3333" s="173" t="s">
        <v>19</v>
      </c>
      <c r="O3333" s="87">
        <v>70</v>
      </c>
      <c r="P3333" s="173" t="s">
        <v>20</v>
      </c>
      <c r="Q3333" s="1" t="s">
        <v>1338</v>
      </c>
      <c r="R3333" s="175">
        <v>75</v>
      </c>
      <c r="S3333">
        <v>15</v>
      </c>
    </row>
    <row r="3334" spans="1:19" x14ac:dyDescent="0.25">
      <c r="A3334" s="87">
        <v>2019</v>
      </c>
      <c r="B3334" s="87">
        <v>12</v>
      </c>
      <c r="C3334" s="173" t="s">
        <v>16</v>
      </c>
      <c r="D3334" s="173" t="s">
        <v>230</v>
      </c>
      <c r="E3334" s="173" t="s">
        <v>24</v>
      </c>
      <c r="F3334" s="173" t="s">
        <v>16</v>
      </c>
      <c r="G3334" s="87" t="b">
        <v>1</v>
      </c>
      <c r="H3334" s="87" t="b">
        <v>1</v>
      </c>
      <c r="I3334" s="87" t="b">
        <v>0</v>
      </c>
      <c r="J3334" s="173" t="s">
        <v>463</v>
      </c>
      <c r="K3334" s="174">
        <v>60214517001691</v>
      </c>
      <c r="L3334" s="173" t="s">
        <v>732</v>
      </c>
      <c r="M3334" s="173" t="s">
        <v>650</v>
      </c>
      <c r="N3334" s="173" t="s">
        <v>19</v>
      </c>
      <c r="O3334" s="87">
        <v>70</v>
      </c>
      <c r="P3334" s="173" t="s">
        <v>20</v>
      </c>
      <c r="Q3334" s="1" t="s">
        <v>1338</v>
      </c>
      <c r="R3334" s="175">
        <v>155</v>
      </c>
      <c r="S3334">
        <v>31</v>
      </c>
    </row>
    <row r="3335" spans="1:19" x14ac:dyDescent="0.25">
      <c r="A3335" s="87">
        <v>2019</v>
      </c>
      <c r="B3335" s="87">
        <v>12</v>
      </c>
      <c r="C3335" s="173" t="s">
        <v>16</v>
      </c>
      <c r="D3335" s="173" t="s">
        <v>230</v>
      </c>
      <c r="E3335" s="173" t="s">
        <v>24</v>
      </c>
      <c r="F3335" s="173" t="s">
        <v>16</v>
      </c>
      <c r="G3335" s="87" t="b">
        <v>1</v>
      </c>
      <c r="H3335" s="87" t="b">
        <v>1</v>
      </c>
      <c r="I3335" s="87" t="b">
        <v>0</v>
      </c>
      <c r="J3335" s="173" t="s">
        <v>1330</v>
      </c>
      <c r="K3335" s="174">
        <v>60448040000122</v>
      </c>
      <c r="L3335" s="173" t="s">
        <v>609</v>
      </c>
      <c r="M3335" s="173" t="s">
        <v>29</v>
      </c>
      <c r="N3335" s="173" t="s">
        <v>19</v>
      </c>
      <c r="O3335" s="87">
        <v>62</v>
      </c>
      <c r="P3335" s="173" t="s">
        <v>27</v>
      </c>
      <c r="Q3335" s="1" t="s">
        <v>1343</v>
      </c>
      <c r="R3335" s="175">
        <v>45</v>
      </c>
      <c r="S3335">
        <v>45</v>
      </c>
    </row>
    <row r="3336" spans="1:19" x14ac:dyDescent="0.25">
      <c r="A3336" s="87">
        <v>2019</v>
      </c>
      <c r="B3336" s="87">
        <v>12</v>
      </c>
      <c r="C3336" s="173" t="s">
        <v>16</v>
      </c>
      <c r="D3336" s="173" t="s">
        <v>230</v>
      </c>
      <c r="E3336" s="173" t="s">
        <v>24</v>
      </c>
      <c r="F3336" s="173" t="s">
        <v>16</v>
      </c>
      <c r="G3336" s="87" t="b">
        <v>1</v>
      </c>
      <c r="H3336" s="87" t="b">
        <v>1</v>
      </c>
      <c r="I3336" s="87" t="b">
        <v>0</v>
      </c>
      <c r="J3336" s="173" t="s">
        <v>1330</v>
      </c>
      <c r="K3336" s="174">
        <v>60448040000122</v>
      </c>
      <c r="L3336" s="173" t="s">
        <v>609</v>
      </c>
      <c r="M3336" s="173" t="s">
        <v>29</v>
      </c>
      <c r="N3336" s="173" t="s">
        <v>19</v>
      </c>
      <c r="O3336" s="87">
        <v>64</v>
      </c>
      <c r="P3336" s="173" t="s">
        <v>25</v>
      </c>
      <c r="Q3336" s="1" t="s">
        <v>1344</v>
      </c>
      <c r="R3336" s="175">
        <v>65</v>
      </c>
      <c r="S3336">
        <v>65</v>
      </c>
    </row>
    <row r="3337" spans="1:19" x14ac:dyDescent="0.25">
      <c r="A3337" s="87">
        <v>2019</v>
      </c>
      <c r="B3337" s="87">
        <v>12</v>
      </c>
      <c r="C3337" s="173" t="s">
        <v>16</v>
      </c>
      <c r="D3337" s="173" t="s">
        <v>230</v>
      </c>
      <c r="E3337" s="173" t="s">
        <v>24</v>
      </c>
      <c r="F3337" s="173" t="s">
        <v>16</v>
      </c>
      <c r="G3337" s="87" t="b">
        <v>1</v>
      </c>
      <c r="H3337" s="87" t="b">
        <v>1</v>
      </c>
      <c r="I3337" s="87" t="b">
        <v>0</v>
      </c>
      <c r="J3337" s="173" t="s">
        <v>450</v>
      </c>
      <c r="K3337" s="174">
        <v>60453024000390</v>
      </c>
      <c r="L3337" s="173" t="s">
        <v>610</v>
      </c>
      <c r="M3337" s="173" t="s">
        <v>29</v>
      </c>
      <c r="N3337" s="173" t="s">
        <v>19</v>
      </c>
      <c r="O3337" s="87">
        <v>62</v>
      </c>
      <c r="P3337" s="173" t="s">
        <v>27</v>
      </c>
      <c r="Q3337" s="1" t="s">
        <v>1343</v>
      </c>
      <c r="R3337" s="175">
        <v>68</v>
      </c>
      <c r="S3337">
        <v>68</v>
      </c>
    </row>
    <row r="3338" spans="1:19" x14ac:dyDescent="0.25">
      <c r="A3338" s="87">
        <v>2019</v>
      </c>
      <c r="B3338" s="87">
        <v>12</v>
      </c>
      <c r="C3338" s="173" t="s">
        <v>16</v>
      </c>
      <c r="D3338" s="173" t="s">
        <v>230</v>
      </c>
      <c r="E3338" s="173" t="s">
        <v>24</v>
      </c>
      <c r="F3338" s="173" t="s">
        <v>16</v>
      </c>
      <c r="G3338" s="87" t="b">
        <v>1</v>
      </c>
      <c r="H3338" s="87" t="b">
        <v>1</v>
      </c>
      <c r="I3338" s="87" t="b">
        <v>0</v>
      </c>
      <c r="J3338" s="173" t="s">
        <v>450</v>
      </c>
      <c r="K3338" s="174">
        <v>60453024000390</v>
      </c>
      <c r="L3338" s="173" t="s">
        <v>610</v>
      </c>
      <c r="M3338" s="173" t="s">
        <v>29</v>
      </c>
      <c r="N3338" s="173" t="s">
        <v>19</v>
      </c>
      <c r="O3338" s="87">
        <v>64</v>
      </c>
      <c r="P3338" s="173" t="s">
        <v>25</v>
      </c>
      <c r="Q3338" s="1" t="s">
        <v>1344</v>
      </c>
      <c r="R3338" s="175">
        <v>35</v>
      </c>
      <c r="S3338">
        <v>35</v>
      </c>
    </row>
    <row r="3339" spans="1:19" x14ac:dyDescent="0.25">
      <c r="A3339" s="87">
        <v>2019</v>
      </c>
      <c r="B3339" s="87">
        <v>12</v>
      </c>
      <c r="C3339" s="173" t="s">
        <v>16</v>
      </c>
      <c r="D3339" s="173" t="s">
        <v>230</v>
      </c>
      <c r="E3339" s="173" t="s">
        <v>24</v>
      </c>
      <c r="F3339" s="173" t="s">
        <v>16</v>
      </c>
      <c r="G3339" s="87" t="b">
        <v>1</v>
      </c>
      <c r="H3339" s="87" t="b">
        <v>1</v>
      </c>
      <c r="I3339" s="87" t="b">
        <v>0</v>
      </c>
      <c r="J3339" s="173" t="s">
        <v>463</v>
      </c>
      <c r="K3339" s="174">
        <v>60552098000111</v>
      </c>
      <c r="L3339" s="173" t="s">
        <v>611</v>
      </c>
      <c r="M3339" s="173" t="s">
        <v>29</v>
      </c>
      <c r="N3339" s="173" t="s">
        <v>19</v>
      </c>
      <c r="O3339" s="87">
        <v>62</v>
      </c>
      <c r="P3339" s="173" t="s">
        <v>27</v>
      </c>
      <c r="Q3339" s="1" t="s">
        <v>1343</v>
      </c>
      <c r="R3339" s="175">
        <v>4</v>
      </c>
      <c r="S3339">
        <v>4</v>
      </c>
    </row>
    <row r="3340" spans="1:19" x14ac:dyDescent="0.25">
      <c r="A3340" s="87">
        <v>2019</v>
      </c>
      <c r="B3340" s="87">
        <v>12</v>
      </c>
      <c r="C3340" s="173" t="s">
        <v>16</v>
      </c>
      <c r="D3340" s="173" t="s">
        <v>230</v>
      </c>
      <c r="E3340" s="173" t="s">
        <v>24</v>
      </c>
      <c r="F3340" s="173" t="s">
        <v>16</v>
      </c>
      <c r="G3340" s="87" t="b">
        <v>1</v>
      </c>
      <c r="H3340" s="87" t="b">
        <v>1</v>
      </c>
      <c r="I3340" s="87" t="b">
        <v>0</v>
      </c>
      <c r="J3340" s="173" t="s">
        <v>463</v>
      </c>
      <c r="K3340" s="174">
        <v>60678604000113</v>
      </c>
      <c r="L3340" s="173" t="s">
        <v>612</v>
      </c>
      <c r="M3340" s="173" t="s">
        <v>29</v>
      </c>
      <c r="N3340" s="173" t="s">
        <v>19</v>
      </c>
      <c r="O3340" s="87">
        <v>62</v>
      </c>
      <c r="P3340" s="173" t="s">
        <v>27</v>
      </c>
      <c r="Q3340" s="1" t="s">
        <v>1343</v>
      </c>
      <c r="R3340" s="175">
        <v>55</v>
      </c>
      <c r="S3340">
        <v>55</v>
      </c>
    </row>
    <row r="3341" spans="1:19" x14ac:dyDescent="0.25">
      <c r="A3341" s="87">
        <v>2019</v>
      </c>
      <c r="B3341" s="87">
        <v>12</v>
      </c>
      <c r="C3341" s="173" t="s">
        <v>16</v>
      </c>
      <c r="D3341" s="173" t="s">
        <v>230</v>
      </c>
      <c r="E3341" s="173" t="s">
        <v>24</v>
      </c>
      <c r="F3341" s="173" t="s">
        <v>16</v>
      </c>
      <c r="G3341" s="87" t="b">
        <v>1</v>
      </c>
      <c r="H3341" s="87" t="b">
        <v>1</v>
      </c>
      <c r="I3341" s="87" t="b">
        <v>0</v>
      </c>
      <c r="J3341" s="173" t="s">
        <v>463</v>
      </c>
      <c r="K3341" s="174">
        <v>60678604000113</v>
      </c>
      <c r="L3341" s="173" t="s">
        <v>612</v>
      </c>
      <c r="M3341" s="173" t="s">
        <v>29</v>
      </c>
      <c r="N3341" s="173" t="s">
        <v>19</v>
      </c>
      <c r="O3341" s="87">
        <v>64</v>
      </c>
      <c r="P3341" s="173" t="s">
        <v>25</v>
      </c>
      <c r="Q3341" s="1" t="s">
        <v>1344</v>
      </c>
      <c r="R3341" s="175">
        <v>4</v>
      </c>
      <c r="S3341">
        <v>4</v>
      </c>
    </row>
    <row r="3342" spans="1:19" x14ac:dyDescent="0.25">
      <c r="A3342" s="87">
        <v>2019</v>
      </c>
      <c r="B3342" s="87">
        <v>12</v>
      </c>
      <c r="C3342" s="173" t="s">
        <v>16</v>
      </c>
      <c r="D3342" s="173" t="s">
        <v>230</v>
      </c>
      <c r="E3342" s="173" t="s">
        <v>24</v>
      </c>
      <c r="F3342" s="173" t="s">
        <v>16</v>
      </c>
      <c r="G3342" s="87" t="b">
        <v>1</v>
      </c>
      <c r="H3342" s="87" t="b">
        <v>1</v>
      </c>
      <c r="I3342" s="87" t="b">
        <v>0</v>
      </c>
      <c r="J3342" s="173" t="s">
        <v>463</v>
      </c>
      <c r="K3342" s="174">
        <v>60678604000113</v>
      </c>
      <c r="L3342" s="173" t="s">
        <v>612</v>
      </c>
      <c r="M3342" s="173" t="s">
        <v>29</v>
      </c>
      <c r="N3342" s="173" t="s">
        <v>19</v>
      </c>
      <c r="O3342" s="87">
        <v>70</v>
      </c>
      <c r="P3342" s="173" t="s">
        <v>20</v>
      </c>
      <c r="Q3342" s="1" t="s">
        <v>1338</v>
      </c>
      <c r="R3342" s="175">
        <v>75</v>
      </c>
      <c r="S3342">
        <v>15</v>
      </c>
    </row>
    <row r="3343" spans="1:19" x14ac:dyDescent="0.25">
      <c r="A3343" s="87">
        <v>2019</v>
      </c>
      <c r="B3343" s="87">
        <v>12</v>
      </c>
      <c r="C3343" s="173" t="s">
        <v>16</v>
      </c>
      <c r="D3343" s="173" t="s">
        <v>230</v>
      </c>
      <c r="E3343" s="173" t="s">
        <v>24</v>
      </c>
      <c r="F3343" s="173" t="s">
        <v>16</v>
      </c>
      <c r="G3343" s="87" t="b">
        <v>1</v>
      </c>
      <c r="H3343" s="87" t="b">
        <v>1</v>
      </c>
      <c r="I3343" s="87" t="b">
        <v>0</v>
      </c>
      <c r="J3343" s="173" t="s">
        <v>450</v>
      </c>
      <c r="K3343" s="174">
        <v>60726502000126</v>
      </c>
      <c r="L3343" s="173" t="s">
        <v>613</v>
      </c>
      <c r="M3343" s="173" t="s">
        <v>29</v>
      </c>
      <c r="N3343" s="173" t="s">
        <v>19</v>
      </c>
      <c r="O3343" s="87">
        <v>62</v>
      </c>
      <c r="P3343" s="173" t="s">
        <v>27</v>
      </c>
      <c r="Q3343" s="1" t="s">
        <v>1343</v>
      </c>
      <c r="R3343" s="175">
        <v>9</v>
      </c>
      <c r="S3343">
        <v>9</v>
      </c>
    </row>
    <row r="3344" spans="1:19" x14ac:dyDescent="0.25">
      <c r="A3344" s="87">
        <v>2019</v>
      </c>
      <c r="B3344" s="87">
        <v>12</v>
      </c>
      <c r="C3344" s="173" t="s">
        <v>16</v>
      </c>
      <c r="D3344" s="173" t="s">
        <v>230</v>
      </c>
      <c r="E3344" s="173" t="s">
        <v>24</v>
      </c>
      <c r="F3344" s="173" t="s">
        <v>16</v>
      </c>
      <c r="G3344" s="87" t="b">
        <v>1</v>
      </c>
      <c r="H3344" s="87" t="b">
        <v>1</v>
      </c>
      <c r="I3344" s="87" t="b">
        <v>0</v>
      </c>
      <c r="J3344" s="173" t="s">
        <v>450</v>
      </c>
      <c r="K3344" s="174">
        <v>60726502000126</v>
      </c>
      <c r="L3344" s="173" t="s">
        <v>613</v>
      </c>
      <c r="M3344" s="173" t="s">
        <v>29</v>
      </c>
      <c r="N3344" s="173" t="s">
        <v>19</v>
      </c>
      <c r="O3344" s="87">
        <v>64</v>
      </c>
      <c r="P3344" s="173" t="s">
        <v>25</v>
      </c>
      <c r="Q3344" s="1" t="s">
        <v>1344</v>
      </c>
      <c r="R3344" s="175">
        <v>10</v>
      </c>
      <c r="S3344">
        <v>10</v>
      </c>
    </row>
    <row r="3345" spans="1:19" x14ac:dyDescent="0.25">
      <c r="A3345" s="87">
        <v>2019</v>
      </c>
      <c r="B3345" s="87">
        <v>12</v>
      </c>
      <c r="C3345" s="173" t="s">
        <v>16</v>
      </c>
      <c r="D3345" s="173" t="s">
        <v>230</v>
      </c>
      <c r="E3345" s="173" t="s">
        <v>24</v>
      </c>
      <c r="F3345" s="173" t="s">
        <v>16</v>
      </c>
      <c r="G3345" s="87" t="b">
        <v>1</v>
      </c>
      <c r="H3345" s="87" t="b">
        <v>1</v>
      </c>
      <c r="I3345" s="87" t="b">
        <v>0</v>
      </c>
      <c r="J3345" s="173" t="s">
        <v>463</v>
      </c>
      <c r="K3345" s="174">
        <v>60726502000126</v>
      </c>
      <c r="L3345" s="173" t="s">
        <v>613</v>
      </c>
      <c r="M3345" s="173" t="s">
        <v>29</v>
      </c>
      <c r="N3345" s="173" t="s">
        <v>19</v>
      </c>
      <c r="O3345" s="87">
        <v>70</v>
      </c>
      <c r="P3345" s="173" t="s">
        <v>20</v>
      </c>
      <c r="Q3345" s="1" t="s">
        <v>1338</v>
      </c>
      <c r="R3345" s="175">
        <v>500</v>
      </c>
      <c r="S3345">
        <v>100</v>
      </c>
    </row>
    <row r="3346" spans="1:19" x14ac:dyDescent="0.25">
      <c r="A3346" s="87">
        <v>2019</v>
      </c>
      <c r="B3346" s="87">
        <v>12</v>
      </c>
      <c r="C3346" s="173" t="s">
        <v>16</v>
      </c>
      <c r="D3346" s="173" t="s">
        <v>230</v>
      </c>
      <c r="E3346" s="173" t="s">
        <v>24</v>
      </c>
      <c r="F3346" s="173" t="s">
        <v>16</v>
      </c>
      <c r="G3346" s="87" t="b">
        <v>1</v>
      </c>
      <c r="H3346" s="87" t="b">
        <v>1</v>
      </c>
      <c r="I3346" s="87" t="b">
        <v>0</v>
      </c>
      <c r="J3346" s="173" t="s">
        <v>450</v>
      </c>
      <c r="K3346" s="174">
        <v>60742616000160</v>
      </c>
      <c r="L3346" s="173" t="s">
        <v>1362</v>
      </c>
      <c r="M3346" s="173" t="s">
        <v>29</v>
      </c>
      <c r="N3346" s="173" t="s">
        <v>19</v>
      </c>
      <c r="O3346" s="87">
        <v>70</v>
      </c>
      <c r="P3346" s="173" t="s">
        <v>20</v>
      </c>
      <c r="Q3346" s="1" t="s">
        <v>1338</v>
      </c>
      <c r="R3346" s="175">
        <v>50</v>
      </c>
      <c r="S3346">
        <v>10</v>
      </c>
    </row>
    <row r="3347" spans="1:19" x14ac:dyDescent="0.25">
      <c r="A3347" s="87">
        <v>2019</v>
      </c>
      <c r="B3347" s="87">
        <v>12</v>
      </c>
      <c r="C3347" s="173" t="s">
        <v>16</v>
      </c>
      <c r="D3347" s="173" t="s">
        <v>230</v>
      </c>
      <c r="E3347" s="173" t="s">
        <v>24</v>
      </c>
      <c r="F3347" s="173" t="s">
        <v>16</v>
      </c>
      <c r="G3347" s="87" t="b">
        <v>1</v>
      </c>
      <c r="H3347" s="87" t="b">
        <v>1</v>
      </c>
      <c r="I3347" s="87" t="b">
        <v>0</v>
      </c>
      <c r="J3347" s="173" t="s">
        <v>1330</v>
      </c>
      <c r="K3347" s="174">
        <v>60765823000130</v>
      </c>
      <c r="L3347" s="173" t="s">
        <v>615</v>
      </c>
      <c r="M3347" s="173" t="s">
        <v>29</v>
      </c>
      <c r="N3347" s="173" t="s">
        <v>19</v>
      </c>
      <c r="O3347" s="87">
        <v>62</v>
      </c>
      <c r="P3347" s="173" t="s">
        <v>27</v>
      </c>
      <c r="Q3347" s="1" t="s">
        <v>1343</v>
      </c>
      <c r="R3347" s="175">
        <v>190</v>
      </c>
      <c r="S3347">
        <v>190</v>
      </c>
    </row>
    <row r="3348" spans="1:19" x14ac:dyDescent="0.25">
      <c r="A3348" s="87">
        <v>2019</v>
      </c>
      <c r="B3348" s="87">
        <v>12</v>
      </c>
      <c r="C3348" s="173" t="s">
        <v>16</v>
      </c>
      <c r="D3348" s="173" t="s">
        <v>230</v>
      </c>
      <c r="E3348" s="173" t="s">
        <v>24</v>
      </c>
      <c r="F3348" s="173" t="s">
        <v>16</v>
      </c>
      <c r="G3348" s="87" t="b">
        <v>1</v>
      </c>
      <c r="H3348" s="87" t="b">
        <v>1</v>
      </c>
      <c r="I3348" s="87" t="b">
        <v>0</v>
      </c>
      <c r="J3348" s="173" t="s">
        <v>1330</v>
      </c>
      <c r="K3348" s="174">
        <v>60765823000130</v>
      </c>
      <c r="L3348" s="173" t="s">
        <v>615</v>
      </c>
      <c r="M3348" s="173" t="s">
        <v>29</v>
      </c>
      <c r="N3348" s="173" t="s">
        <v>19</v>
      </c>
      <c r="O3348" s="87">
        <v>64</v>
      </c>
      <c r="P3348" s="173" t="s">
        <v>25</v>
      </c>
      <c r="Q3348" s="1" t="s">
        <v>1344</v>
      </c>
      <c r="R3348" s="175">
        <v>40</v>
      </c>
      <c r="S3348">
        <v>40</v>
      </c>
    </row>
    <row r="3349" spans="1:19" x14ac:dyDescent="0.25">
      <c r="A3349" s="87">
        <v>2019</v>
      </c>
      <c r="B3349" s="87">
        <v>12</v>
      </c>
      <c r="C3349" s="173" t="s">
        <v>16</v>
      </c>
      <c r="D3349" s="173" t="s">
        <v>230</v>
      </c>
      <c r="E3349" s="173" t="s">
        <v>24</v>
      </c>
      <c r="F3349" s="173" t="s">
        <v>16</v>
      </c>
      <c r="G3349" s="87" t="b">
        <v>1</v>
      </c>
      <c r="H3349" s="87" t="b">
        <v>1</v>
      </c>
      <c r="I3349" s="87" t="b">
        <v>0</v>
      </c>
      <c r="J3349" s="173" t="s">
        <v>1330</v>
      </c>
      <c r="K3349" s="174">
        <v>60765823000130</v>
      </c>
      <c r="L3349" s="173" t="s">
        <v>615</v>
      </c>
      <c r="M3349" s="173" t="s">
        <v>29</v>
      </c>
      <c r="N3349" s="173" t="s">
        <v>19</v>
      </c>
      <c r="O3349" s="87">
        <v>70</v>
      </c>
      <c r="P3349" s="173" t="s">
        <v>20</v>
      </c>
      <c r="Q3349" s="1" t="s">
        <v>1346</v>
      </c>
      <c r="R3349" s="175">
        <v>50</v>
      </c>
      <c r="S3349">
        <v>20</v>
      </c>
    </row>
    <row r="3350" spans="1:19" x14ac:dyDescent="0.25">
      <c r="A3350" s="87">
        <v>2019</v>
      </c>
      <c r="B3350" s="87">
        <v>12</v>
      </c>
      <c r="C3350" s="173" t="s">
        <v>16</v>
      </c>
      <c r="D3350" s="173" t="s">
        <v>230</v>
      </c>
      <c r="E3350" s="173" t="s">
        <v>24</v>
      </c>
      <c r="F3350" s="173" t="s">
        <v>16</v>
      </c>
      <c r="G3350" s="87" t="b">
        <v>1</v>
      </c>
      <c r="H3350" s="87" t="b">
        <v>1</v>
      </c>
      <c r="I3350" s="87" t="b">
        <v>0</v>
      </c>
      <c r="J3350" s="173" t="s">
        <v>1330</v>
      </c>
      <c r="K3350" s="174">
        <v>60765823000130</v>
      </c>
      <c r="L3350" s="173" t="s">
        <v>615</v>
      </c>
      <c r="M3350" s="173" t="s">
        <v>29</v>
      </c>
      <c r="N3350" s="173" t="s">
        <v>19</v>
      </c>
      <c r="O3350" s="87">
        <v>70</v>
      </c>
      <c r="P3350" s="173" t="s">
        <v>20</v>
      </c>
      <c r="Q3350" s="1" t="s">
        <v>1338</v>
      </c>
      <c r="R3350" s="175">
        <v>1250</v>
      </c>
      <c r="S3350">
        <v>250</v>
      </c>
    </row>
    <row r="3351" spans="1:19" x14ac:dyDescent="0.25">
      <c r="A3351" s="87">
        <v>2019</v>
      </c>
      <c r="B3351" s="87">
        <v>12</v>
      </c>
      <c r="C3351" s="173" t="s">
        <v>16</v>
      </c>
      <c r="D3351" s="173" t="s">
        <v>230</v>
      </c>
      <c r="E3351" s="173" t="s">
        <v>24</v>
      </c>
      <c r="F3351" s="173" t="s">
        <v>16</v>
      </c>
      <c r="G3351" s="87" t="b">
        <v>1</v>
      </c>
      <c r="H3351" s="87" t="b">
        <v>1</v>
      </c>
      <c r="I3351" s="87" t="b">
        <v>0</v>
      </c>
      <c r="J3351" s="173" t="s">
        <v>1330</v>
      </c>
      <c r="K3351" s="174">
        <v>60765823000130</v>
      </c>
      <c r="L3351" s="173" t="s">
        <v>615</v>
      </c>
      <c r="M3351" s="173" t="s">
        <v>29</v>
      </c>
      <c r="N3351" s="173" t="s">
        <v>19</v>
      </c>
      <c r="O3351" s="87">
        <v>73</v>
      </c>
      <c r="P3351" s="173" t="s">
        <v>26</v>
      </c>
      <c r="Q3351" s="1" t="s">
        <v>1340</v>
      </c>
      <c r="R3351" s="175">
        <v>60</v>
      </c>
      <c r="S3351">
        <v>60</v>
      </c>
    </row>
    <row r="3352" spans="1:19" x14ac:dyDescent="0.25">
      <c r="A3352" s="87">
        <v>2019</v>
      </c>
      <c r="B3352" s="87">
        <v>12</v>
      </c>
      <c r="C3352" s="173" t="s">
        <v>16</v>
      </c>
      <c r="D3352" s="173" t="s">
        <v>230</v>
      </c>
      <c r="E3352" s="173" t="s">
        <v>24</v>
      </c>
      <c r="F3352" s="173" t="s">
        <v>16</v>
      </c>
      <c r="G3352" s="87" t="b">
        <v>1</v>
      </c>
      <c r="H3352" s="87" t="b">
        <v>1</v>
      </c>
      <c r="I3352" s="87" t="b">
        <v>0</v>
      </c>
      <c r="J3352" s="173" t="s">
        <v>470</v>
      </c>
      <c r="K3352" s="174">
        <v>60777901000116</v>
      </c>
      <c r="L3352" s="173" t="s">
        <v>616</v>
      </c>
      <c r="M3352" s="173" t="s">
        <v>29</v>
      </c>
      <c r="N3352" s="173" t="s">
        <v>19</v>
      </c>
      <c r="O3352" s="87">
        <v>64</v>
      </c>
      <c r="P3352" s="173" t="s">
        <v>25</v>
      </c>
      <c r="Q3352" s="1" t="s">
        <v>1344</v>
      </c>
      <c r="R3352" s="175">
        <v>8</v>
      </c>
      <c r="S3352">
        <v>8</v>
      </c>
    </row>
    <row r="3353" spans="1:19" x14ac:dyDescent="0.25">
      <c r="A3353" s="87">
        <v>2019</v>
      </c>
      <c r="B3353" s="87">
        <v>12</v>
      </c>
      <c r="C3353" s="173" t="s">
        <v>16</v>
      </c>
      <c r="D3353" s="173" t="s">
        <v>230</v>
      </c>
      <c r="E3353" s="173" t="s">
        <v>24</v>
      </c>
      <c r="F3353" s="173" t="s">
        <v>16</v>
      </c>
      <c r="G3353" s="87" t="b">
        <v>1</v>
      </c>
      <c r="H3353" s="87" t="b">
        <v>1</v>
      </c>
      <c r="I3353" s="87" t="b">
        <v>0</v>
      </c>
      <c r="J3353" s="173" t="s">
        <v>470</v>
      </c>
      <c r="K3353" s="174">
        <v>60777901000116</v>
      </c>
      <c r="L3353" s="173" t="s">
        <v>616</v>
      </c>
      <c r="M3353" s="173" t="s">
        <v>29</v>
      </c>
      <c r="N3353" s="173" t="s">
        <v>19</v>
      </c>
      <c r="O3353" s="87">
        <v>70</v>
      </c>
      <c r="P3353" s="173" t="s">
        <v>20</v>
      </c>
      <c r="Q3353" s="1" t="s">
        <v>1338</v>
      </c>
      <c r="R3353" s="175">
        <v>1750</v>
      </c>
      <c r="S3353">
        <v>350</v>
      </c>
    </row>
    <row r="3354" spans="1:19" x14ac:dyDescent="0.25">
      <c r="A3354" s="87">
        <v>2019</v>
      </c>
      <c r="B3354" s="87">
        <v>12</v>
      </c>
      <c r="C3354" s="173" t="s">
        <v>16</v>
      </c>
      <c r="D3354" s="173" t="s">
        <v>230</v>
      </c>
      <c r="E3354" s="173" t="s">
        <v>24</v>
      </c>
      <c r="F3354" s="173" t="s">
        <v>16</v>
      </c>
      <c r="G3354" s="87" t="b">
        <v>1</v>
      </c>
      <c r="H3354" s="87" t="b">
        <v>1</v>
      </c>
      <c r="I3354" s="87" t="b">
        <v>0</v>
      </c>
      <c r="J3354" s="173" t="s">
        <v>451</v>
      </c>
      <c r="K3354" s="174">
        <v>60777901000116</v>
      </c>
      <c r="L3354" s="173" t="s">
        <v>616</v>
      </c>
      <c r="M3354" s="173" t="s">
        <v>29</v>
      </c>
      <c r="N3354" s="173" t="s">
        <v>19</v>
      </c>
      <c r="O3354" s="87">
        <v>73</v>
      </c>
      <c r="P3354" s="173" t="s">
        <v>26</v>
      </c>
      <c r="Q3354" s="1" t="s">
        <v>1339</v>
      </c>
      <c r="R3354" s="175">
        <v>2</v>
      </c>
      <c r="S3354">
        <v>1</v>
      </c>
    </row>
    <row r="3355" spans="1:19" x14ac:dyDescent="0.25">
      <c r="A3355" s="87">
        <v>2019</v>
      </c>
      <c r="B3355" s="87">
        <v>12</v>
      </c>
      <c r="C3355" s="173" t="s">
        <v>16</v>
      </c>
      <c r="D3355" s="173" t="s">
        <v>230</v>
      </c>
      <c r="E3355" s="173" t="s">
        <v>24</v>
      </c>
      <c r="F3355" s="173" t="s">
        <v>16</v>
      </c>
      <c r="G3355" s="87" t="b">
        <v>1</v>
      </c>
      <c r="H3355" s="87" t="b">
        <v>1</v>
      </c>
      <c r="I3355" s="87" t="b">
        <v>0</v>
      </c>
      <c r="J3355" s="173" t="s">
        <v>451</v>
      </c>
      <c r="K3355" s="174">
        <v>60777901000116</v>
      </c>
      <c r="L3355" s="173" t="s">
        <v>616</v>
      </c>
      <c r="M3355" s="173" t="s">
        <v>29</v>
      </c>
      <c r="N3355" s="173" t="s">
        <v>19</v>
      </c>
      <c r="O3355" s="87">
        <v>73</v>
      </c>
      <c r="P3355" s="173" t="s">
        <v>26</v>
      </c>
      <c r="Q3355" s="1" t="s">
        <v>1342</v>
      </c>
      <c r="R3355" s="175">
        <v>28</v>
      </c>
      <c r="S3355">
        <v>7</v>
      </c>
    </row>
    <row r="3356" spans="1:19" x14ac:dyDescent="0.25">
      <c r="A3356" s="87">
        <v>2019</v>
      </c>
      <c r="B3356" s="87">
        <v>12</v>
      </c>
      <c r="C3356" s="173" t="s">
        <v>16</v>
      </c>
      <c r="D3356" s="173" t="s">
        <v>230</v>
      </c>
      <c r="E3356" s="173" t="s">
        <v>24</v>
      </c>
      <c r="F3356" s="173" t="s">
        <v>16</v>
      </c>
      <c r="G3356" s="87" t="b">
        <v>1</v>
      </c>
      <c r="H3356" s="87" t="b">
        <v>1</v>
      </c>
      <c r="I3356" s="87" t="b">
        <v>0</v>
      </c>
      <c r="J3356" s="173" t="s">
        <v>470</v>
      </c>
      <c r="K3356" s="174">
        <v>60884855000316</v>
      </c>
      <c r="L3356" s="173" t="s">
        <v>617</v>
      </c>
      <c r="M3356" s="173" t="s">
        <v>29</v>
      </c>
      <c r="N3356" s="173" t="s">
        <v>19</v>
      </c>
      <c r="O3356" s="87">
        <v>62</v>
      </c>
      <c r="P3356" s="173" t="s">
        <v>27</v>
      </c>
      <c r="Q3356" s="1" t="s">
        <v>1343</v>
      </c>
      <c r="R3356" s="175">
        <v>58</v>
      </c>
      <c r="S3356">
        <v>58</v>
      </c>
    </row>
    <row r="3357" spans="1:19" x14ac:dyDescent="0.25">
      <c r="A3357" s="87">
        <v>2019</v>
      </c>
      <c r="B3357" s="87">
        <v>12</v>
      </c>
      <c r="C3357" s="173" t="s">
        <v>16</v>
      </c>
      <c r="D3357" s="173" t="s">
        <v>230</v>
      </c>
      <c r="E3357" s="173" t="s">
        <v>24</v>
      </c>
      <c r="F3357" s="173" t="s">
        <v>16</v>
      </c>
      <c r="G3357" s="87" t="b">
        <v>1</v>
      </c>
      <c r="H3357" s="87" t="b">
        <v>1</v>
      </c>
      <c r="I3357" s="87" t="b">
        <v>0</v>
      </c>
      <c r="J3357" s="173" t="s">
        <v>470</v>
      </c>
      <c r="K3357" s="174">
        <v>60884855000316</v>
      </c>
      <c r="L3357" s="173" t="s">
        <v>617</v>
      </c>
      <c r="M3357" s="173" t="s">
        <v>29</v>
      </c>
      <c r="N3357" s="173" t="s">
        <v>19</v>
      </c>
      <c r="O3357" s="87">
        <v>64</v>
      </c>
      <c r="P3357" s="173" t="s">
        <v>25</v>
      </c>
      <c r="Q3357" s="1" t="s">
        <v>1344</v>
      </c>
      <c r="R3357" s="175">
        <v>48</v>
      </c>
      <c r="S3357">
        <v>48</v>
      </c>
    </row>
    <row r="3358" spans="1:19" x14ac:dyDescent="0.25">
      <c r="A3358" s="87">
        <v>2019</v>
      </c>
      <c r="B3358" s="87">
        <v>12</v>
      </c>
      <c r="C3358" s="173" t="s">
        <v>16</v>
      </c>
      <c r="D3358" s="173" t="s">
        <v>230</v>
      </c>
      <c r="E3358" s="173" t="s">
        <v>24</v>
      </c>
      <c r="F3358" s="173" t="s">
        <v>16</v>
      </c>
      <c r="G3358" s="87" t="b">
        <v>1</v>
      </c>
      <c r="H3358" s="87" t="b">
        <v>1</v>
      </c>
      <c r="I3358" s="87" t="b">
        <v>0</v>
      </c>
      <c r="J3358" s="173" t="s">
        <v>470</v>
      </c>
      <c r="K3358" s="174">
        <v>60884855000316</v>
      </c>
      <c r="L3358" s="173" t="s">
        <v>617</v>
      </c>
      <c r="M3358" s="173" t="s">
        <v>29</v>
      </c>
      <c r="N3358" s="173" t="s">
        <v>19</v>
      </c>
      <c r="O3358" s="87">
        <v>70</v>
      </c>
      <c r="P3358" s="173" t="s">
        <v>20</v>
      </c>
      <c r="Q3358" s="1" t="s">
        <v>1338</v>
      </c>
      <c r="R3358" s="175">
        <v>3280</v>
      </c>
      <c r="S3358">
        <v>656</v>
      </c>
    </row>
    <row r="3359" spans="1:19" x14ac:dyDescent="0.25">
      <c r="A3359" s="87">
        <v>2019</v>
      </c>
      <c r="B3359" s="87">
        <v>12</v>
      </c>
      <c r="C3359" s="173" t="s">
        <v>16</v>
      </c>
      <c r="D3359" s="173" t="s">
        <v>230</v>
      </c>
      <c r="E3359" s="173" t="s">
        <v>24</v>
      </c>
      <c r="F3359" s="173" t="s">
        <v>16</v>
      </c>
      <c r="G3359" s="87" t="b">
        <v>1</v>
      </c>
      <c r="H3359" s="87" t="b">
        <v>1</v>
      </c>
      <c r="I3359" s="87" t="b">
        <v>0</v>
      </c>
      <c r="J3359" s="173" t="s">
        <v>491</v>
      </c>
      <c r="K3359" s="174">
        <v>60884855000316</v>
      </c>
      <c r="L3359" s="173" t="s">
        <v>617</v>
      </c>
      <c r="M3359" s="173" t="s">
        <v>29</v>
      </c>
      <c r="N3359" s="173" t="s">
        <v>19</v>
      </c>
      <c r="O3359" s="87">
        <v>73</v>
      </c>
      <c r="P3359" s="173" t="s">
        <v>26</v>
      </c>
      <c r="Q3359" s="1" t="s">
        <v>1339</v>
      </c>
      <c r="R3359" s="175">
        <v>32</v>
      </c>
      <c r="S3359">
        <v>16</v>
      </c>
    </row>
    <row r="3360" spans="1:19" x14ac:dyDescent="0.25">
      <c r="A3360" s="87">
        <v>2019</v>
      </c>
      <c r="B3360" s="87">
        <v>12</v>
      </c>
      <c r="C3360" s="173" t="s">
        <v>16</v>
      </c>
      <c r="D3360" s="173" t="s">
        <v>230</v>
      </c>
      <c r="E3360" s="173" t="s">
        <v>24</v>
      </c>
      <c r="F3360" s="173" t="s">
        <v>16</v>
      </c>
      <c r="G3360" s="87" t="b">
        <v>1</v>
      </c>
      <c r="H3360" s="87" t="b">
        <v>1</v>
      </c>
      <c r="I3360" s="87" t="b">
        <v>0</v>
      </c>
      <c r="J3360" s="173" t="s">
        <v>470</v>
      </c>
      <c r="K3360" s="174">
        <v>60884855001207</v>
      </c>
      <c r="L3360" s="173" t="s">
        <v>1065</v>
      </c>
      <c r="M3360" s="173" t="s">
        <v>1039</v>
      </c>
      <c r="N3360" s="173" t="s">
        <v>61</v>
      </c>
      <c r="O3360" s="87">
        <v>62</v>
      </c>
      <c r="P3360" s="173" t="s">
        <v>27</v>
      </c>
      <c r="Q3360" s="1" t="s">
        <v>1343</v>
      </c>
      <c r="R3360" s="175">
        <v>15</v>
      </c>
      <c r="S3360">
        <v>15</v>
      </c>
    </row>
    <row r="3361" spans="1:19" x14ac:dyDescent="0.25">
      <c r="A3361" s="87">
        <v>2019</v>
      </c>
      <c r="B3361" s="87">
        <v>12</v>
      </c>
      <c r="C3361" s="173" t="s">
        <v>16</v>
      </c>
      <c r="D3361" s="173" t="s">
        <v>230</v>
      </c>
      <c r="E3361" s="173" t="s">
        <v>24</v>
      </c>
      <c r="F3361" s="173" t="s">
        <v>16</v>
      </c>
      <c r="G3361" s="87" t="b">
        <v>1</v>
      </c>
      <c r="H3361" s="87" t="b">
        <v>1</v>
      </c>
      <c r="I3361" s="87" t="b">
        <v>0</v>
      </c>
      <c r="J3361" s="173" t="s">
        <v>470</v>
      </c>
      <c r="K3361" s="174">
        <v>60884855001207</v>
      </c>
      <c r="L3361" s="173" t="s">
        <v>1065</v>
      </c>
      <c r="M3361" s="173" t="s">
        <v>1039</v>
      </c>
      <c r="N3361" s="173" t="s">
        <v>61</v>
      </c>
      <c r="O3361" s="87">
        <v>64</v>
      </c>
      <c r="P3361" s="173" t="s">
        <v>25</v>
      </c>
      <c r="Q3361" s="1" t="s">
        <v>1344</v>
      </c>
      <c r="R3361" s="175">
        <v>44</v>
      </c>
      <c r="S3361">
        <v>44</v>
      </c>
    </row>
    <row r="3362" spans="1:19" x14ac:dyDescent="0.25">
      <c r="A3362" s="87">
        <v>2019</v>
      </c>
      <c r="B3362" s="87">
        <v>12</v>
      </c>
      <c r="C3362" s="173" t="s">
        <v>16</v>
      </c>
      <c r="D3362" s="173" t="s">
        <v>230</v>
      </c>
      <c r="E3362" s="173" t="s">
        <v>24</v>
      </c>
      <c r="F3362" s="173" t="s">
        <v>16</v>
      </c>
      <c r="G3362" s="87" t="b">
        <v>1</v>
      </c>
      <c r="H3362" s="87" t="b">
        <v>1</v>
      </c>
      <c r="I3362" s="87" t="b">
        <v>0</v>
      </c>
      <c r="J3362" s="173" t="s">
        <v>470</v>
      </c>
      <c r="K3362" s="174">
        <v>60884855001207</v>
      </c>
      <c r="L3362" s="173" t="s">
        <v>1065</v>
      </c>
      <c r="M3362" s="173" t="s">
        <v>1039</v>
      </c>
      <c r="N3362" s="173" t="s">
        <v>61</v>
      </c>
      <c r="O3362" s="87">
        <v>70</v>
      </c>
      <c r="P3362" s="173" t="s">
        <v>20</v>
      </c>
      <c r="Q3362" s="1" t="s">
        <v>1338</v>
      </c>
      <c r="R3362" s="175">
        <v>1225</v>
      </c>
      <c r="S3362">
        <v>245</v>
      </c>
    </row>
    <row r="3363" spans="1:19" x14ac:dyDescent="0.25">
      <c r="A3363" s="87">
        <v>2019</v>
      </c>
      <c r="B3363" s="87">
        <v>12</v>
      </c>
      <c r="C3363" s="173" t="s">
        <v>16</v>
      </c>
      <c r="D3363" s="173" t="s">
        <v>230</v>
      </c>
      <c r="E3363" s="173" t="s">
        <v>24</v>
      </c>
      <c r="F3363" s="173" t="s">
        <v>16</v>
      </c>
      <c r="G3363" s="87" t="b">
        <v>1</v>
      </c>
      <c r="H3363" s="87" t="b">
        <v>1</v>
      </c>
      <c r="I3363" s="87" t="b">
        <v>0</v>
      </c>
      <c r="J3363" s="173" t="s">
        <v>491</v>
      </c>
      <c r="K3363" s="174">
        <v>60884855001207</v>
      </c>
      <c r="L3363" s="173" t="s">
        <v>1065</v>
      </c>
      <c r="M3363" s="173" t="s">
        <v>1039</v>
      </c>
      <c r="N3363" s="173" t="s">
        <v>61</v>
      </c>
      <c r="O3363" s="87">
        <v>73</v>
      </c>
      <c r="P3363" s="173" t="s">
        <v>26</v>
      </c>
      <c r="Q3363" s="1" t="s">
        <v>1339</v>
      </c>
      <c r="R3363" s="175">
        <v>48</v>
      </c>
      <c r="S3363">
        <v>24</v>
      </c>
    </row>
    <row r="3364" spans="1:19" x14ac:dyDescent="0.25">
      <c r="A3364" s="87">
        <v>2019</v>
      </c>
      <c r="B3364" s="87">
        <v>12</v>
      </c>
      <c r="C3364" s="173" t="s">
        <v>16</v>
      </c>
      <c r="D3364" s="173" t="s">
        <v>230</v>
      </c>
      <c r="E3364" s="173" t="s">
        <v>24</v>
      </c>
      <c r="F3364" s="173" t="s">
        <v>16</v>
      </c>
      <c r="G3364" s="87" t="b">
        <v>1</v>
      </c>
      <c r="H3364" s="87" t="b">
        <v>1</v>
      </c>
      <c r="I3364" s="87" t="b">
        <v>0</v>
      </c>
      <c r="J3364" s="173" t="s">
        <v>491</v>
      </c>
      <c r="K3364" s="174">
        <v>60884855001207</v>
      </c>
      <c r="L3364" s="173" t="s">
        <v>1065</v>
      </c>
      <c r="M3364" s="173" t="s">
        <v>1039</v>
      </c>
      <c r="N3364" s="173" t="s">
        <v>61</v>
      </c>
      <c r="O3364" s="87">
        <v>73</v>
      </c>
      <c r="P3364" s="173" t="s">
        <v>26</v>
      </c>
      <c r="Q3364" s="1" t="s">
        <v>1340</v>
      </c>
      <c r="R3364" s="175">
        <v>2</v>
      </c>
      <c r="S3364">
        <v>2</v>
      </c>
    </row>
    <row r="3365" spans="1:19" x14ac:dyDescent="0.25">
      <c r="A3365" s="87">
        <v>2019</v>
      </c>
      <c r="B3365" s="87">
        <v>12</v>
      </c>
      <c r="C3365" s="173" t="s">
        <v>16</v>
      </c>
      <c r="D3365" s="173" t="s">
        <v>230</v>
      </c>
      <c r="E3365" s="173" t="s">
        <v>24</v>
      </c>
      <c r="F3365" s="173" t="s">
        <v>16</v>
      </c>
      <c r="G3365" s="87" t="b">
        <v>1</v>
      </c>
      <c r="H3365" s="87" t="b">
        <v>1</v>
      </c>
      <c r="I3365" s="87" t="b">
        <v>0</v>
      </c>
      <c r="J3365" s="173" t="s">
        <v>470</v>
      </c>
      <c r="K3365" s="174">
        <v>60884855001630</v>
      </c>
      <c r="L3365" s="173" t="s">
        <v>1124</v>
      </c>
      <c r="M3365" s="173" t="s">
        <v>131</v>
      </c>
      <c r="N3365" s="173" t="s">
        <v>61</v>
      </c>
      <c r="O3365" s="87">
        <v>62</v>
      </c>
      <c r="P3365" s="173" t="s">
        <v>27</v>
      </c>
      <c r="Q3365" s="1" t="s">
        <v>1343</v>
      </c>
      <c r="R3365" s="175">
        <v>21</v>
      </c>
      <c r="S3365">
        <v>21</v>
      </c>
    </row>
    <row r="3366" spans="1:19" x14ac:dyDescent="0.25">
      <c r="A3366" s="87">
        <v>2019</v>
      </c>
      <c r="B3366" s="87">
        <v>12</v>
      </c>
      <c r="C3366" s="173" t="s">
        <v>16</v>
      </c>
      <c r="D3366" s="173" t="s">
        <v>230</v>
      </c>
      <c r="E3366" s="173" t="s">
        <v>24</v>
      </c>
      <c r="F3366" s="173" t="s">
        <v>16</v>
      </c>
      <c r="G3366" s="87" t="b">
        <v>1</v>
      </c>
      <c r="H3366" s="87" t="b">
        <v>1</v>
      </c>
      <c r="I3366" s="87" t="b">
        <v>0</v>
      </c>
      <c r="J3366" s="173" t="s">
        <v>470</v>
      </c>
      <c r="K3366" s="174">
        <v>60884855001630</v>
      </c>
      <c r="L3366" s="173" t="s">
        <v>1124</v>
      </c>
      <c r="M3366" s="173" t="s">
        <v>131</v>
      </c>
      <c r="N3366" s="173" t="s">
        <v>61</v>
      </c>
      <c r="O3366" s="87">
        <v>64</v>
      </c>
      <c r="P3366" s="173" t="s">
        <v>25</v>
      </c>
      <c r="Q3366" s="1" t="s">
        <v>1344</v>
      </c>
      <c r="R3366" s="175">
        <v>54</v>
      </c>
      <c r="S3366">
        <v>54</v>
      </c>
    </row>
    <row r="3367" spans="1:19" x14ac:dyDescent="0.25">
      <c r="A3367" s="87">
        <v>2019</v>
      </c>
      <c r="B3367" s="87">
        <v>12</v>
      </c>
      <c r="C3367" s="173" t="s">
        <v>16</v>
      </c>
      <c r="D3367" s="173" t="s">
        <v>230</v>
      </c>
      <c r="E3367" s="173" t="s">
        <v>24</v>
      </c>
      <c r="F3367" s="173" t="s">
        <v>16</v>
      </c>
      <c r="G3367" s="87" t="b">
        <v>1</v>
      </c>
      <c r="H3367" s="87" t="b">
        <v>1</v>
      </c>
      <c r="I3367" s="87" t="b">
        <v>0</v>
      </c>
      <c r="J3367" s="173" t="s">
        <v>470</v>
      </c>
      <c r="K3367" s="174">
        <v>60884855001630</v>
      </c>
      <c r="L3367" s="173" t="s">
        <v>1124</v>
      </c>
      <c r="M3367" s="173" t="s">
        <v>131</v>
      </c>
      <c r="N3367" s="173" t="s">
        <v>61</v>
      </c>
      <c r="O3367" s="87">
        <v>70</v>
      </c>
      <c r="P3367" s="173" t="s">
        <v>20</v>
      </c>
      <c r="Q3367" s="1" t="s">
        <v>1338</v>
      </c>
      <c r="R3367" s="175">
        <v>55</v>
      </c>
      <c r="S3367">
        <v>11</v>
      </c>
    </row>
    <row r="3368" spans="1:19" x14ac:dyDescent="0.25">
      <c r="A3368" s="87">
        <v>2019</v>
      </c>
      <c r="B3368" s="87">
        <v>12</v>
      </c>
      <c r="C3368" s="173" t="s">
        <v>16</v>
      </c>
      <c r="D3368" s="173" t="s">
        <v>230</v>
      </c>
      <c r="E3368" s="173" t="s">
        <v>24</v>
      </c>
      <c r="F3368" s="173" t="s">
        <v>16</v>
      </c>
      <c r="G3368" s="87" t="b">
        <v>1</v>
      </c>
      <c r="H3368" s="87" t="b">
        <v>1</v>
      </c>
      <c r="I3368" s="87" t="b">
        <v>0</v>
      </c>
      <c r="J3368" s="173" t="s">
        <v>470</v>
      </c>
      <c r="K3368" s="174">
        <v>60884855002289</v>
      </c>
      <c r="L3368" s="173" t="s">
        <v>920</v>
      </c>
      <c r="M3368" s="173" t="s">
        <v>739</v>
      </c>
      <c r="N3368" s="173" t="s">
        <v>55</v>
      </c>
      <c r="O3368" s="87">
        <v>62</v>
      </c>
      <c r="P3368" s="173" t="s">
        <v>27</v>
      </c>
      <c r="Q3368" s="1" t="s">
        <v>1343</v>
      </c>
      <c r="R3368" s="175">
        <v>10</v>
      </c>
      <c r="S3368">
        <v>10</v>
      </c>
    </row>
    <row r="3369" spans="1:19" x14ac:dyDescent="0.25">
      <c r="A3369" s="87">
        <v>2019</v>
      </c>
      <c r="B3369" s="87">
        <v>12</v>
      </c>
      <c r="C3369" s="173" t="s">
        <v>16</v>
      </c>
      <c r="D3369" s="173" t="s">
        <v>230</v>
      </c>
      <c r="E3369" s="173" t="s">
        <v>24</v>
      </c>
      <c r="F3369" s="173" t="s">
        <v>16</v>
      </c>
      <c r="G3369" s="87" t="b">
        <v>1</v>
      </c>
      <c r="H3369" s="87" t="b">
        <v>1</v>
      </c>
      <c r="I3369" s="87" t="b">
        <v>0</v>
      </c>
      <c r="J3369" s="173" t="s">
        <v>470</v>
      </c>
      <c r="K3369" s="174">
        <v>60884855002289</v>
      </c>
      <c r="L3369" s="173" t="s">
        <v>920</v>
      </c>
      <c r="M3369" s="173" t="s">
        <v>739</v>
      </c>
      <c r="N3369" s="173" t="s">
        <v>55</v>
      </c>
      <c r="O3369" s="87">
        <v>64</v>
      </c>
      <c r="P3369" s="173" t="s">
        <v>25</v>
      </c>
      <c r="Q3369" s="1" t="s">
        <v>1344</v>
      </c>
      <c r="R3369" s="175">
        <v>5</v>
      </c>
      <c r="S3369">
        <v>5</v>
      </c>
    </row>
    <row r="3370" spans="1:19" x14ac:dyDescent="0.25">
      <c r="A3370" s="87">
        <v>2019</v>
      </c>
      <c r="B3370" s="87">
        <v>12</v>
      </c>
      <c r="C3370" s="173" t="s">
        <v>16</v>
      </c>
      <c r="D3370" s="173" t="s">
        <v>230</v>
      </c>
      <c r="E3370" s="173" t="s">
        <v>24</v>
      </c>
      <c r="F3370" s="173" t="s">
        <v>16</v>
      </c>
      <c r="G3370" s="87" t="b">
        <v>1</v>
      </c>
      <c r="H3370" s="87" t="b">
        <v>1</v>
      </c>
      <c r="I3370" s="87" t="b">
        <v>0</v>
      </c>
      <c r="J3370" s="173" t="s">
        <v>470</v>
      </c>
      <c r="K3370" s="174">
        <v>60884855002289</v>
      </c>
      <c r="L3370" s="173" t="s">
        <v>920</v>
      </c>
      <c r="M3370" s="173" t="s">
        <v>739</v>
      </c>
      <c r="N3370" s="173" t="s">
        <v>55</v>
      </c>
      <c r="O3370" s="87">
        <v>70</v>
      </c>
      <c r="P3370" s="173" t="s">
        <v>20</v>
      </c>
      <c r="Q3370" s="1" t="s">
        <v>1338</v>
      </c>
      <c r="R3370" s="175">
        <v>370</v>
      </c>
      <c r="S3370">
        <v>74</v>
      </c>
    </row>
    <row r="3371" spans="1:19" x14ac:dyDescent="0.25">
      <c r="A3371" s="87">
        <v>2019</v>
      </c>
      <c r="B3371" s="87">
        <v>12</v>
      </c>
      <c r="C3371" s="173" t="s">
        <v>16</v>
      </c>
      <c r="D3371" s="173" t="s">
        <v>230</v>
      </c>
      <c r="E3371" s="173" t="s">
        <v>24</v>
      </c>
      <c r="F3371" s="173" t="s">
        <v>16</v>
      </c>
      <c r="G3371" s="87" t="b">
        <v>1</v>
      </c>
      <c r="H3371" s="87" t="b">
        <v>1</v>
      </c>
      <c r="I3371" s="87" t="b">
        <v>0</v>
      </c>
      <c r="J3371" s="173" t="s">
        <v>477</v>
      </c>
      <c r="K3371" s="174">
        <v>60922168000348</v>
      </c>
      <c r="L3371" s="173" t="s">
        <v>1125</v>
      </c>
      <c r="M3371" s="173" t="s">
        <v>131</v>
      </c>
      <c r="N3371" s="173" t="s">
        <v>61</v>
      </c>
      <c r="O3371" s="87">
        <v>62</v>
      </c>
      <c r="P3371" s="173" t="s">
        <v>27</v>
      </c>
      <c r="Q3371" s="1" t="s">
        <v>1343</v>
      </c>
      <c r="R3371" s="175">
        <v>14</v>
      </c>
      <c r="S3371">
        <v>14</v>
      </c>
    </row>
    <row r="3372" spans="1:19" x14ac:dyDescent="0.25">
      <c r="A3372" s="87">
        <v>2019</v>
      </c>
      <c r="B3372" s="87">
        <v>12</v>
      </c>
      <c r="C3372" s="173" t="s">
        <v>16</v>
      </c>
      <c r="D3372" s="173" t="s">
        <v>230</v>
      </c>
      <c r="E3372" s="173" t="s">
        <v>24</v>
      </c>
      <c r="F3372" s="173" t="s">
        <v>16</v>
      </c>
      <c r="G3372" s="87" t="b">
        <v>1</v>
      </c>
      <c r="H3372" s="87" t="b">
        <v>1</v>
      </c>
      <c r="I3372" s="87" t="b">
        <v>0</v>
      </c>
      <c r="J3372" s="173" t="s">
        <v>477</v>
      </c>
      <c r="K3372" s="174">
        <v>60922168000348</v>
      </c>
      <c r="L3372" s="173" t="s">
        <v>1125</v>
      </c>
      <c r="M3372" s="173" t="s">
        <v>131</v>
      </c>
      <c r="N3372" s="173" t="s">
        <v>61</v>
      </c>
      <c r="O3372" s="87">
        <v>64</v>
      </c>
      <c r="P3372" s="173" t="s">
        <v>25</v>
      </c>
      <c r="Q3372" s="1" t="s">
        <v>1344</v>
      </c>
      <c r="R3372" s="175">
        <v>8</v>
      </c>
      <c r="S3372">
        <v>8</v>
      </c>
    </row>
    <row r="3373" spans="1:19" x14ac:dyDescent="0.25">
      <c r="A3373" s="87">
        <v>2019</v>
      </c>
      <c r="B3373" s="87">
        <v>12</v>
      </c>
      <c r="C3373" s="173" t="s">
        <v>16</v>
      </c>
      <c r="D3373" s="173" t="s">
        <v>230</v>
      </c>
      <c r="E3373" s="173" t="s">
        <v>24</v>
      </c>
      <c r="F3373" s="173" t="s">
        <v>16</v>
      </c>
      <c r="G3373" s="87" t="b">
        <v>1</v>
      </c>
      <c r="H3373" s="87" t="b">
        <v>1</v>
      </c>
      <c r="I3373" s="87" t="b">
        <v>0</v>
      </c>
      <c r="J3373" s="173" t="s">
        <v>477</v>
      </c>
      <c r="K3373" s="174">
        <v>60922168000348</v>
      </c>
      <c r="L3373" s="173" t="s">
        <v>1125</v>
      </c>
      <c r="M3373" s="173" t="s">
        <v>131</v>
      </c>
      <c r="N3373" s="173" t="s">
        <v>61</v>
      </c>
      <c r="O3373" s="87">
        <v>70</v>
      </c>
      <c r="P3373" s="173" t="s">
        <v>20</v>
      </c>
      <c r="Q3373" s="1" t="s">
        <v>1345</v>
      </c>
      <c r="R3373" s="175">
        <v>40</v>
      </c>
      <c r="S3373">
        <v>4</v>
      </c>
    </row>
    <row r="3374" spans="1:19" x14ac:dyDescent="0.25">
      <c r="A3374" s="87">
        <v>2019</v>
      </c>
      <c r="B3374" s="87">
        <v>12</v>
      </c>
      <c r="C3374" s="173" t="s">
        <v>16</v>
      </c>
      <c r="D3374" s="173" t="s">
        <v>230</v>
      </c>
      <c r="E3374" s="173" t="s">
        <v>24</v>
      </c>
      <c r="F3374" s="173" t="s">
        <v>16</v>
      </c>
      <c r="G3374" s="87" t="b">
        <v>1</v>
      </c>
      <c r="H3374" s="87" t="b">
        <v>1</v>
      </c>
      <c r="I3374" s="87" t="b">
        <v>0</v>
      </c>
      <c r="J3374" s="173" t="s">
        <v>477</v>
      </c>
      <c r="K3374" s="174">
        <v>60922168000348</v>
      </c>
      <c r="L3374" s="173" t="s">
        <v>1125</v>
      </c>
      <c r="M3374" s="173" t="s">
        <v>131</v>
      </c>
      <c r="N3374" s="173" t="s">
        <v>61</v>
      </c>
      <c r="O3374" s="87">
        <v>70</v>
      </c>
      <c r="P3374" s="173" t="s">
        <v>20</v>
      </c>
      <c r="Q3374" s="1" t="s">
        <v>1338</v>
      </c>
      <c r="R3374" s="175">
        <v>370</v>
      </c>
      <c r="S3374">
        <v>74</v>
      </c>
    </row>
    <row r="3375" spans="1:19" x14ac:dyDescent="0.25">
      <c r="A3375" s="87">
        <v>2019</v>
      </c>
      <c r="B3375" s="87">
        <v>12</v>
      </c>
      <c r="C3375" s="173" t="s">
        <v>16</v>
      </c>
      <c r="D3375" s="173" t="s">
        <v>230</v>
      </c>
      <c r="E3375" s="173" t="s">
        <v>24</v>
      </c>
      <c r="F3375" s="173" t="s">
        <v>16</v>
      </c>
      <c r="G3375" s="87" t="b">
        <v>1</v>
      </c>
      <c r="H3375" s="87" t="b">
        <v>1</v>
      </c>
      <c r="I3375" s="87" t="b">
        <v>0</v>
      </c>
      <c r="J3375" s="173" t="s">
        <v>450</v>
      </c>
      <c r="K3375" s="174">
        <v>60922168000771</v>
      </c>
      <c r="L3375" s="173" t="s">
        <v>618</v>
      </c>
      <c r="M3375" s="173" t="s">
        <v>29</v>
      </c>
      <c r="N3375" s="173" t="s">
        <v>19</v>
      </c>
      <c r="O3375" s="87">
        <v>70</v>
      </c>
      <c r="P3375" s="173" t="s">
        <v>20</v>
      </c>
      <c r="Q3375" s="1" t="s">
        <v>1338</v>
      </c>
      <c r="R3375" s="175">
        <v>15</v>
      </c>
      <c r="S3375">
        <v>3</v>
      </c>
    </row>
    <row r="3376" spans="1:19" x14ac:dyDescent="0.25">
      <c r="A3376" s="87">
        <v>2019</v>
      </c>
      <c r="B3376" s="87">
        <v>12</v>
      </c>
      <c r="C3376" s="173" t="s">
        <v>16</v>
      </c>
      <c r="D3376" s="173" t="s">
        <v>230</v>
      </c>
      <c r="E3376" s="173" t="s">
        <v>24</v>
      </c>
      <c r="F3376" s="173" t="s">
        <v>16</v>
      </c>
      <c r="G3376" s="87" t="b">
        <v>1</v>
      </c>
      <c r="H3376" s="87" t="b">
        <v>1</v>
      </c>
      <c r="I3376" s="87" t="b">
        <v>0</v>
      </c>
      <c r="J3376" s="173" t="s">
        <v>477</v>
      </c>
      <c r="K3376" s="174">
        <v>60922168000771</v>
      </c>
      <c r="L3376" s="173" t="s">
        <v>618</v>
      </c>
      <c r="M3376" s="173" t="s">
        <v>29</v>
      </c>
      <c r="N3376" s="173" t="s">
        <v>19</v>
      </c>
      <c r="O3376" s="87">
        <v>70</v>
      </c>
      <c r="P3376" s="173" t="s">
        <v>20</v>
      </c>
      <c r="Q3376" s="1" t="s">
        <v>1338</v>
      </c>
      <c r="R3376" s="175">
        <v>400</v>
      </c>
      <c r="S3376">
        <v>80</v>
      </c>
    </row>
    <row r="3377" spans="1:19" x14ac:dyDescent="0.25">
      <c r="A3377" s="87">
        <v>2019</v>
      </c>
      <c r="B3377" s="87">
        <v>12</v>
      </c>
      <c r="C3377" s="173" t="s">
        <v>16</v>
      </c>
      <c r="D3377" s="173" t="s">
        <v>230</v>
      </c>
      <c r="E3377" s="173" t="s">
        <v>24</v>
      </c>
      <c r="F3377" s="173" t="s">
        <v>16</v>
      </c>
      <c r="G3377" s="87" t="b">
        <v>1</v>
      </c>
      <c r="H3377" s="87" t="b">
        <v>1</v>
      </c>
      <c r="I3377" s="87" t="b">
        <v>0</v>
      </c>
      <c r="J3377" s="173" t="s">
        <v>492</v>
      </c>
      <c r="K3377" s="174">
        <v>60922168000771</v>
      </c>
      <c r="L3377" s="173" t="s">
        <v>618</v>
      </c>
      <c r="M3377" s="173" t="s">
        <v>29</v>
      </c>
      <c r="N3377" s="173" t="s">
        <v>19</v>
      </c>
      <c r="O3377" s="87">
        <v>70</v>
      </c>
      <c r="P3377" s="173" t="s">
        <v>20</v>
      </c>
      <c r="Q3377" s="1" t="s">
        <v>1338</v>
      </c>
      <c r="R3377" s="175">
        <v>360</v>
      </c>
      <c r="S3377">
        <v>72</v>
      </c>
    </row>
    <row r="3378" spans="1:19" x14ac:dyDescent="0.25">
      <c r="A3378" s="87">
        <v>2019</v>
      </c>
      <c r="B3378" s="87">
        <v>12</v>
      </c>
      <c r="C3378" s="173" t="s">
        <v>16</v>
      </c>
      <c r="D3378" s="173" t="s">
        <v>230</v>
      </c>
      <c r="E3378" s="173" t="s">
        <v>24</v>
      </c>
      <c r="F3378" s="173" t="s">
        <v>16</v>
      </c>
      <c r="G3378" s="87" t="b">
        <v>1</v>
      </c>
      <c r="H3378" s="87" t="b">
        <v>1</v>
      </c>
      <c r="I3378" s="87" t="b">
        <v>0</v>
      </c>
      <c r="J3378" s="173" t="s">
        <v>463</v>
      </c>
      <c r="K3378" s="174">
        <v>60922168000771</v>
      </c>
      <c r="L3378" s="173" t="s">
        <v>618</v>
      </c>
      <c r="M3378" s="173" t="s">
        <v>29</v>
      </c>
      <c r="N3378" s="173" t="s">
        <v>19</v>
      </c>
      <c r="O3378" s="87">
        <v>70</v>
      </c>
      <c r="P3378" s="173" t="s">
        <v>20</v>
      </c>
      <c r="Q3378" s="1" t="s">
        <v>1345</v>
      </c>
      <c r="R3378" s="175">
        <v>140</v>
      </c>
      <c r="S3378">
        <v>14</v>
      </c>
    </row>
    <row r="3379" spans="1:19" x14ac:dyDescent="0.25">
      <c r="A3379" s="87">
        <v>2019</v>
      </c>
      <c r="B3379" s="87">
        <v>12</v>
      </c>
      <c r="C3379" s="173" t="s">
        <v>16</v>
      </c>
      <c r="D3379" s="173" t="s">
        <v>230</v>
      </c>
      <c r="E3379" s="173" t="s">
        <v>24</v>
      </c>
      <c r="F3379" s="173" t="s">
        <v>16</v>
      </c>
      <c r="G3379" s="87" t="b">
        <v>1</v>
      </c>
      <c r="H3379" s="87" t="b">
        <v>1</v>
      </c>
      <c r="I3379" s="87" t="b">
        <v>0</v>
      </c>
      <c r="J3379" s="173" t="s">
        <v>450</v>
      </c>
      <c r="K3379" s="174">
        <v>60922168000771</v>
      </c>
      <c r="L3379" s="173" t="s">
        <v>618</v>
      </c>
      <c r="M3379" s="173" t="s">
        <v>29</v>
      </c>
      <c r="N3379" s="173" t="s">
        <v>19</v>
      </c>
      <c r="O3379" s="87">
        <v>73</v>
      </c>
      <c r="P3379" s="173" t="s">
        <v>26</v>
      </c>
      <c r="Q3379" s="1" t="s">
        <v>1339</v>
      </c>
      <c r="R3379" s="175">
        <v>4</v>
      </c>
      <c r="S3379">
        <v>2</v>
      </c>
    </row>
    <row r="3380" spans="1:19" x14ac:dyDescent="0.25">
      <c r="A3380" s="87">
        <v>2019</v>
      </c>
      <c r="B3380" s="87">
        <v>12</v>
      </c>
      <c r="C3380" s="173" t="s">
        <v>16</v>
      </c>
      <c r="D3380" s="173" t="s">
        <v>230</v>
      </c>
      <c r="E3380" s="173" t="s">
        <v>24</v>
      </c>
      <c r="F3380" s="173" t="s">
        <v>16</v>
      </c>
      <c r="G3380" s="87" t="b">
        <v>1</v>
      </c>
      <c r="H3380" s="87" t="b">
        <v>1</v>
      </c>
      <c r="I3380" s="87" t="b">
        <v>0</v>
      </c>
      <c r="J3380" s="173" t="s">
        <v>491</v>
      </c>
      <c r="K3380" s="174">
        <v>60922168000771</v>
      </c>
      <c r="L3380" s="173" t="s">
        <v>618</v>
      </c>
      <c r="M3380" s="173" t="s">
        <v>29</v>
      </c>
      <c r="N3380" s="173" t="s">
        <v>19</v>
      </c>
      <c r="O3380" s="87">
        <v>73</v>
      </c>
      <c r="P3380" s="173" t="s">
        <v>26</v>
      </c>
      <c r="Q3380" s="1" t="s">
        <v>1339</v>
      </c>
      <c r="R3380" s="175">
        <v>10</v>
      </c>
      <c r="S3380">
        <v>5</v>
      </c>
    </row>
    <row r="3381" spans="1:19" x14ac:dyDescent="0.25">
      <c r="A3381" s="87">
        <v>2019</v>
      </c>
      <c r="B3381" s="87">
        <v>12</v>
      </c>
      <c r="C3381" s="173" t="s">
        <v>16</v>
      </c>
      <c r="D3381" s="173" t="s">
        <v>230</v>
      </c>
      <c r="E3381" s="173" t="s">
        <v>24</v>
      </c>
      <c r="F3381" s="173" t="s">
        <v>16</v>
      </c>
      <c r="G3381" s="87" t="b">
        <v>1</v>
      </c>
      <c r="H3381" s="87" t="b">
        <v>1</v>
      </c>
      <c r="I3381" s="87" t="b">
        <v>0</v>
      </c>
      <c r="J3381" s="173" t="s">
        <v>491</v>
      </c>
      <c r="K3381" s="174">
        <v>60922168000771</v>
      </c>
      <c r="L3381" s="173" t="s">
        <v>618</v>
      </c>
      <c r="M3381" s="173" t="s">
        <v>29</v>
      </c>
      <c r="N3381" s="173" t="s">
        <v>19</v>
      </c>
      <c r="O3381" s="87">
        <v>73</v>
      </c>
      <c r="P3381" s="173" t="s">
        <v>26</v>
      </c>
      <c r="Q3381" s="1" t="s">
        <v>1342</v>
      </c>
      <c r="R3381" s="175">
        <v>16</v>
      </c>
      <c r="S3381">
        <v>4</v>
      </c>
    </row>
    <row r="3382" spans="1:19" x14ac:dyDescent="0.25">
      <c r="A3382" s="87">
        <v>2019</v>
      </c>
      <c r="B3382" s="87">
        <v>12</v>
      </c>
      <c r="C3382" s="173" t="s">
        <v>16</v>
      </c>
      <c r="D3382" s="173" t="s">
        <v>230</v>
      </c>
      <c r="E3382" s="173" t="s">
        <v>24</v>
      </c>
      <c r="F3382" s="173" t="s">
        <v>16</v>
      </c>
      <c r="G3382" s="87" t="b">
        <v>1</v>
      </c>
      <c r="H3382" s="87" t="b">
        <v>1</v>
      </c>
      <c r="I3382" s="87" t="b">
        <v>0</v>
      </c>
      <c r="J3382" s="173" t="s">
        <v>491</v>
      </c>
      <c r="K3382" s="174">
        <v>60922168000771</v>
      </c>
      <c r="L3382" s="173" t="s">
        <v>618</v>
      </c>
      <c r="M3382" s="173" t="s">
        <v>29</v>
      </c>
      <c r="N3382" s="173" t="s">
        <v>19</v>
      </c>
      <c r="O3382" s="87">
        <v>73</v>
      </c>
      <c r="P3382" s="173" t="s">
        <v>26</v>
      </c>
      <c r="Q3382" s="1" t="s">
        <v>1340</v>
      </c>
      <c r="R3382" s="175">
        <v>2</v>
      </c>
      <c r="S3382">
        <v>2</v>
      </c>
    </row>
    <row r="3383" spans="1:19" x14ac:dyDescent="0.25">
      <c r="A3383" s="87">
        <v>2019</v>
      </c>
      <c r="B3383" s="87">
        <v>12</v>
      </c>
      <c r="C3383" s="173" t="s">
        <v>16</v>
      </c>
      <c r="D3383" s="173" t="s">
        <v>230</v>
      </c>
      <c r="E3383" s="173" t="s">
        <v>24</v>
      </c>
      <c r="F3383" s="173" t="s">
        <v>16</v>
      </c>
      <c r="G3383" s="87" t="b">
        <v>1</v>
      </c>
      <c r="H3383" s="87" t="b">
        <v>1</v>
      </c>
      <c r="I3383" s="87" t="b">
        <v>0</v>
      </c>
      <c r="J3383" s="173" t="s">
        <v>450</v>
      </c>
      <c r="K3383" s="174">
        <v>60961422000155</v>
      </c>
      <c r="L3383" s="173" t="s">
        <v>620</v>
      </c>
      <c r="M3383" s="173" t="s">
        <v>29</v>
      </c>
      <c r="N3383" s="173" t="s">
        <v>19</v>
      </c>
      <c r="O3383" s="87">
        <v>62</v>
      </c>
      <c r="P3383" s="173" t="s">
        <v>27</v>
      </c>
      <c r="Q3383" s="1" t="s">
        <v>1343</v>
      </c>
      <c r="R3383" s="175">
        <v>5</v>
      </c>
      <c r="S3383">
        <v>5</v>
      </c>
    </row>
    <row r="3384" spans="1:19" x14ac:dyDescent="0.25">
      <c r="A3384" s="87">
        <v>2019</v>
      </c>
      <c r="B3384" s="87">
        <v>12</v>
      </c>
      <c r="C3384" s="173" t="s">
        <v>16</v>
      </c>
      <c r="D3384" s="173" t="s">
        <v>230</v>
      </c>
      <c r="E3384" s="173" t="s">
        <v>24</v>
      </c>
      <c r="F3384" s="173" t="s">
        <v>16</v>
      </c>
      <c r="G3384" s="87" t="b">
        <v>1</v>
      </c>
      <c r="H3384" s="87" t="b">
        <v>1</v>
      </c>
      <c r="I3384" s="87" t="b">
        <v>0</v>
      </c>
      <c r="J3384" s="173" t="s">
        <v>450</v>
      </c>
      <c r="K3384" s="174">
        <v>60961422000155</v>
      </c>
      <c r="L3384" s="173" t="s">
        <v>620</v>
      </c>
      <c r="M3384" s="173" t="s">
        <v>29</v>
      </c>
      <c r="N3384" s="173" t="s">
        <v>19</v>
      </c>
      <c r="O3384" s="87">
        <v>64</v>
      </c>
      <c r="P3384" s="173" t="s">
        <v>25</v>
      </c>
      <c r="Q3384" s="1" t="s">
        <v>1344</v>
      </c>
      <c r="R3384" s="175">
        <v>6</v>
      </c>
      <c r="S3384">
        <v>6</v>
      </c>
    </row>
    <row r="3385" spans="1:19" x14ac:dyDescent="0.25">
      <c r="A3385" s="87">
        <v>2019</v>
      </c>
      <c r="B3385" s="87">
        <v>12</v>
      </c>
      <c r="C3385" s="173" t="s">
        <v>16</v>
      </c>
      <c r="D3385" s="173" t="s">
        <v>230</v>
      </c>
      <c r="E3385" s="173" t="s">
        <v>24</v>
      </c>
      <c r="F3385" s="173" t="s">
        <v>16</v>
      </c>
      <c r="G3385" s="87" t="b">
        <v>1</v>
      </c>
      <c r="H3385" s="87" t="b">
        <v>1</v>
      </c>
      <c r="I3385" s="87" t="b">
        <v>0</v>
      </c>
      <c r="J3385" s="173" t="s">
        <v>470</v>
      </c>
      <c r="K3385" s="174">
        <v>60961422000155</v>
      </c>
      <c r="L3385" s="173" t="s">
        <v>620</v>
      </c>
      <c r="M3385" s="173" t="s">
        <v>29</v>
      </c>
      <c r="N3385" s="173" t="s">
        <v>19</v>
      </c>
      <c r="O3385" s="87">
        <v>70</v>
      </c>
      <c r="P3385" s="173" t="s">
        <v>20</v>
      </c>
      <c r="Q3385" s="1" t="s">
        <v>1338</v>
      </c>
      <c r="R3385" s="175">
        <v>20</v>
      </c>
      <c r="S3385">
        <v>4</v>
      </c>
    </row>
    <row r="3386" spans="1:19" x14ac:dyDescent="0.25">
      <c r="A3386" s="87">
        <v>2019</v>
      </c>
      <c r="B3386" s="87">
        <v>12</v>
      </c>
      <c r="C3386" s="173" t="s">
        <v>16</v>
      </c>
      <c r="D3386" s="173" t="s">
        <v>230</v>
      </c>
      <c r="E3386" s="173" t="s">
        <v>24</v>
      </c>
      <c r="F3386" s="173" t="s">
        <v>16</v>
      </c>
      <c r="G3386" s="87" t="b">
        <v>1</v>
      </c>
      <c r="H3386" s="87" t="b">
        <v>1</v>
      </c>
      <c r="I3386" s="87" t="b">
        <v>0</v>
      </c>
      <c r="J3386" s="173" t="s">
        <v>464</v>
      </c>
      <c r="K3386" s="174">
        <v>60975737000232</v>
      </c>
      <c r="L3386" s="173" t="s">
        <v>624</v>
      </c>
      <c r="M3386" s="173" t="s">
        <v>29</v>
      </c>
      <c r="N3386" s="173" t="s">
        <v>19</v>
      </c>
      <c r="O3386" s="87">
        <v>62</v>
      </c>
      <c r="P3386" s="173" t="s">
        <v>27</v>
      </c>
      <c r="Q3386" s="1" t="s">
        <v>1343</v>
      </c>
      <c r="R3386" s="175">
        <v>6</v>
      </c>
      <c r="S3386">
        <v>6</v>
      </c>
    </row>
    <row r="3387" spans="1:19" x14ac:dyDescent="0.25">
      <c r="A3387" s="87">
        <v>2019</v>
      </c>
      <c r="B3387" s="87">
        <v>12</v>
      </c>
      <c r="C3387" s="173" t="s">
        <v>16</v>
      </c>
      <c r="D3387" s="173" t="s">
        <v>230</v>
      </c>
      <c r="E3387" s="173" t="s">
        <v>24</v>
      </c>
      <c r="F3387" s="173" t="s">
        <v>16</v>
      </c>
      <c r="G3387" s="87" t="b">
        <v>1</v>
      </c>
      <c r="H3387" s="87" t="b">
        <v>1</v>
      </c>
      <c r="I3387" s="87" t="b">
        <v>0</v>
      </c>
      <c r="J3387" s="173" t="s">
        <v>470</v>
      </c>
      <c r="K3387" s="174">
        <v>60975737003509</v>
      </c>
      <c r="L3387" s="173" t="s">
        <v>921</v>
      </c>
      <c r="M3387" s="173" t="s">
        <v>76</v>
      </c>
      <c r="N3387" s="173" t="s">
        <v>77</v>
      </c>
      <c r="O3387" s="87">
        <v>62</v>
      </c>
      <c r="P3387" s="173" t="s">
        <v>27</v>
      </c>
      <c r="Q3387" s="1" t="s">
        <v>1343</v>
      </c>
      <c r="R3387" s="175">
        <v>9</v>
      </c>
      <c r="S3387">
        <v>9</v>
      </c>
    </row>
    <row r="3388" spans="1:19" x14ac:dyDescent="0.25">
      <c r="A3388" s="87">
        <v>2019</v>
      </c>
      <c r="B3388" s="87">
        <v>12</v>
      </c>
      <c r="C3388" s="173" t="s">
        <v>16</v>
      </c>
      <c r="D3388" s="173" t="s">
        <v>230</v>
      </c>
      <c r="E3388" s="173" t="s">
        <v>24</v>
      </c>
      <c r="F3388" s="173" t="s">
        <v>16</v>
      </c>
      <c r="G3388" s="87" t="b">
        <v>1</v>
      </c>
      <c r="H3388" s="87" t="b">
        <v>1</v>
      </c>
      <c r="I3388" s="87" t="b">
        <v>0</v>
      </c>
      <c r="J3388" s="173" t="s">
        <v>455</v>
      </c>
      <c r="K3388" s="174">
        <v>60975737003509</v>
      </c>
      <c r="L3388" s="173" t="s">
        <v>921</v>
      </c>
      <c r="M3388" s="173" t="s">
        <v>76</v>
      </c>
      <c r="N3388" s="173" t="s">
        <v>77</v>
      </c>
      <c r="O3388" s="87">
        <v>64</v>
      </c>
      <c r="P3388" s="173" t="s">
        <v>25</v>
      </c>
      <c r="Q3388" s="1" t="s">
        <v>1344</v>
      </c>
      <c r="R3388" s="175">
        <v>2</v>
      </c>
      <c r="S3388">
        <v>2</v>
      </c>
    </row>
    <row r="3389" spans="1:19" x14ac:dyDescent="0.25">
      <c r="A3389" s="87">
        <v>2019</v>
      </c>
      <c r="B3389" s="87">
        <v>12</v>
      </c>
      <c r="C3389" s="173" t="s">
        <v>16</v>
      </c>
      <c r="D3389" s="173" t="s">
        <v>230</v>
      </c>
      <c r="E3389" s="173" t="s">
        <v>24</v>
      </c>
      <c r="F3389" s="173" t="s">
        <v>16</v>
      </c>
      <c r="G3389" s="87" t="b">
        <v>1</v>
      </c>
      <c r="H3389" s="87" t="b">
        <v>1</v>
      </c>
      <c r="I3389" s="87" t="b">
        <v>0</v>
      </c>
      <c r="J3389" s="173" t="s">
        <v>460</v>
      </c>
      <c r="K3389" s="174">
        <v>60975737003509</v>
      </c>
      <c r="L3389" s="173" t="s">
        <v>921</v>
      </c>
      <c r="M3389" s="173" t="s">
        <v>76</v>
      </c>
      <c r="N3389" s="173" t="s">
        <v>77</v>
      </c>
      <c r="O3389" s="87">
        <v>73</v>
      </c>
      <c r="P3389" s="173" t="s">
        <v>26</v>
      </c>
      <c r="Q3389" s="1" t="s">
        <v>1339</v>
      </c>
      <c r="R3389" s="175">
        <v>2</v>
      </c>
      <c r="S3389">
        <v>1</v>
      </c>
    </row>
    <row r="3390" spans="1:19" x14ac:dyDescent="0.25">
      <c r="A3390" s="87">
        <v>2019</v>
      </c>
      <c r="B3390" s="87">
        <v>12</v>
      </c>
      <c r="C3390" s="173" t="s">
        <v>16</v>
      </c>
      <c r="D3390" s="173" t="s">
        <v>230</v>
      </c>
      <c r="E3390" s="173" t="s">
        <v>24</v>
      </c>
      <c r="F3390" s="173" t="s">
        <v>16</v>
      </c>
      <c r="G3390" s="87" t="b">
        <v>1</v>
      </c>
      <c r="H3390" s="87" t="b">
        <v>1</v>
      </c>
      <c r="I3390" s="87" t="b">
        <v>0</v>
      </c>
      <c r="J3390" s="173" t="s">
        <v>460</v>
      </c>
      <c r="K3390" s="174">
        <v>60975737003509</v>
      </c>
      <c r="L3390" s="173" t="s">
        <v>921</v>
      </c>
      <c r="M3390" s="173" t="s">
        <v>76</v>
      </c>
      <c r="N3390" s="173" t="s">
        <v>77</v>
      </c>
      <c r="O3390" s="87">
        <v>73</v>
      </c>
      <c r="P3390" s="173" t="s">
        <v>26</v>
      </c>
      <c r="Q3390" s="1" t="s">
        <v>1340</v>
      </c>
      <c r="R3390" s="175">
        <v>1</v>
      </c>
      <c r="S3390">
        <v>1</v>
      </c>
    </row>
    <row r="3391" spans="1:19" x14ac:dyDescent="0.25">
      <c r="A3391" s="87">
        <v>2019</v>
      </c>
      <c r="B3391" s="87">
        <v>12</v>
      </c>
      <c r="C3391" s="173" t="s">
        <v>16</v>
      </c>
      <c r="D3391" s="173" t="s">
        <v>230</v>
      </c>
      <c r="E3391" s="173" t="s">
        <v>24</v>
      </c>
      <c r="F3391" s="173" t="s">
        <v>16</v>
      </c>
      <c r="G3391" s="87" t="b">
        <v>1</v>
      </c>
      <c r="H3391" s="87" t="b">
        <v>1</v>
      </c>
      <c r="I3391" s="87" t="b">
        <v>0</v>
      </c>
      <c r="J3391" s="173" t="s">
        <v>491</v>
      </c>
      <c r="K3391" s="174">
        <v>60992427000650</v>
      </c>
      <c r="L3391" s="173" t="s">
        <v>627</v>
      </c>
      <c r="M3391" s="173" t="s">
        <v>29</v>
      </c>
      <c r="N3391" s="173" t="s">
        <v>19</v>
      </c>
      <c r="O3391" s="87">
        <v>62</v>
      </c>
      <c r="P3391" s="173" t="s">
        <v>27</v>
      </c>
      <c r="Q3391" s="1" t="s">
        <v>1343</v>
      </c>
      <c r="R3391" s="175">
        <v>2</v>
      </c>
      <c r="S3391">
        <v>2</v>
      </c>
    </row>
    <row r="3392" spans="1:19" x14ac:dyDescent="0.25">
      <c r="A3392" s="87">
        <v>2019</v>
      </c>
      <c r="B3392" s="87">
        <v>12</v>
      </c>
      <c r="C3392" s="173" t="s">
        <v>16</v>
      </c>
      <c r="D3392" s="173" t="s">
        <v>230</v>
      </c>
      <c r="E3392" s="173" t="s">
        <v>24</v>
      </c>
      <c r="F3392" s="173" t="s">
        <v>16</v>
      </c>
      <c r="G3392" s="87" t="b">
        <v>1</v>
      </c>
      <c r="H3392" s="87" t="b">
        <v>1</v>
      </c>
      <c r="I3392" s="87" t="b">
        <v>0</v>
      </c>
      <c r="J3392" s="173" t="s">
        <v>463</v>
      </c>
      <c r="K3392" s="174">
        <v>60992427000650</v>
      </c>
      <c r="L3392" s="173" t="s">
        <v>627</v>
      </c>
      <c r="M3392" s="173" t="s">
        <v>29</v>
      </c>
      <c r="N3392" s="173" t="s">
        <v>19</v>
      </c>
      <c r="O3392" s="87">
        <v>64</v>
      </c>
      <c r="P3392" s="173" t="s">
        <v>25</v>
      </c>
      <c r="Q3392" s="1" t="s">
        <v>1344</v>
      </c>
      <c r="R3392" s="175">
        <v>8</v>
      </c>
      <c r="S3392">
        <v>8</v>
      </c>
    </row>
    <row r="3393" spans="1:19" x14ac:dyDescent="0.25">
      <c r="A3393" s="87">
        <v>2019</v>
      </c>
      <c r="B3393" s="87">
        <v>12</v>
      </c>
      <c r="C3393" s="173" t="s">
        <v>16</v>
      </c>
      <c r="D3393" s="173" t="s">
        <v>230</v>
      </c>
      <c r="E3393" s="173" t="s">
        <v>24</v>
      </c>
      <c r="F3393" s="173" t="s">
        <v>16</v>
      </c>
      <c r="G3393" s="87" t="b">
        <v>1</v>
      </c>
      <c r="H3393" s="87" t="b">
        <v>1</v>
      </c>
      <c r="I3393" s="87" t="b">
        <v>0</v>
      </c>
      <c r="J3393" s="173" t="s">
        <v>491</v>
      </c>
      <c r="K3393" s="174">
        <v>60992427000650</v>
      </c>
      <c r="L3393" s="173" t="s">
        <v>627</v>
      </c>
      <c r="M3393" s="173" t="s">
        <v>29</v>
      </c>
      <c r="N3393" s="173" t="s">
        <v>19</v>
      </c>
      <c r="O3393" s="87">
        <v>64</v>
      </c>
      <c r="P3393" s="173" t="s">
        <v>25</v>
      </c>
      <c r="Q3393" s="1" t="s">
        <v>1344</v>
      </c>
      <c r="R3393" s="175">
        <v>5</v>
      </c>
      <c r="S3393">
        <v>5</v>
      </c>
    </row>
    <row r="3394" spans="1:19" x14ac:dyDescent="0.25">
      <c r="A3394" s="87">
        <v>2019</v>
      </c>
      <c r="B3394" s="87">
        <v>12</v>
      </c>
      <c r="C3394" s="173" t="s">
        <v>16</v>
      </c>
      <c r="D3394" s="173" t="s">
        <v>230</v>
      </c>
      <c r="E3394" s="173" t="s">
        <v>24</v>
      </c>
      <c r="F3394" s="173" t="s">
        <v>16</v>
      </c>
      <c r="G3394" s="87" t="b">
        <v>1</v>
      </c>
      <c r="H3394" s="87" t="b">
        <v>1</v>
      </c>
      <c r="I3394" s="87" t="b">
        <v>0</v>
      </c>
      <c r="J3394" s="173" t="s">
        <v>463</v>
      </c>
      <c r="K3394" s="174">
        <v>61213674000240</v>
      </c>
      <c r="L3394" s="173" t="s">
        <v>629</v>
      </c>
      <c r="M3394" s="173" t="s">
        <v>29</v>
      </c>
      <c r="N3394" s="173" t="s">
        <v>19</v>
      </c>
      <c r="O3394" s="87">
        <v>62</v>
      </c>
      <c r="P3394" s="173" t="s">
        <v>27</v>
      </c>
      <c r="Q3394" s="1" t="s">
        <v>1343</v>
      </c>
      <c r="R3394" s="175">
        <v>5</v>
      </c>
      <c r="S3394">
        <v>5</v>
      </c>
    </row>
    <row r="3395" spans="1:19" x14ac:dyDescent="0.25">
      <c r="A3395" s="87">
        <v>2019</v>
      </c>
      <c r="B3395" s="87">
        <v>12</v>
      </c>
      <c r="C3395" s="173" t="s">
        <v>16</v>
      </c>
      <c r="D3395" s="173" t="s">
        <v>230</v>
      </c>
      <c r="E3395" s="173" t="s">
        <v>24</v>
      </c>
      <c r="F3395" s="173" t="s">
        <v>16</v>
      </c>
      <c r="G3395" s="87" t="b">
        <v>1</v>
      </c>
      <c r="H3395" s="87" t="b">
        <v>1</v>
      </c>
      <c r="I3395" s="87" t="b">
        <v>0</v>
      </c>
      <c r="J3395" s="173" t="s">
        <v>463</v>
      </c>
      <c r="K3395" s="174">
        <v>61213674000240</v>
      </c>
      <c r="L3395" s="173" t="s">
        <v>629</v>
      </c>
      <c r="M3395" s="173" t="s">
        <v>29</v>
      </c>
      <c r="N3395" s="173" t="s">
        <v>19</v>
      </c>
      <c r="O3395" s="87">
        <v>64</v>
      </c>
      <c r="P3395" s="173" t="s">
        <v>25</v>
      </c>
      <c r="Q3395" s="1" t="s">
        <v>1344</v>
      </c>
      <c r="R3395" s="175">
        <v>3</v>
      </c>
      <c r="S3395">
        <v>3</v>
      </c>
    </row>
    <row r="3396" spans="1:19" x14ac:dyDescent="0.25">
      <c r="A3396" s="87">
        <v>2019</v>
      </c>
      <c r="B3396" s="87">
        <v>12</v>
      </c>
      <c r="C3396" s="173" t="s">
        <v>16</v>
      </c>
      <c r="D3396" s="173" t="s">
        <v>230</v>
      </c>
      <c r="E3396" s="173" t="s">
        <v>24</v>
      </c>
      <c r="F3396" s="173" t="s">
        <v>16</v>
      </c>
      <c r="G3396" s="87" t="b">
        <v>1</v>
      </c>
      <c r="H3396" s="87" t="b">
        <v>1</v>
      </c>
      <c r="I3396" s="87" t="b">
        <v>0</v>
      </c>
      <c r="J3396" s="173" t="s">
        <v>450</v>
      </c>
      <c r="K3396" s="174">
        <v>61213674000240</v>
      </c>
      <c r="L3396" s="173" t="s">
        <v>629</v>
      </c>
      <c r="M3396" s="173" t="s">
        <v>29</v>
      </c>
      <c r="N3396" s="173" t="s">
        <v>19</v>
      </c>
      <c r="O3396" s="87">
        <v>73</v>
      </c>
      <c r="P3396" s="173" t="s">
        <v>26</v>
      </c>
      <c r="Q3396" s="1" t="s">
        <v>1339</v>
      </c>
      <c r="R3396" s="175">
        <v>8</v>
      </c>
      <c r="S3396">
        <v>4</v>
      </c>
    </row>
    <row r="3397" spans="1:19" x14ac:dyDescent="0.25">
      <c r="A3397" s="87">
        <v>2019</v>
      </c>
      <c r="B3397" s="87">
        <v>12</v>
      </c>
      <c r="C3397" s="173" t="s">
        <v>16</v>
      </c>
      <c r="D3397" s="173" t="s">
        <v>230</v>
      </c>
      <c r="E3397" s="173" t="s">
        <v>24</v>
      </c>
      <c r="F3397" s="173" t="s">
        <v>16</v>
      </c>
      <c r="G3397" s="87" t="b">
        <v>1</v>
      </c>
      <c r="H3397" s="87" t="b">
        <v>1</v>
      </c>
      <c r="I3397" s="87" t="b">
        <v>0</v>
      </c>
      <c r="J3397" s="173" t="s">
        <v>450</v>
      </c>
      <c r="K3397" s="174">
        <v>61213674000240</v>
      </c>
      <c r="L3397" s="173" t="s">
        <v>629</v>
      </c>
      <c r="M3397" s="173" t="s">
        <v>29</v>
      </c>
      <c r="N3397" s="173" t="s">
        <v>19</v>
      </c>
      <c r="O3397" s="87">
        <v>73</v>
      </c>
      <c r="P3397" s="173" t="s">
        <v>26</v>
      </c>
      <c r="Q3397" s="1" t="s">
        <v>1342</v>
      </c>
      <c r="R3397" s="175">
        <v>40</v>
      </c>
      <c r="S3397">
        <v>10</v>
      </c>
    </row>
    <row r="3398" spans="1:19" x14ac:dyDescent="0.25">
      <c r="A3398" s="87">
        <v>2019</v>
      </c>
      <c r="B3398" s="87">
        <v>12</v>
      </c>
      <c r="C3398" s="173" t="s">
        <v>16</v>
      </c>
      <c r="D3398" s="173" t="s">
        <v>230</v>
      </c>
      <c r="E3398" s="173" t="s">
        <v>24</v>
      </c>
      <c r="F3398" s="173" t="s">
        <v>16</v>
      </c>
      <c r="G3398" s="87" t="b">
        <v>1</v>
      </c>
      <c r="H3398" s="87" t="b">
        <v>1</v>
      </c>
      <c r="I3398" s="87" t="b">
        <v>0</v>
      </c>
      <c r="J3398" s="173" t="s">
        <v>450</v>
      </c>
      <c r="K3398" s="174">
        <v>61213674000240</v>
      </c>
      <c r="L3398" s="173" t="s">
        <v>629</v>
      </c>
      <c r="M3398" s="173" t="s">
        <v>29</v>
      </c>
      <c r="N3398" s="173" t="s">
        <v>19</v>
      </c>
      <c r="O3398" s="87">
        <v>73</v>
      </c>
      <c r="P3398" s="173" t="s">
        <v>26</v>
      </c>
      <c r="Q3398" s="1" t="s">
        <v>1340</v>
      </c>
      <c r="R3398" s="175">
        <v>10</v>
      </c>
      <c r="S3398">
        <v>10</v>
      </c>
    </row>
    <row r="3399" spans="1:19" x14ac:dyDescent="0.25">
      <c r="A3399" s="87">
        <v>2019</v>
      </c>
      <c r="B3399" s="87">
        <v>12</v>
      </c>
      <c r="C3399" s="173" t="s">
        <v>16</v>
      </c>
      <c r="D3399" s="173" t="s">
        <v>230</v>
      </c>
      <c r="E3399" s="173" t="s">
        <v>24</v>
      </c>
      <c r="F3399" s="173" t="s">
        <v>16</v>
      </c>
      <c r="G3399" s="87" t="b">
        <v>1</v>
      </c>
      <c r="H3399" s="87" t="b">
        <v>1</v>
      </c>
      <c r="I3399" s="87" t="b">
        <v>0</v>
      </c>
      <c r="J3399" s="173" t="s">
        <v>463</v>
      </c>
      <c r="K3399" s="174">
        <v>61213674000240</v>
      </c>
      <c r="L3399" s="173" t="s">
        <v>629</v>
      </c>
      <c r="M3399" s="173" t="s">
        <v>29</v>
      </c>
      <c r="N3399" s="173" t="s">
        <v>19</v>
      </c>
      <c r="O3399" s="87">
        <v>73</v>
      </c>
      <c r="P3399" s="173" t="s">
        <v>26</v>
      </c>
      <c r="Q3399" s="1" t="s">
        <v>1342</v>
      </c>
      <c r="R3399" s="175">
        <v>72</v>
      </c>
      <c r="S3399">
        <v>18</v>
      </c>
    </row>
    <row r="3400" spans="1:19" x14ac:dyDescent="0.25">
      <c r="A3400" s="87">
        <v>2019</v>
      </c>
      <c r="B3400" s="87">
        <v>12</v>
      </c>
      <c r="C3400" s="173" t="s">
        <v>16</v>
      </c>
      <c r="D3400" s="173" t="s">
        <v>230</v>
      </c>
      <c r="E3400" s="173" t="s">
        <v>24</v>
      </c>
      <c r="F3400" s="173" t="s">
        <v>16</v>
      </c>
      <c r="G3400" s="87" t="b">
        <v>1</v>
      </c>
      <c r="H3400" s="87" t="b">
        <v>1</v>
      </c>
      <c r="I3400" s="87" t="b">
        <v>0</v>
      </c>
      <c r="J3400" s="173" t="s">
        <v>463</v>
      </c>
      <c r="K3400" s="174">
        <v>61213674000240</v>
      </c>
      <c r="L3400" s="173" t="s">
        <v>629</v>
      </c>
      <c r="M3400" s="173" t="s">
        <v>29</v>
      </c>
      <c r="N3400" s="173" t="s">
        <v>19</v>
      </c>
      <c r="O3400" s="87">
        <v>73</v>
      </c>
      <c r="P3400" s="173" t="s">
        <v>26</v>
      </c>
      <c r="Q3400" s="1" t="s">
        <v>1340</v>
      </c>
      <c r="R3400" s="175">
        <v>5</v>
      </c>
      <c r="S3400">
        <v>5</v>
      </c>
    </row>
    <row r="3401" spans="1:19" x14ac:dyDescent="0.25">
      <c r="A3401" s="87">
        <v>2019</v>
      </c>
      <c r="B3401" s="87">
        <v>12</v>
      </c>
      <c r="C3401" s="173" t="s">
        <v>16</v>
      </c>
      <c r="D3401" s="173" t="s">
        <v>230</v>
      </c>
      <c r="E3401" s="173" t="s">
        <v>24</v>
      </c>
      <c r="F3401" s="173" t="s">
        <v>16</v>
      </c>
      <c r="G3401" s="87" t="b">
        <v>1</v>
      </c>
      <c r="H3401" s="87" t="b">
        <v>1</v>
      </c>
      <c r="I3401" s="87" t="b">
        <v>0</v>
      </c>
      <c r="J3401" s="173" t="s">
        <v>1330</v>
      </c>
      <c r="K3401" s="174">
        <v>61590410000124</v>
      </c>
      <c r="L3401" s="173" t="s">
        <v>630</v>
      </c>
      <c r="M3401" s="173" t="s">
        <v>29</v>
      </c>
      <c r="N3401" s="173" t="s">
        <v>19</v>
      </c>
      <c r="O3401" s="87">
        <v>62</v>
      </c>
      <c r="P3401" s="173" t="s">
        <v>27</v>
      </c>
      <c r="Q3401" s="1" t="s">
        <v>1343</v>
      </c>
      <c r="R3401" s="175">
        <v>56</v>
      </c>
      <c r="S3401">
        <v>56</v>
      </c>
    </row>
    <row r="3402" spans="1:19" x14ac:dyDescent="0.25">
      <c r="A3402" s="87">
        <v>2019</v>
      </c>
      <c r="B3402" s="87">
        <v>12</v>
      </c>
      <c r="C3402" s="173" t="s">
        <v>16</v>
      </c>
      <c r="D3402" s="173" t="s">
        <v>230</v>
      </c>
      <c r="E3402" s="173" t="s">
        <v>24</v>
      </c>
      <c r="F3402" s="173" t="s">
        <v>16</v>
      </c>
      <c r="G3402" s="87" t="b">
        <v>1</v>
      </c>
      <c r="H3402" s="87" t="b">
        <v>1</v>
      </c>
      <c r="I3402" s="87" t="b">
        <v>0</v>
      </c>
      <c r="J3402" s="173" t="s">
        <v>1330</v>
      </c>
      <c r="K3402" s="174">
        <v>61590410000124</v>
      </c>
      <c r="L3402" s="173" t="s">
        <v>630</v>
      </c>
      <c r="M3402" s="173" t="s">
        <v>29</v>
      </c>
      <c r="N3402" s="173" t="s">
        <v>19</v>
      </c>
      <c r="O3402" s="87">
        <v>70</v>
      </c>
      <c r="P3402" s="173" t="s">
        <v>20</v>
      </c>
      <c r="Q3402" s="1" t="s">
        <v>1338</v>
      </c>
      <c r="R3402" s="175">
        <v>1050</v>
      </c>
      <c r="S3402">
        <v>210</v>
      </c>
    </row>
    <row r="3403" spans="1:19" x14ac:dyDescent="0.25">
      <c r="A3403" s="87">
        <v>2019</v>
      </c>
      <c r="B3403" s="87">
        <v>12</v>
      </c>
      <c r="C3403" s="173" t="s">
        <v>16</v>
      </c>
      <c r="D3403" s="173" t="s">
        <v>230</v>
      </c>
      <c r="E3403" s="173" t="s">
        <v>24</v>
      </c>
      <c r="F3403" s="173" t="s">
        <v>16</v>
      </c>
      <c r="G3403" s="87" t="b">
        <v>1</v>
      </c>
      <c r="H3403" s="87" t="b">
        <v>1</v>
      </c>
      <c r="I3403" s="87" t="b">
        <v>0</v>
      </c>
      <c r="J3403" s="173" t="s">
        <v>468</v>
      </c>
      <c r="K3403" s="174">
        <v>61590410000558</v>
      </c>
      <c r="L3403" s="173" t="s">
        <v>922</v>
      </c>
      <c r="M3403" s="173" t="s">
        <v>739</v>
      </c>
      <c r="N3403" s="173" t="s">
        <v>55</v>
      </c>
      <c r="O3403" s="87">
        <v>73</v>
      </c>
      <c r="P3403" s="173" t="s">
        <v>26</v>
      </c>
      <c r="Q3403" s="1" t="s">
        <v>1342</v>
      </c>
      <c r="R3403" s="175">
        <v>16</v>
      </c>
      <c r="S3403">
        <v>4</v>
      </c>
    </row>
    <row r="3404" spans="1:19" x14ac:dyDescent="0.25">
      <c r="A3404" s="87">
        <v>2019</v>
      </c>
      <c r="B3404" s="87">
        <v>12</v>
      </c>
      <c r="C3404" s="173" t="s">
        <v>16</v>
      </c>
      <c r="D3404" s="173" t="s">
        <v>230</v>
      </c>
      <c r="E3404" s="173" t="s">
        <v>24</v>
      </c>
      <c r="F3404" s="173" t="s">
        <v>16</v>
      </c>
      <c r="G3404" s="87" t="b">
        <v>1</v>
      </c>
      <c r="H3404" s="87" t="b">
        <v>1</v>
      </c>
      <c r="I3404" s="87" t="b">
        <v>0</v>
      </c>
      <c r="J3404" s="173" t="s">
        <v>1330</v>
      </c>
      <c r="K3404" s="174">
        <v>61590410001287</v>
      </c>
      <c r="L3404" s="173" t="s">
        <v>923</v>
      </c>
      <c r="M3404" s="173" t="s">
        <v>739</v>
      </c>
      <c r="N3404" s="173" t="s">
        <v>55</v>
      </c>
      <c r="O3404" s="87">
        <v>62</v>
      </c>
      <c r="P3404" s="173" t="s">
        <v>27</v>
      </c>
      <c r="Q3404" s="1" t="s">
        <v>1343</v>
      </c>
      <c r="R3404" s="175">
        <v>3</v>
      </c>
      <c r="S3404">
        <v>3</v>
      </c>
    </row>
    <row r="3405" spans="1:19" x14ac:dyDescent="0.25">
      <c r="A3405" s="87">
        <v>2019</v>
      </c>
      <c r="B3405" s="87">
        <v>12</v>
      </c>
      <c r="C3405" s="173" t="s">
        <v>16</v>
      </c>
      <c r="D3405" s="173" t="s">
        <v>230</v>
      </c>
      <c r="E3405" s="173" t="s">
        <v>24</v>
      </c>
      <c r="F3405" s="173" t="s">
        <v>16</v>
      </c>
      <c r="G3405" s="87" t="b">
        <v>1</v>
      </c>
      <c r="H3405" s="87" t="b">
        <v>1</v>
      </c>
      <c r="I3405" s="87" t="b">
        <v>0</v>
      </c>
      <c r="J3405" s="173" t="s">
        <v>1330</v>
      </c>
      <c r="K3405" s="174">
        <v>61590410001287</v>
      </c>
      <c r="L3405" s="173" t="s">
        <v>923</v>
      </c>
      <c r="M3405" s="173" t="s">
        <v>739</v>
      </c>
      <c r="N3405" s="173" t="s">
        <v>55</v>
      </c>
      <c r="O3405" s="87">
        <v>70</v>
      </c>
      <c r="P3405" s="173" t="s">
        <v>20</v>
      </c>
      <c r="Q3405" s="1" t="s">
        <v>1338</v>
      </c>
      <c r="R3405" s="175">
        <v>1300</v>
      </c>
      <c r="S3405">
        <v>260</v>
      </c>
    </row>
    <row r="3406" spans="1:19" x14ac:dyDescent="0.25">
      <c r="A3406" s="87">
        <v>2019</v>
      </c>
      <c r="B3406" s="87">
        <v>12</v>
      </c>
      <c r="C3406" s="173" t="s">
        <v>16</v>
      </c>
      <c r="D3406" s="173" t="s">
        <v>230</v>
      </c>
      <c r="E3406" s="173" t="s">
        <v>24</v>
      </c>
      <c r="F3406" s="173" t="s">
        <v>16</v>
      </c>
      <c r="G3406" s="87" t="b">
        <v>1</v>
      </c>
      <c r="H3406" s="87" t="b">
        <v>1</v>
      </c>
      <c r="I3406" s="87" t="b">
        <v>0</v>
      </c>
      <c r="J3406" s="173" t="s">
        <v>1330</v>
      </c>
      <c r="K3406" s="174">
        <v>61599908000158</v>
      </c>
      <c r="L3406" s="173" t="s">
        <v>631</v>
      </c>
      <c r="M3406" s="173" t="s">
        <v>29</v>
      </c>
      <c r="N3406" s="173" t="s">
        <v>19</v>
      </c>
      <c r="O3406" s="87">
        <v>62</v>
      </c>
      <c r="P3406" s="173" t="s">
        <v>27</v>
      </c>
      <c r="Q3406" s="1" t="s">
        <v>1343</v>
      </c>
      <c r="R3406" s="175">
        <v>75</v>
      </c>
      <c r="S3406">
        <v>75</v>
      </c>
    </row>
    <row r="3407" spans="1:19" x14ac:dyDescent="0.25">
      <c r="A3407" s="87">
        <v>2019</v>
      </c>
      <c r="B3407" s="87">
        <v>12</v>
      </c>
      <c r="C3407" s="173" t="s">
        <v>16</v>
      </c>
      <c r="D3407" s="173" t="s">
        <v>230</v>
      </c>
      <c r="E3407" s="173" t="s">
        <v>24</v>
      </c>
      <c r="F3407" s="173" t="s">
        <v>16</v>
      </c>
      <c r="G3407" s="87" t="b">
        <v>1</v>
      </c>
      <c r="H3407" s="87" t="b">
        <v>1</v>
      </c>
      <c r="I3407" s="87" t="b">
        <v>0</v>
      </c>
      <c r="J3407" s="173" t="s">
        <v>1330</v>
      </c>
      <c r="K3407" s="174">
        <v>61599908000158</v>
      </c>
      <c r="L3407" s="173" t="s">
        <v>631</v>
      </c>
      <c r="M3407" s="173" t="s">
        <v>29</v>
      </c>
      <c r="N3407" s="173" t="s">
        <v>19</v>
      </c>
      <c r="O3407" s="87">
        <v>64</v>
      </c>
      <c r="P3407" s="173" t="s">
        <v>25</v>
      </c>
      <c r="Q3407" s="1" t="s">
        <v>1344</v>
      </c>
      <c r="R3407" s="175">
        <v>120</v>
      </c>
      <c r="S3407">
        <v>120</v>
      </c>
    </row>
    <row r="3408" spans="1:19" x14ac:dyDescent="0.25">
      <c r="A3408" s="87">
        <v>2019</v>
      </c>
      <c r="B3408" s="87">
        <v>12</v>
      </c>
      <c r="C3408" s="173" t="s">
        <v>16</v>
      </c>
      <c r="D3408" s="173" t="s">
        <v>230</v>
      </c>
      <c r="E3408" s="173" t="s">
        <v>24</v>
      </c>
      <c r="F3408" s="173" t="s">
        <v>16</v>
      </c>
      <c r="G3408" s="87" t="b">
        <v>1</v>
      </c>
      <c r="H3408" s="87" t="b">
        <v>1</v>
      </c>
      <c r="I3408" s="87" t="b">
        <v>0</v>
      </c>
      <c r="J3408" s="173" t="s">
        <v>450</v>
      </c>
      <c r="K3408" s="174">
        <v>61699567000869</v>
      </c>
      <c r="L3408" s="173" t="s">
        <v>1233</v>
      </c>
      <c r="M3408" s="173" t="s">
        <v>710</v>
      </c>
      <c r="N3408" s="173" t="s">
        <v>19</v>
      </c>
      <c r="O3408" s="87">
        <v>70</v>
      </c>
      <c r="P3408" s="173" t="s">
        <v>20</v>
      </c>
      <c r="Q3408" s="1" t="s">
        <v>1338</v>
      </c>
      <c r="R3408" s="175">
        <v>200</v>
      </c>
      <c r="S3408">
        <v>40</v>
      </c>
    </row>
    <row r="3409" spans="1:19" x14ac:dyDescent="0.25">
      <c r="A3409" s="87">
        <v>2019</v>
      </c>
      <c r="B3409" s="87">
        <v>12</v>
      </c>
      <c r="C3409" s="173" t="s">
        <v>16</v>
      </c>
      <c r="D3409" s="173" t="s">
        <v>230</v>
      </c>
      <c r="E3409" s="173" t="s">
        <v>24</v>
      </c>
      <c r="F3409" s="173" t="s">
        <v>16</v>
      </c>
      <c r="G3409" s="87" t="b">
        <v>1</v>
      </c>
      <c r="H3409" s="87" t="b">
        <v>1</v>
      </c>
      <c r="I3409" s="87" t="b">
        <v>0</v>
      </c>
      <c r="J3409" s="173" t="s">
        <v>450</v>
      </c>
      <c r="K3409" s="174">
        <v>61699567006204</v>
      </c>
      <c r="L3409" s="173" t="s">
        <v>1364</v>
      </c>
      <c r="M3409" s="173" t="s">
        <v>29</v>
      </c>
      <c r="N3409" s="173" t="s">
        <v>19</v>
      </c>
      <c r="O3409" s="87">
        <v>70</v>
      </c>
      <c r="P3409" s="173" t="s">
        <v>20</v>
      </c>
      <c r="Q3409" s="1" t="s">
        <v>1338</v>
      </c>
      <c r="R3409" s="175">
        <v>60</v>
      </c>
      <c r="S3409">
        <v>12</v>
      </c>
    </row>
    <row r="3410" spans="1:19" x14ac:dyDescent="0.25">
      <c r="A3410" s="87">
        <v>2019</v>
      </c>
      <c r="B3410" s="87">
        <v>12</v>
      </c>
      <c r="C3410" s="173" t="s">
        <v>16</v>
      </c>
      <c r="D3410" s="173" t="s">
        <v>230</v>
      </c>
      <c r="E3410" s="173" t="s">
        <v>24</v>
      </c>
      <c r="F3410" s="173" t="s">
        <v>16</v>
      </c>
      <c r="G3410" s="87" t="b">
        <v>1</v>
      </c>
      <c r="H3410" s="87" t="b">
        <v>1</v>
      </c>
      <c r="I3410" s="87" t="b">
        <v>0</v>
      </c>
      <c r="J3410" s="173" t="s">
        <v>463</v>
      </c>
      <c r="K3410" s="174">
        <v>62779145000190</v>
      </c>
      <c r="L3410" s="173" t="s">
        <v>634</v>
      </c>
      <c r="M3410" s="173" t="s">
        <v>29</v>
      </c>
      <c r="N3410" s="173" t="s">
        <v>19</v>
      </c>
      <c r="O3410" s="87">
        <v>64</v>
      </c>
      <c r="P3410" s="173" t="s">
        <v>25</v>
      </c>
      <c r="Q3410" s="1" t="s">
        <v>1344</v>
      </c>
      <c r="R3410" s="175">
        <v>6</v>
      </c>
      <c r="S3410">
        <v>6</v>
      </c>
    </row>
    <row r="3411" spans="1:19" x14ac:dyDescent="0.25">
      <c r="A3411" s="87">
        <v>2019</v>
      </c>
      <c r="B3411" s="87">
        <v>12</v>
      </c>
      <c r="C3411" s="173" t="s">
        <v>16</v>
      </c>
      <c r="D3411" s="173" t="s">
        <v>230</v>
      </c>
      <c r="E3411" s="173" t="s">
        <v>24</v>
      </c>
      <c r="F3411" s="173" t="s">
        <v>16</v>
      </c>
      <c r="G3411" s="87" t="b">
        <v>1</v>
      </c>
      <c r="H3411" s="87" t="b">
        <v>1</v>
      </c>
      <c r="I3411" s="87" t="b">
        <v>0</v>
      </c>
      <c r="J3411" s="173" t="s">
        <v>506</v>
      </c>
      <c r="K3411" s="174">
        <v>62779145000190</v>
      </c>
      <c r="L3411" s="173" t="s">
        <v>634</v>
      </c>
      <c r="M3411" s="173" t="s">
        <v>29</v>
      </c>
      <c r="N3411" s="173" t="s">
        <v>19</v>
      </c>
      <c r="O3411" s="87">
        <v>70</v>
      </c>
      <c r="P3411" s="173" t="s">
        <v>20</v>
      </c>
      <c r="Q3411" s="1" t="s">
        <v>1338</v>
      </c>
      <c r="R3411" s="175">
        <v>300</v>
      </c>
      <c r="S3411">
        <v>60</v>
      </c>
    </row>
    <row r="3412" spans="1:19" x14ac:dyDescent="0.25">
      <c r="A3412" s="87">
        <v>2019</v>
      </c>
      <c r="B3412" s="87">
        <v>12</v>
      </c>
      <c r="C3412" s="173" t="s">
        <v>16</v>
      </c>
      <c r="D3412" s="173" t="s">
        <v>230</v>
      </c>
      <c r="E3412" s="173" t="s">
        <v>24</v>
      </c>
      <c r="F3412" s="173" t="s">
        <v>16</v>
      </c>
      <c r="G3412" s="87" t="b">
        <v>1</v>
      </c>
      <c r="H3412" s="87" t="b">
        <v>1</v>
      </c>
      <c r="I3412" s="87" t="b">
        <v>0</v>
      </c>
      <c r="J3412" s="173" t="s">
        <v>450</v>
      </c>
      <c r="K3412" s="174">
        <v>68029156000481</v>
      </c>
      <c r="L3412" s="173" t="s">
        <v>1371</v>
      </c>
      <c r="M3412" s="173" t="s">
        <v>1372</v>
      </c>
      <c r="N3412" s="173" t="s">
        <v>19</v>
      </c>
      <c r="O3412" s="87">
        <v>70</v>
      </c>
      <c r="P3412" s="173" t="s">
        <v>20</v>
      </c>
      <c r="Q3412" s="1" t="s">
        <v>1338</v>
      </c>
      <c r="R3412" s="175">
        <v>10</v>
      </c>
      <c r="S3412">
        <v>2</v>
      </c>
    </row>
    <row r="3413" spans="1:19" x14ac:dyDescent="0.25">
      <c r="A3413" s="87">
        <v>2019</v>
      </c>
      <c r="B3413" s="87">
        <v>12</v>
      </c>
      <c r="C3413" s="173" t="s">
        <v>16</v>
      </c>
      <c r="D3413" s="173" t="s">
        <v>230</v>
      </c>
      <c r="E3413" s="173" t="s">
        <v>24</v>
      </c>
      <c r="F3413" s="173" t="s">
        <v>16</v>
      </c>
      <c r="G3413" s="87" t="b">
        <v>1</v>
      </c>
      <c r="H3413" s="87" t="b">
        <v>1</v>
      </c>
      <c r="I3413" s="87" t="b">
        <v>0</v>
      </c>
      <c r="J3413" s="173" t="s">
        <v>477</v>
      </c>
      <c r="K3413" s="174">
        <v>68709211000212</v>
      </c>
      <c r="L3413" s="173" t="s">
        <v>1066</v>
      </c>
      <c r="M3413" s="173" t="s">
        <v>92</v>
      </c>
      <c r="N3413" s="173" t="s">
        <v>61</v>
      </c>
      <c r="O3413" s="87">
        <v>70</v>
      </c>
      <c r="P3413" s="173" t="s">
        <v>20</v>
      </c>
      <c r="Q3413" s="1" t="s">
        <v>1345</v>
      </c>
      <c r="R3413" s="175">
        <v>130</v>
      </c>
      <c r="S3413">
        <v>13</v>
      </c>
    </row>
    <row r="3414" spans="1:19" x14ac:dyDescent="0.25">
      <c r="A3414" s="87">
        <v>2019</v>
      </c>
      <c r="B3414" s="87">
        <v>12</v>
      </c>
      <c r="C3414" s="173" t="s">
        <v>16</v>
      </c>
      <c r="D3414" s="173" t="s">
        <v>230</v>
      </c>
      <c r="E3414" s="173" t="s">
        <v>24</v>
      </c>
      <c r="F3414" s="173" t="s">
        <v>16</v>
      </c>
      <c r="G3414" s="87" t="b">
        <v>1</v>
      </c>
      <c r="H3414" s="87" t="b">
        <v>1</v>
      </c>
      <c r="I3414" s="87" t="b">
        <v>0</v>
      </c>
      <c r="J3414" s="173" t="s">
        <v>477</v>
      </c>
      <c r="K3414" s="174">
        <v>68709211000212</v>
      </c>
      <c r="L3414" s="173" t="s">
        <v>1066</v>
      </c>
      <c r="M3414" s="173" t="s">
        <v>92</v>
      </c>
      <c r="N3414" s="173" t="s">
        <v>61</v>
      </c>
      <c r="O3414" s="87">
        <v>70</v>
      </c>
      <c r="P3414" s="173" t="s">
        <v>20</v>
      </c>
      <c r="Q3414" s="1" t="s">
        <v>1338</v>
      </c>
      <c r="R3414" s="175">
        <v>25</v>
      </c>
      <c r="S3414">
        <v>5</v>
      </c>
    </row>
    <row r="3415" spans="1:19" x14ac:dyDescent="0.25">
      <c r="A3415" s="87">
        <v>2019</v>
      </c>
      <c r="B3415" s="87">
        <v>12</v>
      </c>
      <c r="C3415" s="173" t="s">
        <v>16</v>
      </c>
      <c r="D3415" s="173" t="s">
        <v>230</v>
      </c>
      <c r="E3415" s="173" t="s">
        <v>24</v>
      </c>
      <c r="F3415" s="173" t="s">
        <v>16</v>
      </c>
      <c r="G3415" s="87" t="b">
        <v>1</v>
      </c>
      <c r="H3415" s="87" t="b">
        <v>1</v>
      </c>
      <c r="I3415" s="87" t="b">
        <v>0</v>
      </c>
      <c r="J3415" s="173" t="s">
        <v>470</v>
      </c>
      <c r="K3415" s="174">
        <v>71064539000314</v>
      </c>
      <c r="L3415" s="173" t="s">
        <v>1430</v>
      </c>
      <c r="M3415" s="173" t="s">
        <v>119</v>
      </c>
      <c r="N3415" s="173" t="s">
        <v>54</v>
      </c>
      <c r="O3415" s="87">
        <v>70</v>
      </c>
      <c r="P3415" s="173" t="s">
        <v>20</v>
      </c>
      <c r="Q3415" s="1" t="s">
        <v>1338</v>
      </c>
      <c r="R3415" s="175">
        <v>160</v>
      </c>
      <c r="S3415">
        <v>32</v>
      </c>
    </row>
    <row r="3416" spans="1:19" x14ac:dyDescent="0.25">
      <c r="A3416" s="87">
        <v>2019</v>
      </c>
      <c r="B3416" s="87">
        <v>12</v>
      </c>
      <c r="C3416" s="173" t="s">
        <v>16</v>
      </c>
      <c r="D3416" s="173" t="s">
        <v>230</v>
      </c>
      <c r="E3416" s="173" t="s">
        <v>24</v>
      </c>
      <c r="F3416" s="173" t="s">
        <v>16</v>
      </c>
      <c r="G3416" s="87" t="b">
        <v>1</v>
      </c>
      <c r="H3416" s="87" t="b">
        <v>1</v>
      </c>
      <c r="I3416" s="87" t="b">
        <v>0</v>
      </c>
      <c r="J3416" s="173" t="s">
        <v>451</v>
      </c>
      <c r="K3416" s="174">
        <v>72101124000506</v>
      </c>
      <c r="L3416" s="173" t="s">
        <v>1126</v>
      </c>
      <c r="M3416" s="173" t="s">
        <v>131</v>
      </c>
      <c r="N3416" s="173" t="s">
        <v>61</v>
      </c>
      <c r="O3416" s="87">
        <v>70</v>
      </c>
      <c r="P3416" s="173" t="s">
        <v>20</v>
      </c>
      <c r="Q3416" s="1" t="s">
        <v>1338</v>
      </c>
      <c r="R3416" s="175">
        <v>505</v>
      </c>
      <c r="S3416">
        <v>101</v>
      </c>
    </row>
    <row r="3417" spans="1:19" x14ac:dyDescent="0.25">
      <c r="A3417" s="87">
        <v>2019</v>
      </c>
      <c r="B3417" s="87">
        <v>12</v>
      </c>
      <c r="C3417" s="173" t="s">
        <v>16</v>
      </c>
      <c r="D3417" s="173" t="s">
        <v>230</v>
      </c>
      <c r="E3417" s="173" t="s">
        <v>24</v>
      </c>
      <c r="F3417" s="173" t="s">
        <v>16</v>
      </c>
      <c r="G3417" s="87" t="b">
        <v>1</v>
      </c>
      <c r="H3417" s="87" t="b">
        <v>1</v>
      </c>
      <c r="I3417" s="87" t="b">
        <v>0</v>
      </c>
      <c r="J3417" s="173" t="s">
        <v>451</v>
      </c>
      <c r="K3417" s="174">
        <v>72101124000506</v>
      </c>
      <c r="L3417" s="173" t="s">
        <v>1126</v>
      </c>
      <c r="M3417" s="173" t="s">
        <v>131</v>
      </c>
      <c r="N3417" s="173" t="s">
        <v>61</v>
      </c>
      <c r="O3417" s="87">
        <v>73</v>
      </c>
      <c r="P3417" s="173" t="s">
        <v>26</v>
      </c>
      <c r="Q3417" s="1" t="s">
        <v>1339</v>
      </c>
      <c r="R3417" s="175">
        <v>6</v>
      </c>
      <c r="S3417">
        <v>3</v>
      </c>
    </row>
    <row r="3418" spans="1:19" x14ac:dyDescent="0.25">
      <c r="A3418" s="87">
        <v>2019</v>
      </c>
      <c r="B3418" s="87">
        <v>12</v>
      </c>
      <c r="C3418" s="173" t="s">
        <v>16</v>
      </c>
      <c r="D3418" s="173" t="s">
        <v>230</v>
      </c>
      <c r="E3418" s="173" t="s">
        <v>24</v>
      </c>
      <c r="F3418" s="173" t="s">
        <v>16</v>
      </c>
      <c r="G3418" s="87" t="b">
        <v>1</v>
      </c>
      <c r="H3418" s="87" t="b">
        <v>1</v>
      </c>
      <c r="I3418" s="87" t="b">
        <v>0</v>
      </c>
      <c r="J3418" s="173" t="s">
        <v>451</v>
      </c>
      <c r="K3418" s="174">
        <v>72101124000506</v>
      </c>
      <c r="L3418" s="173" t="s">
        <v>1126</v>
      </c>
      <c r="M3418" s="173" t="s">
        <v>131</v>
      </c>
      <c r="N3418" s="173" t="s">
        <v>61</v>
      </c>
      <c r="O3418" s="87">
        <v>73</v>
      </c>
      <c r="P3418" s="173" t="s">
        <v>26</v>
      </c>
      <c r="Q3418" s="1" t="s">
        <v>1342</v>
      </c>
      <c r="R3418" s="175">
        <v>128</v>
      </c>
      <c r="S3418">
        <v>32</v>
      </c>
    </row>
    <row r="3419" spans="1:19" x14ac:dyDescent="0.25">
      <c r="A3419" s="87">
        <v>2019</v>
      </c>
      <c r="B3419" s="87">
        <v>12</v>
      </c>
      <c r="C3419" s="173" t="s">
        <v>16</v>
      </c>
      <c r="D3419" s="173" t="s">
        <v>230</v>
      </c>
      <c r="E3419" s="173" t="s">
        <v>24</v>
      </c>
      <c r="F3419" s="173" t="s">
        <v>16</v>
      </c>
      <c r="G3419" s="87" t="b">
        <v>1</v>
      </c>
      <c r="H3419" s="87" t="b">
        <v>1</v>
      </c>
      <c r="I3419" s="87" t="b">
        <v>0</v>
      </c>
      <c r="J3419" s="173" t="s">
        <v>451</v>
      </c>
      <c r="K3419" s="174">
        <v>72101124000506</v>
      </c>
      <c r="L3419" s="173" t="s">
        <v>1126</v>
      </c>
      <c r="M3419" s="173" t="s">
        <v>131</v>
      </c>
      <c r="N3419" s="173" t="s">
        <v>61</v>
      </c>
      <c r="O3419" s="87">
        <v>73</v>
      </c>
      <c r="P3419" s="173" t="s">
        <v>26</v>
      </c>
      <c r="Q3419" s="1" t="s">
        <v>1340</v>
      </c>
      <c r="R3419" s="175">
        <v>5</v>
      </c>
      <c r="S3419">
        <v>5</v>
      </c>
    </row>
    <row r="3420" spans="1:19" x14ac:dyDescent="0.25">
      <c r="A3420" s="87">
        <v>2019</v>
      </c>
      <c r="B3420" s="87">
        <v>12</v>
      </c>
      <c r="C3420" s="173" t="s">
        <v>16</v>
      </c>
      <c r="D3420" s="173" t="s">
        <v>230</v>
      </c>
      <c r="E3420" s="173" t="s">
        <v>24</v>
      </c>
      <c r="F3420" s="173" t="s">
        <v>16</v>
      </c>
      <c r="G3420" s="87" t="b">
        <v>1</v>
      </c>
      <c r="H3420" s="87" t="b">
        <v>1</v>
      </c>
      <c r="I3420" s="87" t="b">
        <v>0</v>
      </c>
      <c r="J3420" s="173" t="s">
        <v>470</v>
      </c>
      <c r="K3420" s="174">
        <v>72576143000157</v>
      </c>
      <c r="L3420" s="173" t="s">
        <v>1235</v>
      </c>
      <c r="M3420" s="173" t="s">
        <v>739</v>
      </c>
      <c r="N3420" s="173" t="s">
        <v>55</v>
      </c>
      <c r="O3420" s="87">
        <v>64</v>
      </c>
      <c r="P3420" s="173" t="s">
        <v>25</v>
      </c>
      <c r="Q3420" s="1" t="s">
        <v>1344</v>
      </c>
      <c r="R3420" s="175">
        <v>5</v>
      </c>
      <c r="S3420">
        <v>5</v>
      </c>
    </row>
    <row r="3421" spans="1:19" x14ac:dyDescent="0.25">
      <c r="A3421" s="87">
        <v>2019</v>
      </c>
      <c r="B3421" s="87">
        <v>12</v>
      </c>
      <c r="C3421" s="173" t="s">
        <v>16</v>
      </c>
      <c r="D3421" s="173" t="s">
        <v>230</v>
      </c>
      <c r="E3421" s="173" t="s">
        <v>24</v>
      </c>
      <c r="F3421" s="173" t="s">
        <v>16</v>
      </c>
      <c r="G3421" s="87" t="b">
        <v>1</v>
      </c>
      <c r="H3421" s="87" t="b">
        <v>1</v>
      </c>
      <c r="I3421" s="87" t="b">
        <v>0</v>
      </c>
      <c r="J3421" s="173" t="s">
        <v>477</v>
      </c>
      <c r="K3421" s="174">
        <v>73696718000219</v>
      </c>
      <c r="L3421" s="173" t="s">
        <v>1127</v>
      </c>
      <c r="M3421" s="173" t="s">
        <v>131</v>
      </c>
      <c r="N3421" s="173" t="s">
        <v>61</v>
      </c>
      <c r="O3421" s="87">
        <v>62</v>
      </c>
      <c r="P3421" s="173" t="s">
        <v>27</v>
      </c>
      <c r="Q3421" s="1" t="s">
        <v>1343</v>
      </c>
      <c r="R3421" s="175">
        <v>9</v>
      </c>
      <c r="S3421">
        <v>9</v>
      </c>
    </row>
    <row r="3422" spans="1:19" x14ac:dyDescent="0.25">
      <c r="A3422" s="87">
        <v>2019</v>
      </c>
      <c r="B3422" s="87">
        <v>12</v>
      </c>
      <c r="C3422" s="173" t="s">
        <v>16</v>
      </c>
      <c r="D3422" s="173" t="s">
        <v>230</v>
      </c>
      <c r="E3422" s="173" t="s">
        <v>24</v>
      </c>
      <c r="F3422" s="173" t="s">
        <v>16</v>
      </c>
      <c r="G3422" s="87" t="b">
        <v>1</v>
      </c>
      <c r="H3422" s="87" t="b">
        <v>1</v>
      </c>
      <c r="I3422" s="87" t="b">
        <v>0</v>
      </c>
      <c r="J3422" s="173" t="s">
        <v>1512</v>
      </c>
      <c r="K3422" s="174">
        <v>73696718000219</v>
      </c>
      <c r="L3422" s="173" t="s">
        <v>1127</v>
      </c>
      <c r="M3422" s="173" t="s">
        <v>131</v>
      </c>
      <c r="N3422" s="173" t="s">
        <v>61</v>
      </c>
      <c r="O3422" s="87">
        <v>62</v>
      </c>
      <c r="P3422" s="173" t="s">
        <v>27</v>
      </c>
      <c r="Q3422" s="1" t="s">
        <v>1343</v>
      </c>
      <c r="R3422" s="175">
        <v>9</v>
      </c>
      <c r="S3422">
        <v>9</v>
      </c>
    </row>
    <row r="3423" spans="1:19" x14ac:dyDescent="0.25">
      <c r="A3423" s="87">
        <v>2019</v>
      </c>
      <c r="B3423" s="87">
        <v>12</v>
      </c>
      <c r="C3423" s="173" t="s">
        <v>16</v>
      </c>
      <c r="D3423" s="173" t="s">
        <v>230</v>
      </c>
      <c r="E3423" s="173" t="s">
        <v>24</v>
      </c>
      <c r="F3423" s="173" t="s">
        <v>16</v>
      </c>
      <c r="G3423" s="87" t="b">
        <v>1</v>
      </c>
      <c r="H3423" s="87" t="b">
        <v>1</v>
      </c>
      <c r="I3423" s="87" t="b">
        <v>0</v>
      </c>
      <c r="J3423" s="173" t="s">
        <v>477</v>
      </c>
      <c r="K3423" s="174">
        <v>73696718000219</v>
      </c>
      <c r="L3423" s="173" t="s">
        <v>1127</v>
      </c>
      <c r="M3423" s="173" t="s">
        <v>131</v>
      </c>
      <c r="N3423" s="173" t="s">
        <v>61</v>
      </c>
      <c r="O3423" s="87">
        <v>64</v>
      </c>
      <c r="P3423" s="173" t="s">
        <v>25</v>
      </c>
      <c r="Q3423" s="1" t="s">
        <v>1344</v>
      </c>
      <c r="R3423" s="175">
        <v>9</v>
      </c>
      <c r="S3423">
        <v>9</v>
      </c>
    </row>
    <row r="3424" spans="1:19" x14ac:dyDescent="0.25">
      <c r="A3424" s="87">
        <v>2019</v>
      </c>
      <c r="B3424" s="87">
        <v>12</v>
      </c>
      <c r="C3424" s="173" t="s">
        <v>16</v>
      </c>
      <c r="D3424" s="173" t="s">
        <v>230</v>
      </c>
      <c r="E3424" s="173" t="s">
        <v>24</v>
      </c>
      <c r="F3424" s="173" t="s">
        <v>16</v>
      </c>
      <c r="G3424" s="87" t="b">
        <v>1</v>
      </c>
      <c r="H3424" s="87" t="b">
        <v>1</v>
      </c>
      <c r="I3424" s="87" t="b">
        <v>0</v>
      </c>
      <c r="J3424" s="173" t="s">
        <v>451</v>
      </c>
      <c r="K3424" s="174">
        <v>73863342000109</v>
      </c>
      <c r="L3424" s="173" t="s">
        <v>978</v>
      </c>
      <c r="M3424" s="173" t="s">
        <v>121</v>
      </c>
      <c r="N3424" s="173" t="s">
        <v>57</v>
      </c>
      <c r="O3424" s="87">
        <v>70</v>
      </c>
      <c r="P3424" s="173" t="s">
        <v>20</v>
      </c>
      <c r="Q3424" s="1" t="s">
        <v>1345</v>
      </c>
      <c r="R3424" s="175">
        <v>20</v>
      </c>
      <c r="S3424">
        <v>2</v>
      </c>
    </row>
    <row r="3425" spans="1:19" x14ac:dyDescent="0.25">
      <c r="A3425" s="87">
        <v>2019</v>
      </c>
      <c r="B3425" s="87">
        <v>12</v>
      </c>
      <c r="C3425" s="173" t="s">
        <v>16</v>
      </c>
      <c r="D3425" s="173" t="s">
        <v>230</v>
      </c>
      <c r="E3425" s="173" t="s">
        <v>24</v>
      </c>
      <c r="F3425" s="173" t="s">
        <v>16</v>
      </c>
      <c r="G3425" s="87" t="b">
        <v>1</v>
      </c>
      <c r="H3425" s="87" t="b">
        <v>1</v>
      </c>
      <c r="I3425" s="87" t="b">
        <v>0</v>
      </c>
      <c r="J3425" s="173" t="s">
        <v>492</v>
      </c>
      <c r="K3425" s="174">
        <v>75055772002254</v>
      </c>
      <c r="L3425" s="173" t="s">
        <v>979</v>
      </c>
      <c r="M3425" s="173" t="s">
        <v>94</v>
      </c>
      <c r="N3425" s="173" t="s">
        <v>57</v>
      </c>
      <c r="O3425" s="87">
        <v>70</v>
      </c>
      <c r="P3425" s="173" t="s">
        <v>20</v>
      </c>
      <c r="Q3425" s="1" t="s">
        <v>1338</v>
      </c>
      <c r="R3425" s="175">
        <v>70</v>
      </c>
      <c r="S3425">
        <v>14</v>
      </c>
    </row>
    <row r="3426" spans="1:19" x14ac:dyDescent="0.25">
      <c r="A3426" s="87">
        <v>2019</v>
      </c>
      <c r="B3426" s="87">
        <v>12</v>
      </c>
      <c r="C3426" s="173" t="s">
        <v>16</v>
      </c>
      <c r="D3426" s="173" t="s">
        <v>230</v>
      </c>
      <c r="E3426" s="173" t="s">
        <v>24</v>
      </c>
      <c r="F3426" s="173" t="s">
        <v>16</v>
      </c>
      <c r="G3426" s="87" t="b">
        <v>1</v>
      </c>
      <c r="H3426" s="87" t="b">
        <v>1</v>
      </c>
      <c r="I3426" s="87" t="b">
        <v>0</v>
      </c>
      <c r="J3426" s="173" t="s">
        <v>450</v>
      </c>
      <c r="K3426" s="174">
        <v>75222224001895</v>
      </c>
      <c r="L3426" s="173" t="s">
        <v>981</v>
      </c>
      <c r="M3426" s="173" t="s">
        <v>121</v>
      </c>
      <c r="N3426" s="173" t="s">
        <v>57</v>
      </c>
      <c r="O3426" s="87">
        <v>70</v>
      </c>
      <c r="P3426" s="173" t="s">
        <v>20</v>
      </c>
      <c r="Q3426" s="1" t="s">
        <v>1338</v>
      </c>
      <c r="R3426" s="175">
        <v>630</v>
      </c>
      <c r="S3426">
        <v>126</v>
      </c>
    </row>
    <row r="3427" spans="1:19" x14ac:dyDescent="0.25">
      <c r="A3427" s="87">
        <v>2019</v>
      </c>
      <c r="B3427" s="87">
        <v>12</v>
      </c>
      <c r="C3427" s="173" t="s">
        <v>16</v>
      </c>
      <c r="D3427" s="173" t="s">
        <v>230</v>
      </c>
      <c r="E3427" s="173" t="s">
        <v>24</v>
      </c>
      <c r="F3427" s="173" t="s">
        <v>16</v>
      </c>
      <c r="G3427" s="87" t="b">
        <v>1</v>
      </c>
      <c r="H3427" s="87" t="b">
        <v>1</v>
      </c>
      <c r="I3427" s="87" t="b">
        <v>0</v>
      </c>
      <c r="J3427" s="173" t="s">
        <v>491</v>
      </c>
      <c r="K3427" s="174">
        <v>76081892000164</v>
      </c>
      <c r="L3427" s="173" t="s">
        <v>1347</v>
      </c>
      <c r="M3427" s="173" t="s">
        <v>112</v>
      </c>
      <c r="N3427" s="173" t="s">
        <v>57</v>
      </c>
      <c r="O3427" s="87">
        <v>62</v>
      </c>
      <c r="P3427" s="173" t="s">
        <v>27</v>
      </c>
      <c r="Q3427" s="1" t="s">
        <v>1343</v>
      </c>
      <c r="R3427" s="175">
        <v>2</v>
      </c>
      <c r="S3427">
        <v>2</v>
      </c>
    </row>
    <row r="3428" spans="1:19" x14ac:dyDescent="0.25">
      <c r="A3428" s="87">
        <v>2019</v>
      </c>
      <c r="B3428" s="87">
        <v>12</v>
      </c>
      <c r="C3428" s="173" t="s">
        <v>16</v>
      </c>
      <c r="D3428" s="173" t="s">
        <v>230</v>
      </c>
      <c r="E3428" s="173" t="s">
        <v>24</v>
      </c>
      <c r="F3428" s="173" t="s">
        <v>16</v>
      </c>
      <c r="G3428" s="87" t="b">
        <v>1</v>
      </c>
      <c r="H3428" s="87" t="b">
        <v>1</v>
      </c>
      <c r="I3428" s="87" t="b">
        <v>0</v>
      </c>
      <c r="J3428" s="173" t="s">
        <v>452</v>
      </c>
      <c r="K3428" s="174">
        <v>76555069000143</v>
      </c>
      <c r="L3428" s="173" t="s">
        <v>983</v>
      </c>
      <c r="M3428" s="173" t="s">
        <v>94</v>
      </c>
      <c r="N3428" s="173" t="s">
        <v>57</v>
      </c>
      <c r="O3428" s="87">
        <v>62</v>
      </c>
      <c r="P3428" s="173" t="s">
        <v>27</v>
      </c>
      <c r="Q3428" s="1" t="s">
        <v>1343</v>
      </c>
      <c r="R3428" s="175">
        <v>2</v>
      </c>
      <c r="S3428">
        <v>2</v>
      </c>
    </row>
    <row r="3429" spans="1:19" x14ac:dyDescent="0.25">
      <c r="A3429" s="87">
        <v>2019</v>
      </c>
      <c r="B3429" s="87">
        <v>12</v>
      </c>
      <c r="C3429" s="173" t="s">
        <v>16</v>
      </c>
      <c r="D3429" s="173" t="s">
        <v>230</v>
      </c>
      <c r="E3429" s="173" t="s">
        <v>24</v>
      </c>
      <c r="F3429" s="173" t="s">
        <v>16</v>
      </c>
      <c r="G3429" s="87" t="b">
        <v>1</v>
      </c>
      <c r="H3429" s="87" t="b">
        <v>1</v>
      </c>
      <c r="I3429" s="87" t="b">
        <v>0</v>
      </c>
      <c r="J3429" s="173" t="s">
        <v>452</v>
      </c>
      <c r="K3429" s="174">
        <v>76555069000143</v>
      </c>
      <c r="L3429" s="173" t="s">
        <v>983</v>
      </c>
      <c r="M3429" s="173" t="s">
        <v>94</v>
      </c>
      <c r="N3429" s="173" t="s">
        <v>57</v>
      </c>
      <c r="O3429" s="87">
        <v>70</v>
      </c>
      <c r="P3429" s="173" t="s">
        <v>20</v>
      </c>
      <c r="Q3429" s="1" t="s">
        <v>1338</v>
      </c>
      <c r="R3429" s="175">
        <v>110</v>
      </c>
      <c r="S3429">
        <v>22</v>
      </c>
    </row>
    <row r="3430" spans="1:19" x14ac:dyDescent="0.25">
      <c r="A3430" s="87">
        <v>2019</v>
      </c>
      <c r="B3430" s="87">
        <v>12</v>
      </c>
      <c r="C3430" s="173" t="s">
        <v>16</v>
      </c>
      <c r="D3430" s="173" t="s">
        <v>230</v>
      </c>
      <c r="E3430" s="173" t="s">
        <v>24</v>
      </c>
      <c r="F3430" s="173" t="s">
        <v>16</v>
      </c>
      <c r="G3430" s="87" t="b">
        <v>1</v>
      </c>
      <c r="H3430" s="87" t="b">
        <v>1</v>
      </c>
      <c r="I3430" s="87" t="b">
        <v>0</v>
      </c>
      <c r="J3430" s="173" t="s">
        <v>492</v>
      </c>
      <c r="K3430" s="174">
        <v>76591569000130</v>
      </c>
      <c r="L3430" s="173" t="s">
        <v>985</v>
      </c>
      <c r="M3430" s="173" t="s">
        <v>94</v>
      </c>
      <c r="N3430" s="173" t="s">
        <v>57</v>
      </c>
      <c r="O3430" s="87">
        <v>70</v>
      </c>
      <c r="P3430" s="173" t="s">
        <v>20</v>
      </c>
      <c r="Q3430" s="1" t="s">
        <v>1338</v>
      </c>
      <c r="R3430" s="175">
        <v>250</v>
      </c>
      <c r="S3430">
        <v>50</v>
      </c>
    </row>
    <row r="3431" spans="1:19" x14ac:dyDescent="0.25">
      <c r="A3431" s="87">
        <v>2019</v>
      </c>
      <c r="B3431" s="87">
        <v>12</v>
      </c>
      <c r="C3431" s="173" t="s">
        <v>16</v>
      </c>
      <c r="D3431" s="173" t="s">
        <v>230</v>
      </c>
      <c r="E3431" s="173" t="s">
        <v>24</v>
      </c>
      <c r="F3431" s="173" t="s">
        <v>16</v>
      </c>
      <c r="G3431" s="87" t="b">
        <v>1</v>
      </c>
      <c r="H3431" s="87" t="b">
        <v>1</v>
      </c>
      <c r="I3431" s="87" t="b">
        <v>0</v>
      </c>
      <c r="J3431" s="173" t="s">
        <v>470</v>
      </c>
      <c r="K3431" s="174">
        <v>76591569000130</v>
      </c>
      <c r="L3431" s="173" t="s">
        <v>985</v>
      </c>
      <c r="M3431" s="173" t="s">
        <v>94</v>
      </c>
      <c r="N3431" s="173" t="s">
        <v>57</v>
      </c>
      <c r="O3431" s="87">
        <v>73</v>
      </c>
      <c r="P3431" s="173" t="s">
        <v>26</v>
      </c>
      <c r="Q3431" s="1" t="s">
        <v>1339</v>
      </c>
      <c r="R3431" s="175">
        <v>2</v>
      </c>
      <c r="S3431">
        <v>1</v>
      </c>
    </row>
    <row r="3432" spans="1:19" x14ac:dyDescent="0.25">
      <c r="A3432" s="87">
        <v>2019</v>
      </c>
      <c r="B3432" s="87">
        <v>12</v>
      </c>
      <c r="C3432" s="173" t="s">
        <v>16</v>
      </c>
      <c r="D3432" s="173" t="s">
        <v>230</v>
      </c>
      <c r="E3432" s="173" t="s">
        <v>24</v>
      </c>
      <c r="F3432" s="173" t="s">
        <v>16</v>
      </c>
      <c r="G3432" s="87" t="b">
        <v>1</v>
      </c>
      <c r="H3432" s="87" t="b">
        <v>1</v>
      </c>
      <c r="I3432" s="87" t="b">
        <v>0</v>
      </c>
      <c r="J3432" s="173" t="s">
        <v>470</v>
      </c>
      <c r="K3432" s="174">
        <v>76591569000130</v>
      </c>
      <c r="L3432" s="173" t="s">
        <v>985</v>
      </c>
      <c r="M3432" s="173" t="s">
        <v>94</v>
      </c>
      <c r="N3432" s="173" t="s">
        <v>57</v>
      </c>
      <c r="O3432" s="87">
        <v>73</v>
      </c>
      <c r="P3432" s="173" t="s">
        <v>26</v>
      </c>
      <c r="Q3432" s="1" t="s">
        <v>1342</v>
      </c>
      <c r="R3432" s="175">
        <v>12</v>
      </c>
      <c r="S3432">
        <v>3</v>
      </c>
    </row>
    <row r="3433" spans="1:19" x14ac:dyDescent="0.25">
      <c r="A3433" s="87">
        <v>2019</v>
      </c>
      <c r="B3433" s="87">
        <v>12</v>
      </c>
      <c r="C3433" s="173" t="s">
        <v>16</v>
      </c>
      <c r="D3433" s="173" t="s">
        <v>230</v>
      </c>
      <c r="E3433" s="173" t="s">
        <v>24</v>
      </c>
      <c r="F3433" s="173" t="s">
        <v>16</v>
      </c>
      <c r="G3433" s="87" t="b">
        <v>1</v>
      </c>
      <c r="H3433" s="87" t="b">
        <v>1</v>
      </c>
      <c r="I3433" s="87" t="b">
        <v>0</v>
      </c>
      <c r="J3433" s="173" t="s">
        <v>452</v>
      </c>
      <c r="K3433" s="174">
        <v>76659820002367</v>
      </c>
      <c r="L3433" s="173" t="s">
        <v>986</v>
      </c>
      <c r="M3433" s="173" t="s">
        <v>94</v>
      </c>
      <c r="N3433" s="173" t="s">
        <v>57</v>
      </c>
      <c r="O3433" s="87">
        <v>70</v>
      </c>
      <c r="P3433" s="173" t="s">
        <v>20</v>
      </c>
      <c r="Q3433" s="1" t="s">
        <v>1338</v>
      </c>
      <c r="R3433" s="175">
        <v>180</v>
      </c>
      <c r="S3433">
        <v>36</v>
      </c>
    </row>
    <row r="3434" spans="1:19" x14ac:dyDescent="0.25">
      <c r="A3434" s="87">
        <v>2019</v>
      </c>
      <c r="B3434" s="87">
        <v>12</v>
      </c>
      <c r="C3434" s="173" t="s">
        <v>16</v>
      </c>
      <c r="D3434" s="173" t="s">
        <v>230</v>
      </c>
      <c r="E3434" s="173" t="s">
        <v>24</v>
      </c>
      <c r="F3434" s="173" t="s">
        <v>16</v>
      </c>
      <c r="G3434" s="87" t="b">
        <v>1</v>
      </c>
      <c r="H3434" s="87" t="b">
        <v>1</v>
      </c>
      <c r="I3434" s="87" t="b">
        <v>0</v>
      </c>
      <c r="J3434" s="173" t="s">
        <v>492</v>
      </c>
      <c r="K3434" s="174">
        <v>77265361000194</v>
      </c>
      <c r="L3434" s="173" t="s">
        <v>987</v>
      </c>
      <c r="M3434" s="173" t="s">
        <v>988</v>
      </c>
      <c r="N3434" s="173" t="s">
        <v>57</v>
      </c>
      <c r="O3434" s="87">
        <v>70</v>
      </c>
      <c r="P3434" s="173" t="s">
        <v>20</v>
      </c>
      <c r="Q3434" s="1" t="s">
        <v>1338</v>
      </c>
      <c r="R3434" s="175">
        <v>80</v>
      </c>
      <c r="S3434">
        <v>16</v>
      </c>
    </row>
    <row r="3435" spans="1:19" x14ac:dyDescent="0.25">
      <c r="A3435" s="87">
        <v>2019</v>
      </c>
      <c r="B3435" s="87">
        <v>12</v>
      </c>
      <c r="C3435" s="173" t="s">
        <v>16</v>
      </c>
      <c r="D3435" s="173" t="s">
        <v>230</v>
      </c>
      <c r="E3435" s="173" t="s">
        <v>24</v>
      </c>
      <c r="F3435" s="173" t="s">
        <v>16</v>
      </c>
      <c r="G3435" s="87" t="b">
        <v>1</v>
      </c>
      <c r="H3435" s="87" t="b">
        <v>1</v>
      </c>
      <c r="I3435" s="87" t="b">
        <v>0</v>
      </c>
      <c r="J3435" s="173" t="s">
        <v>470</v>
      </c>
      <c r="K3435" s="174">
        <v>77781706000243</v>
      </c>
      <c r="L3435" s="173" t="s">
        <v>989</v>
      </c>
      <c r="M3435" s="173" t="s">
        <v>990</v>
      </c>
      <c r="N3435" s="173" t="s">
        <v>57</v>
      </c>
      <c r="O3435" s="87">
        <v>73</v>
      </c>
      <c r="P3435" s="173" t="s">
        <v>26</v>
      </c>
      <c r="Q3435" s="1" t="s">
        <v>1339</v>
      </c>
      <c r="R3435" s="175">
        <v>10</v>
      </c>
      <c r="S3435">
        <v>5</v>
      </c>
    </row>
    <row r="3436" spans="1:19" x14ac:dyDescent="0.25">
      <c r="A3436" s="87">
        <v>2019</v>
      </c>
      <c r="B3436" s="87">
        <v>12</v>
      </c>
      <c r="C3436" s="173" t="s">
        <v>16</v>
      </c>
      <c r="D3436" s="173" t="s">
        <v>230</v>
      </c>
      <c r="E3436" s="173" t="s">
        <v>24</v>
      </c>
      <c r="F3436" s="173" t="s">
        <v>16</v>
      </c>
      <c r="G3436" s="87" t="b">
        <v>1</v>
      </c>
      <c r="H3436" s="87" t="b">
        <v>1</v>
      </c>
      <c r="I3436" s="87" t="b">
        <v>0</v>
      </c>
      <c r="J3436" s="173" t="s">
        <v>492</v>
      </c>
      <c r="K3436" s="174">
        <v>77858611001414</v>
      </c>
      <c r="L3436" s="173" t="s">
        <v>991</v>
      </c>
      <c r="M3436" s="173" t="s">
        <v>969</v>
      </c>
      <c r="N3436" s="173" t="s">
        <v>68</v>
      </c>
      <c r="O3436" s="87">
        <v>70</v>
      </c>
      <c r="P3436" s="173" t="s">
        <v>20</v>
      </c>
      <c r="Q3436" s="1" t="s">
        <v>1338</v>
      </c>
      <c r="R3436" s="175">
        <v>140</v>
      </c>
      <c r="S3436">
        <v>28</v>
      </c>
    </row>
    <row r="3437" spans="1:19" x14ac:dyDescent="0.25">
      <c r="A3437" s="87">
        <v>2019</v>
      </c>
      <c r="B3437" s="87">
        <v>12</v>
      </c>
      <c r="C3437" s="173" t="s">
        <v>16</v>
      </c>
      <c r="D3437" s="173" t="s">
        <v>230</v>
      </c>
      <c r="E3437" s="173" t="s">
        <v>24</v>
      </c>
      <c r="F3437" s="173" t="s">
        <v>16</v>
      </c>
      <c r="G3437" s="87" t="b">
        <v>1</v>
      </c>
      <c r="H3437" s="87" t="b">
        <v>1</v>
      </c>
      <c r="I3437" s="87" t="b">
        <v>0</v>
      </c>
      <c r="J3437" s="173" t="s">
        <v>495</v>
      </c>
      <c r="K3437" s="174">
        <v>77858611001414</v>
      </c>
      <c r="L3437" s="173" t="s">
        <v>991</v>
      </c>
      <c r="M3437" s="173" t="s">
        <v>969</v>
      </c>
      <c r="N3437" s="173" t="s">
        <v>68</v>
      </c>
      <c r="O3437" s="87">
        <v>70</v>
      </c>
      <c r="P3437" s="173" t="s">
        <v>20</v>
      </c>
      <c r="Q3437" s="1" t="s">
        <v>1338</v>
      </c>
      <c r="R3437" s="175">
        <v>150</v>
      </c>
      <c r="S3437">
        <v>30</v>
      </c>
    </row>
    <row r="3438" spans="1:19" x14ac:dyDescent="0.25">
      <c r="A3438" s="87">
        <v>2019</v>
      </c>
      <c r="B3438" s="87">
        <v>12</v>
      </c>
      <c r="C3438" s="173" t="s">
        <v>16</v>
      </c>
      <c r="D3438" s="173" t="s">
        <v>230</v>
      </c>
      <c r="E3438" s="173" t="s">
        <v>24</v>
      </c>
      <c r="F3438" s="173" t="s">
        <v>16</v>
      </c>
      <c r="G3438" s="87" t="b">
        <v>1</v>
      </c>
      <c r="H3438" s="87" t="b">
        <v>1</v>
      </c>
      <c r="I3438" s="87" t="b">
        <v>0</v>
      </c>
      <c r="J3438" s="173" t="s">
        <v>506</v>
      </c>
      <c r="K3438" s="174">
        <v>78633088000176</v>
      </c>
      <c r="L3438" s="173" t="s">
        <v>995</v>
      </c>
      <c r="M3438" s="173" t="s">
        <v>121</v>
      </c>
      <c r="N3438" s="173" t="s">
        <v>57</v>
      </c>
      <c r="O3438" s="87">
        <v>70</v>
      </c>
      <c r="P3438" s="173" t="s">
        <v>20</v>
      </c>
      <c r="Q3438" s="1" t="s">
        <v>1338</v>
      </c>
      <c r="R3438" s="175">
        <v>35</v>
      </c>
      <c r="S3438">
        <v>7</v>
      </c>
    </row>
    <row r="3439" spans="1:19" x14ac:dyDescent="0.25">
      <c r="A3439" s="87">
        <v>2019</v>
      </c>
      <c r="B3439" s="87">
        <v>12</v>
      </c>
      <c r="C3439" s="173" t="s">
        <v>16</v>
      </c>
      <c r="D3439" s="173" t="s">
        <v>230</v>
      </c>
      <c r="E3439" s="173" t="s">
        <v>24</v>
      </c>
      <c r="F3439" s="173" t="s">
        <v>16</v>
      </c>
      <c r="G3439" s="87" t="b">
        <v>1</v>
      </c>
      <c r="H3439" s="87" t="b">
        <v>1</v>
      </c>
      <c r="I3439" s="87" t="b">
        <v>0</v>
      </c>
      <c r="J3439" s="173" t="s">
        <v>492</v>
      </c>
      <c r="K3439" s="174">
        <v>79115762000193</v>
      </c>
      <c r="L3439" s="173" t="s">
        <v>996</v>
      </c>
      <c r="M3439" s="173" t="s">
        <v>988</v>
      </c>
      <c r="N3439" s="173" t="s">
        <v>57</v>
      </c>
      <c r="O3439" s="87">
        <v>70</v>
      </c>
      <c r="P3439" s="173" t="s">
        <v>20</v>
      </c>
      <c r="Q3439" s="1" t="s">
        <v>1338</v>
      </c>
      <c r="R3439" s="175">
        <v>20</v>
      </c>
      <c r="S3439">
        <v>4</v>
      </c>
    </row>
    <row r="3440" spans="1:19" x14ac:dyDescent="0.25">
      <c r="A3440" s="87">
        <v>2019</v>
      </c>
      <c r="B3440" s="87">
        <v>12</v>
      </c>
      <c r="C3440" s="173" t="s">
        <v>16</v>
      </c>
      <c r="D3440" s="173" t="s">
        <v>230</v>
      </c>
      <c r="E3440" s="173" t="s">
        <v>24</v>
      </c>
      <c r="F3440" s="173" t="s">
        <v>16</v>
      </c>
      <c r="G3440" s="87" t="b">
        <v>1</v>
      </c>
      <c r="H3440" s="87" t="b">
        <v>1</v>
      </c>
      <c r="I3440" s="87" t="b">
        <v>0</v>
      </c>
      <c r="J3440" s="173" t="s">
        <v>449</v>
      </c>
      <c r="K3440" s="174">
        <v>80673411000187</v>
      </c>
      <c r="L3440" s="173" t="s">
        <v>999</v>
      </c>
      <c r="M3440" s="173" t="s">
        <v>930</v>
      </c>
      <c r="N3440" s="173" t="s">
        <v>68</v>
      </c>
      <c r="O3440" s="87">
        <v>66</v>
      </c>
      <c r="P3440" s="173" t="s">
        <v>28</v>
      </c>
      <c r="Q3440" s="1" t="s">
        <v>1341</v>
      </c>
      <c r="R3440" s="175">
        <v>106</v>
      </c>
      <c r="S3440">
        <v>106</v>
      </c>
    </row>
    <row r="3441" spans="1:19" x14ac:dyDescent="0.25">
      <c r="A3441" s="87">
        <v>2019</v>
      </c>
      <c r="B3441" s="87">
        <v>12</v>
      </c>
      <c r="C3441" s="173" t="s">
        <v>16</v>
      </c>
      <c r="D3441" s="173" t="s">
        <v>230</v>
      </c>
      <c r="E3441" s="173" t="s">
        <v>24</v>
      </c>
      <c r="F3441" s="173" t="s">
        <v>16</v>
      </c>
      <c r="G3441" s="87" t="b">
        <v>1</v>
      </c>
      <c r="H3441" s="87" t="b">
        <v>1</v>
      </c>
      <c r="I3441" s="87" t="b">
        <v>0</v>
      </c>
      <c r="J3441" s="173" t="s">
        <v>449</v>
      </c>
      <c r="K3441" s="174">
        <v>80673411000187</v>
      </c>
      <c r="L3441" s="173" t="s">
        <v>999</v>
      </c>
      <c r="M3441" s="173" t="s">
        <v>930</v>
      </c>
      <c r="N3441" s="173" t="s">
        <v>68</v>
      </c>
      <c r="O3441" s="87">
        <v>70</v>
      </c>
      <c r="P3441" s="173" t="s">
        <v>20</v>
      </c>
      <c r="Q3441" s="1" t="s">
        <v>1345</v>
      </c>
      <c r="R3441" s="175">
        <v>240</v>
      </c>
      <c r="S3441">
        <v>24</v>
      </c>
    </row>
    <row r="3442" spans="1:19" x14ac:dyDescent="0.25">
      <c r="A3442" s="87">
        <v>2019</v>
      </c>
      <c r="B3442" s="87">
        <v>12</v>
      </c>
      <c r="C3442" s="173" t="s">
        <v>16</v>
      </c>
      <c r="D3442" s="173" t="s">
        <v>230</v>
      </c>
      <c r="E3442" s="173" t="s">
        <v>24</v>
      </c>
      <c r="F3442" s="173" t="s">
        <v>16</v>
      </c>
      <c r="G3442" s="87" t="b">
        <v>1</v>
      </c>
      <c r="H3442" s="87" t="b">
        <v>1</v>
      </c>
      <c r="I3442" s="87" t="b">
        <v>0</v>
      </c>
      <c r="J3442" s="173" t="s">
        <v>449</v>
      </c>
      <c r="K3442" s="174">
        <v>80673411000187</v>
      </c>
      <c r="L3442" s="173" t="s">
        <v>999</v>
      </c>
      <c r="M3442" s="173" t="s">
        <v>930</v>
      </c>
      <c r="N3442" s="173" t="s">
        <v>68</v>
      </c>
      <c r="O3442" s="87">
        <v>70</v>
      </c>
      <c r="P3442" s="173" t="s">
        <v>20</v>
      </c>
      <c r="Q3442" s="1" t="s">
        <v>1346</v>
      </c>
      <c r="R3442" s="175">
        <v>4055</v>
      </c>
      <c r="S3442">
        <v>1622</v>
      </c>
    </row>
    <row r="3443" spans="1:19" x14ac:dyDescent="0.25">
      <c r="A3443" s="87">
        <v>2019</v>
      </c>
      <c r="B3443" s="87">
        <v>12</v>
      </c>
      <c r="C3443" s="173" t="s">
        <v>16</v>
      </c>
      <c r="D3443" s="173" t="s">
        <v>230</v>
      </c>
      <c r="E3443" s="173" t="s">
        <v>24</v>
      </c>
      <c r="F3443" s="173" t="s">
        <v>16</v>
      </c>
      <c r="G3443" s="87" t="b">
        <v>1</v>
      </c>
      <c r="H3443" s="87" t="b">
        <v>1</v>
      </c>
      <c r="I3443" s="87" t="b">
        <v>0</v>
      </c>
      <c r="J3443" s="173" t="s">
        <v>450</v>
      </c>
      <c r="K3443" s="174">
        <v>81170003000256</v>
      </c>
      <c r="L3443" s="173" t="s">
        <v>1000</v>
      </c>
      <c r="M3443" s="173" t="s">
        <v>112</v>
      </c>
      <c r="N3443" s="173" t="s">
        <v>57</v>
      </c>
      <c r="O3443" s="87">
        <v>66</v>
      </c>
      <c r="P3443" s="173" t="s">
        <v>28</v>
      </c>
      <c r="Q3443" s="1" t="s">
        <v>1341</v>
      </c>
      <c r="R3443" s="175">
        <v>1</v>
      </c>
      <c r="S3443">
        <v>1</v>
      </c>
    </row>
    <row r="3444" spans="1:19" x14ac:dyDescent="0.25">
      <c r="A3444" s="87">
        <v>2019</v>
      </c>
      <c r="B3444" s="87">
        <v>12</v>
      </c>
      <c r="C3444" s="173" t="s">
        <v>16</v>
      </c>
      <c r="D3444" s="173" t="s">
        <v>230</v>
      </c>
      <c r="E3444" s="173" t="s">
        <v>24</v>
      </c>
      <c r="F3444" s="173" t="s">
        <v>16</v>
      </c>
      <c r="G3444" s="87" t="b">
        <v>1</v>
      </c>
      <c r="H3444" s="87" t="b">
        <v>1</v>
      </c>
      <c r="I3444" s="87" t="b">
        <v>0</v>
      </c>
      <c r="J3444" s="173" t="s">
        <v>491</v>
      </c>
      <c r="K3444" s="174">
        <v>81270548000153</v>
      </c>
      <c r="L3444" s="173" t="s">
        <v>1002</v>
      </c>
      <c r="M3444" s="173" t="s">
        <v>112</v>
      </c>
      <c r="N3444" s="173" t="s">
        <v>57</v>
      </c>
      <c r="O3444" s="87">
        <v>62</v>
      </c>
      <c r="P3444" s="173" t="s">
        <v>27</v>
      </c>
      <c r="Q3444" s="1" t="s">
        <v>1343</v>
      </c>
      <c r="R3444" s="175">
        <v>3</v>
      </c>
      <c r="S3444">
        <v>3</v>
      </c>
    </row>
    <row r="3445" spans="1:19" x14ac:dyDescent="0.25">
      <c r="A3445" s="87">
        <v>2019</v>
      </c>
      <c r="B3445" s="87">
        <v>12</v>
      </c>
      <c r="C3445" s="173" t="s">
        <v>16</v>
      </c>
      <c r="D3445" s="173" t="s">
        <v>230</v>
      </c>
      <c r="E3445" s="173" t="s">
        <v>24</v>
      </c>
      <c r="F3445" s="173" t="s">
        <v>16</v>
      </c>
      <c r="G3445" s="87" t="b">
        <v>1</v>
      </c>
      <c r="H3445" s="87" t="b">
        <v>1</v>
      </c>
      <c r="I3445" s="87" t="b">
        <v>0</v>
      </c>
      <c r="J3445" s="173" t="s">
        <v>470</v>
      </c>
      <c r="K3445" s="174">
        <v>81733115000197</v>
      </c>
      <c r="L3445" s="173" t="s">
        <v>1005</v>
      </c>
      <c r="M3445" s="173" t="s">
        <v>1006</v>
      </c>
      <c r="N3445" s="173" t="s">
        <v>57</v>
      </c>
      <c r="O3445" s="87">
        <v>70</v>
      </c>
      <c r="P3445" s="173" t="s">
        <v>20</v>
      </c>
      <c r="Q3445" s="1" t="s">
        <v>1338</v>
      </c>
      <c r="R3445" s="175">
        <v>60</v>
      </c>
      <c r="S3445">
        <v>12</v>
      </c>
    </row>
    <row r="3446" spans="1:19" x14ac:dyDescent="0.25">
      <c r="A3446" s="87">
        <v>2019</v>
      </c>
      <c r="B3446" s="87">
        <v>12</v>
      </c>
      <c r="C3446" s="173" t="s">
        <v>16</v>
      </c>
      <c r="D3446" s="173" t="s">
        <v>230</v>
      </c>
      <c r="E3446" s="173" t="s">
        <v>24</v>
      </c>
      <c r="F3446" s="173" t="s">
        <v>16</v>
      </c>
      <c r="G3446" s="87" t="b">
        <v>1</v>
      </c>
      <c r="H3446" s="87" t="b">
        <v>1</v>
      </c>
      <c r="I3446" s="87" t="b">
        <v>0</v>
      </c>
      <c r="J3446" s="173" t="s">
        <v>492</v>
      </c>
      <c r="K3446" s="174">
        <v>82654088000120</v>
      </c>
      <c r="L3446" s="173" t="s">
        <v>1008</v>
      </c>
      <c r="M3446" s="173" t="s">
        <v>93</v>
      </c>
      <c r="N3446" s="173" t="s">
        <v>68</v>
      </c>
      <c r="O3446" s="87">
        <v>70</v>
      </c>
      <c r="P3446" s="173" t="s">
        <v>20</v>
      </c>
      <c r="Q3446" s="1" t="s">
        <v>1338</v>
      </c>
      <c r="R3446" s="175">
        <v>5</v>
      </c>
      <c r="S3446">
        <v>1</v>
      </c>
    </row>
    <row r="3447" spans="1:19" x14ac:dyDescent="0.25">
      <c r="A3447" s="87">
        <v>2019</v>
      </c>
      <c r="B3447" s="87">
        <v>12</v>
      </c>
      <c r="C3447" s="173" t="s">
        <v>16</v>
      </c>
      <c r="D3447" s="173" t="s">
        <v>230</v>
      </c>
      <c r="E3447" s="173" t="s">
        <v>24</v>
      </c>
      <c r="F3447" s="173" t="s">
        <v>16</v>
      </c>
      <c r="G3447" s="87" t="b">
        <v>1</v>
      </c>
      <c r="H3447" s="87" t="b">
        <v>1</v>
      </c>
      <c r="I3447" s="87" t="b">
        <v>0</v>
      </c>
      <c r="J3447" s="173" t="s">
        <v>470</v>
      </c>
      <c r="K3447" s="174">
        <v>83884999000106</v>
      </c>
      <c r="L3447" s="173" t="s">
        <v>1009</v>
      </c>
      <c r="M3447" s="173" t="s">
        <v>930</v>
      </c>
      <c r="N3447" s="173" t="s">
        <v>68</v>
      </c>
      <c r="O3447" s="87">
        <v>64</v>
      </c>
      <c r="P3447" s="173" t="s">
        <v>25</v>
      </c>
      <c r="Q3447" s="1" t="s">
        <v>1344</v>
      </c>
      <c r="R3447" s="175">
        <v>4</v>
      </c>
      <c r="S3447">
        <v>4</v>
      </c>
    </row>
    <row r="3448" spans="1:19" x14ac:dyDescent="0.25">
      <c r="A3448" s="87">
        <v>2019</v>
      </c>
      <c r="B3448" s="87">
        <v>12</v>
      </c>
      <c r="C3448" s="173" t="s">
        <v>16</v>
      </c>
      <c r="D3448" s="173" t="s">
        <v>230</v>
      </c>
      <c r="E3448" s="173" t="s">
        <v>24</v>
      </c>
      <c r="F3448" s="173" t="s">
        <v>16</v>
      </c>
      <c r="G3448" s="87" t="b">
        <v>1</v>
      </c>
      <c r="H3448" s="87" t="b">
        <v>1</v>
      </c>
      <c r="I3448" s="87" t="b">
        <v>0</v>
      </c>
      <c r="J3448" s="173" t="s">
        <v>460</v>
      </c>
      <c r="K3448" s="174">
        <v>84112481000117</v>
      </c>
      <c r="L3448" s="173" t="s">
        <v>1501</v>
      </c>
      <c r="M3448" s="173" t="s">
        <v>109</v>
      </c>
      <c r="N3448" s="173" t="s">
        <v>110</v>
      </c>
      <c r="O3448" s="87">
        <v>73</v>
      </c>
      <c r="P3448" s="173" t="s">
        <v>26</v>
      </c>
      <c r="Q3448" s="1" t="s">
        <v>1342</v>
      </c>
      <c r="R3448" s="175">
        <v>16</v>
      </c>
      <c r="S3448">
        <v>4</v>
      </c>
    </row>
    <row r="3449" spans="1:19" x14ac:dyDescent="0.25">
      <c r="A3449" s="87">
        <v>2019</v>
      </c>
      <c r="B3449" s="87">
        <v>12</v>
      </c>
      <c r="C3449" s="173" t="s">
        <v>16</v>
      </c>
      <c r="D3449" s="173" t="s">
        <v>230</v>
      </c>
      <c r="E3449" s="173" t="s">
        <v>24</v>
      </c>
      <c r="F3449" s="173" t="s">
        <v>16</v>
      </c>
      <c r="G3449" s="87" t="b">
        <v>1</v>
      </c>
      <c r="H3449" s="87" t="b">
        <v>1</v>
      </c>
      <c r="I3449" s="87" t="b">
        <v>0</v>
      </c>
      <c r="J3449" s="173" t="s">
        <v>460</v>
      </c>
      <c r="K3449" s="174">
        <v>84112481000117</v>
      </c>
      <c r="L3449" s="173" t="s">
        <v>1501</v>
      </c>
      <c r="M3449" s="173" t="s">
        <v>109</v>
      </c>
      <c r="N3449" s="173" t="s">
        <v>110</v>
      </c>
      <c r="O3449" s="87">
        <v>73</v>
      </c>
      <c r="P3449" s="173" t="s">
        <v>26</v>
      </c>
      <c r="Q3449" s="1" t="s">
        <v>1340</v>
      </c>
      <c r="R3449" s="175">
        <v>2</v>
      </c>
      <c r="S3449">
        <v>2</v>
      </c>
    </row>
    <row r="3450" spans="1:19" x14ac:dyDescent="0.25">
      <c r="A3450" s="87">
        <v>2019</v>
      </c>
      <c r="B3450" s="87">
        <v>12</v>
      </c>
      <c r="C3450" s="173" t="s">
        <v>16</v>
      </c>
      <c r="D3450" s="173" t="s">
        <v>230</v>
      </c>
      <c r="E3450" s="173" t="s">
        <v>24</v>
      </c>
      <c r="F3450" s="173" t="s">
        <v>16</v>
      </c>
      <c r="G3450" s="87" t="b">
        <v>1</v>
      </c>
      <c r="H3450" s="87" t="b">
        <v>1</v>
      </c>
      <c r="I3450" s="87" t="b">
        <v>0</v>
      </c>
      <c r="J3450" s="173" t="s">
        <v>470</v>
      </c>
      <c r="K3450" s="174">
        <v>85241339000809</v>
      </c>
      <c r="L3450" s="173" t="s">
        <v>1011</v>
      </c>
      <c r="M3450" s="173" t="s">
        <v>998</v>
      </c>
      <c r="N3450" s="173" t="s">
        <v>68</v>
      </c>
      <c r="O3450" s="87">
        <v>70</v>
      </c>
      <c r="P3450" s="173" t="s">
        <v>20</v>
      </c>
      <c r="Q3450" s="1" t="s">
        <v>1338</v>
      </c>
      <c r="R3450" s="175">
        <v>130</v>
      </c>
      <c r="S3450">
        <v>26</v>
      </c>
    </row>
    <row r="3451" spans="1:19" x14ac:dyDescent="0.25">
      <c r="A3451" s="87">
        <v>2019</v>
      </c>
      <c r="B3451" s="87">
        <v>12</v>
      </c>
      <c r="C3451" s="173" t="s">
        <v>16</v>
      </c>
      <c r="D3451" s="173" t="s">
        <v>230</v>
      </c>
      <c r="E3451" s="173" t="s">
        <v>24</v>
      </c>
      <c r="F3451" s="173" t="s">
        <v>16</v>
      </c>
      <c r="G3451" s="87" t="b">
        <v>1</v>
      </c>
      <c r="H3451" s="87" t="b">
        <v>1</v>
      </c>
      <c r="I3451" s="87" t="b">
        <v>0</v>
      </c>
      <c r="J3451" s="173" t="s">
        <v>449</v>
      </c>
      <c r="K3451" s="174">
        <v>85377174000392</v>
      </c>
      <c r="L3451" s="173" t="s">
        <v>1012</v>
      </c>
      <c r="M3451" s="173" t="s">
        <v>938</v>
      </c>
      <c r="N3451" s="173" t="s">
        <v>68</v>
      </c>
      <c r="O3451" s="87">
        <v>73</v>
      </c>
      <c r="P3451" s="173" t="s">
        <v>26</v>
      </c>
      <c r="Q3451" s="1" t="s">
        <v>1340</v>
      </c>
      <c r="R3451" s="175">
        <v>30</v>
      </c>
      <c r="S3451">
        <v>30</v>
      </c>
    </row>
    <row r="3452" spans="1:19" x14ac:dyDescent="0.25">
      <c r="A3452" s="87">
        <v>2019</v>
      </c>
      <c r="B3452" s="87">
        <v>12</v>
      </c>
      <c r="C3452" s="173" t="s">
        <v>16</v>
      </c>
      <c r="D3452" s="173" t="s">
        <v>230</v>
      </c>
      <c r="E3452" s="173" t="s">
        <v>24</v>
      </c>
      <c r="F3452" s="173" t="s">
        <v>16</v>
      </c>
      <c r="G3452" s="87" t="b">
        <v>1</v>
      </c>
      <c r="H3452" s="87" t="b">
        <v>1</v>
      </c>
      <c r="I3452" s="87" t="b">
        <v>0</v>
      </c>
      <c r="J3452" s="173" t="s">
        <v>450</v>
      </c>
      <c r="K3452" s="174">
        <v>85377174000392</v>
      </c>
      <c r="L3452" s="173" t="s">
        <v>1012</v>
      </c>
      <c r="M3452" s="173" t="s">
        <v>938</v>
      </c>
      <c r="N3452" s="173" t="s">
        <v>68</v>
      </c>
      <c r="O3452" s="87">
        <v>73</v>
      </c>
      <c r="P3452" s="173" t="s">
        <v>26</v>
      </c>
      <c r="Q3452" s="1" t="s">
        <v>1340</v>
      </c>
      <c r="R3452" s="175">
        <v>4</v>
      </c>
      <c r="S3452">
        <v>4</v>
      </c>
    </row>
    <row r="3453" spans="1:19" x14ac:dyDescent="0.25">
      <c r="A3453" s="87">
        <v>2019</v>
      </c>
      <c r="B3453" s="87">
        <v>12</v>
      </c>
      <c r="C3453" s="173" t="s">
        <v>16</v>
      </c>
      <c r="D3453" s="173" t="s">
        <v>230</v>
      </c>
      <c r="E3453" s="173" t="s">
        <v>24</v>
      </c>
      <c r="F3453" s="173" t="s">
        <v>16</v>
      </c>
      <c r="G3453" s="87" t="b">
        <v>1</v>
      </c>
      <c r="H3453" s="87" t="b">
        <v>1</v>
      </c>
      <c r="I3453" s="87" t="b">
        <v>0</v>
      </c>
      <c r="J3453" s="173" t="s">
        <v>449</v>
      </c>
      <c r="K3453" s="174">
        <v>87020517000120</v>
      </c>
      <c r="L3453" s="173" t="s">
        <v>1013</v>
      </c>
      <c r="M3453" s="173" t="s">
        <v>83</v>
      </c>
      <c r="N3453" s="173" t="s">
        <v>67</v>
      </c>
      <c r="O3453" s="87">
        <v>62</v>
      </c>
      <c r="P3453" s="173" t="s">
        <v>27</v>
      </c>
      <c r="Q3453" s="1" t="s">
        <v>1343</v>
      </c>
      <c r="R3453" s="175">
        <v>30</v>
      </c>
      <c r="S3453">
        <v>30</v>
      </c>
    </row>
    <row r="3454" spans="1:19" x14ac:dyDescent="0.25">
      <c r="A3454" s="87">
        <v>2019</v>
      </c>
      <c r="B3454" s="87">
        <v>12</v>
      </c>
      <c r="C3454" s="173" t="s">
        <v>16</v>
      </c>
      <c r="D3454" s="173" t="s">
        <v>230</v>
      </c>
      <c r="E3454" s="173" t="s">
        <v>24</v>
      </c>
      <c r="F3454" s="173" t="s">
        <v>16</v>
      </c>
      <c r="G3454" s="87" t="b">
        <v>1</v>
      </c>
      <c r="H3454" s="87" t="b">
        <v>1</v>
      </c>
      <c r="I3454" s="87" t="b">
        <v>0</v>
      </c>
      <c r="J3454" s="173" t="s">
        <v>449</v>
      </c>
      <c r="K3454" s="174">
        <v>87096616003101</v>
      </c>
      <c r="L3454" s="173" t="s">
        <v>1014</v>
      </c>
      <c r="M3454" s="173" t="s">
        <v>83</v>
      </c>
      <c r="N3454" s="173" t="s">
        <v>67</v>
      </c>
      <c r="O3454" s="87">
        <v>70</v>
      </c>
      <c r="P3454" s="173" t="s">
        <v>20</v>
      </c>
      <c r="Q3454" s="1" t="s">
        <v>1338</v>
      </c>
      <c r="R3454" s="175">
        <v>40</v>
      </c>
      <c r="S3454">
        <v>8</v>
      </c>
    </row>
    <row r="3455" spans="1:19" x14ac:dyDescent="0.25">
      <c r="A3455" s="87">
        <v>2019</v>
      </c>
      <c r="B3455" s="87">
        <v>12</v>
      </c>
      <c r="C3455" s="173" t="s">
        <v>16</v>
      </c>
      <c r="D3455" s="173" t="s">
        <v>230</v>
      </c>
      <c r="E3455" s="173" t="s">
        <v>24</v>
      </c>
      <c r="F3455" s="173" t="s">
        <v>16</v>
      </c>
      <c r="G3455" s="87" t="b">
        <v>1</v>
      </c>
      <c r="H3455" s="87" t="b">
        <v>1</v>
      </c>
      <c r="I3455" s="87" t="b">
        <v>0</v>
      </c>
      <c r="J3455" s="173" t="s">
        <v>470</v>
      </c>
      <c r="K3455" s="174">
        <v>87096616003101</v>
      </c>
      <c r="L3455" s="173" t="s">
        <v>1014</v>
      </c>
      <c r="M3455" s="173" t="s">
        <v>83</v>
      </c>
      <c r="N3455" s="173" t="s">
        <v>67</v>
      </c>
      <c r="O3455" s="87">
        <v>70</v>
      </c>
      <c r="P3455" s="173" t="s">
        <v>20</v>
      </c>
      <c r="Q3455" s="1" t="s">
        <v>1338</v>
      </c>
      <c r="R3455" s="175">
        <v>70</v>
      </c>
      <c r="S3455">
        <v>14</v>
      </c>
    </row>
    <row r="3456" spans="1:19" x14ac:dyDescent="0.25">
      <c r="A3456" s="87">
        <v>2019</v>
      </c>
      <c r="B3456" s="87">
        <v>12</v>
      </c>
      <c r="C3456" s="173" t="s">
        <v>16</v>
      </c>
      <c r="D3456" s="173" t="s">
        <v>230</v>
      </c>
      <c r="E3456" s="173" t="s">
        <v>24</v>
      </c>
      <c r="F3456" s="173" t="s">
        <v>16</v>
      </c>
      <c r="G3456" s="87" t="b">
        <v>1</v>
      </c>
      <c r="H3456" s="87" t="b">
        <v>1</v>
      </c>
      <c r="I3456" s="87" t="b">
        <v>0</v>
      </c>
      <c r="J3456" s="173" t="s">
        <v>470</v>
      </c>
      <c r="K3456" s="174">
        <v>87096616003101</v>
      </c>
      <c r="L3456" s="173" t="s">
        <v>1014</v>
      </c>
      <c r="M3456" s="173" t="s">
        <v>83</v>
      </c>
      <c r="N3456" s="173" t="s">
        <v>67</v>
      </c>
      <c r="O3456" s="87">
        <v>73</v>
      </c>
      <c r="P3456" s="173" t="s">
        <v>26</v>
      </c>
      <c r="Q3456" s="1" t="s">
        <v>1339</v>
      </c>
      <c r="R3456" s="175">
        <v>32</v>
      </c>
      <c r="S3456">
        <v>16</v>
      </c>
    </row>
    <row r="3457" spans="1:19" x14ac:dyDescent="0.25">
      <c r="A3457" s="87">
        <v>2019</v>
      </c>
      <c r="B3457" s="87">
        <v>12</v>
      </c>
      <c r="C3457" s="173" t="s">
        <v>16</v>
      </c>
      <c r="D3457" s="173" t="s">
        <v>230</v>
      </c>
      <c r="E3457" s="173" t="s">
        <v>24</v>
      </c>
      <c r="F3457" s="173" t="s">
        <v>16</v>
      </c>
      <c r="G3457" s="87" t="b">
        <v>1</v>
      </c>
      <c r="H3457" s="87" t="b">
        <v>1</v>
      </c>
      <c r="I3457" s="87" t="b">
        <v>0</v>
      </c>
      <c r="J3457" s="173" t="s">
        <v>491</v>
      </c>
      <c r="K3457" s="174">
        <v>87096616003101</v>
      </c>
      <c r="L3457" s="173" t="s">
        <v>1014</v>
      </c>
      <c r="M3457" s="173" t="s">
        <v>83</v>
      </c>
      <c r="N3457" s="173" t="s">
        <v>67</v>
      </c>
      <c r="O3457" s="87">
        <v>73</v>
      </c>
      <c r="P3457" s="173" t="s">
        <v>26</v>
      </c>
      <c r="Q3457" s="1" t="s">
        <v>1339</v>
      </c>
      <c r="R3457" s="175">
        <v>48</v>
      </c>
      <c r="S3457">
        <v>24</v>
      </c>
    </row>
    <row r="3458" spans="1:19" x14ac:dyDescent="0.25">
      <c r="A3458" s="87">
        <v>2019</v>
      </c>
      <c r="B3458" s="87">
        <v>12</v>
      </c>
      <c r="C3458" s="173" t="s">
        <v>16</v>
      </c>
      <c r="D3458" s="173" t="s">
        <v>230</v>
      </c>
      <c r="E3458" s="173" t="s">
        <v>24</v>
      </c>
      <c r="F3458" s="173" t="s">
        <v>16</v>
      </c>
      <c r="G3458" s="87" t="b">
        <v>1</v>
      </c>
      <c r="H3458" s="87" t="b">
        <v>1</v>
      </c>
      <c r="I3458" s="87" t="b">
        <v>0</v>
      </c>
      <c r="J3458" s="173" t="s">
        <v>449</v>
      </c>
      <c r="K3458" s="174">
        <v>87317764001084</v>
      </c>
      <c r="L3458" s="173" t="s">
        <v>1015</v>
      </c>
      <c r="M3458" s="173" t="s">
        <v>83</v>
      </c>
      <c r="N3458" s="173" t="s">
        <v>67</v>
      </c>
      <c r="O3458" s="87">
        <v>70</v>
      </c>
      <c r="P3458" s="173" t="s">
        <v>20</v>
      </c>
      <c r="Q3458" s="1" t="s">
        <v>1345</v>
      </c>
      <c r="R3458" s="175">
        <v>330</v>
      </c>
      <c r="S3458">
        <v>33</v>
      </c>
    </row>
    <row r="3459" spans="1:19" x14ac:dyDescent="0.25">
      <c r="A3459" s="87">
        <v>2019</v>
      </c>
      <c r="B3459" s="87">
        <v>12</v>
      </c>
      <c r="C3459" s="173" t="s">
        <v>16</v>
      </c>
      <c r="D3459" s="173" t="s">
        <v>230</v>
      </c>
      <c r="E3459" s="173" t="s">
        <v>24</v>
      </c>
      <c r="F3459" s="173" t="s">
        <v>16</v>
      </c>
      <c r="G3459" s="87" t="b">
        <v>1</v>
      </c>
      <c r="H3459" s="87" t="b">
        <v>1</v>
      </c>
      <c r="I3459" s="87" t="b">
        <v>0</v>
      </c>
      <c r="J3459" s="173" t="s">
        <v>451</v>
      </c>
      <c r="K3459" s="174">
        <v>87607149000626</v>
      </c>
      <c r="L3459" s="173" t="s">
        <v>1019</v>
      </c>
      <c r="M3459" s="173" t="s">
        <v>96</v>
      </c>
      <c r="N3459" s="173" t="s">
        <v>67</v>
      </c>
      <c r="O3459" s="87">
        <v>70</v>
      </c>
      <c r="P3459" s="173" t="s">
        <v>20</v>
      </c>
      <c r="Q3459" s="1" t="s">
        <v>1338</v>
      </c>
      <c r="R3459" s="175">
        <v>20</v>
      </c>
      <c r="S3459">
        <v>4</v>
      </c>
    </row>
    <row r="3460" spans="1:19" x14ac:dyDescent="0.25">
      <c r="A3460" s="87">
        <v>2019</v>
      </c>
      <c r="B3460" s="87">
        <v>12</v>
      </c>
      <c r="C3460" s="173" t="s">
        <v>16</v>
      </c>
      <c r="D3460" s="173" t="s">
        <v>230</v>
      </c>
      <c r="E3460" s="173" t="s">
        <v>24</v>
      </c>
      <c r="F3460" s="173" t="s">
        <v>16</v>
      </c>
      <c r="G3460" s="87" t="b">
        <v>1</v>
      </c>
      <c r="H3460" s="87" t="b">
        <v>1</v>
      </c>
      <c r="I3460" s="87" t="b">
        <v>0</v>
      </c>
      <c r="J3460" s="173" t="s">
        <v>451</v>
      </c>
      <c r="K3460" s="174">
        <v>87638334000505</v>
      </c>
      <c r="L3460" s="173" t="s">
        <v>1020</v>
      </c>
      <c r="M3460" s="173" t="s">
        <v>129</v>
      </c>
      <c r="N3460" s="173" t="s">
        <v>67</v>
      </c>
      <c r="O3460" s="87">
        <v>70</v>
      </c>
      <c r="P3460" s="173" t="s">
        <v>20</v>
      </c>
      <c r="Q3460" s="1" t="s">
        <v>1338</v>
      </c>
      <c r="R3460" s="175">
        <v>5</v>
      </c>
      <c r="S3460">
        <v>1</v>
      </c>
    </row>
    <row r="3461" spans="1:19" x14ac:dyDescent="0.25">
      <c r="A3461" s="87">
        <v>2019</v>
      </c>
      <c r="B3461" s="87">
        <v>12</v>
      </c>
      <c r="C3461" s="173" t="s">
        <v>16</v>
      </c>
      <c r="D3461" s="173" t="s">
        <v>230</v>
      </c>
      <c r="E3461" s="173" t="s">
        <v>24</v>
      </c>
      <c r="F3461" s="173" t="s">
        <v>16</v>
      </c>
      <c r="G3461" s="87" t="b">
        <v>1</v>
      </c>
      <c r="H3461" s="87" t="b">
        <v>1</v>
      </c>
      <c r="I3461" s="87" t="b">
        <v>0</v>
      </c>
      <c r="J3461" s="173" t="s">
        <v>451</v>
      </c>
      <c r="K3461" s="174">
        <v>87827689002405</v>
      </c>
      <c r="L3461" s="173" t="s">
        <v>1021</v>
      </c>
      <c r="M3461" s="173" t="s">
        <v>66</v>
      </c>
      <c r="N3461" s="173" t="s">
        <v>67</v>
      </c>
      <c r="O3461" s="87">
        <v>70</v>
      </c>
      <c r="P3461" s="173" t="s">
        <v>20</v>
      </c>
      <c r="Q3461" s="1" t="s">
        <v>1345</v>
      </c>
      <c r="R3461" s="175">
        <v>90</v>
      </c>
      <c r="S3461">
        <v>9</v>
      </c>
    </row>
    <row r="3462" spans="1:19" x14ac:dyDescent="0.25">
      <c r="A3462" s="87">
        <v>2019</v>
      </c>
      <c r="B3462" s="87">
        <v>12</v>
      </c>
      <c r="C3462" s="173" t="s">
        <v>16</v>
      </c>
      <c r="D3462" s="173" t="s">
        <v>230</v>
      </c>
      <c r="E3462" s="173" t="s">
        <v>24</v>
      </c>
      <c r="F3462" s="173" t="s">
        <v>16</v>
      </c>
      <c r="G3462" s="87" t="b">
        <v>1</v>
      </c>
      <c r="H3462" s="87" t="b">
        <v>1</v>
      </c>
      <c r="I3462" s="87" t="b">
        <v>0</v>
      </c>
      <c r="J3462" s="173" t="s">
        <v>449</v>
      </c>
      <c r="K3462" s="174">
        <v>87827689002405</v>
      </c>
      <c r="L3462" s="173" t="s">
        <v>1021</v>
      </c>
      <c r="M3462" s="173" t="s">
        <v>66</v>
      </c>
      <c r="N3462" s="173" t="s">
        <v>67</v>
      </c>
      <c r="O3462" s="87">
        <v>73</v>
      </c>
      <c r="P3462" s="173" t="s">
        <v>26</v>
      </c>
      <c r="Q3462" s="1" t="s">
        <v>1339</v>
      </c>
      <c r="R3462" s="175">
        <v>12</v>
      </c>
      <c r="S3462">
        <v>6</v>
      </c>
    </row>
    <row r="3463" spans="1:19" x14ac:dyDescent="0.25">
      <c r="A3463" s="87">
        <v>2019</v>
      </c>
      <c r="B3463" s="87">
        <v>12</v>
      </c>
      <c r="C3463" s="173" t="s">
        <v>16</v>
      </c>
      <c r="D3463" s="173" t="s">
        <v>230</v>
      </c>
      <c r="E3463" s="173" t="s">
        <v>24</v>
      </c>
      <c r="F3463" s="173" t="s">
        <v>16</v>
      </c>
      <c r="G3463" s="87" t="b">
        <v>1</v>
      </c>
      <c r="H3463" s="87" t="b">
        <v>1</v>
      </c>
      <c r="I3463" s="87" t="b">
        <v>0</v>
      </c>
      <c r="J3463" s="173" t="s">
        <v>449</v>
      </c>
      <c r="K3463" s="174">
        <v>87827689002405</v>
      </c>
      <c r="L3463" s="173" t="s">
        <v>1021</v>
      </c>
      <c r="M3463" s="173" t="s">
        <v>66</v>
      </c>
      <c r="N3463" s="173" t="s">
        <v>67</v>
      </c>
      <c r="O3463" s="87">
        <v>73</v>
      </c>
      <c r="P3463" s="173" t="s">
        <v>26</v>
      </c>
      <c r="Q3463" s="1" t="s">
        <v>1342</v>
      </c>
      <c r="R3463" s="175">
        <v>256</v>
      </c>
      <c r="S3463">
        <v>64</v>
      </c>
    </row>
    <row r="3464" spans="1:19" x14ac:dyDescent="0.25">
      <c r="A3464" s="87">
        <v>2019</v>
      </c>
      <c r="B3464" s="87">
        <v>12</v>
      </c>
      <c r="C3464" s="173" t="s">
        <v>16</v>
      </c>
      <c r="D3464" s="173" t="s">
        <v>230</v>
      </c>
      <c r="E3464" s="173" t="s">
        <v>24</v>
      </c>
      <c r="F3464" s="173" t="s">
        <v>16</v>
      </c>
      <c r="G3464" s="87" t="b">
        <v>1</v>
      </c>
      <c r="H3464" s="87" t="b">
        <v>1</v>
      </c>
      <c r="I3464" s="87" t="b">
        <v>0</v>
      </c>
      <c r="J3464" s="173" t="s">
        <v>470</v>
      </c>
      <c r="K3464" s="174">
        <v>87827689002405</v>
      </c>
      <c r="L3464" s="173" t="s">
        <v>1021</v>
      </c>
      <c r="M3464" s="173" t="s">
        <v>66</v>
      </c>
      <c r="N3464" s="173" t="s">
        <v>67</v>
      </c>
      <c r="O3464" s="87">
        <v>73</v>
      </c>
      <c r="P3464" s="173" t="s">
        <v>26</v>
      </c>
      <c r="Q3464" s="1" t="s">
        <v>1339</v>
      </c>
      <c r="R3464" s="175">
        <v>4</v>
      </c>
      <c r="S3464">
        <v>2</v>
      </c>
    </row>
    <row r="3465" spans="1:19" x14ac:dyDescent="0.25">
      <c r="A3465" s="87">
        <v>2019</v>
      </c>
      <c r="B3465" s="87">
        <v>12</v>
      </c>
      <c r="C3465" s="173" t="s">
        <v>16</v>
      </c>
      <c r="D3465" s="173" t="s">
        <v>230</v>
      </c>
      <c r="E3465" s="173" t="s">
        <v>24</v>
      </c>
      <c r="F3465" s="173" t="s">
        <v>16</v>
      </c>
      <c r="G3465" s="87" t="b">
        <v>1</v>
      </c>
      <c r="H3465" s="87" t="b">
        <v>1</v>
      </c>
      <c r="I3465" s="87" t="b">
        <v>0</v>
      </c>
      <c r="J3465" s="173" t="s">
        <v>470</v>
      </c>
      <c r="K3465" s="174">
        <v>87827689002405</v>
      </c>
      <c r="L3465" s="173" t="s">
        <v>1021</v>
      </c>
      <c r="M3465" s="173" t="s">
        <v>66</v>
      </c>
      <c r="N3465" s="173" t="s">
        <v>67</v>
      </c>
      <c r="O3465" s="87">
        <v>73</v>
      </c>
      <c r="P3465" s="173" t="s">
        <v>26</v>
      </c>
      <c r="Q3465" s="1" t="s">
        <v>1340</v>
      </c>
      <c r="R3465" s="175">
        <v>2</v>
      </c>
      <c r="S3465">
        <v>2</v>
      </c>
    </row>
    <row r="3466" spans="1:19" x14ac:dyDescent="0.25">
      <c r="A3466" s="87">
        <v>2019</v>
      </c>
      <c r="B3466" s="87">
        <v>12</v>
      </c>
      <c r="C3466" s="173" t="s">
        <v>16</v>
      </c>
      <c r="D3466" s="173" t="s">
        <v>230</v>
      </c>
      <c r="E3466" s="173" t="s">
        <v>24</v>
      </c>
      <c r="F3466" s="173" t="s">
        <v>16</v>
      </c>
      <c r="G3466" s="87" t="b">
        <v>1</v>
      </c>
      <c r="H3466" s="87" t="b">
        <v>1</v>
      </c>
      <c r="I3466" s="87" t="b">
        <v>0</v>
      </c>
      <c r="J3466" s="173" t="s">
        <v>464</v>
      </c>
      <c r="K3466" s="174">
        <v>88625686002443</v>
      </c>
      <c r="L3466" s="173" t="s">
        <v>1023</v>
      </c>
      <c r="M3466" s="173" t="s">
        <v>83</v>
      </c>
      <c r="N3466" s="173" t="s">
        <v>67</v>
      </c>
      <c r="O3466" s="87">
        <v>62</v>
      </c>
      <c r="P3466" s="173" t="s">
        <v>27</v>
      </c>
      <c r="Q3466" s="1" t="s">
        <v>1343</v>
      </c>
      <c r="R3466" s="175">
        <v>9</v>
      </c>
      <c r="S3466">
        <v>9</v>
      </c>
    </row>
    <row r="3467" spans="1:19" x14ac:dyDescent="0.25">
      <c r="A3467" s="87">
        <v>2019</v>
      </c>
      <c r="B3467" s="87">
        <v>12</v>
      </c>
      <c r="C3467" s="173" t="s">
        <v>16</v>
      </c>
      <c r="D3467" s="173" t="s">
        <v>230</v>
      </c>
      <c r="E3467" s="173" t="s">
        <v>24</v>
      </c>
      <c r="F3467" s="173" t="s">
        <v>16</v>
      </c>
      <c r="G3467" s="87" t="b">
        <v>1</v>
      </c>
      <c r="H3467" s="87" t="b">
        <v>1</v>
      </c>
      <c r="I3467" s="87" t="b">
        <v>0</v>
      </c>
      <c r="J3467" s="173" t="s">
        <v>451</v>
      </c>
      <c r="K3467" s="174">
        <v>88625686002443</v>
      </c>
      <c r="L3467" s="173" t="s">
        <v>1023</v>
      </c>
      <c r="M3467" s="173" t="s">
        <v>83</v>
      </c>
      <c r="N3467" s="173" t="s">
        <v>67</v>
      </c>
      <c r="O3467" s="87">
        <v>64</v>
      </c>
      <c r="P3467" s="173" t="s">
        <v>25</v>
      </c>
      <c r="Q3467" s="1" t="s">
        <v>1344</v>
      </c>
      <c r="R3467" s="175">
        <v>5</v>
      </c>
      <c r="S3467">
        <v>5</v>
      </c>
    </row>
    <row r="3468" spans="1:19" x14ac:dyDescent="0.25">
      <c r="A3468" s="87">
        <v>2019</v>
      </c>
      <c r="B3468" s="87">
        <v>12</v>
      </c>
      <c r="C3468" s="173" t="s">
        <v>16</v>
      </c>
      <c r="D3468" s="173" t="s">
        <v>230</v>
      </c>
      <c r="E3468" s="173" t="s">
        <v>24</v>
      </c>
      <c r="F3468" s="173" t="s">
        <v>16</v>
      </c>
      <c r="G3468" s="87" t="b">
        <v>1</v>
      </c>
      <c r="H3468" s="87" t="b">
        <v>1</v>
      </c>
      <c r="I3468" s="87" t="b">
        <v>0</v>
      </c>
      <c r="J3468" s="173" t="s">
        <v>449</v>
      </c>
      <c r="K3468" s="174">
        <v>88630413000796</v>
      </c>
      <c r="L3468" s="173" t="s">
        <v>1024</v>
      </c>
      <c r="M3468" s="173" t="s">
        <v>83</v>
      </c>
      <c r="N3468" s="173" t="s">
        <v>67</v>
      </c>
      <c r="O3468" s="87">
        <v>62</v>
      </c>
      <c r="P3468" s="173" t="s">
        <v>27</v>
      </c>
      <c r="Q3468" s="1" t="s">
        <v>1343</v>
      </c>
      <c r="R3468" s="175">
        <v>15</v>
      </c>
      <c r="S3468">
        <v>15</v>
      </c>
    </row>
    <row r="3469" spans="1:19" x14ac:dyDescent="0.25">
      <c r="A3469" s="87">
        <v>2019</v>
      </c>
      <c r="B3469" s="87">
        <v>12</v>
      </c>
      <c r="C3469" s="173" t="s">
        <v>16</v>
      </c>
      <c r="D3469" s="173" t="s">
        <v>230</v>
      </c>
      <c r="E3469" s="173" t="s">
        <v>24</v>
      </c>
      <c r="F3469" s="173" t="s">
        <v>16</v>
      </c>
      <c r="G3469" s="87" t="b">
        <v>1</v>
      </c>
      <c r="H3469" s="87" t="b">
        <v>1</v>
      </c>
      <c r="I3469" s="87" t="b">
        <v>0</v>
      </c>
      <c r="J3469" s="173" t="s">
        <v>449</v>
      </c>
      <c r="K3469" s="174">
        <v>88630413000796</v>
      </c>
      <c r="L3469" s="173" t="s">
        <v>1024</v>
      </c>
      <c r="M3469" s="173" t="s">
        <v>83</v>
      </c>
      <c r="N3469" s="173" t="s">
        <v>67</v>
      </c>
      <c r="O3469" s="87">
        <v>64</v>
      </c>
      <c r="P3469" s="173" t="s">
        <v>25</v>
      </c>
      <c r="Q3469" s="1" t="s">
        <v>1344</v>
      </c>
      <c r="R3469" s="175">
        <v>8</v>
      </c>
      <c r="S3469">
        <v>8</v>
      </c>
    </row>
    <row r="3470" spans="1:19" x14ac:dyDescent="0.25">
      <c r="A3470" s="87">
        <v>2019</v>
      </c>
      <c r="B3470" s="87">
        <v>12</v>
      </c>
      <c r="C3470" s="173" t="s">
        <v>16</v>
      </c>
      <c r="D3470" s="173" t="s">
        <v>230</v>
      </c>
      <c r="E3470" s="173" t="s">
        <v>24</v>
      </c>
      <c r="F3470" s="173" t="s">
        <v>16</v>
      </c>
      <c r="G3470" s="87" t="b">
        <v>1</v>
      </c>
      <c r="H3470" s="87" t="b">
        <v>1</v>
      </c>
      <c r="I3470" s="87" t="b">
        <v>0</v>
      </c>
      <c r="J3470" s="173" t="s">
        <v>449</v>
      </c>
      <c r="K3470" s="174">
        <v>88645403001372</v>
      </c>
      <c r="L3470" s="173" t="s">
        <v>1025</v>
      </c>
      <c r="M3470" s="173" t="s">
        <v>66</v>
      </c>
      <c r="N3470" s="173" t="s">
        <v>67</v>
      </c>
      <c r="O3470" s="87">
        <v>73</v>
      </c>
      <c r="P3470" s="173" t="s">
        <v>26</v>
      </c>
      <c r="Q3470" s="1" t="s">
        <v>1342</v>
      </c>
      <c r="R3470" s="175">
        <v>64</v>
      </c>
      <c r="S3470">
        <v>16</v>
      </c>
    </row>
    <row r="3471" spans="1:19" x14ac:dyDescent="0.25">
      <c r="A3471" s="87">
        <v>2019</v>
      </c>
      <c r="B3471" s="87">
        <v>12</v>
      </c>
      <c r="C3471" s="173" t="s">
        <v>16</v>
      </c>
      <c r="D3471" s="173" t="s">
        <v>230</v>
      </c>
      <c r="E3471" s="173" t="s">
        <v>24</v>
      </c>
      <c r="F3471" s="173" t="s">
        <v>16</v>
      </c>
      <c r="G3471" s="87" t="b">
        <v>1</v>
      </c>
      <c r="H3471" s="87" t="b">
        <v>1</v>
      </c>
      <c r="I3471" s="87" t="b">
        <v>0</v>
      </c>
      <c r="J3471" s="173" t="s">
        <v>449</v>
      </c>
      <c r="K3471" s="174">
        <v>92404789000164</v>
      </c>
      <c r="L3471" s="173" t="s">
        <v>1028</v>
      </c>
      <c r="M3471" s="173" t="s">
        <v>106</v>
      </c>
      <c r="N3471" s="173" t="s">
        <v>67</v>
      </c>
      <c r="O3471" s="87">
        <v>73</v>
      </c>
      <c r="P3471" s="173" t="s">
        <v>26</v>
      </c>
      <c r="Q3471" s="1" t="s">
        <v>1342</v>
      </c>
      <c r="R3471" s="175">
        <v>24</v>
      </c>
      <c r="S3471">
        <v>6</v>
      </c>
    </row>
    <row r="3472" spans="1:19" x14ac:dyDescent="0.25">
      <c r="A3472" s="87">
        <v>2019</v>
      </c>
      <c r="B3472" s="87">
        <v>12</v>
      </c>
      <c r="C3472" s="173" t="s">
        <v>16</v>
      </c>
      <c r="D3472" s="173" t="s">
        <v>230</v>
      </c>
      <c r="E3472" s="173" t="s">
        <v>24</v>
      </c>
      <c r="F3472" s="173" t="s">
        <v>16</v>
      </c>
      <c r="G3472" s="87" t="b">
        <v>1</v>
      </c>
      <c r="H3472" s="87" t="b">
        <v>1</v>
      </c>
      <c r="I3472" s="87" t="b">
        <v>0</v>
      </c>
      <c r="J3472" s="173" t="s">
        <v>449</v>
      </c>
      <c r="K3472" s="174">
        <v>92685833000151</v>
      </c>
      <c r="L3472" s="173" t="s">
        <v>1029</v>
      </c>
      <c r="M3472" s="173" t="s">
        <v>83</v>
      </c>
      <c r="N3472" s="173" t="s">
        <v>67</v>
      </c>
      <c r="O3472" s="87">
        <v>62</v>
      </c>
      <c r="P3472" s="173" t="s">
        <v>27</v>
      </c>
      <c r="Q3472" s="1" t="s">
        <v>1343</v>
      </c>
      <c r="R3472" s="175">
        <v>80</v>
      </c>
      <c r="S3472">
        <v>80</v>
      </c>
    </row>
    <row r="3473" spans="1:19" x14ac:dyDescent="0.25">
      <c r="A3473" s="87">
        <v>2019</v>
      </c>
      <c r="B3473" s="87">
        <v>12</v>
      </c>
      <c r="C3473" s="173" t="s">
        <v>16</v>
      </c>
      <c r="D3473" s="173" t="s">
        <v>230</v>
      </c>
      <c r="E3473" s="173" t="s">
        <v>24</v>
      </c>
      <c r="F3473" s="173" t="s">
        <v>16</v>
      </c>
      <c r="G3473" s="87" t="b">
        <v>1</v>
      </c>
      <c r="H3473" s="87" t="b">
        <v>1</v>
      </c>
      <c r="I3473" s="87" t="b">
        <v>0</v>
      </c>
      <c r="J3473" s="173" t="s">
        <v>450</v>
      </c>
      <c r="K3473" s="174">
        <v>92685833000151</v>
      </c>
      <c r="L3473" s="173" t="s">
        <v>1029</v>
      </c>
      <c r="M3473" s="173" t="s">
        <v>83</v>
      </c>
      <c r="N3473" s="173" t="s">
        <v>67</v>
      </c>
      <c r="O3473" s="87">
        <v>62</v>
      </c>
      <c r="P3473" s="173" t="s">
        <v>27</v>
      </c>
      <c r="Q3473" s="1" t="s">
        <v>1343</v>
      </c>
      <c r="R3473" s="175">
        <v>16</v>
      </c>
      <c r="S3473">
        <v>16</v>
      </c>
    </row>
    <row r="3474" spans="1:19" x14ac:dyDescent="0.25">
      <c r="A3474" s="87">
        <v>2019</v>
      </c>
      <c r="B3474" s="87">
        <v>12</v>
      </c>
      <c r="C3474" s="173" t="s">
        <v>16</v>
      </c>
      <c r="D3474" s="173" t="s">
        <v>230</v>
      </c>
      <c r="E3474" s="173" t="s">
        <v>24</v>
      </c>
      <c r="F3474" s="173" t="s">
        <v>16</v>
      </c>
      <c r="G3474" s="87" t="b">
        <v>1</v>
      </c>
      <c r="H3474" s="87" t="b">
        <v>1</v>
      </c>
      <c r="I3474" s="87" t="b">
        <v>0</v>
      </c>
      <c r="J3474" s="173" t="s">
        <v>449</v>
      </c>
      <c r="K3474" s="174">
        <v>92685833000151</v>
      </c>
      <c r="L3474" s="173" t="s">
        <v>1029</v>
      </c>
      <c r="M3474" s="173" t="s">
        <v>83</v>
      </c>
      <c r="N3474" s="173" t="s">
        <v>67</v>
      </c>
      <c r="O3474" s="87">
        <v>73</v>
      </c>
      <c r="P3474" s="173" t="s">
        <v>26</v>
      </c>
      <c r="Q3474" s="1" t="s">
        <v>1340</v>
      </c>
      <c r="R3474" s="175">
        <v>18</v>
      </c>
      <c r="S3474">
        <v>18</v>
      </c>
    </row>
    <row r="3475" spans="1:19" x14ac:dyDescent="0.25">
      <c r="A3475" s="87">
        <v>2019</v>
      </c>
      <c r="B3475" s="87">
        <v>12</v>
      </c>
      <c r="C3475" s="173" t="s">
        <v>16</v>
      </c>
      <c r="D3475" s="173" t="s">
        <v>230</v>
      </c>
      <c r="E3475" s="173" t="s">
        <v>24</v>
      </c>
      <c r="F3475" s="173" t="s">
        <v>16</v>
      </c>
      <c r="G3475" s="87" t="b">
        <v>1</v>
      </c>
      <c r="H3475" s="87" t="b">
        <v>1</v>
      </c>
      <c r="I3475" s="87" t="b">
        <v>0</v>
      </c>
      <c r="J3475" s="173" t="s">
        <v>470</v>
      </c>
      <c r="K3475" s="174">
        <v>92685833000151</v>
      </c>
      <c r="L3475" s="173" t="s">
        <v>1029</v>
      </c>
      <c r="M3475" s="173" t="s">
        <v>83</v>
      </c>
      <c r="N3475" s="173" t="s">
        <v>67</v>
      </c>
      <c r="O3475" s="87">
        <v>73</v>
      </c>
      <c r="P3475" s="173" t="s">
        <v>26</v>
      </c>
      <c r="Q3475" s="1" t="s">
        <v>1340</v>
      </c>
      <c r="R3475" s="175">
        <v>14</v>
      </c>
      <c r="S3475">
        <v>14</v>
      </c>
    </row>
    <row r="3476" spans="1:19" x14ac:dyDescent="0.25">
      <c r="A3476" s="87">
        <v>2019</v>
      </c>
      <c r="B3476" s="87">
        <v>12</v>
      </c>
      <c r="C3476" s="173" t="s">
        <v>16</v>
      </c>
      <c r="D3476" s="173" t="s">
        <v>230</v>
      </c>
      <c r="E3476" s="173" t="s">
        <v>24</v>
      </c>
      <c r="F3476" s="173" t="s">
        <v>16</v>
      </c>
      <c r="G3476" s="87" t="b">
        <v>1</v>
      </c>
      <c r="H3476" s="87" t="b">
        <v>1</v>
      </c>
      <c r="I3476" s="87" t="b">
        <v>0</v>
      </c>
      <c r="J3476" s="173" t="s">
        <v>449</v>
      </c>
      <c r="K3476" s="174">
        <v>92741016000254</v>
      </c>
      <c r="L3476" s="173" t="s">
        <v>1030</v>
      </c>
      <c r="M3476" s="173" t="s">
        <v>83</v>
      </c>
      <c r="N3476" s="173" t="s">
        <v>67</v>
      </c>
      <c r="O3476" s="87">
        <v>62</v>
      </c>
      <c r="P3476" s="173" t="s">
        <v>27</v>
      </c>
      <c r="Q3476" s="1" t="s">
        <v>1343</v>
      </c>
      <c r="R3476" s="175">
        <v>8</v>
      </c>
      <c r="S3476">
        <v>8</v>
      </c>
    </row>
    <row r="3477" spans="1:19" x14ac:dyDescent="0.25">
      <c r="A3477" s="87">
        <v>2019</v>
      </c>
      <c r="B3477" s="87">
        <v>12</v>
      </c>
      <c r="C3477" s="173" t="s">
        <v>16</v>
      </c>
      <c r="D3477" s="173" t="s">
        <v>230</v>
      </c>
      <c r="E3477" s="173" t="s">
        <v>24</v>
      </c>
      <c r="F3477" s="173" t="s">
        <v>16</v>
      </c>
      <c r="G3477" s="87" t="b">
        <v>1</v>
      </c>
      <c r="H3477" s="87" t="b">
        <v>1</v>
      </c>
      <c r="I3477" s="87" t="b">
        <v>0</v>
      </c>
      <c r="J3477" s="173" t="s">
        <v>464</v>
      </c>
      <c r="K3477" s="174">
        <v>92741016000254</v>
      </c>
      <c r="L3477" s="173" t="s">
        <v>1030</v>
      </c>
      <c r="M3477" s="173" t="s">
        <v>83</v>
      </c>
      <c r="N3477" s="173" t="s">
        <v>67</v>
      </c>
      <c r="O3477" s="87">
        <v>62</v>
      </c>
      <c r="P3477" s="173" t="s">
        <v>27</v>
      </c>
      <c r="Q3477" s="1" t="s">
        <v>1343</v>
      </c>
      <c r="R3477" s="175">
        <v>2</v>
      </c>
      <c r="S3477">
        <v>2</v>
      </c>
    </row>
    <row r="3478" spans="1:19" x14ac:dyDescent="0.25">
      <c r="A3478" s="87">
        <v>2019</v>
      </c>
      <c r="B3478" s="87">
        <v>12</v>
      </c>
      <c r="C3478" s="173" t="s">
        <v>16</v>
      </c>
      <c r="D3478" s="173" t="s">
        <v>230</v>
      </c>
      <c r="E3478" s="173" t="s">
        <v>24</v>
      </c>
      <c r="F3478" s="173" t="s">
        <v>16</v>
      </c>
      <c r="G3478" s="87" t="b">
        <v>1</v>
      </c>
      <c r="H3478" s="87" t="b">
        <v>1</v>
      </c>
      <c r="I3478" s="87" t="b">
        <v>0</v>
      </c>
      <c r="J3478" s="173" t="s">
        <v>449</v>
      </c>
      <c r="K3478" s="174">
        <v>92741016000254</v>
      </c>
      <c r="L3478" s="173" t="s">
        <v>1030</v>
      </c>
      <c r="M3478" s="173" t="s">
        <v>83</v>
      </c>
      <c r="N3478" s="173" t="s">
        <v>67</v>
      </c>
      <c r="O3478" s="87">
        <v>64</v>
      </c>
      <c r="P3478" s="173" t="s">
        <v>25</v>
      </c>
      <c r="Q3478" s="1" t="s">
        <v>1344</v>
      </c>
      <c r="R3478" s="175">
        <v>29</v>
      </c>
      <c r="S3478">
        <v>29</v>
      </c>
    </row>
    <row r="3479" spans="1:19" x14ac:dyDescent="0.25">
      <c r="A3479" s="87">
        <v>2019</v>
      </c>
      <c r="B3479" s="87">
        <v>12</v>
      </c>
      <c r="C3479" s="173" t="s">
        <v>16</v>
      </c>
      <c r="D3479" s="173" t="s">
        <v>230</v>
      </c>
      <c r="E3479" s="173" t="s">
        <v>24</v>
      </c>
      <c r="F3479" s="173" t="s">
        <v>16</v>
      </c>
      <c r="G3479" s="87" t="b">
        <v>1</v>
      </c>
      <c r="H3479" s="87" t="b">
        <v>1</v>
      </c>
      <c r="I3479" s="87" t="b">
        <v>0</v>
      </c>
      <c r="J3479" s="173" t="s">
        <v>449</v>
      </c>
      <c r="K3479" s="174">
        <v>92815000000168</v>
      </c>
      <c r="L3479" s="173" t="s">
        <v>1033</v>
      </c>
      <c r="M3479" s="173" t="s">
        <v>83</v>
      </c>
      <c r="N3479" s="173" t="s">
        <v>67</v>
      </c>
      <c r="O3479" s="87">
        <v>62</v>
      </c>
      <c r="P3479" s="173" t="s">
        <v>27</v>
      </c>
      <c r="Q3479" s="1" t="s">
        <v>1343</v>
      </c>
      <c r="R3479" s="175">
        <v>91</v>
      </c>
      <c r="S3479">
        <v>91</v>
      </c>
    </row>
    <row r="3480" spans="1:19" x14ac:dyDescent="0.25">
      <c r="A3480" s="87">
        <v>2019</v>
      </c>
      <c r="B3480" s="87">
        <v>12</v>
      </c>
      <c r="C3480" s="173" t="s">
        <v>16</v>
      </c>
      <c r="D3480" s="173" t="s">
        <v>230</v>
      </c>
      <c r="E3480" s="173" t="s">
        <v>24</v>
      </c>
      <c r="F3480" s="173" t="s">
        <v>16</v>
      </c>
      <c r="G3480" s="87" t="b">
        <v>1</v>
      </c>
      <c r="H3480" s="87" t="b">
        <v>1</v>
      </c>
      <c r="I3480" s="87" t="b">
        <v>0</v>
      </c>
      <c r="J3480" s="173" t="s">
        <v>449</v>
      </c>
      <c r="K3480" s="174">
        <v>92815000000168</v>
      </c>
      <c r="L3480" s="173" t="s">
        <v>1033</v>
      </c>
      <c r="M3480" s="173" t="s">
        <v>83</v>
      </c>
      <c r="N3480" s="173" t="s">
        <v>67</v>
      </c>
      <c r="O3480" s="87">
        <v>64</v>
      </c>
      <c r="P3480" s="173" t="s">
        <v>25</v>
      </c>
      <c r="Q3480" s="1" t="s">
        <v>1344</v>
      </c>
      <c r="R3480" s="175">
        <v>21</v>
      </c>
      <c r="S3480">
        <v>21</v>
      </c>
    </row>
    <row r="3481" spans="1:19" x14ac:dyDescent="0.25">
      <c r="A3481" s="87">
        <v>2019</v>
      </c>
      <c r="B3481" s="87">
        <v>12</v>
      </c>
      <c r="C3481" s="173" t="s">
        <v>16</v>
      </c>
      <c r="D3481" s="173" t="s">
        <v>230</v>
      </c>
      <c r="E3481" s="173" t="s">
        <v>24</v>
      </c>
      <c r="F3481" s="173" t="s">
        <v>16</v>
      </c>
      <c r="G3481" s="87" t="b">
        <v>1</v>
      </c>
      <c r="H3481" s="87" t="b">
        <v>1</v>
      </c>
      <c r="I3481" s="87" t="b">
        <v>0</v>
      </c>
      <c r="J3481" s="173" t="s">
        <v>449</v>
      </c>
      <c r="K3481" s="174">
        <v>92815000000168</v>
      </c>
      <c r="L3481" s="173" t="s">
        <v>1033</v>
      </c>
      <c r="M3481" s="173" t="s">
        <v>83</v>
      </c>
      <c r="N3481" s="173" t="s">
        <v>67</v>
      </c>
      <c r="O3481" s="87">
        <v>70</v>
      </c>
      <c r="P3481" s="173" t="s">
        <v>20</v>
      </c>
      <c r="Q3481" s="1" t="s">
        <v>1345</v>
      </c>
      <c r="R3481" s="175">
        <v>160</v>
      </c>
      <c r="S3481">
        <v>16</v>
      </c>
    </row>
    <row r="3482" spans="1:19" x14ac:dyDescent="0.25">
      <c r="A3482" s="87">
        <v>2019</v>
      </c>
      <c r="B3482" s="87">
        <v>12</v>
      </c>
      <c r="C3482" s="173" t="s">
        <v>16</v>
      </c>
      <c r="D3482" s="173" t="s">
        <v>230</v>
      </c>
      <c r="E3482" s="173" t="s">
        <v>24</v>
      </c>
      <c r="F3482" s="173" t="s">
        <v>16</v>
      </c>
      <c r="G3482" s="87" t="b">
        <v>1</v>
      </c>
      <c r="H3482" s="87" t="b">
        <v>1</v>
      </c>
      <c r="I3482" s="87" t="b">
        <v>0</v>
      </c>
      <c r="J3482" s="173" t="s">
        <v>470</v>
      </c>
      <c r="K3482" s="174">
        <v>92815000000168</v>
      </c>
      <c r="L3482" s="173" t="s">
        <v>1033</v>
      </c>
      <c r="M3482" s="173" t="s">
        <v>83</v>
      </c>
      <c r="N3482" s="173" t="s">
        <v>67</v>
      </c>
      <c r="O3482" s="87">
        <v>73</v>
      </c>
      <c r="P3482" s="173" t="s">
        <v>26</v>
      </c>
      <c r="Q3482" s="1" t="s">
        <v>1339</v>
      </c>
      <c r="R3482" s="175">
        <v>32</v>
      </c>
      <c r="S3482">
        <v>16</v>
      </c>
    </row>
    <row r="3483" spans="1:19" x14ac:dyDescent="0.25">
      <c r="A3483" s="87">
        <v>2019</v>
      </c>
      <c r="B3483" s="87">
        <v>12</v>
      </c>
      <c r="C3483" s="173" t="s">
        <v>16</v>
      </c>
      <c r="D3483" s="173" t="s">
        <v>230</v>
      </c>
      <c r="E3483" s="173" t="s">
        <v>24</v>
      </c>
      <c r="F3483" s="173" t="s">
        <v>16</v>
      </c>
      <c r="G3483" s="87" t="b">
        <v>1</v>
      </c>
      <c r="H3483" s="87" t="b">
        <v>1</v>
      </c>
      <c r="I3483" s="87" t="b">
        <v>0</v>
      </c>
      <c r="J3483" s="173" t="s">
        <v>470</v>
      </c>
      <c r="K3483" s="174">
        <v>92815000000168</v>
      </c>
      <c r="L3483" s="173" t="s">
        <v>1033</v>
      </c>
      <c r="M3483" s="173" t="s">
        <v>83</v>
      </c>
      <c r="N3483" s="173" t="s">
        <v>67</v>
      </c>
      <c r="O3483" s="87">
        <v>73</v>
      </c>
      <c r="P3483" s="173" t="s">
        <v>26</v>
      </c>
      <c r="Q3483" s="1" t="s">
        <v>1340</v>
      </c>
      <c r="R3483" s="175">
        <v>3</v>
      </c>
      <c r="S3483">
        <v>3</v>
      </c>
    </row>
    <row r="3484" spans="1:19" x14ac:dyDescent="0.25">
      <c r="A3484" s="87">
        <v>2019</v>
      </c>
      <c r="B3484" s="87">
        <v>12</v>
      </c>
      <c r="C3484" s="173" t="s">
        <v>16</v>
      </c>
      <c r="D3484" s="173" t="s">
        <v>230</v>
      </c>
      <c r="E3484" s="173" t="s">
        <v>24</v>
      </c>
      <c r="F3484" s="173" t="s">
        <v>16</v>
      </c>
      <c r="G3484" s="87" t="b">
        <v>1</v>
      </c>
      <c r="H3484" s="87" t="b">
        <v>1</v>
      </c>
      <c r="I3484" s="87" t="b">
        <v>0</v>
      </c>
      <c r="J3484" s="173" t="s">
        <v>449</v>
      </c>
      <c r="K3484" s="174">
        <v>92898550000198</v>
      </c>
      <c r="L3484" s="173" t="s">
        <v>1034</v>
      </c>
      <c r="M3484" s="173" t="s">
        <v>83</v>
      </c>
      <c r="N3484" s="173" t="s">
        <v>67</v>
      </c>
      <c r="O3484" s="87">
        <v>62</v>
      </c>
      <c r="P3484" s="173" t="s">
        <v>27</v>
      </c>
      <c r="Q3484" s="1" t="s">
        <v>1343</v>
      </c>
      <c r="R3484" s="175">
        <v>4</v>
      </c>
      <c r="S3484">
        <v>4</v>
      </c>
    </row>
    <row r="3485" spans="1:19" x14ac:dyDescent="0.25">
      <c r="A3485" s="87">
        <v>2019</v>
      </c>
      <c r="B3485" s="87">
        <v>12</v>
      </c>
      <c r="C3485" s="173" t="s">
        <v>16</v>
      </c>
      <c r="D3485" s="173" t="s">
        <v>230</v>
      </c>
      <c r="E3485" s="173" t="s">
        <v>24</v>
      </c>
      <c r="F3485" s="173" t="s">
        <v>16</v>
      </c>
      <c r="G3485" s="87" t="b">
        <v>1</v>
      </c>
      <c r="H3485" s="87" t="b">
        <v>1</v>
      </c>
      <c r="I3485" s="87" t="b">
        <v>0</v>
      </c>
      <c r="J3485" s="173" t="s">
        <v>439</v>
      </c>
      <c r="K3485" s="174">
        <v>92898550000198</v>
      </c>
      <c r="L3485" s="173" t="s">
        <v>1034</v>
      </c>
      <c r="M3485" s="173" t="s">
        <v>83</v>
      </c>
      <c r="N3485" s="173" t="s">
        <v>67</v>
      </c>
      <c r="O3485" s="87">
        <v>64</v>
      </c>
      <c r="P3485" s="173" t="s">
        <v>25</v>
      </c>
      <c r="Q3485" s="1" t="s">
        <v>1344</v>
      </c>
      <c r="R3485" s="175">
        <v>3</v>
      </c>
      <c r="S3485">
        <v>3</v>
      </c>
    </row>
    <row r="3486" spans="1:19" x14ac:dyDescent="0.25">
      <c r="A3486" s="87">
        <v>2019</v>
      </c>
      <c r="B3486" s="87">
        <v>12</v>
      </c>
      <c r="C3486" s="173" t="s">
        <v>16</v>
      </c>
      <c r="D3486" s="173" t="s">
        <v>230</v>
      </c>
      <c r="E3486" s="173" t="s">
        <v>24</v>
      </c>
      <c r="F3486" s="173" t="s">
        <v>16</v>
      </c>
      <c r="G3486" s="87" t="b">
        <v>1</v>
      </c>
      <c r="H3486" s="87" t="b">
        <v>1</v>
      </c>
      <c r="I3486" s="87" t="b">
        <v>0</v>
      </c>
      <c r="J3486" s="173" t="s">
        <v>449</v>
      </c>
      <c r="K3486" s="174">
        <v>92963560000160</v>
      </c>
      <c r="L3486" s="173" t="s">
        <v>1035</v>
      </c>
      <c r="M3486" s="173" t="s">
        <v>83</v>
      </c>
      <c r="N3486" s="173" t="s">
        <v>67</v>
      </c>
      <c r="O3486" s="87">
        <v>62</v>
      </c>
      <c r="P3486" s="173" t="s">
        <v>27</v>
      </c>
      <c r="Q3486" s="1" t="s">
        <v>1343</v>
      </c>
      <c r="R3486" s="175">
        <v>60</v>
      </c>
      <c r="S3486">
        <v>60</v>
      </c>
    </row>
    <row r="3487" spans="1:19" x14ac:dyDescent="0.25">
      <c r="A3487" s="87">
        <v>2019</v>
      </c>
      <c r="B3487" s="87">
        <v>12</v>
      </c>
      <c r="C3487" s="173" t="s">
        <v>16</v>
      </c>
      <c r="D3487" s="173" t="s">
        <v>230</v>
      </c>
      <c r="E3487" s="173" t="s">
        <v>24</v>
      </c>
      <c r="F3487" s="173" t="s">
        <v>16</v>
      </c>
      <c r="G3487" s="87" t="b">
        <v>1</v>
      </c>
      <c r="H3487" s="87" t="b">
        <v>1</v>
      </c>
      <c r="I3487" s="87" t="b">
        <v>0</v>
      </c>
      <c r="J3487" s="173" t="s">
        <v>449</v>
      </c>
      <c r="K3487" s="174">
        <v>92963560000160</v>
      </c>
      <c r="L3487" s="173" t="s">
        <v>1035</v>
      </c>
      <c r="M3487" s="173" t="s">
        <v>83</v>
      </c>
      <c r="N3487" s="173" t="s">
        <v>67</v>
      </c>
      <c r="O3487" s="87">
        <v>64</v>
      </c>
      <c r="P3487" s="173" t="s">
        <v>25</v>
      </c>
      <c r="Q3487" s="1" t="s">
        <v>1344</v>
      </c>
      <c r="R3487" s="175">
        <v>40</v>
      </c>
      <c r="S3487">
        <v>40</v>
      </c>
    </row>
    <row r="3488" spans="1:19" x14ac:dyDescent="0.25">
      <c r="A3488" s="87">
        <v>2019</v>
      </c>
      <c r="B3488" s="87">
        <v>12</v>
      </c>
      <c r="C3488" s="173" t="s">
        <v>16</v>
      </c>
      <c r="D3488" s="173" t="s">
        <v>230</v>
      </c>
      <c r="E3488" s="173" t="s">
        <v>24</v>
      </c>
      <c r="F3488" s="173" t="s">
        <v>16</v>
      </c>
      <c r="G3488" s="87" t="b">
        <v>1</v>
      </c>
      <c r="H3488" s="87" t="b">
        <v>1</v>
      </c>
      <c r="I3488" s="87" t="b">
        <v>0</v>
      </c>
      <c r="J3488" s="173" t="s">
        <v>492</v>
      </c>
      <c r="K3488" s="174">
        <v>94831294000147</v>
      </c>
      <c r="L3488" s="173" t="s">
        <v>1036</v>
      </c>
      <c r="M3488" s="173" t="s">
        <v>83</v>
      </c>
      <c r="N3488" s="173" t="s">
        <v>67</v>
      </c>
      <c r="O3488" s="87">
        <v>70</v>
      </c>
      <c r="P3488" s="173" t="s">
        <v>20</v>
      </c>
      <c r="Q3488" s="1" t="s">
        <v>1338</v>
      </c>
      <c r="R3488" s="175">
        <v>30</v>
      </c>
      <c r="S3488">
        <v>6</v>
      </c>
    </row>
    <row r="3489" spans="1:19" x14ac:dyDescent="0.25">
      <c r="A3489" s="87">
        <v>2019</v>
      </c>
      <c r="B3489" s="87">
        <v>12</v>
      </c>
      <c r="C3489" s="173" t="s">
        <v>16</v>
      </c>
      <c r="D3489" s="173" t="s">
        <v>230</v>
      </c>
      <c r="E3489" s="173" t="s">
        <v>24</v>
      </c>
      <c r="F3489" s="173" t="s">
        <v>16</v>
      </c>
      <c r="G3489" s="87" t="b">
        <v>1</v>
      </c>
      <c r="H3489" s="87" t="b">
        <v>1</v>
      </c>
      <c r="I3489" s="87" t="b">
        <v>0</v>
      </c>
      <c r="J3489" s="173" t="s">
        <v>449</v>
      </c>
      <c r="K3489" s="174">
        <v>95610887000146</v>
      </c>
      <c r="L3489" s="173" t="s">
        <v>1037</v>
      </c>
      <c r="M3489" s="173" t="s">
        <v>87</v>
      </c>
      <c r="N3489" s="173" t="s">
        <v>67</v>
      </c>
      <c r="O3489" s="87">
        <v>62</v>
      </c>
      <c r="P3489" s="173" t="s">
        <v>27</v>
      </c>
      <c r="Q3489" s="1" t="s">
        <v>1343</v>
      </c>
      <c r="R3489" s="175">
        <v>10</v>
      </c>
      <c r="S3489">
        <v>10</v>
      </c>
    </row>
    <row r="3490" spans="1:19" x14ac:dyDescent="0.25">
      <c r="A3490" s="87">
        <v>2019</v>
      </c>
      <c r="B3490" s="87">
        <v>12</v>
      </c>
      <c r="C3490" s="173" t="s">
        <v>16</v>
      </c>
      <c r="D3490" s="173" t="s">
        <v>230</v>
      </c>
      <c r="E3490" s="173" t="s">
        <v>24</v>
      </c>
      <c r="F3490" s="173" t="s">
        <v>16</v>
      </c>
      <c r="G3490" s="87" t="b">
        <v>1</v>
      </c>
      <c r="H3490" s="87" t="b">
        <v>1</v>
      </c>
      <c r="I3490" s="87" t="b">
        <v>0</v>
      </c>
      <c r="J3490" s="173" t="s">
        <v>492</v>
      </c>
      <c r="K3490" s="174">
        <v>95610887000146</v>
      </c>
      <c r="L3490" s="173" t="s">
        <v>1037</v>
      </c>
      <c r="M3490" s="173" t="s">
        <v>87</v>
      </c>
      <c r="N3490" s="173" t="s">
        <v>67</v>
      </c>
      <c r="O3490" s="87">
        <v>70</v>
      </c>
      <c r="P3490" s="173" t="s">
        <v>20</v>
      </c>
      <c r="Q3490" s="1" t="s">
        <v>1338</v>
      </c>
      <c r="R3490" s="175">
        <v>600</v>
      </c>
      <c r="S3490">
        <v>120</v>
      </c>
    </row>
    <row r="3491" spans="1:19" x14ac:dyDescent="0.25">
      <c r="A3491" s="87">
        <v>2019</v>
      </c>
      <c r="B3491" s="87">
        <v>12</v>
      </c>
      <c r="C3491" s="173" t="s">
        <v>16</v>
      </c>
      <c r="D3491" s="173" t="s">
        <v>230</v>
      </c>
      <c r="E3491" s="173" t="s">
        <v>24</v>
      </c>
      <c r="F3491" s="173" t="s">
        <v>16</v>
      </c>
      <c r="G3491" s="87" t="b">
        <v>1</v>
      </c>
      <c r="H3491" s="87" t="b">
        <v>1</v>
      </c>
      <c r="I3491" s="87" t="b">
        <v>0</v>
      </c>
      <c r="J3491" s="173" t="s">
        <v>470</v>
      </c>
      <c r="K3491" s="174">
        <v>95610887000146</v>
      </c>
      <c r="L3491" s="173" t="s">
        <v>1037</v>
      </c>
      <c r="M3491" s="173" t="s">
        <v>87</v>
      </c>
      <c r="N3491" s="173" t="s">
        <v>67</v>
      </c>
      <c r="O3491" s="87">
        <v>73</v>
      </c>
      <c r="P3491" s="173" t="s">
        <v>26</v>
      </c>
      <c r="Q3491" s="1" t="s">
        <v>1339</v>
      </c>
      <c r="R3491" s="175">
        <v>2</v>
      </c>
      <c r="S3491">
        <v>1</v>
      </c>
    </row>
    <row r="3492" spans="1:19" x14ac:dyDescent="0.25">
      <c r="A3492" s="87">
        <v>2019</v>
      </c>
      <c r="B3492" s="87">
        <v>12</v>
      </c>
      <c r="C3492" s="173" t="s">
        <v>16</v>
      </c>
      <c r="D3492" s="173" t="s">
        <v>230</v>
      </c>
      <c r="E3492" s="173" t="s">
        <v>24</v>
      </c>
      <c r="F3492" s="173" t="s">
        <v>16</v>
      </c>
      <c r="G3492" s="87" t="b">
        <v>1</v>
      </c>
      <c r="H3492" s="87" t="b">
        <v>1</v>
      </c>
      <c r="I3492" s="87" t="b">
        <v>0</v>
      </c>
      <c r="J3492" s="173" t="s">
        <v>470</v>
      </c>
      <c r="K3492" s="174">
        <v>95610887000146</v>
      </c>
      <c r="L3492" s="173" t="s">
        <v>1037</v>
      </c>
      <c r="M3492" s="173" t="s">
        <v>87</v>
      </c>
      <c r="N3492" s="173" t="s">
        <v>67</v>
      </c>
      <c r="O3492" s="87">
        <v>73</v>
      </c>
      <c r="P3492" s="173" t="s">
        <v>26</v>
      </c>
      <c r="Q3492" s="1" t="s">
        <v>1342</v>
      </c>
      <c r="R3492" s="175">
        <v>16</v>
      </c>
      <c r="S3492">
        <v>4</v>
      </c>
    </row>
    <row r="3493" spans="1:19" x14ac:dyDescent="0.25">
      <c r="A3493" s="87">
        <v>2019</v>
      </c>
      <c r="B3493" s="87">
        <v>12</v>
      </c>
      <c r="C3493" s="173" t="s">
        <v>16</v>
      </c>
      <c r="D3493" s="173" t="s">
        <v>230</v>
      </c>
      <c r="E3493" s="173" t="s">
        <v>24</v>
      </c>
      <c r="F3493" s="173" t="s">
        <v>16</v>
      </c>
      <c r="G3493" s="87" t="b">
        <v>1</v>
      </c>
      <c r="H3493" s="87" t="b">
        <v>1</v>
      </c>
      <c r="I3493" s="87" t="b">
        <v>0</v>
      </c>
      <c r="J3493" s="173" t="s">
        <v>464</v>
      </c>
      <c r="K3493" s="174">
        <v>95610887000146</v>
      </c>
      <c r="L3493" s="173" t="s">
        <v>1037</v>
      </c>
      <c r="M3493" s="173" t="s">
        <v>87</v>
      </c>
      <c r="N3493" s="173" t="s">
        <v>67</v>
      </c>
      <c r="O3493" s="87">
        <v>73</v>
      </c>
      <c r="P3493" s="173" t="s">
        <v>26</v>
      </c>
      <c r="Q3493" s="1" t="s">
        <v>1339</v>
      </c>
      <c r="R3493" s="175">
        <v>2</v>
      </c>
      <c r="S3493">
        <v>1</v>
      </c>
    </row>
    <row r="3494" spans="1:19" x14ac:dyDescent="0.25">
      <c r="A3494" s="87">
        <v>2020</v>
      </c>
      <c r="B3494" s="87">
        <v>1</v>
      </c>
      <c r="C3494" s="173" t="s">
        <v>16</v>
      </c>
      <c r="D3494" s="173" t="s">
        <v>372</v>
      </c>
      <c r="E3494" s="173" t="s">
        <v>373</v>
      </c>
      <c r="F3494" s="173" t="s">
        <v>16</v>
      </c>
      <c r="G3494" s="87" t="b">
        <v>1</v>
      </c>
      <c r="H3494" s="87" t="b">
        <v>0</v>
      </c>
      <c r="I3494" s="87" t="b">
        <v>0</v>
      </c>
      <c r="J3494" s="173" t="s">
        <v>451</v>
      </c>
      <c r="K3494" s="174">
        <v>25841000153</v>
      </c>
      <c r="L3494" s="173" t="s">
        <v>738</v>
      </c>
      <c r="M3494" s="173" t="s">
        <v>739</v>
      </c>
      <c r="N3494" s="173" t="s">
        <v>55</v>
      </c>
      <c r="O3494" s="87">
        <v>70</v>
      </c>
      <c r="P3494" s="173" t="s">
        <v>20</v>
      </c>
      <c r="Q3494" s="1" t="s">
        <v>1345</v>
      </c>
      <c r="R3494" s="175">
        <v>120</v>
      </c>
      <c r="S3494">
        <v>12</v>
      </c>
    </row>
    <row r="3495" spans="1:19" x14ac:dyDescent="0.25">
      <c r="A3495" s="87">
        <v>2020</v>
      </c>
      <c r="B3495" s="87">
        <v>1</v>
      </c>
      <c r="C3495" s="173" t="s">
        <v>16</v>
      </c>
      <c r="D3495" s="173" t="s">
        <v>372</v>
      </c>
      <c r="E3495" s="173" t="s">
        <v>373</v>
      </c>
      <c r="F3495" s="173" t="s">
        <v>16</v>
      </c>
      <c r="G3495" s="87" t="b">
        <v>1</v>
      </c>
      <c r="H3495" s="87" t="b">
        <v>0</v>
      </c>
      <c r="I3495" s="87" t="b">
        <v>0</v>
      </c>
      <c r="J3495" s="173" t="s">
        <v>491</v>
      </c>
      <c r="K3495" s="174">
        <v>49791000144</v>
      </c>
      <c r="L3495" s="173" t="s">
        <v>743</v>
      </c>
      <c r="M3495" s="173" t="s">
        <v>739</v>
      </c>
      <c r="N3495" s="173" t="s">
        <v>55</v>
      </c>
      <c r="O3495" s="87">
        <v>62</v>
      </c>
      <c r="P3495" s="173" t="s">
        <v>27</v>
      </c>
      <c r="Q3495" s="1" t="s">
        <v>1343</v>
      </c>
      <c r="R3495" s="175">
        <v>3</v>
      </c>
      <c r="S3495">
        <v>3</v>
      </c>
    </row>
    <row r="3496" spans="1:19" x14ac:dyDescent="0.25">
      <c r="A3496" s="87">
        <v>2020</v>
      </c>
      <c r="B3496" s="87">
        <v>1</v>
      </c>
      <c r="C3496" s="173" t="s">
        <v>16</v>
      </c>
      <c r="D3496" s="173" t="s">
        <v>372</v>
      </c>
      <c r="E3496" s="173" t="s">
        <v>373</v>
      </c>
      <c r="F3496" s="173" t="s">
        <v>16</v>
      </c>
      <c r="G3496" s="87" t="b">
        <v>1</v>
      </c>
      <c r="H3496" s="87" t="b">
        <v>0</v>
      </c>
      <c r="I3496" s="87" t="b">
        <v>0</v>
      </c>
      <c r="J3496" s="173" t="s">
        <v>491</v>
      </c>
      <c r="K3496" s="174">
        <v>49791000144</v>
      </c>
      <c r="L3496" s="173" t="s">
        <v>743</v>
      </c>
      <c r="M3496" s="173" t="s">
        <v>739</v>
      </c>
      <c r="N3496" s="173" t="s">
        <v>55</v>
      </c>
      <c r="O3496" s="87">
        <v>64</v>
      </c>
      <c r="P3496" s="173" t="s">
        <v>25</v>
      </c>
      <c r="Q3496" s="1" t="s">
        <v>1344</v>
      </c>
      <c r="R3496" s="175">
        <v>3</v>
      </c>
      <c r="S3496">
        <v>3</v>
      </c>
    </row>
    <row r="3497" spans="1:19" x14ac:dyDescent="0.25">
      <c r="A3497" s="87">
        <v>2020</v>
      </c>
      <c r="B3497" s="87">
        <v>1</v>
      </c>
      <c r="C3497" s="173" t="s">
        <v>16</v>
      </c>
      <c r="D3497" s="173" t="s">
        <v>372</v>
      </c>
      <c r="E3497" s="173" t="s">
        <v>373</v>
      </c>
      <c r="F3497" s="173" t="s">
        <v>16</v>
      </c>
      <c r="G3497" s="87" t="b">
        <v>1</v>
      </c>
      <c r="H3497" s="87" t="b">
        <v>0</v>
      </c>
      <c r="I3497" s="87" t="b">
        <v>0</v>
      </c>
      <c r="J3497" s="173" t="s">
        <v>453</v>
      </c>
      <c r="K3497" s="174">
        <v>83925694404</v>
      </c>
      <c r="L3497" s="173" t="s">
        <v>746</v>
      </c>
      <c r="M3497" s="173" t="s">
        <v>747</v>
      </c>
      <c r="N3497" s="173" t="s">
        <v>56</v>
      </c>
      <c r="O3497" s="87">
        <v>66</v>
      </c>
      <c r="P3497" s="173" t="s">
        <v>28</v>
      </c>
      <c r="Q3497" s="1" t="s">
        <v>1341</v>
      </c>
      <c r="R3497" s="175">
        <v>16</v>
      </c>
      <c r="S3497">
        <v>16</v>
      </c>
    </row>
    <row r="3498" spans="1:19" x14ac:dyDescent="0.25">
      <c r="A3498" s="87">
        <v>2020</v>
      </c>
      <c r="B3498" s="87">
        <v>1</v>
      </c>
      <c r="C3498" s="173" t="s">
        <v>16</v>
      </c>
      <c r="D3498" s="173" t="s">
        <v>372</v>
      </c>
      <c r="E3498" s="173" t="s">
        <v>373</v>
      </c>
      <c r="F3498" s="173" t="s">
        <v>16</v>
      </c>
      <c r="G3498" s="87" t="b">
        <v>1</v>
      </c>
      <c r="H3498" s="87" t="b">
        <v>0</v>
      </c>
      <c r="I3498" s="87" t="b">
        <v>0</v>
      </c>
      <c r="J3498" s="173" t="s">
        <v>492</v>
      </c>
      <c r="K3498" s="174">
        <v>92390000177</v>
      </c>
      <c r="L3498" s="173" t="s">
        <v>1434</v>
      </c>
      <c r="M3498" s="173" t="s">
        <v>125</v>
      </c>
      <c r="N3498" s="173" t="s">
        <v>68</v>
      </c>
      <c r="O3498" s="87">
        <v>70</v>
      </c>
      <c r="P3498" s="173" t="s">
        <v>20</v>
      </c>
      <c r="Q3498" s="1" t="s">
        <v>1338</v>
      </c>
      <c r="R3498" s="175">
        <v>30</v>
      </c>
      <c r="S3498">
        <v>6</v>
      </c>
    </row>
    <row r="3499" spans="1:19" x14ac:dyDescent="0.25">
      <c r="A3499" s="87">
        <v>2020</v>
      </c>
      <c r="B3499" s="87">
        <v>1</v>
      </c>
      <c r="C3499" s="173" t="s">
        <v>16</v>
      </c>
      <c r="D3499" s="173" t="s">
        <v>372</v>
      </c>
      <c r="E3499" s="173" t="s">
        <v>373</v>
      </c>
      <c r="F3499" s="173" t="s">
        <v>16</v>
      </c>
      <c r="G3499" s="87" t="b">
        <v>1</v>
      </c>
      <c r="H3499" s="87" t="b">
        <v>0</v>
      </c>
      <c r="I3499" s="87" t="b">
        <v>0</v>
      </c>
      <c r="J3499" s="173" t="s">
        <v>451</v>
      </c>
      <c r="K3499" s="174">
        <v>92390000177</v>
      </c>
      <c r="L3499" s="173" t="s">
        <v>1434</v>
      </c>
      <c r="M3499" s="173" t="s">
        <v>125</v>
      </c>
      <c r="N3499" s="173" t="s">
        <v>68</v>
      </c>
      <c r="O3499" s="87">
        <v>70</v>
      </c>
      <c r="P3499" s="173" t="s">
        <v>20</v>
      </c>
      <c r="Q3499" s="1" t="s">
        <v>1338</v>
      </c>
      <c r="R3499" s="175">
        <v>60</v>
      </c>
      <c r="S3499">
        <v>12</v>
      </c>
    </row>
    <row r="3500" spans="1:19" x14ac:dyDescent="0.25">
      <c r="A3500" s="87">
        <v>2020</v>
      </c>
      <c r="B3500" s="87">
        <v>1</v>
      </c>
      <c r="C3500" s="173" t="s">
        <v>16</v>
      </c>
      <c r="D3500" s="173" t="s">
        <v>372</v>
      </c>
      <c r="E3500" s="173" t="s">
        <v>373</v>
      </c>
      <c r="F3500" s="173" t="s">
        <v>16</v>
      </c>
      <c r="G3500" s="87" t="b">
        <v>1</v>
      </c>
      <c r="H3500" s="87" t="b">
        <v>0</v>
      </c>
      <c r="I3500" s="87" t="b">
        <v>0</v>
      </c>
      <c r="J3500" s="173" t="s">
        <v>450</v>
      </c>
      <c r="K3500" s="174">
        <v>92929000198</v>
      </c>
      <c r="L3500" s="173" t="s">
        <v>1327</v>
      </c>
      <c r="M3500" s="173" t="s">
        <v>131</v>
      </c>
      <c r="N3500" s="173" t="s">
        <v>61</v>
      </c>
      <c r="O3500" s="87">
        <v>73</v>
      </c>
      <c r="P3500" s="173" t="s">
        <v>26</v>
      </c>
      <c r="Q3500" s="1" t="s">
        <v>1339</v>
      </c>
      <c r="R3500" s="175">
        <v>30</v>
      </c>
      <c r="S3500">
        <v>15</v>
      </c>
    </row>
    <row r="3501" spans="1:19" x14ac:dyDescent="0.25">
      <c r="A3501" s="87">
        <v>2020</v>
      </c>
      <c r="B3501" s="87">
        <v>1</v>
      </c>
      <c r="C3501" s="173" t="s">
        <v>16</v>
      </c>
      <c r="D3501" s="173" t="s">
        <v>372</v>
      </c>
      <c r="E3501" s="173" t="s">
        <v>373</v>
      </c>
      <c r="F3501" s="173" t="s">
        <v>16</v>
      </c>
      <c r="G3501" s="87" t="b">
        <v>1</v>
      </c>
      <c r="H3501" s="87" t="b">
        <v>0</v>
      </c>
      <c r="I3501" s="87" t="b">
        <v>0</v>
      </c>
      <c r="J3501" s="173" t="s">
        <v>491</v>
      </c>
      <c r="K3501" s="174">
        <v>92929000198</v>
      </c>
      <c r="L3501" s="173" t="s">
        <v>1327</v>
      </c>
      <c r="M3501" s="173" t="s">
        <v>131</v>
      </c>
      <c r="N3501" s="173" t="s">
        <v>61</v>
      </c>
      <c r="O3501" s="87">
        <v>73</v>
      </c>
      <c r="P3501" s="173" t="s">
        <v>26</v>
      </c>
      <c r="Q3501" s="1" t="s">
        <v>1339</v>
      </c>
      <c r="R3501" s="175">
        <v>30</v>
      </c>
      <c r="S3501">
        <v>15</v>
      </c>
    </row>
    <row r="3502" spans="1:19" x14ac:dyDescent="0.25">
      <c r="A3502" s="87">
        <v>2020</v>
      </c>
      <c r="B3502" s="87">
        <v>1</v>
      </c>
      <c r="C3502" s="173" t="s">
        <v>16</v>
      </c>
      <c r="D3502" s="173" t="s">
        <v>372</v>
      </c>
      <c r="E3502" s="173" t="s">
        <v>373</v>
      </c>
      <c r="F3502" s="173" t="s">
        <v>16</v>
      </c>
      <c r="G3502" s="87" t="b">
        <v>1</v>
      </c>
      <c r="H3502" s="87" t="b">
        <v>0</v>
      </c>
      <c r="I3502" s="87" t="b">
        <v>0</v>
      </c>
      <c r="J3502" s="173" t="s">
        <v>506</v>
      </c>
      <c r="K3502" s="174">
        <v>132229000180</v>
      </c>
      <c r="L3502" s="173" t="s">
        <v>1135</v>
      </c>
      <c r="M3502" s="173" t="s">
        <v>58</v>
      </c>
      <c r="N3502" s="173" t="s">
        <v>54</v>
      </c>
      <c r="O3502" s="87">
        <v>70</v>
      </c>
      <c r="P3502" s="173" t="s">
        <v>20</v>
      </c>
      <c r="Q3502" s="1" t="s">
        <v>1338</v>
      </c>
      <c r="R3502" s="175">
        <v>35</v>
      </c>
      <c r="S3502">
        <v>7</v>
      </c>
    </row>
    <row r="3503" spans="1:19" x14ac:dyDescent="0.25">
      <c r="A3503" s="87">
        <v>2020</v>
      </c>
      <c r="B3503" s="87">
        <v>1</v>
      </c>
      <c r="C3503" s="173" t="s">
        <v>16</v>
      </c>
      <c r="D3503" s="173" t="s">
        <v>372</v>
      </c>
      <c r="E3503" s="173" t="s">
        <v>373</v>
      </c>
      <c r="F3503" s="173" t="s">
        <v>16</v>
      </c>
      <c r="G3503" s="87" t="b">
        <v>1</v>
      </c>
      <c r="H3503" s="87" t="b">
        <v>0</v>
      </c>
      <c r="I3503" s="87" t="b">
        <v>0</v>
      </c>
      <c r="J3503" s="173" t="s">
        <v>491</v>
      </c>
      <c r="K3503" s="174">
        <v>304148000110</v>
      </c>
      <c r="L3503" s="173" t="s">
        <v>932</v>
      </c>
      <c r="M3503" s="173" t="s">
        <v>933</v>
      </c>
      <c r="N3503" s="173" t="s">
        <v>57</v>
      </c>
      <c r="O3503" s="87">
        <v>73</v>
      </c>
      <c r="P3503" s="173" t="s">
        <v>26</v>
      </c>
      <c r="Q3503" s="1" t="s">
        <v>1342</v>
      </c>
      <c r="R3503" s="175">
        <v>24</v>
      </c>
      <c r="S3503">
        <v>6</v>
      </c>
    </row>
    <row r="3504" spans="1:19" x14ac:dyDescent="0.25">
      <c r="A3504" s="87">
        <v>2020</v>
      </c>
      <c r="B3504" s="87">
        <v>1</v>
      </c>
      <c r="C3504" s="173" t="s">
        <v>16</v>
      </c>
      <c r="D3504" s="173" t="s">
        <v>372</v>
      </c>
      <c r="E3504" s="173" t="s">
        <v>373</v>
      </c>
      <c r="F3504" s="173" t="s">
        <v>16</v>
      </c>
      <c r="G3504" s="87" t="b">
        <v>1</v>
      </c>
      <c r="H3504" s="87" t="b">
        <v>0</v>
      </c>
      <c r="I3504" s="87" t="b">
        <v>0</v>
      </c>
      <c r="J3504" s="173" t="s">
        <v>452</v>
      </c>
      <c r="K3504" s="174">
        <v>304148000110</v>
      </c>
      <c r="L3504" s="173" t="s">
        <v>932</v>
      </c>
      <c r="M3504" s="173" t="s">
        <v>933</v>
      </c>
      <c r="N3504" s="173" t="s">
        <v>57</v>
      </c>
      <c r="O3504" s="87">
        <v>73</v>
      </c>
      <c r="P3504" s="173" t="s">
        <v>26</v>
      </c>
      <c r="Q3504" s="1" t="s">
        <v>1339</v>
      </c>
      <c r="R3504" s="175">
        <v>4</v>
      </c>
      <c r="S3504">
        <v>2</v>
      </c>
    </row>
    <row r="3505" spans="1:19" x14ac:dyDescent="0.25">
      <c r="A3505" s="87">
        <v>2020</v>
      </c>
      <c r="B3505" s="87">
        <v>1</v>
      </c>
      <c r="C3505" s="173" t="s">
        <v>16</v>
      </c>
      <c r="D3505" s="173" t="s">
        <v>372</v>
      </c>
      <c r="E3505" s="173" t="s">
        <v>373</v>
      </c>
      <c r="F3505" s="173" t="s">
        <v>16</v>
      </c>
      <c r="G3505" s="87" t="b">
        <v>1</v>
      </c>
      <c r="H3505" s="87" t="b">
        <v>0</v>
      </c>
      <c r="I3505" s="87" t="b">
        <v>0</v>
      </c>
      <c r="J3505" s="173" t="s">
        <v>1330</v>
      </c>
      <c r="K3505" s="174">
        <v>394544020291</v>
      </c>
      <c r="L3505" s="173" t="s">
        <v>1072</v>
      </c>
      <c r="M3505" s="173" t="s">
        <v>131</v>
      </c>
      <c r="N3505" s="173" t="s">
        <v>61</v>
      </c>
      <c r="O3505" s="87">
        <v>64</v>
      </c>
      <c r="P3505" s="173" t="s">
        <v>25</v>
      </c>
      <c r="Q3505" s="1" t="s">
        <v>1344</v>
      </c>
      <c r="R3505" s="175">
        <v>60</v>
      </c>
      <c r="S3505">
        <v>60</v>
      </c>
    </row>
    <row r="3506" spans="1:19" x14ac:dyDescent="0.25">
      <c r="A3506" s="87">
        <v>2020</v>
      </c>
      <c r="B3506" s="87">
        <v>1</v>
      </c>
      <c r="C3506" s="173" t="s">
        <v>16</v>
      </c>
      <c r="D3506" s="173" t="s">
        <v>372</v>
      </c>
      <c r="E3506" s="173" t="s">
        <v>373</v>
      </c>
      <c r="F3506" s="173" t="s">
        <v>16</v>
      </c>
      <c r="G3506" s="87" t="b">
        <v>1</v>
      </c>
      <c r="H3506" s="87" t="b">
        <v>0</v>
      </c>
      <c r="I3506" s="87" t="b">
        <v>0</v>
      </c>
      <c r="J3506" s="173" t="s">
        <v>1330</v>
      </c>
      <c r="K3506" s="174">
        <v>394544020453</v>
      </c>
      <c r="L3506" s="173" t="s">
        <v>1074</v>
      </c>
      <c r="M3506" s="173" t="s">
        <v>131</v>
      </c>
      <c r="N3506" s="173" t="s">
        <v>61</v>
      </c>
      <c r="O3506" s="87">
        <v>70</v>
      </c>
      <c r="P3506" s="173" t="s">
        <v>20</v>
      </c>
      <c r="Q3506" s="1" t="s">
        <v>1338</v>
      </c>
      <c r="R3506" s="175">
        <v>215</v>
      </c>
      <c r="S3506">
        <v>43</v>
      </c>
    </row>
    <row r="3507" spans="1:19" x14ac:dyDescent="0.25">
      <c r="A3507" s="87">
        <v>2020</v>
      </c>
      <c r="B3507" s="87">
        <v>1</v>
      </c>
      <c r="C3507" s="173" t="s">
        <v>16</v>
      </c>
      <c r="D3507" s="173" t="s">
        <v>372</v>
      </c>
      <c r="E3507" s="173" t="s">
        <v>373</v>
      </c>
      <c r="F3507" s="173" t="s">
        <v>16</v>
      </c>
      <c r="G3507" s="87" t="b">
        <v>1</v>
      </c>
      <c r="H3507" s="87" t="b">
        <v>0</v>
      </c>
      <c r="I3507" s="87" t="b">
        <v>0</v>
      </c>
      <c r="J3507" s="173" t="s">
        <v>1330</v>
      </c>
      <c r="K3507" s="174">
        <v>394544021344</v>
      </c>
      <c r="L3507" s="173" t="s">
        <v>1076</v>
      </c>
      <c r="M3507" s="173" t="s">
        <v>131</v>
      </c>
      <c r="N3507" s="173" t="s">
        <v>61</v>
      </c>
      <c r="O3507" s="87">
        <v>64</v>
      </c>
      <c r="P3507" s="173" t="s">
        <v>25</v>
      </c>
      <c r="Q3507" s="1" t="s">
        <v>1344</v>
      </c>
      <c r="R3507" s="175">
        <v>10</v>
      </c>
      <c r="S3507">
        <v>10</v>
      </c>
    </row>
    <row r="3508" spans="1:19" x14ac:dyDescent="0.25">
      <c r="A3508" s="87">
        <v>2020</v>
      </c>
      <c r="B3508" s="87">
        <v>1</v>
      </c>
      <c r="C3508" s="173" t="s">
        <v>16</v>
      </c>
      <c r="D3508" s="173" t="s">
        <v>372</v>
      </c>
      <c r="E3508" s="173" t="s">
        <v>373</v>
      </c>
      <c r="F3508" s="173" t="s">
        <v>16</v>
      </c>
      <c r="G3508" s="87" t="b">
        <v>1</v>
      </c>
      <c r="H3508" s="87" t="b">
        <v>0</v>
      </c>
      <c r="I3508" s="87" t="b">
        <v>0</v>
      </c>
      <c r="J3508" s="173" t="s">
        <v>451</v>
      </c>
      <c r="K3508" s="174">
        <v>410960000120</v>
      </c>
      <c r="L3508" s="173" t="s">
        <v>1137</v>
      </c>
      <c r="M3508" s="173" t="s">
        <v>58</v>
      </c>
      <c r="N3508" s="173" t="s">
        <v>54</v>
      </c>
      <c r="O3508" s="87">
        <v>70</v>
      </c>
      <c r="P3508" s="173" t="s">
        <v>20</v>
      </c>
      <c r="Q3508" s="1" t="s">
        <v>1346</v>
      </c>
      <c r="R3508" s="175">
        <v>2.5</v>
      </c>
      <c r="S3508">
        <v>1</v>
      </c>
    </row>
    <row r="3509" spans="1:19" x14ac:dyDescent="0.25">
      <c r="A3509" s="87">
        <v>2020</v>
      </c>
      <c r="B3509" s="87">
        <v>1</v>
      </c>
      <c r="C3509" s="173" t="s">
        <v>16</v>
      </c>
      <c r="D3509" s="173" t="s">
        <v>372</v>
      </c>
      <c r="E3509" s="173" t="s">
        <v>373</v>
      </c>
      <c r="F3509" s="173" t="s">
        <v>16</v>
      </c>
      <c r="G3509" s="87" t="b">
        <v>1</v>
      </c>
      <c r="H3509" s="87" t="b">
        <v>0</v>
      </c>
      <c r="I3509" s="87" t="b">
        <v>0</v>
      </c>
      <c r="J3509" s="173" t="s">
        <v>451</v>
      </c>
      <c r="K3509" s="174">
        <v>410960000120</v>
      </c>
      <c r="L3509" s="173" t="s">
        <v>1137</v>
      </c>
      <c r="M3509" s="173" t="s">
        <v>58</v>
      </c>
      <c r="N3509" s="173" t="s">
        <v>54</v>
      </c>
      <c r="O3509" s="87">
        <v>70</v>
      </c>
      <c r="P3509" s="173" t="s">
        <v>20</v>
      </c>
      <c r="Q3509" s="1" t="s">
        <v>1338</v>
      </c>
      <c r="R3509" s="175">
        <v>1120</v>
      </c>
      <c r="S3509">
        <v>224</v>
      </c>
    </row>
    <row r="3510" spans="1:19" x14ac:dyDescent="0.25">
      <c r="A3510" s="87">
        <v>2020</v>
      </c>
      <c r="B3510" s="87">
        <v>1</v>
      </c>
      <c r="C3510" s="173" t="s">
        <v>16</v>
      </c>
      <c r="D3510" s="173" t="s">
        <v>372</v>
      </c>
      <c r="E3510" s="173" t="s">
        <v>373</v>
      </c>
      <c r="F3510" s="173" t="s">
        <v>16</v>
      </c>
      <c r="G3510" s="87" t="b">
        <v>1</v>
      </c>
      <c r="H3510" s="87" t="b">
        <v>0</v>
      </c>
      <c r="I3510" s="87" t="b">
        <v>0</v>
      </c>
      <c r="J3510" s="173" t="s">
        <v>451</v>
      </c>
      <c r="K3510" s="174">
        <v>410960000120</v>
      </c>
      <c r="L3510" s="173" t="s">
        <v>1137</v>
      </c>
      <c r="M3510" s="173" t="s">
        <v>58</v>
      </c>
      <c r="N3510" s="173" t="s">
        <v>54</v>
      </c>
      <c r="O3510" s="87">
        <v>73</v>
      </c>
      <c r="P3510" s="173" t="s">
        <v>26</v>
      </c>
      <c r="Q3510" s="1" t="s">
        <v>1342</v>
      </c>
      <c r="R3510" s="175">
        <v>32</v>
      </c>
      <c r="S3510">
        <v>8</v>
      </c>
    </row>
    <row r="3511" spans="1:19" x14ac:dyDescent="0.25">
      <c r="A3511" s="87">
        <v>2020</v>
      </c>
      <c r="B3511" s="87">
        <v>1</v>
      </c>
      <c r="C3511" s="173" t="s">
        <v>16</v>
      </c>
      <c r="D3511" s="173" t="s">
        <v>372</v>
      </c>
      <c r="E3511" s="173" t="s">
        <v>373</v>
      </c>
      <c r="F3511" s="173" t="s">
        <v>16</v>
      </c>
      <c r="G3511" s="87" t="b">
        <v>1</v>
      </c>
      <c r="H3511" s="87" t="b">
        <v>0</v>
      </c>
      <c r="I3511" s="87" t="b">
        <v>0</v>
      </c>
      <c r="J3511" s="173" t="s">
        <v>455</v>
      </c>
      <c r="K3511" s="174">
        <v>418954000119</v>
      </c>
      <c r="L3511" s="173" t="s">
        <v>751</v>
      </c>
      <c r="M3511" s="173" t="s">
        <v>745</v>
      </c>
      <c r="N3511" s="173" t="s">
        <v>59</v>
      </c>
      <c r="O3511" s="87">
        <v>70</v>
      </c>
      <c r="P3511" s="173" t="s">
        <v>20</v>
      </c>
      <c r="Q3511" s="1" t="s">
        <v>1338</v>
      </c>
      <c r="R3511" s="175">
        <v>150</v>
      </c>
      <c r="S3511">
        <v>30</v>
      </c>
    </row>
    <row r="3512" spans="1:19" x14ac:dyDescent="0.25">
      <c r="A3512" s="87">
        <v>2020</v>
      </c>
      <c r="B3512" s="87">
        <v>1</v>
      </c>
      <c r="C3512" s="173" t="s">
        <v>16</v>
      </c>
      <c r="D3512" s="173" t="s">
        <v>372</v>
      </c>
      <c r="E3512" s="173" t="s">
        <v>373</v>
      </c>
      <c r="F3512" s="173" t="s">
        <v>16</v>
      </c>
      <c r="G3512" s="87" t="b">
        <v>1</v>
      </c>
      <c r="H3512" s="87" t="b">
        <v>0</v>
      </c>
      <c r="I3512" s="87" t="b">
        <v>0</v>
      </c>
      <c r="J3512" s="173" t="s">
        <v>451</v>
      </c>
      <c r="K3512" s="174">
        <v>437007000175</v>
      </c>
      <c r="L3512" s="173" t="s">
        <v>1038</v>
      </c>
      <c r="M3512" s="173" t="s">
        <v>1039</v>
      </c>
      <c r="N3512" s="173" t="s">
        <v>61</v>
      </c>
      <c r="O3512" s="87">
        <v>70</v>
      </c>
      <c r="P3512" s="173" t="s">
        <v>20</v>
      </c>
      <c r="Q3512" s="1" t="s">
        <v>1338</v>
      </c>
      <c r="R3512" s="175">
        <v>425</v>
      </c>
      <c r="S3512">
        <v>85</v>
      </c>
    </row>
    <row r="3513" spans="1:19" x14ac:dyDescent="0.25">
      <c r="A3513" s="87">
        <v>2020</v>
      </c>
      <c r="B3513" s="87">
        <v>1</v>
      </c>
      <c r="C3513" s="173" t="s">
        <v>16</v>
      </c>
      <c r="D3513" s="173" t="s">
        <v>372</v>
      </c>
      <c r="E3513" s="173" t="s">
        <v>373</v>
      </c>
      <c r="F3513" s="173" t="s">
        <v>16</v>
      </c>
      <c r="G3513" s="87" t="b">
        <v>1</v>
      </c>
      <c r="H3513" s="87" t="b">
        <v>0</v>
      </c>
      <c r="I3513" s="87" t="b">
        <v>0</v>
      </c>
      <c r="J3513" s="173" t="s">
        <v>491</v>
      </c>
      <c r="K3513" s="174">
        <v>437007000175</v>
      </c>
      <c r="L3513" s="173" t="s">
        <v>1038</v>
      </c>
      <c r="M3513" s="173" t="s">
        <v>1039</v>
      </c>
      <c r="N3513" s="173" t="s">
        <v>61</v>
      </c>
      <c r="O3513" s="87">
        <v>73</v>
      </c>
      <c r="P3513" s="173" t="s">
        <v>26</v>
      </c>
      <c r="Q3513" s="1" t="s">
        <v>1339</v>
      </c>
      <c r="R3513" s="175">
        <v>4</v>
      </c>
      <c r="S3513">
        <v>2</v>
      </c>
    </row>
    <row r="3514" spans="1:19" x14ac:dyDescent="0.25">
      <c r="A3514" s="87">
        <v>2020</v>
      </c>
      <c r="B3514" s="87">
        <v>1</v>
      </c>
      <c r="C3514" s="173" t="s">
        <v>16</v>
      </c>
      <c r="D3514" s="173" t="s">
        <v>372</v>
      </c>
      <c r="E3514" s="173" t="s">
        <v>373</v>
      </c>
      <c r="F3514" s="173" t="s">
        <v>16</v>
      </c>
      <c r="G3514" s="87" t="b">
        <v>1</v>
      </c>
      <c r="H3514" s="87" t="b">
        <v>0</v>
      </c>
      <c r="I3514" s="87" t="b">
        <v>0</v>
      </c>
      <c r="J3514" s="173" t="s">
        <v>491</v>
      </c>
      <c r="K3514" s="174">
        <v>437007000175</v>
      </c>
      <c r="L3514" s="173" t="s">
        <v>1038</v>
      </c>
      <c r="M3514" s="173" t="s">
        <v>1039</v>
      </c>
      <c r="N3514" s="173" t="s">
        <v>61</v>
      </c>
      <c r="O3514" s="87">
        <v>73</v>
      </c>
      <c r="P3514" s="173" t="s">
        <v>26</v>
      </c>
      <c r="Q3514" s="1" t="s">
        <v>1342</v>
      </c>
      <c r="R3514" s="175">
        <v>172</v>
      </c>
      <c r="S3514">
        <v>43</v>
      </c>
    </row>
    <row r="3515" spans="1:19" x14ac:dyDescent="0.25">
      <c r="A3515" s="87">
        <v>2020</v>
      </c>
      <c r="B3515" s="87">
        <v>1</v>
      </c>
      <c r="C3515" s="173" t="s">
        <v>16</v>
      </c>
      <c r="D3515" s="173" t="s">
        <v>372</v>
      </c>
      <c r="E3515" s="173" t="s">
        <v>373</v>
      </c>
      <c r="F3515" s="173" t="s">
        <v>16</v>
      </c>
      <c r="G3515" s="87" t="b">
        <v>1</v>
      </c>
      <c r="H3515" s="87" t="b">
        <v>0</v>
      </c>
      <c r="I3515" s="87" t="b">
        <v>0</v>
      </c>
      <c r="J3515" s="173" t="s">
        <v>450</v>
      </c>
      <c r="K3515" s="174">
        <v>461479004150</v>
      </c>
      <c r="L3515" s="173" t="s">
        <v>1138</v>
      </c>
      <c r="M3515" s="173" t="s">
        <v>29</v>
      </c>
      <c r="N3515" s="173" t="s">
        <v>19</v>
      </c>
      <c r="O3515" s="87">
        <v>70</v>
      </c>
      <c r="P3515" s="173" t="s">
        <v>20</v>
      </c>
      <c r="Q3515" s="1" t="s">
        <v>1338</v>
      </c>
      <c r="R3515" s="175">
        <v>175</v>
      </c>
      <c r="S3515">
        <v>35</v>
      </c>
    </row>
    <row r="3516" spans="1:19" x14ac:dyDescent="0.25">
      <c r="A3516" s="87">
        <v>2020</v>
      </c>
      <c r="B3516" s="87">
        <v>1</v>
      </c>
      <c r="C3516" s="173" t="s">
        <v>16</v>
      </c>
      <c r="D3516" s="173" t="s">
        <v>372</v>
      </c>
      <c r="E3516" s="173" t="s">
        <v>373</v>
      </c>
      <c r="F3516" s="173" t="s">
        <v>16</v>
      </c>
      <c r="G3516" s="87" t="b">
        <v>1</v>
      </c>
      <c r="H3516" s="87" t="b">
        <v>0</v>
      </c>
      <c r="I3516" s="87" t="b">
        <v>0</v>
      </c>
      <c r="J3516" s="173" t="s">
        <v>450</v>
      </c>
      <c r="K3516" s="174">
        <v>461479004584</v>
      </c>
      <c r="L3516" s="173" t="s">
        <v>560</v>
      </c>
      <c r="M3516" s="173" t="s">
        <v>29</v>
      </c>
      <c r="N3516" s="173" t="s">
        <v>19</v>
      </c>
      <c r="O3516" s="87">
        <v>70</v>
      </c>
      <c r="P3516" s="173" t="s">
        <v>20</v>
      </c>
      <c r="Q3516" s="1" t="s">
        <v>1338</v>
      </c>
      <c r="R3516" s="175">
        <v>1940</v>
      </c>
      <c r="S3516">
        <v>388</v>
      </c>
    </row>
    <row r="3517" spans="1:19" x14ac:dyDescent="0.25">
      <c r="A3517" s="87">
        <v>2020</v>
      </c>
      <c r="B3517" s="87">
        <v>1</v>
      </c>
      <c r="C3517" s="173" t="s">
        <v>16</v>
      </c>
      <c r="D3517" s="173" t="s">
        <v>372</v>
      </c>
      <c r="E3517" s="173" t="s">
        <v>373</v>
      </c>
      <c r="F3517" s="173" t="s">
        <v>16</v>
      </c>
      <c r="G3517" s="87" t="b">
        <v>1</v>
      </c>
      <c r="H3517" s="87" t="b">
        <v>0</v>
      </c>
      <c r="I3517" s="87" t="b">
        <v>0</v>
      </c>
      <c r="J3517" s="173" t="s">
        <v>450</v>
      </c>
      <c r="K3517" s="174">
        <v>461479007257</v>
      </c>
      <c r="L3517" s="173" t="s">
        <v>1435</v>
      </c>
      <c r="M3517" s="173" t="s">
        <v>35</v>
      </c>
      <c r="N3517" s="173" t="s">
        <v>19</v>
      </c>
      <c r="O3517" s="87">
        <v>70</v>
      </c>
      <c r="P3517" s="173" t="s">
        <v>20</v>
      </c>
      <c r="Q3517" s="1" t="s">
        <v>1338</v>
      </c>
      <c r="R3517" s="175">
        <v>175</v>
      </c>
      <c r="S3517">
        <v>35</v>
      </c>
    </row>
    <row r="3518" spans="1:19" x14ac:dyDescent="0.25">
      <c r="A3518" s="87">
        <v>2020</v>
      </c>
      <c r="B3518" s="87">
        <v>1</v>
      </c>
      <c r="C3518" s="173" t="s">
        <v>16</v>
      </c>
      <c r="D3518" s="173" t="s">
        <v>372</v>
      </c>
      <c r="E3518" s="173" t="s">
        <v>373</v>
      </c>
      <c r="F3518" s="173" t="s">
        <v>16</v>
      </c>
      <c r="G3518" s="87" t="b">
        <v>1</v>
      </c>
      <c r="H3518" s="87" t="b">
        <v>0</v>
      </c>
      <c r="I3518" s="87" t="b">
        <v>0</v>
      </c>
      <c r="J3518" s="173" t="s">
        <v>470</v>
      </c>
      <c r="K3518" s="174">
        <v>520237000101</v>
      </c>
      <c r="L3518" s="173" t="s">
        <v>755</v>
      </c>
      <c r="M3518" s="173" t="s">
        <v>739</v>
      </c>
      <c r="N3518" s="173" t="s">
        <v>55</v>
      </c>
      <c r="O3518" s="87">
        <v>70</v>
      </c>
      <c r="P3518" s="173" t="s">
        <v>20</v>
      </c>
      <c r="Q3518" s="1" t="s">
        <v>1338</v>
      </c>
      <c r="R3518" s="175">
        <v>500</v>
      </c>
      <c r="S3518">
        <v>100</v>
      </c>
    </row>
    <row r="3519" spans="1:19" x14ac:dyDescent="0.25">
      <c r="A3519" s="87">
        <v>2020</v>
      </c>
      <c r="B3519" s="87">
        <v>1</v>
      </c>
      <c r="C3519" s="173" t="s">
        <v>16</v>
      </c>
      <c r="D3519" s="173" t="s">
        <v>372</v>
      </c>
      <c r="E3519" s="173" t="s">
        <v>373</v>
      </c>
      <c r="F3519" s="173" t="s">
        <v>16</v>
      </c>
      <c r="G3519" s="87" t="b">
        <v>1</v>
      </c>
      <c r="H3519" s="87" t="b">
        <v>0</v>
      </c>
      <c r="I3519" s="87" t="b">
        <v>0</v>
      </c>
      <c r="J3519" s="173" t="s">
        <v>451</v>
      </c>
      <c r="K3519" s="174">
        <v>520237000101</v>
      </c>
      <c r="L3519" s="173" t="s">
        <v>755</v>
      </c>
      <c r="M3519" s="173" t="s">
        <v>739</v>
      </c>
      <c r="N3519" s="173" t="s">
        <v>55</v>
      </c>
      <c r="O3519" s="87">
        <v>70</v>
      </c>
      <c r="P3519" s="173" t="s">
        <v>20</v>
      </c>
      <c r="Q3519" s="1" t="s">
        <v>1338</v>
      </c>
      <c r="R3519" s="175">
        <v>300</v>
      </c>
      <c r="S3519">
        <v>60</v>
      </c>
    </row>
    <row r="3520" spans="1:19" x14ac:dyDescent="0.25">
      <c r="A3520" s="87">
        <v>2020</v>
      </c>
      <c r="B3520" s="87">
        <v>1</v>
      </c>
      <c r="C3520" s="173" t="s">
        <v>16</v>
      </c>
      <c r="D3520" s="173" t="s">
        <v>372</v>
      </c>
      <c r="E3520" s="173" t="s">
        <v>373</v>
      </c>
      <c r="F3520" s="173" t="s">
        <v>16</v>
      </c>
      <c r="G3520" s="87" t="b">
        <v>1</v>
      </c>
      <c r="H3520" s="87" t="b">
        <v>0</v>
      </c>
      <c r="I3520" s="87" t="b">
        <v>0</v>
      </c>
      <c r="J3520" s="173" t="s">
        <v>450</v>
      </c>
      <c r="K3520" s="174">
        <v>520237000101</v>
      </c>
      <c r="L3520" s="173" t="s">
        <v>755</v>
      </c>
      <c r="M3520" s="173" t="s">
        <v>739</v>
      </c>
      <c r="N3520" s="173" t="s">
        <v>55</v>
      </c>
      <c r="O3520" s="87">
        <v>73</v>
      </c>
      <c r="P3520" s="173" t="s">
        <v>26</v>
      </c>
      <c r="Q3520" s="1" t="s">
        <v>1339</v>
      </c>
      <c r="R3520" s="175">
        <v>32</v>
      </c>
      <c r="S3520">
        <v>16</v>
      </c>
    </row>
    <row r="3521" spans="1:19" x14ac:dyDescent="0.25">
      <c r="A3521" s="87">
        <v>2020</v>
      </c>
      <c r="B3521" s="87">
        <v>1</v>
      </c>
      <c r="C3521" s="173" t="s">
        <v>16</v>
      </c>
      <c r="D3521" s="173" t="s">
        <v>372</v>
      </c>
      <c r="E3521" s="173" t="s">
        <v>373</v>
      </c>
      <c r="F3521" s="173" t="s">
        <v>16</v>
      </c>
      <c r="G3521" s="87" t="b">
        <v>1</v>
      </c>
      <c r="H3521" s="87" t="b">
        <v>0</v>
      </c>
      <c r="I3521" s="87" t="b">
        <v>0</v>
      </c>
      <c r="J3521" s="173" t="s">
        <v>450</v>
      </c>
      <c r="K3521" s="174">
        <v>520237000101</v>
      </c>
      <c r="L3521" s="173" t="s">
        <v>755</v>
      </c>
      <c r="M3521" s="173" t="s">
        <v>739</v>
      </c>
      <c r="N3521" s="173" t="s">
        <v>55</v>
      </c>
      <c r="O3521" s="87">
        <v>73</v>
      </c>
      <c r="P3521" s="173" t="s">
        <v>26</v>
      </c>
      <c r="Q3521" s="1" t="s">
        <v>1342</v>
      </c>
      <c r="R3521" s="175">
        <v>120</v>
      </c>
      <c r="S3521">
        <v>30</v>
      </c>
    </row>
    <row r="3522" spans="1:19" x14ac:dyDescent="0.25">
      <c r="A3522" s="87">
        <v>2020</v>
      </c>
      <c r="B3522" s="87">
        <v>1</v>
      </c>
      <c r="C3522" s="173" t="s">
        <v>16</v>
      </c>
      <c r="D3522" s="173" t="s">
        <v>372</v>
      </c>
      <c r="E3522" s="173" t="s">
        <v>373</v>
      </c>
      <c r="F3522" s="173" t="s">
        <v>16</v>
      </c>
      <c r="G3522" s="87" t="b">
        <v>1</v>
      </c>
      <c r="H3522" s="87" t="b">
        <v>0</v>
      </c>
      <c r="I3522" s="87" t="b">
        <v>0</v>
      </c>
      <c r="J3522" s="173" t="s">
        <v>450</v>
      </c>
      <c r="K3522" s="174">
        <v>520237000101</v>
      </c>
      <c r="L3522" s="173" t="s">
        <v>755</v>
      </c>
      <c r="M3522" s="173" t="s">
        <v>739</v>
      </c>
      <c r="N3522" s="173" t="s">
        <v>55</v>
      </c>
      <c r="O3522" s="87">
        <v>73</v>
      </c>
      <c r="P3522" s="173" t="s">
        <v>26</v>
      </c>
      <c r="Q3522" s="1" t="s">
        <v>1340</v>
      </c>
      <c r="R3522" s="175">
        <v>11</v>
      </c>
      <c r="S3522">
        <v>11</v>
      </c>
    </row>
    <row r="3523" spans="1:19" x14ac:dyDescent="0.25">
      <c r="A3523" s="87">
        <v>2020</v>
      </c>
      <c r="B3523" s="87">
        <v>1</v>
      </c>
      <c r="C3523" s="173" t="s">
        <v>16</v>
      </c>
      <c r="D3523" s="173" t="s">
        <v>372</v>
      </c>
      <c r="E3523" s="173" t="s">
        <v>373</v>
      </c>
      <c r="F3523" s="173" t="s">
        <v>16</v>
      </c>
      <c r="G3523" s="87" t="b">
        <v>1</v>
      </c>
      <c r="H3523" s="87" t="b">
        <v>0</v>
      </c>
      <c r="I3523" s="87" t="b">
        <v>0</v>
      </c>
      <c r="J3523" s="173" t="s">
        <v>477</v>
      </c>
      <c r="K3523" s="174">
        <v>521197000104</v>
      </c>
      <c r="L3523" s="173" t="s">
        <v>1040</v>
      </c>
      <c r="M3523" s="173" t="s">
        <v>1039</v>
      </c>
      <c r="N3523" s="173" t="s">
        <v>61</v>
      </c>
      <c r="O3523" s="87">
        <v>70</v>
      </c>
      <c r="P3523" s="173" t="s">
        <v>20</v>
      </c>
      <c r="Q3523" s="1" t="s">
        <v>1338</v>
      </c>
      <c r="R3523" s="175">
        <v>80</v>
      </c>
      <c r="S3523">
        <v>16</v>
      </c>
    </row>
    <row r="3524" spans="1:19" x14ac:dyDescent="0.25">
      <c r="A3524" s="87">
        <v>2020</v>
      </c>
      <c r="B3524" s="87">
        <v>1</v>
      </c>
      <c r="C3524" s="173" t="s">
        <v>16</v>
      </c>
      <c r="D3524" s="173" t="s">
        <v>372</v>
      </c>
      <c r="E3524" s="173" t="s">
        <v>373</v>
      </c>
      <c r="F3524" s="173" t="s">
        <v>16</v>
      </c>
      <c r="G3524" s="87" t="b">
        <v>1</v>
      </c>
      <c r="H3524" s="87" t="b">
        <v>0</v>
      </c>
      <c r="I3524" s="87" t="b">
        <v>0</v>
      </c>
      <c r="J3524" s="173" t="s">
        <v>451</v>
      </c>
      <c r="K3524" s="174">
        <v>521197000104</v>
      </c>
      <c r="L3524" s="173" t="s">
        <v>1040</v>
      </c>
      <c r="M3524" s="173" t="s">
        <v>1039</v>
      </c>
      <c r="N3524" s="173" t="s">
        <v>61</v>
      </c>
      <c r="O3524" s="87">
        <v>70</v>
      </c>
      <c r="P3524" s="173" t="s">
        <v>20</v>
      </c>
      <c r="Q3524" s="1" t="s">
        <v>1338</v>
      </c>
      <c r="R3524" s="175">
        <v>50</v>
      </c>
      <c r="S3524">
        <v>10</v>
      </c>
    </row>
    <row r="3525" spans="1:19" x14ac:dyDescent="0.25">
      <c r="A3525" s="87">
        <v>2020</v>
      </c>
      <c r="B3525" s="87">
        <v>1</v>
      </c>
      <c r="C3525" s="173" t="s">
        <v>16</v>
      </c>
      <c r="D3525" s="173" t="s">
        <v>372</v>
      </c>
      <c r="E3525" s="173" t="s">
        <v>373</v>
      </c>
      <c r="F3525" s="173" t="s">
        <v>16</v>
      </c>
      <c r="G3525" s="87" t="b">
        <v>1</v>
      </c>
      <c r="H3525" s="87" t="b">
        <v>0</v>
      </c>
      <c r="I3525" s="87" t="b">
        <v>0</v>
      </c>
      <c r="J3525" s="173" t="s">
        <v>491</v>
      </c>
      <c r="K3525" s="174">
        <v>521197000104</v>
      </c>
      <c r="L3525" s="173" t="s">
        <v>1040</v>
      </c>
      <c r="M3525" s="173" t="s">
        <v>1039</v>
      </c>
      <c r="N3525" s="173" t="s">
        <v>61</v>
      </c>
      <c r="O3525" s="87">
        <v>70</v>
      </c>
      <c r="P3525" s="173" t="s">
        <v>20</v>
      </c>
      <c r="Q3525" s="1" t="s">
        <v>1338</v>
      </c>
      <c r="R3525" s="175">
        <v>225</v>
      </c>
      <c r="S3525">
        <v>45</v>
      </c>
    </row>
    <row r="3526" spans="1:19" x14ac:dyDescent="0.25">
      <c r="A3526" s="87">
        <v>2020</v>
      </c>
      <c r="B3526" s="87">
        <v>1</v>
      </c>
      <c r="C3526" s="173" t="s">
        <v>16</v>
      </c>
      <c r="D3526" s="173" t="s">
        <v>372</v>
      </c>
      <c r="E3526" s="173" t="s">
        <v>373</v>
      </c>
      <c r="F3526" s="173" t="s">
        <v>16</v>
      </c>
      <c r="G3526" s="87" t="b">
        <v>1</v>
      </c>
      <c r="H3526" s="87" t="b">
        <v>0</v>
      </c>
      <c r="I3526" s="87" t="b">
        <v>0</v>
      </c>
      <c r="J3526" s="173" t="s">
        <v>470</v>
      </c>
      <c r="K3526" s="174">
        <v>603226000187</v>
      </c>
      <c r="L3526" s="173" t="s">
        <v>561</v>
      </c>
      <c r="M3526" s="173" t="s">
        <v>29</v>
      </c>
      <c r="N3526" s="173" t="s">
        <v>19</v>
      </c>
      <c r="O3526" s="87">
        <v>73</v>
      </c>
      <c r="P3526" s="173" t="s">
        <v>26</v>
      </c>
      <c r="Q3526" s="1" t="s">
        <v>1342</v>
      </c>
      <c r="R3526" s="175">
        <v>4</v>
      </c>
      <c r="S3526">
        <v>1</v>
      </c>
    </row>
    <row r="3527" spans="1:19" x14ac:dyDescent="0.25">
      <c r="A3527" s="87">
        <v>2020</v>
      </c>
      <c r="B3527" s="87">
        <v>1</v>
      </c>
      <c r="C3527" s="173" t="s">
        <v>16</v>
      </c>
      <c r="D3527" s="173" t="s">
        <v>372</v>
      </c>
      <c r="E3527" s="173" t="s">
        <v>373</v>
      </c>
      <c r="F3527" s="173" t="s">
        <v>16</v>
      </c>
      <c r="G3527" s="87" t="b">
        <v>1</v>
      </c>
      <c r="H3527" s="87" t="b">
        <v>0</v>
      </c>
      <c r="I3527" s="87" t="b">
        <v>0</v>
      </c>
      <c r="J3527" s="173" t="s">
        <v>468</v>
      </c>
      <c r="K3527" s="174">
        <v>610980000144</v>
      </c>
      <c r="L3527" s="173" t="s">
        <v>756</v>
      </c>
      <c r="M3527" s="173" t="s">
        <v>739</v>
      </c>
      <c r="N3527" s="173" t="s">
        <v>55</v>
      </c>
      <c r="O3527" s="87">
        <v>70</v>
      </c>
      <c r="P3527" s="173" t="s">
        <v>20</v>
      </c>
      <c r="Q3527" s="1" t="s">
        <v>1338</v>
      </c>
      <c r="R3527" s="175">
        <v>300</v>
      </c>
      <c r="S3527">
        <v>60</v>
      </c>
    </row>
    <row r="3528" spans="1:19" x14ac:dyDescent="0.25">
      <c r="A3528" s="87">
        <v>2020</v>
      </c>
      <c r="B3528" s="87">
        <v>1</v>
      </c>
      <c r="C3528" s="173" t="s">
        <v>16</v>
      </c>
      <c r="D3528" s="173" t="s">
        <v>372</v>
      </c>
      <c r="E3528" s="173" t="s">
        <v>373</v>
      </c>
      <c r="F3528" s="173" t="s">
        <v>16</v>
      </c>
      <c r="G3528" s="87" t="b">
        <v>1</v>
      </c>
      <c r="H3528" s="87" t="b">
        <v>0</v>
      </c>
      <c r="I3528" s="87" t="b">
        <v>0</v>
      </c>
      <c r="J3528" s="173" t="s">
        <v>506</v>
      </c>
      <c r="K3528" s="174">
        <v>745887000570</v>
      </c>
      <c r="L3528" s="173" t="s">
        <v>1436</v>
      </c>
      <c r="M3528" s="173" t="s">
        <v>1437</v>
      </c>
      <c r="N3528" s="173" t="s">
        <v>19</v>
      </c>
      <c r="O3528" s="87">
        <v>70</v>
      </c>
      <c r="P3528" s="173" t="s">
        <v>20</v>
      </c>
      <c r="Q3528" s="1" t="s">
        <v>1338</v>
      </c>
      <c r="R3528" s="175">
        <v>50</v>
      </c>
      <c r="S3528">
        <v>10</v>
      </c>
    </row>
    <row r="3529" spans="1:19" x14ac:dyDescent="0.25">
      <c r="A3529" s="87">
        <v>2020</v>
      </c>
      <c r="B3529" s="87">
        <v>1</v>
      </c>
      <c r="C3529" s="173" t="s">
        <v>16</v>
      </c>
      <c r="D3529" s="173" t="s">
        <v>372</v>
      </c>
      <c r="E3529" s="173" t="s">
        <v>373</v>
      </c>
      <c r="F3529" s="173" t="s">
        <v>16</v>
      </c>
      <c r="G3529" s="87" t="b">
        <v>1</v>
      </c>
      <c r="H3529" s="87" t="b">
        <v>0</v>
      </c>
      <c r="I3529" s="87" t="b">
        <v>0</v>
      </c>
      <c r="J3529" s="173" t="s">
        <v>455</v>
      </c>
      <c r="K3529" s="174">
        <v>754174000140</v>
      </c>
      <c r="L3529" s="173" t="s">
        <v>1438</v>
      </c>
      <c r="M3529" s="173" t="s">
        <v>745</v>
      </c>
      <c r="N3529" s="173" t="s">
        <v>59</v>
      </c>
      <c r="O3529" s="87">
        <v>70</v>
      </c>
      <c r="P3529" s="173" t="s">
        <v>20</v>
      </c>
      <c r="Q3529" s="1" t="s">
        <v>1338</v>
      </c>
      <c r="R3529" s="175">
        <v>50</v>
      </c>
      <c r="S3529">
        <v>10</v>
      </c>
    </row>
    <row r="3530" spans="1:19" x14ac:dyDescent="0.25">
      <c r="A3530" s="87">
        <v>2020</v>
      </c>
      <c r="B3530" s="87">
        <v>1</v>
      </c>
      <c r="C3530" s="173" t="s">
        <v>16</v>
      </c>
      <c r="D3530" s="173" t="s">
        <v>372</v>
      </c>
      <c r="E3530" s="173" t="s">
        <v>373</v>
      </c>
      <c r="F3530" s="173" t="s">
        <v>16</v>
      </c>
      <c r="G3530" s="87" t="b">
        <v>1</v>
      </c>
      <c r="H3530" s="87" t="b">
        <v>0</v>
      </c>
      <c r="I3530" s="87" t="b">
        <v>0</v>
      </c>
      <c r="J3530" s="173" t="s">
        <v>492</v>
      </c>
      <c r="K3530" s="174">
        <v>773639001505</v>
      </c>
      <c r="L3530" s="173" t="s">
        <v>1439</v>
      </c>
      <c r="M3530" s="173" t="s">
        <v>100</v>
      </c>
      <c r="N3530" s="173" t="s">
        <v>67</v>
      </c>
      <c r="O3530" s="87">
        <v>70</v>
      </c>
      <c r="P3530" s="173" t="s">
        <v>20</v>
      </c>
      <c r="Q3530" s="1" t="s">
        <v>1338</v>
      </c>
      <c r="R3530" s="175">
        <v>150</v>
      </c>
      <c r="S3530">
        <v>30</v>
      </c>
    </row>
    <row r="3531" spans="1:19" x14ac:dyDescent="0.25">
      <c r="A3531" s="87">
        <v>2020</v>
      </c>
      <c r="B3531" s="87">
        <v>1</v>
      </c>
      <c r="C3531" s="173" t="s">
        <v>16</v>
      </c>
      <c r="D3531" s="173" t="s">
        <v>372</v>
      </c>
      <c r="E3531" s="173" t="s">
        <v>373</v>
      </c>
      <c r="F3531" s="173" t="s">
        <v>16</v>
      </c>
      <c r="G3531" s="87" t="b">
        <v>1</v>
      </c>
      <c r="H3531" s="87" t="b">
        <v>0</v>
      </c>
      <c r="I3531" s="87" t="b">
        <v>0</v>
      </c>
      <c r="J3531" s="173" t="s">
        <v>470</v>
      </c>
      <c r="K3531" s="174">
        <v>820737000150</v>
      </c>
      <c r="L3531" s="173" t="s">
        <v>757</v>
      </c>
      <c r="M3531" s="173" t="s">
        <v>62</v>
      </c>
      <c r="N3531" s="173" t="s">
        <v>63</v>
      </c>
      <c r="O3531" s="87">
        <v>64</v>
      </c>
      <c r="P3531" s="173" t="s">
        <v>25</v>
      </c>
      <c r="Q3531" s="1" t="s">
        <v>1344</v>
      </c>
      <c r="R3531" s="175">
        <v>20</v>
      </c>
      <c r="S3531">
        <v>20</v>
      </c>
    </row>
    <row r="3532" spans="1:19" x14ac:dyDescent="0.25">
      <c r="A3532" s="87">
        <v>2020</v>
      </c>
      <c r="B3532" s="87">
        <v>1</v>
      </c>
      <c r="C3532" s="173" t="s">
        <v>16</v>
      </c>
      <c r="D3532" s="173" t="s">
        <v>372</v>
      </c>
      <c r="E3532" s="173" t="s">
        <v>373</v>
      </c>
      <c r="F3532" s="173" t="s">
        <v>16</v>
      </c>
      <c r="G3532" s="87" t="b">
        <v>1</v>
      </c>
      <c r="H3532" s="87" t="b">
        <v>0</v>
      </c>
      <c r="I3532" s="87" t="b">
        <v>0</v>
      </c>
      <c r="J3532" s="173" t="s">
        <v>451</v>
      </c>
      <c r="K3532" s="174">
        <v>840048000450</v>
      </c>
      <c r="L3532" s="173" t="s">
        <v>637</v>
      </c>
      <c r="M3532" s="173" t="s">
        <v>30</v>
      </c>
      <c r="N3532" s="173" t="s">
        <v>19</v>
      </c>
      <c r="O3532" s="87">
        <v>70</v>
      </c>
      <c r="P3532" s="173" t="s">
        <v>20</v>
      </c>
      <c r="Q3532" s="1" t="s">
        <v>1345</v>
      </c>
      <c r="R3532" s="175">
        <v>70</v>
      </c>
      <c r="S3532">
        <v>7</v>
      </c>
    </row>
    <row r="3533" spans="1:19" x14ac:dyDescent="0.25">
      <c r="A3533" s="87">
        <v>2020</v>
      </c>
      <c r="B3533" s="87">
        <v>1</v>
      </c>
      <c r="C3533" s="173" t="s">
        <v>16</v>
      </c>
      <c r="D3533" s="173" t="s">
        <v>372</v>
      </c>
      <c r="E3533" s="173" t="s">
        <v>373</v>
      </c>
      <c r="F3533" s="173" t="s">
        <v>16</v>
      </c>
      <c r="G3533" s="87" t="b">
        <v>1</v>
      </c>
      <c r="H3533" s="87" t="b">
        <v>0</v>
      </c>
      <c r="I3533" s="87" t="b">
        <v>0</v>
      </c>
      <c r="J3533" s="173" t="s">
        <v>495</v>
      </c>
      <c r="K3533" s="174">
        <v>840048000450</v>
      </c>
      <c r="L3533" s="173" t="s">
        <v>637</v>
      </c>
      <c r="M3533" s="173" t="s">
        <v>30</v>
      </c>
      <c r="N3533" s="173" t="s">
        <v>19</v>
      </c>
      <c r="O3533" s="87">
        <v>70</v>
      </c>
      <c r="P3533" s="173" t="s">
        <v>20</v>
      </c>
      <c r="Q3533" s="1" t="s">
        <v>1345</v>
      </c>
      <c r="R3533" s="175">
        <v>40</v>
      </c>
      <c r="S3533">
        <v>4</v>
      </c>
    </row>
    <row r="3534" spans="1:19" x14ac:dyDescent="0.25">
      <c r="A3534" s="87">
        <v>2020</v>
      </c>
      <c r="B3534" s="87">
        <v>1</v>
      </c>
      <c r="C3534" s="173" t="s">
        <v>16</v>
      </c>
      <c r="D3534" s="173" t="s">
        <v>372</v>
      </c>
      <c r="E3534" s="173" t="s">
        <v>373</v>
      </c>
      <c r="F3534" s="173" t="s">
        <v>16</v>
      </c>
      <c r="G3534" s="87" t="b">
        <v>1</v>
      </c>
      <c r="H3534" s="87" t="b">
        <v>0</v>
      </c>
      <c r="I3534" s="87" t="b">
        <v>0</v>
      </c>
      <c r="J3534" s="173" t="s">
        <v>495</v>
      </c>
      <c r="K3534" s="174">
        <v>840048000450</v>
      </c>
      <c r="L3534" s="173" t="s">
        <v>637</v>
      </c>
      <c r="M3534" s="173" t="s">
        <v>30</v>
      </c>
      <c r="N3534" s="173" t="s">
        <v>19</v>
      </c>
      <c r="O3534" s="87">
        <v>70</v>
      </c>
      <c r="P3534" s="173" t="s">
        <v>20</v>
      </c>
      <c r="Q3534" s="1" t="s">
        <v>1338</v>
      </c>
      <c r="R3534" s="175">
        <v>70</v>
      </c>
      <c r="S3534">
        <v>14</v>
      </c>
    </row>
    <row r="3535" spans="1:19" x14ac:dyDescent="0.25">
      <c r="A3535" s="87">
        <v>2020</v>
      </c>
      <c r="B3535" s="87">
        <v>1</v>
      </c>
      <c r="C3535" s="173" t="s">
        <v>16</v>
      </c>
      <c r="D3535" s="173" t="s">
        <v>372</v>
      </c>
      <c r="E3535" s="173" t="s">
        <v>373</v>
      </c>
      <c r="F3535" s="173" t="s">
        <v>16</v>
      </c>
      <c r="G3535" s="87" t="b">
        <v>1</v>
      </c>
      <c r="H3535" s="87" t="b">
        <v>0</v>
      </c>
      <c r="I3535" s="87" t="b">
        <v>0</v>
      </c>
      <c r="J3535" s="173" t="s">
        <v>452</v>
      </c>
      <c r="K3535" s="174">
        <v>855774000102</v>
      </c>
      <c r="L3535" s="173" t="s">
        <v>1440</v>
      </c>
      <c r="M3535" s="173" t="s">
        <v>988</v>
      </c>
      <c r="N3535" s="173" t="s">
        <v>57</v>
      </c>
      <c r="O3535" s="87">
        <v>70</v>
      </c>
      <c r="P3535" s="173" t="s">
        <v>20</v>
      </c>
      <c r="Q3535" s="1" t="s">
        <v>1338</v>
      </c>
      <c r="R3535" s="175">
        <v>50</v>
      </c>
      <c r="S3535">
        <v>10</v>
      </c>
    </row>
    <row r="3536" spans="1:19" x14ac:dyDescent="0.25">
      <c r="A3536" s="87">
        <v>2020</v>
      </c>
      <c r="B3536" s="87">
        <v>1</v>
      </c>
      <c r="C3536" s="173" t="s">
        <v>16</v>
      </c>
      <c r="D3536" s="173" t="s">
        <v>372</v>
      </c>
      <c r="E3536" s="173" t="s">
        <v>373</v>
      </c>
      <c r="F3536" s="173" t="s">
        <v>16</v>
      </c>
      <c r="G3536" s="87" t="b">
        <v>1</v>
      </c>
      <c r="H3536" s="87" t="b">
        <v>0</v>
      </c>
      <c r="I3536" s="87" t="b">
        <v>0</v>
      </c>
      <c r="J3536" s="173" t="s">
        <v>470</v>
      </c>
      <c r="K3536" s="174">
        <v>942063000167</v>
      </c>
      <c r="L3536" s="173" t="s">
        <v>934</v>
      </c>
      <c r="M3536" s="173" t="s">
        <v>94</v>
      </c>
      <c r="N3536" s="173" t="s">
        <v>57</v>
      </c>
      <c r="O3536" s="87">
        <v>70</v>
      </c>
      <c r="P3536" s="173" t="s">
        <v>20</v>
      </c>
      <c r="Q3536" s="1" t="s">
        <v>1338</v>
      </c>
      <c r="R3536" s="175">
        <v>800</v>
      </c>
      <c r="S3536">
        <v>160</v>
      </c>
    </row>
    <row r="3537" spans="1:19" x14ac:dyDescent="0.25">
      <c r="A3537" s="87">
        <v>2020</v>
      </c>
      <c r="B3537" s="87">
        <v>1</v>
      </c>
      <c r="C3537" s="173" t="s">
        <v>16</v>
      </c>
      <c r="D3537" s="173" t="s">
        <v>372</v>
      </c>
      <c r="E3537" s="173" t="s">
        <v>373</v>
      </c>
      <c r="F3537" s="173" t="s">
        <v>16</v>
      </c>
      <c r="G3537" s="87" t="b">
        <v>1</v>
      </c>
      <c r="H3537" s="87" t="b">
        <v>0</v>
      </c>
      <c r="I3537" s="87" t="b">
        <v>0</v>
      </c>
      <c r="J3537" s="173" t="s">
        <v>468</v>
      </c>
      <c r="K3537" s="174">
        <v>1011865000116</v>
      </c>
      <c r="L3537" s="173" t="s">
        <v>759</v>
      </c>
      <c r="M3537" s="173" t="s">
        <v>745</v>
      </c>
      <c r="N3537" s="173" t="s">
        <v>59</v>
      </c>
      <c r="O3537" s="87">
        <v>70</v>
      </c>
      <c r="P3537" s="173" t="s">
        <v>20</v>
      </c>
      <c r="Q3537" s="1" t="s">
        <v>1338</v>
      </c>
      <c r="R3537" s="175">
        <v>650</v>
      </c>
      <c r="S3537">
        <v>130</v>
      </c>
    </row>
    <row r="3538" spans="1:19" x14ac:dyDescent="0.25">
      <c r="A3538" s="87">
        <v>2020</v>
      </c>
      <c r="B3538" s="87">
        <v>1</v>
      </c>
      <c r="C3538" s="173" t="s">
        <v>16</v>
      </c>
      <c r="D3538" s="173" t="s">
        <v>372</v>
      </c>
      <c r="E3538" s="173" t="s">
        <v>373</v>
      </c>
      <c r="F3538" s="173" t="s">
        <v>16</v>
      </c>
      <c r="G3538" s="87" t="b">
        <v>1</v>
      </c>
      <c r="H3538" s="87" t="b">
        <v>0</v>
      </c>
      <c r="I3538" s="87" t="b">
        <v>0</v>
      </c>
      <c r="J3538" s="173" t="s">
        <v>468</v>
      </c>
      <c r="K3538" s="174">
        <v>1116300000101</v>
      </c>
      <c r="L3538" s="173" t="s">
        <v>1441</v>
      </c>
      <c r="M3538" s="173" t="s">
        <v>1442</v>
      </c>
      <c r="N3538" s="173" t="s">
        <v>59</v>
      </c>
      <c r="O3538" s="87">
        <v>70</v>
      </c>
      <c r="P3538" s="173" t="s">
        <v>20</v>
      </c>
      <c r="Q3538" s="1" t="s">
        <v>1338</v>
      </c>
      <c r="R3538" s="175">
        <v>15</v>
      </c>
      <c r="S3538">
        <v>3</v>
      </c>
    </row>
    <row r="3539" spans="1:19" x14ac:dyDescent="0.25">
      <c r="A3539" s="87">
        <v>2020</v>
      </c>
      <c r="B3539" s="87">
        <v>1</v>
      </c>
      <c r="C3539" s="173" t="s">
        <v>16</v>
      </c>
      <c r="D3539" s="173" t="s">
        <v>372</v>
      </c>
      <c r="E3539" s="173" t="s">
        <v>373</v>
      </c>
      <c r="F3539" s="173" t="s">
        <v>16</v>
      </c>
      <c r="G3539" s="87" t="b">
        <v>1</v>
      </c>
      <c r="H3539" s="87" t="b">
        <v>0</v>
      </c>
      <c r="I3539" s="87" t="b">
        <v>0</v>
      </c>
      <c r="J3539" s="173" t="s">
        <v>470</v>
      </c>
      <c r="K3539" s="174">
        <v>1125832000105</v>
      </c>
      <c r="L3539" s="173" t="s">
        <v>935</v>
      </c>
      <c r="M3539" s="173" t="s">
        <v>930</v>
      </c>
      <c r="N3539" s="173" t="s">
        <v>68</v>
      </c>
      <c r="O3539" s="87">
        <v>70</v>
      </c>
      <c r="P3539" s="173" t="s">
        <v>20</v>
      </c>
      <c r="Q3539" s="1" t="s">
        <v>1338</v>
      </c>
      <c r="R3539" s="175">
        <v>110</v>
      </c>
      <c r="S3539">
        <v>22</v>
      </c>
    </row>
    <row r="3540" spans="1:19" x14ac:dyDescent="0.25">
      <c r="A3540" s="87">
        <v>2020</v>
      </c>
      <c r="B3540" s="87">
        <v>1</v>
      </c>
      <c r="C3540" s="173" t="s">
        <v>16</v>
      </c>
      <c r="D3540" s="173" t="s">
        <v>372</v>
      </c>
      <c r="E3540" s="173" t="s">
        <v>373</v>
      </c>
      <c r="F3540" s="173" t="s">
        <v>16</v>
      </c>
      <c r="G3540" s="87" t="b">
        <v>1</v>
      </c>
      <c r="H3540" s="87" t="b">
        <v>0</v>
      </c>
      <c r="I3540" s="87" t="b">
        <v>0</v>
      </c>
      <c r="J3540" s="173" t="s">
        <v>495</v>
      </c>
      <c r="K3540" s="174">
        <v>1141127000193</v>
      </c>
      <c r="L3540" s="173" t="s">
        <v>1443</v>
      </c>
      <c r="M3540" s="173" t="s">
        <v>104</v>
      </c>
      <c r="N3540" s="173" t="s">
        <v>67</v>
      </c>
      <c r="O3540" s="87">
        <v>70</v>
      </c>
      <c r="P3540" s="173" t="s">
        <v>20</v>
      </c>
      <c r="Q3540" s="1" t="s">
        <v>1338</v>
      </c>
      <c r="R3540" s="175">
        <v>10</v>
      </c>
      <c r="S3540">
        <v>2</v>
      </c>
    </row>
    <row r="3541" spans="1:19" x14ac:dyDescent="0.25">
      <c r="A3541" s="87">
        <v>2020</v>
      </c>
      <c r="B3541" s="87">
        <v>1</v>
      </c>
      <c r="C3541" s="173" t="s">
        <v>16</v>
      </c>
      <c r="D3541" s="173" t="s">
        <v>372</v>
      </c>
      <c r="E3541" s="173" t="s">
        <v>373</v>
      </c>
      <c r="F3541" s="173" t="s">
        <v>16</v>
      </c>
      <c r="G3541" s="87" t="b">
        <v>1</v>
      </c>
      <c r="H3541" s="87" t="b">
        <v>0</v>
      </c>
      <c r="I3541" s="87" t="b">
        <v>0</v>
      </c>
      <c r="J3541" s="173" t="s">
        <v>468</v>
      </c>
      <c r="K3541" s="174">
        <v>1277573000120</v>
      </c>
      <c r="L3541" s="173" t="s">
        <v>760</v>
      </c>
      <c r="M3541" s="173" t="s">
        <v>745</v>
      </c>
      <c r="N3541" s="173" t="s">
        <v>59</v>
      </c>
      <c r="O3541" s="87">
        <v>70</v>
      </c>
      <c r="P3541" s="173" t="s">
        <v>20</v>
      </c>
      <c r="Q3541" s="1" t="s">
        <v>1338</v>
      </c>
      <c r="R3541" s="175">
        <v>40</v>
      </c>
      <c r="S3541">
        <v>8</v>
      </c>
    </row>
    <row r="3542" spans="1:19" x14ac:dyDescent="0.25">
      <c r="A3542" s="87">
        <v>2020</v>
      </c>
      <c r="B3542" s="87">
        <v>1</v>
      </c>
      <c r="C3542" s="173" t="s">
        <v>16</v>
      </c>
      <c r="D3542" s="173" t="s">
        <v>372</v>
      </c>
      <c r="E3542" s="173" t="s">
        <v>373</v>
      </c>
      <c r="F3542" s="173" t="s">
        <v>16</v>
      </c>
      <c r="G3542" s="87" t="b">
        <v>1</v>
      </c>
      <c r="H3542" s="87" t="b">
        <v>0</v>
      </c>
      <c r="I3542" s="87" t="b">
        <v>0</v>
      </c>
      <c r="J3542" s="173" t="s">
        <v>450</v>
      </c>
      <c r="K3542" s="174">
        <v>1326206000179</v>
      </c>
      <c r="L3542" s="173" t="s">
        <v>761</v>
      </c>
      <c r="M3542" s="173" t="s">
        <v>762</v>
      </c>
      <c r="N3542" s="173" t="s">
        <v>59</v>
      </c>
      <c r="O3542" s="87">
        <v>73</v>
      </c>
      <c r="P3542" s="173" t="s">
        <v>26</v>
      </c>
      <c r="Q3542" s="1" t="s">
        <v>1339</v>
      </c>
      <c r="R3542" s="175">
        <v>4</v>
      </c>
      <c r="S3542">
        <v>2</v>
      </c>
    </row>
    <row r="3543" spans="1:19" x14ac:dyDescent="0.25">
      <c r="A3543" s="87">
        <v>2020</v>
      </c>
      <c r="B3543" s="87">
        <v>1</v>
      </c>
      <c r="C3543" s="173" t="s">
        <v>16</v>
      </c>
      <c r="D3543" s="173" t="s">
        <v>372</v>
      </c>
      <c r="E3543" s="173" t="s">
        <v>373</v>
      </c>
      <c r="F3543" s="173" t="s">
        <v>16</v>
      </c>
      <c r="G3543" s="87" t="b">
        <v>1</v>
      </c>
      <c r="H3543" s="87" t="b">
        <v>0</v>
      </c>
      <c r="I3543" s="87" t="b">
        <v>0</v>
      </c>
      <c r="J3543" s="173" t="s">
        <v>450</v>
      </c>
      <c r="K3543" s="174">
        <v>1326206000179</v>
      </c>
      <c r="L3543" s="173" t="s">
        <v>761</v>
      </c>
      <c r="M3543" s="173" t="s">
        <v>762</v>
      </c>
      <c r="N3543" s="173" t="s">
        <v>59</v>
      </c>
      <c r="O3543" s="87">
        <v>73</v>
      </c>
      <c r="P3543" s="173" t="s">
        <v>26</v>
      </c>
      <c r="Q3543" s="1" t="s">
        <v>1342</v>
      </c>
      <c r="R3543" s="175">
        <v>32</v>
      </c>
      <c r="S3543">
        <v>8</v>
      </c>
    </row>
    <row r="3544" spans="1:19" x14ac:dyDescent="0.25">
      <c r="A3544" s="87">
        <v>2020</v>
      </c>
      <c r="B3544" s="87">
        <v>1</v>
      </c>
      <c r="C3544" s="173" t="s">
        <v>16</v>
      </c>
      <c r="D3544" s="173" t="s">
        <v>372</v>
      </c>
      <c r="E3544" s="173" t="s">
        <v>373</v>
      </c>
      <c r="F3544" s="173" t="s">
        <v>16</v>
      </c>
      <c r="G3544" s="87" t="b">
        <v>1</v>
      </c>
      <c r="H3544" s="87" t="b">
        <v>0</v>
      </c>
      <c r="I3544" s="87" t="b">
        <v>0</v>
      </c>
      <c r="J3544" s="173" t="s">
        <v>450</v>
      </c>
      <c r="K3544" s="174">
        <v>1326206000179</v>
      </c>
      <c r="L3544" s="173" t="s">
        <v>761</v>
      </c>
      <c r="M3544" s="173" t="s">
        <v>762</v>
      </c>
      <c r="N3544" s="173" t="s">
        <v>59</v>
      </c>
      <c r="O3544" s="87">
        <v>73</v>
      </c>
      <c r="P3544" s="173" t="s">
        <v>26</v>
      </c>
      <c r="Q3544" s="1" t="s">
        <v>1340</v>
      </c>
      <c r="R3544" s="175">
        <v>2</v>
      </c>
      <c r="S3544">
        <v>2</v>
      </c>
    </row>
    <row r="3545" spans="1:19" x14ac:dyDescent="0.25">
      <c r="A3545" s="87">
        <v>2020</v>
      </c>
      <c r="B3545" s="87">
        <v>1</v>
      </c>
      <c r="C3545" s="173" t="s">
        <v>16</v>
      </c>
      <c r="D3545" s="173" t="s">
        <v>372</v>
      </c>
      <c r="E3545" s="173" t="s">
        <v>373</v>
      </c>
      <c r="F3545" s="173" t="s">
        <v>16</v>
      </c>
      <c r="G3545" s="87" t="b">
        <v>1</v>
      </c>
      <c r="H3545" s="87" t="b">
        <v>0</v>
      </c>
      <c r="I3545" s="87" t="b">
        <v>0</v>
      </c>
      <c r="J3545" s="173" t="s">
        <v>463</v>
      </c>
      <c r="K3545" s="174">
        <v>1326206000179</v>
      </c>
      <c r="L3545" s="173" t="s">
        <v>761</v>
      </c>
      <c r="M3545" s="173" t="s">
        <v>762</v>
      </c>
      <c r="N3545" s="173" t="s">
        <v>59</v>
      </c>
      <c r="O3545" s="87">
        <v>73</v>
      </c>
      <c r="P3545" s="173" t="s">
        <v>26</v>
      </c>
      <c r="Q3545" s="1" t="s">
        <v>1339</v>
      </c>
      <c r="R3545" s="175">
        <v>4</v>
      </c>
      <c r="S3545">
        <v>2</v>
      </c>
    </row>
    <row r="3546" spans="1:19" x14ac:dyDescent="0.25">
      <c r="A3546" s="87">
        <v>2020</v>
      </c>
      <c r="B3546" s="87">
        <v>1</v>
      </c>
      <c r="C3546" s="173" t="s">
        <v>16</v>
      </c>
      <c r="D3546" s="173" t="s">
        <v>372</v>
      </c>
      <c r="E3546" s="173" t="s">
        <v>373</v>
      </c>
      <c r="F3546" s="173" t="s">
        <v>16</v>
      </c>
      <c r="G3546" s="87" t="b">
        <v>1</v>
      </c>
      <c r="H3546" s="87" t="b">
        <v>0</v>
      </c>
      <c r="I3546" s="87" t="b">
        <v>0</v>
      </c>
      <c r="J3546" s="173" t="s">
        <v>463</v>
      </c>
      <c r="K3546" s="174">
        <v>1326206000179</v>
      </c>
      <c r="L3546" s="173" t="s">
        <v>761</v>
      </c>
      <c r="M3546" s="173" t="s">
        <v>762</v>
      </c>
      <c r="N3546" s="173" t="s">
        <v>59</v>
      </c>
      <c r="O3546" s="87">
        <v>73</v>
      </c>
      <c r="P3546" s="173" t="s">
        <v>26</v>
      </c>
      <c r="Q3546" s="1" t="s">
        <v>1340</v>
      </c>
      <c r="R3546" s="175">
        <v>2</v>
      </c>
      <c r="S3546">
        <v>2</v>
      </c>
    </row>
    <row r="3547" spans="1:19" x14ac:dyDescent="0.25">
      <c r="A3547" s="87">
        <v>2020</v>
      </c>
      <c r="B3547" s="87">
        <v>1</v>
      </c>
      <c r="C3547" s="173" t="s">
        <v>16</v>
      </c>
      <c r="D3547" s="173" t="s">
        <v>372</v>
      </c>
      <c r="E3547" s="173" t="s">
        <v>373</v>
      </c>
      <c r="F3547" s="173" t="s">
        <v>16</v>
      </c>
      <c r="G3547" s="87" t="b">
        <v>1</v>
      </c>
      <c r="H3547" s="87" t="b">
        <v>0</v>
      </c>
      <c r="I3547" s="87" t="b">
        <v>0</v>
      </c>
      <c r="J3547" s="173" t="s">
        <v>451</v>
      </c>
      <c r="K3547" s="174">
        <v>1554266000149</v>
      </c>
      <c r="L3547" s="173" t="s">
        <v>939</v>
      </c>
      <c r="M3547" s="173" t="s">
        <v>113</v>
      </c>
      <c r="N3547" s="173" t="s">
        <v>68</v>
      </c>
      <c r="O3547" s="87">
        <v>70</v>
      </c>
      <c r="P3547" s="173" t="s">
        <v>20</v>
      </c>
      <c r="Q3547" s="1" t="s">
        <v>1338</v>
      </c>
      <c r="R3547" s="175">
        <v>105</v>
      </c>
      <c r="S3547">
        <v>21</v>
      </c>
    </row>
    <row r="3548" spans="1:19" x14ac:dyDescent="0.25">
      <c r="A3548" s="87">
        <v>2020</v>
      </c>
      <c r="B3548" s="87">
        <v>1</v>
      </c>
      <c r="C3548" s="173" t="s">
        <v>16</v>
      </c>
      <c r="D3548" s="173" t="s">
        <v>372</v>
      </c>
      <c r="E3548" s="173" t="s">
        <v>373</v>
      </c>
      <c r="F3548" s="173" t="s">
        <v>16</v>
      </c>
      <c r="G3548" s="87" t="b">
        <v>1</v>
      </c>
      <c r="H3548" s="87" t="b">
        <v>0</v>
      </c>
      <c r="I3548" s="87" t="b">
        <v>0</v>
      </c>
      <c r="J3548" s="173" t="s">
        <v>468</v>
      </c>
      <c r="K3548" s="174">
        <v>1570589000126</v>
      </c>
      <c r="L3548" s="173" t="s">
        <v>766</v>
      </c>
      <c r="M3548" s="173" t="s">
        <v>745</v>
      </c>
      <c r="N3548" s="173" t="s">
        <v>59</v>
      </c>
      <c r="O3548" s="87">
        <v>70</v>
      </c>
      <c r="P3548" s="173" t="s">
        <v>20</v>
      </c>
      <c r="Q3548" s="1" t="s">
        <v>1338</v>
      </c>
      <c r="R3548" s="175">
        <v>300</v>
      </c>
      <c r="S3548">
        <v>60</v>
      </c>
    </row>
    <row r="3549" spans="1:19" x14ac:dyDescent="0.25">
      <c r="A3549" s="87">
        <v>2020</v>
      </c>
      <c r="B3549" s="87">
        <v>1</v>
      </c>
      <c r="C3549" s="173" t="s">
        <v>16</v>
      </c>
      <c r="D3549" s="173" t="s">
        <v>372</v>
      </c>
      <c r="E3549" s="173" t="s">
        <v>373</v>
      </c>
      <c r="F3549" s="173" t="s">
        <v>16</v>
      </c>
      <c r="G3549" s="87" t="b">
        <v>1</v>
      </c>
      <c r="H3549" s="87" t="b">
        <v>0</v>
      </c>
      <c r="I3549" s="87" t="b">
        <v>0</v>
      </c>
      <c r="J3549" s="173" t="s">
        <v>470</v>
      </c>
      <c r="K3549" s="174">
        <v>1613433006892</v>
      </c>
      <c r="L3549" s="173" t="s">
        <v>638</v>
      </c>
      <c r="M3549" s="173" t="s">
        <v>639</v>
      </c>
      <c r="N3549" s="173" t="s">
        <v>19</v>
      </c>
      <c r="O3549" s="87">
        <v>70</v>
      </c>
      <c r="P3549" s="173" t="s">
        <v>20</v>
      </c>
      <c r="Q3549" s="1" t="s">
        <v>1338</v>
      </c>
      <c r="R3549" s="175">
        <v>375</v>
      </c>
      <c r="S3549">
        <v>75</v>
      </c>
    </row>
    <row r="3550" spans="1:19" x14ac:dyDescent="0.25">
      <c r="A3550" s="87">
        <v>2020</v>
      </c>
      <c r="B3550" s="87">
        <v>1</v>
      </c>
      <c r="C3550" s="173" t="s">
        <v>16</v>
      </c>
      <c r="D3550" s="173" t="s">
        <v>372</v>
      </c>
      <c r="E3550" s="173" t="s">
        <v>373</v>
      </c>
      <c r="F3550" s="173" t="s">
        <v>16</v>
      </c>
      <c r="G3550" s="87" t="b">
        <v>1</v>
      </c>
      <c r="H3550" s="87" t="b">
        <v>0</v>
      </c>
      <c r="I3550" s="87" t="b">
        <v>0</v>
      </c>
      <c r="J3550" s="173" t="s">
        <v>470</v>
      </c>
      <c r="K3550" s="174">
        <v>1613433010814</v>
      </c>
      <c r="L3550" s="173" t="s">
        <v>641</v>
      </c>
      <c r="M3550" s="173" t="s">
        <v>49</v>
      </c>
      <c r="N3550" s="173" t="s">
        <v>19</v>
      </c>
      <c r="O3550" s="87">
        <v>70</v>
      </c>
      <c r="P3550" s="173" t="s">
        <v>20</v>
      </c>
      <c r="Q3550" s="1" t="s">
        <v>1338</v>
      </c>
      <c r="R3550" s="175">
        <v>350</v>
      </c>
      <c r="S3550">
        <v>70</v>
      </c>
    </row>
    <row r="3551" spans="1:19" x14ac:dyDescent="0.25">
      <c r="A3551" s="87">
        <v>2020</v>
      </c>
      <c r="B3551" s="87">
        <v>1</v>
      </c>
      <c r="C3551" s="173" t="s">
        <v>16</v>
      </c>
      <c r="D3551" s="173" t="s">
        <v>372</v>
      </c>
      <c r="E3551" s="173" t="s">
        <v>373</v>
      </c>
      <c r="F3551" s="173" t="s">
        <v>16</v>
      </c>
      <c r="G3551" s="87" t="b">
        <v>1</v>
      </c>
      <c r="H3551" s="87" t="b">
        <v>0</v>
      </c>
      <c r="I3551" s="87" t="b">
        <v>0</v>
      </c>
      <c r="J3551" s="173" t="s">
        <v>470</v>
      </c>
      <c r="K3551" s="174">
        <v>1753991000146</v>
      </c>
      <c r="L3551" s="173" t="s">
        <v>1444</v>
      </c>
      <c r="M3551" s="173" t="s">
        <v>1445</v>
      </c>
      <c r="N3551" s="173" t="s">
        <v>67</v>
      </c>
      <c r="O3551" s="87">
        <v>70</v>
      </c>
      <c r="P3551" s="173" t="s">
        <v>20</v>
      </c>
      <c r="Q3551" s="1" t="s">
        <v>1338</v>
      </c>
      <c r="R3551" s="175">
        <v>15</v>
      </c>
      <c r="S3551">
        <v>3</v>
      </c>
    </row>
    <row r="3552" spans="1:19" x14ac:dyDescent="0.25">
      <c r="A3552" s="87">
        <v>2020</v>
      </c>
      <c r="B3552" s="87">
        <v>1</v>
      </c>
      <c r="C3552" s="173" t="s">
        <v>16</v>
      </c>
      <c r="D3552" s="173" t="s">
        <v>372</v>
      </c>
      <c r="E3552" s="173" t="s">
        <v>373</v>
      </c>
      <c r="F3552" s="173" t="s">
        <v>16</v>
      </c>
      <c r="G3552" s="87" t="b">
        <v>1</v>
      </c>
      <c r="H3552" s="87" t="b">
        <v>0</v>
      </c>
      <c r="I3552" s="87" t="b">
        <v>0</v>
      </c>
      <c r="J3552" s="173" t="s">
        <v>464</v>
      </c>
      <c r="K3552" s="174">
        <v>1880344000103</v>
      </c>
      <c r="L3552" s="173" t="s">
        <v>941</v>
      </c>
      <c r="M3552" s="173" t="s">
        <v>93</v>
      </c>
      <c r="N3552" s="173" t="s">
        <v>68</v>
      </c>
      <c r="O3552" s="87">
        <v>70</v>
      </c>
      <c r="P3552" s="173" t="s">
        <v>20</v>
      </c>
      <c r="Q3552" s="1" t="s">
        <v>1338</v>
      </c>
      <c r="R3552" s="175">
        <v>5</v>
      </c>
      <c r="S3552">
        <v>1</v>
      </c>
    </row>
    <row r="3553" spans="1:19" x14ac:dyDescent="0.25">
      <c r="A3553" s="87">
        <v>2020</v>
      </c>
      <c r="B3553" s="87">
        <v>1</v>
      </c>
      <c r="C3553" s="173" t="s">
        <v>16</v>
      </c>
      <c r="D3553" s="173" t="s">
        <v>372</v>
      </c>
      <c r="E3553" s="173" t="s">
        <v>373</v>
      </c>
      <c r="F3553" s="173" t="s">
        <v>16</v>
      </c>
      <c r="G3553" s="87" t="b">
        <v>1</v>
      </c>
      <c r="H3553" s="87" t="b">
        <v>0</v>
      </c>
      <c r="I3553" s="87" t="b">
        <v>0</v>
      </c>
      <c r="J3553" s="173" t="s">
        <v>491</v>
      </c>
      <c r="K3553" s="174">
        <v>2284062000106</v>
      </c>
      <c r="L3553" s="173" t="s">
        <v>774</v>
      </c>
      <c r="M3553" s="173" t="s">
        <v>70</v>
      </c>
      <c r="N3553" s="173" t="s">
        <v>71</v>
      </c>
      <c r="O3553" s="87">
        <v>64</v>
      </c>
      <c r="P3553" s="173" t="s">
        <v>25</v>
      </c>
      <c r="Q3553" s="1" t="s">
        <v>1344</v>
      </c>
      <c r="R3553" s="175">
        <v>1</v>
      </c>
      <c r="S3553">
        <v>1</v>
      </c>
    </row>
    <row r="3554" spans="1:19" x14ac:dyDescent="0.25">
      <c r="A3554" s="87">
        <v>2020</v>
      </c>
      <c r="B3554" s="87">
        <v>1</v>
      </c>
      <c r="C3554" s="173" t="s">
        <v>16</v>
      </c>
      <c r="D3554" s="173" t="s">
        <v>372</v>
      </c>
      <c r="E3554" s="173" t="s">
        <v>373</v>
      </c>
      <c r="F3554" s="173" t="s">
        <v>16</v>
      </c>
      <c r="G3554" s="87" t="b">
        <v>1</v>
      </c>
      <c r="H3554" s="87" t="b">
        <v>0</v>
      </c>
      <c r="I3554" s="87" t="b">
        <v>0</v>
      </c>
      <c r="J3554" s="173" t="s">
        <v>491</v>
      </c>
      <c r="K3554" s="174">
        <v>2284062000440</v>
      </c>
      <c r="L3554" s="173" t="s">
        <v>775</v>
      </c>
      <c r="M3554" s="173" t="s">
        <v>70</v>
      </c>
      <c r="N3554" s="173" t="s">
        <v>71</v>
      </c>
      <c r="O3554" s="87">
        <v>64</v>
      </c>
      <c r="P3554" s="173" t="s">
        <v>25</v>
      </c>
      <c r="Q3554" s="1" t="s">
        <v>1344</v>
      </c>
      <c r="R3554" s="175">
        <v>42</v>
      </c>
      <c r="S3554">
        <v>42</v>
      </c>
    </row>
    <row r="3555" spans="1:19" x14ac:dyDescent="0.25">
      <c r="A3555" s="87">
        <v>2020</v>
      </c>
      <c r="B3555" s="87">
        <v>1</v>
      </c>
      <c r="C3555" s="173" t="s">
        <v>16</v>
      </c>
      <c r="D3555" s="173" t="s">
        <v>372</v>
      </c>
      <c r="E3555" s="173" t="s">
        <v>373</v>
      </c>
      <c r="F3555" s="173" t="s">
        <v>16</v>
      </c>
      <c r="G3555" s="87" t="b">
        <v>1</v>
      </c>
      <c r="H3555" s="87" t="b">
        <v>0</v>
      </c>
      <c r="I3555" s="87" t="b">
        <v>0</v>
      </c>
      <c r="J3555" s="173" t="s">
        <v>491</v>
      </c>
      <c r="K3555" s="174">
        <v>2284062000521</v>
      </c>
      <c r="L3555" s="173" t="s">
        <v>1077</v>
      </c>
      <c r="M3555" s="173" t="s">
        <v>131</v>
      </c>
      <c r="N3555" s="173" t="s">
        <v>61</v>
      </c>
      <c r="O3555" s="87">
        <v>62</v>
      </c>
      <c r="P3555" s="173" t="s">
        <v>27</v>
      </c>
      <c r="Q3555" s="1" t="s">
        <v>1343</v>
      </c>
      <c r="R3555" s="175">
        <v>23</v>
      </c>
      <c r="S3555">
        <v>23</v>
      </c>
    </row>
    <row r="3556" spans="1:19" x14ac:dyDescent="0.25">
      <c r="A3556" s="87">
        <v>2020</v>
      </c>
      <c r="B3556" s="87">
        <v>1</v>
      </c>
      <c r="C3556" s="173" t="s">
        <v>16</v>
      </c>
      <c r="D3556" s="173" t="s">
        <v>372</v>
      </c>
      <c r="E3556" s="173" t="s">
        <v>373</v>
      </c>
      <c r="F3556" s="173" t="s">
        <v>16</v>
      </c>
      <c r="G3556" s="87" t="b">
        <v>1</v>
      </c>
      <c r="H3556" s="87" t="b">
        <v>0</v>
      </c>
      <c r="I3556" s="87" t="b">
        <v>0</v>
      </c>
      <c r="J3556" s="173" t="s">
        <v>491</v>
      </c>
      <c r="K3556" s="174">
        <v>2284062000521</v>
      </c>
      <c r="L3556" s="173" t="s">
        <v>1077</v>
      </c>
      <c r="M3556" s="173" t="s">
        <v>131</v>
      </c>
      <c r="N3556" s="173" t="s">
        <v>61</v>
      </c>
      <c r="O3556" s="87">
        <v>64</v>
      </c>
      <c r="P3556" s="173" t="s">
        <v>25</v>
      </c>
      <c r="Q3556" s="1" t="s">
        <v>1344</v>
      </c>
      <c r="R3556" s="175">
        <v>10</v>
      </c>
      <c r="S3556">
        <v>10</v>
      </c>
    </row>
    <row r="3557" spans="1:19" x14ac:dyDescent="0.25">
      <c r="A3557" s="87">
        <v>2020</v>
      </c>
      <c r="B3557" s="87">
        <v>1</v>
      </c>
      <c r="C3557" s="173" t="s">
        <v>16</v>
      </c>
      <c r="D3557" s="173" t="s">
        <v>372</v>
      </c>
      <c r="E3557" s="173" t="s">
        <v>373</v>
      </c>
      <c r="F3557" s="173" t="s">
        <v>16</v>
      </c>
      <c r="G3557" s="87" t="b">
        <v>1</v>
      </c>
      <c r="H3557" s="87" t="b">
        <v>0</v>
      </c>
      <c r="I3557" s="87" t="b">
        <v>0</v>
      </c>
      <c r="J3557" s="173" t="s">
        <v>453</v>
      </c>
      <c r="K3557" s="174">
        <v>2284062001170</v>
      </c>
      <c r="L3557" s="173" t="s">
        <v>776</v>
      </c>
      <c r="M3557" s="173" t="s">
        <v>777</v>
      </c>
      <c r="N3557" s="173" t="s">
        <v>72</v>
      </c>
      <c r="O3557" s="87">
        <v>64</v>
      </c>
      <c r="P3557" s="173" t="s">
        <v>25</v>
      </c>
      <c r="Q3557" s="1" t="s">
        <v>1344</v>
      </c>
      <c r="R3557" s="175">
        <v>3</v>
      </c>
      <c r="S3557">
        <v>3</v>
      </c>
    </row>
    <row r="3558" spans="1:19" x14ac:dyDescent="0.25">
      <c r="A3558" s="87">
        <v>2020</v>
      </c>
      <c r="B3558" s="87">
        <v>1</v>
      </c>
      <c r="C3558" s="173" t="s">
        <v>16</v>
      </c>
      <c r="D3558" s="173" t="s">
        <v>372</v>
      </c>
      <c r="E3558" s="173" t="s">
        <v>373</v>
      </c>
      <c r="F3558" s="173" t="s">
        <v>16</v>
      </c>
      <c r="G3558" s="87" t="b">
        <v>1</v>
      </c>
      <c r="H3558" s="87" t="b">
        <v>0</v>
      </c>
      <c r="I3558" s="87" t="b">
        <v>0</v>
      </c>
      <c r="J3558" s="173" t="s">
        <v>491</v>
      </c>
      <c r="K3558" s="174">
        <v>2284062001170</v>
      </c>
      <c r="L3558" s="173" t="s">
        <v>776</v>
      </c>
      <c r="M3558" s="173" t="s">
        <v>777</v>
      </c>
      <c r="N3558" s="173" t="s">
        <v>72</v>
      </c>
      <c r="O3558" s="87">
        <v>64</v>
      </c>
      <c r="P3558" s="173" t="s">
        <v>25</v>
      </c>
      <c r="Q3558" s="1" t="s">
        <v>1344</v>
      </c>
      <c r="R3558" s="175">
        <v>7</v>
      </c>
      <c r="S3558">
        <v>7</v>
      </c>
    </row>
    <row r="3559" spans="1:19" x14ac:dyDescent="0.25">
      <c r="A3559" s="87">
        <v>2020</v>
      </c>
      <c r="B3559" s="87">
        <v>1</v>
      </c>
      <c r="C3559" s="173" t="s">
        <v>16</v>
      </c>
      <c r="D3559" s="173" t="s">
        <v>372</v>
      </c>
      <c r="E3559" s="173" t="s">
        <v>373</v>
      </c>
      <c r="F3559" s="173" t="s">
        <v>16</v>
      </c>
      <c r="G3559" s="87" t="b">
        <v>1</v>
      </c>
      <c r="H3559" s="87" t="b">
        <v>0</v>
      </c>
      <c r="I3559" s="87" t="b">
        <v>0</v>
      </c>
      <c r="J3559" s="173" t="s">
        <v>453</v>
      </c>
      <c r="K3559" s="174">
        <v>2284062001170</v>
      </c>
      <c r="L3559" s="173" t="s">
        <v>776</v>
      </c>
      <c r="M3559" s="173" t="s">
        <v>777</v>
      </c>
      <c r="N3559" s="173" t="s">
        <v>72</v>
      </c>
      <c r="O3559" s="87">
        <v>70</v>
      </c>
      <c r="P3559" s="173" t="s">
        <v>20</v>
      </c>
      <c r="Q3559" s="1" t="s">
        <v>1338</v>
      </c>
      <c r="R3559" s="175">
        <v>200</v>
      </c>
      <c r="S3559">
        <v>40</v>
      </c>
    </row>
    <row r="3560" spans="1:19" x14ac:dyDescent="0.25">
      <c r="A3560" s="87">
        <v>2020</v>
      </c>
      <c r="B3560" s="87">
        <v>1</v>
      </c>
      <c r="C3560" s="173" t="s">
        <v>16</v>
      </c>
      <c r="D3560" s="173" t="s">
        <v>372</v>
      </c>
      <c r="E3560" s="173" t="s">
        <v>373</v>
      </c>
      <c r="F3560" s="173" t="s">
        <v>16</v>
      </c>
      <c r="G3560" s="87" t="b">
        <v>1</v>
      </c>
      <c r="H3560" s="87" t="b">
        <v>0</v>
      </c>
      <c r="I3560" s="87" t="b">
        <v>0</v>
      </c>
      <c r="J3560" s="173" t="s">
        <v>451</v>
      </c>
      <c r="K3560" s="174">
        <v>2383508000494</v>
      </c>
      <c r="L3560" s="173" t="s">
        <v>562</v>
      </c>
      <c r="M3560" s="173" t="s">
        <v>29</v>
      </c>
      <c r="N3560" s="173" t="s">
        <v>19</v>
      </c>
      <c r="O3560" s="87">
        <v>73</v>
      </c>
      <c r="P3560" s="173" t="s">
        <v>26</v>
      </c>
      <c r="Q3560" s="1" t="s">
        <v>1339</v>
      </c>
      <c r="R3560" s="175">
        <v>10</v>
      </c>
      <c r="S3560">
        <v>5</v>
      </c>
    </row>
    <row r="3561" spans="1:19" x14ac:dyDescent="0.25">
      <c r="A3561" s="87">
        <v>2020</v>
      </c>
      <c r="B3561" s="87">
        <v>1</v>
      </c>
      <c r="C3561" s="173" t="s">
        <v>16</v>
      </c>
      <c r="D3561" s="173" t="s">
        <v>372</v>
      </c>
      <c r="E3561" s="173" t="s">
        <v>373</v>
      </c>
      <c r="F3561" s="173" t="s">
        <v>16</v>
      </c>
      <c r="G3561" s="87" t="b">
        <v>1</v>
      </c>
      <c r="H3561" s="87" t="b">
        <v>0</v>
      </c>
      <c r="I3561" s="87" t="b">
        <v>0</v>
      </c>
      <c r="J3561" s="173" t="s">
        <v>451</v>
      </c>
      <c r="K3561" s="174">
        <v>2383508000494</v>
      </c>
      <c r="L3561" s="173" t="s">
        <v>562</v>
      </c>
      <c r="M3561" s="173" t="s">
        <v>29</v>
      </c>
      <c r="N3561" s="173" t="s">
        <v>19</v>
      </c>
      <c r="O3561" s="87">
        <v>73</v>
      </c>
      <c r="P3561" s="173" t="s">
        <v>26</v>
      </c>
      <c r="Q3561" s="1" t="s">
        <v>1340</v>
      </c>
      <c r="R3561" s="175">
        <v>2</v>
      </c>
      <c r="S3561">
        <v>2</v>
      </c>
    </row>
    <row r="3562" spans="1:19" x14ac:dyDescent="0.25">
      <c r="A3562" s="87">
        <v>2020</v>
      </c>
      <c r="B3562" s="87">
        <v>1</v>
      </c>
      <c r="C3562" s="173" t="s">
        <v>16</v>
      </c>
      <c r="D3562" s="173" t="s">
        <v>372</v>
      </c>
      <c r="E3562" s="173" t="s">
        <v>373</v>
      </c>
      <c r="F3562" s="173" t="s">
        <v>16</v>
      </c>
      <c r="G3562" s="87" t="b">
        <v>1</v>
      </c>
      <c r="H3562" s="87" t="b">
        <v>0</v>
      </c>
      <c r="I3562" s="87" t="b">
        <v>0</v>
      </c>
      <c r="J3562" s="173" t="s">
        <v>491</v>
      </c>
      <c r="K3562" s="174">
        <v>2476067000203</v>
      </c>
      <c r="L3562" s="173" t="s">
        <v>779</v>
      </c>
      <c r="M3562" s="173" t="s">
        <v>745</v>
      </c>
      <c r="N3562" s="173" t="s">
        <v>59</v>
      </c>
      <c r="O3562" s="87">
        <v>73</v>
      </c>
      <c r="P3562" s="173" t="s">
        <v>26</v>
      </c>
      <c r="Q3562" s="1" t="s">
        <v>1342</v>
      </c>
      <c r="R3562" s="175">
        <v>12</v>
      </c>
      <c r="S3562">
        <v>3</v>
      </c>
    </row>
    <row r="3563" spans="1:19" x14ac:dyDescent="0.25">
      <c r="A3563" s="87">
        <v>2020</v>
      </c>
      <c r="B3563" s="87">
        <v>1</v>
      </c>
      <c r="C3563" s="173" t="s">
        <v>16</v>
      </c>
      <c r="D3563" s="173" t="s">
        <v>372</v>
      </c>
      <c r="E3563" s="173" t="s">
        <v>373</v>
      </c>
      <c r="F3563" s="173" t="s">
        <v>16</v>
      </c>
      <c r="G3563" s="87" t="b">
        <v>1</v>
      </c>
      <c r="H3563" s="87" t="b">
        <v>0</v>
      </c>
      <c r="I3563" s="87" t="b">
        <v>0</v>
      </c>
      <c r="J3563" s="173" t="s">
        <v>491</v>
      </c>
      <c r="K3563" s="174">
        <v>2476067000203</v>
      </c>
      <c r="L3563" s="173" t="s">
        <v>779</v>
      </c>
      <c r="M3563" s="173" t="s">
        <v>745</v>
      </c>
      <c r="N3563" s="173" t="s">
        <v>59</v>
      </c>
      <c r="O3563" s="87">
        <v>73</v>
      </c>
      <c r="P3563" s="173" t="s">
        <v>26</v>
      </c>
      <c r="Q3563" s="1" t="s">
        <v>1340</v>
      </c>
      <c r="R3563" s="175">
        <v>5</v>
      </c>
      <c r="S3563">
        <v>5</v>
      </c>
    </row>
    <row r="3564" spans="1:19" x14ac:dyDescent="0.25">
      <c r="A3564" s="87">
        <v>2020</v>
      </c>
      <c r="B3564" s="87">
        <v>1</v>
      </c>
      <c r="C3564" s="173" t="s">
        <v>16</v>
      </c>
      <c r="D3564" s="173" t="s">
        <v>372</v>
      </c>
      <c r="E3564" s="173" t="s">
        <v>373</v>
      </c>
      <c r="F3564" s="173" t="s">
        <v>16</v>
      </c>
      <c r="G3564" s="87" t="b">
        <v>1</v>
      </c>
      <c r="H3564" s="87" t="b">
        <v>0</v>
      </c>
      <c r="I3564" s="87" t="b">
        <v>0</v>
      </c>
      <c r="J3564" s="173" t="s">
        <v>468</v>
      </c>
      <c r="K3564" s="174">
        <v>2476067000394</v>
      </c>
      <c r="L3564" s="173" t="s">
        <v>780</v>
      </c>
      <c r="M3564" s="173" t="s">
        <v>745</v>
      </c>
      <c r="N3564" s="173" t="s">
        <v>59</v>
      </c>
      <c r="O3564" s="87">
        <v>70</v>
      </c>
      <c r="P3564" s="173" t="s">
        <v>20</v>
      </c>
      <c r="Q3564" s="1" t="s">
        <v>1338</v>
      </c>
      <c r="R3564" s="175">
        <v>660</v>
      </c>
      <c r="S3564">
        <v>132</v>
      </c>
    </row>
    <row r="3565" spans="1:19" x14ac:dyDescent="0.25">
      <c r="A3565" s="87">
        <v>2020</v>
      </c>
      <c r="B3565" s="87">
        <v>1</v>
      </c>
      <c r="C3565" s="173" t="s">
        <v>16</v>
      </c>
      <c r="D3565" s="173" t="s">
        <v>372</v>
      </c>
      <c r="E3565" s="173" t="s">
        <v>373</v>
      </c>
      <c r="F3565" s="173" t="s">
        <v>16</v>
      </c>
      <c r="G3565" s="87" t="b">
        <v>1</v>
      </c>
      <c r="H3565" s="87" t="b">
        <v>0</v>
      </c>
      <c r="I3565" s="87" t="b">
        <v>0</v>
      </c>
      <c r="J3565" s="173" t="s">
        <v>468</v>
      </c>
      <c r="K3565" s="174">
        <v>2560878000107</v>
      </c>
      <c r="L3565" s="173" t="s">
        <v>781</v>
      </c>
      <c r="M3565" s="173" t="s">
        <v>739</v>
      </c>
      <c r="N3565" s="173" t="s">
        <v>55</v>
      </c>
      <c r="O3565" s="87">
        <v>64</v>
      </c>
      <c r="P3565" s="173" t="s">
        <v>25</v>
      </c>
      <c r="Q3565" s="1" t="s">
        <v>1344</v>
      </c>
      <c r="R3565" s="175">
        <v>5</v>
      </c>
      <c r="S3565">
        <v>5</v>
      </c>
    </row>
    <row r="3566" spans="1:19" x14ac:dyDescent="0.25">
      <c r="A3566" s="87">
        <v>2020</v>
      </c>
      <c r="B3566" s="87">
        <v>1</v>
      </c>
      <c r="C3566" s="173" t="s">
        <v>16</v>
      </c>
      <c r="D3566" s="173" t="s">
        <v>372</v>
      </c>
      <c r="E3566" s="173" t="s">
        <v>373</v>
      </c>
      <c r="F3566" s="173" t="s">
        <v>16</v>
      </c>
      <c r="G3566" s="87" t="b">
        <v>1</v>
      </c>
      <c r="H3566" s="87" t="b">
        <v>0</v>
      </c>
      <c r="I3566" s="87" t="b">
        <v>0</v>
      </c>
      <c r="J3566" s="173" t="s">
        <v>468</v>
      </c>
      <c r="K3566" s="174">
        <v>2560878000107</v>
      </c>
      <c r="L3566" s="173" t="s">
        <v>781</v>
      </c>
      <c r="M3566" s="173" t="s">
        <v>739</v>
      </c>
      <c r="N3566" s="173" t="s">
        <v>55</v>
      </c>
      <c r="O3566" s="87">
        <v>70</v>
      </c>
      <c r="P3566" s="173" t="s">
        <v>20</v>
      </c>
      <c r="Q3566" s="1" t="s">
        <v>1338</v>
      </c>
      <c r="R3566" s="175">
        <v>790</v>
      </c>
      <c r="S3566">
        <v>158</v>
      </c>
    </row>
    <row r="3567" spans="1:19" x14ac:dyDescent="0.25">
      <c r="A3567" s="87">
        <v>2020</v>
      </c>
      <c r="B3567" s="87">
        <v>1</v>
      </c>
      <c r="C3567" s="173" t="s">
        <v>16</v>
      </c>
      <c r="D3567" s="173" t="s">
        <v>372</v>
      </c>
      <c r="E3567" s="173" t="s">
        <v>373</v>
      </c>
      <c r="F3567" s="173" t="s">
        <v>16</v>
      </c>
      <c r="G3567" s="87" t="b">
        <v>1</v>
      </c>
      <c r="H3567" s="87" t="b">
        <v>0</v>
      </c>
      <c r="I3567" s="87" t="b">
        <v>0</v>
      </c>
      <c r="J3567" s="173" t="s">
        <v>451</v>
      </c>
      <c r="K3567" s="174">
        <v>2623693000102</v>
      </c>
      <c r="L3567" s="173" t="s">
        <v>1142</v>
      </c>
      <c r="M3567" s="173" t="s">
        <v>58</v>
      </c>
      <c r="N3567" s="173" t="s">
        <v>54</v>
      </c>
      <c r="O3567" s="87">
        <v>70</v>
      </c>
      <c r="P3567" s="173" t="s">
        <v>20</v>
      </c>
      <c r="Q3567" s="1" t="s">
        <v>1345</v>
      </c>
      <c r="R3567" s="175">
        <v>20</v>
      </c>
      <c r="S3567">
        <v>2</v>
      </c>
    </row>
    <row r="3568" spans="1:19" x14ac:dyDescent="0.25">
      <c r="A3568" s="87">
        <v>2020</v>
      </c>
      <c r="B3568" s="87">
        <v>1</v>
      </c>
      <c r="C3568" s="173" t="s">
        <v>16</v>
      </c>
      <c r="D3568" s="173" t="s">
        <v>372</v>
      </c>
      <c r="E3568" s="173" t="s">
        <v>373</v>
      </c>
      <c r="F3568" s="173" t="s">
        <v>16</v>
      </c>
      <c r="G3568" s="87" t="b">
        <v>1</v>
      </c>
      <c r="H3568" s="87" t="b">
        <v>0</v>
      </c>
      <c r="I3568" s="87" t="b">
        <v>0</v>
      </c>
      <c r="J3568" s="173" t="s">
        <v>451</v>
      </c>
      <c r="K3568" s="174">
        <v>2623693000102</v>
      </c>
      <c r="L3568" s="173" t="s">
        <v>1142</v>
      </c>
      <c r="M3568" s="173" t="s">
        <v>58</v>
      </c>
      <c r="N3568" s="173" t="s">
        <v>54</v>
      </c>
      <c r="O3568" s="87">
        <v>70</v>
      </c>
      <c r="P3568" s="173" t="s">
        <v>20</v>
      </c>
      <c r="Q3568" s="1" t="s">
        <v>1338</v>
      </c>
      <c r="R3568" s="175">
        <v>5</v>
      </c>
      <c r="S3568">
        <v>1</v>
      </c>
    </row>
    <row r="3569" spans="1:19" x14ac:dyDescent="0.25">
      <c r="A3569" s="87">
        <v>2020</v>
      </c>
      <c r="B3569" s="87">
        <v>1</v>
      </c>
      <c r="C3569" s="173" t="s">
        <v>16</v>
      </c>
      <c r="D3569" s="173" t="s">
        <v>372</v>
      </c>
      <c r="E3569" s="173" t="s">
        <v>373</v>
      </c>
      <c r="F3569" s="173" t="s">
        <v>16</v>
      </c>
      <c r="G3569" s="87" t="b">
        <v>1</v>
      </c>
      <c r="H3569" s="87" t="b">
        <v>0</v>
      </c>
      <c r="I3569" s="87" t="b">
        <v>0</v>
      </c>
      <c r="J3569" s="173" t="s">
        <v>450</v>
      </c>
      <c r="K3569" s="174">
        <v>2639768000135</v>
      </c>
      <c r="L3569" s="173" t="s">
        <v>1446</v>
      </c>
      <c r="M3569" s="173" t="s">
        <v>1372</v>
      </c>
      <c r="N3569" s="173" t="s">
        <v>19</v>
      </c>
      <c r="O3569" s="87">
        <v>70</v>
      </c>
      <c r="P3569" s="173" t="s">
        <v>20</v>
      </c>
      <c r="Q3569" s="1" t="s">
        <v>1338</v>
      </c>
      <c r="R3569" s="175">
        <v>10</v>
      </c>
      <c r="S3569">
        <v>2</v>
      </c>
    </row>
    <row r="3570" spans="1:19" x14ac:dyDescent="0.25">
      <c r="A3570" s="87">
        <v>2020</v>
      </c>
      <c r="B3570" s="87">
        <v>1</v>
      </c>
      <c r="C3570" s="173" t="s">
        <v>16</v>
      </c>
      <c r="D3570" s="173" t="s">
        <v>372</v>
      </c>
      <c r="E3570" s="173" t="s">
        <v>373</v>
      </c>
      <c r="F3570" s="173" t="s">
        <v>16</v>
      </c>
      <c r="G3570" s="87" t="b">
        <v>1</v>
      </c>
      <c r="H3570" s="87" t="b">
        <v>0</v>
      </c>
      <c r="I3570" s="87" t="b">
        <v>0</v>
      </c>
      <c r="J3570" s="173" t="s">
        <v>463</v>
      </c>
      <c r="K3570" s="174">
        <v>2643405000173</v>
      </c>
      <c r="L3570" s="173" t="s">
        <v>642</v>
      </c>
      <c r="M3570" s="173" t="s">
        <v>643</v>
      </c>
      <c r="N3570" s="173" t="s">
        <v>19</v>
      </c>
      <c r="O3570" s="87">
        <v>73</v>
      </c>
      <c r="P3570" s="173" t="s">
        <v>26</v>
      </c>
      <c r="Q3570" s="1" t="s">
        <v>1339</v>
      </c>
      <c r="R3570" s="175">
        <v>12</v>
      </c>
      <c r="S3570">
        <v>6</v>
      </c>
    </row>
    <row r="3571" spans="1:19" x14ac:dyDescent="0.25">
      <c r="A3571" s="87">
        <v>2020</v>
      </c>
      <c r="B3571" s="87">
        <v>1</v>
      </c>
      <c r="C3571" s="173" t="s">
        <v>16</v>
      </c>
      <c r="D3571" s="173" t="s">
        <v>372</v>
      </c>
      <c r="E3571" s="173" t="s">
        <v>373</v>
      </c>
      <c r="F3571" s="173" t="s">
        <v>16</v>
      </c>
      <c r="G3571" s="87" t="b">
        <v>1</v>
      </c>
      <c r="H3571" s="87" t="b">
        <v>0</v>
      </c>
      <c r="I3571" s="87" t="b">
        <v>0</v>
      </c>
      <c r="J3571" s="173" t="s">
        <v>463</v>
      </c>
      <c r="K3571" s="174">
        <v>2643405000173</v>
      </c>
      <c r="L3571" s="173" t="s">
        <v>642</v>
      </c>
      <c r="M3571" s="173" t="s">
        <v>643</v>
      </c>
      <c r="N3571" s="173" t="s">
        <v>19</v>
      </c>
      <c r="O3571" s="87">
        <v>73</v>
      </c>
      <c r="P3571" s="173" t="s">
        <v>26</v>
      </c>
      <c r="Q3571" s="1" t="s">
        <v>1340</v>
      </c>
      <c r="R3571" s="175">
        <v>10</v>
      </c>
      <c r="S3571">
        <v>10</v>
      </c>
    </row>
    <row r="3572" spans="1:19" x14ac:dyDescent="0.25">
      <c r="A3572" s="87">
        <v>2020</v>
      </c>
      <c r="B3572" s="87">
        <v>1</v>
      </c>
      <c r="C3572" s="173" t="s">
        <v>16</v>
      </c>
      <c r="D3572" s="173" t="s">
        <v>372</v>
      </c>
      <c r="E3572" s="173" t="s">
        <v>373</v>
      </c>
      <c r="F3572" s="173" t="s">
        <v>16</v>
      </c>
      <c r="G3572" s="87" t="b">
        <v>1</v>
      </c>
      <c r="H3572" s="87" t="b">
        <v>0</v>
      </c>
      <c r="I3572" s="87" t="b">
        <v>0</v>
      </c>
      <c r="J3572" s="173" t="s">
        <v>450</v>
      </c>
      <c r="K3572" s="174">
        <v>2837922000183</v>
      </c>
      <c r="L3572" s="173" t="s">
        <v>563</v>
      </c>
      <c r="M3572" s="173" t="s">
        <v>29</v>
      </c>
      <c r="N3572" s="173" t="s">
        <v>19</v>
      </c>
      <c r="O3572" s="87">
        <v>73</v>
      </c>
      <c r="P3572" s="173" t="s">
        <v>26</v>
      </c>
      <c r="Q3572" s="1" t="s">
        <v>1342</v>
      </c>
      <c r="R3572" s="175">
        <v>48</v>
      </c>
      <c r="S3572">
        <v>12</v>
      </c>
    </row>
    <row r="3573" spans="1:19" x14ac:dyDescent="0.25">
      <c r="A3573" s="87">
        <v>2020</v>
      </c>
      <c r="B3573" s="87">
        <v>1</v>
      </c>
      <c r="C3573" s="173" t="s">
        <v>16</v>
      </c>
      <c r="D3573" s="173" t="s">
        <v>372</v>
      </c>
      <c r="E3573" s="173" t="s">
        <v>373</v>
      </c>
      <c r="F3573" s="173" t="s">
        <v>16</v>
      </c>
      <c r="G3573" s="87" t="b">
        <v>1</v>
      </c>
      <c r="H3573" s="87" t="b">
        <v>0</v>
      </c>
      <c r="I3573" s="87" t="b">
        <v>0</v>
      </c>
      <c r="J3573" s="173" t="s">
        <v>450</v>
      </c>
      <c r="K3573" s="174">
        <v>2837922000183</v>
      </c>
      <c r="L3573" s="173" t="s">
        <v>563</v>
      </c>
      <c r="M3573" s="173" t="s">
        <v>29</v>
      </c>
      <c r="N3573" s="173" t="s">
        <v>19</v>
      </c>
      <c r="O3573" s="87">
        <v>73</v>
      </c>
      <c r="P3573" s="173" t="s">
        <v>26</v>
      </c>
      <c r="Q3573" s="1" t="s">
        <v>1340</v>
      </c>
      <c r="R3573" s="175">
        <v>2</v>
      </c>
      <c r="S3573">
        <v>2</v>
      </c>
    </row>
    <row r="3574" spans="1:19" x14ac:dyDescent="0.25">
      <c r="A3574" s="87">
        <v>2020</v>
      </c>
      <c r="B3574" s="87">
        <v>1</v>
      </c>
      <c r="C3574" s="173" t="s">
        <v>16</v>
      </c>
      <c r="D3574" s="173" t="s">
        <v>372</v>
      </c>
      <c r="E3574" s="173" t="s">
        <v>373</v>
      </c>
      <c r="F3574" s="173" t="s">
        <v>16</v>
      </c>
      <c r="G3574" s="87" t="b">
        <v>1</v>
      </c>
      <c r="H3574" s="87" t="b">
        <v>0</v>
      </c>
      <c r="I3574" s="87" t="b">
        <v>0</v>
      </c>
      <c r="J3574" s="173" t="s">
        <v>477</v>
      </c>
      <c r="K3574" s="174">
        <v>2864097000106</v>
      </c>
      <c r="L3574" s="173" t="s">
        <v>1078</v>
      </c>
      <c r="M3574" s="173" t="s">
        <v>131</v>
      </c>
      <c r="N3574" s="173" t="s">
        <v>61</v>
      </c>
      <c r="O3574" s="87">
        <v>70</v>
      </c>
      <c r="P3574" s="173" t="s">
        <v>20</v>
      </c>
      <c r="Q3574" s="1" t="s">
        <v>1338</v>
      </c>
      <c r="R3574" s="175">
        <v>110</v>
      </c>
      <c r="S3574">
        <v>22</v>
      </c>
    </row>
    <row r="3575" spans="1:19" x14ac:dyDescent="0.25">
      <c r="A3575" s="87">
        <v>2020</v>
      </c>
      <c r="B3575" s="87">
        <v>1</v>
      </c>
      <c r="C3575" s="173" t="s">
        <v>16</v>
      </c>
      <c r="D3575" s="173" t="s">
        <v>372</v>
      </c>
      <c r="E3575" s="173" t="s">
        <v>373</v>
      </c>
      <c r="F3575" s="173" t="s">
        <v>16</v>
      </c>
      <c r="G3575" s="87" t="b">
        <v>1</v>
      </c>
      <c r="H3575" s="87" t="b">
        <v>0</v>
      </c>
      <c r="I3575" s="87" t="b">
        <v>0</v>
      </c>
      <c r="J3575" s="173" t="s">
        <v>451</v>
      </c>
      <c r="K3575" s="174">
        <v>2864097000106</v>
      </c>
      <c r="L3575" s="173" t="s">
        <v>1078</v>
      </c>
      <c r="M3575" s="173" t="s">
        <v>131</v>
      </c>
      <c r="N3575" s="173" t="s">
        <v>61</v>
      </c>
      <c r="O3575" s="87">
        <v>70</v>
      </c>
      <c r="P3575" s="173" t="s">
        <v>20</v>
      </c>
      <c r="Q3575" s="1" t="s">
        <v>1338</v>
      </c>
      <c r="R3575" s="175">
        <v>55</v>
      </c>
      <c r="S3575">
        <v>11</v>
      </c>
    </row>
    <row r="3576" spans="1:19" x14ac:dyDescent="0.25">
      <c r="A3576" s="87">
        <v>2020</v>
      </c>
      <c r="B3576" s="87">
        <v>1</v>
      </c>
      <c r="C3576" s="173" t="s">
        <v>16</v>
      </c>
      <c r="D3576" s="173" t="s">
        <v>372</v>
      </c>
      <c r="E3576" s="173" t="s">
        <v>373</v>
      </c>
      <c r="F3576" s="173" t="s">
        <v>16</v>
      </c>
      <c r="G3576" s="87" t="b">
        <v>1</v>
      </c>
      <c r="H3576" s="87" t="b">
        <v>0</v>
      </c>
      <c r="I3576" s="87" t="b">
        <v>0</v>
      </c>
      <c r="J3576" s="173" t="s">
        <v>477</v>
      </c>
      <c r="K3576" s="174">
        <v>2880648000125</v>
      </c>
      <c r="L3576" s="173" t="s">
        <v>1411</v>
      </c>
      <c r="M3576" s="173" t="s">
        <v>131</v>
      </c>
      <c r="N3576" s="173" t="s">
        <v>61</v>
      </c>
      <c r="O3576" s="87">
        <v>73</v>
      </c>
      <c r="P3576" s="173" t="s">
        <v>26</v>
      </c>
      <c r="Q3576" s="1" t="s">
        <v>1342</v>
      </c>
      <c r="R3576" s="175">
        <v>12</v>
      </c>
      <c r="S3576">
        <v>3</v>
      </c>
    </row>
    <row r="3577" spans="1:19" x14ac:dyDescent="0.25">
      <c r="A3577" s="87">
        <v>2020</v>
      </c>
      <c r="B3577" s="87">
        <v>1</v>
      </c>
      <c r="C3577" s="173" t="s">
        <v>16</v>
      </c>
      <c r="D3577" s="173" t="s">
        <v>372</v>
      </c>
      <c r="E3577" s="173" t="s">
        <v>373</v>
      </c>
      <c r="F3577" s="173" t="s">
        <v>16</v>
      </c>
      <c r="G3577" s="87" t="b">
        <v>1</v>
      </c>
      <c r="H3577" s="87" t="b">
        <v>0</v>
      </c>
      <c r="I3577" s="87" t="b">
        <v>0</v>
      </c>
      <c r="J3577" s="173" t="s">
        <v>451</v>
      </c>
      <c r="K3577" s="174">
        <v>3117525000108</v>
      </c>
      <c r="L3577" s="173" t="s">
        <v>1447</v>
      </c>
      <c r="M3577" s="173" t="s">
        <v>35</v>
      </c>
      <c r="N3577" s="173" t="s">
        <v>19</v>
      </c>
      <c r="O3577" s="87">
        <v>70</v>
      </c>
      <c r="P3577" s="173" t="s">
        <v>20</v>
      </c>
      <c r="Q3577" s="1" t="s">
        <v>1345</v>
      </c>
      <c r="R3577" s="175">
        <v>160</v>
      </c>
      <c r="S3577">
        <v>16</v>
      </c>
    </row>
    <row r="3578" spans="1:19" x14ac:dyDescent="0.25">
      <c r="A3578" s="87">
        <v>2020</v>
      </c>
      <c r="B3578" s="87">
        <v>1</v>
      </c>
      <c r="C3578" s="173" t="s">
        <v>16</v>
      </c>
      <c r="D3578" s="173" t="s">
        <v>372</v>
      </c>
      <c r="E3578" s="173" t="s">
        <v>373</v>
      </c>
      <c r="F3578" s="173" t="s">
        <v>16</v>
      </c>
      <c r="G3578" s="87" t="b">
        <v>1</v>
      </c>
      <c r="H3578" s="87" t="b">
        <v>0</v>
      </c>
      <c r="I3578" s="87" t="b">
        <v>0</v>
      </c>
      <c r="J3578" s="173" t="s">
        <v>468</v>
      </c>
      <c r="K3578" s="174">
        <v>3315918000541</v>
      </c>
      <c r="L3578" s="173" t="s">
        <v>785</v>
      </c>
      <c r="M3578" s="173" t="s">
        <v>64</v>
      </c>
      <c r="N3578" s="173" t="s">
        <v>65</v>
      </c>
      <c r="O3578" s="87">
        <v>70</v>
      </c>
      <c r="P3578" s="173" t="s">
        <v>20</v>
      </c>
      <c r="Q3578" s="1" t="s">
        <v>1338</v>
      </c>
      <c r="R3578" s="175">
        <v>50</v>
      </c>
      <c r="S3578">
        <v>10</v>
      </c>
    </row>
    <row r="3579" spans="1:19" x14ac:dyDescent="0.25">
      <c r="A3579" s="87">
        <v>2020</v>
      </c>
      <c r="B3579" s="87">
        <v>1</v>
      </c>
      <c r="C3579" s="173" t="s">
        <v>16</v>
      </c>
      <c r="D3579" s="173" t="s">
        <v>372</v>
      </c>
      <c r="E3579" s="173" t="s">
        <v>373</v>
      </c>
      <c r="F3579" s="173" t="s">
        <v>16</v>
      </c>
      <c r="G3579" s="87" t="b">
        <v>1</v>
      </c>
      <c r="H3579" s="87" t="b">
        <v>0</v>
      </c>
      <c r="I3579" s="87" t="b">
        <v>0</v>
      </c>
      <c r="J3579" s="173" t="s">
        <v>455</v>
      </c>
      <c r="K3579" s="174">
        <v>3533726001583</v>
      </c>
      <c r="L3579" s="173" t="s">
        <v>788</v>
      </c>
      <c r="M3579" s="173" t="s">
        <v>789</v>
      </c>
      <c r="N3579" s="173" t="s">
        <v>69</v>
      </c>
      <c r="O3579" s="87">
        <v>70</v>
      </c>
      <c r="P3579" s="173" t="s">
        <v>20</v>
      </c>
      <c r="Q3579" s="1" t="s">
        <v>1338</v>
      </c>
      <c r="R3579" s="175">
        <v>55</v>
      </c>
      <c r="S3579">
        <v>11</v>
      </c>
    </row>
    <row r="3580" spans="1:19" x14ac:dyDescent="0.25">
      <c r="A3580" s="87">
        <v>2020</v>
      </c>
      <c r="B3580" s="87">
        <v>1</v>
      </c>
      <c r="C3580" s="173" t="s">
        <v>16</v>
      </c>
      <c r="D3580" s="173" t="s">
        <v>372</v>
      </c>
      <c r="E3580" s="173" t="s">
        <v>373</v>
      </c>
      <c r="F3580" s="173" t="s">
        <v>16</v>
      </c>
      <c r="G3580" s="87" t="b">
        <v>1</v>
      </c>
      <c r="H3580" s="87" t="b">
        <v>0</v>
      </c>
      <c r="I3580" s="87" t="b">
        <v>0</v>
      </c>
      <c r="J3580" s="173" t="s">
        <v>451</v>
      </c>
      <c r="K3580" s="174">
        <v>3850913000195</v>
      </c>
      <c r="L3580" s="173" t="s">
        <v>945</v>
      </c>
      <c r="M3580" s="173" t="s">
        <v>94</v>
      </c>
      <c r="N3580" s="173" t="s">
        <v>57</v>
      </c>
      <c r="O3580" s="87">
        <v>70</v>
      </c>
      <c r="P3580" s="173" t="s">
        <v>20</v>
      </c>
      <c r="Q3580" s="1" t="s">
        <v>1345</v>
      </c>
      <c r="R3580" s="175">
        <v>630</v>
      </c>
      <c r="S3580">
        <v>63</v>
      </c>
    </row>
    <row r="3581" spans="1:19" x14ac:dyDescent="0.25">
      <c r="A3581" s="87">
        <v>2020</v>
      </c>
      <c r="B3581" s="87">
        <v>1</v>
      </c>
      <c r="C3581" s="173" t="s">
        <v>16</v>
      </c>
      <c r="D3581" s="173" t="s">
        <v>372</v>
      </c>
      <c r="E3581" s="173" t="s">
        <v>373</v>
      </c>
      <c r="F3581" s="173" t="s">
        <v>16</v>
      </c>
      <c r="G3581" s="87" t="b">
        <v>1</v>
      </c>
      <c r="H3581" s="87" t="b">
        <v>0</v>
      </c>
      <c r="I3581" s="87" t="b">
        <v>0</v>
      </c>
      <c r="J3581" s="173" t="s">
        <v>1330</v>
      </c>
      <c r="K3581" s="174">
        <v>3866223000124</v>
      </c>
      <c r="L3581" s="173" t="s">
        <v>792</v>
      </c>
      <c r="M3581" s="173" t="s">
        <v>742</v>
      </c>
      <c r="N3581" s="173" t="s">
        <v>91</v>
      </c>
      <c r="O3581" s="87">
        <v>70</v>
      </c>
      <c r="P3581" s="173" t="s">
        <v>20</v>
      </c>
      <c r="Q3581" s="1" t="s">
        <v>1338</v>
      </c>
      <c r="R3581" s="175">
        <v>675</v>
      </c>
      <c r="S3581">
        <v>135</v>
      </c>
    </row>
    <row r="3582" spans="1:19" x14ac:dyDescent="0.25">
      <c r="A3582" s="87">
        <v>2020</v>
      </c>
      <c r="B3582" s="87">
        <v>1</v>
      </c>
      <c r="C3582" s="173" t="s">
        <v>16</v>
      </c>
      <c r="D3582" s="173" t="s">
        <v>372</v>
      </c>
      <c r="E3582" s="173" t="s">
        <v>373</v>
      </c>
      <c r="F3582" s="173" t="s">
        <v>16</v>
      </c>
      <c r="G3582" s="87" t="b">
        <v>1</v>
      </c>
      <c r="H3582" s="87" t="b">
        <v>0</v>
      </c>
      <c r="I3582" s="87" t="b">
        <v>0</v>
      </c>
      <c r="J3582" s="173" t="s">
        <v>491</v>
      </c>
      <c r="K3582" s="174">
        <v>3866223000124</v>
      </c>
      <c r="L3582" s="173" t="s">
        <v>792</v>
      </c>
      <c r="M3582" s="173" t="s">
        <v>742</v>
      </c>
      <c r="N3582" s="173" t="s">
        <v>91</v>
      </c>
      <c r="O3582" s="87">
        <v>70</v>
      </c>
      <c r="P3582" s="173" t="s">
        <v>20</v>
      </c>
      <c r="Q3582" s="1" t="s">
        <v>1338</v>
      </c>
      <c r="R3582" s="175">
        <v>225</v>
      </c>
      <c r="S3582">
        <v>45</v>
      </c>
    </row>
    <row r="3583" spans="1:19" x14ac:dyDescent="0.25">
      <c r="A3583" s="87">
        <v>2020</v>
      </c>
      <c r="B3583" s="87">
        <v>1</v>
      </c>
      <c r="C3583" s="173" t="s">
        <v>16</v>
      </c>
      <c r="D3583" s="173" t="s">
        <v>372</v>
      </c>
      <c r="E3583" s="173" t="s">
        <v>373</v>
      </c>
      <c r="F3583" s="173" t="s">
        <v>16</v>
      </c>
      <c r="G3583" s="87" t="b">
        <v>1</v>
      </c>
      <c r="H3583" s="87" t="b">
        <v>0</v>
      </c>
      <c r="I3583" s="87" t="b">
        <v>0</v>
      </c>
      <c r="J3583" s="173" t="s">
        <v>450</v>
      </c>
      <c r="K3583" s="174">
        <v>3872790000193</v>
      </c>
      <c r="L3583" s="173" t="s">
        <v>564</v>
      </c>
      <c r="M3583" s="173" t="s">
        <v>29</v>
      </c>
      <c r="N3583" s="173" t="s">
        <v>19</v>
      </c>
      <c r="O3583" s="87">
        <v>73</v>
      </c>
      <c r="P3583" s="173" t="s">
        <v>26</v>
      </c>
      <c r="Q3583" s="1" t="s">
        <v>1342</v>
      </c>
      <c r="R3583" s="175">
        <v>8</v>
      </c>
      <c r="S3583">
        <v>2</v>
      </c>
    </row>
    <row r="3584" spans="1:19" x14ac:dyDescent="0.25">
      <c r="A3584" s="87">
        <v>2020</v>
      </c>
      <c r="B3584" s="87">
        <v>1</v>
      </c>
      <c r="C3584" s="173" t="s">
        <v>16</v>
      </c>
      <c r="D3584" s="173" t="s">
        <v>372</v>
      </c>
      <c r="E3584" s="173" t="s">
        <v>373</v>
      </c>
      <c r="F3584" s="173" t="s">
        <v>16</v>
      </c>
      <c r="G3584" s="87" t="b">
        <v>1</v>
      </c>
      <c r="H3584" s="87" t="b">
        <v>0</v>
      </c>
      <c r="I3584" s="87" t="b">
        <v>0</v>
      </c>
      <c r="J3584" s="173" t="s">
        <v>455</v>
      </c>
      <c r="K3584" s="174">
        <v>3925419000142</v>
      </c>
      <c r="L3584" s="173" t="s">
        <v>795</v>
      </c>
      <c r="M3584" s="173" t="s">
        <v>772</v>
      </c>
      <c r="N3584" s="173" t="s">
        <v>69</v>
      </c>
      <c r="O3584" s="87">
        <v>64</v>
      </c>
      <c r="P3584" s="173" t="s">
        <v>25</v>
      </c>
      <c r="Q3584" s="1" t="s">
        <v>1344</v>
      </c>
      <c r="R3584" s="175">
        <v>3</v>
      </c>
      <c r="S3584">
        <v>3</v>
      </c>
    </row>
    <row r="3585" spans="1:19" x14ac:dyDescent="0.25">
      <c r="A3585" s="87">
        <v>2020</v>
      </c>
      <c r="B3585" s="87">
        <v>1</v>
      </c>
      <c r="C3585" s="173" t="s">
        <v>16</v>
      </c>
      <c r="D3585" s="173" t="s">
        <v>372</v>
      </c>
      <c r="E3585" s="173" t="s">
        <v>373</v>
      </c>
      <c r="F3585" s="173" t="s">
        <v>16</v>
      </c>
      <c r="G3585" s="87" t="b">
        <v>1</v>
      </c>
      <c r="H3585" s="87" t="b">
        <v>0</v>
      </c>
      <c r="I3585" s="87" t="b">
        <v>0</v>
      </c>
      <c r="J3585" s="173" t="s">
        <v>491</v>
      </c>
      <c r="K3585" s="174">
        <v>3989821000190</v>
      </c>
      <c r="L3585" s="173" t="s">
        <v>796</v>
      </c>
      <c r="M3585" s="173" t="s">
        <v>739</v>
      </c>
      <c r="N3585" s="173" t="s">
        <v>55</v>
      </c>
      <c r="O3585" s="87">
        <v>70</v>
      </c>
      <c r="P3585" s="173" t="s">
        <v>20</v>
      </c>
      <c r="Q3585" s="1" t="s">
        <v>1338</v>
      </c>
      <c r="R3585" s="175">
        <v>75</v>
      </c>
      <c r="S3585">
        <v>15</v>
      </c>
    </row>
    <row r="3586" spans="1:19" x14ac:dyDescent="0.25">
      <c r="A3586" s="87">
        <v>2020</v>
      </c>
      <c r="B3586" s="87">
        <v>1</v>
      </c>
      <c r="C3586" s="173" t="s">
        <v>16</v>
      </c>
      <c r="D3586" s="173" t="s">
        <v>372</v>
      </c>
      <c r="E3586" s="173" t="s">
        <v>373</v>
      </c>
      <c r="F3586" s="173" t="s">
        <v>16</v>
      </c>
      <c r="G3586" s="87" t="b">
        <v>1</v>
      </c>
      <c r="H3586" s="87" t="b">
        <v>0</v>
      </c>
      <c r="I3586" s="87" t="b">
        <v>0</v>
      </c>
      <c r="J3586" s="173" t="s">
        <v>468</v>
      </c>
      <c r="K3586" s="174">
        <v>3989821000433</v>
      </c>
      <c r="L3586" s="173" t="s">
        <v>1448</v>
      </c>
      <c r="M3586" s="173" t="s">
        <v>1449</v>
      </c>
      <c r="N3586" s="173" t="s">
        <v>55</v>
      </c>
      <c r="O3586" s="87">
        <v>70</v>
      </c>
      <c r="P3586" s="173" t="s">
        <v>20</v>
      </c>
      <c r="Q3586" s="1" t="s">
        <v>1338</v>
      </c>
      <c r="R3586" s="175">
        <v>70</v>
      </c>
      <c r="S3586">
        <v>14</v>
      </c>
    </row>
    <row r="3587" spans="1:19" x14ac:dyDescent="0.25">
      <c r="A3587" s="87">
        <v>2020</v>
      </c>
      <c r="B3587" s="87">
        <v>1</v>
      </c>
      <c r="C3587" s="173" t="s">
        <v>16</v>
      </c>
      <c r="D3587" s="173" t="s">
        <v>372</v>
      </c>
      <c r="E3587" s="173" t="s">
        <v>373</v>
      </c>
      <c r="F3587" s="173" t="s">
        <v>16</v>
      </c>
      <c r="G3587" s="87" t="b">
        <v>1</v>
      </c>
      <c r="H3587" s="87" t="b">
        <v>0</v>
      </c>
      <c r="I3587" s="87" t="b">
        <v>0</v>
      </c>
      <c r="J3587" s="173" t="s">
        <v>450</v>
      </c>
      <c r="K3587" s="174">
        <v>4036348000190</v>
      </c>
      <c r="L3587" s="173" t="s">
        <v>565</v>
      </c>
      <c r="M3587" s="173" t="s">
        <v>29</v>
      </c>
      <c r="N3587" s="173" t="s">
        <v>19</v>
      </c>
      <c r="O3587" s="87">
        <v>70</v>
      </c>
      <c r="P3587" s="173" t="s">
        <v>20</v>
      </c>
      <c r="Q3587" s="1" t="s">
        <v>1338</v>
      </c>
      <c r="R3587" s="175">
        <v>375</v>
      </c>
      <c r="S3587">
        <v>75</v>
      </c>
    </row>
    <row r="3588" spans="1:19" x14ac:dyDescent="0.25">
      <c r="A3588" s="87">
        <v>2020</v>
      </c>
      <c r="B3588" s="87">
        <v>1</v>
      </c>
      <c r="C3588" s="173" t="s">
        <v>16</v>
      </c>
      <c r="D3588" s="173" t="s">
        <v>372</v>
      </c>
      <c r="E3588" s="173" t="s">
        <v>373</v>
      </c>
      <c r="F3588" s="173" t="s">
        <v>16</v>
      </c>
      <c r="G3588" s="87" t="b">
        <v>1</v>
      </c>
      <c r="H3588" s="87" t="b">
        <v>0</v>
      </c>
      <c r="I3588" s="87" t="b">
        <v>0</v>
      </c>
      <c r="J3588" s="173" t="s">
        <v>468</v>
      </c>
      <c r="K3588" s="174">
        <v>4159778000107</v>
      </c>
      <c r="L3588" s="173" t="s">
        <v>1144</v>
      </c>
      <c r="M3588" s="173" t="s">
        <v>109</v>
      </c>
      <c r="N3588" s="173" t="s">
        <v>110</v>
      </c>
      <c r="O3588" s="87">
        <v>62</v>
      </c>
      <c r="P3588" s="173" t="s">
        <v>27</v>
      </c>
      <c r="Q3588" s="1" t="s">
        <v>1343</v>
      </c>
      <c r="R3588" s="175">
        <v>3</v>
      </c>
      <c r="S3588">
        <v>3</v>
      </c>
    </row>
    <row r="3589" spans="1:19" x14ac:dyDescent="0.25">
      <c r="A3589" s="87">
        <v>2020</v>
      </c>
      <c r="B3589" s="87">
        <v>1</v>
      </c>
      <c r="C3589" s="173" t="s">
        <v>16</v>
      </c>
      <c r="D3589" s="173" t="s">
        <v>372</v>
      </c>
      <c r="E3589" s="173" t="s">
        <v>373</v>
      </c>
      <c r="F3589" s="173" t="s">
        <v>16</v>
      </c>
      <c r="G3589" s="87" t="b">
        <v>1</v>
      </c>
      <c r="H3589" s="87" t="b">
        <v>0</v>
      </c>
      <c r="I3589" s="87" t="b">
        <v>0</v>
      </c>
      <c r="J3589" s="173" t="s">
        <v>468</v>
      </c>
      <c r="K3589" s="174">
        <v>4159778000107</v>
      </c>
      <c r="L3589" s="173" t="s">
        <v>1144</v>
      </c>
      <c r="M3589" s="173" t="s">
        <v>109</v>
      </c>
      <c r="N3589" s="173" t="s">
        <v>110</v>
      </c>
      <c r="O3589" s="87">
        <v>64</v>
      </c>
      <c r="P3589" s="173" t="s">
        <v>25</v>
      </c>
      <c r="Q3589" s="1" t="s">
        <v>1344</v>
      </c>
      <c r="R3589" s="175">
        <v>3</v>
      </c>
      <c r="S3589">
        <v>3</v>
      </c>
    </row>
    <row r="3590" spans="1:19" x14ac:dyDescent="0.25">
      <c r="A3590" s="87">
        <v>2020</v>
      </c>
      <c r="B3590" s="87">
        <v>1</v>
      </c>
      <c r="C3590" s="173" t="s">
        <v>16</v>
      </c>
      <c r="D3590" s="173" t="s">
        <v>372</v>
      </c>
      <c r="E3590" s="173" t="s">
        <v>373</v>
      </c>
      <c r="F3590" s="173" t="s">
        <v>16</v>
      </c>
      <c r="G3590" s="87" t="b">
        <v>1</v>
      </c>
      <c r="H3590" s="87" t="b">
        <v>0</v>
      </c>
      <c r="I3590" s="87" t="b">
        <v>0</v>
      </c>
      <c r="J3590" s="173" t="s">
        <v>468</v>
      </c>
      <c r="K3590" s="174">
        <v>4159778000107</v>
      </c>
      <c r="L3590" s="173" t="s">
        <v>1144</v>
      </c>
      <c r="M3590" s="173" t="s">
        <v>109</v>
      </c>
      <c r="N3590" s="173" t="s">
        <v>110</v>
      </c>
      <c r="O3590" s="87">
        <v>70</v>
      </c>
      <c r="P3590" s="173" t="s">
        <v>20</v>
      </c>
      <c r="Q3590" s="1" t="s">
        <v>1338</v>
      </c>
      <c r="R3590" s="175">
        <v>25</v>
      </c>
      <c r="S3590">
        <v>5</v>
      </c>
    </row>
    <row r="3591" spans="1:19" x14ac:dyDescent="0.25">
      <c r="A3591" s="87">
        <v>2020</v>
      </c>
      <c r="B3591" s="87">
        <v>1</v>
      </c>
      <c r="C3591" s="173" t="s">
        <v>16</v>
      </c>
      <c r="D3591" s="173" t="s">
        <v>372</v>
      </c>
      <c r="E3591" s="173" t="s">
        <v>373</v>
      </c>
      <c r="F3591" s="173" t="s">
        <v>16</v>
      </c>
      <c r="G3591" s="87" t="b">
        <v>1</v>
      </c>
      <c r="H3591" s="87" t="b">
        <v>0</v>
      </c>
      <c r="I3591" s="87" t="b">
        <v>0</v>
      </c>
      <c r="J3591" s="173" t="s">
        <v>470</v>
      </c>
      <c r="K3591" s="174">
        <v>4275687000129</v>
      </c>
      <c r="L3591" s="173" t="s">
        <v>645</v>
      </c>
      <c r="M3591" s="173" t="s">
        <v>31</v>
      </c>
      <c r="N3591" s="173" t="s">
        <v>19</v>
      </c>
      <c r="O3591" s="87">
        <v>73</v>
      </c>
      <c r="P3591" s="173" t="s">
        <v>26</v>
      </c>
      <c r="Q3591" s="1" t="s">
        <v>1342</v>
      </c>
      <c r="R3591" s="175">
        <v>12</v>
      </c>
      <c r="S3591">
        <v>3</v>
      </c>
    </row>
    <row r="3592" spans="1:19" x14ac:dyDescent="0.25">
      <c r="A3592" s="87">
        <v>2020</v>
      </c>
      <c r="B3592" s="87">
        <v>1</v>
      </c>
      <c r="C3592" s="173" t="s">
        <v>16</v>
      </c>
      <c r="D3592" s="173" t="s">
        <v>372</v>
      </c>
      <c r="E3592" s="173" t="s">
        <v>373</v>
      </c>
      <c r="F3592" s="173" t="s">
        <v>16</v>
      </c>
      <c r="G3592" s="87" t="b">
        <v>1</v>
      </c>
      <c r="H3592" s="87" t="b">
        <v>0</v>
      </c>
      <c r="I3592" s="87" t="b">
        <v>0</v>
      </c>
      <c r="J3592" s="173" t="s">
        <v>463</v>
      </c>
      <c r="K3592" s="174">
        <v>4275687000129</v>
      </c>
      <c r="L3592" s="173" t="s">
        <v>645</v>
      </c>
      <c r="M3592" s="173" t="s">
        <v>31</v>
      </c>
      <c r="N3592" s="173" t="s">
        <v>19</v>
      </c>
      <c r="O3592" s="87">
        <v>73</v>
      </c>
      <c r="P3592" s="173" t="s">
        <v>26</v>
      </c>
      <c r="Q3592" s="1" t="s">
        <v>1342</v>
      </c>
      <c r="R3592" s="175">
        <v>36</v>
      </c>
      <c r="S3592">
        <v>9</v>
      </c>
    </row>
    <row r="3593" spans="1:19" x14ac:dyDescent="0.25">
      <c r="A3593" s="87">
        <v>2020</v>
      </c>
      <c r="B3593" s="87">
        <v>1</v>
      </c>
      <c r="C3593" s="173" t="s">
        <v>16</v>
      </c>
      <c r="D3593" s="173" t="s">
        <v>372</v>
      </c>
      <c r="E3593" s="173" t="s">
        <v>373</v>
      </c>
      <c r="F3593" s="173" t="s">
        <v>16</v>
      </c>
      <c r="G3593" s="87" t="b">
        <v>1</v>
      </c>
      <c r="H3593" s="87" t="b">
        <v>0</v>
      </c>
      <c r="I3593" s="87" t="b">
        <v>0</v>
      </c>
      <c r="J3593" s="173" t="s">
        <v>463</v>
      </c>
      <c r="K3593" s="174">
        <v>4275687000129</v>
      </c>
      <c r="L3593" s="173" t="s">
        <v>645</v>
      </c>
      <c r="M3593" s="173" t="s">
        <v>31</v>
      </c>
      <c r="N3593" s="173" t="s">
        <v>19</v>
      </c>
      <c r="O3593" s="87">
        <v>73</v>
      </c>
      <c r="P3593" s="173" t="s">
        <v>26</v>
      </c>
      <c r="Q3593" s="1" t="s">
        <v>1340</v>
      </c>
      <c r="R3593" s="175">
        <v>6</v>
      </c>
      <c r="S3593">
        <v>6</v>
      </c>
    </row>
    <row r="3594" spans="1:19" x14ac:dyDescent="0.25">
      <c r="A3594" s="87">
        <v>2020</v>
      </c>
      <c r="B3594" s="87">
        <v>1</v>
      </c>
      <c r="C3594" s="173" t="s">
        <v>16</v>
      </c>
      <c r="D3594" s="173" t="s">
        <v>372</v>
      </c>
      <c r="E3594" s="173" t="s">
        <v>373</v>
      </c>
      <c r="F3594" s="173" t="s">
        <v>16</v>
      </c>
      <c r="G3594" s="87" t="b">
        <v>1</v>
      </c>
      <c r="H3594" s="87" t="b">
        <v>0</v>
      </c>
      <c r="I3594" s="87" t="b">
        <v>0</v>
      </c>
      <c r="J3594" s="173" t="s">
        <v>451</v>
      </c>
      <c r="K3594" s="174">
        <v>4670913000176</v>
      </c>
      <c r="L3594" s="173" t="s">
        <v>949</v>
      </c>
      <c r="M3594" s="173" t="s">
        <v>930</v>
      </c>
      <c r="N3594" s="173" t="s">
        <v>68</v>
      </c>
      <c r="O3594" s="87">
        <v>70</v>
      </c>
      <c r="P3594" s="173" t="s">
        <v>20</v>
      </c>
      <c r="Q3594" s="1" t="s">
        <v>1338</v>
      </c>
      <c r="R3594" s="175">
        <v>350</v>
      </c>
      <c r="S3594">
        <v>70</v>
      </c>
    </row>
    <row r="3595" spans="1:19" x14ac:dyDescent="0.25">
      <c r="A3595" s="87">
        <v>2020</v>
      </c>
      <c r="B3595" s="87">
        <v>1</v>
      </c>
      <c r="C3595" s="173" t="s">
        <v>16</v>
      </c>
      <c r="D3595" s="173" t="s">
        <v>372</v>
      </c>
      <c r="E3595" s="173" t="s">
        <v>373</v>
      </c>
      <c r="F3595" s="173" t="s">
        <v>16</v>
      </c>
      <c r="G3595" s="87" t="b">
        <v>1</v>
      </c>
      <c r="H3595" s="87" t="b">
        <v>0</v>
      </c>
      <c r="I3595" s="87" t="b">
        <v>0</v>
      </c>
      <c r="J3595" s="173" t="s">
        <v>1330</v>
      </c>
      <c r="K3595" s="174">
        <v>4708424000166</v>
      </c>
      <c r="L3595" s="173" t="s">
        <v>1450</v>
      </c>
      <c r="M3595" s="173" t="s">
        <v>674</v>
      </c>
      <c r="N3595" s="173" t="s">
        <v>19</v>
      </c>
      <c r="O3595" s="87">
        <v>64</v>
      </c>
      <c r="P3595" s="173" t="s">
        <v>25</v>
      </c>
      <c r="Q3595" s="1" t="s">
        <v>1344</v>
      </c>
      <c r="R3595" s="175">
        <v>1</v>
      </c>
      <c r="S3595">
        <v>1</v>
      </c>
    </row>
    <row r="3596" spans="1:19" x14ac:dyDescent="0.25">
      <c r="A3596" s="87">
        <v>2020</v>
      </c>
      <c r="B3596" s="87">
        <v>1</v>
      </c>
      <c r="C3596" s="173" t="s">
        <v>16</v>
      </c>
      <c r="D3596" s="173" t="s">
        <v>372</v>
      </c>
      <c r="E3596" s="173" t="s">
        <v>373</v>
      </c>
      <c r="F3596" s="173" t="s">
        <v>16</v>
      </c>
      <c r="G3596" s="87" t="b">
        <v>1</v>
      </c>
      <c r="H3596" s="87" t="b">
        <v>0</v>
      </c>
      <c r="I3596" s="87" t="b">
        <v>0</v>
      </c>
      <c r="J3596" s="173" t="s">
        <v>492</v>
      </c>
      <c r="K3596" s="174">
        <v>4786490000154</v>
      </c>
      <c r="L3596" s="173" t="s">
        <v>1146</v>
      </c>
      <c r="M3596" s="173" t="s">
        <v>97</v>
      </c>
      <c r="N3596" s="173" t="s">
        <v>98</v>
      </c>
      <c r="O3596" s="87">
        <v>70</v>
      </c>
      <c r="P3596" s="173" t="s">
        <v>20</v>
      </c>
      <c r="Q3596" s="1" t="s">
        <v>1338</v>
      </c>
      <c r="R3596" s="175">
        <v>80</v>
      </c>
      <c r="S3596">
        <v>16</v>
      </c>
    </row>
    <row r="3597" spans="1:19" x14ac:dyDescent="0.25">
      <c r="A3597" s="87">
        <v>2020</v>
      </c>
      <c r="B3597" s="87">
        <v>1</v>
      </c>
      <c r="C3597" s="173" t="s">
        <v>16</v>
      </c>
      <c r="D3597" s="173" t="s">
        <v>372</v>
      </c>
      <c r="E3597" s="173" t="s">
        <v>373</v>
      </c>
      <c r="F3597" s="173" t="s">
        <v>16</v>
      </c>
      <c r="G3597" s="87" t="b">
        <v>1</v>
      </c>
      <c r="H3597" s="87" t="b">
        <v>0</v>
      </c>
      <c r="I3597" s="87" t="b">
        <v>0</v>
      </c>
      <c r="J3597" s="173" t="s">
        <v>491</v>
      </c>
      <c r="K3597" s="174">
        <v>5469172000122</v>
      </c>
      <c r="L3597" s="173" t="s">
        <v>799</v>
      </c>
      <c r="M3597" s="173" t="s">
        <v>75</v>
      </c>
      <c r="N3597" s="173" t="s">
        <v>74</v>
      </c>
      <c r="O3597" s="87">
        <v>62</v>
      </c>
      <c r="P3597" s="173" t="s">
        <v>27</v>
      </c>
      <c r="Q3597" s="1" t="s">
        <v>1343</v>
      </c>
      <c r="R3597" s="175">
        <v>6</v>
      </c>
      <c r="S3597">
        <v>6</v>
      </c>
    </row>
    <row r="3598" spans="1:19" x14ac:dyDescent="0.25">
      <c r="A3598" s="87">
        <v>2020</v>
      </c>
      <c r="B3598" s="87">
        <v>1</v>
      </c>
      <c r="C3598" s="173" t="s">
        <v>16</v>
      </c>
      <c r="D3598" s="173" t="s">
        <v>372</v>
      </c>
      <c r="E3598" s="173" t="s">
        <v>373</v>
      </c>
      <c r="F3598" s="173" t="s">
        <v>16</v>
      </c>
      <c r="G3598" s="87" t="b">
        <v>1</v>
      </c>
      <c r="H3598" s="87" t="b">
        <v>0</v>
      </c>
      <c r="I3598" s="87" t="b">
        <v>0</v>
      </c>
      <c r="J3598" s="173" t="s">
        <v>455</v>
      </c>
      <c r="K3598" s="174">
        <v>5469172000122</v>
      </c>
      <c r="L3598" s="173" t="s">
        <v>799</v>
      </c>
      <c r="M3598" s="173" t="s">
        <v>75</v>
      </c>
      <c r="N3598" s="173" t="s">
        <v>74</v>
      </c>
      <c r="O3598" s="87">
        <v>64</v>
      </c>
      <c r="P3598" s="173" t="s">
        <v>25</v>
      </c>
      <c r="Q3598" s="1" t="s">
        <v>1344</v>
      </c>
      <c r="R3598" s="175">
        <v>4</v>
      </c>
      <c r="S3598">
        <v>4</v>
      </c>
    </row>
    <row r="3599" spans="1:19" x14ac:dyDescent="0.25">
      <c r="A3599" s="87">
        <v>2020</v>
      </c>
      <c r="B3599" s="87">
        <v>1</v>
      </c>
      <c r="C3599" s="173" t="s">
        <v>16</v>
      </c>
      <c r="D3599" s="173" t="s">
        <v>372</v>
      </c>
      <c r="E3599" s="173" t="s">
        <v>373</v>
      </c>
      <c r="F3599" s="173" t="s">
        <v>16</v>
      </c>
      <c r="G3599" s="87" t="b">
        <v>1</v>
      </c>
      <c r="H3599" s="87" t="b">
        <v>0</v>
      </c>
      <c r="I3599" s="87" t="b">
        <v>0</v>
      </c>
      <c r="J3599" s="173" t="s">
        <v>470</v>
      </c>
      <c r="K3599" s="174">
        <v>5503803000182</v>
      </c>
      <c r="L3599" s="173" t="s">
        <v>1400</v>
      </c>
      <c r="M3599" s="173" t="s">
        <v>94</v>
      </c>
      <c r="N3599" s="173" t="s">
        <v>57</v>
      </c>
      <c r="O3599" s="87">
        <v>73</v>
      </c>
      <c r="P3599" s="173" t="s">
        <v>26</v>
      </c>
      <c r="Q3599" s="1" t="s">
        <v>1339</v>
      </c>
      <c r="R3599" s="175">
        <v>6</v>
      </c>
      <c r="S3599">
        <v>3</v>
      </c>
    </row>
    <row r="3600" spans="1:19" x14ac:dyDescent="0.25">
      <c r="A3600" s="87">
        <v>2020</v>
      </c>
      <c r="B3600" s="87">
        <v>1</v>
      </c>
      <c r="C3600" s="173" t="s">
        <v>16</v>
      </c>
      <c r="D3600" s="173" t="s">
        <v>372</v>
      </c>
      <c r="E3600" s="173" t="s">
        <v>373</v>
      </c>
      <c r="F3600" s="173" t="s">
        <v>16</v>
      </c>
      <c r="G3600" s="87" t="b">
        <v>1</v>
      </c>
      <c r="H3600" s="87" t="b">
        <v>0</v>
      </c>
      <c r="I3600" s="87" t="b">
        <v>0</v>
      </c>
      <c r="J3600" s="173" t="s">
        <v>452</v>
      </c>
      <c r="K3600" s="174">
        <v>5503803000182</v>
      </c>
      <c r="L3600" s="173" t="s">
        <v>1400</v>
      </c>
      <c r="M3600" s="173" t="s">
        <v>94</v>
      </c>
      <c r="N3600" s="173" t="s">
        <v>57</v>
      </c>
      <c r="O3600" s="87">
        <v>73</v>
      </c>
      <c r="P3600" s="173" t="s">
        <v>26</v>
      </c>
      <c r="Q3600" s="1" t="s">
        <v>1339</v>
      </c>
      <c r="R3600" s="175">
        <v>14</v>
      </c>
      <c r="S3600">
        <v>7</v>
      </c>
    </row>
    <row r="3601" spans="1:19" x14ac:dyDescent="0.25">
      <c r="A3601" s="87">
        <v>2020</v>
      </c>
      <c r="B3601" s="87">
        <v>1</v>
      </c>
      <c r="C3601" s="173" t="s">
        <v>16</v>
      </c>
      <c r="D3601" s="173" t="s">
        <v>372</v>
      </c>
      <c r="E3601" s="173" t="s">
        <v>373</v>
      </c>
      <c r="F3601" s="173" t="s">
        <v>16</v>
      </c>
      <c r="G3601" s="87" t="b">
        <v>1</v>
      </c>
      <c r="H3601" s="87" t="b">
        <v>0</v>
      </c>
      <c r="I3601" s="87" t="b">
        <v>0</v>
      </c>
      <c r="J3601" s="173" t="s">
        <v>506</v>
      </c>
      <c r="K3601" s="174">
        <v>5831510000124</v>
      </c>
      <c r="L3601" s="173" t="s">
        <v>567</v>
      </c>
      <c r="M3601" s="173" t="s">
        <v>29</v>
      </c>
      <c r="N3601" s="173" t="s">
        <v>19</v>
      </c>
      <c r="O3601" s="87">
        <v>70</v>
      </c>
      <c r="P3601" s="173" t="s">
        <v>20</v>
      </c>
      <c r="Q3601" s="1" t="s">
        <v>1338</v>
      </c>
      <c r="R3601" s="175">
        <v>140</v>
      </c>
      <c r="S3601">
        <v>28</v>
      </c>
    </row>
    <row r="3602" spans="1:19" x14ac:dyDescent="0.25">
      <c r="A3602" s="87">
        <v>2020</v>
      </c>
      <c r="B3602" s="87">
        <v>1</v>
      </c>
      <c r="C3602" s="173" t="s">
        <v>16</v>
      </c>
      <c r="D3602" s="173" t="s">
        <v>372</v>
      </c>
      <c r="E3602" s="173" t="s">
        <v>373</v>
      </c>
      <c r="F3602" s="173" t="s">
        <v>16</v>
      </c>
      <c r="G3602" s="87" t="b">
        <v>1</v>
      </c>
      <c r="H3602" s="87" t="b">
        <v>0</v>
      </c>
      <c r="I3602" s="87" t="b">
        <v>0</v>
      </c>
      <c r="J3602" s="173" t="s">
        <v>470</v>
      </c>
      <c r="K3602" s="174">
        <v>5867015000175</v>
      </c>
      <c r="L3602" s="173" t="s">
        <v>804</v>
      </c>
      <c r="M3602" s="173" t="s">
        <v>76</v>
      </c>
      <c r="N3602" s="173" t="s">
        <v>77</v>
      </c>
      <c r="O3602" s="87">
        <v>73</v>
      </c>
      <c r="P3602" s="173" t="s">
        <v>26</v>
      </c>
      <c r="Q3602" s="1" t="s">
        <v>1340</v>
      </c>
      <c r="R3602" s="175">
        <v>8</v>
      </c>
      <c r="S3602">
        <v>8</v>
      </c>
    </row>
    <row r="3603" spans="1:19" x14ac:dyDescent="0.25">
      <c r="A3603" s="87">
        <v>2020</v>
      </c>
      <c r="B3603" s="87">
        <v>1</v>
      </c>
      <c r="C3603" s="173" t="s">
        <v>16</v>
      </c>
      <c r="D3603" s="173" t="s">
        <v>372</v>
      </c>
      <c r="E3603" s="173" t="s">
        <v>373</v>
      </c>
      <c r="F3603" s="173" t="s">
        <v>16</v>
      </c>
      <c r="G3603" s="87" t="b">
        <v>1</v>
      </c>
      <c r="H3603" s="87" t="b">
        <v>0</v>
      </c>
      <c r="I3603" s="87" t="b">
        <v>0</v>
      </c>
      <c r="J3603" s="173" t="s">
        <v>470</v>
      </c>
      <c r="K3603" s="174">
        <v>5868278000280</v>
      </c>
      <c r="L3603" s="173" t="s">
        <v>805</v>
      </c>
      <c r="M3603" s="173" t="s">
        <v>76</v>
      </c>
      <c r="N3603" s="173" t="s">
        <v>77</v>
      </c>
      <c r="O3603" s="87">
        <v>73</v>
      </c>
      <c r="P3603" s="173" t="s">
        <v>26</v>
      </c>
      <c r="Q3603" s="1" t="s">
        <v>1342</v>
      </c>
      <c r="R3603" s="175">
        <v>84</v>
      </c>
      <c r="S3603">
        <v>21</v>
      </c>
    </row>
    <row r="3604" spans="1:19" x14ac:dyDescent="0.25">
      <c r="A3604" s="87">
        <v>2020</v>
      </c>
      <c r="B3604" s="87">
        <v>1</v>
      </c>
      <c r="C3604" s="173" t="s">
        <v>16</v>
      </c>
      <c r="D3604" s="173" t="s">
        <v>372</v>
      </c>
      <c r="E3604" s="173" t="s">
        <v>373</v>
      </c>
      <c r="F3604" s="173" t="s">
        <v>16</v>
      </c>
      <c r="G3604" s="87" t="b">
        <v>1</v>
      </c>
      <c r="H3604" s="87" t="b">
        <v>0</v>
      </c>
      <c r="I3604" s="87" t="b">
        <v>0</v>
      </c>
      <c r="J3604" s="173" t="s">
        <v>470</v>
      </c>
      <c r="K3604" s="174">
        <v>6033403000113</v>
      </c>
      <c r="L3604" s="173" t="s">
        <v>646</v>
      </c>
      <c r="M3604" s="173" t="s">
        <v>647</v>
      </c>
      <c r="N3604" s="173" t="s">
        <v>19</v>
      </c>
      <c r="O3604" s="87">
        <v>64</v>
      </c>
      <c r="P3604" s="173" t="s">
        <v>25</v>
      </c>
      <c r="Q3604" s="1" t="s">
        <v>1344</v>
      </c>
      <c r="R3604" s="175">
        <v>3</v>
      </c>
      <c r="S3604">
        <v>3</v>
      </c>
    </row>
    <row r="3605" spans="1:19" x14ac:dyDescent="0.25">
      <c r="A3605" s="87">
        <v>2020</v>
      </c>
      <c r="B3605" s="87">
        <v>1</v>
      </c>
      <c r="C3605" s="173" t="s">
        <v>16</v>
      </c>
      <c r="D3605" s="173" t="s">
        <v>372</v>
      </c>
      <c r="E3605" s="173" t="s">
        <v>373</v>
      </c>
      <c r="F3605" s="173" t="s">
        <v>16</v>
      </c>
      <c r="G3605" s="87" t="b">
        <v>1</v>
      </c>
      <c r="H3605" s="87" t="b">
        <v>0</v>
      </c>
      <c r="I3605" s="87" t="b">
        <v>0</v>
      </c>
      <c r="J3605" s="173" t="s">
        <v>491</v>
      </c>
      <c r="K3605" s="174">
        <v>6047087000139</v>
      </c>
      <c r="L3605" s="173" t="s">
        <v>568</v>
      </c>
      <c r="M3605" s="173" t="s">
        <v>29</v>
      </c>
      <c r="N3605" s="173" t="s">
        <v>19</v>
      </c>
      <c r="O3605" s="87">
        <v>62</v>
      </c>
      <c r="P3605" s="173" t="s">
        <v>27</v>
      </c>
      <c r="Q3605" s="1" t="s">
        <v>1343</v>
      </c>
      <c r="R3605" s="175">
        <v>5</v>
      </c>
      <c r="S3605">
        <v>5</v>
      </c>
    </row>
    <row r="3606" spans="1:19" x14ac:dyDescent="0.25">
      <c r="A3606" s="87">
        <v>2020</v>
      </c>
      <c r="B3606" s="87">
        <v>1</v>
      </c>
      <c r="C3606" s="173" t="s">
        <v>16</v>
      </c>
      <c r="D3606" s="173" t="s">
        <v>372</v>
      </c>
      <c r="E3606" s="173" t="s">
        <v>373</v>
      </c>
      <c r="F3606" s="173" t="s">
        <v>16</v>
      </c>
      <c r="G3606" s="87" t="b">
        <v>1</v>
      </c>
      <c r="H3606" s="87" t="b">
        <v>0</v>
      </c>
      <c r="I3606" s="87" t="b">
        <v>0</v>
      </c>
      <c r="J3606" s="173" t="s">
        <v>491</v>
      </c>
      <c r="K3606" s="174">
        <v>6047087000210</v>
      </c>
      <c r="L3606" s="173" t="s">
        <v>569</v>
      </c>
      <c r="M3606" s="173" t="s">
        <v>29</v>
      </c>
      <c r="N3606" s="173" t="s">
        <v>19</v>
      </c>
      <c r="O3606" s="87">
        <v>64</v>
      </c>
      <c r="P3606" s="173" t="s">
        <v>25</v>
      </c>
      <c r="Q3606" s="1" t="s">
        <v>1344</v>
      </c>
      <c r="R3606" s="175">
        <v>60</v>
      </c>
      <c r="S3606">
        <v>60</v>
      </c>
    </row>
    <row r="3607" spans="1:19" x14ac:dyDescent="0.25">
      <c r="A3607" s="87">
        <v>2020</v>
      </c>
      <c r="B3607" s="87">
        <v>1</v>
      </c>
      <c r="C3607" s="173" t="s">
        <v>16</v>
      </c>
      <c r="D3607" s="173" t="s">
        <v>372</v>
      </c>
      <c r="E3607" s="173" t="s">
        <v>373</v>
      </c>
      <c r="F3607" s="173" t="s">
        <v>16</v>
      </c>
      <c r="G3607" s="87" t="b">
        <v>1</v>
      </c>
      <c r="H3607" s="87" t="b">
        <v>0</v>
      </c>
      <c r="I3607" s="87" t="b">
        <v>0</v>
      </c>
      <c r="J3607" s="173" t="s">
        <v>491</v>
      </c>
      <c r="K3607" s="174">
        <v>6047087001020</v>
      </c>
      <c r="L3607" s="173" t="s">
        <v>1081</v>
      </c>
      <c r="M3607" s="173" t="s">
        <v>131</v>
      </c>
      <c r="N3607" s="173" t="s">
        <v>61</v>
      </c>
      <c r="O3607" s="87">
        <v>62</v>
      </c>
      <c r="P3607" s="173" t="s">
        <v>27</v>
      </c>
      <c r="Q3607" s="1" t="s">
        <v>1343</v>
      </c>
      <c r="R3607" s="175">
        <v>70</v>
      </c>
      <c r="S3607">
        <v>70</v>
      </c>
    </row>
    <row r="3608" spans="1:19" x14ac:dyDescent="0.25">
      <c r="A3608" s="87">
        <v>2020</v>
      </c>
      <c r="B3608" s="87">
        <v>1</v>
      </c>
      <c r="C3608" s="173" t="s">
        <v>16</v>
      </c>
      <c r="D3608" s="173" t="s">
        <v>372</v>
      </c>
      <c r="E3608" s="173" t="s">
        <v>373</v>
      </c>
      <c r="F3608" s="173" t="s">
        <v>16</v>
      </c>
      <c r="G3608" s="87" t="b">
        <v>1</v>
      </c>
      <c r="H3608" s="87" t="b">
        <v>0</v>
      </c>
      <c r="I3608" s="87" t="b">
        <v>0</v>
      </c>
      <c r="J3608" s="173" t="s">
        <v>491</v>
      </c>
      <c r="K3608" s="174">
        <v>6047087001020</v>
      </c>
      <c r="L3608" s="173" t="s">
        <v>1081</v>
      </c>
      <c r="M3608" s="173" t="s">
        <v>131</v>
      </c>
      <c r="N3608" s="173" t="s">
        <v>61</v>
      </c>
      <c r="O3608" s="87">
        <v>64</v>
      </c>
      <c r="P3608" s="173" t="s">
        <v>25</v>
      </c>
      <c r="Q3608" s="1" t="s">
        <v>1344</v>
      </c>
      <c r="R3608" s="175">
        <v>115</v>
      </c>
      <c r="S3608">
        <v>115</v>
      </c>
    </row>
    <row r="3609" spans="1:19" x14ac:dyDescent="0.25">
      <c r="A3609" s="87">
        <v>2020</v>
      </c>
      <c r="B3609" s="87">
        <v>1</v>
      </c>
      <c r="C3609" s="173" t="s">
        <v>16</v>
      </c>
      <c r="D3609" s="173" t="s">
        <v>372</v>
      </c>
      <c r="E3609" s="173" t="s">
        <v>373</v>
      </c>
      <c r="F3609" s="173" t="s">
        <v>16</v>
      </c>
      <c r="G3609" s="87" t="b">
        <v>1</v>
      </c>
      <c r="H3609" s="87" t="b">
        <v>0</v>
      </c>
      <c r="I3609" s="87" t="b">
        <v>0</v>
      </c>
      <c r="J3609" s="173" t="s">
        <v>491</v>
      </c>
      <c r="K3609" s="174">
        <v>6047087001372</v>
      </c>
      <c r="L3609" s="173" t="s">
        <v>1041</v>
      </c>
      <c r="M3609" s="173" t="s">
        <v>78</v>
      </c>
      <c r="N3609" s="173" t="s">
        <v>61</v>
      </c>
      <c r="O3609" s="87">
        <v>62</v>
      </c>
      <c r="P3609" s="173" t="s">
        <v>27</v>
      </c>
      <c r="Q3609" s="1" t="s">
        <v>1343</v>
      </c>
      <c r="R3609" s="175">
        <v>2</v>
      </c>
      <c r="S3609">
        <v>2</v>
      </c>
    </row>
    <row r="3610" spans="1:19" x14ac:dyDescent="0.25">
      <c r="A3610" s="87">
        <v>2020</v>
      </c>
      <c r="B3610" s="87">
        <v>1</v>
      </c>
      <c r="C3610" s="173" t="s">
        <v>16</v>
      </c>
      <c r="D3610" s="173" t="s">
        <v>372</v>
      </c>
      <c r="E3610" s="173" t="s">
        <v>373</v>
      </c>
      <c r="F3610" s="173" t="s">
        <v>16</v>
      </c>
      <c r="G3610" s="87" t="b">
        <v>1</v>
      </c>
      <c r="H3610" s="87" t="b">
        <v>0</v>
      </c>
      <c r="I3610" s="87" t="b">
        <v>0</v>
      </c>
      <c r="J3610" s="173" t="s">
        <v>491</v>
      </c>
      <c r="K3610" s="174">
        <v>6047087001372</v>
      </c>
      <c r="L3610" s="173" t="s">
        <v>1041</v>
      </c>
      <c r="M3610" s="173" t="s">
        <v>78</v>
      </c>
      <c r="N3610" s="173" t="s">
        <v>61</v>
      </c>
      <c r="O3610" s="87">
        <v>64</v>
      </c>
      <c r="P3610" s="173" t="s">
        <v>25</v>
      </c>
      <c r="Q3610" s="1" t="s">
        <v>1344</v>
      </c>
      <c r="R3610" s="175">
        <v>8</v>
      </c>
      <c r="S3610">
        <v>8</v>
      </c>
    </row>
    <row r="3611" spans="1:19" x14ac:dyDescent="0.25">
      <c r="A3611" s="87">
        <v>2020</v>
      </c>
      <c r="B3611" s="87">
        <v>1</v>
      </c>
      <c r="C3611" s="173" t="s">
        <v>16</v>
      </c>
      <c r="D3611" s="173" t="s">
        <v>372</v>
      </c>
      <c r="E3611" s="173" t="s">
        <v>373</v>
      </c>
      <c r="F3611" s="173" t="s">
        <v>16</v>
      </c>
      <c r="G3611" s="87" t="b">
        <v>1</v>
      </c>
      <c r="H3611" s="87" t="b">
        <v>0</v>
      </c>
      <c r="I3611" s="87" t="b">
        <v>0</v>
      </c>
      <c r="J3611" s="173" t="s">
        <v>491</v>
      </c>
      <c r="K3611" s="174">
        <v>6047087002697</v>
      </c>
      <c r="L3611" s="173" t="s">
        <v>1082</v>
      </c>
      <c r="M3611" s="173" t="s">
        <v>131</v>
      </c>
      <c r="N3611" s="173" t="s">
        <v>61</v>
      </c>
      <c r="O3611" s="87">
        <v>62</v>
      </c>
      <c r="P3611" s="173" t="s">
        <v>27</v>
      </c>
      <c r="Q3611" s="1" t="s">
        <v>1343</v>
      </c>
      <c r="R3611" s="175">
        <v>5</v>
      </c>
      <c r="S3611">
        <v>5</v>
      </c>
    </row>
    <row r="3612" spans="1:19" x14ac:dyDescent="0.25">
      <c r="A3612" s="87">
        <v>2020</v>
      </c>
      <c r="B3612" s="87">
        <v>1</v>
      </c>
      <c r="C3612" s="173" t="s">
        <v>16</v>
      </c>
      <c r="D3612" s="173" t="s">
        <v>372</v>
      </c>
      <c r="E3612" s="173" t="s">
        <v>373</v>
      </c>
      <c r="F3612" s="173" t="s">
        <v>16</v>
      </c>
      <c r="G3612" s="87" t="b">
        <v>1</v>
      </c>
      <c r="H3612" s="87" t="b">
        <v>0</v>
      </c>
      <c r="I3612" s="87" t="b">
        <v>0</v>
      </c>
      <c r="J3612" s="173" t="s">
        <v>491</v>
      </c>
      <c r="K3612" s="174">
        <v>6047087002697</v>
      </c>
      <c r="L3612" s="173" t="s">
        <v>1082</v>
      </c>
      <c r="M3612" s="173" t="s">
        <v>131</v>
      </c>
      <c r="N3612" s="173" t="s">
        <v>61</v>
      </c>
      <c r="O3612" s="87">
        <v>70</v>
      </c>
      <c r="P3612" s="173" t="s">
        <v>20</v>
      </c>
      <c r="Q3612" s="1" t="s">
        <v>1338</v>
      </c>
      <c r="R3612" s="175">
        <v>50</v>
      </c>
      <c r="S3612">
        <v>10</v>
      </c>
    </row>
    <row r="3613" spans="1:19" x14ac:dyDescent="0.25">
      <c r="A3613" s="87">
        <v>2020</v>
      </c>
      <c r="B3613" s="87">
        <v>1</v>
      </c>
      <c r="C3613" s="173" t="s">
        <v>16</v>
      </c>
      <c r="D3613" s="173" t="s">
        <v>372</v>
      </c>
      <c r="E3613" s="173" t="s">
        <v>373</v>
      </c>
      <c r="F3613" s="173" t="s">
        <v>16</v>
      </c>
      <c r="G3613" s="87" t="b">
        <v>1</v>
      </c>
      <c r="H3613" s="87" t="b">
        <v>0</v>
      </c>
      <c r="I3613" s="87" t="b">
        <v>0</v>
      </c>
      <c r="J3613" s="173" t="s">
        <v>491</v>
      </c>
      <c r="K3613" s="174">
        <v>6047087004207</v>
      </c>
      <c r="L3613" s="173" t="s">
        <v>811</v>
      </c>
      <c r="M3613" s="173" t="s">
        <v>739</v>
      </c>
      <c r="N3613" s="173" t="s">
        <v>55</v>
      </c>
      <c r="O3613" s="87">
        <v>62</v>
      </c>
      <c r="P3613" s="173" t="s">
        <v>27</v>
      </c>
      <c r="Q3613" s="1" t="s">
        <v>1343</v>
      </c>
      <c r="R3613" s="175">
        <v>4</v>
      </c>
      <c r="S3613">
        <v>4</v>
      </c>
    </row>
    <row r="3614" spans="1:19" x14ac:dyDescent="0.25">
      <c r="A3614" s="87">
        <v>2020</v>
      </c>
      <c r="B3614" s="87">
        <v>1</v>
      </c>
      <c r="C3614" s="173" t="s">
        <v>16</v>
      </c>
      <c r="D3614" s="173" t="s">
        <v>372</v>
      </c>
      <c r="E3614" s="173" t="s">
        <v>373</v>
      </c>
      <c r="F3614" s="173" t="s">
        <v>16</v>
      </c>
      <c r="G3614" s="87" t="b">
        <v>1</v>
      </c>
      <c r="H3614" s="87" t="b">
        <v>0</v>
      </c>
      <c r="I3614" s="87" t="b">
        <v>0</v>
      </c>
      <c r="J3614" s="173" t="s">
        <v>491</v>
      </c>
      <c r="K3614" s="174">
        <v>6047087004207</v>
      </c>
      <c r="L3614" s="173" t="s">
        <v>811</v>
      </c>
      <c r="M3614" s="173" t="s">
        <v>739</v>
      </c>
      <c r="N3614" s="173" t="s">
        <v>55</v>
      </c>
      <c r="O3614" s="87">
        <v>64</v>
      </c>
      <c r="P3614" s="173" t="s">
        <v>25</v>
      </c>
      <c r="Q3614" s="1" t="s">
        <v>1344</v>
      </c>
      <c r="R3614" s="175">
        <v>18</v>
      </c>
      <c r="S3614">
        <v>18</v>
      </c>
    </row>
    <row r="3615" spans="1:19" x14ac:dyDescent="0.25">
      <c r="A3615" s="87">
        <v>2020</v>
      </c>
      <c r="B3615" s="87">
        <v>1</v>
      </c>
      <c r="C3615" s="173" t="s">
        <v>16</v>
      </c>
      <c r="D3615" s="173" t="s">
        <v>372</v>
      </c>
      <c r="E3615" s="173" t="s">
        <v>373</v>
      </c>
      <c r="F3615" s="173" t="s">
        <v>16</v>
      </c>
      <c r="G3615" s="87" t="b">
        <v>1</v>
      </c>
      <c r="H3615" s="87" t="b">
        <v>0</v>
      </c>
      <c r="I3615" s="87" t="b">
        <v>0</v>
      </c>
      <c r="J3615" s="173" t="s">
        <v>491</v>
      </c>
      <c r="K3615" s="174">
        <v>6047087009276</v>
      </c>
      <c r="L3615" s="173" t="s">
        <v>812</v>
      </c>
      <c r="M3615" s="173" t="s">
        <v>70</v>
      </c>
      <c r="N3615" s="173" t="s">
        <v>71</v>
      </c>
      <c r="O3615" s="87">
        <v>64</v>
      </c>
      <c r="P3615" s="173" t="s">
        <v>25</v>
      </c>
      <c r="Q3615" s="1" t="s">
        <v>1344</v>
      </c>
      <c r="R3615" s="175">
        <v>30</v>
      </c>
      <c r="S3615">
        <v>30</v>
      </c>
    </row>
    <row r="3616" spans="1:19" x14ac:dyDescent="0.25">
      <c r="A3616" s="87">
        <v>2020</v>
      </c>
      <c r="B3616" s="87">
        <v>1</v>
      </c>
      <c r="C3616" s="173" t="s">
        <v>16</v>
      </c>
      <c r="D3616" s="173" t="s">
        <v>372</v>
      </c>
      <c r="E3616" s="173" t="s">
        <v>373</v>
      </c>
      <c r="F3616" s="173" t="s">
        <v>16</v>
      </c>
      <c r="G3616" s="87" t="b">
        <v>1</v>
      </c>
      <c r="H3616" s="87" t="b">
        <v>0</v>
      </c>
      <c r="I3616" s="87" t="b">
        <v>0</v>
      </c>
      <c r="J3616" s="173" t="s">
        <v>468</v>
      </c>
      <c r="K3616" s="174">
        <v>6054754000100</v>
      </c>
      <c r="L3616" s="173" t="s">
        <v>1451</v>
      </c>
      <c r="M3616" s="173" t="s">
        <v>1449</v>
      </c>
      <c r="N3616" s="173" t="s">
        <v>55</v>
      </c>
      <c r="O3616" s="87">
        <v>70</v>
      </c>
      <c r="P3616" s="173" t="s">
        <v>20</v>
      </c>
      <c r="Q3616" s="1" t="s">
        <v>1338</v>
      </c>
      <c r="R3616" s="175">
        <v>250</v>
      </c>
      <c r="S3616">
        <v>50</v>
      </c>
    </row>
    <row r="3617" spans="1:19" x14ac:dyDescent="0.25">
      <c r="A3617" s="87">
        <v>2020</v>
      </c>
      <c r="B3617" s="87">
        <v>1</v>
      </c>
      <c r="C3617" s="173" t="s">
        <v>16</v>
      </c>
      <c r="D3617" s="173" t="s">
        <v>372</v>
      </c>
      <c r="E3617" s="173" t="s">
        <v>373</v>
      </c>
      <c r="F3617" s="173" t="s">
        <v>16</v>
      </c>
      <c r="G3617" s="87" t="b">
        <v>1</v>
      </c>
      <c r="H3617" s="87" t="b">
        <v>0</v>
      </c>
      <c r="I3617" s="87" t="b">
        <v>0</v>
      </c>
      <c r="J3617" s="173" t="s">
        <v>491</v>
      </c>
      <c r="K3617" s="174">
        <v>6337035000105</v>
      </c>
      <c r="L3617" s="173" t="s">
        <v>814</v>
      </c>
      <c r="M3617" s="173" t="s">
        <v>745</v>
      </c>
      <c r="N3617" s="173" t="s">
        <v>59</v>
      </c>
      <c r="O3617" s="87">
        <v>70</v>
      </c>
      <c r="P3617" s="173" t="s">
        <v>20</v>
      </c>
      <c r="Q3617" s="1" t="s">
        <v>1338</v>
      </c>
      <c r="R3617" s="175">
        <v>50</v>
      </c>
      <c r="S3617">
        <v>10</v>
      </c>
    </row>
    <row r="3618" spans="1:19" x14ac:dyDescent="0.25">
      <c r="A3618" s="87">
        <v>2020</v>
      </c>
      <c r="B3618" s="87">
        <v>1</v>
      </c>
      <c r="C3618" s="173" t="s">
        <v>16</v>
      </c>
      <c r="D3618" s="173" t="s">
        <v>372</v>
      </c>
      <c r="E3618" s="173" t="s">
        <v>373</v>
      </c>
      <c r="F3618" s="173" t="s">
        <v>16</v>
      </c>
      <c r="G3618" s="87" t="b">
        <v>1</v>
      </c>
      <c r="H3618" s="87" t="b">
        <v>0</v>
      </c>
      <c r="I3618" s="87" t="b">
        <v>0</v>
      </c>
      <c r="J3618" s="173" t="s">
        <v>1330</v>
      </c>
      <c r="K3618" s="174">
        <v>6553564000138</v>
      </c>
      <c r="L3618" s="173" t="s">
        <v>1152</v>
      </c>
      <c r="M3618" s="173" t="s">
        <v>81</v>
      </c>
      <c r="N3618" s="173" t="s">
        <v>82</v>
      </c>
      <c r="O3618" s="87">
        <v>70</v>
      </c>
      <c r="P3618" s="173" t="s">
        <v>20</v>
      </c>
      <c r="Q3618" s="1" t="s">
        <v>1346</v>
      </c>
      <c r="R3618" s="175">
        <v>105</v>
      </c>
      <c r="S3618">
        <v>42</v>
      </c>
    </row>
    <row r="3619" spans="1:19" x14ac:dyDescent="0.25">
      <c r="A3619" s="87">
        <v>2020</v>
      </c>
      <c r="B3619" s="87">
        <v>1</v>
      </c>
      <c r="C3619" s="173" t="s">
        <v>16</v>
      </c>
      <c r="D3619" s="173" t="s">
        <v>372</v>
      </c>
      <c r="E3619" s="173" t="s">
        <v>373</v>
      </c>
      <c r="F3619" s="173" t="s">
        <v>16</v>
      </c>
      <c r="G3619" s="87" t="b">
        <v>1</v>
      </c>
      <c r="H3619" s="87" t="b">
        <v>0</v>
      </c>
      <c r="I3619" s="87" t="b">
        <v>0</v>
      </c>
      <c r="J3619" s="173" t="s">
        <v>451</v>
      </c>
      <c r="K3619" s="174">
        <v>6555031000276</v>
      </c>
      <c r="L3619" s="173" t="s">
        <v>815</v>
      </c>
      <c r="M3619" s="173" t="s">
        <v>81</v>
      </c>
      <c r="N3619" s="173" t="s">
        <v>82</v>
      </c>
      <c r="O3619" s="87">
        <v>73</v>
      </c>
      <c r="P3619" s="173" t="s">
        <v>26</v>
      </c>
      <c r="Q3619" s="1" t="s">
        <v>1342</v>
      </c>
      <c r="R3619" s="175">
        <v>64</v>
      </c>
      <c r="S3619">
        <v>16</v>
      </c>
    </row>
    <row r="3620" spans="1:19" x14ac:dyDescent="0.25">
      <c r="A3620" s="87">
        <v>2020</v>
      </c>
      <c r="B3620" s="87">
        <v>1</v>
      </c>
      <c r="C3620" s="173" t="s">
        <v>16</v>
      </c>
      <c r="D3620" s="173" t="s">
        <v>372</v>
      </c>
      <c r="E3620" s="173" t="s">
        <v>373</v>
      </c>
      <c r="F3620" s="173" t="s">
        <v>16</v>
      </c>
      <c r="G3620" s="87" t="b">
        <v>1</v>
      </c>
      <c r="H3620" s="87" t="b">
        <v>0</v>
      </c>
      <c r="I3620" s="87" t="b">
        <v>0</v>
      </c>
      <c r="J3620" s="173" t="s">
        <v>455</v>
      </c>
      <c r="K3620" s="174">
        <v>6833917000153</v>
      </c>
      <c r="L3620" s="173" t="s">
        <v>1389</v>
      </c>
      <c r="M3620" s="173" t="s">
        <v>81</v>
      </c>
      <c r="N3620" s="173" t="s">
        <v>82</v>
      </c>
      <c r="O3620" s="87">
        <v>70</v>
      </c>
      <c r="P3620" s="173" t="s">
        <v>20</v>
      </c>
      <c r="Q3620" s="1" t="s">
        <v>1338</v>
      </c>
      <c r="R3620" s="175">
        <v>150</v>
      </c>
      <c r="S3620">
        <v>30</v>
      </c>
    </row>
    <row r="3621" spans="1:19" x14ac:dyDescent="0.25">
      <c r="A3621" s="87">
        <v>2020</v>
      </c>
      <c r="B3621" s="87">
        <v>1</v>
      </c>
      <c r="C3621" s="173" t="s">
        <v>16</v>
      </c>
      <c r="D3621" s="173" t="s">
        <v>372</v>
      </c>
      <c r="E3621" s="173" t="s">
        <v>373</v>
      </c>
      <c r="F3621" s="173" t="s">
        <v>16</v>
      </c>
      <c r="G3621" s="87" t="b">
        <v>1</v>
      </c>
      <c r="H3621" s="87" t="b">
        <v>0</v>
      </c>
      <c r="I3621" s="87" t="b">
        <v>0</v>
      </c>
      <c r="J3621" s="173" t="s">
        <v>470</v>
      </c>
      <c r="K3621" s="174">
        <v>7045325000130</v>
      </c>
      <c r="L3621" s="173" t="s">
        <v>571</v>
      </c>
      <c r="M3621" s="173" t="s">
        <v>29</v>
      </c>
      <c r="N3621" s="173" t="s">
        <v>19</v>
      </c>
      <c r="O3621" s="87">
        <v>70</v>
      </c>
      <c r="P3621" s="173" t="s">
        <v>20</v>
      </c>
      <c r="Q3621" s="1" t="s">
        <v>1338</v>
      </c>
      <c r="R3621" s="175">
        <v>150</v>
      </c>
      <c r="S3621">
        <v>30</v>
      </c>
    </row>
    <row r="3622" spans="1:19" x14ac:dyDescent="0.25">
      <c r="A3622" s="87">
        <v>2020</v>
      </c>
      <c r="B3622" s="87">
        <v>1</v>
      </c>
      <c r="C3622" s="173" t="s">
        <v>16</v>
      </c>
      <c r="D3622" s="173" t="s">
        <v>372</v>
      </c>
      <c r="E3622" s="173" t="s">
        <v>373</v>
      </c>
      <c r="F3622" s="173" t="s">
        <v>16</v>
      </c>
      <c r="G3622" s="87" t="b">
        <v>1</v>
      </c>
      <c r="H3622" s="87" t="b">
        <v>0</v>
      </c>
      <c r="I3622" s="87" t="b">
        <v>0</v>
      </c>
      <c r="J3622" s="173" t="s">
        <v>463</v>
      </c>
      <c r="K3622" s="174">
        <v>7045325000130</v>
      </c>
      <c r="L3622" s="173" t="s">
        <v>571</v>
      </c>
      <c r="M3622" s="173" t="s">
        <v>29</v>
      </c>
      <c r="N3622" s="173" t="s">
        <v>19</v>
      </c>
      <c r="O3622" s="87">
        <v>70</v>
      </c>
      <c r="P3622" s="173" t="s">
        <v>20</v>
      </c>
      <c r="Q3622" s="1" t="s">
        <v>1338</v>
      </c>
      <c r="R3622" s="175">
        <v>350</v>
      </c>
      <c r="S3622">
        <v>70</v>
      </c>
    </row>
    <row r="3623" spans="1:19" x14ac:dyDescent="0.25">
      <c r="A3623" s="87">
        <v>2020</v>
      </c>
      <c r="B3623" s="87">
        <v>1</v>
      </c>
      <c r="C3623" s="173" t="s">
        <v>16</v>
      </c>
      <c r="D3623" s="173" t="s">
        <v>372</v>
      </c>
      <c r="E3623" s="173" t="s">
        <v>373</v>
      </c>
      <c r="F3623" s="173" t="s">
        <v>16</v>
      </c>
      <c r="G3623" s="87" t="b">
        <v>1</v>
      </c>
      <c r="H3623" s="87" t="b">
        <v>0</v>
      </c>
      <c r="I3623" s="87" t="b">
        <v>0</v>
      </c>
      <c r="J3623" s="173" t="s">
        <v>470</v>
      </c>
      <c r="K3623" s="174">
        <v>7045325000130</v>
      </c>
      <c r="L3623" s="173" t="s">
        <v>571</v>
      </c>
      <c r="M3623" s="173" t="s">
        <v>29</v>
      </c>
      <c r="N3623" s="173" t="s">
        <v>19</v>
      </c>
      <c r="O3623" s="87">
        <v>73</v>
      </c>
      <c r="P3623" s="173" t="s">
        <v>26</v>
      </c>
      <c r="Q3623" s="1" t="s">
        <v>1342</v>
      </c>
      <c r="R3623" s="175">
        <v>144</v>
      </c>
      <c r="S3623">
        <v>36</v>
      </c>
    </row>
    <row r="3624" spans="1:19" x14ac:dyDescent="0.25">
      <c r="A3624" s="87">
        <v>2020</v>
      </c>
      <c r="B3624" s="87">
        <v>1</v>
      </c>
      <c r="C3624" s="173" t="s">
        <v>16</v>
      </c>
      <c r="D3624" s="173" t="s">
        <v>372</v>
      </c>
      <c r="E3624" s="173" t="s">
        <v>373</v>
      </c>
      <c r="F3624" s="173" t="s">
        <v>16</v>
      </c>
      <c r="G3624" s="87" t="b">
        <v>1</v>
      </c>
      <c r="H3624" s="87" t="b">
        <v>0</v>
      </c>
      <c r="I3624" s="87" t="b">
        <v>0</v>
      </c>
      <c r="J3624" s="173" t="s">
        <v>464</v>
      </c>
      <c r="K3624" s="174">
        <v>7045325000130</v>
      </c>
      <c r="L3624" s="173" t="s">
        <v>571</v>
      </c>
      <c r="M3624" s="173" t="s">
        <v>29</v>
      </c>
      <c r="N3624" s="173" t="s">
        <v>19</v>
      </c>
      <c r="O3624" s="87">
        <v>73</v>
      </c>
      <c r="P3624" s="173" t="s">
        <v>26</v>
      </c>
      <c r="Q3624" s="1" t="s">
        <v>1342</v>
      </c>
      <c r="R3624" s="175">
        <v>40</v>
      </c>
      <c r="S3624">
        <v>10</v>
      </c>
    </row>
    <row r="3625" spans="1:19" x14ac:dyDescent="0.25">
      <c r="A3625" s="87">
        <v>2020</v>
      </c>
      <c r="B3625" s="87">
        <v>1</v>
      </c>
      <c r="C3625" s="173" t="s">
        <v>16</v>
      </c>
      <c r="D3625" s="173" t="s">
        <v>372</v>
      </c>
      <c r="E3625" s="173" t="s">
        <v>373</v>
      </c>
      <c r="F3625" s="173" t="s">
        <v>16</v>
      </c>
      <c r="G3625" s="87" t="b">
        <v>1</v>
      </c>
      <c r="H3625" s="87" t="b">
        <v>0</v>
      </c>
      <c r="I3625" s="87" t="b">
        <v>0</v>
      </c>
      <c r="J3625" s="173" t="s">
        <v>453</v>
      </c>
      <c r="K3625" s="174">
        <v>7272636000212</v>
      </c>
      <c r="L3625" s="173" t="s">
        <v>818</v>
      </c>
      <c r="M3625" s="173" t="s">
        <v>76</v>
      </c>
      <c r="N3625" s="173" t="s">
        <v>77</v>
      </c>
      <c r="O3625" s="87">
        <v>62</v>
      </c>
      <c r="P3625" s="173" t="s">
        <v>27</v>
      </c>
      <c r="Q3625" s="1" t="s">
        <v>1343</v>
      </c>
      <c r="R3625" s="175">
        <v>40</v>
      </c>
      <c r="S3625">
        <v>40</v>
      </c>
    </row>
    <row r="3626" spans="1:19" x14ac:dyDescent="0.25">
      <c r="A3626" s="87">
        <v>2020</v>
      </c>
      <c r="B3626" s="87">
        <v>1</v>
      </c>
      <c r="C3626" s="173" t="s">
        <v>16</v>
      </c>
      <c r="D3626" s="173" t="s">
        <v>372</v>
      </c>
      <c r="E3626" s="173" t="s">
        <v>373</v>
      </c>
      <c r="F3626" s="173" t="s">
        <v>16</v>
      </c>
      <c r="G3626" s="87" t="b">
        <v>1</v>
      </c>
      <c r="H3626" s="87" t="b">
        <v>0</v>
      </c>
      <c r="I3626" s="87" t="b">
        <v>0</v>
      </c>
      <c r="J3626" s="173" t="s">
        <v>492</v>
      </c>
      <c r="K3626" s="174">
        <v>7404052000172</v>
      </c>
      <c r="L3626" s="173" t="s">
        <v>953</v>
      </c>
      <c r="M3626" s="173" t="s">
        <v>94</v>
      </c>
      <c r="N3626" s="173" t="s">
        <v>57</v>
      </c>
      <c r="O3626" s="87">
        <v>70</v>
      </c>
      <c r="P3626" s="173" t="s">
        <v>20</v>
      </c>
      <c r="Q3626" s="1" t="s">
        <v>1338</v>
      </c>
      <c r="R3626" s="175">
        <v>75</v>
      </c>
      <c r="S3626">
        <v>15</v>
      </c>
    </row>
    <row r="3627" spans="1:19" x14ac:dyDescent="0.25">
      <c r="A3627" s="87">
        <v>2020</v>
      </c>
      <c r="B3627" s="87">
        <v>1</v>
      </c>
      <c r="C3627" s="173" t="s">
        <v>16</v>
      </c>
      <c r="D3627" s="173" t="s">
        <v>372</v>
      </c>
      <c r="E3627" s="173" t="s">
        <v>373</v>
      </c>
      <c r="F3627" s="173" t="s">
        <v>16</v>
      </c>
      <c r="G3627" s="87" t="b">
        <v>1</v>
      </c>
      <c r="H3627" s="87" t="b">
        <v>0</v>
      </c>
      <c r="I3627" s="87" t="b">
        <v>0</v>
      </c>
      <c r="J3627" s="173" t="s">
        <v>452</v>
      </c>
      <c r="K3627" s="174">
        <v>7404052000172</v>
      </c>
      <c r="L3627" s="173" t="s">
        <v>953</v>
      </c>
      <c r="M3627" s="173" t="s">
        <v>94</v>
      </c>
      <c r="N3627" s="173" t="s">
        <v>57</v>
      </c>
      <c r="O3627" s="87">
        <v>70</v>
      </c>
      <c r="P3627" s="173" t="s">
        <v>20</v>
      </c>
      <c r="Q3627" s="1" t="s">
        <v>1338</v>
      </c>
      <c r="R3627" s="175">
        <v>20</v>
      </c>
      <c r="S3627">
        <v>4</v>
      </c>
    </row>
    <row r="3628" spans="1:19" x14ac:dyDescent="0.25">
      <c r="A3628" s="87">
        <v>2020</v>
      </c>
      <c r="B3628" s="87">
        <v>1</v>
      </c>
      <c r="C3628" s="173" t="s">
        <v>16</v>
      </c>
      <c r="D3628" s="173" t="s">
        <v>372</v>
      </c>
      <c r="E3628" s="173" t="s">
        <v>373</v>
      </c>
      <c r="F3628" s="173" t="s">
        <v>16</v>
      </c>
      <c r="G3628" s="87" t="b">
        <v>1</v>
      </c>
      <c r="H3628" s="87" t="b">
        <v>0</v>
      </c>
      <c r="I3628" s="87" t="b">
        <v>0</v>
      </c>
      <c r="J3628" s="173" t="s">
        <v>495</v>
      </c>
      <c r="K3628" s="174">
        <v>7404052000172</v>
      </c>
      <c r="L3628" s="173" t="s">
        <v>953</v>
      </c>
      <c r="M3628" s="173" t="s">
        <v>94</v>
      </c>
      <c r="N3628" s="173" t="s">
        <v>57</v>
      </c>
      <c r="O3628" s="87">
        <v>70</v>
      </c>
      <c r="P3628" s="173" t="s">
        <v>20</v>
      </c>
      <c r="Q3628" s="1" t="s">
        <v>1338</v>
      </c>
      <c r="R3628" s="175">
        <v>150</v>
      </c>
      <c r="S3628">
        <v>30</v>
      </c>
    </row>
    <row r="3629" spans="1:19" x14ac:dyDescent="0.25">
      <c r="A3629" s="87">
        <v>2020</v>
      </c>
      <c r="B3629" s="87">
        <v>1</v>
      </c>
      <c r="C3629" s="173" t="s">
        <v>16</v>
      </c>
      <c r="D3629" s="173" t="s">
        <v>372</v>
      </c>
      <c r="E3629" s="173" t="s">
        <v>373</v>
      </c>
      <c r="F3629" s="173" t="s">
        <v>16</v>
      </c>
      <c r="G3629" s="87" t="b">
        <v>1</v>
      </c>
      <c r="H3629" s="87" t="b">
        <v>0</v>
      </c>
      <c r="I3629" s="87" t="b">
        <v>0</v>
      </c>
      <c r="J3629" s="173" t="s">
        <v>506</v>
      </c>
      <c r="K3629" s="174">
        <v>7549453000110</v>
      </c>
      <c r="L3629" s="173" t="s">
        <v>1452</v>
      </c>
      <c r="M3629" s="173" t="s">
        <v>84</v>
      </c>
      <c r="N3629" s="173" t="s">
        <v>85</v>
      </c>
      <c r="O3629" s="87">
        <v>70</v>
      </c>
      <c r="P3629" s="173" t="s">
        <v>20</v>
      </c>
      <c r="Q3629" s="1" t="s">
        <v>1338</v>
      </c>
      <c r="R3629" s="175">
        <v>90</v>
      </c>
      <c r="S3629">
        <v>18</v>
      </c>
    </row>
    <row r="3630" spans="1:19" x14ac:dyDescent="0.25">
      <c r="A3630" s="87">
        <v>2020</v>
      </c>
      <c r="B3630" s="87">
        <v>1</v>
      </c>
      <c r="C3630" s="173" t="s">
        <v>16</v>
      </c>
      <c r="D3630" s="173" t="s">
        <v>372</v>
      </c>
      <c r="E3630" s="173" t="s">
        <v>373</v>
      </c>
      <c r="F3630" s="173" t="s">
        <v>16</v>
      </c>
      <c r="G3630" s="87" t="b">
        <v>1</v>
      </c>
      <c r="H3630" s="87" t="b">
        <v>0</v>
      </c>
      <c r="I3630" s="87" t="b">
        <v>0</v>
      </c>
      <c r="J3630" s="173" t="s">
        <v>452</v>
      </c>
      <c r="K3630" s="174">
        <v>7734165000136</v>
      </c>
      <c r="L3630" s="173" t="s">
        <v>954</v>
      </c>
      <c r="M3630" s="173" t="s">
        <v>94</v>
      </c>
      <c r="N3630" s="173" t="s">
        <v>57</v>
      </c>
      <c r="O3630" s="87">
        <v>70</v>
      </c>
      <c r="P3630" s="173" t="s">
        <v>20</v>
      </c>
      <c r="Q3630" s="1" t="s">
        <v>1345</v>
      </c>
      <c r="R3630" s="175">
        <v>1000</v>
      </c>
      <c r="S3630">
        <v>100</v>
      </c>
    </row>
    <row r="3631" spans="1:19" x14ac:dyDescent="0.25">
      <c r="A3631" s="87">
        <v>2020</v>
      </c>
      <c r="B3631" s="87">
        <v>1</v>
      </c>
      <c r="C3631" s="173" t="s">
        <v>16</v>
      </c>
      <c r="D3631" s="173" t="s">
        <v>372</v>
      </c>
      <c r="E3631" s="173" t="s">
        <v>373</v>
      </c>
      <c r="F3631" s="173" t="s">
        <v>16</v>
      </c>
      <c r="G3631" s="87" t="b">
        <v>1</v>
      </c>
      <c r="H3631" s="87" t="b">
        <v>0</v>
      </c>
      <c r="I3631" s="87" t="b">
        <v>0</v>
      </c>
      <c r="J3631" s="173" t="s">
        <v>452</v>
      </c>
      <c r="K3631" s="174">
        <v>7734165000136</v>
      </c>
      <c r="L3631" s="173" t="s">
        <v>954</v>
      </c>
      <c r="M3631" s="173" t="s">
        <v>94</v>
      </c>
      <c r="N3631" s="173" t="s">
        <v>57</v>
      </c>
      <c r="O3631" s="87">
        <v>70</v>
      </c>
      <c r="P3631" s="173" t="s">
        <v>20</v>
      </c>
      <c r="Q3631" s="1" t="s">
        <v>1338</v>
      </c>
      <c r="R3631" s="175">
        <v>1500</v>
      </c>
      <c r="S3631">
        <v>300</v>
      </c>
    </row>
    <row r="3632" spans="1:19" x14ac:dyDescent="0.25">
      <c r="A3632" s="87">
        <v>2020</v>
      </c>
      <c r="B3632" s="87">
        <v>1</v>
      </c>
      <c r="C3632" s="173" t="s">
        <v>16</v>
      </c>
      <c r="D3632" s="173" t="s">
        <v>372</v>
      </c>
      <c r="E3632" s="173" t="s">
        <v>373</v>
      </c>
      <c r="F3632" s="173" t="s">
        <v>16</v>
      </c>
      <c r="G3632" s="87" t="b">
        <v>1</v>
      </c>
      <c r="H3632" s="87" t="b">
        <v>0</v>
      </c>
      <c r="I3632" s="87" t="b">
        <v>0</v>
      </c>
      <c r="J3632" s="173" t="s">
        <v>481</v>
      </c>
      <c r="K3632" s="174">
        <v>7734165000136</v>
      </c>
      <c r="L3632" s="173" t="s">
        <v>954</v>
      </c>
      <c r="M3632" s="173" t="s">
        <v>94</v>
      </c>
      <c r="N3632" s="173" t="s">
        <v>57</v>
      </c>
      <c r="O3632" s="87">
        <v>70</v>
      </c>
      <c r="P3632" s="173" t="s">
        <v>20</v>
      </c>
      <c r="Q3632" s="1" t="s">
        <v>1338</v>
      </c>
      <c r="R3632" s="175">
        <v>465</v>
      </c>
      <c r="S3632">
        <v>93</v>
      </c>
    </row>
    <row r="3633" spans="1:19" x14ac:dyDescent="0.25">
      <c r="A3633" s="87">
        <v>2020</v>
      </c>
      <c r="B3633" s="87">
        <v>1</v>
      </c>
      <c r="C3633" s="173" t="s">
        <v>16</v>
      </c>
      <c r="D3633" s="173" t="s">
        <v>372</v>
      </c>
      <c r="E3633" s="173" t="s">
        <v>373</v>
      </c>
      <c r="F3633" s="173" t="s">
        <v>16</v>
      </c>
      <c r="G3633" s="87" t="b">
        <v>1</v>
      </c>
      <c r="H3633" s="87" t="b">
        <v>0</v>
      </c>
      <c r="I3633" s="87" t="b">
        <v>0</v>
      </c>
      <c r="J3633" s="173" t="s">
        <v>470</v>
      </c>
      <c r="K3633" s="174">
        <v>7734165000136</v>
      </c>
      <c r="L3633" s="173" t="s">
        <v>954</v>
      </c>
      <c r="M3633" s="173" t="s">
        <v>94</v>
      </c>
      <c r="N3633" s="173" t="s">
        <v>57</v>
      </c>
      <c r="O3633" s="87">
        <v>73</v>
      </c>
      <c r="P3633" s="173" t="s">
        <v>26</v>
      </c>
      <c r="Q3633" s="1" t="s">
        <v>1342</v>
      </c>
      <c r="R3633" s="175">
        <v>20</v>
      </c>
      <c r="S3633">
        <v>5</v>
      </c>
    </row>
    <row r="3634" spans="1:19" x14ac:dyDescent="0.25">
      <c r="A3634" s="87">
        <v>2020</v>
      </c>
      <c r="B3634" s="87">
        <v>1</v>
      </c>
      <c r="C3634" s="173" t="s">
        <v>16</v>
      </c>
      <c r="D3634" s="173" t="s">
        <v>372</v>
      </c>
      <c r="E3634" s="173" t="s">
        <v>373</v>
      </c>
      <c r="F3634" s="173" t="s">
        <v>16</v>
      </c>
      <c r="G3634" s="87" t="b">
        <v>1</v>
      </c>
      <c r="H3634" s="87" t="b">
        <v>0</v>
      </c>
      <c r="I3634" s="87" t="b">
        <v>0</v>
      </c>
      <c r="J3634" s="173" t="s">
        <v>451</v>
      </c>
      <c r="K3634" s="174">
        <v>7734165000136</v>
      </c>
      <c r="L3634" s="173" t="s">
        <v>954</v>
      </c>
      <c r="M3634" s="173" t="s">
        <v>94</v>
      </c>
      <c r="N3634" s="173" t="s">
        <v>57</v>
      </c>
      <c r="O3634" s="87">
        <v>73</v>
      </c>
      <c r="P3634" s="173" t="s">
        <v>26</v>
      </c>
      <c r="Q3634" s="1" t="s">
        <v>1342</v>
      </c>
      <c r="R3634" s="175">
        <v>40</v>
      </c>
      <c r="S3634">
        <v>10</v>
      </c>
    </row>
    <row r="3635" spans="1:19" x14ac:dyDescent="0.25">
      <c r="A3635" s="87">
        <v>2020</v>
      </c>
      <c r="B3635" s="87">
        <v>1</v>
      </c>
      <c r="C3635" s="173" t="s">
        <v>16</v>
      </c>
      <c r="D3635" s="173" t="s">
        <v>372</v>
      </c>
      <c r="E3635" s="173" t="s">
        <v>373</v>
      </c>
      <c r="F3635" s="173" t="s">
        <v>16</v>
      </c>
      <c r="G3635" s="87" t="b">
        <v>1</v>
      </c>
      <c r="H3635" s="87" t="b">
        <v>0</v>
      </c>
      <c r="I3635" s="87" t="b">
        <v>0</v>
      </c>
      <c r="J3635" s="173" t="s">
        <v>452</v>
      </c>
      <c r="K3635" s="174">
        <v>7734165000136</v>
      </c>
      <c r="L3635" s="173" t="s">
        <v>954</v>
      </c>
      <c r="M3635" s="173" t="s">
        <v>94</v>
      </c>
      <c r="N3635" s="173" t="s">
        <v>57</v>
      </c>
      <c r="O3635" s="87">
        <v>73</v>
      </c>
      <c r="P3635" s="173" t="s">
        <v>26</v>
      </c>
      <c r="Q3635" s="1" t="s">
        <v>1342</v>
      </c>
      <c r="R3635" s="175">
        <v>4</v>
      </c>
      <c r="S3635">
        <v>1</v>
      </c>
    </row>
    <row r="3636" spans="1:19" x14ac:dyDescent="0.25">
      <c r="A3636" s="87">
        <v>2020</v>
      </c>
      <c r="B3636" s="87">
        <v>1</v>
      </c>
      <c r="C3636" s="173" t="s">
        <v>16</v>
      </c>
      <c r="D3636" s="173" t="s">
        <v>372</v>
      </c>
      <c r="E3636" s="173" t="s">
        <v>373</v>
      </c>
      <c r="F3636" s="173" t="s">
        <v>16</v>
      </c>
      <c r="G3636" s="87" t="b">
        <v>1</v>
      </c>
      <c r="H3636" s="87" t="b">
        <v>0</v>
      </c>
      <c r="I3636" s="87" t="b">
        <v>0</v>
      </c>
      <c r="J3636" s="173" t="s">
        <v>481</v>
      </c>
      <c r="K3636" s="174">
        <v>7734165000136</v>
      </c>
      <c r="L3636" s="173" t="s">
        <v>954</v>
      </c>
      <c r="M3636" s="173" t="s">
        <v>94</v>
      </c>
      <c r="N3636" s="173" t="s">
        <v>57</v>
      </c>
      <c r="O3636" s="87">
        <v>73</v>
      </c>
      <c r="P3636" s="173" t="s">
        <v>26</v>
      </c>
      <c r="Q3636" s="1" t="s">
        <v>1339</v>
      </c>
      <c r="R3636" s="175">
        <v>24</v>
      </c>
      <c r="S3636">
        <v>12</v>
      </c>
    </row>
    <row r="3637" spans="1:19" x14ac:dyDescent="0.25">
      <c r="A3637" s="87">
        <v>2020</v>
      </c>
      <c r="B3637" s="87">
        <v>1</v>
      </c>
      <c r="C3637" s="173" t="s">
        <v>16</v>
      </c>
      <c r="D3637" s="173" t="s">
        <v>372</v>
      </c>
      <c r="E3637" s="173" t="s">
        <v>373</v>
      </c>
      <c r="F3637" s="173" t="s">
        <v>16</v>
      </c>
      <c r="G3637" s="87" t="b">
        <v>1</v>
      </c>
      <c r="H3637" s="87" t="b">
        <v>0</v>
      </c>
      <c r="I3637" s="87" t="b">
        <v>0</v>
      </c>
      <c r="J3637" s="173" t="s">
        <v>470</v>
      </c>
      <c r="K3637" s="174">
        <v>7794623001528</v>
      </c>
      <c r="L3637" s="173" t="s">
        <v>1042</v>
      </c>
      <c r="M3637" s="173" t="s">
        <v>1043</v>
      </c>
      <c r="N3637" s="173" t="s">
        <v>61</v>
      </c>
      <c r="O3637" s="87">
        <v>73</v>
      </c>
      <c r="P3637" s="173" t="s">
        <v>26</v>
      </c>
      <c r="Q3637" s="1" t="s">
        <v>1339</v>
      </c>
      <c r="R3637" s="175">
        <v>2</v>
      </c>
      <c r="S3637">
        <v>1</v>
      </c>
    </row>
    <row r="3638" spans="1:19" x14ac:dyDescent="0.25">
      <c r="A3638" s="87">
        <v>2020</v>
      </c>
      <c r="B3638" s="87">
        <v>1</v>
      </c>
      <c r="C3638" s="173" t="s">
        <v>16</v>
      </c>
      <c r="D3638" s="173" t="s">
        <v>372</v>
      </c>
      <c r="E3638" s="173" t="s">
        <v>373</v>
      </c>
      <c r="F3638" s="173" t="s">
        <v>16</v>
      </c>
      <c r="G3638" s="87" t="b">
        <v>1</v>
      </c>
      <c r="H3638" s="87" t="b">
        <v>0</v>
      </c>
      <c r="I3638" s="87" t="b">
        <v>0</v>
      </c>
      <c r="J3638" s="173" t="s">
        <v>470</v>
      </c>
      <c r="K3638" s="174">
        <v>7794623001528</v>
      </c>
      <c r="L3638" s="173" t="s">
        <v>1042</v>
      </c>
      <c r="M3638" s="173" t="s">
        <v>1043</v>
      </c>
      <c r="N3638" s="173" t="s">
        <v>61</v>
      </c>
      <c r="O3638" s="87">
        <v>73</v>
      </c>
      <c r="P3638" s="173" t="s">
        <v>26</v>
      </c>
      <c r="Q3638" s="1" t="s">
        <v>1342</v>
      </c>
      <c r="R3638" s="175">
        <v>12</v>
      </c>
      <c r="S3638">
        <v>3</v>
      </c>
    </row>
    <row r="3639" spans="1:19" x14ac:dyDescent="0.25">
      <c r="A3639" s="87">
        <v>2020</v>
      </c>
      <c r="B3639" s="87">
        <v>1</v>
      </c>
      <c r="C3639" s="173" t="s">
        <v>16</v>
      </c>
      <c r="D3639" s="173" t="s">
        <v>372</v>
      </c>
      <c r="E3639" s="173" t="s">
        <v>373</v>
      </c>
      <c r="F3639" s="173" t="s">
        <v>16</v>
      </c>
      <c r="G3639" s="87" t="b">
        <v>1</v>
      </c>
      <c r="H3639" s="87" t="b">
        <v>0</v>
      </c>
      <c r="I3639" s="87" t="b">
        <v>0</v>
      </c>
      <c r="J3639" s="173" t="s">
        <v>470</v>
      </c>
      <c r="K3639" s="174">
        <v>7794623002257</v>
      </c>
      <c r="L3639" s="173" t="s">
        <v>955</v>
      </c>
      <c r="M3639" s="173" t="s">
        <v>956</v>
      </c>
      <c r="N3639" s="173" t="s">
        <v>57</v>
      </c>
      <c r="O3639" s="87">
        <v>70</v>
      </c>
      <c r="P3639" s="173" t="s">
        <v>20</v>
      </c>
      <c r="Q3639" s="1" t="s">
        <v>1338</v>
      </c>
      <c r="R3639" s="175">
        <v>210</v>
      </c>
      <c r="S3639">
        <v>42</v>
      </c>
    </row>
    <row r="3640" spans="1:19" x14ac:dyDescent="0.25">
      <c r="A3640" s="87">
        <v>2020</v>
      </c>
      <c r="B3640" s="87">
        <v>1</v>
      </c>
      <c r="C3640" s="173" t="s">
        <v>16</v>
      </c>
      <c r="D3640" s="173" t="s">
        <v>372</v>
      </c>
      <c r="E3640" s="173" t="s">
        <v>373</v>
      </c>
      <c r="F3640" s="173" t="s">
        <v>16</v>
      </c>
      <c r="G3640" s="87" t="b">
        <v>1</v>
      </c>
      <c r="H3640" s="87" t="b">
        <v>0</v>
      </c>
      <c r="I3640" s="87" t="b">
        <v>0</v>
      </c>
      <c r="J3640" s="173" t="s">
        <v>470</v>
      </c>
      <c r="K3640" s="174">
        <v>7794623004896</v>
      </c>
      <c r="L3640" s="173" t="s">
        <v>1084</v>
      </c>
      <c r="M3640" s="173" t="s">
        <v>131</v>
      </c>
      <c r="N3640" s="173" t="s">
        <v>61</v>
      </c>
      <c r="O3640" s="87">
        <v>70</v>
      </c>
      <c r="P3640" s="173" t="s">
        <v>20</v>
      </c>
      <c r="Q3640" s="1" t="s">
        <v>1338</v>
      </c>
      <c r="R3640" s="175">
        <v>400</v>
      </c>
      <c r="S3640">
        <v>80</v>
      </c>
    </row>
    <row r="3641" spans="1:19" x14ac:dyDescent="0.25">
      <c r="A3641" s="87">
        <v>2020</v>
      </c>
      <c r="B3641" s="87">
        <v>1</v>
      </c>
      <c r="C3641" s="173" t="s">
        <v>16</v>
      </c>
      <c r="D3641" s="173" t="s">
        <v>372</v>
      </c>
      <c r="E3641" s="173" t="s">
        <v>373</v>
      </c>
      <c r="F3641" s="173" t="s">
        <v>16</v>
      </c>
      <c r="G3641" s="87" t="b">
        <v>1</v>
      </c>
      <c r="H3641" s="87" t="b">
        <v>0</v>
      </c>
      <c r="I3641" s="87" t="b">
        <v>0</v>
      </c>
      <c r="J3641" s="173" t="s">
        <v>453</v>
      </c>
      <c r="K3641" s="174">
        <v>7835044000180</v>
      </c>
      <c r="L3641" s="173" t="s">
        <v>822</v>
      </c>
      <c r="M3641" s="173" t="s">
        <v>76</v>
      </c>
      <c r="N3641" s="173" t="s">
        <v>77</v>
      </c>
      <c r="O3641" s="87">
        <v>62</v>
      </c>
      <c r="P3641" s="173" t="s">
        <v>27</v>
      </c>
      <c r="Q3641" s="1" t="s">
        <v>1343</v>
      </c>
      <c r="R3641" s="175">
        <v>15</v>
      </c>
      <c r="S3641">
        <v>15</v>
      </c>
    </row>
    <row r="3642" spans="1:19" x14ac:dyDescent="0.25">
      <c r="A3642" s="87">
        <v>2020</v>
      </c>
      <c r="B3642" s="87">
        <v>1</v>
      </c>
      <c r="C3642" s="173" t="s">
        <v>16</v>
      </c>
      <c r="D3642" s="173" t="s">
        <v>372</v>
      </c>
      <c r="E3642" s="173" t="s">
        <v>373</v>
      </c>
      <c r="F3642" s="173" t="s">
        <v>16</v>
      </c>
      <c r="G3642" s="87" t="b">
        <v>1</v>
      </c>
      <c r="H3642" s="87" t="b">
        <v>0</v>
      </c>
      <c r="I3642" s="87" t="b">
        <v>0</v>
      </c>
      <c r="J3642" s="173" t="s">
        <v>468</v>
      </c>
      <c r="K3642" s="174">
        <v>7862532000187</v>
      </c>
      <c r="L3642" s="173" t="s">
        <v>1453</v>
      </c>
      <c r="M3642" s="173" t="s">
        <v>772</v>
      </c>
      <c r="N3642" s="173" t="s">
        <v>69</v>
      </c>
      <c r="O3642" s="87">
        <v>70</v>
      </c>
      <c r="P3642" s="173" t="s">
        <v>20</v>
      </c>
      <c r="Q3642" s="1" t="s">
        <v>1338</v>
      </c>
      <c r="R3642" s="175">
        <v>20</v>
      </c>
      <c r="S3642">
        <v>4</v>
      </c>
    </row>
    <row r="3643" spans="1:19" x14ac:dyDescent="0.25">
      <c r="A3643" s="87">
        <v>2020</v>
      </c>
      <c r="B3643" s="87">
        <v>1</v>
      </c>
      <c r="C3643" s="173" t="s">
        <v>16</v>
      </c>
      <c r="D3643" s="173" t="s">
        <v>372</v>
      </c>
      <c r="E3643" s="173" t="s">
        <v>373</v>
      </c>
      <c r="F3643" s="173" t="s">
        <v>16</v>
      </c>
      <c r="G3643" s="87" t="b">
        <v>1</v>
      </c>
      <c r="H3643" s="87" t="b">
        <v>0</v>
      </c>
      <c r="I3643" s="87" t="b">
        <v>0</v>
      </c>
      <c r="J3643" s="173" t="s">
        <v>470</v>
      </c>
      <c r="K3643" s="174">
        <v>8100676000592</v>
      </c>
      <c r="L3643" s="173" t="s">
        <v>572</v>
      </c>
      <c r="M3643" s="173" t="s">
        <v>29</v>
      </c>
      <c r="N3643" s="173" t="s">
        <v>19</v>
      </c>
      <c r="O3643" s="87">
        <v>64</v>
      </c>
      <c r="P3643" s="173" t="s">
        <v>25</v>
      </c>
      <c r="Q3643" s="1" t="s">
        <v>1344</v>
      </c>
      <c r="R3643" s="175">
        <v>3</v>
      </c>
      <c r="S3643">
        <v>3</v>
      </c>
    </row>
    <row r="3644" spans="1:19" x14ac:dyDescent="0.25">
      <c r="A3644" s="87">
        <v>2020</v>
      </c>
      <c r="B3644" s="87">
        <v>1</v>
      </c>
      <c r="C3644" s="173" t="s">
        <v>16</v>
      </c>
      <c r="D3644" s="173" t="s">
        <v>372</v>
      </c>
      <c r="E3644" s="173" t="s">
        <v>373</v>
      </c>
      <c r="F3644" s="173" t="s">
        <v>16</v>
      </c>
      <c r="G3644" s="87" t="b">
        <v>1</v>
      </c>
      <c r="H3644" s="87" t="b">
        <v>0</v>
      </c>
      <c r="I3644" s="87" t="b">
        <v>0</v>
      </c>
      <c r="J3644" s="173" t="s">
        <v>470</v>
      </c>
      <c r="K3644" s="174">
        <v>8100676000592</v>
      </c>
      <c r="L3644" s="173" t="s">
        <v>572</v>
      </c>
      <c r="M3644" s="173" t="s">
        <v>29</v>
      </c>
      <c r="N3644" s="173" t="s">
        <v>19</v>
      </c>
      <c r="O3644" s="87">
        <v>70</v>
      </c>
      <c r="P3644" s="173" t="s">
        <v>20</v>
      </c>
      <c r="Q3644" s="1" t="s">
        <v>1338</v>
      </c>
      <c r="R3644" s="175">
        <v>685</v>
      </c>
      <c r="S3644">
        <v>137</v>
      </c>
    </row>
    <row r="3645" spans="1:19" x14ac:dyDescent="0.25">
      <c r="A3645" s="87">
        <v>2020</v>
      </c>
      <c r="B3645" s="87">
        <v>1</v>
      </c>
      <c r="C3645" s="173" t="s">
        <v>16</v>
      </c>
      <c r="D3645" s="173" t="s">
        <v>372</v>
      </c>
      <c r="E3645" s="173" t="s">
        <v>373</v>
      </c>
      <c r="F3645" s="173" t="s">
        <v>16</v>
      </c>
      <c r="G3645" s="87" t="b">
        <v>1</v>
      </c>
      <c r="H3645" s="87" t="b">
        <v>0</v>
      </c>
      <c r="I3645" s="87" t="b">
        <v>0</v>
      </c>
      <c r="J3645" s="173" t="s">
        <v>470</v>
      </c>
      <c r="K3645" s="174">
        <v>8100676002102</v>
      </c>
      <c r="L3645" s="173" t="s">
        <v>1085</v>
      </c>
      <c r="M3645" s="173" t="s">
        <v>131</v>
      </c>
      <c r="N3645" s="173" t="s">
        <v>61</v>
      </c>
      <c r="O3645" s="87">
        <v>64</v>
      </c>
      <c r="P3645" s="173" t="s">
        <v>25</v>
      </c>
      <c r="Q3645" s="1" t="s">
        <v>1344</v>
      </c>
      <c r="R3645" s="175">
        <v>16</v>
      </c>
      <c r="S3645">
        <v>16</v>
      </c>
    </row>
    <row r="3646" spans="1:19" x14ac:dyDescent="0.25">
      <c r="A3646" s="87">
        <v>2020</v>
      </c>
      <c r="B3646" s="87">
        <v>1</v>
      </c>
      <c r="C3646" s="173" t="s">
        <v>16</v>
      </c>
      <c r="D3646" s="173" t="s">
        <v>372</v>
      </c>
      <c r="E3646" s="173" t="s">
        <v>373</v>
      </c>
      <c r="F3646" s="173" t="s">
        <v>16</v>
      </c>
      <c r="G3646" s="87" t="b">
        <v>1</v>
      </c>
      <c r="H3646" s="87" t="b">
        <v>0</v>
      </c>
      <c r="I3646" s="87" t="b">
        <v>0</v>
      </c>
      <c r="J3646" s="173" t="s">
        <v>470</v>
      </c>
      <c r="K3646" s="174">
        <v>8319329000121</v>
      </c>
      <c r="L3646" s="173" t="s">
        <v>823</v>
      </c>
      <c r="M3646" s="173" t="s">
        <v>62</v>
      </c>
      <c r="N3646" s="173" t="s">
        <v>63</v>
      </c>
      <c r="O3646" s="87">
        <v>64</v>
      </c>
      <c r="P3646" s="173" t="s">
        <v>25</v>
      </c>
      <c r="Q3646" s="1" t="s">
        <v>1344</v>
      </c>
      <c r="R3646" s="175">
        <v>36</v>
      </c>
      <c r="S3646">
        <v>36</v>
      </c>
    </row>
    <row r="3647" spans="1:19" x14ac:dyDescent="0.25">
      <c r="A3647" s="87">
        <v>2020</v>
      </c>
      <c r="B3647" s="87">
        <v>1</v>
      </c>
      <c r="C3647" s="173" t="s">
        <v>16</v>
      </c>
      <c r="D3647" s="173" t="s">
        <v>372</v>
      </c>
      <c r="E3647" s="173" t="s">
        <v>373</v>
      </c>
      <c r="F3647" s="173" t="s">
        <v>16</v>
      </c>
      <c r="G3647" s="87" t="b">
        <v>1</v>
      </c>
      <c r="H3647" s="87" t="b">
        <v>0</v>
      </c>
      <c r="I3647" s="87" t="b">
        <v>0</v>
      </c>
      <c r="J3647" s="173" t="s">
        <v>495</v>
      </c>
      <c r="K3647" s="174">
        <v>8580014000133</v>
      </c>
      <c r="L3647" s="173" t="s">
        <v>1454</v>
      </c>
      <c r="M3647" s="173" t="s">
        <v>94</v>
      </c>
      <c r="N3647" s="173" t="s">
        <v>57</v>
      </c>
      <c r="O3647" s="87">
        <v>70</v>
      </c>
      <c r="P3647" s="173" t="s">
        <v>20</v>
      </c>
      <c r="Q3647" s="1" t="s">
        <v>1338</v>
      </c>
      <c r="R3647" s="175">
        <v>10</v>
      </c>
      <c r="S3647">
        <v>2</v>
      </c>
    </row>
    <row r="3648" spans="1:19" x14ac:dyDescent="0.25">
      <c r="A3648" s="87">
        <v>2020</v>
      </c>
      <c r="B3648" s="87">
        <v>1</v>
      </c>
      <c r="C3648" s="173" t="s">
        <v>16</v>
      </c>
      <c r="D3648" s="173" t="s">
        <v>372</v>
      </c>
      <c r="E3648" s="173" t="s">
        <v>373</v>
      </c>
      <c r="F3648" s="173" t="s">
        <v>16</v>
      </c>
      <c r="G3648" s="87" t="b">
        <v>1</v>
      </c>
      <c r="H3648" s="87" t="b">
        <v>0</v>
      </c>
      <c r="I3648" s="87" t="b">
        <v>0</v>
      </c>
      <c r="J3648" s="173" t="s">
        <v>450</v>
      </c>
      <c r="K3648" s="174">
        <v>8604105000161</v>
      </c>
      <c r="L3648" s="173" t="s">
        <v>1358</v>
      </c>
      <c r="M3648" s="173" t="s">
        <v>29</v>
      </c>
      <c r="N3648" s="173" t="s">
        <v>19</v>
      </c>
      <c r="O3648" s="87">
        <v>70</v>
      </c>
      <c r="P3648" s="173" t="s">
        <v>20</v>
      </c>
      <c r="Q3648" s="1" t="s">
        <v>1338</v>
      </c>
      <c r="R3648" s="175">
        <v>35</v>
      </c>
      <c r="S3648">
        <v>7</v>
      </c>
    </row>
    <row r="3649" spans="1:19" x14ac:dyDescent="0.25">
      <c r="A3649" s="87">
        <v>2020</v>
      </c>
      <c r="B3649" s="87">
        <v>1</v>
      </c>
      <c r="C3649" s="173" t="s">
        <v>16</v>
      </c>
      <c r="D3649" s="173" t="s">
        <v>372</v>
      </c>
      <c r="E3649" s="173" t="s">
        <v>373</v>
      </c>
      <c r="F3649" s="173" t="s">
        <v>16</v>
      </c>
      <c r="G3649" s="87" t="b">
        <v>1</v>
      </c>
      <c r="H3649" s="87" t="b">
        <v>0</v>
      </c>
      <c r="I3649" s="87" t="b">
        <v>0</v>
      </c>
      <c r="J3649" s="173" t="s">
        <v>491</v>
      </c>
      <c r="K3649" s="174">
        <v>8680639000681</v>
      </c>
      <c r="L3649" s="173" t="s">
        <v>827</v>
      </c>
      <c r="M3649" s="173" t="s">
        <v>747</v>
      </c>
      <c r="N3649" s="173" t="s">
        <v>56</v>
      </c>
      <c r="O3649" s="87">
        <v>70</v>
      </c>
      <c r="P3649" s="173" t="s">
        <v>20</v>
      </c>
      <c r="Q3649" s="1" t="s">
        <v>1338</v>
      </c>
      <c r="R3649" s="175">
        <v>50</v>
      </c>
      <c r="S3649">
        <v>10</v>
      </c>
    </row>
    <row r="3650" spans="1:19" x14ac:dyDescent="0.25">
      <c r="A3650" s="87">
        <v>2020</v>
      </c>
      <c r="B3650" s="87">
        <v>1</v>
      </c>
      <c r="C3650" s="173" t="s">
        <v>16</v>
      </c>
      <c r="D3650" s="173" t="s">
        <v>372</v>
      </c>
      <c r="E3650" s="173" t="s">
        <v>373</v>
      </c>
      <c r="F3650" s="173" t="s">
        <v>16</v>
      </c>
      <c r="G3650" s="87" t="b">
        <v>1</v>
      </c>
      <c r="H3650" s="87" t="b">
        <v>0</v>
      </c>
      <c r="I3650" s="87" t="b">
        <v>0</v>
      </c>
      <c r="J3650" s="173" t="s">
        <v>491</v>
      </c>
      <c r="K3650" s="174">
        <v>8680639000681</v>
      </c>
      <c r="L3650" s="173" t="s">
        <v>827</v>
      </c>
      <c r="M3650" s="173" t="s">
        <v>747</v>
      </c>
      <c r="N3650" s="173" t="s">
        <v>56</v>
      </c>
      <c r="O3650" s="87">
        <v>73</v>
      </c>
      <c r="P3650" s="173" t="s">
        <v>26</v>
      </c>
      <c r="Q3650" s="1" t="s">
        <v>1342</v>
      </c>
      <c r="R3650" s="175">
        <v>60</v>
      </c>
      <c r="S3650">
        <v>15</v>
      </c>
    </row>
    <row r="3651" spans="1:19" x14ac:dyDescent="0.25">
      <c r="A3651" s="87">
        <v>2020</v>
      </c>
      <c r="B3651" s="87">
        <v>1</v>
      </c>
      <c r="C3651" s="173" t="s">
        <v>16</v>
      </c>
      <c r="D3651" s="173" t="s">
        <v>372</v>
      </c>
      <c r="E3651" s="173" t="s">
        <v>373</v>
      </c>
      <c r="F3651" s="173" t="s">
        <v>16</v>
      </c>
      <c r="G3651" s="87" t="b">
        <v>1</v>
      </c>
      <c r="H3651" s="87" t="b">
        <v>0</v>
      </c>
      <c r="I3651" s="87" t="b">
        <v>0</v>
      </c>
      <c r="J3651" s="173" t="s">
        <v>491</v>
      </c>
      <c r="K3651" s="174">
        <v>8850962000222</v>
      </c>
      <c r="L3651" s="173" t="s">
        <v>1086</v>
      </c>
      <c r="M3651" s="173" t="s">
        <v>131</v>
      </c>
      <c r="N3651" s="173" t="s">
        <v>61</v>
      </c>
      <c r="O3651" s="87">
        <v>62</v>
      </c>
      <c r="P3651" s="173" t="s">
        <v>27</v>
      </c>
      <c r="Q3651" s="1" t="s">
        <v>1343</v>
      </c>
      <c r="R3651" s="175">
        <v>6</v>
      </c>
      <c r="S3651">
        <v>6</v>
      </c>
    </row>
    <row r="3652" spans="1:19" x14ac:dyDescent="0.25">
      <c r="A3652" s="87">
        <v>2020</v>
      </c>
      <c r="B3652" s="87">
        <v>1</v>
      </c>
      <c r="C3652" s="173" t="s">
        <v>16</v>
      </c>
      <c r="D3652" s="173" t="s">
        <v>372</v>
      </c>
      <c r="E3652" s="173" t="s">
        <v>373</v>
      </c>
      <c r="F3652" s="173" t="s">
        <v>16</v>
      </c>
      <c r="G3652" s="87" t="b">
        <v>1</v>
      </c>
      <c r="H3652" s="87" t="b">
        <v>0</v>
      </c>
      <c r="I3652" s="87" t="b">
        <v>0</v>
      </c>
      <c r="J3652" s="173" t="s">
        <v>491</v>
      </c>
      <c r="K3652" s="174">
        <v>8850962000222</v>
      </c>
      <c r="L3652" s="173" t="s">
        <v>1086</v>
      </c>
      <c r="M3652" s="173" t="s">
        <v>131</v>
      </c>
      <c r="N3652" s="173" t="s">
        <v>61</v>
      </c>
      <c r="O3652" s="87">
        <v>64</v>
      </c>
      <c r="P3652" s="173" t="s">
        <v>25</v>
      </c>
      <c r="Q3652" s="1" t="s">
        <v>1344</v>
      </c>
      <c r="R3652" s="175">
        <v>10</v>
      </c>
      <c r="S3652">
        <v>10</v>
      </c>
    </row>
    <row r="3653" spans="1:19" x14ac:dyDescent="0.25">
      <c r="A3653" s="87">
        <v>2020</v>
      </c>
      <c r="B3653" s="87">
        <v>1</v>
      </c>
      <c r="C3653" s="173" t="s">
        <v>16</v>
      </c>
      <c r="D3653" s="173" t="s">
        <v>372</v>
      </c>
      <c r="E3653" s="173" t="s">
        <v>373</v>
      </c>
      <c r="F3653" s="173" t="s">
        <v>16</v>
      </c>
      <c r="G3653" s="87" t="b">
        <v>1</v>
      </c>
      <c r="H3653" s="87" t="b">
        <v>0</v>
      </c>
      <c r="I3653" s="87" t="b">
        <v>0</v>
      </c>
      <c r="J3653" s="173" t="s">
        <v>451</v>
      </c>
      <c r="K3653" s="174">
        <v>8871521000126</v>
      </c>
      <c r="L3653" s="173" t="s">
        <v>577</v>
      </c>
      <c r="M3653" s="173" t="s">
        <v>29</v>
      </c>
      <c r="N3653" s="173" t="s">
        <v>19</v>
      </c>
      <c r="O3653" s="87">
        <v>70</v>
      </c>
      <c r="P3653" s="173" t="s">
        <v>20</v>
      </c>
      <c r="Q3653" s="1" t="s">
        <v>1338</v>
      </c>
      <c r="R3653" s="175">
        <v>110</v>
      </c>
      <c r="S3653">
        <v>22</v>
      </c>
    </row>
    <row r="3654" spans="1:19" x14ac:dyDescent="0.25">
      <c r="A3654" s="87">
        <v>2020</v>
      </c>
      <c r="B3654" s="87">
        <v>1</v>
      </c>
      <c r="C3654" s="173" t="s">
        <v>16</v>
      </c>
      <c r="D3654" s="173" t="s">
        <v>372</v>
      </c>
      <c r="E3654" s="173" t="s">
        <v>373</v>
      </c>
      <c r="F3654" s="173" t="s">
        <v>16</v>
      </c>
      <c r="G3654" s="87" t="b">
        <v>1</v>
      </c>
      <c r="H3654" s="87" t="b">
        <v>0</v>
      </c>
      <c r="I3654" s="87" t="b">
        <v>0</v>
      </c>
      <c r="J3654" s="173" t="s">
        <v>450</v>
      </c>
      <c r="K3654" s="174">
        <v>9087150000159</v>
      </c>
      <c r="L3654" s="173" t="s">
        <v>578</v>
      </c>
      <c r="M3654" s="173" t="s">
        <v>29</v>
      </c>
      <c r="N3654" s="173" t="s">
        <v>19</v>
      </c>
      <c r="O3654" s="87">
        <v>73</v>
      </c>
      <c r="P3654" s="173" t="s">
        <v>26</v>
      </c>
      <c r="Q3654" s="1" t="s">
        <v>1340</v>
      </c>
      <c r="R3654" s="175">
        <v>6</v>
      </c>
      <c r="S3654">
        <v>6</v>
      </c>
    </row>
    <row r="3655" spans="1:19" x14ac:dyDescent="0.25">
      <c r="A3655" s="87">
        <v>2020</v>
      </c>
      <c r="B3655" s="87">
        <v>1</v>
      </c>
      <c r="C3655" s="173" t="s">
        <v>16</v>
      </c>
      <c r="D3655" s="173" t="s">
        <v>372</v>
      </c>
      <c r="E3655" s="173" t="s">
        <v>373</v>
      </c>
      <c r="F3655" s="173" t="s">
        <v>16</v>
      </c>
      <c r="G3655" s="87" t="b">
        <v>1</v>
      </c>
      <c r="H3655" s="87" t="b">
        <v>0</v>
      </c>
      <c r="I3655" s="87" t="b">
        <v>0</v>
      </c>
      <c r="J3655" s="173" t="s">
        <v>450</v>
      </c>
      <c r="K3655" s="174">
        <v>9087150000230</v>
      </c>
      <c r="L3655" s="173" t="s">
        <v>958</v>
      </c>
      <c r="M3655" s="173" t="s">
        <v>83</v>
      </c>
      <c r="N3655" s="173" t="s">
        <v>67</v>
      </c>
      <c r="O3655" s="87">
        <v>73</v>
      </c>
      <c r="P3655" s="173" t="s">
        <v>26</v>
      </c>
      <c r="Q3655" s="1" t="s">
        <v>1339</v>
      </c>
      <c r="R3655" s="175">
        <v>8</v>
      </c>
      <c r="S3655">
        <v>4</v>
      </c>
    </row>
    <row r="3656" spans="1:19" x14ac:dyDescent="0.25">
      <c r="A3656" s="87">
        <v>2020</v>
      </c>
      <c r="B3656" s="87">
        <v>1</v>
      </c>
      <c r="C3656" s="173" t="s">
        <v>16</v>
      </c>
      <c r="D3656" s="173" t="s">
        <v>372</v>
      </c>
      <c r="E3656" s="173" t="s">
        <v>373</v>
      </c>
      <c r="F3656" s="173" t="s">
        <v>16</v>
      </c>
      <c r="G3656" s="87" t="b">
        <v>1</v>
      </c>
      <c r="H3656" s="87" t="b">
        <v>0</v>
      </c>
      <c r="I3656" s="87" t="b">
        <v>0</v>
      </c>
      <c r="J3656" s="173" t="s">
        <v>451</v>
      </c>
      <c r="K3656" s="174">
        <v>9104513000974</v>
      </c>
      <c r="L3656" s="173" t="s">
        <v>830</v>
      </c>
      <c r="M3656" s="173" t="s">
        <v>739</v>
      </c>
      <c r="N3656" s="173" t="s">
        <v>55</v>
      </c>
      <c r="O3656" s="87">
        <v>70</v>
      </c>
      <c r="P3656" s="173" t="s">
        <v>20</v>
      </c>
      <c r="Q3656" s="1" t="s">
        <v>1345</v>
      </c>
      <c r="R3656" s="175">
        <v>40</v>
      </c>
      <c r="S3656">
        <v>4</v>
      </c>
    </row>
    <row r="3657" spans="1:19" x14ac:dyDescent="0.25">
      <c r="A3657" s="87">
        <v>2020</v>
      </c>
      <c r="B3657" s="87">
        <v>1</v>
      </c>
      <c r="C3657" s="173" t="s">
        <v>16</v>
      </c>
      <c r="D3657" s="173" t="s">
        <v>372</v>
      </c>
      <c r="E3657" s="173" t="s">
        <v>373</v>
      </c>
      <c r="F3657" s="173" t="s">
        <v>16</v>
      </c>
      <c r="G3657" s="87" t="b">
        <v>1</v>
      </c>
      <c r="H3657" s="87" t="b">
        <v>0</v>
      </c>
      <c r="I3657" s="87" t="b">
        <v>0</v>
      </c>
      <c r="J3657" s="173" t="s">
        <v>451</v>
      </c>
      <c r="K3657" s="174">
        <v>9104513000974</v>
      </c>
      <c r="L3657" s="173" t="s">
        <v>830</v>
      </c>
      <c r="M3657" s="173" t="s">
        <v>739</v>
      </c>
      <c r="N3657" s="173" t="s">
        <v>55</v>
      </c>
      <c r="O3657" s="87">
        <v>70</v>
      </c>
      <c r="P3657" s="173" t="s">
        <v>20</v>
      </c>
      <c r="Q3657" s="1" t="s">
        <v>1338</v>
      </c>
      <c r="R3657" s="175">
        <v>725</v>
      </c>
      <c r="S3657">
        <v>145</v>
      </c>
    </row>
    <row r="3658" spans="1:19" x14ac:dyDescent="0.25">
      <c r="A3658" s="87">
        <v>2020</v>
      </c>
      <c r="B3658" s="87">
        <v>1</v>
      </c>
      <c r="C3658" s="173" t="s">
        <v>16</v>
      </c>
      <c r="D3658" s="173" t="s">
        <v>372</v>
      </c>
      <c r="E3658" s="173" t="s">
        <v>373</v>
      </c>
      <c r="F3658" s="173" t="s">
        <v>16</v>
      </c>
      <c r="G3658" s="87" t="b">
        <v>1</v>
      </c>
      <c r="H3658" s="87" t="b">
        <v>0</v>
      </c>
      <c r="I3658" s="87" t="b">
        <v>0</v>
      </c>
      <c r="J3658" s="173" t="s">
        <v>450</v>
      </c>
      <c r="K3658" s="174">
        <v>9219138000401</v>
      </c>
      <c r="L3658" s="173" t="s">
        <v>1087</v>
      </c>
      <c r="M3658" s="173" t="s">
        <v>131</v>
      </c>
      <c r="N3658" s="173" t="s">
        <v>61</v>
      </c>
      <c r="O3658" s="87">
        <v>70</v>
      </c>
      <c r="P3658" s="173" t="s">
        <v>20</v>
      </c>
      <c r="Q3658" s="1" t="s">
        <v>1338</v>
      </c>
      <c r="R3658" s="175">
        <v>180</v>
      </c>
      <c r="S3658">
        <v>36</v>
      </c>
    </row>
    <row r="3659" spans="1:19" x14ac:dyDescent="0.25">
      <c r="A3659" s="87">
        <v>2020</v>
      </c>
      <c r="B3659" s="87">
        <v>1</v>
      </c>
      <c r="C3659" s="173" t="s">
        <v>16</v>
      </c>
      <c r="D3659" s="173" t="s">
        <v>372</v>
      </c>
      <c r="E3659" s="173" t="s">
        <v>373</v>
      </c>
      <c r="F3659" s="173" t="s">
        <v>16</v>
      </c>
      <c r="G3659" s="87" t="b">
        <v>1</v>
      </c>
      <c r="H3659" s="87" t="b">
        <v>0</v>
      </c>
      <c r="I3659" s="87" t="b">
        <v>0</v>
      </c>
      <c r="J3659" s="173" t="s">
        <v>477</v>
      </c>
      <c r="K3659" s="174">
        <v>9219138000401</v>
      </c>
      <c r="L3659" s="173" t="s">
        <v>1087</v>
      </c>
      <c r="M3659" s="173" t="s">
        <v>131</v>
      </c>
      <c r="N3659" s="173" t="s">
        <v>61</v>
      </c>
      <c r="O3659" s="87">
        <v>70</v>
      </c>
      <c r="P3659" s="173" t="s">
        <v>20</v>
      </c>
      <c r="Q3659" s="1" t="s">
        <v>1338</v>
      </c>
      <c r="R3659" s="175">
        <v>540</v>
      </c>
      <c r="S3659">
        <v>108</v>
      </c>
    </row>
    <row r="3660" spans="1:19" x14ac:dyDescent="0.25">
      <c r="A3660" s="87">
        <v>2020</v>
      </c>
      <c r="B3660" s="87">
        <v>1</v>
      </c>
      <c r="C3660" s="173" t="s">
        <v>16</v>
      </c>
      <c r="D3660" s="173" t="s">
        <v>372</v>
      </c>
      <c r="E3660" s="173" t="s">
        <v>373</v>
      </c>
      <c r="F3660" s="173" t="s">
        <v>16</v>
      </c>
      <c r="G3660" s="87" t="b">
        <v>1</v>
      </c>
      <c r="H3660" s="87" t="b">
        <v>0</v>
      </c>
      <c r="I3660" s="87" t="b">
        <v>0</v>
      </c>
      <c r="J3660" s="173" t="s">
        <v>491</v>
      </c>
      <c r="K3660" s="174">
        <v>9219138000401</v>
      </c>
      <c r="L3660" s="173" t="s">
        <v>1087</v>
      </c>
      <c r="M3660" s="173" t="s">
        <v>131</v>
      </c>
      <c r="N3660" s="173" t="s">
        <v>61</v>
      </c>
      <c r="O3660" s="87">
        <v>70</v>
      </c>
      <c r="P3660" s="173" t="s">
        <v>20</v>
      </c>
      <c r="Q3660" s="1" t="s">
        <v>1338</v>
      </c>
      <c r="R3660" s="175">
        <v>30</v>
      </c>
      <c r="S3660">
        <v>6</v>
      </c>
    </row>
    <row r="3661" spans="1:19" x14ac:dyDescent="0.25">
      <c r="A3661" s="87">
        <v>2020</v>
      </c>
      <c r="B3661" s="87">
        <v>1</v>
      </c>
      <c r="C3661" s="173" t="s">
        <v>16</v>
      </c>
      <c r="D3661" s="173" t="s">
        <v>372</v>
      </c>
      <c r="E3661" s="173" t="s">
        <v>373</v>
      </c>
      <c r="F3661" s="173" t="s">
        <v>16</v>
      </c>
      <c r="G3661" s="87" t="b">
        <v>1</v>
      </c>
      <c r="H3661" s="87" t="b">
        <v>0</v>
      </c>
      <c r="I3661" s="87" t="b">
        <v>0</v>
      </c>
      <c r="J3661" s="173" t="s">
        <v>477</v>
      </c>
      <c r="K3661" s="174">
        <v>9219138000401</v>
      </c>
      <c r="L3661" s="173" t="s">
        <v>1087</v>
      </c>
      <c r="M3661" s="173" t="s">
        <v>131</v>
      </c>
      <c r="N3661" s="173" t="s">
        <v>61</v>
      </c>
      <c r="O3661" s="87">
        <v>73</v>
      </c>
      <c r="P3661" s="173" t="s">
        <v>26</v>
      </c>
      <c r="Q3661" s="1" t="s">
        <v>1342</v>
      </c>
      <c r="R3661" s="175">
        <v>80</v>
      </c>
      <c r="S3661">
        <v>20</v>
      </c>
    </row>
    <row r="3662" spans="1:19" x14ac:dyDescent="0.25">
      <c r="A3662" s="87">
        <v>2020</v>
      </c>
      <c r="B3662" s="87">
        <v>1</v>
      </c>
      <c r="C3662" s="173" t="s">
        <v>16</v>
      </c>
      <c r="D3662" s="173" t="s">
        <v>372</v>
      </c>
      <c r="E3662" s="173" t="s">
        <v>373</v>
      </c>
      <c r="F3662" s="173" t="s">
        <v>16</v>
      </c>
      <c r="G3662" s="87" t="b">
        <v>1</v>
      </c>
      <c r="H3662" s="87" t="b">
        <v>0</v>
      </c>
      <c r="I3662" s="87" t="b">
        <v>0</v>
      </c>
      <c r="J3662" s="173" t="s">
        <v>491</v>
      </c>
      <c r="K3662" s="174">
        <v>9219138000584</v>
      </c>
      <c r="L3662" s="173" t="s">
        <v>1088</v>
      </c>
      <c r="M3662" s="173" t="s">
        <v>131</v>
      </c>
      <c r="N3662" s="173" t="s">
        <v>61</v>
      </c>
      <c r="O3662" s="87">
        <v>62</v>
      </c>
      <c r="P3662" s="173" t="s">
        <v>27</v>
      </c>
      <c r="Q3662" s="1" t="s">
        <v>1343</v>
      </c>
      <c r="R3662" s="175">
        <v>6</v>
      </c>
      <c r="S3662">
        <v>6</v>
      </c>
    </row>
    <row r="3663" spans="1:19" x14ac:dyDescent="0.25">
      <c r="A3663" s="87">
        <v>2020</v>
      </c>
      <c r="B3663" s="87">
        <v>1</v>
      </c>
      <c r="C3663" s="173" t="s">
        <v>16</v>
      </c>
      <c r="D3663" s="173" t="s">
        <v>372</v>
      </c>
      <c r="E3663" s="173" t="s">
        <v>373</v>
      </c>
      <c r="F3663" s="173" t="s">
        <v>16</v>
      </c>
      <c r="G3663" s="87" t="b">
        <v>1</v>
      </c>
      <c r="H3663" s="87" t="b">
        <v>0</v>
      </c>
      <c r="I3663" s="87" t="b">
        <v>0</v>
      </c>
      <c r="J3663" s="173" t="s">
        <v>450</v>
      </c>
      <c r="K3663" s="174">
        <v>9219138000584</v>
      </c>
      <c r="L3663" s="173" t="s">
        <v>1088</v>
      </c>
      <c r="M3663" s="173" t="s">
        <v>131</v>
      </c>
      <c r="N3663" s="173" t="s">
        <v>61</v>
      </c>
      <c r="O3663" s="87">
        <v>70</v>
      </c>
      <c r="P3663" s="173" t="s">
        <v>20</v>
      </c>
      <c r="Q3663" s="1" t="s">
        <v>1338</v>
      </c>
      <c r="R3663" s="175">
        <v>60</v>
      </c>
      <c r="S3663">
        <v>12</v>
      </c>
    </row>
    <row r="3664" spans="1:19" x14ac:dyDescent="0.25">
      <c r="A3664" s="87">
        <v>2020</v>
      </c>
      <c r="B3664" s="87">
        <v>1</v>
      </c>
      <c r="C3664" s="173" t="s">
        <v>16</v>
      </c>
      <c r="D3664" s="173" t="s">
        <v>372</v>
      </c>
      <c r="E3664" s="173" t="s">
        <v>373</v>
      </c>
      <c r="F3664" s="173" t="s">
        <v>16</v>
      </c>
      <c r="G3664" s="87" t="b">
        <v>1</v>
      </c>
      <c r="H3664" s="87" t="b">
        <v>0</v>
      </c>
      <c r="I3664" s="87" t="b">
        <v>0</v>
      </c>
      <c r="J3664" s="173" t="s">
        <v>477</v>
      </c>
      <c r="K3664" s="174">
        <v>9219138000584</v>
      </c>
      <c r="L3664" s="173" t="s">
        <v>1088</v>
      </c>
      <c r="M3664" s="173" t="s">
        <v>131</v>
      </c>
      <c r="N3664" s="173" t="s">
        <v>61</v>
      </c>
      <c r="O3664" s="87">
        <v>70</v>
      </c>
      <c r="P3664" s="173" t="s">
        <v>20</v>
      </c>
      <c r="Q3664" s="1" t="s">
        <v>1338</v>
      </c>
      <c r="R3664" s="175">
        <v>650</v>
      </c>
      <c r="S3664">
        <v>130</v>
      </c>
    </row>
    <row r="3665" spans="1:19" x14ac:dyDescent="0.25">
      <c r="A3665" s="87">
        <v>2020</v>
      </c>
      <c r="B3665" s="87">
        <v>1</v>
      </c>
      <c r="C3665" s="173" t="s">
        <v>16</v>
      </c>
      <c r="D3665" s="173" t="s">
        <v>372</v>
      </c>
      <c r="E3665" s="173" t="s">
        <v>373</v>
      </c>
      <c r="F3665" s="173" t="s">
        <v>16</v>
      </c>
      <c r="G3665" s="87" t="b">
        <v>1</v>
      </c>
      <c r="H3665" s="87" t="b">
        <v>0</v>
      </c>
      <c r="I3665" s="87" t="b">
        <v>0</v>
      </c>
      <c r="J3665" s="173" t="s">
        <v>477</v>
      </c>
      <c r="K3665" s="174">
        <v>9219138000584</v>
      </c>
      <c r="L3665" s="173" t="s">
        <v>1088</v>
      </c>
      <c r="M3665" s="173" t="s">
        <v>131</v>
      </c>
      <c r="N3665" s="173" t="s">
        <v>61</v>
      </c>
      <c r="O3665" s="87">
        <v>73</v>
      </c>
      <c r="P3665" s="173" t="s">
        <v>26</v>
      </c>
      <c r="Q3665" s="1" t="s">
        <v>1342</v>
      </c>
      <c r="R3665" s="175">
        <v>124</v>
      </c>
      <c r="S3665">
        <v>31</v>
      </c>
    </row>
    <row r="3666" spans="1:19" x14ac:dyDescent="0.25">
      <c r="A3666" s="87">
        <v>2020</v>
      </c>
      <c r="B3666" s="87">
        <v>1</v>
      </c>
      <c r="C3666" s="173" t="s">
        <v>16</v>
      </c>
      <c r="D3666" s="173" t="s">
        <v>372</v>
      </c>
      <c r="E3666" s="173" t="s">
        <v>373</v>
      </c>
      <c r="F3666" s="173" t="s">
        <v>16</v>
      </c>
      <c r="G3666" s="87" t="b">
        <v>1</v>
      </c>
      <c r="H3666" s="87" t="b">
        <v>0</v>
      </c>
      <c r="I3666" s="87" t="b">
        <v>0</v>
      </c>
      <c r="J3666" s="173" t="s">
        <v>1330</v>
      </c>
      <c r="K3666" s="174">
        <v>9577422000280</v>
      </c>
      <c r="L3666" s="173" t="s">
        <v>1390</v>
      </c>
      <c r="M3666" s="173" t="s">
        <v>70</v>
      </c>
      <c r="N3666" s="173" t="s">
        <v>71</v>
      </c>
      <c r="O3666" s="87">
        <v>70</v>
      </c>
      <c r="P3666" s="173" t="s">
        <v>20</v>
      </c>
      <c r="Q3666" s="1" t="s">
        <v>1338</v>
      </c>
      <c r="R3666" s="175">
        <v>150</v>
      </c>
      <c r="S3666">
        <v>30</v>
      </c>
    </row>
    <row r="3667" spans="1:19" x14ac:dyDescent="0.25">
      <c r="A3667" s="87">
        <v>2020</v>
      </c>
      <c r="B3667" s="87">
        <v>1</v>
      </c>
      <c r="C3667" s="173" t="s">
        <v>16</v>
      </c>
      <c r="D3667" s="173" t="s">
        <v>372</v>
      </c>
      <c r="E3667" s="173" t="s">
        <v>373</v>
      </c>
      <c r="F3667" s="173" t="s">
        <v>16</v>
      </c>
      <c r="G3667" s="87" t="b">
        <v>1</v>
      </c>
      <c r="H3667" s="87" t="b">
        <v>0</v>
      </c>
      <c r="I3667" s="87" t="b">
        <v>0</v>
      </c>
      <c r="J3667" s="173" t="s">
        <v>491</v>
      </c>
      <c r="K3667" s="174">
        <v>9578217000158</v>
      </c>
      <c r="L3667" s="173" t="s">
        <v>1089</v>
      </c>
      <c r="M3667" s="173" t="s">
        <v>131</v>
      </c>
      <c r="N3667" s="173" t="s">
        <v>61</v>
      </c>
      <c r="O3667" s="87">
        <v>62</v>
      </c>
      <c r="P3667" s="173" t="s">
        <v>27</v>
      </c>
      <c r="Q3667" s="1" t="s">
        <v>1343</v>
      </c>
      <c r="R3667" s="175">
        <v>1</v>
      </c>
      <c r="S3667">
        <v>1</v>
      </c>
    </row>
    <row r="3668" spans="1:19" x14ac:dyDescent="0.25">
      <c r="A3668" s="87">
        <v>2020</v>
      </c>
      <c r="B3668" s="87">
        <v>1</v>
      </c>
      <c r="C3668" s="173" t="s">
        <v>16</v>
      </c>
      <c r="D3668" s="173" t="s">
        <v>372</v>
      </c>
      <c r="E3668" s="173" t="s">
        <v>373</v>
      </c>
      <c r="F3668" s="173" t="s">
        <v>16</v>
      </c>
      <c r="G3668" s="87" t="b">
        <v>1</v>
      </c>
      <c r="H3668" s="87" t="b">
        <v>0</v>
      </c>
      <c r="I3668" s="87" t="b">
        <v>0</v>
      </c>
      <c r="J3668" s="173" t="s">
        <v>1330</v>
      </c>
      <c r="K3668" s="174">
        <v>9579964000291</v>
      </c>
      <c r="L3668" s="173" t="s">
        <v>961</v>
      </c>
      <c r="M3668" s="173" t="s">
        <v>94</v>
      </c>
      <c r="N3668" s="173" t="s">
        <v>57</v>
      </c>
      <c r="O3668" s="87">
        <v>70</v>
      </c>
      <c r="P3668" s="173" t="s">
        <v>20</v>
      </c>
      <c r="Q3668" s="1" t="s">
        <v>1338</v>
      </c>
      <c r="R3668" s="175">
        <v>855</v>
      </c>
      <c r="S3668">
        <v>171</v>
      </c>
    </row>
    <row r="3669" spans="1:19" x14ac:dyDescent="0.25">
      <c r="A3669" s="87">
        <v>2020</v>
      </c>
      <c r="B3669" s="87">
        <v>1</v>
      </c>
      <c r="C3669" s="173" t="s">
        <v>16</v>
      </c>
      <c r="D3669" s="173" t="s">
        <v>372</v>
      </c>
      <c r="E3669" s="173" t="s">
        <v>373</v>
      </c>
      <c r="F3669" s="173" t="s">
        <v>16</v>
      </c>
      <c r="G3669" s="87" t="b">
        <v>1</v>
      </c>
      <c r="H3669" s="87" t="b">
        <v>0</v>
      </c>
      <c r="I3669" s="87" t="b">
        <v>0</v>
      </c>
      <c r="J3669" s="173" t="s">
        <v>450</v>
      </c>
      <c r="K3669" s="174">
        <v>9591608000293</v>
      </c>
      <c r="L3669" s="173" t="s">
        <v>1455</v>
      </c>
      <c r="M3669" s="173" t="s">
        <v>29</v>
      </c>
      <c r="N3669" s="173" t="s">
        <v>19</v>
      </c>
      <c r="O3669" s="87">
        <v>62</v>
      </c>
      <c r="P3669" s="173" t="s">
        <v>27</v>
      </c>
      <c r="Q3669" s="1" t="s">
        <v>1343</v>
      </c>
      <c r="R3669" s="175">
        <v>24</v>
      </c>
      <c r="S3669">
        <v>24</v>
      </c>
    </row>
    <row r="3670" spans="1:19" x14ac:dyDescent="0.25">
      <c r="A3670" s="87">
        <v>2020</v>
      </c>
      <c r="B3670" s="87">
        <v>1</v>
      </c>
      <c r="C3670" s="173" t="s">
        <v>16</v>
      </c>
      <c r="D3670" s="173" t="s">
        <v>372</v>
      </c>
      <c r="E3670" s="173" t="s">
        <v>373</v>
      </c>
      <c r="F3670" s="173" t="s">
        <v>16</v>
      </c>
      <c r="G3670" s="87" t="b">
        <v>1</v>
      </c>
      <c r="H3670" s="87" t="b">
        <v>0</v>
      </c>
      <c r="I3670" s="87" t="b">
        <v>0</v>
      </c>
      <c r="J3670" s="173" t="s">
        <v>1330</v>
      </c>
      <c r="K3670" s="174">
        <v>9591608000293</v>
      </c>
      <c r="L3670" s="173" t="s">
        <v>1455</v>
      </c>
      <c r="M3670" s="173" t="s">
        <v>29</v>
      </c>
      <c r="N3670" s="173" t="s">
        <v>19</v>
      </c>
      <c r="O3670" s="87">
        <v>70</v>
      </c>
      <c r="P3670" s="173" t="s">
        <v>20</v>
      </c>
      <c r="Q3670" s="1" t="s">
        <v>1338</v>
      </c>
      <c r="R3670" s="175">
        <v>750</v>
      </c>
      <c r="S3670">
        <v>150</v>
      </c>
    </row>
    <row r="3671" spans="1:19" x14ac:dyDescent="0.25">
      <c r="A3671" s="87">
        <v>2020</v>
      </c>
      <c r="B3671" s="87">
        <v>1</v>
      </c>
      <c r="C3671" s="173" t="s">
        <v>16</v>
      </c>
      <c r="D3671" s="173" t="s">
        <v>372</v>
      </c>
      <c r="E3671" s="173" t="s">
        <v>373</v>
      </c>
      <c r="F3671" s="173" t="s">
        <v>16</v>
      </c>
      <c r="G3671" s="87" t="b">
        <v>1</v>
      </c>
      <c r="H3671" s="87" t="b">
        <v>0</v>
      </c>
      <c r="I3671" s="87" t="b">
        <v>0</v>
      </c>
      <c r="J3671" s="173" t="s">
        <v>470</v>
      </c>
      <c r="K3671" s="174">
        <v>9635024000272</v>
      </c>
      <c r="L3671" s="173" t="s">
        <v>1456</v>
      </c>
      <c r="M3671" s="173" t="s">
        <v>1420</v>
      </c>
      <c r="N3671" s="173" t="s">
        <v>54</v>
      </c>
      <c r="O3671" s="87">
        <v>70</v>
      </c>
      <c r="P3671" s="173" t="s">
        <v>20</v>
      </c>
      <c r="Q3671" s="1" t="s">
        <v>1338</v>
      </c>
      <c r="R3671" s="175">
        <v>270</v>
      </c>
      <c r="S3671">
        <v>54</v>
      </c>
    </row>
    <row r="3672" spans="1:19" x14ac:dyDescent="0.25">
      <c r="A3672" s="87">
        <v>2020</v>
      </c>
      <c r="B3672" s="87">
        <v>1</v>
      </c>
      <c r="C3672" s="173" t="s">
        <v>16</v>
      </c>
      <c r="D3672" s="173" t="s">
        <v>372</v>
      </c>
      <c r="E3672" s="173" t="s">
        <v>373</v>
      </c>
      <c r="F3672" s="173" t="s">
        <v>16</v>
      </c>
      <c r="G3672" s="87" t="b">
        <v>1</v>
      </c>
      <c r="H3672" s="87" t="b">
        <v>0</v>
      </c>
      <c r="I3672" s="87" t="b">
        <v>0</v>
      </c>
      <c r="J3672" s="173" t="s">
        <v>470</v>
      </c>
      <c r="K3672" s="174">
        <v>9767633000102</v>
      </c>
      <c r="L3672" s="173" t="s">
        <v>1457</v>
      </c>
      <c r="M3672" s="173" t="s">
        <v>70</v>
      </c>
      <c r="N3672" s="173" t="s">
        <v>71</v>
      </c>
      <c r="O3672" s="87">
        <v>70</v>
      </c>
      <c r="P3672" s="173" t="s">
        <v>20</v>
      </c>
      <c r="Q3672" s="1" t="s">
        <v>1338</v>
      </c>
      <c r="R3672" s="175">
        <v>20</v>
      </c>
      <c r="S3672">
        <v>4</v>
      </c>
    </row>
    <row r="3673" spans="1:19" x14ac:dyDescent="0.25">
      <c r="A3673" s="87">
        <v>2020</v>
      </c>
      <c r="B3673" s="87">
        <v>1</v>
      </c>
      <c r="C3673" s="173" t="s">
        <v>16</v>
      </c>
      <c r="D3673" s="173" t="s">
        <v>372</v>
      </c>
      <c r="E3673" s="173" t="s">
        <v>373</v>
      </c>
      <c r="F3673" s="173" t="s">
        <v>16</v>
      </c>
      <c r="G3673" s="87" t="b">
        <v>1</v>
      </c>
      <c r="H3673" s="87" t="b">
        <v>0</v>
      </c>
      <c r="I3673" s="87" t="b">
        <v>0</v>
      </c>
      <c r="J3673" s="173" t="s">
        <v>470</v>
      </c>
      <c r="K3673" s="174">
        <v>10447300000177</v>
      </c>
      <c r="L3673" s="173" t="s">
        <v>658</v>
      </c>
      <c r="M3673" s="173" t="s">
        <v>33</v>
      </c>
      <c r="N3673" s="173" t="s">
        <v>19</v>
      </c>
      <c r="O3673" s="87">
        <v>70</v>
      </c>
      <c r="P3673" s="173" t="s">
        <v>20</v>
      </c>
      <c r="Q3673" s="1" t="s">
        <v>1338</v>
      </c>
      <c r="R3673" s="175">
        <v>30</v>
      </c>
      <c r="S3673">
        <v>6</v>
      </c>
    </row>
    <row r="3674" spans="1:19" x14ac:dyDescent="0.25">
      <c r="A3674" s="87">
        <v>2020</v>
      </c>
      <c r="B3674" s="87">
        <v>1</v>
      </c>
      <c r="C3674" s="173" t="s">
        <v>16</v>
      </c>
      <c r="D3674" s="173" t="s">
        <v>372</v>
      </c>
      <c r="E3674" s="173" t="s">
        <v>373</v>
      </c>
      <c r="F3674" s="173" t="s">
        <v>16</v>
      </c>
      <c r="G3674" s="87" t="b">
        <v>1</v>
      </c>
      <c r="H3674" s="87" t="b">
        <v>0</v>
      </c>
      <c r="I3674" s="87" t="b">
        <v>0</v>
      </c>
      <c r="J3674" s="173" t="s">
        <v>470</v>
      </c>
      <c r="K3674" s="174">
        <v>10447300000177</v>
      </c>
      <c r="L3674" s="173" t="s">
        <v>658</v>
      </c>
      <c r="M3674" s="173" t="s">
        <v>33</v>
      </c>
      <c r="N3674" s="173" t="s">
        <v>19</v>
      </c>
      <c r="O3674" s="87">
        <v>73</v>
      </c>
      <c r="P3674" s="173" t="s">
        <v>26</v>
      </c>
      <c r="Q3674" s="1" t="s">
        <v>1339</v>
      </c>
      <c r="R3674" s="175">
        <v>10</v>
      </c>
      <c r="S3674">
        <v>5</v>
      </c>
    </row>
    <row r="3675" spans="1:19" x14ac:dyDescent="0.25">
      <c r="A3675" s="87">
        <v>2020</v>
      </c>
      <c r="B3675" s="87">
        <v>1</v>
      </c>
      <c r="C3675" s="173" t="s">
        <v>16</v>
      </c>
      <c r="D3675" s="173" t="s">
        <v>372</v>
      </c>
      <c r="E3675" s="173" t="s">
        <v>373</v>
      </c>
      <c r="F3675" s="173" t="s">
        <v>16</v>
      </c>
      <c r="G3675" s="87" t="b">
        <v>1</v>
      </c>
      <c r="H3675" s="87" t="b">
        <v>0</v>
      </c>
      <c r="I3675" s="87" t="b">
        <v>0</v>
      </c>
      <c r="J3675" s="173" t="s">
        <v>470</v>
      </c>
      <c r="K3675" s="174">
        <v>10447300000177</v>
      </c>
      <c r="L3675" s="173" t="s">
        <v>658</v>
      </c>
      <c r="M3675" s="173" t="s">
        <v>33</v>
      </c>
      <c r="N3675" s="173" t="s">
        <v>19</v>
      </c>
      <c r="O3675" s="87">
        <v>73</v>
      </c>
      <c r="P3675" s="173" t="s">
        <v>26</v>
      </c>
      <c r="Q3675" s="1" t="s">
        <v>1342</v>
      </c>
      <c r="R3675" s="175">
        <v>20</v>
      </c>
      <c r="S3675">
        <v>5</v>
      </c>
    </row>
    <row r="3676" spans="1:19" x14ac:dyDescent="0.25">
      <c r="A3676" s="87">
        <v>2020</v>
      </c>
      <c r="B3676" s="87">
        <v>1</v>
      </c>
      <c r="C3676" s="173" t="s">
        <v>16</v>
      </c>
      <c r="D3676" s="173" t="s">
        <v>372</v>
      </c>
      <c r="E3676" s="173" t="s">
        <v>373</v>
      </c>
      <c r="F3676" s="173" t="s">
        <v>16</v>
      </c>
      <c r="G3676" s="87" t="b">
        <v>1</v>
      </c>
      <c r="H3676" s="87" t="b">
        <v>0</v>
      </c>
      <c r="I3676" s="87" t="b">
        <v>0</v>
      </c>
      <c r="J3676" s="173" t="s">
        <v>450</v>
      </c>
      <c r="K3676" s="174">
        <v>10468341000140</v>
      </c>
      <c r="L3676" s="173" t="s">
        <v>581</v>
      </c>
      <c r="M3676" s="173" t="s">
        <v>29</v>
      </c>
      <c r="N3676" s="173" t="s">
        <v>19</v>
      </c>
      <c r="O3676" s="87">
        <v>70</v>
      </c>
      <c r="P3676" s="173" t="s">
        <v>20</v>
      </c>
      <c r="Q3676" s="1" t="s">
        <v>1338</v>
      </c>
      <c r="R3676" s="175">
        <v>660</v>
      </c>
      <c r="S3676">
        <v>132</v>
      </c>
    </row>
    <row r="3677" spans="1:19" x14ac:dyDescent="0.25">
      <c r="A3677" s="87">
        <v>2020</v>
      </c>
      <c r="B3677" s="87">
        <v>1</v>
      </c>
      <c r="C3677" s="173" t="s">
        <v>16</v>
      </c>
      <c r="D3677" s="173" t="s">
        <v>372</v>
      </c>
      <c r="E3677" s="173" t="s">
        <v>373</v>
      </c>
      <c r="F3677" s="173" t="s">
        <v>16</v>
      </c>
      <c r="G3677" s="87" t="b">
        <v>1</v>
      </c>
      <c r="H3677" s="87" t="b">
        <v>0</v>
      </c>
      <c r="I3677" s="87" t="b">
        <v>0</v>
      </c>
      <c r="J3677" s="173" t="s">
        <v>463</v>
      </c>
      <c r="K3677" s="174">
        <v>10468341000140</v>
      </c>
      <c r="L3677" s="173" t="s">
        <v>581</v>
      </c>
      <c r="M3677" s="173" t="s">
        <v>29</v>
      </c>
      <c r="N3677" s="173" t="s">
        <v>19</v>
      </c>
      <c r="O3677" s="87">
        <v>70</v>
      </c>
      <c r="P3677" s="173" t="s">
        <v>20</v>
      </c>
      <c r="Q3677" s="1" t="s">
        <v>1338</v>
      </c>
      <c r="R3677" s="175">
        <v>975</v>
      </c>
      <c r="S3677">
        <v>195</v>
      </c>
    </row>
    <row r="3678" spans="1:19" x14ac:dyDescent="0.25">
      <c r="A3678" s="87">
        <v>2020</v>
      </c>
      <c r="B3678" s="87">
        <v>1</v>
      </c>
      <c r="C3678" s="173" t="s">
        <v>16</v>
      </c>
      <c r="D3678" s="173" t="s">
        <v>372</v>
      </c>
      <c r="E3678" s="173" t="s">
        <v>373</v>
      </c>
      <c r="F3678" s="173" t="s">
        <v>16</v>
      </c>
      <c r="G3678" s="87" t="b">
        <v>1</v>
      </c>
      <c r="H3678" s="87" t="b">
        <v>0</v>
      </c>
      <c r="I3678" s="87" t="b">
        <v>0</v>
      </c>
      <c r="J3678" s="173" t="s">
        <v>463</v>
      </c>
      <c r="K3678" s="174">
        <v>10468341000220</v>
      </c>
      <c r="L3678" s="173" t="s">
        <v>582</v>
      </c>
      <c r="M3678" s="173" t="s">
        <v>29</v>
      </c>
      <c r="N3678" s="173" t="s">
        <v>19</v>
      </c>
      <c r="O3678" s="87">
        <v>70</v>
      </c>
      <c r="P3678" s="173" t="s">
        <v>20</v>
      </c>
      <c r="Q3678" s="1" t="s">
        <v>1338</v>
      </c>
      <c r="R3678" s="175">
        <v>130</v>
      </c>
      <c r="S3678">
        <v>26</v>
      </c>
    </row>
    <row r="3679" spans="1:19" x14ac:dyDescent="0.25">
      <c r="A3679" s="87">
        <v>2020</v>
      </c>
      <c r="B3679" s="87">
        <v>1</v>
      </c>
      <c r="C3679" s="173" t="s">
        <v>16</v>
      </c>
      <c r="D3679" s="173" t="s">
        <v>372</v>
      </c>
      <c r="E3679" s="173" t="s">
        <v>373</v>
      </c>
      <c r="F3679" s="173" t="s">
        <v>16</v>
      </c>
      <c r="G3679" s="87" t="b">
        <v>1</v>
      </c>
      <c r="H3679" s="87" t="b">
        <v>0</v>
      </c>
      <c r="I3679" s="87" t="b">
        <v>0</v>
      </c>
      <c r="J3679" s="173" t="s">
        <v>450</v>
      </c>
      <c r="K3679" s="174">
        <v>10475230000160</v>
      </c>
      <c r="L3679" s="173" t="s">
        <v>583</v>
      </c>
      <c r="M3679" s="173" t="s">
        <v>29</v>
      </c>
      <c r="N3679" s="173" t="s">
        <v>19</v>
      </c>
      <c r="O3679" s="87">
        <v>70</v>
      </c>
      <c r="P3679" s="173" t="s">
        <v>20</v>
      </c>
      <c r="Q3679" s="1" t="s">
        <v>1338</v>
      </c>
      <c r="R3679" s="175">
        <v>160</v>
      </c>
      <c r="S3679">
        <v>32</v>
      </c>
    </row>
    <row r="3680" spans="1:19" x14ac:dyDescent="0.25">
      <c r="A3680" s="87">
        <v>2020</v>
      </c>
      <c r="B3680" s="87">
        <v>1</v>
      </c>
      <c r="C3680" s="173" t="s">
        <v>16</v>
      </c>
      <c r="D3680" s="173" t="s">
        <v>372</v>
      </c>
      <c r="E3680" s="173" t="s">
        <v>373</v>
      </c>
      <c r="F3680" s="173" t="s">
        <v>16</v>
      </c>
      <c r="G3680" s="87" t="b">
        <v>1</v>
      </c>
      <c r="H3680" s="87" t="b">
        <v>0</v>
      </c>
      <c r="I3680" s="87" t="b">
        <v>0</v>
      </c>
      <c r="J3680" s="173" t="s">
        <v>455</v>
      </c>
      <c r="K3680" s="174">
        <v>10475230000160</v>
      </c>
      <c r="L3680" s="173" t="s">
        <v>583</v>
      </c>
      <c r="M3680" s="173" t="s">
        <v>29</v>
      </c>
      <c r="N3680" s="173" t="s">
        <v>19</v>
      </c>
      <c r="O3680" s="87">
        <v>70</v>
      </c>
      <c r="P3680" s="173" t="s">
        <v>20</v>
      </c>
      <c r="Q3680" s="1" t="s">
        <v>1338</v>
      </c>
      <c r="R3680" s="175">
        <v>120</v>
      </c>
      <c r="S3680">
        <v>24</v>
      </c>
    </row>
    <row r="3681" spans="1:19" x14ac:dyDescent="0.25">
      <c r="A3681" s="87">
        <v>2020</v>
      </c>
      <c r="B3681" s="87">
        <v>1</v>
      </c>
      <c r="C3681" s="173" t="s">
        <v>16</v>
      </c>
      <c r="D3681" s="173" t="s">
        <v>372</v>
      </c>
      <c r="E3681" s="173" t="s">
        <v>373</v>
      </c>
      <c r="F3681" s="173" t="s">
        <v>16</v>
      </c>
      <c r="G3681" s="87" t="b">
        <v>1</v>
      </c>
      <c r="H3681" s="87" t="b">
        <v>0</v>
      </c>
      <c r="I3681" s="87" t="b">
        <v>0</v>
      </c>
      <c r="J3681" s="173" t="s">
        <v>492</v>
      </c>
      <c r="K3681" s="174">
        <v>10576443000189</v>
      </c>
      <c r="L3681" s="173" t="s">
        <v>659</v>
      </c>
      <c r="M3681" s="173" t="s">
        <v>643</v>
      </c>
      <c r="N3681" s="173" t="s">
        <v>19</v>
      </c>
      <c r="O3681" s="87">
        <v>70</v>
      </c>
      <c r="P3681" s="173" t="s">
        <v>20</v>
      </c>
      <c r="Q3681" s="1" t="s">
        <v>1338</v>
      </c>
      <c r="R3681" s="175">
        <v>25</v>
      </c>
      <c r="S3681">
        <v>5</v>
      </c>
    </row>
    <row r="3682" spans="1:19" x14ac:dyDescent="0.25">
      <c r="A3682" s="87">
        <v>2020</v>
      </c>
      <c r="B3682" s="87">
        <v>1</v>
      </c>
      <c r="C3682" s="173" t="s">
        <v>16</v>
      </c>
      <c r="D3682" s="173" t="s">
        <v>372</v>
      </c>
      <c r="E3682" s="173" t="s">
        <v>373</v>
      </c>
      <c r="F3682" s="173" t="s">
        <v>16</v>
      </c>
      <c r="G3682" s="87" t="b">
        <v>1</v>
      </c>
      <c r="H3682" s="87" t="b">
        <v>0</v>
      </c>
      <c r="I3682" s="87" t="b">
        <v>0</v>
      </c>
      <c r="J3682" s="173" t="s">
        <v>1330</v>
      </c>
      <c r="K3682" s="174">
        <v>10586940000168</v>
      </c>
      <c r="L3682" s="173" t="s">
        <v>1156</v>
      </c>
      <c r="M3682" s="173" t="s">
        <v>1157</v>
      </c>
      <c r="N3682" s="173" t="s">
        <v>98</v>
      </c>
      <c r="O3682" s="87">
        <v>70</v>
      </c>
      <c r="P3682" s="173" t="s">
        <v>20</v>
      </c>
      <c r="Q3682" s="1" t="s">
        <v>1338</v>
      </c>
      <c r="R3682" s="175">
        <v>500</v>
      </c>
      <c r="S3682">
        <v>100</v>
      </c>
    </row>
    <row r="3683" spans="1:19" x14ac:dyDescent="0.25">
      <c r="A3683" s="87">
        <v>2020</v>
      </c>
      <c r="B3683" s="87">
        <v>1</v>
      </c>
      <c r="C3683" s="173" t="s">
        <v>16</v>
      </c>
      <c r="D3683" s="173" t="s">
        <v>372</v>
      </c>
      <c r="E3683" s="173" t="s">
        <v>373</v>
      </c>
      <c r="F3683" s="173" t="s">
        <v>16</v>
      </c>
      <c r="G3683" s="87" t="b">
        <v>1</v>
      </c>
      <c r="H3683" s="87" t="b">
        <v>0</v>
      </c>
      <c r="I3683" s="87" t="b">
        <v>0</v>
      </c>
      <c r="J3683" s="173" t="s">
        <v>470</v>
      </c>
      <c r="K3683" s="174">
        <v>10839561000132</v>
      </c>
      <c r="L3683" s="173" t="s">
        <v>834</v>
      </c>
      <c r="M3683" s="173" t="s">
        <v>70</v>
      </c>
      <c r="N3683" s="173" t="s">
        <v>71</v>
      </c>
      <c r="O3683" s="87">
        <v>70</v>
      </c>
      <c r="P3683" s="173" t="s">
        <v>20</v>
      </c>
      <c r="Q3683" s="1" t="s">
        <v>1338</v>
      </c>
      <c r="R3683" s="175">
        <v>460</v>
      </c>
      <c r="S3683">
        <v>92</v>
      </c>
    </row>
    <row r="3684" spans="1:19" x14ac:dyDescent="0.25">
      <c r="A3684" s="87">
        <v>2020</v>
      </c>
      <c r="B3684" s="87">
        <v>1</v>
      </c>
      <c r="C3684" s="173" t="s">
        <v>16</v>
      </c>
      <c r="D3684" s="173" t="s">
        <v>372</v>
      </c>
      <c r="E3684" s="173" t="s">
        <v>373</v>
      </c>
      <c r="F3684" s="173" t="s">
        <v>16</v>
      </c>
      <c r="G3684" s="87" t="b">
        <v>1</v>
      </c>
      <c r="H3684" s="87" t="b">
        <v>0</v>
      </c>
      <c r="I3684" s="87" t="b">
        <v>0</v>
      </c>
      <c r="J3684" s="173" t="s">
        <v>470</v>
      </c>
      <c r="K3684" s="174">
        <v>10839561000132</v>
      </c>
      <c r="L3684" s="173" t="s">
        <v>834</v>
      </c>
      <c r="M3684" s="173" t="s">
        <v>70</v>
      </c>
      <c r="N3684" s="173" t="s">
        <v>71</v>
      </c>
      <c r="O3684" s="87">
        <v>73</v>
      </c>
      <c r="P3684" s="173" t="s">
        <v>26</v>
      </c>
      <c r="Q3684" s="1" t="s">
        <v>1342</v>
      </c>
      <c r="R3684" s="175">
        <v>36</v>
      </c>
      <c r="S3684">
        <v>9</v>
      </c>
    </row>
    <row r="3685" spans="1:19" x14ac:dyDescent="0.25">
      <c r="A3685" s="87">
        <v>2020</v>
      </c>
      <c r="B3685" s="87">
        <v>1</v>
      </c>
      <c r="C3685" s="173" t="s">
        <v>16</v>
      </c>
      <c r="D3685" s="173" t="s">
        <v>372</v>
      </c>
      <c r="E3685" s="173" t="s">
        <v>373</v>
      </c>
      <c r="F3685" s="173" t="s">
        <v>16</v>
      </c>
      <c r="G3685" s="87" t="b">
        <v>1</v>
      </c>
      <c r="H3685" s="87" t="b">
        <v>0</v>
      </c>
      <c r="I3685" s="87" t="b">
        <v>0</v>
      </c>
      <c r="J3685" s="173" t="s">
        <v>455</v>
      </c>
      <c r="K3685" s="174">
        <v>10868295000176</v>
      </c>
      <c r="L3685" s="173" t="s">
        <v>660</v>
      </c>
      <c r="M3685" s="173" t="s">
        <v>35</v>
      </c>
      <c r="N3685" s="173" t="s">
        <v>19</v>
      </c>
      <c r="O3685" s="87">
        <v>70</v>
      </c>
      <c r="P3685" s="173" t="s">
        <v>20</v>
      </c>
      <c r="Q3685" s="1" t="s">
        <v>1338</v>
      </c>
      <c r="R3685" s="175">
        <v>45</v>
      </c>
      <c r="S3685">
        <v>9</v>
      </c>
    </row>
    <row r="3686" spans="1:19" x14ac:dyDescent="0.25">
      <c r="A3686" s="87">
        <v>2020</v>
      </c>
      <c r="B3686" s="87">
        <v>1</v>
      </c>
      <c r="C3686" s="173" t="s">
        <v>16</v>
      </c>
      <c r="D3686" s="173" t="s">
        <v>372</v>
      </c>
      <c r="E3686" s="173" t="s">
        <v>373</v>
      </c>
      <c r="F3686" s="173" t="s">
        <v>16</v>
      </c>
      <c r="G3686" s="87" t="b">
        <v>1</v>
      </c>
      <c r="H3686" s="87" t="b">
        <v>0</v>
      </c>
      <c r="I3686" s="87" t="b">
        <v>0</v>
      </c>
      <c r="J3686" s="173" t="s">
        <v>470</v>
      </c>
      <c r="K3686" s="174">
        <v>10892164000124</v>
      </c>
      <c r="L3686" s="173" t="s">
        <v>835</v>
      </c>
      <c r="M3686" s="173" t="s">
        <v>70</v>
      </c>
      <c r="N3686" s="173" t="s">
        <v>71</v>
      </c>
      <c r="O3686" s="87">
        <v>64</v>
      </c>
      <c r="P3686" s="173" t="s">
        <v>25</v>
      </c>
      <c r="Q3686" s="1" t="s">
        <v>1344</v>
      </c>
      <c r="R3686" s="175">
        <v>10</v>
      </c>
      <c r="S3686">
        <v>10</v>
      </c>
    </row>
    <row r="3687" spans="1:19" x14ac:dyDescent="0.25">
      <c r="A3687" s="87">
        <v>2020</v>
      </c>
      <c r="B3687" s="87">
        <v>1</v>
      </c>
      <c r="C3687" s="173" t="s">
        <v>16</v>
      </c>
      <c r="D3687" s="173" t="s">
        <v>372</v>
      </c>
      <c r="E3687" s="173" t="s">
        <v>373</v>
      </c>
      <c r="F3687" s="173" t="s">
        <v>16</v>
      </c>
      <c r="G3687" s="87" t="b">
        <v>1</v>
      </c>
      <c r="H3687" s="87" t="b">
        <v>0</v>
      </c>
      <c r="I3687" s="87" t="b">
        <v>0</v>
      </c>
      <c r="J3687" s="173" t="s">
        <v>468</v>
      </c>
      <c r="K3687" s="174">
        <v>10942995000163</v>
      </c>
      <c r="L3687" s="173" t="s">
        <v>836</v>
      </c>
      <c r="M3687" s="173" t="s">
        <v>739</v>
      </c>
      <c r="N3687" s="173" t="s">
        <v>55</v>
      </c>
      <c r="O3687" s="87">
        <v>70</v>
      </c>
      <c r="P3687" s="173" t="s">
        <v>20</v>
      </c>
      <c r="Q3687" s="1" t="s">
        <v>1338</v>
      </c>
      <c r="R3687" s="175">
        <v>1215</v>
      </c>
      <c r="S3687">
        <v>243</v>
      </c>
    </row>
    <row r="3688" spans="1:19" x14ac:dyDescent="0.25">
      <c r="A3688" s="87">
        <v>2020</v>
      </c>
      <c r="B3688" s="87">
        <v>1</v>
      </c>
      <c r="C3688" s="173" t="s">
        <v>16</v>
      </c>
      <c r="D3688" s="173" t="s">
        <v>372</v>
      </c>
      <c r="E3688" s="173" t="s">
        <v>373</v>
      </c>
      <c r="F3688" s="173" t="s">
        <v>16</v>
      </c>
      <c r="G3688" s="87" t="b">
        <v>1</v>
      </c>
      <c r="H3688" s="87" t="b">
        <v>0</v>
      </c>
      <c r="I3688" s="87" t="b">
        <v>0</v>
      </c>
      <c r="J3688" s="173" t="s">
        <v>453</v>
      </c>
      <c r="K3688" s="174">
        <v>11006293000130</v>
      </c>
      <c r="L3688" s="173" t="s">
        <v>838</v>
      </c>
      <c r="M3688" s="173" t="s">
        <v>777</v>
      </c>
      <c r="N3688" s="173" t="s">
        <v>72</v>
      </c>
      <c r="O3688" s="87">
        <v>70</v>
      </c>
      <c r="P3688" s="173" t="s">
        <v>20</v>
      </c>
      <c r="Q3688" s="1" t="s">
        <v>1338</v>
      </c>
      <c r="R3688" s="175">
        <v>610</v>
      </c>
      <c r="S3688">
        <v>122</v>
      </c>
    </row>
    <row r="3689" spans="1:19" x14ac:dyDescent="0.25">
      <c r="A3689" s="87">
        <v>2020</v>
      </c>
      <c r="B3689" s="87">
        <v>1</v>
      </c>
      <c r="C3689" s="173" t="s">
        <v>16</v>
      </c>
      <c r="D3689" s="173" t="s">
        <v>372</v>
      </c>
      <c r="E3689" s="173" t="s">
        <v>373</v>
      </c>
      <c r="F3689" s="173" t="s">
        <v>16</v>
      </c>
      <c r="G3689" s="87" t="b">
        <v>1</v>
      </c>
      <c r="H3689" s="87" t="b">
        <v>0</v>
      </c>
      <c r="I3689" s="87" t="b">
        <v>0</v>
      </c>
      <c r="J3689" s="173" t="s">
        <v>455</v>
      </c>
      <c r="K3689" s="174">
        <v>11214624000470</v>
      </c>
      <c r="L3689" s="173" t="s">
        <v>841</v>
      </c>
      <c r="M3689" s="173" t="s">
        <v>70</v>
      </c>
      <c r="N3689" s="173" t="s">
        <v>71</v>
      </c>
      <c r="O3689" s="87">
        <v>70</v>
      </c>
      <c r="P3689" s="173" t="s">
        <v>20</v>
      </c>
      <c r="Q3689" s="1" t="s">
        <v>1338</v>
      </c>
      <c r="R3689" s="175">
        <v>100</v>
      </c>
      <c r="S3689">
        <v>20</v>
      </c>
    </row>
    <row r="3690" spans="1:19" x14ac:dyDescent="0.25">
      <c r="A3690" s="87">
        <v>2020</v>
      </c>
      <c r="B3690" s="87">
        <v>1</v>
      </c>
      <c r="C3690" s="173" t="s">
        <v>16</v>
      </c>
      <c r="D3690" s="173" t="s">
        <v>372</v>
      </c>
      <c r="E3690" s="173" t="s">
        <v>373</v>
      </c>
      <c r="F3690" s="173" t="s">
        <v>16</v>
      </c>
      <c r="G3690" s="87" t="b">
        <v>1</v>
      </c>
      <c r="H3690" s="87" t="b">
        <v>0</v>
      </c>
      <c r="I3690" s="87" t="b">
        <v>0</v>
      </c>
      <c r="J3690" s="173" t="s">
        <v>468</v>
      </c>
      <c r="K3690" s="174">
        <v>11214624000470</v>
      </c>
      <c r="L3690" s="173" t="s">
        <v>841</v>
      </c>
      <c r="M3690" s="173" t="s">
        <v>70</v>
      </c>
      <c r="N3690" s="173" t="s">
        <v>71</v>
      </c>
      <c r="O3690" s="87">
        <v>73</v>
      </c>
      <c r="P3690" s="173" t="s">
        <v>26</v>
      </c>
      <c r="Q3690" s="1" t="s">
        <v>1342</v>
      </c>
      <c r="R3690" s="175">
        <v>192</v>
      </c>
      <c r="S3690">
        <v>48</v>
      </c>
    </row>
    <row r="3691" spans="1:19" x14ac:dyDescent="0.25">
      <c r="A3691" s="87">
        <v>2020</v>
      </c>
      <c r="B3691" s="87">
        <v>1</v>
      </c>
      <c r="C3691" s="173" t="s">
        <v>16</v>
      </c>
      <c r="D3691" s="173" t="s">
        <v>372</v>
      </c>
      <c r="E3691" s="173" t="s">
        <v>373</v>
      </c>
      <c r="F3691" s="173" t="s">
        <v>16</v>
      </c>
      <c r="G3691" s="87" t="b">
        <v>1</v>
      </c>
      <c r="H3691" s="87" t="b">
        <v>0</v>
      </c>
      <c r="I3691" s="87" t="b">
        <v>0</v>
      </c>
      <c r="J3691" s="173" t="s">
        <v>470</v>
      </c>
      <c r="K3691" s="174">
        <v>11452240000143</v>
      </c>
      <c r="L3691" s="173" t="s">
        <v>844</v>
      </c>
      <c r="M3691" s="173" t="s">
        <v>70</v>
      </c>
      <c r="N3691" s="173" t="s">
        <v>71</v>
      </c>
      <c r="O3691" s="87">
        <v>70</v>
      </c>
      <c r="P3691" s="173" t="s">
        <v>20</v>
      </c>
      <c r="Q3691" s="1" t="s">
        <v>1338</v>
      </c>
      <c r="R3691" s="175">
        <v>100</v>
      </c>
      <c r="S3691">
        <v>20</v>
      </c>
    </row>
    <row r="3692" spans="1:19" x14ac:dyDescent="0.25">
      <c r="A3692" s="87">
        <v>2020</v>
      </c>
      <c r="B3692" s="87">
        <v>1</v>
      </c>
      <c r="C3692" s="173" t="s">
        <v>16</v>
      </c>
      <c r="D3692" s="173" t="s">
        <v>372</v>
      </c>
      <c r="E3692" s="173" t="s">
        <v>373</v>
      </c>
      <c r="F3692" s="173" t="s">
        <v>16</v>
      </c>
      <c r="G3692" s="87" t="b">
        <v>1</v>
      </c>
      <c r="H3692" s="87" t="b">
        <v>0</v>
      </c>
      <c r="I3692" s="87" t="b">
        <v>0</v>
      </c>
      <c r="J3692" s="173" t="s">
        <v>491</v>
      </c>
      <c r="K3692" s="174">
        <v>11697594000310</v>
      </c>
      <c r="L3692" s="173" t="s">
        <v>1458</v>
      </c>
      <c r="M3692" s="173" t="s">
        <v>1459</v>
      </c>
      <c r="N3692" s="173" t="s">
        <v>98</v>
      </c>
      <c r="O3692" s="87">
        <v>73</v>
      </c>
      <c r="P3692" s="173" t="s">
        <v>26</v>
      </c>
      <c r="Q3692" s="1" t="s">
        <v>1342</v>
      </c>
      <c r="R3692" s="175">
        <v>4</v>
      </c>
      <c r="S3692">
        <v>1</v>
      </c>
    </row>
    <row r="3693" spans="1:19" x14ac:dyDescent="0.25">
      <c r="A3693" s="87">
        <v>2020</v>
      </c>
      <c r="B3693" s="87">
        <v>1</v>
      </c>
      <c r="C3693" s="173" t="s">
        <v>16</v>
      </c>
      <c r="D3693" s="173" t="s">
        <v>372</v>
      </c>
      <c r="E3693" s="173" t="s">
        <v>373</v>
      </c>
      <c r="F3693" s="173" t="s">
        <v>16</v>
      </c>
      <c r="G3693" s="87" t="b">
        <v>1</v>
      </c>
      <c r="H3693" s="87" t="b">
        <v>0</v>
      </c>
      <c r="I3693" s="87" t="b">
        <v>0</v>
      </c>
      <c r="J3693" s="173" t="s">
        <v>491</v>
      </c>
      <c r="K3693" s="174">
        <v>11794674000121</v>
      </c>
      <c r="L3693" s="173" t="s">
        <v>845</v>
      </c>
      <c r="M3693" s="173" t="s">
        <v>76</v>
      </c>
      <c r="N3693" s="173" t="s">
        <v>77</v>
      </c>
      <c r="O3693" s="87">
        <v>62</v>
      </c>
      <c r="P3693" s="173" t="s">
        <v>27</v>
      </c>
      <c r="Q3693" s="1" t="s">
        <v>1343</v>
      </c>
      <c r="R3693" s="175">
        <v>6</v>
      </c>
      <c r="S3693">
        <v>6</v>
      </c>
    </row>
    <row r="3694" spans="1:19" x14ac:dyDescent="0.25">
      <c r="A3694" s="87">
        <v>2020</v>
      </c>
      <c r="B3694" s="87">
        <v>1</v>
      </c>
      <c r="C3694" s="173" t="s">
        <v>16</v>
      </c>
      <c r="D3694" s="173" t="s">
        <v>372</v>
      </c>
      <c r="E3694" s="173" t="s">
        <v>373</v>
      </c>
      <c r="F3694" s="173" t="s">
        <v>16</v>
      </c>
      <c r="G3694" s="87" t="b">
        <v>1</v>
      </c>
      <c r="H3694" s="87" t="b">
        <v>0</v>
      </c>
      <c r="I3694" s="87" t="b">
        <v>0</v>
      </c>
      <c r="J3694" s="173" t="s">
        <v>491</v>
      </c>
      <c r="K3694" s="174">
        <v>11794674000121</v>
      </c>
      <c r="L3694" s="173" t="s">
        <v>845</v>
      </c>
      <c r="M3694" s="173" t="s">
        <v>76</v>
      </c>
      <c r="N3694" s="173" t="s">
        <v>77</v>
      </c>
      <c r="O3694" s="87">
        <v>64</v>
      </c>
      <c r="P3694" s="173" t="s">
        <v>25</v>
      </c>
      <c r="Q3694" s="1" t="s">
        <v>1344</v>
      </c>
      <c r="R3694" s="175">
        <v>4</v>
      </c>
      <c r="S3694">
        <v>4</v>
      </c>
    </row>
    <row r="3695" spans="1:19" x14ac:dyDescent="0.25">
      <c r="A3695" s="87">
        <v>2020</v>
      </c>
      <c r="B3695" s="87">
        <v>1</v>
      </c>
      <c r="C3695" s="173" t="s">
        <v>16</v>
      </c>
      <c r="D3695" s="173" t="s">
        <v>372</v>
      </c>
      <c r="E3695" s="173" t="s">
        <v>373</v>
      </c>
      <c r="F3695" s="173" t="s">
        <v>16</v>
      </c>
      <c r="G3695" s="87" t="b">
        <v>1</v>
      </c>
      <c r="H3695" s="87" t="b">
        <v>0</v>
      </c>
      <c r="I3695" s="87" t="b">
        <v>0</v>
      </c>
      <c r="J3695" s="173" t="s">
        <v>478</v>
      </c>
      <c r="K3695" s="174">
        <v>11794674000121</v>
      </c>
      <c r="L3695" s="173" t="s">
        <v>845</v>
      </c>
      <c r="M3695" s="173" t="s">
        <v>76</v>
      </c>
      <c r="N3695" s="173" t="s">
        <v>77</v>
      </c>
      <c r="O3695" s="87">
        <v>70</v>
      </c>
      <c r="P3695" s="173" t="s">
        <v>20</v>
      </c>
      <c r="Q3695" s="1" t="s">
        <v>1338</v>
      </c>
      <c r="R3695" s="175">
        <v>50</v>
      </c>
      <c r="S3695">
        <v>10</v>
      </c>
    </row>
    <row r="3696" spans="1:19" x14ac:dyDescent="0.25">
      <c r="A3696" s="87">
        <v>2020</v>
      </c>
      <c r="B3696" s="87">
        <v>1</v>
      </c>
      <c r="C3696" s="173" t="s">
        <v>16</v>
      </c>
      <c r="D3696" s="173" t="s">
        <v>372</v>
      </c>
      <c r="E3696" s="173" t="s">
        <v>373</v>
      </c>
      <c r="F3696" s="173" t="s">
        <v>16</v>
      </c>
      <c r="G3696" s="87" t="b">
        <v>1</v>
      </c>
      <c r="H3696" s="87" t="b">
        <v>0</v>
      </c>
      <c r="I3696" s="87" t="b">
        <v>0</v>
      </c>
      <c r="J3696" s="173" t="s">
        <v>464</v>
      </c>
      <c r="K3696" s="174">
        <v>11836436000131</v>
      </c>
      <c r="L3696" s="173" t="s">
        <v>1297</v>
      </c>
      <c r="M3696" s="173" t="s">
        <v>907</v>
      </c>
      <c r="N3696" s="173" t="s">
        <v>69</v>
      </c>
      <c r="O3696" s="87">
        <v>70</v>
      </c>
      <c r="P3696" s="173" t="s">
        <v>20</v>
      </c>
      <c r="Q3696" s="1" t="s">
        <v>1338</v>
      </c>
      <c r="R3696" s="175">
        <v>25</v>
      </c>
      <c r="S3696">
        <v>5</v>
      </c>
    </row>
    <row r="3697" spans="1:19" x14ac:dyDescent="0.25">
      <c r="A3697" s="87">
        <v>2020</v>
      </c>
      <c r="B3697" s="87">
        <v>1</v>
      </c>
      <c r="C3697" s="173" t="s">
        <v>16</v>
      </c>
      <c r="D3697" s="173" t="s">
        <v>372</v>
      </c>
      <c r="E3697" s="173" t="s">
        <v>373</v>
      </c>
      <c r="F3697" s="173" t="s">
        <v>16</v>
      </c>
      <c r="G3697" s="87" t="b">
        <v>1</v>
      </c>
      <c r="H3697" s="87" t="b">
        <v>0</v>
      </c>
      <c r="I3697" s="87" t="b">
        <v>0</v>
      </c>
      <c r="J3697" s="173" t="s">
        <v>450</v>
      </c>
      <c r="K3697" s="174">
        <v>11859927000106</v>
      </c>
      <c r="L3697" s="173" t="s">
        <v>846</v>
      </c>
      <c r="M3697" s="173" t="s">
        <v>739</v>
      </c>
      <c r="N3697" s="173" t="s">
        <v>55</v>
      </c>
      <c r="O3697" s="87">
        <v>73</v>
      </c>
      <c r="P3697" s="173" t="s">
        <v>26</v>
      </c>
      <c r="Q3697" s="1" t="s">
        <v>1340</v>
      </c>
      <c r="R3697" s="175">
        <v>4</v>
      </c>
      <c r="S3697">
        <v>4</v>
      </c>
    </row>
    <row r="3698" spans="1:19" x14ac:dyDescent="0.25">
      <c r="A3698" s="87">
        <v>2020</v>
      </c>
      <c r="B3698" s="87">
        <v>1</v>
      </c>
      <c r="C3698" s="173" t="s">
        <v>16</v>
      </c>
      <c r="D3698" s="173" t="s">
        <v>372</v>
      </c>
      <c r="E3698" s="173" t="s">
        <v>373</v>
      </c>
      <c r="F3698" s="173" t="s">
        <v>16</v>
      </c>
      <c r="G3698" s="87" t="b">
        <v>1</v>
      </c>
      <c r="H3698" s="87" t="b">
        <v>0</v>
      </c>
      <c r="I3698" s="87" t="b">
        <v>0</v>
      </c>
      <c r="J3698" s="173" t="s">
        <v>468</v>
      </c>
      <c r="K3698" s="174">
        <v>11859927000106</v>
      </c>
      <c r="L3698" s="173" t="s">
        <v>846</v>
      </c>
      <c r="M3698" s="173" t="s">
        <v>739</v>
      </c>
      <c r="N3698" s="173" t="s">
        <v>55</v>
      </c>
      <c r="O3698" s="87">
        <v>73</v>
      </c>
      <c r="P3698" s="173" t="s">
        <v>26</v>
      </c>
      <c r="Q3698" s="1" t="s">
        <v>1339</v>
      </c>
      <c r="R3698" s="175">
        <v>24</v>
      </c>
      <c r="S3698">
        <v>12</v>
      </c>
    </row>
    <row r="3699" spans="1:19" x14ac:dyDescent="0.25">
      <c r="A3699" s="87">
        <v>2020</v>
      </c>
      <c r="B3699" s="87">
        <v>1</v>
      </c>
      <c r="C3699" s="173" t="s">
        <v>16</v>
      </c>
      <c r="D3699" s="173" t="s">
        <v>372</v>
      </c>
      <c r="E3699" s="173" t="s">
        <v>373</v>
      </c>
      <c r="F3699" s="173" t="s">
        <v>16</v>
      </c>
      <c r="G3699" s="87" t="b">
        <v>1</v>
      </c>
      <c r="H3699" s="87" t="b">
        <v>0</v>
      </c>
      <c r="I3699" s="87" t="b">
        <v>0</v>
      </c>
      <c r="J3699" s="173" t="s">
        <v>468</v>
      </c>
      <c r="K3699" s="174">
        <v>11859927000106</v>
      </c>
      <c r="L3699" s="173" t="s">
        <v>846</v>
      </c>
      <c r="M3699" s="173" t="s">
        <v>739</v>
      </c>
      <c r="N3699" s="173" t="s">
        <v>55</v>
      </c>
      <c r="O3699" s="87">
        <v>73</v>
      </c>
      <c r="P3699" s="173" t="s">
        <v>26</v>
      </c>
      <c r="Q3699" s="1" t="s">
        <v>1340</v>
      </c>
      <c r="R3699" s="175">
        <v>15</v>
      </c>
      <c r="S3699">
        <v>15</v>
      </c>
    </row>
    <row r="3700" spans="1:19" x14ac:dyDescent="0.25">
      <c r="A3700" s="87">
        <v>2020</v>
      </c>
      <c r="B3700" s="87">
        <v>1</v>
      </c>
      <c r="C3700" s="173" t="s">
        <v>16</v>
      </c>
      <c r="D3700" s="173" t="s">
        <v>372</v>
      </c>
      <c r="E3700" s="173" t="s">
        <v>373</v>
      </c>
      <c r="F3700" s="173" t="s">
        <v>16</v>
      </c>
      <c r="G3700" s="87" t="b">
        <v>1</v>
      </c>
      <c r="H3700" s="87" t="b">
        <v>0</v>
      </c>
      <c r="I3700" s="87" t="b">
        <v>0</v>
      </c>
      <c r="J3700" s="173" t="s">
        <v>491</v>
      </c>
      <c r="K3700" s="174">
        <v>11859927000106</v>
      </c>
      <c r="L3700" s="173" t="s">
        <v>846</v>
      </c>
      <c r="M3700" s="173" t="s">
        <v>739</v>
      </c>
      <c r="N3700" s="173" t="s">
        <v>55</v>
      </c>
      <c r="O3700" s="87">
        <v>73</v>
      </c>
      <c r="P3700" s="173" t="s">
        <v>26</v>
      </c>
      <c r="Q3700" s="1" t="s">
        <v>1340</v>
      </c>
      <c r="R3700" s="175">
        <v>6</v>
      </c>
      <c r="S3700">
        <v>6</v>
      </c>
    </row>
    <row r="3701" spans="1:19" x14ac:dyDescent="0.25">
      <c r="A3701" s="87">
        <v>2020</v>
      </c>
      <c r="B3701" s="87">
        <v>1</v>
      </c>
      <c r="C3701" s="173" t="s">
        <v>16</v>
      </c>
      <c r="D3701" s="173" t="s">
        <v>372</v>
      </c>
      <c r="E3701" s="173" t="s">
        <v>373</v>
      </c>
      <c r="F3701" s="173" t="s">
        <v>16</v>
      </c>
      <c r="G3701" s="87" t="b">
        <v>1</v>
      </c>
      <c r="H3701" s="87" t="b">
        <v>0</v>
      </c>
      <c r="I3701" s="87" t="b">
        <v>0</v>
      </c>
      <c r="J3701" s="173" t="s">
        <v>450</v>
      </c>
      <c r="K3701" s="174">
        <v>12307187000583</v>
      </c>
      <c r="L3701" s="173" t="s">
        <v>1460</v>
      </c>
      <c r="M3701" s="173" t="s">
        <v>742</v>
      </c>
      <c r="N3701" s="173" t="s">
        <v>91</v>
      </c>
      <c r="O3701" s="87">
        <v>64</v>
      </c>
      <c r="P3701" s="173" t="s">
        <v>25</v>
      </c>
      <c r="Q3701" s="1" t="s">
        <v>1344</v>
      </c>
      <c r="R3701" s="175">
        <v>6</v>
      </c>
      <c r="S3701">
        <v>6</v>
      </c>
    </row>
    <row r="3702" spans="1:19" x14ac:dyDescent="0.25">
      <c r="A3702" s="87">
        <v>2020</v>
      </c>
      <c r="B3702" s="87">
        <v>1</v>
      </c>
      <c r="C3702" s="173" t="s">
        <v>16</v>
      </c>
      <c r="D3702" s="173" t="s">
        <v>372</v>
      </c>
      <c r="E3702" s="173" t="s">
        <v>373</v>
      </c>
      <c r="F3702" s="173" t="s">
        <v>16</v>
      </c>
      <c r="G3702" s="87" t="b">
        <v>1</v>
      </c>
      <c r="H3702" s="87" t="b">
        <v>0</v>
      </c>
      <c r="I3702" s="87" t="b">
        <v>0</v>
      </c>
      <c r="J3702" s="173" t="s">
        <v>455</v>
      </c>
      <c r="K3702" s="174">
        <v>12361267011985</v>
      </c>
      <c r="L3702" s="173" t="s">
        <v>1461</v>
      </c>
      <c r="M3702" s="173" t="s">
        <v>109</v>
      </c>
      <c r="N3702" s="173" t="s">
        <v>110</v>
      </c>
      <c r="O3702" s="87">
        <v>70</v>
      </c>
      <c r="P3702" s="173" t="s">
        <v>20</v>
      </c>
      <c r="Q3702" s="1" t="s">
        <v>1338</v>
      </c>
      <c r="R3702" s="175">
        <v>295</v>
      </c>
      <c r="S3702">
        <v>59</v>
      </c>
    </row>
    <row r="3703" spans="1:19" x14ac:dyDescent="0.25">
      <c r="A3703" s="87">
        <v>2020</v>
      </c>
      <c r="B3703" s="87">
        <v>1</v>
      </c>
      <c r="C3703" s="173" t="s">
        <v>16</v>
      </c>
      <c r="D3703" s="173" t="s">
        <v>372</v>
      </c>
      <c r="E3703" s="173" t="s">
        <v>373</v>
      </c>
      <c r="F3703" s="173" t="s">
        <v>16</v>
      </c>
      <c r="G3703" s="87" t="b">
        <v>1</v>
      </c>
      <c r="H3703" s="87" t="b">
        <v>0</v>
      </c>
      <c r="I3703" s="87" t="b">
        <v>0</v>
      </c>
      <c r="J3703" s="173" t="s">
        <v>470</v>
      </c>
      <c r="K3703" s="174">
        <v>12442737000496</v>
      </c>
      <c r="L3703" s="173" t="s">
        <v>865</v>
      </c>
      <c r="M3703" s="173" t="s">
        <v>742</v>
      </c>
      <c r="N3703" s="173" t="s">
        <v>91</v>
      </c>
      <c r="O3703" s="87">
        <v>70</v>
      </c>
      <c r="P3703" s="173" t="s">
        <v>20</v>
      </c>
      <c r="Q3703" s="1" t="s">
        <v>1338</v>
      </c>
      <c r="R3703" s="175">
        <v>350</v>
      </c>
      <c r="S3703">
        <v>70</v>
      </c>
    </row>
    <row r="3704" spans="1:19" x14ac:dyDescent="0.25">
      <c r="A3704" s="87">
        <v>2020</v>
      </c>
      <c r="B3704" s="87">
        <v>1</v>
      </c>
      <c r="C3704" s="173" t="s">
        <v>16</v>
      </c>
      <c r="D3704" s="173" t="s">
        <v>372</v>
      </c>
      <c r="E3704" s="173" t="s">
        <v>373</v>
      </c>
      <c r="F3704" s="173" t="s">
        <v>16</v>
      </c>
      <c r="G3704" s="87" t="b">
        <v>1</v>
      </c>
      <c r="H3704" s="87" t="b">
        <v>0</v>
      </c>
      <c r="I3704" s="87" t="b">
        <v>0</v>
      </c>
      <c r="J3704" s="173" t="s">
        <v>470</v>
      </c>
      <c r="K3704" s="174">
        <v>12508728000108</v>
      </c>
      <c r="L3704" s="173" t="s">
        <v>965</v>
      </c>
      <c r="M3704" s="173" t="s">
        <v>87</v>
      </c>
      <c r="N3704" s="173" t="s">
        <v>67</v>
      </c>
      <c r="O3704" s="87">
        <v>70</v>
      </c>
      <c r="P3704" s="173" t="s">
        <v>20</v>
      </c>
      <c r="Q3704" s="1" t="s">
        <v>1338</v>
      </c>
      <c r="R3704" s="175">
        <v>60</v>
      </c>
      <c r="S3704">
        <v>12</v>
      </c>
    </row>
    <row r="3705" spans="1:19" x14ac:dyDescent="0.25">
      <c r="A3705" s="87">
        <v>2020</v>
      </c>
      <c r="B3705" s="87">
        <v>1</v>
      </c>
      <c r="C3705" s="173" t="s">
        <v>16</v>
      </c>
      <c r="D3705" s="173" t="s">
        <v>372</v>
      </c>
      <c r="E3705" s="173" t="s">
        <v>373</v>
      </c>
      <c r="F3705" s="173" t="s">
        <v>16</v>
      </c>
      <c r="G3705" s="87" t="b">
        <v>1</v>
      </c>
      <c r="H3705" s="87" t="b">
        <v>0</v>
      </c>
      <c r="I3705" s="87" t="b">
        <v>0</v>
      </c>
      <c r="J3705" s="173" t="s">
        <v>455</v>
      </c>
      <c r="K3705" s="174">
        <v>12981527000204</v>
      </c>
      <c r="L3705" s="173" t="s">
        <v>1462</v>
      </c>
      <c r="M3705" s="173" t="s">
        <v>1463</v>
      </c>
      <c r="N3705" s="173" t="s">
        <v>69</v>
      </c>
      <c r="O3705" s="87">
        <v>70</v>
      </c>
      <c r="P3705" s="173" t="s">
        <v>20</v>
      </c>
      <c r="Q3705" s="1" t="s">
        <v>1338</v>
      </c>
      <c r="R3705" s="175">
        <v>25</v>
      </c>
      <c r="S3705">
        <v>5</v>
      </c>
    </row>
    <row r="3706" spans="1:19" x14ac:dyDescent="0.25">
      <c r="A3706" s="87">
        <v>2020</v>
      </c>
      <c r="B3706" s="87">
        <v>1</v>
      </c>
      <c r="C3706" s="173" t="s">
        <v>16</v>
      </c>
      <c r="D3706" s="173" t="s">
        <v>372</v>
      </c>
      <c r="E3706" s="173" t="s">
        <v>373</v>
      </c>
      <c r="F3706" s="173" t="s">
        <v>16</v>
      </c>
      <c r="G3706" s="87" t="b">
        <v>1</v>
      </c>
      <c r="H3706" s="87" t="b">
        <v>0</v>
      </c>
      <c r="I3706" s="87" t="b">
        <v>0</v>
      </c>
      <c r="J3706" s="173" t="s">
        <v>491</v>
      </c>
      <c r="K3706" s="174">
        <v>13016092000140</v>
      </c>
      <c r="L3706" s="173" t="s">
        <v>867</v>
      </c>
      <c r="M3706" s="173" t="s">
        <v>75</v>
      </c>
      <c r="N3706" s="173" t="s">
        <v>74</v>
      </c>
      <c r="O3706" s="87">
        <v>62</v>
      </c>
      <c r="P3706" s="173" t="s">
        <v>27</v>
      </c>
      <c r="Q3706" s="1" t="s">
        <v>1343</v>
      </c>
      <c r="R3706" s="175">
        <v>7</v>
      </c>
      <c r="S3706">
        <v>7</v>
      </c>
    </row>
    <row r="3707" spans="1:19" x14ac:dyDescent="0.25">
      <c r="A3707" s="87">
        <v>2020</v>
      </c>
      <c r="B3707" s="87">
        <v>1</v>
      </c>
      <c r="C3707" s="173" t="s">
        <v>16</v>
      </c>
      <c r="D3707" s="173" t="s">
        <v>372</v>
      </c>
      <c r="E3707" s="173" t="s">
        <v>373</v>
      </c>
      <c r="F3707" s="173" t="s">
        <v>16</v>
      </c>
      <c r="G3707" s="87" t="b">
        <v>1</v>
      </c>
      <c r="H3707" s="87" t="b">
        <v>0</v>
      </c>
      <c r="I3707" s="87" t="b">
        <v>0</v>
      </c>
      <c r="J3707" s="173" t="s">
        <v>455</v>
      </c>
      <c r="K3707" s="174">
        <v>13016092000140</v>
      </c>
      <c r="L3707" s="173" t="s">
        <v>867</v>
      </c>
      <c r="M3707" s="173" t="s">
        <v>75</v>
      </c>
      <c r="N3707" s="173" t="s">
        <v>74</v>
      </c>
      <c r="O3707" s="87">
        <v>64</v>
      </c>
      <c r="P3707" s="173" t="s">
        <v>25</v>
      </c>
      <c r="Q3707" s="1" t="s">
        <v>1344</v>
      </c>
      <c r="R3707" s="175">
        <v>17</v>
      </c>
      <c r="S3707">
        <v>17</v>
      </c>
    </row>
    <row r="3708" spans="1:19" x14ac:dyDescent="0.25">
      <c r="A3708" s="87">
        <v>2020</v>
      </c>
      <c r="B3708" s="87">
        <v>1</v>
      </c>
      <c r="C3708" s="173" t="s">
        <v>16</v>
      </c>
      <c r="D3708" s="173" t="s">
        <v>372</v>
      </c>
      <c r="E3708" s="173" t="s">
        <v>373</v>
      </c>
      <c r="F3708" s="173" t="s">
        <v>16</v>
      </c>
      <c r="G3708" s="87" t="b">
        <v>1</v>
      </c>
      <c r="H3708" s="87" t="b">
        <v>0</v>
      </c>
      <c r="I3708" s="87" t="b">
        <v>0</v>
      </c>
      <c r="J3708" s="173" t="s">
        <v>451</v>
      </c>
      <c r="K3708" s="174">
        <v>13016092000140</v>
      </c>
      <c r="L3708" s="173" t="s">
        <v>867</v>
      </c>
      <c r="M3708" s="173" t="s">
        <v>75</v>
      </c>
      <c r="N3708" s="173" t="s">
        <v>74</v>
      </c>
      <c r="O3708" s="87">
        <v>64</v>
      </c>
      <c r="P3708" s="173" t="s">
        <v>25</v>
      </c>
      <c r="Q3708" s="1" t="s">
        <v>1344</v>
      </c>
      <c r="R3708" s="175">
        <v>4</v>
      </c>
      <c r="S3708">
        <v>4</v>
      </c>
    </row>
    <row r="3709" spans="1:19" x14ac:dyDescent="0.25">
      <c r="A3709" s="87">
        <v>2020</v>
      </c>
      <c r="B3709" s="87">
        <v>1</v>
      </c>
      <c r="C3709" s="173" t="s">
        <v>16</v>
      </c>
      <c r="D3709" s="173" t="s">
        <v>372</v>
      </c>
      <c r="E3709" s="173" t="s">
        <v>373</v>
      </c>
      <c r="F3709" s="173" t="s">
        <v>16</v>
      </c>
      <c r="G3709" s="87" t="b">
        <v>1</v>
      </c>
      <c r="H3709" s="87" t="b">
        <v>0</v>
      </c>
      <c r="I3709" s="87" t="b">
        <v>0</v>
      </c>
      <c r="J3709" s="173" t="s">
        <v>491</v>
      </c>
      <c r="K3709" s="174">
        <v>13131370000100</v>
      </c>
      <c r="L3709" s="173" t="s">
        <v>870</v>
      </c>
      <c r="M3709" s="173" t="s">
        <v>84</v>
      </c>
      <c r="N3709" s="173" t="s">
        <v>85</v>
      </c>
      <c r="O3709" s="87">
        <v>73</v>
      </c>
      <c r="P3709" s="173" t="s">
        <v>26</v>
      </c>
      <c r="Q3709" s="1" t="s">
        <v>1339</v>
      </c>
      <c r="R3709" s="175">
        <v>20</v>
      </c>
      <c r="S3709">
        <v>10</v>
      </c>
    </row>
    <row r="3710" spans="1:19" x14ac:dyDescent="0.25">
      <c r="A3710" s="87">
        <v>2020</v>
      </c>
      <c r="B3710" s="87">
        <v>1</v>
      </c>
      <c r="C3710" s="173" t="s">
        <v>16</v>
      </c>
      <c r="D3710" s="173" t="s">
        <v>372</v>
      </c>
      <c r="E3710" s="173" t="s">
        <v>373</v>
      </c>
      <c r="F3710" s="173" t="s">
        <v>16</v>
      </c>
      <c r="G3710" s="87" t="b">
        <v>1</v>
      </c>
      <c r="H3710" s="87" t="b">
        <v>0</v>
      </c>
      <c r="I3710" s="87" t="b">
        <v>0</v>
      </c>
      <c r="J3710" s="173" t="s">
        <v>491</v>
      </c>
      <c r="K3710" s="174">
        <v>13131370000100</v>
      </c>
      <c r="L3710" s="173" t="s">
        <v>870</v>
      </c>
      <c r="M3710" s="173" t="s">
        <v>84</v>
      </c>
      <c r="N3710" s="173" t="s">
        <v>85</v>
      </c>
      <c r="O3710" s="87">
        <v>73</v>
      </c>
      <c r="P3710" s="173" t="s">
        <v>26</v>
      </c>
      <c r="Q3710" s="1" t="s">
        <v>1342</v>
      </c>
      <c r="R3710" s="175">
        <v>120</v>
      </c>
      <c r="S3710">
        <v>30</v>
      </c>
    </row>
    <row r="3711" spans="1:19" x14ac:dyDescent="0.25">
      <c r="A3711" s="87">
        <v>2020</v>
      </c>
      <c r="B3711" s="87">
        <v>1</v>
      </c>
      <c r="C3711" s="173" t="s">
        <v>16</v>
      </c>
      <c r="D3711" s="173" t="s">
        <v>372</v>
      </c>
      <c r="E3711" s="173" t="s">
        <v>373</v>
      </c>
      <c r="F3711" s="173" t="s">
        <v>16</v>
      </c>
      <c r="G3711" s="87" t="b">
        <v>1</v>
      </c>
      <c r="H3711" s="87" t="b">
        <v>0</v>
      </c>
      <c r="I3711" s="87" t="b">
        <v>0</v>
      </c>
      <c r="J3711" s="173" t="s">
        <v>491</v>
      </c>
      <c r="K3711" s="174">
        <v>13131370000100</v>
      </c>
      <c r="L3711" s="173" t="s">
        <v>870</v>
      </c>
      <c r="M3711" s="173" t="s">
        <v>84</v>
      </c>
      <c r="N3711" s="173" t="s">
        <v>85</v>
      </c>
      <c r="O3711" s="87">
        <v>73</v>
      </c>
      <c r="P3711" s="173" t="s">
        <v>26</v>
      </c>
      <c r="Q3711" s="1" t="s">
        <v>1340</v>
      </c>
      <c r="R3711" s="175">
        <v>10</v>
      </c>
      <c r="S3711">
        <v>10</v>
      </c>
    </row>
    <row r="3712" spans="1:19" x14ac:dyDescent="0.25">
      <c r="A3712" s="87">
        <v>2020</v>
      </c>
      <c r="B3712" s="87">
        <v>1</v>
      </c>
      <c r="C3712" s="173" t="s">
        <v>16</v>
      </c>
      <c r="D3712" s="173" t="s">
        <v>372</v>
      </c>
      <c r="E3712" s="173" t="s">
        <v>373</v>
      </c>
      <c r="F3712" s="173" t="s">
        <v>16</v>
      </c>
      <c r="G3712" s="87" t="b">
        <v>1</v>
      </c>
      <c r="H3712" s="87" t="b">
        <v>0</v>
      </c>
      <c r="I3712" s="87" t="b">
        <v>0</v>
      </c>
      <c r="J3712" s="173" t="s">
        <v>455</v>
      </c>
      <c r="K3712" s="174">
        <v>13284872000170</v>
      </c>
      <c r="L3712" s="173" t="s">
        <v>872</v>
      </c>
      <c r="M3712" s="173" t="s">
        <v>873</v>
      </c>
      <c r="N3712" s="173" t="s">
        <v>74</v>
      </c>
      <c r="O3712" s="87">
        <v>70</v>
      </c>
      <c r="P3712" s="173" t="s">
        <v>20</v>
      </c>
      <c r="Q3712" s="1" t="s">
        <v>1338</v>
      </c>
      <c r="R3712" s="175">
        <v>50</v>
      </c>
      <c r="S3712">
        <v>10</v>
      </c>
    </row>
    <row r="3713" spans="1:19" x14ac:dyDescent="0.25">
      <c r="A3713" s="87">
        <v>2020</v>
      </c>
      <c r="B3713" s="87">
        <v>1</v>
      </c>
      <c r="C3713" s="173" t="s">
        <v>16</v>
      </c>
      <c r="D3713" s="173" t="s">
        <v>372</v>
      </c>
      <c r="E3713" s="173" t="s">
        <v>373</v>
      </c>
      <c r="F3713" s="173" t="s">
        <v>16</v>
      </c>
      <c r="G3713" s="87" t="b">
        <v>1</v>
      </c>
      <c r="H3713" s="87" t="b">
        <v>0</v>
      </c>
      <c r="I3713" s="87" t="b">
        <v>0</v>
      </c>
      <c r="J3713" s="173" t="s">
        <v>455</v>
      </c>
      <c r="K3713" s="174">
        <v>13631170000116</v>
      </c>
      <c r="L3713" s="173" t="s">
        <v>1416</v>
      </c>
      <c r="M3713" s="173" t="s">
        <v>58</v>
      </c>
      <c r="N3713" s="173" t="s">
        <v>54</v>
      </c>
      <c r="O3713" s="87">
        <v>70</v>
      </c>
      <c r="P3713" s="173" t="s">
        <v>20</v>
      </c>
      <c r="Q3713" s="1" t="s">
        <v>1338</v>
      </c>
      <c r="R3713" s="175">
        <v>120</v>
      </c>
      <c r="S3713">
        <v>24</v>
      </c>
    </row>
    <row r="3714" spans="1:19" x14ac:dyDescent="0.25">
      <c r="A3714" s="87">
        <v>2020</v>
      </c>
      <c r="B3714" s="87">
        <v>1</v>
      </c>
      <c r="C3714" s="173" t="s">
        <v>16</v>
      </c>
      <c r="D3714" s="173" t="s">
        <v>372</v>
      </c>
      <c r="E3714" s="173" t="s">
        <v>373</v>
      </c>
      <c r="F3714" s="173" t="s">
        <v>16</v>
      </c>
      <c r="G3714" s="87" t="b">
        <v>1</v>
      </c>
      <c r="H3714" s="87" t="b">
        <v>0</v>
      </c>
      <c r="I3714" s="87" t="b">
        <v>0</v>
      </c>
      <c r="J3714" s="173" t="s">
        <v>470</v>
      </c>
      <c r="K3714" s="174">
        <v>13808803000119</v>
      </c>
      <c r="L3714" s="173" t="s">
        <v>1392</v>
      </c>
      <c r="M3714" s="173" t="s">
        <v>75</v>
      </c>
      <c r="N3714" s="173" t="s">
        <v>74</v>
      </c>
      <c r="O3714" s="87">
        <v>62</v>
      </c>
      <c r="P3714" s="173" t="s">
        <v>27</v>
      </c>
      <c r="Q3714" s="1" t="s">
        <v>1343</v>
      </c>
      <c r="R3714" s="175">
        <v>1</v>
      </c>
      <c r="S3714">
        <v>1</v>
      </c>
    </row>
    <row r="3715" spans="1:19" x14ac:dyDescent="0.25">
      <c r="A3715" s="87">
        <v>2020</v>
      </c>
      <c r="B3715" s="87">
        <v>1</v>
      </c>
      <c r="C3715" s="173" t="s">
        <v>16</v>
      </c>
      <c r="D3715" s="173" t="s">
        <v>372</v>
      </c>
      <c r="E3715" s="173" t="s">
        <v>373</v>
      </c>
      <c r="F3715" s="173" t="s">
        <v>16</v>
      </c>
      <c r="G3715" s="87" t="b">
        <v>1</v>
      </c>
      <c r="H3715" s="87" t="b">
        <v>0</v>
      </c>
      <c r="I3715" s="87" t="b">
        <v>0</v>
      </c>
      <c r="J3715" s="173" t="s">
        <v>491</v>
      </c>
      <c r="K3715" s="174">
        <v>13952064000134</v>
      </c>
      <c r="L3715" s="173" t="s">
        <v>875</v>
      </c>
      <c r="M3715" s="173" t="s">
        <v>75</v>
      </c>
      <c r="N3715" s="173" t="s">
        <v>74</v>
      </c>
      <c r="O3715" s="87">
        <v>62</v>
      </c>
      <c r="P3715" s="173" t="s">
        <v>27</v>
      </c>
      <c r="Q3715" s="1" t="s">
        <v>1343</v>
      </c>
      <c r="R3715" s="175">
        <v>10</v>
      </c>
      <c r="S3715">
        <v>10</v>
      </c>
    </row>
    <row r="3716" spans="1:19" x14ac:dyDescent="0.25">
      <c r="A3716" s="87">
        <v>2020</v>
      </c>
      <c r="B3716" s="87">
        <v>1</v>
      </c>
      <c r="C3716" s="173" t="s">
        <v>16</v>
      </c>
      <c r="D3716" s="173" t="s">
        <v>372</v>
      </c>
      <c r="E3716" s="173" t="s">
        <v>373</v>
      </c>
      <c r="F3716" s="173" t="s">
        <v>16</v>
      </c>
      <c r="G3716" s="87" t="b">
        <v>1</v>
      </c>
      <c r="H3716" s="87" t="b">
        <v>0</v>
      </c>
      <c r="I3716" s="87" t="b">
        <v>0</v>
      </c>
      <c r="J3716" s="173" t="s">
        <v>455</v>
      </c>
      <c r="K3716" s="174">
        <v>13952064000134</v>
      </c>
      <c r="L3716" s="173" t="s">
        <v>875</v>
      </c>
      <c r="M3716" s="173" t="s">
        <v>75</v>
      </c>
      <c r="N3716" s="173" t="s">
        <v>74</v>
      </c>
      <c r="O3716" s="87">
        <v>64</v>
      </c>
      <c r="P3716" s="173" t="s">
        <v>25</v>
      </c>
      <c r="Q3716" s="1" t="s">
        <v>1344</v>
      </c>
      <c r="R3716" s="175">
        <v>10</v>
      </c>
      <c r="S3716">
        <v>10</v>
      </c>
    </row>
    <row r="3717" spans="1:19" x14ac:dyDescent="0.25">
      <c r="A3717" s="87">
        <v>2020</v>
      </c>
      <c r="B3717" s="87">
        <v>1</v>
      </c>
      <c r="C3717" s="173" t="s">
        <v>16</v>
      </c>
      <c r="D3717" s="173" t="s">
        <v>372</v>
      </c>
      <c r="E3717" s="173" t="s">
        <v>373</v>
      </c>
      <c r="F3717" s="173" t="s">
        <v>16</v>
      </c>
      <c r="G3717" s="87" t="b">
        <v>1</v>
      </c>
      <c r="H3717" s="87" t="b">
        <v>0</v>
      </c>
      <c r="I3717" s="87" t="b">
        <v>0</v>
      </c>
      <c r="J3717" s="173" t="s">
        <v>491</v>
      </c>
      <c r="K3717" s="174">
        <v>13952064000134</v>
      </c>
      <c r="L3717" s="173" t="s">
        <v>875</v>
      </c>
      <c r="M3717" s="173" t="s">
        <v>75</v>
      </c>
      <c r="N3717" s="173" t="s">
        <v>74</v>
      </c>
      <c r="O3717" s="87">
        <v>64</v>
      </c>
      <c r="P3717" s="173" t="s">
        <v>25</v>
      </c>
      <c r="Q3717" s="1" t="s">
        <v>1344</v>
      </c>
      <c r="R3717" s="175">
        <v>12</v>
      </c>
      <c r="S3717">
        <v>12</v>
      </c>
    </row>
    <row r="3718" spans="1:19" x14ac:dyDescent="0.25">
      <c r="A3718" s="87">
        <v>2020</v>
      </c>
      <c r="B3718" s="87">
        <v>1</v>
      </c>
      <c r="C3718" s="173" t="s">
        <v>16</v>
      </c>
      <c r="D3718" s="173" t="s">
        <v>372</v>
      </c>
      <c r="E3718" s="173" t="s">
        <v>373</v>
      </c>
      <c r="F3718" s="173" t="s">
        <v>16</v>
      </c>
      <c r="G3718" s="87" t="b">
        <v>1</v>
      </c>
      <c r="H3718" s="87" t="b">
        <v>0</v>
      </c>
      <c r="I3718" s="87" t="b">
        <v>0</v>
      </c>
      <c r="J3718" s="173" t="s">
        <v>478</v>
      </c>
      <c r="K3718" s="174">
        <v>14408631000159</v>
      </c>
      <c r="L3718" s="173" t="s">
        <v>1163</v>
      </c>
      <c r="M3718" s="173" t="s">
        <v>1164</v>
      </c>
      <c r="N3718" s="173" t="s">
        <v>54</v>
      </c>
      <c r="O3718" s="87">
        <v>73</v>
      </c>
      <c r="P3718" s="173" t="s">
        <v>26</v>
      </c>
      <c r="Q3718" s="1" t="s">
        <v>1342</v>
      </c>
      <c r="R3718" s="175">
        <v>4</v>
      </c>
      <c r="S3718">
        <v>1</v>
      </c>
    </row>
    <row r="3719" spans="1:19" x14ac:dyDescent="0.25">
      <c r="A3719" s="87">
        <v>2020</v>
      </c>
      <c r="B3719" s="87">
        <v>1</v>
      </c>
      <c r="C3719" s="173" t="s">
        <v>16</v>
      </c>
      <c r="D3719" s="173" t="s">
        <v>372</v>
      </c>
      <c r="E3719" s="173" t="s">
        <v>373</v>
      </c>
      <c r="F3719" s="173" t="s">
        <v>16</v>
      </c>
      <c r="G3719" s="87" t="b">
        <v>1</v>
      </c>
      <c r="H3719" s="87" t="b">
        <v>0</v>
      </c>
      <c r="I3719" s="87" t="b">
        <v>0</v>
      </c>
      <c r="J3719" s="173" t="s">
        <v>455</v>
      </c>
      <c r="K3719" s="174">
        <v>15016827000160</v>
      </c>
      <c r="L3719" s="173" t="s">
        <v>877</v>
      </c>
      <c r="M3719" s="173" t="s">
        <v>772</v>
      </c>
      <c r="N3719" s="173" t="s">
        <v>69</v>
      </c>
      <c r="O3719" s="87">
        <v>64</v>
      </c>
      <c r="P3719" s="173" t="s">
        <v>25</v>
      </c>
      <c r="Q3719" s="1" t="s">
        <v>1344</v>
      </c>
      <c r="R3719" s="175">
        <v>4</v>
      </c>
      <c r="S3719">
        <v>4</v>
      </c>
    </row>
    <row r="3720" spans="1:19" x14ac:dyDescent="0.25">
      <c r="A3720" s="87">
        <v>2020</v>
      </c>
      <c r="B3720" s="87">
        <v>1</v>
      </c>
      <c r="C3720" s="173" t="s">
        <v>16</v>
      </c>
      <c r="D3720" s="173" t="s">
        <v>372</v>
      </c>
      <c r="E3720" s="173" t="s">
        <v>373</v>
      </c>
      <c r="F3720" s="173" t="s">
        <v>16</v>
      </c>
      <c r="G3720" s="87" t="b">
        <v>1</v>
      </c>
      <c r="H3720" s="87" t="b">
        <v>0</v>
      </c>
      <c r="I3720" s="87" t="b">
        <v>0</v>
      </c>
      <c r="J3720" s="173" t="s">
        <v>468</v>
      </c>
      <c r="K3720" s="174">
        <v>15016827000160</v>
      </c>
      <c r="L3720" s="173" t="s">
        <v>877</v>
      </c>
      <c r="M3720" s="173" t="s">
        <v>772</v>
      </c>
      <c r="N3720" s="173" t="s">
        <v>69</v>
      </c>
      <c r="O3720" s="87">
        <v>64</v>
      </c>
      <c r="P3720" s="173" t="s">
        <v>25</v>
      </c>
      <c r="Q3720" s="1" t="s">
        <v>1344</v>
      </c>
      <c r="R3720" s="175">
        <v>9</v>
      </c>
      <c r="S3720">
        <v>9</v>
      </c>
    </row>
    <row r="3721" spans="1:19" x14ac:dyDescent="0.25">
      <c r="A3721" s="87">
        <v>2020</v>
      </c>
      <c r="B3721" s="87">
        <v>1</v>
      </c>
      <c r="C3721" s="173" t="s">
        <v>16</v>
      </c>
      <c r="D3721" s="173" t="s">
        <v>372</v>
      </c>
      <c r="E3721" s="173" t="s">
        <v>373</v>
      </c>
      <c r="F3721" s="173" t="s">
        <v>16</v>
      </c>
      <c r="G3721" s="87" t="b">
        <v>1</v>
      </c>
      <c r="H3721" s="87" t="b">
        <v>0</v>
      </c>
      <c r="I3721" s="87" t="b">
        <v>0</v>
      </c>
      <c r="J3721" s="173" t="s">
        <v>1330</v>
      </c>
      <c r="K3721" s="174">
        <v>15126437001549</v>
      </c>
      <c r="L3721" s="173" t="s">
        <v>1464</v>
      </c>
      <c r="M3721" s="173" t="s">
        <v>58</v>
      </c>
      <c r="N3721" s="173" t="s">
        <v>54</v>
      </c>
      <c r="O3721" s="87">
        <v>70</v>
      </c>
      <c r="P3721" s="173" t="s">
        <v>20</v>
      </c>
      <c r="Q3721" s="1" t="s">
        <v>1338</v>
      </c>
      <c r="R3721" s="175">
        <v>1000</v>
      </c>
      <c r="S3721">
        <v>200</v>
      </c>
    </row>
    <row r="3722" spans="1:19" x14ac:dyDescent="0.25">
      <c r="A3722" s="87">
        <v>2020</v>
      </c>
      <c r="B3722" s="87">
        <v>1</v>
      </c>
      <c r="C3722" s="173" t="s">
        <v>16</v>
      </c>
      <c r="D3722" s="173" t="s">
        <v>372</v>
      </c>
      <c r="E3722" s="173" t="s">
        <v>373</v>
      </c>
      <c r="F3722" s="173" t="s">
        <v>16</v>
      </c>
      <c r="G3722" s="87" t="b">
        <v>1</v>
      </c>
      <c r="H3722" s="87" t="b">
        <v>0</v>
      </c>
      <c r="I3722" s="87" t="b">
        <v>0</v>
      </c>
      <c r="J3722" s="173" t="s">
        <v>1330</v>
      </c>
      <c r="K3722" s="174">
        <v>15126437001972</v>
      </c>
      <c r="L3722" s="173" t="s">
        <v>966</v>
      </c>
      <c r="M3722" s="173" t="s">
        <v>87</v>
      </c>
      <c r="N3722" s="173" t="s">
        <v>67</v>
      </c>
      <c r="O3722" s="87">
        <v>64</v>
      </c>
      <c r="P3722" s="173" t="s">
        <v>25</v>
      </c>
      <c r="Q3722" s="1" t="s">
        <v>1344</v>
      </c>
      <c r="R3722" s="175">
        <v>10</v>
      </c>
      <c r="S3722">
        <v>10</v>
      </c>
    </row>
    <row r="3723" spans="1:19" x14ac:dyDescent="0.25">
      <c r="A3723" s="87">
        <v>2020</v>
      </c>
      <c r="B3723" s="87">
        <v>1</v>
      </c>
      <c r="C3723" s="173" t="s">
        <v>16</v>
      </c>
      <c r="D3723" s="173" t="s">
        <v>372</v>
      </c>
      <c r="E3723" s="173" t="s">
        <v>373</v>
      </c>
      <c r="F3723" s="173" t="s">
        <v>16</v>
      </c>
      <c r="G3723" s="87" t="b">
        <v>1</v>
      </c>
      <c r="H3723" s="87" t="b">
        <v>0</v>
      </c>
      <c r="I3723" s="87" t="b">
        <v>0</v>
      </c>
      <c r="J3723" s="173" t="s">
        <v>1330</v>
      </c>
      <c r="K3723" s="174">
        <v>15126437002510</v>
      </c>
      <c r="L3723" s="173" t="s">
        <v>1465</v>
      </c>
      <c r="M3723" s="173" t="s">
        <v>88</v>
      </c>
      <c r="N3723" s="173" t="s">
        <v>54</v>
      </c>
      <c r="O3723" s="87">
        <v>70</v>
      </c>
      <c r="P3723" s="173" t="s">
        <v>20</v>
      </c>
      <c r="Q3723" s="1" t="s">
        <v>1338</v>
      </c>
      <c r="R3723" s="175">
        <v>200</v>
      </c>
      <c r="S3723">
        <v>40</v>
      </c>
    </row>
    <row r="3724" spans="1:19" x14ac:dyDescent="0.25">
      <c r="A3724" s="87">
        <v>2020</v>
      </c>
      <c r="B3724" s="87">
        <v>1</v>
      </c>
      <c r="C3724" s="173" t="s">
        <v>16</v>
      </c>
      <c r="D3724" s="173" t="s">
        <v>372</v>
      </c>
      <c r="E3724" s="173" t="s">
        <v>373</v>
      </c>
      <c r="F3724" s="173" t="s">
        <v>16</v>
      </c>
      <c r="G3724" s="87" t="b">
        <v>1</v>
      </c>
      <c r="H3724" s="87" t="b">
        <v>0</v>
      </c>
      <c r="I3724" s="87" t="b">
        <v>0</v>
      </c>
      <c r="J3724" s="173" t="s">
        <v>1330</v>
      </c>
      <c r="K3724" s="174">
        <v>15126437003240</v>
      </c>
      <c r="L3724" s="173" t="s">
        <v>885</v>
      </c>
      <c r="M3724" s="173" t="s">
        <v>130</v>
      </c>
      <c r="N3724" s="173" t="s">
        <v>56</v>
      </c>
      <c r="O3724" s="87">
        <v>70</v>
      </c>
      <c r="P3724" s="173" t="s">
        <v>20</v>
      </c>
      <c r="Q3724" s="1" t="s">
        <v>1346</v>
      </c>
      <c r="R3724" s="175">
        <v>125</v>
      </c>
      <c r="S3724">
        <v>50</v>
      </c>
    </row>
    <row r="3725" spans="1:19" x14ac:dyDescent="0.25">
      <c r="A3725" s="87">
        <v>2020</v>
      </c>
      <c r="B3725" s="87">
        <v>1</v>
      </c>
      <c r="C3725" s="173" t="s">
        <v>16</v>
      </c>
      <c r="D3725" s="173" t="s">
        <v>372</v>
      </c>
      <c r="E3725" s="173" t="s">
        <v>373</v>
      </c>
      <c r="F3725" s="173" t="s">
        <v>16</v>
      </c>
      <c r="G3725" s="87" t="b">
        <v>1</v>
      </c>
      <c r="H3725" s="87" t="b">
        <v>0</v>
      </c>
      <c r="I3725" s="87" t="b">
        <v>0</v>
      </c>
      <c r="J3725" s="173" t="s">
        <v>491</v>
      </c>
      <c r="K3725" s="174">
        <v>15153745000249</v>
      </c>
      <c r="L3725" s="173" t="s">
        <v>887</v>
      </c>
      <c r="M3725" s="173" t="s">
        <v>75</v>
      </c>
      <c r="N3725" s="173" t="s">
        <v>74</v>
      </c>
      <c r="O3725" s="87">
        <v>62</v>
      </c>
      <c r="P3725" s="173" t="s">
        <v>27</v>
      </c>
      <c r="Q3725" s="1" t="s">
        <v>1343</v>
      </c>
      <c r="R3725" s="175">
        <v>3</v>
      </c>
      <c r="S3725">
        <v>3</v>
      </c>
    </row>
    <row r="3726" spans="1:19" x14ac:dyDescent="0.25">
      <c r="A3726" s="87">
        <v>2020</v>
      </c>
      <c r="B3726" s="87">
        <v>1</v>
      </c>
      <c r="C3726" s="173" t="s">
        <v>16</v>
      </c>
      <c r="D3726" s="173" t="s">
        <v>372</v>
      </c>
      <c r="E3726" s="173" t="s">
        <v>373</v>
      </c>
      <c r="F3726" s="173" t="s">
        <v>16</v>
      </c>
      <c r="G3726" s="87" t="b">
        <v>1</v>
      </c>
      <c r="H3726" s="87" t="b">
        <v>0</v>
      </c>
      <c r="I3726" s="87" t="b">
        <v>0</v>
      </c>
      <c r="J3726" s="173" t="s">
        <v>491</v>
      </c>
      <c r="K3726" s="174">
        <v>15166416000151</v>
      </c>
      <c r="L3726" s="173" t="s">
        <v>889</v>
      </c>
      <c r="M3726" s="173" t="s">
        <v>75</v>
      </c>
      <c r="N3726" s="173" t="s">
        <v>74</v>
      </c>
      <c r="O3726" s="87">
        <v>62</v>
      </c>
      <c r="P3726" s="173" t="s">
        <v>27</v>
      </c>
      <c r="Q3726" s="1" t="s">
        <v>1343</v>
      </c>
      <c r="R3726" s="175">
        <v>34</v>
      </c>
      <c r="S3726">
        <v>34</v>
      </c>
    </row>
    <row r="3727" spans="1:19" x14ac:dyDescent="0.25">
      <c r="A3727" s="87">
        <v>2020</v>
      </c>
      <c r="B3727" s="87">
        <v>1</v>
      </c>
      <c r="C3727" s="173" t="s">
        <v>16</v>
      </c>
      <c r="D3727" s="173" t="s">
        <v>372</v>
      </c>
      <c r="E3727" s="173" t="s">
        <v>373</v>
      </c>
      <c r="F3727" s="173" t="s">
        <v>16</v>
      </c>
      <c r="G3727" s="87" t="b">
        <v>1</v>
      </c>
      <c r="H3727" s="87" t="b">
        <v>0</v>
      </c>
      <c r="I3727" s="87" t="b">
        <v>0</v>
      </c>
      <c r="J3727" s="173" t="s">
        <v>455</v>
      </c>
      <c r="K3727" s="174">
        <v>15166416000151</v>
      </c>
      <c r="L3727" s="173" t="s">
        <v>889</v>
      </c>
      <c r="M3727" s="173" t="s">
        <v>75</v>
      </c>
      <c r="N3727" s="173" t="s">
        <v>74</v>
      </c>
      <c r="O3727" s="87">
        <v>64</v>
      </c>
      <c r="P3727" s="173" t="s">
        <v>25</v>
      </c>
      <c r="Q3727" s="1" t="s">
        <v>1344</v>
      </c>
      <c r="R3727" s="175">
        <v>10</v>
      </c>
      <c r="S3727">
        <v>10</v>
      </c>
    </row>
    <row r="3728" spans="1:19" x14ac:dyDescent="0.25">
      <c r="A3728" s="87">
        <v>2020</v>
      </c>
      <c r="B3728" s="87">
        <v>1</v>
      </c>
      <c r="C3728" s="173" t="s">
        <v>16</v>
      </c>
      <c r="D3728" s="173" t="s">
        <v>372</v>
      </c>
      <c r="E3728" s="173" t="s">
        <v>373</v>
      </c>
      <c r="F3728" s="173" t="s">
        <v>16</v>
      </c>
      <c r="G3728" s="87" t="b">
        <v>1</v>
      </c>
      <c r="H3728" s="87" t="b">
        <v>0</v>
      </c>
      <c r="I3728" s="87" t="b">
        <v>0</v>
      </c>
      <c r="J3728" s="173" t="s">
        <v>491</v>
      </c>
      <c r="K3728" s="174">
        <v>15166416000151</v>
      </c>
      <c r="L3728" s="173" t="s">
        <v>889</v>
      </c>
      <c r="M3728" s="173" t="s">
        <v>75</v>
      </c>
      <c r="N3728" s="173" t="s">
        <v>74</v>
      </c>
      <c r="O3728" s="87">
        <v>64</v>
      </c>
      <c r="P3728" s="173" t="s">
        <v>25</v>
      </c>
      <c r="Q3728" s="1" t="s">
        <v>1344</v>
      </c>
      <c r="R3728" s="175">
        <v>10</v>
      </c>
      <c r="S3728">
        <v>10</v>
      </c>
    </row>
    <row r="3729" spans="1:19" x14ac:dyDescent="0.25">
      <c r="A3729" s="87">
        <v>2020</v>
      </c>
      <c r="B3729" s="87">
        <v>1</v>
      </c>
      <c r="C3729" s="173" t="s">
        <v>16</v>
      </c>
      <c r="D3729" s="173" t="s">
        <v>372</v>
      </c>
      <c r="E3729" s="173" t="s">
        <v>373</v>
      </c>
      <c r="F3729" s="173" t="s">
        <v>16</v>
      </c>
      <c r="G3729" s="87" t="b">
        <v>1</v>
      </c>
      <c r="H3729" s="87" t="b">
        <v>0</v>
      </c>
      <c r="I3729" s="87" t="b">
        <v>0</v>
      </c>
      <c r="J3729" s="173" t="s">
        <v>455</v>
      </c>
      <c r="K3729" s="174">
        <v>15170723000106</v>
      </c>
      <c r="L3729" s="173" t="s">
        <v>890</v>
      </c>
      <c r="M3729" s="173" t="s">
        <v>75</v>
      </c>
      <c r="N3729" s="173" t="s">
        <v>74</v>
      </c>
      <c r="O3729" s="87">
        <v>64</v>
      </c>
      <c r="P3729" s="173" t="s">
        <v>25</v>
      </c>
      <c r="Q3729" s="1" t="s">
        <v>1344</v>
      </c>
      <c r="R3729" s="175">
        <v>4</v>
      </c>
      <c r="S3729">
        <v>4</v>
      </c>
    </row>
    <row r="3730" spans="1:19" x14ac:dyDescent="0.25">
      <c r="A3730" s="87">
        <v>2020</v>
      </c>
      <c r="B3730" s="87">
        <v>1</v>
      </c>
      <c r="C3730" s="173" t="s">
        <v>16</v>
      </c>
      <c r="D3730" s="173" t="s">
        <v>372</v>
      </c>
      <c r="E3730" s="173" t="s">
        <v>373</v>
      </c>
      <c r="F3730" s="173" t="s">
        <v>16</v>
      </c>
      <c r="G3730" s="87" t="b">
        <v>1</v>
      </c>
      <c r="H3730" s="87" t="b">
        <v>0</v>
      </c>
      <c r="I3730" s="87" t="b">
        <v>0</v>
      </c>
      <c r="J3730" s="173" t="s">
        <v>455</v>
      </c>
      <c r="K3730" s="174">
        <v>15178551000117</v>
      </c>
      <c r="L3730" s="173" t="s">
        <v>1466</v>
      </c>
      <c r="M3730" s="173" t="s">
        <v>75</v>
      </c>
      <c r="N3730" s="173" t="s">
        <v>74</v>
      </c>
      <c r="O3730" s="87">
        <v>70</v>
      </c>
      <c r="P3730" s="173" t="s">
        <v>20</v>
      </c>
      <c r="Q3730" s="1" t="s">
        <v>1338</v>
      </c>
      <c r="R3730" s="175">
        <v>10</v>
      </c>
      <c r="S3730">
        <v>2</v>
      </c>
    </row>
    <row r="3731" spans="1:19" x14ac:dyDescent="0.25">
      <c r="A3731" s="87">
        <v>2020</v>
      </c>
      <c r="B3731" s="87">
        <v>1</v>
      </c>
      <c r="C3731" s="173" t="s">
        <v>16</v>
      </c>
      <c r="D3731" s="173" t="s">
        <v>372</v>
      </c>
      <c r="E3731" s="173" t="s">
        <v>373</v>
      </c>
      <c r="F3731" s="173" t="s">
        <v>16</v>
      </c>
      <c r="G3731" s="87" t="b">
        <v>1</v>
      </c>
      <c r="H3731" s="87" t="b">
        <v>0</v>
      </c>
      <c r="I3731" s="87" t="b">
        <v>0</v>
      </c>
      <c r="J3731" s="173" t="s">
        <v>475</v>
      </c>
      <c r="K3731" s="174">
        <v>15180714000287</v>
      </c>
      <c r="L3731" s="173" t="s">
        <v>892</v>
      </c>
      <c r="M3731" s="173" t="s">
        <v>75</v>
      </c>
      <c r="N3731" s="173" t="s">
        <v>74</v>
      </c>
      <c r="O3731" s="87">
        <v>62</v>
      </c>
      <c r="P3731" s="173" t="s">
        <v>27</v>
      </c>
      <c r="Q3731" s="1" t="s">
        <v>1343</v>
      </c>
      <c r="R3731" s="175">
        <v>25</v>
      </c>
      <c r="S3731">
        <v>25</v>
      </c>
    </row>
    <row r="3732" spans="1:19" x14ac:dyDescent="0.25">
      <c r="A3732" s="87">
        <v>2020</v>
      </c>
      <c r="B3732" s="87">
        <v>1</v>
      </c>
      <c r="C3732" s="173" t="s">
        <v>16</v>
      </c>
      <c r="D3732" s="173" t="s">
        <v>372</v>
      </c>
      <c r="E3732" s="173" t="s">
        <v>373</v>
      </c>
      <c r="F3732" s="173" t="s">
        <v>16</v>
      </c>
      <c r="G3732" s="87" t="b">
        <v>1</v>
      </c>
      <c r="H3732" s="87" t="b">
        <v>0</v>
      </c>
      <c r="I3732" s="87" t="b">
        <v>0</v>
      </c>
      <c r="J3732" s="173" t="s">
        <v>1330</v>
      </c>
      <c r="K3732" s="174">
        <v>15180714000287</v>
      </c>
      <c r="L3732" s="173" t="s">
        <v>892</v>
      </c>
      <c r="M3732" s="173" t="s">
        <v>75</v>
      </c>
      <c r="N3732" s="173" t="s">
        <v>74</v>
      </c>
      <c r="O3732" s="87">
        <v>64</v>
      </c>
      <c r="P3732" s="173" t="s">
        <v>25</v>
      </c>
      <c r="Q3732" s="1" t="s">
        <v>1344</v>
      </c>
      <c r="R3732" s="175">
        <v>75</v>
      </c>
      <c r="S3732">
        <v>75</v>
      </c>
    </row>
    <row r="3733" spans="1:19" x14ac:dyDescent="0.25">
      <c r="A3733" s="87">
        <v>2020</v>
      </c>
      <c r="B3733" s="87">
        <v>1</v>
      </c>
      <c r="C3733" s="173" t="s">
        <v>16</v>
      </c>
      <c r="D3733" s="173" t="s">
        <v>372</v>
      </c>
      <c r="E3733" s="173" t="s">
        <v>373</v>
      </c>
      <c r="F3733" s="173" t="s">
        <v>16</v>
      </c>
      <c r="G3733" s="87" t="b">
        <v>1</v>
      </c>
      <c r="H3733" s="87" t="b">
        <v>0</v>
      </c>
      <c r="I3733" s="87" t="b">
        <v>0</v>
      </c>
      <c r="J3733" s="173" t="s">
        <v>1330</v>
      </c>
      <c r="K3733" s="174">
        <v>15180714000287</v>
      </c>
      <c r="L3733" s="173" t="s">
        <v>892</v>
      </c>
      <c r="M3733" s="173" t="s">
        <v>75</v>
      </c>
      <c r="N3733" s="173" t="s">
        <v>74</v>
      </c>
      <c r="O3733" s="87">
        <v>70</v>
      </c>
      <c r="P3733" s="173" t="s">
        <v>20</v>
      </c>
      <c r="Q3733" s="1" t="s">
        <v>1338</v>
      </c>
      <c r="R3733" s="175">
        <v>850</v>
      </c>
      <c r="S3733">
        <v>170</v>
      </c>
    </row>
    <row r="3734" spans="1:19" x14ac:dyDescent="0.25">
      <c r="A3734" s="87">
        <v>2020</v>
      </c>
      <c r="B3734" s="87">
        <v>1</v>
      </c>
      <c r="C3734" s="173" t="s">
        <v>16</v>
      </c>
      <c r="D3734" s="173" t="s">
        <v>372</v>
      </c>
      <c r="E3734" s="173" t="s">
        <v>373</v>
      </c>
      <c r="F3734" s="173" t="s">
        <v>16</v>
      </c>
      <c r="G3734" s="87" t="b">
        <v>1</v>
      </c>
      <c r="H3734" s="87" t="b">
        <v>0</v>
      </c>
      <c r="I3734" s="87" t="b">
        <v>0</v>
      </c>
      <c r="J3734" s="173" t="s">
        <v>455</v>
      </c>
      <c r="K3734" s="174">
        <v>15194004000125</v>
      </c>
      <c r="L3734" s="173" t="s">
        <v>895</v>
      </c>
      <c r="M3734" s="173" t="s">
        <v>75</v>
      </c>
      <c r="N3734" s="173" t="s">
        <v>74</v>
      </c>
      <c r="O3734" s="87">
        <v>64</v>
      </c>
      <c r="P3734" s="173" t="s">
        <v>25</v>
      </c>
      <c r="Q3734" s="1" t="s">
        <v>1344</v>
      </c>
      <c r="R3734" s="175">
        <v>3</v>
      </c>
      <c r="S3734">
        <v>3</v>
      </c>
    </row>
    <row r="3735" spans="1:19" x14ac:dyDescent="0.25">
      <c r="A3735" s="87">
        <v>2020</v>
      </c>
      <c r="B3735" s="87">
        <v>1</v>
      </c>
      <c r="C3735" s="173" t="s">
        <v>16</v>
      </c>
      <c r="D3735" s="173" t="s">
        <v>372</v>
      </c>
      <c r="E3735" s="173" t="s">
        <v>373</v>
      </c>
      <c r="F3735" s="173" t="s">
        <v>16</v>
      </c>
      <c r="G3735" s="87" t="b">
        <v>1</v>
      </c>
      <c r="H3735" s="87" t="b">
        <v>0</v>
      </c>
      <c r="I3735" s="87" t="b">
        <v>0</v>
      </c>
      <c r="J3735" s="173" t="s">
        <v>491</v>
      </c>
      <c r="K3735" s="174">
        <v>16064313000577</v>
      </c>
      <c r="L3735" s="173" t="s">
        <v>898</v>
      </c>
      <c r="M3735" s="173" t="s">
        <v>84</v>
      </c>
      <c r="N3735" s="173" t="s">
        <v>85</v>
      </c>
      <c r="O3735" s="87">
        <v>73</v>
      </c>
      <c r="P3735" s="173" t="s">
        <v>26</v>
      </c>
      <c r="Q3735" s="1" t="s">
        <v>1339</v>
      </c>
      <c r="R3735" s="175">
        <v>32</v>
      </c>
      <c r="S3735">
        <v>16</v>
      </c>
    </row>
    <row r="3736" spans="1:19" x14ac:dyDescent="0.25">
      <c r="A3736" s="87">
        <v>2020</v>
      </c>
      <c r="B3736" s="87">
        <v>1</v>
      </c>
      <c r="C3736" s="173" t="s">
        <v>16</v>
      </c>
      <c r="D3736" s="173" t="s">
        <v>372</v>
      </c>
      <c r="E3736" s="173" t="s">
        <v>373</v>
      </c>
      <c r="F3736" s="173" t="s">
        <v>16</v>
      </c>
      <c r="G3736" s="87" t="b">
        <v>1</v>
      </c>
      <c r="H3736" s="87" t="b">
        <v>0</v>
      </c>
      <c r="I3736" s="87" t="b">
        <v>0</v>
      </c>
      <c r="J3736" s="173" t="s">
        <v>491</v>
      </c>
      <c r="K3736" s="174">
        <v>16064313000577</v>
      </c>
      <c r="L3736" s="173" t="s">
        <v>898</v>
      </c>
      <c r="M3736" s="173" t="s">
        <v>84</v>
      </c>
      <c r="N3736" s="173" t="s">
        <v>85</v>
      </c>
      <c r="O3736" s="87">
        <v>73</v>
      </c>
      <c r="P3736" s="173" t="s">
        <v>26</v>
      </c>
      <c r="Q3736" s="1" t="s">
        <v>1340</v>
      </c>
      <c r="R3736" s="175">
        <v>10</v>
      </c>
      <c r="S3736">
        <v>10</v>
      </c>
    </row>
    <row r="3737" spans="1:19" x14ac:dyDescent="0.25">
      <c r="A3737" s="87">
        <v>2020</v>
      </c>
      <c r="B3737" s="87">
        <v>1</v>
      </c>
      <c r="C3737" s="173" t="s">
        <v>16</v>
      </c>
      <c r="D3737" s="173" t="s">
        <v>372</v>
      </c>
      <c r="E3737" s="173" t="s">
        <v>373</v>
      </c>
      <c r="F3737" s="173" t="s">
        <v>16</v>
      </c>
      <c r="G3737" s="87" t="b">
        <v>1</v>
      </c>
      <c r="H3737" s="87" t="b">
        <v>0</v>
      </c>
      <c r="I3737" s="87" t="b">
        <v>0</v>
      </c>
      <c r="J3737" s="173" t="s">
        <v>455</v>
      </c>
      <c r="K3737" s="174">
        <v>16475154000250</v>
      </c>
      <c r="L3737" s="173" t="s">
        <v>899</v>
      </c>
      <c r="M3737" s="173" t="s">
        <v>75</v>
      </c>
      <c r="N3737" s="173" t="s">
        <v>74</v>
      </c>
      <c r="O3737" s="87">
        <v>64</v>
      </c>
      <c r="P3737" s="173" t="s">
        <v>25</v>
      </c>
      <c r="Q3737" s="1" t="s">
        <v>1344</v>
      </c>
      <c r="R3737" s="175">
        <v>5</v>
      </c>
      <c r="S3737">
        <v>5</v>
      </c>
    </row>
    <row r="3738" spans="1:19" x14ac:dyDescent="0.25">
      <c r="A3738" s="87">
        <v>2020</v>
      </c>
      <c r="B3738" s="87">
        <v>1</v>
      </c>
      <c r="C3738" s="173" t="s">
        <v>16</v>
      </c>
      <c r="D3738" s="173" t="s">
        <v>372</v>
      </c>
      <c r="E3738" s="173" t="s">
        <v>373</v>
      </c>
      <c r="F3738" s="173" t="s">
        <v>16</v>
      </c>
      <c r="G3738" s="87" t="b">
        <v>1</v>
      </c>
      <c r="H3738" s="87" t="b">
        <v>0</v>
      </c>
      <c r="I3738" s="87" t="b">
        <v>0</v>
      </c>
      <c r="J3738" s="173" t="s">
        <v>1330</v>
      </c>
      <c r="K3738" s="174">
        <v>16695025000197</v>
      </c>
      <c r="L3738" s="173" t="s">
        <v>1417</v>
      </c>
      <c r="M3738" s="173" t="s">
        <v>58</v>
      </c>
      <c r="N3738" s="173" t="s">
        <v>54</v>
      </c>
      <c r="O3738" s="87">
        <v>70</v>
      </c>
      <c r="P3738" s="173" t="s">
        <v>20</v>
      </c>
      <c r="Q3738" s="1" t="s">
        <v>1338</v>
      </c>
      <c r="R3738" s="175">
        <v>250</v>
      </c>
      <c r="S3738">
        <v>50</v>
      </c>
    </row>
    <row r="3739" spans="1:19" x14ac:dyDescent="0.25">
      <c r="A3739" s="87">
        <v>2020</v>
      </c>
      <c r="B3739" s="87">
        <v>1</v>
      </c>
      <c r="C3739" s="173" t="s">
        <v>16</v>
      </c>
      <c r="D3739" s="173" t="s">
        <v>372</v>
      </c>
      <c r="E3739" s="173" t="s">
        <v>373</v>
      </c>
      <c r="F3739" s="173" t="s">
        <v>16</v>
      </c>
      <c r="G3739" s="87" t="b">
        <v>1</v>
      </c>
      <c r="H3739" s="87" t="b">
        <v>0</v>
      </c>
      <c r="I3739" s="87" t="b">
        <v>0</v>
      </c>
      <c r="J3739" s="173" t="s">
        <v>468</v>
      </c>
      <c r="K3739" s="174">
        <v>16739984000167</v>
      </c>
      <c r="L3739" s="173" t="s">
        <v>900</v>
      </c>
      <c r="M3739" s="173" t="s">
        <v>739</v>
      </c>
      <c r="N3739" s="173" t="s">
        <v>55</v>
      </c>
      <c r="O3739" s="87">
        <v>73</v>
      </c>
      <c r="P3739" s="173" t="s">
        <v>26</v>
      </c>
      <c r="Q3739" s="1" t="s">
        <v>1339</v>
      </c>
      <c r="R3739" s="175">
        <v>4</v>
      </c>
      <c r="S3739">
        <v>2</v>
      </c>
    </row>
    <row r="3740" spans="1:19" x14ac:dyDescent="0.25">
      <c r="A3740" s="87">
        <v>2020</v>
      </c>
      <c r="B3740" s="87">
        <v>1</v>
      </c>
      <c r="C3740" s="173" t="s">
        <v>16</v>
      </c>
      <c r="D3740" s="173" t="s">
        <v>372</v>
      </c>
      <c r="E3740" s="173" t="s">
        <v>373</v>
      </c>
      <c r="F3740" s="173" t="s">
        <v>16</v>
      </c>
      <c r="G3740" s="87" t="b">
        <v>1</v>
      </c>
      <c r="H3740" s="87" t="b">
        <v>0</v>
      </c>
      <c r="I3740" s="87" t="b">
        <v>0</v>
      </c>
      <c r="J3740" s="173" t="s">
        <v>468</v>
      </c>
      <c r="K3740" s="174">
        <v>16739984000167</v>
      </c>
      <c r="L3740" s="173" t="s">
        <v>900</v>
      </c>
      <c r="M3740" s="173" t="s">
        <v>739</v>
      </c>
      <c r="N3740" s="173" t="s">
        <v>55</v>
      </c>
      <c r="O3740" s="87">
        <v>73</v>
      </c>
      <c r="P3740" s="173" t="s">
        <v>26</v>
      </c>
      <c r="Q3740" s="1" t="s">
        <v>1342</v>
      </c>
      <c r="R3740" s="175">
        <v>20</v>
      </c>
      <c r="S3740">
        <v>5</v>
      </c>
    </row>
    <row r="3741" spans="1:19" x14ac:dyDescent="0.25">
      <c r="A3741" s="87">
        <v>2020</v>
      </c>
      <c r="B3741" s="87">
        <v>1</v>
      </c>
      <c r="C3741" s="173" t="s">
        <v>16</v>
      </c>
      <c r="D3741" s="173" t="s">
        <v>372</v>
      </c>
      <c r="E3741" s="173" t="s">
        <v>373</v>
      </c>
      <c r="F3741" s="173" t="s">
        <v>16</v>
      </c>
      <c r="G3741" s="87" t="b">
        <v>1</v>
      </c>
      <c r="H3741" s="87" t="b">
        <v>0</v>
      </c>
      <c r="I3741" s="87" t="b">
        <v>0</v>
      </c>
      <c r="J3741" s="173" t="s">
        <v>468</v>
      </c>
      <c r="K3741" s="174">
        <v>16739984000167</v>
      </c>
      <c r="L3741" s="173" t="s">
        <v>900</v>
      </c>
      <c r="M3741" s="173" t="s">
        <v>739</v>
      </c>
      <c r="N3741" s="173" t="s">
        <v>55</v>
      </c>
      <c r="O3741" s="87">
        <v>73</v>
      </c>
      <c r="P3741" s="173" t="s">
        <v>26</v>
      </c>
      <c r="Q3741" s="1" t="s">
        <v>1340</v>
      </c>
      <c r="R3741" s="175">
        <v>4</v>
      </c>
      <c r="S3741">
        <v>4</v>
      </c>
    </row>
    <row r="3742" spans="1:19" x14ac:dyDescent="0.25">
      <c r="A3742" s="87">
        <v>2020</v>
      </c>
      <c r="B3742" s="87">
        <v>1</v>
      </c>
      <c r="C3742" s="173" t="s">
        <v>16</v>
      </c>
      <c r="D3742" s="173" t="s">
        <v>372</v>
      </c>
      <c r="E3742" s="173" t="s">
        <v>373</v>
      </c>
      <c r="F3742" s="173" t="s">
        <v>16</v>
      </c>
      <c r="G3742" s="87" t="b">
        <v>1</v>
      </c>
      <c r="H3742" s="87" t="b">
        <v>0</v>
      </c>
      <c r="I3742" s="87" t="b">
        <v>0</v>
      </c>
      <c r="J3742" s="173" t="s">
        <v>491</v>
      </c>
      <c r="K3742" s="174">
        <v>16739984000167</v>
      </c>
      <c r="L3742" s="173" t="s">
        <v>900</v>
      </c>
      <c r="M3742" s="173" t="s">
        <v>739</v>
      </c>
      <c r="N3742" s="173" t="s">
        <v>55</v>
      </c>
      <c r="O3742" s="87">
        <v>73</v>
      </c>
      <c r="P3742" s="173" t="s">
        <v>26</v>
      </c>
      <c r="Q3742" s="1" t="s">
        <v>1339</v>
      </c>
      <c r="R3742" s="175">
        <v>4</v>
      </c>
      <c r="S3742">
        <v>2</v>
      </c>
    </row>
    <row r="3743" spans="1:19" x14ac:dyDescent="0.25">
      <c r="A3743" s="87">
        <v>2020</v>
      </c>
      <c r="B3743" s="87">
        <v>1</v>
      </c>
      <c r="C3743" s="173" t="s">
        <v>16</v>
      </c>
      <c r="D3743" s="173" t="s">
        <v>372</v>
      </c>
      <c r="E3743" s="173" t="s">
        <v>373</v>
      </c>
      <c r="F3743" s="173" t="s">
        <v>16</v>
      </c>
      <c r="G3743" s="87" t="b">
        <v>1</v>
      </c>
      <c r="H3743" s="87" t="b">
        <v>0</v>
      </c>
      <c r="I3743" s="87" t="b">
        <v>0</v>
      </c>
      <c r="J3743" s="173" t="s">
        <v>491</v>
      </c>
      <c r="K3743" s="174">
        <v>16739984000167</v>
      </c>
      <c r="L3743" s="173" t="s">
        <v>900</v>
      </c>
      <c r="M3743" s="173" t="s">
        <v>739</v>
      </c>
      <c r="N3743" s="173" t="s">
        <v>55</v>
      </c>
      <c r="O3743" s="87">
        <v>73</v>
      </c>
      <c r="P3743" s="173" t="s">
        <v>26</v>
      </c>
      <c r="Q3743" s="1" t="s">
        <v>1342</v>
      </c>
      <c r="R3743" s="175">
        <v>4</v>
      </c>
      <c r="S3743">
        <v>1</v>
      </c>
    </row>
    <row r="3744" spans="1:19" x14ac:dyDescent="0.25">
      <c r="A3744" s="87">
        <v>2020</v>
      </c>
      <c r="B3744" s="87">
        <v>1</v>
      </c>
      <c r="C3744" s="173" t="s">
        <v>16</v>
      </c>
      <c r="D3744" s="173" t="s">
        <v>372</v>
      </c>
      <c r="E3744" s="173" t="s">
        <v>373</v>
      </c>
      <c r="F3744" s="173" t="s">
        <v>16</v>
      </c>
      <c r="G3744" s="87" t="b">
        <v>1</v>
      </c>
      <c r="H3744" s="87" t="b">
        <v>0</v>
      </c>
      <c r="I3744" s="87" t="b">
        <v>0</v>
      </c>
      <c r="J3744" s="173" t="s">
        <v>470</v>
      </c>
      <c r="K3744" s="174">
        <v>17087591000189</v>
      </c>
      <c r="L3744" s="173" t="s">
        <v>1170</v>
      </c>
      <c r="M3744" s="173" t="s">
        <v>1171</v>
      </c>
      <c r="N3744" s="173" t="s">
        <v>54</v>
      </c>
      <c r="O3744" s="87">
        <v>62</v>
      </c>
      <c r="P3744" s="173" t="s">
        <v>27</v>
      </c>
      <c r="Q3744" s="1" t="s">
        <v>1343</v>
      </c>
      <c r="R3744" s="175">
        <v>7</v>
      </c>
      <c r="S3744">
        <v>7</v>
      </c>
    </row>
    <row r="3745" spans="1:19" x14ac:dyDescent="0.25">
      <c r="A3745" s="87">
        <v>2020</v>
      </c>
      <c r="B3745" s="87">
        <v>1</v>
      </c>
      <c r="C3745" s="173" t="s">
        <v>16</v>
      </c>
      <c r="D3745" s="173" t="s">
        <v>372</v>
      </c>
      <c r="E3745" s="173" t="s">
        <v>373</v>
      </c>
      <c r="F3745" s="173" t="s">
        <v>16</v>
      </c>
      <c r="G3745" s="87" t="b">
        <v>1</v>
      </c>
      <c r="H3745" s="87" t="b">
        <v>0</v>
      </c>
      <c r="I3745" s="87" t="b">
        <v>0</v>
      </c>
      <c r="J3745" s="173" t="s">
        <v>451</v>
      </c>
      <c r="K3745" s="174">
        <v>17239624000169</v>
      </c>
      <c r="L3745" s="173" t="s">
        <v>1394</v>
      </c>
      <c r="M3745" s="173" t="s">
        <v>1395</v>
      </c>
      <c r="N3745" s="173" t="s">
        <v>59</v>
      </c>
      <c r="O3745" s="87">
        <v>64</v>
      </c>
      <c r="P3745" s="173" t="s">
        <v>25</v>
      </c>
      <c r="Q3745" s="1" t="s">
        <v>1344</v>
      </c>
      <c r="R3745" s="175">
        <v>29</v>
      </c>
      <c r="S3745">
        <v>29</v>
      </c>
    </row>
    <row r="3746" spans="1:19" x14ac:dyDescent="0.25">
      <c r="A3746" s="87">
        <v>2020</v>
      </c>
      <c r="B3746" s="87">
        <v>1</v>
      </c>
      <c r="C3746" s="173" t="s">
        <v>16</v>
      </c>
      <c r="D3746" s="173" t="s">
        <v>372</v>
      </c>
      <c r="E3746" s="173" t="s">
        <v>373</v>
      </c>
      <c r="F3746" s="173" t="s">
        <v>16</v>
      </c>
      <c r="G3746" s="87" t="b">
        <v>1</v>
      </c>
      <c r="H3746" s="87" t="b">
        <v>0</v>
      </c>
      <c r="I3746" s="87" t="b">
        <v>0</v>
      </c>
      <c r="J3746" s="173" t="s">
        <v>478</v>
      </c>
      <c r="K3746" s="174">
        <v>17312612000112</v>
      </c>
      <c r="L3746" s="173" t="s">
        <v>1418</v>
      </c>
      <c r="M3746" s="173" t="s">
        <v>58</v>
      </c>
      <c r="N3746" s="173" t="s">
        <v>54</v>
      </c>
      <c r="O3746" s="87">
        <v>70</v>
      </c>
      <c r="P3746" s="173" t="s">
        <v>20</v>
      </c>
      <c r="Q3746" s="1" t="s">
        <v>1338</v>
      </c>
      <c r="R3746" s="175">
        <v>70</v>
      </c>
      <c r="S3746">
        <v>14</v>
      </c>
    </row>
    <row r="3747" spans="1:19" x14ac:dyDescent="0.25">
      <c r="A3747" s="87">
        <v>2020</v>
      </c>
      <c r="B3747" s="87">
        <v>1</v>
      </c>
      <c r="C3747" s="173" t="s">
        <v>16</v>
      </c>
      <c r="D3747" s="173" t="s">
        <v>372</v>
      </c>
      <c r="E3747" s="173" t="s">
        <v>373</v>
      </c>
      <c r="F3747" s="173" t="s">
        <v>16</v>
      </c>
      <c r="G3747" s="87" t="b">
        <v>1</v>
      </c>
      <c r="H3747" s="87" t="b">
        <v>0</v>
      </c>
      <c r="I3747" s="87" t="b">
        <v>0</v>
      </c>
      <c r="J3747" s="173" t="s">
        <v>455</v>
      </c>
      <c r="K3747" s="174">
        <v>17312612000112</v>
      </c>
      <c r="L3747" s="173" t="s">
        <v>1418</v>
      </c>
      <c r="M3747" s="173" t="s">
        <v>58</v>
      </c>
      <c r="N3747" s="173" t="s">
        <v>54</v>
      </c>
      <c r="O3747" s="87">
        <v>70</v>
      </c>
      <c r="P3747" s="173" t="s">
        <v>20</v>
      </c>
      <c r="Q3747" s="1" t="s">
        <v>1338</v>
      </c>
      <c r="R3747" s="175">
        <v>110</v>
      </c>
      <c r="S3747">
        <v>22</v>
      </c>
    </row>
    <row r="3748" spans="1:19" x14ac:dyDescent="0.25">
      <c r="A3748" s="87">
        <v>2020</v>
      </c>
      <c r="B3748" s="87">
        <v>1</v>
      </c>
      <c r="C3748" s="173" t="s">
        <v>16</v>
      </c>
      <c r="D3748" s="173" t="s">
        <v>372</v>
      </c>
      <c r="E3748" s="173" t="s">
        <v>373</v>
      </c>
      <c r="F3748" s="173" t="s">
        <v>16</v>
      </c>
      <c r="G3748" s="87" t="b">
        <v>1</v>
      </c>
      <c r="H3748" s="87" t="b">
        <v>0</v>
      </c>
      <c r="I3748" s="87" t="b">
        <v>0</v>
      </c>
      <c r="J3748" s="173" t="s">
        <v>463</v>
      </c>
      <c r="K3748" s="174">
        <v>17689407000928</v>
      </c>
      <c r="L3748" s="173" t="s">
        <v>1174</v>
      </c>
      <c r="M3748" s="173" t="s">
        <v>88</v>
      </c>
      <c r="N3748" s="173" t="s">
        <v>54</v>
      </c>
      <c r="O3748" s="87">
        <v>73</v>
      </c>
      <c r="P3748" s="173" t="s">
        <v>26</v>
      </c>
      <c r="Q3748" s="1" t="s">
        <v>1340</v>
      </c>
      <c r="R3748" s="175">
        <v>10</v>
      </c>
      <c r="S3748">
        <v>10</v>
      </c>
    </row>
    <row r="3749" spans="1:19" x14ac:dyDescent="0.25">
      <c r="A3749" s="87">
        <v>2020</v>
      </c>
      <c r="B3749" s="87">
        <v>1</v>
      </c>
      <c r="C3749" s="173" t="s">
        <v>16</v>
      </c>
      <c r="D3749" s="173" t="s">
        <v>372</v>
      </c>
      <c r="E3749" s="173" t="s">
        <v>373</v>
      </c>
      <c r="F3749" s="173" t="s">
        <v>16</v>
      </c>
      <c r="G3749" s="87" t="b">
        <v>1</v>
      </c>
      <c r="H3749" s="87" t="b">
        <v>0</v>
      </c>
      <c r="I3749" s="87" t="b">
        <v>0</v>
      </c>
      <c r="J3749" s="173" t="s">
        <v>455</v>
      </c>
      <c r="K3749" s="174">
        <v>17845504000296</v>
      </c>
      <c r="L3749" s="173" t="s">
        <v>1419</v>
      </c>
      <c r="M3749" s="173" t="s">
        <v>1420</v>
      </c>
      <c r="N3749" s="173" t="s">
        <v>54</v>
      </c>
      <c r="O3749" s="87">
        <v>70</v>
      </c>
      <c r="P3749" s="173" t="s">
        <v>20</v>
      </c>
      <c r="Q3749" s="1" t="s">
        <v>1338</v>
      </c>
      <c r="R3749" s="175">
        <v>110</v>
      </c>
      <c r="S3749">
        <v>22</v>
      </c>
    </row>
    <row r="3750" spans="1:19" x14ac:dyDescent="0.25">
      <c r="A3750" s="87">
        <v>2020</v>
      </c>
      <c r="B3750" s="87">
        <v>1</v>
      </c>
      <c r="C3750" s="173" t="s">
        <v>16</v>
      </c>
      <c r="D3750" s="173" t="s">
        <v>372</v>
      </c>
      <c r="E3750" s="173" t="s">
        <v>373</v>
      </c>
      <c r="F3750" s="173" t="s">
        <v>16</v>
      </c>
      <c r="G3750" s="87" t="b">
        <v>1</v>
      </c>
      <c r="H3750" s="87" t="b">
        <v>0</v>
      </c>
      <c r="I3750" s="87" t="b">
        <v>0</v>
      </c>
      <c r="J3750" s="173" t="s">
        <v>477</v>
      </c>
      <c r="K3750" s="174">
        <v>18010750000100</v>
      </c>
      <c r="L3750" s="173" t="s">
        <v>1092</v>
      </c>
      <c r="M3750" s="173" t="s">
        <v>131</v>
      </c>
      <c r="N3750" s="173" t="s">
        <v>61</v>
      </c>
      <c r="O3750" s="87">
        <v>70</v>
      </c>
      <c r="P3750" s="173" t="s">
        <v>20</v>
      </c>
      <c r="Q3750" s="1" t="s">
        <v>1345</v>
      </c>
      <c r="R3750" s="175">
        <v>60</v>
      </c>
      <c r="S3750">
        <v>6</v>
      </c>
    </row>
    <row r="3751" spans="1:19" x14ac:dyDescent="0.25">
      <c r="A3751" s="87">
        <v>2020</v>
      </c>
      <c r="B3751" s="87">
        <v>1</v>
      </c>
      <c r="C3751" s="173" t="s">
        <v>16</v>
      </c>
      <c r="D3751" s="173" t="s">
        <v>372</v>
      </c>
      <c r="E3751" s="173" t="s">
        <v>373</v>
      </c>
      <c r="F3751" s="173" t="s">
        <v>16</v>
      </c>
      <c r="G3751" s="87" t="b">
        <v>1</v>
      </c>
      <c r="H3751" s="87" t="b">
        <v>0</v>
      </c>
      <c r="I3751" s="87" t="b">
        <v>0</v>
      </c>
      <c r="J3751" s="173" t="s">
        <v>468</v>
      </c>
      <c r="K3751" s="174">
        <v>18034143000180</v>
      </c>
      <c r="L3751" s="173" t="s">
        <v>1396</v>
      </c>
      <c r="M3751" s="173" t="s">
        <v>753</v>
      </c>
      <c r="N3751" s="173" t="s">
        <v>59</v>
      </c>
      <c r="O3751" s="87">
        <v>70</v>
      </c>
      <c r="P3751" s="173" t="s">
        <v>20</v>
      </c>
      <c r="Q3751" s="1" t="s">
        <v>1338</v>
      </c>
      <c r="R3751" s="175">
        <v>255</v>
      </c>
      <c r="S3751">
        <v>51</v>
      </c>
    </row>
    <row r="3752" spans="1:19" x14ac:dyDescent="0.25">
      <c r="A3752" s="87">
        <v>2020</v>
      </c>
      <c r="B3752" s="87">
        <v>1</v>
      </c>
      <c r="C3752" s="173" t="s">
        <v>16</v>
      </c>
      <c r="D3752" s="173" t="s">
        <v>372</v>
      </c>
      <c r="E3752" s="173" t="s">
        <v>373</v>
      </c>
      <c r="F3752" s="173" t="s">
        <v>16</v>
      </c>
      <c r="G3752" s="87" t="b">
        <v>1</v>
      </c>
      <c r="H3752" s="87" t="b">
        <v>0</v>
      </c>
      <c r="I3752" s="87" t="b">
        <v>0</v>
      </c>
      <c r="J3752" s="173" t="s">
        <v>450</v>
      </c>
      <c r="K3752" s="174">
        <v>18290268000170</v>
      </c>
      <c r="L3752" s="173" t="s">
        <v>663</v>
      </c>
      <c r="M3752" s="173" t="s">
        <v>35</v>
      </c>
      <c r="N3752" s="173" t="s">
        <v>19</v>
      </c>
      <c r="O3752" s="87">
        <v>70</v>
      </c>
      <c r="P3752" s="173" t="s">
        <v>20</v>
      </c>
      <c r="Q3752" s="1" t="s">
        <v>1338</v>
      </c>
      <c r="R3752" s="175">
        <v>150</v>
      </c>
      <c r="S3752">
        <v>30</v>
      </c>
    </row>
    <row r="3753" spans="1:19" x14ac:dyDescent="0.25">
      <c r="A3753" s="87">
        <v>2020</v>
      </c>
      <c r="B3753" s="87">
        <v>1</v>
      </c>
      <c r="C3753" s="173" t="s">
        <v>16</v>
      </c>
      <c r="D3753" s="173" t="s">
        <v>372</v>
      </c>
      <c r="E3753" s="173" t="s">
        <v>373</v>
      </c>
      <c r="F3753" s="173" t="s">
        <v>16</v>
      </c>
      <c r="G3753" s="87" t="b">
        <v>1</v>
      </c>
      <c r="H3753" s="87" t="b">
        <v>0</v>
      </c>
      <c r="I3753" s="87" t="b">
        <v>0</v>
      </c>
      <c r="J3753" s="173" t="s">
        <v>450</v>
      </c>
      <c r="K3753" s="174">
        <v>18321477000134</v>
      </c>
      <c r="L3753" s="173" t="s">
        <v>664</v>
      </c>
      <c r="M3753" s="173" t="s">
        <v>650</v>
      </c>
      <c r="N3753" s="173" t="s">
        <v>19</v>
      </c>
      <c r="O3753" s="87">
        <v>70</v>
      </c>
      <c r="P3753" s="173" t="s">
        <v>20</v>
      </c>
      <c r="Q3753" s="1" t="s">
        <v>1338</v>
      </c>
      <c r="R3753" s="175">
        <v>180</v>
      </c>
      <c r="S3753">
        <v>36</v>
      </c>
    </row>
    <row r="3754" spans="1:19" x14ac:dyDescent="0.25">
      <c r="A3754" s="87">
        <v>2020</v>
      </c>
      <c r="B3754" s="87">
        <v>1</v>
      </c>
      <c r="C3754" s="173" t="s">
        <v>16</v>
      </c>
      <c r="D3754" s="173" t="s">
        <v>372</v>
      </c>
      <c r="E3754" s="173" t="s">
        <v>373</v>
      </c>
      <c r="F3754" s="173" t="s">
        <v>16</v>
      </c>
      <c r="G3754" s="87" t="b">
        <v>1</v>
      </c>
      <c r="H3754" s="87" t="b">
        <v>0</v>
      </c>
      <c r="I3754" s="87" t="b">
        <v>0</v>
      </c>
      <c r="J3754" s="173" t="s">
        <v>450</v>
      </c>
      <c r="K3754" s="174">
        <v>18321477000134</v>
      </c>
      <c r="L3754" s="173" t="s">
        <v>664</v>
      </c>
      <c r="M3754" s="173" t="s">
        <v>650</v>
      </c>
      <c r="N3754" s="173" t="s">
        <v>19</v>
      </c>
      <c r="O3754" s="87">
        <v>73</v>
      </c>
      <c r="P3754" s="173" t="s">
        <v>26</v>
      </c>
      <c r="Q3754" s="1" t="s">
        <v>1340</v>
      </c>
      <c r="R3754" s="175">
        <v>2</v>
      </c>
      <c r="S3754">
        <v>2</v>
      </c>
    </row>
    <row r="3755" spans="1:19" x14ac:dyDescent="0.25">
      <c r="A3755" s="87">
        <v>2020</v>
      </c>
      <c r="B3755" s="87">
        <v>1</v>
      </c>
      <c r="C3755" s="173" t="s">
        <v>16</v>
      </c>
      <c r="D3755" s="173" t="s">
        <v>372</v>
      </c>
      <c r="E3755" s="173" t="s">
        <v>373</v>
      </c>
      <c r="F3755" s="173" t="s">
        <v>16</v>
      </c>
      <c r="G3755" s="87" t="b">
        <v>1</v>
      </c>
      <c r="H3755" s="87" t="b">
        <v>0</v>
      </c>
      <c r="I3755" s="87" t="b">
        <v>0</v>
      </c>
      <c r="J3755" s="173" t="s">
        <v>477</v>
      </c>
      <c r="K3755" s="174">
        <v>18321477000134</v>
      </c>
      <c r="L3755" s="173" t="s">
        <v>664</v>
      </c>
      <c r="M3755" s="173" t="s">
        <v>650</v>
      </c>
      <c r="N3755" s="173" t="s">
        <v>19</v>
      </c>
      <c r="O3755" s="87">
        <v>73</v>
      </c>
      <c r="P3755" s="173" t="s">
        <v>26</v>
      </c>
      <c r="Q3755" s="1" t="s">
        <v>1342</v>
      </c>
      <c r="R3755" s="175">
        <v>48</v>
      </c>
      <c r="S3755">
        <v>12</v>
      </c>
    </row>
    <row r="3756" spans="1:19" x14ac:dyDescent="0.25">
      <c r="A3756" s="87">
        <v>2020</v>
      </c>
      <c r="B3756" s="87">
        <v>1</v>
      </c>
      <c r="C3756" s="173" t="s">
        <v>16</v>
      </c>
      <c r="D3756" s="173" t="s">
        <v>372</v>
      </c>
      <c r="E3756" s="173" t="s">
        <v>373</v>
      </c>
      <c r="F3756" s="173" t="s">
        <v>16</v>
      </c>
      <c r="G3756" s="87" t="b">
        <v>1</v>
      </c>
      <c r="H3756" s="87" t="b">
        <v>0</v>
      </c>
      <c r="I3756" s="87" t="b">
        <v>0</v>
      </c>
      <c r="J3756" s="173" t="s">
        <v>491</v>
      </c>
      <c r="K3756" s="174">
        <v>18321477000134</v>
      </c>
      <c r="L3756" s="173" t="s">
        <v>664</v>
      </c>
      <c r="M3756" s="173" t="s">
        <v>650</v>
      </c>
      <c r="N3756" s="173" t="s">
        <v>19</v>
      </c>
      <c r="O3756" s="87">
        <v>73</v>
      </c>
      <c r="P3756" s="173" t="s">
        <v>26</v>
      </c>
      <c r="Q3756" s="1" t="s">
        <v>1342</v>
      </c>
      <c r="R3756" s="175">
        <v>48</v>
      </c>
      <c r="S3756">
        <v>12</v>
      </c>
    </row>
    <row r="3757" spans="1:19" x14ac:dyDescent="0.25">
      <c r="A3757" s="87">
        <v>2020</v>
      </c>
      <c r="B3757" s="87">
        <v>1</v>
      </c>
      <c r="C3757" s="173" t="s">
        <v>16</v>
      </c>
      <c r="D3757" s="173" t="s">
        <v>372</v>
      </c>
      <c r="E3757" s="173" t="s">
        <v>373</v>
      </c>
      <c r="F3757" s="173" t="s">
        <v>16</v>
      </c>
      <c r="G3757" s="87" t="b">
        <v>1</v>
      </c>
      <c r="H3757" s="87" t="b">
        <v>0</v>
      </c>
      <c r="I3757" s="87" t="b">
        <v>0</v>
      </c>
      <c r="J3757" s="173" t="s">
        <v>491</v>
      </c>
      <c r="K3757" s="174">
        <v>18484378000173</v>
      </c>
      <c r="L3757" s="173" t="s">
        <v>1176</v>
      </c>
      <c r="M3757" s="173" t="s">
        <v>1171</v>
      </c>
      <c r="N3757" s="173" t="s">
        <v>54</v>
      </c>
      <c r="O3757" s="87">
        <v>62</v>
      </c>
      <c r="P3757" s="173" t="s">
        <v>27</v>
      </c>
      <c r="Q3757" s="1" t="s">
        <v>1343</v>
      </c>
      <c r="R3757" s="175">
        <v>4</v>
      </c>
      <c r="S3757">
        <v>4</v>
      </c>
    </row>
    <row r="3758" spans="1:19" x14ac:dyDescent="0.25">
      <c r="A3758" s="87">
        <v>2020</v>
      </c>
      <c r="B3758" s="87">
        <v>1</v>
      </c>
      <c r="C3758" s="173" t="s">
        <v>16</v>
      </c>
      <c r="D3758" s="173" t="s">
        <v>372</v>
      </c>
      <c r="E3758" s="173" t="s">
        <v>373</v>
      </c>
      <c r="F3758" s="173" t="s">
        <v>16</v>
      </c>
      <c r="G3758" s="87" t="b">
        <v>1</v>
      </c>
      <c r="H3758" s="87" t="b">
        <v>0</v>
      </c>
      <c r="I3758" s="87" t="b">
        <v>0</v>
      </c>
      <c r="J3758" s="173" t="s">
        <v>455</v>
      </c>
      <c r="K3758" s="174">
        <v>18770112000197</v>
      </c>
      <c r="L3758" s="173" t="s">
        <v>1467</v>
      </c>
      <c r="M3758" s="173" t="s">
        <v>83</v>
      </c>
      <c r="N3758" s="173" t="s">
        <v>67</v>
      </c>
      <c r="O3758" s="87">
        <v>70</v>
      </c>
      <c r="P3758" s="173" t="s">
        <v>20</v>
      </c>
      <c r="Q3758" s="1" t="s">
        <v>1338</v>
      </c>
      <c r="R3758" s="175">
        <v>20</v>
      </c>
      <c r="S3758">
        <v>4</v>
      </c>
    </row>
    <row r="3759" spans="1:19" x14ac:dyDescent="0.25">
      <c r="A3759" s="87">
        <v>2020</v>
      </c>
      <c r="B3759" s="87">
        <v>1</v>
      </c>
      <c r="C3759" s="173" t="s">
        <v>16</v>
      </c>
      <c r="D3759" s="173" t="s">
        <v>372</v>
      </c>
      <c r="E3759" s="173" t="s">
        <v>373</v>
      </c>
      <c r="F3759" s="173" t="s">
        <v>16</v>
      </c>
      <c r="G3759" s="87" t="b">
        <v>1</v>
      </c>
      <c r="H3759" s="87" t="b">
        <v>0</v>
      </c>
      <c r="I3759" s="87" t="b">
        <v>0</v>
      </c>
      <c r="J3759" s="173" t="s">
        <v>463</v>
      </c>
      <c r="K3759" s="174">
        <v>19056055000141</v>
      </c>
      <c r="L3759" s="173" t="s">
        <v>586</v>
      </c>
      <c r="M3759" s="173" t="s">
        <v>29</v>
      </c>
      <c r="N3759" s="173" t="s">
        <v>19</v>
      </c>
      <c r="O3759" s="87">
        <v>62</v>
      </c>
      <c r="P3759" s="173" t="s">
        <v>27</v>
      </c>
      <c r="Q3759" s="1" t="s">
        <v>1343</v>
      </c>
      <c r="R3759" s="175">
        <v>3</v>
      </c>
      <c r="S3759">
        <v>3</v>
      </c>
    </row>
    <row r="3760" spans="1:19" x14ac:dyDescent="0.25">
      <c r="A3760" s="87">
        <v>2020</v>
      </c>
      <c r="B3760" s="87">
        <v>1</v>
      </c>
      <c r="C3760" s="173" t="s">
        <v>16</v>
      </c>
      <c r="D3760" s="173" t="s">
        <v>372</v>
      </c>
      <c r="E3760" s="173" t="s">
        <v>373</v>
      </c>
      <c r="F3760" s="173" t="s">
        <v>16</v>
      </c>
      <c r="G3760" s="87" t="b">
        <v>1</v>
      </c>
      <c r="H3760" s="87" t="b">
        <v>0</v>
      </c>
      <c r="I3760" s="87" t="b">
        <v>0</v>
      </c>
      <c r="J3760" s="173" t="s">
        <v>470</v>
      </c>
      <c r="K3760" s="174">
        <v>19056055000141</v>
      </c>
      <c r="L3760" s="173" t="s">
        <v>586</v>
      </c>
      <c r="M3760" s="173" t="s">
        <v>29</v>
      </c>
      <c r="N3760" s="173" t="s">
        <v>19</v>
      </c>
      <c r="O3760" s="87">
        <v>64</v>
      </c>
      <c r="P3760" s="173" t="s">
        <v>25</v>
      </c>
      <c r="Q3760" s="1" t="s">
        <v>1344</v>
      </c>
      <c r="R3760" s="175">
        <v>4</v>
      </c>
      <c r="S3760">
        <v>4</v>
      </c>
    </row>
    <row r="3761" spans="1:19" x14ac:dyDescent="0.25">
      <c r="A3761" s="87">
        <v>2020</v>
      </c>
      <c r="B3761" s="87">
        <v>1</v>
      </c>
      <c r="C3761" s="173" t="s">
        <v>16</v>
      </c>
      <c r="D3761" s="173" t="s">
        <v>372</v>
      </c>
      <c r="E3761" s="173" t="s">
        <v>373</v>
      </c>
      <c r="F3761" s="173" t="s">
        <v>16</v>
      </c>
      <c r="G3761" s="87" t="b">
        <v>1</v>
      </c>
      <c r="H3761" s="87" t="b">
        <v>0</v>
      </c>
      <c r="I3761" s="87" t="b">
        <v>0</v>
      </c>
      <c r="J3761" s="173" t="s">
        <v>450</v>
      </c>
      <c r="K3761" s="174">
        <v>20150900000122</v>
      </c>
      <c r="L3761" s="173" t="s">
        <v>1185</v>
      </c>
      <c r="M3761" s="173" t="s">
        <v>1171</v>
      </c>
      <c r="N3761" s="173" t="s">
        <v>54</v>
      </c>
      <c r="O3761" s="87">
        <v>70</v>
      </c>
      <c r="P3761" s="173" t="s">
        <v>20</v>
      </c>
      <c r="Q3761" s="1" t="s">
        <v>1338</v>
      </c>
      <c r="R3761" s="175">
        <v>225</v>
      </c>
      <c r="S3761">
        <v>45</v>
      </c>
    </row>
    <row r="3762" spans="1:19" x14ac:dyDescent="0.25">
      <c r="A3762" s="87">
        <v>2020</v>
      </c>
      <c r="B3762" s="87">
        <v>1</v>
      </c>
      <c r="C3762" s="173" t="s">
        <v>16</v>
      </c>
      <c r="D3762" s="173" t="s">
        <v>372</v>
      </c>
      <c r="E3762" s="173" t="s">
        <v>373</v>
      </c>
      <c r="F3762" s="173" t="s">
        <v>16</v>
      </c>
      <c r="G3762" s="87" t="b">
        <v>1</v>
      </c>
      <c r="H3762" s="87" t="b">
        <v>0</v>
      </c>
      <c r="I3762" s="87" t="b">
        <v>0</v>
      </c>
      <c r="J3762" s="173" t="s">
        <v>470</v>
      </c>
      <c r="K3762" s="174">
        <v>20150900000122</v>
      </c>
      <c r="L3762" s="173" t="s">
        <v>1185</v>
      </c>
      <c r="M3762" s="173" t="s">
        <v>1171</v>
      </c>
      <c r="N3762" s="173" t="s">
        <v>54</v>
      </c>
      <c r="O3762" s="87">
        <v>73</v>
      </c>
      <c r="P3762" s="173" t="s">
        <v>26</v>
      </c>
      <c r="Q3762" s="1" t="s">
        <v>1342</v>
      </c>
      <c r="R3762" s="175">
        <v>12</v>
      </c>
      <c r="S3762">
        <v>3</v>
      </c>
    </row>
    <row r="3763" spans="1:19" x14ac:dyDescent="0.25">
      <c r="A3763" s="87">
        <v>2020</v>
      </c>
      <c r="B3763" s="87">
        <v>1</v>
      </c>
      <c r="C3763" s="173" t="s">
        <v>16</v>
      </c>
      <c r="D3763" s="173" t="s">
        <v>372</v>
      </c>
      <c r="E3763" s="173" t="s">
        <v>373</v>
      </c>
      <c r="F3763" s="173" t="s">
        <v>16</v>
      </c>
      <c r="G3763" s="87" t="b">
        <v>1</v>
      </c>
      <c r="H3763" s="87" t="b">
        <v>0</v>
      </c>
      <c r="I3763" s="87" t="b">
        <v>0</v>
      </c>
      <c r="J3763" s="173" t="s">
        <v>470</v>
      </c>
      <c r="K3763" s="174">
        <v>20150900000122</v>
      </c>
      <c r="L3763" s="173" t="s">
        <v>1185</v>
      </c>
      <c r="M3763" s="173" t="s">
        <v>1171</v>
      </c>
      <c r="N3763" s="173" t="s">
        <v>54</v>
      </c>
      <c r="O3763" s="87">
        <v>73</v>
      </c>
      <c r="P3763" s="173" t="s">
        <v>26</v>
      </c>
      <c r="Q3763" s="1" t="s">
        <v>1340</v>
      </c>
      <c r="R3763" s="175">
        <v>2</v>
      </c>
      <c r="S3763">
        <v>2</v>
      </c>
    </row>
    <row r="3764" spans="1:19" x14ac:dyDescent="0.25">
      <c r="A3764" s="87">
        <v>2020</v>
      </c>
      <c r="B3764" s="87">
        <v>1</v>
      </c>
      <c r="C3764" s="173" t="s">
        <v>16</v>
      </c>
      <c r="D3764" s="173" t="s">
        <v>372</v>
      </c>
      <c r="E3764" s="173" t="s">
        <v>373</v>
      </c>
      <c r="F3764" s="173" t="s">
        <v>16</v>
      </c>
      <c r="G3764" s="87" t="b">
        <v>1</v>
      </c>
      <c r="H3764" s="87" t="b">
        <v>0</v>
      </c>
      <c r="I3764" s="87" t="b">
        <v>0</v>
      </c>
      <c r="J3764" s="173" t="s">
        <v>450</v>
      </c>
      <c r="K3764" s="174">
        <v>20622890000180</v>
      </c>
      <c r="L3764" s="173" t="s">
        <v>1187</v>
      </c>
      <c r="M3764" s="173" t="s">
        <v>1188</v>
      </c>
      <c r="N3764" s="173" t="s">
        <v>54</v>
      </c>
      <c r="O3764" s="87">
        <v>70</v>
      </c>
      <c r="P3764" s="173" t="s">
        <v>20</v>
      </c>
      <c r="Q3764" s="1" t="s">
        <v>1338</v>
      </c>
      <c r="R3764" s="175">
        <v>175</v>
      </c>
      <c r="S3764">
        <v>35</v>
      </c>
    </row>
    <row r="3765" spans="1:19" x14ac:dyDescent="0.25">
      <c r="A3765" s="87">
        <v>2020</v>
      </c>
      <c r="B3765" s="87">
        <v>1</v>
      </c>
      <c r="C3765" s="173" t="s">
        <v>16</v>
      </c>
      <c r="D3765" s="173" t="s">
        <v>372</v>
      </c>
      <c r="E3765" s="173" t="s">
        <v>373</v>
      </c>
      <c r="F3765" s="173" t="s">
        <v>16</v>
      </c>
      <c r="G3765" s="87" t="b">
        <v>1</v>
      </c>
      <c r="H3765" s="87" t="b">
        <v>0</v>
      </c>
      <c r="I3765" s="87" t="b">
        <v>0</v>
      </c>
      <c r="J3765" s="173" t="s">
        <v>477</v>
      </c>
      <c r="K3765" s="174">
        <v>21265360000195</v>
      </c>
      <c r="L3765" s="173" t="s">
        <v>1094</v>
      </c>
      <c r="M3765" s="173" t="s">
        <v>131</v>
      </c>
      <c r="N3765" s="173" t="s">
        <v>61</v>
      </c>
      <c r="O3765" s="87">
        <v>73</v>
      </c>
      <c r="P3765" s="173" t="s">
        <v>26</v>
      </c>
      <c r="Q3765" s="1" t="s">
        <v>1342</v>
      </c>
      <c r="R3765" s="175">
        <v>12</v>
      </c>
      <c r="S3765">
        <v>3</v>
      </c>
    </row>
    <row r="3766" spans="1:19" x14ac:dyDescent="0.25">
      <c r="A3766" s="87">
        <v>2020</v>
      </c>
      <c r="B3766" s="87">
        <v>1</v>
      </c>
      <c r="C3766" s="173" t="s">
        <v>16</v>
      </c>
      <c r="D3766" s="173" t="s">
        <v>372</v>
      </c>
      <c r="E3766" s="173" t="s">
        <v>373</v>
      </c>
      <c r="F3766" s="173" t="s">
        <v>16</v>
      </c>
      <c r="G3766" s="87" t="b">
        <v>1</v>
      </c>
      <c r="H3766" s="87" t="b">
        <v>0</v>
      </c>
      <c r="I3766" s="87" t="b">
        <v>0</v>
      </c>
      <c r="J3766" s="173" t="s">
        <v>463</v>
      </c>
      <c r="K3766" s="174">
        <v>21371777000132</v>
      </c>
      <c r="L3766" s="173" t="s">
        <v>589</v>
      </c>
      <c r="M3766" s="173" t="s">
        <v>29</v>
      </c>
      <c r="N3766" s="173" t="s">
        <v>19</v>
      </c>
      <c r="O3766" s="87">
        <v>64</v>
      </c>
      <c r="P3766" s="173" t="s">
        <v>25</v>
      </c>
      <c r="Q3766" s="1" t="s">
        <v>1344</v>
      </c>
      <c r="R3766" s="175">
        <v>12</v>
      </c>
      <c r="S3766">
        <v>12</v>
      </c>
    </row>
    <row r="3767" spans="1:19" x14ac:dyDescent="0.25">
      <c r="A3767" s="87">
        <v>2020</v>
      </c>
      <c r="B3767" s="87">
        <v>1</v>
      </c>
      <c r="C3767" s="173" t="s">
        <v>16</v>
      </c>
      <c r="D3767" s="173" t="s">
        <v>372</v>
      </c>
      <c r="E3767" s="173" t="s">
        <v>373</v>
      </c>
      <c r="F3767" s="173" t="s">
        <v>16</v>
      </c>
      <c r="G3767" s="87" t="b">
        <v>1</v>
      </c>
      <c r="H3767" s="87" t="b">
        <v>0</v>
      </c>
      <c r="I3767" s="87" t="b">
        <v>0</v>
      </c>
      <c r="J3767" s="173" t="s">
        <v>491</v>
      </c>
      <c r="K3767" s="174">
        <v>21371777000132</v>
      </c>
      <c r="L3767" s="173" t="s">
        <v>589</v>
      </c>
      <c r="M3767" s="173" t="s">
        <v>29</v>
      </c>
      <c r="N3767" s="173" t="s">
        <v>19</v>
      </c>
      <c r="O3767" s="87">
        <v>64</v>
      </c>
      <c r="P3767" s="173" t="s">
        <v>25</v>
      </c>
      <c r="Q3767" s="1" t="s">
        <v>1344</v>
      </c>
      <c r="R3767" s="175">
        <v>6</v>
      </c>
      <c r="S3767">
        <v>6</v>
      </c>
    </row>
    <row r="3768" spans="1:19" x14ac:dyDescent="0.25">
      <c r="A3768" s="87">
        <v>2020</v>
      </c>
      <c r="B3768" s="87">
        <v>1</v>
      </c>
      <c r="C3768" s="173" t="s">
        <v>16</v>
      </c>
      <c r="D3768" s="173" t="s">
        <v>372</v>
      </c>
      <c r="E3768" s="173" t="s">
        <v>373</v>
      </c>
      <c r="F3768" s="173" t="s">
        <v>16</v>
      </c>
      <c r="G3768" s="87" t="b">
        <v>1</v>
      </c>
      <c r="H3768" s="87" t="b">
        <v>0</v>
      </c>
      <c r="I3768" s="87" t="b">
        <v>0</v>
      </c>
      <c r="J3768" s="173" t="s">
        <v>452</v>
      </c>
      <c r="K3768" s="174">
        <v>21998635000108</v>
      </c>
      <c r="L3768" s="173" t="s">
        <v>971</v>
      </c>
      <c r="M3768" s="173" t="s">
        <v>112</v>
      </c>
      <c r="N3768" s="173" t="s">
        <v>57</v>
      </c>
      <c r="O3768" s="87">
        <v>70</v>
      </c>
      <c r="P3768" s="173" t="s">
        <v>20</v>
      </c>
      <c r="Q3768" s="1" t="s">
        <v>1338</v>
      </c>
      <c r="R3768" s="175">
        <v>20</v>
      </c>
      <c r="S3768">
        <v>4</v>
      </c>
    </row>
    <row r="3769" spans="1:19" x14ac:dyDescent="0.25">
      <c r="A3769" s="87">
        <v>2020</v>
      </c>
      <c r="B3769" s="87">
        <v>1</v>
      </c>
      <c r="C3769" s="173" t="s">
        <v>16</v>
      </c>
      <c r="D3769" s="173" t="s">
        <v>372</v>
      </c>
      <c r="E3769" s="173" t="s">
        <v>373</v>
      </c>
      <c r="F3769" s="173" t="s">
        <v>16</v>
      </c>
      <c r="G3769" s="87" t="b">
        <v>1</v>
      </c>
      <c r="H3769" s="87" t="b">
        <v>0</v>
      </c>
      <c r="I3769" s="87" t="b">
        <v>0</v>
      </c>
      <c r="J3769" s="173" t="s">
        <v>451</v>
      </c>
      <c r="K3769" s="174">
        <v>23982118000168</v>
      </c>
      <c r="L3769" s="173" t="s">
        <v>972</v>
      </c>
      <c r="M3769" s="173" t="s">
        <v>930</v>
      </c>
      <c r="N3769" s="173" t="s">
        <v>68</v>
      </c>
      <c r="O3769" s="87">
        <v>70</v>
      </c>
      <c r="P3769" s="173" t="s">
        <v>20</v>
      </c>
      <c r="Q3769" s="1" t="s">
        <v>1338</v>
      </c>
      <c r="R3769" s="175">
        <v>315</v>
      </c>
      <c r="S3769">
        <v>63</v>
      </c>
    </row>
    <row r="3770" spans="1:19" x14ac:dyDescent="0.25">
      <c r="A3770" s="87">
        <v>2020</v>
      </c>
      <c r="B3770" s="87">
        <v>1</v>
      </c>
      <c r="C3770" s="173" t="s">
        <v>16</v>
      </c>
      <c r="D3770" s="173" t="s">
        <v>372</v>
      </c>
      <c r="E3770" s="173" t="s">
        <v>373</v>
      </c>
      <c r="F3770" s="173" t="s">
        <v>16</v>
      </c>
      <c r="G3770" s="87" t="b">
        <v>1</v>
      </c>
      <c r="H3770" s="87" t="b">
        <v>0</v>
      </c>
      <c r="I3770" s="87" t="b">
        <v>0</v>
      </c>
      <c r="J3770" s="173" t="s">
        <v>491</v>
      </c>
      <c r="K3770" s="174">
        <v>23982118000168</v>
      </c>
      <c r="L3770" s="173" t="s">
        <v>972</v>
      </c>
      <c r="M3770" s="173" t="s">
        <v>930</v>
      </c>
      <c r="N3770" s="173" t="s">
        <v>68</v>
      </c>
      <c r="O3770" s="87">
        <v>73</v>
      </c>
      <c r="P3770" s="173" t="s">
        <v>26</v>
      </c>
      <c r="Q3770" s="1" t="s">
        <v>1339</v>
      </c>
      <c r="R3770" s="175">
        <v>32</v>
      </c>
      <c r="S3770">
        <v>16</v>
      </c>
    </row>
    <row r="3771" spans="1:19" x14ac:dyDescent="0.25">
      <c r="A3771" s="87">
        <v>2020</v>
      </c>
      <c r="B3771" s="87">
        <v>1</v>
      </c>
      <c r="C3771" s="173" t="s">
        <v>16</v>
      </c>
      <c r="D3771" s="173" t="s">
        <v>372</v>
      </c>
      <c r="E3771" s="173" t="s">
        <v>373</v>
      </c>
      <c r="F3771" s="173" t="s">
        <v>16</v>
      </c>
      <c r="G3771" s="87" t="b">
        <v>1</v>
      </c>
      <c r="H3771" s="87" t="b">
        <v>0</v>
      </c>
      <c r="I3771" s="87" t="b">
        <v>0</v>
      </c>
      <c r="J3771" s="173" t="s">
        <v>477</v>
      </c>
      <c r="K3771" s="174">
        <v>24217779000160</v>
      </c>
      <c r="L3771" s="173" t="s">
        <v>1097</v>
      </c>
      <c r="M3771" s="173" t="s">
        <v>131</v>
      </c>
      <c r="N3771" s="173" t="s">
        <v>61</v>
      </c>
      <c r="O3771" s="87">
        <v>62</v>
      </c>
      <c r="P3771" s="173" t="s">
        <v>27</v>
      </c>
      <c r="Q3771" s="1" t="s">
        <v>1343</v>
      </c>
      <c r="R3771" s="175">
        <v>11</v>
      </c>
      <c r="S3771">
        <v>11</v>
      </c>
    </row>
    <row r="3772" spans="1:19" x14ac:dyDescent="0.25">
      <c r="A3772" s="87">
        <v>2020</v>
      </c>
      <c r="B3772" s="87">
        <v>1</v>
      </c>
      <c r="C3772" s="173" t="s">
        <v>16</v>
      </c>
      <c r="D3772" s="173" t="s">
        <v>372</v>
      </c>
      <c r="E3772" s="173" t="s">
        <v>373</v>
      </c>
      <c r="F3772" s="173" t="s">
        <v>16</v>
      </c>
      <c r="G3772" s="87" t="b">
        <v>1</v>
      </c>
      <c r="H3772" s="87" t="b">
        <v>0</v>
      </c>
      <c r="I3772" s="87" t="b">
        <v>0</v>
      </c>
      <c r="J3772" s="173" t="s">
        <v>455</v>
      </c>
      <c r="K3772" s="174">
        <v>24449225000279</v>
      </c>
      <c r="L3772" s="173" t="s">
        <v>1468</v>
      </c>
      <c r="M3772" s="173" t="s">
        <v>1469</v>
      </c>
      <c r="N3772" s="173" t="s">
        <v>71</v>
      </c>
      <c r="O3772" s="87">
        <v>64</v>
      </c>
      <c r="P3772" s="173" t="s">
        <v>25</v>
      </c>
      <c r="Q3772" s="1" t="s">
        <v>1344</v>
      </c>
      <c r="R3772" s="175">
        <v>1</v>
      </c>
      <c r="S3772">
        <v>1</v>
      </c>
    </row>
    <row r="3773" spans="1:19" x14ac:dyDescent="0.25">
      <c r="A3773" s="87">
        <v>2020</v>
      </c>
      <c r="B3773" s="87">
        <v>1</v>
      </c>
      <c r="C3773" s="173" t="s">
        <v>16</v>
      </c>
      <c r="D3773" s="173" t="s">
        <v>372</v>
      </c>
      <c r="E3773" s="173" t="s">
        <v>373</v>
      </c>
      <c r="F3773" s="173" t="s">
        <v>16</v>
      </c>
      <c r="G3773" s="87" t="b">
        <v>1</v>
      </c>
      <c r="H3773" s="87" t="b">
        <v>0</v>
      </c>
      <c r="I3773" s="87" t="b">
        <v>0</v>
      </c>
      <c r="J3773" s="173" t="s">
        <v>450</v>
      </c>
      <c r="K3773" s="174">
        <v>25415993000193</v>
      </c>
      <c r="L3773" s="173" t="s">
        <v>1200</v>
      </c>
      <c r="M3773" s="173" t="s">
        <v>88</v>
      </c>
      <c r="N3773" s="173" t="s">
        <v>54</v>
      </c>
      <c r="O3773" s="87">
        <v>62</v>
      </c>
      <c r="P3773" s="173" t="s">
        <v>27</v>
      </c>
      <c r="Q3773" s="1" t="s">
        <v>1343</v>
      </c>
      <c r="R3773" s="175">
        <v>4</v>
      </c>
      <c r="S3773">
        <v>4</v>
      </c>
    </row>
    <row r="3774" spans="1:19" x14ac:dyDescent="0.25">
      <c r="A3774" s="87">
        <v>2020</v>
      </c>
      <c r="B3774" s="87">
        <v>1</v>
      </c>
      <c r="C3774" s="173" t="s">
        <v>16</v>
      </c>
      <c r="D3774" s="173" t="s">
        <v>372</v>
      </c>
      <c r="E3774" s="173" t="s">
        <v>373</v>
      </c>
      <c r="F3774" s="173" t="s">
        <v>16</v>
      </c>
      <c r="G3774" s="87" t="b">
        <v>1</v>
      </c>
      <c r="H3774" s="87" t="b">
        <v>0</v>
      </c>
      <c r="I3774" s="87" t="b">
        <v>0</v>
      </c>
      <c r="J3774" s="173" t="s">
        <v>1330</v>
      </c>
      <c r="K3774" s="174">
        <v>25648387000207</v>
      </c>
      <c r="L3774" s="173" t="s">
        <v>1201</v>
      </c>
      <c r="M3774" s="173" t="s">
        <v>1171</v>
      </c>
      <c r="N3774" s="173" t="s">
        <v>54</v>
      </c>
      <c r="O3774" s="87">
        <v>70</v>
      </c>
      <c r="P3774" s="173" t="s">
        <v>20</v>
      </c>
      <c r="Q3774" s="1" t="s">
        <v>1338</v>
      </c>
      <c r="R3774" s="175">
        <v>200</v>
      </c>
      <c r="S3774">
        <v>40</v>
      </c>
    </row>
    <row r="3775" spans="1:19" x14ac:dyDescent="0.25">
      <c r="A3775" s="87">
        <v>2020</v>
      </c>
      <c r="B3775" s="87">
        <v>1</v>
      </c>
      <c r="C3775" s="173" t="s">
        <v>16</v>
      </c>
      <c r="D3775" s="173" t="s">
        <v>372</v>
      </c>
      <c r="E3775" s="173" t="s">
        <v>373</v>
      </c>
      <c r="F3775" s="173" t="s">
        <v>16</v>
      </c>
      <c r="G3775" s="87" t="b">
        <v>1</v>
      </c>
      <c r="H3775" s="87" t="b">
        <v>0</v>
      </c>
      <c r="I3775" s="87" t="b">
        <v>0</v>
      </c>
      <c r="J3775" s="173" t="s">
        <v>450</v>
      </c>
      <c r="K3775" s="174">
        <v>25761040000187</v>
      </c>
      <c r="L3775" s="173" t="s">
        <v>1202</v>
      </c>
      <c r="M3775" s="173" t="s">
        <v>1171</v>
      </c>
      <c r="N3775" s="173" t="s">
        <v>54</v>
      </c>
      <c r="O3775" s="87">
        <v>62</v>
      </c>
      <c r="P3775" s="173" t="s">
        <v>27</v>
      </c>
      <c r="Q3775" s="1" t="s">
        <v>1343</v>
      </c>
      <c r="R3775" s="175">
        <v>3</v>
      </c>
      <c r="S3775">
        <v>3</v>
      </c>
    </row>
    <row r="3776" spans="1:19" x14ac:dyDescent="0.25">
      <c r="A3776" s="87">
        <v>2020</v>
      </c>
      <c r="B3776" s="87">
        <v>1</v>
      </c>
      <c r="C3776" s="173" t="s">
        <v>16</v>
      </c>
      <c r="D3776" s="173" t="s">
        <v>372</v>
      </c>
      <c r="E3776" s="173" t="s">
        <v>373</v>
      </c>
      <c r="F3776" s="173" t="s">
        <v>16</v>
      </c>
      <c r="G3776" s="87" t="b">
        <v>1</v>
      </c>
      <c r="H3776" s="87" t="b">
        <v>0</v>
      </c>
      <c r="I3776" s="87" t="b">
        <v>0</v>
      </c>
      <c r="J3776" s="173" t="s">
        <v>451</v>
      </c>
      <c r="K3776" s="174">
        <v>26645426000196</v>
      </c>
      <c r="L3776" s="173" t="s">
        <v>1470</v>
      </c>
      <c r="M3776" s="173" t="s">
        <v>1471</v>
      </c>
      <c r="N3776" s="173" t="s">
        <v>54</v>
      </c>
      <c r="O3776" s="87">
        <v>70</v>
      </c>
      <c r="P3776" s="173" t="s">
        <v>20</v>
      </c>
      <c r="Q3776" s="1" t="s">
        <v>1338</v>
      </c>
      <c r="R3776" s="175">
        <v>170</v>
      </c>
      <c r="S3776">
        <v>34</v>
      </c>
    </row>
    <row r="3777" spans="1:19" x14ac:dyDescent="0.25">
      <c r="A3777" s="87">
        <v>2020</v>
      </c>
      <c r="B3777" s="87">
        <v>1</v>
      </c>
      <c r="C3777" s="173" t="s">
        <v>16</v>
      </c>
      <c r="D3777" s="173" t="s">
        <v>372</v>
      </c>
      <c r="E3777" s="173" t="s">
        <v>373</v>
      </c>
      <c r="F3777" s="173" t="s">
        <v>16</v>
      </c>
      <c r="G3777" s="87" t="b">
        <v>1</v>
      </c>
      <c r="H3777" s="87" t="b">
        <v>0</v>
      </c>
      <c r="I3777" s="87" t="b">
        <v>0</v>
      </c>
      <c r="J3777" s="173" t="s">
        <v>1330</v>
      </c>
      <c r="K3777" s="174">
        <v>27080605000609</v>
      </c>
      <c r="L3777" s="173" t="s">
        <v>1472</v>
      </c>
      <c r="M3777" s="173" t="s">
        <v>1473</v>
      </c>
      <c r="N3777" s="173" t="s">
        <v>98</v>
      </c>
      <c r="O3777" s="87">
        <v>70</v>
      </c>
      <c r="P3777" s="173" t="s">
        <v>20</v>
      </c>
      <c r="Q3777" s="1" t="s">
        <v>1338</v>
      </c>
      <c r="R3777" s="175">
        <v>100</v>
      </c>
      <c r="S3777">
        <v>20</v>
      </c>
    </row>
    <row r="3778" spans="1:19" x14ac:dyDescent="0.25">
      <c r="A3778" s="87">
        <v>2020</v>
      </c>
      <c r="B3778" s="87">
        <v>1</v>
      </c>
      <c r="C3778" s="173" t="s">
        <v>16</v>
      </c>
      <c r="D3778" s="173" t="s">
        <v>372</v>
      </c>
      <c r="E3778" s="173" t="s">
        <v>373</v>
      </c>
      <c r="F3778" s="173" t="s">
        <v>16</v>
      </c>
      <c r="G3778" s="87" t="b">
        <v>1</v>
      </c>
      <c r="H3778" s="87" t="b">
        <v>0</v>
      </c>
      <c r="I3778" s="87" t="b">
        <v>0</v>
      </c>
      <c r="J3778" s="173" t="s">
        <v>1330</v>
      </c>
      <c r="K3778" s="174">
        <v>27080605002059</v>
      </c>
      <c r="L3778" s="173" t="s">
        <v>1474</v>
      </c>
      <c r="M3778" s="173" t="s">
        <v>1157</v>
      </c>
      <c r="N3778" s="173" t="s">
        <v>98</v>
      </c>
      <c r="O3778" s="87">
        <v>70</v>
      </c>
      <c r="P3778" s="173" t="s">
        <v>20</v>
      </c>
      <c r="Q3778" s="1" t="s">
        <v>1338</v>
      </c>
      <c r="R3778" s="175">
        <v>50</v>
      </c>
      <c r="S3778">
        <v>10</v>
      </c>
    </row>
    <row r="3779" spans="1:19" x14ac:dyDescent="0.25">
      <c r="A3779" s="87">
        <v>2020</v>
      </c>
      <c r="B3779" s="87">
        <v>1</v>
      </c>
      <c r="C3779" s="173" t="s">
        <v>16</v>
      </c>
      <c r="D3779" s="173" t="s">
        <v>372</v>
      </c>
      <c r="E3779" s="173" t="s">
        <v>373</v>
      </c>
      <c r="F3779" s="173" t="s">
        <v>16</v>
      </c>
      <c r="G3779" s="87" t="b">
        <v>1</v>
      </c>
      <c r="H3779" s="87" t="b">
        <v>0</v>
      </c>
      <c r="I3779" s="87" t="b">
        <v>0</v>
      </c>
      <c r="J3779" s="173" t="s">
        <v>491</v>
      </c>
      <c r="K3779" s="174">
        <v>27372066000169</v>
      </c>
      <c r="L3779" s="173" t="s">
        <v>908</v>
      </c>
      <c r="M3779" s="173" t="s">
        <v>75</v>
      </c>
      <c r="N3779" s="173" t="s">
        <v>74</v>
      </c>
      <c r="O3779" s="87">
        <v>62</v>
      </c>
      <c r="P3779" s="173" t="s">
        <v>27</v>
      </c>
      <c r="Q3779" s="1" t="s">
        <v>1343</v>
      </c>
      <c r="R3779" s="175">
        <v>18</v>
      </c>
      <c r="S3779">
        <v>18</v>
      </c>
    </row>
    <row r="3780" spans="1:19" x14ac:dyDescent="0.25">
      <c r="A3780" s="87">
        <v>2020</v>
      </c>
      <c r="B3780" s="87">
        <v>1</v>
      </c>
      <c r="C3780" s="173" t="s">
        <v>16</v>
      </c>
      <c r="D3780" s="173" t="s">
        <v>372</v>
      </c>
      <c r="E3780" s="173" t="s">
        <v>373</v>
      </c>
      <c r="F3780" s="173" t="s">
        <v>16</v>
      </c>
      <c r="G3780" s="87" t="b">
        <v>1</v>
      </c>
      <c r="H3780" s="87" t="b">
        <v>0</v>
      </c>
      <c r="I3780" s="87" t="b">
        <v>0</v>
      </c>
      <c r="J3780" s="173" t="s">
        <v>491</v>
      </c>
      <c r="K3780" s="174">
        <v>27372066000169</v>
      </c>
      <c r="L3780" s="173" t="s">
        <v>908</v>
      </c>
      <c r="M3780" s="173" t="s">
        <v>75</v>
      </c>
      <c r="N3780" s="173" t="s">
        <v>74</v>
      </c>
      <c r="O3780" s="87">
        <v>64</v>
      </c>
      <c r="P3780" s="173" t="s">
        <v>25</v>
      </c>
      <c r="Q3780" s="1" t="s">
        <v>1344</v>
      </c>
      <c r="R3780" s="175">
        <v>39</v>
      </c>
      <c r="S3780">
        <v>39</v>
      </c>
    </row>
    <row r="3781" spans="1:19" x14ac:dyDescent="0.25">
      <c r="A3781" s="87">
        <v>2020</v>
      </c>
      <c r="B3781" s="87">
        <v>1</v>
      </c>
      <c r="C3781" s="173" t="s">
        <v>16</v>
      </c>
      <c r="D3781" s="173" t="s">
        <v>372</v>
      </c>
      <c r="E3781" s="173" t="s">
        <v>373</v>
      </c>
      <c r="F3781" s="173" t="s">
        <v>16</v>
      </c>
      <c r="G3781" s="87" t="b">
        <v>1</v>
      </c>
      <c r="H3781" s="87" t="b">
        <v>0</v>
      </c>
      <c r="I3781" s="87" t="b">
        <v>0</v>
      </c>
      <c r="J3781" s="173" t="s">
        <v>492</v>
      </c>
      <c r="K3781" s="174">
        <v>27578434001525</v>
      </c>
      <c r="L3781" s="173" t="s">
        <v>1208</v>
      </c>
      <c r="M3781" s="173" t="s">
        <v>1157</v>
      </c>
      <c r="N3781" s="173" t="s">
        <v>98</v>
      </c>
      <c r="O3781" s="87">
        <v>70</v>
      </c>
      <c r="P3781" s="173" t="s">
        <v>20</v>
      </c>
      <c r="Q3781" s="1" t="s">
        <v>1338</v>
      </c>
      <c r="R3781" s="175">
        <v>1500</v>
      </c>
      <c r="S3781">
        <v>300</v>
      </c>
    </row>
    <row r="3782" spans="1:19" x14ac:dyDescent="0.25">
      <c r="A3782" s="87">
        <v>2020</v>
      </c>
      <c r="B3782" s="87">
        <v>1</v>
      </c>
      <c r="C3782" s="173" t="s">
        <v>16</v>
      </c>
      <c r="D3782" s="173" t="s">
        <v>372</v>
      </c>
      <c r="E3782" s="173" t="s">
        <v>373</v>
      </c>
      <c r="F3782" s="173" t="s">
        <v>16</v>
      </c>
      <c r="G3782" s="87" t="b">
        <v>1</v>
      </c>
      <c r="H3782" s="87" t="b">
        <v>0</v>
      </c>
      <c r="I3782" s="87" t="b">
        <v>0</v>
      </c>
      <c r="J3782" s="173" t="s">
        <v>491</v>
      </c>
      <c r="K3782" s="174">
        <v>27901222000131</v>
      </c>
      <c r="L3782" s="173" t="s">
        <v>1098</v>
      </c>
      <c r="M3782" s="173" t="s">
        <v>131</v>
      </c>
      <c r="N3782" s="173" t="s">
        <v>61</v>
      </c>
      <c r="O3782" s="87">
        <v>64</v>
      </c>
      <c r="P3782" s="173" t="s">
        <v>25</v>
      </c>
      <c r="Q3782" s="1" t="s">
        <v>1344</v>
      </c>
      <c r="R3782" s="175">
        <v>10</v>
      </c>
      <c r="S3782">
        <v>10</v>
      </c>
    </row>
    <row r="3783" spans="1:19" x14ac:dyDescent="0.25">
      <c r="A3783" s="87">
        <v>2020</v>
      </c>
      <c r="B3783" s="87">
        <v>1</v>
      </c>
      <c r="C3783" s="173" t="s">
        <v>16</v>
      </c>
      <c r="D3783" s="173" t="s">
        <v>372</v>
      </c>
      <c r="E3783" s="173" t="s">
        <v>373</v>
      </c>
      <c r="F3783" s="173" t="s">
        <v>16</v>
      </c>
      <c r="G3783" s="87" t="b">
        <v>1</v>
      </c>
      <c r="H3783" s="87" t="b">
        <v>0</v>
      </c>
      <c r="I3783" s="87" t="b">
        <v>0</v>
      </c>
      <c r="J3783" s="173" t="s">
        <v>491</v>
      </c>
      <c r="K3783" s="174">
        <v>28000107000159</v>
      </c>
      <c r="L3783" s="173" t="s">
        <v>1099</v>
      </c>
      <c r="M3783" s="173" t="s">
        <v>131</v>
      </c>
      <c r="N3783" s="173" t="s">
        <v>61</v>
      </c>
      <c r="O3783" s="87">
        <v>70</v>
      </c>
      <c r="P3783" s="173" t="s">
        <v>20</v>
      </c>
      <c r="Q3783" s="1" t="s">
        <v>1338</v>
      </c>
      <c r="R3783" s="175">
        <v>90</v>
      </c>
      <c r="S3783">
        <v>18</v>
      </c>
    </row>
    <row r="3784" spans="1:19" x14ac:dyDescent="0.25">
      <c r="A3784" s="87">
        <v>2020</v>
      </c>
      <c r="B3784" s="87">
        <v>1</v>
      </c>
      <c r="C3784" s="173" t="s">
        <v>16</v>
      </c>
      <c r="D3784" s="173" t="s">
        <v>372</v>
      </c>
      <c r="E3784" s="173" t="s">
        <v>373</v>
      </c>
      <c r="F3784" s="173" t="s">
        <v>16</v>
      </c>
      <c r="G3784" s="87" t="b">
        <v>1</v>
      </c>
      <c r="H3784" s="87" t="b">
        <v>0</v>
      </c>
      <c r="I3784" s="87" t="b">
        <v>0</v>
      </c>
      <c r="J3784" s="173" t="s">
        <v>451</v>
      </c>
      <c r="K3784" s="174">
        <v>28000107000159</v>
      </c>
      <c r="L3784" s="173" t="s">
        <v>1099</v>
      </c>
      <c r="M3784" s="173" t="s">
        <v>131</v>
      </c>
      <c r="N3784" s="173" t="s">
        <v>61</v>
      </c>
      <c r="O3784" s="87">
        <v>73</v>
      </c>
      <c r="P3784" s="173" t="s">
        <v>26</v>
      </c>
      <c r="Q3784" s="1" t="s">
        <v>1339</v>
      </c>
      <c r="R3784" s="175">
        <v>4</v>
      </c>
      <c r="S3784">
        <v>2</v>
      </c>
    </row>
    <row r="3785" spans="1:19" x14ac:dyDescent="0.25">
      <c r="A3785" s="87">
        <v>2020</v>
      </c>
      <c r="B3785" s="87">
        <v>1</v>
      </c>
      <c r="C3785" s="173" t="s">
        <v>16</v>
      </c>
      <c r="D3785" s="173" t="s">
        <v>372</v>
      </c>
      <c r="E3785" s="173" t="s">
        <v>373</v>
      </c>
      <c r="F3785" s="173" t="s">
        <v>16</v>
      </c>
      <c r="G3785" s="87" t="b">
        <v>1</v>
      </c>
      <c r="H3785" s="87" t="b">
        <v>0</v>
      </c>
      <c r="I3785" s="87" t="b">
        <v>0</v>
      </c>
      <c r="J3785" s="173" t="s">
        <v>451</v>
      </c>
      <c r="K3785" s="174">
        <v>28000107000159</v>
      </c>
      <c r="L3785" s="173" t="s">
        <v>1099</v>
      </c>
      <c r="M3785" s="173" t="s">
        <v>131</v>
      </c>
      <c r="N3785" s="173" t="s">
        <v>61</v>
      </c>
      <c r="O3785" s="87">
        <v>73</v>
      </c>
      <c r="P3785" s="173" t="s">
        <v>26</v>
      </c>
      <c r="Q3785" s="1" t="s">
        <v>1342</v>
      </c>
      <c r="R3785" s="175">
        <v>60</v>
      </c>
      <c r="S3785">
        <v>15</v>
      </c>
    </row>
    <row r="3786" spans="1:19" x14ac:dyDescent="0.25">
      <c r="A3786" s="87">
        <v>2020</v>
      </c>
      <c r="B3786" s="87">
        <v>1</v>
      </c>
      <c r="C3786" s="173" t="s">
        <v>16</v>
      </c>
      <c r="D3786" s="173" t="s">
        <v>372</v>
      </c>
      <c r="E3786" s="173" t="s">
        <v>373</v>
      </c>
      <c r="F3786" s="173" t="s">
        <v>16</v>
      </c>
      <c r="G3786" s="87" t="b">
        <v>1</v>
      </c>
      <c r="H3786" s="87" t="b">
        <v>0</v>
      </c>
      <c r="I3786" s="87" t="b">
        <v>0</v>
      </c>
      <c r="J3786" s="173" t="s">
        <v>478</v>
      </c>
      <c r="K3786" s="174">
        <v>28137925000106</v>
      </c>
      <c r="L3786" s="173" t="s">
        <v>1210</v>
      </c>
      <c r="M3786" s="173" t="s">
        <v>1157</v>
      </c>
      <c r="N3786" s="173" t="s">
        <v>98</v>
      </c>
      <c r="O3786" s="87">
        <v>70</v>
      </c>
      <c r="P3786" s="173" t="s">
        <v>20</v>
      </c>
      <c r="Q3786" s="1" t="s">
        <v>1338</v>
      </c>
      <c r="R3786" s="175">
        <v>35</v>
      </c>
      <c r="S3786">
        <v>7</v>
      </c>
    </row>
    <row r="3787" spans="1:19" x14ac:dyDescent="0.25">
      <c r="A3787" s="87">
        <v>2020</v>
      </c>
      <c r="B3787" s="87">
        <v>1</v>
      </c>
      <c r="C3787" s="173" t="s">
        <v>16</v>
      </c>
      <c r="D3787" s="173" t="s">
        <v>372</v>
      </c>
      <c r="E3787" s="173" t="s">
        <v>373</v>
      </c>
      <c r="F3787" s="173" t="s">
        <v>16</v>
      </c>
      <c r="G3787" s="87" t="b">
        <v>1</v>
      </c>
      <c r="H3787" s="87" t="b">
        <v>0</v>
      </c>
      <c r="I3787" s="87" t="b">
        <v>0</v>
      </c>
      <c r="J3787" s="173" t="s">
        <v>468</v>
      </c>
      <c r="K3787" s="174">
        <v>28290788000307</v>
      </c>
      <c r="L3787" s="173" t="s">
        <v>592</v>
      </c>
      <c r="M3787" s="173" t="s">
        <v>29</v>
      </c>
      <c r="N3787" s="173" t="s">
        <v>19</v>
      </c>
      <c r="O3787" s="87">
        <v>70</v>
      </c>
      <c r="P3787" s="173" t="s">
        <v>20</v>
      </c>
      <c r="Q3787" s="1" t="s">
        <v>1338</v>
      </c>
      <c r="R3787" s="175">
        <v>135</v>
      </c>
      <c r="S3787">
        <v>27</v>
      </c>
    </row>
    <row r="3788" spans="1:19" x14ac:dyDescent="0.25">
      <c r="A3788" s="87">
        <v>2020</v>
      </c>
      <c r="B3788" s="87">
        <v>1</v>
      </c>
      <c r="C3788" s="173" t="s">
        <v>16</v>
      </c>
      <c r="D3788" s="173" t="s">
        <v>372</v>
      </c>
      <c r="E3788" s="173" t="s">
        <v>373</v>
      </c>
      <c r="F3788" s="173" t="s">
        <v>16</v>
      </c>
      <c r="G3788" s="87" t="b">
        <v>1</v>
      </c>
      <c r="H3788" s="87" t="b">
        <v>0</v>
      </c>
      <c r="I3788" s="87" t="b">
        <v>0</v>
      </c>
      <c r="J3788" s="173" t="s">
        <v>491</v>
      </c>
      <c r="K3788" s="174">
        <v>28290788000307</v>
      </c>
      <c r="L3788" s="173" t="s">
        <v>592</v>
      </c>
      <c r="M3788" s="173" t="s">
        <v>29</v>
      </c>
      <c r="N3788" s="173" t="s">
        <v>19</v>
      </c>
      <c r="O3788" s="87">
        <v>70</v>
      </c>
      <c r="P3788" s="173" t="s">
        <v>20</v>
      </c>
      <c r="Q3788" s="1" t="s">
        <v>1338</v>
      </c>
      <c r="R3788" s="175">
        <v>185</v>
      </c>
      <c r="S3788">
        <v>37</v>
      </c>
    </row>
    <row r="3789" spans="1:19" x14ac:dyDescent="0.25">
      <c r="A3789" s="87">
        <v>2020</v>
      </c>
      <c r="B3789" s="87">
        <v>1</v>
      </c>
      <c r="C3789" s="173" t="s">
        <v>16</v>
      </c>
      <c r="D3789" s="173" t="s">
        <v>372</v>
      </c>
      <c r="E3789" s="173" t="s">
        <v>373</v>
      </c>
      <c r="F3789" s="173" t="s">
        <v>16</v>
      </c>
      <c r="G3789" s="87" t="b">
        <v>1</v>
      </c>
      <c r="H3789" s="87" t="b">
        <v>0</v>
      </c>
      <c r="I3789" s="87" t="b">
        <v>0</v>
      </c>
      <c r="J3789" s="173" t="s">
        <v>477</v>
      </c>
      <c r="K3789" s="174">
        <v>28602407000108</v>
      </c>
      <c r="L3789" s="173" t="s">
        <v>1100</v>
      </c>
      <c r="M3789" s="173" t="s">
        <v>131</v>
      </c>
      <c r="N3789" s="173" t="s">
        <v>61</v>
      </c>
      <c r="O3789" s="87">
        <v>73</v>
      </c>
      <c r="P3789" s="173" t="s">
        <v>26</v>
      </c>
      <c r="Q3789" s="1" t="s">
        <v>1339</v>
      </c>
      <c r="R3789" s="175">
        <v>2</v>
      </c>
      <c r="S3789">
        <v>1</v>
      </c>
    </row>
    <row r="3790" spans="1:19" x14ac:dyDescent="0.25">
      <c r="A3790" s="87">
        <v>2020</v>
      </c>
      <c r="B3790" s="87">
        <v>1</v>
      </c>
      <c r="C3790" s="173" t="s">
        <v>16</v>
      </c>
      <c r="D3790" s="173" t="s">
        <v>372</v>
      </c>
      <c r="E3790" s="173" t="s">
        <v>373</v>
      </c>
      <c r="F3790" s="173" t="s">
        <v>16</v>
      </c>
      <c r="G3790" s="87" t="b">
        <v>1</v>
      </c>
      <c r="H3790" s="87" t="b">
        <v>0</v>
      </c>
      <c r="I3790" s="87" t="b">
        <v>0</v>
      </c>
      <c r="J3790" s="173" t="s">
        <v>477</v>
      </c>
      <c r="K3790" s="174">
        <v>28806545000532</v>
      </c>
      <c r="L3790" s="173" t="s">
        <v>1050</v>
      </c>
      <c r="M3790" s="173" t="s">
        <v>1051</v>
      </c>
      <c r="N3790" s="173" t="s">
        <v>61</v>
      </c>
      <c r="O3790" s="87">
        <v>73</v>
      </c>
      <c r="P3790" s="173" t="s">
        <v>26</v>
      </c>
      <c r="Q3790" s="1" t="s">
        <v>1342</v>
      </c>
      <c r="R3790" s="175">
        <v>36</v>
      </c>
      <c r="S3790">
        <v>9</v>
      </c>
    </row>
    <row r="3791" spans="1:19" x14ac:dyDescent="0.25">
      <c r="A3791" s="87">
        <v>2020</v>
      </c>
      <c r="B3791" s="87">
        <v>1</v>
      </c>
      <c r="C3791" s="173" t="s">
        <v>16</v>
      </c>
      <c r="D3791" s="173" t="s">
        <v>372</v>
      </c>
      <c r="E3791" s="173" t="s">
        <v>373</v>
      </c>
      <c r="F3791" s="173" t="s">
        <v>16</v>
      </c>
      <c r="G3791" s="87" t="b">
        <v>1</v>
      </c>
      <c r="H3791" s="87" t="b">
        <v>0</v>
      </c>
      <c r="I3791" s="87" t="b">
        <v>0</v>
      </c>
      <c r="J3791" s="173" t="s">
        <v>477</v>
      </c>
      <c r="K3791" s="174">
        <v>29135795000208</v>
      </c>
      <c r="L3791" s="173" t="s">
        <v>1053</v>
      </c>
      <c r="M3791" s="173" t="s">
        <v>120</v>
      </c>
      <c r="N3791" s="173" t="s">
        <v>61</v>
      </c>
      <c r="O3791" s="87">
        <v>70</v>
      </c>
      <c r="P3791" s="173" t="s">
        <v>20</v>
      </c>
      <c r="Q3791" s="1" t="s">
        <v>1338</v>
      </c>
      <c r="R3791" s="175">
        <v>150</v>
      </c>
      <c r="S3791">
        <v>30</v>
      </c>
    </row>
    <row r="3792" spans="1:19" x14ac:dyDescent="0.25">
      <c r="A3792" s="87">
        <v>2020</v>
      </c>
      <c r="B3792" s="87">
        <v>1</v>
      </c>
      <c r="C3792" s="173" t="s">
        <v>16</v>
      </c>
      <c r="D3792" s="173" t="s">
        <v>372</v>
      </c>
      <c r="E3792" s="173" t="s">
        <v>373</v>
      </c>
      <c r="F3792" s="173" t="s">
        <v>16</v>
      </c>
      <c r="G3792" s="87" t="b">
        <v>1</v>
      </c>
      <c r="H3792" s="87" t="b">
        <v>0</v>
      </c>
      <c r="I3792" s="87" t="b">
        <v>0</v>
      </c>
      <c r="J3792" s="173" t="s">
        <v>477</v>
      </c>
      <c r="K3792" s="174">
        <v>29259736000403</v>
      </c>
      <c r="L3792" s="173" t="s">
        <v>1101</v>
      </c>
      <c r="M3792" s="173" t="s">
        <v>131</v>
      </c>
      <c r="N3792" s="173" t="s">
        <v>61</v>
      </c>
      <c r="O3792" s="87">
        <v>73</v>
      </c>
      <c r="P3792" s="173" t="s">
        <v>26</v>
      </c>
      <c r="Q3792" s="1" t="s">
        <v>1340</v>
      </c>
      <c r="R3792" s="175">
        <v>2</v>
      </c>
      <c r="S3792">
        <v>2</v>
      </c>
    </row>
    <row r="3793" spans="1:19" x14ac:dyDescent="0.25">
      <c r="A3793" s="87">
        <v>2020</v>
      </c>
      <c r="B3793" s="87">
        <v>1</v>
      </c>
      <c r="C3793" s="173" t="s">
        <v>16</v>
      </c>
      <c r="D3793" s="173" t="s">
        <v>372</v>
      </c>
      <c r="E3793" s="173" t="s">
        <v>373</v>
      </c>
      <c r="F3793" s="173" t="s">
        <v>16</v>
      </c>
      <c r="G3793" s="87" t="b">
        <v>1</v>
      </c>
      <c r="H3793" s="87" t="b">
        <v>0</v>
      </c>
      <c r="I3793" s="87" t="b">
        <v>0</v>
      </c>
      <c r="J3793" s="173" t="s">
        <v>451</v>
      </c>
      <c r="K3793" s="174">
        <v>29259736000403</v>
      </c>
      <c r="L3793" s="173" t="s">
        <v>1101</v>
      </c>
      <c r="M3793" s="173" t="s">
        <v>131</v>
      </c>
      <c r="N3793" s="173" t="s">
        <v>61</v>
      </c>
      <c r="O3793" s="87">
        <v>73</v>
      </c>
      <c r="P3793" s="173" t="s">
        <v>26</v>
      </c>
      <c r="Q3793" s="1" t="s">
        <v>1342</v>
      </c>
      <c r="R3793" s="175">
        <v>32</v>
      </c>
      <c r="S3793">
        <v>8</v>
      </c>
    </row>
    <row r="3794" spans="1:19" x14ac:dyDescent="0.25">
      <c r="A3794" s="87">
        <v>2020</v>
      </c>
      <c r="B3794" s="87">
        <v>1</v>
      </c>
      <c r="C3794" s="173" t="s">
        <v>16</v>
      </c>
      <c r="D3794" s="173" t="s">
        <v>372</v>
      </c>
      <c r="E3794" s="173" t="s">
        <v>373</v>
      </c>
      <c r="F3794" s="173" t="s">
        <v>16</v>
      </c>
      <c r="G3794" s="87" t="b">
        <v>1</v>
      </c>
      <c r="H3794" s="87" t="b">
        <v>0</v>
      </c>
      <c r="I3794" s="87" t="b">
        <v>0</v>
      </c>
      <c r="J3794" s="173" t="s">
        <v>451</v>
      </c>
      <c r="K3794" s="174">
        <v>29259736000403</v>
      </c>
      <c r="L3794" s="173" t="s">
        <v>1101</v>
      </c>
      <c r="M3794" s="173" t="s">
        <v>131</v>
      </c>
      <c r="N3794" s="173" t="s">
        <v>61</v>
      </c>
      <c r="O3794" s="87">
        <v>73</v>
      </c>
      <c r="P3794" s="173" t="s">
        <v>26</v>
      </c>
      <c r="Q3794" s="1" t="s">
        <v>1340</v>
      </c>
      <c r="R3794" s="175">
        <v>18</v>
      </c>
      <c r="S3794">
        <v>18</v>
      </c>
    </row>
    <row r="3795" spans="1:19" x14ac:dyDescent="0.25">
      <c r="A3795" s="87">
        <v>2020</v>
      </c>
      <c r="B3795" s="87">
        <v>1</v>
      </c>
      <c r="C3795" s="173" t="s">
        <v>16</v>
      </c>
      <c r="D3795" s="173" t="s">
        <v>372</v>
      </c>
      <c r="E3795" s="173" t="s">
        <v>373</v>
      </c>
      <c r="F3795" s="173" t="s">
        <v>16</v>
      </c>
      <c r="G3795" s="87" t="b">
        <v>1</v>
      </c>
      <c r="H3795" s="87" t="b">
        <v>0</v>
      </c>
      <c r="I3795" s="87" t="b">
        <v>0</v>
      </c>
      <c r="J3795" s="173" t="s">
        <v>455</v>
      </c>
      <c r="K3795" s="174">
        <v>29323454000185</v>
      </c>
      <c r="L3795" s="173" t="s">
        <v>1211</v>
      </c>
      <c r="M3795" s="173" t="s">
        <v>543</v>
      </c>
      <c r="N3795" s="173" t="s">
        <v>98</v>
      </c>
      <c r="O3795" s="87">
        <v>70</v>
      </c>
      <c r="P3795" s="173" t="s">
        <v>20</v>
      </c>
      <c r="Q3795" s="1" t="s">
        <v>1338</v>
      </c>
      <c r="R3795" s="175">
        <v>200</v>
      </c>
      <c r="S3795">
        <v>40</v>
      </c>
    </row>
    <row r="3796" spans="1:19" x14ac:dyDescent="0.25">
      <c r="A3796" s="87">
        <v>2020</v>
      </c>
      <c r="B3796" s="87">
        <v>1</v>
      </c>
      <c r="C3796" s="173" t="s">
        <v>16</v>
      </c>
      <c r="D3796" s="173" t="s">
        <v>372</v>
      </c>
      <c r="E3796" s="173" t="s">
        <v>373</v>
      </c>
      <c r="F3796" s="173" t="s">
        <v>16</v>
      </c>
      <c r="G3796" s="87" t="b">
        <v>1</v>
      </c>
      <c r="H3796" s="87" t="b">
        <v>0</v>
      </c>
      <c r="I3796" s="87" t="b">
        <v>0</v>
      </c>
      <c r="J3796" s="173" t="s">
        <v>470</v>
      </c>
      <c r="K3796" s="174">
        <v>29435005002687</v>
      </c>
      <c r="L3796" s="173" t="s">
        <v>593</v>
      </c>
      <c r="M3796" s="173" t="s">
        <v>29</v>
      </c>
      <c r="N3796" s="173" t="s">
        <v>19</v>
      </c>
      <c r="O3796" s="87">
        <v>64</v>
      </c>
      <c r="P3796" s="173" t="s">
        <v>25</v>
      </c>
      <c r="Q3796" s="1" t="s">
        <v>1344</v>
      </c>
      <c r="R3796" s="175">
        <v>10</v>
      </c>
      <c r="S3796">
        <v>10</v>
      </c>
    </row>
    <row r="3797" spans="1:19" x14ac:dyDescent="0.25">
      <c r="A3797" s="87">
        <v>2020</v>
      </c>
      <c r="B3797" s="87">
        <v>1</v>
      </c>
      <c r="C3797" s="173" t="s">
        <v>16</v>
      </c>
      <c r="D3797" s="173" t="s">
        <v>372</v>
      </c>
      <c r="E3797" s="173" t="s">
        <v>373</v>
      </c>
      <c r="F3797" s="173" t="s">
        <v>16</v>
      </c>
      <c r="G3797" s="87" t="b">
        <v>1</v>
      </c>
      <c r="H3797" s="87" t="b">
        <v>0</v>
      </c>
      <c r="I3797" s="87" t="b">
        <v>0</v>
      </c>
      <c r="J3797" s="173" t="s">
        <v>470</v>
      </c>
      <c r="K3797" s="174">
        <v>29435005003497</v>
      </c>
      <c r="L3797" s="173" t="s">
        <v>1054</v>
      </c>
      <c r="M3797" s="173" t="s">
        <v>78</v>
      </c>
      <c r="N3797" s="173" t="s">
        <v>61</v>
      </c>
      <c r="O3797" s="87">
        <v>70</v>
      </c>
      <c r="P3797" s="173" t="s">
        <v>20</v>
      </c>
      <c r="Q3797" s="1" t="s">
        <v>1338</v>
      </c>
      <c r="R3797" s="175">
        <v>200</v>
      </c>
      <c r="S3797">
        <v>40</v>
      </c>
    </row>
    <row r="3798" spans="1:19" x14ac:dyDescent="0.25">
      <c r="A3798" s="87">
        <v>2020</v>
      </c>
      <c r="B3798" s="87">
        <v>1</v>
      </c>
      <c r="C3798" s="173" t="s">
        <v>16</v>
      </c>
      <c r="D3798" s="173" t="s">
        <v>372</v>
      </c>
      <c r="E3798" s="173" t="s">
        <v>373</v>
      </c>
      <c r="F3798" s="173" t="s">
        <v>16</v>
      </c>
      <c r="G3798" s="87" t="b">
        <v>1</v>
      </c>
      <c r="H3798" s="87" t="b">
        <v>0</v>
      </c>
      <c r="I3798" s="87" t="b">
        <v>0</v>
      </c>
      <c r="J3798" s="173" t="s">
        <v>470</v>
      </c>
      <c r="K3798" s="174">
        <v>29435005004620</v>
      </c>
      <c r="L3798" s="173" t="s">
        <v>911</v>
      </c>
      <c r="M3798" s="173" t="s">
        <v>739</v>
      </c>
      <c r="N3798" s="173" t="s">
        <v>55</v>
      </c>
      <c r="O3798" s="87">
        <v>64</v>
      </c>
      <c r="P3798" s="173" t="s">
        <v>25</v>
      </c>
      <c r="Q3798" s="1" t="s">
        <v>1344</v>
      </c>
      <c r="R3798" s="175">
        <v>20</v>
      </c>
      <c r="S3798">
        <v>20</v>
      </c>
    </row>
    <row r="3799" spans="1:19" x14ac:dyDescent="0.25">
      <c r="A3799" s="87">
        <v>2020</v>
      </c>
      <c r="B3799" s="87">
        <v>1</v>
      </c>
      <c r="C3799" s="173" t="s">
        <v>16</v>
      </c>
      <c r="D3799" s="173" t="s">
        <v>372</v>
      </c>
      <c r="E3799" s="173" t="s">
        <v>373</v>
      </c>
      <c r="F3799" s="173" t="s">
        <v>16</v>
      </c>
      <c r="G3799" s="87" t="b">
        <v>1</v>
      </c>
      <c r="H3799" s="87" t="b">
        <v>0</v>
      </c>
      <c r="I3799" s="87" t="b">
        <v>0</v>
      </c>
      <c r="J3799" s="173" t="s">
        <v>470</v>
      </c>
      <c r="K3799" s="174">
        <v>29435005005198</v>
      </c>
      <c r="L3799" s="173" t="s">
        <v>1102</v>
      </c>
      <c r="M3799" s="173" t="s">
        <v>131</v>
      </c>
      <c r="N3799" s="173" t="s">
        <v>61</v>
      </c>
      <c r="O3799" s="87">
        <v>62</v>
      </c>
      <c r="P3799" s="173" t="s">
        <v>27</v>
      </c>
      <c r="Q3799" s="1" t="s">
        <v>1343</v>
      </c>
      <c r="R3799" s="175">
        <v>12</v>
      </c>
      <c r="S3799">
        <v>12</v>
      </c>
    </row>
    <row r="3800" spans="1:19" x14ac:dyDescent="0.25">
      <c r="A3800" s="87">
        <v>2020</v>
      </c>
      <c r="B3800" s="87">
        <v>1</v>
      </c>
      <c r="C3800" s="173" t="s">
        <v>16</v>
      </c>
      <c r="D3800" s="173" t="s">
        <v>372</v>
      </c>
      <c r="E3800" s="173" t="s">
        <v>373</v>
      </c>
      <c r="F3800" s="173" t="s">
        <v>16</v>
      </c>
      <c r="G3800" s="87" t="b">
        <v>1</v>
      </c>
      <c r="H3800" s="87" t="b">
        <v>0</v>
      </c>
      <c r="I3800" s="87" t="b">
        <v>0</v>
      </c>
      <c r="J3800" s="173" t="s">
        <v>470</v>
      </c>
      <c r="K3800" s="174">
        <v>29435005005198</v>
      </c>
      <c r="L3800" s="173" t="s">
        <v>1102</v>
      </c>
      <c r="M3800" s="173" t="s">
        <v>131</v>
      </c>
      <c r="N3800" s="173" t="s">
        <v>61</v>
      </c>
      <c r="O3800" s="87">
        <v>64</v>
      </c>
      <c r="P3800" s="173" t="s">
        <v>25</v>
      </c>
      <c r="Q3800" s="1" t="s">
        <v>1344</v>
      </c>
      <c r="R3800" s="175">
        <v>4</v>
      </c>
      <c r="S3800">
        <v>4</v>
      </c>
    </row>
    <row r="3801" spans="1:19" x14ac:dyDescent="0.25">
      <c r="A3801" s="87">
        <v>2020</v>
      </c>
      <c r="B3801" s="87">
        <v>1</v>
      </c>
      <c r="C3801" s="173" t="s">
        <v>16</v>
      </c>
      <c r="D3801" s="173" t="s">
        <v>372</v>
      </c>
      <c r="E3801" s="173" t="s">
        <v>373</v>
      </c>
      <c r="F3801" s="173" t="s">
        <v>16</v>
      </c>
      <c r="G3801" s="87" t="b">
        <v>1</v>
      </c>
      <c r="H3801" s="87" t="b">
        <v>0</v>
      </c>
      <c r="I3801" s="87" t="b">
        <v>0</v>
      </c>
      <c r="J3801" s="173" t="s">
        <v>470</v>
      </c>
      <c r="K3801" s="174">
        <v>29435005005279</v>
      </c>
      <c r="L3801" s="173" t="s">
        <v>1103</v>
      </c>
      <c r="M3801" s="173" t="s">
        <v>131</v>
      </c>
      <c r="N3801" s="173" t="s">
        <v>61</v>
      </c>
      <c r="O3801" s="87">
        <v>70</v>
      </c>
      <c r="P3801" s="173" t="s">
        <v>20</v>
      </c>
      <c r="Q3801" s="1" t="s">
        <v>1338</v>
      </c>
      <c r="R3801" s="175">
        <v>5</v>
      </c>
      <c r="S3801">
        <v>1</v>
      </c>
    </row>
    <row r="3802" spans="1:19" x14ac:dyDescent="0.25">
      <c r="A3802" s="87">
        <v>2020</v>
      </c>
      <c r="B3802" s="87">
        <v>1</v>
      </c>
      <c r="C3802" s="173" t="s">
        <v>16</v>
      </c>
      <c r="D3802" s="173" t="s">
        <v>372</v>
      </c>
      <c r="E3802" s="173" t="s">
        <v>373</v>
      </c>
      <c r="F3802" s="173" t="s">
        <v>16</v>
      </c>
      <c r="G3802" s="87" t="b">
        <v>1</v>
      </c>
      <c r="H3802" s="87" t="b">
        <v>0</v>
      </c>
      <c r="I3802" s="87" t="b">
        <v>0</v>
      </c>
      <c r="J3802" s="173" t="s">
        <v>470</v>
      </c>
      <c r="K3802" s="174">
        <v>29435005005600</v>
      </c>
      <c r="L3802" s="173" t="s">
        <v>974</v>
      </c>
      <c r="M3802" s="173" t="s">
        <v>94</v>
      </c>
      <c r="N3802" s="173" t="s">
        <v>57</v>
      </c>
      <c r="O3802" s="87">
        <v>70</v>
      </c>
      <c r="P3802" s="173" t="s">
        <v>20</v>
      </c>
      <c r="Q3802" s="1" t="s">
        <v>1338</v>
      </c>
      <c r="R3802" s="175">
        <v>160</v>
      </c>
      <c r="S3802">
        <v>32</v>
      </c>
    </row>
    <row r="3803" spans="1:19" x14ac:dyDescent="0.25">
      <c r="A3803" s="87">
        <v>2020</v>
      </c>
      <c r="B3803" s="87">
        <v>1</v>
      </c>
      <c r="C3803" s="173" t="s">
        <v>16</v>
      </c>
      <c r="D3803" s="173" t="s">
        <v>372</v>
      </c>
      <c r="E3803" s="173" t="s">
        <v>373</v>
      </c>
      <c r="F3803" s="173" t="s">
        <v>16</v>
      </c>
      <c r="G3803" s="87" t="b">
        <v>1</v>
      </c>
      <c r="H3803" s="87" t="b">
        <v>0</v>
      </c>
      <c r="I3803" s="87" t="b">
        <v>0</v>
      </c>
      <c r="J3803" s="173" t="s">
        <v>470</v>
      </c>
      <c r="K3803" s="174">
        <v>29435005005783</v>
      </c>
      <c r="L3803" s="173" t="s">
        <v>1104</v>
      </c>
      <c r="M3803" s="173" t="s">
        <v>131</v>
      </c>
      <c r="N3803" s="173" t="s">
        <v>61</v>
      </c>
      <c r="O3803" s="87">
        <v>70</v>
      </c>
      <c r="P3803" s="173" t="s">
        <v>20</v>
      </c>
      <c r="Q3803" s="1" t="s">
        <v>1338</v>
      </c>
      <c r="R3803" s="175">
        <v>25</v>
      </c>
      <c r="S3803">
        <v>5</v>
      </c>
    </row>
    <row r="3804" spans="1:19" x14ac:dyDescent="0.25">
      <c r="A3804" s="87">
        <v>2020</v>
      </c>
      <c r="B3804" s="87">
        <v>1</v>
      </c>
      <c r="C3804" s="173" t="s">
        <v>16</v>
      </c>
      <c r="D3804" s="173" t="s">
        <v>372</v>
      </c>
      <c r="E3804" s="173" t="s">
        <v>373</v>
      </c>
      <c r="F3804" s="173" t="s">
        <v>16</v>
      </c>
      <c r="G3804" s="87" t="b">
        <v>1</v>
      </c>
      <c r="H3804" s="87" t="b">
        <v>0</v>
      </c>
      <c r="I3804" s="87" t="b">
        <v>0</v>
      </c>
      <c r="J3804" s="173" t="s">
        <v>470</v>
      </c>
      <c r="K3804" s="174">
        <v>29435005006160</v>
      </c>
      <c r="L3804" s="173" t="s">
        <v>1105</v>
      </c>
      <c r="M3804" s="173" t="s">
        <v>131</v>
      </c>
      <c r="N3804" s="173" t="s">
        <v>61</v>
      </c>
      <c r="O3804" s="87">
        <v>62</v>
      </c>
      <c r="P3804" s="173" t="s">
        <v>27</v>
      </c>
      <c r="Q3804" s="1" t="s">
        <v>1343</v>
      </c>
      <c r="R3804" s="175">
        <v>11</v>
      </c>
      <c r="S3804">
        <v>11</v>
      </c>
    </row>
    <row r="3805" spans="1:19" x14ac:dyDescent="0.25">
      <c r="A3805" s="87">
        <v>2020</v>
      </c>
      <c r="B3805" s="87">
        <v>1</v>
      </c>
      <c r="C3805" s="173" t="s">
        <v>16</v>
      </c>
      <c r="D3805" s="173" t="s">
        <v>372</v>
      </c>
      <c r="E3805" s="173" t="s">
        <v>373</v>
      </c>
      <c r="F3805" s="173" t="s">
        <v>16</v>
      </c>
      <c r="G3805" s="87" t="b">
        <v>1</v>
      </c>
      <c r="H3805" s="87" t="b">
        <v>0</v>
      </c>
      <c r="I3805" s="87" t="b">
        <v>0</v>
      </c>
      <c r="J3805" s="173" t="s">
        <v>470</v>
      </c>
      <c r="K3805" s="174">
        <v>29435005006160</v>
      </c>
      <c r="L3805" s="173" t="s">
        <v>1105</v>
      </c>
      <c r="M3805" s="173" t="s">
        <v>131</v>
      </c>
      <c r="N3805" s="173" t="s">
        <v>61</v>
      </c>
      <c r="O3805" s="87">
        <v>64</v>
      </c>
      <c r="P3805" s="173" t="s">
        <v>25</v>
      </c>
      <c r="Q3805" s="1" t="s">
        <v>1344</v>
      </c>
      <c r="R3805" s="175">
        <v>28</v>
      </c>
      <c r="S3805">
        <v>28</v>
      </c>
    </row>
    <row r="3806" spans="1:19" x14ac:dyDescent="0.25">
      <c r="A3806" s="87">
        <v>2020</v>
      </c>
      <c r="B3806" s="87">
        <v>1</v>
      </c>
      <c r="C3806" s="173" t="s">
        <v>16</v>
      </c>
      <c r="D3806" s="173" t="s">
        <v>372</v>
      </c>
      <c r="E3806" s="173" t="s">
        <v>373</v>
      </c>
      <c r="F3806" s="173" t="s">
        <v>16</v>
      </c>
      <c r="G3806" s="87" t="b">
        <v>1</v>
      </c>
      <c r="H3806" s="87" t="b">
        <v>0</v>
      </c>
      <c r="I3806" s="87" t="b">
        <v>0</v>
      </c>
      <c r="J3806" s="173" t="s">
        <v>470</v>
      </c>
      <c r="K3806" s="174">
        <v>29435005007484</v>
      </c>
      <c r="L3806" s="173" t="s">
        <v>912</v>
      </c>
      <c r="M3806" s="173" t="s">
        <v>76</v>
      </c>
      <c r="N3806" s="173" t="s">
        <v>77</v>
      </c>
      <c r="O3806" s="87">
        <v>62</v>
      </c>
      <c r="P3806" s="173" t="s">
        <v>27</v>
      </c>
      <c r="Q3806" s="1" t="s">
        <v>1343</v>
      </c>
      <c r="R3806" s="175">
        <v>7</v>
      </c>
      <c r="S3806">
        <v>7</v>
      </c>
    </row>
    <row r="3807" spans="1:19" x14ac:dyDescent="0.25">
      <c r="A3807" s="87">
        <v>2020</v>
      </c>
      <c r="B3807" s="87">
        <v>1</v>
      </c>
      <c r="C3807" s="173" t="s">
        <v>16</v>
      </c>
      <c r="D3807" s="173" t="s">
        <v>372</v>
      </c>
      <c r="E3807" s="173" t="s">
        <v>373</v>
      </c>
      <c r="F3807" s="173" t="s">
        <v>16</v>
      </c>
      <c r="G3807" s="87" t="b">
        <v>1</v>
      </c>
      <c r="H3807" s="87" t="b">
        <v>0</v>
      </c>
      <c r="I3807" s="87" t="b">
        <v>0</v>
      </c>
      <c r="J3807" s="173" t="s">
        <v>470</v>
      </c>
      <c r="K3807" s="174">
        <v>29435005007484</v>
      </c>
      <c r="L3807" s="173" t="s">
        <v>912</v>
      </c>
      <c r="M3807" s="173" t="s">
        <v>76</v>
      </c>
      <c r="N3807" s="173" t="s">
        <v>77</v>
      </c>
      <c r="O3807" s="87">
        <v>64</v>
      </c>
      <c r="P3807" s="173" t="s">
        <v>25</v>
      </c>
      <c r="Q3807" s="1" t="s">
        <v>1344</v>
      </c>
      <c r="R3807" s="175">
        <v>4</v>
      </c>
      <c r="S3807">
        <v>4</v>
      </c>
    </row>
    <row r="3808" spans="1:19" x14ac:dyDescent="0.25">
      <c r="A3808" s="87">
        <v>2020</v>
      </c>
      <c r="B3808" s="87">
        <v>1</v>
      </c>
      <c r="C3808" s="173" t="s">
        <v>16</v>
      </c>
      <c r="D3808" s="173" t="s">
        <v>372</v>
      </c>
      <c r="E3808" s="173" t="s">
        <v>373</v>
      </c>
      <c r="F3808" s="173" t="s">
        <v>16</v>
      </c>
      <c r="G3808" s="87" t="b">
        <v>1</v>
      </c>
      <c r="H3808" s="87" t="b">
        <v>0</v>
      </c>
      <c r="I3808" s="87" t="b">
        <v>0</v>
      </c>
      <c r="J3808" s="173" t="s">
        <v>470</v>
      </c>
      <c r="K3808" s="174">
        <v>29435005008294</v>
      </c>
      <c r="L3808" s="173" t="s">
        <v>671</v>
      </c>
      <c r="M3808" s="173" t="s">
        <v>36</v>
      </c>
      <c r="N3808" s="173" t="s">
        <v>19</v>
      </c>
      <c r="O3808" s="87">
        <v>70</v>
      </c>
      <c r="P3808" s="173" t="s">
        <v>20</v>
      </c>
      <c r="Q3808" s="1" t="s">
        <v>1338</v>
      </c>
      <c r="R3808" s="175">
        <v>305</v>
      </c>
      <c r="S3808">
        <v>61</v>
      </c>
    </row>
    <row r="3809" spans="1:19" x14ac:dyDescent="0.25">
      <c r="A3809" s="87">
        <v>2020</v>
      </c>
      <c r="B3809" s="87">
        <v>1</v>
      </c>
      <c r="C3809" s="173" t="s">
        <v>16</v>
      </c>
      <c r="D3809" s="173" t="s">
        <v>372</v>
      </c>
      <c r="E3809" s="173" t="s">
        <v>373</v>
      </c>
      <c r="F3809" s="173" t="s">
        <v>16</v>
      </c>
      <c r="G3809" s="87" t="b">
        <v>1</v>
      </c>
      <c r="H3809" s="87" t="b">
        <v>0</v>
      </c>
      <c r="I3809" s="87" t="b">
        <v>0</v>
      </c>
      <c r="J3809" s="173" t="s">
        <v>470</v>
      </c>
      <c r="K3809" s="174">
        <v>29435005008456</v>
      </c>
      <c r="L3809" s="173" t="s">
        <v>672</v>
      </c>
      <c r="M3809" s="173" t="s">
        <v>33</v>
      </c>
      <c r="N3809" s="173" t="s">
        <v>19</v>
      </c>
      <c r="O3809" s="87">
        <v>70</v>
      </c>
      <c r="P3809" s="173" t="s">
        <v>20</v>
      </c>
      <c r="Q3809" s="1" t="s">
        <v>1338</v>
      </c>
      <c r="R3809" s="175">
        <v>350</v>
      </c>
      <c r="S3809">
        <v>70</v>
      </c>
    </row>
    <row r="3810" spans="1:19" x14ac:dyDescent="0.25">
      <c r="A3810" s="87">
        <v>2020</v>
      </c>
      <c r="B3810" s="87">
        <v>1</v>
      </c>
      <c r="C3810" s="173" t="s">
        <v>16</v>
      </c>
      <c r="D3810" s="173" t="s">
        <v>372</v>
      </c>
      <c r="E3810" s="173" t="s">
        <v>373</v>
      </c>
      <c r="F3810" s="173" t="s">
        <v>16</v>
      </c>
      <c r="G3810" s="87" t="b">
        <v>1</v>
      </c>
      <c r="H3810" s="87" t="b">
        <v>0</v>
      </c>
      <c r="I3810" s="87" t="b">
        <v>0</v>
      </c>
      <c r="J3810" s="173" t="s">
        <v>470</v>
      </c>
      <c r="K3810" s="174">
        <v>29435005009851</v>
      </c>
      <c r="L3810" s="173" t="s">
        <v>913</v>
      </c>
      <c r="M3810" s="173" t="s">
        <v>62</v>
      </c>
      <c r="N3810" s="173" t="s">
        <v>63</v>
      </c>
      <c r="O3810" s="87">
        <v>62</v>
      </c>
      <c r="P3810" s="173" t="s">
        <v>27</v>
      </c>
      <c r="Q3810" s="1" t="s">
        <v>1343</v>
      </c>
      <c r="R3810" s="175">
        <v>8</v>
      </c>
      <c r="S3810">
        <v>8</v>
      </c>
    </row>
    <row r="3811" spans="1:19" x14ac:dyDescent="0.25">
      <c r="A3811" s="87">
        <v>2020</v>
      </c>
      <c r="B3811" s="87">
        <v>1</v>
      </c>
      <c r="C3811" s="173" t="s">
        <v>16</v>
      </c>
      <c r="D3811" s="173" t="s">
        <v>372</v>
      </c>
      <c r="E3811" s="173" t="s">
        <v>373</v>
      </c>
      <c r="F3811" s="173" t="s">
        <v>16</v>
      </c>
      <c r="G3811" s="87" t="b">
        <v>1</v>
      </c>
      <c r="H3811" s="87" t="b">
        <v>0</v>
      </c>
      <c r="I3811" s="87" t="b">
        <v>0</v>
      </c>
      <c r="J3811" s="173" t="s">
        <v>470</v>
      </c>
      <c r="K3811" s="174">
        <v>29435005009932</v>
      </c>
      <c r="L3811" s="173" t="s">
        <v>595</v>
      </c>
      <c r="M3811" s="173" t="s">
        <v>29</v>
      </c>
      <c r="N3811" s="173" t="s">
        <v>19</v>
      </c>
      <c r="O3811" s="87">
        <v>62</v>
      </c>
      <c r="P3811" s="173" t="s">
        <v>27</v>
      </c>
      <c r="Q3811" s="1" t="s">
        <v>1343</v>
      </c>
      <c r="R3811" s="175">
        <v>7</v>
      </c>
      <c r="S3811">
        <v>7</v>
      </c>
    </row>
    <row r="3812" spans="1:19" x14ac:dyDescent="0.25">
      <c r="A3812" s="87">
        <v>2020</v>
      </c>
      <c r="B3812" s="87">
        <v>1</v>
      </c>
      <c r="C3812" s="173" t="s">
        <v>16</v>
      </c>
      <c r="D3812" s="173" t="s">
        <v>372</v>
      </c>
      <c r="E3812" s="173" t="s">
        <v>373</v>
      </c>
      <c r="F3812" s="173" t="s">
        <v>16</v>
      </c>
      <c r="G3812" s="87" t="b">
        <v>1</v>
      </c>
      <c r="H3812" s="87" t="b">
        <v>0</v>
      </c>
      <c r="I3812" s="87" t="b">
        <v>0</v>
      </c>
      <c r="J3812" s="173" t="s">
        <v>470</v>
      </c>
      <c r="K3812" s="174">
        <v>29435005009932</v>
      </c>
      <c r="L3812" s="173" t="s">
        <v>595</v>
      </c>
      <c r="M3812" s="173" t="s">
        <v>29</v>
      </c>
      <c r="N3812" s="173" t="s">
        <v>19</v>
      </c>
      <c r="O3812" s="87">
        <v>64</v>
      </c>
      <c r="P3812" s="173" t="s">
        <v>25</v>
      </c>
      <c r="Q3812" s="1" t="s">
        <v>1344</v>
      </c>
      <c r="R3812" s="175">
        <v>25</v>
      </c>
      <c r="S3812">
        <v>25</v>
      </c>
    </row>
    <row r="3813" spans="1:19" x14ac:dyDescent="0.25">
      <c r="A3813" s="87">
        <v>2020</v>
      </c>
      <c r="B3813" s="87">
        <v>1</v>
      </c>
      <c r="C3813" s="173" t="s">
        <v>16</v>
      </c>
      <c r="D3813" s="173" t="s">
        <v>372</v>
      </c>
      <c r="E3813" s="173" t="s">
        <v>373</v>
      </c>
      <c r="F3813" s="173" t="s">
        <v>16</v>
      </c>
      <c r="G3813" s="87" t="b">
        <v>1</v>
      </c>
      <c r="H3813" s="87" t="b">
        <v>0</v>
      </c>
      <c r="I3813" s="87" t="b">
        <v>0</v>
      </c>
      <c r="J3813" s="173" t="s">
        <v>470</v>
      </c>
      <c r="K3813" s="174">
        <v>29435005009932</v>
      </c>
      <c r="L3813" s="173" t="s">
        <v>595</v>
      </c>
      <c r="M3813" s="173" t="s">
        <v>29</v>
      </c>
      <c r="N3813" s="173" t="s">
        <v>19</v>
      </c>
      <c r="O3813" s="87">
        <v>70</v>
      </c>
      <c r="P3813" s="173" t="s">
        <v>20</v>
      </c>
      <c r="Q3813" s="1" t="s">
        <v>1338</v>
      </c>
      <c r="R3813" s="175">
        <v>1300</v>
      </c>
      <c r="S3813">
        <v>260</v>
      </c>
    </row>
    <row r="3814" spans="1:19" x14ac:dyDescent="0.25">
      <c r="A3814" s="87">
        <v>2020</v>
      </c>
      <c r="B3814" s="87">
        <v>1</v>
      </c>
      <c r="C3814" s="173" t="s">
        <v>16</v>
      </c>
      <c r="D3814" s="173" t="s">
        <v>372</v>
      </c>
      <c r="E3814" s="173" t="s">
        <v>373</v>
      </c>
      <c r="F3814" s="173" t="s">
        <v>16</v>
      </c>
      <c r="G3814" s="87" t="b">
        <v>1</v>
      </c>
      <c r="H3814" s="87" t="b">
        <v>0</v>
      </c>
      <c r="I3814" s="87" t="b">
        <v>0</v>
      </c>
      <c r="J3814" s="173" t="s">
        <v>491</v>
      </c>
      <c r="K3814" s="174">
        <v>29640612000120</v>
      </c>
      <c r="L3814" s="173" t="s">
        <v>1055</v>
      </c>
      <c r="M3814" s="173" t="s">
        <v>103</v>
      </c>
      <c r="N3814" s="173" t="s">
        <v>61</v>
      </c>
      <c r="O3814" s="87">
        <v>64</v>
      </c>
      <c r="P3814" s="173" t="s">
        <v>25</v>
      </c>
      <c r="Q3814" s="1" t="s">
        <v>1344</v>
      </c>
      <c r="R3814" s="175">
        <v>4</v>
      </c>
      <c r="S3814">
        <v>4</v>
      </c>
    </row>
    <row r="3815" spans="1:19" x14ac:dyDescent="0.25">
      <c r="A3815" s="87">
        <v>2020</v>
      </c>
      <c r="B3815" s="87">
        <v>1</v>
      </c>
      <c r="C3815" s="173" t="s">
        <v>16</v>
      </c>
      <c r="D3815" s="173" t="s">
        <v>372</v>
      </c>
      <c r="E3815" s="173" t="s">
        <v>373</v>
      </c>
      <c r="F3815" s="173" t="s">
        <v>16</v>
      </c>
      <c r="G3815" s="87" t="b">
        <v>1</v>
      </c>
      <c r="H3815" s="87" t="b">
        <v>0</v>
      </c>
      <c r="I3815" s="87" t="b">
        <v>0</v>
      </c>
      <c r="J3815" s="173" t="s">
        <v>470</v>
      </c>
      <c r="K3815" s="174">
        <v>29929600000110</v>
      </c>
      <c r="L3815" s="173" t="s">
        <v>1212</v>
      </c>
      <c r="M3815" s="173" t="s">
        <v>1213</v>
      </c>
      <c r="N3815" s="173" t="s">
        <v>19</v>
      </c>
      <c r="O3815" s="87">
        <v>73</v>
      </c>
      <c r="P3815" s="173" t="s">
        <v>26</v>
      </c>
      <c r="Q3815" s="1" t="s">
        <v>1339</v>
      </c>
      <c r="R3815" s="175">
        <v>4</v>
      </c>
      <c r="S3815">
        <v>2</v>
      </c>
    </row>
    <row r="3816" spans="1:19" x14ac:dyDescent="0.25">
      <c r="A3816" s="87">
        <v>2020</v>
      </c>
      <c r="B3816" s="87">
        <v>1</v>
      </c>
      <c r="C3816" s="173" t="s">
        <v>16</v>
      </c>
      <c r="D3816" s="173" t="s">
        <v>372</v>
      </c>
      <c r="E3816" s="173" t="s">
        <v>373</v>
      </c>
      <c r="F3816" s="173" t="s">
        <v>16</v>
      </c>
      <c r="G3816" s="87" t="b">
        <v>1</v>
      </c>
      <c r="H3816" s="87" t="b">
        <v>0</v>
      </c>
      <c r="I3816" s="87" t="b">
        <v>0</v>
      </c>
      <c r="J3816" s="173" t="s">
        <v>468</v>
      </c>
      <c r="K3816" s="174">
        <v>30135335000188</v>
      </c>
      <c r="L3816" s="173" t="s">
        <v>914</v>
      </c>
      <c r="M3816" s="173" t="s">
        <v>739</v>
      </c>
      <c r="N3816" s="173" t="s">
        <v>55</v>
      </c>
      <c r="O3816" s="87">
        <v>70</v>
      </c>
      <c r="P3816" s="173" t="s">
        <v>20</v>
      </c>
      <c r="Q3816" s="1" t="s">
        <v>1338</v>
      </c>
      <c r="R3816" s="175">
        <v>425</v>
      </c>
      <c r="S3816">
        <v>85</v>
      </c>
    </row>
    <row r="3817" spans="1:19" x14ac:dyDescent="0.25">
      <c r="A3817" s="87">
        <v>2020</v>
      </c>
      <c r="B3817" s="87">
        <v>1</v>
      </c>
      <c r="C3817" s="173" t="s">
        <v>16</v>
      </c>
      <c r="D3817" s="173" t="s">
        <v>372</v>
      </c>
      <c r="E3817" s="173" t="s">
        <v>373</v>
      </c>
      <c r="F3817" s="173" t="s">
        <v>16</v>
      </c>
      <c r="G3817" s="87" t="b">
        <v>1</v>
      </c>
      <c r="H3817" s="87" t="b">
        <v>0</v>
      </c>
      <c r="I3817" s="87" t="b">
        <v>0</v>
      </c>
      <c r="J3817" s="173" t="s">
        <v>491</v>
      </c>
      <c r="K3817" s="174">
        <v>30145502000171</v>
      </c>
      <c r="L3817" s="173" t="s">
        <v>1057</v>
      </c>
      <c r="M3817" s="173" t="s">
        <v>1039</v>
      </c>
      <c r="N3817" s="173" t="s">
        <v>61</v>
      </c>
      <c r="O3817" s="87">
        <v>64</v>
      </c>
      <c r="P3817" s="173" t="s">
        <v>25</v>
      </c>
      <c r="Q3817" s="1" t="s">
        <v>1344</v>
      </c>
      <c r="R3817" s="175">
        <v>6</v>
      </c>
      <c r="S3817">
        <v>6</v>
      </c>
    </row>
    <row r="3818" spans="1:19" x14ac:dyDescent="0.25">
      <c r="A3818" s="87">
        <v>2020</v>
      </c>
      <c r="B3818" s="87">
        <v>1</v>
      </c>
      <c r="C3818" s="173" t="s">
        <v>16</v>
      </c>
      <c r="D3818" s="173" t="s">
        <v>372</v>
      </c>
      <c r="E3818" s="173" t="s">
        <v>373</v>
      </c>
      <c r="F3818" s="173" t="s">
        <v>16</v>
      </c>
      <c r="G3818" s="87" t="b">
        <v>1</v>
      </c>
      <c r="H3818" s="87" t="b">
        <v>0</v>
      </c>
      <c r="I3818" s="87" t="b">
        <v>0</v>
      </c>
      <c r="J3818" s="173" t="s">
        <v>455</v>
      </c>
      <c r="K3818" s="174">
        <v>30325856000106</v>
      </c>
      <c r="L3818" s="173" t="s">
        <v>1406</v>
      </c>
      <c r="M3818" s="173" t="s">
        <v>1064</v>
      </c>
      <c r="N3818" s="173" t="s">
        <v>61</v>
      </c>
      <c r="O3818" s="87">
        <v>64</v>
      </c>
      <c r="P3818" s="173" t="s">
        <v>25</v>
      </c>
      <c r="Q3818" s="1" t="s">
        <v>1344</v>
      </c>
      <c r="R3818" s="175">
        <v>2</v>
      </c>
      <c r="S3818">
        <v>2</v>
      </c>
    </row>
    <row r="3819" spans="1:19" x14ac:dyDescent="0.25">
      <c r="A3819" s="87">
        <v>2020</v>
      </c>
      <c r="B3819" s="87">
        <v>1</v>
      </c>
      <c r="C3819" s="173" t="s">
        <v>16</v>
      </c>
      <c r="D3819" s="173" t="s">
        <v>372</v>
      </c>
      <c r="E3819" s="173" t="s">
        <v>373</v>
      </c>
      <c r="F3819" s="173" t="s">
        <v>16</v>
      </c>
      <c r="G3819" s="87" t="b">
        <v>1</v>
      </c>
      <c r="H3819" s="87" t="b">
        <v>0</v>
      </c>
      <c r="I3819" s="87" t="b">
        <v>0</v>
      </c>
      <c r="J3819" s="173" t="s">
        <v>491</v>
      </c>
      <c r="K3819" s="174">
        <v>31635857000292</v>
      </c>
      <c r="L3819" s="173" t="s">
        <v>1107</v>
      </c>
      <c r="M3819" s="173" t="s">
        <v>131</v>
      </c>
      <c r="N3819" s="173" t="s">
        <v>61</v>
      </c>
      <c r="O3819" s="87">
        <v>62</v>
      </c>
      <c r="P3819" s="173" t="s">
        <v>27</v>
      </c>
      <c r="Q3819" s="1" t="s">
        <v>1343</v>
      </c>
      <c r="R3819" s="175">
        <v>1</v>
      </c>
      <c r="S3819">
        <v>1</v>
      </c>
    </row>
    <row r="3820" spans="1:19" x14ac:dyDescent="0.25">
      <c r="A3820" s="87">
        <v>2020</v>
      </c>
      <c r="B3820" s="87">
        <v>1</v>
      </c>
      <c r="C3820" s="173" t="s">
        <v>16</v>
      </c>
      <c r="D3820" s="173" t="s">
        <v>372</v>
      </c>
      <c r="E3820" s="173" t="s">
        <v>373</v>
      </c>
      <c r="F3820" s="173" t="s">
        <v>16</v>
      </c>
      <c r="G3820" s="87" t="b">
        <v>1</v>
      </c>
      <c r="H3820" s="87" t="b">
        <v>0</v>
      </c>
      <c r="I3820" s="87" t="b">
        <v>0</v>
      </c>
      <c r="J3820" s="173" t="s">
        <v>491</v>
      </c>
      <c r="K3820" s="174">
        <v>31635857000292</v>
      </c>
      <c r="L3820" s="173" t="s">
        <v>1107</v>
      </c>
      <c r="M3820" s="173" t="s">
        <v>131</v>
      </c>
      <c r="N3820" s="173" t="s">
        <v>61</v>
      </c>
      <c r="O3820" s="87">
        <v>73</v>
      </c>
      <c r="P3820" s="173" t="s">
        <v>26</v>
      </c>
      <c r="Q3820" s="1" t="s">
        <v>1342</v>
      </c>
      <c r="R3820" s="175">
        <v>32</v>
      </c>
      <c r="S3820">
        <v>8</v>
      </c>
    </row>
    <row r="3821" spans="1:19" x14ac:dyDescent="0.25">
      <c r="A3821" s="87">
        <v>2020</v>
      </c>
      <c r="B3821" s="87">
        <v>1</v>
      </c>
      <c r="C3821" s="173" t="s">
        <v>16</v>
      </c>
      <c r="D3821" s="173" t="s">
        <v>372</v>
      </c>
      <c r="E3821" s="173" t="s">
        <v>373</v>
      </c>
      <c r="F3821" s="173" t="s">
        <v>16</v>
      </c>
      <c r="G3821" s="87" t="b">
        <v>1</v>
      </c>
      <c r="H3821" s="87" t="b">
        <v>0</v>
      </c>
      <c r="I3821" s="87" t="b">
        <v>0</v>
      </c>
      <c r="J3821" s="173" t="s">
        <v>491</v>
      </c>
      <c r="K3821" s="174">
        <v>31925548000176</v>
      </c>
      <c r="L3821" s="173" t="s">
        <v>1108</v>
      </c>
      <c r="M3821" s="173" t="s">
        <v>131</v>
      </c>
      <c r="N3821" s="173" t="s">
        <v>61</v>
      </c>
      <c r="O3821" s="87">
        <v>70</v>
      </c>
      <c r="P3821" s="173" t="s">
        <v>20</v>
      </c>
      <c r="Q3821" s="1" t="s">
        <v>1338</v>
      </c>
      <c r="R3821" s="175">
        <v>30</v>
      </c>
      <c r="S3821">
        <v>6</v>
      </c>
    </row>
    <row r="3822" spans="1:19" x14ac:dyDescent="0.25">
      <c r="A3822" s="87">
        <v>2020</v>
      </c>
      <c r="B3822" s="87">
        <v>1</v>
      </c>
      <c r="C3822" s="173" t="s">
        <v>16</v>
      </c>
      <c r="D3822" s="173" t="s">
        <v>372</v>
      </c>
      <c r="E3822" s="173" t="s">
        <v>373</v>
      </c>
      <c r="F3822" s="173" t="s">
        <v>16</v>
      </c>
      <c r="G3822" s="87" t="b">
        <v>1</v>
      </c>
      <c r="H3822" s="87" t="b">
        <v>0</v>
      </c>
      <c r="I3822" s="87" t="b">
        <v>0</v>
      </c>
      <c r="J3822" s="173" t="s">
        <v>468</v>
      </c>
      <c r="K3822" s="174">
        <v>32972408000111</v>
      </c>
      <c r="L3822" s="173" t="s">
        <v>1475</v>
      </c>
      <c r="M3822" s="173" t="s">
        <v>907</v>
      </c>
      <c r="N3822" s="173" t="s">
        <v>69</v>
      </c>
      <c r="O3822" s="87">
        <v>70</v>
      </c>
      <c r="P3822" s="173" t="s">
        <v>20</v>
      </c>
      <c r="Q3822" s="1" t="s">
        <v>1338</v>
      </c>
      <c r="R3822" s="175">
        <v>15</v>
      </c>
      <c r="S3822">
        <v>3</v>
      </c>
    </row>
    <row r="3823" spans="1:19" x14ac:dyDescent="0.25">
      <c r="A3823" s="87">
        <v>2020</v>
      </c>
      <c r="B3823" s="87">
        <v>1</v>
      </c>
      <c r="C3823" s="173" t="s">
        <v>16</v>
      </c>
      <c r="D3823" s="173" t="s">
        <v>372</v>
      </c>
      <c r="E3823" s="173" t="s">
        <v>373</v>
      </c>
      <c r="F3823" s="173" t="s">
        <v>16</v>
      </c>
      <c r="G3823" s="87" t="b">
        <v>1</v>
      </c>
      <c r="H3823" s="87" t="b">
        <v>0</v>
      </c>
      <c r="I3823" s="87" t="b">
        <v>0</v>
      </c>
      <c r="J3823" s="173" t="s">
        <v>464</v>
      </c>
      <c r="K3823" s="174">
        <v>33000167000101</v>
      </c>
      <c r="L3823" s="173" t="s">
        <v>1110</v>
      </c>
      <c r="M3823" s="173" t="s">
        <v>131</v>
      </c>
      <c r="N3823" s="173" t="s">
        <v>61</v>
      </c>
      <c r="O3823" s="87">
        <v>70</v>
      </c>
      <c r="P3823" s="173" t="s">
        <v>20</v>
      </c>
      <c r="Q3823" s="1" t="s">
        <v>1338</v>
      </c>
      <c r="R3823" s="175">
        <v>145</v>
      </c>
      <c r="S3823">
        <v>29</v>
      </c>
    </row>
    <row r="3824" spans="1:19" x14ac:dyDescent="0.25">
      <c r="A3824" s="87">
        <v>2020</v>
      </c>
      <c r="B3824" s="87">
        <v>1</v>
      </c>
      <c r="C3824" s="173" t="s">
        <v>16</v>
      </c>
      <c r="D3824" s="173" t="s">
        <v>372</v>
      </c>
      <c r="E3824" s="173" t="s">
        <v>373</v>
      </c>
      <c r="F3824" s="173" t="s">
        <v>16</v>
      </c>
      <c r="G3824" s="87" t="b">
        <v>1</v>
      </c>
      <c r="H3824" s="87" t="b">
        <v>0</v>
      </c>
      <c r="I3824" s="87" t="b">
        <v>0</v>
      </c>
      <c r="J3824" s="173" t="s">
        <v>451</v>
      </c>
      <c r="K3824" s="174">
        <v>33215770000100</v>
      </c>
      <c r="L3824" s="173" t="s">
        <v>1476</v>
      </c>
      <c r="M3824" s="173" t="s">
        <v>1477</v>
      </c>
      <c r="N3824" s="173" t="s">
        <v>19</v>
      </c>
      <c r="O3824" s="87">
        <v>70</v>
      </c>
      <c r="P3824" s="173" t="s">
        <v>20</v>
      </c>
      <c r="Q3824" s="1" t="s">
        <v>1338</v>
      </c>
      <c r="R3824" s="175">
        <v>110</v>
      </c>
      <c r="S3824">
        <v>22</v>
      </c>
    </row>
    <row r="3825" spans="1:19" x14ac:dyDescent="0.25">
      <c r="A3825" s="87">
        <v>2020</v>
      </c>
      <c r="B3825" s="87">
        <v>1</v>
      </c>
      <c r="C3825" s="173" t="s">
        <v>16</v>
      </c>
      <c r="D3825" s="173" t="s">
        <v>372</v>
      </c>
      <c r="E3825" s="173" t="s">
        <v>373</v>
      </c>
      <c r="F3825" s="173" t="s">
        <v>16</v>
      </c>
      <c r="G3825" s="87" t="b">
        <v>1</v>
      </c>
      <c r="H3825" s="87" t="b">
        <v>0</v>
      </c>
      <c r="I3825" s="87" t="b">
        <v>0</v>
      </c>
      <c r="J3825" s="173" t="s">
        <v>477</v>
      </c>
      <c r="K3825" s="174">
        <v>33419482000259</v>
      </c>
      <c r="L3825" s="173" t="s">
        <v>1111</v>
      </c>
      <c r="M3825" s="173" t="s">
        <v>131</v>
      </c>
      <c r="N3825" s="173" t="s">
        <v>61</v>
      </c>
      <c r="O3825" s="87">
        <v>62</v>
      </c>
      <c r="P3825" s="173" t="s">
        <v>27</v>
      </c>
      <c r="Q3825" s="1" t="s">
        <v>1343</v>
      </c>
      <c r="R3825" s="175">
        <v>6</v>
      </c>
      <c r="S3825">
        <v>6</v>
      </c>
    </row>
    <row r="3826" spans="1:19" x14ac:dyDescent="0.25">
      <c r="A3826" s="87">
        <v>2020</v>
      </c>
      <c r="B3826" s="87">
        <v>1</v>
      </c>
      <c r="C3826" s="173" t="s">
        <v>16</v>
      </c>
      <c r="D3826" s="173" t="s">
        <v>372</v>
      </c>
      <c r="E3826" s="173" t="s">
        <v>373</v>
      </c>
      <c r="F3826" s="173" t="s">
        <v>16</v>
      </c>
      <c r="G3826" s="87" t="b">
        <v>1</v>
      </c>
      <c r="H3826" s="87" t="b">
        <v>0</v>
      </c>
      <c r="I3826" s="87" t="b">
        <v>0</v>
      </c>
      <c r="J3826" s="173" t="s">
        <v>451</v>
      </c>
      <c r="K3826" s="174">
        <v>33419482000259</v>
      </c>
      <c r="L3826" s="173" t="s">
        <v>1111</v>
      </c>
      <c r="M3826" s="173" t="s">
        <v>131</v>
      </c>
      <c r="N3826" s="173" t="s">
        <v>61</v>
      </c>
      <c r="O3826" s="87">
        <v>64</v>
      </c>
      <c r="P3826" s="173" t="s">
        <v>25</v>
      </c>
      <c r="Q3826" s="1" t="s">
        <v>1344</v>
      </c>
      <c r="R3826" s="175">
        <v>4</v>
      </c>
      <c r="S3826">
        <v>4</v>
      </c>
    </row>
    <row r="3827" spans="1:19" x14ac:dyDescent="0.25">
      <c r="A3827" s="87">
        <v>2020</v>
      </c>
      <c r="B3827" s="87">
        <v>1</v>
      </c>
      <c r="C3827" s="173" t="s">
        <v>16</v>
      </c>
      <c r="D3827" s="173" t="s">
        <v>372</v>
      </c>
      <c r="E3827" s="173" t="s">
        <v>373</v>
      </c>
      <c r="F3827" s="173" t="s">
        <v>16</v>
      </c>
      <c r="G3827" s="87" t="b">
        <v>1</v>
      </c>
      <c r="H3827" s="87" t="b">
        <v>0</v>
      </c>
      <c r="I3827" s="87" t="b">
        <v>0</v>
      </c>
      <c r="J3827" s="173" t="s">
        <v>1330</v>
      </c>
      <c r="K3827" s="174">
        <v>33663683005347</v>
      </c>
      <c r="L3827" s="173" t="s">
        <v>1114</v>
      </c>
      <c r="M3827" s="173" t="s">
        <v>131</v>
      </c>
      <c r="N3827" s="173" t="s">
        <v>61</v>
      </c>
      <c r="O3827" s="87">
        <v>62</v>
      </c>
      <c r="P3827" s="173" t="s">
        <v>27</v>
      </c>
      <c r="Q3827" s="1" t="s">
        <v>1343</v>
      </c>
      <c r="R3827" s="175">
        <v>126</v>
      </c>
      <c r="S3827">
        <v>126</v>
      </c>
    </row>
    <row r="3828" spans="1:19" x14ac:dyDescent="0.25">
      <c r="A3828" s="87">
        <v>2020</v>
      </c>
      <c r="B3828" s="87">
        <v>1</v>
      </c>
      <c r="C3828" s="173" t="s">
        <v>16</v>
      </c>
      <c r="D3828" s="173" t="s">
        <v>372</v>
      </c>
      <c r="E3828" s="173" t="s">
        <v>373</v>
      </c>
      <c r="F3828" s="173" t="s">
        <v>16</v>
      </c>
      <c r="G3828" s="87" t="b">
        <v>1</v>
      </c>
      <c r="H3828" s="87" t="b">
        <v>0</v>
      </c>
      <c r="I3828" s="87" t="b">
        <v>0</v>
      </c>
      <c r="J3828" s="173" t="s">
        <v>1330</v>
      </c>
      <c r="K3828" s="174">
        <v>33663683005347</v>
      </c>
      <c r="L3828" s="173" t="s">
        <v>1114</v>
      </c>
      <c r="M3828" s="173" t="s">
        <v>131</v>
      </c>
      <c r="N3828" s="173" t="s">
        <v>61</v>
      </c>
      <c r="O3828" s="87">
        <v>64</v>
      </c>
      <c r="P3828" s="173" t="s">
        <v>25</v>
      </c>
      <c r="Q3828" s="1" t="s">
        <v>1344</v>
      </c>
      <c r="R3828" s="175">
        <v>108</v>
      </c>
      <c r="S3828">
        <v>108</v>
      </c>
    </row>
    <row r="3829" spans="1:19" x14ac:dyDescent="0.25">
      <c r="A3829" s="87">
        <v>2020</v>
      </c>
      <c r="B3829" s="87">
        <v>1</v>
      </c>
      <c r="C3829" s="173" t="s">
        <v>16</v>
      </c>
      <c r="D3829" s="173" t="s">
        <v>372</v>
      </c>
      <c r="E3829" s="173" t="s">
        <v>373</v>
      </c>
      <c r="F3829" s="173" t="s">
        <v>16</v>
      </c>
      <c r="G3829" s="87" t="b">
        <v>1</v>
      </c>
      <c r="H3829" s="87" t="b">
        <v>0</v>
      </c>
      <c r="I3829" s="87" t="b">
        <v>0</v>
      </c>
      <c r="J3829" s="173" t="s">
        <v>450</v>
      </c>
      <c r="K3829" s="174">
        <v>35830868000446</v>
      </c>
      <c r="L3829" s="173" t="s">
        <v>1060</v>
      </c>
      <c r="M3829" s="173" t="s">
        <v>1061</v>
      </c>
      <c r="N3829" s="173" t="s">
        <v>61</v>
      </c>
      <c r="O3829" s="87">
        <v>70</v>
      </c>
      <c r="P3829" s="173" t="s">
        <v>20</v>
      </c>
      <c r="Q3829" s="1" t="s">
        <v>1338</v>
      </c>
      <c r="R3829" s="175">
        <v>500</v>
      </c>
      <c r="S3829">
        <v>100</v>
      </c>
    </row>
    <row r="3830" spans="1:19" x14ac:dyDescent="0.25">
      <c r="A3830" s="87">
        <v>2020</v>
      </c>
      <c r="B3830" s="87">
        <v>1</v>
      </c>
      <c r="C3830" s="173" t="s">
        <v>16</v>
      </c>
      <c r="D3830" s="173" t="s">
        <v>372</v>
      </c>
      <c r="E3830" s="173" t="s">
        <v>373</v>
      </c>
      <c r="F3830" s="173" t="s">
        <v>16</v>
      </c>
      <c r="G3830" s="87" t="b">
        <v>1</v>
      </c>
      <c r="H3830" s="87" t="b">
        <v>0</v>
      </c>
      <c r="I3830" s="87" t="b">
        <v>0</v>
      </c>
      <c r="J3830" s="173" t="s">
        <v>468</v>
      </c>
      <c r="K3830" s="174">
        <v>37108388000159</v>
      </c>
      <c r="L3830" s="173" t="s">
        <v>916</v>
      </c>
      <c r="M3830" s="173" t="s">
        <v>739</v>
      </c>
      <c r="N3830" s="173" t="s">
        <v>55</v>
      </c>
      <c r="O3830" s="87">
        <v>62</v>
      </c>
      <c r="P3830" s="173" t="s">
        <v>27</v>
      </c>
      <c r="Q3830" s="1" t="s">
        <v>1343</v>
      </c>
      <c r="R3830" s="175">
        <v>6</v>
      </c>
      <c r="S3830">
        <v>6</v>
      </c>
    </row>
    <row r="3831" spans="1:19" x14ac:dyDescent="0.25">
      <c r="A3831" s="87">
        <v>2020</v>
      </c>
      <c r="B3831" s="87">
        <v>1</v>
      </c>
      <c r="C3831" s="173" t="s">
        <v>16</v>
      </c>
      <c r="D3831" s="173" t="s">
        <v>372</v>
      </c>
      <c r="E3831" s="173" t="s">
        <v>373</v>
      </c>
      <c r="F3831" s="173" t="s">
        <v>16</v>
      </c>
      <c r="G3831" s="87" t="b">
        <v>1</v>
      </c>
      <c r="H3831" s="87" t="b">
        <v>0</v>
      </c>
      <c r="I3831" s="87" t="b">
        <v>0</v>
      </c>
      <c r="J3831" s="173" t="s">
        <v>455</v>
      </c>
      <c r="K3831" s="174">
        <v>37108388000159</v>
      </c>
      <c r="L3831" s="173" t="s">
        <v>916</v>
      </c>
      <c r="M3831" s="173" t="s">
        <v>739</v>
      </c>
      <c r="N3831" s="173" t="s">
        <v>55</v>
      </c>
      <c r="O3831" s="87">
        <v>70</v>
      </c>
      <c r="P3831" s="173" t="s">
        <v>20</v>
      </c>
      <c r="Q3831" s="1" t="s">
        <v>1338</v>
      </c>
      <c r="R3831" s="175">
        <v>20</v>
      </c>
      <c r="S3831">
        <v>4</v>
      </c>
    </row>
    <row r="3832" spans="1:19" x14ac:dyDescent="0.25">
      <c r="A3832" s="87">
        <v>2020</v>
      </c>
      <c r="B3832" s="87">
        <v>1</v>
      </c>
      <c r="C3832" s="173" t="s">
        <v>16</v>
      </c>
      <c r="D3832" s="173" t="s">
        <v>372</v>
      </c>
      <c r="E3832" s="173" t="s">
        <v>373</v>
      </c>
      <c r="F3832" s="173" t="s">
        <v>16</v>
      </c>
      <c r="G3832" s="87" t="b">
        <v>1</v>
      </c>
      <c r="H3832" s="87" t="b">
        <v>0</v>
      </c>
      <c r="I3832" s="87" t="b">
        <v>0</v>
      </c>
      <c r="J3832" s="173" t="s">
        <v>451</v>
      </c>
      <c r="K3832" s="174">
        <v>37108388000159</v>
      </c>
      <c r="L3832" s="173" t="s">
        <v>916</v>
      </c>
      <c r="M3832" s="173" t="s">
        <v>739</v>
      </c>
      <c r="N3832" s="173" t="s">
        <v>55</v>
      </c>
      <c r="O3832" s="87">
        <v>70</v>
      </c>
      <c r="P3832" s="173" t="s">
        <v>20</v>
      </c>
      <c r="Q3832" s="1" t="s">
        <v>1338</v>
      </c>
      <c r="R3832" s="175">
        <v>10</v>
      </c>
      <c r="S3832">
        <v>2</v>
      </c>
    </row>
    <row r="3833" spans="1:19" x14ac:dyDescent="0.25">
      <c r="A3833" s="87">
        <v>2020</v>
      </c>
      <c r="B3833" s="87">
        <v>1</v>
      </c>
      <c r="C3833" s="173" t="s">
        <v>16</v>
      </c>
      <c r="D3833" s="173" t="s">
        <v>372</v>
      </c>
      <c r="E3833" s="173" t="s">
        <v>373</v>
      </c>
      <c r="F3833" s="173" t="s">
        <v>16</v>
      </c>
      <c r="G3833" s="87" t="b">
        <v>1</v>
      </c>
      <c r="H3833" s="87" t="b">
        <v>0</v>
      </c>
      <c r="I3833" s="87" t="b">
        <v>0</v>
      </c>
      <c r="J3833" s="173" t="s">
        <v>468</v>
      </c>
      <c r="K3833" s="174">
        <v>37436920000167</v>
      </c>
      <c r="L3833" s="173" t="s">
        <v>1478</v>
      </c>
      <c r="M3833" s="173" t="s">
        <v>1479</v>
      </c>
      <c r="N3833" s="173" t="s">
        <v>69</v>
      </c>
      <c r="O3833" s="87">
        <v>64</v>
      </c>
      <c r="P3833" s="173" t="s">
        <v>25</v>
      </c>
      <c r="Q3833" s="1" t="s">
        <v>1344</v>
      </c>
      <c r="R3833" s="175">
        <v>2</v>
      </c>
      <c r="S3833">
        <v>2</v>
      </c>
    </row>
    <row r="3834" spans="1:19" x14ac:dyDescent="0.25">
      <c r="A3834" s="87">
        <v>2020</v>
      </c>
      <c r="B3834" s="87">
        <v>1</v>
      </c>
      <c r="C3834" s="173" t="s">
        <v>16</v>
      </c>
      <c r="D3834" s="173" t="s">
        <v>372</v>
      </c>
      <c r="E3834" s="173" t="s">
        <v>373</v>
      </c>
      <c r="F3834" s="173" t="s">
        <v>16</v>
      </c>
      <c r="G3834" s="87" t="b">
        <v>1</v>
      </c>
      <c r="H3834" s="87" t="b">
        <v>0</v>
      </c>
      <c r="I3834" s="87" t="b">
        <v>0</v>
      </c>
      <c r="J3834" s="173" t="s">
        <v>470</v>
      </c>
      <c r="K3834" s="174">
        <v>39086160000130</v>
      </c>
      <c r="L3834" s="173" t="s">
        <v>1119</v>
      </c>
      <c r="M3834" s="173" t="s">
        <v>131</v>
      </c>
      <c r="N3834" s="173" t="s">
        <v>61</v>
      </c>
      <c r="O3834" s="87">
        <v>70</v>
      </c>
      <c r="P3834" s="173" t="s">
        <v>20</v>
      </c>
      <c r="Q3834" s="1" t="s">
        <v>1338</v>
      </c>
      <c r="R3834" s="175">
        <v>450</v>
      </c>
      <c r="S3834">
        <v>90</v>
      </c>
    </row>
    <row r="3835" spans="1:19" x14ac:dyDescent="0.25">
      <c r="A3835" s="87">
        <v>2020</v>
      </c>
      <c r="B3835" s="87">
        <v>1</v>
      </c>
      <c r="C3835" s="173" t="s">
        <v>16</v>
      </c>
      <c r="D3835" s="173" t="s">
        <v>372</v>
      </c>
      <c r="E3835" s="173" t="s">
        <v>373</v>
      </c>
      <c r="F3835" s="173" t="s">
        <v>16</v>
      </c>
      <c r="G3835" s="87" t="b">
        <v>1</v>
      </c>
      <c r="H3835" s="87" t="b">
        <v>0</v>
      </c>
      <c r="I3835" s="87" t="b">
        <v>0</v>
      </c>
      <c r="J3835" s="173" t="s">
        <v>470</v>
      </c>
      <c r="K3835" s="174">
        <v>39086160000130</v>
      </c>
      <c r="L3835" s="173" t="s">
        <v>1119</v>
      </c>
      <c r="M3835" s="173" t="s">
        <v>131</v>
      </c>
      <c r="N3835" s="173" t="s">
        <v>61</v>
      </c>
      <c r="O3835" s="87">
        <v>73</v>
      </c>
      <c r="P3835" s="173" t="s">
        <v>26</v>
      </c>
      <c r="Q3835" s="1" t="s">
        <v>1342</v>
      </c>
      <c r="R3835" s="175">
        <v>120</v>
      </c>
      <c r="S3835">
        <v>30</v>
      </c>
    </row>
    <row r="3836" spans="1:19" x14ac:dyDescent="0.25">
      <c r="A3836" s="87">
        <v>2020</v>
      </c>
      <c r="B3836" s="87">
        <v>1</v>
      </c>
      <c r="C3836" s="173" t="s">
        <v>16</v>
      </c>
      <c r="D3836" s="173" t="s">
        <v>372</v>
      </c>
      <c r="E3836" s="173" t="s">
        <v>373</v>
      </c>
      <c r="F3836" s="173" t="s">
        <v>16</v>
      </c>
      <c r="G3836" s="87" t="b">
        <v>1</v>
      </c>
      <c r="H3836" s="87" t="b">
        <v>0</v>
      </c>
      <c r="I3836" s="87" t="b">
        <v>0</v>
      </c>
      <c r="J3836" s="173" t="s">
        <v>478</v>
      </c>
      <c r="K3836" s="174">
        <v>39387477000107</v>
      </c>
      <c r="L3836" s="173" t="s">
        <v>1218</v>
      </c>
      <c r="M3836" s="173" t="s">
        <v>1157</v>
      </c>
      <c r="N3836" s="173" t="s">
        <v>98</v>
      </c>
      <c r="O3836" s="87">
        <v>70</v>
      </c>
      <c r="P3836" s="173" t="s">
        <v>20</v>
      </c>
      <c r="Q3836" s="1" t="s">
        <v>1338</v>
      </c>
      <c r="R3836" s="175">
        <v>125</v>
      </c>
      <c r="S3836">
        <v>25</v>
      </c>
    </row>
    <row r="3837" spans="1:19" x14ac:dyDescent="0.25">
      <c r="A3837" s="87">
        <v>2020</v>
      </c>
      <c r="B3837" s="87">
        <v>1</v>
      </c>
      <c r="C3837" s="173" t="s">
        <v>16</v>
      </c>
      <c r="D3837" s="173" t="s">
        <v>372</v>
      </c>
      <c r="E3837" s="173" t="s">
        <v>373</v>
      </c>
      <c r="F3837" s="173" t="s">
        <v>16</v>
      </c>
      <c r="G3837" s="87" t="b">
        <v>1</v>
      </c>
      <c r="H3837" s="87" t="b">
        <v>0</v>
      </c>
      <c r="I3837" s="87" t="b">
        <v>0</v>
      </c>
      <c r="J3837" s="173" t="s">
        <v>492</v>
      </c>
      <c r="K3837" s="174">
        <v>39387477000107</v>
      </c>
      <c r="L3837" s="173" t="s">
        <v>1218</v>
      </c>
      <c r="M3837" s="173" t="s">
        <v>1157</v>
      </c>
      <c r="N3837" s="173" t="s">
        <v>98</v>
      </c>
      <c r="O3837" s="87">
        <v>70</v>
      </c>
      <c r="P3837" s="173" t="s">
        <v>20</v>
      </c>
      <c r="Q3837" s="1" t="s">
        <v>1338</v>
      </c>
      <c r="R3837" s="175">
        <v>375</v>
      </c>
      <c r="S3837">
        <v>75</v>
      </c>
    </row>
    <row r="3838" spans="1:19" x14ac:dyDescent="0.25">
      <c r="A3838" s="87">
        <v>2020</v>
      </c>
      <c r="B3838" s="87">
        <v>1</v>
      </c>
      <c r="C3838" s="173" t="s">
        <v>16</v>
      </c>
      <c r="D3838" s="173" t="s">
        <v>372</v>
      </c>
      <c r="E3838" s="173" t="s">
        <v>373</v>
      </c>
      <c r="F3838" s="173" t="s">
        <v>16</v>
      </c>
      <c r="G3838" s="87" t="b">
        <v>1</v>
      </c>
      <c r="H3838" s="87" t="b">
        <v>0</v>
      </c>
      <c r="I3838" s="87" t="b">
        <v>0</v>
      </c>
      <c r="J3838" s="173" t="s">
        <v>455</v>
      </c>
      <c r="K3838" s="174">
        <v>41781949000234</v>
      </c>
      <c r="L3838" s="173" t="s">
        <v>1219</v>
      </c>
      <c r="M3838" s="173" t="s">
        <v>1220</v>
      </c>
      <c r="N3838" s="173" t="s">
        <v>54</v>
      </c>
      <c r="O3838" s="87">
        <v>70</v>
      </c>
      <c r="P3838" s="173" t="s">
        <v>20</v>
      </c>
      <c r="Q3838" s="1" t="s">
        <v>1338</v>
      </c>
      <c r="R3838" s="175">
        <v>40</v>
      </c>
      <c r="S3838">
        <v>8</v>
      </c>
    </row>
    <row r="3839" spans="1:19" x14ac:dyDescent="0.25">
      <c r="A3839" s="87">
        <v>2020</v>
      </c>
      <c r="B3839" s="87">
        <v>1</v>
      </c>
      <c r="C3839" s="173" t="s">
        <v>16</v>
      </c>
      <c r="D3839" s="173" t="s">
        <v>372</v>
      </c>
      <c r="E3839" s="173" t="s">
        <v>373</v>
      </c>
      <c r="F3839" s="173" t="s">
        <v>16</v>
      </c>
      <c r="G3839" s="87" t="b">
        <v>1</v>
      </c>
      <c r="H3839" s="87" t="b">
        <v>0</v>
      </c>
      <c r="I3839" s="87" t="b">
        <v>0</v>
      </c>
      <c r="J3839" s="173" t="s">
        <v>463</v>
      </c>
      <c r="K3839" s="174">
        <v>41781949000234</v>
      </c>
      <c r="L3839" s="173" t="s">
        <v>1219</v>
      </c>
      <c r="M3839" s="173" t="s">
        <v>1220</v>
      </c>
      <c r="N3839" s="173" t="s">
        <v>54</v>
      </c>
      <c r="O3839" s="87">
        <v>70</v>
      </c>
      <c r="P3839" s="173" t="s">
        <v>20</v>
      </c>
      <c r="Q3839" s="1" t="s">
        <v>1338</v>
      </c>
      <c r="R3839" s="175">
        <v>120</v>
      </c>
      <c r="S3839">
        <v>24</v>
      </c>
    </row>
    <row r="3840" spans="1:19" x14ac:dyDescent="0.25">
      <c r="A3840" s="87">
        <v>2020</v>
      </c>
      <c r="B3840" s="87">
        <v>1</v>
      </c>
      <c r="C3840" s="173" t="s">
        <v>16</v>
      </c>
      <c r="D3840" s="173" t="s">
        <v>372</v>
      </c>
      <c r="E3840" s="173" t="s">
        <v>373</v>
      </c>
      <c r="F3840" s="173" t="s">
        <v>16</v>
      </c>
      <c r="G3840" s="87" t="b">
        <v>1</v>
      </c>
      <c r="H3840" s="87" t="b">
        <v>0</v>
      </c>
      <c r="I3840" s="87" t="b">
        <v>0</v>
      </c>
      <c r="J3840" s="173" t="s">
        <v>470</v>
      </c>
      <c r="K3840" s="174">
        <v>41871989000277</v>
      </c>
      <c r="L3840" s="173" t="s">
        <v>1480</v>
      </c>
      <c r="M3840" s="173" t="s">
        <v>1481</v>
      </c>
      <c r="N3840" s="173" t="s">
        <v>54</v>
      </c>
      <c r="O3840" s="87">
        <v>73</v>
      </c>
      <c r="P3840" s="173" t="s">
        <v>26</v>
      </c>
      <c r="Q3840" s="1" t="s">
        <v>1339</v>
      </c>
      <c r="R3840" s="175">
        <v>8</v>
      </c>
      <c r="S3840">
        <v>4</v>
      </c>
    </row>
    <row r="3841" spans="1:19" x14ac:dyDescent="0.25">
      <c r="A3841" s="87">
        <v>2020</v>
      </c>
      <c r="B3841" s="87">
        <v>1</v>
      </c>
      <c r="C3841" s="173" t="s">
        <v>16</v>
      </c>
      <c r="D3841" s="173" t="s">
        <v>372</v>
      </c>
      <c r="E3841" s="173" t="s">
        <v>373</v>
      </c>
      <c r="F3841" s="173" t="s">
        <v>16</v>
      </c>
      <c r="G3841" s="87" t="b">
        <v>1</v>
      </c>
      <c r="H3841" s="87" t="b">
        <v>0</v>
      </c>
      <c r="I3841" s="87" t="b">
        <v>0</v>
      </c>
      <c r="J3841" s="173" t="s">
        <v>455</v>
      </c>
      <c r="K3841" s="174">
        <v>42043067000153</v>
      </c>
      <c r="L3841" s="173" t="s">
        <v>1482</v>
      </c>
      <c r="M3841" s="173" t="s">
        <v>1483</v>
      </c>
      <c r="N3841" s="173" t="s">
        <v>74</v>
      </c>
      <c r="O3841" s="87">
        <v>70</v>
      </c>
      <c r="P3841" s="173" t="s">
        <v>20</v>
      </c>
      <c r="Q3841" s="1" t="s">
        <v>1338</v>
      </c>
      <c r="R3841" s="175">
        <v>125</v>
      </c>
      <c r="S3841">
        <v>25</v>
      </c>
    </row>
    <row r="3842" spans="1:19" x14ac:dyDescent="0.25">
      <c r="A3842" s="87">
        <v>2020</v>
      </c>
      <c r="B3842" s="87">
        <v>1</v>
      </c>
      <c r="C3842" s="173" t="s">
        <v>16</v>
      </c>
      <c r="D3842" s="173" t="s">
        <v>372</v>
      </c>
      <c r="E3842" s="173" t="s">
        <v>373</v>
      </c>
      <c r="F3842" s="173" t="s">
        <v>16</v>
      </c>
      <c r="G3842" s="87" t="b">
        <v>1</v>
      </c>
      <c r="H3842" s="87" t="b">
        <v>0</v>
      </c>
      <c r="I3842" s="87" t="b">
        <v>0</v>
      </c>
      <c r="J3842" s="173" t="s">
        <v>470</v>
      </c>
      <c r="K3842" s="174">
        <v>42946061000196</v>
      </c>
      <c r="L3842" s="173" t="s">
        <v>1484</v>
      </c>
      <c r="M3842" s="173" t="s">
        <v>1485</v>
      </c>
      <c r="N3842" s="173" t="s">
        <v>54</v>
      </c>
      <c r="O3842" s="87">
        <v>70</v>
      </c>
      <c r="P3842" s="173" t="s">
        <v>20</v>
      </c>
      <c r="Q3842" s="1" t="s">
        <v>1338</v>
      </c>
      <c r="R3842" s="175">
        <v>150</v>
      </c>
      <c r="S3842">
        <v>30</v>
      </c>
    </row>
    <row r="3843" spans="1:19" x14ac:dyDescent="0.25">
      <c r="A3843" s="87">
        <v>2020</v>
      </c>
      <c r="B3843" s="87">
        <v>1</v>
      </c>
      <c r="C3843" s="173" t="s">
        <v>16</v>
      </c>
      <c r="D3843" s="173" t="s">
        <v>372</v>
      </c>
      <c r="E3843" s="173" t="s">
        <v>373</v>
      </c>
      <c r="F3843" s="173" t="s">
        <v>16</v>
      </c>
      <c r="G3843" s="87" t="b">
        <v>1</v>
      </c>
      <c r="H3843" s="87" t="b">
        <v>0</v>
      </c>
      <c r="I3843" s="87" t="b">
        <v>0</v>
      </c>
      <c r="J3843" s="173" t="s">
        <v>450</v>
      </c>
      <c r="K3843" s="174">
        <v>43586122000971</v>
      </c>
      <c r="L3843" s="173" t="s">
        <v>1486</v>
      </c>
      <c r="M3843" s="173" t="s">
        <v>29</v>
      </c>
      <c r="N3843" s="173" t="s">
        <v>19</v>
      </c>
      <c r="O3843" s="87">
        <v>70</v>
      </c>
      <c r="P3843" s="173" t="s">
        <v>20</v>
      </c>
      <c r="Q3843" s="1" t="s">
        <v>1338</v>
      </c>
      <c r="R3843" s="175">
        <v>170</v>
      </c>
      <c r="S3843">
        <v>34</v>
      </c>
    </row>
    <row r="3844" spans="1:19" x14ac:dyDescent="0.25">
      <c r="A3844" s="87">
        <v>2020</v>
      </c>
      <c r="B3844" s="87">
        <v>1</v>
      </c>
      <c r="C3844" s="173" t="s">
        <v>16</v>
      </c>
      <c r="D3844" s="173" t="s">
        <v>372</v>
      </c>
      <c r="E3844" s="173" t="s">
        <v>373</v>
      </c>
      <c r="F3844" s="173" t="s">
        <v>16</v>
      </c>
      <c r="G3844" s="87" t="b">
        <v>1</v>
      </c>
      <c r="H3844" s="87" t="b">
        <v>0</v>
      </c>
      <c r="I3844" s="87" t="b">
        <v>0</v>
      </c>
      <c r="J3844" s="173" t="s">
        <v>451</v>
      </c>
      <c r="K3844" s="174">
        <v>43775956000178</v>
      </c>
      <c r="L3844" s="173" t="s">
        <v>597</v>
      </c>
      <c r="M3844" s="173" t="s">
        <v>29</v>
      </c>
      <c r="N3844" s="173" t="s">
        <v>19</v>
      </c>
      <c r="O3844" s="87">
        <v>70</v>
      </c>
      <c r="P3844" s="173" t="s">
        <v>20</v>
      </c>
      <c r="Q3844" s="1" t="s">
        <v>1338</v>
      </c>
      <c r="R3844" s="175">
        <v>100</v>
      </c>
      <c r="S3844">
        <v>20</v>
      </c>
    </row>
    <row r="3845" spans="1:19" x14ac:dyDescent="0.25">
      <c r="A3845" s="87">
        <v>2020</v>
      </c>
      <c r="B3845" s="87">
        <v>1</v>
      </c>
      <c r="C3845" s="173" t="s">
        <v>16</v>
      </c>
      <c r="D3845" s="173" t="s">
        <v>372</v>
      </c>
      <c r="E3845" s="173" t="s">
        <v>373</v>
      </c>
      <c r="F3845" s="173" t="s">
        <v>16</v>
      </c>
      <c r="G3845" s="87" t="b">
        <v>1</v>
      </c>
      <c r="H3845" s="87" t="b">
        <v>0</v>
      </c>
      <c r="I3845" s="87" t="b">
        <v>0</v>
      </c>
      <c r="J3845" s="173" t="s">
        <v>491</v>
      </c>
      <c r="K3845" s="174">
        <v>44456036000311</v>
      </c>
      <c r="L3845" s="173" t="s">
        <v>675</v>
      </c>
      <c r="M3845" s="173" t="s">
        <v>37</v>
      </c>
      <c r="N3845" s="173" t="s">
        <v>19</v>
      </c>
      <c r="O3845" s="87">
        <v>62</v>
      </c>
      <c r="P3845" s="173" t="s">
        <v>27</v>
      </c>
      <c r="Q3845" s="1" t="s">
        <v>1343</v>
      </c>
      <c r="R3845" s="175">
        <v>8</v>
      </c>
      <c r="S3845">
        <v>8</v>
      </c>
    </row>
    <row r="3846" spans="1:19" x14ac:dyDescent="0.25">
      <c r="A3846" s="87">
        <v>2020</v>
      </c>
      <c r="B3846" s="87">
        <v>1</v>
      </c>
      <c r="C3846" s="173" t="s">
        <v>16</v>
      </c>
      <c r="D3846" s="173" t="s">
        <v>372</v>
      </c>
      <c r="E3846" s="173" t="s">
        <v>373</v>
      </c>
      <c r="F3846" s="173" t="s">
        <v>16</v>
      </c>
      <c r="G3846" s="87" t="b">
        <v>1</v>
      </c>
      <c r="H3846" s="87" t="b">
        <v>0</v>
      </c>
      <c r="I3846" s="87" t="b">
        <v>0</v>
      </c>
      <c r="J3846" s="173" t="s">
        <v>452</v>
      </c>
      <c r="K3846" s="174">
        <v>44456036000311</v>
      </c>
      <c r="L3846" s="173" t="s">
        <v>675</v>
      </c>
      <c r="M3846" s="173" t="s">
        <v>37</v>
      </c>
      <c r="N3846" s="173" t="s">
        <v>19</v>
      </c>
      <c r="O3846" s="87">
        <v>66</v>
      </c>
      <c r="P3846" s="173" t="s">
        <v>28</v>
      </c>
      <c r="Q3846" s="1" t="s">
        <v>1341</v>
      </c>
      <c r="R3846" s="175">
        <v>4</v>
      </c>
      <c r="S3846">
        <v>4</v>
      </c>
    </row>
    <row r="3847" spans="1:19" x14ac:dyDescent="0.25">
      <c r="A3847" s="87">
        <v>2020</v>
      </c>
      <c r="B3847" s="87">
        <v>1</v>
      </c>
      <c r="C3847" s="173" t="s">
        <v>16</v>
      </c>
      <c r="D3847" s="173" t="s">
        <v>372</v>
      </c>
      <c r="E3847" s="173" t="s">
        <v>373</v>
      </c>
      <c r="F3847" s="173" t="s">
        <v>16</v>
      </c>
      <c r="G3847" s="87" t="b">
        <v>1</v>
      </c>
      <c r="H3847" s="87" t="b">
        <v>0</v>
      </c>
      <c r="I3847" s="87" t="b">
        <v>0</v>
      </c>
      <c r="J3847" s="173" t="s">
        <v>450</v>
      </c>
      <c r="K3847" s="174">
        <v>44595700000141</v>
      </c>
      <c r="L3847" s="173" t="s">
        <v>1375</v>
      </c>
      <c r="M3847" s="173" t="s">
        <v>33</v>
      </c>
      <c r="N3847" s="173" t="s">
        <v>19</v>
      </c>
      <c r="O3847" s="87">
        <v>70</v>
      </c>
      <c r="P3847" s="173" t="s">
        <v>20</v>
      </c>
      <c r="Q3847" s="1" t="s">
        <v>1338</v>
      </c>
      <c r="R3847" s="175">
        <v>50</v>
      </c>
      <c r="S3847">
        <v>10</v>
      </c>
    </row>
    <row r="3848" spans="1:19" x14ac:dyDescent="0.25">
      <c r="A3848" s="87">
        <v>2020</v>
      </c>
      <c r="B3848" s="87">
        <v>1</v>
      </c>
      <c r="C3848" s="173" t="s">
        <v>16</v>
      </c>
      <c r="D3848" s="173" t="s">
        <v>372</v>
      </c>
      <c r="E3848" s="173" t="s">
        <v>373</v>
      </c>
      <c r="F3848" s="173" t="s">
        <v>16</v>
      </c>
      <c r="G3848" s="87" t="b">
        <v>1</v>
      </c>
      <c r="H3848" s="87" t="b">
        <v>0</v>
      </c>
      <c r="I3848" s="87" t="b">
        <v>0</v>
      </c>
      <c r="J3848" s="173" t="s">
        <v>463</v>
      </c>
      <c r="K3848" s="174">
        <v>44649812001614</v>
      </c>
      <c r="L3848" s="173" t="s">
        <v>677</v>
      </c>
      <c r="M3848" s="173" t="s">
        <v>678</v>
      </c>
      <c r="N3848" s="173" t="s">
        <v>19</v>
      </c>
      <c r="O3848" s="87">
        <v>64</v>
      </c>
      <c r="P3848" s="173" t="s">
        <v>25</v>
      </c>
      <c r="Q3848" s="1" t="s">
        <v>1344</v>
      </c>
      <c r="R3848" s="175">
        <v>4</v>
      </c>
      <c r="S3848">
        <v>4</v>
      </c>
    </row>
    <row r="3849" spans="1:19" x14ac:dyDescent="0.25">
      <c r="A3849" s="87">
        <v>2020</v>
      </c>
      <c r="B3849" s="87">
        <v>1</v>
      </c>
      <c r="C3849" s="173" t="s">
        <v>16</v>
      </c>
      <c r="D3849" s="173" t="s">
        <v>372</v>
      </c>
      <c r="E3849" s="173" t="s">
        <v>373</v>
      </c>
      <c r="F3849" s="173" t="s">
        <v>16</v>
      </c>
      <c r="G3849" s="87" t="b">
        <v>1</v>
      </c>
      <c r="H3849" s="87" t="b">
        <v>0</v>
      </c>
      <c r="I3849" s="87" t="b">
        <v>0</v>
      </c>
      <c r="J3849" s="173" t="s">
        <v>450</v>
      </c>
      <c r="K3849" s="174">
        <v>44649812019238</v>
      </c>
      <c r="L3849" s="173" t="s">
        <v>679</v>
      </c>
      <c r="M3849" s="173" t="s">
        <v>33</v>
      </c>
      <c r="N3849" s="173" t="s">
        <v>19</v>
      </c>
      <c r="O3849" s="87">
        <v>73</v>
      </c>
      <c r="P3849" s="173" t="s">
        <v>26</v>
      </c>
      <c r="Q3849" s="1" t="s">
        <v>1342</v>
      </c>
      <c r="R3849" s="175">
        <v>8</v>
      </c>
      <c r="S3849">
        <v>2</v>
      </c>
    </row>
    <row r="3850" spans="1:19" x14ac:dyDescent="0.25">
      <c r="A3850" s="87">
        <v>2020</v>
      </c>
      <c r="B3850" s="87">
        <v>1</v>
      </c>
      <c r="C3850" s="173" t="s">
        <v>16</v>
      </c>
      <c r="D3850" s="173" t="s">
        <v>372</v>
      </c>
      <c r="E3850" s="173" t="s">
        <v>373</v>
      </c>
      <c r="F3850" s="173" t="s">
        <v>16</v>
      </c>
      <c r="G3850" s="87" t="b">
        <v>1</v>
      </c>
      <c r="H3850" s="87" t="b">
        <v>0</v>
      </c>
      <c r="I3850" s="87" t="b">
        <v>0</v>
      </c>
      <c r="J3850" s="173" t="s">
        <v>450</v>
      </c>
      <c r="K3850" s="174">
        <v>44649812021216</v>
      </c>
      <c r="L3850" s="173" t="s">
        <v>1360</v>
      </c>
      <c r="M3850" s="173" t="s">
        <v>29</v>
      </c>
      <c r="N3850" s="173" t="s">
        <v>19</v>
      </c>
      <c r="O3850" s="87">
        <v>73</v>
      </c>
      <c r="P3850" s="173" t="s">
        <v>26</v>
      </c>
      <c r="Q3850" s="1" t="s">
        <v>1342</v>
      </c>
      <c r="R3850" s="175">
        <v>16</v>
      </c>
      <c r="S3850">
        <v>4</v>
      </c>
    </row>
    <row r="3851" spans="1:19" x14ac:dyDescent="0.25">
      <c r="A3851" s="87">
        <v>2020</v>
      </c>
      <c r="B3851" s="87">
        <v>1</v>
      </c>
      <c r="C3851" s="173" t="s">
        <v>16</v>
      </c>
      <c r="D3851" s="173" t="s">
        <v>372</v>
      </c>
      <c r="E3851" s="173" t="s">
        <v>373</v>
      </c>
      <c r="F3851" s="173" t="s">
        <v>16</v>
      </c>
      <c r="G3851" s="87" t="b">
        <v>1</v>
      </c>
      <c r="H3851" s="87" t="b">
        <v>0</v>
      </c>
      <c r="I3851" s="87" t="b">
        <v>0</v>
      </c>
      <c r="J3851" s="173" t="s">
        <v>463</v>
      </c>
      <c r="K3851" s="174">
        <v>44649812021216</v>
      </c>
      <c r="L3851" s="173" t="s">
        <v>1360</v>
      </c>
      <c r="M3851" s="173" t="s">
        <v>29</v>
      </c>
      <c r="N3851" s="173" t="s">
        <v>19</v>
      </c>
      <c r="O3851" s="87">
        <v>73</v>
      </c>
      <c r="P3851" s="173" t="s">
        <v>26</v>
      </c>
      <c r="Q3851" s="1" t="s">
        <v>1339</v>
      </c>
      <c r="R3851" s="175">
        <v>8</v>
      </c>
      <c r="S3851">
        <v>4</v>
      </c>
    </row>
    <row r="3852" spans="1:19" x14ac:dyDescent="0.25">
      <c r="A3852" s="87">
        <v>2020</v>
      </c>
      <c r="B3852" s="87">
        <v>1</v>
      </c>
      <c r="C3852" s="173" t="s">
        <v>16</v>
      </c>
      <c r="D3852" s="173" t="s">
        <v>372</v>
      </c>
      <c r="E3852" s="173" t="s">
        <v>373</v>
      </c>
      <c r="F3852" s="173" t="s">
        <v>16</v>
      </c>
      <c r="G3852" s="87" t="b">
        <v>1</v>
      </c>
      <c r="H3852" s="87" t="b">
        <v>0</v>
      </c>
      <c r="I3852" s="87" t="b">
        <v>0</v>
      </c>
      <c r="J3852" s="173" t="s">
        <v>450</v>
      </c>
      <c r="K3852" s="174">
        <v>44663631000590</v>
      </c>
      <c r="L3852" s="173" t="s">
        <v>680</v>
      </c>
      <c r="M3852" s="173" t="s">
        <v>39</v>
      </c>
      <c r="N3852" s="173" t="s">
        <v>19</v>
      </c>
      <c r="O3852" s="87">
        <v>70</v>
      </c>
      <c r="P3852" s="173" t="s">
        <v>20</v>
      </c>
      <c r="Q3852" s="1" t="s">
        <v>1338</v>
      </c>
      <c r="R3852" s="175">
        <v>75</v>
      </c>
      <c r="S3852">
        <v>15</v>
      </c>
    </row>
    <row r="3853" spans="1:19" x14ac:dyDescent="0.25">
      <c r="A3853" s="87">
        <v>2020</v>
      </c>
      <c r="B3853" s="87">
        <v>1</v>
      </c>
      <c r="C3853" s="173" t="s">
        <v>16</v>
      </c>
      <c r="D3853" s="173" t="s">
        <v>372</v>
      </c>
      <c r="E3853" s="173" t="s">
        <v>373</v>
      </c>
      <c r="F3853" s="173" t="s">
        <v>16</v>
      </c>
      <c r="G3853" s="87" t="b">
        <v>1</v>
      </c>
      <c r="H3853" s="87" t="b">
        <v>0</v>
      </c>
      <c r="I3853" s="87" t="b">
        <v>0</v>
      </c>
      <c r="J3853" s="173" t="s">
        <v>491</v>
      </c>
      <c r="K3853" s="174">
        <v>44663631000590</v>
      </c>
      <c r="L3853" s="173" t="s">
        <v>680</v>
      </c>
      <c r="M3853" s="173" t="s">
        <v>39</v>
      </c>
      <c r="N3853" s="173" t="s">
        <v>19</v>
      </c>
      <c r="O3853" s="87">
        <v>73</v>
      </c>
      <c r="P3853" s="173" t="s">
        <v>26</v>
      </c>
      <c r="Q3853" s="1" t="s">
        <v>1342</v>
      </c>
      <c r="R3853" s="175">
        <v>16</v>
      </c>
      <c r="S3853">
        <v>4</v>
      </c>
    </row>
    <row r="3854" spans="1:19" x14ac:dyDescent="0.25">
      <c r="A3854" s="87">
        <v>2020</v>
      </c>
      <c r="B3854" s="87">
        <v>1</v>
      </c>
      <c r="C3854" s="173" t="s">
        <v>16</v>
      </c>
      <c r="D3854" s="173" t="s">
        <v>372</v>
      </c>
      <c r="E3854" s="173" t="s">
        <v>373</v>
      </c>
      <c r="F3854" s="173" t="s">
        <v>16</v>
      </c>
      <c r="G3854" s="87" t="b">
        <v>1</v>
      </c>
      <c r="H3854" s="87" t="b">
        <v>0</v>
      </c>
      <c r="I3854" s="87" t="b">
        <v>0</v>
      </c>
      <c r="J3854" s="173" t="s">
        <v>491</v>
      </c>
      <c r="K3854" s="174">
        <v>44803922000293</v>
      </c>
      <c r="L3854" s="173" t="s">
        <v>681</v>
      </c>
      <c r="M3854" s="173" t="s">
        <v>40</v>
      </c>
      <c r="N3854" s="173" t="s">
        <v>19</v>
      </c>
      <c r="O3854" s="87">
        <v>73</v>
      </c>
      <c r="P3854" s="173" t="s">
        <v>26</v>
      </c>
      <c r="Q3854" s="1" t="s">
        <v>1339</v>
      </c>
      <c r="R3854" s="175">
        <v>8</v>
      </c>
      <c r="S3854">
        <v>4</v>
      </c>
    </row>
    <row r="3855" spans="1:19" x14ac:dyDescent="0.25">
      <c r="A3855" s="87">
        <v>2020</v>
      </c>
      <c r="B3855" s="87">
        <v>1</v>
      </c>
      <c r="C3855" s="173" t="s">
        <v>16</v>
      </c>
      <c r="D3855" s="173" t="s">
        <v>372</v>
      </c>
      <c r="E3855" s="173" t="s">
        <v>373</v>
      </c>
      <c r="F3855" s="173" t="s">
        <v>16</v>
      </c>
      <c r="G3855" s="87" t="b">
        <v>1</v>
      </c>
      <c r="H3855" s="87" t="b">
        <v>0</v>
      </c>
      <c r="I3855" s="87" t="b">
        <v>0</v>
      </c>
      <c r="J3855" s="173" t="s">
        <v>492</v>
      </c>
      <c r="K3855" s="174">
        <v>44863959000126</v>
      </c>
      <c r="L3855" s="173" t="s">
        <v>682</v>
      </c>
      <c r="M3855" s="173" t="s">
        <v>544</v>
      </c>
      <c r="N3855" s="173" t="s">
        <v>19</v>
      </c>
      <c r="O3855" s="87">
        <v>70</v>
      </c>
      <c r="P3855" s="173" t="s">
        <v>20</v>
      </c>
      <c r="Q3855" s="1" t="s">
        <v>1338</v>
      </c>
      <c r="R3855" s="175">
        <v>40</v>
      </c>
      <c r="S3855">
        <v>8</v>
      </c>
    </row>
    <row r="3856" spans="1:19" x14ac:dyDescent="0.25">
      <c r="A3856" s="87">
        <v>2020</v>
      </c>
      <c r="B3856" s="87">
        <v>1</v>
      </c>
      <c r="C3856" s="173" t="s">
        <v>16</v>
      </c>
      <c r="D3856" s="173" t="s">
        <v>372</v>
      </c>
      <c r="E3856" s="173" t="s">
        <v>373</v>
      </c>
      <c r="F3856" s="173" t="s">
        <v>16</v>
      </c>
      <c r="G3856" s="87" t="b">
        <v>1</v>
      </c>
      <c r="H3856" s="87" t="b">
        <v>0</v>
      </c>
      <c r="I3856" s="87" t="b">
        <v>0</v>
      </c>
      <c r="J3856" s="173" t="s">
        <v>450</v>
      </c>
      <c r="K3856" s="174">
        <v>45118429001279</v>
      </c>
      <c r="L3856" s="173" t="s">
        <v>683</v>
      </c>
      <c r="M3856" s="173" t="s">
        <v>41</v>
      </c>
      <c r="N3856" s="173" t="s">
        <v>19</v>
      </c>
      <c r="O3856" s="87">
        <v>70</v>
      </c>
      <c r="P3856" s="173" t="s">
        <v>20</v>
      </c>
      <c r="Q3856" s="1" t="s">
        <v>1338</v>
      </c>
      <c r="R3856" s="175">
        <v>50</v>
      </c>
      <c r="S3856">
        <v>10</v>
      </c>
    </row>
    <row r="3857" spans="1:19" x14ac:dyDescent="0.25">
      <c r="A3857" s="87">
        <v>2020</v>
      </c>
      <c r="B3857" s="87">
        <v>1</v>
      </c>
      <c r="C3857" s="173" t="s">
        <v>16</v>
      </c>
      <c r="D3857" s="173" t="s">
        <v>372</v>
      </c>
      <c r="E3857" s="173" t="s">
        <v>373</v>
      </c>
      <c r="F3857" s="173" t="s">
        <v>16</v>
      </c>
      <c r="G3857" s="87" t="b">
        <v>1</v>
      </c>
      <c r="H3857" s="87" t="b">
        <v>0</v>
      </c>
      <c r="I3857" s="87" t="b">
        <v>0</v>
      </c>
      <c r="J3857" s="173" t="s">
        <v>463</v>
      </c>
      <c r="K3857" s="174">
        <v>45184066000117</v>
      </c>
      <c r="L3857" s="173" t="s">
        <v>684</v>
      </c>
      <c r="M3857" s="173" t="s">
        <v>650</v>
      </c>
      <c r="N3857" s="173" t="s">
        <v>19</v>
      </c>
      <c r="O3857" s="87">
        <v>64</v>
      </c>
      <c r="P3857" s="173" t="s">
        <v>25</v>
      </c>
      <c r="Q3857" s="1" t="s">
        <v>1344</v>
      </c>
      <c r="R3857" s="175">
        <v>1</v>
      </c>
      <c r="S3857">
        <v>1</v>
      </c>
    </row>
    <row r="3858" spans="1:19" x14ac:dyDescent="0.25">
      <c r="A3858" s="87">
        <v>2020</v>
      </c>
      <c r="B3858" s="87">
        <v>1</v>
      </c>
      <c r="C3858" s="173" t="s">
        <v>16</v>
      </c>
      <c r="D3858" s="173" t="s">
        <v>372</v>
      </c>
      <c r="E3858" s="173" t="s">
        <v>373</v>
      </c>
      <c r="F3858" s="173" t="s">
        <v>16</v>
      </c>
      <c r="G3858" s="87" t="b">
        <v>1</v>
      </c>
      <c r="H3858" s="87" t="b">
        <v>0</v>
      </c>
      <c r="I3858" s="87" t="b">
        <v>0</v>
      </c>
      <c r="J3858" s="173" t="s">
        <v>450</v>
      </c>
      <c r="K3858" s="174">
        <v>45184066000117</v>
      </c>
      <c r="L3858" s="173" t="s">
        <v>684</v>
      </c>
      <c r="M3858" s="173" t="s">
        <v>650</v>
      </c>
      <c r="N3858" s="173" t="s">
        <v>19</v>
      </c>
      <c r="O3858" s="87">
        <v>73</v>
      </c>
      <c r="P3858" s="173" t="s">
        <v>26</v>
      </c>
      <c r="Q3858" s="1" t="s">
        <v>1340</v>
      </c>
      <c r="R3858" s="175">
        <v>5</v>
      </c>
      <c r="S3858">
        <v>5</v>
      </c>
    </row>
    <row r="3859" spans="1:19" x14ac:dyDescent="0.25">
      <c r="A3859" s="87">
        <v>2020</v>
      </c>
      <c r="B3859" s="87">
        <v>1</v>
      </c>
      <c r="C3859" s="173" t="s">
        <v>16</v>
      </c>
      <c r="D3859" s="173" t="s">
        <v>372</v>
      </c>
      <c r="E3859" s="173" t="s">
        <v>373</v>
      </c>
      <c r="F3859" s="173" t="s">
        <v>16</v>
      </c>
      <c r="G3859" s="87" t="b">
        <v>1</v>
      </c>
      <c r="H3859" s="87" t="b">
        <v>0</v>
      </c>
      <c r="I3859" s="87" t="b">
        <v>0</v>
      </c>
      <c r="J3859" s="173" t="s">
        <v>463</v>
      </c>
      <c r="K3859" s="174">
        <v>45184066000117</v>
      </c>
      <c r="L3859" s="173" t="s">
        <v>684</v>
      </c>
      <c r="M3859" s="173" t="s">
        <v>650</v>
      </c>
      <c r="N3859" s="173" t="s">
        <v>19</v>
      </c>
      <c r="O3859" s="87">
        <v>73</v>
      </c>
      <c r="P3859" s="173" t="s">
        <v>26</v>
      </c>
      <c r="Q3859" s="1" t="s">
        <v>1342</v>
      </c>
      <c r="R3859" s="175">
        <v>8</v>
      </c>
      <c r="S3859">
        <v>2</v>
      </c>
    </row>
    <row r="3860" spans="1:19" x14ac:dyDescent="0.25">
      <c r="A3860" s="87">
        <v>2020</v>
      </c>
      <c r="B3860" s="87">
        <v>1</v>
      </c>
      <c r="C3860" s="173" t="s">
        <v>16</v>
      </c>
      <c r="D3860" s="173" t="s">
        <v>372</v>
      </c>
      <c r="E3860" s="173" t="s">
        <v>373</v>
      </c>
      <c r="F3860" s="173" t="s">
        <v>16</v>
      </c>
      <c r="G3860" s="87" t="b">
        <v>1</v>
      </c>
      <c r="H3860" s="87" t="b">
        <v>0</v>
      </c>
      <c r="I3860" s="87" t="b">
        <v>0</v>
      </c>
      <c r="J3860" s="173" t="s">
        <v>463</v>
      </c>
      <c r="K3860" s="174">
        <v>45184066000117</v>
      </c>
      <c r="L3860" s="173" t="s">
        <v>684</v>
      </c>
      <c r="M3860" s="173" t="s">
        <v>650</v>
      </c>
      <c r="N3860" s="173" t="s">
        <v>19</v>
      </c>
      <c r="O3860" s="87">
        <v>73</v>
      </c>
      <c r="P3860" s="173" t="s">
        <v>26</v>
      </c>
      <c r="Q3860" s="1" t="s">
        <v>1340</v>
      </c>
      <c r="R3860" s="175">
        <v>2</v>
      </c>
      <c r="S3860">
        <v>2</v>
      </c>
    </row>
    <row r="3861" spans="1:19" x14ac:dyDescent="0.25">
      <c r="A3861" s="87">
        <v>2020</v>
      </c>
      <c r="B3861" s="87">
        <v>1</v>
      </c>
      <c r="C3861" s="173" t="s">
        <v>16</v>
      </c>
      <c r="D3861" s="173" t="s">
        <v>372</v>
      </c>
      <c r="E3861" s="173" t="s">
        <v>373</v>
      </c>
      <c r="F3861" s="173" t="s">
        <v>16</v>
      </c>
      <c r="G3861" s="87" t="b">
        <v>1</v>
      </c>
      <c r="H3861" s="87" t="b">
        <v>0</v>
      </c>
      <c r="I3861" s="87" t="b">
        <v>0</v>
      </c>
      <c r="J3861" s="173" t="s">
        <v>506</v>
      </c>
      <c r="K3861" s="174">
        <v>45232246000550</v>
      </c>
      <c r="L3861" s="173" t="s">
        <v>685</v>
      </c>
      <c r="M3861" s="173" t="s">
        <v>639</v>
      </c>
      <c r="N3861" s="173" t="s">
        <v>19</v>
      </c>
      <c r="O3861" s="87">
        <v>70</v>
      </c>
      <c r="P3861" s="173" t="s">
        <v>20</v>
      </c>
      <c r="Q3861" s="1" t="s">
        <v>1338</v>
      </c>
      <c r="R3861" s="175">
        <v>145</v>
      </c>
      <c r="S3861">
        <v>29</v>
      </c>
    </row>
    <row r="3862" spans="1:19" x14ac:dyDescent="0.25">
      <c r="A3862" s="87">
        <v>2020</v>
      </c>
      <c r="B3862" s="87">
        <v>1</v>
      </c>
      <c r="C3862" s="173" t="s">
        <v>16</v>
      </c>
      <c r="D3862" s="173" t="s">
        <v>372</v>
      </c>
      <c r="E3862" s="173" t="s">
        <v>373</v>
      </c>
      <c r="F3862" s="173" t="s">
        <v>16</v>
      </c>
      <c r="G3862" s="87" t="b">
        <v>1</v>
      </c>
      <c r="H3862" s="87" t="b">
        <v>0</v>
      </c>
      <c r="I3862" s="87" t="b">
        <v>0</v>
      </c>
      <c r="J3862" s="173" t="s">
        <v>450</v>
      </c>
      <c r="K3862" s="174">
        <v>45232246000550</v>
      </c>
      <c r="L3862" s="173" t="s">
        <v>685</v>
      </c>
      <c r="M3862" s="173" t="s">
        <v>639</v>
      </c>
      <c r="N3862" s="173" t="s">
        <v>19</v>
      </c>
      <c r="O3862" s="87">
        <v>73</v>
      </c>
      <c r="P3862" s="173" t="s">
        <v>26</v>
      </c>
      <c r="Q3862" s="1" t="s">
        <v>1339</v>
      </c>
      <c r="R3862" s="175">
        <v>12</v>
      </c>
      <c r="S3862">
        <v>6</v>
      </c>
    </row>
    <row r="3863" spans="1:19" x14ac:dyDescent="0.25">
      <c r="A3863" s="87">
        <v>2020</v>
      </c>
      <c r="B3863" s="87">
        <v>1</v>
      </c>
      <c r="C3863" s="173" t="s">
        <v>16</v>
      </c>
      <c r="D3863" s="173" t="s">
        <v>372</v>
      </c>
      <c r="E3863" s="173" t="s">
        <v>373</v>
      </c>
      <c r="F3863" s="173" t="s">
        <v>16</v>
      </c>
      <c r="G3863" s="87" t="b">
        <v>1</v>
      </c>
      <c r="H3863" s="87" t="b">
        <v>0</v>
      </c>
      <c r="I3863" s="87" t="b">
        <v>0</v>
      </c>
      <c r="J3863" s="173" t="s">
        <v>450</v>
      </c>
      <c r="K3863" s="174">
        <v>45232246000550</v>
      </c>
      <c r="L3863" s="173" t="s">
        <v>685</v>
      </c>
      <c r="M3863" s="173" t="s">
        <v>639</v>
      </c>
      <c r="N3863" s="173" t="s">
        <v>19</v>
      </c>
      <c r="O3863" s="87">
        <v>73</v>
      </c>
      <c r="P3863" s="173" t="s">
        <v>26</v>
      </c>
      <c r="Q3863" s="1" t="s">
        <v>1340</v>
      </c>
      <c r="R3863" s="175">
        <v>3</v>
      </c>
      <c r="S3863">
        <v>3</v>
      </c>
    </row>
    <row r="3864" spans="1:19" x14ac:dyDescent="0.25">
      <c r="A3864" s="87">
        <v>2020</v>
      </c>
      <c r="B3864" s="87">
        <v>1</v>
      </c>
      <c r="C3864" s="173" t="s">
        <v>16</v>
      </c>
      <c r="D3864" s="173" t="s">
        <v>372</v>
      </c>
      <c r="E3864" s="173" t="s">
        <v>373</v>
      </c>
      <c r="F3864" s="173" t="s">
        <v>16</v>
      </c>
      <c r="G3864" s="87" t="b">
        <v>1</v>
      </c>
      <c r="H3864" s="87" t="b">
        <v>0</v>
      </c>
      <c r="I3864" s="87" t="b">
        <v>0</v>
      </c>
      <c r="J3864" s="173" t="s">
        <v>463</v>
      </c>
      <c r="K3864" s="174">
        <v>45232246000550</v>
      </c>
      <c r="L3864" s="173" t="s">
        <v>685</v>
      </c>
      <c r="M3864" s="173" t="s">
        <v>639</v>
      </c>
      <c r="N3864" s="173" t="s">
        <v>19</v>
      </c>
      <c r="O3864" s="87">
        <v>73</v>
      </c>
      <c r="P3864" s="173" t="s">
        <v>26</v>
      </c>
      <c r="Q3864" s="1" t="s">
        <v>1342</v>
      </c>
      <c r="R3864" s="175">
        <v>32</v>
      </c>
      <c r="S3864">
        <v>8</v>
      </c>
    </row>
    <row r="3865" spans="1:19" x14ac:dyDescent="0.25">
      <c r="A3865" s="87">
        <v>2020</v>
      </c>
      <c r="B3865" s="87">
        <v>1</v>
      </c>
      <c r="C3865" s="173" t="s">
        <v>16</v>
      </c>
      <c r="D3865" s="173" t="s">
        <v>372</v>
      </c>
      <c r="E3865" s="173" t="s">
        <v>373</v>
      </c>
      <c r="F3865" s="173" t="s">
        <v>16</v>
      </c>
      <c r="G3865" s="87" t="b">
        <v>1</v>
      </c>
      <c r="H3865" s="87" t="b">
        <v>0</v>
      </c>
      <c r="I3865" s="87" t="b">
        <v>0</v>
      </c>
      <c r="J3865" s="173" t="s">
        <v>450</v>
      </c>
      <c r="K3865" s="174">
        <v>45359213000576</v>
      </c>
      <c r="L3865" s="173" t="s">
        <v>686</v>
      </c>
      <c r="M3865" s="173" t="s">
        <v>687</v>
      </c>
      <c r="N3865" s="173" t="s">
        <v>19</v>
      </c>
      <c r="O3865" s="87">
        <v>73</v>
      </c>
      <c r="P3865" s="173" t="s">
        <v>26</v>
      </c>
      <c r="Q3865" s="1" t="s">
        <v>1342</v>
      </c>
      <c r="R3865" s="175">
        <v>16</v>
      </c>
      <c r="S3865">
        <v>4</v>
      </c>
    </row>
    <row r="3866" spans="1:19" x14ac:dyDescent="0.25">
      <c r="A3866" s="87">
        <v>2020</v>
      </c>
      <c r="B3866" s="87">
        <v>1</v>
      </c>
      <c r="C3866" s="173" t="s">
        <v>16</v>
      </c>
      <c r="D3866" s="173" t="s">
        <v>372</v>
      </c>
      <c r="E3866" s="173" t="s">
        <v>373</v>
      </c>
      <c r="F3866" s="173" t="s">
        <v>16</v>
      </c>
      <c r="G3866" s="87" t="b">
        <v>1</v>
      </c>
      <c r="H3866" s="87" t="b">
        <v>0</v>
      </c>
      <c r="I3866" s="87" t="b">
        <v>0</v>
      </c>
      <c r="J3866" s="173" t="s">
        <v>491</v>
      </c>
      <c r="K3866" s="174">
        <v>45359213000576</v>
      </c>
      <c r="L3866" s="173" t="s">
        <v>686</v>
      </c>
      <c r="M3866" s="173" t="s">
        <v>687</v>
      </c>
      <c r="N3866" s="173" t="s">
        <v>19</v>
      </c>
      <c r="O3866" s="87">
        <v>73</v>
      </c>
      <c r="P3866" s="173" t="s">
        <v>26</v>
      </c>
      <c r="Q3866" s="1" t="s">
        <v>1339</v>
      </c>
      <c r="R3866" s="175">
        <v>12</v>
      </c>
      <c r="S3866">
        <v>6</v>
      </c>
    </row>
    <row r="3867" spans="1:19" x14ac:dyDescent="0.25">
      <c r="A3867" s="87">
        <v>2020</v>
      </c>
      <c r="B3867" s="87">
        <v>1</v>
      </c>
      <c r="C3867" s="173" t="s">
        <v>16</v>
      </c>
      <c r="D3867" s="173" t="s">
        <v>372</v>
      </c>
      <c r="E3867" s="173" t="s">
        <v>373</v>
      </c>
      <c r="F3867" s="173" t="s">
        <v>16</v>
      </c>
      <c r="G3867" s="87" t="b">
        <v>1</v>
      </c>
      <c r="H3867" s="87" t="b">
        <v>0</v>
      </c>
      <c r="I3867" s="87" t="b">
        <v>0</v>
      </c>
      <c r="J3867" s="173" t="s">
        <v>1330</v>
      </c>
      <c r="K3867" s="174">
        <v>45780103000150</v>
      </c>
      <c r="L3867" s="173" t="s">
        <v>689</v>
      </c>
      <c r="M3867" s="173" t="s">
        <v>678</v>
      </c>
      <c r="N3867" s="173" t="s">
        <v>19</v>
      </c>
      <c r="O3867" s="87">
        <v>70</v>
      </c>
      <c r="P3867" s="173" t="s">
        <v>20</v>
      </c>
      <c r="Q3867" s="1" t="s">
        <v>1338</v>
      </c>
      <c r="R3867" s="175">
        <v>500</v>
      </c>
      <c r="S3867">
        <v>100</v>
      </c>
    </row>
    <row r="3868" spans="1:19" x14ac:dyDescent="0.25">
      <c r="A3868" s="87">
        <v>2020</v>
      </c>
      <c r="B3868" s="87">
        <v>1</v>
      </c>
      <c r="C3868" s="173" t="s">
        <v>16</v>
      </c>
      <c r="D3868" s="173" t="s">
        <v>372</v>
      </c>
      <c r="E3868" s="173" t="s">
        <v>373</v>
      </c>
      <c r="F3868" s="173" t="s">
        <v>16</v>
      </c>
      <c r="G3868" s="87" t="b">
        <v>1</v>
      </c>
      <c r="H3868" s="87" t="b">
        <v>0</v>
      </c>
      <c r="I3868" s="87" t="b">
        <v>0</v>
      </c>
      <c r="J3868" s="173" t="s">
        <v>455</v>
      </c>
      <c r="K3868" s="174">
        <v>45876208000107</v>
      </c>
      <c r="L3868" s="173" t="s">
        <v>1361</v>
      </c>
      <c r="M3868" s="173" t="s">
        <v>29</v>
      </c>
      <c r="N3868" s="173" t="s">
        <v>19</v>
      </c>
      <c r="O3868" s="87">
        <v>70</v>
      </c>
      <c r="P3868" s="173" t="s">
        <v>20</v>
      </c>
      <c r="Q3868" s="1" t="s">
        <v>1338</v>
      </c>
      <c r="R3868" s="175">
        <v>30</v>
      </c>
      <c r="S3868">
        <v>6</v>
      </c>
    </row>
    <row r="3869" spans="1:19" x14ac:dyDescent="0.25">
      <c r="A3869" s="87">
        <v>2020</v>
      </c>
      <c r="B3869" s="87">
        <v>1</v>
      </c>
      <c r="C3869" s="173" t="s">
        <v>16</v>
      </c>
      <c r="D3869" s="173" t="s">
        <v>372</v>
      </c>
      <c r="E3869" s="173" t="s">
        <v>373</v>
      </c>
      <c r="F3869" s="173" t="s">
        <v>16</v>
      </c>
      <c r="G3869" s="87" t="b">
        <v>1</v>
      </c>
      <c r="H3869" s="87" t="b">
        <v>0</v>
      </c>
      <c r="I3869" s="87" t="b">
        <v>0</v>
      </c>
      <c r="J3869" s="173" t="s">
        <v>450</v>
      </c>
      <c r="K3869" s="174">
        <v>46009718000140</v>
      </c>
      <c r="L3869" s="173" t="s">
        <v>690</v>
      </c>
      <c r="M3869" s="173" t="s">
        <v>33</v>
      </c>
      <c r="N3869" s="173" t="s">
        <v>19</v>
      </c>
      <c r="O3869" s="87">
        <v>70</v>
      </c>
      <c r="P3869" s="173" t="s">
        <v>20</v>
      </c>
      <c r="Q3869" s="1" t="s">
        <v>1338</v>
      </c>
      <c r="R3869" s="175">
        <v>300</v>
      </c>
      <c r="S3869">
        <v>60</v>
      </c>
    </row>
    <row r="3870" spans="1:19" x14ac:dyDescent="0.25">
      <c r="A3870" s="87">
        <v>2020</v>
      </c>
      <c r="B3870" s="87">
        <v>1</v>
      </c>
      <c r="C3870" s="173" t="s">
        <v>16</v>
      </c>
      <c r="D3870" s="173" t="s">
        <v>372</v>
      </c>
      <c r="E3870" s="173" t="s">
        <v>373</v>
      </c>
      <c r="F3870" s="173" t="s">
        <v>16</v>
      </c>
      <c r="G3870" s="87" t="b">
        <v>1</v>
      </c>
      <c r="H3870" s="87" t="b">
        <v>0</v>
      </c>
      <c r="I3870" s="87" t="b">
        <v>0</v>
      </c>
      <c r="J3870" s="173" t="s">
        <v>492</v>
      </c>
      <c r="K3870" s="174">
        <v>46009718000140</v>
      </c>
      <c r="L3870" s="173" t="s">
        <v>690</v>
      </c>
      <c r="M3870" s="173" t="s">
        <v>33</v>
      </c>
      <c r="N3870" s="173" t="s">
        <v>19</v>
      </c>
      <c r="O3870" s="87">
        <v>70</v>
      </c>
      <c r="P3870" s="173" t="s">
        <v>20</v>
      </c>
      <c r="Q3870" s="1" t="s">
        <v>1338</v>
      </c>
      <c r="R3870" s="175">
        <v>250</v>
      </c>
      <c r="S3870">
        <v>50</v>
      </c>
    </row>
    <row r="3871" spans="1:19" x14ac:dyDescent="0.25">
      <c r="A3871" s="87">
        <v>2020</v>
      </c>
      <c r="B3871" s="87">
        <v>1</v>
      </c>
      <c r="C3871" s="173" t="s">
        <v>16</v>
      </c>
      <c r="D3871" s="173" t="s">
        <v>372</v>
      </c>
      <c r="E3871" s="173" t="s">
        <v>373</v>
      </c>
      <c r="F3871" s="173" t="s">
        <v>16</v>
      </c>
      <c r="G3871" s="87" t="b">
        <v>1</v>
      </c>
      <c r="H3871" s="87" t="b">
        <v>0</v>
      </c>
      <c r="I3871" s="87" t="b">
        <v>0</v>
      </c>
      <c r="J3871" s="173" t="s">
        <v>491</v>
      </c>
      <c r="K3871" s="174">
        <v>46009718000140</v>
      </c>
      <c r="L3871" s="173" t="s">
        <v>690</v>
      </c>
      <c r="M3871" s="173" t="s">
        <v>33</v>
      </c>
      <c r="N3871" s="173" t="s">
        <v>19</v>
      </c>
      <c r="O3871" s="87">
        <v>73</v>
      </c>
      <c r="P3871" s="173" t="s">
        <v>26</v>
      </c>
      <c r="Q3871" s="1" t="s">
        <v>1342</v>
      </c>
      <c r="R3871" s="175">
        <v>40</v>
      </c>
      <c r="S3871">
        <v>10</v>
      </c>
    </row>
    <row r="3872" spans="1:19" x14ac:dyDescent="0.25">
      <c r="A3872" s="87">
        <v>2020</v>
      </c>
      <c r="B3872" s="87">
        <v>1</v>
      </c>
      <c r="C3872" s="173" t="s">
        <v>16</v>
      </c>
      <c r="D3872" s="173" t="s">
        <v>372</v>
      </c>
      <c r="E3872" s="173" t="s">
        <v>373</v>
      </c>
      <c r="F3872" s="173" t="s">
        <v>16</v>
      </c>
      <c r="G3872" s="87" t="b">
        <v>1</v>
      </c>
      <c r="H3872" s="87" t="b">
        <v>0</v>
      </c>
      <c r="I3872" s="87" t="b">
        <v>0</v>
      </c>
      <c r="J3872" s="173" t="s">
        <v>450</v>
      </c>
      <c r="K3872" s="174">
        <v>46020301000269</v>
      </c>
      <c r="L3872" s="173" t="s">
        <v>691</v>
      </c>
      <c r="M3872" s="173" t="s">
        <v>33</v>
      </c>
      <c r="N3872" s="173" t="s">
        <v>19</v>
      </c>
      <c r="O3872" s="87">
        <v>73</v>
      </c>
      <c r="P3872" s="173" t="s">
        <v>26</v>
      </c>
      <c r="Q3872" s="1" t="s">
        <v>1342</v>
      </c>
      <c r="R3872" s="175">
        <v>20</v>
      </c>
      <c r="S3872">
        <v>5</v>
      </c>
    </row>
    <row r="3873" spans="1:19" x14ac:dyDescent="0.25">
      <c r="A3873" s="87">
        <v>2020</v>
      </c>
      <c r="B3873" s="87">
        <v>1</v>
      </c>
      <c r="C3873" s="173" t="s">
        <v>16</v>
      </c>
      <c r="D3873" s="173" t="s">
        <v>372</v>
      </c>
      <c r="E3873" s="173" t="s">
        <v>373</v>
      </c>
      <c r="F3873" s="173" t="s">
        <v>16</v>
      </c>
      <c r="G3873" s="87" t="b">
        <v>1</v>
      </c>
      <c r="H3873" s="87" t="b">
        <v>0</v>
      </c>
      <c r="I3873" s="87" t="b">
        <v>0</v>
      </c>
      <c r="J3873" s="173" t="s">
        <v>450</v>
      </c>
      <c r="K3873" s="174">
        <v>46068425000133</v>
      </c>
      <c r="L3873" s="173" t="s">
        <v>692</v>
      </c>
      <c r="M3873" s="173" t="s">
        <v>33</v>
      </c>
      <c r="N3873" s="173" t="s">
        <v>19</v>
      </c>
      <c r="O3873" s="87">
        <v>66</v>
      </c>
      <c r="P3873" s="173" t="s">
        <v>28</v>
      </c>
      <c r="Q3873" s="1" t="s">
        <v>1341</v>
      </c>
      <c r="R3873" s="175">
        <v>1</v>
      </c>
      <c r="S3873">
        <v>1</v>
      </c>
    </row>
    <row r="3874" spans="1:19" x14ac:dyDescent="0.25">
      <c r="A3874" s="87">
        <v>2020</v>
      </c>
      <c r="B3874" s="87">
        <v>1</v>
      </c>
      <c r="C3874" s="173" t="s">
        <v>16</v>
      </c>
      <c r="D3874" s="173" t="s">
        <v>372</v>
      </c>
      <c r="E3874" s="173" t="s">
        <v>373</v>
      </c>
      <c r="F3874" s="173" t="s">
        <v>16</v>
      </c>
      <c r="G3874" s="87" t="b">
        <v>1</v>
      </c>
      <c r="H3874" s="87" t="b">
        <v>0</v>
      </c>
      <c r="I3874" s="87" t="b">
        <v>0</v>
      </c>
      <c r="J3874" s="173" t="s">
        <v>448</v>
      </c>
      <c r="K3874" s="174">
        <v>46124624000111</v>
      </c>
      <c r="L3874" s="173" t="s">
        <v>693</v>
      </c>
      <c r="M3874" s="173" t="s">
        <v>33</v>
      </c>
      <c r="N3874" s="173" t="s">
        <v>19</v>
      </c>
      <c r="O3874" s="87">
        <v>70</v>
      </c>
      <c r="P3874" s="173" t="s">
        <v>20</v>
      </c>
      <c r="Q3874" s="1" t="s">
        <v>1338</v>
      </c>
      <c r="R3874" s="175">
        <v>1120</v>
      </c>
      <c r="S3874">
        <v>224</v>
      </c>
    </row>
    <row r="3875" spans="1:19" x14ac:dyDescent="0.25">
      <c r="A3875" s="87">
        <v>2020</v>
      </c>
      <c r="B3875" s="87">
        <v>1</v>
      </c>
      <c r="C3875" s="173" t="s">
        <v>16</v>
      </c>
      <c r="D3875" s="173" t="s">
        <v>372</v>
      </c>
      <c r="E3875" s="173" t="s">
        <v>373</v>
      </c>
      <c r="F3875" s="173" t="s">
        <v>16</v>
      </c>
      <c r="G3875" s="87" t="b">
        <v>1</v>
      </c>
      <c r="H3875" s="87" t="b">
        <v>0</v>
      </c>
      <c r="I3875" s="87" t="b">
        <v>0</v>
      </c>
      <c r="J3875" s="173" t="s">
        <v>448</v>
      </c>
      <c r="K3875" s="174">
        <v>46124624000111</v>
      </c>
      <c r="L3875" s="173" t="s">
        <v>693</v>
      </c>
      <c r="M3875" s="173" t="s">
        <v>33</v>
      </c>
      <c r="N3875" s="173" t="s">
        <v>19</v>
      </c>
      <c r="O3875" s="87">
        <v>73</v>
      </c>
      <c r="P3875" s="173" t="s">
        <v>26</v>
      </c>
      <c r="Q3875" s="1" t="s">
        <v>1342</v>
      </c>
      <c r="R3875" s="175">
        <v>276</v>
      </c>
      <c r="S3875">
        <v>69</v>
      </c>
    </row>
    <row r="3876" spans="1:19" x14ac:dyDescent="0.25">
      <c r="A3876" s="87">
        <v>2020</v>
      </c>
      <c r="B3876" s="87">
        <v>1</v>
      </c>
      <c r="C3876" s="173" t="s">
        <v>16</v>
      </c>
      <c r="D3876" s="173" t="s">
        <v>372</v>
      </c>
      <c r="E3876" s="173" t="s">
        <v>373</v>
      </c>
      <c r="F3876" s="173" t="s">
        <v>16</v>
      </c>
      <c r="G3876" s="87" t="b">
        <v>1</v>
      </c>
      <c r="H3876" s="87" t="b">
        <v>0</v>
      </c>
      <c r="I3876" s="87" t="b">
        <v>0</v>
      </c>
      <c r="J3876" s="173" t="s">
        <v>448</v>
      </c>
      <c r="K3876" s="174">
        <v>46124624002670</v>
      </c>
      <c r="L3876" s="173" t="s">
        <v>1226</v>
      </c>
      <c r="M3876" s="173" t="s">
        <v>29</v>
      </c>
      <c r="N3876" s="173" t="s">
        <v>19</v>
      </c>
      <c r="O3876" s="87">
        <v>70</v>
      </c>
      <c r="P3876" s="173" t="s">
        <v>20</v>
      </c>
      <c r="Q3876" s="1" t="s">
        <v>1338</v>
      </c>
      <c r="R3876" s="175">
        <v>1250</v>
      </c>
      <c r="S3876">
        <v>250</v>
      </c>
    </row>
    <row r="3877" spans="1:19" x14ac:dyDescent="0.25">
      <c r="A3877" s="87">
        <v>2020</v>
      </c>
      <c r="B3877" s="87">
        <v>1</v>
      </c>
      <c r="C3877" s="173" t="s">
        <v>16</v>
      </c>
      <c r="D3877" s="173" t="s">
        <v>372</v>
      </c>
      <c r="E3877" s="173" t="s">
        <v>373</v>
      </c>
      <c r="F3877" s="173" t="s">
        <v>16</v>
      </c>
      <c r="G3877" s="87" t="b">
        <v>1</v>
      </c>
      <c r="H3877" s="87" t="b">
        <v>0</v>
      </c>
      <c r="I3877" s="87" t="b">
        <v>0</v>
      </c>
      <c r="J3877" s="173" t="s">
        <v>448</v>
      </c>
      <c r="K3877" s="174">
        <v>46124624002670</v>
      </c>
      <c r="L3877" s="173" t="s">
        <v>1226</v>
      </c>
      <c r="M3877" s="173" t="s">
        <v>29</v>
      </c>
      <c r="N3877" s="173" t="s">
        <v>19</v>
      </c>
      <c r="O3877" s="87">
        <v>73</v>
      </c>
      <c r="P3877" s="173" t="s">
        <v>26</v>
      </c>
      <c r="Q3877" s="1" t="s">
        <v>1342</v>
      </c>
      <c r="R3877" s="175">
        <v>240</v>
      </c>
      <c r="S3877">
        <v>60</v>
      </c>
    </row>
    <row r="3878" spans="1:19" x14ac:dyDescent="0.25">
      <c r="A3878" s="87">
        <v>2020</v>
      </c>
      <c r="B3878" s="87">
        <v>1</v>
      </c>
      <c r="C3878" s="173" t="s">
        <v>16</v>
      </c>
      <c r="D3878" s="173" t="s">
        <v>372</v>
      </c>
      <c r="E3878" s="173" t="s">
        <v>373</v>
      </c>
      <c r="F3878" s="173" t="s">
        <v>16</v>
      </c>
      <c r="G3878" s="87" t="b">
        <v>1</v>
      </c>
      <c r="H3878" s="87" t="b">
        <v>0</v>
      </c>
      <c r="I3878" s="87" t="b">
        <v>0</v>
      </c>
      <c r="J3878" s="173" t="s">
        <v>1330</v>
      </c>
      <c r="K3878" s="174">
        <v>46374500008845</v>
      </c>
      <c r="L3878" s="173" t="s">
        <v>599</v>
      </c>
      <c r="M3878" s="173" t="s">
        <v>29</v>
      </c>
      <c r="N3878" s="173" t="s">
        <v>19</v>
      </c>
      <c r="O3878" s="87">
        <v>70</v>
      </c>
      <c r="P3878" s="173" t="s">
        <v>20</v>
      </c>
      <c r="Q3878" s="1" t="s">
        <v>1338</v>
      </c>
      <c r="R3878" s="175">
        <v>320</v>
      </c>
      <c r="S3878">
        <v>64</v>
      </c>
    </row>
    <row r="3879" spans="1:19" x14ac:dyDescent="0.25">
      <c r="A3879" s="87">
        <v>2020</v>
      </c>
      <c r="B3879" s="87">
        <v>1</v>
      </c>
      <c r="C3879" s="173" t="s">
        <v>16</v>
      </c>
      <c r="D3879" s="173" t="s">
        <v>372</v>
      </c>
      <c r="E3879" s="173" t="s">
        <v>373</v>
      </c>
      <c r="F3879" s="173" t="s">
        <v>16</v>
      </c>
      <c r="G3879" s="87" t="b">
        <v>1</v>
      </c>
      <c r="H3879" s="87" t="b">
        <v>0</v>
      </c>
      <c r="I3879" s="87" t="b">
        <v>0</v>
      </c>
      <c r="J3879" s="173" t="s">
        <v>1330</v>
      </c>
      <c r="K3879" s="174">
        <v>46374500011803</v>
      </c>
      <c r="L3879" s="173" t="s">
        <v>1487</v>
      </c>
      <c r="M3879" s="173" t="s">
        <v>29</v>
      </c>
      <c r="N3879" s="173" t="s">
        <v>19</v>
      </c>
      <c r="O3879" s="87">
        <v>70</v>
      </c>
      <c r="P3879" s="173" t="s">
        <v>20</v>
      </c>
      <c r="Q3879" s="1" t="s">
        <v>1338</v>
      </c>
      <c r="R3879" s="175">
        <v>350</v>
      </c>
      <c r="S3879">
        <v>70</v>
      </c>
    </row>
    <row r="3880" spans="1:19" x14ac:dyDescent="0.25">
      <c r="A3880" s="87">
        <v>2020</v>
      </c>
      <c r="B3880" s="87">
        <v>1</v>
      </c>
      <c r="C3880" s="173" t="s">
        <v>16</v>
      </c>
      <c r="D3880" s="173" t="s">
        <v>372</v>
      </c>
      <c r="E3880" s="173" t="s">
        <v>373</v>
      </c>
      <c r="F3880" s="173" t="s">
        <v>16</v>
      </c>
      <c r="G3880" s="87" t="b">
        <v>1</v>
      </c>
      <c r="H3880" s="87" t="b">
        <v>0</v>
      </c>
      <c r="I3880" s="87" t="b">
        <v>0</v>
      </c>
      <c r="J3880" s="173" t="s">
        <v>1330</v>
      </c>
      <c r="K3880" s="174">
        <v>46374500026231</v>
      </c>
      <c r="L3880" s="173" t="s">
        <v>601</v>
      </c>
      <c r="M3880" s="173" t="s">
        <v>29</v>
      </c>
      <c r="N3880" s="173" t="s">
        <v>19</v>
      </c>
      <c r="O3880" s="87">
        <v>70</v>
      </c>
      <c r="P3880" s="173" t="s">
        <v>20</v>
      </c>
      <c r="Q3880" s="1" t="s">
        <v>1338</v>
      </c>
      <c r="R3880" s="175">
        <v>180</v>
      </c>
      <c r="S3880">
        <v>36</v>
      </c>
    </row>
    <row r="3881" spans="1:19" x14ac:dyDescent="0.25">
      <c r="A3881" s="87">
        <v>2020</v>
      </c>
      <c r="B3881" s="87">
        <v>1</v>
      </c>
      <c r="C3881" s="173" t="s">
        <v>16</v>
      </c>
      <c r="D3881" s="173" t="s">
        <v>372</v>
      </c>
      <c r="E3881" s="173" t="s">
        <v>373</v>
      </c>
      <c r="F3881" s="173" t="s">
        <v>16</v>
      </c>
      <c r="G3881" s="87" t="b">
        <v>1</v>
      </c>
      <c r="H3881" s="87" t="b">
        <v>0</v>
      </c>
      <c r="I3881" s="87" t="b">
        <v>0</v>
      </c>
      <c r="J3881" s="173" t="s">
        <v>1330</v>
      </c>
      <c r="K3881" s="174">
        <v>47018676000176</v>
      </c>
      <c r="L3881" s="173" t="s">
        <v>1488</v>
      </c>
      <c r="M3881" s="173" t="s">
        <v>33</v>
      </c>
      <c r="N3881" s="173" t="s">
        <v>19</v>
      </c>
      <c r="O3881" s="87">
        <v>70</v>
      </c>
      <c r="P3881" s="173" t="s">
        <v>20</v>
      </c>
      <c r="Q3881" s="1" t="s">
        <v>1346</v>
      </c>
      <c r="R3881" s="175">
        <v>125</v>
      </c>
      <c r="S3881">
        <v>50</v>
      </c>
    </row>
    <row r="3882" spans="1:19" x14ac:dyDescent="0.25">
      <c r="A3882" s="87">
        <v>2020</v>
      </c>
      <c r="B3882" s="87">
        <v>1</v>
      </c>
      <c r="C3882" s="173" t="s">
        <v>16</v>
      </c>
      <c r="D3882" s="173" t="s">
        <v>372</v>
      </c>
      <c r="E3882" s="173" t="s">
        <v>373</v>
      </c>
      <c r="F3882" s="173" t="s">
        <v>16</v>
      </c>
      <c r="G3882" s="87" t="b">
        <v>1</v>
      </c>
      <c r="H3882" s="87" t="b">
        <v>0</v>
      </c>
      <c r="I3882" s="87" t="b">
        <v>0</v>
      </c>
      <c r="J3882" s="173" t="s">
        <v>1330</v>
      </c>
      <c r="K3882" s="174">
        <v>47018676000176</v>
      </c>
      <c r="L3882" s="173" t="s">
        <v>1488</v>
      </c>
      <c r="M3882" s="173" t="s">
        <v>33</v>
      </c>
      <c r="N3882" s="173" t="s">
        <v>19</v>
      </c>
      <c r="O3882" s="87">
        <v>70</v>
      </c>
      <c r="P3882" s="173" t="s">
        <v>20</v>
      </c>
      <c r="Q3882" s="1" t="s">
        <v>1338</v>
      </c>
      <c r="R3882" s="175">
        <v>100</v>
      </c>
      <c r="S3882">
        <v>20</v>
      </c>
    </row>
    <row r="3883" spans="1:19" x14ac:dyDescent="0.25">
      <c r="A3883" s="87">
        <v>2020</v>
      </c>
      <c r="B3883" s="87">
        <v>1</v>
      </c>
      <c r="C3883" s="173" t="s">
        <v>16</v>
      </c>
      <c r="D3883" s="173" t="s">
        <v>372</v>
      </c>
      <c r="E3883" s="173" t="s">
        <v>373</v>
      </c>
      <c r="F3883" s="173" t="s">
        <v>16</v>
      </c>
      <c r="G3883" s="87" t="b">
        <v>1</v>
      </c>
      <c r="H3883" s="87" t="b">
        <v>0</v>
      </c>
      <c r="I3883" s="87" t="b">
        <v>0</v>
      </c>
      <c r="J3883" s="173" t="s">
        <v>1330</v>
      </c>
      <c r="K3883" s="174">
        <v>48468284000171</v>
      </c>
      <c r="L3883" s="173" t="s">
        <v>705</v>
      </c>
      <c r="M3883" s="173" t="s">
        <v>43</v>
      </c>
      <c r="N3883" s="173" t="s">
        <v>19</v>
      </c>
      <c r="O3883" s="87">
        <v>70</v>
      </c>
      <c r="P3883" s="173" t="s">
        <v>20</v>
      </c>
      <c r="Q3883" s="1" t="s">
        <v>1338</v>
      </c>
      <c r="R3883" s="175">
        <v>150</v>
      </c>
      <c r="S3883">
        <v>30</v>
      </c>
    </row>
    <row r="3884" spans="1:19" x14ac:dyDescent="0.25">
      <c r="A3884" s="87">
        <v>2020</v>
      </c>
      <c r="B3884" s="87">
        <v>1</v>
      </c>
      <c r="C3884" s="173" t="s">
        <v>16</v>
      </c>
      <c r="D3884" s="173" t="s">
        <v>372</v>
      </c>
      <c r="E3884" s="173" t="s">
        <v>373</v>
      </c>
      <c r="F3884" s="173" t="s">
        <v>16</v>
      </c>
      <c r="G3884" s="87" t="b">
        <v>1</v>
      </c>
      <c r="H3884" s="87" t="b">
        <v>0</v>
      </c>
      <c r="I3884" s="87" t="b">
        <v>0</v>
      </c>
      <c r="J3884" s="173" t="s">
        <v>470</v>
      </c>
      <c r="K3884" s="174">
        <v>48547806000120</v>
      </c>
      <c r="L3884" s="173" t="s">
        <v>1367</v>
      </c>
      <c r="M3884" s="173" t="s">
        <v>1368</v>
      </c>
      <c r="N3884" s="173" t="s">
        <v>19</v>
      </c>
      <c r="O3884" s="87">
        <v>70</v>
      </c>
      <c r="P3884" s="173" t="s">
        <v>20</v>
      </c>
      <c r="Q3884" s="1" t="s">
        <v>1338</v>
      </c>
      <c r="R3884" s="175">
        <v>105</v>
      </c>
      <c r="S3884">
        <v>21</v>
      </c>
    </row>
    <row r="3885" spans="1:19" x14ac:dyDescent="0.25">
      <c r="A3885" s="87">
        <v>2020</v>
      </c>
      <c r="B3885" s="87">
        <v>1</v>
      </c>
      <c r="C3885" s="173" t="s">
        <v>16</v>
      </c>
      <c r="D3885" s="173" t="s">
        <v>372</v>
      </c>
      <c r="E3885" s="173" t="s">
        <v>373</v>
      </c>
      <c r="F3885" s="173" t="s">
        <v>16</v>
      </c>
      <c r="G3885" s="87" t="b">
        <v>1</v>
      </c>
      <c r="H3885" s="87" t="b">
        <v>0</v>
      </c>
      <c r="I3885" s="87" t="b">
        <v>0</v>
      </c>
      <c r="J3885" s="173" t="s">
        <v>491</v>
      </c>
      <c r="K3885" s="174">
        <v>48628366000721</v>
      </c>
      <c r="L3885" s="173" t="s">
        <v>1376</v>
      </c>
      <c r="M3885" s="173" t="s">
        <v>1377</v>
      </c>
      <c r="N3885" s="173" t="s">
        <v>19</v>
      </c>
      <c r="O3885" s="87">
        <v>70</v>
      </c>
      <c r="P3885" s="173" t="s">
        <v>20</v>
      </c>
      <c r="Q3885" s="1" t="s">
        <v>1338</v>
      </c>
      <c r="R3885" s="175">
        <v>40</v>
      </c>
      <c r="S3885">
        <v>8</v>
      </c>
    </row>
    <row r="3886" spans="1:19" x14ac:dyDescent="0.25">
      <c r="A3886" s="87">
        <v>2020</v>
      </c>
      <c r="B3886" s="87">
        <v>1</v>
      </c>
      <c r="C3886" s="173" t="s">
        <v>16</v>
      </c>
      <c r="D3886" s="173" t="s">
        <v>372</v>
      </c>
      <c r="E3886" s="173" t="s">
        <v>373</v>
      </c>
      <c r="F3886" s="173" t="s">
        <v>16</v>
      </c>
      <c r="G3886" s="87" t="b">
        <v>1</v>
      </c>
      <c r="H3886" s="87" t="b">
        <v>0</v>
      </c>
      <c r="I3886" s="87" t="b">
        <v>0</v>
      </c>
      <c r="J3886" s="173" t="s">
        <v>450</v>
      </c>
      <c r="K3886" s="174">
        <v>50486026000160</v>
      </c>
      <c r="L3886" s="173" t="s">
        <v>706</v>
      </c>
      <c r="M3886" s="173" t="s">
        <v>44</v>
      </c>
      <c r="N3886" s="173" t="s">
        <v>19</v>
      </c>
      <c r="O3886" s="87">
        <v>70</v>
      </c>
      <c r="P3886" s="173" t="s">
        <v>20</v>
      </c>
      <c r="Q3886" s="1" t="s">
        <v>1338</v>
      </c>
      <c r="R3886" s="175">
        <v>100</v>
      </c>
      <c r="S3886">
        <v>20</v>
      </c>
    </row>
    <row r="3887" spans="1:19" x14ac:dyDescent="0.25">
      <c r="A3887" s="87">
        <v>2020</v>
      </c>
      <c r="B3887" s="87">
        <v>1</v>
      </c>
      <c r="C3887" s="173" t="s">
        <v>16</v>
      </c>
      <c r="D3887" s="173" t="s">
        <v>372</v>
      </c>
      <c r="E3887" s="173" t="s">
        <v>373</v>
      </c>
      <c r="F3887" s="173" t="s">
        <v>16</v>
      </c>
      <c r="G3887" s="87" t="b">
        <v>1</v>
      </c>
      <c r="H3887" s="87" t="b">
        <v>0</v>
      </c>
      <c r="I3887" s="87" t="b">
        <v>0</v>
      </c>
      <c r="J3887" s="173" t="s">
        <v>455</v>
      </c>
      <c r="K3887" s="174">
        <v>50486026000160</v>
      </c>
      <c r="L3887" s="173" t="s">
        <v>706</v>
      </c>
      <c r="M3887" s="173" t="s">
        <v>44</v>
      </c>
      <c r="N3887" s="173" t="s">
        <v>19</v>
      </c>
      <c r="O3887" s="87">
        <v>70</v>
      </c>
      <c r="P3887" s="173" t="s">
        <v>20</v>
      </c>
      <c r="Q3887" s="1" t="s">
        <v>1338</v>
      </c>
      <c r="R3887" s="175">
        <v>75</v>
      </c>
      <c r="S3887">
        <v>15</v>
      </c>
    </row>
    <row r="3888" spans="1:19" x14ac:dyDescent="0.25">
      <c r="A3888" s="87">
        <v>2020</v>
      </c>
      <c r="B3888" s="87">
        <v>1</v>
      </c>
      <c r="C3888" s="173" t="s">
        <v>16</v>
      </c>
      <c r="D3888" s="173" t="s">
        <v>372</v>
      </c>
      <c r="E3888" s="173" t="s">
        <v>373</v>
      </c>
      <c r="F3888" s="173" t="s">
        <v>16</v>
      </c>
      <c r="G3888" s="87" t="b">
        <v>1</v>
      </c>
      <c r="H3888" s="87" t="b">
        <v>0</v>
      </c>
      <c r="I3888" s="87" t="b">
        <v>0</v>
      </c>
      <c r="J3888" s="173" t="s">
        <v>463</v>
      </c>
      <c r="K3888" s="174">
        <v>50486026000160</v>
      </c>
      <c r="L3888" s="173" t="s">
        <v>706</v>
      </c>
      <c r="M3888" s="173" t="s">
        <v>44</v>
      </c>
      <c r="N3888" s="173" t="s">
        <v>19</v>
      </c>
      <c r="O3888" s="87">
        <v>70</v>
      </c>
      <c r="P3888" s="173" t="s">
        <v>20</v>
      </c>
      <c r="Q3888" s="1" t="s">
        <v>1338</v>
      </c>
      <c r="R3888" s="175">
        <v>100</v>
      </c>
      <c r="S3888">
        <v>20</v>
      </c>
    </row>
    <row r="3889" spans="1:19" x14ac:dyDescent="0.25">
      <c r="A3889" s="87">
        <v>2020</v>
      </c>
      <c r="B3889" s="87">
        <v>1</v>
      </c>
      <c r="C3889" s="173" t="s">
        <v>16</v>
      </c>
      <c r="D3889" s="173" t="s">
        <v>372</v>
      </c>
      <c r="E3889" s="173" t="s">
        <v>373</v>
      </c>
      <c r="F3889" s="173" t="s">
        <v>16</v>
      </c>
      <c r="G3889" s="87" t="b">
        <v>1</v>
      </c>
      <c r="H3889" s="87" t="b">
        <v>0</v>
      </c>
      <c r="I3889" s="87" t="b">
        <v>0</v>
      </c>
      <c r="J3889" s="173" t="s">
        <v>470</v>
      </c>
      <c r="K3889" s="174">
        <v>50739135001709</v>
      </c>
      <c r="L3889" s="173" t="s">
        <v>1489</v>
      </c>
      <c r="M3889" s="173" t="s">
        <v>678</v>
      </c>
      <c r="N3889" s="173" t="s">
        <v>19</v>
      </c>
      <c r="O3889" s="87">
        <v>70</v>
      </c>
      <c r="P3889" s="173" t="s">
        <v>20</v>
      </c>
      <c r="Q3889" s="1" t="s">
        <v>1338</v>
      </c>
      <c r="R3889" s="175">
        <v>295</v>
      </c>
      <c r="S3889">
        <v>59</v>
      </c>
    </row>
    <row r="3890" spans="1:19" x14ac:dyDescent="0.25">
      <c r="A3890" s="87">
        <v>2020</v>
      </c>
      <c r="B3890" s="87">
        <v>1</v>
      </c>
      <c r="C3890" s="173" t="s">
        <v>16</v>
      </c>
      <c r="D3890" s="173" t="s">
        <v>372</v>
      </c>
      <c r="E3890" s="173" t="s">
        <v>373</v>
      </c>
      <c r="F3890" s="173" t="s">
        <v>16</v>
      </c>
      <c r="G3890" s="87" t="b">
        <v>1</v>
      </c>
      <c r="H3890" s="87" t="b">
        <v>0</v>
      </c>
      <c r="I3890" s="87" t="b">
        <v>0</v>
      </c>
      <c r="J3890" s="173" t="s">
        <v>463</v>
      </c>
      <c r="K3890" s="174">
        <v>51427540000359</v>
      </c>
      <c r="L3890" s="173" t="s">
        <v>1490</v>
      </c>
      <c r="M3890" s="173" t="s">
        <v>1491</v>
      </c>
      <c r="N3890" s="173" t="s">
        <v>19</v>
      </c>
      <c r="O3890" s="87">
        <v>70</v>
      </c>
      <c r="P3890" s="173" t="s">
        <v>20</v>
      </c>
      <c r="Q3890" s="1" t="s">
        <v>1338</v>
      </c>
      <c r="R3890" s="175">
        <v>45</v>
      </c>
      <c r="S3890">
        <v>9</v>
      </c>
    </row>
    <row r="3891" spans="1:19" x14ac:dyDescent="0.25">
      <c r="A3891" s="87">
        <v>2020</v>
      </c>
      <c r="B3891" s="87">
        <v>1</v>
      </c>
      <c r="C3891" s="173" t="s">
        <v>16</v>
      </c>
      <c r="D3891" s="173" t="s">
        <v>372</v>
      </c>
      <c r="E3891" s="173" t="s">
        <v>373</v>
      </c>
      <c r="F3891" s="173" t="s">
        <v>16</v>
      </c>
      <c r="G3891" s="87" t="b">
        <v>1</v>
      </c>
      <c r="H3891" s="87" t="b">
        <v>0</v>
      </c>
      <c r="I3891" s="87" t="b">
        <v>0</v>
      </c>
      <c r="J3891" s="173" t="s">
        <v>470</v>
      </c>
      <c r="K3891" s="174">
        <v>51722957000506</v>
      </c>
      <c r="L3891" s="173" t="s">
        <v>602</v>
      </c>
      <c r="M3891" s="173" t="s">
        <v>29</v>
      </c>
      <c r="N3891" s="173" t="s">
        <v>19</v>
      </c>
      <c r="O3891" s="87">
        <v>64</v>
      </c>
      <c r="P3891" s="173" t="s">
        <v>25</v>
      </c>
      <c r="Q3891" s="1" t="s">
        <v>1344</v>
      </c>
      <c r="R3891" s="175">
        <v>4</v>
      </c>
      <c r="S3891">
        <v>4</v>
      </c>
    </row>
    <row r="3892" spans="1:19" x14ac:dyDescent="0.25">
      <c r="A3892" s="87">
        <v>2020</v>
      </c>
      <c r="B3892" s="87">
        <v>1</v>
      </c>
      <c r="C3892" s="173" t="s">
        <v>16</v>
      </c>
      <c r="D3892" s="173" t="s">
        <v>372</v>
      </c>
      <c r="E3892" s="173" t="s">
        <v>373</v>
      </c>
      <c r="F3892" s="173" t="s">
        <v>16</v>
      </c>
      <c r="G3892" s="87" t="b">
        <v>1</v>
      </c>
      <c r="H3892" s="87" t="b">
        <v>0</v>
      </c>
      <c r="I3892" s="87" t="b">
        <v>0</v>
      </c>
      <c r="J3892" s="173" t="s">
        <v>470</v>
      </c>
      <c r="K3892" s="174">
        <v>51722957000506</v>
      </c>
      <c r="L3892" s="173" t="s">
        <v>602</v>
      </c>
      <c r="M3892" s="173" t="s">
        <v>29</v>
      </c>
      <c r="N3892" s="173" t="s">
        <v>19</v>
      </c>
      <c r="O3892" s="87">
        <v>70</v>
      </c>
      <c r="P3892" s="173" t="s">
        <v>20</v>
      </c>
      <c r="Q3892" s="1" t="s">
        <v>1338</v>
      </c>
      <c r="R3892" s="175">
        <v>300</v>
      </c>
      <c r="S3892">
        <v>60</v>
      </c>
    </row>
    <row r="3893" spans="1:19" x14ac:dyDescent="0.25">
      <c r="A3893" s="87">
        <v>2020</v>
      </c>
      <c r="B3893" s="87">
        <v>1</v>
      </c>
      <c r="C3893" s="173" t="s">
        <v>16</v>
      </c>
      <c r="D3893" s="173" t="s">
        <v>372</v>
      </c>
      <c r="E3893" s="173" t="s">
        <v>373</v>
      </c>
      <c r="F3893" s="173" t="s">
        <v>16</v>
      </c>
      <c r="G3893" s="87" t="b">
        <v>1</v>
      </c>
      <c r="H3893" s="87" t="b">
        <v>0</v>
      </c>
      <c r="I3893" s="87" t="b">
        <v>0</v>
      </c>
      <c r="J3893" s="173" t="s">
        <v>470</v>
      </c>
      <c r="K3893" s="174">
        <v>51722957010226</v>
      </c>
      <c r="L3893" s="173" t="s">
        <v>603</v>
      </c>
      <c r="M3893" s="173" t="s">
        <v>29</v>
      </c>
      <c r="N3893" s="173" t="s">
        <v>19</v>
      </c>
      <c r="O3893" s="87">
        <v>73</v>
      </c>
      <c r="P3893" s="173" t="s">
        <v>26</v>
      </c>
      <c r="Q3893" s="1" t="s">
        <v>1339</v>
      </c>
      <c r="R3893" s="175">
        <v>2</v>
      </c>
      <c r="S3893">
        <v>1</v>
      </c>
    </row>
    <row r="3894" spans="1:19" x14ac:dyDescent="0.25">
      <c r="A3894" s="87">
        <v>2020</v>
      </c>
      <c r="B3894" s="87">
        <v>1</v>
      </c>
      <c r="C3894" s="173" t="s">
        <v>16</v>
      </c>
      <c r="D3894" s="173" t="s">
        <v>372</v>
      </c>
      <c r="E3894" s="173" t="s">
        <v>373</v>
      </c>
      <c r="F3894" s="173" t="s">
        <v>16</v>
      </c>
      <c r="G3894" s="87" t="b">
        <v>1</v>
      </c>
      <c r="H3894" s="87" t="b">
        <v>0</v>
      </c>
      <c r="I3894" s="87" t="b">
        <v>0</v>
      </c>
      <c r="J3894" s="173" t="s">
        <v>470</v>
      </c>
      <c r="K3894" s="174">
        <v>51722957010226</v>
      </c>
      <c r="L3894" s="173" t="s">
        <v>603</v>
      </c>
      <c r="M3894" s="173" t="s">
        <v>29</v>
      </c>
      <c r="N3894" s="173" t="s">
        <v>19</v>
      </c>
      <c r="O3894" s="87">
        <v>73</v>
      </c>
      <c r="P3894" s="173" t="s">
        <v>26</v>
      </c>
      <c r="Q3894" s="1" t="s">
        <v>1342</v>
      </c>
      <c r="R3894" s="175">
        <v>40</v>
      </c>
      <c r="S3894">
        <v>10</v>
      </c>
    </row>
    <row r="3895" spans="1:19" x14ac:dyDescent="0.25">
      <c r="A3895" s="87">
        <v>2020</v>
      </c>
      <c r="B3895" s="87">
        <v>1</v>
      </c>
      <c r="C3895" s="173" t="s">
        <v>16</v>
      </c>
      <c r="D3895" s="173" t="s">
        <v>372</v>
      </c>
      <c r="E3895" s="173" t="s">
        <v>373</v>
      </c>
      <c r="F3895" s="173" t="s">
        <v>16</v>
      </c>
      <c r="G3895" s="87" t="b">
        <v>1</v>
      </c>
      <c r="H3895" s="87" t="b">
        <v>0</v>
      </c>
      <c r="I3895" s="87" t="b">
        <v>0</v>
      </c>
      <c r="J3895" s="173" t="s">
        <v>470</v>
      </c>
      <c r="K3895" s="174">
        <v>51722957010226</v>
      </c>
      <c r="L3895" s="173" t="s">
        <v>603</v>
      </c>
      <c r="M3895" s="173" t="s">
        <v>29</v>
      </c>
      <c r="N3895" s="173" t="s">
        <v>19</v>
      </c>
      <c r="O3895" s="87">
        <v>73</v>
      </c>
      <c r="P3895" s="173" t="s">
        <v>26</v>
      </c>
      <c r="Q3895" s="1" t="s">
        <v>1340</v>
      </c>
      <c r="R3895" s="175">
        <v>6</v>
      </c>
      <c r="S3895">
        <v>6</v>
      </c>
    </row>
    <row r="3896" spans="1:19" x14ac:dyDescent="0.25">
      <c r="A3896" s="87">
        <v>2020</v>
      </c>
      <c r="B3896" s="87">
        <v>1</v>
      </c>
      <c r="C3896" s="173" t="s">
        <v>16</v>
      </c>
      <c r="D3896" s="173" t="s">
        <v>372</v>
      </c>
      <c r="E3896" s="173" t="s">
        <v>373</v>
      </c>
      <c r="F3896" s="173" t="s">
        <v>16</v>
      </c>
      <c r="G3896" s="87" t="b">
        <v>1</v>
      </c>
      <c r="H3896" s="87" t="b">
        <v>0</v>
      </c>
      <c r="I3896" s="87" t="b">
        <v>0</v>
      </c>
      <c r="J3896" s="173" t="s">
        <v>450</v>
      </c>
      <c r="K3896" s="174">
        <v>51722957010226</v>
      </c>
      <c r="L3896" s="173" t="s">
        <v>603</v>
      </c>
      <c r="M3896" s="173" t="s">
        <v>29</v>
      </c>
      <c r="N3896" s="173" t="s">
        <v>19</v>
      </c>
      <c r="O3896" s="87">
        <v>73</v>
      </c>
      <c r="P3896" s="173" t="s">
        <v>26</v>
      </c>
      <c r="Q3896" s="1" t="s">
        <v>1339</v>
      </c>
      <c r="R3896" s="175">
        <v>52</v>
      </c>
      <c r="S3896">
        <v>26</v>
      </c>
    </row>
    <row r="3897" spans="1:19" x14ac:dyDescent="0.25">
      <c r="A3897" s="87">
        <v>2020</v>
      </c>
      <c r="B3897" s="87">
        <v>1</v>
      </c>
      <c r="C3897" s="173" t="s">
        <v>16</v>
      </c>
      <c r="D3897" s="173" t="s">
        <v>372</v>
      </c>
      <c r="E3897" s="173" t="s">
        <v>373</v>
      </c>
      <c r="F3897" s="173" t="s">
        <v>16</v>
      </c>
      <c r="G3897" s="87" t="b">
        <v>1</v>
      </c>
      <c r="H3897" s="87" t="b">
        <v>0</v>
      </c>
      <c r="I3897" s="87" t="b">
        <v>0</v>
      </c>
      <c r="J3897" s="173" t="s">
        <v>470</v>
      </c>
      <c r="K3897" s="174">
        <v>51722957012512</v>
      </c>
      <c r="L3897" s="173" t="s">
        <v>604</v>
      </c>
      <c r="M3897" s="173" t="s">
        <v>29</v>
      </c>
      <c r="N3897" s="173" t="s">
        <v>19</v>
      </c>
      <c r="O3897" s="87">
        <v>64</v>
      </c>
      <c r="P3897" s="173" t="s">
        <v>25</v>
      </c>
      <c r="Q3897" s="1" t="s">
        <v>1344</v>
      </c>
      <c r="R3897" s="175">
        <v>6</v>
      </c>
      <c r="S3897">
        <v>6</v>
      </c>
    </row>
    <row r="3898" spans="1:19" x14ac:dyDescent="0.25">
      <c r="A3898" s="87">
        <v>2020</v>
      </c>
      <c r="B3898" s="87">
        <v>1</v>
      </c>
      <c r="C3898" s="173" t="s">
        <v>16</v>
      </c>
      <c r="D3898" s="173" t="s">
        <v>372</v>
      </c>
      <c r="E3898" s="173" t="s">
        <v>373</v>
      </c>
      <c r="F3898" s="173" t="s">
        <v>16</v>
      </c>
      <c r="G3898" s="87" t="b">
        <v>1</v>
      </c>
      <c r="H3898" s="87" t="b">
        <v>0</v>
      </c>
      <c r="I3898" s="87" t="b">
        <v>0</v>
      </c>
      <c r="J3898" s="173" t="s">
        <v>470</v>
      </c>
      <c r="K3898" s="174">
        <v>54012406000385</v>
      </c>
      <c r="L3898" s="173" t="s">
        <v>718</v>
      </c>
      <c r="M3898" s="173" t="s">
        <v>45</v>
      </c>
      <c r="N3898" s="173" t="s">
        <v>19</v>
      </c>
      <c r="O3898" s="87">
        <v>70</v>
      </c>
      <c r="P3898" s="173" t="s">
        <v>20</v>
      </c>
      <c r="Q3898" s="1" t="s">
        <v>1338</v>
      </c>
      <c r="R3898" s="175">
        <v>65</v>
      </c>
      <c r="S3898">
        <v>13</v>
      </c>
    </row>
    <row r="3899" spans="1:19" x14ac:dyDescent="0.25">
      <c r="A3899" s="87">
        <v>2020</v>
      </c>
      <c r="B3899" s="87">
        <v>1</v>
      </c>
      <c r="C3899" s="173" t="s">
        <v>16</v>
      </c>
      <c r="D3899" s="173" t="s">
        <v>372</v>
      </c>
      <c r="E3899" s="173" t="s">
        <v>373</v>
      </c>
      <c r="F3899" s="173" t="s">
        <v>16</v>
      </c>
      <c r="G3899" s="87" t="b">
        <v>1</v>
      </c>
      <c r="H3899" s="87" t="b">
        <v>0</v>
      </c>
      <c r="I3899" s="87" t="b">
        <v>0</v>
      </c>
      <c r="J3899" s="173" t="s">
        <v>470</v>
      </c>
      <c r="K3899" s="174">
        <v>56014830000122</v>
      </c>
      <c r="L3899" s="173" t="s">
        <v>1492</v>
      </c>
      <c r="M3899" s="173" t="s">
        <v>639</v>
      </c>
      <c r="N3899" s="173" t="s">
        <v>19</v>
      </c>
      <c r="O3899" s="87">
        <v>70</v>
      </c>
      <c r="P3899" s="173" t="s">
        <v>20</v>
      </c>
      <c r="Q3899" s="1" t="s">
        <v>1338</v>
      </c>
      <c r="R3899" s="175">
        <v>70</v>
      </c>
      <c r="S3899">
        <v>14</v>
      </c>
    </row>
    <row r="3900" spans="1:19" x14ac:dyDescent="0.25">
      <c r="A3900" s="87">
        <v>2020</v>
      </c>
      <c r="B3900" s="87">
        <v>1</v>
      </c>
      <c r="C3900" s="173" t="s">
        <v>16</v>
      </c>
      <c r="D3900" s="173" t="s">
        <v>372</v>
      </c>
      <c r="E3900" s="173" t="s">
        <v>373</v>
      </c>
      <c r="F3900" s="173" t="s">
        <v>16</v>
      </c>
      <c r="G3900" s="87" t="b">
        <v>1</v>
      </c>
      <c r="H3900" s="87" t="b">
        <v>0</v>
      </c>
      <c r="I3900" s="87" t="b">
        <v>0</v>
      </c>
      <c r="J3900" s="173" t="s">
        <v>450</v>
      </c>
      <c r="K3900" s="174">
        <v>56577059000606</v>
      </c>
      <c r="L3900" s="173" t="s">
        <v>606</v>
      </c>
      <c r="M3900" s="173" t="s">
        <v>29</v>
      </c>
      <c r="N3900" s="173" t="s">
        <v>19</v>
      </c>
      <c r="O3900" s="87">
        <v>64</v>
      </c>
      <c r="P3900" s="173" t="s">
        <v>25</v>
      </c>
      <c r="Q3900" s="1" t="s">
        <v>1344</v>
      </c>
      <c r="R3900" s="175">
        <v>40</v>
      </c>
      <c r="S3900">
        <v>40</v>
      </c>
    </row>
    <row r="3901" spans="1:19" x14ac:dyDescent="0.25">
      <c r="A3901" s="87">
        <v>2020</v>
      </c>
      <c r="B3901" s="87">
        <v>1</v>
      </c>
      <c r="C3901" s="173" t="s">
        <v>16</v>
      </c>
      <c r="D3901" s="173" t="s">
        <v>372</v>
      </c>
      <c r="E3901" s="173" t="s">
        <v>373</v>
      </c>
      <c r="F3901" s="173" t="s">
        <v>16</v>
      </c>
      <c r="G3901" s="87" t="b">
        <v>1</v>
      </c>
      <c r="H3901" s="87" t="b">
        <v>0</v>
      </c>
      <c r="I3901" s="87" t="b">
        <v>0</v>
      </c>
      <c r="J3901" s="173" t="s">
        <v>451</v>
      </c>
      <c r="K3901" s="174">
        <v>57723280000183</v>
      </c>
      <c r="L3901" s="173" t="s">
        <v>724</v>
      </c>
      <c r="M3901" s="173" t="s">
        <v>639</v>
      </c>
      <c r="N3901" s="173" t="s">
        <v>19</v>
      </c>
      <c r="O3901" s="87">
        <v>70</v>
      </c>
      <c r="P3901" s="173" t="s">
        <v>20</v>
      </c>
      <c r="Q3901" s="1" t="s">
        <v>1338</v>
      </c>
      <c r="R3901" s="175">
        <v>35</v>
      </c>
      <c r="S3901">
        <v>7</v>
      </c>
    </row>
    <row r="3902" spans="1:19" x14ac:dyDescent="0.25">
      <c r="A3902" s="87">
        <v>2020</v>
      </c>
      <c r="B3902" s="87">
        <v>1</v>
      </c>
      <c r="C3902" s="173" t="s">
        <v>16</v>
      </c>
      <c r="D3902" s="173" t="s">
        <v>372</v>
      </c>
      <c r="E3902" s="173" t="s">
        <v>373</v>
      </c>
      <c r="F3902" s="173" t="s">
        <v>16</v>
      </c>
      <c r="G3902" s="87" t="b">
        <v>1</v>
      </c>
      <c r="H3902" s="87" t="b">
        <v>0</v>
      </c>
      <c r="I3902" s="87" t="b">
        <v>0</v>
      </c>
      <c r="J3902" s="173" t="s">
        <v>450</v>
      </c>
      <c r="K3902" s="174">
        <v>58229691001070</v>
      </c>
      <c r="L3902" s="173" t="s">
        <v>725</v>
      </c>
      <c r="M3902" s="173" t="s">
        <v>35</v>
      </c>
      <c r="N3902" s="173" t="s">
        <v>19</v>
      </c>
      <c r="O3902" s="87">
        <v>73</v>
      </c>
      <c r="P3902" s="173" t="s">
        <v>26</v>
      </c>
      <c r="Q3902" s="1" t="s">
        <v>1342</v>
      </c>
      <c r="R3902" s="175">
        <v>32</v>
      </c>
      <c r="S3902">
        <v>8</v>
      </c>
    </row>
    <row r="3903" spans="1:19" x14ac:dyDescent="0.25">
      <c r="A3903" s="87">
        <v>2020</v>
      </c>
      <c r="B3903" s="87">
        <v>1</v>
      </c>
      <c r="C3903" s="173" t="s">
        <v>16</v>
      </c>
      <c r="D3903" s="173" t="s">
        <v>372</v>
      </c>
      <c r="E3903" s="173" t="s">
        <v>373</v>
      </c>
      <c r="F3903" s="173" t="s">
        <v>16</v>
      </c>
      <c r="G3903" s="87" t="b">
        <v>1</v>
      </c>
      <c r="H3903" s="87" t="b">
        <v>0</v>
      </c>
      <c r="I3903" s="87" t="b">
        <v>0</v>
      </c>
      <c r="J3903" s="173" t="s">
        <v>492</v>
      </c>
      <c r="K3903" s="174">
        <v>58597774000121</v>
      </c>
      <c r="L3903" s="173" t="s">
        <v>1493</v>
      </c>
      <c r="M3903" s="173" t="s">
        <v>33</v>
      </c>
      <c r="N3903" s="173" t="s">
        <v>19</v>
      </c>
      <c r="O3903" s="87">
        <v>70</v>
      </c>
      <c r="P3903" s="173" t="s">
        <v>20</v>
      </c>
      <c r="Q3903" s="1" t="s">
        <v>1338</v>
      </c>
      <c r="R3903" s="175">
        <v>100</v>
      </c>
      <c r="S3903">
        <v>20</v>
      </c>
    </row>
    <row r="3904" spans="1:19" x14ac:dyDescent="0.25">
      <c r="A3904" s="87">
        <v>2020</v>
      </c>
      <c r="B3904" s="87">
        <v>1</v>
      </c>
      <c r="C3904" s="173" t="s">
        <v>16</v>
      </c>
      <c r="D3904" s="173" t="s">
        <v>372</v>
      </c>
      <c r="E3904" s="173" t="s">
        <v>373</v>
      </c>
      <c r="F3904" s="173" t="s">
        <v>16</v>
      </c>
      <c r="G3904" s="87" t="b">
        <v>1</v>
      </c>
      <c r="H3904" s="87" t="b">
        <v>0</v>
      </c>
      <c r="I3904" s="87" t="b">
        <v>0</v>
      </c>
      <c r="J3904" s="173" t="s">
        <v>1330</v>
      </c>
      <c r="K3904" s="174">
        <v>60003761000129</v>
      </c>
      <c r="L3904" s="173" t="s">
        <v>728</v>
      </c>
      <c r="M3904" s="173" t="s">
        <v>643</v>
      </c>
      <c r="N3904" s="173" t="s">
        <v>19</v>
      </c>
      <c r="O3904" s="87">
        <v>64</v>
      </c>
      <c r="P3904" s="173" t="s">
        <v>25</v>
      </c>
      <c r="Q3904" s="1" t="s">
        <v>1344</v>
      </c>
      <c r="R3904" s="175">
        <v>20</v>
      </c>
      <c r="S3904">
        <v>20</v>
      </c>
    </row>
    <row r="3905" spans="1:19" x14ac:dyDescent="0.25">
      <c r="A3905" s="87">
        <v>2020</v>
      </c>
      <c r="B3905" s="87">
        <v>1</v>
      </c>
      <c r="C3905" s="173" t="s">
        <v>16</v>
      </c>
      <c r="D3905" s="173" t="s">
        <v>372</v>
      </c>
      <c r="E3905" s="173" t="s">
        <v>373</v>
      </c>
      <c r="F3905" s="173" t="s">
        <v>16</v>
      </c>
      <c r="G3905" s="87" t="b">
        <v>1</v>
      </c>
      <c r="H3905" s="87" t="b">
        <v>0</v>
      </c>
      <c r="I3905" s="87" t="b">
        <v>0</v>
      </c>
      <c r="J3905" s="173" t="s">
        <v>450</v>
      </c>
      <c r="K3905" s="174">
        <v>60190550000142</v>
      </c>
      <c r="L3905" s="173" t="s">
        <v>1494</v>
      </c>
      <c r="M3905" s="173" t="s">
        <v>650</v>
      </c>
      <c r="N3905" s="173" t="s">
        <v>19</v>
      </c>
      <c r="O3905" s="87">
        <v>66</v>
      </c>
      <c r="P3905" s="173" t="s">
        <v>28</v>
      </c>
      <c r="Q3905" s="1" t="s">
        <v>1341</v>
      </c>
      <c r="R3905" s="175">
        <v>1</v>
      </c>
      <c r="S3905">
        <v>1</v>
      </c>
    </row>
    <row r="3906" spans="1:19" x14ac:dyDescent="0.25">
      <c r="A3906" s="87">
        <v>2020</v>
      </c>
      <c r="B3906" s="87">
        <v>1</v>
      </c>
      <c r="C3906" s="173" t="s">
        <v>16</v>
      </c>
      <c r="D3906" s="173" t="s">
        <v>372</v>
      </c>
      <c r="E3906" s="173" t="s">
        <v>373</v>
      </c>
      <c r="F3906" s="173" t="s">
        <v>16</v>
      </c>
      <c r="G3906" s="87" t="b">
        <v>1</v>
      </c>
      <c r="H3906" s="87" t="b">
        <v>0</v>
      </c>
      <c r="I3906" s="87" t="b">
        <v>0</v>
      </c>
      <c r="J3906" s="173" t="s">
        <v>1332</v>
      </c>
      <c r="K3906" s="174">
        <v>60194990000844</v>
      </c>
      <c r="L3906" s="173" t="s">
        <v>1231</v>
      </c>
      <c r="M3906" s="173" t="s">
        <v>58</v>
      </c>
      <c r="N3906" s="173" t="s">
        <v>54</v>
      </c>
      <c r="O3906" s="87">
        <v>62</v>
      </c>
      <c r="P3906" s="173" t="s">
        <v>27</v>
      </c>
      <c r="Q3906" s="1" t="s">
        <v>1343</v>
      </c>
      <c r="R3906" s="175">
        <v>3</v>
      </c>
      <c r="S3906">
        <v>3</v>
      </c>
    </row>
    <row r="3907" spans="1:19" x14ac:dyDescent="0.25">
      <c r="A3907" s="87">
        <v>2020</v>
      </c>
      <c r="B3907" s="87">
        <v>1</v>
      </c>
      <c r="C3907" s="173" t="s">
        <v>16</v>
      </c>
      <c r="D3907" s="173" t="s">
        <v>372</v>
      </c>
      <c r="E3907" s="173" t="s">
        <v>373</v>
      </c>
      <c r="F3907" s="173" t="s">
        <v>16</v>
      </c>
      <c r="G3907" s="87" t="b">
        <v>1</v>
      </c>
      <c r="H3907" s="87" t="b">
        <v>0</v>
      </c>
      <c r="I3907" s="87" t="b">
        <v>0</v>
      </c>
      <c r="J3907" s="173" t="s">
        <v>450</v>
      </c>
      <c r="K3907" s="174">
        <v>60214517000962</v>
      </c>
      <c r="L3907" s="173" t="s">
        <v>729</v>
      </c>
      <c r="M3907" s="173" t="s">
        <v>650</v>
      </c>
      <c r="N3907" s="173" t="s">
        <v>19</v>
      </c>
      <c r="O3907" s="87">
        <v>70</v>
      </c>
      <c r="P3907" s="173" t="s">
        <v>20</v>
      </c>
      <c r="Q3907" s="1" t="s">
        <v>1338</v>
      </c>
      <c r="R3907" s="175">
        <v>120</v>
      </c>
      <c r="S3907">
        <v>24</v>
      </c>
    </row>
    <row r="3908" spans="1:19" x14ac:dyDescent="0.25">
      <c r="A3908" s="87">
        <v>2020</v>
      </c>
      <c r="B3908" s="87">
        <v>1</v>
      </c>
      <c r="C3908" s="173" t="s">
        <v>16</v>
      </c>
      <c r="D3908" s="173" t="s">
        <v>372</v>
      </c>
      <c r="E3908" s="173" t="s">
        <v>373</v>
      </c>
      <c r="F3908" s="173" t="s">
        <v>16</v>
      </c>
      <c r="G3908" s="87" t="b">
        <v>1</v>
      </c>
      <c r="H3908" s="87" t="b">
        <v>0</v>
      </c>
      <c r="I3908" s="87" t="b">
        <v>0</v>
      </c>
      <c r="J3908" s="173" t="s">
        <v>450</v>
      </c>
      <c r="K3908" s="174">
        <v>60214517001691</v>
      </c>
      <c r="L3908" s="173" t="s">
        <v>732</v>
      </c>
      <c r="M3908" s="173" t="s">
        <v>650</v>
      </c>
      <c r="N3908" s="173" t="s">
        <v>19</v>
      </c>
      <c r="O3908" s="87">
        <v>70</v>
      </c>
      <c r="P3908" s="173" t="s">
        <v>20</v>
      </c>
      <c r="Q3908" s="1" t="s">
        <v>1338</v>
      </c>
      <c r="R3908" s="175">
        <v>225</v>
      </c>
      <c r="S3908">
        <v>45</v>
      </c>
    </row>
    <row r="3909" spans="1:19" x14ac:dyDescent="0.25">
      <c r="A3909" s="87">
        <v>2020</v>
      </c>
      <c r="B3909" s="87">
        <v>1</v>
      </c>
      <c r="C3909" s="173" t="s">
        <v>16</v>
      </c>
      <c r="D3909" s="173" t="s">
        <v>372</v>
      </c>
      <c r="E3909" s="173" t="s">
        <v>373</v>
      </c>
      <c r="F3909" s="173" t="s">
        <v>16</v>
      </c>
      <c r="G3909" s="87" t="b">
        <v>1</v>
      </c>
      <c r="H3909" s="87" t="b">
        <v>0</v>
      </c>
      <c r="I3909" s="87" t="b">
        <v>0</v>
      </c>
      <c r="J3909" s="173" t="s">
        <v>1330</v>
      </c>
      <c r="K3909" s="174">
        <v>60448040000122</v>
      </c>
      <c r="L3909" s="173" t="s">
        <v>609</v>
      </c>
      <c r="M3909" s="173" t="s">
        <v>29</v>
      </c>
      <c r="N3909" s="173" t="s">
        <v>19</v>
      </c>
      <c r="O3909" s="87">
        <v>62</v>
      </c>
      <c r="P3909" s="173" t="s">
        <v>27</v>
      </c>
      <c r="Q3909" s="1" t="s">
        <v>1343</v>
      </c>
      <c r="R3909" s="175">
        <v>165</v>
      </c>
      <c r="S3909">
        <v>165</v>
      </c>
    </row>
    <row r="3910" spans="1:19" x14ac:dyDescent="0.25">
      <c r="A3910" s="87">
        <v>2020</v>
      </c>
      <c r="B3910" s="87">
        <v>1</v>
      </c>
      <c r="C3910" s="173" t="s">
        <v>16</v>
      </c>
      <c r="D3910" s="173" t="s">
        <v>372</v>
      </c>
      <c r="E3910" s="173" t="s">
        <v>373</v>
      </c>
      <c r="F3910" s="173" t="s">
        <v>16</v>
      </c>
      <c r="G3910" s="87" t="b">
        <v>1</v>
      </c>
      <c r="H3910" s="87" t="b">
        <v>0</v>
      </c>
      <c r="I3910" s="87" t="b">
        <v>0</v>
      </c>
      <c r="J3910" s="173" t="s">
        <v>1330</v>
      </c>
      <c r="K3910" s="174">
        <v>60448040000122</v>
      </c>
      <c r="L3910" s="173" t="s">
        <v>609</v>
      </c>
      <c r="M3910" s="173" t="s">
        <v>29</v>
      </c>
      <c r="N3910" s="173" t="s">
        <v>19</v>
      </c>
      <c r="O3910" s="87">
        <v>64</v>
      </c>
      <c r="P3910" s="173" t="s">
        <v>25</v>
      </c>
      <c r="Q3910" s="1" t="s">
        <v>1344</v>
      </c>
      <c r="R3910" s="175">
        <v>158</v>
      </c>
      <c r="S3910">
        <v>158</v>
      </c>
    </row>
    <row r="3911" spans="1:19" x14ac:dyDescent="0.25">
      <c r="A3911" s="87">
        <v>2020</v>
      </c>
      <c r="B3911" s="87">
        <v>1</v>
      </c>
      <c r="C3911" s="173" t="s">
        <v>16</v>
      </c>
      <c r="D3911" s="173" t="s">
        <v>372</v>
      </c>
      <c r="E3911" s="173" t="s">
        <v>373</v>
      </c>
      <c r="F3911" s="173" t="s">
        <v>16</v>
      </c>
      <c r="G3911" s="87" t="b">
        <v>1</v>
      </c>
      <c r="H3911" s="87" t="b">
        <v>0</v>
      </c>
      <c r="I3911" s="87" t="b">
        <v>0</v>
      </c>
      <c r="J3911" s="173" t="s">
        <v>450</v>
      </c>
      <c r="K3911" s="174">
        <v>60453024000390</v>
      </c>
      <c r="L3911" s="173" t="s">
        <v>610</v>
      </c>
      <c r="M3911" s="173" t="s">
        <v>29</v>
      </c>
      <c r="N3911" s="173" t="s">
        <v>19</v>
      </c>
      <c r="O3911" s="87">
        <v>62</v>
      </c>
      <c r="P3911" s="173" t="s">
        <v>27</v>
      </c>
      <c r="Q3911" s="1" t="s">
        <v>1343</v>
      </c>
      <c r="R3911" s="175">
        <v>50</v>
      </c>
      <c r="S3911">
        <v>50</v>
      </c>
    </row>
    <row r="3912" spans="1:19" x14ac:dyDescent="0.25">
      <c r="A3912" s="87">
        <v>2020</v>
      </c>
      <c r="B3912" s="87">
        <v>1</v>
      </c>
      <c r="C3912" s="173" t="s">
        <v>16</v>
      </c>
      <c r="D3912" s="173" t="s">
        <v>372</v>
      </c>
      <c r="E3912" s="173" t="s">
        <v>373</v>
      </c>
      <c r="F3912" s="173" t="s">
        <v>16</v>
      </c>
      <c r="G3912" s="87" t="b">
        <v>1</v>
      </c>
      <c r="H3912" s="87" t="b">
        <v>0</v>
      </c>
      <c r="I3912" s="87" t="b">
        <v>0</v>
      </c>
      <c r="J3912" s="173" t="s">
        <v>478</v>
      </c>
      <c r="K3912" s="174">
        <v>60552098000111</v>
      </c>
      <c r="L3912" s="173" t="s">
        <v>611</v>
      </c>
      <c r="M3912" s="173" t="s">
        <v>29</v>
      </c>
      <c r="N3912" s="173" t="s">
        <v>19</v>
      </c>
      <c r="O3912" s="87">
        <v>70</v>
      </c>
      <c r="P3912" s="173" t="s">
        <v>20</v>
      </c>
      <c r="Q3912" s="1" t="s">
        <v>1338</v>
      </c>
      <c r="R3912" s="175">
        <v>150</v>
      </c>
      <c r="S3912">
        <v>30</v>
      </c>
    </row>
    <row r="3913" spans="1:19" x14ac:dyDescent="0.25">
      <c r="A3913" s="87">
        <v>2020</v>
      </c>
      <c r="B3913" s="87">
        <v>1</v>
      </c>
      <c r="C3913" s="173" t="s">
        <v>16</v>
      </c>
      <c r="D3913" s="173" t="s">
        <v>372</v>
      </c>
      <c r="E3913" s="173" t="s">
        <v>373</v>
      </c>
      <c r="F3913" s="173" t="s">
        <v>16</v>
      </c>
      <c r="G3913" s="87" t="b">
        <v>1</v>
      </c>
      <c r="H3913" s="87" t="b">
        <v>0</v>
      </c>
      <c r="I3913" s="87" t="b">
        <v>0</v>
      </c>
      <c r="J3913" s="173" t="s">
        <v>492</v>
      </c>
      <c r="K3913" s="174">
        <v>60552098000111</v>
      </c>
      <c r="L3913" s="173" t="s">
        <v>611</v>
      </c>
      <c r="M3913" s="173" t="s">
        <v>29</v>
      </c>
      <c r="N3913" s="173" t="s">
        <v>19</v>
      </c>
      <c r="O3913" s="87">
        <v>70</v>
      </c>
      <c r="P3913" s="173" t="s">
        <v>20</v>
      </c>
      <c r="Q3913" s="1" t="s">
        <v>1338</v>
      </c>
      <c r="R3913" s="175">
        <v>300</v>
      </c>
      <c r="S3913">
        <v>60</v>
      </c>
    </row>
    <row r="3914" spans="1:19" x14ac:dyDescent="0.25">
      <c r="A3914" s="87">
        <v>2020</v>
      </c>
      <c r="B3914" s="87">
        <v>1</v>
      </c>
      <c r="C3914" s="173" t="s">
        <v>16</v>
      </c>
      <c r="D3914" s="173" t="s">
        <v>372</v>
      </c>
      <c r="E3914" s="173" t="s">
        <v>373</v>
      </c>
      <c r="F3914" s="173" t="s">
        <v>16</v>
      </c>
      <c r="G3914" s="87" t="b">
        <v>1</v>
      </c>
      <c r="H3914" s="87" t="b">
        <v>0</v>
      </c>
      <c r="I3914" s="87" t="b">
        <v>0</v>
      </c>
      <c r="J3914" s="173" t="s">
        <v>463</v>
      </c>
      <c r="K3914" s="174">
        <v>60678604000113</v>
      </c>
      <c r="L3914" s="173" t="s">
        <v>612</v>
      </c>
      <c r="M3914" s="173" t="s">
        <v>29</v>
      </c>
      <c r="N3914" s="173" t="s">
        <v>19</v>
      </c>
      <c r="O3914" s="87">
        <v>62</v>
      </c>
      <c r="P3914" s="173" t="s">
        <v>27</v>
      </c>
      <c r="Q3914" s="1" t="s">
        <v>1343</v>
      </c>
      <c r="R3914" s="175">
        <v>43</v>
      </c>
      <c r="S3914">
        <v>43</v>
      </c>
    </row>
    <row r="3915" spans="1:19" x14ac:dyDescent="0.25">
      <c r="A3915" s="87">
        <v>2020</v>
      </c>
      <c r="B3915" s="87">
        <v>1</v>
      </c>
      <c r="C3915" s="173" t="s">
        <v>16</v>
      </c>
      <c r="D3915" s="173" t="s">
        <v>372</v>
      </c>
      <c r="E3915" s="173" t="s">
        <v>373</v>
      </c>
      <c r="F3915" s="173" t="s">
        <v>16</v>
      </c>
      <c r="G3915" s="87" t="b">
        <v>1</v>
      </c>
      <c r="H3915" s="87" t="b">
        <v>0</v>
      </c>
      <c r="I3915" s="87" t="b">
        <v>0</v>
      </c>
      <c r="J3915" s="173" t="s">
        <v>450</v>
      </c>
      <c r="K3915" s="174">
        <v>60678604000113</v>
      </c>
      <c r="L3915" s="173" t="s">
        <v>612</v>
      </c>
      <c r="M3915" s="173" t="s">
        <v>29</v>
      </c>
      <c r="N3915" s="173" t="s">
        <v>19</v>
      </c>
      <c r="O3915" s="87">
        <v>70</v>
      </c>
      <c r="P3915" s="173" t="s">
        <v>20</v>
      </c>
      <c r="Q3915" s="1" t="s">
        <v>1338</v>
      </c>
      <c r="R3915" s="175">
        <v>75</v>
      </c>
      <c r="S3915">
        <v>15</v>
      </c>
    </row>
    <row r="3916" spans="1:19" x14ac:dyDescent="0.25">
      <c r="A3916" s="87">
        <v>2020</v>
      </c>
      <c r="B3916" s="87">
        <v>1</v>
      </c>
      <c r="C3916" s="173" t="s">
        <v>16</v>
      </c>
      <c r="D3916" s="173" t="s">
        <v>372</v>
      </c>
      <c r="E3916" s="173" t="s">
        <v>373</v>
      </c>
      <c r="F3916" s="173" t="s">
        <v>16</v>
      </c>
      <c r="G3916" s="87" t="b">
        <v>1</v>
      </c>
      <c r="H3916" s="87" t="b">
        <v>0</v>
      </c>
      <c r="I3916" s="87" t="b">
        <v>0</v>
      </c>
      <c r="J3916" s="173" t="s">
        <v>463</v>
      </c>
      <c r="K3916" s="174">
        <v>60678604000113</v>
      </c>
      <c r="L3916" s="173" t="s">
        <v>612</v>
      </c>
      <c r="M3916" s="173" t="s">
        <v>29</v>
      </c>
      <c r="N3916" s="173" t="s">
        <v>19</v>
      </c>
      <c r="O3916" s="87">
        <v>70</v>
      </c>
      <c r="P3916" s="173" t="s">
        <v>20</v>
      </c>
      <c r="Q3916" s="1" t="s">
        <v>1338</v>
      </c>
      <c r="R3916" s="175">
        <v>75</v>
      </c>
      <c r="S3916">
        <v>15</v>
      </c>
    </row>
    <row r="3917" spans="1:19" x14ac:dyDescent="0.25">
      <c r="A3917" s="87">
        <v>2020</v>
      </c>
      <c r="B3917" s="87">
        <v>1</v>
      </c>
      <c r="C3917" s="173" t="s">
        <v>16</v>
      </c>
      <c r="D3917" s="173" t="s">
        <v>372</v>
      </c>
      <c r="E3917" s="173" t="s">
        <v>373</v>
      </c>
      <c r="F3917" s="173" t="s">
        <v>16</v>
      </c>
      <c r="G3917" s="87" t="b">
        <v>1</v>
      </c>
      <c r="H3917" s="87" t="b">
        <v>0</v>
      </c>
      <c r="I3917" s="87" t="b">
        <v>0</v>
      </c>
      <c r="J3917" s="173" t="s">
        <v>450</v>
      </c>
      <c r="K3917" s="174">
        <v>60726502000126</v>
      </c>
      <c r="L3917" s="173" t="s">
        <v>613</v>
      </c>
      <c r="M3917" s="173" t="s">
        <v>29</v>
      </c>
      <c r="N3917" s="173" t="s">
        <v>19</v>
      </c>
      <c r="O3917" s="87">
        <v>62</v>
      </c>
      <c r="P3917" s="173" t="s">
        <v>27</v>
      </c>
      <c r="Q3917" s="1" t="s">
        <v>1343</v>
      </c>
      <c r="R3917" s="175">
        <v>7</v>
      </c>
      <c r="S3917">
        <v>7</v>
      </c>
    </row>
    <row r="3918" spans="1:19" x14ac:dyDescent="0.25">
      <c r="A3918" s="87">
        <v>2020</v>
      </c>
      <c r="B3918" s="87">
        <v>1</v>
      </c>
      <c r="C3918" s="173" t="s">
        <v>16</v>
      </c>
      <c r="D3918" s="173" t="s">
        <v>372</v>
      </c>
      <c r="E3918" s="173" t="s">
        <v>373</v>
      </c>
      <c r="F3918" s="173" t="s">
        <v>16</v>
      </c>
      <c r="G3918" s="87" t="b">
        <v>1</v>
      </c>
      <c r="H3918" s="87" t="b">
        <v>0</v>
      </c>
      <c r="I3918" s="87" t="b">
        <v>0</v>
      </c>
      <c r="J3918" s="173" t="s">
        <v>450</v>
      </c>
      <c r="K3918" s="174">
        <v>60726502000126</v>
      </c>
      <c r="L3918" s="173" t="s">
        <v>613</v>
      </c>
      <c r="M3918" s="173" t="s">
        <v>29</v>
      </c>
      <c r="N3918" s="173" t="s">
        <v>19</v>
      </c>
      <c r="O3918" s="87">
        <v>64</v>
      </c>
      <c r="P3918" s="173" t="s">
        <v>25</v>
      </c>
      <c r="Q3918" s="1" t="s">
        <v>1344</v>
      </c>
      <c r="R3918" s="175">
        <v>7</v>
      </c>
      <c r="S3918">
        <v>7</v>
      </c>
    </row>
    <row r="3919" spans="1:19" x14ac:dyDescent="0.25">
      <c r="A3919" s="87">
        <v>2020</v>
      </c>
      <c r="B3919" s="87">
        <v>1</v>
      </c>
      <c r="C3919" s="173" t="s">
        <v>16</v>
      </c>
      <c r="D3919" s="173" t="s">
        <v>372</v>
      </c>
      <c r="E3919" s="173" t="s">
        <v>373</v>
      </c>
      <c r="F3919" s="173" t="s">
        <v>16</v>
      </c>
      <c r="G3919" s="87" t="b">
        <v>1</v>
      </c>
      <c r="H3919" s="87" t="b">
        <v>0</v>
      </c>
      <c r="I3919" s="87" t="b">
        <v>0</v>
      </c>
      <c r="J3919" s="173" t="s">
        <v>450</v>
      </c>
      <c r="K3919" s="174">
        <v>60726502000711</v>
      </c>
      <c r="L3919" s="173" t="s">
        <v>614</v>
      </c>
      <c r="M3919" s="173" t="s">
        <v>29</v>
      </c>
      <c r="N3919" s="173" t="s">
        <v>19</v>
      </c>
      <c r="O3919" s="87">
        <v>62</v>
      </c>
      <c r="P3919" s="173" t="s">
        <v>27</v>
      </c>
      <c r="Q3919" s="1" t="s">
        <v>1343</v>
      </c>
      <c r="R3919" s="175">
        <v>6</v>
      </c>
      <c r="S3919">
        <v>6</v>
      </c>
    </row>
    <row r="3920" spans="1:19" x14ac:dyDescent="0.25">
      <c r="A3920" s="87">
        <v>2020</v>
      </c>
      <c r="B3920" s="87">
        <v>1</v>
      </c>
      <c r="C3920" s="173" t="s">
        <v>16</v>
      </c>
      <c r="D3920" s="173" t="s">
        <v>372</v>
      </c>
      <c r="E3920" s="173" t="s">
        <v>373</v>
      </c>
      <c r="F3920" s="173" t="s">
        <v>16</v>
      </c>
      <c r="G3920" s="87" t="b">
        <v>1</v>
      </c>
      <c r="H3920" s="87" t="b">
        <v>0</v>
      </c>
      <c r="I3920" s="87" t="b">
        <v>0</v>
      </c>
      <c r="J3920" s="173" t="s">
        <v>450</v>
      </c>
      <c r="K3920" s="174">
        <v>60742616000160</v>
      </c>
      <c r="L3920" s="173" t="s">
        <v>1362</v>
      </c>
      <c r="M3920" s="173" t="s">
        <v>29</v>
      </c>
      <c r="N3920" s="173" t="s">
        <v>19</v>
      </c>
      <c r="O3920" s="87">
        <v>70</v>
      </c>
      <c r="P3920" s="173" t="s">
        <v>20</v>
      </c>
      <c r="Q3920" s="1" t="s">
        <v>1338</v>
      </c>
      <c r="R3920" s="175">
        <v>530</v>
      </c>
      <c r="S3920">
        <v>106</v>
      </c>
    </row>
    <row r="3921" spans="1:19" x14ac:dyDescent="0.25">
      <c r="A3921" s="87">
        <v>2020</v>
      </c>
      <c r="B3921" s="87">
        <v>1</v>
      </c>
      <c r="C3921" s="173" t="s">
        <v>16</v>
      </c>
      <c r="D3921" s="173" t="s">
        <v>372</v>
      </c>
      <c r="E3921" s="173" t="s">
        <v>373</v>
      </c>
      <c r="F3921" s="173" t="s">
        <v>16</v>
      </c>
      <c r="G3921" s="87" t="b">
        <v>1</v>
      </c>
      <c r="H3921" s="87" t="b">
        <v>0</v>
      </c>
      <c r="I3921" s="87" t="b">
        <v>0</v>
      </c>
      <c r="J3921" s="173" t="s">
        <v>450</v>
      </c>
      <c r="K3921" s="174">
        <v>60742616000674</v>
      </c>
      <c r="L3921" s="173" t="s">
        <v>1363</v>
      </c>
      <c r="M3921" s="173" t="s">
        <v>29</v>
      </c>
      <c r="N3921" s="173" t="s">
        <v>19</v>
      </c>
      <c r="O3921" s="87">
        <v>70</v>
      </c>
      <c r="P3921" s="173" t="s">
        <v>20</v>
      </c>
      <c r="Q3921" s="1" t="s">
        <v>1338</v>
      </c>
      <c r="R3921" s="175">
        <v>25</v>
      </c>
      <c r="S3921">
        <v>5</v>
      </c>
    </row>
    <row r="3922" spans="1:19" x14ac:dyDescent="0.25">
      <c r="A3922" s="87">
        <v>2020</v>
      </c>
      <c r="B3922" s="87">
        <v>1</v>
      </c>
      <c r="C3922" s="173" t="s">
        <v>16</v>
      </c>
      <c r="D3922" s="173" t="s">
        <v>372</v>
      </c>
      <c r="E3922" s="173" t="s">
        <v>373</v>
      </c>
      <c r="F3922" s="173" t="s">
        <v>16</v>
      </c>
      <c r="G3922" s="87" t="b">
        <v>1</v>
      </c>
      <c r="H3922" s="87" t="b">
        <v>0</v>
      </c>
      <c r="I3922" s="87" t="b">
        <v>0</v>
      </c>
      <c r="J3922" s="173" t="s">
        <v>450</v>
      </c>
      <c r="K3922" s="174">
        <v>60742616001301</v>
      </c>
      <c r="L3922" s="173" t="s">
        <v>1495</v>
      </c>
      <c r="M3922" s="173" t="s">
        <v>29</v>
      </c>
      <c r="N3922" s="173" t="s">
        <v>19</v>
      </c>
      <c r="O3922" s="87">
        <v>70</v>
      </c>
      <c r="P3922" s="173" t="s">
        <v>20</v>
      </c>
      <c r="Q3922" s="1" t="s">
        <v>1338</v>
      </c>
      <c r="R3922" s="175">
        <v>120</v>
      </c>
      <c r="S3922">
        <v>24</v>
      </c>
    </row>
    <row r="3923" spans="1:19" x14ac:dyDescent="0.25">
      <c r="A3923" s="87">
        <v>2020</v>
      </c>
      <c r="B3923" s="87">
        <v>1</v>
      </c>
      <c r="C3923" s="173" t="s">
        <v>16</v>
      </c>
      <c r="D3923" s="173" t="s">
        <v>372</v>
      </c>
      <c r="E3923" s="173" t="s">
        <v>373</v>
      </c>
      <c r="F3923" s="173" t="s">
        <v>16</v>
      </c>
      <c r="G3923" s="87" t="b">
        <v>1</v>
      </c>
      <c r="H3923" s="87" t="b">
        <v>0</v>
      </c>
      <c r="I3923" s="87" t="b">
        <v>0</v>
      </c>
      <c r="J3923" s="173" t="s">
        <v>1330</v>
      </c>
      <c r="K3923" s="174">
        <v>60765823000130</v>
      </c>
      <c r="L3923" s="173" t="s">
        <v>615</v>
      </c>
      <c r="M3923" s="173" t="s">
        <v>29</v>
      </c>
      <c r="N3923" s="173" t="s">
        <v>19</v>
      </c>
      <c r="O3923" s="87">
        <v>62</v>
      </c>
      <c r="P3923" s="173" t="s">
        <v>27</v>
      </c>
      <c r="Q3923" s="1" t="s">
        <v>1343</v>
      </c>
      <c r="R3923" s="175">
        <v>140</v>
      </c>
      <c r="S3923">
        <v>140</v>
      </c>
    </row>
    <row r="3924" spans="1:19" x14ac:dyDescent="0.25">
      <c r="A3924" s="87">
        <v>2020</v>
      </c>
      <c r="B3924" s="87">
        <v>1</v>
      </c>
      <c r="C3924" s="173" t="s">
        <v>16</v>
      </c>
      <c r="D3924" s="173" t="s">
        <v>372</v>
      </c>
      <c r="E3924" s="173" t="s">
        <v>373</v>
      </c>
      <c r="F3924" s="173" t="s">
        <v>16</v>
      </c>
      <c r="G3924" s="87" t="b">
        <v>1</v>
      </c>
      <c r="H3924" s="87" t="b">
        <v>0</v>
      </c>
      <c r="I3924" s="87" t="b">
        <v>0</v>
      </c>
      <c r="J3924" s="173" t="s">
        <v>1330</v>
      </c>
      <c r="K3924" s="174">
        <v>60765823000130</v>
      </c>
      <c r="L3924" s="173" t="s">
        <v>615</v>
      </c>
      <c r="M3924" s="173" t="s">
        <v>29</v>
      </c>
      <c r="N3924" s="173" t="s">
        <v>19</v>
      </c>
      <c r="O3924" s="87">
        <v>64</v>
      </c>
      <c r="P3924" s="173" t="s">
        <v>25</v>
      </c>
      <c r="Q3924" s="1" t="s">
        <v>1344</v>
      </c>
      <c r="R3924" s="175">
        <v>90</v>
      </c>
      <c r="S3924">
        <v>90</v>
      </c>
    </row>
    <row r="3925" spans="1:19" x14ac:dyDescent="0.25">
      <c r="A3925" s="87">
        <v>2020</v>
      </c>
      <c r="B3925" s="87">
        <v>1</v>
      </c>
      <c r="C3925" s="173" t="s">
        <v>16</v>
      </c>
      <c r="D3925" s="173" t="s">
        <v>372</v>
      </c>
      <c r="E3925" s="173" t="s">
        <v>373</v>
      </c>
      <c r="F3925" s="173" t="s">
        <v>16</v>
      </c>
      <c r="G3925" s="87" t="b">
        <v>1</v>
      </c>
      <c r="H3925" s="87" t="b">
        <v>0</v>
      </c>
      <c r="I3925" s="87" t="b">
        <v>0</v>
      </c>
      <c r="J3925" s="173" t="s">
        <v>491</v>
      </c>
      <c r="K3925" s="174">
        <v>60765823000130</v>
      </c>
      <c r="L3925" s="173" t="s">
        <v>615</v>
      </c>
      <c r="M3925" s="173" t="s">
        <v>29</v>
      </c>
      <c r="N3925" s="173" t="s">
        <v>19</v>
      </c>
      <c r="O3925" s="87">
        <v>64</v>
      </c>
      <c r="P3925" s="173" t="s">
        <v>25</v>
      </c>
      <c r="Q3925" s="1" t="s">
        <v>1344</v>
      </c>
      <c r="R3925" s="175">
        <v>10</v>
      </c>
      <c r="S3925">
        <v>10</v>
      </c>
    </row>
    <row r="3926" spans="1:19" x14ac:dyDescent="0.25">
      <c r="A3926" s="87">
        <v>2020</v>
      </c>
      <c r="B3926" s="87">
        <v>1</v>
      </c>
      <c r="C3926" s="173" t="s">
        <v>16</v>
      </c>
      <c r="D3926" s="173" t="s">
        <v>372</v>
      </c>
      <c r="E3926" s="173" t="s">
        <v>373</v>
      </c>
      <c r="F3926" s="173" t="s">
        <v>16</v>
      </c>
      <c r="G3926" s="87" t="b">
        <v>1</v>
      </c>
      <c r="H3926" s="87" t="b">
        <v>0</v>
      </c>
      <c r="I3926" s="87" t="b">
        <v>0</v>
      </c>
      <c r="J3926" s="173" t="s">
        <v>1330</v>
      </c>
      <c r="K3926" s="174">
        <v>60765823000130</v>
      </c>
      <c r="L3926" s="173" t="s">
        <v>615</v>
      </c>
      <c r="M3926" s="173" t="s">
        <v>29</v>
      </c>
      <c r="N3926" s="173" t="s">
        <v>19</v>
      </c>
      <c r="O3926" s="87">
        <v>70</v>
      </c>
      <c r="P3926" s="173" t="s">
        <v>20</v>
      </c>
      <c r="Q3926" s="1" t="s">
        <v>1338</v>
      </c>
      <c r="R3926" s="175">
        <v>1300</v>
      </c>
      <c r="S3926">
        <v>260</v>
      </c>
    </row>
    <row r="3927" spans="1:19" x14ac:dyDescent="0.25">
      <c r="A3927" s="87">
        <v>2020</v>
      </c>
      <c r="B3927" s="87">
        <v>1</v>
      </c>
      <c r="C3927" s="173" t="s">
        <v>16</v>
      </c>
      <c r="D3927" s="173" t="s">
        <v>372</v>
      </c>
      <c r="E3927" s="173" t="s">
        <v>373</v>
      </c>
      <c r="F3927" s="173" t="s">
        <v>16</v>
      </c>
      <c r="G3927" s="87" t="b">
        <v>1</v>
      </c>
      <c r="H3927" s="87" t="b">
        <v>0</v>
      </c>
      <c r="I3927" s="87" t="b">
        <v>0</v>
      </c>
      <c r="J3927" s="173" t="s">
        <v>1330</v>
      </c>
      <c r="K3927" s="174">
        <v>60765823000130</v>
      </c>
      <c r="L3927" s="173" t="s">
        <v>615</v>
      </c>
      <c r="M3927" s="173" t="s">
        <v>29</v>
      </c>
      <c r="N3927" s="173" t="s">
        <v>19</v>
      </c>
      <c r="O3927" s="87">
        <v>73</v>
      </c>
      <c r="P3927" s="173" t="s">
        <v>26</v>
      </c>
      <c r="Q3927" s="1" t="s">
        <v>1340</v>
      </c>
      <c r="R3927" s="175">
        <v>50</v>
      </c>
      <c r="S3927">
        <v>50</v>
      </c>
    </row>
    <row r="3928" spans="1:19" x14ac:dyDescent="0.25">
      <c r="A3928" s="87">
        <v>2020</v>
      </c>
      <c r="B3928" s="87">
        <v>1</v>
      </c>
      <c r="C3928" s="173" t="s">
        <v>16</v>
      </c>
      <c r="D3928" s="173" t="s">
        <v>372</v>
      </c>
      <c r="E3928" s="173" t="s">
        <v>373</v>
      </c>
      <c r="F3928" s="173" t="s">
        <v>16</v>
      </c>
      <c r="G3928" s="87" t="b">
        <v>1</v>
      </c>
      <c r="H3928" s="87" t="b">
        <v>0</v>
      </c>
      <c r="I3928" s="87" t="b">
        <v>0</v>
      </c>
      <c r="J3928" s="173" t="s">
        <v>470</v>
      </c>
      <c r="K3928" s="174">
        <v>60777901000116</v>
      </c>
      <c r="L3928" s="173" t="s">
        <v>616</v>
      </c>
      <c r="M3928" s="173" t="s">
        <v>29</v>
      </c>
      <c r="N3928" s="173" t="s">
        <v>19</v>
      </c>
      <c r="O3928" s="87">
        <v>70</v>
      </c>
      <c r="P3928" s="173" t="s">
        <v>20</v>
      </c>
      <c r="Q3928" s="1" t="s">
        <v>1338</v>
      </c>
      <c r="R3928" s="175">
        <v>850</v>
      </c>
      <c r="S3928">
        <v>170</v>
      </c>
    </row>
    <row r="3929" spans="1:19" x14ac:dyDescent="0.25">
      <c r="A3929" s="87">
        <v>2020</v>
      </c>
      <c r="B3929" s="87">
        <v>1</v>
      </c>
      <c r="C3929" s="173" t="s">
        <v>16</v>
      </c>
      <c r="D3929" s="173" t="s">
        <v>372</v>
      </c>
      <c r="E3929" s="173" t="s">
        <v>373</v>
      </c>
      <c r="F3929" s="173" t="s">
        <v>16</v>
      </c>
      <c r="G3929" s="87" t="b">
        <v>1</v>
      </c>
      <c r="H3929" s="87" t="b">
        <v>0</v>
      </c>
      <c r="I3929" s="87" t="b">
        <v>0</v>
      </c>
      <c r="J3929" s="173" t="s">
        <v>451</v>
      </c>
      <c r="K3929" s="174">
        <v>60777901000116</v>
      </c>
      <c r="L3929" s="173" t="s">
        <v>616</v>
      </c>
      <c r="M3929" s="173" t="s">
        <v>29</v>
      </c>
      <c r="N3929" s="173" t="s">
        <v>19</v>
      </c>
      <c r="O3929" s="87">
        <v>73</v>
      </c>
      <c r="P3929" s="173" t="s">
        <v>26</v>
      </c>
      <c r="Q3929" s="1" t="s">
        <v>1339</v>
      </c>
      <c r="R3929" s="175">
        <v>4</v>
      </c>
      <c r="S3929">
        <v>2</v>
      </c>
    </row>
    <row r="3930" spans="1:19" x14ac:dyDescent="0.25">
      <c r="A3930" s="87">
        <v>2020</v>
      </c>
      <c r="B3930" s="87">
        <v>1</v>
      </c>
      <c r="C3930" s="173" t="s">
        <v>16</v>
      </c>
      <c r="D3930" s="173" t="s">
        <v>372</v>
      </c>
      <c r="E3930" s="173" t="s">
        <v>373</v>
      </c>
      <c r="F3930" s="173" t="s">
        <v>16</v>
      </c>
      <c r="G3930" s="87" t="b">
        <v>1</v>
      </c>
      <c r="H3930" s="87" t="b">
        <v>0</v>
      </c>
      <c r="I3930" s="87" t="b">
        <v>0</v>
      </c>
      <c r="J3930" s="173" t="s">
        <v>451</v>
      </c>
      <c r="K3930" s="174">
        <v>60777901000116</v>
      </c>
      <c r="L3930" s="173" t="s">
        <v>616</v>
      </c>
      <c r="M3930" s="173" t="s">
        <v>29</v>
      </c>
      <c r="N3930" s="173" t="s">
        <v>19</v>
      </c>
      <c r="O3930" s="87">
        <v>73</v>
      </c>
      <c r="P3930" s="173" t="s">
        <v>26</v>
      </c>
      <c r="Q3930" s="1" t="s">
        <v>1342</v>
      </c>
      <c r="R3930" s="175">
        <v>56</v>
      </c>
      <c r="S3930">
        <v>14</v>
      </c>
    </row>
    <row r="3931" spans="1:19" x14ac:dyDescent="0.25">
      <c r="A3931" s="87">
        <v>2020</v>
      </c>
      <c r="B3931" s="87">
        <v>1</v>
      </c>
      <c r="C3931" s="173" t="s">
        <v>16</v>
      </c>
      <c r="D3931" s="173" t="s">
        <v>372</v>
      </c>
      <c r="E3931" s="173" t="s">
        <v>373</v>
      </c>
      <c r="F3931" s="173" t="s">
        <v>16</v>
      </c>
      <c r="G3931" s="87" t="b">
        <v>1</v>
      </c>
      <c r="H3931" s="87" t="b">
        <v>0</v>
      </c>
      <c r="I3931" s="87" t="b">
        <v>0</v>
      </c>
      <c r="J3931" s="173" t="s">
        <v>463</v>
      </c>
      <c r="K3931" s="174">
        <v>60840055000131</v>
      </c>
      <c r="L3931" s="173" t="s">
        <v>1496</v>
      </c>
      <c r="M3931" s="173" t="s">
        <v>29</v>
      </c>
      <c r="N3931" s="173" t="s">
        <v>19</v>
      </c>
      <c r="O3931" s="87">
        <v>73</v>
      </c>
      <c r="P3931" s="173" t="s">
        <v>26</v>
      </c>
      <c r="Q3931" s="1" t="s">
        <v>1339</v>
      </c>
      <c r="R3931" s="175">
        <v>2</v>
      </c>
      <c r="S3931">
        <v>1</v>
      </c>
    </row>
    <row r="3932" spans="1:19" x14ac:dyDescent="0.25">
      <c r="A3932" s="87">
        <v>2020</v>
      </c>
      <c r="B3932" s="87">
        <v>1</v>
      </c>
      <c r="C3932" s="173" t="s">
        <v>16</v>
      </c>
      <c r="D3932" s="173" t="s">
        <v>372</v>
      </c>
      <c r="E3932" s="173" t="s">
        <v>373</v>
      </c>
      <c r="F3932" s="173" t="s">
        <v>16</v>
      </c>
      <c r="G3932" s="87" t="b">
        <v>1</v>
      </c>
      <c r="H3932" s="87" t="b">
        <v>0</v>
      </c>
      <c r="I3932" s="87" t="b">
        <v>0</v>
      </c>
      <c r="J3932" s="173" t="s">
        <v>463</v>
      </c>
      <c r="K3932" s="174">
        <v>60840055000131</v>
      </c>
      <c r="L3932" s="173" t="s">
        <v>1496</v>
      </c>
      <c r="M3932" s="173" t="s">
        <v>29</v>
      </c>
      <c r="N3932" s="173" t="s">
        <v>19</v>
      </c>
      <c r="O3932" s="87">
        <v>73</v>
      </c>
      <c r="P3932" s="173" t="s">
        <v>26</v>
      </c>
      <c r="Q3932" s="1" t="s">
        <v>1342</v>
      </c>
      <c r="R3932" s="175">
        <v>8</v>
      </c>
      <c r="S3932">
        <v>2</v>
      </c>
    </row>
    <row r="3933" spans="1:19" x14ac:dyDescent="0.25">
      <c r="A3933" s="87">
        <v>2020</v>
      </c>
      <c r="B3933" s="87">
        <v>1</v>
      </c>
      <c r="C3933" s="173" t="s">
        <v>16</v>
      </c>
      <c r="D3933" s="173" t="s">
        <v>372</v>
      </c>
      <c r="E3933" s="173" t="s">
        <v>373</v>
      </c>
      <c r="F3933" s="173" t="s">
        <v>16</v>
      </c>
      <c r="G3933" s="87" t="b">
        <v>1</v>
      </c>
      <c r="H3933" s="87" t="b">
        <v>0</v>
      </c>
      <c r="I3933" s="87" t="b">
        <v>0</v>
      </c>
      <c r="J3933" s="173" t="s">
        <v>470</v>
      </c>
      <c r="K3933" s="174">
        <v>60884855000316</v>
      </c>
      <c r="L3933" s="173" t="s">
        <v>617</v>
      </c>
      <c r="M3933" s="173" t="s">
        <v>29</v>
      </c>
      <c r="N3933" s="173" t="s">
        <v>19</v>
      </c>
      <c r="O3933" s="87">
        <v>64</v>
      </c>
      <c r="P3933" s="173" t="s">
        <v>25</v>
      </c>
      <c r="Q3933" s="1" t="s">
        <v>1344</v>
      </c>
      <c r="R3933" s="175">
        <v>14</v>
      </c>
      <c r="S3933">
        <v>14</v>
      </c>
    </row>
    <row r="3934" spans="1:19" x14ac:dyDescent="0.25">
      <c r="A3934" s="87">
        <v>2020</v>
      </c>
      <c r="B3934" s="87">
        <v>1</v>
      </c>
      <c r="C3934" s="173" t="s">
        <v>16</v>
      </c>
      <c r="D3934" s="173" t="s">
        <v>372</v>
      </c>
      <c r="E3934" s="173" t="s">
        <v>373</v>
      </c>
      <c r="F3934" s="173" t="s">
        <v>16</v>
      </c>
      <c r="G3934" s="87" t="b">
        <v>1</v>
      </c>
      <c r="H3934" s="87" t="b">
        <v>0</v>
      </c>
      <c r="I3934" s="87" t="b">
        <v>0</v>
      </c>
      <c r="J3934" s="173" t="s">
        <v>470</v>
      </c>
      <c r="K3934" s="174">
        <v>60884855000316</v>
      </c>
      <c r="L3934" s="173" t="s">
        <v>617</v>
      </c>
      <c r="M3934" s="173" t="s">
        <v>29</v>
      </c>
      <c r="N3934" s="173" t="s">
        <v>19</v>
      </c>
      <c r="O3934" s="87">
        <v>70</v>
      </c>
      <c r="P3934" s="173" t="s">
        <v>20</v>
      </c>
      <c r="Q3934" s="1" t="s">
        <v>1338</v>
      </c>
      <c r="R3934" s="175">
        <v>1855</v>
      </c>
      <c r="S3934">
        <v>371</v>
      </c>
    </row>
    <row r="3935" spans="1:19" x14ac:dyDescent="0.25">
      <c r="A3935" s="87">
        <v>2020</v>
      </c>
      <c r="B3935" s="87">
        <v>1</v>
      </c>
      <c r="C3935" s="173" t="s">
        <v>16</v>
      </c>
      <c r="D3935" s="173" t="s">
        <v>372</v>
      </c>
      <c r="E3935" s="173" t="s">
        <v>373</v>
      </c>
      <c r="F3935" s="173" t="s">
        <v>16</v>
      </c>
      <c r="G3935" s="87" t="b">
        <v>1</v>
      </c>
      <c r="H3935" s="87" t="b">
        <v>0</v>
      </c>
      <c r="I3935" s="87" t="b">
        <v>0</v>
      </c>
      <c r="J3935" s="173" t="s">
        <v>450</v>
      </c>
      <c r="K3935" s="174">
        <v>60884855000316</v>
      </c>
      <c r="L3935" s="173" t="s">
        <v>617</v>
      </c>
      <c r="M3935" s="173" t="s">
        <v>29</v>
      </c>
      <c r="N3935" s="173" t="s">
        <v>19</v>
      </c>
      <c r="O3935" s="87">
        <v>73</v>
      </c>
      <c r="P3935" s="173" t="s">
        <v>26</v>
      </c>
      <c r="Q3935" s="1" t="s">
        <v>1339</v>
      </c>
      <c r="R3935" s="175">
        <v>16</v>
      </c>
      <c r="S3935">
        <v>8</v>
      </c>
    </row>
    <row r="3936" spans="1:19" x14ac:dyDescent="0.25">
      <c r="A3936" s="87">
        <v>2020</v>
      </c>
      <c r="B3936" s="87">
        <v>1</v>
      </c>
      <c r="C3936" s="173" t="s">
        <v>16</v>
      </c>
      <c r="D3936" s="173" t="s">
        <v>372</v>
      </c>
      <c r="E3936" s="173" t="s">
        <v>373</v>
      </c>
      <c r="F3936" s="173" t="s">
        <v>16</v>
      </c>
      <c r="G3936" s="87" t="b">
        <v>1</v>
      </c>
      <c r="H3936" s="87" t="b">
        <v>0</v>
      </c>
      <c r="I3936" s="87" t="b">
        <v>0</v>
      </c>
      <c r="J3936" s="173" t="s">
        <v>451</v>
      </c>
      <c r="K3936" s="174">
        <v>60884855000316</v>
      </c>
      <c r="L3936" s="173" t="s">
        <v>617</v>
      </c>
      <c r="M3936" s="173" t="s">
        <v>29</v>
      </c>
      <c r="N3936" s="173" t="s">
        <v>19</v>
      </c>
      <c r="O3936" s="87">
        <v>73</v>
      </c>
      <c r="P3936" s="173" t="s">
        <v>26</v>
      </c>
      <c r="Q3936" s="1" t="s">
        <v>1339</v>
      </c>
      <c r="R3936" s="175">
        <v>16</v>
      </c>
      <c r="S3936">
        <v>8</v>
      </c>
    </row>
    <row r="3937" spans="1:19" x14ac:dyDescent="0.25">
      <c r="A3937" s="87">
        <v>2020</v>
      </c>
      <c r="B3937" s="87">
        <v>1</v>
      </c>
      <c r="C3937" s="173" t="s">
        <v>16</v>
      </c>
      <c r="D3937" s="173" t="s">
        <v>372</v>
      </c>
      <c r="E3937" s="173" t="s">
        <v>373</v>
      </c>
      <c r="F3937" s="173" t="s">
        <v>16</v>
      </c>
      <c r="G3937" s="87" t="b">
        <v>1</v>
      </c>
      <c r="H3937" s="87" t="b">
        <v>0</v>
      </c>
      <c r="I3937" s="87" t="b">
        <v>0</v>
      </c>
      <c r="J3937" s="173" t="s">
        <v>470</v>
      </c>
      <c r="K3937" s="174">
        <v>60884855001207</v>
      </c>
      <c r="L3937" s="173" t="s">
        <v>1065</v>
      </c>
      <c r="M3937" s="173" t="s">
        <v>1039</v>
      </c>
      <c r="N3937" s="173" t="s">
        <v>61</v>
      </c>
      <c r="O3937" s="87">
        <v>62</v>
      </c>
      <c r="P3937" s="173" t="s">
        <v>27</v>
      </c>
      <c r="Q3937" s="1" t="s">
        <v>1343</v>
      </c>
      <c r="R3937" s="175">
        <v>5</v>
      </c>
      <c r="S3937">
        <v>5</v>
      </c>
    </row>
    <row r="3938" spans="1:19" x14ac:dyDescent="0.25">
      <c r="A3938" s="87">
        <v>2020</v>
      </c>
      <c r="B3938" s="87">
        <v>1</v>
      </c>
      <c r="C3938" s="173" t="s">
        <v>16</v>
      </c>
      <c r="D3938" s="173" t="s">
        <v>372</v>
      </c>
      <c r="E3938" s="173" t="s">
        <v>373</v>
      </c>
      <c r="F3938" s="173" t="s">
        <v>16</v>
      </c>
      <c r="G3938" s="87" t="b">
        <v>1</v>
      </c>
      <c r="H3938" s="87" t="b">
        <v>0</v>
      </c>
      <c r="I3938" s="87" t="b">
        <v>0</v>
      </c>
      <c r="J3938" s="173" t="s">
        <v>470</v>
      </c>
      <c r="K3938" s="174">
        <v>60884855001207</v>
      </c>
      <c r="L3938" s="173" t="s">
        <v>1065</v>
      </c>
      <c r="M3938" s="173" t="s">
        <v>1039</v>
      </c>
      <c r="N3938" s="173" t="s">
        <v>61</v>
      </c>
      <c r="O3938" s="87">
        <v>64</v>
      </c>
      <c r="P3938" s="173" t="s">
        <v>25</v>
      </c>
      <c r="Q3938" s="1" t="s">
        <v>1344</v>
      </c>
      <c r="R3938" s="175">
        <v>70</v>
      </c>
      <c r="S3938">
        <v>70</v>
      </c>
    </row>
    <row r="3939" spans="1:19" x14ac:dyDescent="0.25">
      <c r="A3939" s="87">
        <v>2020</v>
      </c>
      <c r="B3939" s="87">
        <v>1</v>
      </c>
      <c r="C3939" s="173" t="s">
        <v>16</v>
      </c>
      <c r="D3939" s="173" t="s">
        <v>372</v>
      </c>
      <c r="E3939" s="173" t="s">
        <v>373</v>
      </c>
      <c r="F3939" s="173" t="s">
        <v>16</v>
      </c>
      <c r="G3939" s="87" t="b">
        <v>1</v>
      </c>
      <c r="H3939" s="87" t="b">
        <v>0</v>
      </c>
      <c r="I3939" s="87" t="b">
        <v>0</v>
      </c>
      <c r="J3939" s="173" t="s">
        <v>470</v>
      </c>
      <c r="K3939" s="174">
        <v>60884855001207</v>
      </c>
      <c r="L3939" s="173" t="s">
        <v>1065</v>
      </c>
      <c r="M3939" s="173" t="s">
        <v>1039</v>
      </c>
      <c r="N3939" s="173" t="s">
        <v>61</v>
      </c>
      <c r="O3939" s="87">
        <v>70</v>
      </c>
      <c r="P3939" s="173" t="s">
        <v>20</v>
      </c>
      <c r="Q3939" s="1" t="s">
        <v>1338</v>
      </c>
      <c r="R3939" s="175">
        <v>105</v>
      </c>
      <c r="S3939">
        <v>21</v>
      </c>
    </row>
    <row r="3940" spans="1:19" x14ac:dyDescent="0.25">
      <c r="A3940" s="87">
        <v>2020</v>
      </c>
      <c r="B3940" s="87">
        <v>1</v>
      </c>
      <c r="C3940" s="173" t="s">
        <v>16</v>
      </c>
      <c r="D3940" s="173" t="s">
        <v>372</v>
      </c>
      <c r="E3940" s="173" t="s">
        <v>373</v>
      </c>
      <c r="F3940" s="173" t="s">
        <v>16</v>
      </c>
      <c r="G3940" s="87" t="b">
        <v>1</v>
      </c>
      <c r="H3940" s="87" t="b">
        <v>0</v>
      </c>
      <c r="I3940" s="87" t="b">
        <v>0</v>
      </c>
      <c r="J3940" s="173" t="s">
        <v>491</v>
      </c>
      <c r="K3940" s="174">
        <v>60884855001207</v>
      </c>
      <c r="L3940" s="173" t="s">
        <v>1065</v>
      </c>
      <c r="M3940" s="173" t="s">
        <v>1039</v>
      </c>
      <c r="N3940" s="173" t="s">
        <v>61</v>
      </c>
      <c r="O3940" s="87">
        <v>73</v>
      </c>
      <c r="P3940" s="173" t="s">
        <v>26</v>
      </c>
      <c r="Q3940" s="1" t="s">
        <v>1339</v>
      </c>
      <c r="R3940" s="175">
        <v>42</v>
      </c>
      <c r="S3940">
        <v>21</v>
      </c>
    </row>
    <row r="3941" spans="1:19" x14ac:dyDescent="0.25">
      <c r="A3941" s="87">
        <v>2020</v>
      </c>
      <c r="B3941" s="87">
        <v>1</v>
      </c>
      <c r="C3941" s="173" t="s">
        <v>16</v>
      </c>
      <c r="D3941" s="173" t="s">
        <v>372</v>
      </c>
      <c r="E3941" s="173" t="s">
        <v>373</v>
      </c>
      <c r="F3941" s="173" t="s">
        <v>16</v>
      </c>
      <c r="G3941" s="87" t="b">
        <v>1</v>
      </c>
      <c r="H3941" s="87" t="b">
        <v>0</v>
      </c>
      <c r="I3941" s="87" t="b">
        <v>0</v>
      </c>
      <c r="J3941" s="173" t="s">
        <v>470</v>
      </c>
      <c r="K3941" s="174">
        <v>60884855001630</v>
      </c>
      <c r="L3941" s="173" t="s">
        <v>1124</v>
      </c>
      <c r="M3941" s="173" t="s">
        <v>131</v>
      </c>
      <c r="N3941" s="173" t="s">
        <v>61</v>
      </c>
      <c r="O3941" s="87">
        <v>62</v>
      </c>
      <c r="P3941" s="173" t="s">
        <v>27</v>
      </c>
      <c r="Q3941" s="1" t="s">
        <v>1343</v>
      </c>
      <c r="R3941" s="175">
        <v>15</v>
      </c>
      <c r="S3941">
        <v>15</v>
      </c>
    </row>
    <row r="3942" spans="1:19" x14ac:dyDescent="0.25">
      <c r="A3942" s="87">
        <v>2020</v>
      </c>
      <c r="B3942" s="87">
        <v>1</v>
      </c>
      <c r="C3942" s="173" t="s">
        <v>16</v>
      </c>
      <c r="D3942" s="173" t="s">
        <v>372</v>
      </c>
      <c r="E3942" s="173" t="s">
        <v>373</v>
      </c>
      <c r="F3942" s="173" t="s">
        <v>16</v>
      </c>
      <c r="G3942" s="87" t="b">
        <v>1</v>
      </c>
      <c r="H3942" s="87" t="b">
        <v>0</v>
      </c>
      <c r="I3942" s="87" t="b">
        <v>0</v>
      </c>
      <c r="J3942" s="173" t="s">
        <v>470</v>
      </c>
      <c r="K3942" s="174">
        <v>60884855001630</v>
      </c>
      <c r="L3942" s="173" t="s">
        <v>1124</v>
      </c>
      <c r="M3942" s="173" t="s">
        <v>131</v>
      </c>
      <c r="N3942" s="173" t="s">
        <v>61</v>
      </c>
      <c r="O3942" s="87">
        <v>70</v>
      </c>
      <c r="P3942" s="173" t="s">
        <v>20</v>
      </c>
      <c r="Q3942" s="1" t="s">
        <v>1338</v>
      </c>
      <c r="R3942" s="175">
        <v>135</v>
      </c>
      <c r="S3942">
        <v>27</v>
      </c>
    </row>
    <row r="3943" spans="1:19" x14ac:dyDescent="0.25">
      <c r="A3943" s="87">
        <v>2020</v>
      </c>
      <c r="B3943" s="87">
        <v>1</v>
      </c>
      <c r="C3943" s="173" t="s">
        <v>16</v>
      </c>
      <c r="D3943" s="173" t="s">
        <v>372</v>
      </c>
      <c r="E3943" s="173" t="s">
        <v>373</v>
      </c>
      <c r="F3943" s="173" t="s">
        <v>16</v>
      </c>
      <c r="G3943" s="87" t="b">
        <v>1</v>
      </c>
      <c r="H3943" s="87" t="b">
        <v>0</v>
      </c>
      <c r="I3943" s="87" t="b">
        <v>0</v>
      </c>
      <c r="J3943" s="173" t="s">
        <v>470</v>
      </c>
      <c r="K3943" s="174">
        <v>60884855001983</v>
      </c>
      <c r="L3943" s="173" t="s">
        <v>919</v>
      </c>
      <c r="M3943" s="173" t="s">
        <v>739</v>
      </c>
      <c r="N3943" s="173" t="s">
        <v>55</v>
      </c>
      <c r="O3943" s="87">
        <v>62</v>
      </c>
      <c r="P3943" s="173" t="s">
        <v>27</v>
      </c>
      <c r="Q3943" s="1" t="s">
        <v>1343</v>
      </c>
      <c r="R3943" s="175">
        <v>3</v>
      </c>
      <c r="S3943">
        <v>3</v>
      </c>
    </row>
    <row r="3944" spans="1:19" x14ac:dyDescent="0.25">
      <c r="A3944" s="87">
        <v>2020</v>
      </c>
      <c r="B3944" s="87">
        <v>1</v>
      </c>
      <c r="C3944" s="173" t="s">
        <v>16</v>
      </c>
      <c r="D3944" s="173" t="s">
        <v>372</v>
      </c>
      <c r="E3944" s="173" t="s">
        <v>373</v>
      </c>
      <c r="F3944" s="173" t="s">
        <v>16</v>
      </c>
      <c r="G3944" s="87" t="b">
        <v>1</v>
      </c>
      <c r="H3944" s="87" t="b">
        <v>0</v>
      </c>
      <c r="I3944" s="87" t="b">
        <v>0</v>
      </c>
      <c r="J3944" s="173" t="s">
        <v>470</v>
      </c>
      <c r="K3944" s="174">
        <v>60884855001983</v>
      </c>
      <c r="L3944" s="173" t="s">
        <v>919</v>
      </c>
      <c r="M3944" s="173" t="s">
        <v>739</v>
      </c>
      <c r="N3944" s="173" t="s">
        <v>55</v>
      </c>
      <c r="O3944" s="87">
        <v>64</v>
      </c>
      <c r="P3944" s="173" t="s">
        <v>25</v>
      </c>
      <c r="Q3944" s="1" t="s">
        <v>1344</v>
      </c>
      <c r="R3944" s="175">
        <v>2</v>
      </c>
      <c r="S3944">
        <v>2</v>
      </c>
    </row>
    <row r="3945" spans="1:19" x14ac:dyDescent="0.25">
      <c r="A3945" s="87">
        <v>2020</v>
      </c>
      <c r="B3945" s="87">
        <v>1</v>
      </c>
      <c r="C3945" s="173" t="s">
        <v>16</v>
      </c>
      <c r="D3945" s="173" t="s">
        <v>372</v>
      </c>
      <c r="E3945" s="173" t="s">
        <v>373</v>
      </c>
      <c r="F3945" s="173" t="s">
        <v>16</v>
      </c>
      <c r="G3945" s="87" t="b">
        <v>1</v>
      </c>
      <c r="H3945" s="87" t="b">
        <v>0</v>
      </c>
      <c r="I3945" s="87" t="b">
        <v>0</v>
      </c>
      <c r="J3945" s="173" t="s">
        <v>470</v>
      </c>
      <c r="K3945" s="174">
        <v>60884855002289</v>
      </c>
      <c r="L3945" s="173" t="s">
        <v>920</v>
      </c>
      <c r="M3945" s="173" t="s">
        <v>739</v>
      </c>
      <c r="N3945" s="173" t="s">
        <v>55</v>
      </c>
      <c r="O3945" s="87">
        <v>62</v>
      </c>
      <c r="P3945" s="173" t="s">
        <v>27</v>
      </c>
      <c r="Q3945" s="1" t="s">
        <v>1343</v>
      </c>
      <c r="R3945" s="175">
        <v>8</v>
      </c>
      <c r="S3945">
        <v>8</v>
      </c>
    </row>
    <row r="3946" spans="1:19" x14ac:dyDescent="0.25">
      <c r="A3946" s="87">
        <v>2020</v>
      </c>
      <c r="B3946" s="87">
        <v>1</v>
      </c>
      <c r="C3946" s="173" t="s">
        <v>16</v>
      </c>
      <c r="D3946" s="173" t="s">
        <v>372</v>
      </c>
      <c r="E3946" s="173" t="s">
        <v>373</v>
      </c>
      <c r="F3946" s="173" t="s">
        <v>16</v>
      </c>
      <c r="G3946" s="87" t="b">
        <v>1</v>
      </c>
      <c r="H3946" s="87" t="b">
        <v>0</v>
      </c>
      <c r="I3946" s="87" t="b">
        <v>0</v>
      </c>
      <c r="J3946" s="173" t="s">
        <v>470</v>
      </c>
      <c r="K3946" s="174">
        <v>60884855002289</v>
      </c>
      <c r="L3946" s="173" t="s">
        <v>920</v>
      </c>
      <c r="M3946" s="173" t="s">
        <v>739</v>
      </c>
      <c r="N3946" s="173" t="s">
        <v>55</v>
      </c>
      <c r="O3946" s="87">
        <v>64</v>
      </c>
      <c r="P3946" s="173" t="s">
        <v>25</v>
      </c>
      <c r="Q3946" s="1" t="s">
        <v>1344</v>
      </c>
      <c r="R3946" s="175">
        <v>65</v>
      </c>
      <c r="S3946">
        <v>65</v>
      </c>
    </row>
    <row r="3947" spans="1:19" x14ac:dyDescent="0.25">
      <c r="A3947" s="87">
        <v>2020</v>
      </c>
      <c r="B3947" s="87">
        <v>1</v>
      </c>
      <c r="C3947" s="173" t="s">
        <v>16</v>
      </c>
      <c r="D3947" s="173" t="s">
        <v>372</v>
      </c>
      <c r="E3947" s="173" t="s">
        <v>373</v>
      </c>
      <c r="F3947" s="173" t="s">
        <v>16</v>
      </c>
      <c r="G3947" s="87" t="b">
        <v>1</v>
      </c>
      <c r="H3947" s="87" t="b">
        <v>0</v>
      </c>
      <c r="I3947" s="87" t="b">
        <v>0</v>
      </c>
      <c r="J3947" s="173" t="s">
        <v>470</v>
      </c>
      <c r="K3947" s="174">
        <v>60884855002289</v>
      </c>
      <c r="L3947" s="173" t="s">
        <v>920</v>
      </c>
      <c r="M3947" s="173" t="s">
        <v>739</v>
      </c>
      <c r="N3947" s="173" t="s">
        <v>55</v>
      </c>
      <c r="O3947" s="87">
        <v>70</v>
      </c>
      <c r="P3947" s="173" t="s">
        <v>20</v>
      </c>
      <c r="Q3947" s="1" t="s">
        <v>1338</v>
      </c>
      <c r="R3947" s="175">
        <v>500</v>
      </c>
      <c r="S3947">
        <v>100</v>
      </c>
    </row>
    <row r="3948" spans="1:19" x14ac:dyDescent="0.25">
      <c r="A3948" s="87">
        <v>2020</v>
      </c>
      <c r="B3948" s="87">
        <v>1</v>
      </c>
      <c r="C3948" s="173" t="s">
        <v>16</v>
      </c>
      <c r="D3948" s="173" t="s">
        <v>372</v>
      </c>
      <c r="E3948" s="173" t="s">
        <v>373</v>
      </c>
      <c r="F3948" s="173" t="s">
        <v>16</v>
      </c>
      <c r="G3948" s="87" t="b">
        <v>1</v>
      </c>
      <c r="H3948" s="87" t="b">
        <v>0</v>
      </c>
      <c r="I3948" s="87" t="b">
        <v>0</v>
      </c>
      <c r="J3948" s="173" t="s">
        <v>477</v>
      </c>
      <c r="K3948" s="174">
        <v>60922168000348</v>
      </c>
      <c r="L3948" s="173" t="s">
        <v>1125</v>
      </c>
      <c r="M3948" s="173" t="s">
        <v>131</v>
      </c>
      <c r="N3948" s="173" t="s">
        <v>61</v>
      </c>
      <c r="O3948" s="87">
        <v>62</v>
      </c>
      <c r="P3948" s="173" t="s">
        <v>27</v>
      </c>
      <c r="Q3948" s="1" t="s">
        <v>1343</v>
      </c>
      <c r="R3948" s="175">
        <v>10</v>
      </c>
      <c r="S3948">
        <v>10</v>
      </c>
    </row>
    <row r="3949" spans="1:19" x14ac:dyDescent="0.25">
      <c r="A3949" s="87">
        <v>2020</v>
      </c>
      <c r="B3949" s="87">
        <v>1</v>
      </c>
      <c r="C3949" s="173" t="s">
        <v>16</v>
      </c>
      <c r="D3949" s="173" t="s">
        <v>372</v>
      </c>
      <c r="E3949" s="173" t="s">
        <v>373</v>
      </c>
      <c r="F3949" s="173" t="s">
        <v>16</v>
      </c>
      <c r="G3949" s="87" t="b">
        <v>1</v>
      </c>
      <c r="H3949" s="87" t="b">
        <v>0</v>
      </c>
      <c r="I3949" s="87" t="b">
        <v>0</v>
      </c>
      <c r="J3949" s="173" t="s">
        <v>477</v>
      </c>
      <c r="K3949" s="174">
        <v>60922168000348</v>
      </c>
      <c r="L3949" s="173" t="s">
        <v>1125</v>
      </c>
      <c r="M3949" s="173" t="s">
        <v>131</v>
      </c>
      <c r="N3949" s="173" t="s">
        <v>61</v>
      </c>
      <c r="O3949" s="87">
        <v>64</v>
      </c>
      <c r="P3949" s="173" t="s">
        <v>25</v>
      </c>
      <c r="Q3949" s="1" t="s">
        <v>1344</v>
      </c>
      <c r="R3949" s="175">
        <v>4</v>
      </c>
      <c r="S3949">
        <v>4</v>
      </c>
    </row>
    <row r="3950" spans="1:19" x14ac:dyDescent="0.25">
      <c r="A3950" s="87">
        <v>2020</v>
      </c>
      <c r="B3950" s="87">
        <v>1</v>
      </c>
      <c r="C3950" s="173" t="s">
        <v>16</v>
      </c>
      <c r="D3950" s="173" t="s">
        <v>372</v>
      </c>
      <c r="E3950" s="173" t="s">
        <v>373</v>
      </c>
      <c r="F3950" s="173" t="s">
        <v>16</v>
      </c>
      <c r="G3950" s="87" t="b">
        <v>1</v>
      </c>
      <c r="H3950" s="87" t="b">
        <v>0</v>
      </c>
      <c r="I3950" s="87" t="b">
        <v>0</v>
      </c>
      <c r="J3950" s="173" t="s">
        <v>477</v>
      </c>
      <c r="K3950" s="174">
        <v>60922168000348</v>
      </c>
      <c r="L3950" s="173" t="s">
        <v>1125</v>
      </c>
      <c r="M3950" s="173" t="s">
        <v>131</v>
      </c>
      <c r="N3950" s="173" t="s">
        <v>61</v>
      </c>
      <c r="O3950" s="87">
        <v>70</v>
      </c>
      <c r="P3950" s="173" t="s">
        <v>20</v>
      </c>
      <c r="Q3950" s="1" t="s">
        <v>1345</v>
      </c>
      <c r="R3950" s="175">
        <v>70</v>
      </c>
      <c r="S3950">
        <v>7</v>
      </c>
    </row>
    <row r="3951" spans="1:19" x14ac:dyDescent="0.25">
      <c r="A3951" s="87">
        <v>2020</v>
      </c>
      <c r="B3951" s="87">
        <v>1</v>
      </c>
      <c r="C3951" s="173" t="s">
        <v>16</v>
      </c>
      <c r="D3951" s="173" t="s">
        <v>372</v>
      </c>
      <c r="E3951" s="173" t="s">
        <v>373</v>
      </c>
      <c r="F3951" s="173" t="s">
        <v>16</v>
      </c>
      <c r="G3951" s="87" t="b">
        <v>1</v>
      </c>
      <c r="H3951" s="87" t="b">
        <v>0</v>
      </c>
      <c r="I3951" s="87" t="b">
        <v>0</v>
      </c>
      <c r="J3951" s="173" t="s">
        <v>477</v>
      </c>
      <c r="K3951" s="174">
        <v>60922168000348</v>
      </c>
      <c r="L3951" s="173" t="s">
        <v>1125</v>
      </c>
      <c r="M3951" s="173" t="s">
        <v>131</v>
      </c>
      <c r="N3951" s="173" t="s">
        <v>61</v>
      </c>
      <c r="O3951" s="87">
        <v>70</v>
      </c>
      <c r="P3951" s="173" t="s">
        <v>20</v>
      </c>
      <c r="Q3951" s="1" t="s">
        <v>1338</v>
      </c>
      <c r="R3951" s="175">
        <v>865</v>
      </c>
      <c r="S3951">
        <v>173</v>
      </c>
    </row>
    <row r="3952" spans="1:19" x14ac:dyDescent="0.25">
      <c r="A3952" s="87">
        <v>2020</v>
      </c>
      <c r="B3952" s="87">
        <v>1</v>
      </c>
      <c r="C3952" s="173" t="s">
        <v>16</v>
      </c>
      <c r="D3952" s="173" t="s">
        <v>372</v>
      </c>
      <c r="E3952" s="173" t="s">
        <v>373</v>
      </c>
      <c r="F3952" s="173" t="s">
        <v>16</v>
      </c>
      <c r="G3952" s="87" t="b">
        <v>1</v>
      </c>
      <c r="H3952" s="87" t="b">
        <v>0</v>
      </c>
      <c r="I3952" s="87" t="b">
        <v>0</v>
      </c>
      <c r="J3952" s="173" t="s">
        <v>491</v>
      </c>
      <c r="K3952" s="174">
        <v>60922168000771</v>
      </c>
      <c r="L3952" s="173" t="s">
        <v>618</v>
      </c>
      <c r="M3952" s="173" t="s">
        <v>29</v>
      </c>
      <c r="N3952" s="173" t="s">
        <v>19</v>
      </c>
      <c r="O3952" s="87">
        <v>62</v>
      </c>
      <c r="P3952" s="173" t="s">
        <v>27</v>
      </c>
      <c r="Q3952" s="1" t="s">
        <v>1343</v>
      </c>
      <c r="R3952" s="175">
        <v>1</v>
      </c>
      <c r="S3952">
        <v>1</v>
      </c>
    </row>
    <row r="3953" spans="1:19" x14ac:dyDescent="0.25">
      <c r="A3953" s="87">
        <v>2020</v>
      </c>
      <c r="B3953" s="87">
        <v>1</v>
      </c>
      <c r="C3953" s="173" t="s">
        <v>16</v>
      </c>
      <c r="D3953" s="173" t="s">
        <v>372</v>
      </c>
      <c r="E3953" s="173" t="s">
        <v>373</v>
      </c>
      <c r="F3953" s="173" t="s">
        <v>16</v>
      </c>
      <c r="G3953" s="87" t="b">
        <v>1</v>
      </c>
      <c r="H3953" s="87" t="b">
        <v>0</v>
      </c>
      <c r="I3953" s="87" t="b">
        <v>0</v>
      </c>
      <c r="J3953" s="173" t="s">
        <v>450</v>
      </c>
      <c r="K3953" s="174">
        <v>60922168000771</v>
      </c>
      <c r="L3953" s="173" t="s">
        <v>618</v>
      </c>
      <c r="M3953" s="173" t="s">
        <v>29</v>
      </c>
      <c r="N3953" s="173" t="s">
        <v>19</v>
      </c>
      <c r="O3953" s="87">
        <v>70</v>
      </c>
      <c r="P3953" s="173" t="s">
        <v>20</v>
      </c>
      <c r="Q3953" s="1" t="s">
        <v>1338</v>
      </c>
      <c r="R3953" s="175">
        <v>200</v>
      </c>
      <c r="S3953">
        <v>40</v>
      </c>
    </row>
    <row r="3954" spans="1:19" x14ac:dyDescent="0.25">
      <c r="A3954" s="87">
        <v>2020</v>
      </c>
      <c r="B3954" s="87">
        <v>1</v>
      </c>
      <c r="C3954" s="173" t="s">
        <v>16</v>
      </c>
      <c r="D3954" s="173" t="s">
        <v>372</v>
      </c>
      <c r="E3954" s="173" t="s">
        <v>373</v>
      </c>
      <c r="F3954" s="173" t="s">
        <v>16</v>
      </c>
      <c r="G3954" s="87" t="b">
        <v>1</v>
      </c>
      <c r="H3954" s="87" t="b">
        <v>0</v>
      </c>
      <c r="I3954" s="87" t="b">
        <v>0</v>
      </c>
      <c r="J3954" s="173" t="s">
        <v>477</v>
      </c>
      <c r="K3954" s="174">
        <v>60922168000771</v>
      </c>
      <c r="L3954" s="173" t="s">
        <v>618</v>
      </c>
      <c r="M3954" s="173" t="s">
        <v>29</v>
      </c>
      <c r="N3954" s="173" t="s">
        <v>19</v>
      </c>
      <c r="O3954" s="87">
        <v>70</v>
      </c>
      <c r="P3954" s="173" t="s">
        <v>20</v>
      </c>
      <c r="Q3954" s="1" t="s">
        <v>1345</v>
      </c>
      <c r="R3954" s="175">
        <v>100</v>
      </c>
      <c r="S3954">
        <v>10</v>
      </c>
    </row>
    <row r="3955" spans="1:19" x14ac:dyDescent="0.25">
      <c r="A3955" s="87">
        <v>2020</v>
      </c>
      <c r="B3955" s="87">
        <v>1</v>
      </c>
      <c r="C3955" s="173" t="s">
        <v>16</v>
      </c>
      <c r="D3955" s="173" t="s">
        <v>372</v>
      </c>
      <c r="E3955" s="173" t="s">
        <v>373</v>
      </c>
      <c r="F3955" s="173" t="s">
        <v>16</v>
      </c>
      <c r="G3955" s="87" t="b">
        <v>1</v>
      </c>
      <c r="H3955" s="87" t="b">
        <v>0</v>
      </c>
      <c r="I3955" s="87" t="b">
        <v>0</v>
      </c>
      <c r="J3955" s="173" t="s">
        <v>450</v>
      </c>
      <c r="K3955" s="174">
        <v>60922168000771</v>
      </c>
      <c r="L3955" s="173" t="s">
        <v>618</v>
      </c>
      <c r="M3955" s="173" t="s">
        <v>29</v>
      </c>
      <c r="N3955" s="173" t="s">
        <v>19</v>
      </c>
      <c r="O3955" s="87">
        <v>73</v>
      </c>
      <c r="P3955" s="173" t="s">
        <v>26</v>
      </c>
      <c r="Q3955" s="1" t="s">
        <v>1342</v>
      </c>
      <c r="R3955" s="175">
        <v>4</v>
      </c>
      <c r="S3955">
        <v>1</v>
      </c>
    </row>
    <row r="3956" spans="1:19" x14ac:dyDescent="0.25">
      <c r="A3956" s="87">
        <v>2020</v>
      </c>
      <c r="B3956" s="87">
        <v>1</v>
      </c>
      <c r="C3956" s="173" t="s">
        <v>16</v>
      </c>
      <c r="D3956" s="173" t="s">
        <v>372</v>
      </c>
      <c r="E3956" s="173" t="s">
        <v>373</v>
      </c>
      <c r="F3956" s="173" t="s">
        <v>16</v>
      </c>
      <c r="G3956" s="87" t="b">
        <v>1</v>
      </c>
      <c r="H3956" s="87" t="b">
        <v>0</v>
      </c>
      <c r="I3956" s="87" t="b">
        <v>0</v>
      </c>
      <c r="J3956" s="173" t="s">
        <v>491</v>
      </c>
      <c r="K3956" s="174">
        <v>60922168000771</v>
      </c>
      <c r="L3956" s="173" t="s">
        <v>618</v>
      </c>
      <c r="M3956" s="173" t="s">
        <v>29</v>
      </c>
      <c r="N3956" s="173" t="s">
        <v>19</v>
      </c>
      <c r="O3956" s="87">
        <v>73</v>
      </c>
      <c r="P3956" s="173" t="s">
        <v>26</v>
      </c>
      <c r="Q3956" s="1" t="s">
        <v>1339</v>
      </c>
      <c r="R3956" s="175">
        <v>8</v>
      </c>
      <c r="S3956">
        <v>4</v>
      </c>
    </row>
    <row r="3957" spans="1:19" x14ac:dyDescent="0.25">
      <c r="A3957" s="87">
        <v>2020</v>
      </c>
      <c r="B3957" s="87">
        <v>1</v>
      </c>
      <c r="C3957" s="173" t="s">
        <v>16</v>
      </c>
      <c r="D3957" s="173" t="s">
        <v>372</v>
      </c>
      <c r="E3957" s="173" t="s">
        <v>373</v>
      </c>
      <c r="F3957" s="173" t="s">
        <v>16</v>
      </c>
      <c r="G3957" s="87" t="b">
        <v>1</v>
      </c>
      <c r="H3957" s="87" t="b">
        <v>0</v>
      </c>
      <c r="I3957" s="87" t="b">
        <v>0</v>
      </c>
      <c r="J3957" s="173" t="s">
        <v>491</v>
      </c>
      <c r="K3957" s="174">
        <v>60922168000771</v>
      </c>
      <c r="L3957" s="173" t="s">
        <v>618</v>
      </c>
      <c r="M3957" s="173" t="s">
        <v>29</v>
      </c>
      <c r="N3957" s="173" t="s">
        <v>19</v>
      </c>
      <c r="O3957" s="87">
        <v>73</v>
      </c>
      <c r="P3957" s="173" t="s">
        <v>26</v>
      </c>
      <c r="Q3957" s="1" t="s">
        <v>1340</v>
      </c>
      <c r="R3957" s="175">
        <v>6</v>
      </c>
      <c r="S3957">
        <v>6</v>
      </c>
    </row>
    <row r="3958" spans="1:19" x14ac:dyDescent="0.25">
      <c r="A3958" s="87">
        <v>2020</v>
      </c>
      <c r="B3958" s="87">
        <v>1</v>
      </c>
      <c r="C3958" s="173" t="s">
        <v>16</v>
      </c>
      <c r="D3958" s="173" t="s">
        <v>372</v>
      </c>
      <c r="E3958" s="173" t="s">
        <v>373</v>
      </c>
      <c r="F3958" s="173" t="s">
        <v>16</v>
      </c>
      <c r="G3958" s="87" t="b">
        <v>1</v>
      </c>
      <c r="H3958" s="87" t="b">
        <v>0</v>
      </c>
      <c r="I3958" s="87" t="b">
        <v>0</v>
      </c>
      <c r="J3958" s="173" t="s">
        <v>450</v>
      </c>
      <c r="K3958" s="174">
        <v>60922168004335</v>
      </c>
      <c r="L3958" s="173" t="s">
        <v>619</v>
      </c>
      <c r="M3958" s="173" t="s">
        <v>29</v>
      </c>
      <c r="N3958" s="173" t="s">
        <v>19</v>
      </c>
      <c r="O3958" s="87">
        <v>70</v>
      </c>
      <c r="P3958" s="173" t="s">
        <v>20</v>
      </c>
      <c r="Q3958" s="1" t="s">
        <v>1338</v>
      </c>
      <c r="R3958" s="175">
        <v>10</v>
      </c>
      <c r="S3958">
        <v>2</v>
      </c>
    </row>
    <row r="3959" spans="1:19" x14ac:dyDescent="0.25">
      <c r="A3959" s="87">
        <v>2020</v>
      </c>
      <c r="B3959" s="87">
        <v>1</v>
      </c>
      <c r="C3959" s="173" t="s">
        <v>16</v>
      </c>
      <c r="D3959" s="173" t="s">
        <v>372</v>
      </c>
      <c r="E3959" s="173" t="s">
        <v>373</v>
      </c>
      <c r="F3959" s="173" t="s">
        <v>16</v>
      </c>
      <c r="G3959" s="87" t="b">
        <v>1</v>
      </c>
      <c r="H3959" s="87" t="b">
        <v>0</v>
      </c>
      <c r="I3959" s="87" t="b">
        <v>0</v>
      </c>
      <c r="J3959" s="173" t="s">
        <v>452</v>
      </c>
      <c r="K3959" s="174">
        <v>60922168005226</v>
      </c>
      <c r="L3959" s="173" t="s">
        <v>977</v>
      </c>
      <c r="M3959" s="173" t="s">
        <v>93</v>
      </c>
      <c r="N3959" s="173" t="s">
        <v>68</v>
      </c>
      <c r="O3959" s="87">
        <v>62</v>
      </c>
      <c r="P3959" s="173" t="s">
        <v>27</v>
      </c>
      <c r="Q3959" s="1" t="s">
        <v>1343</v>
      </c>
      <c r="R3959" s="175">
        <v>4</v>
      </c>
      <c r="S3959">
        <v>4</v>
      </c>
    </row>
    <row r="3960" spans="1:19" x14ac:dyDescent="0.25">
      <c r="A3960" s="87">
        <v>2020</v>
      </c>
      <c r="B3960" s="87">
        <v>1</v>
      </c>
      <c r="C3960" s="173" t="s">
        <v>16</v>
      </c>
      <c r="D3960" s="173" t="s">
        <v>372</v>
      </c>
      <c r="E3960" s="173" t="s">
        <v>373</v>
      </c>
      <c r="F3960" s="173" t="s">
        <v>16</v>
      </c>
      <c r="G3960" s="87" t="b">
        <v>1</v>
      </c>
      <c r="H3960" s="87" t="b">
        <v>0</v>
      </c>
      <c r="I3960" s="87" t="b">
        <v>0</v>
      </c>
      <c r="J3960" s="173" t="s">
        <v>451</v>
      </c>
      <c r="K3960" s="174">
        <v>60922168005226</v>
      </c>
      <c r="L3960" s="173" t="s">
        <v>977</v>
      </c>
      <c r="M3960" s="173" t="s">
        <v>93</v>
      </c>
      <c r="N3960" s="173" t="s">
        <v>68</v>
      </c>
      <c r="O3960" s="87">
        <v>64</v>
      </c>
      <c r="P3960" s="173" t="s">
        <v>25</v>
      </c>
      <c r="Q3960" s="1" t="s">
        <v>1344</v>
      </c>
      <c r="R3960" s="175">
        <v>18</v>
      </c>
      <c r="S3960">
        <v>18</v>
      </c>
    </row>
    <row r="3961" spans="1:19" x14ac:dyDescent="0.25">
      <c r="A3961" s="87">
        <v>2020</v>
      </c>
      <c r="B3961" s="87">
        <v>1</v>
      </c>
      <c r="C3961" s="173" t="s">
        <v>16</v>
      </c>
      <c r="D3961" s="173" t="s">
        <v>372</v>
      </c>
      <c r="E3961" s="173" t="s">
        <v>373</v>
      </c>
      <c r="F3961" s="173" t="s">
        <v>16</v>
      </c>
      <c r="G3961" s="87" t="b">
        <v>1</v>
      </c>
      <c r="H3961" s="87" t="b">
        <v>0</v>
      </c>
      <c r="I3961" s="87" t="b">
        <v>0</v>
      </c>
      <c r="J3961" s="173" t="s">
        <v>450</v>
      </c>
      <c r="K3961" s="174">
        <v>60961422000155</v>
      </c>
      <c r="L3961" s="173" t="s">
        <v>620</v>
      </c>
      <c r="M3961" s="173" t="s">
        <v>29</v>
      </c>
      <c r="N3961" s="173" t="s">
        <v>19</v>
      </c>
      <c r="O3961" s="87">
        <v>62</v>
      </c>
      <c r="P3961" s="173" t="s">
        <v>27</v>
      </c>
      <c r="Q3961" s="1" t="s">
        <v>1343</v>
      </c>
      <c r="R3961" s="175">
        <v>11</v>
      </c>
      <c r="S3961">
        <v>11</v>
      </c>
    </row>
    <row r="3962" spans="1:19" x14ac:dyDescent="0.25">
      <c r="A3962" s="87">
        <v>2020</v>
      </c>
      <c r="B3962" s="87">
        <v>1</v>
      </c>
      <c r="C3962" s="173" t="s">
        <v>16</v>
      </c>
      <c r="D3962" s="173" t="s">
        <v>372</v>
      </c>
      <c r="E3962" s="173" t="s">
        <v>373</v>
      </c>
      <c r="F3962" s="173" t="s">
        <v>16</v>
      </c>
      <c r="G3962" s="87" t="b">
        <v>1</v>
      </c>
      <c r="H3962" s="87" t="b">
        <v>0</v>
      </c>
      <c r="I3962" s="87" t="b">
        <v>0</v>
      </c>
      <c r="J3962" s="173" t="s">
        <v>450</v>
      </c>
      <c r="K3962" s="174">
        <v>60961422000155</v>
      </c>
      <c r="L3962" s="173" t="s">
        <v>620</v>
      </c>
      <c r="M3962" s="173" t="s">
        <v>29</v>
      </c>
      <c r="N3962" s="173" t="s">
        <v>19</v>
      </c>
      <c r="O3962" s="87">
        <v>64</v>
      </c>
      <c r="P3962" s="173" t="s">
        <v>25</v>
      </c>
      <c r="Q3962" s="1" t="s">
        <v>1344</v>
      </c>
      <c r="R3962" s="175">
        <v>5</v>
      </c>
      <c r="S3962">
        <v>5</v>
      </c>
    </row>
    <row r="3963" spans="1:19" x14ac:dyDescent="0.25">
      <c r="A3963" s="87">
        <v>2020</v>
      </c>
      <c r="B3963" s="87">
        <v>1</v>
      </c>
      <c r="C3963" s="173" t="s">
        <v>16</v>
      </c>
      <c r="D3963" s="173" t="s">
        <v>372</v>
      </c>
      <c r="E3963" s="173" t="s">
        <v>373</v>
      </c>
      <c r="F3963" s="173" t="s">
        <v>16</v>
      </c>
      <c r="G3963" s="87" t="b">
        <v>1</v>
      </c>
      <c r="H3963" s="87" t="b">
        <v>0</v>
      </c>
      <c r="I3963" s="87" t="b">
        <v>0</v>
      </c>
      <c r="J3963" s="173" t="s">
        <v>470</v>
      </c>
      <c r="K3963" s="174">
        <v>60961422000155</v>
      </c>
      <c r="L3963" s="173" t="s">
        <v>620</v>
      </c>
      <c r="M3963" s="173" t="s">
        <v>29</v>
      </c>
      <c r="N3963" s="173" t="s">
        <v>19</v>
      </c>
      <c r="O3963" s="87">
        <v>70</v>
      </c>
      <c r="P3963" s="173" t="s">
        <v>20</v>
      </c>
      <c r="Q3963" s="1" t="s">
        <v>1338</v>
      </c>
      <c r="R3963" s="175">
        <v>20</v>
      </c>
      <c r="S3963">
        <v>4</v>
      </c>
    </row>
    <row r="3964" spans="1:19" x14ac:dyDescent="0.25">
      <c r="A3964" s="87">
        <v>2020</v>
      </c>
      <c r="B3964" s="87">
        <v>1</v>
      </c>
      <c r="C3964" s="173" t="s">
        <v>16</v>
      </c>
      <c r="D3964" s="173" t="s">
        <v>372</v>
      </c>
      <c r="E3964" s="173" t="s">
        <v>373</v>
      </c>
      <c r="F3964" s="173" t="s">
        <v>16</v>
      </c>
      <c r="G3964" s="87" t="b">
        <v>1</v>
      </c>
      <c r="H3964" s="87" t="b">
        <v>0</v>
      </c>
      <c r="I3964" s="87" t="b">
        <v>0</v>
      </c>
      <c r="J3964" s="173" t="s">
        <v>450</v>
      </c>
      <c r="K3964" s="174">
        <v>60961422000155</v>
      </c>
      <c r="L3964" s="173" t="s">
        <v>620</v>
      </c>
      <c r="M3964" s="173" t="s">
        <v>29</v>
      </c>
      <c r="N3964" s="173" t="s">
        <v>19</v>
      </c>
      <c r="O3964" s="87">
        <v>70</v>
      </c>
      <c r="P3964" s="173" t="s">
        <v>20</v>
      </c>
      <c r="Q3964" s="1" t="s">
        <v>1338</v>
      </c>
      <c r="R3964" s="175">
        <v>110</v>
      </c>
      <c r="S3964">
        <v>22</v>
      </c>
    </row>
    <row r="3965" spans="1:19" x14ac:dyDescent="0.25">
      <c r="A3965" s="87">
        <v>2020</v>
      </c>
      <c r="B3965" s="87">
        <v>1</v>
      </c>
      <c r="C3965" s="173" t="s">
        <v>16</v>
      </c>
      <c r="D3965" s="173" t="s">
        <v>372</v>
      </c>
      <c r="E3965" s="173" t="s">
        <v>373</v>
      </c>
      <c r="F3965" s="173" t="s">
        <v>16</v>
      </c>
      <c r="G3965" s="87" t="b">
        <v>1</v>
      </c>
      <c r="H3965" s="87" t="b">
        <v>0</v>
      </c>
      <c r="I3965" s="87" t="b">
        <v>0</v>
      </c>
      <c r="J3965" s="173" t="s">
        <v>451</v>
      </c>
      <c r="K3965" s="174">
        <v>60961422000155</v>
      </c>
      <c r="L3965" s="173" t="s">
        <v>620</v>
      </c>
      <c r="M3965" s="173" t="s">
        <v>29</v>
      </c>
      <c r="N3965" s="173" t="s">
        <v>19</v>
      </c>
      <c r="O3965" s="87">
        <v>70</v>
      </c>
      <c r="P3965" s="173" t="s">
        <v>20</v>
      </c>
      <c r="Q3965" s="1" t="s">
        <v>1338</v>
      </c>
      <c r="R3965" s="175">
        <v>70</v>
      </c>
      <c r="S3965">
        <v>14</v>
      </c>
    </row>
    <row r="3966" spans="1:19" x14ac:dyDescent="0.25">
      <c r="A3966" s="87">
        <v>2020</v>
      </c>
      <c r="B3966" s="87">
        <v>1</v>
      </c>
      <c r="C3966" s="173" t="s">
        <v>16</v>
      </c>
      <c r="D3966" s="173" t="s">
        <v>372</v>
      </c>
      <c r="E3966" s="173" t="s">
        <v>373</v>
      </c>
      <c r="F3966" s="173" t="s">
        <v>16</v>
      </c>
      <c r="G3966" s="87" t="b">
        <v>1</v>
      </c>
      <c r="H3966" s="87" t="b">
        <v>0</v>
      </c>
      <c r="I3966" s="87" t="b">
        <v>0</v>
      </c>
      <c r="J3966" s="173" t="s">
        <v>450</v>
      </c>
      <c r="K3966" s="174">
        <v>60961968000106</v>
      </c>
      <c r="L3966" s="173" t="s">
        <v>621</v>
      </c>
      <c r="M3966" s="173" t="s">
        <v>29</v>
      </c>
      <c r="N3966" s="173" t="s">
        <v>19</v>
      </c>
      <c r="O3966" s="87">
        <v>70</v>
      </c>
      <c r="P3966" s="173" t="s">
        <v>20</v>
      </c>
      <c r="Q3966" s="1" t="s">
        <v>1338</v>
      </c>
      <c r="R3966" s="175">
        <v>350</v>
      </c>
      <c r="S3966">
        <v>70</v>
      </c>
    </row>
    <row r="3967" spans="1:19" x14ac:dyDescent="0.25">
      <c r="A3967" s="87">
        <v>2020</v>
      </c>
      <c r="B3967" s="87">
        <v>1</v>
      </c>
      <c r="C3967" s="173" t="s">
        <v>16</v>
      </c>
      <c r="D3967" s="173" t="s">
        <v>372</v>
      </c>
      <c r="E3967" s="173" t="s">
        <v>373</v>
      </c>
      <c r="F3967" s="173" t="s">
        <v>16</v>
      </c>
      <c r="G3967" s="87" t="b">
        <v>1</v>
      </c>
      <c r="H3967" s="87" t="b">
        <v>0</v>
      </c>
      <c r="I3967" s="87" t="b">
        <v>0</v>
      </c>
      <c r="J3967" s="173" t="s">
        <v>450</v>
      </c>
      <c r="K3967" s="174">
        <v>60961968000459</v>
      </c>
      <c r="L3967" s="173" t="s">
        <v>622</v>
      </c>
      <c r="M3967" s="173" t="s">
        <v>29</v>
      </c>
      <c r="N3967" s="173" t="s">
        <v>19</v>
      </c>
      <c r="O3967" s="87">
        <v>70</v>
      </c>
      <c r="P3967" s="173" t="s">
        <v>20</v>
      </c>
      <c r="Q3967" s="1" t="s">
        <v>1338</v>
      </c>
      <c r="R3967" s="175">
        <v>150</v>
      </c>
      <c r="S3967">
        <v>30</v>
      </c>
    </row>
    <row r="3968" spans="1:19" x14ac:dyDescent="0.25">
      <c r="A3968" s="87">
        <v>2020</v>
      </c>
      <c r="B3968" s="87">
        <v>1</v>
      </c>
      <c r="C3968" s="173" t="s">
        <v>16</v>
      </c>
      <c r="D3968" s="173" t="s">
        <v>372</v>
      </c>
      <c r="E3968" s="173" t="s">
        <v>373</v>
      </c>
      <c r="F3968" s="173" t="s">
        <v>16</v>
      </c>
      <c r="G3968" s="87" t="b">
        <v>1</v>
      </c>
      <c r="H3968" s="87" t="b">
        <v>0</v>
      </c>
      <c r="I3968" s="87" t="b">
        <v>0</v>
      </c>
      <c r="J3968" s="173" t="s">
        <v>463</v>
      </c>
      <c r="K3968" s="174">
        <v>60975737000232</v>
      </c>
      <c r="L3968" s="173" t="s">
        <v>624</v>
      </c>
      <c r="M3968" s="173" t="s">
        <v>29</v>
      </c>
      <c r="N3968" s="173" t="s">
        <v>19</v>
      </c>
      <c r="O3968" s="87">
        <v>64</v>
      </c>
      <c r="P3968" s="173" t="s">
        <v>25</v>
      </c>
      <c r="Q3968" s="1" t="s">
        <v>1344</v>
      </c>
      <c r="R3968" s="175">
        <v>5</v>
      </c>
      <c r="S3968">
        <v>5</v>
      </c>
    </row>
    <row r="3969" spans="1:19" x14ac:dyDescent="0.25">
      <c r="A3969" s="87">
        <v>2020</v>
      </c>
      <c r="B3969" s="87">
        <v>1</v>
      </c>
      <c r="C3969" s="173" t="s">
        <v>16</v>
      </c>
      <c r="D3969" s="173" t="s">
        <v>372</v>
      </c>
      <c r="E3969" s="173" t="s">
        <v>373</v>
      </c>
      <c r="F3969" s="173" t="s">
        <v>16</v>
      </c>
      <c r="G3969" s="87" t="b">
        <v>1</v>
      </c>
      <c r="H3969" s="87" t="b">
        <v>0</v>
      </c>
      <c r="I3969" s="87" t="b">
        <v>0</v>
      </c>
      <c r="J3969" s="173" t="s">
        <v>464</v>
      </c>
      <c r="K3969" s="174">
        <v>60975737001204</v>
      </c>
      <c r="L3969" s="173" t="s">
        <v>625</v>
      </c>
      <c r="M3969" s="173" t="s">
        <v>29</v>
      </c>
      <c r="N3969" s="173" t="s">
        <v>19</v>
      </c>
      <c r="O3969" s="87">
        <v>62</v>
      </c>
      <c r="P3969" s="173" t="s">
        <v>27</v>
      </c>
      <c r="Q3969" s="1" t="s">
        <v>1343</v>
      </c>
      <c r="R3969" s="175">
        <v>6</v>
      </c>
      <c r="S3969">
        <v>6</v>
      </c>
    </row>
    <row r="3970" spans="1:19" x14ac:dyDescent="0.25">
      <c r="A3970" s="87">
        <v>2020</v>
      </c>
      <c r="B3970" s="87">
        <v>1</v>
      </c>
      <c r="C3970" s="173" t="s">
        <v>16</v>
      </c>
      <c r="D3970" s="173" t="s">
        <v>372</v>
      </c>
      <c r="E3970" s="173" t="s">
        <v>373</v>
      </c>
      <c r="F3970" s="173" t="s">
        <v>16</v>
      </c>
      <c r="G3970" s="87" t="b">
        <v>1</v>
      </c>
      <c r="H3970" s="87" t="b">
        <v>0</v>
      </c>
      <c r="I3970" s="87" t="b">
        <v>0</v>
      </c>
      <c r="J3970" s="173" t="s">
        <v>463</v>
      </c>
      <c r="K3970" s="174">
        <v>60975737001204</v>
      </c>
      <c r="L3970" s="173" t="s">
        <v>625</v>
      </c>
      <c r="M3970" s="173" t="s">
        <v>29</v>
      </c>
      <c r="N3970" s="173" t="s">
        <v>19</v>
      </c>
      <c r="O3970" s="87">
        <v>64</v>
      </c>
      <c r="P3970" s="173" t="s">
        <v>25</v>
      </c>
      <c r="Q3970" s="1" t="s">
        <v>1344</v>
      </c>
      <c r="R3970" s="175">
        <v>6</v>
      </c>
      <c r="S3970">
        <v>6</v>
      </c>
    </row>
    <row r="3971" spans="1:19" x14ac:dyDescent="0.25">
      <c r="A3971" s="87">
        <v>2020</v>
      </c>
      <c r="B3971" s="87">
        <v>1</v>
      </c>
      <c r="C3971" s="173" t="s">
        <v>16</v>
      </c>
      <c r="D3971" s="173" t="s">
        <v>372</v>
      </c>
      <c r="E3971" s="173" t="s">
        <v>373</v>
      </c>
      <c r="F3971" s="173" t="s">
        <v>16</v>
      </c>
      <c r="G3971" s="87" t="b">
        <v>1</v>
      </c>
      <c r="H3971" s="87" t="b">
        <v>0</v>
      </c>
      <c r="I3971" s="87" t="b">
        <v>0</v>
      </c>
      <c r="J3971" s="173" t="s">
        <v>470</v>
      </c>
      <c r="K3971" s="174">
        <v>60975737003509</v>
      </c>
      <c r="L3971" s="173" t="s">
        <v>921</v>
      </c>
      <c r="M3971" s="173" t="s">
        <v>76</v>
      </c>
      <c r="N3971" s="173" t="s">
        <v>77</v>
      </c>
      <c r="O3971" s="87">
        <v>62</v>
      </c>
      <c r="P3971" s="173" t="s">
        <v>27</v>
      </c>
      <c r="Q3971" s="1" t="s">
        <v>1343</v>
      </c>
      <c r="R3971" s="175">
        <v>3</v>
      </c>
      <c r="S3971">
        <v>3</v>
      </c>
    </row>
    <row r="3972" spans="1:19" x14ac:dyDescent="0.25">
      <c r="A3972" s="87">
        <v>2020</v>
      </c>
      <c r="B3972" s="87">
        <v>1</v>
      </c>
      <c r="C3972" s="173" t="s">
        <v>16</v>
      </c>
      <c r="D3972" s="173" t="s">
        <v>372</v>
      </c>
      <c r="E3972" s="173" t="s">
        <v>373</v>
      </c>
      <c r="F3972" s="173" t="s">
        <v>16</v>
      </c>
      <c r="G3972" s="87" t="b">
        <v>1</v>
      </c>
      <c r="H3972" s="87" t="b">
        <v>0</v>
      </c>
      <c r="I3972" s="87" t="b">
        <v>0</v>
      </c>
      <c r="J3972" s="173" t="s">
        <v>470</v>
      </c>
      <c r="K3972" s="174">
        <v>60975737003509</v>
      </c>
      <c r="L3972" s="173" t="s">
        <v>921</v>
      </c>
      <c r="M3972" s="173" t="s">
        <v>76</v>
      </c>
      <c r="N3972" s="173" t="s">
        <v>77</v>
      </c>
      <c r="O3972" s="87">
        <v>64</v>
      </c>
      <c r="P3972" s="173" t="s">
        <v>25</v>
      </c>
      <c r="Q3972" s="1" t="s">
        <v>1344</v>
      </c>
      <c r="R3972" s="175">
        <v>7</v>
      </c>
      <c r="S3972">
        <v>7</v>
      </c>
    </row>
    <row r="3973" spans="1:19" x14ac:dyDescent="0.25">
      <c r="A3973" s="87">
        <v>2020</v>
      </c>
      <c r="B3973" s="87">
        <v>1</v>
      </c>
      <c r="C3973" s="173" t="s">
        <v>16</v>
      </c>
      <c r="D3973" s="173" t="s">
        <v>372</v>
      </c>
      <c r="E3973" s="173" t="s">
        <v>373</v>
      </c>
      <c r="F3973" s="173" t="s">
        <v>16</v>
      </c>
      <c r="G3973" s="87" t="b">
        <v>1</v>
      </c>
      <c r="H3973" s="87" t="b">
        <v>0</v>
      </c>
      <c r="I3973" s="87" t="b">
        <v>0</v>
      </c>
      <c r="J3973" s="173" t="s">
        <v>455</v>
      </c>
      <c r="K3973" s="174">
        <v>60975737003509</v>
      </c>
      <c r="L3973" s="173" t="s">
        <v>921</v>
      </c>
      <c r="M3973" s="173" t="s">
        <v>76</v>
      </c>
      <c r="N3973" s="173" t="s">
        <v>77</v>
      </c>
      <c r="O3973" s="87">
        <v>64</v>
      </c>
      <c r="P3973" s="173" t="s">
        <v>25</v>
      </c>
      <c r="Q3973" s="1" t="s">
        <v>1344</v>
      </c>
      <c r="R3973" s="175">
        <v>50</v>
      </c>
      <c r="S3973">
        <v>50</v>
      </c>
    </row>
    <row r="3974" spans="1:19" x14ac:dyDescent="0.25">
      <c r="A3974" s="87">
        <v>2020</v>
      </c>
      <c r="B3974" s="87">
        <v>1</v>
      </c>
      <c r="C3974" s="173" t="s">
        <v>16</v>
      </c>
      <c r="D3974" s="173" t="s">
        <v>372</v>
      </c>
      <c r="E3974" s="173" t="s">
        <v>373</v>
      </c>
      <c r="F3974" s="173" t="s">
        <v>16</v>
      </c>
      <c r="G3974" s="87" t="b">
        <v>1</v>
      </c>
      <c r="H3974" s="87" t="b">
        <v>0</v>
      </c>
      <c r="I3974" s="87" t="b">
        <v>0</v>
      </c>
      <c r="J3974" s="173" t="s">
        <v>470</v>
      </c>
      <c r="K3974" s="174">
        <v>60975737003509</v>
      </c>
      <c r="L3974" s="173" t="s">
        <v>921</v>
      </c>
      <c r="M3974" s="173" t="s">
        <v>76</v>
      </c>
      <c r="N3974" s="173" t="s">
        <v>77</v>
      </c>
      <c r="O3974" s="87">
        <v>73</v>
      </c>
      <c r="P3974" s="173" t="s">
        <v>26</v>
      </c>
      <c r="Q3974" s="1" t="s">
        <v>1339</v>
      </c>
      <c r="R3974" s="175">
        <v>4</v>
      </c>
      <c r="S3974">
        <v>2</v>
      </c>
    </row>
    <row r="3975" spans="1:19" x14ac:dyDescent="0.25">
      <c r="A3975" s="87">
        <v>2020</v>
      </c>
      <c r="B3975" s="87">
        <v>1</v>
      </c>
      <c r="C3975" s="173" t="s">
        <v>16</v>
      </c>
      <c r="D3975" s="173" t="s">
        <v>372</v>
      </c>
      <c r="E3975" s="173" t="s">
        <v>373</v>
      </c>
      <c r="F3975" s="173" t="s">
        <v>16</v>
      </c>
      <c r="G3975" s="87" t="b">
        <v>1</v>
      </c>
      <c r="H3975" s="87" t="b">
        <v>0</v>
      </c>
      <c r="I3975" s="87" t="b">
        <v>0</v>
      </c>
      <c r="J3975" s="173" t="s">
        <v>470</v>
      </c>
      <c r="K3975" s="174">
        <v>60975737003509</v>
      </c>
      <c r="L3975" s="173" t="s">
        <v>921</v>
      </c>
      <c r="M3975" s="173" t="s">
        <v>76</v>
      </c>
      <c r="N3975" s="173" t="s">
        <v>77</v>
      </c>
      <c r="O3975" s="87">
        <v>73</v>
      </c>
      <c r="P3975" s="173" t="s">
        <v>26</v>
      </c>
      <c r="Q3975" s="1" t="s">
        <v>1340</v>
      </c>
      <c r="R3975" s="175">
        <v>2</v>
      </c>
      <c r="S3975">
        <v>2</v>
      </c>
    </row>
    <row r="3976" spans="1:19" x14ac:dyDescent="0.25">
      <c r="A3976" s="87">
        <v>2020</v>
      </c>
      <c r="B3976" s="87">
        <v>1</v>
      </c>
      <c r="C3976" s="173" t="s">
        <v>16</v>
      </c>
      <c r="D3976" s="173" t="s">
        <v>372</v>
      </c>
      <c r="E3976" s="173" t="s">
        <v>373</v>
      </c>
      <c r="F3976" s="173" t="s">
        <v>16</v>
      </c>
      <c r="G3976" s="87" t="b">
        <v>1</v>
      </c>
      <c r="H3976" s="87" t="b">
        <v>0</v>
      </c>
      <c r="I3976" s="87" t="b">
        <v>0</v>
      </c>
      <c r="J3976" s="173" t="s">
        <v>463</v>
      </c>
      <c r="K3976" s="174">
        <v>60975737005110</v>
      </c>
      <c r="L3976" s="173" t="s">
        <v>626</v>
      </c>
      <c r="M3976" s="173" t="s">
        <v>29</v>
      </c>
      <c r="N3976" s="173" t="s">
        <v>19</v>
      </c>
      <c r="O3976" s="87">
        <v>64</v>
      </c>
      <c r="P3976" s="173" t="s">
        <v>25</v>
      </c>
      <c r="Q3976" s="1" t="s">
        <v>1344</v>
      </c>
      <c r="R3976" s="175">
        <v>3</v>
      </c>
      <c r="S3976">
        <v>3</v>
      </c>
    </row>
    <row r="3977" spans="1:19" x14ac:dyDescent="0.25">
      <c r="A3977" s="87">
        <v>2020</v>
      </c>
      <c r="B3977" s="87">
        <v>1</v>
      </c>
      <c r="C3977" s="173" t="s">
        <v>16</v>
      </c>
      <c r="D3977" s="173" t="s">
        <v>372</v>
      </c>
      <c r="E3977" s="173" t="s">
        <v>373</v>
      </c>
      <c r="F3977" s="173" t="s">
        <v>16</v>
      </c>
      <c r="G3977" s="87" t="b">
        <v>1</v>
      </c>
      <c r="H3977" s="87" t="b">
        <v>0</v>
      </c>
      <c r="I3977" s="87" t="b">
        <v>0</v>
      </c>
      <c r="J3977" s="173" t="s">
        <v>470</v>
      </c>
      <c r="K3977" s="174">
        <v>60975976000101</v>
      </c>
      <c r="L3977" s="173" t="s">
        <v>1497</v>
      </c>
      <c r="M3977" s="173" t="s">
        <v>29</v>
      </c>
      <c r="N3977" s="173" t="s">
        <v>19</v>
      </c>
      <c r="O3977" s="87">
        <v>64</v>
      </c>
      <c r="P3977" s="173" t="s">
        <v>25</v>
      </c>
      <c r="Q3977" s="1" t="s">
        <v>1344</v>
      </c>
      <c r="R3977" s="175">
        <v>4</v>
      </c>
      <c r="S3977">
        <v>4</v>
      </c>
    </row>
    <row r="3978" spans="1:19" x14ac:dyDescent="0.25">
      <c r="A3978" s="87">
        <v>2020</v>
      </c>
      <c r="B3978" s="87">
        <v>1</v>
      </c>
      <c r="C3978" s="173" t="s">
        <v>16</v>
      </c>
      <c r="D3978" s="173" t="s">
        <v>372</v>
      </c>
      <c r="E3978" s="173" t="s">
        <v>373</v>
      </c>
      <c r="F3978" s="173" t="s">
        <v>16</v>
      </c>
      <c r="G3978" s="87" t="b">
        <v>1</v>
      </c>
      <c r="H3978" s="87" t="b">
        <v>0</v>
      </c>
      <c r="I3978" s="87" t="b">
        <v>0</v>
      </c>
      <c r="J3978" s="173" t="s">
        <v>491</v>
      </c>
      <c r="K3978" s="174">
        <v>60992427000650</v>
      </c>
      <c r="L3978" s="173" t="s">
        <v>627</v>
      </c>
      <c r="M3978" s="173" t="s">
        <v>29</v>
      </c>
      <c r="N3978" s="173" t="s">
        <v>19</v>
      </c>
      <c r="O3978" s="87">
        <v>64</v>
      </c>
      <c r="P3978" s="173" t="s">
        <v>25</v>
      </c>
      <c r="Q3978" s="1" t="s">
        <v>1344</v>
      </c>
      <c r="R3978" s="175">
        <v>5</v>
      </c>
      <c r="S3978">
        <v>5</v>
      </c>
    </row>
    <row r="3979" spans="1:19" x14ac:dyDescent="0.25">
      <c r="A3979" s="87">
        <v>2020</v>
      </c>
      <c r="B3979" s="87">
        <v>1</v>
      </c>
      <c r="C3979" s="173" t="s">
        <v>16</v>
      </c>
      <c r="D3979" s="173" t="s">
        <v>372</v>
      </c>
      <c r="E3979" s="173" t="s">
        <v>373</v>
      </c>
      <c r="F3979" s="173" t="s">
        <v>16</v>
      </c>
      <c r="G3979" s="87" t="b">
        <v>1</v>
      </c>
      <c r="H3979" s="87" t="b">
        <v>0</v>
      </c>
      <c r="I3979" s="87" t="b">
        <v>0</v>
      </c>
      <c r="J3979" s="173" t="s">
        <v>463</v>
      </c>
      <c r="K3979" s="174">
        <v>61213674000240</v>
      </c>
      <c r="L3979" s="173" t="s">
        <v>629</v>
      </c>
      <c r="M3979" s="173" t="s">
        <v>29</v>
      </c>
      <c r="N3979" s="173" t="s">
        <v>19</v>
      </c>
      <c r="O3979" s="87">
        <v>62</v>
      </c>
      <c r="P3979" s="173" t="s">
        <v>27</v>
      </c>
      <c r="Q3979" s="1" t="s">
        <v>1343</v>
      </c>
      <c r="R3979" s="175">
        <v>4</v>
      </c>
      <c r="S3979">
        <v>4</v>
      </c>
    </row>
    <row r="3980" spans="1:19" x14ac:dyDescent="0.25">
      <c r="A3980" s="87">
        <v>2020</v>
      </c>
      <c r="B3980" s="87">
        <v>1</v>
      </c>
      <c r="C3980" s="173" t="s">
        <v>16</v>
      </c>
      <c r="D3980" s="173" t="s">
        <v>372</v>
      </c>
      <c r="E3980" s="173" t="s">
        <v>373</v>
      </c>
      <c r="F3980" s="173" t="s">
        <v>16</v>
      </c>
      <c r="G3980" s="87" t="b">
        <v>1</v>
      </c>
      <c r="H3980" s="87" t="b">
        <v>0</v>
      </c>
      <c r="I3980" s="87" t="b">
        <v>0</v>
      </c>
      <c r="J3980" s="173" t="s">
        <v>463</v>
      </c>
      <c r="K3980" s="174">
        <v>61213674000240</v>
      </c>
      <c r="L3980" s="173" t="s">
        <v>629</v>
      </c>
      <c r="M3980" s="173" t="s">
        <v>29</v>
      </c>
      <c r="N3980" s="173" t="s">
        <v>19</v>
      </c>
      <c r="O3980" s="87">
        <v>64</v>
      </c>
      <c r="P3980" s="173" t="s">
        <v>25</v>
      </c>
      <c r="Q3980" s="1" t="s">
        <v>1344</v>
      </c>
      <c r="R3980" s="175">
        <v>1</v>
      </c>
      <c r="S3980">
        <v>1</v>
      </c>
    </row>
    <row r="3981" spans="1:19" x14ac:dyDescent="0.25">
      <c r="A3981" s="87">
        <v>2020</v>
      </c>
      <c r="B3981" s="87">
        <v>1</v>
      </c>
      <c r="C3981" s="173" t="s">
        <v>16</v>
      </c>
      <c r="D3981" s="173" t="s">
        <v>372</v>
      </c>
      <c r="E3981" s="173" t="s">
        <v>373</v>
      </c>
      <c r="F3981" s="173" t="s">
        <v>16</v>
      </c>
      <c r="G3981" s="87" t="b">
        <v>1</v>
      </c>
      <c r="H3981" s="87" t="b">
        <v>0</v>
      </c>
      <c r="I3981" s="87" t="b">
        <v>0</v>
      </c>
      <c r="J3981" s="173" t="s">
        <v>450</v>
      </c>
      <c r="K3981" s="174">
        <v>61213674000240</v>
      </c>
      <c r="L3981" s="173" t="s">
        <v>629</v>
      </c>
      <c r="M3981" s="173" t="s">
        <v>29</v>
      </c>
      <c r="N3981" s="173" t="s">
        <v>19</v>
      </c>
      <c r="O3981" s="87">
        <v>73</v>
      </c>
      <c r="P3981" s="173" t="s">
        <v>26</v>
      </c>
      <c r="Q3981" s="1" t="s">
        <v>1339</v>
      </c>
      <c r="R3981" s="175">
        <v>4</v>
      </c>
      <c r="S3981">
        <v>2</v>
      </c>
    </row>
    <row r="3982" spans="1:19" x14ac:dyDescent="0.25">
      <c r="A3982" s="87">
        <v>2020</v>
      </c>
      <c r="B3982" s="87">
        <v>1</v>
      </c>
      <c r="C3982" s="173" t="s">
        <v>16</v>
      </c>
      <c r="D3982" s="173" t="s">
        <v>372</v>
      </c>
      <c r="E3982" s="173" t="s">
        <v>373</v>
      </c>
      <c r="F3982" s="173" t="s">
        <v>16</v>
      </c>
      <c r="G3982" s="87" t="b">
        <v>1</v>
      </c>
      <c r="H3982" s="87" t="b">
        <v>0</v>
      </c>
      <c r="I3982" s="87" t="b">
        <v>0</v>
      </c>
      <c r="J3982" s="173" t="s">
        <v>450</v>
      </c>
      <c r="K3982" s="174">
        <v>61213674000240</v>
      </c>
      <c r="L3982" s="173" t="s">
        <v>629</v>
      </c>
      <c r="M3982" s="173" t="s">
        <v>29</v>
      </c>
      <c r="N3982" s="173" t="s">
        <v>19</v>
      </c>
      <c r="O3982" s="87">
        <v>73</v>
      </c>
      <c r="P3982" s="173" t="s">
        <v>26</v>
      </c>
      <c r="Q3982" s="1" t="s">
        <v>1342</v>
      </c>
      <c r="R3982" s="175">
        <v>16</v>
      </c>
      <c r="S3982">
        <v>4</v>
      </c>
    </row>
    <row r="3983" spans="1:19" x14ac:dyDescent="0.25">
      <c r="A3983" s="87">
        <v>2020</v>
      </c>
      <c r="B3983" s="87">
        <v>1</v>
      </c>
      <c r="C3983" s="173" t="s">
        <v>16</v>
      </c>
      <c r="D3983" s="173" t="s">
        <v>372</v>
      </c>
      <c r="E3983" s="173" t="s">
        <v>373</v>
      </c>
      <c r="F3983" s="173" t="s">
        <v>16</v>
      </c>
      <c r="G3983" s="87" t="b">
        <v>1</v>
      </c>
      <c r="H3983" s="87" t="b">
        <v>0</v>
      </c>
      <c r="I3983" s="87" t="b">
        <v>0</v>
      </c>
      <c r="J3983" s="173" t="s">
        <v>450</v>
      </c>
      <c r="K3983" s="174">
        <v>61213674000240</v>
      </c>
      <c r="L3983" s="173" t="s">
        <v>629</v>
      </c>
      <c r="M3983" s="173" t="s">
        <v>29</v>
      </c>
      <c r="N3983" s="173" t="s">
        <v>19</v>
      </c>
      <c r="O3983" s="87">
        <v>73</v>
      </c>
      <c r="P3983" s="173" t="s">
        <v>26</v>
      </c>
      <c r="Q3983" s="1" t="s">
        <v>1340</v>
      </c>
      <c r="R3983" s="175">
        <v>7</v>
      </c>
      <c r="S3983">
        <v>7</v>
      </c>
    </row>
    <row r="3984" spans="1:19" x14ac:dyDescent="0.25">
      <c r="A3984" s="87">
        <v>2020</v>
      </c>
      <c r="B3984" s="87">
        <v>1</v>
      </c>
      <c r="C3984" s="173" t="s">
        <v>16</v>
      </c>
      <c r="D3984" s="173" t="s">
        <v>372</v>
      </c>
      <c r="E3984" s="173" t="s">
        <v>373</v>
      </c>
      <c r="F3984" s="173" t="s">
        <v>16</v>
      </c>
      <c r="G3984" s="87" t="b">
        <v>1</v>
      </c>
      <c r="H3984" s="87" t="b">
        <v>0</v>
      </c>
      <c r="I3984" s="87" t="b">
        <v>0</v>
      </c>
      <c r="J3984" s="173" t="s">
        <v>463</v>
      </c>
      <c r="K3984" s="174">
        <v>61213674000240</v>
      </c>
      <c r="L3984" s="173" t="s">
        <v>629</v>
      </c>
      <c r="M3984" s="173" t="s">
        <v>29</v>
      </c>
      <c r="N3984" s="173" t="s">
        <v>19</v>
      </c>
      <c r="O3984" s="87">
        <v>73</v>
      </c>
      <c r="P3984" s="173" t="s">
        <v>26</v>
      </c>
      <c r="Q3984" s="1" t="s">
        <v>1339</v>
      </c>
      <c r="R3984" s="175">
        <v>22</v>
      </c>
      <c r="S3984">
        <v>11</v>
      </c>
    </row>
    <row r="3985" spans="1:19" x14ac:dyDescent="0.25">
      <c r="A3985" s="87">
        <v>2020</v>
      </c>
      <c r="B3985" s="87">
        <v>1</v>
      </c>
      <c r="C3985" s="173" t="s">
        <v>16</v>
      </c>
      <c r="D3985" s="173" t="s">
        <v>372</v>
      </c>
      <c r="E3985" s="173" t="s">
        <v>373</v>
      </c>
      <c r="F3985" s="173" t="s">
        <v>16</v>
      </c>
      <c r="G3985" s="87" t="b">
        <v>1</v>
      </c>
      <c r="H3985" s="87" t="b">
        <v>0</v>
      </c>
      <c r="I3985" s="87" t="b">
        <v>0</v>
      </c>
      <c r="J3985" s="173" t="s">
        <v>1330</v>
      </c>
      <c r="K3985" s="174">
        <v>61590410000124</v>
      </c>
      <c r="L3985" s="173" t="s">
        <v>630</v>
      </c>
      <c r="M3985" s="173" t="s">
        <v>29</v>
      </c>
      <c r="N3985" s="173" t="s">
        <v>19</v>
      </c>
      <c r="O3985" s="87">
        <v>70</v>
      </c>
      <c r="P3985" s="173" t="s">
        <v>20</v>
      </c>
      <c r="Q3985" s="1" t="s">
        <v>1338</v>
      </c>
      <c r="R3985" s="175">
        <v>1600</v>
      </c>
      <c r="S3985">
        <v>320</v>
      </c>
    </row>
    <row r="3986" spans="1:19" x14ac:dyDescent="0.25">
      <c r="A3986" s="87">
        <v>2020</v>
      </c>
      <c r="B3986" s="87">
        <v>1</v>
      </c>
      <c r="C3986" s="173" t="s">
        <v>16</v>
      </c>
      <c r="D3986" s="173" t="s">
        <v>372</v>
      </c>
      <c r="E3986" s="173" t="s">
        <v>373</v>
      </c>
      <c r="F3986" s="173" t="s">
        <v>16</v>
      </c>
      <c r="G3986" s="87" t="b">
        <v>1</v>
      </c>
      <c r="H3986" s="87" t="b">
        <v>0</v>
      </c>
      <c r="I3986" s="87" t="b">
        <v>0</v>
      </c>
      <c r="J3986" s="173" t="s">
        <v>463</v>
      </c>
      <c r="K3986" s="174">
        <v>61590410000124</v>
      </c>
      <c r="L3986" s="173" t="s">
        <v>630</v>
      </c>
      <c r="M3986" s="173" t="s">
        <v>29</v>
      </c>
      <c r="N3986" s="173" t="s">
        <v>19</v>
      </c>
      <c r="O3986" s="87">
        <v>70</v>
      </c>
      <c r="P3986" s="173" t="s">
        <v>20</v>
      </c>
      <c r="Q3986" s="1" t="s">
        <v>1338</v>
      </c>
      <c r="R3986" s="175">
        <v>885</v>
      </c>
      <c r="S3986">
        <v>177</v>
      </c>
    </row>
    <row r="3987" spans="1:19" x14ac:dyDescent="0.25">
      <c r="A3987" s="87">
        <v>2020</v>
      </c>
      <c r="B3987" s="87">
        <v>1</v>
      </c>
      <c r="C3987" s="173" t="s">
        <v>16</v>
      </c>
      <c r="D3987" s="173" t="s">
        <v>372</v>
      </c>
      <c r="E3987" s="173" t="s">
        <v>373</v>
      </c>
      <c r="F3987" s="173" t="s">
        <v>16</v>
      </c>
      <c r="G3987" s="87" t="b">
        <v>1</v>
      </c>
      <c r="H3987" s="87" t="b">
        <v>0</v>
      </c>
      <c r="I3987" s="87" t="b">
        <v>0</v>
      </c>
      <c r="J3987" s="173" t="s">
        <v>463</v>
      </c>
      <c r="K3987" s="174">
        <v>61590410001287</v>
      </c>
      <c r="L3987" s="173" t="s">
        <v>923</v>
      </c>
      <c r="M3987" s="173" t="s">
        <v>739</v>
      </c>
      <c r="N3987" s="173" t="s">
        <v>55</v>
      </c>
      <c r="O3987" s="87">
        <v>62</v>
      </c>
      <c r="P3987" s="173" t="s">
        <v>27</v>
      </c>
      <c r="Q3987" s="1" t="s">
        <v>1343</v>
      </c>
      <c r="R3987" s="175">
        <v>8</v>
      </c>
      <c r="S3987">
        <v>8</v>
      </c>
    </row>
    <row r="3988" spans="1:19" x14ac:dyDescent="0.25">
      <c r="A3988" s="87">
        <v>2020</v>
      </c>
      <c r="B3988" s="87">
        <v>1</v>
      </c>
      <c r="C3988" s="173" t="s">
        <v>16</v>
      </c>
      <c r="D3988" s="173" t="s">
        <v>372</v>
      </c>
      <c r="E3988" s="173" t="s">
        <v>373</v>
      </c>
      <c r="F3988" s="173" t="s">
        <v>16</v>
      </c>
      <c r="G3988" s="87" t="b">
        <v>1</v>
      </c>
      <c r="H3988" s="87" t="b">
        <v>0</v>
      </c>
      <c r="I3988" s="87" t="b">
        <v>0</v>
      </c>
      <c r="J3988" s="173" t="s">
        <v>1330</v>
      </c>
      <c r="K3988" s="174">
        <v>61599908000158</v>
      </c>
      <c r="L3988" s="173" t="s">
        <v>631</v>
      </c>
      <c r="M3988" s="173" t="s">
        <v>29</v>
      </c>
      <c r="N3988" s="173" t="s">
        <v>19</v>
      </c>
      <c r="O3988" s="87">
        <v>62</v>
      </c>
      <c r="P3988" s="173" t="s">
        <v>27</v>
      </c>
      <c r="Q3988" s="1" t="s">
        <v>1343</v>
      </c>
      <c r="R3988" s="175">
        <v>10</v>
      </c>
      <c r="S3988">
        <v>10</v>
      </c>
    </row>
    <row r="3989" spans="1:19" x14ac:dyDescent="0.25">
      <c r="A3989" s="87">
        <v>2020</v>
      </c>
      <c r="B3989" s="87">
        <v>1</v>
      </c>
      <c r="C3989" s="173" t="s">
        <v>16</v>
      </c>
      <c r="D3989" s="173" t="s">
        <v>372</v>
      </c>
      <c r="E3989" s="173" t="s">
        <v>373</v>
      </c>
      <c r="F3989" s="173" t="s">
        <v>16</v>
      </c>
      <c r="G3989" s="87" t="b">
        <v>1</v>
      </c>
      <c r="H3989" s="87" t="b">
        <v>0</v>
      </c>
      <c r="I3989" s="87" t="b">
        <v>0</v>
      </c>
      <c r="J3989" s="173" t="s">
        <v>450</v>
      </c>
      <c r="K3989" s="174">
        <v>61687356004399</v>
      </c>
      <c r="L3989" s="173" t="s">
        <v>1498</v>
      </c>
      <c r="M3989" s="173" t="s">
        <v>42</v>
      </c>
      <c r="N3989" s="173" t="s">
        <v>19</v>
      </c>
      <c r="O3989" s="87">
        <v>70</v>
      </c>
      <c r="P3989" s="173" t="s">
        <v>20</v>
      </c>
      <c r="Q3989" s="1" t="s">
        <v>1338</v>
      </c>
      <c r="R3989" s="175">
        <v>75</v>
      </c>
      <c r="S3989">
        <v>15</v>
      </c>
    </row>
    <row r="3990" spans="1:19" x14ac:dyDescent="0.25">
      <c r="A3990" s="87">
        <v>2020</v>
      </c>
      <c r="B3990" s="87">
        <v>1</v>
      </c>
      <c r="C3990" s="173" t="s">
        <v>16</v>
      </c>
      <c r="D3990" s="173" t="s">
        <v>372</v>
      </c>
      <c r="E3990" s="173" t="s">
        <v>373</v>
      </c>
      <c r="F3990" s="173" t="s">
        <v>16</v>
      </c>
      <c r="G3990" s="87" t="b">
        <v>1</v>
      </c>
      <c r="H3990" s="87" t="b">
        <v>0</v>
      </c>
      <c r="I3990" s="87" t="b">
        <v>0</v>
      </c>
      <c r="J3990" s="173" t="s">
        <v>463</v>
      </c>
      <c r="K3990" s="174">
        <v>62779145000190</v>
      </c>
      <c r="L3990" s="173" t="s">
        <v>634</v>
      </c>
      <c r="M3990" s="173" t="s">
        <v>29</v>
      </c>
      <c r="N3990" s="173" t="s">
        <v>19</v>
      </c>
      <c r="O3990" s="87">
        <v>64</v>
      </c>
      <c r="P3990" s="173" t="s">
        <v>25</v>
      </c>
      <c r="Q3990" s="1" t="s">
        <v>1344</v>
      </c>
      <c r="R3990" s="175">
        <v>6</v>
      </c>
      <c r="S3990">
        <v>6</v>
      </c>
    </row>
    <row r="3991" spans="1:19" x14ac:dyDescent="0.25">
      <c r="A3991" s="87">
        <v>2020</v>
      </c>
      <c r="B3991" s="87">
        <v>1</v>
      </c>
      <c r="C3991" s="173" t="s">
        <v>16</v>
      </c>
      <c r="D3991" s="173" t="s">
        <v>372</v>
      </c>
      <c r="E3991" s="173" t="s">
        <v>373</v>
      </c>
      <c r="F3991" s="173" t="s">
        <v>16</v>
      </c>
      <c r="G3991" s="87" t="b">
        <v>1</v>
      </c>
      <c r="H3991" s="87" t="b">
        <v>0</v>
      </c>
      <c r="I3991" s="87" t="b">
        <v>0</v>
      </c>
      <c r="J3991" s="173" t="s">
        <v>506</v>
      </c>
      <c r="K3991" s="174">
        <v>68029156000481</v>
      </c>
      <c r="L3991" s="173" t="s">
        <v>1371</v>
      </c>
      <c r="M3991" s="173" t="s">
        <v>1372</v>
      </c>
      <c r="N3991" s="173" t="s">
        <v>19</v>
      </c>
      <c r="O3991" s="87">
        <v>70</v>
      </c>
      <c r="P3991" s="173" t="s">
        <v>20</v>
      </c>
      <c r="Q3991" s="1" t="s">
        <v>1338</v>
      </c>
      <c r="R3991" s="175">
        <v>65</v>
      </c>
      <c r="S3991">
        <v>13</v>
      </c>
    </row>
    <row r="3992" spans="1:19" x14ac:dyDescent="0.25">
      <c r="A3992" s="87">
        <v>2020</v>
      </c>
      <c r="B3992" s="87">
        <v>1</v>
      </c>
      <c r="C3992" s="173" t="s">
        <v>16</v>
      </c>
      <c r="D3992" s="173" t="s">
        <v>372</v>
      </c>
      <c r="E3992" s="173" t="s">
        <v>373</v>
      </c>
      <c r="F3992" s="173" t="s">
        <v>16</v>
      </c>
      <c r="G3992" s="87" t="b">
        <v>1</v>
      </c>
      <c r="H3992" s="87" t="b">
        <v>0</v>
      </c>
      <c r="I3992" s="87" t="b">
        <v>0</v>
      </c>
      <c r="J3992" s="173" t="s">
        <v>477</v>
      </c>
      <c r="K3992" s="174">
        <v>68709211000212</v>
      </c>
      <c r="L3992" s="173" t="s">
        <v>1066</v>
      </c>
      <c r="M3992" s="173" t="s">
        <v>92</v>
      </c>
      <c r="N3992" s="173" t="s">
        <v>61</v>
      </c>
      <c r="O3992" s="87">
        <v>70</v>
      </c>
      <c r="P3992" s="173" t="s">
        <v>20</v>
      </c>
      <c r="Q3992" s="1" t="s">
        <v>1345</v>
      </c>
      <c r="R3992" s="175">
        <v>340</v>
      </c>
      <c r="S3992">
        <v>34</v>
      </c>
    </row>
    <row r="3993" spans="1:19" x14ac:dyDescent="0.25">
      <c r="A3993" s="87">
        <v>2020</v>
      </c>
      <c r="B3993" s="87">
        <v>1</v>
      </c>
      <c r="C3993" s="173" t="s">
        <v>16</v>
      </c>
      <c r="D3993" s="173" t="s">
        <v>372</v>
      </c>
      <c r="E3993" s="173" t="s">
        <v>373</v>
      </c>
      <c r="F3993" s="173" t="s">
        <v>16</v>
      </c>
      <c r="G3993" s="87" t="b">
        <v>1</v>
      </c>
      <c r="H3993" s="87" t="b">
        <v>0</v>
      </c>
      <c r="I3993" s="87" t="b">
        <v>0</v>
      </c>
      <c r="J3993" s="173" t="s">
        <v>477</v>
      </c>
      <c r="K3993" s="174">
        <v>68709211000212</v>
      </c>
      <c r="L3993" s="173" t="s">
        <v>1066</v>
      </c>
      <c r="M3993" s="173" t="s">
        <v>92</v>
      </c>
      <c r="N3993" s="173" t="s">
        <v>61</v>
      </c>
      <c r="O3993" s="87">
        <v>70</v>
      </c>
      <c r="P3993" s="173" t="s">
        <v>20</v>
      </c>
      <c r="Q3993" s="1" t="s">
        <v>1338</v>
      </c>
      <c r="R3993" s="175">
        <v>10</v>
      </c>
      <c r="S3993">
        <v>2</v>
      </c>
    </row>
    <row r="3994" spans="1:19" x14ac:dyDescent="0.25">
      <c r="A3994" s="87">
        <v>2020</v>
      </c>
      <c r="B3994" s="87">
        <v>1</v>
      </c>
      <c r="C3994" s="173" t="s">
        <v>16</v>
      </c>
      <c r="D3994" s="173" t="s">
        <v>372</v>
      </c>
      <c r="E3994" s="173" t="s">
        <v>373</v>
      </c>
      <c r="F3994" s="173" t="s">
        <v>16</v>
      </c>
      <c r="G3994" s="87" t="b">
        <v>1</v>
      </c>
      <c r="H3994" s="87" t="b">
        <v>0</v>
      </c>
      <c r="I3994" s="87" t="b">
        <v>0</v>
      </c>
      <c r="J3994" s="173" t="s">
        <v>470</v>
      </c>
      <c r="K3994" s="174">
        <v>69289171000189</v>
      </c>
      <c r="L3994" s="173" t="s">
        <v>1499</v>
      </c>
      <c r="M3994" s="173" t="s">
        <v>1500</v>
      </c>
      <c r="N3994" s="173" t="s">
        <v>19</v>
      </c>
      <c r="O3994" s="87">
        <v>70</v>
      </c>
      <c r="P3994" s="173" t="s">
        <v>20</v>
      </c>
      <c r="Q3994" s="1" t="s">
        <v>1338</v>
      </c>
      <c r="R3994" s="175">
        <v>175</v>
      </c>
      <c r="S3994">
        <v>35</v>
      </c>
    </row>
    <row r="3995" spans="1:19" x14ac:dyDescent="0.25">
      <c r="A3995" s="87">
        <v>2020</v>
      </c>
      <c r="B3995" s="87">
        <v>1</v>
      </c>
      <c r="C3995" s="173" t="s">
        <v>16</v>
      </c>
      <c r="D3995" s="173" t="s">
        <v>372</v>
      </c>
      <c r="E3995" s="173" t="s">
        <v>373</v>
      </c>
      <c r="F3995" s="173" t="s">
        <v>16</v>
      </c>
      <c r="G3995" s="87" t="b">
        <v>1</v>
      </c>
      <c r="H3995" s="87" t="b">
        <v>0</v>
      </c>
      <c r="I3995" s="87" t="b">
        <v>0</v>
      </c>
      <c r="J3995" s="173" t="s">
        <v>451</v>
      </c>
      <c r="K3995" s="174">
        <v>72101124000506</v>
      </c>
      <c r="L3995" s="173" t="s">
        <v>1126</v>
      </c>
      <c r="M3995" s="173" t="s">
        <v>131</v>
      </c>
      <c r="N3995" s="173" t="s">
        <v>61</v>
      </c>
      <c r="O3995" s="87">
        <v>70</v>
      </c>
      <c r="P3995" s="173" t="s">
        <v>20</v>
      </c>
      <c r="Q3995" s="1" t="s">
        <v>1338</v>
      </c>
      <c r="R3995" s="175">
        <v>390</v>
      </c>
      <c r="S3995">
        <v>78</v>
      </c>
    </row>
    <row r="3996" spans="1:19" x14ac:dyDescent="0.25">
      <c r="A3996" s="87">
        <v>2020</v>
      </c>
      <c r="B3996" s="87">
        <v>1</v>
      </c>
      <c r="C3996" s="173" t="s">
        <v>16</v>
      </c>
      <c r="D3996" s="173" t="s">
        <v>372</v>
      </c>
      <c r="E3996" s="173" t="s">
        <v>373</v>
      </c>
      <c r="F3996" s="173" t="s">
        <v>16</v>
      </c>
      <c r="G3996" s="87" t="b">
        <v>1</v>
      </c>
      <c r="H3996" s="87" t="b">
        <v>0</v>
      </c>
      <c r="I3996" s="87" t="b">
        <v>0</v>
      </c>
      <c r="J3996" s="173" t="s">
        <v>451</v>
      </c>
      <c r="K3996" s="174">
        <v>72101124000506</v>
      </c>
      <c r="L3996" s="173" t="s">
        <v>1126</v>
      </c>
      <c r="M3996" s="173" t="s">
        <v>131</v>
      </c>
      <c r="N3996" s="173" t="s">
        <v>61</v>
      </c>
      <c r="O3996" s="87">
        <v>73</v>
      </c>
      <c r="P3996" s="173" t="s">
        <v>26</v>
      </c>
      <c r="Q3996" s="1" t="s">
        <v>1339</v>
      </c>
      <c r="R3996" s="175">
        <v>10</v>
      </c>
      <c r="S3996">
        <v>5</v>
      </c>
    </row>
    <row r="3997" spans="1:19" x14ac:dyDescent="0.25">
      <c r="A3997" s="87">
        <v>2020</v>
      </c>
      <c r="B3997" s="87">
        <v>1</v>
      </c>
      <c r="C3997" s="173" t="s">
        <v>16</v>
      </c>
      <c r="D3997" s="173" t="s">
        <v>372</v>
      </c>
      <c r="E3997" s="173" t="s">
        <v>373</v>
      </c>
      <c r="F3997" s="173" t="s">
        <v>16</v>
      </c>
      <c r="G3997" s="87" t="b">
        <v>1</v>
      </c>
      <c r="H3997" s="87" t="b">
        <v>0</v>
      </c>
      <c r="I3997" s="87" t="b">
        <v>0</v>
      </c>
      <c r="J3997" s="173" t="s">
        <v>451</v>
      </c>
      <c r="K3997" s="174">
        <v>72101124000506</v>
      </c>
      <c r="L3997" s="173" t="s">
        <v>1126</v>
      </c>
      <c r="M3997" s="173" t="s">
        <v>131</v>
      </c>
      <c r="N3997" s="173" t="s">
        <v>61</v>
      </c>
      <c r="O3997" s="87">
        <v>73</v>
      </c>
      <c r="P3997" s="173" t="s">
        <v>26</v>
      </c>
      <c r="Q3997" s="1" t="s">
        <v>1342</v>
      </c>
      <c r="R3997" s="175">
        <v>60</v>
      </c>
      <c r="S3997">
        <v>15</v>
      </c>
    </row>
    <row r="3998" spans="1:19" x14ac:dyDescent="0.25">
      <c r="A3998" s="87">
        <v>2020</v>
      </c>
      <c r="B3998" s="87">
        <v>1</v>
      </c>
      <c r="C3998" s="173" t="s">
        <v>16</v>
      </c>
      <c r="D3998" s="173" t="s">
        <v>372</v>
      </c>
      <c r="E3998" s="173" t="s">
        <v>373</v>
      </c>
      <c r="F3998" s="173" t="s">
        <v>16</v>
      </c>
      <c r="G3998" s="87" t="b">
        <v>1</v>
      </c>
      <c r="H3998" s="87" t="b">
        <v>0</v>
      </c>
      <c r="I3998" s="87" t="b">
        <v>0</v>
      </c>
      <c r="J3998" s="173" t="s">
        <v>451</v>
      </c>
      <c r="K3998" s="174">
        <v>72101124000506</v>
      </c>
      <c r="L3998" s="173" t="s">
        <v>1126</v>
      </c>
      <c r="M3998" s="173" t="s">
        <v>131</v>
      </c>
      <c r="N3998" s="173" t="s">
        <v>61</v>
      </c>
      <c r="O3998" s="87">
        <v>73</v>
      </c>
      <c r="P3998" s="173" t="s">
        <v>26</v>
      </c>
      <c r="Q3998" s="1" t="s">
        <v>1340</v>
      </c>
      <c r="R3998" s="175">
        <v>5</v>
      </c>
      <c r="S3998">
        <v>5</v>
      </c>
    </row>
    <row r="3999" spans="1:19" x14ac:dyDescent="0.25">
      <c r="A3999" s="87">
        <v>2020</v>
      </c>
      <c r="B3999" s="87">
        <v>1</v>
      </c>
      <c r="C3999" s="173" t="s">
        <v>16</v>
      </c>
      <c r="D3999" s="173" t="s">
        <v>372</v>
      </c>
      <c r="E3999" s="173" t="s">
        <v>373</v>
      </c>
      <c r="F3999" s="173" t="s">
        <v>16</v>
      </c>
      <c r="G3999" s="87" t="b">
        <v>1</v>
      </c>
      <c r="H3999" s="87" t="b">
        <v>0</v>
      </c>
      <c r="I3999" s="87" t="b">
        <v>0</v>
      </c>
      <c r="J3999" s="173" t="s">
        <v>1330</v>
      </c>
      <c r="K3999" s="174">
        <v>74031865000151</v>
      </c>
      <c r="L3999" s="173" t="s">
        <v>926</v>
      </c>
      <c r="M3999" s="173" t="s">
        <v>76</v>
      </c>
      <c r="N3999" s="173" t="s">
        <v>77</v>
      </c>
      <c r="O3999" s="87">
        <v>62</v>
      </c>
      <c r="P3999" s="173" t="s">
        <v>27</v>
      </c>
      <c r="Q3999" s="1" t="s">
        <v>1343</v>
      </c>
      <c r="R3999" s="175">
        <v>80</v>
      </c>
      <c r="S3999">
        <v>80</v>
      </c>
    </row>
    <row r="4000" spans="1:19" x14ac:dyDescent="0.25">
      <c r="A4000" s="87">
        <v>2020</v>
      </c>
      <c r="B4000" s="87">
        <v>1</v>
      </c>
      <c r="C4000" s="173" t="s">
        <v>16</v>
      </c>
      <c r="D4000" s="173" t="s">
        <v>372</v>
      </c>
      <c r="E4000" s="173" t="s">
        <v>373</v>
      </c>
      <c r="F4000" s="173" t="s">
        <v>16</v>
      </c>
      <c r="G4000" s="87" t="b">
        <v>1</v>
      </c>
      <c r="H4000" s="87" t="b">
        <v>0</v>
      </c>
      <c r="I4000" s="87" t="b">
        <v>0</v>
      </c>
      <c r="J4000" s="173" t="s">
        <v>452</v>
      </c>
      <c r="K4000" s="174">
        <v>75055772002254</v>
      </c>
      <c r="L4000" s="173" t="s">
        <v>979</v>
      </c>
      <c r="M4000" s="173" t="s">
        <v>94</v>
      </c>
      <c r="N4000" s="173" t="s">
        <v>57</v>
      </c>
      <c r="O4000" s="87">
        <v>70</v>
      </c>
      <c r="P4000" s="173" t="s">
        <v>20</v>
      </c>
      <c r="Q4000" s="1" t="s">
        <v>1338</v>
      </c>
      <c r="R4000" s="175">
        <v>120</v>
      </c>
      <c r="S4000">
        <v>24</v>
      </c>
    </row>
    <row r="4001" spans="1:19" x14ac:dyDescent="0.25">
      <c r="A4001" s="87">
        <v>2020</v>
      </c>
      <c r="B4001" s="87">
        <v>1</v>
      </c>
      <c r="C4001" s="173" t="s">
        <v>16</v>
      </c>
      <c r="D4001" s="173" t="s">
        <v>372</v>
      </c>
      <c r="E4001" s="173" t="s">
        <v>373</v>
      </c>
      <c r="F4001" s="173" t="s">
        <v>16</v>
      </c>
      <c r="G4001" s="87" t="b">
        <v>1</v>
      </c>
      <c r="H4001" s="87" t="b">
        <v>0</v>
      </c>
      <c r="I4001" s="87" t="b">
        <v>0</v>
      </c>
      <c r="J4001" s="173" t="s">
        <v>451</v>
      </c>
      <c r="K4001" s="174">
        <v>75222224001895</v>
      </c>
      <c r="L4001" s="173" t="s">
        <v>981</v>
      </c>
      <c r="M4001" s="173" t="s">
        <v>121</v>
      </c>
      <c r="N4001" s="173" t="s">
        <v>57</v>
      </c>
      <c r="O4001" s="87">
        <v>70</v>
      </c>
      <c r="P4001" s="173" t="s">
        <v>20</v>
      </c>
      <c r="Q4001" s="1" t="s">
        <v>1338</v>
      </c>
      <c r="R4001" s="175">
        <v>950</v>
      </c>
      <c r="S4001">
        <v>190</v>
      </c>
    </row>
    <row r="4002" spans="1:19" x14ac:dyDescent="0.25">
      <c r="A4002" s="87">
        <v>2020</v>
      </c>
      <c r="B4002" s="87">
        <v>1</v>
      </c>
      <c r="C4002" s="173" t="s">
        <v>16</v>
      </c>
      <c r="D4002" s="173" t="s">
        <v>372</v>
      </c>
      <c r="E4002" s="173" t="s">
        <v>373</v>
      </c>
      <c r="F4002" s="173" t="s">
        <v>16</v>
      </c>
      <c r="G4002" s="87" t="b">
        <v>1</v>
      </c>
      <c r="H4002" s="87" t="b">
        <v>0</v>
      </c>
      <c r="I4002" s="87" t="b">
        <v>0</v>
      </c>
      <c r="J4002" s="173" t="s">
        <v>470</v>
      </c>
      <c r="K4002" s="174">
        <v>76081892000164</v>
      </c>
      <c r="L4002" s="173" t="s">
        <v>1347</v>
      </c>
      <c r="M4002" s="173" t="s">
        <v>112</v>
      </c>
      <c r="N4002" s="173" t="s">
        <v>57</v>
      </c>
      <c r="O4002" s="87">
        <v>70</v>
      </c>
      <c r="P4002" s="173" t="s">
        <v>20</v>
      </c>
      <c r="Q4002" s="1" t="s">
        <v>1338</v>
      </c>
      <c r="R4002" s="175">
        <v>60</v>
      </c>
      <c r="S4002">
        <v>12</v>
      </c>
    </row>
    <row r="4003" spans="1:19" x14ac:dyDescent="0.25">
      <c r="A4003" s="87">
        <v>2020</v>
      </c>
      <c r="B4003" s="87">
        <v>1</v>
      </c>
      <c r="C4003" s="173" t="s">
        <v>16</v>
      </c>
      <c r="D4003" s="173" t="s">
        <v>372</v>
      </c>
      <c r="E4003" s="173" t="s">
        <v>373</v>
      </c>
      <c r="F4003" s="173" t="s">
        <v>16</v>
      </c>
      <c r="G4003" s="87" t="b">
        <v>1</v>
      </c>
      <c r="H4003" s="87" t="b">
        <v>0</v>
      </c>
      <c r="I4003" s="87" t="b">
        <v>0</v>
      </c>
      <c r="J4003" s="173" t="s">
        <v>492</v>
      </c>
      <c r="K4003" s="174">
        <v>76081892000164</v>
      </c>
      <c r="L4003" s="173" t="s">
        <v>1347</v>
      </c>
      <c r="M4003" s="173" t="s">
        <v>112</v>
      </c>
      <c r="N4003" s="173" t="s">
        <v>57</v>
      </c>
      <c r="O4003" s="87">
        <v>70</v>
      </c>
      <c r="P4003" s="173" t="s">
        <v>20</v>
      </c>
      <c r="Q4003" s="1" t="s">
        <v>1338</v>
      </c>
      <c r="R4003" s="175">
        <v>70</v>
      </c>
      <c r="S4003">
        <v>14</v>
      </c>
    </row>
    <row r="4004" spans="1:19" x14ac:dyDescent="0.25">
      <c r="A4004" s="87">
        <v>2020</v>
      </c>
      <c r="B4004" s="87">
        <v>1</v>
      </c>
      <c r="C4004" s="173" t="s">
        <v>16</v>
      </c>
      <c r="D4004" s="173" t="s">
        <v>372</v>
      </c>
      <c r="E4004" s="173" t="s">
        <v>373</v>
      </c>
      <c r="F4004" s="173" t="s">
        <v>16</v>
      </c>
      <c r="G4004" s="87" t="b">
        <v>1</v>
      </c>
      <c r="H4004" s="87" t="b">
        <v>0</v>
      </c>
      <c r="I4004" s="87" t="b">
        <v>0</v>
      </c>
      <c r="J4004" s="173" t="s">
        <v>452</v>
      </c>
      <c r="K4004" s="174">
        <v>76555069000143</v>
      </c>
      <c r="L4004" s="173" t="s">
        <v>983</v>
      </c>
      <c r="M4004" s="173" t="s">
        <v>94</v>
      </c>
      <c r="N4004" s="173" t="s">
        <v>57</v>
      </c>
      <c r="O4004" s="87">
        <v>70</v>
      </c>
      <c r="P4004" s="173" t="s">
        <v>20</v>
      </c>
      <c r="Q4004" s="1" t="s">
        <v>1338</v>
      </c>
      <c r="R4004" s="175">
        <v>95</v>
      </c>
      <c r="S4004">
        <v>19</v>
      </c>
    </row>
    <row r="4005" spans="1:19" x14ac:dyDescent="0.25">
      <c r="A4005" s="87">
        <v>2020</v>
      </c>
      <c r="B4005" s="87">
        <v>1</v>
      </c>
      <c r="C4005" s="173" t="s">
        <v>16</v>
      </c>
      <c r="D4005" s="173" t="s">
        <v>372</v>
      </c>
      <c r="E4005" s="173" t="s">
        <v>373</v>
      </c>
      <c r="F4005" s="173" t="s">
        <v>16</v>
      </c>
      <c r="G4005" s="87" t="b">
        <v>1</v>
      </c>
      <c r="H4005" s="87" t="b">
        <v>0</v>
      </c>
      <c r="I4005" s="87" t="b">
        <v>0</v>
      </c>
      <c r="J4005" s="173" t="s">
        <v>492</v>
      </c>
      <c r="K4005" s="174">
        <v>76591569000130</v>
      </c>
      <c r="L4005" s="173" t="s">
        <v>985</v>
      </c>
      <c r="M4005" s="173" t="s">
        <v>94</v>
      </c>
      <c r="N4005" s="173" t="s">
        <v>57</v>
      </c>
      <c r="O4005" s="87">
        <v>70</v>
      </c>
      <c r="P4005" s="173" t="s">
        <v>20</v>
      </c>
      <c r="Q4005" s="1" t="s">
        <v>1338</v>
      </c>
      <c r="R4005" s="175">
        <v>250</v>
      </c>
      <c r="S4005">
        <v>50</v>
      </c>
    </row>
    <row r="4006" spans="1:19" x14ac:dyDescent="0.25">
      <c r="A4006" s="87">
        <v>2020</v>
      </c>
      <c r="B4006" s="87">
        <v>1</v>
      </c>
      <c r="C4006" s="173" t="s">
        <v>16</v>
      </c>
      <c r="D4006" s="173" t="s">
        <v>372</v>
      </c>
      <c r="E4006" s="173" t="s">
        <v>373</v>
      </c>
      <c r="F4006" s="173" t="s">
        <v>16</v>
      </c>
      <c r="G4006" s="87" t="b">
        <v>1</v>
      </c>
      <c r="H4006" s="87" t="b">
        <v>0</v>
      </c>
      <c r="I4006" s="87" t="b">
        <v>0</v>
      </c>
      <c r="J4006" s="173" t="s">
        <v>506</v>
      </c>
      <c r="K4006" s="174">
        <v>76591569000130</v>
      </c>
      <c r="L4006" s="173" t="s">
        <v>985</v>
      </c>
      <c r="M4006" s="173" t="s">
        <v>94</v>
      </c>
      <c r="N4006" s="173" t="s">
        <v>57</v>
      </c>
      <c r="O4006" s="87">
        <v>70</v>
      </c>
      <c r="P4006" s="173" t="s">
        <v>20</v>
      </c>
      <c r="Q4006" s="1" t="s">
        <v>1338</v>
      </c>
      <c r="R4006" s="175">
        <v>500</v>
      </c>
      <c r="S4006">
        <v>100</v>
      </c>
    </row>
    <row r="4007" spans="1:19" x14ac:dyDescent="0.25">
      <c r="A4007" s="87">
        <v>2020</v>
      </c>
      <c r="B4007" s="87">
        <v>1</v>
      </c>
      <c r="C4007" s="173" t="s">
        <v>16</v>
      </c>
      <c r="D4007" s="173" t="s">
        <v>372</v>
      </c>
      <c r="E4007" s="173" t="s">
        <v>373</v>
      </c>
      <c r="F4007" s="173" t="s">
        <v>16</v>
      </c>
      <c r="G4007" s="87" t="b">
        <v>1</v>
      </c>
      <c r="H4007" s="87" t="b">
        <v>0</v>
      </c>
      <c r="I4007" s="87" t="b">
        <v>0</v>
      </c>
      <c r="J4007" s="173" t="s">
        <v>452</v>
      </c>
      <c r="K4007" s="174">
        <v>76659820002367</v>
      </c>
      <c r="L4007" s="173" t="s">
        <v>986</v>
      </c>
      <c r="M4007" s="173" t="s">
        <v>94</v>
      </c>
      <c r="N4007" s="173" t="s">
        <v>57</v>
      </c>
      <c r="O4007" s="87">
        <v>70</v>
      </c>
      <c r="P4007" s="173" t="s">
        <v>20</v>
      </c>
      <c r="Q4007" s="1" t="s">
        <v>1338</v>
      </c>
      <c r="R4007" s="175">
        <v>90</v>
      </c>
      <c r="S4007">
        <v>18</v>
      </c>
    </row>
    <row r="4008" spans="1:19" x14ac:dyDescent="0.25">
      <c r="A4008" s="87">
        <v>2020</v>
      </c>
      <c r="B4008" s="87">
        <v>1</v>
      </c>
      <c r="C4008" s="173" t="s">
        <v>16</v>
      </c>
      <c r="D4008" s="173" t="s">
        <v>372</v>
      </c>
      <c r="E4008" s="173" t="s">
        <v>373</v>
      </c>
      <c r="F4008" s="173" t="s">
        <v>16</v>
      </c>
      <c r="G4008" s="87" t="b">
        <v>1</v>
      </c>
      <c r="H4008" s="87" t="b">
        <v>0</v>
      </c>
      <c r="I4008" s="87" t="b">
        <v>0</v>
      </c>
      <c r="J4008" s="173" t="s">
        <v>491</v>
      </c>
      <c r="K4008" s="174">
        <v>77781706000243</v>
      </c>
      <c r="L4008" s="173" t="s">
        <v>989</v>
      </c>
      <c r="M4008" s="173" t="s">
        <v>990</v>
      </c>
      <c r="N4008" s="173" t="s">
        <v>57</v>
      </c>
      <c r="O4008" s="87">
        <v>73</v>
      </c>
      <c r="P4008" s="173" t="s">
        <v>26</v>
      </c>
      <c r="Q4008" s="1" t="s">
        <v>1339</v>
      </c>
      <c r="R4008" s="175">
        <v>2</v>
      </c>
      <c r="S4008">
        <v>1</v>
      </c>
    </row>
    <row r="4009" spans="1:19" x14ac:dyDescent="0.25">
      <c r="A4009" s="87">
        <v>2020</v>
      </c>
      <c r="B4009" s="87">
        <v>1</v>
      </c>
      <c r="C4009" s="173" t="s">
        <v>16</v>
      </c>
      <c r="D4009" s="173" t="s">
        <v>372</v>
      </c>
      <c r="E4009" s="173" t="s">
        <v>373</v>
      </c>
      <c r="F4009" s="173" t="s">
        <v>16</v>
      </c>
      <c r="G4009" s="87" t="b">
        <v>1</v>
      </c>
      <c r="H4009" s="87" t="b">
        <v>0</v>
      </c>
      <c r="I4009" s="87" t="b">
        <v>0</v>
      </c>
      <c r="J4009" s="173" t="s">
        <v>477</v>
      </c>
      <c r="K4009" s="174">
        <v>77858611001414</v>
      </c>
      <c r="L4009" s="173" t="s">
        <v>991</v>
      </c>
      <c r="M4009" s="173" t="s">
        <v>969</v>
      </c>
      <c r="N4009" s="173" t="s">
        <v>68</v>
      </c>
      <c r="O4009" s="87">
        <v>70</v>
      </c>
      <c r="P4009" s="173" t="s">
        <v>20</v>
      </c>
      <c r="Q4009" s="1" t="s">
        <v>1346</v>
      </c>
      <c r="R4009" s="175">
        <v>12.5</v>
      </c>
      <c r="S4009">
        <v>5</v>
      </c>
    </row>
    <row r="4010" spans="1:19" x14ac:dyDescent="0.25">
      <c r="A4010" s="87">
        <v>2020</v>
      </c>
      <c r="B4010" s="87">
        <v>1</v>
      </c>
      <c r="C4010" s="173" t="s">
        <v>16</v>
      </c>
      <c r="D4010" s="173" t="s">
        <v>372</v>
      </c>
      <c r="E4010" s="173" t="s">
        <v>373</v>
      </c>
      <c r="F4010" s="173" t="s">
        <v>16</v>
      </c>
      <c r="G4010" s="87" t="b">
        <v>1</v>
      </c>
      <c r="H4010" s="87" t="b">
        <v>0</v>
      </c>
      <c r="I4010" s="87" t="b">
        <v>0</v>
      </c>
      <c r="J4010" s="173" t="s">
        <v>492</v>
      </c>
      <c r="K4010" s="174">
        <v>77858611001414</v>
      </c>
      <c r="L4010" s="173" t="s">
        <v>991</v>
      </c>
      <c r="M4010" s="173" t="s">
        <v>969</v>
      </c>
      <c r="N4010" s="173" t="s">
        <v>68</v>
      </c>
      <c r="O4010" s="87">
        <v>70</v>
      </c>
      <c r="P4010" s="173" t="s">
        <v>20</v>
      </c>
      <c r="Q4010" s="1" t="s">
        <v>1338</v>
      </c>
      <c r="R4010" s="175">
        <v>120</v>
      </c>
      <c r="S4010">
        <v>24</v>
      </c>
    </row>
    <row r="4011" spans="1:19" x14ac:dyDescent="0.25">
      <c r="A4011" s="87">
        <v>2020</v>
      </c>
      <c r="B4011" s="87">
        <v>1</v>
      </c>
      <c r="C4011" s="173" t="s">
        <v>16</v>
      </c>
      <c r="D4011" s="173" t="s">
        <v>372</v>
      </c>
      <c r="E4011" s="173" t="s">
        <v>373</v>
      </c>
      <c r="F4011" s="173" t="s">
        <v>16</v>
      </c>
      <c r="G4011" s="87" t="b">
        <v>1</v>
      </c>
      <c r="H4011" s="87" t="b">
        <v>0</v>
      </c>
      <c r="I4011" s="87" t="b">
        <v>0</v>
      </c>
      <c r="J4011" s="173" t="s">
        <v>495</v>
      </c>
      <c r="K4011" s="174">
        <v>77858611001414</v>
      </c>
      <c r="L4011" s="173" t="s">
        <v>991</v>
      </c>
      <c r="M4011" s="173" t="s">
        <v>969</v>
      </c>
      <c r="N4011" s="173" t="s">
        <v>68</v>
      </c>
      <c r="O4011" s="87">
        <v>70</v>
      </c>
      <c r="P4011" s="173" t="s">
        <v>20</v>
      </c>
      <c r="Q4011" s="1" t="s">
        <v>1338</v>
      </c>
      <c r="R4011" s="175">
        <v>25</v>
      </c>
      <c r="S4011">
        <v>5</v>
      </c>
    </row>
    <row r="4012" spans="1:19" x14ac:dyDescent="0.25">
      <c r="A4012" s="87">
        <v>2020</v>
      </c>
      <c r="B4012" s="87">
        <v>1</v>
      </c>
      <c r="C4012" s="173" t="s">
        <v>16</v>
      </c>
      <c r="D4012" s="173" t="s">
        <v>372</v>
      </c>
      <c r="E4012" s="173" t="s">
        <v>373</v>
      </c>
      <c r="F4012" s="173" t="s">
        <v>16</v>
      </c>
      <c r="G4012" s="87" t="b">
        <v>1</v>
      </c>
      <c r="H4012" s="87" t="b">
        <v>0</v>
      </c>
      <c r="I4012" s="87" t="b">
        <v>0</v>
      </c>
      <c r="J4012" s="173" t="s">
        <v>452</v>
      </c>
      <c r="K4012" s="174">
        <v>78614971000119</v>
      </c>
      <c r="L4012" s="173" t="s">
        <v>994</v>
      </c>
      <c r="M4012" s="173" t="s">
        <v>121</v>
      </c>
      <c r="N4012" s="173" t="s">
        <v>57</v>
      </c>
      <c r="O4012" s="87">
        <v>70</v>
      </c>
      <c r="P4012" s="173" t="s">
        <v>20</v>
      </c>
      <c r="Q4012" s="1" t="s">
        <v>1338</v>
      </c>
      <c r="R4012" s="175">
        <v>10</v>
      </c>
      <c r="S4012">
        <v>2</v>
      </c>
    </row>
    <row r="4013" spans="1:19" x14ac:dyDescent="0.25">
      <c r="A4013" s="87">
        <v>2020</v>
      </c>
      <c r="B4013" s="87">
        <v>1</v>
      </c>
      <c r="C4013" s="173" t="s">
        <v>16</v>
      </c>
      <c r="D4013" s="173" t="s">
        <v>372</v>
      </c>
      <c r="E4013" s="173" t="s">
        <v>373</v>
      </c>
      <c r="F4013" s="173" t="s">
        <v>16</v>
      </c>
      <c r="G4013" s="87" t="b">
        <v>1</v>
      </c>
      <c r="H4013" s="87" t="b">
        <v>0</v>
      </c>
      <c r="I4013" s="87" t="b">
        <v>0</v>
      </c>
      <c r="J4013" s="173" t="s">
        <v>492</v>
      </c>
      <c r="K4013" s="174">
        <v>78633088000176</v>
      </c>
      <c r="L4013" s="173" t="s">
        <v>995</v>
      </c>
      <c r="M4013" s="173" t="s">
        <v>121</v>
      </c>
      <c r="N4013" s="173" t="s">
        <v>57</v>
      </c>
      <c r="O4013" s="87">
        <v>70</v>
      </c>
      <c r="P4013" s="173" t="s">
        <v>20</v>
      </c>
      <c r="Q4013" s="1" t="s">
        <v>1338</v>
      </c>
      <c r="R4013" s="175">
        <v>35</v>
      </c>
      <c r="S4013">
        <v>7</v>
      </c>
    </row>
    <row r="4014" spans="1:19" x14ac:dyDescent="0.25">
      <c r="A4014" s="87">
        <v>2020</v>
      </c>
      <c r="B4014" s="87">
        <v>1</v>
      </c>
      <c r="C4014" s="173" t="s">
        <v>16</v>
      </c>
      <c r="D4014" s="173" t="s">
        <v>372</v>
      </c>
      <c r="E4014" s="173" t="s">
        <v>373</v>
      </c>
      <c r="F4014" s="173" t="s">
        <v>16</v>
      </c>
      <c r="G4014" s="87" t="b">
        <v>1</v>
      </c>
      <c r="H4014" s="87" t="b">
        <v>0</v>
      </c>
      <c r="I4014" s="87" t="b">
        <v>0</v>
      </c>
      <c r="J4014" s="173" t="s">
        <v>451</v>
      </c>
      <c r="K4014" s="174">
        <v>78633088000176</v>
      </c>
      <c r="L4014" s="173" t="s">
        <v>995</v>
      </c>
      <c r="M4014" s="173" t="s">
        <v>121</v>
      </c>
      <c r="N4014" s="173" t="s">
        <v>57</v>
      </c>
      <c r="O4014" s="87">
        <v>70</v>
      </c>
      <c r="P4014" s="173" t="s">
        <v>20</v>
      </c>
      <c r="Q4014" s="1" t="s">
        <v>1338</v>
      </c>
      <c r="R4014" s="175">
        <v>10</v>
      </c>
      <c r="S4014">
        <v>2</v>
      </c>
    </row>
    <row r="4015" spans="1:19" x14ac:dyDescent="0.25">
      <c r="A4015" s="87">
        <v>2020</v>
      </c>
      <c r="B4015" s="87">
        <v>1</v>
      </c>
      <c r="C4015" s="173" t="s">
        <v>16</v>
      </c>
      <c r="D4015" s="173" t="s">
        <v>372</v>
      </c>
      <c r="E4015" s="173" t="s">
        <v>373</v>
      </c>
      <c r="F4015" s="173" t="s">
        <v>16</v>
      </c>
      <c r="G4015" s="87" t="b">
        <v>1</v>
      </c>
      <c r="H4015" s="87" t="b">
        <v>0</v>
      </c>
      <c r="I4015" s="87" t="b">
        <v>0</v>
      </c>
      <c r="J4015" s="173" t="s">
        <v>492</v>
      </c>
      <c r="K4015" s="174">
        <v>79115762000193</v>
      </c>
      <c r="L4015" s="173" t="s">
        <v>996</v>
      </c>
      <c r="M4015" s="173" t="s">
        <v>988</v>
      </c>
      <c r="N4015" s="173" t="s">
        <v>57</v>
      </c>
      <c r="O4015" s="87">
        <v>70</v>
      </c>
      <c r="P4015" s="173" t="s">
        <v>20</v>
      </c>
      <c r="Q4015" s="1" t="s">
        <v>1338</v>
      </c>
      <c r="R4015" s="175">
        <v>175</v>
      </c>
      <c r="S4015">
        <v>35</v>
      </c>
    </row>
    <row r="4016" spans="1:19" x14ac:dyDescent="0.25">
      <c r="A4016" s="87">
        <v>2020</v>
      </c>
      <c r="B4016" s="87">
        <v>1</v>
      </c>
      <c r="C4016" s="173" t="s">
        <v>16</v>
      </c>
      <c r="D4016" s="173" t="s">
        <v>372</v>
      </c>
      <c r="E4016" s="173" t="s">
        <v>373</v>
      </c>
      <c r="F4016" s="173" t="s">
        <v>16</v>
      </c>
      <c r="G4016" s="87" t="b">
        <v>1</v>
      </c>
      <c r="H4016" s="87" t="b">
        <v>0</v>
      </c>
      <c r="I4016" s="87" t="b">
        <v>0</v>
      </c>
      <c r="J4016" s="173" t="s">
        <v>1330</v>
      </c>
      <c r="K4016" s="174">
        <v>80673411000187</v>
      </c>
      <c r="L4016" s="173" t="s">
        <v>999</v>
      </c>
      <c r="M4016" s="173" t="s">
        <v>930</v>
      </c>
      <c r="N4016" s="173" t="s">
        <v>68</v>
      </c>
      <c r="O4016" s="87">
        <v>73</v>
      </c>
      <c r="P4016" s="173" t="s">
        <v>26</v>
      </c>
      <c r="Q4016" s="1" t="s">
        <v>1342</v>
      </c>
      <c r="R4016" s="175">
        <v>64</v>
      </c>
      <c r="S4016">
        <v>16</v>
      </c>
    </row>
    <row r="4017" spans="1:19" x14ac:dyDescent="0.25">
      <c r="A4017" s="87">
        <v>2020</v>
      </c>
      <c r="B4017" s="87">
        <v>1</v>
      </c>
      <c r="C4017" s="173" t="s">
        <v>16</v>
      </c>
      <c r="D4017" s="173" t="s">
        <v>372</v>
      </c>
      <c r="E4017" s="173" t="s">
        <v>373</v>
      </c>
      <c r="F4017" s="173" t="s">
        <v>16</v>
      </c>
      <c r="G4017" s="87" t="b">
        <v>1</v>
      </c>
      <c r="H4017" s="87" t="b">
        <v>0</v>
      </c>
      <c r="I4017" s="87" t="b">
        <v>0</v>
      </c>
      <c r="J4017" s="173" t="s">
        <v>452</v>
      </c>
      <c r="K4017" s="174">
        <v>81270548000153</v>
      </c>
      <c r="L4017" s="173" t="s">
        <v>1002</v>
      </c>
      <c r="M4017" s="173" t="s">
        <v>112</v>
      </c>
      <c r="N4017" s="173" t="s">
        <v>57</v>
      </c>
      <c r="O4017" s="87">
        <v>62</v>
      </c>
      <c r="P4017" s="173" t="s">
        <v>27</v>
      </c>
      <c r="Q4017" s="1" t="s">
        <v>1343</v>
      </c>
      <c r="R4017" s="175">
        <v>5</v>
      </c>
      <c r="S4017">
        <v>5</v>
      </c>
    </row>
    <row r="4018" spans="1:19" x14ac:dyDescent="0.25">
      <c r="A4018" s="87">
        <v>2020</v>
      </c>
      <c r="B4018" s="87">
        <v>1</v>
      </c>
      <c r="C4018" s="173" t="s">
        <v>16</v>
      </c>
      <c r="D4018" s="173" t="s">
        <v>372</v>
      </c>
      <c r="E4018" s="173" t="s">
        <v>373</v>
      </c>
      <c r="F4018" s="173" t="s">
        <v>16</v>
      </c>
      <c r="G4018" s="87" t="b">
        <v>1</v>
      </c>
      <c r="H4018" s="87" t="b">
        <v>0</v>
      </c>
      <c r="I4018" s="87" t="b">
        <v>0</v>
      </c>
      <c r="J4018" s="173" t="s">
        <v>506</v>
      </c>
      <c r="K4018" s="174">
        <v>81715716000410</v>
      </c>
      <c r="L4018" s="173" t="s">
        <v>1003</v>
      </c>
      <c r="M4018" s="173" t="s">
        <v>1004</v>
      </c>
      <c r="N4018" s="173" t="s">
        <v>57</v>
      </c>
      <c r="O4018" s="87">
        <v>70</v>
      </c>
      <c r="P4018" s="173" t="s">
        <v>20</v>
      </c>
      <c r="Q4018" s="1" t="s">
        <v>1338</v>
      </c>
      <c r="R4018" s="175">
        <v>240</v>
      </c>
      <c r="S4018">
        <v>48</v>
      </c>
    </row>
    <row r="4019" spans="1:19" x14ac:dyDescent="0.25">
      <c r="A4019" s="87">
        <v>2020</v>
      </c>
      <c r="B4019" s="87">
        <v>1</v>
      </c>
      <c r="C4019" s="173" t="s">
        <v>16</v>
      </c>
      <c r="D4019" s="173" t="s">
        <v>372</v>
      </c>
      <c r="E4019" s="173" t="s">
        <v>373</v>
      </c>
      <c r="F4019" s="173" t="s">
        <v>16</v>
      </c>
      <c r="G4019" s="87" t="b">
        <v>1</v>
      </c>
      <c r="H4019" s="87" t="b">
        <v>0</v>
      </c>
      <c r="I4019" s="87" t="b">
        <v>0</v>
      </c>
      <c r="J4019" s="173" t="s">
        <v>470</v>
      </c>
      <c r="K4019" s="174">
        <v>81733115000197</v>
      </c>
      <c r="L4019" s="173" t="s">
        <v>1005</v>
      </c>
      <c r="M4019" s="173" t="s">
        <v>1006</v>
      </c>
      <c r="N4019" s="173" t="s">
        <v>57</v>
      </c>
      <c r="O4019" s="87">
        <v>70</v>
      </c>
      <c r="P4019" s="173" t="s">
        <v>20</v>
      </c>
      <c r="Q4019" s="1" t="s">
        <v>1338</v>
      </c>
      <c r="R4019" s="175">
        <v>60</v>
      </c>
      <c r="S4019">
        <v>12</v>
      </c>
    </row>
    <row r="4020" spans="1:19" x14ac:dyDescent="0.25">
      <c r="A4020" s="87">
        <v>2020</v>
      </c>
      <c r="B4020" s="87">
        <v>1</v>
      </c>
      <c r="C4020" s="173" t="s">
        <v>16</v>
      </c>
      <c r="D4020" s="173" t="s">
        <v>372</v>
      </c>
      <c r="E4020" s="173" t="s">
        <v>373</v>
      </c>
      <c r="F4020" s="173" t="s">
        <v>16</v>
      </c>
      <c r="G4020" s="87" t="b">
        <v>1</v>
      </c>
      <c r="H4020" s="87" t="b">
        <v>0</v>
      </c>
      <c r="I4020" s="87" t="b">
        <v>0</v>
      </c>
      <c r="J4020" s="173" t="s">
        <v>492</v>
      </c>
      <c r="K4020" s="174">
        <v>83884999000106</v>
      </c>
      <c r="L4020" s="173" t="s">
        <v>1009</v>
      </c>
      <c r="M4020" s="173" t="s">
        <v>930</v>
      </c>
      <c r="N4020" s="173" t="s">
        <v>68</v>
      </c>
      <c r="O4020" s="87">
        <v>70</v>
      </c>
      <c r="P4020" s="173" t="s">
        <v>20</v>
      </c>
      <c r="Q4020" s="1" t="s">
        <v>1338</v>
      </c>
      <c r="R4020" s="175">
        <v>130</v>
      </c>
      <c r="S4020">
        <v>26</v>
      </c>
    </row>
    <row r="4021" spans="1:19" x14ac:dyDescent="0.25">
      <c r="A4021" s="87">
        <v>2020</v>
      </c>
      <c r="B4021" s="87">
        <v>1</v>
      </c>
      <c r="C4021" s="173" t="s">
        <v>16</v>
      </c>
      <c r="D4021" s="173" t="s">
        <v>372</v>
      </c>
      <c r="E4021" s="173" t="s">
        <v>373</v>
      </c>
      <c r="F4021" s="173" t="s">
        <v>16</v>
      </c>
      <c r="G4021" s="87" t="b">
        <v>1</v>
      </c>
      <c r="H4021" s="87" t="b">
        <v>0</v>
      </c>
      <c r="I4021" s="87" t="b">
        <v>0</v>
      </c>
      <c r="J4021" s="173" t="s">
        <v>492</v>
      </c>
      <c r="K4021" s="174">
        <v>84942887000127</v>
      </c>
      <c r="L4021" s="173" t="s">
        <v>1502</v>
      </c>
      <c r="M4021" s="173" t="s">
        <v>1503</v>
      </c>
      <c r="N4021" s="173" t="s">
        <v>68</v>
      </c>
      <c r="O4021" s="87">
        <v>70</v>
      </c>
      <c r="P4021" s="173" t="s">
        <v>20</v>
      </c>
      <c r="Q4021" s="1" t="s">
        <v>1338</v>
      </c>
      <c r="R4021" s="175">
        <v>150</v>
      </c>
      <c r="S4021">
        <v>30</v>
      </c>
    </row>
    <row r="4022" spans="1:19" x14ac:dyDescent="0.25">
      <c r="A4022" s="87">
        <v>2020</v>
      </c>
      <c r="B4022" s="87">
        <v>1</v>
      </c>
      <c r="C4022" s="173" t="s">
        <v>16</v>
      </c>
      <c r="D4022" s="173" t="s">
        <v>372</v>
      </c>
      <c r="E4022" s="173" t="s">
        <v>373</v>
      </c>
      <c r="F4022" s="173" t="s">
        <v>16</v>
      </c>
      <c r="G4022" s="87" t="b">
        <v>1</v>
      </c>
      <c r="H4022" s="87" t="b">
        <v>0</v>
      </c>
      <c r="I4022" s="87" t="b">
        <v>0</v>
      </c>
      <c r="J4022" s="173" t="s">
        <v>492</v>
      </c>
      <c r="K4022" s="174">
        <v>84947167000154</v>
      </c>
      <c r="L4022" s="173" t="s">
        <v>1504</v>
      </c>
      <c r="M4022" s="173" t="s">
        <v>1503</v>
      </c>
      <c r="N4022" s="173" t="s">
        <v>68</v>
      </c>
      <c r="O4022" s="87">
        <v>70</v>
      </c>
      <c r="P4022" s="173" t="s">
        <v>20</v>
      </c>
      <c r="Q4022" s="1" t="s">
        <v>1338</v>
      </c>
      <c r="R4022" s="175">
        <v>10</v>
      </c>
      <c r="S4022">
        <v>2</v>
      </c>
    </row>
    <row r="4023" spans="1:19" x14ac:dyDescent="0.25">
      <c r="A4023" s="87">
        <v>2020</v>
      </c>
      <c r="B4023" s="87">
        <v>1</v>
      </c>
      <c r="C4023" s="173" t="s">
        <v>16</v>
      </c>
      <c r="D4023" s="173" t="s">
        <v>372</v>
      </c>
      <c r="E4023" s="173" t="s">
        <v>373</v>
      </c>
      <c r="F4023" s="173" t="s">
        <v>16</v>
      </c>
      <c r="G4023" s="87" t="b">
        <v>1</v>
      </c>
      <c r="H4023" s="87" t="b">
        <v>0</v>
      </c>
      <c r="I4023" s="87" t="b">
        <v>0</v>
      </c>
      <c r="J4023" s="173" t="s">
        <v>470</v>
      </c>
      <c r="K4023" s="174">
        <v>85241339000809</v>
      </c>
      <c r="L4023" s="173" t="s">
        <v>1011</v>
      </c>
      <c r="M4023" s="173" t="s">
        <v>998</v>
      </c>
      <c r="N4023" s="173" t="s">
        <v>68</v>
      </c>
      <c r="O4023" s="87">
        <v>70</v>
      </c>
      <c r="P4023" s="173" t="s">
        <v>20</v>
      </c>
      <c r="Q4023" s="1" t="s">
        <v>1338</v>
      </c>
      <c r="R4023" s="175">
        <v>10</v>
      </c>
      <c r="S4023">
        <v>2</v>
      </c>
    </row>
    <row r="4024" spans="1:19" x14ac:dyDescent="0.25">
      <c r="A4024" s="87">
        <v>2020</v>
      </c>
      <c r="B4024" s="87">
        <v>1</v>
      </c>
      <c r="C4024" s="173" t="s">
        <v>16</v>
      </c>
      <c r="D4024" s="173" t="s">
        <v>372</v>
      </c>
      <c r="E4024" s="173" t="s">
        <v>373</v>
      </c>
      <c r="F4024" s="173" t="s">
        <v>16</v>
      </c>
      <c r="G4024" s="87" t="b">
        <v>1</v>
      </c>
      <c r="H4024" s="87" t="b">
        <v>0</v>
      </c>
      <c r="I4024" s="87" t="b">
        <v>0</v>
      </c>
      <c r="J4024" s="173" t="s">
        <v>492</v>
      </c>
      <c r="K4024" s="174">
        <v>85307098000187</v>
      </c>
      <c r="L4024" s="173" t="s">
        <v>1505</v>
      </c>
      <c r="M4024" s="173" t="s">
        <v>930</v>
      </c>
      <c r="N4024" s="173" t="s">
        <v>68</v>
      </c>
      <c r="O4024" s="87">
        <v>70</v>
      </c>
      <c r="P4024" s="173" t="s">
        <v>20</v>
      </c>
      <c r="Q4024" s="1" t="s">
        <v>1338</v>
      </c>
      <c r="R4024" s="175">
        <v>150</v>
      </c>
      <c r="S4024">
        <v>30</v>
      </c>
    </row>
    <row r="4025" spans="1:19" x14ac:dyDescent="0.25">
      <c r="A4025" s="87">
        <v>2020</v>
      </c>
      <c r="B4025" s="87">
        <v>1</v>
      </c>
      <c r="C4025" s="173" t="s">
        <v>16</v>
      </c>
      <c r="D4025" s="173" t="s">
        <v>372</v>
      </c>
      <c r="E4025" s="173" t="s">
        <v>373</v>
      </c>
      <c r="F4025" s="173" t="s">
        <v>16</v>
      </c>
      <c r="G4025" s="87" t="b">
        <v>1</v>
      </c>
      <c r="H4025" s="87" t="b">
        <v>0</v>
      </c>
      <c r="I4025" s="87" t="b">
        <v>0</v>
      </c>
      <c r="J4025" s="173" t="s">
        <v>495</v>
      </c>
      <c r="K4025" s="174">
        <v>85307098000187</v>
      </c>
      <c r="L4025" s="173" t="s">
        <v>1505</v>
      </c>
      <c r="M4025" s="173" t="s">
        <v>930</v>
      </c>
      <c r="N4025" s="173" t="s">
        <v>68</v>
      </c>
      <c r="O4025" s="87">
        <v>70</v>
      </c>
      <c r="P4025" s="173" t="s">
        <v>20</v>
      </c>
      <c r="Q4025" s="1" t="s">
        <v>1338</v>
      </c>
      <c r="R4025" s="175">
        <v>105</v>
      </c>
      <c r="S4025">
        <v>21</v>
      </c>
    </row>
    <row r="4026" spans="1:19" x14ac:dyDescent="0.25">
      <c r="A4026" s="87">
        <v>2020</v>
      </c>
      <c r="B4026" s="87">
        <v>1</v>
      </c>
      <c r="C4026" s="173" t="s">
        <v>16</v>
      </c>
      <c r="D4026" s="173" t="s">
        <v>372</v>
      </c>
      <c r="E4026" s="173" t="s">
        <v>373</v>
      </c>
      <c r="F4026" s="173" t="s">
        <v>16</v>
      </c>
      <c r="G4026" s="87" t="b">
        <v>1</v>
      </c>
      <c r="H4026" s="87" t="b">
        <v>0</v>
      </c>
      <c r="I4026" s="87" t="b">
        <v>0</v>
      </c>
      <c r="J4026" s="173" t="s">
        <v>452</v>
      </c>
      <c r="K4026" s="174">
        <v>85377174000392</v>
      </c>
      <c r="L4026" s="173" t="s">
        <v>1012</v>
      </c>
      <c r="M4026" s="173" t="s">
        <v>938</v>
      </c>
      <c r="N4026" s="173" t="s">
        <v>68</v>
      </c>
      <c r="O4026" s="87">
        <v>70</v>
      </c>
      <c r="P4026" s="173" t="s">
        <v>20</v>
      </c>
      <c r="Q4026" s="1" t="s">
        <v>1345</v>
      </c>
      <c r="R4026" s="175">
        <v>10</v>
      </c>
      <c r="S4026">
        <v>1</v>
      </c>
    </row>
    <row r="4027" spans="1:19" x14ac:dyDescent="0.25">
      <c r="A4027" s="87">
        <v>2020</v>
      </c>
      <c r="B4027" s="87">
        <v>1</v>
      </c>
      <c r="C4027" s="173" t="s">
        <v>16</v>
      </c>
      <c r="D4027" s="173" t="s">
        <v>372</v>
      </c>
      <c r="E4027" s="173" t="s">
        <v>373</v>
      </c>
      <c r="F4027" s="173" t="s">
        <v>16</v>
      </c>
      <c r="G4027" s="87" t="b">
        <v>1</v>
      </c>
      <c r="H4027" s="87" t="b">
        <v>0</v>
      </c>
      <c r="I4027" s="87" t="b">
        <v>0</v>
      </c>
      <c r="J4027" s="173" t="s">
        <v>470</v>
      </c>
      <c r="K4027" s="174">
        <v>85377174000392</v>
      </c>
      <c r="L4027" s="173" t="s">
        <v>1012</v>
      </c>
      <c r="M4027" s="173" t="s">
        <v>938</v>
      </c>
      <c r="N4027" s="173" t="s">
        <v>68</v>
      </c>
      <c r="O4027" s="87">
        <v>73</v>
      </c>
      <c r="P4027" s="173" t="s">
        <v>26</v>
      </c>
      <c r="Q4027" s="1" t="s">
        <v>1342</v>
      </c>
      <c r="R4027" s="175">
        <v>4</v>
      </c>
      <c r="S4027">
        <v>1</v>
      </c>
    </row>
    <row r="4028" spans="1:19" x14ac:dyDescent="0.25">
      <c r="A4028" s="87">
        <v>2020</v>
      </c>
      <c r="B4028" s="87">
        <v>1</v>
      </c>
      <c r="C4028" s="173" t="s">
        <v>16</v>
      </c>
      <c r="D4028" s="173" t="s">
        <v>372</v>
      </c>
      <c r="E4028" s="173" t="s">
        <v>373</v>
      </c>
      <c r="F4028" s="173" t="s">
        <v>16</v>
      </c>
      <c r="G4028" s="87" t="b">
        <v>1</v>
      </c>
      <c r="H4028" s="87" t="b">
        <v>0</v>
      </c>
      <c r="I4028" s="87" t="b">
        <v>0</v>
      </c>
      <c r="J4028" s="173" t="s">
        <v>481</v>
      </c>
      <c r="K4028" s="174">
        <v>85377174000392</v>
      </c>
      <c r="L4028" s="173" t="s">
        <v>1012</v>
      </c>
      <c r="M4028" s="173" t="s">
        <v>938</v>
      </c>
      <c r="N4028" s="173" t="s">
        <v>68</v>
      </c>
      <c r="O4028" s="87">
        <v>73</v>
      </c>
      <c r="P4028" s="173" t="s">
        <v>26</v>
      </c>
      <c r="Q4028" s="1" t="s">
        <v>1339</v>
      </c>
      <c r="R4028" s="175">
        <v>2</v>
      </c>
      <c r="S4028">
        <v>1</v>
      </c>
    </row>
    <row r="4029" spans="1:19" x14ac:dyDescent="0.25">
      <c r="A4029" s="87">
        <v>2020</v>
      </c>
      <c r="B4029" s="87">
        <v>1</v>
      </c>
      <c r="C4029" s="173" t="s">
        <v>16</v>
      </c>
      <c r="D4029" s="173" t="s">
        <v>372</v>
      </c>
      <c r="E4029" s="173" t="s">
        <v>373</v>
      </c>
      <c r="F4029" s="173" t="s">
        <v>16</v>
      </c>
      <c r="G4029" s="87" t="b">
        <v>1</v>
      </c>
      <c r="H4029" s="87" t="b">
        <v>0</v>
      </c>
      <c r="I4029" s="87" t="b">
        <v>0</v>
      </c>
      <c r="J4029" s="173" t="s">
        <v>449</v>
      </c>
      <c r="K4029" s="174">
        <v>87020517000120</v>
      </c>
      <c r="L4029" s="173" t="s">
        <v>1013</v>
      </c>
      <c r="M4029" s="173" t="s">
        <v>83</v>
      </c>
      <c r="N4029" s="173" t="s">
        <v>67</v>
      </c>
      <c r="O4029" s="87">
        <v>62</v>
      </c>
      <c r="P4029" s="173" t="s">
        <v>27</v>
      </c>
      <c r="Q4029" s="1" t="s">
        <v>1343</v>
      </c>
      <c r="R4029" s="175">
        <v>4</v>
      </c>
      <c r="S4029">
        <v>4</v>
      </c>
    </row>
    <row r="4030" spans="1:19" x14ac:dyDescent="0.25">
      <c r="A4030" s="87">
        <v>2020</v>
      </c>
      <c r="B4030" s="87">
        <v>1</v>
      </c>
      <c r="C4030" s="173" t="s">
        <v>16</v>
      </c>
      <c r="D4030" s="173" t="s">
        <v>372</v>
      </c>
      <c r="E4030" s="173" t="s">
        <v>373</v>
      </c>
      <c r="F4030" s="173" t="s">
        <v>16</v>
      </c>
      <c r="G4030" s="87" t="b">
        <v>1</v>
      </c>
      <c r="H4030" s="87" t="b">
        <v>0</v>
      </c>
      <c r="I4030" s="87" t="b">
        <v>0</v>
      </c>
      <c r="J4030" s="173" t="s">
        <v>1330</v>
      </c>
      <c r="K4030" s="174">
        <v>87020517000120</v>
      </c>
      <c r="L4030" s="173" t="s">
        <v>1013</v>
      </c>
      <c r="M4030" s="173" t="s">
        <v>83</v>
      </c>
      <c r="N4030" s="173" t="s">
        <v>67</v>
      </c>
      <c r="O4030" s="87">
        <v>64</v>
      </c>
      <c r="P4030" s="173" t="s">
        <v>25</v>
      </c>
      <c r="Q4030" s="1" t="s">
        <v>1344</v>
      </c>
      <c r="R4030" s="175">
        <v>33</v>
      </c>
      <c r="S4030">
        <v>33</v>
      </c>
    </row>
    <row r="4031" spans="1:19" x14ac:dyDescent="0.25">
      <c r="A4031" s="87">
        <v>2020</v>
      </c>
      <c r="B4031" s="87">
        <v>1</v>
      </c>
      <c r="C4031" s="173" t="s">
        <v>16</v>
      </c>
      <c r="D4031" s="173" t="s">
        <v>372</v>
      </c>
      <c r="E4031" s="173" t="s">
        <v>373</v>
      </c>
      <c r="F4031" s="173" t="s">
        <v>16</v>
      </c>
      <c r="G4031" s="87" t="b">
        <v>1</v>
      </c>
      <c r="H4031" s="87" t="b">
        <v>0</v>
      </c>
      <c r="I4031" s="87" t="b">
        <v>0</v>
      </c>
      <c r="J4031" s="173" t="s">
        <v>492</v>
      </c>
      <c r="K4031" s="174">
        <v>87096616003101</v>
      </c>
      <c r="L4031" s="173" t="s">
        <v>1014</v>
      </c>
      <c r="M4031" s="173" t="s">
        <v>83</v>
      </c>
      <c r="N4031" s="173" t="s">
        <v>67</v>
      </c>
      <c r="O4031" s="87">
        <v>70</v>
      </c>
      <c r="P4031" s="173" t="s">
        <v>20</v>
      </c>
      <c r="Q4031" s="1" t="s">
        <v>1338</v>
      </c>
      <c r="R4031" s="175">
        <v>70</v>
      </c>
      <c r="S4031">
        <v>14</v>
      </c>
    </row>
    <row r="4032" spans="1:19" x14ac:dyDescent="0.25">
      <c r="A4032" s="87">
        <v>2020</v>
      </c>
      <c r="B4032" s="87">
        <v>1</v>
      </c>
      <c r="C4032" s="173" t="s">
        <v>16</v>
      </c>
      <c r="D4032" s="173" t="s">
        <v>372</v>
      </c>
      <c r="E4032" s="173" t="s">
        <v>373</v>
      </c>
      <c r="F4032" s="173" t="s">
        <v>16</v>
      </c>
      <c r="G4032" s="87" t="b">
        <v>1</v>
      </c>
      <c r="H4032" s="87" t="b">
        <v>0</v>
      </c>
      <c r="I4032" s="87" t="b">
        <v>0</v>
      </c>
      <c r="J4032" s="173" t="s">
        <v>449</v>
      </c>
      <c r="K4032" s="174">
        <v>87096616003101</v>
      </c>
      <c r="L4032" s="173" t="s">
        <v>1014</v>
      </c>
      <c r="M4032" s="173" t="s">
        <v>83</v>
      </c>
      <c r="N4032" s="173" t="s">
        <v>67</v>
      </c>
      <c r="O4032" s="87">
        <v>73</v>
      </c>
      <c r="P4032" s="173" t="s">
        <v>26</v>
      </c>
      <c r="Q4032" s="1" t="s">
        <v>1339</v>
      </c>
      <c r="R4032" s="175">
        <v>40</v>
      </c>
      <c r="S4032">
        <v>20</v>
      </c>
    </row>
    <row r="4033" spans="1:19" x14ac:dyDescent="0.25">
      <c r="A4033" s="87">
        <v>2020</v>
      </c>
      <c r="B4033" s="87">
        <v>1</v>
      </c>
      <c r="C4033" s="173" t="s">
        <v>16</v>
      </c>
      <c r="D4033" s="173" t="s">
        <v>372</v>
      </c>
      <c r="E4033" s="173" t="s">
        <v>373</v>
      </c>
      <c r="F4033" s="173" t="s">
        <v>16</v>
      </c>
      <c r="G4033" s="87" t="b">
        <v>1</v>
      </c>
      <c r="H4033" s="87" t="b">
        <v>0</v>
      </c>
      <c r="I4033" s="87" t="b">
        <v>0</v>
      </c>
      <c r="J4033" s="173" t="s">
        <v>491</v>
      </c>
      <c r="K4033" s="174">
        <v>87096616003101</v>
      </c>
      <c r="L4033" s="173" t="s">
        <v>1014</v>
      </c>
      <c r="M4033" s="173" t="s">
        <v>83</v>
      </c>
      <c r="N4033" s="173" t="s">
        <v>67</v>
      </c>
      <c r="O4033" s="87">
        <v>73</v>
      </c>
      <c r="P4033" s="173" t="s">
        <v>26</v>
      </c>
      <c r="Q4033" s="1" t="s">
        <v>1339</v>
      </c>
      <c r="R4033" s="175">
        <v>160</v>
      </c>
      <c r="S4033">
        <v>80</v>
      </c>
    </row>
    <row r="4034" spans="1:19" x14ac:dyDescent="0.25">
      <c r="A4034" s="87">
        <v>2020</v>
      </c>
      <c r="B4034" s="87">
        <v>1</v>
      </c>
      <c r="C4034" s="173" t="s">
        <v>16</v>
      </c>
      <c r="D4034" s="173" t="s">
        <v>372</v>
      </c>
      <c r="E4034" s="173" t="s">
        <v>373</v>
      </c>
      <c r="F4034" s="173" t="s">
        <v>16</v>
      </c>
      <c r="G4034" s="87" t="b">
        <v>1</v>
      </c>
      <c r="H4034" s="87" t="b">
        <v>0</v>
      </c>
      <c r="I4034" s="87" t="b">
        <v>0</v>
      </c>
      <c r="J4034" s="173" t="s">
        <v>492</v>
      </c>
      <c r="K4034" s="174">
        <v>87547444000120</v>
      </c>
      <c r="L4034" s="173" t="s">
        <v>1017</v>
      </c>
      <c r="M4034" s="173" t="s">
        <v>1018</v>
      </c>
      <c r="N4034" s="173" t="s">
        <v>67</v>
      </c>
      <c r="O4034" s="87">
        <v>70</v>
      </c>
      <c r="P4034" s="173" t="s">
        <v>20</v>
      </c>
      <c r="Q4034" s="1" t="s">
        <v>1338</v>
      </c>
      <c r="R4034" s="175">
        <v>240</v>
      </c>
      <c r="S4034">
        <v>48</v>
      </c>
    </row>
    <row r="4035" spans="1:19" x14ac:dyDescent="0.25">
      <c r="A4035" s="87">
        <v>2020</v>
      </c>
      <c r="B4035" s="87">
        <v>1</v>
      </c>
      <c r="C4035" s="173" t="s">
        <v>16</v>
      </c>
      <c r="D4035" s="173" t="s">
        <v>372</v>
      </c>
      <c r="E4035" s="173" t="s">
        <v>373</v>
      </c>
      <c r="F4035" s="173" t="s">
        <v>16</v>
      </c>
      <c r="G4035" s="87" t="b">
        <v>1</v>
      </c>
      <c r="H4035" s="87" t="b">
        <v>0</v>
      </c>
      <c r="I4035" s="87" t="b">
        <v>0</v>
      </c>
      <c r="J4035" s="173" t="s">
        <v>470</v>
      </c>
      <c r="K4035" s="174">
        <v>87607149000626</v>
      </c>
      <c r="L4035" s="173" t="s">
        <v>1019</v>
      </c>
      <c r="M4035" s="173" t="s">
        <v>96</v>
      </c>
      <c r="N4035" s="173" t="s">
        <v>67</v>
      </c>
      <c r="O4035" s="87">
        <v>70</v>
      </c>
      <c r="P4035" s="173" t="s">
        <v>20</v>
      </c>
      <c r="Q4035" s="1" t="s">
        <v>1338</v>
      </c>
      <c r="R4035" s="175">
        <v>5</v>
      </c>
      <c r="S4035">
        <v>1</v>
      </c>
    </row>
    <row r="4036" spans="1:19" x14ac:dyDescent="0.25">
      <c r="A4036" s="87">
        <v>2020</v>
      </c>
      <c r="B4036" s="87">
        <v>1</v>
      </c>
      <c r="C4036" s="173" t="s">
        <v>16</v>
      </c>
      <c r="D4036" s="173" t="s">
        <v>372</v>
      </c>
      <c r="E4036" s="173" t="s">
        <v>373</v>
      </c>
      <c r="F4036" s="173" t="s">
        <v>16</v>
      </c>
      <c r="G4036" s="87" t="b">
        <v>1</v>
      </c>
      <c r="H4036" s="87" t="b">
        <v>0</v>
      </c>
      <c r="I4036" s="87" t="b">
        <v>0</v>
      </c>
      <c r="J4036" s="173" t="s">
        <v>451</v>
      </c>
      <c r="K4036" s="174">
        <v>87607149000626</v>
      </c>
      <c r="L4036" s="173" t="s">
        <v>1019</v>
      </c>
      <c r="M4036" s="173" t="s">
        <v>96</v>
      </c>
      <c r="N4036" s="173" t="s">
        <v>67</v>
      </c>
      <c r="O4036" s="87">
        <v>70</v>
      </c>
      <c r="P4036" s="173" t="s">
        <v>20</v>
      </c>
      <c r="Q4036" s="1" t="s">
        <v>1345</v>
      </c>
      <c r="R4036" s="175">
        <v>60</v>
      </c>
      <c r="S4036">
        <v>6</v>
      </c>
    </row>
    <row r="4037" spans="1:19" x14ac:dyDescent="0.25">
      <c r="A4037" s="87">
        <v>2020</v>
      </c>
      <c r="B4037" s="87">
        <v>1</v>
      </c>
      <c r="C4037" s="173" t="s">
        <v>16</v>
      </c>
      <c r="D4037" s="173" t="s">
        <v>372</v>
      </c>
      <c r="E4037" s="173" t="s">
        <v>373</v>
      </c>
      <c r="F4037" s="173" t="s">
        <v>16</v>
      </c>
      <c r="G4037" s="87" t="b">
        <v>1</v>
      </c>
      <c r="H4037" s="87" t="b">
        <v>0</v>
      </c>
      <c r="I4037" s="87" t="b">
        <v>0</v>
      </c>
      <c r="J4037" s="173" t="s">
        <v>451</v>
      </c>
      <c r="K4037" s="174">
        <v>87607149000626</v>
      </c>
      <c r="L4037" s="173" t="s">
        <v>1019</v>
      </c>
      <c r="M4037" s="173" t="s">
        <v>96</v>
      </c>
      <c r="N4037" s="173" t="s">
        <v>67</v>
      </c>
      <c r="O4037" s="87">
        <v>70</v>
      </c>
      <c r="P4037" s="173" t="s">
        <v>20</v>
      </c>
      <c r="Q4037" s="1" t="s">
        <v>1346</v>
      </c>
      <c r="R4037" s="175">
        <v>2.5</v>
      </c>
      <c r="S4037">
        <v>1</v>
      </c>
    </row>
    <row r="4038" spans="1:19" x14ac:dyDescent="0.25">
      <c r="A4038" s="87">
        <v>2020</v>
      </c>
      <c r="B4038" s="87">
        <v>1</v>
      </c>
      <c r="C4038" s="173" t="s">
        <v>16</v>
      </c>
      <c r="D4038" s="173" t="s">
        <v>372</v>
      </c>
      <c r="E4038" s="173" t="s">
        <v>373</v>
      </c>
      <c r="F4038" s="173" t="s">
        <v>16</v>
      </c>
      <c r="G4038" s="87" t="b">
        <v>1</v>
      </c>
      <c r="H4038" s="87" t="b">
        <v>0</v>
      </c>
      <c r="I4038" s="87" t="b">
        <v>0</v>
      </c>
      <c r="J4038" s="173" t="s">
        <v>451</v>
      </c>
      <c r="K4038" s="174">
        <v>87638334000505</v>
      </c>
      <c r="L4038" s="173" t="s">
        <v>1020</v>
      </c>
      <c r="M4038" s="173" t="s">
        <v>129</v>
      </c>
      <c r="N4038" s="173" t="s">
        <v>67</v>
      </c>
      <c r="O4038" s="87">
        <v>70</v>
      </c>
      <c r="P4038" s="173" t="s">
        <v>20</v>
      </c>
      <c r="Q4038" s="1" t="s">
        <v>1345</v>
      </c>
      <c r="R4038" s="175">
        <v>10</v>
      </c>
      <c r="S4038">
        <v>1</v>
      </c>
    </row>
    <row r="4039" spans="1:19" x14ac:dyDescent="0.25">
      <c r="A4039" s="87">
        <v>2020</v>
      </c>
      <c r="B4039" s="87">
        <v>1</v>
      </c>
      <c r="C4039" s="173" t="s">
        <v>16</v>
      </c>
      <c r="D4039" s="173" t="s">
        <v>372</v>
      </c>
      <c r="E4039" s="173" t="s">
        <v>373</v>
      </c>
      <c r="F4039" s="173" t="s">
        <v>16</v>
      </c>
      <c r="G4039" s="87" t="b">
        <v>1</v>
      </c>
      <c r="H4039" s="87" t="b">
        <v>0</v>
      </c>
      <c r="I4039" s="87" t="b">
        <v>0</v>
      </c>
      <c r="J4039" s="173" t="s">
        <v>492</v>
      </c>
      <c r="K4039" s="174">
        <v>87647756000296</v>
      </c>
      <c r="L4039" s="173" t="s">
        <v>1506</v>
      </c>
      <c r="M4039" s="173" t="s">
        <v>1507</v>
      </c>
      <c r="N4039" s="173" t="s">
        <v>67</v>
      </c>
      <c r="O4039" s="87">
        <v>70</v>
      </c>
      <c r="P4039" s="173" t="s">
        <v>20</v>
      </c>
      <c r="Q4039" s="1" t="s">
        <v>1338</v>
      </c>
      <c r="R4039" s="175">
        <v>75</v>
      </c>
      <c r="S4039">
        <v>15</v>
      </c>
    </row>
    <row r="4040" spans="1:19" x14ac:dyDescent="0.25">
      <c r="A4040" s="87">
        <v>2020</v>
      </c>
      <c r="B4040" s="87">
        <v>1</v>
      </c>
      <c r="C4040" s="173" t="s">
        <v>16</v>
      </c>
      <c r="D4040" s="173" t="s">
        <v>372</v>
      </c>
      <c r="E4040" s="173" t="s">
        <v>373</v>
      </c>
      <c r="F4040" s="173" t="s">
        <v>16</v>
      </c>
      <c r="G4040" s="87" t="b">
        <v>1</v>
      </c>
      <c r="H4040" s="87" t="b">
        <v>0</v>
      </c>
      <c r="I4040" s="87" t="b">
        <v>0</v>
      </c>
      <c r="J4040" s="173" t="s">
        <v>451</v>
      </c>
      <c r="K4040" s="174">
        <v>87827689002405</v>
      </c>
      <c r="L4040" s="173" t="s">
        <v>1021</v>
      </c>
      <c r="M4040" s="173" t="s">
        <v>66</v>
      </c>
      <c r="N4040" s="173" t="s">
        <v>67</v>
      </c>
      <c r="O4040" s="87">
        <v>70</v>
      </c>
      <c r="P4040" s="173" t="s">
        <v>20</v>
      </c>
      <c r="Q4040" s="1" t="s">
        <v>1345</v>
      </c>
      <c r="R4040" s="175">
        <v>90</v>
      </c>
      <c r="S4040">
        <v>9</v>
      </c>
    </row>
    <row r="4041" spans="1:19" x14ac:dyDescent="0.25">
      <c r="A4041" s="87">
        <v>2020</v>
      </c>
      <c r="B4041" s="87">
        <v>1</v>
      </c>
      <c r="C4041" s="173" t="s">
        <v>16</v>
      </c>
      <c r="D4041" s="173" t="s">
        <v>372</v>
      </c>
      <c r="E4041" s="173" t="s">
        <v>373</v>
      </c>
      <c r="F4041" s="173" t="s">
        <v>16</v>
      </c>
      <c r="G4041" s="87" t="b">
        <v>1</v>
      </c>
      <c r="H4041" s="87" t="b">
        <v>0</v>
      </c>
      <c r="I4041" s="87" t="b">
        <v>0</v>
      </c>
      <c r="J4041" s="173" t="s">
        <v>470</v>
      </c>
      <c r="K4041" s="174">
        <v>87827689002405</v>
      </c>
      <c r="L4041" s="173" t="s">
        <v>1021</v>
      </c>
      <c r="M4041" s="173" t="s">
        <v>66</v>
      </c>
      <c r="N4041" s="173" t="s">
        <v>67</v>
      </c>
      <c r="O4041" s="87">
        <v>73</v>
      </c>
      <c r="P4041" s="173" t="s">
        <v>26</v>
      </c>
      <c r="Q4041" s="1" t="s">
        <v>1339</v>
      </c>
      <c r="R4041" s="175">
        <v>24</v>
      </c>
      <c r="S4041">
        <v>12</v>
      </c>
    </row>
    <row r="4042" spans="1:19" x14ac:dyDescent="0.25">
      <c r="A4042" s="87">
        <v>2020</v>
      </c>
      <c r="B4042" s="87">
        <v>1</v>
      </c>
      <c r="C4042" s="173" t="s">
        <v>16</v>
      </c>
      <c r="D4042" s="173" t="s">
        <v>372</v>
      </c>
      <c r="E4042" s="173" t="s">
        <v>373</v>
      </c>
      <c r="F4042" s="173" t="s">
        <v>16</v>
      </c>
      <c r="G4042" s="87" t="b">
        <v>1</v>
      </c>
      <c r="H4042" s="87" t="b">
        <v>0</v>
      </c>
      <c r="I4042" s="87" t="b">
        <v>0</v>
      </c>
      <c r="J4042" s="173" t="s">
        <v>470</v>
      </c>
      <c r="K4042" s="174">
        <v>87827689002405</v>
      </c>
      <c r="L4042" s="173" t="s">
        <v>1021</v>
      </c>
      <c r="M4042" s="173" t="s">
        <v>66</v>
      </c>
      <c r="N4042" s="173" t="s">
        <v>67</v>
      </c>
      <c r="O4042" s="87">
        <v>73</v>
      </c>
      <c r="P4042" s="173" t="s">
        <v>26</v>
      </c>
      <c r="Q4042" s="1" t="s">
        <v>1340</v>
      </c>
      <c r="R4042" s="175">
        <v>2</v>
      </c>
      <c r="S4042">
        <v>2</v>
      </c>
    </row>
    <row r="4043" spans="1:19" x14ac:dyDescent="0.25">
      <c r="A4043" s="87">
        <v>2020</v>
      </c>
      <c r="B4043" s="87">
        <v>1</v>
      </c>
      <c r="C4043" s="173" t="s">
        <v>16</v>
      </c>
      <c r="D4043" s="173" t="s">
        <v>372</v>
      </c>
      <c r="E4043" s="173" t="s">
        <v>373</v>
      </c>
      <c r="F4043" s="173" t="s">
        <v>16</v>
      </c>
      <c r="G4043" s="87" t="b">
        <v>1</v>
      </c>
      <c r="H4043" s="87" t="b">
        <v>0</v>
      </c>
      <c r="I4043" s="87" t="b">
        <v>0</v>
      </c>
      <c r="J4043" s="173" t="s">
        <v>451</v>
      </c>
      <c r="K4043" s="174">
        <v>88625686002443</v>
      </c>
      <c r="L4043" s="173" t="s">
        <v>1023</v>
      </c>
      <c r="M4043" s="173" t="s">
        <v>83</v>
      </c>
      <c r="N4043" s="173" t="s">
        <v>67</v>
      </c>
      <c r="O4043" s="87">
        <v>64</v>
      </c>
      <c r="P4043" s="173" t="s">
        <v>25</v>
      </c>
      <c r="Q4043" s="1" t="s">
        <v>1344</v>
      </c>
      <c r="R4043" s="175">
        <v>14</v>
      </c>
      <c r="S4043">
        <v>14</v>
      </c>
    </row>
    <row r="4044" spans="1:19" x14ac:dyDescent="0.25">
      <c r="A4044" s="87">
        <v>2020</v>
      </c>
      <c r="B4044" s="87">
        <v>1</v>
      </c>
      <c r="C4044" s="173" t="s">
        <v>16</v>
      </c>
      <c r="D4044" s="173" t="s">
        <v>372</v>
      </c>
      <c r="E4044" s="173" t="s">
        <v>373</v>
      </c>
      <c r="F4044" s="173" t="s">
        <v>16</v>
      </c>
      <c r="G4044" s="87" t="b">
        <v>1</v>
      </c>
      <c r="H4044" s="87" t="b">
        <v>0</v>
      </c>
      <c r="I4044" s="87" t="b">
        <v>0</v>
      </c>
      <c r="J4044" s="173" t="s">
        <v>449</v>
      </c>
      <c r="K4044" s="174">
        <v>88630413000796</v>
      </c>
      <c r="L4044" s="173" t="s">
        <v>1024</v>
      </c>
      <c r="M4044" s="173" t="s">
        <v>83</v>
      </c>
      <c r="N4044" s="173" t="s">
        <v>67</v>
      </c>
      <c r="O4044" s="87">
        <v>64</v>
      </c>
      <c r="P4044" s="173" t="s">
        <v>25</v>
      </c>
      <c r="Q4044" s="1" t="s">
        <v>1344</v>
      </c>
      <c r="R4044" s="175">
        <v>5</v>
      </c>
      <c r="S4044">
        <v>5</v>
      </c>
    </row>
    <row r="4045" spans="1:19" x14ac:dyDescent="0.25">
      <c r="A4045" s="87">
        <v>2020</v>
      </c>
      <c r="B4045" s="87">
        <v>1</v>
      </c>
      <c r="C4045" s="173" t="s">
        <v>16</v>
      </c>
      <c r="D4045" s="173" t="s">
        <v>372</v>
      </c>
      <c r="E4045" s="173" t="s">
        <v>373</v>
      </c>
      <c r="F4045" s="173" t="s">
        <v>16</v>
      </c>
      <c r="G4045" s="87" t="b">
        <v>1</v>
      </c>
      <c r="H4045" s="87" t="b">
        <v>0</v>
      </c>
      <c r="I4045" s="87" t="b">
        <v>0</v>
      </c>
      <c r="J4045" s="173" t="s">
        <v>470</v>
      </c>
      <c r="K4045" s="174">
        <v>88645403001372</v>
      </c>
      <c r="L4045" s="173" t="s">
        <v>1025</v>
      </c>
      <c r="M4045" s="173" t="s">
        <v>66</v>
      </c>
      <c r="N4045" s="173" t="s">
        <v>67</v>
      </c>
      <c r="O4045" s="87">
        <v>73</v>
      </c>
      <c r="P4045" s="173" t="s">
        <v>26</v>
      </c>
      <c r="Q4045" s="1" t="s">
        <v>1342</v>
      </c>
      <c r="R4045" s="175">
        <v>20</v>
      </c>
      <c r="S4045">
        <v>5</v>
      </c>
    </row>
    <row r="4046" spans="1:19" x14ac:dyDescent="0.25">
      <c r="A4046" s="87">
        <v>2020</v>
      </c>
      <c r="B4046" s="87">
        <v>1</v>
      </c>
      <c r="C4046" s="173" t="s">
        <v>16</v>
      </c>
      <c r="D4046" s="173" t="s">
        <v>372</v>
      </c>
      <c r="E4046" s="173" t="s">
        <v>373</v>
      </c>
      <c r="F4046" s="173" t="s">
        <v>16</v>
      </c>
      <c r="G4046" s="87" t="b">
        <v>1</v>
      </c>
      <c r="H4046" s="87" t="b">
        <v>0</v>
      </c>
      <c r="I4046" s="87" t="b">
        <v>0</v>
      </c>
      <c r="J4046" s="173" t="s">
        <v>449</v>
      </c>
      <c r="K4046" s="174">
        <v>92815000000168</v>
      </c>
      <c r="L4046" s="173" t="s">
        <v>1033</v>
      </c>
      <c r="M4046" s="173" t="s">
        <v>83</v>
      </c>
      <c r="N4046" s="173" t="s">
        <v>67</v>
      </c>
      <c r="O4046" s="87">
        <v>62</v>
      </c>
      <c r="P4046" s="173" t="s">
        <v>27</v>
      </c>
      <c r="Q4046" s="1" t="s">
        <v>1343</v>
      </c>
      <c r="R4046" s="175">
        <v>21</v>
      </c>
      <c r="S4046">
        <v>21</v>
      </c>
    </row>
    <row r="4047" spans="1:19" x14ac:dyDescent="0.25">
      <c r="A4047" s="87">
        <v>2020</v>
      </c>
      <c r="B4047" s="87">
        <v>1</v>
      </c>
      <c r="C4047" s="173" t="s">
        <v>16</v>
      </c>
      <c r="D4047" s="173" t="s">
        <v>372</v>
      </c>
      <c r="E4047" s="173" t="s">
        <v>373</v>
      </c>
      <c r="F4047" s="173" t="s">
        <v>16</v>
      </c>
      <c r="G4047" s="87" t="b">
        <v>1</v>
      </c>
      <c r="H4047" s="87" t="b">
        <v>0</v>
      </c>
      <c r="I4047" s="87" t="b">
        <v>0</v>
      </c>
      <c r="J4047" s="173" t="s">
        <v>470</v>
      </c>
      <c r="K4047" s="174">
        <v>92815000000168</v>
      </c>
      <c r="L4047" s="173" t="s">
        <v>1033</v>
      </c>
      <c r="M4047" s="173" t="s">
        <v>83</v>
      </c>
      <c r="N4047" s="173" t="s">
        <v>67</v>
      </c>
      <c r="O4047" s="87">
        <v>73</v>
      </c>
      <c r="P4047" s="173" t="s">
        <v>26</v>
      </c>
      <c r="Q4047" s="1" t="s">
        <v>1339</v>
      </c>
      <c r="R4047" s="175">
        <v>20</v>
      </c>
      <c r="S4047">
        <v>10</v>
      </c>
    </row>
    <row r="4048" spans="1:19" x14ac:dyDescent="0.25">
      <c r="A4048" s="87">
        <v>2020</v>
      </c>
      <c r="B4048" s="87">
        <v>1</v>
      </c>
      <c r="C4048" s="173" t="s">
        <v>16</v>
      </c>
      <c r="D4048" s="173" t="s">
        <v>372</v>
      </c>
      <c r="E4048" s="173" t="s">
        <v>373</v>
      </c>
      <c r="F4048" s="173" t="s">
        <v>16</v>
      </c>
      <c r="G4048" s="87" t="b">
        <v>1</v>
      </c>
      <c r="H4048" s="87" t="b">
        <v>0</v>
      </c>
      <c r="I4048" s="87" t="b">
        <v>0</v>
      </c>
      <c r="J4048" s="173" t="s">
        <v>450</v>
      </c>
      <c r="K4048" s="174">
        <v>92815000000168</v>
      </c>
      <c r="L4048" s="173" t="s">
        <v>1033</v>
      </c>
      <c r="M4048" s="173" t="s">
        <v>83</v>
      </c>
      <c r="N4048" s="173" t="s">
        <v>67</v>
      </c>
      <c r="O4048" s="87">
        <v>73</v>
      </c>
      <c r="P4048" s="173" t="s">
        <v>26</v>
      </c>
      <c r="Q4048" s="1" t="s">
        <v>1340</v>
      </c>
      <c r="R4048" s="175">
        <v>5</v>
      </c>
      <c r="S4048">
        <v>5</v>
      </c>
    </row>
    <row r="4049" spans="1:19" x14ac:dyDescent="0.25">
      <c r="A4049" s="87">
        <v>2020</v>
      </c>
      <c r="B4049" s="87">
        <v>1</v>
      </c>
      <c r="C4049" s="173" t="s">
        <v>16</v>
      </c>
      <c r="D4049" s="173" t="s">
        <v>372</v>
      </c>
      <c r="E4049" s="173" t="s">
        <v>373</v>
      </c>
      <c r="F4049" s="173" t="s">
        <v>16</v>
      </c>
      <c r="G4049" s="87" t="b">
        <v>1</v>
      </c>
      <c r="H4049" s="87" t="b">
        <v>0</v>
      </c>
      <c r="I4049" s="87" t="b">
        <v>0</v>
      </c>
      <c r="J4049" s="173" t="s">
        <v>492</v>
      </c>
      <c r="K4049" s="174">
        <v>94831294000147</v>
      </c>
      <c r="L4049" s="173" t="s">
        <v>1036</v>
      </c>
      <c r="M4049" s="173" t="s">
        <v>83</v>
      </c>
      <c r="N4049" s="173" t="s">
        <v>67</v>
      </c>
      <c r="O4049" s="87">
        <v>70</v>
      </c>
      <c r="P4049" s="173" t="s">
        <v>20</v>
      </c>
      <c r="Q4049" s="1" t="s">
        <v>1338</v>
      </c>
      <c r="R4049" s="175">
        <v>30</v>
      </c>
      <c r="S4049">
        <v>6</v>
      </c>
    </row>
    <row r="4050" spans="1:19" x14ac:dyDescent="0.25">
      <c r="A4050" s="87">
        <v>2020</v>
      </c>
      <c r="B4050" s="87">
        <v>1</v>
      </c>
      <c r="C4050" s="173" t="s">
        <v>16</v>
      </c>
      <c r="D4050" s="173" t="s">
        <v>372</v>
      </c>
      <c r="E4050" s="173" t="s">
        <v>373</v>
      </c>
      <c r="F4050" s="173" t="s">
        <v>16</v>
      </c>
      <c r="G4050" s="87" t="b">
        <v>1</v>
      </c>
      <c r="H4050" s="87" t="b">
        <v>0</v>
      </c>
      <c r="I4050" s="87" t="b">
        <v>0</v>
      </c>
      <c r="J4050" s="173" t="s">
        <v>492</v>
      </c>
      <c r="K4050" s="174">
        <v>95610887000146</v>
      </c>
      <c r="L4050" s="173" t="s">
        <v>1037</v>
      </c>
      <c r="M4050" s="173" t="s">
        <v>87</v>
      </c>
      <c r="N4050" s="173" t="s">
        <v>67</v>
      </c>
      <c r="O4050" s="87">
        <v>70</v>
      </c>
      <c r="P4050" s="173" t="s">
        <v>20</v>
      </c>
      <c r="Q4050" s="1" t="s">
        <v>1338</v>
      </c>
      <c r="R4050" s="175">
        <v>400</v>
      </c>
      <c r="S4050">
        <v>80</v>
      </c>
    </row>
    <row r="4051" spans="1:19" x14ac:dyDescent="0.25">
      <c r="A4051" s="87">
        <v>2020</v>
      </c>
      <c r="B4051" s="87">
        <v>1</v>
      </c>
      <c r="C4051" s="173" t="s">
        <v>16</v>
      </c>
      <c r="D4051" s="173" t="s">
        <v>372</v>
      </c>
      <c r="E4051" s="173" t="s">
        <v>373</v>
      </c>
      <c r="F4051" s="173" t="s">
        <v>16</v>
      </c>
      <c r="G4051" s="87" t="b">
        <v>1</v>
      </c>
      <c r="H4051" s="87" t="b">
        <v>0</v>
      </c>
      <c r="I4051" s="87" t="b">
        <v>0</v>
      </c>
      <c r="J4051" s="173" t="s">
        <v>470</v>
      </c>
      <c r="K4051" s="174">
        <v>95610887000146</v>
      </c>
      <c r="L4051" s="173" t="s">
        <v>1037</v>
      </c>
      <c r="M4051" s="173" t="s">
        <v>87</v>
      </c>
      <c r="N4051" s="173" t="s">
        <v>67</v>
      </c>
      <c r="O4051" s="87">
        <v>73</v>
      </c>
      <c r="P4051" s="173" t="s">
        <v>26</v>
      </c>
      <c r="Q4051" s="1" t="s">
        <v>1339</v>
      </c>
      <c r="R4051" s="175">
        <v>2</v>
      </c>
      <c r="S4051">
        <v>1</v>
      </c>
    </row>
    <row r="4052" spans="1:19" x14ac:dyDescent="0.25">
      <c r="A4052" s="87">
        <v>2020</v>
      </c>
      <c r="B4052" s="87">
        <v>1</v>
      </c>
      <c r="C4052" s="173" t="s">
        <v>16</v>
      </c>
      <c r="D4052" s="173" t="s">
        <v>372</v>
      </c>
      <c r="E4052" s="173" t="s">
        <v>373</v>
      </c>
      <c r="F4052" s="173" t="s">
        <v>16</v>
      </c>
      <c r="G4052" s="87" t="b">
        <v>1</v>
      </c>
      <c r="H4052" s="87" t="b">
        <v>0</v>
      </c>
      <c r="I4052" s="87" t="b">
        <v>0</v>
      </c>
      <c r="J4052" s="173" t="s">
        <v>470</v>
      </c>
      <c r="K4052" s="174">
        <v>95610887000146</v>
      </c>
      <c r="L4052" s="173" t="s">
        <v>1037</v>
      </c>
      <c r="M4052" s="173" t="s">
        <v>87</v>
      </c>
      <c r="N4052" s="173" t="s">
        <v>67</v>
      </c>
      <c r="O4052" s="87">
        <v>73</v>
      </c>
      <c r="P4052" s="173" t="s">
        <v>26</v>
      </c>
      <c r="Q4052" s="1" t="s">
        <v>1342</v>
      </c>
      <c r="R4052" s="175">
        <v>24</v>
      </c>
      <c r="S4052">
        <v>6</v>
      </c>
    </row>
    <row r="4053" spans="1:19" x14ac:dyDescent="0.25">
      <c r="A4053" s="87">
        <v>2020</v>
      </c>
      <c r="B4053" s="87">
        <v>1</v>
      </c>
      <c r="C4053" s="173" t="s">
        <v>16</v>
      </c>
      <c r="D4053" s="173" t="s">
        <v>372</v>
      </c>
      <c r="E4053" s="173" t="s">
        <v>373</v>
      </c>
      <c r="F4053" s="173" t="s">
        <v>16</v>
      </c>
      <c r="G4053" s="87" t="b">
        <v>1</v>
      </c>
      <c r="H4053" s="87" t="b">
        <v>0</v>
      </c>
      <c r="I4053" s="87" t="b">
        <v>0</v>
      </c>
      <c r="J4053" s="173" t="s">
        <v>491</v>
      </c>
      <c r="K4053" s="174">
        <v>95610887000146</v>
      </c>
      <c r="L4053" s="173" t="s">
        <v>1037</v>
      </c>
      <c r="M4053" s="173" t="s">
        <v>87</v>
      </c>
      <c r="N4053" s="173" t="s">
        <v>67</v>
      </c>
      <c r="O4053" s="87">
        <v>73</v>
      </c>
      <c r="P4053" s="173" t="s">
        <v>26</v>
      </c>
      <c r="Q4053" s="1" t="s">
        <v>1339</v>
      </c>
      <c r="R4053" s="175">
        <v>4</v>
      </c>
      <c r="S4053">
        <v>2</v>
      </c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9E803-6553-4232-8A1C-EC613EB345BC}">
  <sheetPr codeName="Planilha20">
    <tabColor theme="4" tint="-0.249977111117893"/>
  </sheetPr>
  <dimension ref="A1:J889"/>
  <sheetViews>
    <sheetView showGridLines="0" workbookViewId="0">
      <pane ySplit="5" topLeftCell="A6" activePane="bottomLeft" state="frozen"/>
      <selection activeCell="G39" sqref="G39"/>
      <selection pane="bottomLeft" activeCell="D532" sqref="D532"/>
    </sheetView>
  </sheetViews>
  <sheetFormatPr defaultRowHeight="12.75" x14ac:dyDescent="0.2"/>
  <cols>
    <col min="1" max="1" width="11" style="11" bestFit="1" customWidth="1"/>
    <col min="2" max="2" width="11.140625" style="11" bestFit="1" customWidth="1"/>
    <col min="3" max="3" width="9.85546875" style="11" bestFit="1" customWidth="1"/>
    <col min="4" max="4" width="15.140625" style="11" bestFit="1" customWidth="1"/>
    <col min="5" max="5" width="68" style="11" bestFit="1" customWidth="1"/>
    <col min="6" max="6" width="18.5703125" style="11" bestFit="1" customWidth="1"/>
    <col min="7" max="7" width="14.42578125" style="11" bestFit="1" customWidth="1"/>
    <col min="8" max="8" width="14.85546875" style="11" bestFit="1" customWidth="1"/>
    <col min="9" max="9" width="17.42578125" style="11" bestFit="1" customWidth="1"/>
    <col min="10" max="10" width="15" style="11" bestFit="1" customWidth="1"/>
    <col min="11" max="11" width="12" style="11" bestFit="1" customWidth="1"/>
    <col min="12" max="12" width="67.5703125" style="11" bestFit="1" customWidth="1"/>
    <col min="13" max="13" width="18.5703125" style="11" bestFit="1" customWidth="1"/>
    <col min="14" max="14" width="6.140625" style="11" bestFit="1" customWidth="1"/>
    <col min="15" max="16384" width="9.140625" style="11"/>
  </cols>
  <sheetData>
    <row r="1" spans="1:7" s="153" customFormat="1" ht="18.75" x14ac:dyDescent="0.25">
      <c r="A1" s="48" t="s">
        <v>521</v>
      </c>
    </row>
    <row r="2" spans="1:7" s="3" customFormat="1" x14ac:dyDescent="0.25">
      <c r="F2" s="3" t="s">
        <v>266</v>
      </c>
      <c r="G2" s="103">
        <f>SUM(VIEW_IV_2019_VENDA_DETALHADA[BRL])</f>
        <v>171227248.60999998</v>
      </c>
    </row>
    <row r="3" spans="1:7" s="3" customFormat="1" x14ac:dyDescent="0.25">
      <c r="F3" s="63" t="s">
        <v>1324</v>
      </c>
      <c r="G3" s="168">
        <f>SUBTOTAL(9,VIEW_IV_2019_VENDA_DETALHADA[BRL])</f>
        <v>24397423.68</v>
      </c>
    </row>
    <row r="4" spans="1:7" s="3" customFormat="1" x14ac:dyDescent="0.25"/>
    <row r="5" spans="1:7" x14ac:dyDescent="0.2">
      <c r="A5" s="11" t="s">
        <v>2</v>
      </c>
      <c r="B5" s="11" t="s">
        <v>3</v>
      </c>
      <c r="C5" s="11" t="s">
        <v>4</v>
      </c>
      <c r="D5" s="11" t="s">
        <v>9</v>
      </c>
      <c r="E5" s="11" t="s">
        <v>436</v>
      </c>
      <c r="F5" s="11" t="s">
        <v>437</v>
      </c>
      <c r="G5" s="11" t="s">
        <v>438</v>
      </c>
    </row>
    <row r="6" spans="1:7" hidden="1" x14ac:dyDescent="0.2">
      <c r="A6" s="7" t="s">
        <v>16</v>
      </c>
      <c r="B6" s="7" t="s">
        <v>17</v>
      </c>
      <c r="C6" s="7" t="s">
        <v>18</v>
      </c>
      <c r="D6" s="154">
        <v>88317000121</v>
      </c>
      <c r="E6" s="47" t="s">
        <v>439</v>
      </c>
      <c r="F6" s="47" t="s">
        <v>440</v>
      </c>
      <c r="G6" s="155">
        <v>39454.839999999997</v>
      </c>
    </row>
    <row r="7" spans="1:7" hidden="1" x14ac:dyDescent="0.2">
      <c r="A7" s="7" t="s">
        <v>16</v>
      </c>
      <c r="B7" s="7" t="s">
        <v>17</v>
      </c>
      <c r="C7" s="7" t="s">
        <v>18</v>
      </c>
      <c r="D7" s="154">
        <v>88317000121</v>
      </c>
      <c r="E7" s="47" t="s">
        <v>439</v>
      </c>
      <c r="F7" s="47" t="s">
        <v>418</v>
      </c>
      <c r="G7" s="155">
        <v>28869.599999999999</v>
      </c>
    </row>
    <row r="8" spans="1:7" hidden="1" x14ac:dyDescent="0.2">
      <c r="A8" s="7" t="s">
        <v>16</v>
      </c>
      <c r="B8" s="7" t="s">
        <v>17</v>
      </c>
      <c r="C8" s="7" t="s">
        <v>18</v>
      </c>
      <c r="D8" s="154">
        <v>394544020100</v>
      </c>
      <c r="E8" s="47" t="s">
        <v>441</v>
      </c>
      <c r="F8" s="47" t="s">
        <v>417</v>
      </c>
      <c r="G8" s="155">
        <v>137824</v>
      </c>
    </row>
    <row r="9" spans="1:7" hidden="1" x14ac:dyDescent="0.2">
      <c r="A9" s="7" t="s">
        <v>16</v>
      </c>
      <c r="B9" s="7" t="s">
        <v>17</v>
      </c>
      <c r="C9" s="7" t="s">
        <v>18</v>
      </c>
      <c r="D9" s="154">
        <v>394544020291</v>
      </c>
      <c r="E9" s="47" t="s">
        <v>442</v>
      </c>
      <c r="F9" s="47" t="s">
        <v>417</v>
      </c>
      <c r="G9" s="155">
        <v>207680</v>
      </c>
    </row>
    <row r="10" spans="1:7" hidden="1" x14ac:dyDescent="0.2">
      <c r="A10" s="7" t="s">
        <v>16</v>
      </c>
      <c r="B10" s="7" t="s">
        <v>17</v>
      </c>
      <c r="C10" s="7" t="s">
        <v>18</v>
      </c>
      <c r="D10" s="154">
        <v>394544020291</v>
      </c>
      <c r="E10" s="47" t="s">
        <v>442</v>
      </c>
      <c r="F10" s="47" t="s">
        <v>440</v>
      </c>
      <c r="G10" s="155">
        <v>50880</v>
      </c>
    </row>
    <row r="11" spans="1:7" hidden="1" x14ac:dyDescent="0.2">
      <c r="A11" s="7" t="s">
        <v>16</v>
      </c>
      <c r="B11" s="7" t="s">
        <v>17</v>
      </c>
      <c r="C11" s="7" t="s">
        <v>18</v>
      </c>
      <c r="D11" s="154">
        <v>394544020372</v>
      </c>
      <c r="E11" s="47" t="s">
        <v>443</v>
      </c>
      <c r="F11" s="47" t="s">
        <v>417</v>
      </c>
      <c r="G11" s="155">
        <v>48000</v>
      </c>
    </row>
    <row r="12" spans="1:7" hidden="1" x14ac:dyDescent="0.2">
      <c r="A12" s="7" t="s">
        <v>16</v>
      </c>
      <c r="B12" s="7" t="s">
        <v>17</v>
      </c>
      <c r="C12" s="7" t="s">
        <v>18</v>
      </c>
      <c r="D12" s="154">
        <v>394544020372</v>
      </c>
      <c r="E12" s="47" t="s">
        <v>443</v>
      </c>
      <c r="F12" s="47" t="s">
        <v>440</v>
      </c>
      <c r="G12" s="155">
        <v>67056.600000000006</v>
      </c>
    </row>
    <row r="13" spans="1:7" hidden="1" x14ac:dyDescent="0.2">
      <c r="A13" s="7" t="s">
        <v>16</v>
      </c>
      <c r="B13" s="7" t="s">
        <v>17</v>
      </c>
      <c r="C13" s="7" t="s">
        <v>18</v>
      </c>
      <c r="D13" s="154">
        <v>394544020453</v>
      </c>
      <c r="E13" s="47" t="s">
        <v>444</v>
      </c>
      <c r="F13" s="47" t="s">
        <v>440</v>
      </c>
      <c r="G13" s="155">
        <v>103164</v>
      </c>
    </row>
    <row r="14" spans="1:7" hidden="1" x14ac:dyDescent="0.2">
      <c r="A14" s="7" t="s">
        <v>16</v>
      </c>
      <c r="B14" s="7" t="s">
        <v>17</v>
      </c>
      <c r="C14" s="7" t="s">
        <v>18</v>
      </c>
      <c r="D14" s="154">
        <v>394544021000</v>
      </c>
      <c r="E14" s="47" t="s">
        <v>445</v>
      </c>
      <c r="F14" s="47" t="s">
        <v>417</v>
      </c>
      <c r="G14" s="155">
        <v>14160</v>
      </c>
    </row>
    <row r="15" spans="1:7" hidden="1" x14ac:dyDescent="0.2">
      <c r="A15" s="7" t="s">
        <v>16</v>
      </c>
      <c r="B15" s="7" t="s">
        <v>17</v>
      </c>
      <c r="C15" s="7" t="s">
        <v>18</v>
      </c>
      <c r="D15" s="154">
        <v>394544021000</v>
      </c>
      <c r="E15" s="47" t="s">
        <v>445</v>
      </c>
      <c r="F15" s="47" t="s">
        <v>440</v>
      </c>
      <c r="G15" s="155">
        <v>25791</v>
      </c>
    </row>
    <row r="16" spans="1:7" hidden="1" x14ac:dyDescent="0.2">
      <c r="A16" s="7" t="s">
        <v>16</v>
      </c>
      <c r="B16" s="7" t="s">
        <v>17</v>
      </c>
      <c r="C16" s="7" t="s">
        <v>18</v>
      </c>
      <c r="D16" s="154">
        <v>394544021182</v>
      </c>
      <c r="E16" s="47" t="s">
        <v>446</v>
      </c>
      <c r="F16" s="47" t="s">
        <v>417</v>
      </c>
      <c r="G16" s="155">
        <v>276000</v>
      </c>
    </row>
    <row r="17" spans="1:7" hidden="1" x14ac:dyDescent="0.2">
      <c r="A17" s="7" t="s">
        <v>16</v>
      </c>
      <c r="B17" s="7" t="s">
        <v>17</v>
      </c>
      <c r="C17" s="7" t="s">
        <v>18</v>
      </c>
      <c r="D17" s="154">
        <v>394544021344</v>
      </c>
      <c r="E17" s="47" t="s">
        <v>447</v>
      </c>
      <c r="F17" s="47" t="s">
        <v>417</v>
      </c>
      <c r="G17" s="155">
        <v>29866.720000000001</v>
      </c>
    </row>
    <row r="18" spans="1:7" hidden="1" x14ac:dyDescent="0.2">
      <c r="A18" s="7" t="s">
        <v>16</v>
      </c>
      <c r="B18" s="7" t="s">
        <v>17</v>
      </c>
      <c r="C18" s="7" t="s">
        <v>18</v>
      </c>
      <c r="D18" s="154">
        <v>394544021344</v>
      </c>
      <c r="E18" s="47" t="s">
        <v>447</v>
      </c>
      <c r="F18" s="47" t="s">
        <v>440</v>
      </c>
      <c r="G18" s="155">
        <v>312906.8</v>
      </c>
    </row>
    <row r="19" spans="1:7" hidden="1" x14ac:dyDescent="0.2">
      <c r="A19" s="7" t="s">
        <v>16</v>
      </c>
      <c r="B19" s="7" t="s">
        <v>17</v>
      </c>
      <c r="C19" s="7" t="s">
        <v>18</v>
      </c>
      <c r="D19" s="154">
        <v>1479465000130</v>
      </c>
      <c r="E19" s="47" t="s">
        <v>448</v>
      </c>
      <c r="F19" s="47" t="s">
        <v>440</v>
      </c>
      <c r="G19" s="155">
        <v>540058.63</v>
      </c>
    </row>
    <row r="20" spans="1:7" hidden="1" x14ac:dyDescent="0.2">
      <c r="A20" s="7" t="s">
        <v>16</v>
      </c>
      <c r="B20" s="7" t="s">
        <v>17</v>
      </c>
      <c r="C20" s="7" t="s">
        <v>18</v>
      </c>
      <c r="D20" s="154">
        <v>2873606000167</v>
      </c>
      <c r="E20" s="47" t="s">
        <v>449</v>
      </c>
      <c r="F20" s="47" t="s">
        <v>440</v>
      </c>
      <c r="G20" s="155">
        <v>319755.27</v>
      </c>
    </row>
    <row r="21" spans="1:7" hidden="1" x14ac:dyDescent="0.2">
      <c r="A21" s="7" t="s">
        <v>16</v>
      </c>
      <c r="B21" s="7" t="s">
        <v>17</v>
      </c>
      <c r="C21" s="7" t="s">
        <v>18</v>
      </c>
      <c r="D21" s="154">
        <v>4027894000164</v>
      </c>
      <c r="E21" s="47" t="s">
        <v>450</v>
      </c>
      <c r="F21" s="47" t="s">
        <v>440</v>
      </c>
      <c r="G21" s="155">
        <v>45061.37</v>
      </c>
    </row>
    <row r="22" spans="1:7" hidden="1" x14ac:dyDescent="0.2">
      <c r="A22" s="7" t="s">
        <v>16</v>
      </c>
      <c r="B22" s="7" t="s">
        <v>17</v>
      </c>
      <c r="C22" s="7" t="s">
        <v>18</v>
      </c>
      <c r="D22" s="154">
        <v>4027894000326</v>
      </c>
      <c r="E22" s="47" t="s">
        <v>450</v>
      </c>
      <c r="F22" s="47" t="s">
        <v>440</v>
      </c>
      <c r="G22" s="155">
        <v>967412.94</v>
      </c>
    </row>
    <row r="23" spans="1:7" hidden="1" x14ac:dyDescent="0.2">
      <c r="A23" s="7" t="s">
        <v>16</v>
      </c>
      <c r="B23" s="7" t="s">
        <v>17</v>
      </c>
      <c r="C23" s="7" t="s">
        <v>18</v>
      </c>
      <c r="D23" s="154">
        <v>4307650001298</v>
      </c>
      <c r="E23" s="47" t="s">
        <v>451</v>
      </c>
      <c r="F23" s="47" t="s">
        <v>440</v>
      </c>
      <c r="G23" s="155">
        <v>756409.09</v>
      </c>
    </row>
    <row r="24" spans="1:7" hidden="1" x14ac:dyDescent="0.2">
      <c r="A24" s="7" t="s">
        <v>16</v>
      </c>
      <c r="B24" s="7" t="s">
        <v>17</v>
      </c>
      <c r="C24" s="7" t="s">
        <v>18</v>
      </c>
      <c r="D24" s="154">
        <v>4307650001298</v>
      </c>
      <c r="E24" s="47" t="s">
        <v>451</v>
      </c>
      <c r="F24" s="47" t="s">
        <v>418</v>
      </c>
      <c r="G24" s="155">
        <v>121974.04</v>
      </c>
    </row>
    <row r="25" spans="1:7" hidden="1" x14ac:dyDescent="0.2">
      <c r="A25" s="7" t="s">
        <v>16</v>
      </c>
      <c r="B25" s="7" t="s">
        <v>17</v>
      </c>
      <c r="C25" s="7" t="s">
        <v>18</v>
      </c>
      <c r="D25" s="154">
        <v>4355394000151</v>
      </c>
      <c r="E25" s="47" t="s">
        <v>452</v>
      </c>
      <c r="F25" s="47" t="s">
        <v>417</v>
      </c>
      <c r="G25" s="155">
        <v>123002.75</v>
      </c>
    </row>
    <row r="26" spans="1:7" hidden="1" x14ac:dyDescent="0.2">
      <c r="A26" s="7" t="s">
        <v>16</v>
      </c>
      <c r="B26" s="7" t="s">
        <v>17</v>
      </c>
      <c r="C26" s="7" t="s">
        <v>18</v>
      </c>
      <c r="D26" s="154">
        <v>4355394000151</v>
      </c>
      <c r="E26" s="47" t="s">
        <v>452</v>
      </c>
      <c r="F26" s="47" t="s">
        <v>440</v>
      </c>
      <c r="G26" s="155">
        <v>564689.51</v>
      </c>
    </row>
    <row r="27" spans="1:7" hidden="1" x14ac:dyDescent="0.2">
      <c r="A27" s="7" t="s">
        <v>16</v>
      </c>
      <c r="B27" s="7" t="s">
        <v>17</v>
      </c>
      <c r="C27" s="7" t="s">
        <v>18</v>
      </c>
      <c r="D27" s="154">
        <v>4355394000151</v>
      </c>
      <c r="E27" s="47" t="s">
        <v>452</v>
      </c>
      <c r="F27" s="47" t="s">
        <v>418</v>
      </c>
      <c r="G27" s="155">
        <v>674987.07</v>
      </c>
    </row>
    <row r="28" spans="1:7" hidden="1" x14ac:dyDescent="0.2">
      <c r="A28" s="7" t="s">
        <v>16</v>
      </c>
      <c r="B28" s="7" t="s">
        <v>17</v>
      </c>
      <c r="C28" s="7" t="s">
        <v>18</v>
      </c>
      <c r="D28" s="154">
        <v>5268490000125</v>
      </c>
      <c r="E28" s="47" t="s">
        <v>453</v>
      </c>
      <c r="F28" s="47" t="s">
        <v>417</v>
      </c>
      <c r="G28" s="155">
        <v>399721.79</v>
      </c>
    </row>
    <row r="29" spans="1:7" hidden="1" x14ac:dyDescent="0.2">
      <c r="A29" s="7" t="s">
        <v>16</v>
      </c>
      <c r="B29" s="7" t="s">
        <v>17</v>
      </c>
      <c r="C29" s="7" t="s">
        <v>18</v>
      </c>
      <c r="D29" s="154">
        <v>5268490000125</v>
      </c>
      <c r="E29" s="47" t="s">
        <v>453</v>
      </c>
      <c r="F29" s="47" t="s">
        <v>440</v>
      </c>
      <c r="G29" s="155">
        <v>336846.3</v>
      </c>
    </row>
    <row r="30" spans="1:7" hidden="1" x14ac:dyDescent="0.2">
      <c r="A30" s="7" t="s">
        <v>16</v>
      </c>
      <c r="B30" s="7" t="s">
        <v>17</v>
      </c>
      <c r="C30" s="7" t="s">
        <v>18</v>
      </c>
      <c r="D30" s="154">
        <v>5816630000152</v>
      </c>
      <c r="E30" s="47" t="s">
        <v>454</v>
      </c>
      <c r="F30" s="47" t="s">
        <v>440</v>
      </c>
      <c r="G30" s="155">
        <v>29420.400000000001</v>
      </c>
    </row>
    <row r="31" spans="1:7" hidden="1" x14ac:dyDescent="0.2">
      <c r="A31" s="7" t="s">
        <v>16</v>
      </c>
      <c r="B31" s="7" t="s">
        <v>17</v>
      </c>
      <c r="C31" s="7" t="s">
        <v>18</v>
      </c>
      <c r="D31" s="154">
        <v>6081203000136</v>
      </c>
      <c r="E31" s="47" t="s">
        <v>451</v>
      </c>
      <c r="F31" s="47" t="s">
        <v>440</v>
      </c>
      <c r="G31" s="155">
        <v>304505.59999999998</v>
      </c>
    </row>
    <row r="32" spans="1:7" hidden="1" x14ac:dyDescent="0.2">
      <c r="A32" s="7" t="s">
        <v>16</v>
      </c>
      <c r="B32" s="7" t="s">
        <v>17</v>
      </c>
      <c r="C32" s="7" t="s">
        <v>18</v>
      </c>
      <c r="D32" s="154">
        <v>6081203000136</v>
      </c>
      <c r="E32" s="47" t="s">
        <v>451</v>
      </c>
      <c r="F32" s="47" t="s">
        <v>418</v>
      </c>
      <c r="G32" s="155">
        <v>12991.32</v>
      </c>
    </row>
    <row r="33" spans="1:7" hidden="1" x14ac:dyDescent="0.2">
      <c r="A33" s="7" t="s">
        <v>16</v>
      </c>
      <c r="B33" s="7" t="s">
        <v>17</v>
      </c>
      <c r="C33" s="7" t="s">
        <v>18</v>
      </c>
      <c r="D33" s="154">
        <v>6234797000178</v>
      </c>
      <c r="E33" s="47" t="s">
        <v>455</v>
      </c>
      <c r="F33" s="47" t="s">
        <v>440</v>
      </c>
      <c r="G33" s="155">
        <v>218524.46</v>
      </c>
    </row>
    <row r="34" spans="1:7" hidden="1" x14ac:dyDescent="0.2">
      <c r="A34" s="7" t="s">
        <v>16</v>
      </c>
      <c r="B34" s="7" t="s">
        <v>17</v>
      </c>
      <c r="C34" s="7" t="s">
        <v>18</v>
      </c>
      <c r="D34" s="154">
        <v>6234797000178</v>
      </c>
      <c r="E34" s="47" t="s">
        <v>455</v>
      </c>
      <c r="F34" s="47" t="s">
        <v>418</v>
      </c>
      <c r="G34" s="155">
        <v>74814.5</v>
      </c>
    </row>
    <row r="35" spans="1:7" hidden="1" x14ac:dyDescent="0.2">
      <c r="A35" s="7" t="s">
        <v>16</v>
      </c>
      <c r="B35" s="7" t="s">
        <v>17</v>
      </c>
      <c r="C35" s="7" t="s">
        <v>18</v>
      </c>
      <c r="D35" s="154">
        <v>7224991001530</v>
      </c>
      <c r="E35" s="47" t="s">
        <v>456</v>
      </c>
      <c r="F35" s="47" t="s">
        <v>440</v>
      </c>
      <c r="G35" s="155">
        <v>4320.2299999999996</v>
      </c>
    </row>
    <row r="36" spans="1:7" hidden="1" x14ac:dyDescent="0.2">
      <c r="A36" s="7" t="s">
        <v>16</v>
      </c>
      <c r="B36" s="7" t="s">
        <v>17</v>
      </c>
      <c r="C36" s="7" t="s">
        <v>18</v>
      </c>
      <c r="D36" s="154">
        <v>7224991001530</v>
      </c>
      <c r="E36" s="47" t="s">
        <v>456</v>
      </c>
      <c r="F36" s="47" t="s">
        <v>418</v>
      </c>
      <c r="G36" s="155">
        <v>31686.14</v>
      </c>
    </row>
    <row r="37" spans="1:7" hidden="1" x14ac:dyDescent="0.2">
      <c r="A37" s="7" t="s">
        <v>16</v>
      </c>
      <c r="B37" s="7" t="s">
        <v>17</v>
      </c>
      <c r="C37" s="7" t="s">
        <v>18</v>
      </c>
      <c r="D37" s="154">
        <v>7272636000212</v>
      </c>
      <c r="E37" s="47" t="s">
        <v>457</v>
      </c>
      <c r="F37" s="47" t="s">
        <v>440</v>
      </c>
      <c r="G37" s="155">
        <v>39500.71</v>
      </c>
    </row>
    <row r="38" spans="1:7" hidden="1" x14ac:dyDescent="0.2">
      <c r="A38" s="7" t="s">
        <v>16</v>
      </c>
      <c r="B38" s="7" t="s">
        <v>17</v>
      </c>
      <c r="C38" s="7" t="s">
        <v>18</v>
      </c>
      <c r="D38" s="154">
        <v>7484373000124</v>
      </c>
      <c r="E38" s="47" t="s">
        <v>458</v>
      </c>
      <c r="F38" s="47" t="s">
        <v>417</v>
      </c>
      <c r="G38" s="155">
        <v>163569.01</v>
      </c>
    </row>
    <row r="39" spans="1:7" hidden="1" x14ac:dyDescent="0.2">
      <c r="A39" s="7" t="s">
        <v>16</v>
      </c>
      <c r="B39" s="7" t="s">
        <v>17</v>
      </c>
      <c r="C39" s="7" t="s">
        <v>18</v>
      </c>
      <c r="D39" s="154">
        <v>7484373000124</v>
      </c>
      <c r="E39" s="47" t="s">
        <v>458</v>
      </c>
      <c r="F39" s="47" t="s">
        <v>418</v>
      </c>
      <c r="G39" s="155">
        <v>88650.07</v>
      </c>
    </row>
    <row r="40" spans="1:7" hidden="1" x14ac:dyDescent="0.2">
      <c r="A40" s="7" t="s">
        <v>16</v>
      </c>
      <c r="B40" s="7" t="s">
        <v>17</v>
      </c>
      <c r="C40" s="7" t="s">
        <v>18</v>
      </c>
      <c r="D40" s="154">
        <v>7734165000136</v>
      </c>
      <c r="E40" s="47" t="s">
        <v>459</v>
      </c>
      <c r="F40" s="47" t="s">
        <v>440</v>
      </c>
      <c r="G40" s="155">
        <v>614961.56000000006</v>
      </c>
    </row>
    <row r="41" spans="1:7" hidden="1" x14ac:dyDescent="0.2">
      <c r="A41" s="7" t="s">
        <v>16</v>
      </c>
      <c r="B41" s="7" t="s">
        <v>17</v>
      </c>
      <c r="C41" s="7" t="s">
        <v>18</v>
      </c>
      <c r="D41" s="154">
        <v>7812105000194</v>
      </c>
      <c r="E41" s="47" t="s">
        <v>460</v>
      </c>
      <c r="F41" s="47" t="s">
        <v>440</v>
      </c>
      <c r="G41" s="155">
        <v>317153.93</v>
      </c>
    </row>
    <row r="42" spans="1:7" hidden="1" x14ac:dyDescent="0.2">
      <c r="A42" s="7" t="s">
        <v>16</v>
      </c>
      <c r="B42" s="7" t="s">
        <v>17</v>
      </c>
      <c r="C42" s="7" t="s">
        <v>18</v>
      </c>
      <c r="D42" s="154">
        <v>8563277000134</v>
      </c>
      <c r="E42" s="47" t="s">
        <v>461</v>
      </c>
      <c r="F42" s="47" t="s">
        <v>418</v>
      </c>
      <c r="G42" s="155">
        <v>14962.91</v>
      </c>
    </row>
    <row r="43" spans="1:7" hidden="1" x14ac:dyDescent="0.2">
      <c r="A43" s="7" t="s">
        <v>16</v>
      </c>
      <c r="B43" s="7" t="s">
        <v>17</v>
      </c>
      <c r="C43" s="7" t="s">
        <v>18</v>
      </c>
      <c r="D43" s="154">
        <v>8597121000174</v>
      </c>
      <c r="E43" s="47" t="s">
        <v>462</v>
      </c>
      <c r="F43" s="47" t="s">
        <v>440</v>
      </c>
      <c r="G43" s="155">
        <v>4544471.97</v>
      </c>
    </row>
    <row r="44" spans="1:7" hidden="1" x14ac:dyDescent="0.2">
      <c r="A44" s="7" t="s">
        <v>16</v>
      </c>
      <c r="B44" s="7" t="s">
        <v>17</v>
      </c>
      <c r="C44" s="7" t="s">
        <v>18</v>
      </c>
      <c r="D44" s="154">
        <v>8618022000121</v>
      </c>
      <c r="E44" s="47" t="s">
        <v>463</v>
      </c>
      <c r="F44" s="47" t="s">
        <v>417</v>
      </c>
      <c r="G44" s="155">
        <v>560914.75</v>
      </c>
    </row>
    <row r="45" spans="1:7" hidden="1" x14ac:dyDescent="0.2">
      <c r="A45" s="7" t="s">
        <v>16</v>
      </c>
      <c r="B45" s="7" t="s">
        <v>17</v>
      </c>
      <c r="C45" s="7" t="s">
        <v>18</v>
      </c>
      <c r="D45" s="154">
        <v>8618022000121</v>
      </c>
      <c r="E45" s="47" t="s">
        <v>463</v>
      </c>
      <c r="F45" s="47" t="s">
        <v>440</v>
      </c>
      <c r="G45" s="155">
        <v>872367.9</v>
      </c>
    </row>
    <row r="46" spans="1:7" hidden="1" x14ac:dyDescent="0.2">
      <c r="A46" s="7" t="s">
        <v>16</v>
      </c>
      <c r="B46" s="7" t="s">
        <v>17</v>
      </c>
      <c r="C46" s="7" t="s">
        <v>18</v>
      </c>
      <c r="D46" s="154">
        <v>8618022000121</v>
      </c>
      <c r="E46" s="47" t="s">
        <v>463</v>
      </c>
      <c r="F46" s="47" t="s">
        <v>418</v>
      </c>
      <c r="G46" s="155">
        <v>556267.81999999995</v>
      </c>
    </row>
    <row r="47" spans="1:7" hidden="1" x14ac:dyDescent="0.2">
      <c r="A47" s="7" t="s">
        <v>16</v>
      </c>
      <c r="B47" s="7" t="s">
        <v>17</v>
      </c>
      <c r="C47" s="7" t="s">
        <v>18</v>
      </c>
      <c r="D47" s="154">
        <v>8719794000150</v>
      </c>
      <c r="E47" s="47" t="s">
        <v>460</v>
      </c>
      <c r="F47" s="47" t="s">
        <v>418</v>
      </c>
      <c r="G47" s="155">
        <v>39607.699999999997</v>
      </c>
    </row>
    <row r="48" spans="1:7" hidden="1" x14ac:dyDescent="0.2">
      <c r="A48" s="7" t="s">
        <v>16</v>
      </c>
      <c r="B48" s="7" t="s">
        <v>17</v>
      </c>
      <c r="C48" s="7" t="s">
        <v>18</v>
      </c>
      <c r="D48" s="154">
        <v>9053134000226</v>
      </c>
      <c r="E48" s="47" t="s">
        <v>464</v>
      </c>
      <c r="F48" s="47" t="s">
        <v>417</v>
      </c>
      <c r="G48" s="155">
        <v>537513.76</v>
      </c>
    </row>
    <row r="49" spans="1:7" hidden="1" x14ac:dyDescent="0.2">
      <c r="A49" s="7" t="s">
        <v>16</v>
      </c>
      <c r="B49" s="7" t="s">
        <v>17</v>
      </c>
      <c r="C49" s="7" t="s">
        <v>18</v>
      </c>
      <c r="D49" s="154">
        <v>9053134000226</v>
      </c>
      <c r="E49" s="47" t="s">
        <v>464</v>
      </c>
      <c r="F49" s="47" t="s">
        <v>440</v>
      </c>
      <c r="G49" s="155">
        <v>263076.8</v>
      </c>
    </row>
    <row r="50" spans="1:7" hidden="1" x14ac:dyDescent="0.2">
      <c r="A50" s="7" t="s">
        <v>16</v>
      </c>
      <c r="B50" s="7" t="s">
        <v>17</v>
      </c>
      <c r="C50" s="7" t="s">
        <v>18</v>
      </c>
      <c r="D50" s="154">
        <v>9053134000226</v>
      </c>
      <c r="E50" s="47" t="s">
        <v>464</v>
      </c>
      <c r="F50" s="47" t="s">
        <v>418</v>
      </c>
      <c r="G50" s="155">
        <v>230023.84</v>
      </c>
    </row>
    <row r="51" spans="1:7" hidden="1" x14ac:dyDescent="0.2">
      <c r="A51" s="7" t="s">
        <v>16</v>
      </c>
      <c r="B51" s="7" t="s">
        <v>17</v>
      </c>
      <c r="C51" s="7" t="s">
        <v>18</v>
      </c>
      <c r="D51" s="154">
        <v>9613374000157</v>
      </c>
      <c r="E51" s="47" t="s">
        <v>465</v>
      </c>
      <c r="F51" s="47" t="s">
        <v>440</v>
      </c>
      <c r="G51" s="155">
        <v>476253.24</v>
      </c>
    </row>
    <row r="52" spans="1:7" hidden="1" x14ac:dyDescent="0.2">
      <c r="A52" s="7" t="s">
        <v>16</v>
      </c>
      <c r="B52" s="7" t="s">
        <v>17</v>
      </c>
      <c r="C52" s="7" t="s">
        <v>18</v>
      </c>
      <c r="D52" s="154">
        <v>9660958000345</v>
      </c>
      <c r="E52" s="47" t="s">
        <v>1512</v>
      </c>
      <c r="F52" s="47" t="s">
        <v>417</v>
      </c>
      <c r="G52" s="155">
        <v>91148.18</v>
      </c>
    </row>
    <row r="53" spans="1:7" hidden="1" x14ac:dyDescent="0.2">
      <c r="A53" s="7" t="s">
        <v>16</v>
      </c>
      <c r="B53" s="7" t="s">
        <v>17</v>
      </c>
      <c r="C53" s="7" t="s">
        <v>18</v>
      </c>
      <c r="D53" s="154">
        <v>9660958000345</v>
      </c>
      <c r="E53" s="47" t="s">
        <v>1512</v>
      </c>
      <c r="F53" s="47" t="s">
        <v>440</v>
      </c>
      <c r="G53" s="155">
        <v>301776.48</v>
      </c>
    </row>
    <row r="54" spans="1:7" hidden="1" x14ac:dyDescent="0.2">
      <c r="A54" s="7" t="s">
        <v>16</v>
      </c>
      <c r="B54" s="7" t="s">
        <v>17</v>
      </c>
      <c r="C54" s="7" t="s">
        <v>18</v>
      </c>
      <c r="D54" s="154">
        <v>9660958000345</v>
      </c>
      <c r="E54" s="47" t="s">
        <v>1512</v>
      </c>
      <c r="F54" s="47" t="s">
        <v>418</v>
      </c>
      <c r="G54" s="155">
        <v>167683.16</v>
      </c>
    </row>
    <row r="55" spans="1:7" hidden="1" x14ac:dyDescent="0.2">
      <c r="A55" s="7" t="s">
        <v>16</v>
      </c>
      <c r="B55" s="7" t="s">
        <v>17</v>
      </c>
      <c r="C55" s="7" t="s">
        <v>18</v>
      </c>
      <c r="D55" s="154">
        <v>10572048000209</v>
      </c>
      <c r="E55" s="47" t="s">
        <v>467</v>
      </c>
      <c r="F55" s="47" t="s">
        <v>440</v>
      </c>
      <c r="G55" s="155">
        <v>247749</v>
      </c>
    </row>
    <row r="56" spans="1:7" hidden="1" x14ac:dyDescent="0.2">
      <c r="A56" s="7" t="s">
        <v>16</v>
      </c>
      <c r="B56" s="7" t="s">
        <v>17</v>
      </c>
      <c r="C56" s="7" t="s">
        <v>18</v>
      </c>
      <c r="D56" s="154">
        <v>11051186000124</v>
      </c>
      <c r="E56" s="47" t="s">
        <v>460</v>
      </c>
      <c r="F56" s="47" t="s">
        <v>418</v>
      </c>
      <c r="G56" s="155">
        <v>19803.84</v>
      </c>
    </row>
    <row r="57" spans="1:7" hidden="1" x14ac:dyDescent="0.2">
      <c r="A57" s="7" t="s">
        <v>16</v>
      </c>
      <c r="B57" s="7" t="s">
        <v>17</v>
      </c>
      <c r="C57" s="7" t="s">
        <v>18</v>
      </c>
      <c r="D57" s="154">
        <v>11059197000312</v>
      </c>
      <c r="E57" s="47" t="s">
        <v>468</v>
      </c>
      <c r="F57" s="47" t="s">
        <v>440</v>
      </c>
      <c r="G57" s="155">
        <v>56677.88</v>
      </c>
    </row>
    <row r="58" spans="1:7" hidden="1" x14ac:dyDescent="0.2">
      <c r="A58" s="7" t="s">
        <v>16</v>
      </c>
      <c r="B58" s="7" t="s">
        <v>17</v>
      </c>
      <c r="C58" s="7" t="s">
        <v>18</v>
      </c>
      <c r="D58" s="154">
        <v>12047164000315</v>
      </c>
      <c r="E58" s="47" t="s">
        <v>469</v>
      </c>
      <c r="F58" s="47" t="s">
        <v>418</v>
      </c>
      <c r="G58" s="155">
        <v>123928.01</v>
      </c>
    </row>
    <row r="59" spans="1:7" hidden="1" x14ac:dyDescent="0.2">
      <c r="A59" s="7" t="s">
        <v>16</v>
      </c>
      <c r="B59" s="7" t="s">
        <v>17</v>
      </c>
      <c r="C59" s="7" t="s">
        <v>18</v>
      </c>
      <c r="D59" s="154">
        <v>12420164000319</v>
      </c>
      <c r="E59" s="47" t="s">
        <v>470</v>
      </c>
      <c r="F59" s="47" t="s">
        <v>417</v>
      </c>
      <c r="G59" s="155">
        <v>1038426.58</v>
      </c>
    </row>
    <row r="60" spans="1:7" hidden="1" x14ac:dyDescent="0.2">
      <c r="A60" s="7" t="s">
        <v>16</v>
      </c>
      <c r="B60" s="7" t="s">
        <v>17</v>
      </c>
      <c r="C60" s="7" t="s">
        <v>18</v>
      </c>
      <c r="D60" s="154">
        <v>12420164000319</v>
      </c>
      <c r="E60" s="47" t="s">
        <v>470</v>
      </c>
      <c r="F60" s="47" t="s">
        <v>440</v>
      </c>
      <c r="G60" s="155">
        <v>1859924.23</v>
      </c>
    </row>
    <row r="61" spans="1:7" hidden="1" x14ac:dyDescent="0.2">
      <c r="A61" s="7" t="s">
        <v>16</v>
      </c>
      <c r="B61" s="7" t="s">
        <v>17</v>
      </c>
      <c r="C61" s="7" t="s">
        <v>18</v>
      </c>
      <c r="D61" s="154">
        <v>12420164000319</v>
      </c>
      <c r="E61" s="47" t="s">
        <v>470</v>
      </c>
      <c r="F61" s="47" t="s">
        <v>418</v>
      </c>
      <c r="G61" s="155">
        <v>134831.31</v>
      </c>
    </row>
    <row r="62" spans="1:7" hidden="1" x14ac:dyDescent="0.2">
      <c r="A62" s="7" t="s">
        <v>16</v>
      </c>
      <c r="B62" s="7" t="s">
        <v>17</v>
      </c>
      <c r="C62" s="7" t="s">
        <v>18</v>
      </c>
      <c r="D62" s="154">
        <v>12420164000904</v>
      </c>
      <c r="E62" s="47" t="s">
        <v>470</v>
      </c>
      <c r="F62" s="47" t="s">
        <v>417</v>
      </c>
      <c r="G62" s="155">
        <v>527702.6</v>
      </c>
    </row>
    <row r="63" spans="1:7" hidden="1" x14ac:dyDescent="0.2">
      <c r="A63" s="7" t="s">
        <v>16</v>
      </c>
      <c r="B63" s="7" t="s">
        <v>17</v>
      </c>
      <c r="C63" s="7" t="s">
        <v>18</v>
      </c>
      <c r="D63" s="154">
        <v>12420164000904</v>
      </c>
      <c r="E63" s="47" t="s">
        <v>470</v>
      </c>
      <c r="F63" s="47" t="s">
        <v>440</v>
      </c>
      <c r="G63" s="155">
        <v>1130814.2</v>
      </c>
    </row>
    <row r="64" spans="1:7" hidden="1" x14ac:dyDescent="0.2">
      <c r="A64" s="7" t="s">
        <v>16</v>
      </c>
      <c r="B64" s="7" t="s">
        <v>17</v>
      </c>
      <c r="C64" s="7" t="s">
        <v>18</v>
      </c>
      <c r="D64" s="154">
        <v>12420164000904</v>
      </c>
      <c r="E64" s="47" t="s">
        <v>470</v>
      </c>
      <c r="F64" s="47" t="s">
        <v>418</v>
      </c>
      <c r="G64" s="155">
        <v>59878.98</v>
      </c>
    </row>
    <row r="65" spans="1:7" hidden="1" x14ac:dyDescent="0.2">
      <c r="A65" s="7" t="s">
        <v>16</v>
      </c>
      <c r="B65" s="7" t="s">
        <v>17</v>
      </c>
      <c r="C65" s="7" t="s">
        <v>18</v>
      </c>
      <c r="D65" s="154">
        <v>12420164001048</v>
      </c>
      <c r="E65" s="47" t="s">
        <v>470</v>
      </c>
      <c r="F65" s="47" t="s">
        <v>417</v>
      </c>
      <c r="G65" s="155">
        <v>3259.3</v>
      </c>
    </row>
    <row r="66" spans="1:7" hidden="1" x14ac:dyDescent="0.2">
      <c r="A66" s="7" t="s">
        <v>16</v>
      </c>
      <c r="B66" s="7" t="s">
        <v>17</v>
      </c>
      <c r="C66" s="7" t="s">
        <v>18</v>
      </c>
      <c r="D66" s="154">
        <v>12420164001048</v>
      </c>
      <c r="E66" s="47" t="s">
        <v>470</v>
      </c>
      <c r="F66" s="47" t="s">
        <v>440</v>
      </c>
      <c r="G66" s="155">
        <v>71458.59</v>
      </c>
    </row>
    <row r="67" spans="1:7" hidden="1" x14ac:dyDescent="0.2">
      <c r="A67" s="7" t="s">
        <v>16</v>
      </c>
      <c r="B67" s="7" t="s">
        <v>17</v>
      </c>
      <c r="C67" s="7" t="s">
        <v>18</v>
      </c>
      <c r="D67" s="154">
        <v>12420164001048</v>
      </c>
      <c r="E67" s="47" t="s">
        <v>470</v>
      </c>
      <c r="F67" s="47" t="s">
        <v>418</v>
      </c>
      <c r="G67" s="155">
        <v>2308.33</v>
      </c>
    </row>
    <row r="68" spans="1:7" hidden="1" x14ac:dyDescent="0.2">
      <c r="A68" s="7" t="s">
        <v>16</v>
      </c>
      <c r="B68" s="7" t="s">
        <v>17</v>
      </c>
      <c r="C68" s="7" t="s">
        <v>18</v>
      </c>
      <c r="D68" s="154">
        <v>12474705000120</v>
      </c>
      <c r="E68" s="47" t="s">
        <v>471</v>
      </c>
      <c r="F68" s="47" t="s">
        <v>440</v>
      </c>
      <c r="G68" s="155">
        <v>26640</v>
      </c>
    </row>
    <row r="69" spans="1:7" hidden="1" x14ac:dyDescent="0.2">
      <c r="A69" s="7" t="s">
        <v>16</v>
      </c>
      <c r="B69" s="7" t="s">
        <v>17</v>
      </c>
      <c r="C69" s="7" t="s">
        <v>18</v>
      </c>
      <c r="D69" s="154">
        <v>14261377000109</v>
      </c>
      <c r="E69" s="47" t="s">
        <v>472</v>
      </c>
      <c r="F69" s="47" t="s">
        <v>417</v>
      </c>
      <c r="G69" s="155">
        <v>82001.83</v>
      </c>
    </row>
    <row r="70" spans="1:7" hidden="1" x14ac:dyDescent="0.2">
      <c r="A70" s="7" t="s">
        <v>16</v>
      </c>
      <c r="B70" s="7" t="s">
        <v>17</v>
      </c>
      <c r="C70" s="7" t="s">
        <v>18</v>
      </c>
      <c r="D70" s="154">
        <v>14261377000109</v>
      </c>
      <c r="E70" s="47" t="s">
        <v>472</v>
      </c>
      <c r="F70" s="47" t="s">
        <v>440</v>
      </c>
      <c r="G70" s="155">
        <v>266731.53000000003</v>
      </c>
    </row>
    <row r="71" spans="1:7" hidden="1" x14ac:dyDescent="0.2">
      <c r="A71" s="7" t="s">
        <v>16</v>
      </c>
      <c r="B71" s="7" t="s">
        <v>17</v>
      </c>
      <c r="C71" s="7" t="s">
        <v>18</v>
      </c>
      <c r="D71" s="154">
        <v>14261377000109</v>
      </c>
      <c r="E71" s="47" t="s">
        <v>472</v>
      </c>
      <c r="F71" s="47" t="s">
        <v>418</v>
      </c>
      <c r="G71" s="155">
        <v>53514.39</v>
      </c>
    </row>
    <row r="72" spans="1:7" hidden="1" x14ac:dyDescent="0.2">
      <c r="A72" s="7" t="s">
        <v>16</v>
      </c>
      <c r="B72" s="7" t="s">
        <v>17</v>
      </c>
      <c r="C72" s="7" t="s">
        <v>18</v>
      </c>
      <c r="D72" s="154">
        <v>15126437000739</v>
      </c>
      <c r="E72" s="47" t="s">
        <v>473</v>
      </c>
      <c r="F72" s="47" t="s">
        <v>440</v>
      </c>
      <c r="G72" s="155">
        <v>86920</v>
      </c>
    </row>
    <row r="73" spans="1:7" hidden="1" x14ac:dyDescent="0.2">
      <c r="A73" s="7" t="s">
        <v>16</v>
      </c>
      <c r="B73" s="7" t="s">
        <v>17</v>
      </c>
      <c r="C73" s="7" t="s">
        <v>18</v>
      </c>
      <c r="D73" s="154">
        <v>15126437001972</v>
      </c>
      <c r="E73" s="47" t="s">
        <v>474</v>
      </c>
      <c r="F73" s="47" t="s">
        <v>440</v>
      </c>
      <c r="G73" s="155">
        <v>12054</v>
      </c>
    </row>
    <row r="74" spans="1:7" hidden="1" x14ac:dyDescent="0.2">
      <c r="A74" s="7" t="s">
        <v>16</v>
      </c>
      <c r="B74" s="7" t="s">
        <v>17</v>
      </c>
      <c r="C74" s="7" t="s">
        <v>18</v>
      </c>
      <c r="D74" s="154">
        <v>15126437002278</v>
      </c>
      <c r="E74" s="47" t="s">
        <v>1240</v>
      </c>
      <c r="F74" s="47" t="s">
        <v>417</v>
      </c>
      <c r="G74" s="155">
        <v>19106</v>
      </c>
    </row>
    <row r="75" spans="1:7" hidden="1" x14ac:dyDescent="0.2">
      <c r="A75" s="7" t="s">
        <v>16</v>
      </c>
      <c r="B75" s="7" t="s">
        <v>17</v>
      </c>
      <c r="C75" s="7" t="s">
        <v>18</v>
      </c>
      <c r="D75" s="154">
        <v>15145035000196</v>
      </c>
      <c r="E75" s="47" t="s">
        <v>475</v>
      </c>
      <c r="F75" s="47" t="s">
        <v>417</v>
      </c>
      <c r="G75" s="155">
        <v>28290.63</v>
      </c>
    </row>
    <row r="76" spans="1:7" hidden="1" x14ac:dyDescent="0.2">
      <c r="A76" s="7" t="s">
        <v>16</v>
      </c>
      <c r="B76" s="7" t="s">
        <v>17</v>
      </c>
      <c r="C76" s="7" t="s">
        <v>18</v>
      </c>
      <c r="D76" s="154">
        <v>15145035000196</v>
      </c>
      <c r="E76" s="47" t="s">
        <v>475</v>
      </c>
      <c r="F76" s="47" t="s">
        <v>418</v>
      </c>
      <c r="G76" s="155">
        <v>127919.27</v>
      </c>
    </row>
    <row r="77" spans="1:7" hidden="1" x14ac:dyDescent="0.2">
      <c r="A77" s="7" t="s">
        <v>16</v>
      </c>
      <c r="B77" s="7" t="s">
        <v>17</v>
      </c>
      <c r="C77" s="7" t="s">
        <v>18</v>
      </c>
      <c r="D77" s="154">
        <v>15180714000368</v>
      </c>
      <c r="E77" s="47" t="s">
        <v>476</v>
      </c>
      <c r="F77" s="47" t="s">
        <v>440</v>
      </c>
      <c r="G77" s="155">
        <v>11143.31</v>
      </c>
    </row>
    <row r="78" spans="1:7" hidden="1" x14ac:dyDescent="0.2">
      <c r="A78" s="7" t="s">
        <v>16</v>
      </c>
      <c r="B78" s="7" t="s">
        <v>17</v>
      </c>
      <c r="C78" s="7" t="s">
        <v>18</v>
      </c>
      <c r="D78" s="154">
        <v>17700763000300</v>
      </c>
      <c r="E78" s="47" t="s">
        <v>477</v>
      </c>
      <c r="F78" s="47" t="s">
        <v>417</v>
      </c>
      <c r="G78" s="155">
        <v>224334.2</v>
      </c>
    </row>
    <row r="79" spans="1:7" hidden="1" x14ac:dyDescent="0.2">
      <c r="A79" s="7" t="s">
        <v>16</v>
      </c>
      <c r="B79" s="7" t="s">
        <v>17</v>
      </c>
      <c r="C79" s="7" t="s">
        <v>18</v>
      </c>
      <c r="D79" s="154">
        <v>17700763000300</v>
      </c>
      <c r="E79" s="47" t="s">
        <v>477</v>
      </c>
      <c r="F79" s="47" t="s">
        <v>440</v>
      </c>
      <c r="G79" s="155">
        <v>1004478.49</v>
      </c>
    </row>
    <row r="80" spans="1:7" hidden="1" x14ac:dyDescent="0.2">
      <c r="A80" s="7" t="s">
        <v>16</v>
      </c>
      <c r="B80" s="7" t="s">
        <v>17</v>
      </c>
      <c r="C80" s="7" t="s">
        <v>18</v>
      </c>
      <c r="D80" s="154">
        <v>17700763000300</v>
      </c>
      <c r="E80" s="47" t="s">
        <v>477</v>
      </c>
      <c r="F80" s="47" t="s">
        <v>418</v>
      </c>
      <c r="G80" s="155">
        <v>140827.29999999999</v>
      </c>
    </row>
    <row r="81" spans="1:7" hidden="1" x14ac:dyDescent="0.2">
      <c r="A81" s="7" t="s">
        <v>16</v>
      </c>
      <c r="B81" s="7" t="s">
        <v>17</v>
      </c>
      <c r="C81" s="7" t="s">
        <v>18</v>
      </c>
      <c r="D81" s="154">
        <v>18269125000187</v>
      </c>
      <c r="E81" s="47" t="s">
        <v>478</v>
      </c>
      <c r="F81" s="47" t="s">
        <v>417</v>
      </c>
      <c r="G81" s="155">
        <v>754416.85</v>
      </c>
    </row>
    <row r="82" spans="1:7" hidden="1" x14ac:dyDescent="0.2">
      <c r="A82" s="7" t="s">
        <v>16</v>
      </c>
      <c r="B82" s="7" t="s">
        <v>17</v>
      </c>
      <c r="C82" s="7" t="s">
        <v>18</v>
      </c>
      <c r="D82" s="154">
        <v>18269125000187</v>
      </c>
      <c r="E82" s="47" t="s">
        <v>478</v>
      </c>
      <c r="F82" s="47" t="s">
        <v>440</v>
      </c>
      <c r="G82" s="155">
        <v>796153.23</v>
      </c>
    </row>
    <row r="83" spans="1:7" hidden="1" x14ac:dyDescent="0.2">
      <c r="A83" s="7" t="s">
        <v>16</v>
      </c>
      <c r="B83" s="7" t="s">
        <v>17</v>
      </c>
      <c r="C83" s="7" t="s">
        <v>18</v>
      </c>
      <c r="D83" s="154">
        <v>18269125000187</v>
      </c>
      <c r="E83" s="47" t="s">
        <v>478</v>
      </c>
      <c r="F83" s="47" t="s">
        <v>418</v>
      </c>
      <c r="G83" s="155">
        <v>216521.99</v>
      </c>
    </row>
    <row r="84" spans="1:7" hidden="1" x14ac:dyDescent="0.2">
      <c r="A84" s="7" t="s">
        <v>16</v>
      </c>
      <c r="B84" s="7" t="s">
        <v>17</v>
      </c>
      <c r="C84" s="7" t="s">
        <v>18</v>
      </c>
      <c r="D84" s="154">
        <v>21895020000148</v>
      </c>
      <c r="E84" s="47" t="s">
        <v>460</v>
      </c>
      <c r="F84" s="47" t="s">
        <v>418</v>
      </c>
      <c r="G84" s="155">
        <v>26405.13</v>
      </c>
    </row>
    <row r="85" spans="1:7" hidden="1" x14ac:dyDescent="0.2">
      <c r="A85" s="7" t="s">
        <v>16</v>
      </c>
      <c r="B85" s="7" t="s">
        <v>17</v>
      </c>
      <c r="C85" s="7" t="s">
        <v>18</v>
      </c>
      <c r="D85" s="154">
        <v>25211499000107</v>
      </c>
      <c r="E85" s="47" t="s">
        <v>468</v>
      </c>
      <c r="F85" s="47" t="s">
        <v>440</v>
      </c>
      <c r="G85" s="155">
        <v>29101</v>
      </c>
    </row>
    <row r="86" spans="1:7" hidden="1" x14ac:dyDescent="0.2">
      <c r="A86" s="7" t="s">
        <v>16</v>
      </c>
      <c r="B86" s="7" t="s">
        <v>17</v>
      </c>
      <c r="C86" s="7" t="s">
        <v>18</v>
      </c>
      <c r="D86" s="154">
        <v>25211499000107</v>
      </c>
      <c r="E86" s="47" t="s">
        <v>468</v>
      </c>
      <c r="F86" s="47" t="s">
        <v>418</v>
      </c>
      <c r="G86" s="155">
        <v>20331.939999999999</v>
      </c>
    </row>
    <row r="87" spans="1:7" hidden="1" x14ac:dyDescent="0.2">
      <c r="A87" s="7" t="s">
        <v>16</v>
      </c>
      <c r="B87" s="7" t="s">
        <v>17</v>
      </c>
      <c r="C87" s="7" t="s">
        <v>18</v>
      </c>
      <c r="D87" s="154">
        <v>25437484000242</v>
      </c>
      <c r="E87" s="47" t="s">
        <v>479</v>
      </c>
      <c r="F87" s="47" t="s">
        <v>417</v>
      </c>
      <c r="G87" s="155">
        <v>20960.84</v>
      </c>
    </row>
    <row r="88" spans="1:7" hidden="1" x14ac:dyDescent="0.2">
      <c r="A88" s="7" t="s">
        <v>16</v>
      </c>
      <c r="B88" s="7" t="s">
        <v>17</v>
      </c>
      <c r="C88" s="7" t="s">
        <v>18</v>
      </c>
      <c r="D88" s="154">
        <v>25648387000207</v>
      </c>
      <c r="E88" s="47" t="s">
        <v>1241</v>
      </c>
      <c r="F88" s="47" t="s">
        <v>417</v>
      </c>
      <c r="G88" s="155">
        <v>47970</v>
      </c>
    </row>
    <row r="89" spans="1:7" hidden="1" x14ac:dyDescent="0.2">
      <c r="A89" s="7" t="s">
        <v>16</v>
      </c>
      <c r="B89" s="7" t="s">
        <v>17</v>
      </c>
      <c r="C89" s="7" t="s">
        <v>18</v>
      </c>
      <c r="D89" s="154">
        <v>25648387000207</v>
      </c>
      <c r="E89" s="47" t="s">
        <v>1241</v>
      </c>
      <c r="F89" s="47" t="s">
        <v>440</v>
      </c>
      <c r="G89" s="155">
        <v>65513.81</v>
      </c>
    </row>
    <row r="90" spans="1:7" hidden="1" x14ac:dyDescent="0.2">
      <c r="A90" s="7" t="s">
        <v>16</v>
      </c>
      <c r="B90" s="7" t="s">
        <v>17</v>
      </c>
      <c r="C90" s="7" t="s">
        <v>18</v>
      </c>
      <c r="D90" s="154">
        <v>25648387000207</v>
      </c>
      <c r="E90" s="47" t="s">
        <v>1241</v>
      </c>
      <c r="F90" s="47" t="s">
        <v>418</v>
      </c>
      <c r="G90" s="155">
        <v>2886.4</v>
      </c>
    </row>
    <row r="91" spans="1:7" hidden="1" x14ac:dyDescent="0.2">
      <c r="A91" s="7" t="s">
        <v>16</v>
      </c>
      <c r="B91" s="7" t="s">
        <v>17</v>
      </c>
      <c r="C91" s="7" t="s">
        <v>18</v>
      </c>
      <c r="D91" s="154">
        <v>27080605001591</v>
      </c>
      <c r="E91" s="47" t="s">
        <v>480</v>
      </c>
      <c r="F91" s="47" t="s">
        <v>440</v>
      </c>
      <c r="G91" s="155">
        <v>182234</v>
      </c>
    </row>
    <row r="92" spans="1:7" hidden="1" x14ac:dyDescent="0.2">
      <c r="A92" s="7" t="s">
        <v>16</v>
      </c>
      <c r="B92" s="7" t="s">
        <v>17</v>
      </c>
      <c r="C92" s="7" t="s">
        <v>18</v>
      </c>
      <c r="D92" s="154">
        <v>27191294000132</v>
      </c>
      <c r="E92" s="47" t="s">
        <v>481</v>
      </c>
      <c r="F92" s="47" t="s">
        <v>440</v>
      </c>
      <c r="G92" s="155">
        <v>8778.51</v>
      </c>
    </row>
    <row r="93" spans="1:7" hidden="1" x14ac:dyDescent="0.2">
      <c r="A93" s="7" t="s">
        <v>16</v>
      </c>
      <c r="B93" s="7" t="s">
        <v>17</v>
      </c>
      <c r="C93" s="7" t="s">
        <v>18</v>
      </c>
      <c r="D93" s="154">
        <v>33663683002674</v>
      </c>
      <c r="E93" s="47" t="s">
        <v>482</v>
      </c>
      <c r="F93" s="47" t="s">
        <v>440</v>
      </c>
      <c r="G93" s="155">
        <v>1811.92</v>
      </c>
    </row>
    <row r="94" spans="1:7" hidden="1" x14ac:dyDescent="0.2">
      <c r="A94" s="7" t="s">
        <v>16</v>
      </c>
      <c r="B94" s="7" t="s">
        <v>17</v>
      </c>
      <c r="C94" s="7" t="s">
        <v>18</v>
      </c>
      <c r="D94" s="154">
        <v>33663683005347</v>
      </c>
      <c r="E94" s="47" t="s">
        <v>483</v>
      </c>
      <c r="F94" s="47" t="s">
        <v>440</v>
      </c>
      <c r="G94" s="155">
        <v>137552</v>
      </c>
    </row>
    <row r="95" spans="1:7" hidden="1" x14ac:dyDescent="0.2">
      <c r="A95" s="7" t="s">
        <v>16</v>
      </c>
      <c r="B95" s="7" t="s">
        <v>17</v>
      </c>
      <c r="C95" s="7" t="s">
        <v>18</v>
      </c>
      <c r="D95" s="154">
        <v>33781055000216</v>
      </c>
      <c r="E95" s="47" t="s">
        <v>484</v>
      </c>
      <c r="F95" s="47" t="s">
        <v>417</v>
      </c>
      <c r="G95" s="155">
        <v>7283.83</v>
      </c>
    </row>
    <row r="96" spans="1:7" hidden="1" x14ac:dyDescent="0.2">
      <c r="A96" s="7" t="s">
        <v>16</v>
      </c>
      <c r="B96" s="7" t="s">
        <v>17</v>
      </c>
      <c r="C96" s="7" t="s">
        <v>18</v>
      </c>
      <c r="D96" s="154">
        <v>33781055000216</v>
      </c>
      <c r="E96" s="47" t="s">
        <v>484</v>
      </c>
      <c r="F96" s="47" t="s">
        <v>440</v>
      </c>
      <c r="G96" s="155">
        <v>46980</v>
      </c>
    </row>
    <row r="97" spans="1:7" hidden="1" x14ac:dyDescent="0.2">
      <c r="A97" s="7" t="s">
        <v>16</v>
      </c>
      <c r="B97" s="7" t="s">
        <v>17</v>
      </c>
      <c r="C97" s="7" t="s">
        <v>18</v>
      </c>
      <c r="D97" s="154">
        <v>33781055000216</v>
      </c>
      <c r="E97" s="47" t="s">
        <v>484</v>
      </c>
      <c r="F97" s="47" t="s">
        <v>418</v>
      </c>
      <c r="G97" s="155">
        <v>5596.8</v>
      </c>
    </row>
    <row r="98" spans="1:7" hidden="1" x14ac:dyDescent="0.2">
      <c r="A98" s="7" t="s">
        <v>16</v>
      </c>
      <c r="B98" s="7" t="s">
        <v>17</v>
      </c>
      <c r="C98" s="7" t="s">
        <v>18</v>
      </c>
      <c r="D98" s="154">
        <v>34973438000178</v>
      </c>
      <c r="E98" s="47" t="s">
        <v>485</v>
      </c>
      <c r="F98" s="47" t="s">
        <v>418</v>
      </c>
      <c r="G98" s="155">
        <v>5237.0200000000004</v>
      </c>
    </row>
    <row r="99" spans="1:7" hidden="1" x14ac:dyDescent="0.2">
      <c r="A99" s="7" t="s">
        <v>16</v>
      </c>
      <c r="B99" s="7" t="s">
        <v>17</v>
      </c>
      <c r="C99" s="7" t="s">
        <v>18</v>
      </c>
      <c r="D99" s="154">
        <v>37396017000624</v>
      </c>
      <c r="E99" s="47" t="s">
        <v>468</v>
      </c>
      <c r="F99" s="47" t="s">
        <v>440</v>
      </c>
      <c r="G99" s="155">
        <v>232470.35</v>
      </c>
    </row>
    <row r="100" spans="1:7" hidden="1" x14ac:dyDescent="0.2">
      <c r="A100" s="7" t="s">
        <v>16</v>
      </c>
      <c r="B100" s="7" t="s">
        <v>17</v>
      </c>
      <c r="C100" s="7" t="s">
        <v>18</v>
      </c>
      <c r="D100" s="154">
        <v>37396017000624</v>
      </c>
      <c r="E100" s="47" t="s">
        <v>468</v>
      </c>
      <c r="F100" s="47" t="s">
        <v>418</v>
      </c>
      <c r="G100" s="155">
        <v>22356.68</v>
      </c>
    </row>
    <row r="101" spans="1:7" hidden="1" x14ac:dyDescent="0.2">
      <c r="A101" s="7" t="s">
        <v>16</v>
      </c>
      <c r="B101" s="7" t="s">
        <v>17</v>
      </c>
      <c r="C101" s="7" t="s">
        <v>18</v>
      </c>
      <c r="D101" s="154">
        <v>45780103000150</v>
      </c>
      <c r="E101" s="47" t="s">
        <v>1242</v>
      </c>
      <c r="F101" s="47" t="s">
        <v>440</v>
      </c>
      <c r="G101" s="155">
        <v>143395.35999999999</v>
      </c>
    </row>
    <row r="102" spans="1:7" hidden="1" x14ac:dyDescent="0.2">
      <c r="A102" s="7" t="s">
        <v>16</v>
      </c>
      <c r="B102" s="7" t="s">
        <v>17</v>
      </c>
      <c r="C102" s="7" t="s">
        <v>18</v>
      </c>
      <c r="D102" s="154">
        <v>46068425000133</v>
      </c>
      <c r="E102" s="47" t="s">
        <v>486</v>
      </c>
      <c r="F102" s="47" t="s">
        <v>417</v>
      </c>
      <c r="G102" s="155">
        <v>24796.799999999999</v>
      </c>
    </row>
    <row r="103" spans="1:7" hidden="1" x14ac:dyDescent="0.2">
      <c r="A103" s="7" t="s">
        <v>16</v>
      </c>
      <c r="B103" s="7" t="s">
        <v>17</v>
      </c>
      <c r="C103" s="7" t="s">
        <v>18</v>
      </c>
      <c r="D103" s="154">
        <v>46374500001670</v>
      </c>
      <c r="E103" s="47" t="s">
        <v>487</v>
      </c>
      <c r="F103" s="47" t="s">
        <v>418</v>
      </c>
      <c r="G103" s="155">
        <v>6074.28</v>
      </c>
    </row>
    <row r="104" spans="1:7" hidden="1" x14ac:dyDescent="0.2">
      <c r="A104" s="7" t="s">
        <v>16</v>
      </c>
      <c r="B104" s="7" t="s">
        <v>17</v>
      </c>
      <c r="C104" s="7" t="s">
        <v>18</v>
      </c>
      <c r="D104" s="154">
        <v>46374500003533</v>
      </c>
      <c r="E104" s="47" t="s">
        <v>1243</v>
      </c>
      <c r="F104" s="47" t="s">
        <v>440</v>
      </c>
      <c r="G104" s="155">
        <v>204938</v>
      </c>
    </row>
    <row r="105" spans="1:7" hidden="1" x14ac:dyDescent="0.2">
      <c r="A105" s="7" t="s">
        <v>16</v>
      </c>
      <c r="B105" s="7" t="s">
        <v>17</v>
      </c>
      <c r="C105" s="7" t="s">
        <v>18</v>
      </c>
      <c r="D105" s="154">
        <v>46374500011129</v>
      </c>
      <c r="E105" s="47" t="s">
        <v>1244</v>
      </c>
      <c r="F105" s="47" t="s">
        <v>418</v>
      </c>
      <c r="G105" s="155">
        <v>13498.4</v>
      </c>
    </row>
    <row r="106" spans="1:7" hidden="1" x14ac:dyDescent="0.2">
      <c r="A106" s="7" t="s">
        <v>16</v>
      </c>
      <c r="B106" s="7" t="s">
        <v>17</v>
      </c>
      <c r="C106" s="7" t="s">
        <v>18</v>
      </c>
      <c r="D106" s="154">
        <v>46374500011200</v>
      </c>
      <c r="E106" s="47" t="s">
        <v>1245</v>
      </c>
      <c r="F106" s="47" t="s">
        <v>418</v>
      </c>
      <c r="G106" s="155">
        <v>6749.2</v>
      </c>
    </row>
    <row r="107" spans="1:7" hidden="1" x14ac:dyDescent="0.2">
      <c r="A107" s="7" t="s">
        <v>16</v>
      </c>
      <c r="B107" s="7" t="s">
        <v>17</v>
      </c>
      <c r="C107" s="7" t="s">
        <v>18</v>
      </c>
      <c r="D107" s="154">
        <v>46374500011390</v>
      </c>
      <c r="E107" s="47" t="s">
        <v>1246</v>
      </c>
      <c r="F107" s="47" t="s">
        <v>418</v>
      </c>
      <c r="G107" s="155">
        <v>7592.85</v>
      </c>
    </row>
    <row r="108" spans="1:7" hidden="1" x14ac:dyDescent="0.2">
      <c r="A108" s="7" t="s">
        <v>16</v>
      </c>
      <c r="B108" s="7" t="s">
        <v>17</v>
      </c>
      <c r="C108" s="7" t="s">
        <v>18</v>
      </c>
      <c r="D108" s="154">
        <v>46374500011714</v>
      </c>
      <c r="E108" s="47" t="s">
        <v>1247</v>
      </c>
      <c r="F108" s="47" t="s">
        <v>418</v>
      </c>
      <c r="G108" s="155">
        <v>16198.08</v>
      </c>
    </row>
    <row r="109" spans="1:7" hidden="1" x14ac:dyDescent="0.2">
      <c r="A109" s="7" t="s">
        <v>16</v>
      </c>
      <c r="B109" s="7" t="s">
        <v>17</v>
      </c>
      <c r="C109" s="7" t="s">
        <v>18</v>
      </c>
      <c r="D109" s="154">
        <v>46374500012605</v>
      </c>
      <c r="E109" s="47" t="s">
        <v>488</v>
      </c>
      <c r="F109" s="47" t="s">
        <v>418</v>
      </c>
      <c r="G109" s="155">
        <v>8099.04</v>
      </c>
    </row>
    <row r="110" spans="1:7" hidden="1" x14ac:dyDescent="0.2">
      <c r="A110" s="7" t="s">
        <v>16</v>
      </c>
      <c r="B110" s="7" t="s">
        <v>17</v>
      </c>
      <c r="C110" s="7" t="s">
        <v>18</v>
      </c>
      <c r="D110" s="154">
        <v>46854998000192</v>
      </c>
      <c r="E110" s="47" t="s">
        <v>1248</v>
      </c>
      <c r="F110" s="47" t="s">
        <v>417</v>
      </c>
      <c r="G110" s="155">
        <v>54434.879999999997</v>
      </c>
    </row>
    <row r="111" spans="1:7" hidden="1" x14ac:dyDescent="0.2">
      <c r="A111" s="7" t="s">
        <v>16</v>
      </c>
      <c r="B111" s="7" t="s">
        <v>17</v>
      </c>
      <c r="C111" s="7" t="s">
        <v>18</v>
      </c>
      <c r="D111" s="154">
        <v>48468284000171</v>
      </c>
      <c r="E111" s="47" t="s">
        <v>489</v>
      </c>
      <c r="F111" s="47" t="s">
        <v>440</v>
      </c>
      <c r="G111" s="155">
        <v>20493.8</v>
      </c>
    </row>
    <row r="112" spans="1:7" hidden="1" x14ac:dyDescent="0.2">
      <c r="A112" s="7" t="s">
        <v>16</v>
      </c>
      <c r="B112" s="7" t="s">
        <v>17</v>
      </c>
      <c r="C112" s="7" t="s">
        <v>18</v>
      </c>
      <c r="D112" s="154">
        <v>51885242000140</v>
      </c>
      <c r="E112" s="47" t="s">
        <v>490</v>
      </c>
      <c r="F112" s="47" t="s">
        <v>440</v>
      </c>
      <c r="G112" s="155">
        <v>38330.74</v>
      </c>
    </row>
    <row r="113" spans="1:7" hidden="1" x14ac:dyDescent="0.2">
      <c r="A113" s="7" t="s">
        <v>16</v>
      </c>
      <c r="B113" s="7" t="s">
        <v>17</v>
      </c>
      <c r="C113" s="7" t="s">
        <v>18</v>
      </c>
      <c r="D113" s="154">
        <v>56577059000606</v>
      </c>
      <c r="E113" s="47" t="s">
        <v>1249</v>
      </c>
      <c r="F113" s="47" t="s">
        <v>417</v>
      </c>
      <c r="G113" s="155">
        <v>87699</v>
      </c>
    </row>
    <row r="114" spans="1:7" hidden="1" x14ac:dyDescent="0.2">
      <c r="A114" s="7" t="s">
        <v>16</v>
      </c>
      <c r="B114" s="7" t="s">
        <v>17</v>
      </c>
      <c r="C114" s="7" t="s">
        <v>18</v>
      </c>
      <c r="D114" s="154">
        <v>57722118000302</v>
      </c>
      <c r="E114" s="47" t="s">
        <v>1250</v>
      </c>
      <c r="F114" s="47" t="s">
        <v>440</v>
      </c>
      <c r="G114" s="155">
        <v>338147.7</v>
      </c>
    </row>
    <row r="115" spans="1:7" hidden="1" x14ac:dyDescent="0.2">
      <c r="A115" s="7" t="s">
        <v>16</v>
      </c>
      <c r="B115" s="7" t="s">
        <v>17</v>
      </c>
      <c r="C115" s="7" t="s">
        <v>18</v>
      </c>
      <c r="D115" s="154">
        <v>60003761000129</v>
      </c>
      <c r="E115" s="47" t="s">
        <v>1251</v>
      </c>
      <c r="F115" s="47" t="s">
        <v>417</v>
      </c>
      <c r="G115" s="155">
        <v>38950</v>
      </c>
    </row>
    <row r="116" spans="1:7" hidden="1" x14ac:dyDescent="0.2">
      <c r="A116" s="7" t="s">
        <v>16</v>
      </c>
      <c r="B116" s="7" t="s">
        <v>17</v>
      </c>
      <c r="C116" s="7" t="s">
        <v>18</v>
      </c>
      <c r="D116" s="154">
        <v>60003761000129</v>
      </c>
      <c r="E116" s="47" t="s">
        <v>1251</v>
      </c>
      <c r="F116" s="47" t="s">
        <v>440</v>
      </c>
      <c r="G116" s="155">
        <v>7970.4</v>
      </c>
    </row>
    <row r="117" spans="1:7" hidden="1" x14ac:dyDescent="0.2">
      <c r="A117" s="7" t="s">
        <v>16</v>
      </c>
      <c r="B117" s="7" t="s">
        <v>17</v>
      </c>
      <c r="C117" s="7" t="s">
        <v>18</v>
      </c>
      <c r="D117" s="154">
        <v>60448040000122</v>
      </c>
      <c r="E117" s="47" t="s">
        <v>1252</v>
      </c>
      <c r="F117" s="47" t="s">
        <v>417</v>
      </c>
      <c r="G117" s="155">
        <v>305976</v>
      </c>
    </row>
    <row r="118" spans="1:7" hidden="1" x14ac:dyDescent="0.2">
      <c r="A118" s="7" t="s">
        <v>16</v>
      </c>
      <c r="B118" s="7" t="s">
        <v>17</v>
      </c>
      <c r="C118" s="7" t="s">
        <v>18</v>
      </c>
      <c r="D118" s="154">
        <v>60448040000122</v>
      </c>
      <c r="E118" s="47" t="s">
        <v>1252</v>
      </c>
      <c r="F118" s="47" t="s">
        <v>440</v>
      </c>
      <c r="G118" s="155">
        <v>129403.4</v>
      </c>
    </row>
    <row r="119" spans="1:7" hidden="1" x14ac:dyDescent="0.2">
      <c r="A119" s="7" t="s">
        <v>16</v>
      </c>
      <c r="B119" s="7" t="s">
        <v>17</v>
      </c>
      <c r="C119" s="7" t="s">
        <v>18</v>
      </c>
      <c r="D119" s="154">
        <v>60448040000122</v>
      </c>
      <c r="E119" s="47" t="s">
        <v>1252</v>
      </c>
      <c r="F119" s="47" t="s">
        <v>418</v>
      </c>
      <c r="G119" s="155">
        <v>3543.33</v>
      </c>
    </row>
    <row r="120" spans="1:7" hidden="1" x14ac:dyDescent="0.2">
      <c r="A120" s="7" t="s">
        <v>16</v>
      </c>
      <c r="B120" s="7" t="s">
        <v>17</v>
      </c>
      <c r="C120" s="7" t="s">
        <v>18</v>
      </c>
      <c r="D120" s="154">
        <v>60747318000162</v>
      </c>
      <c r="E120" s="47" t="s">
        <v>1253</v>
      </c>
      <c r="F120" s="47" t="s">
        <v>418</v>
      </c>
      <c r="G120" s="155">
        <v>8436.5</v>
      </c>
    </row>
    <row r="121" spans="1:7" hidden="1" x14ac:dyDescent="0.2">
      <c r="A121" s="7" t="s">
        <v>16</v>
      </c>
      <c r="B121" s="7" t="s">
        <v>17</v>
      </c>
      <c r="C121" s="7" t="s">
        <v>18</v>
      </c>
      <c r="D121" s="154">
        <v>61590410000124</v>
      </c>
      <c r="E121" s="47" t="s">
        <v>1254</v>
      </c>
      <c r="F121" s="47" t="s">
        <v>440</v>
      </c>
      <c r="G121" s="155">
        <v>241884.88</v>
      </c>
    </row>
    <row r="122" spans="1:7" hidden="1" x14ac:dyDescent="0.2">
      <c r="A122" s="7" t="s">
        <v>16</v>
      </c>
      <c r="B122" s="7" t="s">
        <v>17</v>
      </c>
      <c r="C122" s="7" t="s">
        <v>18</v>
      </c>
      <c r="D122" s="154">
        <v>61590410000124</v>
      </c>
      <c r="E122" s="47" t="s">
        <v>1254</v>
      </c>
      <c r="F122" s="47" t="s">
        <v>418</v>
      </c>
      <c r="G122" s="155">
        <v>688.82</v>
      </c>
    </row>
    <row r="123" spans="1:7" hidden="1" x14ac:dyDescent="0.2">
      <c r="A123" s="7" t="s">
        <v>16</v>
      </c>
      <c r="B123" s="7" t="s">
        <v>17</v>
      </c>
      <c r="C123" s="7" t="s">
        <v>18</v>
      </c>
      <c r="D123" s="154">
        <v>61590410001287</v>
      </c>
      <c r="E123" s="47" t="s">
        <v>1255</v>
      </c>
      <c r="F123" s="47" t="s">
        <v>440</v>
      </c>
      <c r="G123" s="155">
        <v>112750</v>
      </c>
    </row>
    <row r="124" spans="1:7" hidden="1" x14ac:dyDescent="0.2">
      <c r="A124" s="7" t="s">
        <v>16</v>
      </c>
      <c r="B124" s="7" t="s">
        <v>17</v>
      </c>
      <c r="C124" s="7" t="s">
        <v>18</v>
      </c>
      <c r="D124" s="154">
        <v>61599908000158</v>
      </c>
      <c r="E124" s="47" t="s">
        <v>1256</v>
      </c>
      <c r="F124" s="47" t="s">
        <v>440</v>
      </c>
      <c r="G124" s="155">
        <v>79089</v>
      </c>
    </row>
    <row r="125" spans="1:7" hidden="1" x14ac:dyDescent="0.2">
      <c r="A125" s="7" t="s">
        <v>16</v>
      </c>
      <c r="B125" s="7" t="s">
        <v>17</v>
      </c>
      <c r="C125" s="7" t="s">
        <v>18</v>
      </c>
      <c r="D125" s="154">
        <v>61599908000158</v>
      </c>
      <c r="E125" s="47" t="s">
        <v>1256</v>
      </c>
      <c r="F125" s="47" t="s">
        <v>418</v>
      </c>
      <c r="G125" s="155">
        <v>5405.55</v>
      </c>
    </row>
    <row r="126" spans="1:7" hidden="1" x14ac:dyDescent="0.2">
      <c r="A126" s="7" t="s">
        <v>16</v>
      </c>
      <c r="B126" s="7" t="s">
        <v>17</v>
      </c>
      <c r="C126" s="7" t="s">
        <v>18</v>
      </c>
      <c r="D126" s="154">
        <v>79250676000193</v>
      </c>
      <c r="E126" s="47" t="s">
        <v>464</v>
      </c>
      <c r="F126" s="47" t="s">
        <v>417</v>
      </c>
      <c r="G126" s="155">
        <v>47151.05</v>
      </c>
    </row>
    <row r="127" spans="1:7" hidden="1" x14ac:dyDescent="0.2">
      <c r="A127" s="7" t="s">
        <v>16</v>
      </c>
      <c r="B127" s="7" t="s">
        <v>17</v>
      </c>
      <c r="C127" s="7" t="s">
        <v>18</v>
      </c>
      <c r="D127" s="154">
        <v>79250676000193</v>
      </c>
      <c r="E127" s="47" t="s">
        <v>464</v>
      </c>
      <c r="F127" s="47" t="s">
        <v>440</v>
      </c>
      <c r="G127" s="155">
        <v>49199.74</v>
      </c>
    </row>
    <row r="128" spans="1:7" hidden="1" x14ac:dyDescent="0.2">
      <c r="A128" s="7" t="s">
        <v>16</v>
      </c>
      <c r="B128" s="7" t="s">
        <v>17</v>
      </c>
      <c r="C128" s="7" t="s">
        <v>18</v>
      </c>
      <c r="D128" s="154">
        <v>79250676000193</v>
      </c>
      <c r="E128" s="47" t="s">
        <v>464</v>
      </c>
      <c r="F128" s="47" t="s">
        <v>418</v>
      </c>
      <c r="G128" s="155">
        <v>9671.31</v>
      </c>
    </row>
    <row r="129" spans="1:7" hidden="1" x14ac:dyDescent="0.2">
      <c r="A129" s="7" t="s">
        <v>16</v>
      </c>
      <c r="B129" s="7" t="s">
        <v>17</v>
      </c>
      <c r="C129" s="7" t="s">
        <v>18</v>
      </c>
      <c r="D129" s="154">
        <v>81887838000736</v>
      </c>
      <c r="E129" s="47" t="s">
        <v>491</v>
      </c>
      <c r="F129" s="47" t="s">
        <v>440</v>
      </c>
      <c r="G129" s="155">
        <v>199921.93</v>
      </c>
    </row>
    <row r="130" spans="1:7" hidden="1" x14ac:dyDescent="0.2">
      <c r="A130" s="7" t="s">
        <v>16</v>
      </c>
      <c r="B130" s="7" t="s">
        <v>17</v>
      </c>
      <c r="C130" s="7" t="s">
        <v>18</v>
      </c>
      <c r="D130" s="154">
        <v>81887838000736</v>
      </c>
      <c r="E130" s="47" t="s">
        <v>491</v>
      </c>
      <c r="F130" s="47" t="s">
        <v>418</v>
      </c>
      <c r="G130" s="155">
        <v>23915.119999999999</v>
      </c>
    </row>
    <row r="131" spans="1:7" hidden="1" x14ac:dyDescent="0.2">
      <c r="A131" s="7" t="s">
        <v>16</v>
      </c>
      <c r="B131" s="7" t="s">
        <v>17</v>
      </c>
      <c r="C131" s="7" t="s">
        <v>18</v>
      </c>
      <c r="D131" s="154">
        <v>82873068000140</v>
      </c>
      <c r="E131" s="47" t="s">
        <v>492</v>
      </c>
      <c r="F131" s="47" t="s">
        <v>440</v>
      </c>
      <c r="G131" s="155">
        <v>2981.85</v>
      </c>
    </row>
    <row r="132" spans="1:7" hidden="1" x14ac:dyDescent="0.2">
      <c r="A132" s="7" t="s">
        <v>16</v>
      </c>
      <c r="B132" s="7" t="s">
        <v>17</v>
      </c>
      <c r="C132" s="7" t="s">
        <v>18</v>
      </c>
      <c r="D132" s="154">
        <v>82873068000140</v>
      </c>
      <c r="E132" s="47" t="s">
        <v>492</v>
      </c>
      <c r="F132" s="47" t="s">
        <v>418</v>
      </c>
      <c r="G132" s="155">
        <v>65572.710000000006</v>
      </c>
    </row>
    <row r="133" spans="1:7" hidden="1" x14ac:dyDescent="0.2">
      <c r="A133" s="7" t="s">
        <v>16</v>
      </c>
      <c r="B133" s="7" t="s">
        <v>17</v>
      </c>
      <c r="C133" s="7" t="s">
        <v>18</v>
      </c>
      <c r="D133" s="154">
        <v>82873068000573</v>
      </c>
      <c r="E133" s="47" t="s">
        <v>492</v>
      </c>
      <c r="F133" s="47" t="s">
        <v>440</v>
      </c>
      <c r="G133" s="155">
        <v>2762.98</v>
      </c>
    </row>
    <row r="134" spans="1:7" hidden="1" x14ac:dyDescent="0.2">
      <c r="A134" s="7" t="s">
        <v>16</v>
      </c>
      <c r="B134" s="7" t="s">
        <v>17</v>
      </c>
      <c r="C134" s="7" t="s">
        <v>18</v>
      </c>
      <c r="D134" s="154">
        <v>82873068000573</v>
      </c>
      <c r="E134" s="47" t="s">
        <v>492</v>
      </c>
      <c r="F134" s="47" t="s">
        <v>418</v>
      </c>
      <c r="G134" s="155">
        <v>22444.36</v>
      </c>
    </row>
    <row r="135" spans="1:7" hidden="1" x14ac:dyDescent="0.2">
      <c r="A135" s="7" t="s">
        <v>16</v>
      </c>
      <c r="B135" s="7" t="s">
        <v>17</v>
      </c>
      <c r="C135" s="7" t="s">
        <v>18</v>
      </c>
      <c r="D135" s="154">
        <v>82873068000654</v>
      </c>
      <c r="E135" s="47" t="s">
        <v>492</v>
      </c>
      <c r="F135" s="47" t="s">
        <v>418</v>
      </c>
      <c r="G135" s="155">
        <v>102099.81</v>
      </c>
    </row>
    <row r="136" spans="1:7" hidden="1" x14ac:dyDescent="0.2">
      <c r="A136" s="7" t="s">
        <v>16</v>
      </c>
      <c r="B136" s="7" t="s">
        <v>17</v>
      </c>
      <c r="C136" s="7" t="s">
        <v>18</v>
      </c>
      <c r="D136" s="154">
        <v>87020517000120</v>
      </c>
      <c r="E136" s="47" t="s">
        <v>493</v>
      </c>
      <c r="F136" s="47" t="s">
        <v>440</v>
      </c>
      <c r="G136" s="155">
        <v>9610.4</v>
      </c>
    </row>
    <row r="137" spans="1:7" hidden="1" x14ac:dyDescent="0.2">
      <c r="A137" s="7" t="s">
        <v>16</v>
      </c>
      <c r="B137" s="7" t="s">
        <v>17</v>
      </c>
      <c r="C137" s="7" t="s">
        <v>18</v>
      </c>
      <c r="D137" s="154">
        <v>92787118000391</v>
      </c>
      <c r="E137" s="47" t="s">
        <v>494</v>
      </c>
      <c r="F137" s="47" t="s">
        <v>440</v>
      </c>
      <c r="G137" s="155">
        <v>8885.52</v>
      </c>
    </row>
    <row r="138" spans="1:7" hidden="1" x14ac:dyDescent="0.2">
      <c r="A138" s="7" t="s">
        <v>16</v>
      </c>
      <c r="B138" s="7" t="s">
        <v>17</v>
      </c>
      <c r="C138" s="7" t="s">
        <v>18</v>
      </c>
      <c r="D138" s="154">
        <v>94516671000153</v>
      </c>
      <c r="E138" s="47" t="s">
        <v>495</v>
      </c>
      <c r="F138" s="47" t="s">
        <v>417</v>
      </c>
      <c r="G138" s="155">
        <v>83641.87</v>
      </c>
    </row>
    <row r="139" spans="1:7" hidden="1" x14ac:dyDescent="0.2">
      <c r="A139" s="7" t="s">
        <v>16</v>
      </c>
      <c r="B139" s="7" t="s">
        <v>17</v>
      </c>
      <c r="C139" s="7" t="s">
        <v>18</v>
      </c>
      <c r="D139" s="154">
        <v>94516671000153</v>
      </c>
      <c r="E139" s="47" t="s">
        <v>495</v>
      </c>
      <c r="F139" s="47" t="s">
        <v>440</v>
      </c>
      <c r="G139" s="155">
        <v>130288.35</v>
      </c>
    </row>
    <row r="140" spans="1:7" hidden="1" x14ac:dyDescent="0.2">
      <c r="A140" s="7" t="s">
        <v>16</v>
      </c>
      <c r="B140" s="7" t="s">
        <v>17</v>
      </c>
      <c r="C140" s="7" t="s">
        <v>18</v>
      </c>
      <c r="D140" s="154">
        <v>94516671000153</v>
      </c>
      <c r="E140" s="47" t="s">
        <v>495</v>
      </c>
      <c r="F140" s="47" t="s">
        <v>418</v>
      </c>
      <c r="G140" s="155">
        <v>56330.93</v>
      </c>
    </row>
    <row r="141" spans="1:7" hidden="1" x14ac:dyDescent="0.2">
      <c r="A141" s="7" t="s">
        <v>16</v>
      </c>
      <c r="B141" s="7" t="s">
        <v>17</v>
      </c>
      <c r="C141" s="7" t="s">
        <v>18</v>
      </c>
      <c r="D141" s="154">
        <v>94516671000234</v>
      </c>
      <c r="E141" s="47" t="s">
        <v>495</v>
      </c>
      <c r="F141" s="47" t="s">
        <v>417</v>
      </c>
      <c r="G141" s="155">
        <v>73801.649999999994</v>
      </c>
    </row>
    <row r="142" spans="1:7" hidden="1" x14ac:dyDescent="0.2">
      <c r="A142" s="7" t="s">
        <v>16</v>
      </c>
      <c r="B142" s="7" t="s">
        <v>17</v>
      </c>
      <c r="C142" s="7" t="s">
        <v>18</v>
      </c>
      <c r="D142" s="154">
        <v>94516671000234</v>
      </c>
      <c r="E142" s="47" t="s">
        <v>495</v>
      </c>
      <c r="F142" s="47" t="s">
        <v>440</v>
      </c>
      <c r="G142" s="155">
        <v>191784.51</v>
      </c>
    </row>
    <row r="143" spans="1:7" hidden="1" x14ac:dyDescent="0.2">
      <c r="A143" s="7" t="s">
        <v>16</v>
      </c>
      <c r="B143" s="7" t="s">
        <v>17</v>
      </c>
      <c r="C143" s="7" t="s">
        <v>18</v>
      </c>
      <c r="D143" s="154">
        <v>94516671000234</v>
      </c>
      <c r="E143" s="47" t="s">
        <v>495</v>
      </c>
      <c r="F143" s="47" t="s">
        <v>418</v>
      </c>
      <c r="G143" s="155">
        <v>56330.93</v>
      </c>
    </row>
    <row r="144" spans="1:7" hidden="1" x14ac:dyDescent="0.2">
      <c r="A144" s="7" t="s">
        <v>16</v>
      </c>
      <c r="B144" s="7" t="s">
        <v>21</v>
      </c>
      <c r="C144" s="7" t="s">
        <v>18</v>
      </c>
      <c r="D144" s="154">
        <v>394544000851</v>
      </c>
      <c r="E144" s="47" t="s">
        <v>1257</v>
      </c>
      <c r="F144" s="47" t="s">
        <v>440</v>
      </c>
      <c r="G144" s="155">
        <v>137247.73000000001</v>
      </c>
    </row>
    <row r="145" spans="1:7" hidden="1" x14ac:dyDescent="0.2">
      <c r="A145" s="7" t="s">
        <v>16</v>
      </c>
      <c r="B145" s="7" t="s">
        <v>21</v>
      </c>
      <c r="C145" s="7" t="s">
        <v>18</v>
      </c>
      <c r="D145" s="154">
        <v>394544017150</v>
      </c>
      <c r="E145" s="47" t="s">
        <v>496</v>
      </c>
      <c r="F145" s="47" t="s">
        <v>440</v>
      </c>
      <c r="G145" s="155">
        <v>17600</v>
      </c>
    </row>
    <row r="146" spans="1:7" hidden="1" x14ac:dyDescent="0.2">
      <c r="A146" s="7" t="s">
        <v>16</v>
      </c>
      <c r="B146" s="7" t="s">
        <v>21</v>
      </c>
      <c r="C146" s="7" t="s">
        <v>18</v>
      </c>
      <c r="D146" s="154">
        <v>735260000105</v>
      </c>
      <c r="E146" s="47" t="s">
        <v>497</v>
      </c>
      <c r="F146" s="47" t="s">
        <v>418</v>
      </c>
      <c r="G146" s="155">
        <v>5985.15</v>
      </c>
    </row>
    <row r="147" spans="1:7" hidden="1" x14ac:dyDescent="0.2">
      <c r="A147" s="7" t="s">
        <v>16</v>
      </c>
      <c r="B147" s="7" t="s">
        <v>21</v>
      </c>
      <c r="C147" s="7" t="s">
        <v>18</v>
      </c>
      <c r="D147" s="154">
        <v>1479465000130</v>
      </c>
      <c r="E147" s="47" t="s">
        <v>448</v>
      </c>
      <c r="F147" s="47" t="s">
        <v>440</v>
      </c>
      <c r="G147" s="155">
        <v>540058.64</v>
      </c>
    </row>
    <row r="148" spans="1:7" hidden="1" x14ac:dyDescent="0.2">
      <c r="A148" s="7" t="s">
        <v>16</v>
      </c>
      <c r="B148" s="7" t="s">
        <v>21</v>
      </c>
      <c r="C148" s="7" t="s">
        <v>18</v>
      </c>
      <c r="D148" s="154">
        <v>2873606000167</v>
      </c>
      <c r="E148" s="47" t="s">
        <v>449</v>
      </c>
      <c r="F148" s="47" t="s">
        <v>440</v>
      </c>
      <c r="G148" s="155">
        <v>23453.46</v>
      </c>
    </row>
    <row r="149" spans="1:7" hidden="1" x14ac:dyDescent="0.2">
      <c r="A149" s="7" t="s">
        <v>16</v>
      </c>
      <c r="B149" s="7" t="s">
        <v>21</v>
      </c>
      <c r="C149" s="7" t="s">
        <v>18</v>
      </c>
      <c r="D149" s="154">
        <v>2873606000167</v>
      </c>
      <c r="E149" s="47" t="s">
        <v>449</v>
      </c>
      <c r="F149" s="47" t="s">
        <v>418</v>
      </c>
      <c r="G149" s="155">
        <v>50956.61</v>
      </c>
    </row>
    <row r="150" spans="1:7" hidden="1" x14ac:dyDescent="0.2">
      <c r="A150" s="7" t="s">
        <v>16</v>
      </c>
      <c r="B150" s="7" t="s">
        <v>21</v>
      </c>
      <c r="C150" s="7" t="s">
        <v>18</v>
      </c>
      <c r="D150" s="154">
        <v>3866223000124</v>
      </c>
      <c r="E150" s="47" t="s">
        <v>1258</v>
      </c>
      <c r="F150" s="47" t="s">
        <v>440</v>
      </c>
      <c r="G150" s="155">
        <v>229191.12</v>
      </c>
    </row>
    <row r="151" spans="1:7" hidden="1" x14ac:dyDescent="0.2">
      <c r="A151" s="7" t="s">
        <v>16</v>
      </c>
      <c r="B151" s="7" t="s">
        <v>21</v>
      </c>
      <c r="C151" s="7" t="s">
        <v>18</v>
      </c>
      <c r="D151" s="154">
        <v>4027894000326</v>
      </c>
      <c r="E151" s="47" t="s">
        <v>450</v>
      </c>
      <c r="F151" s="47" t="s">
        <v>417</v>
      </c>
      <c r="G151" s="155">
        <v>208715.05</v>
      </c>
    </row>
    <row r="152" spans="1:7" hidden="1" x14ac:dyDescent="0.2">
      <c r="A152" s="7" t="s">
        <v>16</v>
      </c>
      <c r="B152" s="7" t="s">
        <v>21</v>
      </c>
      <c r="C152" s="7" t="s">
        <v>18</v>
      </c>
      <c r="D152" s="154">
        <v>4027894000326</v>
      </c>
      <c r="E152" s="47" t="s">
        <v>450</v>
      </c>
      <c r="F152" s="47" t="s">
        <v>440</v>
      </c>
      <c r="G152" s="155">
        <v>762983.1</v>
      </c>
    </row>
    <row r="153" spans="1:7" hidden="1" x14ac:dyDescent="0.2">
      <c r="A153" s="7" t="s">
        <v>16</v>
      </c>
      <c r="B153" s="7" t="s">
        <v>21</v>
      </c>
      <c r="C153" s="7" t="s">
        <v>18</v>
      </c>
      <c r="D153" s="154">
        <v>4027894000326</v>
      </c>
      <c r="E153" s="47" t="s">
        <v>450</v>
      </c>
      <c r="F153" s="47" t="s">
        <v>418</v>
      </c>
      <c r="G153" s="155">
        <v>172161.46</v>
      </c>
    </row>
    <row r="154" spans="1:7" hidden="1" x14ac:dyDescent="0.2">
      <c r="A154" s="7" t="s">
        <v>16</v>
      </c>
      <c r="B154" s="7" t="s">
        <v>21</v>
      </c>
      <c r="C154" s="7" t="s">
        <v>18</v>
      </c>
      <c r="D154" s="154">
        <v>4307650001298</v>
      </c>
      <c r="E154" s="47" t="s">
        <v>451</v>
      </c>
      <c r="F154" s="47" t="s">
        <v>440</v>
      </c>
      <c r="G154" s="155">
        <v>639187.74</v>
      </c>
    </row>
    <row r="155" spans="1:7" hidden="1" x14ac:dyDescent="0.2">
      <c r="A155" s="7" t="s">
        <v>16</v>
      </c>
      <c r="B155" s="7" t="s">
        <v>21</v>
      </c>
      <c r="C155" s="7" t="s">
        <v>18</v>
      </c>
      <c r="D155" s="154">
        <v>4307650001298</v>
      </c>
      <c r="E155" s="47" t="s">
        <v>451</v>
      </c>
      <c r="F155" s="47" t="s">
        <v>418</v>
      </c>
      <c r="G155" s="155">
        <v>103508.06</v>
      </c>
    </row>
    <row r="156" spans="1:7" hidden="1" x14ac:dyDescent="0.2">
      <c r="A156" s="7" t="s">
        <v>16</v>
      </c>
      <c r="B156" s="7" t="s">
        <v>21</v>
      </c>
      <c r="C156" s="7" t="s">
        <v>18</v>
      </c>
      <c r="D156" s="154">
        <v>4355394000151</v>
      </c>
      <c r="E156" s="47" t="s">
        <v>452</v>
      </c>
      <c r="F156" s="47" t="s">
        <v>417</v>
      </c>
      <c r="G156" s="155">
        <v>145126.54999999999</v>
      </c>
    </row>
    <row r="157" spans="1:7" hidden="1" x14ac:dyDescent="0.2">
      <c r="A157" s="7" t="s">
        <v>16</v>
      </c>
      <c r="B157" s="7" t="s">
        <v>21</v>
      </c>
      <c r="C157" s="7" t="s">
        <v>18</v>
      </c>
      <c r="D157" s="154">
        <v>4355394000151</v>
      </c>
      <c r="E157" s="47" t="s">
        <v>452</v>
      </c>
      <c r="F157" s="47" t="s">
        <v>440</v>
      </c>
      <c r="G157" s="155">
        <v>781027.64</v>
      </c>
    </row>
    <row r="158" spans="1:7" hidden="1" x14ac:dyDescent="0.2">
      <c r="A158" s="7" t="s">
        <v>16</v>
      </c>
      <c r="B158" s="7" t="s">
        <v>21</v>
      </c>
      <c r="C158" s="7" t="s">
        <v>18</v>
      </c>
      <c r="D158" s="154">
        <v>4355394000151</v>
      </c>
      <c r="E158" s="47" t="s">
        <v>452</v>
      </c>
      <c r="F158" s="47" t="s">
        <v>418</v>
      </c>
      <c r="G158" s="155">
        <v>72174</v>
      </c>
    </row>
    <row r="159" spans="1:7" hidden="1" x14ac:dyDescent="0.2">
      <c r="A159" s="7" t="s">
        <v>16</v>
      </c>
      <c r="B159" s="7" t="s">
        <v>21</v>
      </c>
      <c r="C159" s="7" t="s">
        <v>18</v>
      </c>
      <c r="D159" s="154">
        <v>5268490000125</v>
      </c>
      <c r="E159" s="47" t="s">
        <v>453</v>
      </c>
      <c r="F159" s="47" t="s">
        <v>417</v>
      </c>
      <c r="G159" s="155">
        <v>31570.7</v>
      </c>
    </row>
    <row r="160" spans="1:7" hidden="1" x14ac:dyDescent="0.2">
      <c r="A160" s="7" t="s">
        <v>16</v>
      </c>
      <c r="B160" s="7" t="s">
        <v>21</v>
      </c>
      <c r="C160" s="7" t="s">
        <v>18</v>
      </c>
      <c r="D160" s="154">
        <v>5268490000125</v>
      </c>
      <c r="E160" s="47" t="s">
        <v>453</v>
      </c>
      <c r="F160" s="47" t="s">
        <v>440</v>
      </c>
      <c r="G160" s="155">
        <v>158778.78</v>
      </c>
    </row>
    <row r="161" spans="1:7" hidden="1" x14ac:dyDescent="0.2">
      <c r="A161" s="7" t="s">
        <v>16</v>
      </c>
      <c r="B161" s="7" t="s">
        <v>21</v>
      </c>
      <c r="C161" s="7" t="s">
        <v>18</v>
      </c>
      <c r="D161" s="154">
        <v>5816630000152</v>
      </c>
      <c r="E161" s="47" t="s">
        <v>454</v>
      </c>
      <c r="F161" s="47" t="s">
        <v>440</v>
      </c>
      <c r="G161" s="155">
        <v>600583</v>
      </c>
    </row>
    <row r="162" spans="1:7" hidden="1" x14ac:dyDescent="0.2">
      <c r="A162" s="7" t="s">
        <v>16</v>
      </c>
      <c r="B162" s="7" t="s">
        <v>21</v>
      </c>
      <c r="C162" s="7" t="s">
        <v>18</v>
      </c>
      <c r="D162" s="154">
        <v>6081203000136</v>
      </c>
      <c r="E162" s="47" t="s">
        <v>451</v>
      </c>
      <c r="F162" s="47" t="s">
        <v>440</v>
      </c>
      <c r="G162" s="155">
        <v>654865.91</v>
      </c>
    </row>
    <row r="163" spans="1:7" hidden="1" x14ac:dyDescent="0.2">
      <c r="A163" s="7" t="s">
        <v>16</v>
      </c>
      <c r="B163" s="7" t="s">
        <v>21</v>
      </c>
      <c r="C163" s="7" t="s">
        <v>18</v>
      </c>
      <c r="D163" s="154">
        <v>6081203000136</v>
      </c>
      <c r="E163" s="47" t="s">
        <v>451</v>
      </c>
      <c r="F163" s="47" t="s">
        <v>418</v>
      </c>
      <c r="G163" s="155">
        <v>44360.62</v>
      </c>
    </row>
    <row r="164" spans="1:7" hidden="1" x14ac:dyDescent="0.2">
      <c r="A164" s="7" t="s">
        <v>16</v>
      </c>
      <c r="B164" s="7" t="s">
        <v>21</v>
      </c>
      <c r="C164" s="7" t="s">
        <v>18</v>
      </c>
      <c r="D164" s="154">
        <v>6234797000178</v>
      </c>
      <c r="E164" s="47" t="s">
        <v>455</v>
      </c>
      <c r="F164" s="47" t="s">
        <v>417</v>
      </c>
      <c r="G164" s="155">
        <v>18860.419999999998</v>
      </c>
    </row>
    <row r="165" spans="1:7" hidden="1" x14ac:dyDescent="0.2">
      <c r="A165" s="7" t="s">
        <v>16</v>
      </c>
      <c r="B165" s="7" t="s">
        <v>21</v>
      </c>
      <c r="C165" s="7" t="s">
        <v>18</v>
      </c>
      <c r="D165" s="154">
        <v>6234797000178</v>
      </c>
      <c r="E165" s="47" t="s">
        <v>455</v>
      </c>
      <c r="F165" s="47" t="s">
        <v>440</v>
      </c>
      <c r="G165" s="155">
        <v>259722.96</v>
      </c>
    </row>
    <row r="166" spans="1:7" hidden="1" x14ac:dyDescent="0.2">
      <c r="A166" s="7" t="s">
        <v>16</v>
      </c>
      <c r="B166" s="7" t="s">
        <v>21</v>
      </c>
      <c r="C166" s="7" t="s">
        <v>18</v>
      </c>
      <c r="D166" s="154">
        <v>6234797000178</v>
      </c>
      <c r="E166" s="47" t="s">
        <v>455</v>
      </c>
      <c r="F166" s="47" t="s">
        <v>418</v>
      </c>
      <c r="G166" s="155">
        <v>119703.2</v>
      </c>
    </row>
    <row r="167" spans="1:7" hidden="1" x14ac:dyDescent="0.2">
      <c r="A167" s="7" t="s">
        <v>16</v>
      </c>
      <c r="B167" s="7" t="s">
        <v>21</v>
      </c>
      <c r="C167" s="7" t="s">
        <v>18</v>
      </c>
      <c r="D167" s="154">
        <v>7224991001530</v>
      </c>
      <c r="E167" s="47" t="s">
        <v>456</v>
      </c>
      <c r="F167" s="47" t="s">
        <v>440</v>
      </c>
      <c r="G167" s="155">
        <v>44331.4</v>
      </c>
    </row>
    <row r="168" spans="1:7" hidden="1" x14ac:dyDescent="0.2">
      <c r="A168" s="7" t="s">
        <v>16</v>
      </c>
      <c r="B168" s="7" t="s">
        <v>21</v>
      </c>
      <c r="C168" s="7" t="s">
        <v>18</v>
      </c>
      <c r="D168" s="154">
        <v>7224991001530</v>
      </c>
      <c r="E168" s="47" t="s">
        <v>456</v>
      </c>
      <c r="F168" s="47" t="s">
        <v>418</v>
      </c>
      <c r="G168" s="155">
        <v>57492.74</v>
      </c>
    </row>
    <row r="169" spans="1:7" hidden="1" x14ac:dyDescent="0.2">
      <c r="A169" s="7" t="s">
        <v>16</v>
      </c>
      <c r="B169" s="7" t="s">
        <v>21</v>
      </c>
      <c r="C169" s="7" t="s">
        <v>18</v>
      </c>
      <c r="D169" s="154">
        <v>7484373000124</v>
      </c>
      <c r="E169" s="47" t="s">
        <v>458</v>
      </c>
      <c r="F169" s="47" t="s">
        <v>417</v>
      </c>
      <c r="G169" s="155">
        <v>9922.2199999999993</v>
      </c>
    </row>
    <row r="170" spans="1:7" hidden="1" x14ac:dyDescent="0.2">
      <c r="A170" s="7" t="s">
        <v>16</v>
      </c>
      <c r="B170" s="7" t="s">
        <v>21</v>
      </c>
      <c r="C170" s="7" t="s">
        <v>18</v>
      </c>
      <c r="D170" s="154">
        <v>7484373000124</v>
      </c>
      <c r="E170" s="47" t="s">
        <v>458</v>
      </c>
      <c r="F170" s="47" t="s">
        <v>418</v>
      </c>
      <c r="G170" s="155">
        <v>85781.77</v>
      </c>
    </row>
    <row r="171" spans="1:7" hidden="1" x14ac:dyDescent="0.2">
      <c r="A171" s="7" t="s">
        <v>16</v>
      </c>
      <c r="B171" s="7" t="s">
        <v>21</v>
      </c>
      <c r="C171" s="7" t="s">
        <v>18</v>
      </c>
      <c r="D171" s="154">
        <v>7734165000136</v>
      </c>
      <c r="E171" s="47" t="s">
        <v>459</v>
      </c>
      <c r="F171" s="47" t="s">
        <v>440</v>
      </c>
      <c r="G171" s="155">
        <v>409974.38</v>
      </c>
    </row>
    <row r="172" spans="1:7" hidden="1" x14ac:dyDescent="0.2">
      <c r="A172" s="7" t="s">
        <v>16</v>
      </c>
      <c r="B172" s="7" t="s">
        <v>21</v>
      </c>
      <c r="C172" s="7" t="s">
        <v>18</v>
      </c>
      <c r="D172" s="154">
        <v>7812105000194</v>
      </c>
      <c r="E172" s="47" t="s">
        <v>460</v>
      </c>
      <c r="F172" s="47" t="s">
        <v>440</v>
      </c>
      <c r="G172" s="155">
        <v>416532.63</v>
      </c>
    </row>
    <row r="173" spans="1:7" hidden="1" x14ac:dyDescent="0.2">
      <c r="A173" s="7" t="s">
        <v>16</v>
      </c>
      <c r="B173" s="7" t="s">
        <v>21</v>
      </c>
      <c r="C173" s="7" t="s">
        <v>18</v>
      </c>
      <c r="D173" s="154">
        <v>8597121000174</v>
      </c>
      <c r="E173" s="47" t="s">
        <v>462</v>
      </c>
      <c r="F173" s="47" t="s">
        <v>440</v>
      </c>
      <c r="G173" s="155">
        <v>-1912472</v>
      </c>
    </row>
    <row r="174" spans="1:7" hidden="1" x14ac:dyDescent="0.2">
      <c r="A174" s="7" t="s">
        <v>16</v>
      </c>
      <c r="B174" s="7" t="s">
        <v>21</v>
      </c>
      <c r="C174" s="7" t="s">
        <v>18</v>
      </c>
      <c r="D174" s="154">
        <v>8618022000121</v>
      </c>
      <c r="E174" s="47" t="s">
        <v>463</v>
      </c>
      <c r="F174" s="47" t="s">
        <v>417</v>
      </c>
      <c r="G174" s="155">
        <v>237796.02</v>
      </c>
    </row>
    <row r="175" spans="1:7" hidden="1" x14ac:dyDescent="0.2">
      <c r="A175" s="7" t="s">
        <v>16</v>
      </c>
      <c r="B175" s="7" t="s">
        <v>21</v>
      </c>
      <c r="C175" s="7" t="s">
        <v>18</v>
      </c>
      <c r="D175" s="154">
        <v>8618022000121</v>
      </c>
      <c r="E175" s="47" t="s">
        <v>463</v>
      </c>
      <c r="F175" s="47" t="s">
        <v>440</v>
      </c>
      <c r="G175" s="155">
        <v>1975285.99</v>
      </c>
    </row>
    <row r="176" spans="1:7" hidden="1" x14ac:dyDescent="0.2">
      <c r="A176" s="7" t="s">
        <v>16</v>
      </c>
      <c r="B176" s="7" t="s">
        <v>21</v>
      </c>
      <c r="C176" s="7" t="s">
        <v>18</v>
      </c>
      <c r="D176" s="154">
        <v>8719794000150</v>
      </c>
      <c r="E176" s="47" t="s">
        <v>460</v>
      </c>
      <c r="F176" s="47" t="s">
        <v>440</v>
      </c>
      <c r="G176" s="155">
        <v>51775.45</v>
      </c>
    </row>
    <row r="177" spans="1:7" hidden="1" x14ac:dyDescent="0.2">
      <c r="A177" s="7" t="s">
        <v>16</v>
      </c>
      <c r="B177" s="7" t="s">
        <v>21</v>
      </c>
      <c r="C177" s="7" t="s">
        <v>18</v>
      </c>
      <c r="D177" s="154">
        <v>9053134000226</v>
      </c>
      <c r="E177" s="47" t="s">
        <v>464</v>
      </c>
      <c r="F177" s="47" t="s">
        <v>440</v>
      </c>
      <c r="G177" s="155">
        <v>5858.07</v>
      </c>
    </row>
    <row r="178" spans="1:7" hidden="1" x14ac:dyDescent="0.2">
      <c r="A178" s="7" t="s">
        <v>16</v>
      </c>
      <c r="B178" s="7" t="s">
        <v>21</v>
      </c>
      <c r="C178" s="7" t="s">
        <v>18</v>
      </c>
      <c r="D178" s="154">
        <v>9579964000291</v>
      </c>
      <c r="E178" s="47" t="s">
        <v>498</v>
      </c>
      <c r="F178" s="47" t="s">
        <v>440</v>
      </c>
      <c r="G178" s="155">
        <v>245540</v>
      </c>
    </row>
    <row r="179" spans="1:7" hidden="1" x14ac:dyDescent="0.2">
      <c r="A179" s="7" t="s">
        <v>16</v>
      </c>
      <c r="B179" s="7" t="s">
        <v>21</v>
      </c>
      <c r="C179" s="7" t="s">
        <v>18</v>
      </c>
      <c r="D179" s="154">
        <v>9660958000345</v>
      </c>
      <c r="E179" s="47" t="s">
        <v>1512</v>
      </c>
      <c r="F179" s="47" t="s">
        <v>417</v>
      </c>
      <c r="G179" s="155">
        <v>134995.89000000001</v>
      </c>
    </row>
    <row r="180" spans="1:7" hidden="1" x14ac:dyDescent="0.2">
      <c r="A180" s="7" t="s">
        <v>16</v>
      </c>
      <c r="B180" s="7" t="s">
        <v>21</v>
      </c>
      <c r="C180" s="7" t="s">
        <v>18</v>
      </c>
      <c r="D180" s="154">
        <v>9660958000345</v>
      </c>
      <c r="E180" s="47" t="s">
        <v>1512</v>
      </c>
      <c r="F180" s="47" t="s">
        <v>440</v>
      </c>
      <c r="G180" s="155">
        <v>204103.33</v>
      </c>
    </row>
    <row r="181" spans="1:7" hidden="1" x14ac:dyDescent="0.2">
      <c r="A181" s="7" t="s">
        <v>16</v>
      </c>
      <c r="B181" s="7" t="s">
        <v>21</v>
      </c>
      <c r="C181" s="7" t="s">
        <v>18</v>
      </c>
      <c r="D181" s="154">
        <v>9660958000345</v>
      </c>
      <c r="E181" s="47" t="s">
        <v>1512</v>
      </c>
      <c r="F181" s="47" t="s">
        <v>418</v>
      </c>
      <c r="G181" s="155">
        <v>125709.55</v>
      </c>
    </row>
    <row r="182" spans="1:7" hidden="1" x14ac:dyDescent="0.2">
      <c r="A182" s="7" t="s">
        <v>16</v>
      </c>
      <c r="B182" s="7" t="s">
        <v>21</v>
      </c>
      <c r="C182" s="7" t="s">
        <v>18</v>
      </c>
      <c r="D182" s="154">
        <v>10942995000163</v>
      </c>
      <c r="E182" s="47" t="s">
        <v>1259</v>
      </c>
      <c r="F182" s="47" t="s">
        <v>440</v>
      </c>
      <c r="G182" s="155">
        <v>7383.28</v>
      </c>
    </row>
    <row r="183" spans="1:7" hidden="1" x14ac:dyDescent="0.2">
      <c r="A183" s="7" t="s">
        <v>16</v>
      </c>
      <c r="B183" s="7" t="s">
        <v>21</v>
      </c>
      <c r="C183" s="7" t="s">
        <v>18</v>
      </c>
      <c r="D183" s="154">
        <v>11022597001597</v>
      </c>
      <c r="E183" s="47" t="s">
        <v>499</v>
      </c>
      <c r="F183" s="47" t="s">
        <v>440</v>
      </c>
      <c r="G183" s="155">
        <v>21422.5</v>
      </c>
    </row>
    <row r="184" spans="1:7" hidden="1" x14ac:dyDescent="0.2">
      <c r="A184" s="7" t="s">
        <v>16</v>
      </c>
      <c r="B184" s="7" t="s">
        <v>21</v>
      </c>
      <c r="C184" s="7" t="s">
        <v>18</v>
      </c>
      <c r="D184" s="154">
        <v>11206099000107</v>
      </c>
      <c r="E184" s="47" t="s">
        <v>500</v>
      </c>
      <c r="F184" s="47" t="s">
        <v>417</v>
      </c>
      <c r="G184" s="155">
        <v>196804.4</v>
      </c>
    </row>
    <row r="185" spans="1:7" hidden="1" x14ac:dyDescent="0.2">
      <c r="A185" s="7" t="s">
        <v>16</v>
      </c>
      <c r="B185" s="7" t="s">
        <v>21</v>
      </c>
      <c r="C185" s="7" t="s">
        <v>18</v>
      </c>
      <c r="D185" s="154">
        <v>11206099000107</v>
      </c>
      <c r="E185" s="47" t="s">
        <v>500</v>
      </c>
      <c r="F185" s="47" t="s">
        <v>440</v>
      </c>
      <c r="G185" s="155">
        <v>245998.74</v>
      </c>
    </row>
    <row r="186" spans="1:7" hidden="1" x14ac:dyDescent="0.2">
      <c r="A186" s="7" t="s">
        <v>16</v>
      </c>
      <c r="B186" s="7" t="s">
        <v>21</v>
      </c>
      <c r="C186" s="7" t="s">
        <v>18</v>
      </c>
      <c r="D186" s="154">
        <v>11206099000107</v>
      </c>
      <c r="E186" s="47" t="s">
        <v>500</v>
      </c>
      <c r="F186" s="47" t="s">
        <v>418</v>
      </c>
      <c r="G186" s="155">
        <v>177442.42</v>
      </c>
    </row>
    <row r="187" spans="1:7" hidden="1" x14ac:dyDescent="0.2">
      <c r="A187" s="7" t="s">
        <v>16</v>
      </c>
      <c r="B187" s="7" t="s">
        <v>21</v>
      </c>
      <c r="C187" s="7" t="s">
        <v>18</v>
      </c>
      <c r="D187" s="154">
        <v>11273170000166</v>
      </c>
      <c r="E187" s="47" t="s">
        <v>501</v>
      </c>
      <c r="F187" s="47" t="s">
        <v>440</v>
      </c>
      <c r="G187" s="155">
        <v>98216</v>
      </c>
    </row>
    <row r="188" spans="1:7" hidden="1" x14ac:dyDescent="0.2">
      <c r="A188" s="7" t="s">
        <v>16</v>
      </c>
      <c r="B188" s="7" t="s">
        <v>21</v>
      </c>
      <c r="C188" s="7" t="s">
        <v>18</v>
      </c>
      <c r="D188" s="154">
        <v>12420164000319</v>
      </c>
      <c r="E188" s="47" t="s">
        <v>470</v>
      </c>
      <c r="F188" s="47" t="s">
        <v>417</v>
      </c>
      <c r="G188" s="155">
        <v>615674.61</v>
      </c>
    </row>
    <row r="189" spans="1:7" hidden="1" x14ac:dyDescent="0.2">
      <c r="A189" s="7" t="s">
        <v>16</v>
      </c>
      <c r="B189" s="7" t="s">
        <v>21</v>
      </c>
      <c r="C189" s="7" t="s">
        <v>18</v>
      </c>
      <c r="D189" s="154">
        <v>12420164000319</v>
      </c>
      <c r="E189" s="47" t="s">
        <v>470</v>
      </c>
      <c r="F189" s="47" t="s">
        <v>440</v>
      </c>
      <c r="G189" s="155">
        <v>1753095.09</v>
      </c>
    </row>
    <row r="190" spans="1:7" hidden="1" x14ac:dyDescent="0.2">
      <c r="A190" s="7" t="s">
        <v>16</v>
      </c>
      <c r="B190" s="7" t="s">
        <v>21</v>
      </c>
      <c r="C190" s="7" t="s">
        <v>18</v>
      </c>
      <c r="D190" s="154">
        <v>12420164000319</v>
      </c>
      <c r="E190" s="47" t="s">
        <v>470</v>
      </c>
      <c r="F190" s="47" t="s">
        <v>418</v>
      </c>
      <c r="G190" s="155">
        <v>18396.18</v>
      </c>
    </row>
    <row r="191" spans="1:7" hidden="1" x14ac:dyDescent="0.2">
      <c r="A191" s="7" t="s">
        <v>16</v>
      </c>
      <c r="B191" s="7" t="s">
        <v>21</v>
      </c>
      <c r="C191" s="7" t="s">
        <v>18</v>
      </c>
      <c r="D191" s="154">
        <v>12420164000904</v>
      </c>
      <c r="E191" s="47" t="s">
        <v>470</v>
      </c>
      <c r="F191" s="47" t="s">
        <v>417</v>
      </c>
      <c r="G191" s="155">
        <v>215796.59</v>
      </c>
    </row>
    <row r="192" spans="1:7" hidden="1" x14ac:dyDescent="0.2">
      <c r="A192" s="7" t="s">
        <v>16</v>
      </c>
      <c r="B192" s="7" t="s">
        <v>21</v>
      </c>
      <c r="C192" s="7" t="s">
        <v>18</v>
      </c>
      <c r="D192" s="154">
        <v>12420164000904</v>
      </c>
      <c r="E192" s="47" t="s">
        <v>470</v>
      </c>
      <c r="F192" s="47" t="s">
        <v>440</v>
      </c>
      <c r="G192" s="155">
        <v>887425.81</v>
      </c>
    </row>
    <row r="193" spans="1:7" hidden="1" x14ac:dyDescent="0.2">
      <c r="A193" s="7" t="s">
        <v>16</v>
      </c>
      <c r="B193" s="7" t="s">
        <v>21</v>
      </c>
      <c r="C193" s="7" t="s">
        <v>18</v>
      </c>
      <c r="D193" s="154">
        <v>12420164000904</v>
      </c>
      <c r="E193" s="47" t="s">
        <v>470</v>
      </c>
      <c r="F193" s="47" t="s">
        <v>418</v>
      </c>
      <c r="G193" s="155">
        <v>12434.57</v>
      </c>
    </row>
    <row r="194" spans="1:7" hidden="1" x14ac:dyDescent="0.2">
      <c r="A194" s="7" t="s">
        <v>16</v>
      </c>
      <c r="B194" s="7" t="s">
        <v>21</v>
      </c>
      <c r="C194" s="7" t="s">
        <v>18</v>
      </c>
      <c r="D194" s="154">
        <v>12420164001048</v>
      </c>
      <c r="E194" s="47" t="s">
        <v>470</v>
      </c>
      <c r="F194" s="47" t="s">
        <v>417</v>
      </c>
      <c r="G194" s="155">
        <v>57396.08</v>
      </c>
    </row>
    <row r="195" spans="1:7" hidden="1" x14ac:dyDescent="0.2">
      <c r="A195" s="7" t="s">
        <v>16</v>
      </c>
      <c r="B195" s="7" t="s">
        <v>21</v>
      </c>
      <c r="C195" s="7" t="s">
        <v>18</v>
      </c>
      <c r="D195" s="154">
        <v>12420164001048</v>
      </c>
      <c r="E195" s="47" t="s">
        <v>470</v>
      </c>
      <c r="F195" s="47" t="s">
        <v>440</v>
      </c>
      <c r="G195" s="155">
        <v>489250.48</v>
      </c>
    </row>
    <row r="196" spans="1:7" hidden="1" x14ac:dyDescent="0.2">
      <c r="A196" s="7" t="s">
        <v>16</v>
      </c>
      <c r="B196" s="7" t="s">
        <v>21</v>
      </c>
      <c r="C196" s="7" t="s">
        <v>18</v>
      </c>
      <c r="D196" s="154">
        <v>12420164001048</v>
      </c>
      <c r="E196" s="47" t="s">
        <v>470</v>
      </c>
      <c r="F196" s="47" t="s">
        <v>418</v>
      </c>
      <c r="G196" s="155">
        <v>897.69</v>
      </c>
    </row>
    <row r="197" spans="1:7" hidden="1" x14ac:dyDescent="0.2">
      <c r="A197" s="7" t="s">
        <v>16</v>
      </c>
      <c r="B197" s="7" t="s">
        <v>21</v>
      </c>
      <c r="C197" s="7" t="s">
        <v>18</v>
      </c>
      <c r="D197" s="154">
        <v>12474705000120</v>
      </c>
      <c r="E197" s="47" t="s">
        <v>471</v>
      </c>
      <c r="F197" s="47" t="s">
        <v>440</v>
      </c>
      <c r="G197" s="155">
        <v>26640</v>
      </c>
    </row>
    <row r="198" spans="1:7" hidden="1" x14ac:dyDescent="0.2">
      <c r="A198" s="7" t="s">
        <v>16</v>
      </c>
      <c r="B198" s="7" t="s">
        <v>21</v>
      </c>
      <c r="C198" s="7" t="s">
        <v>18</v>
      </c>
      <c r="D198" s="154">
        <v>12474705000120</v>
      </c>
      <c r="E198" s="47" t="s">
        <v>471</v>
      </c>
      <c r="F198" s="47" t="s">
        <v>418</v>
      </c>
      <c r="G198" s="155">
        <v>18560.3</v>
      </c>
    </row>
    <row r="199" spans="1:7" hidden="1" x14ac:dyDescent="0.2">
      <c r="A199" s="7" t="s">
        <v>16</v>
      </c>
      <c r="B199" s="7" t="s">
        <v>21</v>
      </c>
      <c r="C199" s="7" t="s">
        <v>18</v>
      </c>
      <c r="D199" s="154">
        <v>12891935000194</v>
      </c>
      <c r="E199" s="47" t="s">
        <v>502</v>
      </c>
      <c r="F199" s="47" t="s">
        <v>440</v>
      </c>
      <c r="G199" s="155">
        <v>5913.87</v>
      </c>
    </row>
    <row r="200" spans="1:7" hidden="1" x14ac:dyDescent="0.2">
      <c r="A200" s="7" t="s">
        <v>16</v>
      </c>
      <c r="B200" s="7" t="s">
        <v>21</v>
      </c>
      <c r="C200" s="7" t="s">
        <v>18</v>
      </c>
      <c r="D200" s="154">
        <v>14261377000109</v>
      </c>
      <c r="E200" s="47" t="s">
        <v>472</v>
      </c>
      <c r="F200" s="47" t="s">
        <v>417</v>
      </c>
      <c r="G200" s="155">
        <v>82001.83</v>
      </c>
    </row>
    <row r="201" spans="1:7" hidden="1" x14ac:dyDescent="0.2">
      <c r="A201" s="7" t="s">
        <v>16</v>
      </c>
      <c r="B201" s="7" t="s">
        <v>21</v>
      </c>
      <c r="C201" s="7" t="s">
        <v>18</v>
      </c>
      <c r="D201" s="154">
        <v>14261377000109</v>
      </c>
      <c r="E201" s="47" t="s">
        <v>472</v>
      </c>
      <c r="F201" s="47" t="s">
        <v>440</v>
      </c>
      <c r="G201" s="155">
        <v>45686.03</v>
      </c>
    </row>
    <row r="202" spans="1:7" hidden="1" x14ac:dyDescent="0.2">
      <c r="A202" s="7" t="s">
        <v>16</v>
      </c>
      <c r="B202" s="7" t="s">
        <v>21</v>
      </c>
      <c r="C202" s="7" t="s">
        <v>18</v>
      </c>
      <c r="D202" s="154">
        <v>14261377000109</v>
      </c>
      <c r="E202" s="47" t="s">
        <v>472</v>
      </c>
      <c r="F202" s="47" t="s">
        <v>418</v>
      </c>
      <c r="G202" s="155">
        <v>28746.37</v>
      </c>
    </row>
    <row r="203" spans="1:7" hidden="1" x14ac:dyDescent="0.2">
      <c r="A203" s="7" t="s">
        <v>16</v>
      </c>
      <c r="B203" s="7" t="s">
        <v>21</v>
      </c>
      <c r="C203" s="7" t="s">
        <v>18</v>
      </c>
      <c r="D203" s="154">
        <v>15126437000305</v>
      </c>
      <c r="E203" s="47" t="s">
        <v>1260</v>
      </c>
      <c r="F203" s="47" t="s">
        <v>440</v>
      </c>
      <c r="G203" s="155">
        <v>108037.6</v>
      </c>
    </row>
    <row r="204" spans="1:7" hidden="1" x14ac:dyDescent="0.2">
      <c r="A204" s="7" t="s">
        <v>16</v>
      </c>
      <c r="B204" s="7" t="s">
        <v>21</v>
      </c>
      <c r="C204" s="7" t="s">
        <v>18</v>
      </c>
      <c r="D204" s="154">
        <v>15126437001468</v>
      </c>
      <c r="E204" s="47" t="s">
        <v>503</v>
      </c>
      <c r="F204" s="47" t="s">
        <v>440</v>
      </c>
      <c r="G204" s="155">
        <v>18572.18</v>
      </c>
    </row>
    <row r="205" spans="1:7" hidden="1" x14ac:dyDescent="0.2">
      <c r="A205" s="7" t="s">
        <v>16</v>
      </c>
      <c r="B205" s="7" t="s">
        <v>21</v>
      </c>
      <c r="C205" s="7" t="s">
        <v>18</v>
      </c>
      <c r="D205" s="154">
        <v>15126437002278</v>
      </c>
      <c r="E205" s="47" t="s">
        <v>1240</v>
      </c>
      <c r="F205" s="47" t="s">
        <v>417</v>
      </c>
      <c r="G205" s="155">
        <v>23882.5</v>
      </c>
    </row>
    <row r="206" spans="1:7" hidden="1" x14ac:dyDescent="0.2">
      <c r="A206" s="7" t="s">
        <v>16</v>
      </c>
      <c r="B206" s="7" t="s">
        <v>21</v>
      </c>
      <c r="C206" s="7" t="s">
        <v>18</v>
      </c>
      <c r="D206" s="154">
        <v>15145035000196</v>
      </c>
      <c r="E206" s="47" t="s">
        <v>475</v>
      </c>
      <c r="F206" s="47" t="s">
        <v>417</v>
      </c>
      <c r="G206" s="155">
        <v>20500.45</v>
      </c>
    </row>
    <row r="207" spans="1:7" hidden="1" x14ac:dyDescent="0.2">
      <c r="A207" s="7" t="s">
        <v>16</v>
      </c>
      <c r="B207" s="7" t="s">
        <v>21</v>
      </c>
      <c r="C207" s="7" t="s">
        <v>18</v>
      </c>
      <c r="D207" s="154">
        <v>15145035000196</v>
      </c>
      <c r="E207" s="47" t="s">
        <v>475</v>
      </c>
      <c r="F207" s="47" t="s">
        <v>440</v>
      </c>
      <c r="G207" s="155">
        <v>3727.33</v>
      </c>
    </row>
    <row r="208" spans="1:7" hidden="1" x14ac:dyDescent="0.2">
      <c r="A208" s="7" t="s">
        <v>16</v>
      </c>
      <c r="B208" s="7" t="s">
        <v>21</v>
      </c>
      <c r="C208" s="7" t="s">
        <v>18</v>
      </c>
      <c r="D208" s="154">
        <v>15145035000196</v>
      </c>
      <c r="E208" s="47" t="s">
        <v>475</v>
      </c>
      <c r="F208" s="47" t="s">
        <v>418</v>
      </c>
      <c r="G208" s="155">
        <v>29925.82</v>
      </c>
    </row>
    <row r="209" spans="1:7" hidden="1" x14ac:dyDescent="0.2">
      <c r="A209" s="7" t="s">
        <v>16</v>
      </c>
      <c r="B209" s="7" t="s">
        <v>21</v>
      </c>
      <c r="C209" s="7" t="s">
        <v>18</v>
      </c>
      <c r="D209" s="154">
        <v>17700763000300</v>
      </c>
      <c r="E209" s="47" t="s">
        <v>477</v>
      </c>
      <c r="F209" s="47" t="s">
        <v>417</v>
      </c>
      <c r="G209" s="155">
        <v>322294.09999999998</v>
      </c>
    </row>
    <row r="210" spans="1:7" hidden="1" x14ac:dyDescent="0.2">
      <c r="A210" s="7" t="s">
        <v>16</v>
      </c>
      <c r="B210" s="7" t="s">
        <v>21</v>
      </c>
      <c r="C210" s="7" t="s">
        <v>18</v>
      </c>
      <c r="D210" s="154">
        <v>17700763000300</v>
      </c>
      <c r="E210" s="47" t="s">
        <v>477</v>
      </c>
      <c r="F210" s="47" t="s">
        <v>440</v>
      </c>
      <c r="G210" s="155">
        <v>881297.81</v>
      </c>
    </row>
    <row r="211" spans="1:7" hidden="1" x14ac:dyDescent="0.2">
      <c r="A211" s="7" t="s">
        <v>16</v>
      </c>
      <c r="B211" s="7" t="s">
        <v>21</v>
      </c>
      <c r="C211" s="7" t="s">
        <v>18</v>
      </c>
      <c r="D211" s="154">
        <v>17700763000300</v>
      </c>
      <c r="E211" s="47" t="s">
        <v>477</v>
      </c>
      <c r="F211" s="47" t="s">
        <v>418</v>
      </c>
      <c r="G211" s="155">
        <v>72173.990000000005</v>
      </c>
    </row>
    <row r="212" spans="1:7" hidden="1" x14ac:dyDescent="0.2">
      <c r="A212" s="7" t="s">
        <v>16</v>
      </c>
      <c r="B212" s="7" t="s">
        <v>21</v>
      </c>
      <c r="C212" s="7" t="s">
        <v>18</v>
      </c>
      <c r="D212" s="154">
        <v>18269125000187</v>
      </c>
      <c r="E212" s="47" t="s">
        <v>478</v>
      </c>
      <c r="F212" s="47" t="s">
        <v>440</v>
      </c>
      <c r="G212" s="155">
        <v>106263.46</v>
      </c>
    </row>
    <row r="213" spans="1:7" hidden="1" x14ac:dyDescent="0.2">
      <c r="A213" s="7" t="s">
        <v>16</v>
      </c>
      <c r="B213" s="7" t="s">
        <v>21</v>
      </c>
      <c r="C213" s="7" t="s">
        <v>18</v>
      </c>
      <c r="D213" s="154">
        <v>21895020000148</v>
      </c>
      <c r="E213" s="47" t="s">
        <v>460</v>
      </c>
      <c r="F213" s="47" t="s">
        <v>440</v>
      </c>
      <c r="G213" s="155">
        <v>10000.459999999999</v>
      </c>
    </row>
    <row r="214" spans="1:7" hidden="1" x14ac:dyDescent="0.2">
      <c r="A214" s="7" t="s">
        <v>16</v>
      </c>
      <c r="B214" s="7" t="s">
        <v>21</v>
      </c>
      <c r="C214" s="7" t="s">
        <v>18</v>
      </c>
      <c r="D214" s="154">
        <v>24082016000159</v>
      </c>
      <c r="E214" s="47" t="s">
        <v>1261</v>
      </c>
      <c r="F214" s="47" t="s">
        <v>440</v>
      </c>
      <c r="G214" s="155">
        <v>368000</v>
      </c>
    </row>
    <row r="215" spans="1:7" hidden="1" x14ac:dyDescent="0.2">
      <c r="A215" s="7" t="s">
        <v>16</v>
      </c>
      <c r="B215" s="7" t="s">
        <v>21</v>
      </c>
      <c r="C215" s="7" t="s">
        <v>18</v>
      </c>
      <c r="D215" s="154">
        <v>25211499000107</v>
      </c>
      <c r="E215" s="47" t="s">
        <v>468</v>
      </c>
      <c r="F215" s="47" t="s">
        <v>417</v>
      </c>
      <c r="G215" s="155">
        <v>2838.53</v>
      </c>
    </row>
    <row r="216" spans="1:7" hidden="1" x14ac:dyDescent="0.2">
      <c r="A216" s="7" t="s">
        <v>16</v>
      </c>
      <c r="B216" s="7" t="s">
        <v>21</v>
      </c>
      <c r="C216" s="7" t="s">
        <v>18</v>
      </c>
      <c r="D216" s="154">
        <v>25211499000107</v>
      </c>
      <c r="E216" s="47" t="s">
        <v>468</v>
      </c>
      <c r="F216" s="47" t="s">
        <v>440</v>
      </c>
      <c r="G216" s="155">
        <v>7978.76</v>
      </c>
    </row>
    <row r="217" spans="1:7" hidden="1" x14ac:dyDescent="0.2">
      <c r="A217" s="7" t="s">
        <v>16</v>
      </c>
      <c r="B217" s="7" t="s">
        <v>21</v>
      </c>
      <c r="C217" s="7" t="s">
        <v>18</v>
      </c>
      <c r="D217" s="154">
        <v>25211499000107</v>
      </c>
      <c r="E217" s="47" t="s">
        <v>468</v>
      </c>
      <c r="F217" s="47" t="s">
        <v>418</v>
      </c>
      <c r="G217" s="155">
        <v>15491.01</v>
      </c>
    </row>
    <row r="218" spans="1:7" hidden="1" x14ac:dyDescent="0.2">
      <c r="A218" s="7" t="s">
        <v>16</v>
      </c>
      <c r="B218" s="7" t="s">
        <v>21</v>
      </c>
      <c r="C218" s="7" t="s">
        <v>18</v>
      </c>
      <c r="D218" s="154">
        <v>27080605000358</v>
      </c>
      <c r="E218" s="47" t="s">
        <v>1262</v>
      </c>
      <c r="F218" s="47" t="s">
        <v>440</v>
      </c>
      <c r="G218" s="155">
        <v>54670.2</v>
      </c>
    </row>
    <row r="219" spans="1:7" hidden="1" x14ac:dyDescent="0.2">
      <c r="A219" s="7" t="s">
        <v>16</v>
      </c>
      <c r="B219" s="7" t="s">
        <v>21</v>
      </c>
      <c r="C219" s="7" t="s">
        <v>18</v>
      </c>
      <c r="D219" s="154">
        <v>33663683005347</v>
      </c>
      <c r="E219" s="47" t="s">
        <v>483</v>
      </c>
      <c r="F219" s="47" t="s">
        <v>440</v>
      </c>
      <c r="G219" s="155">
        <v>137552</v>
      </c>
    </row>
    <row r="220" spans="1:7" hidden="1" x14ac:dyDescent="0.2">
      <c r="A220" s="7" t="s">
        <v>16</v>
      </c>
      <c r="B220" s="7" t="s">
        <v>21</v>
      </c>
      <c r="C220" s="7" t="s">
        <v>18</v>
      </c>
      <c r="D220" s="154">
        <v>34023077000280</v>
      </c>
      <c r="E220" s="47" t="s">
        <v>504</v>
      </c>
      <c r="F220" s="47" t="s">
        <v>417</v>
      </c>
      <c r="G220" s="155">
        <v>963.37</v>
      </c>
    </row>
    <row r="221" spans="1:7" hidden="1" x14ac:dyDescent="0.2">
      <c r="A221" s="7" t="s">
        <v>16</v>
      </c>
      <c r="B221" s="7" t="s">
        <v>21</v>
      </c>
      <c r="C221" s="7" t="s">
        <v>18</v>
      </c>
      <c r="D221" s="154">
        <v>34973438000178</v>
      </c>
      <c r="E221" s="47" t="s">
        <v>485</v>
      </c>
      <c r="F221" s="47" t="s">
        <v>417</v>
      </c>
      <c r="G221" s="155">
        <v>3198.07</v>
      </c>
    </row>
    <row r="222" spans="1:7" hidden="1" x14ac:dyDescent="0.2">
      <c r="A222" s="7" t="s">
        <v>16</v>
      </c>
      <c r="B222" s="7" t="s">
        <v>21</v>
      </c>
      <c r="C222" s="7" t="s">
        <v>18</v>
      </c>
      <c r="D222" s="154">
        <v>34973438000178</v>
      </c>
      <c r="E222" s="47" t="s">
        <v>485</v>
      </c>
      <c r="F222" s="47" t="s">
        <v>418</v>
      </c>
      <c r="G222" s="155">
        <v>2244.4299999999998</v>
      </c>
    </row>
    <row r="223" spans="1:7" hidden="1" x14ac:dyDescent="0.2">
      <c r="A223" s="7" t="s">
        <v>16</v>
      </c>
      <c r="B223" s="7" t="s">
        <v>21</v>
      </c>
      <c r="C223" s="7" t="s">
        <v>18</v>
      </c>
      <c r="D223" s="154">
        <v>37396017000624</v>
      </c>
      <c r="E223" s="47" t="s">
        <v>468</v>
      </c>
      <c r="F223" s="47" t="s">
        <v>417</v>
      </c>
      <c r="G223" s="155">
        <v>378469.96</v>
      </c>
    </row>
    <row r="224" spans="1:7" hidden="1" x14ac:dyDescent="0.2">
      <c r="A224" s="7" t="s">
        <v>16</v>
      </c>
      <c r="B224" s="7" t="s">
        <v>21</v>
      </c>
      <c r="C224" s="7" t="s">
        <v>18</v>
      </c>
      <c r="D224" s="154">
        <v>37396017000624</v>
      </c>
      <c r="E224" s="47" t="s">
        <v>468</v>
      </c>
      <c r="F224" s="47" t="s">
        <v>440</v>
      </c>
      <c r="G224" s="155">
        <v>168614.95</v>
      </c>
    </row>
    <row r="225" spans="1:7" hidden="1" x14ac:dyDescent="0.2">
      <c r="A225" s="7" t="s">
        <v>16</v>
      </c>
      <c r="B225" s="7" t="s">
        <v>21</v>
      </c>
      <c r="C225" s="7" t="s">
        <v>18</v>
      </c>
      <c r="D225" s="154">
        <v>37396017000624</v>
      </c>
      <c r="E225" s="47" t="s">
        <v>468</v>
      </c>
      <c r="F225" s="47" t="s">
        <v>418</v>
      </c>
      <c r="G225" s="155">
        <v>24996.86</v>
      </c>
    </row>
    <row r="226" spans="1:7" hidden="1" x14ac:dyDescent="0.2">
      <c r="A226" s="7" t="s">
        <v>16</v>
      </c>
      <c r="B226" s="7" t="s">
        <v>21</v>
      </c>
      <c r="C226" s="7" t="s">
        <v>18</v>
      </c>
      <c r="D226" s="154">
        <v>46068425000133</v>
      </c>
      <c r="E226" s="47" t="s">
        <v>486</v>
      </c>
      <c r="F226" s="47" t="s">
        <v>417</v>
      </c>
      <c r="G226" s="155">
        <v>55792.800000000003</v>
      </c>
    </row>
    <row r="227" spans="1:7" hidden="1" x14ac:dyDescent="0.2">
      <c r="A227" s="7" t="s">
        <v>16</v>
      </c>
      <c r="B227" s="7" t="s">
        <v>21</v>
      </c>
      <c r="C227" s="7" t="s">
        <v>18</v>
      </c>
      <c r="D227" s="154">
        <v>46374500001247</v>
      </c>
      <c r="E227" s="47" t="s">
        <v>1263</v>
      </c>
      <c r="F227" s="47" t="s">
        <v>418</v>
      </c>
      <c r="G227" s="155">
        <v>3458.96</v>
      </c>
    </row>
    <row r="228" spans="1:7" hidden="1" x14ac:dyDescent="0.2">
      <c r="A228" s="7" t="s">
        <v>16</v>
      </c>
      <c r="B228" s="7" t="s">
        <v>21</v>
      </c>
      <c r="C228" s="7" t="s">
        <v>18</v>
      </c>
      <c r="D228" s="154">
        <v>46374500003886</v>
      </c>
      <c r="E228" s="47" t="s">
        <v>1264</v>
      </c>
      <c r="F228" s="47" t="s">
        <v>440</v>
      </c>
      <c r="G228" s="155">
        <v>24410.36</v>
      </c>
    </row>
    <row r="229" spans="1:7" hidden="1" x14ac:dyDescent="0.2">
      <c r="A229" s="7" t="s">
        <v>16</v>
      </c>
      <c r="B229" s="7" t="s">
        <v>21</v>
      </c>
      <c r="C229" s="7" t="s">
        <v>18</v>
      </c>
      <c r="D229" s="154">
        <v>46374500009060</v>
      </c>
      <c r="E229" s="47" t="s">
        <v>505</v>
      </c>
      <c r="F229" s="47" t="s">
        <v>440</v>
      </c>
      <c r="G229" s="155">
        <v>61481.4</v>
      </c>
    </row>
    <row r="230" spans="1:7" hidden="1" x14ac:dyDescent="0.2">
      <c r="A230" s="7" t="s">
        <v>16</v>
      </c>
      <c r="B230" s="7" t="s">
        <v>21</v>
      </c>
      <c r="C230" s="7" t="s">
        <v>18</v>
      </c>
      <c r="D230" s="154">
        <v>46374500026231</v>
      </c>
      <c r="E230" s="47" t="s">
        <v>1265</v>
      </c>
      <c r="F230" s="47" t="s">
        <v>440</v>
      </c>
      <c r="G230" s="155">
        <v>3651300</v>
      </c>
    </row>
    <row r="231" spans="1:7" hidden="1" x14ac:dyDescent="0.2">
      <c r="A231" s="7" t="s">
        <v>16</v>
      </c>
      <c r="B231" s="7" t="s">
        <v>21</v>
      </c>
      <c r="C231" s="7" t="s">
        <v>18</v>
      </c>
      <c r="D231" s="154">
        <v>46374500026231</v>
      </c>
      <c r="E231" s="47" t="s">
        <v>1265</v>
      </c>
      <c r="F231" s="47" t="s">
        <v>418</v>
      </c>
      <c r="G231" s="155">
        <v>1053212.6599999999</v>
      </c>
    </row>
    <row r="232" spans="1:7" hidden="1" x14ac:dyDescent="0.2">
      <c r="A232" s="7" t="s">
        <v>16</v>
      </c>
      <c r="B232" s="7" t="s">
        <v>21</v>
      </c>
      <c r="C232" s="7" t="s">
        <v>18</v>
      </c>
      <c r="D232" s="154">
        <v>50311620000209</v>
      </c>
      <c r="E232" s="47" t="s">
        <v>506</v>
      </c>
      <c r="F232" s="47" t="s">
        <v>417</v>
      </c>
      <c r="G232" s="155">
        <v>78721.759999999995</v>
      </c>
    </row>
    <row r="233" spans="1:7" hidden="1" x14ac:dyDescent="0.2">
      <c r="A233" s="7" t="s">
        <v>16</v>
      </c>
      <c r="B233" s="7" t="s">
        <v>21</v>
      </c>
      <c r="C233" s="7" t="s">
        <v>18</v>
      </c>
      <c r="D233" s="154">
        <v>50311620000209</v>
      </c>
      <c r="E233" s="47" t="s">
        <v>506</v>
      </c>
      <c r="F233" s="47" t="s">
        <v>440</v>
      </c>
      <c r="G233" s="155">
        <v>196798.99</v>
      </c>
    </row>
    <row r="234" spans="1:7" hidden="1" x14ac:dyDescent="0.2">
      <c r="A234" s="7" t="s">
        <v>16</v>
      </c>
      <c r="B234" s="7" t="s">
        <v>21</v>
      </c>
      <c r="C234" s="7" t="s">
        <v>18</v>
      </c>
      <c r="D234" s="154">
        <v>50311620000209</v>
      </c>
      <c r="E234" s="47" t="s">
        <v>506</v>
      </c>
      <c r="F234" s="47" t="s">
        <v>418</v>
      </c>
      <c r="G234" s="155">
        <v>73934.33</v>
      </c>
    </row>
    <row r="235" spans="1:7" hidden="1" x14ac:dyDescent="0.2">
      <c r="A235" s="7" t="s">
        <v>16</v>
      </c>
      <c r="B235" s="7" t="s">
        <v>21</v>
      </c>
      <c r="C235" s="7" t="s">
        <v>18</v>
      </c>
      <c r="D235" s="154">
        <v>57722118000302</v>
      </c>
      <c r="E235" s="47" t="s">
        <v>1250</v>
      </c>
      <c r="F235" s="47" t="s">
        <v>418</v>
      </c>
      <c r="G235" s="155">
        <v>8436.5</v>
      </c>
    </row>
    <row r="236" spans="1:7" hidden="1" x14ac:dyDescent="0.2">
      <c r="A236" s="7" t="s">
        <v>16</v>
      </c>
      <c r="B236" s="7" t="s">
        <v>21</v>
      </c>
      <c r="C236" s="7" t="s">
        <v>18</v>
      </c>
      <c r="D236" s="154">
        <v>60003761000129</v>
      </c>
      <c r="E236" s="47" t="s">
        <v>1251</v>
      </c>
      <c r="F236" s="47" t="s">
        <v>417</v>
      </c>
      <c r="G236" s="155">
        <v>75440</v>
      </c>
    </row>
    <row r="237" spans="1:7" hidden="1" x14ac:dyDescent="0.2">
      <c r="A237" s="7" t="s">
        <v>16</v>
      </c>
      <c r="B237" s="7" t="s">
        <v>21</v>
      </c>
      <c r="C237" s="7" t="s">
        <v>18</v>
      </c>
      <c r="D237" s="154">
        <v>60003761000129</v>
      </c>
      <c r="E237" s="47" t="s">
        <v>1251</v>
      </c>
      <c r="F237" s="47" t="s">
        <v>440</v>
      </c>
      <c r="G237" s="155">
        <v>15338.68</v>
      </c>
    </row>
    <row r="238" spans="1:7" hidden="1" x14ac:dyDescent="0.2">
      <c r="A238" s="7" t="s">
        <v>16</v>
      </c>
      <c r="B238" s="7" t="s">
        <v>21</v>
      </c>
      <c r="C238" s="7" t="s">
        <v>18</v>
      </c>
      <c r="D238" s="154">
        <v>60448040000122</v>
      </c>
      <c r="E238" s="47" t="s">
        <v>1252</v>
      </c>
      <c r="F238" s="47" t="s">
        <v>417</v>
      </c>
      <c r="G238" s="155">
        <v>361680</v>
      </c>
    </row>
    <row r="239" spans="1:7" hidden="1" x14ac:dyDescent="0.2">
      <c r="A239" s="7" t="s">
        <v>16</v>
      </c>
      <c r="B239" s="7" t="s">
        <v>21</v>
      </c>
      <c r="C239" s="7" t="s">
        <v>18</v>
      </c>
      <c r="D239" s="154">
        <v>60448040000122</v>
      </c>
      <c r="E239" s="47" t="s">
        <v>1252</v>
      </c>
      <c r="F239" s="47" t="s">
        <v>440</v>
      </c>
      <c r="G239" s="155">
        <v>170832.63</v>
      </c>
    </row>
    <row r="240" spans="1:7" hidden="1" x14ac:dyDescent="0.2">
      <c r="A240" s="7" t="s">
        <v>16</v>
      </c>
      <c r="B240" s="7" t="s">
        <v>21</v>
      </c>
      <c r="C240" s="7" t="s">
        <v>18</v>
      </c>
      <c r="D240" s="154">
        <v>60765823000130</v>
      </c>
      <c r="E240" s="47" t="s">
        <v>1266</v>
      </c>
      <c r="F240" s="47" t="s">
        <v>440</v>
      </c>
      <c r="G240" s="155">
        <v>77818</v>
      </c>
    </row>
    <row r="241" spans="1:7" hidden="1" x14ac:dyDescent="0.2">
      <c r="A241" s="7" t="s">
        <v>16</v>
      </c>
      <c r="B241" s="7" t="s">
        <v>21</v>
      </c>
      <c r="C241" s="7" t="s">
        <v>18</v>
      </c>
      <c r="D241" s="154">
        <v>61590410000124</v>
      </c>
      <c r="E241" s="47" t="s">
        <v>1254</v>
      </c>
      <c r="F241" s="47" t="s">
        <v>440</v>
      </c>
      <c r="G241" s="155">
        <v>589888.77</v>
      </c>
    </row>
    <row r="242" spans="1:7" hidden="1" x14ac:dyDescent="0.2">
      <c r="A242" s="7" t="s">
        <v>16</v>
      </c>
      <c r="B242" s="7" t="s">
        <v>21</v>
      </c>
      <c r="C242" s="7" t="s">
        <v>18</v>
      </c>
      <c r="D242" s="154">
        <v>61590410001287</v>
      </c>
      <c r="E242" s="47" t="s">
        <v>1255</v>
      </c>
      <c r="F242" s="47" t="s">
        <v>440</v>
      </c>
      <c r="G242" s="155">
        <v>461250</v>
      </c>
    </row>
    <row r="243" spans="1:7" hidden="1" x14ac:dyDescent="0.2">
      <c r="A243" s="7" t="s">
        <v>16</v>
      </c>
      <c r="B243" s="7" t="s">
        <v>21</v>
      </c>
      <c r="C243" s="7" t="s">
        <v>18</v>
      </c>
      <c r="D243" s="154">
        <v>61599908000158</v>
      </c>
      <c r="E243" s="47" t="s">
        <v>1256</v>
      </c>
      <c r="F243" s="47" t="s">
        <v>440</v>
      </c>
      <c r="G243" s="155">
        <v>111192</v>
      </c>
    </row>
    <row r="244" spans="1:7" hidden="1" x14ac:dyDescent="0.2">
      <c r="A244" s="7" t="s">
        <v>16</v>
      </c>
      <c r="B244" s="7" t="s">
        <v>21</v>
      </c>
      <c r="C244" s="7" t="s">
        <v>18</v>
      </c>
      <c r="D244" s="154">
        <v>61599908000158</v>
      </c>
      <c r="E244" s="47" t="s">
        <v>1256</v>
      </c>
      <c r="F244" s="47" t="s">
        <v>418</v>
      </c>
      <c r="G244" s="155">
        <v>5405.44</v>
      </c>
    </row>
    <row r="245" spans="1:7" hidden="1" x14ac:dyDescent="0.2">
      <c r="A245" s="7" t="s">
        <v>16</v>
      </c>
      <c r="B245" s="7" t="s">
        <v>21</v>
      </c>
      <c r="C245" s="7" t="s">
        <v>18</v>
      </c>
      <c r="D245" s="154">
        <v>61699567000192</v>
      </c>
      <c r="E245" s="47" t="s">
        <v>1267</v>
      </c>
      <c r="F245" s="47" t="s">
        <v>440</v>
      </c>
      <c r="G245" s="155">
        <v>0</v>
      </c>
    </row>
    <row r="246" spans="1:7" hidden="1" x14ac:dyDescent="0.2">
      <c r="A246" s="7" t="s">
        <v>16</v>
      </c>
      <c r="B246" s="7" t="s">
        <v>21</v>
      </c>
      <c r="C246" s="7" t="s">
        <v>18</v>
      </c>
      <c r="D246" s="154">
        <v>74031865000151</v>
      </c>
      <c r="E246" s="47" t="s">
        <v>507</v>
      </c>
      <c r="F246" s="47" t="s">
        <v>440</v>
      </c>
      <c r="G246" s="155">
        <v>808651.2</v>
      </c>
    </row>
    <row r="247" spans="1:7" hidden="1" x14ac:dyDescent="0.2">
      <c r="A247" s="7" t="s">
        <v>16</v>
      </c>
      <c r="B247" s="7" t="s">
        <v>21</v>
      </c>
      <c r="C247" s="7" t="s">
        <v>18</v>
      </c>
      <c r="D247" s="154">
        <v>81887838000736</v>
      </c>
      <c r="E247" s="47" t="s">
        <v>491</v>
      </c>
      <c r="F247" s="47" t="s">
        <v>417</v>
      </c>
      <c r="G247" s="155">
        <v>246005.48</v>
      </c>
    </row>
    <row r="248" spans="1:7" hidden="1" x14ac:dyDescent="0.2">
      <c r="A248" s="7" t="s">
        <v>16</v>
      </c>
      <c r="B248" s="7" t="s">
        <v>21</v>
      </c>
      <c r="C248" s="7" t="s">
        <v>18</v>
      </c>
      <c r="D248" s="154">
        <v>81887838000736</v>
      </c>
      <c r="E248" s="47" t="s">
        <v>491</v>
      </c>
      <c r="F248" s="47" t="s">
        <v>440</v>
      </c>
      <c r="G248" s="155">
        <v>1531926.94</v>
      </c>
    </row>
    <row r="249" spans="1:7" hidden="1" x14ac:dyDescent="0.2">
      <c r="A249" s="7" t="s">
        <v>16</v>
      </c>
      <c r="B249" s="7" t="s">
        <v>21</v>
      </c>
      <c r="C249" s="7" t="s">
        <v>18</v>
      </c>
      <c r="D249" s="154">
        <v>81887838000736</v>
      </c>
      <c r="E249" s="47" t="s">
        <v>491</v>
      </c>
      <c r="F249" s="47" t="s">
        <v>418</v>
      </c>
      <c r="G249" s="155">
        <v>139638.23000000001</v>
      </c>
    </row>
    <row r="250" spans="1:7" hidden="1" x14ac:dyDescent="0.2">
      <c r="A250" s="7" t="s">
        <v>16</v>
      </c>
      <c r="B250" s="7" t="s">
        <v>21</v>
      </c>
      <c r="C250" s="7" t="s">
        <v>18</v>
      </c>
      <c r="D250" s="154">
        <v>82873068000140</v>
      </c>
      <c r="E250" s="47" t="s">
        <v>492</v>
      </c>
      <c r="F250" s="47" t="s">
        <v>440</v>
      </c>
      <c r="G250" s="155">
        <v>597693</v>
      </c>
    </row>
    <row r="251" spans="1:7" hidden="1" x14ac:dyDescent="0.2">
      <c r="A251" s="7" t="s">
        <v>16</v>
      </c>
      <c r="B251" s="7" t="s">
        <v>21</v>
      </c>
      <c r="C251" s="7" t="s">
        <v>18</v>
      </c>
      <c r="D251" s="154">
        <v>82873068000140</v>
      </c>
      <c r="E251" s="47" t="s">
        <v>492</v>
      </c>
      <c r="F251" s="47" t="s">
        <v>418</v>
      </c>
      <c r="G251" s="155">
        <v>64956.6</v>
      </c>
    </row>
    <row r="252" spans="1:7" hidden="1" x14ac:dyDescent="0.2">
      <c r="A252" s="7" t="s">
        <v>16</v>
      </c>
      <c r="B252" s="7" t="s">
        <v>21</v>
      </c>
      <c r="C252" s="7" t="s">
        <v>18</v>
      </c>
      <c r="D252" s="154">
        <v>82873068000573</v>
      </c>
      <c r="E252" s="47" t="s">
        <v>492</v>
      </c>
      <c r="F252" s="47" t="s">
        <v>417</v>
      </c>
      <c r="G252" s="155">
        <v>9675.11</v>
      </c>
    </row>
    <row r="253" spans="1:7" hidden="1" x14ac:dyDescent="0.2">
      <c r="A253" s="7" t="s">
        <v>16</v>
      </c>
      <c r="B253" s="7" t="s">
        <v>21</v>
      </c>
      <c r="C253" s="7" t="s">
        <v>18</v>
      </c>
      <c r="D253" s="154">
        <v>82873068000573</v>
      </c>
      <c r="E253" s="47" t="s">
        <v>492</v>
      </c>
      <c r="F253" s="47" t="s">
        <v>440</v>
      </c>
      <c r="G253" s="155">
        <v>7296.05</v>
      </c>
    </row>
    <row r="254" spans="1:7" hidden="1" x14ac:dyDescent="0.2">
      <c r="A254" s="7" t="s">
        <v>16</v>
      </c>
      <c r="B254" s="7" t="s">
        <v>21</v>
      </c>
      <c r="C254" s="7" t="s">
        <v>18</v>
      </c>
      <c r="D254" s="154">
        <v>82873068000573</v>
      </c>
      <c r="E254" s="47" t="s">
        <v>492</v>
      </c>
      <c r="F254" s="47" t="s">
        <v>418</v>
      </c>
      <c r="G254" s="155">
        <v>36087</v>
      </c>
    </row>
    <row r="255" spans="1:7" hidden="1" x14ac:dyDescent="0.2">
      <c r="A255" s="7" t="s">
        <v>16</v>
      </c>
      <c r="B255" s="7" t="s">
        <v>21</v>
      </c>
      <c r="C255" s="7" t="s">
        <v>18</v>
      </c>
      <c r="D255" s="154">
        <v>82873068000654</v>
      </c>
      <c r="E255" s="47" t="s">
        <v>492</v>
      </c>
      <c r="F255" s="47" t="s">
        <v>417</v>
      </c>
      <c r="G255" s="155">
        <v>135451.43</v>
      </c>
    </row>
    <row r="256" spans="1:7" hidden="1" x14ac:dyDescent="0.2">
      <c r="A256" s="7" t="s">
        <v>16</v>
      </c>
      <c r="B256" s="7" t="s">
        <v>21</v>
      </c>
      <c r="C256" s="7" t="s">
        <v>18</v>
      </c>
      <c r="D256" s="154">
        <v>82873068000654</v>
      </c>
      <c r="E256" s="47" t="s">
        <v>492</v>
      </c>
      <c r="F256" s="47" t="s">
        <v>440</v>
      </c>
      <c r="G256" s="155">
        <v>400894.04</v>
      </c>
    </row>
    <row r="257" spans="1:7" hidden="1" x14ac:dyDescent="0.2">
      <c r="A257" s="7" t="s">
        <v>16</v>
      </c>
      <c r="B257" s="7" t="s">
        <v>21</v>
      </c>
      <c r="C257" s="7" t="s">
        <v>18</v>
      </c>
      <c r="D257" s="154">
        <v>82873068000654</v>
      </c>
      <c r="E257" s="47" t="s">
        <v>492</v>
      </c>
      <c r="F257" s="47" t="s">
        <v>418</v>
      </c>
      <c r="G257" s="155">
        <v>72173.990000000005</v>
      </c>
    </row>
    <row r="258" spans="1:7" hidden="1" x14ac:dyDescent="0.2">
      <c r="A258" s="7" t="s">
        <v>16</v>
      </c>
      <c r="B258" s="7" t="s">
        <v>21</v>
      </c>
      <c r="C258" s="7" t="s">
        <v>18</v>
      </c>
      <c r="D258" s="154">
        <v>87020517000120</v>
      </c>
      <c r="E258" s="47" t="s">
        <v>493</v>
      </c>
      <c r="F258" s="47" t="s">
        <v>440</v>
      </c>
      <c r="G258" s="155">
        <v>7688.32</v>
      </c>
    </row>
    <row r="259" spans="1:7" hidden="1" x14ac:dyDescent="0.2">
      <c r="A259" s="7" t="s">
        <v>16</v>
      </c>
      <c r="B259" s="7" t="s">
        <v>22</v>
      </c>
      <c r="C259" s="7" t="s">
        <v>18</v>
      </c>
      <c r="D259" s="154">
        <v>394544000851</v>
      </c>
      <c r="E259" s="47" t="s">
        <v>1257</v>
      </c>
      <c r="F259" s="47" t="s">
        <v>440</v>
      </c>
      <c r="G259" s="155">
        <v>1085548.56</v>
      </c>
    </row>
    <row r="260" spans="1:7" hidden="1" x14ac:dyDescent="0.2">
      <c r="A260" s="7" t="s">
        <v>16</v>
      </c>
      <c r="B260" s="7" t="s">
        <v>22</v>
      </c>
      <c r="C260" s="7" t="s">
        <v>18</v>
      </c>
      <c r="D260" s="154">
        <v>394544011110</v>
      </c>
      <c r="E260" s="47" t="s">
        <v>508</v>
      </c>
      <c r="F260" s="47" t="s">
        <v>440</v>
      </c>
      <c r="G260" s="155">
        <v>-190972.08</v>
      </c>
    </row>
    <row r="261" spans="1:7" hidden="1" x14ac:dyDescent="0.2">
      <c r="A261" s="7" t="s">
        <v>16</v>
      </c>
      <c r="B261" s="7" t="s">
        <v>22</v>
      </c>
      <c r="C261" s="7" t="s">
        <v>18</v>
      </c>
      <c r="D261" s="154">
        <v>394544017150</v>
      </c>
      <c r="E261" s="47" t="s">
        <v>496</v>
      </c>
      <c r="F261" s="47" t="s">
        <v>440</v>
      </c>
      <c r="G261" s="155">
        <v>17600</v>
      </c>
    </row>
    <row r="262" spans="1:7" hidden="1" x14ac:dyDescent="0.2">
      <c r="A262" s="7" t="s">
        <v>16</v>
      </c>
      <c r="B262" s="7" t="s">
        <v>22</v>
      </c>
      <c r="C262" s="7" t="s">
        <v>18</v>
      </c>
      <c r="D262" s="154">
        <v>394544019870</v>
      </c>
      <c r="E262" s="47" t="s">
        <v>1268</v>
      </c>
      <c r="F262" s="47" t="s">
        <v>440</v>
      </c>
      <c r="G262" s="155">
        <v>0</v>
      </c>
    </row>
    <row r="263" spans="1:7" hidden="1" x14ac:dyDescent="0.2">
      <c r="A263" s="7" t="s">
        <v>16</v>
      </c>
      <c r="B263" s="7" t="s">
        <v>22</v>
      </c>
      <c r="C263" s="7" t="s">
        <v>18</v>
      </c>
      <c r="D263" s="154">
        <v>394544020453</v>
      </c>
      <c r="E263" s="47" t="s">
        <v>444</v>
      </c>
      <c r="F263" s="47" t="s">
        <v>440</v>
      </c>
      <c r="G263" s="155">
        <v>34388</v>
      </c>
    </row>
    <row r="264" spans="1:7" hidden="1" x14ac:dyDescent="0.2">
      <c r="A264" s="7" t="s">
        <v>16</v>
      </c>
      <c r="B264" s="7" t="s">
        <v>22</v>
      </c>
      <c r="C264" s="7" t="s">
        <v>18</v>
      </c>
      <c r="D264" s="154">
        <v>394544021344</v>
      </c>
      <c r="E264" s="47" t="s">
        <v>447</v>
      </c>
      <c r="F264" s="47" t="s">
        <v>417</v>
      </c>
      <c r="G264" s="155">
        <v>103584</v>
      </c>
    </row>
    <row r="265" spans="1:7" hidden="1" x14ac:dyDescent="0.2">
      <c r="A265" s="7" t="s">
        <v>16</v>
      </c>
      <c r="B265" s="7" t="s">
        <v>22</v>
      </c>
      <c r="C265" s="7" t="s">
        <v>18</v>
      </c>
      <c r="D265" s="154">
        <v>394544021344</v>
      </c>
      <c r="E265" s="47" t="s">
        <v>447</v>
      </c>
      <c r="F265" s="47" t="s">
        <v>440</v>
      </c>
      <c r="G265" s="155">
        <v>509583.66</v>
      </c>
    </row>
    <row r="266" spans="1:7" hidden="1" x14ac:dyDescent="0.2">
      <c r="A266" s="7" t="s">
        <v>16</v>
      </c>
      <c r="B266" s="7" t="s">
        <v>22</v>
      </c>
      <c r="C266" s="7" t="s">
        <v>18</v>
      </c>
      <c r="D266" s="154">
        <v>1479465000130</v>
      </c>
      <c r="E266" s="47" t="s">
        <v>448</v>
      </c>
      <c r="F266" s="47" t="s">
        <v>417</v>
      </c>
      <c r="G266" s="155">
        <v>-11100</v>
      </c>
    </row>
    <row r="267" spans="1:7" hidden="1" x14ac:dyDescent="0.2">
      <c r="A267" s="7" t="s">
        <v>16</v>
      </c>
      <c r="B267" s="7" t="s">
        <v>22</v>
      </c>
      <c r="C267" s="7" t="s">
        <v>18</v>
      </c>
      <c r="D267" s="154">
        <v>1479465000130</v>
      </c>
      <c r="E267" s="47" t="s">
        <v>448</v>
      </c>
      <c r="F267" s="47" t="s">
        <v>440</v>
      </c>
      <c r="G267" s="155">
        <v>299819.53999999998</v>
      </c>
    </row>
    <row r="268" spans="1:7" hidden="1" x14ac:dyDescent="0.2">
      <c r="A268" s="7" t="s">
        <v>16</v>
      </c>
      <c r="B268" s="7" t="s">
        <v>22</v>
      </c>
      <c r="C268" s="7" t="s">
        <v>18</v>
      </c>
      <c r="D268" s="154">
        <v>1479465000130</v>
      </c>
      <c r="E268" s="47" t="s">
        <v>448</v>
      </c>
      <c r="F268" s="47" t="s">
        <v>418</v>
      </c>
      <c r="G268" s="155">
        <v>-3155.43</v>
      </c>
    </row>
    <row r="269" spans="1:7" hidden="1" x14ac:dyDescent="0.2">
      <c r="A269" s="7" t="s">
        <v>16</v>
      </c>
      <c r="B269" s="7" t="s">
        <v>22</v>
      </c>
      <c r="C269" s="7" t="s">
        <v>18</v>
      </c>
      <c r="D269" s="154">
        <v>2873606000167</v>
      </c>
      <c r="E269" s="47" t="s">
        <v>449</v>
      </c>
      <c r="F269" s="47" t="s">
        <v>440</v>
      </c>
      <c r="G269" s="155">
        <v>944706.37</v>
      </c>
    </row>
    <row r="270" spans="1:7" hidden="1" x14ac:dyDescent="0.2">
      <c r="A270" s="7" t="s">
        <v>16</v>
      </c>
      <c r="B270" s="7" t="s">
        <v>22</v>
      </c>
      <c r="C270" s="7" t="s">
        <v>18</v>
      </c>
      <c r="D270" s="154">
        <v>2873606000167</v>
      </c>
      <c r="E270" s="47" t="s">
        <v>449</v>
      </c>
      <c r="F270" s="47" t="s">
        <v>418</v>
      </c>
      <c r="G270" s="155">
        <v>36087.22</v>
      </c>
    </row>
    <row r="271" spans="1:7" hidden="1" x14ac:dyDescent="0.2">
      <c r="A271" s="7" t="s">
        <v>16</v>
      </c>
      <c r="B271" s="7" t="s">
        <v>22</v>
      </c>
      <c r="C271" s="7" t="s">
        <v>18</v>
      </c>
      <c r="D271" s="154">
        <v>4027894000326</v>
      </c>
      <c r="E271" s="47" t="s">
        <v>450</v>
      </c>
      <c r="F271" s="47" t="s">
        <v>417</v>
      </c>
      <c r="G271" s="155">
        <v>208028.16</v>
      </c>
    </row>
    <row r="272" spans="1:7" hidden="1" x14ac:dyDescent="0.2">
      <c r="A272" s="7" t="s">
        <v>16</v>
      </c>
      <c r="B272" s="7" t="s">
        <v>22</v>
      </c>
      <c r="C272" s="7" t="s">
        <v>18</v>
      </c>
      <c r="D272" s="154">
        <v>4027894000326</v>
      </c>
      <c r="E272" s="47" t="s">
        <v>450</v>
      </c>
      <c r="F272" s="47" t="s">
        <v>440</v>
      </c>
      <c r="G272" s="155">
        <v>585219.52</v>
      </c>
    </row>
    <row r="273" spans="1:7" hidden="1" x14ac:dyDescent="0.2">
      <c r="A273" s="7" t="s">
        <v>16</v>
      </c>
      <c r="B273" s="7" t="s">
        <v>22</v>
      </c>
      <c r="C273" s="7" t="s">
        <v>18</v>
      </c>
      <c r="D273" s="154">
        <v>4027894000326</v>
      </c>
      <c r="E273" s="47" t="s">
        <v>450</v>
      </c>
      <c r="F273" s="47" t="s">
        <v>418</v>
      </c>
      <c r="G273" s="155">
        <v>111834.43</v>
      </c>
    </row>
    <row r="274" spans="1:7" hidden="1" x14ac:dyDescent="0.2">
      <c r="A274" s="7" t="s">
        <v>16</v>
      </c>
      <c r="B274" s="7" t="s">
        <v>22</v>
      </c>
      <c r="C274" s="7" t="s">
        <v>18</v>
      </c>
      <c r="D274" s="154">
        <v>4307650001298</v>
      </c>
      <c r="E274" s="47" t="s">
        <v>451</v>
      </c>
      <c r="F274" s="47" t="s">
        <v>440</v>
      </c>
      <c r="G274" s="155">
        <v>528480.93999999994</v>
      </c>
    </row>
    <row r="275" spans="1:7" hidden="1" x14ac:dyDescent="0.2">
      <c r="A275" s="7" t="s">
        <v>16</v>
      </c>
      <c r="B275" s="7" t="s">
        <v>22</v>
      </c>
      <c r="C275" s="7" t="s">
        <v>18</v>
      </c>
      <c r="D275" s="154">
        <v>4307650001298</v>
      </c>
      <c r="E275" s="47" t="s">
        <v>451</v>
      </c>
      <c r="F275" s="47" t="s">
        <v>418</v>
      </c>
      <c r="G275" s="155">
        <v>149961.37</v>
      </c>
    </row>
    <row r="276" spans="1:7" hidden="1" x14ac:dyDescent="0.2">
      <c r="A276" s="7" t="s">
        <v>16</v>
      </c>
      <c r="B276" s="7" t="s">
        <v>22</v>
      </c>
      <c r="C276" s="7" t="s">
        <v>18</v>
      </c>
      <c r="D276" s="154">
        <v>4355394000151</v>
      </c>
      <c r="E276" s="47" t="s">
        <v>452</v>
      </c>
      <c r="F276" s="47" t="s">
        <v>417</v>
      </c>
      <c r="G276" s="155">
        <v>145131.16</v>
      </c>
    </row>
    <row r="277" spans="1:7" hidden="1" x14ac:dyDescent="0.2">
      <c r="A277" s="7" t="s">
        <v>16</v>
      </c>
      <c r="B277" s="7" t="s">
        <v>22</v>
      </c>
      <c r="C277" s="7" t="s">
        <v>18</v>
      </c>
      <c r="D277" s="154">
        <v>4355394000151</v>
      </c>
      <c r="E277" s="47" t="s">
        <v>452</v>
      </c>
      <c r="F277" s="47" t="s">
        <v>440</v>
      </c>
      <c r="G277" s="155">
        <v>688807.27</v>
      </c>
    </row>
    <row r="278" spans="1:7" hidden="1" x14ac:dyDescent="0.2">
      <c r="A278" s="7" t="s">
        <v>16</v>
      </c>
      <c r="B278" s="7" t="s">
        <v>22</v>
      </c>
      <c r="C278" s="7" t="s">
        <v>18</v>
      </c>
      <c r="D278" s="154">
        <v>4355394000151</v>
      </c>
      <c r="E278" s="47" t="s">
        <v>452</v>
      </c>
      <c r="F278" s="47" t="s">
        <v>418</v>
      </c>
      <c r="G278" s="155">
        <v>803595.4</v>
      </c>
    </row>
    <row r="279" spans="1:7" hidden="1" x14ac:dyDescent="0.2">
      <c r="A279" s="7" t="s">
        <v>16</v>
      </c>
      <c r="B279" s="7" t="s">
        <v>22</v>
      </c>
      <c r="C279" s="7" t="s">
        <v>18</v>
      </c>
      <c r="D279" s="154">
        <v>4949905000163</v>
      </c>
      <c r="E279" s="47" t="s">
        <v>509</v>
      </c>
      <c r="F279" s="47" t="s">
        <v>417</v>
      </c>
      <c r="G279" s="155">
        <v>58125.2</v>
      </c>
    </row>
    <row r="280" spans="1:7" hidden="1" x14ac:dyDescent="0.2">
      <c r="A280" s="7" t="s">
        <v>16</v>
      </c>
      <c r="B280" s="7" t="s">
        <v>22</v>
      </c>
      <c r="C280" s="7" t="s">
        <v>18</v>
      </c>
      <c r="D280" s="154">
        <v>4949905000163</v>
      </c>
      <c r="E280" s="47" t="s">
        <v>509</v>
      </c>
      <c r="F280" s="47" t="s">
        <v>440</v>
      </c>
      <c r="G280" s="155">
        <v>1118.28</v>
      </c>
    </row>
    <row r="281" spans="1:7" hidden="1" x14ac:dyDescent="0.2">
      <c r="A281" s="7" t="s">
        <v>16</v>
      </c>
      <c r="B281" s="7" t="s">
        <v>22</v>
      </c>
      <c r="C281" s="7" t="s">
        <v>18</v>
      </c>
      <c r="D281" s="154">
        <v>4949905000163</v>
      </c>
      <c r="E281" s="47" t="s">
        <v>509</v>
      </c>
      <c r="F281" s="47" t="s">
        <v>418</v>
      </c>
      <c r="G281" s="155">
        <v>29926.75</v>
      </c>
    </row>
    <row r="282" spans="1:7" hidden="1" x14ac:dyDescent="0.2">
      <c r="A282" s="7" t="s">
        <v>16</v>
      </c>
      <c r="B282" s="7" t="s">
        <v>22</v>
      </c>
      <c r="C282" s="7" t="s">
        <v>18</v>
      </c>
      <c r="D282" s="154">
        <v>5055128000257</v>
      </c>
      <c r="E282" s="47" t="s">
        <v>510</v>
      </c>
      <c r="F282" s="47" t="s">
        <v>440</v>
      </c>
      <c r="G282" s="155">
        <v>14732.1</v>
      </c>
    </row>
    <row r="283" spans="1:7" hidden="1" x14ac:dyDescent="0.2">
      <c r="A283" s="7" t="s">
        <v>16</v>
      </c>
      <c r="B283" s="7" t="s">
        <v>22</v>
      </c>
      <c r="C283" s="7" t="s">
        <v>18</v>
      </c>
      <c r="D283" s="154">
        <v>5268490000125</v>
      </c>
      <c r="E283" s="47" t="s">
        <v>453</v>
      </c>
      <c r="F283" s="47" t="s">
        <v>417</v>
      </c>
      <c r="G283" s="155">
        <v>63141.82</v>
      </c>
    </row>
    <row r="284" spans="1:7" hidden="1" x14ac:dyDescent="0.2">
      <c r="A284" s="7" t="s">
        <v>16</v>
      </c>
      <c r="B284" s="7" t="s">
        <v>22</v>
      </c>
      <c r="C284" s="7" t="s">
        <v>18</v>
      </c>
      <c r="D284" s="154">
        <v>5268490000125</v>
      </c>
      <c r="E284" s="47" t="s">
        <v>453</v>
      </c>
      <c r="F284" s="47" t="s">
        <v>440</v>
      </c>
      <c r="G284" s="155">
        <v>396013.5</v>
      </c>
    </row>
    <row r="285" spans="1:7" hidden="1" x14ac:dyDescent="0.2">
      <c r="A285" s="7" t="s">
        <v>16</v>
      </c>
      <c r="B285" s="7" t="s">
        <v>22</v>
      </c>
      <c r="C285" s="7" t="s">
        <v>18</v>
      </c>
      <c r="D285" s="154">
        <v>5816630000152</v>
      </c>
      <c r="E285" s="47" t="s">
        <v>454</v>
      </c>
      <c r="F285" s="47" t="s">
        <v>440</v>
      </c>
      <c r="G285" s="155">
        <v>132273.4</v>
      </c>
    </row>
    <row r="286" spans="1:7" hidden="1" x14ac:dyDescent="0.2">
      <c r="A286" s="7" t="s">
        <v>16</v>
      </c>
      <c r="B286" s="7" t="s">
        <v>22</v>
      </c>
      <c r="C286" s="7" t="s">
        <v>18</v>
      </c>
      <c r="D286" s="154">
        <v>6081203000136</v>
      </c>
      <c r="E286" s="47" t="s">
        <v>451</v>
      </c>
      <c r="F286" s="47" t="s">
        <v>440</v>
      </c>
      <c r="G286" s="155">
        <v>392289.04</v>
      </c>
    </row>
    <row r="287" spans="1:7" hidden="1" x14ac:dyDescent="0.2">
      <c r="A287" s="7" t="s">
        <v>16</v>
      </c>
      <c r="B287" s="7" t="s">
        <v>22</v>
      </c>
      <c r="C287" s="7" t="s">
        <v>18</v>
      </c>
      <c r="D287" s="154">
        <v>6081203000136</v>
      </c>
      <c r="E287" s="47" t="s">
        <v>451</v>
      </c>
      <c r="F287" s="47" t="s">
        <v>418</v>
      </c>
      <c r="G287" s="155">
        <v>82809.070000000007</v>
      </c>
    </row>
    <row r="288" spans="1:7" hidden="1" x14ac:dyDescent="0.2">
      <c r="A288" s="7" t="s">
        <v>16</v>
      </c>
      <c r="B288" s="7" t="s">
        <v>22</v>
      </c>
      <c r="C288" s="7" t="s">
        <v>18</v>
      </c>
      <c r="D288" s="154">
        <v>6234797000178</v>
      </c>
      <c r="E288" s="47" t="s">
        <v>455</v>
      </c>
      <c r="F288" s="47" t="s">
        <v>440</v>
      </c>
      <c r="G288" s="155">
        <v>71416.55</v>
      </c>
    </row>
    <row r="289" spans="1:7" hidden="1" x14ac:dyDescent="0.2">
      <c r="A289" s="7" t="s">
        <v>16</v>
      </c>
      <c r="B289" s="7" t="s">
        <v>22</v>
      </c>
      <c r="C289" s="7" t="s">
        <v>18</v>
      </c>
      <c r="D289" s="154">
        <v>6234797000178</v>
      </c>
      <c r="E289" s="47" t="s">
        <v>455</v>
      </c>
      <c r="F289" s="47" t="s">
        <v>418</v>
      </c>
      <c r="G289" s="155">
        <v>19452.38</v>
      </c>
    </row>
    <row r="290" spans="1:7" hidden="1" x14ac:dyDescent="0.2">
      <c r="A290" s="7" t="s">
        <v>16</v>
      </c>
      <c r="B290" s="7" t="s">
        <v>22</v>
      </c>
      <c r="C290" s="7" t="s">
        <v>18</v>
      </c>
      <c r="D290" s="154">
        <v>7224991001530</v>
      </c>
      <c r="E290" s="47" t="s">
        <v>456</v>
      </c>
      <c r="F290" s="47" t="s">
        <v>417</v>
      </c>
      <c r="G290" s="155">
        <v>77593.63</v>
      </c>
    </row>
    <row r="291" spans="1:7" hidden="1" x14ac:dyDescent="0.2">
      <c r="A291" s="7" t="s">
        <v>16</v>
      </c>
      <c r="B291" s="7" t="s">
        <v>22</v>
      </c>
      <c r="C291" s="7" t="s">
        <v>18</v>
      </c>
      <c r="D291" s="154">
        <v>7224991001530</v>
      </c>
      <c r="E291" s="47" t="s">
        <v>456</v>
      </c>
      <c r="F291" s="47" t="s">
        <v>440</v>
      </c>
      <c r="G291" s="155">
        <v>9290.81</v>
      </c>
    </row>
    <row r="292" spans="1:7" hidden="1" x14ac:dyDescent="0.2">
      <c r="A292" s="7" t="s">
        <v>16</v>
      </c>
      <c r="B292" s="7" t="s">
        <v>22</v>
      </c>
      <c r="C292" s="7" t="s">
        <v>18</v>
      </c>
      <c r="D292" s="154">
        <v>7224991001530</v>
      </c>
      <c r="E292" s="47" t="s">
        <v>456</v>
      </c>
      <c r="F292" s="47" t="s">
        <v>418</v>
      </c>
      <c r="G292" s="155">
        <v>16087.76</v>
      </c>
    </row>
    <row r="293" spans="1:7" hidden="1" x14ac:dyDescent="0.2">
      <c r="A293" s="7" t="s">
        <v>16</v>
      </c>
      <c r="B293" s="7" t="s">
        <v>22</v>
      </c>
      <c r="C293" s="7" t="s">
        <v>18</v>
      </c>
      <c r="D293" s="154">
        <v>7272636000212</v>
      </c>
      <c r="E293" s="47" t="s">
        <v>457</v>
      </c>
      <c r="F293" s="47" t="s">
        <v>440</v>
      </c>
      <c r="G293" s="155">
        <v>142664.71</v>
      </c>
    </row>
    <row r="294" spans="1:7" hidden="1" x14ac:dyDescent="0.2">
      <c r="A294" s="7" t="s">
        <v>16</v>
      </c>
      <c r="B294" s="7" t="s">
        <v>22</v>
      </c>
      <c r="C294" s="7" t="s">
        <v>18</v>
      </c>
      <c r="D294" s="154">
        <v>7484373000124</v>
      </c>
      <c r="E294" s="47" t="s">
        <v>458</v>
      </c>
      <c r="F294" s="47" t="s">
        <v>417</v>
      </c>
      <c r="G294" s="155">
        <v>90407.6</v>
      </c>
    </row>
    <row r="295" spans="1:7" hidden="1" x14ac:dyDescent="0.2">
      <c r="A295" s="7" t="s">
        <v>16</v>
      </c>
      <c r="B295" s="7" t="s">
        <v>22</v>
      </c>
      <c r="C295" s="7" t="s">
        <v>18</v>
      </c>
      <c r="D295" s="154">
        <v>7484373000124</v>
      </c>
      <c r="E295" s="47" t="s">
        <v>458</v>
      </c>
      <c r="F295" s="47" t="s">
        <v>418</v>
      </c>
      <c r="G295" s="155">
        <v>10967.62</v>
      </c>
    </row>
    <row r="296" spans="1:7" hidden="1" x14ac:dyDescent="0.2">
      <c r="A296" s="7" t="s">
        <v>16</v>
      </c>
      <c r="B296" s="7" t="s">
        <v>22</v>
      </c>
      <c r="C296" s="7" t="s">
        <v>18</v>
      </c>
      <c r="D296" s="154">
        <v>7734165000136</v>
      </c>
      <c r="E296" s="47" t="s">
        <v>459</v>
      </c>
      <c r="F296" s="47" t="s">
        <v>440</v>
      </c>
      <c r="G296" s="155">
        <v>374982.24</v>
      </c>
    </row>
    <row r="297" spans="1:7" hidden="1" x14ac:dyDescent="0.2">
      <c r="A297" s="7" t="s">
        <v>16</v>
      </c>
      <c r="B297" s="7" t="s">
        <v>22</v>
      </c>
      <c r="C297" s="7" t="s">
        <v>18</v>
      </c>
      <c r="D297" s="154">
        <v>7812105000194</v>
      </c>
      <c r="E297" s="47" t="s">
        <v>460</v>
      </c>
      <c r="F297" s="47" t="s">
        <v>440</v>
      </c>
      <c r="G297" s="155">
        <v>23769.94</v>
      </c>
    </row>
    <row r="298" spans="1:7" hidden="1" x14ac:dyDescent="0.2">
      <c r="A298" s="7" t="s">
        <v>16</v>
      </c>
      <c r="B298" s="7" t="s">
        <v>22</v>
      </c>
      <c r="C298" s="7" t="s">
        <v>18</v>
      </c>
      <c r="D298" s="154">
        <v>8597121000174</v>
      </c>
      <c r="E298" s="47" t="s">
        <v>462</v>
      </c>
      <c r="F298" s="47" t="s">
        <v>440</v>
      </c>
      <c r="G298" s="155">
        <v>114765.28</v>
      </c>
    </row>
    <row r="299" spans="1:7" hidden="1" x14ac:dyDescent="0.2">
      <c r="A299" s="7" t="s">
        <v>16</v>
      </c>
      <c r="B299" s="7" t="s">
        <v>22</v>
      </c>
      <c r="C299" s="7" t="s">
        <v>18</v>
      </c>
      <c r="D299" s="154">
        <v>8618022000121</v>
      </c>
      <c r="E299" s="47" t="s">
        <v>463</v>
      </c>
      <c r="F299" s="47" t="s">
        <v>417</v>
      </c>
      <c r="G299" s="155">
        <v>282800.11</v>
      </c>
    </row>
    <row r="300" spans="1:7" hidden="1" x14ac:dyDescent="0.2">
      <c r="A300" s="7" t="s">
        <v>16</v>
      </c>
      <c r="B300" s="7" t="s">
        <v>22</v>
      </c>
      <c r="C300" s="7" t="s">
        <v>18</v>
      </c>
      <c r="D300" s="154">
        <v>8618022000121</v>
      </c>
      <c r="E300" s="47" t="s">
        <v>463</v>
      </c>
      <c r="F300" s="47" t="s">
        <v>440</v>
      </c>
      <c r="G300" s="155">
        <v>1010515.38</v>
      </c>
    </row>
    <row r="301" spans="1:7" hidden="1" x14ac:dyDescent="0.2">
      <c r="A301" s="7" t="s">
        <v>16</v>
      </c>
      <c r="B301" s="7" t="s">
        <v>22</v>
      </c>
      <c r="C301" s="7" t="s">
        <v>18</v>
      </c>
      <c r="D301" s="154">
        <v>8618022000121</v>
      </c>
      <c r="E301" s="47" t="s">
        <v>463</v>
      </c>
      <c r="F301" s="47" t="s">
        <v>418</v>
      </c>
      <c r="G301" s="155">
        <v>176793.08</v>
      </c>
    </row>
    <row r="302" spans="1:7" hidden="1" x14ac:dyDescent="0.2">
      <c r="A302" s="7" t="s">
        <v>16</v>
      </c>
      <c r="B302" s="7" t="s">
        <v>22</v>
      </c>
      <c r="C302" s="7" t="s">
        <v>18</v>
      </c>
      <c r="D302" s="154">
        <v>8719794000150</v>
      </c>
      <c r="E302" s="47" t="s">
        <v>460</v>
      </c>
      <c r="F302" s="47" t="s">
        <v>440</v>
      </c>
      <c r="G302" s="155">
        <v>167119.59</v>
      </c>
    </row>
    <row r="303" spans="1:7" hidden="1" x14ac:dyDescent="0.2">
      <c r="A303" s="7" t="s">
        <v>16</v>
      </c>
      <c r="B303" s="7" t="s">
        <v>22</v>
      </c>
      <c r="C303" s="7" t="s">
        <v>18</v>
      </c>
      <c r="D303" s="154">
        <v>9007162000126</v>
      </c>
      <c r="E303" s="47" t="s">
        <v>511</v>
      </c>
      <c r="F303" s="47" t="s">
        <v>417</v>
      </c>
      <c r="G303" s="155">
        <v>51251.47</v>
      </c>
    </row>
    <row r="304" spans="1:7" hidden="1" x14ac:dyDescent="0.2">
      <c r="A304" s="7" t="s">
        <v>16</v>
      </c>
      <c r="B304" s="7" t="s">
        <v>22</v>
      </c>
      <c r="C304" s="7" t="s">
        <v>18</v>
      </c>
      <c r="D304" s="154">
        <v>9007162000126</v>
      </c>
      <c r="E304" s="47" t="s">
        <v>511</v>
      </c>
      <c r="F304" s="47" t="s">
        <v>418</v>
      </c>
      <c r="G304" s="155">
        <v>132029.76999999999</v>
      </c>
    </row>
    <row r="305" spans="1:7" hidden="1" x14ac:dyDescent="0.2">
      <c r="A305" s="7" t="s">
        <v>16</v>
      </c>
      <c r="B305" s="7" t="s">
        <v>22</v>
      </c>
      <c r="C305" s="7" t="s">
        <v>18</v>
      </c>
      <c r="D305" s="154">
        <v>9053134000226</v>
      </c>
      <c r="E305" s="47" t="s">
        <v>464</v>
      </c>
      <c r="F305" s="47" t="s">
        <v>440</v>
      </c>
      <c r="G305" s="155">
        <v>11716.17</v>
      </c>
    </row>
    <row r="306" spans="1:7" hidden="1" x14ac:dyDescent="0.2">
      <c r="A306" s="7" t="s">
        <v>16</v>
      </c>
      <c r="B306" s="7" t="s">
        <v>22</v>
      </c>
      <c r="C306" s="7" t="s">
        <v>18</v>
      </c>
      <c r="D306" s="154">
        <v>9613374000157</v>
      </c>
      <c r="E306" s="47" t="s">
        <v>465</v>
      </c>
      <c r="F306" s="47" t="s">
        <v>440</v>
      </c>
      <c r="G306" s="155">
        <v>158751.44</v>
      </c>
    </row>
    <row r="307" spans="1:7" hidden="1" x14ac:dyDescent="0.2">
      <c r="A307" s="7" t="s">
        <v>16</v>
      </c>
      <c r="B307" s="7" t="s">
        <v>22</v>
      </c>
      <c r="C307" s="7" t="s">
        <v>18</v>
      </c>
      <c r="D307" s="154">
        <v>9660958000345</v>
      </c>
      <c r="E307" s="47" t="s">
        <v>1512</v>
      </c>
      <c r="F307" s="47" t="s">
        <v>417</v>
      </c>
      <c r="G307" s="155">
        <v>331147.63</v>
      </c>
    </row>
    <row r="308" spans="1:7" hidden="1" x14ac:dyDescent="0.2">
      <c r="A308" s="7" t="s">
        <v>16</v>
      </c>
      <c r="B308" s="7" t="s">
        <v>22</v>
      </c>
      <c r="C308" s="7" t="s">
        <v>18</v>
      </c>
      <c r="D308" s="154">
        <v>9660958000345</v>
      </c>
      <c r="E308" s="47" t="s">
        <v>1512</v>
      </c>
      <c r="F308" s="47" t="s">
        <v>440</v>
      </c>
      <c r="G308" s="155">
        <v>115094.17</v>
      </c>
    </row>
    <row r="309" spans="1:7" hidden="1" x14ac:dyDescent="0.2">
      <c r="A309" s="7" t="s">
        <v>16</v>
      </c>
      <c r="B309" s="7" t="s">
        <v>22</v>
      </c>
      <c r="C309" s="7" t="s">
        <v>18</v>
      </c>
      <c r="D309" s="154">
        <v>9660958000345</v>
      </c>
      <c r="E309" s="47" t="s">
        <v>1512</v>
      </c>
      <c r="F309" s="47" t="s">
        <v>418</v>
      </c>
      <c r="G309" s="155">
        <v>45077.52</v>
      </c>
    </row>
    <row r="310" spans="1:7" hidden="1" x14ac:dyDescent="0.2">
      <c r="A310" s="7" t="s">
        <v>16</v>
      </c>
      <c r="B310" s="7" t="s">
        <v>22</v>
      </c>
      <c r="C310" s="7" t="s">
        <v>18</v>
      </c>
      <c r="D310" s="154">
        <v>10586940000168</v>
      </c>
      <c r="E310" s="47" t="s">
        <v>1269</v>
      </c>
      <c r="F310" s="47" t="s">
        <v>417</v>
      </c>
      <c r="G310" s="155">
        <v>50700.38</v>
      </c>
    </row>
    <row r="311" spans="1:7" hidden="1" x14ac:dyDescent="0.2">
      <c r="A311" s="7" t="s">
        <v>16</v>
      </c>
      <c r="B311" s="7" t="s">
        <v>22</v>
      </c>
      <c r="C311" s="7" t="s">
        <v>18</v>
      </c>
      <c r="D311" s="154">
        <v>10586940000168</v>
      </c>
      <c r="E311" s="47" t="s">
        <v>1269</v>
      </c>
      <c r="F311" s="47" t="s">
        <v>440</v>
      </c>
      <c r="G311" s="155">
        <v>313509.48</v>
      </c>
    </row>
    <row r="312" spans="1:7" hidden="1" x14ac:dyDescent="0.2">
      <c r="A312" s="7" t="s">
        <v>16</v>
      </c>
      <c r="B312" s="7" t="s">
        <v>22</v>
      </c>
      <c r="C312" s="7" t="s">
        <v>18</v>
      </c>
      <c r="D312" s="154">
        <v>10586940000168</v>
      </c>
      <c r="E312" s="47" t="s">
        <v>1269</v>
      </c>
      <c r="F312" s="47" t="s">
        <v>418</v>
      </c>
      <c r="G312" s="155">
        <v>15521.78</v>
      </c>
    </row>
    <row r="313" spans="1:7" hidden="1" x14ac:dyDescent="0.2">
      <c r="A313" s="7" t="s">
        <v>16</v>
      </c>
      <c r="B313" s="7" t="s">
        <v>22</v>
      </c>
      <c r="C313" s="7" t="s">
        <v>18</v>
      </c>
      <c r="D313" s="154">
        <v>10942995000163</v>
      </c>
      <c r="E313" s="47" t="s">
        <v>1259</v>
      </c>
      <c r="F313" s="47" t="s">
        <v>440</v>
      </c>
      <c r="G313" s="155">
        <v>36016</v>
      </c>
    </row>
    <row r="314" spans="1:7" hidden="1" x14ac:dyDescent="0.2">
      <c r="A314" s="7" t="s">
        <v>16</v>
      </c>
      <c r="B314" s="7" t="s">
        <v>22</v>
      </c>
      <c r="C314" s="7" t="s">
        <v>18</v>
      </c>
      <c r="D314" s="154">
        <v>11022597001597</v>
      </c>
      <c r="E314" s="47" t="s">
        <v>499</v>
      </c>
      <c r="F314" s="47" t="s">
        <v>440</v>
      </c>
      <c r="G314" s="155">
        <v>93125</v>
      </c>
    </row>
    <row r="315" spans="1:7" hidden="1" x14ac:dyDescent="0.2">
      <c r="A315" s="7" t="s">
        <v>16</v>
      </c>
      <c r="B315" s="7" t="s">
        <v>22</v>
      </c>
      <c r="C315" s="7" t="s">
        <v>18</v>
      </c>
      <c r="D315" s="154">
        <v>11206099000107</v>
      </c>
      <c r="E315" s="47" t="s">
        <v>500</v>
      </c>
      <c r="F315" s="47" t="s">
        <v>417</v>
      </c>
      <c r="G315" s="155">
        <v>196810.64</v>
      </c>
    </row>
    <row r="316" spans="1:7" hidden="1" x14ac:dyDescent="0.2">
      <c r="A316" s="7" t="s">
        <v>16</v>
      </c>
      <c r="B316" s="7" t="s">
        <v>22</v>
      </c>
      <c r="C316" s="7" t="s">
        <v>18</v>
      </c>
      <c r="D316" s="154">
        <v>12420164000319</v>
      </c>
      <c r="E316" s="47" t="s">
        <v>470</v>
      </c>
      <c r="F316" s="47" t="s">
        <v>417</v>
      </c>
      <c r="G316" s="155">
        <v>278374.63</v>
      </c>
    </row>
    <row r="317" spans="1:7" hidden="1" x14ac:dyDescent="0.2">
      <c r="A317" s="7" t="s">
        <v>16</v>
      </c>
      <c r="B317" s="7" t="s">
        <v>22</v>
      </c>
      <c r="C317" s="7" t="s">
        <v>18</v>
      </c>
      <c r="D317" s="154">
        <v>12420164000319</v>
      </c>
      <c r="E317" s="47" t="s">
        <v>470</v>
      </c>
      <c r="F317" s="47" t="s">
        <v>440</v>
      </c>
      <c r="G317" s="155">
        <v>1609821.48</v>
      </c>
    </row>
    <row r="318" spans="1:7" hidden="1" x14ac:dyDescent="0.2">
      <c r="A318" s="7" t="s">
        <v>16</v>
      </c>
      <c r="B318" s="7" t="s">
        <v>22</v>
      </c>
      <c r="C318" s="7" t="s">
        <v>18</v>
      </c>
      <c r="D318" s="154">
        <v>12420164000319</v>
      </c>
      <c r="E318" s="47" t="s">
        <v>470</v>
      </c>
      <c r="F318" s="47" t="s">
        <v>418</v>
      </c>
      <c r="G318" s="155">
        <v>19153.150000000001</v>
      </c>
    </row>
    <row r="319" spans="1:7" hidden="1" x14ac:dyDescent="0.2">
      <c r="A319" s="7" t="s">
        <v>16</v>
      </c>
      <c r="B319" s="7" t="s">
        <v>22</v>
      </c>
      <c r="C319" s="7" t="s">
        <v>18</v>
      </c>
      <c r="D319" s="154">
        <v>12420164000904</v>
      </c>
      <c r="E319" s="47" t="s">
        <v>470</v>
      </c>
      <c r="F319" s="47" t="s">
        <v>417</v>
      </c>
      <c r="G319" s="155">
        <v>160219.51</v>
      </c>
    </row>
    <row r="320" spans="1:7" hidden="1" x14ac:dyDescent="0.2">
      <c r="A320" s="7" t="s">
        <v>16</v>
      </c>
      <c r="B320" s="7" t="s">
        <v>22</v>
      </c>
      <c r="C320" s="7" t="s">
        <v>18</v>
      </c>
      <c r="D320" s="154">
        <v>12420164000904</v>
      </c>
      <c r="E320" s="47" t="s">
        <v>470</v>
      </c>
      <c r="F320" s="47" t="s">
        <v>440</v>
      </c>
      <c r="G320" s="155">
        <v>789980.97</v>
      </c>
    </row>
    <row r="321" spans="1:7" hidden="1" x14ac:dyDescent="0.2">
      <c r="A321" s="7" t="s">
        <v>16</v>
      </c>
      <c r="B321" s="7" t="s">
        <v>22</v>
      </c>
      <c r="C321" s="7" t="s">
        <v>18</v>
      </c>
      <c r="D321" s="154">
        <v>12420164000904</v>
      </c>
      <c r="E321" s="47" t="s">
        <v>470</v>
      </c>
      <c r="F321" s="47" t="s">
        <v>418</v>
      </c>
      <c r="G321" s="155">
        <v>8977.76</v>
      </c>
    </row>
    <row r="322" spans="1:7" hidden="1" x14ac:dyDescent="0.2">
      <c r="A322" s="7" t="s">
        <v>16</v>
      </c>
      <c r="B322" s="7" t="s">
        <v>22</v>
      </c>
      <c r="C322" s="7" t="s">
        <v>18</v>
      </c>
      <c r="D322" s="154">
        <v>12420164001048</v>
      </c>
      <c r="E322" s="47" t="s">
        <v>470</v>
      </c>
      <c r="F322" s="47" t="s">
        <v>417</v>
      </c>
      <c r="G322" s="155">
        <v>6133.12</v>
      </c>
    </row>
    <row r="323" spans="1:7" hidden="1" x14ac:dyDescent="0.2">
      <c r="A323" s="7" t="s">
        <v>16</v>
      </c>
      <c r="B323" s="7" t="s">
        <v>22</v>
      </c>
      <c r="C323" s="7" t="s">
        <v>18</v>
      </c>
      <c r="D323" s="154">
        <v>12420164001048</v>
      </c>
      <c r="E323" s="47" t="s">
        <v>470</v>
      </c>
      <c r="F323" s="47" t="s">
        <v>440</v>
      </c>
      <c r="G323" s="155">
        <v>152993.22</v>
      </c>
    </row>
    <row r="324" spans="1:7" hidden="1" x14ac:dyDescent="0.2">
      <c r="A324" s="7" t="s">
        <v>16</v>
      </c>
      <c r="B324" s="7" t="s">
        <v>22</v>
      </c>
      <c r="C324" s="7" t="s">
        <v>18</v>
      </c>
      <c r="D324" s="154">
        <v>12420164001048</v>
      </c>
      <c r="E324" s="47" t="s">
        <v>470</v>
      </c>
      <c r="F324" s="47" t="s">
        <v>418</v>
      </c>
      <c r="G324" s="155">
        <v>17625.36</v>
      </c>
    </row>
    <row r="325" spans="1:7" hidden="1" x14ac:dyDescent="0.2">
      <c r="A325" s="7" t="s">
        <v>16</v>
      </c>
      <c r="B325" s="7" t="s">
        <v>22</v>
      </c>
      <c r="C325" s="7" t="s">
        <v>18</v>
      </c>
      <c r="D325" s="154">
        <v>12474705000120</v>
      </c>
      <c r="E325" s="47" t="s">
        <v>471</v>
      </c>
      <c r="F325" s="47" t="s">
        <v>440</v>
      </c>
      <c r="G325" s="155">
        <v>82270</v>
      </c>
    </row>
    <row r="326" spans="1:7" hidden="1" x14ac:dyDescent="0.2">
      <c r="A326" s="7" t="s">
        <v>16</v>
      </c>
      <c r="B326" s="7" t="s">
        <v>22</v>
      </c>
      <c r="C326" s="7" t="s">
        <v>18</v>
      </c>
      <c r="D326" s="154">
        <v>12891935000194</v>
      </c>
      <c r="E326" s="47" t="s">
        <v>502</v>
      </c>
      <c r="F326" s="47" t="s">
        <v>440</v>
      </c>
      <c r="G326" s="155">
        <v>19808.28</v>
      </c>
    </row>
    <row r="327" spans="1:7" hidden="1" x14ac:dyDescent="0.2">
      <c r="A327" s="7" t="s">
        <v>16</v>
      </c>
      <c r="B327" s="7" t="s">
        <v>22</v>
      </c>
      <c r="C327" s="7" t="s">
        <v>18</v>
      </c>
      <c r="D327" s="154">
        <v>14261377000109</v>
      </c>
      <c r="E327" s="47" t="s">
        <v>472</v>
      </c>
      <c r="F327" s="47" t="s">
        <v>440</v>
      </c>
      <c r="G327" s="155">
        <v>31842.7</v>
      </c>
    </row>
    <row r="328" spans="1:7" hidden="1" x14ac:dyDescent="0.2">
      <c r="A328" s="7" t="s">
        <v>16</v>
      </c>
      <c r="B328" s="7" t="s">
        <v>22</v>
      </c>
      <c r="C328" s="7" t="s">
        <v>18</v>
      </c>
      <c r="D328" s="154">
        <v>15126437000496</v>
      </c>
      <c r="E328" s="47" t="s">
        <v>1270</v>
      </c>
      <c r="F328" s="47" t="s">
        <v>440</v>
      </c>
      <c r="G328" s="155">
        <v>102469</v>
      </c>
    </row>
    <row r="329" spans="1:7" hidden="1" x14ac:dyDescent="0.2">
      <c r="A329" s="7" t="s">
        <v>16</v>
      </c>
      <c r="B329" s="7" t="s">
        <v>22</v>
      </c>
      <c r="C329" s="7" t="s">
        <v>18</v>
      </c>
      <c r="D329" s="154">
        <v>15126437000739</v>
      </c>
      <c r="E329" s="47" t="s">
        <v>473</v>
      </c>
      <c r="F329" s="47" t="s">
        <v>440</v>
      </c>
      <c r="G329" s="155">
        <v>37925</v>
      </c>
    </row>
    <row r="330" spans="1:7" hidden="1" x14ac:dyDescent="0.2">
      <c r="A330" s="7" t="s">
        <v>16</v>
      </c>
      <c r="B330" s="7" t="s">
        <v>22</v>
      </c>
      <c r="C330" s="7" t="s">
        <v>18</v>
      </c>
      <c r="D330" s="154">
        <v>15126437002278</v>
      </c>
      <c r="E330" s="47" t="s">
        <v>1240</v>
      </c>
      <c r="F330" s="47" t="s">
        <v>417</v>
      </c>
      <c r="G330" s="155">
        <v>5825</v>
      </c>
    </row>
    <row r="331" spans="1:7" hidden="1" x14ac:dyDescent="0.2">
      <c r="A331" s="7" t="s">
        <v>16</v>
      </c>
      <c r="B331" s="7" t="s">
        <v>22</v>
      </c>
      <c r="C331" s="7" t="s">
        <v>18</v>
      </c>
      <c r="D331" s="154">
        <v>15145035000196</v>
      </c>
      <c r="E331" s="47" t="s">
        <v>475</v>
      </c>
      <c r="F331" s="47" t="s">
        <v>440</v>
      </c>
      <c r="G331" s="155">
        <v>30855.33</v>
      </c>
    </row>
    <row r="332" spans="1:7" hidden="1" x14ac:dyDescent="0.2">
      <c r="A332" s="7" t="s">
        <v>16</v>
      </c>
      <c r="B332" s="7" t="s">
        <v>22</v>
      </c>
      <c r="C332" s="7" t="s">
        <v>18</v>
      </c>
      <c r="D332" s="154">
        <v>15180714000520</v>
      </c>
      <c r="E332" s="47" t="s">
        <v>512</v>
      </c>
      <c r="F332" s="47" t="s">
        <v>440</v>
      </c>
      <c r="G332" s="155">
        <v>26333.81</v>
      </c>
    </row>
    <row r="333" spans="1:7" hidden="1" x14ac:dyDescent="0.2">
      <c r="A333" s="7" t="s">
        <v>16</v>
      </c>
      <c r="B333" s="7" t="s">
        <v>22</v>
      </c>
      <c r="C333" s="7" t="s">
        <v>18</v>
      </c>
      <c r="D333" s="154">
        <v>17700763000300</v>
      </c>
      <c r="E333" s="47" t="s">
        <v>477</v>
      </c>
      <c r="F333" s="47" t="s">
        <v>417</v>
      </c>
      <c r="G333" s="155">
        <v>156051.06</v>
      </c>
    </row>
    <row r="334" spans="1:7" hidden="1" x14ac:dyDescent="0.2">
      <c r="A334" s="7" t="s">
        <v>16</v>
      </c>
      <c r="B334" s="7" t="s">
        <v>22</v>
      </c>
      <c r="C334" s="7" t="s">
        <v>18</v>
      </c>
      <c r="D334" s="154">
        <v>17700763000300</v>
      </c>
      <c r="E334" s="47" t="s">
        <v>477</v>
      </c>
      <c r="F334" s="47" t="s">
        <v>440</v>
      </c>
      <c r="G334" s="155">
        <v>694304.52</v>
      </c>
    </row>
    <row r="335" spans="1:7" hidden="1" x14ac:dyDescent="0.2">
      <c r="A335" s="7" t="s">
        <v>16</v>
      </c>
      <c r="B335" s="7" t="s">
        <v>22</v>
      </c>
      <c r="C335" s="7" t="s">
        <v>18</v>
      </c>
      <c r="D335" s="154">
        <v>17700763000300</v>
      </c>
      <c r="E335" s="47" t="s">
        <v>477</v>
      </c>
      <c r="F335" s="47" t="s">
        <v>418</v>
      </c>
      <c r="G335" s="155">
        <v>38804.449999999997</v>
      </c>
    </row>
    <row r="336" spans="1:7" hidden="1" x14ac:dyDescent="0.2">
      <c r="A336" s="7" t="s">
        <v>16</v>
      </c>
      <c r="B336" s="7" t="s">
        <v>22</v>
      </c>
      <c r="C336" s="7" t="s">
        <v>18</v>
      </c>
      <c r="D336" s="154">
        <v>18269125000187</v>
      </c>
      <c r="E336" s="47" t="s">
        <v>478</v>
      </c>
      <c r="F336" s="47" t="s">
        <v>440</v>
      </c>
      <c r="G336" s="155">
        <v>197051.81</v>
      </c>
    </row>
    <row r="337" spans="1:7" hidden="1" x14ac:dyDescent="0.2">
      <c r="A337" s="7" t="s">
        <v>16</v>
      </c>
      <c r="B337" s="7" t="s">
        <v>22</v>
      </c>
      <c r="C337" s="7" t="s">
        <v>18</v>
      </c>
      <c r="D337" s="154">
        <v>25053117000164</v>
      </c>
      <c r="E337" s="47" t="s">
        <v>513</v>
      </c>
      <c r="F337" s="47" t="s">
        <v>418</v>
      </c>
      <c r="G337" s="155">
        <v>109560.53</v>
      </c>
    </row>
    <row r="338" spans="1:7" hidden="1" x14ac:dyDescent="0.2">
      <c r="A338" s="7" t="s">
        <v>16</v>
      </c>
      <c r="B338" s="7" t="s">
        <v>22</v>
      </c>
      <c r="C338" s="7" t="s">
        <v>18</v>
      </c>
      <c r="D338" s="154">
        <v>25211499000107</v>
      </c>
      <c r="E338" s="47" t="s">
        <v>468</v>
      </c>
      <c r="F338" s="47" t="s">
        <v>440</v>
      </c>
      <c r="G338" s="155">
        <v>53576.800000000003</v>
      </c>
    </row>
    <row r="339" spans="1:7" hidden="1" x14ac:dyDescent="0.2">
      <c r="A339" s="7" t="s">
        <v>16</v>
      </c>
      <c r="B339" s="7" t="s">
        <v>22</v>
      </c>
      <c r="C339" s="7" t="s">
        <v>18</v>
      </c>
      <c r="D339" s="154">
        <v>25211499000107</v>
      </c>
      <c r="E339" s="47" t="s">
        <v>468</v>
      </c>
      <c r="F339" s="47" t="s">
        <v>418</v>
      </c>
      <c r="G339" s="155">
        <v>67481.88</v>
      </c>
    </row>
    <row r="340" spans="1:7" hidden="1" x14ac:dyDescent="0.2">
      <c r="A340" s="7" t="s">
        <v>16</v>
      </c>
      <c r="B340" s="7" t="s">
        <v>22</v>
      </c>
      <c r="C340" s="7" t="s">
        <v>18</v>
      </c>
      <c r="D340" s="154">
        <v>25648387000207</v>
      </c>
      <c r="E340" s="47" t="s">
        <v>1241</v>
      </c>
      <c r="F340" s="47" t="s">
        <v>440</v>
      </c>
      <c r="G340" s="155">
        <v>128528.4</v>
      </c>
    </row>
    <row r="341" spans="1:7" hidden="1" x14ac:dyDescent="0.2">
      <c r="A341" s="7" t="s">
        <v>16</v>
      </c>
      <c r="B341" s="7" t="s">
        <v>22</v>
      </c>
      <c r="C341" s="7" t="s">
        <v>18</v>
      </c>
      <c r="D341" s="154">
        <v>27080605000358</v>
      </c>
      <c r="E341" s="47" t="s">
        <v>1262</v>
      </c>
      <c r="F341" s="47" t="s">
        <v>440</v>
      </c>
      <c r="G341" s="155">
        <v>36446.800000000003</v>
      </c>
    </row>
    <row r="342" spans="1:7" hidden="1" x14ac:dyDescent="0.2">
      <c r="A342" s="7" t="s">
        <v>16</v>
      </c>
      <c r="B342" s="7" t="s">
        <v>22</v>
      </c>
      <c r="C342" s="7" t="s">
        <v>18</v>
      </c>
      <c r="D342" s="154">
        <v>27191294000132</v>
      </c>
      <c r="E342" s="47" t="s">
        <v>481</v>
      </c>
      <c r="F342" s="47" t="s">
        <v>440</v>
      </c>
      <c r="G342" s="155">
        <v>4998.49</v>
      </c>
    </row>
    <row r="343" spans="1:7" hidden="1" x14ac:dyDescent="0.2">
      <c r="A343" s="7" t="s">
        <v>16</v>
      </c>
      <c r="B343" s="7" t="s">
        <v>22</v>
      </c>
      <c r="C343" s="7" t="s">
        <v>18</v>
      </c>
      <c r="D343" s="154">
        <v>28523215000378</v>
      </c>
      <c r="E343" s="47" t="s">
        <v>1271</v>
      </c>
      <c r="F343" s="47" t="s">
        <v>440</v>
      </c>
      <c r="G343" s="155">
        <v>58929.599999999999</v>
      </c>
    </row>
    <row r="344" spans="1:7" hidden="1" x14ac:dyDescent="0.2">
      <c r="A344" s="7" t="s">
        <v>16</v>
      </c>
      <c r="B344" s="7" t="s">
        <v>22</v>
      </c>
      <c r="C344" s="7" t="s">
        <v>18</v>
      </c>
      <c r="D344" s="154">
        <v>28523215000378</v>
      </c>
      <c r="E344" s="47" t="s">
        <v>1271</v>
      </c>
      <c r="F344" s="47" t="s">
        <v>418</v>
      </c>
      <c r="G344" s="155">
        <v>3040</v>
      </c>
    </row>
    <row r="345" spans="1:7" hidden="1" x14ac:dyDescent="0.2">
      <c r="A345" s="7" t="s">
        <v>16</v>
      </c>
      <c r="B345" s="7" t="s">
        <v>22</v>
      </c>
      <c r="C345" s="7" t="s">
        <v>18</v>
      </c>
      <c r="D345" s="154">
        <v>33663683005347</v>
      </c>
      <c r="E345" s="47" t="s">
        <v>483</v>
      </c>
      <c r="F345" s="47" t="s">
        <v>440</v>
      </c>
      <c r="G345" s="155">
        <v>463837.8</v>
      </c>
    </row>
    <row r="346" spans="1:7" hidden="1" x14ac:dyDescent="0.2">
      <c r="A346" s="7" t="s">
        <v>16</v>
      </c>
      <c r="B346" s="7" t="s">
        <v>22</v>
      </c>
      <c r="C346" s="7" t="s">
        <v>18</v>
      </c>
      <c r="D346" s="154">
        <v>34023077000280</v>
      </c>
      <c r="E346" s="47" t="s">
        <v>504</v>
      </c>
      <c r="F346" s="47" t="s">
        <v>417</v>
      </c>
      <c r="G346" s="155">
        <v>14450.4</v>
      </c>
    </row>
    <row r="347" spans="1:7" hidden="1" x14ac:dyDescent="0.2">
      <c r="A347" s="7" t="s">
        <v>16</v>
      </c>
      <c r="B347" s="7" t="s">
        <v>22</v>
      </c>
      <c r="C347" s="7" t="s">
        <v>18</v>
      </c>
      <c r="D347" s="154">
        <v>37396017000624</v>
      </c>
      <c r="E347" s="47" t="s">
        <v>468</v>
      </c>
      <c r="F347" s="47" t="s">
        <v>417</v>
      </c>
      <c r="G347" s="155">
        <v>161101.98000000001</v>
      </c>
    </row>
    <row r="348" spans="1:7" hidden="1" x14ac:dyDescent="0.2">
      <c r="A348" s="7" t="s">
        <v>16</v>
      </c>
      <c r="B348" s="7" t="s">
        <v>22</v>
      </c>
      <c r="C348" s="7" t="s">
        <v>18</v>
      </c>
      <c r="D348" s="154">
        <v>37396017000624</v>
      </c>
      <c r="E348" s="47" t="s">
        <v>468</v>
      </c>
      <c r="F348" s="47" t="s">
        <v>440</v>
      </c>
      <c r="G348" s="155">
        <v>169932.67</v>
      </c>
    </row>
    <row r="349" spans="1:7" hidden="1" x14ac:dyDescent="0.2">
      <c r="A349" s="7" t="s">
        <v>16</v>
      </c>
      <c r="B349" s="7" t="s">
        <v>22</v>
      </c>
      <c r="C349" s="7" t="s">
        <v>18</v>
      </c>
      <c r="D349" s="154">
        <v>37396017000624</v>
      </c>
      <c r="E349" s="47" t="s">
        <v>468</v>
      </c>
      <c r="F349" s="47" t="s">
        <v>418</v>
      </c>
      <c r="G349" s="155">
        <v>19012.29</v>
      </c>
    </row>
    <row r="350" spans="1:7" hidden="1" x14ac:dyDescent="0.2">
      <c r="A350" s="7" t="s">
        <v>16</v>
      </c>
      <c r="B350" s="7" t="s">
        <v>22</v>
      </c>
      <c r="C350" s="7" t="s">
        <v>18</v>
      </c>
      <c r="D350" s="154">
        <v>42498733000148</v>
      </c>
      <c r="E350" s="47" t="s">
        <v>515</v>
      </c>
      <c r="F350" s="47" t="s">
        <v>417</v>
      </c>
      <c r="G350" s="155">
        <v>55500</v>
      </c>
    </row>
    <row r="351" spans="1:7" hidden="1" x14ac:dyDescent="0.2">
      <c r="A351" s="7" t="s">
        <v>16</v>
      </c>
      <c r="B351" s="7" t="s">
        <v>22</v>
      </c>
      <c r="C351" s="7" t="s">
        <v>18</v>
      </c>
      <c r="D351" s="154">
        <v>45780103000150</v>
      </c>
      <c r="E351" s="47" t="s">
        <v>1242</v>
      </c>
      <c r="F351" s="47" t="s">
        <v>440</v>
      </c>
      <c r="G351" s="155">
        <v>120805.68</v>
      </c>
    </row>
    <row r="352" spans="1:7" hidden="1" x14ac:dyDescent="0.2">
      <c r="A352" s="7" t="s">
        <v>16</v>
      </c>
      <c r="B352" s="7" t="s">
        <v>22</v>
      </c>
      <c r="C352" s="7" t="s">
        <v>18</v>
      </c>
      <c r="D352" s="154">
        <v>46068425000133</v>
      </c>
      <c r="E352" s="47" t="s">
        <v>486</v>
      </c>
      <c r="F352" s="47" t="s">
        <v>417</v>
      </c>
      <c r="G352" s="155">
        <v>30996</v>
      </c>
    </row>
    <row r="353" spans="1:7" hidden="1" x14ac:dyDescent="0.2">
      <c r="A353" s="7" t="s">
        <v>16</v>
      </c>
      <c r="B353" s="7" t="s">
        <v>22</v>
      </c>
      <c r="C353" s="7" t="s">
        <v>18</v>
      </c>
      <c r="D353" s="154">
        <v>46374500001670</v>
      </c>
      <c r="E353" s="47" t="s">
        <v>487</v>
      </c>
      <c r="F353" s="47" t="s">
        <v>418</v>
      </c>
      <c r="G353" s="155">
        <v>5399.36</v>
      </c>
    </row>
    <row r="354" spans="1:7" hidden="1" x14ac:dyDescent="0.2">
      <c r="A354" s="7" t="s">
        <v>16</v>
      </c>
      <c r="B354" s="7" t="s">
        <v>22</v>
      </c>
      <c r="C354" s="7" t="s">
        <v>18</v>
      </c>
      <c r="D354" s="154">
        <v>46374500003533</v>
      </c>
      <c r="E354" s="47" t="s">
        <v>1243</v>
      </c>
      <c r="F354" s="47" t="s">
        <v>440</v>
      </c>
      <c r="G354" s="155">
        <v>204938</v>
      </c>
    </row>
    <row r="355" spans="1:7" hidden="1" x14ac:dyDescent="0.2">
      <c r="A355" s="7" t="s">
        <v>16</v>
      </c>
      <c r="B355" s="7" t="s">
        <v>22</v>
      </c>
      <c r="C355" s="7" t="s">
        <v>18</v>
      </c>
      <c r="D355" s="154">
        <v>46374500005234</v>
      </c>
      <c r="E355" s="47" t="s">
        <v>516</v>
      </c>
      <c r="F355" s="47" t="s">
        <v>418</v>
      </c>
      <c r="G355" s="155">
        <v>8436.5</v>
      </c>
    </row>
    <row r="356" spans="1:7" hidden="1" x14ac:dyDescent="0.2">
      <c r="A356" s="7" t="s">
        <v>16</v>
      </c>
      <c r="B356" s="7" t="s">
        <v>22</v>
      </c>
      <c r="C356" s="7" t="s">
        <v>18</v>
      </c>
      <c r="D356" s="154">
        <v>46374500008845</v>
      </c>
      <c r="E356" s="47" t="s">
        <v>1272</v>
      </c>
      <c r="F356" s="47" t="s">
        <v>440</v>
      </c>
      <c r="G356" s="155">
        <v>40987.599999999999</v>
      </c>
    </row>
    <row r="357" spans="1:7" hidden="1" x14ac:dyDescent="0.2">
      <c r="A357" s="7" t="s">
        <v>16</v>
      </c>
      <c r="B357" s="7" t="s">
        <v>22</v>
      </c>
      <c r="C357" s="7" t="s">
        <v>18</v>
      </c>
      <c r="D357" s="154">
        <v>46374500008845</v>
      </c>
      <c r="E357" s="47" t="s">
        <v>1272</v>
      </c>
      <c r="F357" s="47" t="s">
        <v>418</v>
      </c>
      <c r="G357" s="155">
        <v>8099.04</v>
      </c>
    </row>
    <row r="358" spans="1:7" hidden="1" x14ac:dyDescent="0.2">
      <c r="A358" s="7" t="s">
        <v>16</v>
      </c>
      <c r="B358" s="7" t="s">
        <v>22</v>
      </c>
      <c r="C358" s="7" t="s">
        <v>18</v>
      </c>
      <c r="D358" s="154">
        <v>46374500009221</v>
      </c>
      <c r="E358" s="47" t="s">
        <v>517</v>
      </c>
      <c r="F358" s="47" t="s">
        <v>440</v>
      </c>
      <c r="G358" s="155">
        <v>184444.2</v>
      </c>
    </row>
    <row r="359" spans="1:7" hidden="1" x14ac:dyDescent="0.2">
      <c r="A359" s="7" t="s">
        <v>16</v>
      </c>
      <c r="B359" s="7" t="s">
        <v>22</v>
      </c>
      <c r="C359" s="7" t="s">
        <v>18</v>
      </c>
      <c r="D359" s="154">
        <v>46374500010823</v>
      </c>
      <c r="E359" s="47" t="s">
        <v>1273</v>
      </c>
      <c r="F359" s="47" t="s">
        <v>440</v>
      </c>
      <c r="G359" s="155">
        <v>30740.7</v>
      </c>
    </row>
    <row r="360" spans="1:7" hidden="1" x14ac:dyDescent="0.2">
      <c r="A360" s="7" t="s">
        <v>16</v>
      </c>
      <c r="B360" s="7" t="s">
        <v>22</v>
      </c>
      <c r="C360" s="7" t="s">
        <v>18</v>
      </c>
      <c r="D360" s="154">
        <v>46374500011129</v>
      </c>
      <c r="E360" s="47" t="s">
        <v>1244</v>
      </c>
      <c r="F360" s="47" t="s">
        <v>418</v>
      </c>
      <c r="G360" s="155">
        <v>13498.4</v>
      </c>
    </row>
    <row r="361" spans="1:7" hidden="1" x14ac:dyDescent="0.2">
      <c r="A361" s="7" t="s">
        <v>16</v>
      </c>
      <c r="B361" s="7" t="s">
        <v>22</v>
      </c>
      <c r="C361" s="7" t="s">
        <v>18</v>
      </c>
      <c r="D361" s="154">
        <v>46374500011200</v>
      </c>
      <c r="E361" s="47" t="s">
        <v>1245</v>
      </c>
      <c r="F361" s="47" t="s">
        <v>418</v>
      </c>
      <c r="G361" s="155">
        <v>6749.2</v>
      </c>
    </row>
    <row r="362" spans="1:7" hidden="1" x14ac:dyDescent="0.2">
      <c r="A362" s="7" t="s">
        <v>16</v>
      </c>
      <c r="B362" s="7" t="s">
        <v>22</v>
      </c>
      <c r="C362" s="7" t="s">
        <v>18</v>
      </c>
      <c r="D362" s="154">
        <v>46374500012362</v>
      </c>
      <c r="E362" s="47" t="s">
        <v>518</v>
      </c>
      <c r="F362" s="47" t="s">
        <v>418</v>
      </c>
      <c r="G362" s="155">
        <v>2530.9499999999998</v>
      </c>
    </row>
    <row r="363" spans="1:7" hidden="1" x14ac:dyDescent="0.2">
      <c r="A363" s="7" t="s">
        <v>16</v>
      </c>
      <c r="B363" s="7" t="s">
        <v>22</v>
      </c>
      <c r="C363" s="7" t="s">
        <v>18</v>
      </c>
      <c r="D363" s="154">
        <v>46374500013091</v>
      </c>
      <c r="E363" s="47" t="s">
        <v>1274</v>
      </c>
      <c r="F363" s="47" t="s">
        <v>418</v>
      </c>
      <c r="G363" s="155">
        <v>8436.5</v>
      </c>
    </row>
    <row r="364" spans="1:7" hidden="1" x14ac:dyDescent="0.2">
      <c r="A364" s="7" t="s">
        <v>16</v>
      </c>
      <c r="B364" s="7" t="s">
        <v>22</v>
      </c>
      <c r="C364" s="7" t="s">
        <v>18</v>
      </c>
      <c r="D364" s="154">
        <v>46374500026231</v>
      </c>
      <c r="E364" s="47" t="s">
        <v>1265</v>
      </c>
      <c r="F364" s="47" t="s">
        <v>440</v>
      </c>
      <c r="G364" s="155">
        <v>102052.28</v>
      </c>
    </row>
    <row r="365" spans="1:7" hidden="1" x14ac:dyDescent="0.2">
      <c r="A365" s="7" t="s">
        <v>16</v>
      </c>
      <c r="B365" s="7" t="s">
        <v>22</v>
      </c>
      <c r="C365" s="7" t="s">
        <v>18</v>
      </c>
      <c r="D365" s="154">
        <v>46643466000106</v>
      </c>
      <c r="E365" s="47" t="s">
        <v>1275</v>
      </c>
      <c r="F365" s="47" t="s">
        <v>440</v>
      </c>
      <c r="G365" s="155">
        <v>137502.39999999999</v>
      </c>
    </row>
    <row r="366" spans="1:7" hidden="1" x14ac:dyDescent="0.2">
      <c r="A366" s="7" t="s">
        <v>16</v>
      </c>
      <c r="B366" s="7" t="s">
        <v>22</v>
      </c>
      <c r="C366" s="7" t="s">
        <v>18</v>
      </c>
      <c r="D366" s="154">
        <v>48468284000171</v>
      </c>
      <c r="E366" s="47" t="s">
        <v>489</v>
      </c>
      <c r="F366" s="47" t="s">
        <v>440</v>
      </c>
      <c r="G366" s="155">
        <v>40987.599999999999</v>
      </c>
    </row>
    <row r="367" spans="1:7" hidden="1" x14ac:dyDescent="0.2">
      <c r="A367" s="7" t="s">
        <v>16</v>
      </c>
      <c r="B367" s="7" t="s">
        <v>22</v>
      </c>
      <c r="C367" s="7" t="s">
        <v>18</v>
      </c>
      <c r="D367" s="154">
        <v>50311620000209</v>
      </c>
      <c r="E367" s="47" t="s">
        <v>506</v>
      </c>
      <c r="F367" s="47" t="s">
        <v>417</v>
      </c>
      <c r="G367" s="155">
        <v>78722.27</v>
      </c>
    </row>
    <row r="368" spans="1:7" hidden="1" x14ac:dyDescent="0.2">
      <c r="A368" s="7" t="s">
        <v>16</v>
      </c>
      <c r="B368" s="7" t="s">
        <v>22</v>
      </c>
      <c r="C368" s="7" t="s">
        <v>18</v>
      </c>
      <c r="D368" s="154">
        <v>50311620000209</v>
      </c>
      <c r="E368" s="47" t="s">
        <v>506</v>
      </c>
      <c r="F368" s="47" t="s">
        <v>440</v>
      </c>
      <c r="G368" s="155">
        <v>196802.26</v>
      </c>
    </row>
    <row r="369" spans="1:7" hidden="1" x14ac:dyDescent="0.2">
      <c r="A369" s="7" t="s">
        <v>16</v>
      </c>
      <c r="B369" s="7" t="s">
        <v>22</v>
      </c>
      <c r="C369" s="7" t="s">
        <v>18</v>
      </c>
      <c r="D369" s="154">
        <v>50311620000209</v>
      </c>
      <c r="E369" s="47" t="s">
        <v>506</v>
      </c>
      <c r="F369" s="47" t="s">
        <v>418</v>
      </c>
      <c r="G369" s="155">
        <v>73936.67</v>
      </c>
    </row>
    <row r="370" spans="1:7" hidden="1" x14ac:dyDescent="0.2">
      <c r="A370" s="7" t="s">
        <v>16</v>
      </c>
      <c r="B370" s="7" t="s">
        <v>22</v>
      </c>
      <c r="C370" s="7" t="s">
        <v>18</v>
      </c>
      <c r="D370" s="154">
        <v>51885242000140</v>
      </c>
      <c r="E370" s="47" t="s">
        <v>490</v>
      </c>
      <c r="F370" s="47" t="s">
        <v>440</v>
      </c>
      <c r="G370" s="155">
        <v>25000.16</v>
      </c>
    </row>
    <row r="371" spans="1:7" hidden="1" x14ac:dyDescent="0.2">
      <c r="A371" s="7" t="s">
        <v>16</v>
      </c>
      <c r="B371" s="7" t="s">
        <v>22</v>
      </c>
      <c r="C371" s="7" t="s">
        <v>18</v>
      </c>
      <c r="D371" s="154">
        <v>56577059000100</v>
      </c>
      <c r="E371" s="47" t="s">
        <v>1276</v>
      </c>
      <c r="F371" s="47" t="s">
        <v>440</v>
      </c>
      <c r="G371" s="155">
        <v>27666.63</v>
      </c>
    </row>
    <row r="372" spans="1:7" hidden="1" x14ac:dyDescent="0.2">
      <c r="A372" s="7" t="s">
        <v>16</v>
      </c>
      <c r="B372" s="7" t="s">
        <v>22</v>
      </c>
      <c r="C372" s="7" t="s">
        <v>18</v>
      </c>
      <c r="D372" s="154">
        <v>57722118000302</v>
      </c>
      <c r="E372" s="47" t="s">
        <v>1250</v>
      </c>
      <c r="F372" s="47" t="s">
        <v>440</v>
      </c>
      <c r="G372" s="155">
        <v>0</v>
      </c>
    </row>
    <row r="373" spans="1:7" hidden="1" x14ac:dyDescent="0.2">
      <c r="A373" s="7" t="s">
        <v>16</v>
      </c>
      <c r="B373" s="7" t="s">
        <v>22</v>
      </c>
      <c r="C373" s="7" t="s">
        <v>18</v>
      </c>
      <c r="D373" s="154">
        <v>60003761000129</v>
      </c>
      <c r="E373" s="47" t="s">
        <v>1251</v>
      </c>
      <c r="F373" s="47" t="s">
        <v>417</v>
      </c>
      <c r="G373" s="155">
        <v>95940</v>
      </c>
    </row>
    <row r="374" spans="1:7" hidden="1" x14ac:dyDescent="0.2">
      <c r="A374" s="7" t="s">
        <v>16</v>
      </c>
      <c r="B374" s="7" t="s">
        <v>22</v>
      </c>
      <c r="C374" s="7" t="s">
        <v>18</v>
      </c>
      <c r="D374" s="154">
        <v>60003761000129</v>
      </c>
      <c r="E374" s="47" t="s">
        <v>1251</v>
      </c>
      <c r="F374" s="47" t="s">
        <v>440</v>
      </c>
      <c r="G374" s="155">
        <v>16626.87</v>
      </c>
    </row>
    <row r="375" spans="1:7" hidden="1" x14ac:dyDescent="0.2">
      <c r="A375" s="7" t="s">
        <v>16</v>
      </c>
      <c r="B375" s="7" t="s">
        <v>22</v>
      </c>
      <c r="C375" s="7" t="s">
        <v>18</v>
      </c>
      <c r="D375" s="154">
        <v>60448040000122</v>
      </c>
      <c r="E375" s="47" t="s">
        <v>1252</v>
      </c>
      <c r="F375" s="47" t="s">
        <v>417</v>
      </c>
      <c r="G375" s="155">
        <v>344872</v>
      </c>
    </row>
    <row r="376" spans="1:7" hidden="1" x14ac:dyDescent="0.2">
      <c r="A376" s="7" t="s">
        <v>16</v>
      </c>
      <c r="B376" s="7" t="s">
        <v>22</v>
      </c>
      <c r="C376" s="7" t="s">
        <v>18</v>
      </c>
      <c r="D376" s="154">
        <v>60448040000122</v>
      </c>
      <c r="E376" s="47" t="s">
        <v>1252</v>
      </c>
      <c r="F376" s="47" t="s">
        <v>440</v>
      </c>
      <c r="G376" s="155">
        <v>163611.49</v>
      </c>
    </row>
    <row r="377" spans="1:7" hidden="1" x14ac:dyDescent="0.2">
      <c r="A377" s="7" t="s">
        <v>16</v>
      </c>
      <c r="B377" s="7" t="s">
        <v>22</v>
      </c>
      <c r="C377" s="7" t="s">
        <v>18</v>
      </c>
      <c r="D377" s="154">
        <v>60448040000122</v>
      </c>
      <c r="E377" s="47" t="s">
        <v>1252</v>
      </c>
      <c r="F377" s="47" t="s">
        <v>418</v>
      </c>
      <c r="G377" s="155">
        <v>2362.2199999999998</v>
      </c>
    </row>
    <row r="378" spans="1:7" hidden="1" x14ac:dyDescent="0.2">
      <c r="A378" s="7" t="s">
        <v>16</v>
      </c>
      <c r="B378" s="7" t="s">
        <v>22</v>
      </c>
      <c r="C378" s="7" t="s">
        <v>18</v>
      </c>
      <c r="D378" s="154">
        <v>60765823000130</v>
      </c>
      <c r="E378" s="47" t="s">
        <v>1266</v>
      </c>
      <c r="F378" s="47" t="s">
        <v>440</v>
      </c>
      <c r="G378" s="155">
        <v>15785.9</v>
      </c>
    </row>
    <row r="379" spans="1:7" hidden="1" x14ac:dyDescent="0.2">
      <c r="A379" s="7" t="s">
        <v>16</v>
      </c>
      <c r="B379" s="7" t="s">
        <v>22</v>
      </c>
      <c r="C379" s="7" t="s">
        <v>18</v>
      </c>
      <c r="D379" s="154">
        <v>60765823000130</v>
      </c>
      <c r="E379" s="47" t="s">
        <v>1266</v>
      </c>
      <c r="F379" s="47" t="s">
        <v>418</v>
      </c>
      <c r="G379" s="155">
        <v>8896.94</v>
      </c>
    </row>
    <row r="380" spans="1:7" hidden="1" x14ac:dyDescent="0.2">
      <c r="A380" s="7" t="s">
        <v>16</v>
      </c>
      <c r="B380" s="7" t="s">
        <v>22</v>
      </c>
      <c r="C380" s="7" t="s">
        <v>18</v>
      </c>
      <c r="D380" s="154">
        <v>61590410000124</v>
      </c>
      <c r="E380" s="47" t="s">
        <v>1254</v>
      </c>
      <c r="F380" s="47" t="s">
        <v>440</v>
      </c>
      <c r="G380" s="155">
        <v>67451.73</v>
      </c>
    </row>
    <row r="381" spans="1:7" hidden="1" x14ac:dyDescent="0.2">
      <c r="A381" s="7" t="s">
        <v>16</v>
      </c>
      <c r="B381" s="7" t="s">
        <v>22</v>
      </c>
      <c r="C381" s="7" t="s">
        <v>18</v>
      </c>
      <c r="D381" s="154">
        <v>61590410000124</v>
      </c>
      <c r="E381" s="47" t="s">
        <v>1254</v>
      </c>
      <c r="F381" s="47" t="s">
        <v>418</v>
      </c>
      <c r="G381" s="155">
        <v>413.3</v>
      </c>
    </row>
    <row r="382" spans="1:7" hidden="1" x14ac:dyDescent="0.2">
      <c r="A382" s="7" t="s">
        <v>16</v>
      </c>
      <c r="B382" s="7" t="s">
        <v>22</v>
      </c>
      <c r="C382" s="7" t="s">
        <v>18</v>
      </c>
      <c r="D382" s="154">
        <v>61590410001287</v>
      </c>
      <c r="E382" s="47" t="s">
        <v>1255</v>
      </c>
      <c r="F382" s="47" t="s">
        <v>440</v>
      </c>
      <c r="G382" s="155">
        <v>42500</v>
      </c>
    </row>
    <row r="383" spans="1:7" hidden="1" x14ac:dyDescent="0.2">
      <c r="A383" s="7" t="s">
        <v>16</v>
      </c>
      <c r="B383" s="7" t="s">
        <v>22</v>
      </c>
      <c r="C383" s="7" t="s">
        <v>18</v>
      </c>
      <c r="D383" s="154">
        <v>61599908000158</v>
      </c>
      <c r="E383" s="47" t="s">
        <v>1256</v>
      </c>
      <c r="F383" s="47" t="s">
        <v>440</v>
      </c>
      <c r="G383" s="155">
        <v>118367</v>
      </c>
    </row>
    <row r="384" spans="1:7" hidden="1" x14ac:dyDescent="0.2">
      <c r="A384" s="7" t="s">
        <v>16</v>
      </c>
      <c r="B384" s="7" t="s">
        <v>22</v>
      </c>
      <c r="C384" s="7" t="s">
        <v>18</v>
      </c>
      <c r="D384" s="154">
        <v>61599908000158</v>
      </c>
      <c r="E384" s="47" t="s">
        <v>1256</v>
      </c>
      <c r="F384" s="47" t="s">
        <v>418</v>
      </c>
      <c r="G384" s="155">
        <v>6756.8</v>
      </c>
    </row>
    <row r="385" spans="1:7" hidden="1" x14ac:dyDescent="0.2">
      <c r="A385" s="7" t="s">
        <v>16</v>
      </c>
      <c r="B385" s="7" t="s">
        <v>22</v>
      </c>
      <c r="C385" s="7" t="s">
        <v>18</v>
      </c>
      <c r="D385" s="154">
        <v>74031865000151</v>
      </c>
      <c r="E385" s="47" t="s">
        <v>507</v>
      </c>
      <c r="F385" s="47" t="s">
        <v>417</v>
      </c>
      <c r="G385" s="155">
        <v>280840</v>
      </c>
    </row>
    <row r="386" spans="1:7" hidden="1" x14ac:dyDescent="0.2">
      <c r="A386" s="7" t="s">
        <v>16</v>
      </c>
      <c r="B386" s="7" t="s">
        <v>22</v>
      </c>
      <c r="C386" s="7" t="s">
        <v>18</v>
      </c>
      <c r="D386" s="154">
        <v>81887838000736</v>
      </c>
      <c r="E386" s="47" t="s">
        <v>491</v>
      </c>
      <c r="F386" s="47" t="s">
        <v>417</v>
      </c>
      <c r="G386" s="155">
        <v>167298.73000000001</v>
      </c>
    </row>
    <row r="387" spans="1:7" hidden="1" x14ac:dyDescent="0.2">
      <c r="A387" s="7" t="s">
        <v>16</v>
      </c>
      <c r="B387" s="7" t="s">
        <v>22</v>
      </c>
      <c r="C387" s="7" t="s">
        <v>18</v>
      </c>
      <c r="D387" s="154">
        <v>81887838000736</v>
      </c>
      <c r="E387" s="47" t="s">
        <v>491</v>
      </c>
      <c r="F387" s="47" t="s">
        <v>440</v>
      </c>
      <c r="G387" s="155">
        <v>1156499.53</v>
      </c>
    </row>
    <row r="388" spans="1:7" hidden="1" x14ac:dyDescent="0.2">
      <c r="A388" s="7" t="s">
        <v>16</v>
      </c>
      <c r="B388" s="7" t="s">
        <v>22</v>
      </c>
      <c r="C388" s="7" t="s">
        <v>18</v>
      </c>
      <c r="D388" s="154">
        <v>81887838000736</v>
      </c>
      <c r="E388" s="47" t="s">
        <v>491</v>
      </c>
      <c r="F388" s="47" t="s">
        <v>418</v>
      </c>
      <c r="G388" s="155">
        <v>100059.39</v>
      </c>
    </row>
    <row r="389" spans="1:7" hidden="1" x14ac:dyDescent="0.2">
      <c r="A389" s="7" t="s">
        <v>16</v>
      </c>
      <c r="B389" s="7" t="s">
        <v>22</v>
      </c>
      <c r="C389" s="7" t="s">
        <v>18</v>
      </c>
      <c r="D389" s="154">
        <v>82873068000140</v>
      </c>
      <c r="E389" s="47" t="s">
        <v>492</v>
      </c>
      <c r="F389" s="47" t="s">
        <v>440</v>
      </c>
      <c r="G389" s="155">
        <v>3648.06</v>
      </c>
    </row>
    <row r="390" spans="1:7" hidden="1" x14ac:dyDescent="0.2">
      <c r="A390" s="7" t="s">
        <v>16</v>
      </c>
      <c r="B390" s="7" t="s">
        <v>22</v>
      </c>
      <c r="C390" s="7" t="s">
        <v>18</v>
      </c>
      <c r="D390" s="154">
        <v>82873068000140</v>
      </c>
      <c r="E390" s="47" t="s">
        <v>492</v>
      </c>
      <c r="F390" s="47" t="s">
        <v>418</v>
      </c>
      <c r="G390" s="155">
        <v>72174.44</v>
      </c>
    </row>
    <row r="391" spans="1:7" hidden="1" x14ac:dyDescent="0.2">
      <c r="A391" s="7" t="s">
        <v>16</v>
      </c>
      <c r="B391" s="7" t="s">
        <v>22</v>
      </c>
      <c r="C391" s="7" t="s">
        <v>18</v>
      </c>
      <c r="D391" s="154">
        <v>82873068000573</v>
      </c>
      <c r="E391" s="47" t="s">
        <v>492</v>
      </c>
      <c r="F391" s="47" t="s">
        <v>440</v>
      </c>
      <c r="G391" s="155">
        <v>107355.38</v>
      </c>
    </row>
    <row r="392" spans="1:7" hidden="1" x14ac:dyDescent="0.2">
      <c r="A392" s="7" t="s">
        <v>16</v>
      </c>
      <c r="B392" s="7" t="s">
        <v>22</v>
      </c>
      <c r="C392" s="7" t="s">
        <v>18</v>
      </c>
      <c r="D392" s="154">
        <v>82873068000573</v>
      </c>
      <c r="E392" s="47" t="s">
        <v>492</v>
      </c>
      <c r="F392" s="47" t="s">
        <v>418</v>
      </c>
      <c r="G392" s="155">
        <v>14434.89</v>
      </c>
    </row>
    <row r="393" spans="1:7" hidden="1" x14ac:dyDescent="0.2">
      <c r="A393" s="7" t="s">
        <v>16</v>
      </c>
      <c r="B393" s="7" t="s">
        <v>22</v>
      </c>
      <c r="C393" s="7" t="s">
        <v>18</v>
      </c>
      <c r="D393" s="154">
        <v>82873068000654</v>
      </c>
      <c r="E393" s="47" t="s">
        <v>492</v>
      </c>
      <c r="F393" s="47" t="s">
        <v>440</v>
      </c>
      <c r="G393" s="155">
        <v>113653.43</v>
      </c>
    </row>
    <row r="394" spans="1:7" hidden="1" x14ac:dyDescent="0.2">
      <c r="A394" s="7" t="s">
        <v>16</v>
      </c>
      <c r="B394" s="7" t="s">
        <v>22</v>
      </c>
      <c r="C394" s="7" t="s">
        <v>18</v>
      </c>
      <c r="D394" s="154">
        <v>82873068000654</v>
      </c>
      <c r="E394" s="47" t="s">
        <v>492</v>
      </c>
      <c r="F394" s="47" t="s">
        <v>418</v>
      </c>
      <c r="G394" s="155">
        <v>77608.899999999994</v>
      </c>
    </row>
    <row r="395" spans="1:7" hidden="1" x14ac:dyDescent="0.2">
      <c r="A395" s="7" t="s">
        <v>16</v>
      </c>
      <c r="B395" s="7" t="s">
        <v>22</v>
      </c>
      <c r="C395" s="7" t="s">
        <v>18</v>
      </c>
      <c r="D395" s="154">
        <v>87020517000120</v>
      </c>
      <c r="E395" s="47" t="s">
        <v>493</v>
      </c>
      <c r="F395" s="47" t="s">
        <v>417</v>
      </c>
      <c r="G395" s="155">
        <v>14000</v>
      </c>
    </row>
    <row r="396" spans="1:7" hidden="1" x14ac:dyDescent="0.2">
      <c r="A396" s="7" t="s">
        <v>16</v>
      </c>
      <c r="B396" s="7" t="s">
        <v>22</v>
      </c>
      <c r="C396" s="7" t="s">
        <v>18</v>
      </c>
      <c r="D396" s="154">
        <v>87020517000120</v>
      </c>
      <c r="E396" s="47" t="s">
        <v>493</v>
      </c>
      <c r="F396" s="47" t="s">
        <v>440</v>
      </c>
      <c r="G396" s="155">
        <v>12704</v>
      </c>
    </row>
    <row r="397" spans="1:7" hidden="1" x14ac:dyDescent="0.2">
      <c r="A397" s="7" t="s">
        <v>16</v>
      </c>
      <c r="B397" s="7" t="s">
        <v>23</v>
      </c>
      <c r="C397" s="7" t="s">
        <v>24</v>
      </c>
      <c r="D397" s="154">
        <v>394544000851</v>
      </c>
      <c r="E397" s="47" t="s">
        <v>1257</v>
      </c>
      <c r="F397" s="47" t="s">
        <v>440</v>
      </c>
      <c r="G397" s="155">
        <v>548069.92000000004</v>
      </c>
    </row>
    <row r="398" spans="1:7" hidden="1" x14ac:dyDescent="0.2">
      <c r="A398" s="7" t="s">
        <v>16</v>
      </c>
      <c r="B398" s="7" t="s">
        <v>23</v>
      </c>
      <c r="C398" s="7" t="s">
        <v>24</v>
      </c>
      <c r="D398" s="154">
        <v>394544011110</v>
      </c>
      <c r="E398" s="47" t="s">
        <v>508</v>
      </c>
      <c r="F398" s="47" t="s">
        <v>440</v>
      </c>
      <c r="G398" s="155">
        <v>-55708.72</v>
      </c>
    </row>
    <row r="399" spans="1:7" hidden="1" x14ac:dyDescent="0.2">
      <c r="A399" s="7" t="s">
        <v>16</v>
      </c>
      <c r="B399" s="7" t="s">
        <v>23</v>
      </c>
      <c r="C399" s="7" t="s">
        <v>24</v>
      </c>
      <c r="D399" s="154">
        <v>394544020372</v>
      </c>
      <c r="E399" s="47" t="s">
        <v>443</v>
      </c>
      <c r="F399" s="47" t="s">
        <v>417</v>
      </c>
      <c r="G399" s="155">
        <v>94400</v>
      </c>
    </row>
    <row r="400" spans="1:7" hidden="1" x14ac:dyDescent="0.2">
      <c r="A400" s="7" t="s">
        <v>16</v>
      </c>
      <c r="B400" s="7" t="s">
        <v>23</v>
      </c>
      <c r="C400" s="7" t="s">
        <v>24</v>
      </c>
      <c r="D400" s="154">
        <v>394544020372</v>
      </c>
      <c r="E400" s="47" t="s">
        <v>443</v>
      </c>
      <c r="F400" s="47" t="s">
        <v>440</v>
      </c>
      <c r="G400" s="155">
        <v>152025.82999999999</v>
      </c>
    </row>
    <row r="401" spans="1:7" hidden="1" x14ac:dyDescent="0.2">
      <c r="A401" s="7" t="s">
        <v>16</v>
      </c>
      <c r="B401" s="7" t="s">
        <v>23</v>
      </c>
      <c r="C401" s="7" t="s">
        <v>24</v>
      </c>
      <c r="D401" s="154">
        <v>394544020453</v>
      </c>
      <c r="E401" s="47" t="s">
        <v>444</v>
      </c>
      <c r="F401" s="47" t="s">
        <v>417</v>
      </c>
      <c r="G401" s="155">
        <v>73372</v>
      </c>
    </row>
    <row r="402" spans="1:7" hidden="1" x14ac:dyDescent="0.2">
      <c r="A402" s="7" t="s">
        <v>16</v>
      </c>
      <c r="B402" s="7" t="s">
        <v>23</v>
      </c>
      <c r="C402" s="7" t="s">
        <v>24</v>
      </c>
      <c r="D402" s="154">
        <v>394544020453</v>
      </c>
      <c r="E402" s="47" t="s">
        <v>444</v>
      </c>
      <c r="F402" s="47" t="s">
        <v>440</v>
      </c>
      <c r="G402" s="155">
        <v>60179</v>
      </c>
    </row>
    <row r="403" spans="1:7" hidden="1" x14ac:dyDescent="0.2">
      <c r="A403" s="7" t="s">
        <v>16</v>
      </c>
      <c r="B403" s="7" t="s">
        <v>23</v>
      </c>
      <c r="C403" s="7" t="s">
        <v>24</v>
      </c>
      <c r="D403" s="154">
        <v>394544021000</v>
      </c>
      <c r="E403" s="47" t="s">
        <v>445</v>
      </c>
      <c r="F403" s="47" t="s">
        <v>417</v>
      </c>
      <c r="G403" s="155">
        <v>28320</v>
      </c>
    </row>
    <row r="404" spans="1:7" hidden="1" x14ac:dyDescent="0.2">
      <c r="A404" s="7" t="s">
        <v>16</v>
      </c>
      <c r="B404" s="7" t="s">
        <v>23</v>
      </c>
      <c r="C404" s="7" t="s">
        <v>24</v>
      </c>
      <c r="D404" s="154">
        <v>394544021000</v>
      </c>
      <c r="E404" s="47" t="s">
        <v>445</v>
      </c>
      <c r="F404" s="47" t="s">
        <v>440</v>
      </c>
      <c r="G404" s="155">
        <v>25791</v>
      </c>
    </row>
    <row r="405" spans="1:7" hidden="1" x14ac:dyDescent="0.2">
      <c r="A405" s="7" t="s">
        <v>16</v>
      </c>
      <c r="B405" s="7" t="s">
        <v>23</v>
      </c>
      <c r="C405" s="7" t="s">
        <v>24</v>
      </c>
      <c r="D405" s="154">
        <v>394544021344</v>
      </c>
      <c r="E405" s="47" t="s">
        <v>447</v>
      </c>
      <c r="F405" s="47" t="s">
        <v>440</v>
      </c>
      <c r="G405" s="155">
        <v>11777.48</v>
      </c>
    </row>
    <row r="406" spans="1:7" hidden="1" x14ac:dyDescent="0.2">
      <c r="A406" s="7" t="s">
        <v>16</v>
      </c>
      <c r="B406" s="7" t="s">
        <v>23</v>
      </c>
      <c r="C406" s="7" t="s">
        <v>24</v>
      </c>
      <c r="D406" s="154">
        <v>1479465000130</v>
      </c>
      <c r="E406" s="47" t="s">
        <v>448</v>
      </c>
      <c r="F406" s="47" t="s">
        <v>440</v>
      </c>
      <c r="G406" s="155">
        <v>270032.68</v>
      </c>
    </row>
    <row r="407" spans="1:7" hidden="1" x14ac:dyDescent="0.2">
      <c r="A407" s="7" t="s">
        <v>16</v>
      </c>
      <c r="B407" s="7" t="s">
        <v>23</v>
      </c>
      <c r="C407" s="7" t="s">
        <v>24</v>
      </c>
      <c r="D407" s="154">
        <v>2873606000167</v>
      </c>
      <c r="E407" s="47" t="s">
        <v>449</v>
      </c>
      <c r="F407" s="47" t="s">
        <v>440</v>
      </c>
      <c r="G407" s="155">
        <v>228690.63</v>
      </c>
    </row>
    <row r="408" spans="1:7" hidden="1" x14ac:dyDescent="0.2">
      <c r="A408" s="7" t="s">
        <v>16</v>
      </c>
      <c r="B408" s="7" t="s">
        <v>23</v>
      </c>
      <c r="C408" s="7" t="s">
        <v>24</v>
      </c>
      <c r="D408" s="154">
        <v>2873606000167</v>
      </c>
      <c r="E408" s="47" t="s">
        <v>449</v>
      </c>
      <c r="F408" s="47" t="s">
        <v>418</v>
      </c>
      <c r="G408" s="155">
        <v>7170.79</v>
      </c>
    </row>
    <row r="409" spans="1:7" hidden="1" x14ac:dyDescent="0.2">
      <c r="A409" s="7" t="s">
        <v>16</v>
      </c>
      <c r="B409" s="7" t="s">
        <v>23</v>
      </c>
      <c r="C409" s="7" t="s">
        <v>24</v>
      </c>
      <c r="D409" s="154">
        <v>3568867000136</v>
      </c>
      <c r="E409" s="47" t="s">
        <v>1277</v>
      </c>
      <c r="F409" s="47" t="s">
        <v>440</v>
      </c>
      <c r="G409" s="155">
        <v>88123.34</v>
      </c>
    </row>
    <row r="410" spans="1:7" hidden="1" x14ac:dyDescent="0.2">
      <c r="A410" s="7" t="s">
        <v>16</v>
      </c>
      <c r="B410" s="7" t="s">
        <v>23</v>
      </c>
      <c r="C410" s="7" t="s">
        <v>24</v>
      </c>
      <c r="D410" s="154">
        <v>3866223000124</v>
      </c>
      <c r="E410" s="47" t="s">
        <v>1258</v>
      </c>
      <c r="F410" s="47" t="s">
        <v>440</v>
      </c>
      <c r="G410" s="155">
        <v>-16900.29</v>
      </c>
    </row>
    <row r="411" spans="1:7" hidden="1" x14ac:dyDescent="0.2">
      <c r="A411" s="7" t="s">
        <v>16</v>
      </c>
      <c r="B411" s="7" t="s">
        <v>23</v>
      </c>
      <c r="C411" s="7" t="s">
        <v>24</v>
      </c>
      <c r="D411" s="154">
        <v>4027894000164</v>
      </c>
      <c r="E411" s="47" t="s">
        <v>450</v>
      </c>
      <c r="F411" s="47" t="s">
        <v>440</v>
      </c>
      <c r="G411" s="155">
        <v>11731.59</v>
      </c>
    </row>
    <row r="412" spans="1:7" hidden="1" x14ac:dyDescent="0.2">
      <c r="A412" s="7" t="s">
        <v>16</v>
      </c>
      <c r="B412" s="7" t="s">
        <v>23</v>
      </c>
      <c r="C412" s="7" t="s">
        <v>24</v>
      </c>
      <c r="D412" s="154">
        <v>4027894000326</v>
      </c>
      <c r="E412" s="47" t="s">
        <v>450</v>
      </c>
      <c r="F412" s="47" t="s">
        <v>417</v>
      </c>
      <c r="G412" s="155">
        <v>244893.92</v>
      </c>
    </row>
    <row r="413" spans="1:7" hidden="1" x14ac:dyDescent="0.2">
      <c r="A413" s="7" t="s">
        <v>16</v>
      </c>
      <c r="B413" s="7" t="s">
        <v>23</v>
      </c>
      <c r="C413" s="7" t="s">
        <v>24</v>
      </c>
      <c r="D413" s="154">
        <v>4027894000326</v>
      </c>
      <c r="E413" s="47" t="s">
        <v>450</v>
      </c>
      <c r="F413" s="47" t="s">
        <v>440</v>
      </c>
      <c r="G413" s="155">
        <v>688929.32</v>
      </c>
    </row>
    <row r="414" spans="1:7" hidden="1" x14ac:dyDescent="0.2">
      <c r="A414" s="7" t="s">
        <v>16</v>
      </c>
      <c r="B414" s="7" t="s">
        <v>23</v>
      </c>
      <c r="C414" s="7" t="s">
        <v>24</v>
      </c>
      <c r="D414" s="154">
        <v>4027894000326</v>
      </c>
      <c r="E414" s="47" t="s">
        <v>450</v>
      </c>
      <c r="F414" s="47" t="s">
        <v>418</v>
      </c>
      <c r="G414" s="155">
        <v>50523.39</v>
      </c>
    </row>
    <row r="415" spans="1:7" hidden="1" x14ac:dyDescent="0.2">
      <c r="A415" s="7" t="s">
        <v>16</v>
      </c>
      <c r="B415" s="7" t="s">
        <v>23</v>
      </c>
      <c r="C415" s="7" t="s">
        <v>24</v>
      </c>
      <c r="D415" s="154">
        <v>4307650001298</v>
      </c>
      <c r="E415" s="47" t="s">
        <v>451</v>
      </c>
      <c r="F415" s="47" t="s">
        <v>440</v>
      </c>
      <c r="G415" s="155">
        <v>628597.72</v>
      </c>
    </row>
    <row r="416" spans="1:7" hidden="1" x14ac:dyDescent="0.2">
      <c r="A416" s="7" t="s">
        <v>16</v>
      </c>
      <c r="B416" s="7" t="s">
        <v>23</v>
      </c>
      <c r="C416" s="7" t="s">
        <v>24</v>
      </c>
      <c r="D416" s="154">
        <v>4307650001298</v>
      </c>
      <c r="E416" s="47" t="s">
        <v>451</v>
      </c>
      <c r="F416" s="47" t="s">
        <v>418</v>
      </c>
      <c r="G416" s="155">
        <v>121256.15</v>
      </c>
    </row>
    <row r="417" spans="1:7" hidden="1" x14ac:dyDescent="0.2">
      <c r="A417" s="7" t="s">
        <v>16</v>
      </c>
      <c r="B417" s="7" t="s">
        <v>23</v>
      </c>
      <c r="C417" s="7" t="s">
        <v>24</v>
      </c>
      <c r="D417" s="154">
        <v>4355394000151</v>
      </c>
      <c r="E417" s="47" t="s">
        <v>452</v>
      </c>
      <c r="F417" s="47" t="s">
        <v>417</v>
      </c>
      <c r="G417" s="155">
        <v>145131.16</v>
      </c>
    </row>
    <row r="418" spans="1:7" hidden="1" x14ac:dyDescent="0.2">
      <c r="A418" s="7" t="s">
        <v>16</v>
      </c>
      <c r="B418" s="7" t="s">
        <v>23</v>
      </c>
      <c r="C418" s="7" t="s">
        <v>24</v>
      </c>
      <c r="D418" s="154">
        <v>4355394000151</v>
      </c>
      <c r="E418" s="47" t="s">
        <v>452</v>
      </c>
      <c r="F418" s="47" t="s">
        <v>440</v>
      </c>
      <c r="G418" s="155">
        <v>732435.31</v>
      </c>
    </row>
    <row r="419" spans="1:7" hidden="1" x14ac:dyDescent="0.2">
      <c r="A419" s="7" t="s">
        <v>16</v>
      </c>
      <c r="B419" s="7" t="s">
        <v>23</v>
      </c>
      <c r="C419" s="7" t="s">
        <v>24</v>
      </c>
      <c r="D419" s="154">
        <v>4355394000151</v>
      </c>
      <c r="E419" s="47" t="s">
        <v>452</v>
      </c>
      <c r="F419" s="47" t="s">
        <v>418</v>
      </c>
      <c r="G419" s="155">
        <v>72174.429999999993</v>
      </c>
    </row>
    <row r="420" spans="1:7" hidden="1" x14ac:dyDescent="0.2">
      <c r="A420" s="7" t="s">
        <v>16</v>
      </c>
      <c r="B420" s="7" t="s">
        <v>23</v>
      </c>
      <c r="C420" s="7" t="s">
        <v>24</v>
      </c>
      <c r="D420" s="154">
        <v>4708424000166</v>
      </c>
      <c r="E420" s="47" t="s">
        <v>1278</v>
      </c>
      <c r="F420" s="47" t="s">
        <v>418</v>
      </c>
      <c r="G420" s="155">
        <v>-14.43</v>
      </c>
    </row>
    <row r="421" spans="1:7" hidden="1" x14ac:dyDescent="0.2">
      <c r="A421" s="7" t="s">
        <v>16</v>
      </c>
      <c r="B421" s="7" t="s">
        <v>23</v>
      </c>
      <c r="C421" s="7" t="s">
        <v>24</v>
      </c>
      <c r="D421" s="154">
        <v>5268490000125</v>
      </c>
      <c r="E421" s="47" t="s">
        <v>453</v>
      </c>
      <c r="F421" s="47" t="s">
        <v>417</v>
      </c>
      <c r="G421" s="155">
        <v>79952.31</v>
      </c>
    </row>
    <row r="422" spans="1:7" hidden="1" x14ac:dyDescent="0.2">
      <c r="A422" s="7" t="s">
        <v>16</v>
      </c>
      <c r="B422" s="7" t="s">
        <v>23</v>
      </c>
      <c r="C422" s="7" t="s">
        <v>24</v>
      </c>
      <c r="D422" s="154">
        <v>5268490000125</v>
      </c>
      <c r="E422" s="47" t="s">
        <v>453</v>
      </c>
      <c r="F422" s="47" t="s">
        <v>440</v>
      </c>
      <c r="G422" s="155">
        <v>277329.67</v>
      </c>
    </row>
    <row r="423" spans="1:7" hidden="1" x14ac:dyDescent="0.2">
      <c r="A423" s="7" t="s">
        <v>16</v>
      </c>
      <c r="B423" s="7" t="s">
        <v>23</v>
      </c>
      <c r="C423" s="7" t="s">
        <v>24</v>
      </c>
      <c r="D423" s="154">
        <v>5816630000152</v>
      </c>
      <c r="E423" s="47" t="s">
        <v>454</v>
      </c>
      <c r="F423" s="47" t="s">
        <v>440</v>
      </c>
      <c r="G423" s="155">
        <v>104952.88</v>
      </c>
    </row>
    <row r="424" spans="1:7" hidden="1" x14ac:dyDescent="0.2">
      <c r="A424" s="7" t="s">
        <v>16</v>
      </c>
      <c r="B424" s="7" t="s">
        <v>23</v>
      </c>
      <c r="C424" s="7" t="s">
        <v>24</v>
      </c>
      <c r="D424" s="154">
        <v>6081203000136</v>
      </c>
      <c r="E424" s="47" t="s">
        <v>451</v>
      </c>
      <c r="F424" s="47" t="s">
        <v>440</v>
      </c>
      <c r="G424" s="155">
        <v>364084.11</v>
      </c>
    </row>
    <row r="425" spans="1:7" hidden="1" x14ac:dyDescent="0.2">
      <c r="A425" s="7" t="s">
        <v>16</v>
      </c>
      <c r="B425" s="7" t="s">
        <v>23</v>
      </c>
      <c r="C425" s="7" t="s">
        <v>24</v>
      </c>
      <c r="D425" s="154">
        <v>6081203000136</v>
      </c>
      <c r="E425" s="47" t="s">
        <v>451</v>
      </c>
      <c r="F425" s="47" t="s">
        <v>418</v>
      </c>
      <c r="G425" s="155">
        <v>66543</v>
      </c>
    </row>
    <row r="426" spans="1:7" hidden="1" x14ac:dyDescent="0.2">
      <c r="A426" s="7" t="s">
        <v>16</v>
      </c>
      <c r="B426" s="7" t="s">
        <v>23</v>
      </c>
      <c r="C426" s="7" t="s">
        <v>24</v>
      </c>
      <c r="D426" s="154">
        <v>6234797000178</v>
      </c>
      <c r="E426" s="47" t="s">
        <v>455</v>
      </c>
      <c r="F426" s="47" t="s">
        <v>417</v>
      </c>
      <c r="G426" s="155">
        <v>14178.22</v>
      </c>
    </row>
    <row r="427" spans="1:7" hidden="1" x14ac:dyDescent="0.2">
      <c r="A427" s="7" t="s">
        <v>16</v>
      </c>
      <c r="B427" s="7" t="s">
        <v>23</v>
      </c>
      <c r="C427" s="7" t="s">
        <v>24</v>
      </c>
      <c r="D427" s="154">
        <v>6234797000178</v>
      </c>
      <c r="E427" s="47" t="s">
        <v>455</v>
      </c>
      <c r="F427" s="47" t="s">
        <v>440</v>
      </c>
      <c r="G427" s="155">
        <v>331588.69</v>
      </c>
    </row>
    <row r="428" spans="1:7" hidden="1" x14ac:dyDescent="0.2">
      <c r="A428" s="7" t="s">
        <v>16</v>
      </c>
      <c r="B428" s="7" t="s">
        <v>23</v>
      </c>
      <c r="C428" s="7" t="s">
        <v>24</v>
      </c>
      <c r="D428" s="154">
        <v>6234797000178</v>
      </c>
      <c r="E428" s="47" t="s">
        <v>455</v>
      </c>
      <c r="F428" s="47" t="s">
        <v>418</v>
      </c>
      <c r="G428" s="155">
        <v>103995.44</v>
      </c>
    </row>
    <row r="429" spans="1:7" hidden="1" x14ac:dyDescent="0.2">
      <c r="A429" s="7" t="s">
        <v>16</v>
      </c>
      <c r="B429" s="7" t="s">
        <v>23</v>
      </c>
      <c r="C429" s="7" t="s">
        <v>24</v>
      </c>
      <c r="D429" s="154">
        <v>7224991001530</v>
      </c>
      <c r="E429" s="47" t="s">
        <v>456</v>
      </c>
      <c r="F429" s="47" t="s">
        <v>440</v>
      </c>
      <c r="G429" s="155">
        <v>8640.4500000000007</v>
      </c>
    </row>
    <row r="430" spans="1:7" hidden="1" x14ac:dyDescent="0.2">
      <c r="A430" s="7" t="s">
        <v>16</v>
      </c>
      <c r="B430" s="7" t="s">
        <v>23</v>
      </c>
      <c r="C430" s="7" t="s">
        <v>24</v>
      </c>
      <c r="D430" s="154">
        <v>7224991001530</v>
      </c>
      <c r="E430" s="47" t="s">
        <v>456</v>
      </c>
      <c r="F430" s="47" t="s">
        <v>418</v>
      </c>
      <c r="G430" s="155">
        <v>43305.77</v>
      </c>
    </row>
    <row r="431" spans="1:7" hidden="1" x14ac:dyDescent="0.2">
      <c r="A431" s="7" t="s">
        <v>16</v>
      </c>
      <c r="B431" s="7" t="s">
        <v>23</v>
      </c>
      <c r="C431" s="7" t="s">
        <v>24</v>
      </c>
      <c r="D431" s="154">
        <v>7272636000212</v>
      </c>
      <c r="E431" s="47" t="s">
        <v>457</v>
      </c>
      <c r="F431" s="47" t="s">
        <v>440</v>
      </c>
      <c r="G431" s="155">
        <v>463613.26</v>
      </c>
    </row>
    <row r="432" spans="1:7" hidden="1" x14ac:dyDescent="0.2">
      <c r="A432" s="7" t="s">
        <v>16</v>
      </c>
      <c r="B432" s="7" t="s">
        <v>23</v>
      </c>
      <c r="C432" s="7" t="s">
        <v>24</v>
      </c>
      <c r="D432" s="154">
        <v>7484373000124</v>
      </c>
      <c r="E432" s="47" t="s">
        <v>458</v>
      </c>
      <c r="F432" s="47" t="s">
        <v>418</v>
      </c>
      <c r="G432" s="155">
        <v>10474.36</v>
      </c>
    </row>
    <row r="433" spans="1:7" hidden="1" x14ac:dyDescent="0.2">
      <c r="A433" s="7" t="s">
        <v>16</v>
      </c>
      <c r="B433" s="7" t="s">
        <v>23</v>
      </c>
      <c r="C433" s="7" t="s">
        <v>24</v>
      </c>
      <c r="D433" s="154">
        <v>7734165000136</v>
      </c>
      <c r="E433" s="47" t="s">
        <v>459</v>
      </c>
      <c r="F433" s="47" t="s">
        <v>440</v>
      </c>
      <c r="G433" s="155">
        <v>409980.56</v>
      </c>
    </row>
    <row r="434" spans="1:7" hidden="1" x14ac:dyDescent="0.2">
      <c r="A434" s="7" t="s">
        <v>16</v>
      </c>
      <c r="B434" s="7" t="s">
        <v>23</v>
      </c>
      <c r="C434" s="7" t="s">
        <v>24</v>
      </c>
      <c r="D434" s="154">
        <v>7812105000194</v>
      </c>
      <c r="E434" s="47" t="s">
        <v>460</v>
      </c>
      <c r="F434" s="47" t="s">
        <v>418</v>
      </c>
      <c r="G434" s="155">
        <v>125227.6</v>
      </c>
    </row>
    <row r="435" spans="1:7" hidden="1" x14ac:dyDescent="0.2">
      <c r="A435" s="7" t="s">
        <v>16</v>
      </c>
      <c r="B435" s="7" t="s">
        <v>23</v>
      </c>
      <c r="C435" s="7" t="s">
        <v>24</v>
      </c>
      <c r="D435" s="154">
        <v>8563277000134</v>
      </c>
      <c r="E435" s="47" t="s">
        <v>461</v>
      </c>
      <c r="F435" s="47" t="s">
        <v>440</v>
      </c>
      <c r="G435" s="155">
        <v>5330.07</v>
      </c>
    </row>
    <row r="436" spans="1:7" hidden="1" x14ac:dyDescent="0.2">
      <c r="A436" s="7" t="s">
        <v>16</v>
      </c>
      <c r="B436" s="7" t="s">
        <v>23</v>
      </c>
      <c r="C436" s="7" t="s">
        <v>24</v>
      </c>
      <c r="D436" s="154">
        <v>8563277000134</v>
      </c>
      <c r="E436" s="47" t="s">
        <v>461</v>
      </c>
      <c r="F436" s="47" t="s">
        <v>418</v>
      </c>
      <c r="G436" s="155">
        <v>14963.37</v>
      </c>
    </row>
    <row r="437" spans="1:7" hidden="1" x14ac:dyDescent="0.2">
      <c r="A437" s="7" t="s">
        <v>16</v>
      </c>
      <c r="B437" s="7" t="s">
        <v>23</v>
      </c>
      <c r="C437" s="7" t="s">
        <v>24</v>
      </c>
      <c r="D437" s="154">
        <v>8597121000174</v>
      </c>
      <c r="E437" s="47" t="s">
        <v>462</v>
      </c>
      <c r="F437" s="47" t="s">
        <v>440</v>
      </c>
      <c r="G437" s="155">
        <v>14732.4</v>
      </c>
    </row>
    <row r="438" spans="1:7" hidden="1" x14ac:dyDescent="0.2">
      <c r="A438" s="7" t="s">
        <v>16</v>
      </c>
      <c r="B438" s="7" t="s">
        <v>23</v>
      </c>
      <c r="C438" s="7" t="s">
        <v>24</v>
      </c>
      <c r="D438" s="154">
        <v>8618022000121</v>
      </c>
      <c r="E438" s="47" t="s">
        <v>463</v>
      </c>
      <c r="F438" s="47" t="s">
        <v>417</v>
      </c>
      <c r="G438" s="155">
        <v>332916.59000000003</v>
      </c>
    </row>
    <row r="439" spans="1:7" hidden="1" x14ac:dyDescent="0.2">
      <c r="A439" s="7" t="s">
        <v>16</v>
      </c>
      <c r="B439" s="7" t="s">
        <v>23</v>
      </c>
      <c r="C439" s="7" t="s">
        <v>24</v>
      </c>
      <c r="D439" s="154">
        <v>8618022000121</v>
      </c>
      <c r="E439" s="47" t="s">
        <v>463</v>
      </c>
      <c r="F439" s="47" t="s">
        <v>440</v>
      </c>
      <c r="G439" s="155">
        <v>1255239.6499999999</v>
      </c>
    </row>
    <row r="440" spans="1:7" hidden="1" x14ac:dyDescent="0.2">
      <c r="A440" s="7" t="s">
        <v>16</v>
      </c>
      <c r="B440" s="7" t="s">
        <v>23</v>
      </c>
      <c r="C440" s="7" t="s">
        <v>24</v>
      </c>
      <c r="D440" s="154">
        <v>8618022000121</v>
      </c>
      <c r="E440" s="47" t="s">
        <v>463</v>
      </c>
      <c r="F440" s="47" t="s">
        <v>418</v>
      </c>
      <c r="G440" s="155">
        <v>353663.75</v>
      </c>
    </row>
    <row r="441" spans="1:7" hidden="1" x14ac:dyDescent="0.2">
      <c r="A441" s="7" t="s">
        <v>16</v>
      </c>
      <c r="B441" s="7" t="s">
        <v>23</v>
      </c>
      <c r="C441" s="7" t="s">
        <v>24</v>
      </c>
      <c r="D441" s="154">
        <v>8719794000150</v>
      </c>
      <c r="E441" s="47" t="s">
        <v>460</v>
      </c>
      <c r="F441" s="47" t="s">
        <v>440</v>
      </c>
      <c r="G441" s="155">
        <v>80396.289999999994</v>
      </c>
    </row>
    <row r="442" spans="1:7" hidden="1" x14ac:dyDescent="0.2">
      <c r="A442" s="7" t="s">
        <v>16</v>
      </c>
      <c r="B442" s="7" t="s">
        <v>23</v>
      </c>
      <c r="C442" s="7" t="s">
        <v>24</v>
      </c>
      <c r="D442" s="154">
        <v>9007162000126</v>
      </c>
      <c r="E442" s="47" t="s">
        <v>511</v>
      </c>
      <c r="F442" s="47" t="s">
        <v>418</v>
      </c>
      <c r="G442" s="155">
        <v>132029.76999999999</v>
      </c>
    </row>
    <row r="443" spans="1:7" hidden="1" x14ac:dyDescent="0.2">
      <c r="A443" s="7" t="s">
        <v>16</v>
      </c>
      <c r="B443" s="7" t="s">
        <v>23</v>
      </c>
      <c r="C443" s="7" t="s">
        <v>24</v>
      </c>
      <c r="D443" s="154">
        <v>9053134000226</v>
      </c>
      <c r="E443" s="47" t="s">
        <v>464</v>
      </c>
      <c r="F443" s="47" t="s">
        <v>440</v>
      </c>
      <c r="G443" s="155">
        <v>45878.61</v>
      </c>
    </row>
    <row r="444" spans="1:7" hidden="1" x14ac:dyDescent="0.2">
      <c r="A444" s="7" t="s">
        <v>16</v>
      </c>
      <c r="B444" s="7" t="s">
        <v>23</v>
      </c>
      <c r="C444" s="7" t="s">
        <v>24</v>
      </c>
      <c r="D444" s="154">
        <v>9579964000291</v>
      </c>
      <c r="E444" s="47" t="s">
        <v>498</v>
      </c>
      <c r="F444" s="47" t="s">
        <v>440</v>
      </c>
      <c r="G444" s="155">
        <v>377085.92</v>
      </c>
    </row>
    <row r="445" spans="1:7" hidden="1" x14ac:dyDescent="0.2">
      <c r="A445" s="7" t="s">
        <v>16</v>
      </c>
      <c r="B445" s="7" t="s">
        <v>23</v>
      </c>
      <c r="C445" s="7" t="s">
        <v>24</v>
      </c>
      <c r="D445" s="154">
        <v>9613374000157</v>
      </c>
      <c r="E445" s="47" t="s">
        <v>465</v>
      </c>
      <c r="F445" s="47" t="s">
        <v>440</v>
      </c>
      <c r="G445" s="155">
        <v>326574.40000000002</v>
      </c>
    </row>
    <row r="446" spans="1:7" hidden="1" x14ac:dyDescent="0.2">
      <c r="A446" s="7" t="s">
        <v>16</v>
      </c>
      <c r="B446" s="7" t="s">
        <v>23</v>
      </c>
      <c r="C446" s="7" t="s">
        <v>24</v>
      </c>
      <c r="D446" s="154">
        <v>9660958000345</v>
      </c>
      <c r="E446" s="47" t="s">
        <v>1512</v>
      </c>
      <c r="F446" s="47" t="s">
        <v>440</v>
      </c>
      <c r="G446" s="155">
        <v>44290.87</v>
      </c>
    </row>
    <row r="447" spans="1:7" hidden="1" x14ac:dyDescent="0.2">
      <c r="A447" s="7" t="s">
        <v>16</v>
      </c>
      <c r="B447" s="7" t="s">
        <v>23</v>
      </c>
      <c r="C447" s="7" t="s">
        <v>24</v>
      </c>
      <c r="D447" s="154">
        <v>9660958000345</v>
      </c>
      <c r="E447" s="47" t="s">
        <v>1512</v>
      </c>
      <c r="F447" s="47" t="s">
        <v>418</v>
      </c>
      <c r="G447" s="155">
        <v>186222.72</v>
      </c>
    </row>
    <row r="448" spans="1:7" hidden="1" x14ac:dyDescent="0.2">
      <c r="A448" s="7" t="s">
        <v>16</v>
      </c>
      <c r="B448" s="7" t="s">
        <v>23</v>
      </c>
      <c r="C448" s="7" t="s">
        <v>24</v>
      </c>
      <c r="D448" s="154">
        <v>10942995000163</v>
      </c>
      <c r="E448" s="47" t="s">
        <v>1259</v>
      </c>
      <c r="F448" s="47" t="s">
        <v>440</v>
      </c>
      <c r="G448" s="155">
        <v>22149.84</v>
      </c>
    </row>
    <row r="449" spans="1:7" hidden="1" x14ac:dyDescent="0.2">
      <c r="A449" s="7" t="s">
        <v>16</v>
      </c>
      <c r="B449" s="7" t="s">
        <v>23</v>
      </c>
      <c r="C449" s="7" t="s">
        <v>24</v>
      </c>
      <c r="D449" s="154">
        <v>11022597001325</v>
      </c>
      <c r="E449" s="47" t="s">
        <v>545</v>
      </c>
      <c r="F449" s="47" t="s">
        <v>440</v>
      </c>
      <c r="G449" s="155">
        <v>153703.5</v>
      </c>
    </row>
    <row r="450" spans="1:7" hidden="1" x14ac:dyDescent="0.2">
      <c r="A450" s="7" t="s">
        <v>16</v>
      </c>
      <c r="B450" s="7" t="s">
        <v>23</v>
      </c>
      <c r="C450" s="7" t="s">
        <v>24</v>
      </c>
      <c r="D450" s="154">
        <v>11022597001597</v>
      </c>
      <c r="E450" s="47" t="s">
        <v>499</v>
      </c>
      <c r="F450" s="47" t="s">
        <v>440</v>
      </c>
      <c r="G450" s="155">
        <v>21422.5</v>
      </c>
    </row>
    <row r="451" spans="1:7" hidden="1" x14ac:dyDescent="0.2">
      <c r="A451" s="7" t="s">
        <v>16</v>
      </c>
      <c r="B451" s="7" t="s">
        <v>23</v>
      </c>
      <c r="C451" s="7" t="s">
        <v>24</v>
      </c>
      <c r="D451" s="154">
        <v>11206099000107</v>
      </c>
      <c r="E451" s="47" t="s">
        <v>500</v>
      </c>
      <c r="F451" s="47" t="s">
        <v>417</v>
      </c>
      <c r="G451" s="155">
        <v>196810.65</v>
      </c>
    </row>
    <row r="452" spans="1:7" hidden="1" x14ac:dyDescent="0.2">
      <c r="A452" s="7" t="s">
        <v>16</v>
      </c>
      <c r="B452" s="7" t="s">
        <v>23</v>
      </c>
      <c r="C452" s="7" t="s">
        <v>24</v>
      </c>
      <c r="D452" s="154">
        <v>11206099000107</v>
      </c>
      <c r="E452" s="47" t="s">
        <v>500</v>
      </c>
      <c r="F452" s="47" t="s">
        <v>440</v>
      </c>
      <c r="G452" s="155">
        <v>492005.18</v>
      </c>
    </row>
    <row r="453" spans="1:7" hidden="1" x14ac:dyDescent="0.2">
      <c r="A453" s="7" t="s">
        <v>16</v>
      </c>
      <c r="B453" s="7" t="s">
        <v>23</v>
      </c>
      <c r="C453" s="7" t="s">
        <v>24</v>
      </c>
      <c r="D453" s="154">
        <v>11206099000107</v>
      </c>
      <c r="E453" s="47" t="s">
        <v>500</v>
      </c>
      <c r="F453" s="47" t="s">
        <v>418</v>
      </c>
      <c r="G453" s="155">
        <v>177443.48</v>
      </c>
    </row>
    <row r="454" spans="1:7" hidden="1" x14ac:dyDescent="0.2">
      <c r="A454" s="7" t="s">
        <v>16</v>
      </c>
      <c r="B454" s="7" t="s">
        <v>23</v>
      </c>
      <c r="C454" s="7" t="s">
        <v>24</v>
      </c>
      <c r="D454" s="154">
        <v>12420164000319</v>
      </c>
      <c r="E454" s="47" t="s">
        <v>470</v>
      </c>
      <c r="F454" s="47" t="s">
        <v>417</v>
      </c>
      <c r="G454" s="155">
        <v>516384.23</v>
      </c>
    </row>
    <row r="455" spans="1:7" hidden="1" x14ac:dyDescent="0.2">
      <c r="A455" s="7" t="s">
        <v>16</v>
      </c>
      <c r="B455" s="7" t="s">
        <v>23</v>
      </c>
      <c r="C455" s="7" t="s">
        <v>24</v>
      </c>
      <c r="D455" s="154">
        <v>12420164000319</v>
      </c>
      <c r="E455" s="47" t="s">
        <v>470</v>
      </c>
      <c r="F455" s="47" t="s">
        <v>440</v>
      </c>
      <c r="G455" s="155">
        <v>2303354.58</v>
      </c>
    </row>
    <row r="456" spans="1:7" hidden="1" x14ac:dyDescent="0.2">
      <c r="A456" s="7" t="s">
        <v>16</v>
      </c>
      <c r="B456" s="7" t="s">
        <v>23</v>
      </c>
      <c r="C456" s="7" t="s">
        <v>24</v>
      </c>
      <c r="D456" s="154">
        <v>12420164000319</v>
      </c>
      <c r="E456" s="47" t="s">
        <v>470</v>
      </c>
      <c r="F456" s="47" t="s">
        <v>418</v>
      </c>
      <c r="G456" s="155">
        <v>99641.05</v>
      </c>
    </row>
    <row r="457" spans="1:7" hidden="1" x14ac:dyDescent="0.2">
      <c r="A457" s="7" t="s">
        <v>16</v>
      </c>
      <c r="B457" s="7" t="s">
        <v>23</v>
      </c>
      <c r="C457" s="7" t="s">
        <v>24</v>
      </c>
      <c r="D457" s="154">
        <v>12420164000904</v>
      </c>
      <c r="E457" s="47" t="s">
        <v>470</v>
      </c>
      <c r="F457" s="47" t="s">
        <v>417</v>
      </c>
      <c r="G457" s="155">
        <v>334310.26</v>
      </c>
    </row>
    <row r="458" spans="1:7" hidden="1" x14ac:dyDescent="0.2">
      <c r="A458" s="7" t="s">
        <v>16</v>
      </c>
      <c r="B458" s="7" t="s">
        <v>23</v>
      </c>
      <c r="C458" s="7" t="s">
        <v>24</v>
      </c>
      <c r="D458" s="154">
        <v>12420164000904</v>
      </c>
      <c r="E458" s="47" t="s">
        <v>470</v>
      </c>
      <c r="F458" s="47" t="s">
        <v>440</v>
      </c>
      <c r="G458" s="155">
        <v>1333374.8799999999</v>
      </c>
    </row>
    <row r="459" spans="1:7" hidden="1" x14ac:dyDescent="0.2">
      <c r="A459" s="7" t="s">
        <v>16</v>
      </c>
      <c r="B459" s="7" t="s">
        <v>23</v>
      </c>
      <c r="C459" s="7" t="s">
        <v>24</v>
      </c>
      <c r="D459" s="154">
        <v>12420164000904</v>
      </c>
      <c r="E459" s="47" t="s">
        <v>470</v>
      </c>
      <c r="F459" s="47" t="s">
        <v>418</v>
      </c>
      <c r="G459" s="155">
        <v>53314.28</v>
      </c>
    </row>
    <row r="460" spans="1:7" hidden="1" x14ac:dyDescent="0.2">
      <c r="A460" s="7" t="s">
        <v>16</v>
      </c>
      <c r="B460" s="7" t="s">
        <v>23</v>
      </c>
      <c r="C460" s="7" t="s">
        <v>24</v>
      </c>
      <c r="D460" s="154">
        <v>12420164001048</v>
      </c>
      <c r="E460" s="47" t="s">
        <v>470</v>
      </c>
      <c r="F460" s="47" t="s">
        <v>417</v>
      </c>
      <c r="G460" s="155">
        <v>52042.559999999998</v>
      </c>
    </row>
    <row r="461" spans="1:7" hidden="1" x14ac:dyDescent="0.2">
      <c r="A461" s="7" t="s">
        <v>16</v>
      </c>
      <c r="B461" s="7" t="s">
        <v>23</v>
      </c>
      <c r="C461" s="7" t="s">
        <v>24</v>
      </c>
      <c r="D461" s="154">
        <v>12420164001048</v>
      </c>
      <c r="E461" s="47" t="s">
        <v>470</v>
      </c>
      <c r="F461" s="47" t="s">
        <v>440</v>
      </c>
      <c r="G461" s="155">
        <v>138651.03</v>
      </c>
    </row>
    <row r="462" spans="1:7" hidden="1" x14ac:dyDescent="0.2">
      <c r="A462" s="7" t="s">
        <v>16</v>
      </c>
      <c r="B462" s="7" t="s">
        <v>23</v>
      </c>
      <c r="C462" s="7" t="s">
        <v>24</v>
      </c>
      <c r="D462" s="154">
        <v>12420164001048</v>
      </c>
      <c r="E462" s="47" t="s">
        <v>470</v>
      </c>
      <c r="F462" s="47" t="s">
        <v>418</v>
      </c>
      <c r="G462" s="155">
        <v>17256.650000000001</v>
      </c>
    </row>
    <row r="463" spans="1:7" hidden="1" x14ac:dyDescent="0.2">
      <c r="A463" s="7" t="s">
        <v>16</v>
      </c>
      <c r="B463" s="7" t="s">
        <v>23</v>
      </c>
      <c r="C463" s="7" t="s">
        <v>24</v>
      </c>
      <c r="D463" s="154">
        <v>14261377000109</v>
      </c>
      <c r="E463" s="47" t="s">
        <v>472</v>
      </c>
      <c r="F463" s="47" t="s">
        <v>440</v>
      </c>
      <c r="G463" s="155">
        <v>17389.89</v>
      </c>
    </row>
    <row r="464" spans="1:7" hidden="1" x14ac:dyDescent="0.2">
      <c r="A464" s="7" t="s">
        <v>16</v>
      </c>
      <c r="B464" s="7" t="s">
        <v>23</v>
      </c>
      <c r="C464" s="7" t="s">
        <v>24</v>
      </c>
      <c r="D464" s="154">
        <v>14361780000100</v>
      </c>
      <c r="E464" s="47" t="s">
        <v>519</v>
      </c>
      <c r="F464" s="47" t="s">
        <v>440</v>
      </c>
      <c r="G464" s="155">
        <v>5298.82</v>
      </c>
    </row>
    <row r="465" spans="1:7" hidden="1" x14ac:dyDescent="0.2">
      <c r="A465" s="7" t="s">
        <v>16</v>
      </c>
      <c r="B465" s="7" t="s">
        <v>23</v>
      </c>
      <c r="C465" s="7" t="s">
        <v>24</v>
      </c>
      <c r="D465" s="154">
        <v>15126437000739</v>
      </c>
      <c r="E465" s="47" t="s">
        <v>473</v>
      </c>
      <c r="F465" s="47" t="s">
        <v>440</v>
      </c>
      <c r="G465" s="155">
        <v>124082.8</v>
      </c>
    </row>
    <row r="466" spans="1:7" hidden="1" x14ac:dyDescent="0.2">
      <c r="A466" s="7" t="s">
        <v>16</v>
      </c>
      <c r="B466" s="7" t="s">
        <v>23</v>
      </c>
      <c r="C466" s="7" t="s">
        <v>24</v>
      </c>
      <c r="D466" s="154">
        <v>15126437001972</v>
      </c>
      <c r="E466" s="47" t="s">
        <v>474</v>
      </c>
      <c r="F466" s="47" t="s">
        <v>440</v>
      </c>
      <c r="G466" s="155">
        <v>8036</v>
      </c>
    </row>
    <row r="467" spans="1:7" hidden="1" x14ac:dyDescent="0.2">
      <c r="A467" s="7" t="s">
        <v>16</v>
      </c>
      <c r="B467" s="7" t="s">
        <v>23</v>
      </c>
      <c r="C467" s="7" t="s">
        <v>24</v>
      </c>
      <c r="D467" s="154">
        <v>15145035000196</v>
      </c>
      <c r="E467" s="47" t="s">
        <v>475</v>
      </c>
      <c r="F467" s="47" t="s">
        <v>440</v>
      </c>
      <c r="G467" s="155">
        <v>33976.94</v>
      </c>
    </row>
    <row r="468" spans="1:7" hidden="1" x14ac:dyDescent="0.2">
      <c r="A468" s="7" t="s">
        <v>16</v>
      </c>
      <c r="B468" s="7" t="s">
        <v>23</v>
      </c>
      <c r="C468" s="7" t="s">
        <v>24</v>
      </c>
      <c r="D468" s="154">
        <v>15145035000196</v>
      </c>
      <c r="E468" s="47" t="s">
        <v>475</v>
      </c>
      <c r="F468" s="47" t="s">
        <v>418</v>
      </c>
      <c r="G468" s="155">
        <v>68841.38</v>
      </c>
    </row>
    <row r="469" spans="1:7" hidden="1" x14ac:dyDescent="0.2">
      <c r="A469" s="7" t="s">
        <v>16</v>
      </c>
      <c r="B469" s="7" t="s">
        <v>23</v>
      </c>
      <c r="C469" s="7" t="s">
        <v>24</v>
      </c>
      <c r="D469" s="154">
        <v>17217332003906</v>
      </c>
      <c r="E469" s="47" t="s">
        <v>546</v>
      </c>
      <c r="F469" s="47" t="s">
        <v>440</v>
      </c>
      <c r="G469" s="155">
        <v>44917.4</v>
      </c>
    </row>
    <row r="470" spans="1:7" hidden="1" x14ac:dyDescent="0.2">
      <c r="A470" s="7" t="s">
        <v>16</v>
      </c>
      <c r="B470" s="7" t="s">
        <v>23</v>
      </c>
      <c r="C470" s="7" t="s">
        <v>24</v>
      </c>
      <c r="D470" s="154">
        <v>17700763000300</v>
      </c>
      <c r="E470" s="47" t="s">
        <v>477</v>
      </c>
      <c r="F470" s="47" t="s">
        <v>440</v>
      </c>
      <c r="G470" s="155">
        <v>244758.29</v>
      </c>
    </row>
    <row r="471" spans="1:7" hidden="1" x14ac:dyDescent="0.2">
      <c r="A471" s="7" t="s">
        <v>16</v>
      </c>
      <c r="B471" s="7" t="s">
        <v>23</v>
      </c>
      <c r="C471" s="7" t="s">
        <v>24</v>
      </c>
      <c r="D471" s="154">
        <v>19843929001000</v>
      </c>
      <c r="E471" s="47" t="s">
        <v>547</v>
      </c>
      <c r="F471" s="47" t="s">
        <v>417</v>
      </c>
      <c r="G471" s="155">
        <v>5313.6</v>
      </c>
    </row>
    <row r="472" spans="1:7" hidden="1" x14ac:dyDescent="0.2">
      <c r="A472" s="7" t="s">
        <v>16</v>
      </c>
      <c r="B472" s="7" t="s">
        <v>23</v>
      </c>
      <c r="C472" s="7" t="s">
        <v>24</v>
      </c>
      <c r="D472" s="154">
        <v>19843929001506</v>
      </c>
      <c r="E472" s="47" t="s">
        <v>548</v>
      </c>
      <c r="F472" s="47" t="s">
        <v>440</v>
      </c>
      <c r="G472" s="155">
        <v>146704.45000000001</v>
      </c>
    </row>
    <row r="473" spans="1:7" hidden="1" x14ac:dyDescent="0.2">
      <c r="A473" s="7" t="s">
        <v>16</v>
      </c>
      <c r="B473" s="7" t="s">
        <v>23</v>
      </c>
      <c r="C473" s="7" t="s">
        <v>24</v>
      </c>
      <c r="D473" s="154">
        <v>19843929001697</v>
      </c>
      <c r="E473" s="47" t="s">
        <v>549</v>
      </c>
      <c r="F473" s="47" t="s">
        <v>417</v>
      </c>
      <c r="G473" s="155">
        <v>4428</v>
      </c>
    </row>
    <row r="474" spans="1:7" hidden="1" x14ac:dyDescent="0.2">
      <c r="A474" s="7" t="s">
        <v>16</v>
      </c>
      <c r="B474" s="7" t="s">
        <v>23</v>
      </c>
      <c r="C474" s="7" t="s">
        <v>24</v>
      </c>
      <c r="D474" s="154">
        <v>19843929001697</v>
      </c>
      <c r="E474" s="47" t="s">
        <v>549</v>
      </c>
      <c r="F474" s="47" t="s">
        <v>440</v>
      </c>
      <c r="G474" s="155">
        <v>69650</v>
      </c>
    </row>
    <row r="475" spans="1:7" hidden="1" x14ac:dyDescent="0.2">
      <c r="A475" s="7" t="s">
        <v>16</v>
      </c>
      <c r="B475" s="7" t="s">
        <v>23</v>
      </c>
      <c r="C475" s="7" t="s">
        <v>24</v>
      </c>
      <c r="D475" s="154">
        <v>20001049000176</v>
      </c>
      <c r="E475" s="47" t="s">
        <v>1305</v>
      </c>
      <c r="F475" s="47" t="s">
        <v>440</v>
      </c>
      <c r="G475" s="155">
        <v>30136.01</v>
      </c>
    </row>
    <row r="476" spans="1:7" hidden="1" x14ac:dyDescent="0.2">
      <c r="A476" s="7" t="s">
        <v>16</v>
      </c>
      <c r="B476" s="7" t="s">
        <v>23</v>
      </c>
      <c r="C476" s="7" t="s">
        <v>24</v>
      </c>
      <c r="D476" s="154">
        <v>21895020000148</v>
      </c>
      <c r="E476" s="47" t="s">
        <v>460</v>
      </c>
      <c r="F476" s="47" t="s">
        <v>440</v>
      </c>
      <c r="G476" s="155">
        <v>81374.69</v>
      </c>
    </row>
    <row r="477" spans="1:7" hidden="1" x14ac:dyDescent="0.2">
      <c r="A477" s="7" t="s">
        <v>16</v>
      </c>
      <c r="B477" s="7" t="s">
        <v>23</v>
      </c>
      <c r="C477" s="7" t="s">
        <v>24</v>
      </c>
      <c r="D477" s="154">
        <v>22675359000100</v>
      </c>
      <c r="E477" s="47" t="s">
        <v>550</v>
      </c>
      <c r="F477" s="47" t="s">
        <v>440</v>
      </c>
      <c r="G477" s="155">
        <v>49750</v>
      </c>
    </row>
    <row r="478" spans="1:7" hidden="1" x14ac:dyDescent="0.2">
      <c r="A478" s="7" t="s">
        <v>16</v>
      </c>
      <c r="B478" s="7" t="s">
        <v>23</v>
      </c>
      <c r="C478" s="7" t="s">
        <v>24</v>
      </c>
      <c r="D478" s="154">
        <v>24082016000159</v>
      </c>
      <c r="E478" s="47" t="s">
        <v>1261</v>
      </c>
      <c r="F478" s="47" t="s">
        <v>440</v>
      </c>
      <c r="G478" s="155">
        <v>46000</v>
      </c>
    </row>
    <row r="479" spans="1:7" hidden="1" x14ac:dyDescent="0.2">
      <c r="A479" s="7" t="s">
        <v>16</v>
      </c>
      <c r="B479" s="7" t="s">
        <v>23</v>
      </c>
      <c r="C479" s="7" t="s">
        <v>24</v>
      </c>
      <c r="D479" s="154">
        <v>25211499000107</v>
      </c>
      <c r="E479" s="47" t="s">
        <v>468</v>
      </c>
      <c r="F479" s="47" t="s">
        <v>418</v>
      </c>
      <c r="G479" s="155">
        <v>24997.64</v>
      </c>
    </row>
    <row r="480" spans="1:7" hidden="1" x14ac:dyDescent="0.2">
      <c r="A480" s="7" t="s">
        <v>16</v>
      </c>
      <c r="B480" s="7" t="s">
        <v>23</v>
      </c>
      <c r="C480" s="7" t="s">
        <v>24</v>
      </c>
      <c r="D480" s="154">
        <v>25211499000379</v>
      </c>
      <c r="E480" s="47" t="s">
        <v>1279</v>
      </c>
      <c r="F480" s="47" t="s">
        <v>417</v>
      </c>
      <c r="G480" s="155">
        <v>0</v>
      </c>
    </row>
    <row r="481" spans="1:7" hidden="1" x14ac:dyDescent="0.2">
      <c r="A481" s="7" t="s">
        <v>16</v>
      </c>
      <c r="B481" s="7" t="s">
        <v>23</v>
      </c>
      <c r="C481" s="7" t="s">
        <v>24</v>
      </c>
      <c r="D481" s="154">
        <v>29349061000140</v>
      </c>
      <c r="E481" s="47" t="s">
        <v>551</v>
      </c>
      <c r="F481" s="47" t="s">
        <v>440</v>
      </c>
      <c r="G481" s="155">
        <v>30748.44</v>
      </c>
    </row>
    <row r="482" spans="1:7" hidden="1" x14ac:dyDescent="0.2">
      <c r="A482" s="7" t="s">
        <v>16</v>
      </c>
      <c r="B482" s="7" t="s">
        <v>23</v>
      </c>
      <c r="C482" s="7" t="s">
        <v>24</v>
      </c>
      <c r="D482" s="154">
        <v>32319972000130</v>
      </c>
      <c r="E482" s="47" t="s">
        <v>520</v>
      </c>
      <c r="F482" s="47" t="s">
        <v>440</v>
      </c>
      <c r="G482" s="155">
        <v>0</v>
      </c>
    </row>
    <row r="483" spans="1:7" hidden="1" x14ac:dyDescent="0.2">
      <c r="A483" s="7" t="s">
        <v>16</v>
      </c>
      <c r="B483" s="7" t="s">
        <v>23</v>
      </c>
      <c r="C483" s="7" t="s">
        <v>24</v>
      </c>
      <c r="D483" s="154">
        <v>33663683005347</v>
      </c>
      <c r="E483" s="47" t="s">
        <v>483</v>
      </c>
      <c r="F483" s="47" t="s">
        <v>440</v>
      </c>
      <c r="G483" s="155">
        <v>362539.62</v>
      </c>
    </row>
    <row r="484" spans="1:7" hidden="1" x14ac:dyDescent="0.2">
      <c r="A484" s="7" t="s">
        <v>16</v>
      </c>
      <c r="B484" s="7" t="s">
        <v>23</v>
      </c>
      <c r="C484" s="7" t="s">
        <v>24</v>
      </c>
      <c r="D484" s="154">
        <v>33781055000216</v>
      </c>
      <c r="E484" s="47" t="s">
        <v>484</v>
      </c>
      <c r="F484" s="47" t="s">
        <v>440</v>
      </c>
      <c r="G484" s="155">
        <v>19643.2</v>
      </c>
    </row>
    <row r="485" spans="1:7" hidden="1" x14ac:dyDescent="0.2">
      <c r="A485" s="7" t="s">
        <v>16</v>
      </c>
      <c r="B485" s="7" t="s">
        <v>23</v>
      </c>
      <c r="C485" s="7" t="s">
        <v>24</v>
      </c>
      <c r="D485" s="154">
        <v>33781055000216</v>
      </c>
      <c r="E485" s="47" t="s">
        <v>484</v>
      </c>
      <c r="F485" s="47" t="s">
        <v>418</v>
      </c>
      <c r="G485" s="155">
        <v>1520</v>
      </c>
    </row>
    <row r="486" spans="1:7" hidden="1" x14ac:dyDescent="0.2">
      <c r="A486" s="7" t="s">
        <v>16</v>
      </c>
      <c r="B486" s="7" t="s">
        <v>23</v>
      </c>
      <c r="C486" s="7" t="s">
        <v>24</v>
      </c>
      <c r="D486" s="154">
        <v>34023077000280</v>
      </c>
      <c r="E486" s="47" t="s">
        <v>504</v>
      </c>
      <c r="F486" s="47" t="s">
        <v>417</v>
      </c>
      <c r="G486" s="155">
        <v>19267.2</v>
      </c>
    </row>
    <row r="487" spans="1:7" hidden="1" x14ac:dyDescent="0.2">
      <c r="A487" s="7" t="s">
        <v>16</v>
      </c>
      <c r="B487" s="7" t="s">
        <v>23</v>
      </c>
      <c r="C487" s="7" t="s">
        <v>24</v>
      </c>
      <c r="D487" s="154">
        <v>37396017000624</v>
      </c>
      <c r="E487" s="47" t="s">
        <v>468</v>
      </c>
      <c r="F487" s="47" t="s">
        <v>440</v>
      </c>
      <c r="G487" s="155">
        <v>143373.62</v>
      </c>
    </row>
    <row r="488" spans="1:7" hidden="1" x14ac:dyDescent="0.2">
      <c r="A488" s="7" t="s">
        <v>16</v>
      </c>
      <c r="B488" s="7" t="s">
        <v>23</v>
      </c>
      <c r="C488" s="7" t="s">
        <v>24</v>
      </c>
      <c r="D488" s="154">
        <v>37396017000624</v>
      </c>
      <c r="E488" s="47" t="s">
        <v>468</v>
      </c>
      <c r="F488" s="47" t="s">
        <v>418</v>
      </c>
      <c r="G488" s="155">
        <v>37496.46</v>
      </c>
    </row>
    <row r="489" spans="1:7" hidden="1" x14ac:dyDescent="0.2">
      <c r="A489" s="7" t="s">
        <v>16</v>
      </c>
      <c r="B489" s="7" t="s">
        <v>23</v>
      </c>
      <c r="C489" s="7" t="s">
        <v>24</v>
      </c>
      <c r="D489" s="154">
        <v>45780103000150</v>
      </c>
      <c r="E489" s="47" t="s">
        <v>1242</v>
      </c>
      <c r="F489" s="47" t="s">
        <v>440</v>
      </c>
      <c r="G489" s="155">
        <v>60746.76</v>
      </c>
    </row>
    <row r="490" spans="1:7" hidden="1" x14ac:dyDescent="0.2">
      <c r="A490" s="7" t="s">
        <v>16</v>
      </c>
      <c r="B490" s="7" t="s">
        <v>23</v>
      </c>
      <c r="C490" s="7" t="s">
        <v>24</v>
      </c>
      <c r="D490" s="154">
        <v>46068425000133</v>
      </c>
      <c r="E490" s="47" t="s">
        <v>486</v>
      </c>
      <c r="F490" s="47" t="s">
        <v>417</v>
      </c>
      <c r="G490" s="155">
        <v>253281.6</v>
      </c>
    </row>
    <row r="491" spans="1:7" hidden="1" x14ac:dyDescent="0.2">
      <c r="A491" s="7" t="s">
        <v>16</v>
      </c>
      <c r="B491" s="7" t="s">
        <v>23</v>
      </c>
      <c r="C491" s="7" t="s">
        <v>24</v>
      </c>
      <c r="D491" s="154">
        <v>46374500003533</v>
      </c>
      <c r="E491" s="47" t="s">
        <v>1243</v>
      </c>
      <c r="F491" s="47" t="s">
        <v>440</v>
      </c>
      <c r="G491" s="155">
        <v>204938</v>
      </c>
    </row>
    <row r="492" spans="1:7" hidden="1" x14ac:dyDescent="0.2">
      <c r="A492" s="7" t="s">
        <v>16</v>
      </c>
      <c r="B492" s="7" t="s">
        <v>23</v>
      </c>
      <c r="C492" s="7" t="s">
        <v>24</v>
      </c>
      <c r="D492" s="154">
        <v>46374500011048</v>
      </c>
      <c r="E492" s="47" t="s">
        <v>1280</v>
      </c>
      <c r="F492" s="47" t="s">
        <v>418</v>
      </c>
      <c r="G492" s="155">
        <v>8436.5</v>
      </c>
    </row>
    <row r="493" spans="1:7" hidden="1" x14ac:dyDescent="0.2">
      <c r="A493" s="7" t="s">
        <v>16</v>
      </c>
      <c r="B493" s="7" t="s">
        <v>23</v>
      </c>
      <c r="C493" s="7" t="s">
        <v>24</v>
      </c>
      <c r="D493" s="154">
        <v>46374500012605</v>
      </c>
      <c r="E493" s="47" t="s">
        <v>488</v>
      </c>
      <c r="F493" s="47" t="s">
        <v>418</v>
      </c>
      <c r="G493" s="155">
        <v>10123.799999999999</v>
      </c>
    </row>
    <row r="494" spans="1:7" hidden="1" x14ac:dyDescent="0.2">
      <c r="A494" s="7" t="s">
        <v>16</v>
      </c>
      <c r="B494" s="7" t="s">
        <v>23</v>
      </c>
      <c r="C494" s="7" t="s">
        <v>24</v>
      </c>
      <c r="D494" s="154">
        <v>46643466000106</v>
      </c>
      <c r="E494" s="47" t="s">
        <v>1275</v>
      </c>
      <c r="F494" s="47" t="s">
        <v>440</v>
      </c>
      <c r="G494" s="155">
        <v>284826.40000000002</v>
      </c>
    </row>
    <row r="495" spans="1:7" hidden="1" x14ac:dyDescent="0.2">
      <c r="A495" s="7" t="s">
        <v>16</v>
      </c>
      <c r="B495" s="7" t="s">
        <v>23</v>
      </c>
      <c r="C495" s="7" t="s">
        <v>24</v>
      </c>
      <c r="D495" s="154">
        <v>46854998000192</v>
      </c>
      <c r="E495" s="47" t="s">
        <v>1248</v>
      </c>
      <c r="F495" s="47" t="s">
        <v>418</v>
      </c>
      <c r="G495" s="155">
        <v>10619</v>
      </c>
    </row>
    <row r="496" spans="1:7" hidden="1" x14ac:dyDescent="0.2">
      <c r="A496" s="7" t="s">
        <v>16</v>
      </c>
      <c r="B496" s="7" t="s">
        <v>23</v>
      </c>
      <c r="C496" s="7" t="s">
        <v>24</v>
      </c>
      <c r="D496" s="154">
        <v>48468284000171</v>
      </c>
      <c r="E496" s="47" t="s">
        <v>489</v>
      </c>
      <c r="F496" s="47" t="s">
        <v>440</v>
      </c>
      <c r="G496" s="155">
        <v>20493.8</v>
      </c>
    </row>
    <row r="497" spans="1:7" hidden="1" x14ac:dyDescent="0.2">
      <c r="A497" s="7" t="s">
        <v>16</v>
      </c>
      <c r="B497" s="7" t="s">
        <v>23</v>
      </c>
      <c r="C497" s="7" t="s">
        <v>24</v>
      </c>
      <c r="D497" s="154">
        <v>50311620000209</v>
      </c>
      <c r="E497" s="47" t="s">
        <v>506</v>
      </c>
      <c r="F497" s="47" t="s">
        <v>417</v>
      </c>
      <c r="G497" s="155">
        <v>77178.69</v>
      </c>
    </row>
    <row r="498" spans="1:7" hidden="1" x14ac:dyDescent="0.2">
      <c r="A498" s="7" t="s">
        <v>16</v>
      </c>
      <c r="B498" s="7" t="s">
        <v>23</v>
      </c>
      <c r="C498" s="7" t="s">
        <v>24</v>
      </c>
      <c r="D498" s="154">
        <v>50311620000209</v>
      </c>
      <c r="E498" s="47" t="s">
        <v>506</v>
      </c>
      <c r="F498" s="47" t="s">
        <v>440</v>
      </c>
      <c r="G498" s="155">
        <v>196802.26</v>
      </c>
    </row>
    <row r="499" spans="1:7" hidden="1" x14ac:dyDescent="0.2">
      <c r="A499" s="7" t="s">
        <v>16</v>
      </c>
      <c r="B499" s="7" t="s">
        <v>23</v>
      </c>
      <c r="C499" s="7" t="s">
        <v>24</v>
      </c>
      <c r="D499" s="154">
        <v>50311620000209</v>
      </c>
      <c r="E499" s="47" t="s">
        <v>506</v>
      </c>
      <c r="F499" s="47" t="s">
        <v>418</v>
      </c>
      <c r="G499" s="155">
        <v>71736.17</v>
      </c>
    </row>
    <row r="500" spans="1:7" hidden="1" x14ac:dyDescent="0.2">
      <c r="A500" s="7" t="s">
        <v>16</v>
      </c>
      <c r="B500" s="7" t="s">
        <v>23</v>
      </c>
      <c r="C500" s="7" t="s">
        <v>24</v>
      </c>
      <c r="D500" s="154">
        <v>57722118000302</v>
      </c>
      <c r="E500" s="47" t="s">
        <v>1250</v>
      </c>
      <c r="F500" s="47" t="s">
        <v>440</v>
      </c>
      <c r="G500" s="155">
        <v>9777.48</v>
      </c>
    </row>
    <row r="501" spans="1:7" hidden="1" x14ac:dyDescent="0.2">
      <c r="A501" s="7" t="s">
        <v>16</v>
      </c>
      <c r="B501" s="7" t="s">
        <v>23</v>
      </c>
      <c r="C501" s="7" t="s">
        <v>24</v>
      </c>
      <c r="D501" s="154">
        <v>60003761000129</v>
      </c>
      <c r="E501" s="47" t="s">
        <v>1251</v>
      </c>
      <c r="F501" s="47" t="s">
        <v>417</v>
      </c>
      <c r="G501" s="155">
        <v>77900</v>
      </c>
    </row>
    <row r="502" spans="1:7" hidden="1" x14ac:dyDescent="0.2">
      <c r="A502" s="7" t="s">
        <v>16</v>
      </c>
      <c r="B502" s="7" t="s">
        <v>23</v>
      </c>
      <c r="C502" s="7" t="s">
        <v>24</v>
      </c>
      <c r="D502" s="154">
        <v>60003761000129</v>
      </c>
      <c r="E502" s="47" t="s">
        <v>1251</v>
      </c>
      <c r="F502" s="47" t="s">
        <v>440</v>
      </c>
      <c r="G502" s="155">
        <v>45291.11</v>
      </c>
    </row>
    <row r="503" spans="1:7" hidden="1" x14ac:dyDescent="0.2">
      <c r="A503" s="7" t="s">
        <v>16</v>
      </c>
      <c r="B503" s="7" t="s">
        <v>23</v>
      </c>
      <c r="C503" s="7" t="s">
        <v>24</v>
      </c>
      <c r="D503" s="154">
        <v>60448040000122</v>
      </c>
      <c r="E503" s="47" t="s">
        <v>1252</v>
      </c>
      <c r="F503" s="47" t="s">
        <v>440</v>
      </c>
      <c r="G503" s="155">
        <v>153497.70000000001</v>
      </c>
    </row>
    <row r="504" spans="1:7" hidden="1" x14ac:dyDescent="0.2">
      <c r="A504" s="7" t="s">
        <v>16</v>
      </c>
      <c r="B504" s="7" t="s">
        <v>23</v>
      </c>
      <c r="C504" s="7" t="s">
        <v>24</v>
      </c>
      <c r="D504" s="154">
        <v>60747318000162</v>
      </c>
      <c r="E504" s="47" t="s">
        <v>1253</v>
      </c>
      <c r="F504" s="47" t="s">
        <v>418</v>
      </c>
      <c r="G504" s="155">
        <v>5061.8999999999996</v>
      </c>
    </row>
    <row r="505" spans="1:7" hidden="1" x14ac:dyDescent="0.2">
      <c r="A505" s="7" t="s">
        <v>16</v>
      </c>
      <c r="B505" s="7" t="s">
        <v>23</v>
      </c>
      <c r="C505" s="7" t="s">
        <v>24</v>
      </c>
      <c r="D505" s="154">
        <v>60765823000130</v>
      </c>
      <c r="E505" s="47" t="s">
        <v>1266</v>
      </c>
      <c r="F505" s="47" t="s">
        <v>440</v>
      </c>
      <c r="G505" s="155">
        <v>76260</v>
      </c>
    </row>
    <row r="506" spans="1:7" hidden="1" x14ac:dyDescent="0.2">
      <c r="A506" s="7" t="s">
        <v>16</v>
      </c>
      <c r="B506" s="7" t="s">
        <v>23</v>
      </c>
      <c r="C506" s="7" t="s">
        <v>24</v>
      </c>
      <c r="D506" s="154">
        <v>60765823000130</v>
      </c>
      <c r="E506" s="47" t="s">
        <v>1266</v>
      </c>
      <c r="F506" s="47" t="s">
        <v>418</v>
      </c>
      <c r="G506" s="155">
        <v>8528</v>
      </c>
    </row>
    <row r="507" spans="1:7" hidden="1" x14ac:dyDescent="0.2">
      <c r="A507" s="7" t="s">
        <v>16</v>
      </c>
      <c r="B507" s="7" t="s">
        <v>23</v>
      </c>
      <c r="C507" s="7" t="s">
        <v>24</v>
      </c>
      <c r="D507" s="154">
        <v>61590410000124</v>
      </c>
      <c r="E507" s="47" t="s">
        <v>1254</v>
      </c>
      <c r="F507" s="47" t="s">
        <v>440</v>
      </c>
      <c r="G507" s="155">
        <v>120998.86</v>
      </c>
    </row>
    <row r="508" spans="1:7" hidden="1" x14ac:dyDescent="0.2">
      <c r="A508" s="7" t="s">
        <v>16</v>
      </c>
      <c r="B508" s="7" t="s">
        <v>23</v>
      </c>
      <c r="C508" s="7" t="s">
        <v>24</v>
      </c>
      <c r="D508" s="154">
        <v>61590410000124</v>
      </c>
      <c r="E508" s="47" t="s">
        <v>1254</v>
      </c>
      <c r="F508" s="47" t="s">
        <v>418</v>
      </c>
      <c r="G508" s="155">
        <v>413.3</v>
      </c>
    </row>
    <row r="509" spans="1:7" hidden="1" x14ac:dyDescent="0.2">
      <c r="A509" s="7" t="s">
        <v>16</v>
      </c>
      <c r="B509" s="7" t="s">
        <v>23</v>
      </c>
      <c r="C509" s="7" t="s">
        <v>24</v>
      </c>
      <c r="D509" s="154">
        <v>61599908000158</v>
      </c>
      <c r="E509" s="47" t="s">
        <v>1256</v>
      </c>
      <c r="F509" s="47" t="s">
        <v>440</v>
      </c>
      <c r="G509" s="155">
        <v>100810.8</v>
      </c>
    </row>
    <row r="510" spans="1:7" hidden="1" x14ac:dyDescent="0.2">
      <c r="A510" s="7" t="s">
        <v>16</v>
      </c>
      <c r="B510" s="7" t="s">
        <v>23</v>
      </c>
      <c r="C510" s="7" t="s">
        <v>24</v>
      </c>
      <c r="D510" s="154">
        <v>81887838000736</v>
      </c>
      <c r="E510" s="47" t="s">
        <v>491</v>
      </c>
      <c r="F510" s="47" t="s">
        <v>417</v>
      </c>
      <c r="G510" s="155">
        <v>320312.34999999998</v>
      </c>
    </row>
    <row r="511" spans="1:7" hidden="1" x14ac:dyDescent="0.2">
      <c r="A511" s="7" t="s">
        <v>16</v>
      </c>
      <c r="B511" s="7" t="s">
        <v>23</v>
      </c>
      <c r="C511" s="7" t="s">
        <v>24</v>
      </c>
      <c r="D511" s="154">
        <v>81887838000736</v>
      </c>
      <c r="E511" s="47" t="s">
        <v>491</v>
      </c>
      <c r="F511" s="47" t="s">
        <v>440</v>
      </c>
      <c r="G511" s="155">
        <v>1870539.17</v>
      </c>
    </row>
    <row r="512" spans="1:7" hidden="1" x14ac:dyDescent="0.2">
      <c r="A512" s="7" t="s">
        <v>16</v>
      </c>
      <c r="B512" s="7" t="s">
        <v>23</v>
      </c>
      <c r="C512" s="7" t="s">
        <v>24</v>
      </c>
      <c r="D512" s="154">
        <v>81887838000736</v>
      </c>
      <c r="E512" s="47" t="s">
        <v>491</v>
      </c>
      <c r="F512" s="47" t="s">
        <v>418</v>
      </c>
      <c r="G512" s="155">
        <v>186981.05</v>
      </c>
    </row>
    <row r="513" spans="1:10" hidden="1" x14ac:dyDescent="0.2">
      <c r="A513" s="7" t="s">
        <v>16</v>
      </c>
      <c r="B513" s="7" t="s">
        <v>23</v>
      </c>
      <c r="C513" s="7" t="s">
        <v>24</v>
      </c>
      <c r="D513" s="154">
        <v>82873068000140</v>
      </c>
      <c r="E513" s="47" t="s">
        <v>492</v>
      </c>
      <c r="F513" s="47" t="s">
        <v>440</v>
      </c>
      <c r="G513" s="155">
        <v>104237.94</v>
      </c>
    </row>
    <row r="514" spans="1:10" hidden="1" x14ac:dyDescent="0.2">
      <c r="A514" s="7" t="s">
        <v>16</v>
      </c>
      <c r="B514" s="7" t="s">
        <v>23</v>
      </c>
      <c r="C514" s="7" t="s">
        <v>24</v>
      </c>
      <c r="D514" s="154">
        <v>82873068000140</v>
      </c>
      <c r="E514" s="47" t="s">
        <v>492</v>
      </c>
      <c r="F514" s="47" t="s">
        <v>418</v>
      </c>
      <c r="G514" s="155">
        <v>57739.55</v>
      </c>
    </row>
    <row r="515" spans="1:10" hidden="1" x14ac:dyDescent="0.2">
      <c r="A515" s="7" t="s">
        <v>16</v>
      </c>
      <c r="B515" s="7" t="s">
        <v>23</v>
      </c>
      <c r="C515" s="7" t="s">
        <v>24</v>
      </c>
      <c r="D515" s="154">
        <v>82873068000573</v>
      </c>
      <c r="E515" s="47" t="s">
        <v>492</v>
      </c>
      <c r="F515" s="47" t="s">
        <v>440</v>
      </c>
      <c r="G515" s="155">
        <v>107156.38</v>
      </c>
    </row>
    <row r="516" spans="1:10" hidden="1" x14ac:dyDescent="0.2">
      <c r="A516" s="7" t="s">
        <v>16</v>
      </c>
      <c r="B516" s="7" t="s">
        <v>23</v>
      </c>
      <c r="C516" s="7" t="s">
        <v>24</v>
      </c>
      <c r="D516" s="154">
        <v>82873068000573</v>
      </c>
      <c r="E516" s="47" t="s">
        <v>492</v>
      </c>
      <c r="F516" s="47" t="s">
        <v>418</v>
      </c>
      <c r="G516" s="155">
        <v>43304.66</v>
      </c>
    </row>
    <row r="517" spans="1:10" hidden="1" x14ac:dyDescent="0.2">
      <c r="A517" s="7" t="s">
        <v>16</v>
      </c>
      <c r="B517" s="7" t="s">
        <v>23</v>
      </c>
      <c r="C517" s="7" t="s">
        <v>24</v>
      </c>
      <c r="D517" s="154">
        <v>82873068000654</v>
      </c>
      <c r="E517" s="47" t="s">
        <v>492</v>
      </c>
      <c r="F517" s="47" t="s">
        <v>417</v>
      </c>
      <c r="G517" s="155">
        <v>75442.16</v>
      </c>
    </row>
    <row r="518" spans="1:10" hidden="1" x14ac:dyDescent="0.2">
      <c r="A518" s="7" t="s">
        <v>16</v>
      </c>
      <c r="B518" s="7" t="s">
        <v>23</v>
      </c>
      <c r="C518" s="7" t="s">
        <v>24</v>
      </c>
      <c r="D518" s="154">
        <v>82873068000654</v>
      </c>
      <c r="E518" s="47" t="s">
        <v>492</v>
      </c>
      <c r="F518" s="47" t="s">
        <v>418</v>
      </c>
      <c r="G518" s="155">
        <v>43305.77</v>
      </c>
    </row>
    <row r="519" spans="1:10" hidden="1" x14ac:dyDescent="0.2">
      <c r="A519" s="7" t="s">
        <v>16</v>
      </c>
      <c r="B519" s="7" t="s">
        <v>23</v>
      </c>
      <c r="C519" s="7" t="s">
        <v>24</v>
      </c>
      <c r="D519" s="154">
        <v>82873068000735</v>
      </c>
      <c r="E519" s="47" t="s">
        <v>492</v>
      </c>
      <c r="F519" s="47" t="s">
        <v>440</v>
      </c>
      <c r="G519" s="155">
        <v>397252.22</v>
      </c>
    </row>
    <row r="520" spans="1:10" hidden="1" x14ac:dyDescent="0.2">
      <c r="A520" s="7" t="s">
        <v>16</v>
      </c>
      <c r="B520" s="7" t="s">
        <v>23</v>
      </c>
      <c r="C520" s="7" t="s">
        <v>24</v>
      </c>
      <c r="D520" s="154">
        <v>82873068000735</v>
      </c>
      <c r="E520" s="47" t="s">
        <v>492</v>
      </c>
      <c r="F520" s="47" t="s">
        <v>418</v>
      </c>
      <c r="G520" s="155">
        <v>43304.66</v>
      </c>
    </row>
    <row r="521" spans="1:10" hidden="1" x14ac:dyDescent="0.2">
      <c r="A521" s="7" t="s">
        <v>16</v>
      </c>
      <c r="B521" s="7" t="s">
        <v>23</v>
      </c>
      <c r="C521" s="7" t="s">
        <v>24</v>
      </c>
      <c r="D521" s="154">
        <v>87020517000120</v>
      </c>
      <c r="E521" s="47" t="s">
        <v>493</v>
      </c>
      <c r="F521" s="47" t="s">
        <v>440</v>
      </c>
      <c r="G521" s="155">
        <v>12854.32</v>
      </c>
    </row>
    <row r="522" spans="1:10" x14ac:dyDescent="0.2">
      <c r="A522" s="7" t="s">
        <v>16</v>
      </c>
      <c r="B522" s="7" t="s">
        <v>229</v>
      </c>
      <c r="C522" s="7" t="s">
        <v>24</v>
      </c>
      <c r="D522" s="154">
        <v>394502014870</v>
      </c>
      <c r="E522" s="47" t="s">
        <v>553</v>
      </c>
      <c r="F522" s="47" t="s">
        <v>440</v>
      </c>
      <c r="G522" s="155">
        <v>204938</v>
      </c>
    </row>
    <row r="523" spans="1:10" x14ac:dyDescent="0.2">
      <c r="A523" s="7" t="s">
        <v>16</v>
      </c>
      <c r="B523" s="7" t="s">
        <v>229</v>
      </c>
      <c r="C523" s="7" t="s">
        <v>24</v>
      </c>
      <c r="D523" s="154">
        <v>394544000851</v>
      </c>
      <c r="E523" s="47" t="s">
        <v>1257</v>
      </c>
      <c r="F523" s="47" t="s">
        <v>440</v>
      </c>
      <c r="G523" s="155">
        <v>5904</v>
      </c>
      <c r="J523" s="169"/>
    </row>
    <row r="524" spans="1:10" x14ac:dyDescent="0.2">
      <c r="A524" s="7" t="s">
        <v>16</v>
      </c>
      <c r="B524" s="7" t="s">
        <v>229</v>
      </c>
      <c r="C524" s="7" t="s">
        <v>24</v>
      </c>
      <c r="D524" s="154">
        <v>394544011110</v>
      </c>
      <c r="E524" s="47" t="s">
        <v>508</v>
      </c>
      <c r="F524" s="47" t="s">
        <v>440</v>
      </c>
      <c r="G524" s="155">
        <v>-1062.72</v>
      </c>
    </row>
    <row r="525" spans="1:10" x14ac:dyDescent="0.2">
      <c r="A525" s="7" t="s">
        <v>16</v>
      </c>
      <c r="B525" s="7" t="s">
        <v>229</v>
      </c>
      <c r="C525" s="7" t="s">
        <v>24</v>
      </c>
      <c r="D525" s="154">
        <v>394544020100</v>
      </c>
      <c r="E525" s="47" t="s">
        <v>441</v>
      </c>
      <c r="F525" s="47" t="s">
        <v>417</v>
      </c>
      <c r="G525" s="155">
        <v>119984.8</v>
      </c>
    </row>
    <row r="526" spans="1:10" x14ac:dyDescent="0.2">
      <c r="A526" s="7" t="s">
        <v>16</v>
      </c>
      <c r="B526" s="7" t="s">
        <v>229</v>
      </c>
      <c r="C526" s="7" t="s">
        <v>24</v>
      </c>
      <c r="D526" s="154">
        <v>394544020291</v>
      </c>
      <c r="E526" s="47" t="s">
        <v>442</v>
      </c>
      <c r="F526" s="47" t="s">
        <v>417</v>
      </c>
      <c r="G526" s="155">
        <v>75520</v>
      </c>
    </row>
    <row r="527" spans="1:10" x14ac:dyDescent="0.2">
      <c r="A527" s="7" t="s">
        <v>16</v>
      </c>
      <c r="B527" s="7" t="s">
        <v>229</v>
      </c>
      <c r="C527" s="7" t="s">
        <v>24</v>
      </c>
      <c r="D527" s="154">
        <v>394544021344</v>
      </c>
      <c r="E527" s="47" t="s">
        <v>447</v>
      </c>
      <c r="F527" s="47" t="s">
        <v>417</v>
      </c>
      <c r="G527" s="155">
        <v>22874.799999999999</v>
      </c>
    </row>
    <row r="528" spans="1:10" x14ac:dyDescent="0.2">
      <c r="A528" s="7" t="s">
        <v>16</v>
      </c>
      <c r="B528" s="7" t="s">
        <v>229</v>
      </c>
      <c r="C528" s="7" t="s">
        <v>24</v>
      </c>
      <c r="D528" s="154">
        <v>1479465000130</v>
      </c>
      <c r="E528" s="47" t="s">
        <v>448</v>
      </c>
      <c r="F528" s="47" t="s">
        <v>440</v>
      </c>
      <c r="G528" s="155">
        <v>449652.85</v>
      </c>
    </row>
    <row r="529" spans="1:7" x14ac:dyDescent="0.2">
      <c r="A529" s="7" t="s">
        <v>16</v>
      </c>
      <c r="B529" s="7" t="s">
        <v>229</v>
      </c>
      <c r="C529" s="7" t="s">
        <v>24</v>
      </c>
      <c r="D529" s="154">
        <v>2873606000167</v>
      </c>
      <c r="E529" s="47" t="s">
        <v>449</v>
      </c>
      <c r="F529" s="47" t="s">
        <v>417</v>
      </c>
      <c r="G529" s="155">
        <v>227562.3</v>
      </c>
    </row>
    <row r="530" spans="1:7" x14ac:dyDescent="0.2">
      <c r="A530" s="7" t="s">
        <v>16</v>
      </c>
      <c r="B530" s="7" t="s">
        <v>229</v>
      </c>
      <c r="C530" s="7" t="s">
        <v>24</v>
      </c>
      <c r="D530" s="154">
        <v>2873606000167</v>
      </c>
      <c r="E530" s="47" t="s">
        <v>449</v>
      </c>
      <c r="F530" s="47" t="s">
        <v>440</v>
      </c>
      <c r="G530" s="155">
        <v>910473.04</v>
      </c>
    </row>
    <row r="531" spans="1:7" x14ac:dyDescent="0.2">
      <c r="A531" s="7" t="s">
        <v>16</v>
      </c>
      <c r="B531" s="7" t="s">
        <v>229</v>
      </c>
      <c r="C531" s="7" t="s">
        <v>24</v>
      </c>
      <c r="D531" s="154">
        <v>2873606000167</v>
      </c>
      <c r="E531" s="47" t="s">
        <v>449</v>
      </c>
      <c r="F531" s="47" t="s">
        <v>418</v>
      </c>
      <c r="G531" s="155">
        <v>163426.5</v>
      </c>
    </row>
    <row r="532" spans="1:7" x14ac:dyDescent="0.2">
      <c r="A532" s="7" t="s">
        <v>16</v>
      </c>
      <c r="B532" s="7" t="s">
        <v>229</v>
      </c>
      <c r="C532" s="7" t="s">
        <v>24</v>
      </c>
      <c r="D532" s="154">
        <v>4027894000326</v>
      </c>
      <c r="E532" s="47" t="s">
        <v>450</v>
      </c>
      <c r="F532" s="47" t="s">
        <v>417</v>
      </c>
      <c r="G532" s="155">
        <v>244893.92</v>
      </c>
    </row>
    <row r="533" spans="1:7" x14ac:dyDescent="0.2">
      <c r="A533" s="7" t="s">
        <v>16</v>
      </c>
      <c r="B533" s="7" t="s">
        <v>229</v>
      </c>
      <c r="C533" s="7" t="s">
        <v>24</v>
      </c>
      <c r="D533" s="154">
        <v>4027894000326</v>
      </c>
      <c r="E533" s="47" t="s">
        <v>450</v>
      </c>
      <c r="F533" s="47" t="s">
        <v>440</v>
      </c>
      <c r="G533" s="155">
        <v>1180934.97</v>
      </c>
    </row>
    <row r="534" spans="1:7" x14ac:dyDescent="0.2">
      <c r="A534" s="7" t="s">
        <v>16</v>
      </c>
      <c r="B534" s="7" t="s">
        <v>229</v>
      </c>
      <c r="C534" s="7" t="s">
        <v>24</v>
      </c>
      <c r="D534" s="154">
        <v>4027894000326</v>
      </c>
      <c r="E534" s="47" t="s">
        <v>450</v>
      </c>
      <c r="F534" s="47" t="s">
        <v>418</v>
      </c>
      <c r="G534" s="155">
        <v>173223.06</v>
      </c>
    </row>
    <row r="535" spans="1:7" x14ac:dyDescent="0.2">
      <c r="A535" s="7" t="s">
        <v>16</v>
      </c>
      <c r="B535" s="7" t="s">
        <v>229</v>
      </c>
      <c r="C535" s="7" t="s">
        <v>24</v>
      </c>
      <c r="D535" s="154">
        <v>4307650001298</v>
      </c>
      <c r="E535" s="47" t="s">
        <v>451</v>
      </c>
      <c r="F535" s="47" t="s">
        <v>440</v>
      </c>
      <c r="G535" s="155">
        <v>962164.09</v>
      </c>
    </row>
    <row r="536" spans="1:7" x14ac:dyDescent="0.2">
      <c r="A536" s="7" t="s">
        <v>16</v>
      </c>
      <c r="B536" s="7" t="s">
        <v>229</v>
      </c>
      <c r="C536" s="7" t="s">
        <v>24</v>
      </c>
      <c r="D536" s="154">
        <v>4307650001298</v>
      </c>
      <c r="E536" s="47" t="s">
        <v>451</v>
      </c>
      <c r="F536" s="47" t="s">
        <v>418</v>
      </c>
      <c r="G536" s="155">
        <v>156745.75</v>
      </c>
    </row>
    <row r="537" spans="1:7" x14ac:dyDescent="0.2">
      <c r="A537" s="7" t="s">
        <v>16</v>
      </c>
      <c r="B537" s="7" t="s">
        <v>229</v>
      </c>
      <c r="C537" s="7" t="s">
        <v>24</v>
      </c>
      <c r="D537" s="154">
        <v>4355394000151</v>
      </c>
      <c r="E537" s="47" t="s">
        <v>452</v>
      </c>
      <c r="F537" s="47" t="s">
        <v>417</v>
      </c>
      <c r="G537" s="155">
        <v>129156.98</v>
      </c>
    </row>
    <row r="538" spans="1:7" x14ac:dyDescent="0.2">
      <c r="A538" s="7" t="s">
        <v>16</v>
      </c>
      <c r="B538" s="7" t="s">
        <v>229</v>
      </c>
      <c r="C538" s="7" t="s">
        <v>24</v>
      </c>
      <c r="D538" s="154">
        <v>4355394000151</v>
      </c>
      <c r="E538" s="47" t="s">
        <v>452</v>
      </c>
      <c r="F538" s="47" t="s">
        <v>440</v>
      </c>
      <c r="G538" s="155">
        <v>637867.68999999994</v>
      </c>
    </row>
    <row r="539" spans="1:7" x14ac:dyDescent="0.2">
      <c r="A539" s="7" t="s">
        <v>16</v>
      </c>
      <c r="B539" s="7" t="s">
        <v>229</v>
      </c>
      <c r="C539" s="7" t="s">
        <v>24</v>
      </c>
      <c r="D539" s="154">
        <v>4355394000151</v>
      </c>
      <c r="E539" s="47" t="s">
        <v>452</v>
      </c>
      <c r="F539" s="47" t="s">
        <v>418</v>
      </c>
      <c r="G539" s="155">
        <v>63372.67</v>
      </c>
    </row>
    <row r="540" spans="1:7" x14ac:dyDescent="0.2">
      <c r="A540" s="7" t="s">
        <v>16</v>
      </c>
      <c r="B540" s="7" t="s">
        <v>229</v>
      </c>
      <c r="C540" s="7" t="s">
        <v>24</v>
      </c>
      <c r="D540" s="154">
        <v>4929345000185</v>
      </c>
      <c r="E540" s="47" t="s">
        <v>1281</v>
      </c>
      <c r="F540" s="47" t="s">
        <v>440</v>
      </c>
      <c r="G540" s="155">
        <v>138294.5</v>
      </c>
    </row>
    <row r="541" spans="1:7" x14ac:dyDescent="0.2">
      <c r="A541" s="7" t="s">
        <v>16</v>
      </c>
      <c r="B541" s="7" t="s">
        <v>229</v>
      </c>
      <c r="C541" s="7" t="s">
        <v>24</v>
      </c>
      <c r="D541" s="154">
        <v>4995603000121</v>
      </c>
      <c r="E541" s="47" t="s">
        <v>1282</v>
      </c>
      <c r="F541" s="47" t="s">
        <v>440</v>
      </c>
      <c r="G541" s="155">
        <v>195714</v>
      </c>
    </row>
    <row r="542" spans="1:7" x14ac:dyDescent="0.2">
      <c r="A542" s="7" t="s">
        <v>16</v>
      </c>
      <c r="B542" s="7" t="s">
        <v>229</v>
      </c>
      <c r="C542" s="7" t="s">
        <v>24</v>
      </c>
      <c r="D542" s="154">
        <v>5268490000125</v>
      </c>
      <c r="E542" s="47" t="s">
        <v>453</v>
      </c>
      <c r="F542" s="47" t="s">
        <v>417</v>
      </c>
      <c r="G542" s="155">
        <v>144324.16</v>
      </c>
    </row>
    <row r="543" spans="1:7" x14ac:dyDescent="0.2">
      <c r="A543" s="7" t="s">
        <v>16</v>
      </c>
      <c r="B543" s="7" t="s">
        <v>229</v>
      </c>
      <c r="C543" s="7" t="s">
        <v>24</v>
      </c>
      <c r="D543" s="154">
        <v>5268490000125</v>
      </c>
      <c r="E543" s="47" t="s">
        <v>453</v>
      </c>
      <c r="F543" s="47" t="s">
        <v>440</v>
      </c>
      <c r="G543" s="155">
        <v>168609.68</v>
      </c>
    </row>
    <row r="544" spans="1:7" x14ac:dyDescent="0.2">
      <c r="A544" s="7" t="s">
        <v>16</v>
      </c>
      <c r="B544" s="7" t="s">
        <v>229</v>
      </c>
      <c r="C544" s="7" t="s">
        <v>24</v>
      </c>
      <c r="D544" s="154">
        <v>5816630000152</v>
      </c>
      <c r="E544" s="47" t="s">
        <v>454</v>
      </c>
      <c r="F544" s="47" t="s">
        <v>440</v>
      </c>
      <c r="G544" s="155">
        <v>703909.96</v>
      </c>
    </row>
    <row r="545" spans="1:7" x14ac:dyDescent="0.2">
      <c r="A545" s="7" t="s">
        <v>16</v>
      </c>
      <c r="B545" s="7" t="s">
        <v>229</v>
      </c>
      <c r="C545" s="7" t="s">
        <v>24</v>
      </c>
      <c r="D545" s="154">
        <v>6073848000127</v>
      </c>
      <c r="E545" s="47" t="s">
        <v>464</v>
      </c>
      <c r="F545" s="47" t="s">
        <v>418</v>
      </c>
      <c r="G545" s="155">
        <v>44888.98</v>
      </c>
    </row>
    <row r="546" spans="1:7" x14ac:dyDescent="0.2">
      <c r="A546" s="7" t="s">
        <v>16</v>
      </c>
      <c r="B546" s="7" t="s">
        <v>229</v>
      </c>
      <c r="C546" s="7" t="s">
        <v>24</v>
      </c>
      <c r="D546" s="154">
        <v>6081203000136</v>
      </c>
      <c r="E546" s="47" t="s">
        <v>451</v>
      </c>
      <c r="F546" s="47" t="s">
        <v>440</v>
      </c>
      <c r="G546" s="155">
        <v>403444.6</v>
      </c>
    </row>
    <row r="547" spans="1:7" x14ac:dyDescent="0.2">
      <c r="A547" s="7" t="s">
        <v>16</v>
      </c>
      <c r="B547" s="7" t="s">
        <v>229</v>
      </c>
      <c r="C547" s="7" t="s">
        <v>24</v>
      </c>
      <c r="D547" s="154">
        <v>6081203000136</v>
      </c>
      <c r="E547" s="47" t="s">
        <v>451</v>
      </c>
      <c r="F547" s="47" t="s">
        <v>418</v>
      </c>
      <c r="G547" s="155">
        <v>69796.22</v>
      </c>
    </row>
    <row r="548" spans="1:7" x14ac:dyDescent="0.2">
      <c r="A548" s="7" t="s">
        <v>16</v>
      </c>
      <c r="B548" s="7" t="s">
        <v>229</v>
      </c>
      <c r="C548" s="7" t="s">
        <v>24</v>
      </c>
      <c r="D548" s="154">
        <v>6234797000178</v>
      </c>
      <c r="E548" s="47" t="s">
        <v>455</v>
      </c>
      <c r="F548" s="47" t="s">
        <v>440</v>
      </c>
      <c r="G548" s="155">
        <v>164783.32</v>
      </c>
    </row>
    <row r="549" spans="1:7" x14ac:dyDescent="0.2">
      <c r="A549" s="7" t="s">
        <v>16</v>
      </c>
      <c r="B549" s="7" t="s">
        <v>229</v>
      </c>
      <c r="C549" s="7" t="s">
        <v>24</v>
      </c>
      <c r="D549" s="154">
        <v>6553564000138</v>
      </c>
      <c r="E549" s="47" t="s">
        <v>554</v>
      </c>
      <c r="F549" s="47" t="s">
        <v>440</v>
      </c>
      <c r="G549" s="155">
        <v>43036.56</v>
      </c>
    </row>
    <row r="550" spans="1:7" x14ac:dyDescent="0.2">
      <c r="A550" s="7" t="s">
        <v>16</v>
      </c>
      <c r="B550" s="7" t="s">
        <v>229</v>
      </c>
      <c r="C550" s="7" t="s">
        <v>24</v>
      </c>
      <c r="D550" s="154">
        <v>7224991001530</v>
      </c>
      <c r="E550" s="47" t="s">
        <v>456</v>
      </c>
      <c r="F550" s="47" t="s">
        <v>418</v>
      </c>
      <c r="G550" s="155">
        <v>41166.89</v>
      </c>
    </row>
    <row r="551" spans="1:7" x14ac:dyDescent="0.2">
      <c r="A551" s="7" t="s">
        <v>16</v>
      </c>
      <c r="B551" s="7" t="s">
        <v>229</v>
      </c>
      <c r="C551" s="7" t="s">
        <v>24</v>
      </c>
      <c r="D551" s="154">
        <v>7484373000124</v>
      </c>
      <c r="E551" s="47" t="s">
        <v>458</v>
      </c>
      <c r="F551" s="47" t="s">
        <v>417</v>
      </c>
      <c r="G551" s="155">
        <v>206645.94</v>
      </c>
    </row>
    <row r="552" spans="1:7" x14ac:dyDescent="0.2">
      <c r="A552" s="7" t="s">
        <v>16</v>
      </c>
      <c r="B552" s="7" t="s">
        <v>229</v>
      </c>
      <c r="C552" s="7" t="s">
        <v>24</v>
      </c>
      <c r="D552" s="154">
        <v>7484373000124</v>
      </c>
      <c r="E552" s="47" t="s">
        <v>458</v>
      </c>
      <c r="F552" s="47" t="s">
        <v>418</v>
      </c>
      <c r="G552" s="155">
        <v>23240.76</v>
      </c>
    </row>
    <row r="553" spans="1:7" x14ac:dyDescent="0.2">
      <c r="A553" s="7" t="s">
        <v>16</v>
      </c>
      <c r="B553" s="7" t="s">
        <v>229</v>
      </c>
      <c r="C553" s="7" t="s">
        <v>24</v>
      </c>
      <c r="D553" s="154">
        <v>7734165000136</v>
      </c>
      <c r="E553" s="47" t="s">
        <v>459</v>
      </c>
      <c r="F553" s="47" t="s">
        <v>440</v>
      </c>
      <c r="G553" s="155">
        <v>204989.96</v>
      </c>
    </row>
    <row r="554" spans="1:7" x14ac:dyDescent="0.2">
      <c r="A554" s="7" t="s">
        <v>16</v>
      </c>
      <c r="B554" s="7" t="s">
        <v>229</v>
      </c>
      <c r="C554" s="7" t="s">
        <v>24</v>
      </c>
      <c r="D554" s="154">
        <v>7812105000194</v>
      </c>
      <c r="E554" s="47" t="s">
        <v>460</v>
      </c>
      <c r="F554" s="47" t="s">
        <v>417</v>
      </c>
      <c r="G554" s="155">
        <v>444844.25</v>
      </c>
    </row>
    <row r="555" spans="1:7" x14ac:dyDescent="0.2">
      <c r="A555" s="7" t="s">
        <v>16</v>
      </c>
      <c r="B555" s="7" t="s">
        <v>229</v>
      </c>
      <c r="C555" s="7" t="s">
        <v>24</v>
      </c>
      <c r="D555" s="154">
        <v>7812105000194</v>
      </c>
      <c r="E555" s="47" t="s">
        <v>460</v>
      </c>
      <c r="F555" s="47" t="s">
        <v>440</v>
      </c>
      <c r="G555" s="155">
        <v>586218.04</v>
      </c>
    </row>
    <row r="556" spans="1:7" x14ac:dyDescent="0.2">
      <c r="A556" s="7" t="s">
        <v>16</v>
      </c>
      <c r="B556" s="7" t="s">
        <v>229</v>
      </c>
      <c r="C556" s="7" t="s">
        <v>24</v>
      </c>
      <c r="D556" s="154">
        <v>7812105000194</v>
      </c>
      <c r="E556" s="47" t="s">
        <v>460</v>
      </c>
      <c r="F556" s="47" t="s">
        <v>418</v>
      </c>
      <c r="G556" s="155">
        <v>70202.16</v>
      </c>
    </row>
    <row r="557" spans="1:7" x14ac:dyDescent="0.2">
      <c r="A557" s="7" t="s">
        <v>16</v>
      </c>
      <c r="B557" s="7" t="s">
        <v>229</v>
      </c>
      <c r="C557" s="7" t="s">
        <v>24</v>
      </c>
      <c r="D557" s="154">
        <v>8719794000150</v>
      </c>
      <c r="E557" s="47" t="s">
        <v>460</v>
      </c>
      <c r="F557" s="47" t="s">
        <v>417</v>
      </c>
      <c r="G557" s="155">
        <v>225089.05</v>
      </c>
    </row>
    <row r="558" spans="1:7" x14ac:dyDescent="0.2">
      <c r="A558" s="7" t="s">
        <v>16</v>
      </c>
      <c r="B558" s="7" t="s">
        <v>229</v>
      </c>
      <c r="C558" s="7" t="s">
        <v>24</v>
      </c>
      <c r="D558" s="154">
        <v>8719794000150</v>
      </c>
      <c r="E558" s="47" t="s">
        <v>460</v>
      </c>
      <c r="F558" s="47" t="s">
        <v>440</v>
      </c>
      <c r="G558" s="155">
        <v>85427.1</v>
      </c>
    </row>
    <row r="559" spans="1:7" x14ac:dyDescent="0.2">
      <c r="A559" s="7" t="s">
        <v>16</v>
      </c>
      <c r="B559" s="7" t="s">
        <v>229</v>
      </c>
      <c r="C559" s="7" t="s">
        <v>24</v>
      </c>
      <c r="D559" s="154">
        <v>8719794000150</v>
      </c>
      <c r="E559" s="47" t="s">
        <v>460</v>
      </c>
      <c r="F559" s="47" t="s">
        <v>418</v>
      </c>
      <c r="G559" s="155">
        <v>149633.74</v>
      </c>
    </row>
    <row r="560" spans="1:7" x14ac:dyDescent="0.2">
      <c r="A560" s="7" t="s">
        <v>16</v>
      </c>
      <c r="B560" s="7" t="s">
        <v>229</v>
      </c>
      <c r="C560" s="7" t="s">
        <v>24</v>
      </c>
      <c r="D560" s="154">
        <v>9053134000226</v>
      </c>
      <c r="E560" s="47" t="s">
        <v>464</v>
      </c>
      <c r="F560" s="47" t="s">
        <v>440</v>
      </c>
      <c r="G560" s="155">
        <v>83810.39</v>
      </c>
    </row>
    <row r="561" spans="1:7" x14ac:dyDescent="0.2">
      <c r="A561" s="7" t="s">
        <v>16</v>
      </c>
      <c r="B561" s="7" t="s">
        <v>229</v>
      </c>
      <c r="C561" s="7" t="s">
        <v>24</v>
      </c>
      <c r="D561" s="154">
        <v>9660958000345</v>
      </c>
      <c r="E561" s="47" t="s">
        <v>1512</v>
      </c>
      <c r="F561" s="47" t="s">
        <v>417</v>
      </c>
      <c r="G561" s="155">
        <v>42436.23</v>
      </c>
    </row>
    <row r="562" spans="1:7" x14ac:dyDescent="0.2">
      <c r="A562" s="7" t="s">
        <v>16</v>
      </c>
      <c r="B562" s="7" t="s">
        <v>229</v>
      </c>
      <c r="C562" s="7" t="s">
        <v>24</v>
      </c>
      <c r="D562" s="154">
        <v>9660958000345</v>
      </c>
      <c r="E562" s="47" t="s">
        <v>1512</v>
      </c>
      <c r="F562" s="47" t="s">
        <v>440</v>
      </c>
      <c r="G562" s="155">
        <v>165495.29</v>
      </c>
    </row>
    <row r="563" spans="1:7" x14ac:dyDescent="0.2">
      <c r="A563" s="7" t="s">
        <v>16</v>
      </c>
      <c r="B563" s="7" t="s">
        <v>229</v>
      </c>
      <c r="C563" s="7" t="s">
        <v>24</v>
      </c>
      <c r="D563" s="154">
        <v>9660958000345</v>
      </c>
      <c r="E563" s="47" t="s">
        <v>1512</v>
      </c>
      <c r="F563" s="47" t="s">
        <v>418</v>
      </c>
      <c r="G563" s="155">
        <v>260556.37</v>
      </c>
    </row>
    <row r="564" spans="1:7" x14ac:dyDescent="0.2">
      <c r="A564" s="7" t="s">
        <v>16</v>
      </c>
      <c r="B564" s="7" t="s">
        <v>229</v>
      </c>
      <c r="C564" s="7" t="s">
        <v>24</v>
      </c>
      <c r="D564" s="154">
        <v>10586940000168</v>
      </c>
      <c r="E564" s="47" t="s">
        <v>1269</v>
      </c>
      <c r="F564" s="47" t="s">
        <v>440</v>
      </c>
      <c r="G564" s="155">
        <v>46337.01</v>
      </c>
    </row>
    <row r="565" spans="1:7" x14ac:dyDescent="0.2">
      <c r="A565" s="7" t="s">
        <v>16</v>
      </c>
      <c r="B565" s="7" t="s">
        <v>229</v>
      </c>
      <c r="C565" s="7" t="s">
        <v>24</v>
      </c>
      <c r="D565" s="154">
        <v>10942995000163</v>
      </c>
      <c r="E565" s="47" t="s">
        <v>1259</v>
      </c>
      <c r="F565" s="47" t="s">
        <v>440</v>
      </c>
      <c r="G565" s="155">
        <v>36916.400000000001</v>
      </c>
    </row>
    <row r="566" spans="1:7" x14ac:dyDescent="0.2">
      <c r="A566" s="7" t="s">
        <v>16</v>
      </c>
      <c r="B566" s="7" t="s">
        <v>229</v>
      </c>
      <c r="C566" s="7" t="s">
        <v>24</v>
      </c>
      <c r="D566" s="154">
        <v>11022597001597</v>
      </c>
      <c r="E566" s="47" t="s">
        <v>499</v>
      </c>
      <c r="F566" s="47" t="s">
        <v>440</v>
      </c>
      <c r="G566" s="155">
        <v>109880</v>
      </c>
    </row>
    <row r="567" spans="1:7" x14ac:dyDescent="0.2">
      <c r="A567" s="7" t="s">
        <v>16</v>
      </c>
      <c r="B567" s="7" t="s">
        <v>229</v>
      </c>
      <c r="C567" s="7" t="s">
        <v>24</v>
      </c>
      <c r="D567" s="154">
        <v>11051186000124</v>
      </c>
      <c r="E567" s="47" t="s">
        <v>460</v>
      </c>
      <c r="F567" s="47" t="s">
        <v>440</v>
      </c>
      <c r="G567" s="155">
        <v>18167.11</v>
      </c>
    </row>
    <row r="568" spans="1:7" x14ac:dyDescent="0.2">
      <c r="A568" s="7" t="s">
        <v>16</v>
      </c>
      <c r="B568" s="7" t="s">
        <v>229</v>
      </c>
      <c r="C568" s="7" t="s">
        <v>24</v>
      </c>
      <c r="D568" s="154">
        <v>11051186000124</v>
      </c>
      <c r="E568" s="47" t="s">
        <v>460</v>
      </c>
      <c r="F568" s="47" t="s">
        <v>418</v>
      </c>
      <c r="G568" s="155">
        <v>7481.68</v>
      </c>
    </row>
    <row r="569" spans="1:7" x14ac:dyDescent="0.2">
      <c r="A569" s="7" t="s">
        <v>16</v>
      </c>
      <c r="B569" s="7" t="s">
        <v>229</v>
      </c>
      <c r="C569" s="7" t="s">
        <v>24</v>
      </c>
      <c r="D569" s="154">
        <v>11206099000107</v>
      </c>
      <c r="E569" s="47" t="s">
        <v>500</v>
      </c>
      <c r="F569" s="47" t="s">
        <v>417</v>
      </c>
      <c r="G569" s="155">
        <v>196810.64</v>
      </c>
    </row>
    <row r="570" spans="1:7" x14ac:dyDescent="0.2">
      <c r="A570" s="7" t="s">
        <v>16</v>
      </c>
      <c r="B570" s="7" t="s">
        <v>229</v>
      </c>
      <c r="C570" s="7" t="s">
        <v>24</v>
      </c>
      <c r="D570" s="154">
        <v>11206099000107</v>
      </c>
      <c r="E570" s="47" t="s">
        <v>500</v>
      </c>
      <c r="F570" s="47" t="s">
        <v>440</v>
      </c>
      <c r="G570" s="155">
        <v>246002.59</v>
      </c>
    </row>
    <row r="571" spans="1:7" x14ac:dyDescent="0.2">
      <c r="A571" s="7" t="s">
        <v>16</v>
      </c>
      <c r="B571" s="7" t="s">
        <v>229</v>
      </c>
      <c r="C571" s="7" t="s">
        <v>24</v>
      </c>
      <c r="D571" s="154">
        <v>11206099000107</v>
      </c>
      <c r="E571" s="47" t="s">
        <v>500</v>
      </c>
      <c r="F571" s="47" t="s">
        <v>418</v>
      </c>
      <c r="G571" s="155">
        <v>177443.49</v>
      </c>
    </row>
    <row r="572" spans="1:7" x14ac:dyDescent="0.2">
      <c r="A572" s="7" t="s">
        <v>16</v>
      </c>
      <c r="B572" s="7" t="s">
        <v>229</v>
      </c>
      <c r="C572" s="7" t="s">
        <v>24</v>
      </c>
      <c r="D572" s="154">
        <v>12420164000319</v>
      </c>
      <c r="E572" s="47" t="s">
        <v>470</v>
      </c>
      <c r="F572" s="47" t="s">
        <v>417</v>
      </c>
      <c r="G572" s="155">
        <v>4626.42</v>
      </c>
    </row>
    <row r="573" spans="1:7" x14ac:dyDescent="0.2">
      <c r="A573" s="7" t="s">
        <v>16</v>
      </c>
      <c r="B573" s="7" t="s">
        <v>229</v>
      </c>
      <c r="C573" s="7" t="s">
        <v>24</v>
      </c>
      <c r="D573" s="154">
        <v>12420164000319</v>
      </c>
      <c r="E573" s="47" t="s">
        <v>470</v>
      </c>
      <c r="F573" s="47" t="s">
        <v>440</v>
      </c>
      <c r="G573" s="155">
        <v>1137566.8</v>
      </c>
    </row>
    <row r="574" spans="1:7" x14ac:dyDescent="0.2">
      <c r="A574" s="7" t="s">
        <v>16</v>
      </c>
      <c r="B574" s="7" t="s">
        <v>229</v>
      </c>
      <c r="C574" s="7" t="s">
        <v>24</v>
      </c>
      <c r="D574" s="154">
        <v>12420164000319</v>
      </c>
      <c r="E574" s="47" t="s">
        <v>470</v>
      </c>
      <c r="F574" s="47" t="s">
        <v>418</v>
      </c>
      <c r="G574" s="155">
        <v>135216.45000000001</v>
      </c>
    </row>
    <row r="575" spans="1:7" x14ac:dyDescent="0.2">
      <c r="A575" s="7" t="s">
        <v>16</v>
      </c>
      <c r="B575" s="7" t="s">
        <v>229</v>
      </c>
      <c r="C575" s="7" t="s">
        <v>24</v>
      </c>
      <c r="D575" s="154">
        <v>12420164000904</v>
      </c>
      <c r="E575" s="47" t="s">
        <v>470</v>
      </c>
      <c r="F575" s="47" t="s">
        <v>417</v>
      </c>
      <c r="G575" s="155">
        <v>31492.99</v>
      </c>
    </row>
    <row r="576" spans="1:7" x14ac:dyDescent="0.2">
      <c r="A576" s="7" t="s">
        <v>16</v>
      </c>
      <c r="B576" s="7" t="s">
        <v>229</v>
      </c>
      <c r="C576" s="7" t="s">
        <v>24</v>
      </c>
      <c r="D576" s="154">
        <v>12420164000904</v>
      </c>
      <c r="E576" s="47" t="s">
        <v>470</v>
      </c>
      <c r="F576" s="47" t="s">
        <v>440</v>
      </c>
      <c r="G576" s="155">
        <v>275968.65000000002</v>
      </c>
    </row>
    <row r="577" spans="1:7" x14ac:dyDescent="0.2">
      <c r="A577" s="7" t="s">
        <v>16</v>
      </c>
      <c r="B577" s="7" t="s">
        <v>229</v>
      </c>
      <c r="C577" s="7" t="s">
        <v>24</v>
      </c>
      <c r="D577" s="154">
        <v>12420164000904</v>
      </c>
      <c r="E577" s="47" t="s">
        <v>470</v>
      </c>
      <c r="F577" s="47" t="s">
        <v>418</v>
      </c>
      <c r="G577" s="155">
        <v>10500.77</v>
      </c>
    </row>
    <row r="578" spans="1:7" x14ac:dyDescent="0.2">
      <c r="A578" s="7" t="s">
        <v>16</v>
      </c>
      <c r="B578" s="7" t="s">
        <v>229</v>
      </c>
      <c r="C578" s="7" t="s">
        <v>24</v>
      </c>
      <c r="D578" s="154">
        <v>12420164001048</v>
      </c>
      <c r="E578" s="47" t="s">
        <v>470</v>
      </c>
      <c r="F578" s="47" t="s">
        <v>440</v>
      </c>
      <c r="G578" s="155">
        <v>85801.26</v>
      </c>
    </row>
    <row r="579" spans="1:7" x14ac:dyDescent="0.2">
      <c r="A579" s="7" t="s">
        <v>16</v>
      </c>
      <c r="B579" s="7" t="s">
        <v>229</v>
      </c>
      <c r="C579" s="7" t="s">
        <v>24</v>
      </c>
      <c r="D579" s="154">
        <v>12420164001048</v>
      </c>
      <c r="E579" s="47" t="s">
        <v>470</v>
      </c>
      <c r="F579" s="47" t="s">
        <v>418</v>
      </c>
      <c r="G579" s="155">
        <v>1025.96</v>
      </c>
    </row>
    <row r="580" spans="1:7" x14ac:dyDescent="0.2">
      <c r="A580" s="7" t="s">
        <v>16</v>
      </c>
      <c r="B580" s="7" t="s">
        <v>229</v>
      </c>
      <c r="C580" s="7" t="s">
        <v>24</v>
      </c>
      <c r="D580" s="154">
        <v>12882932000194</v>
      </c>
      <c r="E580" s="47" t="s">
        <v>552</v>
      </c>
      <c r="F580" s="47" t="s">
        <v>440</v>
      </c>
      <c r="G580" s="155">
        <v>5591.38</v>
      </c>
    </row>
    <row r="581" spans="1:7" x14ac:dyDescent="0.2">
      <c r="A581" s="7" t="s">
        <v>16</v>
      </c>
      <c r="B581" s="7" t="s">
        <v>229</v>
      </c>
      <c r="C581" s="7" t="s">
        <v>24</v>
      </c>
      <c r="D581" s="154">
        <v>14261377000109</v>
      </c>
      <c r="E581" s="47" t="s">
        <v>472</v>
      </c>
      <c r="F581" s="47" t="s">
        <v>440</v>
      </c>
      <c r="G581" s="155">
        <v>45881.59</v>
      </c>
    </row>
    <row r="582" spans="1:7" x14ac:dyDescent="0.2">
      <c r="A582" s="7" t="s">
        <v>16</v>
      </c>
      <c r="B582" s="7" t="s">
        <v>229</v>
      </c>
      <c r="C582" s="7" t="s">
        <v>24</v>
      </c>
      <c r="D582" s="154">
        <v>15126437000577</v>
      </c>
      <c r="E582" s="47" t="s">
        <v>1283</v>
      </c>
      <c r="F582" s="47" t="s">
        <v>417</v>
      </c>
      <c r="G582" s="155">
        <v>20960.84</v>
      </c>
    </row>
    <row r="583" spans="1:7" x14ac:dyDescent="0.2">
      <c r="A583" s="7" t="s">
        <v>16</v>
      </c>
      <c r="B583" s="7" t="s">
        <v>229</v>
      </c>
      <c r="C583" s="7" t="s">
        <v>24</v>
      </c>
      <c r="D583" s="154">
        <v>15126437000577</v>
      </c>
      <c r="E583" s="47" t="s">
        <v>1283</v>
      </c>
      <c r="F583" s="47" t="s">
        <v>440</v>
      </c>
      <c r="G583" s="155">
        <v>102469</v>
      </c>
    </row>
    <row r="584" spans="1:7" x14ac:dyDescent="0.2">
      <c r="A584" s="7" t="s">
        <v>16</v>
      </c>
      <c r="B584" s="7" t="s">
        <v>229</v>
      </c>
      <c r="C584" s="7" t="s">
        <v>24</v>
      </c>
      <c r="D584" s="154">
        <v>15126437000739</v>
      </c>
      <c r="E584" s="47" t="s">
        <v>473</v>
      </c>
      <c r="F584" s="47" t="s">
        <v>440</v>
      </c>
      <c r="G584" s="155">
        <v>379250</v>
      </c>
    </row>
    <row r="585" spans="1:7" x14ac:dyDescent="0.2">
      <c r="A585" s="7" t="s">
        <v>16</v>
      </c>
      <c r="B585" s="7" t="s">
        <v>229</v>
      </c>
      <c r="C585" s="7" t="s">
        <v>24</v>
      </c>
      <c r="D585" s="154">
        <v>15126437001468</v>
      </c>
      <c r="E585" s="47" t="s">
        <v>503</v>
      </c>
      <c r="F585" s="47" t="s">
        <v>440</v>
      </c>
      <c r="G585" s="155">
        <v>46430.44</v>
      </c>
    </row>
    <row r="586" spans="1:7" x14ac:dyDescent="0.2">
      <c r="A586" s="7" t="s">
        <v>16</v>
      </c>
      <c r="B586" s="7" t="s">
        <v>229</v>
      </c>
      <c r="C586" s="7" t="s">
        <v>24</v>
      </c>
      <c r="D586" s="154">
        <v>15126437002863</v>
      </c>
      <c r="E586" s="47" t="s">
        <v>1284</v>
      </c>
      <c r="F586" s="47" t="s">
        <v>440</v>
      </c>
      <c r="G586" s="155">
        <v>10824</v>
      </c>
    </row>
    <row r="587" spans="1:7" x14ac:dyDescent="0.2">
      <c r="A587" s="7" t="s">
        <v>16</v>
      </c>
      <c r="B587" s="7" t="s">
        <v>229</v>
      </c>
      <c r="C587" s="7" t="s">
        <v>24</v>
      </c>
      <c r="D587" s="154">
        <v>15126437003240</v>
      </c>
      <c r="E587" s="47" t="s">
        <v>1285</v>
      </c>
      <c r="F587" s="47" t="s">
        <v>440</v>
      </c>
      <c r="G587" s="155">
        <v>14732.1</v>
      </c>
    </row>
    <row r="588" spans="1:7" x14ac:dyDescent="0.2">
      <c r="A588" s="7" t="s">
        <v>16</v>
      </c>
      <c r="B588" s="7" t="s">
        <v>229</v>
      </c>
      <c r="C588" s="7" t="s">
        <v>24</v>
      </c>
      <c r="D588" s="154">
        <v>15126437003673</v>
      </c>
      <c r="E588" s="47" t="s">
        <v>514</v>
      </c>
      <c r="F588" s="47" t="s">
        <v>440</v>
      </c>
      <c r="G588" s="155">
        <v>24042.799999999999</v>
      </c>
    </row>
    <row r="589" spans="1:7" x14ac:dyDescent="0.2">
      <c r="A589" s="7" t="s">
        <v>16</v>
      </c>
      <c r="B589" s="7" t="s">
        <v>229</v>
      </c>
      <c r="C589" s="7" t="s">
        <v>24</v>
      </c>
      <c r="D589" s="154">
        <v>15145035000196</v>
      </c>
      <c r="E589" s="47" t="s">
        <v>475</v>
      </c>
      <c r="F589" s="47" t="s">
        <v>440</v>
      </c>
      <c r="G589" s="155">
        <v>33700.51</v>
      </c>
    </row>
    <row r="590" spans="1:7" x14ac:dyDescent="0.2">
      <c r="A590" s="7" t="s">
        <v>16</v>
      </c>
      <c r="B590" s="7" t="s">
        <v>229</v>
      </c>
      <c r="C590" s="7" t="s">
        <v>24</v>
      </c>
      <c r="D590" s="154">
        <v>15145035000196</v>
      </c>
      <c r="E590" s="47" t="s">
        <v>475</v>
      </c>
      <c r="F590" s="47" t="s">
        <v>418</v>
      </c>
      <c r="G590" s="155">
        <v>45894.26</v>
      </c>
    </row>
    <row r="591" spans="1:7" x14ac:dyDescent="0.2">
      <c r="A591" s="7" t="s">
        <v>16</v>
      </c>
      <c r="B591" s="7" t="s">
        <v>229</v>
      </c>
      <c r="C591" s="7" t="s">
        <v>24</v>
      </c>
      <c r="D591" s="154">
        <v>15180714000287</v>
      </c>
      <c r="E591" s="47" t="s">
        <v>1286</v>
      </c>
      <c r="F591" s="47" t="s">
        <v>440</v>
      </c>
      <c r="G591" s="155">
        <v>78572.800000000003</v>
      </c>
    </row>
    <row r="592" spans="1:7" x14ac:dyDescent="0.2">
      <c r="A592" s="7" t="s">
        <v>16</v>
      </c>
      <c r="B592" s="7" t="s">
        <v>229</v>
      </c>
      <c r="C592" s="7" t="s">
        <v>24</v>
      </c>
      <c r="D592" s="154">
        <v>17700763000300</v>
      </c>
      <c r="E592" s="47" t="s">
        <v>477</v>
      </c>
      <c r="F592" s="47" t="s">
        <v>417</v>
      </c>
      <c r="G592" s="155">
        <v>145127.48000000001</v>
      </c>
    </row>
    <row r="593" spans="1:7" x14ac:dyDescent="0.2">
      <c r="A593" s="7" t="s">
        <v>16</v>
      </c>
      <c r="B593" s="7" t="s">
        <v>229</v>
      </c>
      <c r="C593" s="7" t="s">
        <v>24</v>
      </c>
      <c r="D593" s="154">
        <v>17700763000300</v>
      </c>
      <c r="E593" s="47" t="s">
        <v>477</v>
      </c>
      <c r="F593" s="47" t="s">
        <v>440</v>
      </c>
      <c r="G593" s="155">
        <v>709169.28</v>
      </c>
    </row>
    <row r="594" spans="1:7" x14ac:dyDescent="0.2">
      <c r="A594" s="7" t="s">
        <v>16</v>
      </c>
      <c r="B594" s="7" t="s">
        <v>229</v>
      </c>
      <c r="C594" s="7" t="s">
        <v>24</v>
      </c>
      <c r="D594" s="154">
        <v>17700763000300</v>
      </c>
      <c r="E594" s="47" t="s">
        <v>477</v>
      </c>
      <c r="F594" s="47" t="s">
        <v>418</v>
      </c>
      <c r="G594" s="155">
        <v>36088.14</v>
      </c>
    </row>
    <row r="595" spans="1:7" x14ac:dyDescent="0.2">
      <c r="A595" s="7" t="s">
        <v>16</v>
      </c>
      <c r="B595" s="7" t="s">
        <v>229</v>
      </c>
      <c r="C595" s="7" t="s">
        <v>24</v>
      </c>
      <c r="D595" s="154">
        <v>19843929001000</v>
      </c>
      <c r="E595" s="47" t="s">
        <v>547</v>
      </c>
      <c r="F595" s="47" t="s">
        <v>417</v>
      </c>
      <c r="G595" s="155">
        <v>7084.8</v>
      </c>
    </row>
    <row r="596" spans="1:7" x14ac:dyDescent="0.2">
      <c r="A596" s="7" t="s">
        <v>16</v>
      </c>
      <c r="B596" s="7" t="s">
        <v>229</v>
      </c>
      <c r="C596" s="7" t="s">
        <v>24</v>
      </c>
      <c r="D596" s="154">
        <v>19843929001000</v>
      </c>
      <c r="E596" s="47" t="s">
        <v>547</v>
      </c>
      <c r="F596" s="47" t="s">
        <v>440</v>
      </c>
      <c r="G596" s="155">
        <v>39800</v>
      </c>
    </row>
    <row r="597" spans="1:7" x14ac:dyDescent="0.2">
      <c r="A597" s="7" t="s">
        <v>16</v>
      </c>
      <c r="B597" s="7" t="s">
        <v>229</v>
      </c>
      <c r="C597" s="7" t="s">
        <v>24</v>
      </c>
      <c r="D597" s="154">
        <v>19843929001182</v>
      </c>
      <c r="E597" s="47" t="s">
        <v>1287</v>
      </c>
      <c r="F597" s="47" t="s">
        <v>440</v>
      </c>
      <c r="G597" s="155">
        <v>80595</v>
      </c>
    </row>
    <row r="598" spans="1:7" x14ac:dyDescent="0.2">
      <c r="A598" s="7" t="s">
        <v>16</v>
      </c>
      <c r="B598" s="7" t="s">
        <v>229</v>
      </c>
      <c r="C598" s="7" t="s">
        <v>24</v>
      </c>
      <c r="D598" s="154">
        <v>19843929001344</v>
      </c>
      <c r="E598" s="47" t="s">
        <v>1304</v>
      </c>
      <c r="F598" s="47" t="s">
        <v>440</v>
      </c>
      <c r="G598" s="155">
        <v>24875</v>
      </c>
    </row>
    <row r="599" spans="1:7" x14ac:dyDescent="0.2">
      <c r="A599" s="7" t="s">
        <v>16</v>
      </c>
      <c r="B599" s="7" t="s">
        <v>229</v>
      </c>
      <c r="C599" s="7" t="s">
        <v>24</v>
      </c>
      <c r="D599" s="154">
        <v>19843929001697</v>
      </c>
      <c r="E599" s="47" t="s">
        <v>549</v>
      </c>
      <c r="F599" s="47" t="s">
        <v>417</v>
      </c>
      <c r="G599" s="155">
        <v>7084.8</v>
      </c>
    </row>
    <row r="600" spans="1:7" x14ac:dyDescent="0.2">
      <c r="A600" s="7" t="s">
        <v>16</v>
      </c>
      <c r="B600" s="7" t="s">
        <v>229</v>
      </c>
      <c r="C600" s="7" t="s">
        <v>24</v>
      </c>
      <c r="D600" s="154">
        <v>19843929001697</v>
      </c>
      <c r="E600" s="47" t="s">
        <v>549</v>
      </c>
      <c r="F600" s="47" t="s">
        <v>440</v>
      </c>
      <c r="G600" s="155">
        <v>24875</v>
      </c>
    </row>
    <row r="601" spans="1:7" x14ac:dyDescent="0.2">
      <c r="A601" s="7" t="s">
        <v>16</v>
      </c>
      <c r="B601" s="7" t="s">
        <v>229</v>
      </c>
      <c r="C601" s="7" t="s">
        <v>24</v>
      </c>
      <c r="D601" s="154">
        <v>19843929002820</v>
      </c>
      <c r="E601" s="47" t="s">
        <v>1288</v>
      </c>
      <c r="F601" s="47" t="s">
        <v>440</v>
      </c>
      <c r="G601" s="155">
        <v>232830</v>
      </c>
    </row>
    <row r="602" spans="1:7" x14ac:dyDescent="0.2">
      <c r="A602" s="7" t="s">
        <v>16</v>
      </c>
      <c r="B602" s="7" t="s">
        <v>229</v>
      </c>
      <c r="C602" s="7" t="s">
        <v>24</v>
      </c>
      <c r="D602" s="154">
        <v>20001049000176</v>
      </c>
      <c r="E602" s="47" t="s">
        <v>1305</v>
      </c>
      <c r="F602" s="47" t="s">
        <v>417</v>
      </c>
      <c r="G602" s="155">
        <v>2132.06</v>
      </c>
    </row>
    <row r="603" spans="1:7" x14ac:dyDescent="0.2">
      <c r="A603" s="7" t="s">
        <v>16</v>
      </c>
      <c r="B603" s="7" t="s">
        <v>229</v>
      </c>
      <c r="C603" s="7" t="s">
        <v>24</v>
      </c>
      <c r="D603" s="154">
        <v>20001049000176</v>
      </c>
      <c r="E603" s="47" t="s">
        <v>1305</v>
      </c>
      <c r="F603" s="47" t="s">
        <v>440</v>
      </c>
      <c r="G603" s="155">
        <v>77624.23</v>
      </c>
    </row>
    <row r="604" spans="1:7" x14ac:dyDescent="0.2">
      <c r="A604" s="7" t="s">
        <v>16</v>
      </c>
      <c r="B604" s="7" t="s">
        <v>229</v>
      </c>
      <c r="C604" s="7" t="s">
        <v>24</v>
      </c>
      <c r="D604" s="154">
        <v>20001049000176</v>
      </c>
      <c r="E604" s="47" t="s">
        <v>1305</v>
      </c>
      <c r="F604" s="47" t="s">
        <v>418</v>
      </c>
      <c r="G604" s="155">
        <v>6284.61</v>
      </c>
    </row>
    <row r="605" spans="1:7" x14ac:dyDescent="0.2">
      <c r="A605" s="7" t="s">
        <v>16</v>
      </c>
      <c r="B605" s="7" t="s">
        <v>229</v>
      </c>
      <c r="C605" s="7" t="s">
        <v>24</v>
      </c>
      <c r="D605" s="154">
        <v>21895020000148</v>
      </c>
      <c r="E605" s="47" t="s">
        <v>460</v>
      </c>
      <c r="F605" s="47" t="s">
        <v>417</v>
      </c>
      <c r="G605" s="155">
        <v>354623.1</v>
      </c>
    </row>
    <row r="606" spans="1:7" x14ac:dyDescent="0.2">
      <c r="A606" s="7" t="s">
        <v>16</v>
      </c>
      <c r="B606" s="7" t="s">
        <v>229</v>
      </c>
      <c r="C606" s="7" t="s">
        <v>24</v>
      </c>
      <c r="D606" s="154">
        <v>21895020000148</v>
      </c>
      <c r="E606" s="47" t="s">
        <v>460</v>
      </c>
      <c r="F606" s="47" t="s">
        <v>440</v>
      </c>
      <c r="G606" s="155">
        <v>53351.08</v>
      </c>
    </row>
    <row r="607" spans="1:7" x14ac:dyDescent="0.2">
      <c r="A607" s="7" t="s">
        <v>16</v>
      </c>
      <c r="B607" s="7" t="s">
        <v>229</v>
      </c>
      <c r="C607" s="7" t="s">
        <v>24</v>
      </c>
      <c r="D607" s="154">
        <v>21895020000148</v>
      </c>
      <c r="E607" s="47" t="s">
        <v>460</v>
      </c>
      <c r="F607" s="47" t="s">
        <v>418</v>
      </c>
      <c r="G607" s="155">
        <v>175071.48</v>
      </c>
    </row>
    <row r="608" spans="1:7" x14ac:dyDescent="0.2">
      <c r="A608" s="7" t="s">
        <v>16</v>
      </c>
      <c r="B608" s="7" t="s">
        <v>229</v>
      </c>
      <c r="C608" s="7" t="s">
        <v>24</v>
      </c>
      <c r="D608" s="154">
        <v>24082016000159</v>
      </c>
      <c r="E608" s="47" t="s">
        <v>1261</v>
      </c>
      <c r="F608" s="47" t="s">
        <v>440</v>
      </c>
      <c r="G608" s="155">
        <v>26612.1</v>
      </c>
    </row>
    <row r="609" spans="1:7" x14ac:dyDescent="0.2">
      <c r="A609" s="7" t="s">
        <v>16</v>
      </c>
      <c r="B609" s="7" t="s">
        <v>229</v>
      </c>
      <c r="C609" s="7" t="s">
        <v>24</v>
      </c>
      <c r="D609" s="154">
        <v>25211499000107</v>
      </c>
      <c r="E609" s="47" t="s">
        <v>468</v>
      </c>
      <c r="F609" s="47" t="s">
        <v>440</v>
      </c>
      <c r="G609" s="155">
        <v>20944.669999999998</v>
      </c>
    </row>
    <row r="610" spans="1:7" x14ac:dyDescent="0.2">
      <c r="A610" s="7" t="s">
        <v>16</v>
      </c>
      <c r="B610" s="7" t="s">
        <v>229</v>
      </c>
      <c r="C610" s="7" t="s">
        <v>24</v>
      </c>
      <c r="D610" s="154">
        <v>25211499000107</v>
      </c>
      <c r="E610" s="47" t="s">
        <v>468</v>
      </c>
      <c r="F610" s="47" t="s">
        <v>418</v>
      </c>
      <c r="G610" s="155">
        <v>25701.8</v>
      </c>
    </row>
    <row r="611" spans="1:7" x14ac:dyDescent="0.2">
      <c r="A611" s="7" t="s">
        <v>16</v>
      </c>
      <c r="B611" s="7" t="s">
        <v>229</v>
      </c>
      <c r="C611" s="7" t="s">
        <v>24</v>
      </c>
      <c r="D611" s="154">
        <v>25648387000207</v>
      </c>
      <c r="E611" s="47" t="s">
        <v>1241</v>
      </c>
      <c r="F611" s="47" t="s">
        <v>440</v>
      </c>
      <c r="G611" s="155">
        <v>118641.60000000001</v>
      </c>
    </row>
    <row r="612" spans="1:7" x14ac:dyDescent="0.2">
      <c r="A612" s="7" t="s">
        <v>16</v>
      </c>
      <c r="B612" s="7" t="s">
        <v>229</v>
      </c>
      <c r="C612" s="7" t="s">
        <v>24</v>
      </c>
      <c r="D612" s="154">
        <v>27191294000132</v>
      </c>
      <c r="E612" s="47" t="s">
        <v>481</v>
      </c>
      <c r="F612" s="47" t="s">
        <v>418</v>
      </c>
      <c r="G612" s="155">
        <v>25349.07</v>
      </c>
    </row>
    <row r="613" spans="1:7" x14ac:dyDescent="0.2">
      <c r="A613" s="7" t="s">
        <v>16</v>
      </c>
      <c r="B613" s="7" t="s">
        <v>229</v>
      </c>
      <c r="C613" s="7" t="s">
        <v>24</v>
      </c>
      <c r="D613" s="154">
        <v>28102490000156</v>
      </c>
      <c r="E613" s="47" t="s">
        <v>1289</v>
      </c>
      <c r="F613" s="47" t="s">
        <v>440</v>
      </c>
      <c r="G613" s="155">
        <v>7058.27</v>
      </c>
    </row>
    <row r="614" spans="1:7" x14ac:dyDescent="0.2">
      <c r="A614" s="7" t="s">
        <v>16</v>
      </c>
      <c r="B614" s="7" t="s">
        <v>229</v>
      </c>
      <c r="C614" s="7" t="s">
        <v>24</v>
      </c>
      <c r="D614" s="154">
        <v>31378288000166</v>
      </c>
      <c r="E614" s="47" t="s">
        <v>463</v>
      </c>
      <c r="F614" s="47" t="s">
        <v>417</v>
      </c>
      <c r="G614" s="155">
        <v>332915.33</v>
      </c>
    </row>
    <row r="615" spans="1:7" x14ac:dyDescent="0.2">
      <c r="A615" s="7" t="s">
        <v>16</v>
      </c>
      <c r="B615" s="7" t="s">
        <v>229</v>
      </c>
      <c r="C615" s="7" t="s">
        <v>24</v>
      </c>
      <c r="D615" s="154">
        <v>31378288000166</v>
      </c>
      <c r="E615" s="47" t="s">
        <v>463</v>
      </c>
      <c r="F615" s="47" t="s">
        <v>440</v>
      </c>
      <c r="G615" s="155">
        <v>1116842.8400000001</v>
      </c>
    </row>
    <row r="616" spans="1:7" x14ac:dyDescent="0.2">
      <c r="A616" s="7" t="s">
        <v>16</v>
      </c>
      <c r="B616" s="7" t="s">
        <v>229</v>
      </c>
      <c r="C616" s="7" t="s">
        <v>24</v>
      </c>
      <c r="D616" s="154">
        <v>31378288000166</v>
      </c>
      <c r="E616" s="47" t="s">
        <v>463</v>
      </c>
      <c r="F616" s="47" t="s">
        <v>418</v>
      </c>
      <c r="G616" s="155">
        <v>360877.07</v>
      </c>
    </row>
    <row r="617" spans="1:7" x14ac:dyDescent="0.2">
      <c r="A617" s="7" t="s">
        <v>16</v>
      </c>
      <c r="B617" s="7" t="s">
        <v>229</v>
      </c>
      <c r="C617" s="7" t="s">
        <v>24</v>
      </c>
      <c r="D617" s="154">
        <v>32319972000130</v>
      </c>
      <c r="E617" s="47" t="s">
        <v>520</v>
      </c>
      <c r="F617" s="47" t="s">
        <v>440</v>
      </c>
      <c r="G617" s="155">
        <v>0</v>
      </c>
    </row>
    <row r="618" spans="1:7" x14ac:dyDescent="0.2">
      <c r="A618" s="7" t="s">
        <v>16</v>
      </c>
      <c r="B618" s="7" t="s">
        <v>229</v>
      </c>
      <c r="C618" s="7" t="s">
        <v>24</v>
      </c>
      <c r="D618" s="154">
        <v>33781055000216</v>
      </c>
      <c r="E618" s="47" t="s">
        <v>484</v>
      </c>
      <c r="F618" s="47" t="s">
        <v>417</v>
      </c>
      <c r="G618" s="155">
        <v>4800</v>
      </c>
    </row>
    <row r="619" spans="1:7" x14ac:dyDescent="0.2">
      <c r="A619" s="7" t="s">
        <v>16</v>
      </c>
      <c r="B619" s="7" t="s">
        <v>229</v>
      </c>
      <c r="C619" s="7" t="s">
        <v>24</v>
      </c>
      <c r="D619" s="154">
        <v>33781055000216</v>
      </c>
      <c r="E619" s="47" t="s">
        <v>484</v>
      </c>
      <c r="F619" s="47" t="s">
        <v>440</v>
      </c>
      <c r="G619" s="155">
        <v>68751.199999999997</v>
      </c>
    </row>
    <row r="620" spans="1:7" x14ac:dyDescent="0.2">
      <c r="A620" s="7" t="s">
        <v>16</v>
      </c>
      <c r="B620" s="7" t="s">
        <v>229</v>
      </c>
      <c r="C620" s="7" t="s">
        <v>24</v>
      </c>
      <c r="D620" s="154">
        <v>33781055000216</v>
      </c>
      <c r="E620" s="47" t="s">
        <v>484</v>
      </c>
      <c r="F620" s="47" t="s">
        <v>418</v>
      </c>
      <c r="G620" s="155">
        <v>7600</v>
      </c>
    </row>
    <row r="621" spans="1:7" x14ac:dyDescent="0.2">
      <c r="A621" s="7" t="s">
        <v>16</v>
      </c>
      <c r="B621" s="7" t="s">
        <v>229</v>
      </c>
      <c r="C621" s="7" t="s">
        <v>24</v>
      </c>
      <c r="D621" s="154">
        <v>37396017000624</v>
      </c>
      <c r="E621" s="47" t="s">
        <v>468</v>
      </c>
      <c r="F621" s="47" t="s">
        <v>417</v>
      </c>
      <c r="G621" s="155">
        <v>75842.899999999994</v>
      </c>
    </row>
    <row r="622" spans="1:7" x14ac:dyDescent="0.2">
      <c r="A622" s="7" t="s">
        <v>16</v>
      </c>
      <c r="B622" s="7" t="s">
        <v>229</v>
      </c>
      <c r="C622" s="7" t="s">
        <v>24</v>
      </c>
      <c r="D622" s="154">
        <v>37396017000624</v>
      </c>
      <c r="E622" s="47" t="s">
        <v>468</v>
      </c>
      <c r="F622" s="47" t="s">
        <v>440</v>
      </c>
      <c r="G622" s="155">
        <v>592417.06999999995</v>
      </c>
    </row>
    <row r="623" spans="1:7" x14ac:dyDescent="0.2">
      <c r="A623" s="7" t="s">
        <v>16</v>
      </c>
      <c r="B623" s="7" t="s">
        <v>229</v>
      </c>
      <c r="C623" s="7" t="s">
        <v>24</v>
      </c>
      <c r="D623" s="154">
        <v>37396017000624</v>
      </c>
      <c r="E623" s="47" t="s">
        <v>468</v>
      </c>
      <c r="F623" s="47" t="s">
        <v>418</v>
      </c>
      <c r="G623" s="155">
        <v>99092.04</v>
      </c>
    </row>
    <row r="624" spans="1:7" x14ac:dyDescent="0.2">
      <c r="A624" s="7" t="s">
        <v>16</v>
      </c>
      <c r="B624" s="7" t="s">
        <v>229</v>
      </c>
      <c r="C624" s="7" t="s">
        <v>24</v>
      </c>
      <c r="D624" s="154">
        <v>42498733000148</v>
      </c>
      <c r="E624" s="47" t="s">
        <v>515</v>
      </c>
      <c r="F624" s="47" t="s">
        <v>440</v>
      </c>
      <c r="G624" s="155">
        <v>40987.199999999997</v>
      </c>
    </row>
    <row r="625" spans="1:7" x14ac:dyDescent="0.2">
      <c r="A625" s="7" t="s">
        <v>16</v>
      </c>
      <c r="B625" s="7" t="s">
        <v>229</v>
      </c>
      <c r="C625" s="7" t="s">
        <v>24</v>
      </c>
      <c r="D625" s="154">
        <v>46374500000941</v>
      </c>
      <c r="E625" s="47" t="s">
        <v>1291</v>
      </c>
      <c r="F625" s="47" t="s">
        <v>440</v>
      </c>
      <c r="G625" s="155">
        <v>21600</v>
      </c>
    </row>
    <row r="626" spans="1:7" x14ac:dyDescent="0.2">
      <c r="A626" s="7" t="s">
        <v>16</v>
      </c>
      <c r="B626" s="7" t="s">
        <v>229</v>
      </c>
      <c r="C626" s="7" t="s">
        <v>24</v>
      </c>
      <c r="D626" s="154">
        <v>46374500003533</v>
      </c>
      <c r="E626" s="47" t="s">
        <v>1243</v>
      </c>
      <c r="F626" s="47" t="s">
        <v>440</v>
      </c>
      <c r="G626" s="155">
        <v>204938</v>
      </c>
    </row>
    <row r="627" spans="1:7" x14ac:dyDescent="0.2">
      <c r="A627" s="7" t="s">
        <v>16</v>
      </c>
      <c r="B627" s="7" t="s">
        <v>229</v>
      </c>
      <c r="C627" s="7" t="s">
        <v>24</v>
      </c>
      <c r="D627" s="154">
        <v>46374500005234</v>
      </c>
      <c r="E627" s="47" t="s">
        <v>516</v>
      </c>
      <c r="F627" s="47" t="s">
        <v>418</v>
      </c>
      <c r="G627" s="155">
        <v>13498.4</v>
      </c>
    </row>
    <row r="628" spans="1:7" x14ac:dyDescent="0.2">
      <c r="A628" s="7" t="s">
        <v>16</v>
      </c>
      <c r="B628" s="7" t="s">
        <v>229</v>
      </c>
      <c r="C628" s="7" t="s">
        <v>24</v>
      </c>
      <c r="D628" s="154">
        <v>46374500010904</v>
      </c>
      <c r="E628" s="47" t="s">
        <v>1292</v>
      </c>
      <c r="F628" s="47" t="s">
        <v>418</v>
      </c>
      <c r="G628" s="155">
        <v>30371.4</v>
      </c>
    </row>
    <row r="629" spans="1:7" x14ac:dyDescent="0.2">
      <c r="A629" s="7" t="s">
        <v>16</v>
      </c>
      <c r="B629" s="7" t="s">
        <v>229</v>
      </c>
      <c r="C629" s="7" t="s">
        <v>24</v>
      </c>
      <c r="D629" s="154">
        <v>46374500011714</v>
      </c>
      <c r="E629" s="47" t="s">
        <v>1247</v>
      </c>
      <c r="F629" s="47" t="s">
        <v>418</v>
      </c>
      <c r="G629" s="155">
        <v>16198.08</v>
      </c>
    </row>
    <row r="630" spans="1:7" x14ac:dyDescent="0.2">
      <c r="A630" s="7" t="s">
        <v>16</v>
      </c>
      <c r="B630" s="7" t="s">
        <v>229</v>
      </c>
      <c r="C630" s="7" t="s">
        <v>24</v>
      </c>
      <c r="D630" s="154">
        <v>46374500013091</v>
      </c>
      <c r="E630" s="47" t="s">
        <v>1274</v>
      </c>
      <c r="F630" s="47" t="s">
        <v>418</v>
      </c>
      <c r="G630" s="155">
        <v>17716.650000000001</v>
      </c>
    </row>
    <row r="631" spans="1:7" x14ac:dyDescent="0.2">
      <c r="A631" s="7" t="s">
        <v>16</v>
      </c>
      <c r="B631" s="7" t="s">
        <v>229</v>
      </c>
      <c r="C631" s="7" t="s">
        <v>24</v>
      </c>
      <c r="D631" s="154">
        <v>49607336000106</v>
      </c>
      <c r="E631" s="47" t="s">
        <v>1293</v>
      </c>
      <c r="F631" s="47" t="s">
        <v>417</v>
      </c>
      <c r="G631" s="155">
        <v>77326</v>
      </c>
    </row>
    <row r="632" spans="1:7" x14ac:dyDescent="0.2">
      <c r="A632" s="7" t="s">
        <v>16</v>
      </c>
      <c r="B632" s="7" t="s">
        <v>229</v>
      </c>
      <c r="C632" s="7" t="s">
        <v>24</v>
      </c>
      <c r="D632" s="154">
        <v>50311620000209</v>
      </c>
      <c r="E632" s="47" t="s">
        <v>506</v>
      </c>
      <c r="F632" s="47" t="s">
        <v>417</v>
      </c>
      <c r="G632" s="155">
        <v>78722.27</v>
      </c>
    </row>
    <row r="633" spans="1:7" x14ac:dyDescent="0.2">
      <c r="A633" s="7" t="s">
        <v>16</v>
      </c>
      <c r="B633" s="7" t="s">
        <v>229</v>
      </c>
      <c r="C633" s="7" t="s">
        <v>24</v>
      </c>
      <c r="D633" s="154">
        <v>50311620000209</v>
      </c>
      <c r="E633" s="47" t="s">
        <v>506</v>
      </c>
      <c r="F633" s="47" t="s">
        <v>440</v>
      </c>
      <c r="G633" s="155">
        <v>196802.26</v>
      </c>
    </row>
    <row r="634" spans="1:7" x14ac:dyDescent="0.2">
      <c r="A634" s="7" t="s">
        <v>16</v>
      </c>
      <c r="B634" s="7" t="s">
        <v>229</v>
      </c>
      <c r="C634" s="7" t="s">
        <v>24</v>
      </c>
      <c r="D634" s="154">
        <v>50311620000209</v>
      </c>
      <c r="E634" s="47" t="s">
        <v>506</v>
      </c>
      <c r="F634" s="47" t="s">
        <v>418</v>
      </c>
      <c r="G634" s="155">
        <v>73936.67</v>
      </c>
    </row>
    <row r="635" spans="1:7" x14ac:dyDescent="0.2">
      <c r="A635" s="7" t="s">
        <v>16</v>
      </c>
      <c r="B635" s="7" t="s">
        <v>229</v>
      </c>
      <c r="C635" s="7" t="s">
        <v>24</v>
      </c>
      <c r="D635" s="154">
        <v>51885242000140</v>
      </c>
      <c r="E635" s="47" t="s">
        <v>490</v>
      </c>
      <c r="F635" s="47" t="s">
        <v>440</v>
      </c>
      <c r="G635" s="155">
        <v>37500.239999999998</v>
      </c>
    </row>
    <row r="636" spans="1:7" x14ac:dyDescent="0.2">
      <c r="A636" s="7" t="s">
        <v>16</v>
      </c>
      <c r="B636" s="7" t="s">
        <v>229</v>
      </c>
      <c r="C636" s="7" t="s">
        <v>24</v>
      </c>
      <c r="D636" s="154">
        <v>56577059000606</v>
      </c>
      <c r="E636" s="47" t="s">
        <v>1249</v>
      </c>
      <c r="F636" s="47" t="s">
        <v>417</v>
      </c>
      <c r="G636" s="155">
        <v>-87699</v>
      </c>
    </row>
    <row r="637" spans="1:7" x14ac:dyDescent="0.2">
      <c r="A637" s="7" t="s">
        <v>16</v>
      </c>
      <c r="B637" s="7" t="s">
        <v>229</v>
      </c>
      <c r="C637" s="7" t="s">
        <v>24</v>
      </c>
      <c r="D637" s="154">
        <v>57722118000302</v>
      </c>
      <c r="E637" s="47" t="s">
        <v>1250</v>
      </c>
      <c r="F637" s="47" t="s">
        <v>418</v>
      </c>
      <c r="G637" s="155">
        <v>6749.2</v>
      </c>
    </row>
    <row r="638" spans="1:7" x14ac:dyDescent="0.2">
      <c r="A638" s="7" t="s">
        <v>16</v>
      </c>
      <c r="B638" s="7" t="s">
        <v>229</v>
      </c>
      <c r="C638" s="7" t="s">
        <v>24</v>
      </c>
      <c r="D638" s="154">
        <v>60003761000129</v>
      </c>
      <c r="E638" s="47" t="s">
        <v>1251</v>
      </c>
      <c r="F638" s="47" t="s">
        <v>417</v>
      </c>
      <c r="G638" s="155">
        <v>60680</v>
      </c>
    </row>
    <row r="639" spans="1:7" x14ac:dyDescent="0.2">
      <c r="A639" s="7" t="s">
        <v>16</v>
      </c>
      <c r="B639" s="7" t="s">
        <v>229</v>
      </c>
      <c r="C639" s="7" t="s">
        <v>24</v>
      </c>
      <c r="D639" s="154">
        <v>60003761000129</v>
      </c>
      <c r="E639" s="47" t="s">
        <v>1251</v>
      </c>
      <c r="F639" s="47" t="s">
        <v>440</v>
      </c>
      <c r="G639" s="155">
        <v>42790.41</v>
      </c>
    </row>
    <row r="640" spans="1:7" x14ac:dyDescent="0.2">
      <c r="A640" s="7" t="s">
        <v>16</v>
      </c>
      <c r="B640" s="7" t="s">
        <v>229</v>
      </c>
      <c r="C640" s="7" t="s">
        <v>24</v>
      </c>
      <c r="D640" s="154">
        <v>60448040000122</v>
      </c>
      <c r="E640" s="47" t="s">
        <v>1252</v>
      </c>
      <c r="F640" s="47" t="s">
        <v>417</v>
      </c>
      <c r="G640" s="155">
        <v>409464</v>
      </c>
    </row>
    <row r="641" spans="1:7" x14ac:dyDescent="0.2">
      <c r="A641" s="7" t="s">
        <v>16</v>
      </c>
      <c r="B641" s="7" t="s">
        <v>229</v>
      </c>
      <c r="C641" s="7" t="s">
        <v>24</v>
      </c>
      <c r="D641" s="154">
        <v>60448040000122</v>
      </c>
      <c r="E641" s="47" t="s">
        <v>1252</v>
      </c>
      <c r="F641" s="47" t="s">
        <v>440</v>
      </c>
      <c r="G641" s="155">
        <v>100520.9</v>
      </c>
    </row>
    <row r="642" spans="1:7" x14ac:dyDescent="0.2">
      <c r="A642" s="7" t="s">
        <v>16</v>
      </c>
      <c r="B642" s="7" t="s">
        <v>229</v>
      </c>
      <c r="C642" s="7" t="s">
        <v>24</v>
      </c>
      <c r="D642" s="154">
        <v>60747318000162</v>
      </c>
      <c r="E642" s="47" t="s">
        <v>1253</v>
      </c>
      <c r="F642" s="47" t="s">
        <v>418</v>
      </c>
      <c r="G642" s="155">
        <v>5568.09</v>
      </c>
    </row>
    <row r="643" spans="1:7" x14ac:dyDescent="0.2">
      <c r="A643" s="7" t="s">
        <v>16</v>
      </c>
      <c r="B643" s="7" t="s">
        <v>229</v>
      </c>
      <c r="C643" s="7" t="s">
        <v>24</v>
      </c>
      <c r="D643" s="154">
        <v>60765823000130</v>
      </c>
      <c r="E643" s="47" t="s">
        <v>1266</v>
      </c>
      <c r="F643" s="47" t="s">
        <v>440</v>
      </c>
      <c r="G643" s="155">
        <v>330378</v>
      </c>
    </row>
    <row r="644" spans="1:7" x14ac:dyDescent="0.2">
      <c r="A644" s="7" t="s">
        <v>16</v>
      </c>
      <c r="B644" s="7" t="s">
        <v>229</v>
      </c>
      <c r="C644" s="7" t="s">
        <v>24</v>
      </c>
      <c r="D644" s="154">
        <v>60765823000130</v>
      </c>
      <c r="E644" s="47" t="s">
        <v>1266</v>
      </c>
      <c r="F644" s="47" t="s">
        <v>418</v>
      </c>
      <c r="G644" s="155">
        <v>16400</v>
      </c>
    </row>
    <row r="645" spans="1:7" x14ac:dyDescent="0.2">
      <c r="A645" s="7" t="s">
        <v>16</v>
      </c>
      <c r="B645" s="7" t="s">
        <v>229</v>
      </c>
      <c r="C645" s="7" t="s">
        <v>24</v>
      </c>
      <c r="D645" s="154">
        <v>61590410000124</v>
      </c>
      <c r="E645" s="47" t="s">
        <v>1254</v>
      </c>
      <c r="F645" s="47" t="s">
        <v>440</v>
      </c>
      <c r="G645" s="155">
        <v>22197.89</v>
      </c>
    </row>
    <row r="646" spans="1:7" x14ac:dyDescent="0.2">
      <c r="A646" s="7" t="s">
        <v>16</v>
      </c>
      <c r="B646" s="7" t="s">
        <v>229</v>
      </c>
      <c r="C646" s="7" t="s">
        <v>24</v>
      </c>
      <c r="D646" s="154">
        <v>61590410000124</v>
      </c>
      <c r="E646" s="47" t="s">
        <v>1254</v>
      </c>
      <c r="F646" s="47" t="s">
        <v>418</v>
      </c>
      <c r="G646" s="155">
        <v>413.3</v>
      </c>
    </row>
    <row r="647" spans="1:7" x14ac:dyDescent="0.2">
      <c r="A647" s="7" t="s">
        <v>16</v>
      </c>
      <c r="B647" s="7" t="s">
        <v>229</v>
      </c>
      <c r="C647" s="7" t="s">
        <v>24</v>
      </c>
      <c r="D647" s="154">
        <v>61599908000158</v>
      </c>
      <c r="E647" s="47" t="s">
        <v>1256</v>
      </c>
      <c r="F647" s="47" t="s">
        <v>440</v>
      </c>
      <c r="G647" s="155">
        <v>360490.35</v>
      </c>
    </row>
    <row r="648" spans="1:7" x14ac:dyDescent="0.2">
      <c r="A648" s="7" t="s">
        <v>16</v>
      </c>
      <c r="B648" s="7" t="s">
        <v>229</v>
      </c>
      <c r="C648" s="7" t="s">
        <v>24</v>
      </c>
      <c r="D648" s="154">
        <v>74031865000151</v>
      </c>
      <c r="E648" s="47" t="s">
        <v>507</v>
      </c>
      <c r="F648" s="47" t="s">
        <v>440</v>
      </c>
      <c r="G648" s="155">
        <v>554098.28</v>
      </c>
    </row>
    <row r="649" spans="1:7" x14ac:dyDescent="0.2">
      <c r="A649" s="7" t="s">
        <v>16</v>
      </c>
      <c r="B649" s="7" t="s">
        <v>229</v>
      </c>
      <c r="C649" s="7" t="s">
        <v>24</v>
      </c>
      <c r="D649" s="154">
        <v>80673411000187</v>
      </c>
      <c r="E649" s="47" t="s">
        <v>1294</v>
      </c>
      <c r="F649" s="47" t="s">
        <v>440</v>
      </c>
      <c r="G649" s="155">
        <v>13067.26</v>
      </c>
    </row>
    <row r="650" spans="1:7" x14ac:dyDescent="0.2">
      <c r="A650" s="7" t="s">
        <v>16</v>
      </c>
      <c r="B650" s="7" t="s">
        <v>229</v>
      </c>
      <c r="C650" s="7" t="s">
        <v>24</v>
      </c>
      <c r="D650" s="154">
        <v>81887838000736</v>
      </c>
      <c r="E650" s="47" t="s">
        <v>491</v>
      </c>
      <c r="F650" s="47" t="s">
        <v>417</v>
      </c>
      <c r="G650" s="155">
        <v>258321.35</v>
      </c>
    </row>
    <row r="651" spans="1:7" x14ac:dyDescent="0.2">
      <c r="A651" s="7" t="s">
        <v>16</v>
      </c>
      <c r="B651" s="7" t="s">
        <v>229</v>
      </c>
      <c r="C651" s="7" t="s">
        <v>24</v>
      </c>
      <c r="D651" s="154">
        <v>81887838000736</v>
      </c>
      <c r="E651" s="47" t="s">
        <v>491</v>
      </c>
      <c r="F651" s="47" t="s">
        <v>440</v>
      </c>
      <c r="G651" s="155">
        <v>2604238.02</v>
      </c>
    </row>
    <row r="652" spans="1:7" x14ac:dyDescent="0.2">
      <c r="A652" s="7" t="s">
        <v>16</v>
      </c>
      <c r="B652" s="7" t="s">
        <v>229</v>
      </c>
      <c r="C652" s="7" t="s">
        <v>24</v>
      </c>
      <c r="D652" s="154">
        <v>81887838000736</v>
      </c>
      <c r="E652" s="47" t="s">
        <v>491</v>
      </c>
      <c r="F652" s="47" t="s">
        <v>418</v>
      </c>
      <c r="G652" s="155">
        <v>196042.54</v>
      </c>
    </row>
    <row r="653" spans="1:7" x14ac:dyDescent="0.2">
      <c r="A653" s="7" t="s">
        <v>16</v>
      </c>
      <c r="B653" s="7" t="s">
        <v>229</v>
      </c>
      <c r="C653" s="7" t="s">
        <v>24</v>
      </c>
      <c r="D653" s="154">
        <v>82873068000140</v>
      </c>
      <c r="E653" s="47" t="s">
        <v>492</v>
      </c>
      <c r="F653" s="47" t="s">
        <v>418</v>
      </c>
      <c r="G653" s="155">
        <v>43304.66</v>
      </c>
    </row>
    <row r="654" spans="1:7" x14ac:dyDescent="0.2">
      <c r="A654" s="7" t="s">
        <v>16</v>
      </c>
      <c r="B654" s="7" t="s">
        <v>229</v>
      </c>
      <c r="C654" s="7" t="s">
        <v>24</v>
      </c>
      <c r="D654" s="154">
        <v>82873068000573</v>
      </c>
      <c r="E654" s="47" t="s">
        <v>492</v>
      </c>
      <c r="F654" s="47" t="s">
        <v>440</v>
      </c>
      <c r="G654" s="155">
        <v>2918.45</v>
      </c>
    </row>
    <row r="655" spans="1:7" x14ac:dyDescent="0.2">
      <c r="A655" s="7" t="s">
        <v>16</v>
      </c>
      <c r="B655" s="7" t="s">
        <v>229</v>
      </c>
      <c r="C655" s="7" t="s">
        <v>24</v>
      </c>
      <c r="D655" s="154">
        <v>87020517000120</v>
      </c>
      <c r="E655" s="47" t="s">
        <v>493</v>
      </c>
      <c r="F655" s="47" t="s">
        <v>417</v>
      </c>
      <c r="G655" s="155">
        <v>64042</v>
      </c>
    </row>
    <row r="656" spans="1:7" hidden="1" x14ac:dyDescent="0.2">
      <c r="A656" s="7" t="s">
        <v>16</v>
      </c>
      <c r="B656" s="7" t="s">
        <v>230</v>
      </c>
      <c r="C656" s="7" t="s">
        <v>24</v>
      </c>
      <c r="D656" s="154">
        <v>88317000121</v>
      </c>
      <c r="E656" s="47" t="s">
        <v>439</v>
      </c>
      <c r="F656" s="47" t="s">
        <v>418</v>
      </c>
      <c r="G656" s="155">
        <v>14962.99</v>
      </c>
    </row>
    <row r="657" spans="1:7" hidden="1" x14ac:dyDescent="0.2">
      <c r="A657" s="7" t="s">
        <v>16</v>
      </c>
      <c r="B657" s="7" t="s">
        <v>230</v>
      </c>
      <c r="C657" s="7" t="s">
        <v>24</v>
      </c>
      <c r="D657" s="154">
        <v>394502006770</v>
      </c>
      <c r="E657" s="47" t="s">
        <v>1513</v>
      </c>
      <c r="F657" s="47" t="s">
        <v>440</v>
      </c>
      <c r="G657" s="155">
        <v>40987.599999999999</v>
      </c>
    </row>
    <row r="658" spans="1:7" hidden="1" x14ac:dyDescent="0.2">
      <c r="A658" s="7" t="s">
        <v>16</v>
      </c>
      <c r="B658" s="7" t="s">
        <v>230</v>
      </c>
      <c r="C658" s="7" t="s">
        <v>24</v>
      </c>
      <c r="D658" s="154">
        <v>394544000851</v>
      </c>
      <c r="E658" s="47" t="s">
        <v>1257</v>
      </c>
      <c r="F658" s="47" t="s">
        <v>440</v>
      </c>
      <c r="G658" s="155">
        <v>5800</v>
      </c>
    </row>
    <row r="659" spans="1:7" hidden="1" x14ac:dyDescent="0.2">
      <c r="A659" s="7" t="s">
        <v>16</v>
      </c>
      <c r="B659" s="7" t="s">
        <v>230</v>
      </c>
      <c r="C659" s="7" t="s">
        <v>24</v>
      </c>
      <c r="D659" s="154">
        <v>394544020291</v>
      </c>
      <c r="E659" s="47" t="s">
        <v>442</v>
      </c>
      <c r="F659" s="47" t="s">
        <v>440</v>
      </c>
      <c r="G659" s="155">
        <v>114910.38</v>
      </c>
    </row>
    <row r="660" spans="1:7" hidden="1" x14ac:dyDescent="0.2">
      <c r="A660" s="7" t="s">
        <v>16</v>
      </c>
      <c r="B660" s="7" t="s">
        <v>230</v>
      </c>
      <c r="C660" s="7" t="s">
        <v>24</v>
      </c>
      <c r="D660" s="154">
        <v>394544020453</v>
      </c>
      <c r="E660" s="47" t="s">
        <v>444</v>
      </c>
      <c r="F660" s="47" t="s">
        <v>417</v>
      </c>
      <c r="G660" s="155">
        <v>29680</v>
      </c>
    </row>
    <row r="661" spans="1:7" hidden="1" x14ac:dyDescent="0.2">
      <c r="A661" s="7" t="s">
        <v>16</v>
      </c>
      <c r="B661" s="7" t="s">
        <v>230</v>
      </c>
      <c r="C661" s="7" t="s">
        <v>24</v>
      </c>
      <c r="D661" s="154">
        <v>394544020453</v>
      </c>
      <c r="E661" s="47" t="s">
        <v>444</v>
      </c>
      <c r="F661" s="47" t="s">
        <v>440</v>
      </c>
      <c r="G661" s="155">
        <v>176788.8</v>
      </c>
    </row>
    <row r="662" spans="1:7" hidden="1" x14ac:dyDescent="0.2">
      <c r="A662" s="7" t="s">
        <v>16</v>
      </c>
      <c r="B662" s="7" t="s">
        <v>230</v>
      </c>
      <c r="C662" s="7" t="s">
        <v>24</v>
      </c>
      <c r="D662" s="154">
        <v>394544021344</v>
      </c>
      <c r="E662" s="47" t="s">
        <v>447</v>
      </c>
      <c r="F662" s="47" t="s">
        <v>417</v>
      </c>
      <c r="G662" s="155">
        <v>44886.400000000001</v>
      </c>
    </row>
    <row r="663" spans="1:7" hidden="1" x14ac:dyDescent="0.2">
      <c r="A663" s="7" t="s">
        <v>16</v>
      </c>
      <c r="B663" s="7" t="s">
        <v>230</v>
      </c>
      <c r="C663" s="7" t="s">
        <v>24</v>
      </c>
      <c r="D663" s="154">
        <v>394544021344</v>
      </c>
      <c r="E663" s="47" t="s">
        <v>447</v>
      </c>
      <c r="F663" s="47" t="s">
        <v>440</v>
      </c>
      <c r="G663" s="155">
        <v>144953.60000000001</v>
      </c>
    </row>
    <row r="664" spans="1:7" hidden="1" x14ac:dyDescent="0.2">
      <c r="A664" s="7" t="s">
        <v>16</v>
      </c>
      <c r="B664" s="7" t="s">
        <v>230</v>
      </c>
      <c r="C664" s="7" t="s">
        <v>24</v>
      </c>
      <c r="D664" s="154">
        <v>1479465000130</v>
      </c>
      <c r="E664" s="47" t="s">
        <v>448</v>
      </c>
      <c r="F664" s="47" t="s">
        <v>440</v>
      </c>
      <c r="G664" s="155">
        <v>408323.73</v>
      </c>
    </row>
    <row r="665" spans="1:7" hidden="1" x14ac:dyDescent="0.2">
      <c r="A665" s="7" t="s">
        <v>16</v>
      </c>
      <c r="B665" s="7" t="s">
        <v>230</v>
      </c>
      <c r="C665" s="7" t="s">
        <v>24</v>
      </c>
      <c r="D665" s="154">
        <v>2873606000167</v>
      </c>
      <c r="E665" s="47" t="s">
        <v>449</v>
      </c>
      <c r="F665" s="47" t="s">
        <v>440</v>
      </c>
      <c r="G665" s="155">
        <v>2292436.2000000002</v>
      </c>
    </row>
    <row r="666" spans="1:7" hidden="1" x14ac:dyDescent="0.2">
      <c r="A666" s="7" t="s">
        <v>16</v>
      </c>
      <c r="B666" s="7" t="s">
        <v>230</v>
      </c>
      <c r="C666" s="7" t="s">
        <v>24</v>
      </c>
      <c r="D666" s="154">
        <v>3866223000124</v>
      </c>
      <c r="E666" s="47" t="s">
        <v>1258</v>
      </c>
      <c r="F666" s="47" t="s">
        <v>440</v>
      </c>
      <c r="G666" s="155">
        <v>16900.29</v>
      </c>
    </row>
    <row r="667" spans="1:7" hidden="1" x14ac:dyDescent="0.2">
      <c r="A667" s="7" t="s">
        <v>16</v>
      </c>
      <c r="B667" s="7" t="s">
        <v>230</v>
      </c>
      <c r="C667" s="7" t="s">
        <v>24</v>
      </c>
      <c r="D667" s="154">
        <v>4027894000164</v>
      </c>
      <c r="E667" s="47" t="s">
        <v>450</v>
      </c>
      <c r="F667" s="47" t="s">
        <v>440</v>
      </c>
      <c r="G667" s="155">
        <v>23872.43</v>
      </c>
    </row>
    <row r="668" spans="1:7" hidden="1" x14ac:dyDescent="0.2">
      <c r="A668" s="7" t="s">
        <v>16</v>
      </c>
      <c r="B668" s="7" t="s">
        <v>230</v>
      </c>
      <c r="C668" s="7" t="s">
        <v>24</v>
      </c>
      <c r="D668" s="154">
        <v>4027894000326</v>
      </c>
      <c r="E668" s="47" t="s">
        <v>450</v>
      </c>
      <c r="F668" s="47" t="s">
        <v>417</v>
      </c>
      <c r="G668" s="155">
        <v>48978.78</v>
      </c>
    </row>
    <row r="669" spans="1:7" hidden="1" x14ac:dyDescent="0.2">
      <c r="A669" s="7" t="s">
        <v>16</v>
      </c>
      <c r="B669" s="7" t="s">
        <v>230</v>
      </c>
      <c r="C669" s="7" t="s">
        <v>24</v>
      </c>
      <c r="D669" s="154">
        <v>4027894000326</v>
      </c>
      <c r="E669" s="47" t="s">
        <v>450</v>
      </c>
      <c r="F669" s="47" t="s">
        <v>440</v>
      </c>
      <c r="G669" s="155">
        <v>1180813.56</v>
      </c>
    </row>
    <row r="670" spans="1:7" hidden="1" x14ac:dyDescent="0.2">
      <c r="A670" s="7" t="s">
        <v>16</v>
      </c>
      <c r="B670" s="7" t="s">
        <v>230</v>
      </c>
      <c r="C670" s="7" t="s">
        <v>24</v>
      </c>
      <c r="D670" s="154">
        <v>4027894000326</v>
      </c>
      <c r="E670" s="47" t="s">
        <v>450</v>
      </c>
      <c r="F670" s="47" t="s">
        <v>418</v>
      </c>
      <c r="G670" s="155">
        <v>144352.54999999999</v>
      </c>
    </row>
    <row r="671" spans="1:7" hidden="1" x14ac:dyDescent="0.2">
      <c r="A671" s="7" t="s">
        <v>16</v>
      </c>
      <c r="B671" s="7" t="s">
        <v>230</v>
      </c>
      <c r="C671" s="7" t="s">
        <v>24</v>
      </c>
      <c r="D671" s="154">
        <v>4307650001298</v>
      </c>
      <c r="E671" s="47" t="s">
        <v>451</v>
      </c>
      <c r="F671" s="47" t="s">
        <v>440</v>
      </c>
      <c r="G671" s="155">
        <v>422928.73</v>
      </c>
    </row>
    <row r="672" spans="1:7" hidden="1" x14ac:dyDescent="0.2">
      <c r="A672" s="7" t="s">
        <v>16</v>
      </c>
      <c r="B672" s="7" t="s">
        <v>230</v>
      </c>
      <c r="C672" s="7" t="s">
        <v>24</v>
      </c>
      <c r="D672" s="154">
        <v>4307650001298</v>
      </c>
      <c r="E672" s="47" t="s">
        <v>451</v>
      </c>
      <c r="F672" s="47" t="s">
        <v>418</v>
      </c>
      <c r="G672" s="155">
        <v>73936.67</v>
      </c>
    </row>
    <row r="673" spans="1:7" hidden="1" x14ac:dyDescent="0.2">
      <c r="A673" s="7" t="s">
        <v>16</v>
      </c>
      <c r="B673" s="7" t="s">
        <v>230</v>
      </c>
      <c r="C673" s="7" t="s">
        <v>24</v>
      </c>
      <c r="D673" s="154">
        <v>4355394000151</v>
      </c>
      <c r="E673" s="47" t="s">
        <v>452</v>
      </c>
      <c r="F673" s="47" t="s">
        <v>417</v>
      </c>
      <c r="G673" s="155">
        <v>145131.16</v>
      </c>
    </row>
    <row r="674" spans="1:7" hidden="1" x14ac:dyDescent="0.2">
      <c r="A674" s="7" t="s">
        <v>16</v>
      </c>
      <c r="B674" s="7" t="s">
        <v>230</v>
      </c>
      <c r="C674" s="7" t="s">
        <v>24</v>
      </c>
      <c r="D674" s="154">
        <v>4355394000151</v>
      </c>
      <c r="E674" s="47" t="s">
        <v>452</v>
      </c>
      <c r="F674" s="47" t="s">
        <v>440</v>
      </c>
      <c r="G674" s="155">
        <v>702039.11</v>
      </c>
    </row>
    <row r="675" spans="1:7" hidden="1" x14ac:dyDescent="0.2">
      <c r="A675" s="7" t="s">
        <v>16</v>
      </c>
      <c r="B675" s="7" t="s">
        <v>230</v>
      </c>
      <c r="C675" s="7" t="s">
        <v>24</v>
      </c>
      <c r="D675" s="154">
        <v>4355394000151</v>
      </c>
      <c r="E675" s="47" t="s">
        <v>452</v>
      </c>
      <c r="F675" s="47" t="s">
        <v>418</v>
      </c>
      <c r="G675" s="155">
        <v>502422.06</v>
      </c>
    </row>
    <row r="676" spans="1:7" hidden="1" x14ac:dyDescent="0.2">
      <c r="A676" s="7" t="s">
        <v>16</v>
      </c>
      <c r="B676" s="7" t="s">
        <v>230</v>
      </c>
      <c r="C676" s="7" t="s">
        <v>24</v>
      </c>
      <c r="D676" s="154">
        <v>4995603000121</v>
      </c>
      <c r="E676" s="47" t="s">
        <v>1282</v>
      </c>
      <c r="F676" s="47" t="s">
        <v>418</v>
      </c>
      <c r="G676" s="155">
        <v>51578</v>
      </c>
    </row>
    <row r="677" spans="1:7" hidden="1" x14ac:dyDescent="0.2">
      <c r="A677" s="7" t="s">
        <v>16</v>
      </c>
      <c r="B677" s="7" t="s">
        <v>230</v>
      </c>
      <c r="C677" s="7" t="s">
        <v>24</v>
      </c>
      <c r="D677" s="154">
        <v>5268490000125</v>
      </c>
      <c r="E677" s="47" t="s">
        <v>453</v>
      </c>
      <c r="F677" s="47" t="s">
        <v>417</v>
      </c>
      <c r="G677" s="155">
        <v>229606.61</v>
      </c>
    </row>
    <row r="678" spans="1:7" hidden="1" x14ac:dyDescent="0.2">
      <c r="A678" s="7" t="s">
        <v>16</v>
      </c>
      <c r="B678" s="7" t="s">
        <v>230</v>
      </c>
      <c r="C678" s="7" t="s">
        <v>24</v>
      </c>
      <c r="D678" s="154">
        <v>5268490000125</v>
      </c>
      <c r="E678" s="47" t="s">
        <v>453</v>
      </c>
      <c r="F678" s="47" t="s">
        <v>440</v>
      </c>
      <c r="G678" s="155">
        <v>22378.68</v>
      </c>
    </row>
    <row r="679" spans="1:7" hidden="1" x14ac:dyDescent="0.2">
      <c r="A679" s="7" t="s">
        <v>16</v>
      </c>
      <c r="B679" s="7" t="s">
        <v>230</v>
      </c>
      <c r="C679" s="7" t="s">
        <v>24</v>
      </c>
      <c r="D679" s="154">
        <v>5816630000152</v>
      </c>
      <c r="E679" s="47" t="s">
        <v>454</v>
      </c>
      <c r="F679" s="47" t="s">
        <v>440</v>
      </c>
      <c r="G679" s="155">
        <v>160995.68</v>
      </c>
    </row>
    <row r="680" spans="1:7" hidden="1" x14ac:dyDescent="0.2">
      <c r="A680" s="7" t="s">
        <v>16</v>
      </c>
      <c r="B680" s="7" t="s">
        <v>230</v>
      </c>
      <c r="C680" s="7" t="s">
        <v>24</v>
      </c>
      <c r="D680" s="154">
        <v>6081203000136</v>
      </c>
      <c r="E680" s="47" t="s">
        <v>451</v>
      </c>
      <c r="F680" s="47" t="s">
        <v>440</v>
      </c>
      <c r="G680" s="155">
        <v>511272.37</v>
      </c>
    </row>
    <row r="681" spans="1:7" hidden="1" x14ac:dyDescent="0.2">
      <c r="A681" s="7" t="s">
        <v>16</v>
      </c>
      <c r="B681" s="7" t="s">
        <v>230</v>
      </c>
      <c r="C681" s="7" t="s">
        <v>24</v>
      </c>
      <c r="D681" s="154">
        <v>6081203000136</v>
      </c>
      <c r="E681" s="47" t="s">
        <v>451</v>
      </c>
      <c r="F681" s="47" t="s">
        <v>418</v>
      </c>
      <c r="G681" s="155">
        <v>66543.009999999995</v>
      </c>
    </row>
    <row r="682" spans="1:7" hidden="1" x14ac:dyDescent="0.2">
      <c r="A682" s="7" t="s">
        <v>16</v>
      </c>
      <c r="B682" s="7" t="s">
        <v>230</v>
      </c>
      <c r="C682" s="7" t="s">
        <v>24</v>
      </c>
      <c r="D682" s="154">
        <v>6234797000178</v>
      </c>
      <c r="E682" s="47" t="s">
        <v>455</v>
      </c>
      <c r="F682" s="47" t="s">
        <v>417</v>
      </c>
      <c r="G682" s="155">
        <v>48375.83</v>
      </c>
    </row>
    <row r="683" spans="1:7" hidden="1" x14ac:dyDescent="0.2">
      <c r="A683" s="7" t="s">
        <v>16</v>
      </c>
      <c r="B683" s="7" t="s">
        <v>230</v>
      </c>
      <c r="C683" s="7" t="s">
        <v>24</v>
      </c>
      <c r="D683" s="154">
        <v>6234797000178</v>
      </c>
      <c r="E683" s="47" t="s">
        <v>455</v>
      </c>
      <c r="F683" s="47" t="s">
        <v>440</v>
      </c>
      <c r="G683" s="155">
        <v>297663.98</v>
      </c>
    </row>
    <row r="684" spans="1:7" hidden="1" x14ac:dyDescent="0.2">
      <c r="A684" s="7" t="s">
        <v>16</v>
      </c>
      <c r="B684" s="7" t="s">
        <v>230</v>
      </c>
      <c r="C684" s="7" t="s">
        <v>24</v>
      </c>
      <c r="D684" s="154">
        <v>6234797000178</v>
      </c>
      <c r="E684" s="47" t="s">
        <v>455</v>
      </c>
      <c r="F684" s="47" t="s">
        <v>418</v>
      </c>
      <c r="G684" s="155">
        <v>45638.29</v>
      </c>
    </row>
    <row r="685" spans="1:7" hidden="1" x14ac:dyDescent="0.2">
      <c r="A685" s="7" t="s">
        <v>16</v>
      </c>
      <c r="B685" s="7" t="s">
        <v>230</v>
      </c>
      <c r="C685" s="7" t="s">
        <v>24</v>
      </c>
      <c r="D685" s="154">
        <v>7224991001530</v>
      </c>
      <c r="E685" s="47" t="s">
        <v>456</v>
      </c>
      <c r="F685" s="47" t="s">
        <v>418</v>
      </c>
      <c r="G685" s="155">
        <v>29926.75</v>
      </c>
    </row>
    <row r="686" spans="1:7" hidden="1" x14ac:dyDescent="0.2">
      <c r="A686" s="7" t="s">
        <v>16</v>
      </c>
      <c r="B686" s="7" t="s">
        <v>230</v>
      </c>
      <c r="C686" s="7" t="s">
        <v>24</v>
      </c>
      <c r="D686" s="154">
        <v>7734165000136</v>
      </c>
      <c r="E686" s="47" t="s">
        <v>459</v>
      </c>
      <c r="F686" s="47" t="s">
        <v>440</v>
      </c>
      <c r="G686" s="155">
        <v>307485.44</v>
      </c>
    </row>
    <row r="687" spans="1:7" hidden="1" x14ac:dyDescent="0.2">
      <c r="A687" s="7" t="s">
        <v>16</v>
      </c>
      <c r="B687" s="7" t="s">
        <v>230</v>
      </c>
      <c r="C687" s="7" t="s">
        <v>24</v>
      </c>
      <c r="D687" s="154">
        <v>7812105000194</v>
      </c>
      <c r="E687" s="47" t="s">
        <v>460</v>
      </c>
      <c r="F687" s="47" t="s">
        <v>417</v>
      </c>
      <c r="G687" s="155">
        <v>618264.39</v>
      </c>
    </row>
    <row r="688" spans="1:7" hidden="1" x14ac:dyDescent="0.2">
      <c r="A688" s="7" t="s">
        <v>16</v>
      </c>
      <c r="B688" s="7" t="s">
        <v>230</v>
      </c>
      <c r="C688" s="7" t="s">
        <v>24</v>
      </c>
      <c r="D688" s="154">
        <v>7812105000194</v>
      </c>
      <c r="E688" s="47" t="s">
        <v>460</v>
      </c>
      <c r="F688" s="47" t="s">
        <v>440</v>
      </c>
      <c r="G688" s="155">
        <v>850127.43</v>
      </c>
    </row>
    <row r="689" spans="1:7" hidden="1" x14ac:dyDescent="0.2">
      <c r="A689" s="7" t="s">
        <v>16</v>
      </c>
      <c r="B689" s="7" t="s">
        <v>230</v>
      </c>
      <c r="C689" s="7" t="s">
        <v>24</v>
      </c>
      <c r="D689" s="154">
        <v>7812105000194</v>
      </c>
      <c r="E689" s="47" t="s">
        <v>460</v>
      </c>
      <c r="F689" s="47" t="s">
        <v>418</v>
      </c>
      <c r="G689" s="155">
        <v>241765.88</v>
      </c>
    </row>
    <row r="690" spans="1:7" hidden="1" x14ac:dyDescent="0.2">
      <c r="A690" s="7" t="s">
        <v>16</v>
      </c>
      <c r="B690" s="7" t="s">
        <v>230</v>
      </c>
      <c r="C690" s="7" t="s">
        <v>24</v>
      </c>
      <c r="D690" s="154">
        <v>8719794000150</v>
      </c>
      <c r="E690" s="47" t="s">
        <v>460</v>
      </c>
      <c r="F690" s="47" t="s">
        <v>417</v>
      </c>
      <c r="G690" s="155">
        <v>357508.03</v>
      </c>
    </row>
    <row r="691" spans="1:7" hidden="1" x14ac:dyDescent="0.2">
      <c r="A691" s="7" t="s">
        <v>16</v>
      </c>
      <c r="B691" s="7" t="s">
        <v>230</v>
      </c>
      <c r="C691" s="7" t="s">
        <v>24</v>
      </c>
      <c r="D691" s="154">
        <v>8719794000150</v>
      </c>
      <c r="E691" s="47" t="s">
        <v>460</v>
      </c>
      <c r="F691" s="47" t="s">
        <v>440</v>
      </c>
      <c r="G691" s="155">
        <v>62354.44</v>
      </c>
    </row>
    <row r="692" spans="1:7" hidden="1" x14ac:dyDescent="0.2">
      <c r="A692" s="7" t="s">
        <v>16</v>
      </c>
      <c r="B692" s="7" t="s">
        <v>230</v>
      </c>
      <c r="C692" s="7" t="s">
        <v>24</v>
      </c>
      <c r="D692" s="154">
        <v>8719794000150</v>
      </c>
      <c r="E692" s="47" t="s">
        <v>460</v>
      </c>
      <c r="F692" s="47" t="s">
        <v>418</v>
      </c>
      <c r="G692" s="155">
        <v>74816.87</v>
      </c>
    </row>
    <row r="693" spans="1:7" hidden="1" x14ac:dyDescent="0.2">
      <c r="A693" s="7" t="s">
        <v>16</v>
      </c>
      <c r="B693" s="7" t="s">
        <v>230</v>
      </c>
      <c r="C693" s="7" t="s">
        <v>24</v>
      </c>
      <c r="D693" s="154">
        <v>9053134000226</v>
      </c>
      <c r="E693" s="47" t="s">
        <v>464</v>
      </c>
      <c r="F693" s="47" t="s">
        <v>418</v>
      </c>
      <c r="G693" s="155">
        <v>57367.82</v>
      </c>
    </row>
    <row r="694" spans="1:7" hidden="1" x14ac:dyDescent="0.2">
      <c r="A694" s="7" t="s">
        <v>16</v>
      </c>
      <c r="B694" s="7" t="s">
        <v>230</v>
      </c>
      <c r="C694" s="7" t="s">
        <v>24</v>
      </c>
      <c r="D694" s="154">
        <v>9577422000280</v>
      </c>
      <c r="E694" s="47" t="s">
        <v>1514</v>
      </c>
      <c r="F694" s="47" t="s">
        <v>440</v>
      </c>
      <c r="G694" s="155">
        <v>27405</v>
      </c>
    </row>
    <row r="695" spans="1:7" hidden="1" x14ac:dyDescent="0.2">
      <c r="A695" s="7" t="s">
        <v>16</v>
      </c>
      <c r="B695" s="7" t="s">
        <v>230</v>
      </c>
      <c r="C695" s="7" t="s">
        <v>24</v>
      </c>
      <c r="D695" s="154">
        <v>9579964000291</v>
      </c>
      <c r="E695" s="47" t="s">
        <v>498</v>
      </c>
      <c r="F695" s="47" t="s">
        <v>440</v>
      </c>
      <c r="G695" s="155">
        <v>58407.33</v>
      </c>
    </row>
    <row r="696" spans="1:7" hidden="1" x14ac:dyDescent="0.2">
      <c r="A696" s="7" t="s">
        <v>16</v>
      </c>
      <c r="B696" s="7" t="s">
        <v>230</v>
      </c>
      <c r="C696" s="7" t="s">
        <v>24</v>
      </c>
      <c r="D696" s="154">
        <v>9609235000230</v>
      </c>
      <c r="E696" s="47" t="s">
        <v>1515</v>
      </c>
      <c r="F696" s="47" t="s">
        <v>440</v>
      </c>
      <c r="G696" s="155">
        <v>153703.5</v>
      </c>
    </row>
    <row r="697" spans="1:7" hidden="1" x14ac:dyDescent="0.2">
      <c r="A697" s="7" t="s">
        <v>16</v>
      </c>
      <c r="B697" s="7" t="s">
        <v>230</v>
      </c>
      <c r="C697" s="7" t="s">
        <v>24</v>
      </c>
      <c r="D697" s="154">
        <v>9660958000345</v>
      </c>
      <c r="E697" s="47" t="s">
        <v>1512</v>
      </c>
      <c r="F697" s="47" t="s">
        <v>440</v>
      </c>
      <c r="G697" s="155">
        <v>233797.48</v>
      </c>
    </row>
    <row r="698" spans="1:7" hidden="1" x14ac:dyDescent="0.2">
      <c r="A698" s="7" t="s">
        <v>16</v>
      </c>
      <c r="B698" s="7" t="s">
        <v>230</v>
      </c>
      <c r="C698" s="7" t="s">
        <v>24</v>
      </c>
      <c r="D698" s="154">
        <v>9660958000345</v>
      </c>
      <c r="E698" s="47" t="s">
        <v>1512</v>
      </c>
      <c r="F698" s="47" t="s">
        <v>418</v>
      </c>
      <c r="G698" s="155">
        <v>57741.02</v>
      </c>
    </row>
    <row r="699" spans="1:7" hidden="1" x14ac:dyDescent="0.2">
      <c r="A699" s="7" t="s">
        <v>16</v>
      </c>
      <c r="B699" s="7" t="s">
        <v>230</v>
      </c>
      <c r="C699" s="7" t="s">
        <v>24</v>
      </c>
      <c r="D699" s="154">
        <v>10572048000209</v>
      </c>
      <c r="E699" s="47" t="s">
        <v>467</v>
      </c>
      <c r="F699" s="47" t="s">
        <v>440</v>
      </c>
      <c r="G699" s="155">
        <v>322800</v>
      </c>
    </row>
    <row r="700" spans="1:7" hidden="1" x14ac:dyDescent="0.2">
      <c r="A700" s="7" t="s">
        <v>16</v>
      </c>
      <c r="B700" s="7" t="s">
        <v>230</v>
      </c>
      <c r="C700" s="7" t="s">
        <v>24</v>
      </c>
      <c r="D700" s="154">
        <v>10586940000168</v>
      </c>
      <c r="E700" s="47" t="s">
        <v>1269</v>
      </c>
      <c r="F700" s="47" t="s">
        <v>440</v>
      </c>
      <c r="G700" s="155">
        <v>11462.16</v>
      </c>
    </row>
    <row r="701" spans="1:7" hidden="1" x14ac:dyDescent="0.2">
      <c r="A701" s="7" t="s">
        <v>16</v>
      </c>
      <c r="B701" s="7" t="s">
        <v>230</v>
      </c>
      <c r="C701" s="7" t="s">
        <v>24</v>
      </c>
      <c r="D701" s="154">
        <v>10586940000168</v>
      </c>
      <c r="E701" s="47" t="s">
        <v>1269</v>
      </c>
      <c r="F701" s="47" t="s">
        <v>418</v>
      </c>
      <c r="G701" s="155">
        <v>14435.26</v>
      </c>
    </row>
    <row r="702" spans="1:7" hidden="1" x14ac:dyDescent="0.2">
      <c r="A702" s="7" t="s">
        <v>16</v>
      </c>
      <c r="B702" s="7" t="s">
        <v>230</v>
      </c>
      <c r="C702" s="7" t="s">
        <v>24</v>
      </c>
      <c r="D702" s="154">
        <v>10942995000163</v>
      </c>
      <c r="E702" s="47" t="s">
        <v>1259</v>
      </c>
      <c r="F702" s="47" t="s">
        <v>440</v>
      </c>
      <c r="G702" s="155">
        <v>14766.56</v>
      </c>
    </row>
    <row r="703" spans="1:7" hidden="1" x14ac:dyDescent="0.2">
      <c r="A703" s="7" t="s">
        <v>16</v>
      </c>
      <c r="B703" s="7" t="s">
        <v>230</v>
      </c>
      <c r="C703" s="7" t="s">
        <v>24</v>
      </c>
      <c r="D703" s="154">
        <v>11022597001325</v>
      </c>
      <c r="E703" s="47" t="s">
        <v>545</v>
      </c>
      <c r="F703" s="47" t="s">
        <v>440</v>
      </c>
      <c r="G703" s="155">
        <v>209872.27</v>
      </c>
    </row>
    <row r="704" spans="1:7" hidden="1" x14ac:dyDescent="0.2">
      <c r="A704" s="7" t="s">
        <v>16</v>
      </c>
      <c r="B704" s="7" t="s">
        <v>230</v>
      </c>
      <c r="C704" s="7" t="s">
        <v>24</v>
      </c>
      <c r="D704" s="154">
        <v>11022597001597</v>
      </c>
      <c r="E704" s="47" t="s">
        <v>499</v>
      </c>
      <c r="F704" s="47" t="s">
        <v>440</v>
      </c>
      <c r="G704" s="155">
        <v>59983</v>
      </c>
    </row>
    <row r="705" spans="1:7" hidden="1" x14ac:dyDescent="0.2">
      <c r="A705" s="7" t="s">
        <v>16</v>
      </c>
      <c r="B705" s="7" t="s">
        <v>230</v>
      </c>
      <c r="C705" s="7" t="s">
        <v>24</v>
      </c>
      <c r="D705" s="154">
        <v>11051186000124</v>
      </c>
      <c r="E705" s="47" t="s">
        <v>460</v>
      </c>
      <c r="F705" s="47" t="s">
        <v>417</v>
      </c>
      <c r="G705" s="155">
        <v>134065.5</v>
      </c>
    </row>
    <row r="706" spans="1:7" hidden="1" x14ac:dyDescent="0.2">
      <c r="A706" s="7" t="s">
        <v>16</v>
      </c>
      <c r="B706" s="7" t="s">
        <v>230</v>
      </c>
      <c r="C706" s="7" t="s">
        <v>24</v>
      </c>
      <c r="D706" s="154">
        <v>11051186000124</v>
      </c>
      <c r="E706" s="47" t="s">
        <v>460</v>
      </c>
      <c r="F706" s="47" t="s">
        <v>440</v>
      </c>
      <c r="G706" s="155">
        <v>101275.31</v>
      </c>
    </row>
    <row r="707" spans="1:7" hidden="1" x14ac:dyDescent="0.2">
      <c r="A707" s="7" t="s">
        <v>16</v>
      </c>
      <c r="B707" s="7" t="s">
        <v>230</v>
      </c>
      <c r="C707" s="7" t="s">
        <v>24</v>
      </c>
      <c r="D707" s="154">
        <v>11051186000124</v>
      </c>
      <c r="E707" s="47" t="s">
        <v>460</v>
      </c>
      <c r="F707" s="47" t="s">
        <v>418</v>
      </c>
      <c r="G707" s="155">
        <v>44890.12</v>
      </c>
    </row>
    <row r="708" spans="1:7" hidden="1" x14ac:dyDescent="0.2">
      <c r="A708" s="7" t="s">
        <v>16</v>
      </c>
      <c r="B708" s="7" t="s">
        <v>230</v>
      </c>
      <c r="C708" s="7" t="s">
        <v>24</v>
      </c>
      <c r="D708" s="154">
        <v>12420164000319</v>
      </c>
      <c r="E708" s="47" t="s">
        <v>470</v>
      </c>
      <c r="F708" s="47" t="s">
        <v>417</v>
      </c>
      <c r="G708" s="155">
        <v>905788.11</v>
      </c>
    </row>
    <row r="709" spans="1:7" hidden="1" x14ac:dyDescent="0.2">
      <c r="A709" s="7" t="s">
        <v>16</v>
      </c>
      <c r="B709" s="7" t="s">
        <v>230</v>
      </c>
      <c r="C709" s="7" t="s">
        <v>24</v>
      </c>
      <c r="D709" s="154">
        <v>12420164000319</v>
      </c>
      <c r="E709" s="47" t="s">
        <v>470</v>
      </c>
      <c r="F709" s="47" t="s">
        <v>440</v>
      </c>
      <c r="G709" s="155">
        <v>2064901.57</v>
      </c>
    </row>
    <row r="710" spans="1:7" hidden="1" x14ac:dyDescent="0.2">
      <c r="A710" s="7" t="s">
        <v>16</v>
      </c>
      <c r="B710" s="7" t="s">
        <v>230</v>
      </c>
      <c r="C710" s="7" t="s">
        <v>24</v>
      </c>
      <c r="D710" s="154">
        <v>12420164000319</v>
      </c>
      <c r="E710" s="47" t="s">
        <v>470</v>
      </c>
      <c r="F710" s="47" t="s">
        <v>418</v>
      </c>
      <c r="G710" s="155">
        <v>13369.04</v>
      </c>
    </row>
    <row r="711" spans="1:7" hidden="1" x14ac:dyDescent="0.2">
      <c r="A711" s="7" t="s">
        <v>16</v>
      </c>
      <c r="B711" s="7" t="s">
        <v>230</v>
      </c>
      <c r="C711" s="7" t="s">
        <v>24</v>
      </c>
      <c r="D711" s="154">
        <v>12420164000904</v>
      </c>
      <c r="E711" s="47" t="s">
        <v>470</v>
      </c>
      <c r="F711" s="47" t="s">
        <v>417</v>
      </c>
      <c r="G711" s="155">
        <v>614013.78</v>
      </c>
    </row>
    <row r="712" spans="1:7" hidden="1" x14ac:dyDescent="0.2">
      <c r="A712" s="7" t="s">
        <v>16</v>
      </c>
      <c r="B712" s="7" t="s">
        <v>230</v>
      </c>
      <c r="C712" s="7" t="s">
        <v>24</v>
      </c>
      <c r="D712" s="154">
        <v>12420164000904</v>
      </c>
      <c r="E712" s="47" t="s">
        <v>470</v>
      </c>
      <c r="F712" s="47" t="s">
        <v>440</v>
      </c>
      <c r="G712" s="155">
        <v>1284380.95</v>
      </c>
    </row>
    <row r="713" spans="1:7" hidden="1" x14ac:dyDescent="0.2">
      <c r="A713" s="7" t="s">
        <v>16</v>
      </c>
      <c r="B713" s="7" t="s">
        <v>230</v>
      </c>
      <c r="C713" s="7" t="s">
        <v>24</v>
      </c>
      <c r="D713" s="154">
        <v>12420164000904</v>
      </c>
      <c r="E713" s="47" t="s">
        <v>470</v>
      </c>
      <c r="F713" s="47" t="s">
        <v>418</v>
      </c>
      <c r="G713" s="155">
        <v>97792.76</v>
      </c>
    </row>
    <row r="714" spans="1:7" hidden="1" x14ac:dyDescent="0.2">
      <c r="A714" s="7" t="s">
        <v>16</v>
      </c>
      <c r="B714" s="7" t="s">
        <v>230</v>
      </c>
      <c r="C714" s="7" t="s">
        <v>24</v>
      </c>
      <c r="D714" s="154">
        <v>12420164001048</v>
      </c>
      <c r="E714" s="47" t="s">
        <v>470</v>
      </c>
      <c r="F714" s="47" t="s">
        <v>417</v>
      </c>
      <c r="G714" s="155">
        <v>104492.52</v>
      </c>
    </row>
    <row r="715" spans="1:7" hidden="1" x14ac:dyDescent="0.2">
      <c r="A715" s="7" t="s">
        <v>16</v>
      </c>
      <c r="B715" s="7" t="s">
        <v>230</v>
      </c>
      <c r="C715" s="7" t="s">
        <v>24</v>
      </c>
      <c r="D715" s="154">
        <v>12420164001048</v>
      </c>
      <c r="E715" s="47" t="s">
        <v>470</v>
      </c>
      <c r="F715" s="47" t="s">
        <v>440</v>
      </c>
      <c r="G715" s="155">
        <v>78939.37</v>
      </c>
    </row>
    <row r="716" spans="1:7" hidden="1" x14ac:dyDescent="0.2">
      <c r="A716" s="7" t="s">
        <v>16</v>
      </c>
      <c r="B716" s="7" t="s">
        <v>230</v>
      </c>
      <c r="C716" s="7" t="s">
        <v>24</v>
      </c>
      <c r="D716" s="154">
        <v>12420164001048</v>
      </c>
      <c r="E716" s="47" t="s">
        <v>470</v>
      </c>
      <c r="F716" s="47" t="s">
        <v>418</v>
      </c>
      <c r="G716" s="155">
        <v>30794.19</v>
      </c>
    </row>
    <row r="717" spans="1:7" hidden="1" x14ac:dyDescent="0.2">
      <c r="A717" s="7" t="s">
        <v>16</v>
      </c>
      <c r="B717" s="7" t="s">
        <v>230</v>
      </c>
      <c r="C717" s="7" t="s">
        <v>24</v>
      </c>
      <c r="D717" s="154">
        <v>12474705000120</v>
      </c>
      <c r="E717" s="47" t="s">
        <v>471</v>
      </c>
      <c r="F717" s="47" t="s">
        <v>440</v>
      </c>
      <c r="G717" s="155">
        <v>13320</v>
      </c>
    </row>
    <row r="718" spans="1:7" hidden="1" x14ac:dyDescent="0.2">
      <c r="A718" s="7" t="s">
        <v>16</v>
      </c>
      <c r="B718" s="7" t="s">
        <v>230</v>
      </c>
      <c r="C718" s="7" t="s">
        <v>24</v>
      </c>
      <c r="D718" s="154">
        <v>13864377000130</v>
      </c>
      <c r="E718" s="47" t="s">
        <v>1516</v>
      </c>
      <c r="F718" s="47" t="s">
        <v>418</v>
      </c>
      <c r="G718" s="155">
        <v>60680</v>
      </c>
    </row>
    <row r="719" spans="1:7" hidden="1" x14ac:dyDescent="0.2">
      <c r="A719" s="7" t="s">
        <v>16</v>
      </c>
      <c r="B719" s="7" t="s">
        <v>230</v>
      </c>
      <c r="C719" s="7" t="s">
        <v>24</v>
      </c>
      <c r="D719" s="154">
        <v>15126437001972</v>
      </c>
      <c r="E719" s="47" t="s">
        <v>474</v>
      </c>
      <c r="F719" s="47" t="s">
        <v>440</v>
      </c>
      <c r="G719" s="155">
        <v>20090</v>
      </c>
    </row>
    <row r="720" spans="1:7" hidden="1" x14ac:dyDescent="0.2">
      <c r="A720" s="7" t="s">
        <v>16</v>
      </c>
      <c r="B720" s="7" t="s">
        <v>230</v>
      </c>
      <c r="C720" s="7" t="s">
        <v>24</v>
      </c>
      <c r="D720" s="154">
        <v>15145035000196</v>
      </c>
      <c r="E720" s="47" t="s">
        <v>475</v>
      </c>
      <c r="F720" s="47" t="s">
        <v>440</v>
      </c>
      <c r="G720" s="155">
        <v>60491.19</v>
      </c>
    </row>
    <row r="721" spans="1:7" hidden="1" x14ac:dyDescent="0.2">
      <c r="A721" s="7" t="s">
        <v>16</v>
      </c>
      <c r="B721" s="7" t="s">
        <v>230</v>
      </c>
      <c r="C721" s="7" t="s">
        <v>24</v>
      </c>
      <c r="D721" s="154">
        <v>15145035000196</v>
      </c>
      <c r="E721" s="47" t="s">
        <v>475</v>
      </c>
      <c r="F721" s="47" t="s">
        <v>418</v>
      </c>
      <c r="G721" s="155">
        <v>38723.269999999997</v>
      </c>
    </row>
    <row r="722" spans="1:7" hidden="1" x14ac:dyDescent="0.2">
      <c r="A722" s="7" t="s">
        <v>16</v>
      </c>
      <c r="B722" s="7" t="s">
        <v>230</v>
      </c>
      <c r="C722" s="7" t="s">
        <v>24</v>
      </c>
      <c r="D722" s="154">
        <v>16695025000197</v>
      </c>
      <c r="E722" s="47" t="s">
        <v>1349</v>
      </c>
      <c r="F722" s="47" t="s">
        <v>440</v>
      </c>
      <c r="G722" s="155">
        <v>49750</v>
      </c>
    </row>
    <row r="723" spans="1:7" hidden="1" x14ac:dyDescent="0.2">
      <c r="A723" s="7" t="s">
        <v>16</v>
      </c>
      <c r="B723" s="7" t="s">
        <v>230</v>
      </c>
      <c r="C723" s="7" t="s">
        <v>24</v>
      </c>
      <c r="D723" s="154">
        <v>17217332003906</v>
      </c>
      <c r="E723" s="47" t="s">
        <v>546</v>
      </c>
      <c r="F723" s="47" t="s">
        <v>417</v>
      </c>
      <c r="G723" s="155">
        <v>18154.8</v>
      </c>
    </row>
    <row r="724" spans="1:7" hidden="1" x14ac:dyDescent="0.2">
      <c r="A724" s="7" t="s">
        <v>16</v>
      </c>
      <c r="B724" s="7" t="s">
        <v>230</v>
      </c>
      <c r="C724" s="7" t="s">
        <v>24</v>
      </c>
      <c r="D724" s="154">
        <v>17700763000300</v>
      </c>
      <c r="E724" s="47" t="s">
        <v>477</v>
      </c>
      <c r="F724" s="47" t="s">
        <v>440</v>
      </c>
      <c r="G724" s="155">
        <v>377593.12</v>
      </c>
    </row>
    <row r="725" spans="1:7" hidden="1" x14ac:dyDescent="0.2">
      <c r="A725" s="7" t="s">
        <v>16</v>
      </c>
      <c r="B725" s="7" t="s">
        <v>230</v>
      </c>
      <c r="C725" s="7" t="s">
        <v>24</v>
      </c>
      <c r="D725" s="154">
        <v>17700763000300</v>
      </c>
      <c r="E725" s="47" t="s">
        <v>477</v>
      </c>
      <c r="F725" s="47" t="s">
        <v>418</v>
      </c>
      <c r="G725" s="155">
        <v>72176.28</v>
      </c>
    </row>
    <row r="726" spans="1:7" hidden="1" x14ac:dyDescent="0.2">
      <c r="A726" s="7" t="s">
        <v>16</v>
      </c>
      <c r="B726" s="7" t="s">
        <v>230</v>
      </c>
      <c r="C726" s="7" t="s">
        <v>24</v>
      </c>
      <c r="D726" s="154">
        <v>18715516000188</v>
      </c>
      <c r="E726" s="47" t="s">
        <v>1517</v>
      </c>
      <c r="F726" s="47" t="s">
        <v>440</v>
      </c>
      <c r="G726" s="155">
        <v>19900</v>
      </c>
    </row>
    <row r="727" spans="1:7" hidden="1" x14ac:dyDescent="0.2">
      <c r="A727" s="7" t="s">
        <v>16</v>
      </c>
      <c r="B727" s="7" t="s">
        <v>230</v>
      </c>
      <c r="C727" s="7" t="s">
        <v>24</v>
      </c>
      <c r="D727" s="154">
        <v>19843929001000</v>
      </c>
      <c r="E727" s="47" t="s">
        <v>547</v>
      </c>
      <c r="F727" s="47" t="s">
        <v>417</v>
      </c>
      <c r="G727" s="155">
        <v>9564.48</v>
      </c>
    </row>
    <row r="728" spans="1:7" hidden="1" x14ac:dyDescent="0.2">
      <c r="A728" s="7" t="s">
        <v>16</v>
      </c>
      <c r="B728" s="7" t="s">
        <v>230</v>
      </c>
      <c r="C728" s="7" t="s">
        <v>24</v>
      </c>
      <c r="D728" s="154">
        <v>19843929001000</v>
      </c>
      <c r="E728" s="47" t="s">
        <v>547</v>
      </c>
      <c r="F728" s="47" t="s">
        <v>440</v>
      </c>
      <c r="G728" s="155">
        <v>995</v>
      </c>
    </row>
    <row r="729" spans="1:7" hidden="1" x14ac:dyDescent="0.2">
      <c r="A729" s="7" t="s">
        <v>16</v>
      </c>
      <c r="B729" s="7" t="s">
        <v>230</v>
      </c>
      <c r="C729" s="7" t="s">
        <v>24</v>
      </c>
      <c r="D729" s="154">
        <v>19843929001182</v>
      </c>
      <c r="E729" s="47" t="s">
        <v>1287</v>
      </c>
      <c r="F729" s="47" t="s">
        <v>417</v>
      </c>
      <c r="G729" s="155">
        <v>2656.8</v>
      </c>
    </row>
    <row r="730" spans="1:7" hidden="1" x14ac:dyDescent="0.2">
      <c r="A730" s="7" t="s">
        <v>16</v>
      </c>
      <c r="B730" s="7" t="s">
        <v>230</v>
      </c>
      <c r="C730" s="7" t="s">
        <v>24</v>
      </c>
      <c r="D730" s="154">
        <v>19843929001506</v>
      </c>
      <c r="E730" s="47" t="s">
        <v>548</v>
      </c>
      <c r="F730" s="47" t="s">
        <v>417</v>
      </c>
      <c r="G730" s="155">
        <v>1328.4</v>
      </c>
    </row>
    <row r="731" spans="1:7" hidden="1" x14ac:dyDescent="0.2">
      <c r="A731" s="7" t="s">
        <v>16</v>
      </c>
      <c r="B731" s="7" t="s">
        <v>230</v>
      </c>
      <c r="C731" s="7" t="s">
        <v>24</v>
      </c>
      <c r="D731" s="154">
        <v>19843929001506</v>
      </c>
      <c r="E731" s="47" t="s">
        <v>548</v>
      </c>
      <c r="F731" s="47" t="s">
        <v>440</v>
      </c>
      <c r="G731" s="155">
        <v>119400</v>
      </c>
    </row>
    <row r="732" spans="1:7" hidden="1" x14ac:dyDescent="0.2">
      <c r="A732" s="7" t="s">
        <v>16</v>
      </c>
      <c r="B732" s="7" t="s">
        <v>230</v>
      </c>
      <c r="C732" s="7" t="s">
        <v>24</v>
      </c>
      <c r="D732" s="154">
        <v>19843929001697</v>
      </c>
      <c r="E732" s="47" t="s">
        <v>549</v>
      </c>
      <c r="F732" s="47" t="s">
        <v>417</v>
      </c>
      <c r="G732" s="155">
        <v>12929.76</v>
      </c>
    </row>
    <row r="733" spans="1:7" hidden="1" x14ac:dyDescent="0.2">
      <c r="A733" s="7" t="s">
        <v>16</v>
      </c>
      <c r="B733" s="7" t="s">
        <v>230</v>
      </c>
      <c r="C733" s="7" t="s">
        <v>24</v>
      </c>
      <c r="D733" s="154">
        <v>19843929002901</v>
      </c>
      <c r="E733" s="47" t="s">
        <v>1518</v>
      </c>
      <c r="F733" s="47" t="s">
        <v>440</v>
      </c>
      <c r="G733" s="155">
        <v>27860</v>
      </c>
    </row>
    <row r="734" spans="1:7" hidden="1" x14ac:dyDescent="0.2">
      <c r="A734" s="7" t="s">
        <v>16</v>
      </c>
      <c r="B734" s="7" t="s">
        <v>230</v>
      </c>
      <c r="C734" s="7" t="s">
        <v>24</v>
      </c>
      <c r="D734" s="154">
        <v>21895020000148</v>
      </c>
      <c r="E734" s="47" t="s">
        <v>460</v>
      </c>
      <c r="F734" s="47" t="s">
        <v>417</v>
      </c>
      <c r="G734" s="155">
        <v>223442.5</v>
      </c>
    </row>
    <row r="735" spans="1:7" hidden="1" x14ac:dyDescent="0.2">
      <c r="A735" s="7" t="s">
        <v>16</v>
      </c>
      <c r="B735" s="7" t="s">
        <v>230</v>
      </c>
      <c r="C735" s="7" t="s">
        <v>24</v>
      </c>
      <c r="D735" s="154">
        <v>21895020000148</v>
      </c>
      <c r="E735" s="47" t="s">
        <v>460</v>
      </c>
      <c r="F735" s="47" t="s">
        <v>440</v>
      </c>
      <c r="G735" s="155">
        <v>27366.720000000001</v>
      </c>
    </row>
    <row r="736" spans="1:7" hidden="1" x14ac:dyDescent="0.2">
      <c r="A736" s="7" t="s">
        <v>16</v>
      </c>
      <c r="B736" s="7" t="s">
        <v>230</v>
      </c>
      <c r="C736" s="7" t="s">
        <v>24</v>
      </c>
      <c r="D736" s="154">
        <v>21895020000148</v>
      </c>
      <c r="E736" s="47" t="s">
        <v>460</v>
      </c>
      <c r="F736" s="47" t="s">
        <v>418</v>
      </c>
      <c r="G736" s="155">
        <v>104743.62</v>
      </c>
    </row>
    <row r="737" spans="1:7" hidden="1" x14ac:dyDescent="0.2">
      <c r="A737" s="7" t="s">
        <v>16</v>
      </c>
      <c r="B737" s="7" t="s">
        <v>230</v>
      </c>
      <c r="C737" s="7" t="s">
        <v>24</v>
      </c>
      <c r="D737" s="154">
        <v>22355622000175</v>
      </c>
      <c r="E737" s="47" t="s">
        <v>1332</v>
      </c>
      <c r="F737" s="47" t="s">
        <v>440</v>
      </c>
      <c r="G737" s="155">
        <v>38828.589999999997</v>
      </c>
    </row>
    <row r="738" spans="1:7" hidden="1" x14ac:dyDescent="0.2">
      <c r="A738" s="7" t="s">
        <v>16</v>
      </c>
      <c r="B738" s="7" t="s">
        <v>230</v>
      </c>
      <c r="C738" s="7" t="s">
        <v>24</v>
      </c>
      <c r="D738" s="154">
        <v>27080605000781</v>
      </c>
      <c r="E738" s="47" t="s">
        <v>1519</v>
      </c>
      <c r="F738" s="47" t="s">
        <v>440</v>
      </c>
      <c r="G738" s="155">
        <v>45558.5</v>
      </c>
    </row>
    <row r="739" spans="1:7" hidden="1" x14ac:dyDescent="0.2">
      <c r="A739" s="7" t="s">
        <v>16</v>
      </c>
      <c r="B739" s="7" t="s">
        <v>230</v>
      </c>
      <c r="C739" s="7" t="s">
        <v>24</v>
      </c>
      <c r="D739" s="154">
        <v>31378288000166</v>
      </c>
      <c r="E739" s="47" t="s">
        <v>463</v>
      </c>
      <c r="F739" s="47" t="s">
        <v>417</v>
      </c>
      <c r="G739" s="155">
        <v>332915.33</v>
      </c>
    </row>
    <row r="740" spans="1:7" hidden="1" x14ac:dyDescent="0.2">
      <c r="A740" s="7" t="s">
        <v>16</v>
      </c>
      <c r="B740" s="7" t="s">
        <v>230</v>
      </c>
      <c r="C740" s="7" t="s">
        <v>24</v>
      </c>
      <c r="D740" s="154">
        <v>31378288000166</v>
      </c>
      <c r="E740" s="47" t="s">
        <v>463</v>
      </c>
      <c r="F740" s="47" t="s">
        <v>440</v>
      </c>
      <c r="G740" s="155">
        <v>1180740.71</v>
      </c>
    </row>
    <row r="741" spans="1:7" hidden="1" x14ac:dyDescent="0.2">
      <c r="A741" s="7" t="s">
        <v>16</v>
      </c>
      <c r="B741" s="7" t="s">
        <v>230</v>
      </c>
      <c r="C741" s="7" t="s">
        <v>24</v>
      </c>
      <c r="D741" s="154">
        <v>32319972000130</v>
      </c>
      <c r="E741" s="47" t="s">
        <v>520</v>
      </c>
      <c r="F741" s="47" t="s">
        <v>440</v>
      </c>
      <c r="G741" s="155">
        <v>0</v>
      </c>
    </row>
    <row r="742" spans="1:7" hidden="1" x14ac:dyDescent="0.2">
      <c r="A742" s="7" t="s">
        <v>16</v>
      </c>
      <c r="B742" s="7" t="s">
        <v>230</v>
      </c>
      <c r="C742" s="7" t="s">
        <v>24</v>
      </c>
      <c r="D742" s="154">
        <v>33663683002674</v>
      </c>
      <c r="E742" s="47" t="s">
        <v>482</v>
      </c>
      <c r="F742" s="47" t="s">
        <v>417</v>
      </c>
      <c r="G742" s="155">
        <v>11582.4</v>
      </c>
    </row>
    <row r="743" spans="1:7" hidden="1" x14ac:dyDescent="0.2">
      <c r="A743" s="7" t="s">
        <v>16</v>
      </c>
      <c r="B743" s="7" t="s">
        <v>230</v>
      </c>
      <c r="C743" s="7" t="s">
        <v>24</v>
      </c>
      <c r="D743" s="154">
        <v>33663683002674</v>
      </c>
      <c r="E743" s="47" t="s">
        <v>482</v>
      </c>
      <c r="F743" s="47" t="s">
        <v>440</v>
      </c>
      <c r="G743" s="155">
        <v>117856.8</v>
      </c>
    </row>
    <row r="744" spans="1:7" hidden="1" x14ac:dyDescent="0.2">
      <c r="A744" s="7" t="s">
        <v>16</v>
      </c>
      <c r="B744" s="7" t="s">
        <v>230</v>
      </c>
      <c r="C744" s="7" t="s">
        <v>24</v>
      </c>
      <c r="D744" s="154">
        <v>37396017000624</v>
      </c>
      <c r="E744" s="47" t="s">
        <v>468</v>
      </c>
      <c r="F744" s="47" t="s">
        <v>440</v>
      </c>
      <c r="G744" s="155">
        <v>664664.09</v>
      </c>
    </row>
    <row r="745" spans="1:7" hidden="1" x14ac:dyDescent="0.2">
      <c r="A745" s="7" t="s">
        <v>16</v>
      </c>
      <c r="B745" s="7" t="s">
        <v>230</v>
      </c>
      <c r="C745" s="7" t="s">
        <v>24</v>
      </c>
      <c r="D745" s="154">
        <v>42498733000148</v>
      </c>
      <c r="E745" s="47" t="s">
        <v>515</v>
      </c>
      <c r="F745" s="47" t="s">
        <v>440</v>
      </c>
      <c r="G745" s="155">
        <v>149603.28</v>
      </c>
    </row>
    <row r="746" spans="1:7" hidden="1" x14ac:dyDescent="0.2">
      <c r="A746" s="7" t="s">
        <v>16</v>
      </c>
      <c r="B746" s="7" t="s">
        <v>230</v>
      </c>
      <c r="C746" s="7" t="s">
        <v>24</v>
      </c>
      <c r="D746" s="154">
        <v>44531788000138</v>
      </c>
      <c r="E746" s="47" t="s">
        <v>1350</v>
      </c>
      <c r="F746" s="47" t="s">
        <v>440</v>
      </c>
      <c r="G746" s="155">
        <v>8167.07</v>
      </c>
    </row>
    <row r="747" spans="1:7" hidden="1" x14ac:dyDescent="0.2">
      <c r="A747" s="7" t="s">
        <v>16</v>
      </c>
      <c r="B747" s="7" t="s">
        <v>230</v>
      </c>
      <c r="C747" s="7" t="s">
        <v>24</v>
      </c>
      <c r="D747" s="154">
        <v>46374500001670</v>
      </c>
      <c r="E747" s="47" t="s">
        <v>487</v>
      </c>
      <c r="F747" s="47" t="s">
        <v>440</v>
      </c>
      <c r="G747" s="155">
        <v>15370.35</v>
      </c>
    </row>
    <row r="748" spans="1:7" hidden="1" x14ac:dyDescent="0.2">
      <c r="A748" s="7" t="s">
        <v>16</v>
      </c>
      <c r="B748" s="7" t="s">
        <v>230</v>
      </c>
      <c r="C748" s="7" t="s">
        <v>24</v>
      </c>
      <c r="D748" s="154">
        <v>46374500009221</v>
      </c>
      <c r="E748" s="47" t="s">
        <v>517</v>
      </c>
      <c r="F748" s="47" t="s">
        <v>440</v>
      </c>
      <c r="G748" s="155">
        <v>172147.92</v>
      </c>
    </row>
    <row r="749" spans="1:7" hidden="1" x14ac:dyDescent="0.2">
      <c r="A749" s="7" t="s">
        <v>16</v>
      </c>
      <c r="B749" s="7" t="s">
        <v>230</v>
      </c>
      <c r="C749" s="7" t="s">
        <v>24</v>
      </c>
      <c r="D749" s="154">
        <v>46374500011390</v>
      </c>
      <c r="E749" s="47" t="s">
        <v>1246</v>
      </c>
      <c r="F749" s="47" t="s">
        <v>418</v>
      </c>
      <c r="G749" s="155">
        <v>7592.85</v>
      </c>
    </row>
    <row r="750" spans="1:7" hidden="1" x14ac:dyDescent="0.2">
      <c r="A750" s="7" t="s">
        <v>16</v>
      </c>
      <c r="B750" s="7" t="s">
        <v>230</v>
      </c>
      <c r="C750" s="7" t="s">
        <v>24</v>
      </c>
      <c r="D750" s="154">
        <v>50311620000209</v>
      </c>
      <c r="E750" s="47" t="s">
        <v>506</v>
      </c>
      <c r="F750" s="47" t="s">
        <v>440</v>
      </c>
      <c r="G750" s="155">
        <v>590406.78</v>
      </c>
    </row>
    <row r="751" spans="1:7" hidden="1" x14ac:dyDescent="0.2">
      <c r="A751" s="7" t="s">
        <v>16</v>
      </c>
      <c r="B751" s="7" t="s">
        <v>230</v>
      </c>
      <c r="C751" s="7" t="s">
        <v>24</v>
      </c>
      <c r="D751" s="154">
        <v>50311620000209</v>
      </c>
      <c r="E751" s="47" t="s">
        <v>506</v>
      </c>
      <c r="F751" s="47" t="s">
        <v>418</v>
      </c>
      <c r="G751" s="155">
        <v>73927.88</v>
      </c>
    </row>
    <row r="752" spans="1:7" hidden="1" x14ac:dyDescent="0.2">
      <c r="A752" s="7" t="s">
        <v>16</v>
      </c>
      <c r="B752" s="7" t="s">
        <v>230</v>
      </c>
      <c r="C752" s="7" t="s">
        <v>24</v>
      </c>
      <c r="D752" s="154">
        <v>56577059000100</v>
      </c>
      <c r="E752" s="47" t="s">
        <v>1276</v>
      </c>
      <c r="F752" s="47" t="s">
        <v>440</v>
      </c>
      <c r="G752" s="155">
        <v>308548.14</v>
      </c>
    </row>
    <row r="753" spans="1:7" hidden="1" x14ac:dyDescent="0.2">
      <c r="A753" s="7" t="s">
        <v>16</v>
      </c>
      <c r="B753" s="7" t="s">
        <v>230</v>
      </c>
      <c r="C753" s="7" t="s">
        <v>24</v>
      </c>
      <c r="D753" s="154">
        <v>56577059000606</v>
      </c>
      <c r="E753" s="47" t="s">
        <v>1249</v>
      </c>
      <c r="F753" s="47" t="s">
        <v>417</v>
      </c>
      <c r="G753" s="155">
        <v>87699</v>
      </c>
    </row>
    <row r="754" spans="1:7" hidden="1" x14ac:dyDescent="0.2">
      <c r="A754" s="7" t="s">
        <v>16</v>
      </c>
      <c r="B754" s="7" t="s">
        <v>230</v>
      </c>
      <c r="C754" s="7" t="s">
        <v>24</v>
      </c>
      <c r="D754" s="154">
        <v>57722118000302</v>
      </c>
      <c r="E754" s="47" t="s">
        <v>1250</v>
      </c>
      <c r="F754" s="47" t="s">
        <v>440</v>
      </c>
      <c r="G754" s="155">
        <v>6533.44</v>
      </c>
    </row>
    <row r="755" spans="1:7" hidden="1" x14ac:dyDescent="0.2">
      <c r="A755" s="7" t="s">
        <v>16</v>
      </c>
      <c r="B755" s="7" t="s">
        <v>230</v>
      </c>
      <c r="C755" s="7" t="s">
        <v>24</v>
      </c>
      <c r="D755" s="154">
        <v>60003761000129</v>
      </c>
      <c r="E755" s="47" t="s">
        <v>1251</v>
      </c>
      <c r="F755" s="47" t="s">
        <v>417</v>
      </c>
      <c r="G755" s="155">
        <v>47560</v>
      </c>
    </row>
    <row r="756" spans="1:7" hidden="1" x14ac:dyDescent="0.2">
      <c r="A756" s="7" t="s">
        <v>16</v>
      </c>
      <c r="B756" s="7" t="s">
        <v>230</v>
      </c>
      <c r="C756" s="7" t="s">
        <v>24</v>
      </c>
      <c r="D756" s="154">
        <v>60003761000129</v>
      </c>
      <c r="E756" s="47" t="s">
        <v>1251</v>
      </c>
      <c r="F756" s="47" t="s">
        <v>440</v>
      </c>
      <c r="G756" s="155">
        <v>37544.43</v>
      </c>
    </row>
    <row r="757" spans="1:7" hidden="1" x14ac:dyDescent="0.2">
      <c r="A757" s="7" t="s">
        <v>16</v>
      </c>
      <c r="B757" s="7" t="s">
        <v>230</v>
      </c>
      <c r="C757" s="7" t="s">
        <v>24</v>
      </c>
      <c r="D757" s="154">
        <v>60448040000122</v>
      </c>
      <c r="E757" s="47" t="s">
        <v>1252</v>
      </c>
      <c r="F757" s="47" t="s">
        <v>417</v>
      </c>
      <c r="G757" s="155">
        <v>880.01</v>
      </c>
    </row>
    <row r="758" spans="1:7" hidden="1" x14ac:dyDescent="0.2">
      <c r="A758" s="7" t="s">
        <v>16</v>
      </c>
      <c r="B758" s="7" t="s">
        <v>230</v>
      </c>
      <c r="C758" s="7" t="s">
        <v>24</v>
      </c>
      <c r="D758" s="154">
        <v>60448040000122</v>
      </c>
      <c r="E758" s="47" t="s">
        <v>1252</v>
      </c>
      <c r="F758" s="47" t="s">
        <v>440</v>
      </c>
      <c r="G758" s="155">
        <v>120085.35</v>
      </c>
    </row>
    <row r="759" spans="1:7" hidden="1" x14ac:dyDescent="0.2">
      <c r="A759" s="7" t="s">
        <v>16</v>
      </c>
      <c r="B759" s="7" t="s">
        <v>230</v>
      </c>
      <c r="C759" s="7" t="s">
        <v>24</v>
      </c>
      <c r="D759" s="154">
        <v>60747318000162</v>
      </c>
      <c r="E759" s="47" t="s">
        <v>1253</v>
      </c>
      <c r="F759" s="47" t="s">
        <v>418</v>
      </c>
      <c r="G759" s="155">
        <v>4555.71</v>
      </c>
    </row>
    <row r="760" spans="1:7" hidden="1" x14ac:dyDescent="0.2">
      <c r="A760" s="7" t="s">
        <v>16</v>
      </c>
      <c r="B760" s="7" t="s">
        <v>230</v>
      </c>
      <c r="C760" s="7" t="s">
        <v>24</v>
      </c>
      <c r="D760" s="154">
        <v>60765823000130</v>
      </c>
      <c r="E760" s="47" t="s">
        <v>1266</v>
      </c>
      <c r="F760" s="47" t="s">
        <v>440</v>
      </c>
      <c r="G760" s="155">
        <v>512377</v>
      </c>
    </row>
    <row r="761" spans="1:7" hidden="1" x14ac:dyDescent="0.2">
      <c r="A761" s="7" t="s">
        <v>16</v>
      </c>
      <c r="B761" s="7" t="s">
        <v>230</v>
      </c>
      <c r="C761" s="7" t="s">
        <v>24</v>
      </c>
      <c r="D761" s="154">
        <v>60765823000130</v>
      </c>
      <c r="E761" s="47" t="s">
        <v>1266</v>
      </c>
      <c r="F761" s="47" t="s">
        <v>418</v>
      </c>
      <c r="G761" s="155">
        <v>7872</v>
      </c>
    </row>
    <row r="762" spans="1:7" hidden="1" x14ac:dyDescent="0.2">
      <c r="A762" s="7" t="s">
        <v>16</v>
      </c>
      <c r="B762" s="7" t="s">
        <v>230</v>
      </c>
      <c r="C762" s="7" t="s">
        <v>24</v>
      </c>
      <c r="D762" s="154">
        <v>61590410000124</v>
      </c>
      <c r="E762" s="47" t="s">
        <v>1254</v>
      </c>
      <c r="F762" s="47" t="s">
        <v>440</v>
      </c>
      <c r="G762" s="155">
        <v>288387.34000000003</v>
      </c>
    </row>
    <row r="763" spans="1:7" hidden="1" x14ac:dyDescent="0.2">
      <c r="A763" s="7" t="s">
        <v>16</v>
      </c>
      <c r="B763" s="7" t="s">
        <v>230</v>
      </c>
      <c r="C763" s="7" t="s">
        <v>24</v>
      </c>
      <c r="D763" s="154">
        <v>61590410001287</v>
      </c>
      <c r="E763" s="47" t="s">
        <v>1255</v>
      </c>
      <c r="F763" s="47" t="s">
        <v>440</v>
      </c>
      <c r="G763" s="155">
        <v>270418.78000000003</v>
      </c>
    </row>
    <row r="764" spans="1:7" hidden="1" x14ac:dyDescent="0.2">
      <c r="A764" s="7" t="s">
        <v>16</v>
      </c>
      <c r="B764" s="7" t="s">
        <v>230</v>
      </c>
      <c r="C764" s="7" t="s">
        <v>24</v>
      </c>
      <c r="D764" s="154">
        <v>61599908000158</v>
      </c>
      <c r="E764" s="47" t="s">
        <v>1256</v>
      </c>
      <c r="F764" s="47" t="s">
        <v>440</v>
      </c>
      <c r="G764" s="155">
        <v>193602</v>
      </c>
    </row>
    <row r="765" spans="1:7" hidden="1" x14ac:dyDescent="0.2">
      <c r="A765" s="7" t="s">
        <v>16</v>
      </c>
      <c r="B765" s="7" t="s">
        <v>230</v>
      </c>
      <c r="C765" s="7" t="s">
        <v>24</v>
      </c>
      <c r="D765" s="154">
        <v>61599908000158</v>
      </c>
      <c r="E765" s="47" t="s">
        <v>1256</v>
      </c>
      <c r="F765" s="47" t="s">
        <v>418</v>
      </c>
      <c r="G765" s="155">
        <v>2702.72</v>
      </c>
    </row>
    <row r="766" spans="1:7" hidden="1" x14ac:dyDescent="0.2">
      <c r="A766" s="7" t="s">
        <v>16</v>
      </c>
      <c r="B766" s="7" t="s">
        <v>230</v>
      </c>
      <c r="C766" s="7" t="s">
        <v>24</v>
      </c>
      <c r="D766" s="154">
        <v>74031865000151</v>
      </c>
      <c r="E766" s="47" t="s">
        <v>507</v>
      </c>
      <c r="F766" s="47" t="s">
        <v>418</v>
      </c>
      <c r="G766" s="155">
        <v>84132</v>
      </c>
    </row>
    <row r="767" spans="1:7" hidden="1" x14ac:dyDescent="0.2">
      <c r="A767" s="7" t="s">
        <v>16</v>
      </c>
      <c r="B767" s="7" t="s">
        <v>230</v>
      </c>
      <c r="C767" s="7" t="s">
        <v>24</v>
      </c>
      <c r="D767" s="154">
        <v>81887838000736</v>
      </c>
      <c r="E767" s="47" t="s">
        <v>491</v>
      </c>
      <c r="F767" s="47" t="s">
        <v>417</v>
      </c>
      <c r="G767" s="155">
        <v>-238134.85</v>
      </c>
    </row>
    <row r="768" spans="1:7" hidden="1" x14ac:dyDescent="0.2">
      <c r="A768" s="7" t="s">
        <v>16</v>
      </c>
      <c r="B768" s="7" t="s">
        <v>230</v>
      </c>
      <c r="C768" s="7" t="s">
        <v>24</v>
      </c>
      <c r="D768" s="154">
        <v>81887838000736</v>
      </c>
      <c r="E768" s="47" t="s">
        <v>491</v>
      </c>
      <c r="F768" s="47" t="s">
        <v>440</v>
      </c>
      <c r="G768" s="155">
        <v>72695.66</v>
      </c>
    </row>
    <row r="769" spans="1:7" hidden="1" x14ac:dyDescent="0.2">
      <c r="A769" s="7" t="s">
        <v>16</v>
      </c>
      <c r="B769" s="7" t="s">
        <v>230</v>
      </c>
      <c r="C769" s="7" t="s">
        <v>24</v>
      </c>
      <c r="D769" s="154">
        <v>82873068000140</v>
      </c>
      <c r="E769" s="47" t="s">
        <v>492</v>
      </c>
      <c r="F769" s="47" t="s">
        <v>417</v>
      </c>
      <c r="G769" s="155">
        <v>18861.02</v>
      </c>
    </row>
    <row r="770" spans="1:7" hidden="1" x14ac:dyDescent="0.2">
      <c r="A770" s="7" t="s">
        <v>16</v>
      </c>
      <c r="B770" s="7" t="s">
        <v>230</v>
      </c>
      <c r="C770" s="7" t="s">
        <v>24</v>
      </c>
      <c r="D770" s="154">
        <v>82873068000140</v>
      </c>
      <c r="E770" s="47" t="s">
        <v>492</v>
      </c>
      <c r="F770" s="47" t="s">
        <v>440</v>
      </c>
      <c r="G770" s="155">
        <v>992765.73</v>
      </c>
    </row>
    <row r="771" spans="1:7" hidden="1" x14ac:dyDescent="0.2">
      <c r="A771" s="7" t="s">
        <v>16</v>
      </c>
      <c r="B771" s="7" t="s">
        <v>230</v>
      </c>
      <c r="C771" s="7" t="s">
        <v>24</v>
      </c>
      <c r="D771" s="154">
        <v>82873068000140</v>
      </c>
      <c r="E771" s="47" t="s">
        <v>492</v>
      </c>
      <c r="F771" s="47" t="s">
        <v>418</v>
      </c>
      <c r="G771" s="155">
        <v>115479.09</v>
      </c>
    </row>
    <row r="772" spans="1:7" hidden="1" x14ac:dyDescent="0.2">
      <c r="A772" s="7" t="s">
        <v>16</v>
      </c>
      <c r="B772" s="7" t="s">
        <v>230</v>
      </c>
      <c r="C772" s="7" t="s">
        <v>24</v>
      </c>
      <c r="D772" s="154">
        <v>82873068000573</v>
      </c>
      <c r="E772" s="47" t="s">
        <v>492</v>
      </c>
      <c r="F772" s="47" t="s">
        <v>417</v>
      </c>
      <c r="G772" s="155">
        <v>94305.1</v>
      </c>
    </row>
    <row r="773" spans="1:7" hidden="1" x14ac:dyDescent="0.2">
      <c r="A773" s="7" t="s">
        <v>16</v>
      </c>
      <c r="B773" s="7" t="s">
        <v>230</v>
      </c>
      <c r="C773" s="7" t="s">
        <v>24</v>
      </c>
      <c r="D773" s="154">
        <v>82873068000573</v>
      </c>
      <c r="E773" s="47" t="s">
        <v>492</v>
      </c>
      <c r="F773" s="47" t="s">
        <v>440</v>
      </c>
      <c r="G773" s="155">
        <v>318550.67</v>
      </c>
    </row>
    <row r="774" spans="1:7" hidden="1" x14ac:dyDescent="0.2">
      <c r="A774" s="7" t="s">
        <v>16</v>
      </c>
      <c r="B774" s="7" t="s">
        <v>230</v>
      </c>
      <c r="C774" s="7" t="s">
        <v>24</v>
      </c>
      <c r="D774" s="154">
        <v>82873068000573</v>
      </c>
      <c r="E774" s="47" t="s">
        <v>492</v>
      </c>
      <c r="F774" s="47" t="s">
        <v>418</v>
      </c>
      <c r="G774" s="155">
        <v>86609.32</v>
      </c>
    </row>
    <row r="775" spans="1:7" hidden="1" x14ac:dyDescent="0.2">
      <c r="A775" s="7" t="s">
        <v>16</v>
      </c>
      <c r="B775" s="7" t="s">
        <v>230</v>
      </c>
      <c r="C775" s="7" t="s">
        <v>24</v>
      </c>
      <c r="D775" s="154">
        <v>82873068000654</v>
      </c>
      <c r="E775" s="47" t="s">
        <v>492</v>
      </c>
      <c r="F775" s="47" t="s">
        <v>417</v>
      </c>
      <c r="G775" s="155">
        <v>311198.95</v>
      </c>
    </row>
    <row r="776" spans="1:7" hidden="1" x14ac:dyDescent="0.2">
      <c r="A776" s="7" t="s">
        <v>16</v>
      </c>
      <c r="B776" s="7" t="s">
        <v>230</v>
      </c>
      <c r="C776" s="7" t="s">
        <v>24</v>
      </c>
      <c r="D776" s="154">
        <v>82873068000654</v>
      </c>
      <c r="E776" s="47" t="s">
        <v>492</v>
      </c>
      <c r="F776" s="47" t="s">
        <v>440</v>
      </c>
      <c r="G776" s="155">
        <v>596244.02</v>
      </c>
    </row>
    <row r="777" spans="1:7" hidden="1" x14ac:dyDescent="0.2">
      <c r="A777" s="7" t="s">
        <v>16</v>
      </c>
      <c r="B777" s="7" t="s">
        <v>230</v>
      </c>
      <c r="C777" s="7" t="s">
        <v>24</v>
      </c>
      <c r="D777" s="154">
        <v>82873068000654</v>
      </c>
      <c r="E777" s="47" t="s">
        <v>492</v>
      </c>
      <c r="F777" s="47" t="s">
        <v>418</v>
      </c>
      <c r="G777" s="155">
        <v>86611.53</v>
      </c>
    </row>
    <row r="778" spans="1:7" hidden="1" x14ac:dyDescent="0.2">
      <c r="A778" s="7" t="s">
        <v>16</v>
      </c>
      <c r="B778" s="7" t="s">
        <v>230</v>
      </c>
      <c r="C778" s="7" t="s">
        <v>24</v>
      </c>
      <c r="D778" s="154">
        <v>82873068000735</v>
      </c>
      <c r="E778" s="47" t="s">
        <v>492</v>
      </c>
      <c r="F778" s="47" t="s">
        <v>417</v>
      </c>
      <c r="G778" s="155">
        <v>113166.12</v>
      </c>
    </row>
    <row r="779" spans="1:7" hidden="1" x14ac:dyDescent="0.2">
      <c r="A779" s="7" t="s">
        <v>16</v>
      </c>
      <c r="B779" s="7" t="s">
        <v>230</v>
      </c>
      <c r="C779" s="7" t="s">
        <v>24</v>
      </c>
      <c r="D779" s="154">
        <v>82873068000735</v>
      </c>
      <c r="E779" s="47" t="s">
        <v>492</v>
      </c>
      <c r="F779" s="47" t="s">
        <v>440</v>
      </c>
      <c r="G779" s="155">
        <v>402359.48</v>
      </c>
    </row>
    <row r="780" spans="1:7" hidden="1" x14ac:dyDescent="0.2">
      <c r="A780" s="7" t="s">
        <v>16</v>
      </c>
      <c r="B780" s="7" t="s">
        <v>230</v>
      </c>
      <c r="C780" s="7" t="s">
        <v>24</v>
      </c>
      <c r="D780" s="154">
        <v>82873068000735</v>
      </c>
      <c r="E780" s="47" t="s">
        <v>492</v>
      </c>
      <c r="F780" s="47" t="s">
        <v>418</v>
      </c>
      <c r="G780" s="155">
        <v>28869.77</v>
      </c>
    </row>
    <row r="781" spans="1:7" hidden="1" x14ac:dyDescent="0.2">
      <c r="A781" s="7" t="s">
        <v>16</v>
      </c>
      <c r="B781" s="7" t="s">
        <v>230</v>
      </c>
      <c r="C781" s="7" t="s">
        <v>24</v>
      </c>
      <c r="D781" s="154">
        <v>87020517000120</v>
      </c>
      <c r="E781" s="47" t="s">
        <v>493</v>
      </c>
      <c r="F781" s="47" t="s">
        <v>417</v>
      </c>
      <c r="G781" s="155">
        <v>85280</v>
      </c>
    </row>
    <row r="782" spans="1:7" hidden="1" x14ac:dyDescent="0.2">
      <c r="A782" s="7" t="s">
        <v>16</v>
      </c>
      <c r="B782" s="7" t="s">
        <v>372</v>
      </c>
      <c r="C782" s="7" t="s">
        <v>373</v>
      </c>
      <c r="D782" s="154">
        <v>88317000121</v>
      </c>
      <c r="E782" s="47" t="s">
        <v>439</v>
      </c>
      <c r="F782" s="47" t="s">
        <v>440</v>
      </c>
      <c r="G782" s="155">
        <v>54486.3</v>
      </c>
    </row>
    <row r="783" spans="1:7" hidden="1" x14ac:dyDescent="0.2">
      <c r="A783" s="7" t="s">
        <v>16</v>
      </c>
      <c r="B783" s="7" t="s">
        <v>372</v>
      </c>
      <c r="C783" s="7" t="s">
        <v>373</v>
      </c>
      <c r="D783" s="154">
        <v>394544020291</v>
      </c>
      <c r="E783" s="47" t="s">
        <v>442</v>
      </c>
      <c r="F783" s="47" t="s">
        <v>417</v>
      </c>
      <c r="G783" s="155">
        <v>132160</v>
      </c>
    </row>
    <row r="784" spans="1:7" hidden="1" x14ac:dyDescent="0.2">
      <c r="A784" s="7" t="s">
        <v>16</v>
      </c>
      <c r="B784" s="7" t="s">
        <v>372</v>
      </c>
      <c r="C784" s="7" t="s">
        <v>373</v>
      </c>
      <c r="D784" s="154">
        <v>394544020291</v>
      </c>
      <c r="E784" s="47" t="s">
        <v>442</v>
      </c>
      <c r="F784" s="47" t="s">
        <v>440</v>
      </c>
      <c r="G784" s="155">
        <v>54357.599999999999</v>
      </c>
    </row>
    <row r="785" spans="1:7" hidden="1" x14ac:dyDescent="0.2">
      <c r="A785" s="7" t="s">
        <v>16</v>
      </c>
      <c r="B785" s="7" t="s">
        <v>372</v>
      </c>
      <c r="C785" s="7" t="s">
        <v>373</v>
      </c>
      <c r="D785" s="154">
        <v>394544020453</v>
      </c>
      <c r="E785" s="47" t="s">
        <v>444</v>
      </c>
      <c r="F785" s="47" t="s">
        <v>440</v>
      </c>
      <c r="G785" s="155">
        <v>42232.88</v>
      </c>
    </row>
    <row r="786" spans="1:7" hidden="1" x14ac:dyDescent="0.2">
      <c r="A786" s="7" t="s">
        <v>16</v>
      </c>
      <c r="B786" s="7" t="s">
        <v>372</v>
      </c>
      <c r="C786" s="7" t="s">
        <v>373</v>
      </c>
      <c r="D786" s="154">
        <v>394544021000</v>
      </c>
      <c r="E786" s="47" t="s">
        <v>445</v>
      </c>
      <c r="F786" s="47" t="s">
        <v>417</v>
      </c>
      <c r="G786" s="155">
        <v>42480</v>
      </c>
    </row>
    <row r="787" spans="1:7" hidden="1" x14ac:dyDescent="0.2">
      <c r="A787" s="7" t="s">
        <v>16</v>
      </c>
      <c r="B787" s="7" t="s">
        <v>372</v>
      </c>
      <c r="C787" s="7" t="s">
        <v>373</v>
      </c>
      <c r="D787" s="154">
        <v>394544021263</v>
      </c>
      <c r="E787" s="47" t="s">
        <v>1520</v>
      </c>
      <c r="F787" s="47" t="s">
        <v>417</v>
      </c>
      <c r="G787" s="155">
        <v>47476</v>
      </c>
    </row>
    <row r="788" spans="1:7" hidden="1" x14ac:dyDescent="0.2">
      <c r="A788" s="7" t="s">
        <v>16</v>
      </c>
      <c r="B788" s="7" t="s">
        <v>372</v>
      </c>
      <c r="C788" s="7" t="s">
        <v>373</v>
      </c>
      <c r="D788" s="154">
        <v>394544021344</v>
      </c>
      <c r="E788" s="47" t="s">
        <v>447</v>
      </c>
      <c r="F788" s="47" t="s">
        <v>440</v>
      </c>
      <c r="G788" s="155">
        <v>9059.6</v>
      </c>
    </row>
    <row r="789" spans="1:7" hidden="1" x14ac:dyDescent="0.2">
      <c r="A789" s="7" t="s">
        <v>16</v>
      </c>
      <c r="B789" s="7" t="s">
        <v>372</v>
      </c>
      <c r="C789" s="7" t="s">
        <v>373</v>
      </c>
      <c r="D789" s="154">
        <v>1479465000130</v>
      </c>
      <c r="E789" s="47" t="s">
        <v>448</v>
      </c>
      <c r="F789" s="47" t="s">
        <v>440</v>
      </c>
      <c r="G789" s="155">
        <v>408323.72</v>
      </c>
    </row>
    <row r="790" spans="1:7" hidden="1" x14ac:dyDescent="0.2">
      <c r="A790" s="7" t="s">
        <v>16</v>
      </c>
      <c r="B790" s="7" t="s">
        <v>372</v>
      </c>
      <c r="C790" s="7" t="s">
        <v>373</v>
      </c>
      <c r="D790" s="154">
        <v>2873606000167</v>
      </c>
      <c r="E790" s="47" t="s">
        <v>449</v>
      </c>
      <c r="F790" s="47" t="s">
        <v>440</v>
      </c>
      <c r="G790" s="155">
        <v>1493078.7</v>
      </c>
    </row>
    <row r="791" spans="1:7" hidden="1" x14ac:dyDescent="0.2">
      <c r="A791" s="7" t="s">
        <v>16</v>
      </c>
      <c r="B791" s="7" t="s">
        <v>372</v>
      </c>
      <c r="C791" s="7" t="s">
        <v>373</v>
      </c>
      <c r="D791" s="154">
        <v>2873606000167</v>
      </c>
      <c r="E791" s="47" t="s">
        <v>449</v>
      </c>
      <c r="F791" s="47" t="s">
        <v>418</v>
      </c>
      <c r="G791" s="155">
        <v>63372.67</v>
      </c>
    </row>
    <row r="792" spans="1:7" hidden="1" x14ac:dyDescent="0.2">
      <c r="A792" s="7" t="s">
        <v>16</v>
      </c>
      <c r="B792" s="7" t="s">
        <v>372</v>
      </c>
      <c r="C792" s="7" t="s">
        <v>373</v>
      </c>
      <c r="D792" s="154">
        <v>3866223000124</v>
      </c>
      <c r="E792" s="47" t="s">
        <v>1258</v>
      </c>
      <c r="F792" s="47" t="s">
        <v>440</v>
      </c>
      <c r="G792" s="155">
        <v>145667.45000000001</v>
      </c>
    </row>
    <row r="793" spans="1:7" hidden="1" x14ac:dyDescent="0.2">
      <c r="A793" s="7" t="s">
        <v>16</v>
      </c>
      <c r="B793" s="7" t="s">
        <v>372</v>
      </c>
      <c r="C793" s="7" t="s">
        <v>373</v>
      </c>
      <c r="D793" s="154">
        <v>4027894000164</v>
      </c>
      <c r="E793" s="47" t="s">
        <v>450</v>
      </c>
      <c r="F793" s="47" t="s">
        <v>440</v>
      </c>
      <c r="G793" s="155">
        <v>86311.22</v>
      </c>
    </row>
    <row r="794" spans="1:7" hidden="1" x14ac:dyDescent="0.2">
      <c r="A794" s="7" t="s">
        <v>16</v>
      </c>
      <c r="B794" s="7" t="s">
        <v>372</v>
      </c>
      <c r="C794" s="7" t="s">
        <v>373</v>
      </c>
      <c r="D794" s="154">
        <v>4027894000326</v>
      </c>
      <c r="E794" s="47" t="s">
        <v>450</v>
      </c>
      <c r="F794" s="47" t="s">
        <v>417</v>
      </c>
      <c r="G794" s="155">
        <v>9795.76</v>
      </c>
    </row>
    <row r="795" spans="1:7" hidden="1" x14ac:dyDescent="0.2">
      <c r="A795" s="7" t="s">
        <v>16</v>
      </c>
      <c r="B795" s="7" t="s">
        <v>372</v>
      </c>
      <c r="C795" s="7" t="s">
        <v>373</v>
      </c>
      <c r="D795" s="154">
        <v>4027894000326</v>
      </c>
      <c r="E795" s="47" t="s">
        <v>450</v>
      </c>
      <c r="F795" s="47" t="s">
        <v>440</v>
      </c>
      <c r="G795" s="155">
        <v>1386498.21</v>
      </c>
    </row>
    <row r="796" spans="1:7" hidden="1" x14ac:dyDescent="0.2">
      <c r="A796" s="7" t="s">
        <v>16</v>
      </c>
      <c r="B796" s="7" t="s">
        <v>372</v>
      </c>
      <c r="C796" s="7" t="s">
        <v>373</v>
      </c>
      <c r="D796" s="154">
        <v>4027894000326</v>
      </c>
      <c r="E796" s="47" t="s">
        <v>450</v>
      </c>
      <c r="F796" s="47" t="s">
        <v>418</v>
      </c>
      <c r="G796" s="155">
        <v>173223.06</v>
      </c>
    </row>
    <row r="797" spans="1:7" hidden="1" x14ac:dyDescent="0.2">
      <c r="A797" s="7" t="s">
        <v>16</v>
      </c>
      <c r="B797" s="7" t="s">
        <v>372</v>
      </c>
      <c r="C797" s="7" t="s">
        <v>373</v>
      </c>
      <c r="D797" s="154">
        <v>4027894000750</v>
      </c>
      <c r="E797" s="47" t="s">
        <v>1521</v>
      </c>
      <c r="F797" s="47" t="s">
        <v>440</v>
      </c>
      <c r="G797" s="155">
        <v>27282.78</v>
      </c>
    </row>
    <row r="798" spans="1:7" hidden="1" x14ac:dyDescent="0.2">
      <c r="A798" s="7" t="s">
        <v>16</v>
      </c>
      <c r="B798" s="7" t="s">
        <v>372</v>
      </c>
      <c r="C798" s="7" t="s">
        <v>373</v>
      </c>
      <c r="D798" s="154">
        <v>4307650001298</v>
      </c>
      <c r="E798" s="47" t="s">
        <v>451</v>
      </c>
      <c r="F798" s="47" t="s">
        <v>440</v>
      </c>
      <c r="G798" s="155">
        <v>944376.67</v>
      </c>
    </row>
    <row r="799" spans="1:7" hidden="1" x14ac:dyDescent="0.2">
      <c r="A799" s="7" t="s">
        <v>16</v>
      </c>
      <c r="B799" s="7" t="s">
        <v>372</v>
      </c>
      <c r="C799" s="7" t="s">
        <v>373</v>
      </c>
      <c r="D799" s="154">
        <v>4307650001298</v>
      </c>
      <c r="E799" s="47" t="s">
        <v>451</v>
      </c>
      <c r="F799" s="47" t="s">
        <v>418</v>
      </c>
      <c r="G799" s="155">
        <v>177448.02</v>
      </c>
    </row>
    <row r="800" spans="1:7" hidden="1" x14ac:dyDescent="0.2">
      <c r="A800" s="7" t="s">
        <v>16</v>
      </c>
      <c r="B800" s="7" t="s">
        <v>372</v>
      </c>
      <c r="C800" s="7" t="s">
        <v>373</v>
      </c>
      <c r="D800" s="154">
        <v>4708424000166</v>
      </c>
      <c r="E800" s="47" t="s">
        <v>1278</v>
      </c>
      <c r="F800" s="47" t="s">
        <v>440</v>
      </c>
      <c r="G800" s="155">
        <v>-101.02</v>
      </c>
    </row>
    <row r="801" spans="1:7" hidden="1" x14ac:dyDescent="0.2">
      <c r="A801" s="7" t="s">
        <v>16</v>
      </c>
      <c r="B801" s="7" t="s">
        <v>372</v>
      </c>
      <c r="C801" s="7" t="s">
        <v>373</v>
      </c>
      <c r="D801" s="154">
        <v>5268490000125</v>
      </c>
      <c r="E801" s="47" t="s">
        <v>453</v>
      </c>
      <c r="F801" s="47" t="s">
        <v>417</v>
      </c>
      <c r="G801" s="155">
        <v>115623.32</v>
      </c>
    </row>
    <row r="802" spans="1:7" hidden="1" x14ac:dyDescent="0.2">
      <c r="A802" s="7" t="s">
        <v>16</v>
      </c>
      <c r="B802" s="7" t="s">
        <v>372</v>
      </c>
      <c r="C802" s="7" t="s">
        <v>373</v>
      </c>
      <c r="D802" s="154">
        <v>5268490000125</v>
      </c>
      <c r="E802" s="47" t="s">
        <v>453</v>
      </c>
      <c r="F802" s="47" t="s">
        <v>440</v>
      </c>
      <c r="G802" s="155">
        <v>313556.27</v>
      </c>
    </row>
    <row r="803" spans="1:7" hidden="1" x14ac:dyDescent="0.2">
      <c r="A803" s="7" t="s">
        <v>16</v>
      </c>
      <c r="B803" s="7" t="s">
        <v>372</v>
      </c>
      <c r="C803" s="7" t="s">
        <v>373</v>
      </c>
      <c r="D803" s="154">
        <v>6073848000127</v>
      </c>
      <c r="E803" s="47" t="s">
        <v>464</v>
      </c>
      <c r="F803" s="47" t="s">
        <v>418</v>
      </c>
      <c r="G803" s="155">
        <v>44888.98</v>
      </c>
    </row>
    <row r="804" spans="1:7" hidden="1" x14ac:dyDescent="0.2">
      <c r="A804" s="7" t="s">
        <v>16</v>
      </c>
      <c r="B804" s="7" t="s">
        <v>372</v>
      </c>
      <c r="C804" s="7" t="s">
        <v>373</v>
      </c>
      <c r="D804" s="154">
        <v>6081203000136</v>
      </c>
      <c r="E804" s="47" t="s">
        <v>451</v>
      </c>
      <c r="F804" s="47" t="s">
        <v>440</v>
      </c>
      <c r="G804" s="155">
        <v>535448.19999999995</v>
      </c>
    </row>
    <row r="805" spans="1:7" hidden="1" x14ac:dyDescent="0.2">
      <c r="A805" s="7" t="s">
        <v>16</v>
      </c>
      <c r="B805" s="7" t="s">
        <v>372</v>
      </c>
      <c r="C805" s="7" t="s">
        <v>373</v>
      </c>
      <c r="D805" s="154">
        <v>6081203000136</v>
      </c>
      <c r="E805" s="47" t="s">
        <v>451</v>
      </c>
      <c r="F805" s="47" t="s">
        <v>418</v>
      </c>
      <c r="G805" s="155">
        <v>44362</v>
      </c>
    </row>
    <row r="806" spans="1:7" hidden="1" x14ac:dyDescent="0.2">
      <c r="A806" s="7" t="s">
        <v>16</v>
      </c>
      <c r="B806" s="7" t="s">
        <v>372</v>
      </c>
      <c r="C806" s="7" t="s">
        <v>373</v>
      </c>
      <c r="D806" s="154">
        <v>6234797000178</v>
      </c>
      <c r="E806" s="47" t="s">
        <v>455</v>
      </c>
      <c r="F806" s="47" t="s">
        <v>417</v>
      </c>
      <c r="G806" s="155">
        <v>47151.35</v>
      </c>
    </row>
    <row r="807" spans="1:7" hidden="1" x14ac:dyDescent="0.2">
      <c r="A807" s="7" t="s">
        <v>16</v>
      </c>
      <c r="B807" s="7" t="s">
        <v>372</v>
      </c>
      <c r="C807" s="7" t="s">
        <v>373</v>
      </c>
      <c r="D807" s="154">
        <v>6234797000178</v>
      </c>
      <c r="E807" s="47" t="s">
        <v>455</v>
      </c>
      <c r="F807" s="47" t="s">
        <v>440</v>
      </c>
      <c r="G807" s="155">
        <v>297663.98</v>
      </c>
    </row>
    <row r="808" spans="1:7" hidden="1" x14ac:dyDescent="0.2">
      <c r="A808" s="7" t="s">
        <v>16</v>
      </c>
      <c r="B808" s="7" t="s">
        <v>372</v>
      </c>
      <c r="C808" s="7" t="s">
        <v>373</v>
      </c>
      <c r="D808" s="154">
        <v>6234797000178</v>
      </c>
      <c r="E808" s="47" t="s">
        <v>455</v>
      </c>
      <c r="F808" s="47" t="s">
        <v>418</v>
      </c>
      <c r="G808" s="155">
        <v>45638.29</v>
      </c>
    </row>
    <row r="809" spans="1:7" hidden="1" x14ac:dyDescent="0.2">
      <c r="A809" s="7" t="s">
        <v>16</v>
      </c>
      <c r="B809" s="7" t="s">
        <v>372</v>
      </c>
      <c r="C809" s="7" t="s">
        <v>373</v>
      </c>
      <c r="D809" s="154">
        <v>6553564000138</v>
      </c>
      <c r="E809" s="47" t="s">
        <v>554</v>
      </c>
      <c r="F809" s="47" t="s">
        <v>440</v>
      </c>
      <c r="G809" s="155">
        <v>21518.28</v>
      </c>
    </row>
    <row r="810" spans="1:7" hidden="1" x14ac:dyDescent="0.2">
      <c r="A810" s="7" t="s">
        <v>16</v>
      </c>
      <c r="B810" s="7" t="s">
        <v>372</v>
      </c>
      <c r="C810" s="7" t="s">
        <v>373</v>
      </c>
      <c r="D810" s="154">
        <v>7224991001530</v>
      </c>
      <c r="E810" s="47" t="s">
        <v>456</v>
      </c>
      <c r="F810" s="47" t="s">
        <v>440</v>
      </c>
      <c r="G810" s="155">
        <v>10085.01</v>
      </c>
    </row>
    <row r="811" spans="1:7" hidden="1" x14ac:dyDescent="0.2">
      <c r="A811" s="7" t="s">
        <v>16</v>
      </c>
      <c r="B811" s="7" t="s">
        <v>372</v>
      </c>
      <c r="C811" s="7" t="s">
        <v>373</v>
      </c>
      <c r="D811" s="154">
        <v>7224991001530</v>
      </c>
      <c r="E811" s="47" t="s">
        <v>456</v>
      </c>
      <c r="F811" s="47" t="s">
        <v>418</v>
      </c>
      <c r="G811" s="155">
        <v>29926.75</v>
      </c>
    </row>
    <row r="812" spans="1:7" hidden="1" x14ac:dyDescent="0.2">
      <c r="A812" s="7" t="s">
        <v>16</v>
      </c>
      <c r="B812" s="7" t="s">
        <v>372</v>
      </c>
      <c r="C812" s="7" t="s">
        <v>373</v>
      </c>
      <c r="D812" s="154">
        <v>7484373000124</v>
      </c>
      <c r="E812" s="47" t="s">
        <v>458</v>
      </c>
      <c r="F812" s="47" t="s">
        <v>418</v>
      </c>
      <c r="G812" s="155">
        <v>122337.02</v>
      </c>
    </row>
    <row r="813" spans="1:7" hidden="1" x14ac:dyDescent="0.2">
      <c r="A813" s="7" t="s">
        <v>16</v>
      </c>
      <c r="B813" s="7" t="s">
        <v>372</v>
      </c>
      <c r="C813" s="7" t="s">
        <v>373</v>
      </c>
      <c r="D813" s="154">
        <v>7812105000194</v>
      </c>
      <c r="E813" s="47" t="s">
        <v>460</v>
      </c>
      <c r="F813" s="47" t="s">
        <v>440</v>
      </c>
      <c r="G813" s="155">
        <v>9411.17</v>
      </c>
    </row>
    <row r="814" spans="1:7" hidden="1" x14ac:dyDescent="0.2">
      <c r="A814" s="7" t="s">
        <v>16</v>
      </c>
      <c r="B814" s="7" t="s">
        <v>372</v>
      </c>
      <c r="C814" s="7" t="s">
        <v>373</v>
      </c>
      <c r="D814" s="154">
        <v>7954571001429</v>
      </c>
      <c r="E814" s="47" t="s">
        <v>1522</v>
      </c>
      <c r="F814" s="47" t="s">
        <v>418</v>
      </c>
      <c r="G814" s="155">
        <v>4206.6000000000004</v>
      </c>
    </row>
    <row r="815" spans="1:7" hidden="1" x14ac:dyDescent="0.2">
      <c r="A815" s="7" t="s">
        <v>16</v>
      </c>
      <c r="B815" s="7" t="s">
        <v>372</v>
      </c>
      <c r="C815" s="7" t="s">
        <v>373</v>
      </c>
      <c r="D815" s="154">
        <v>8719794000150</v>
      </c>
      <c r="E815" s="47" t="s">
        <v>460</v>
      </c>
      <c r="F815" s="47" t="s">
        <v>440</v>
      </c>
      <c r="G815" s="155">
        <v>23890.86</v>
      </c>
    </row>
    <row r="816" spans="1:7" hidden="1" x14ac:dyDescent="0.2">
      <c r="A816" s="7" t="s">
        <v>16</v>
      </c>
      <c r="B816" s="7" t="s">
        <v>372</v>
      </c>
      <c r="C816" s="7" t="s">
        <v>373</v>
      </c>
      <c r="D816" s="154">
        <v>8719794000150</v>
      </c>
      <c r="E816" s="47" t="s">
        <v>460</v>
      </c>
      <c r="F816" s="47" t="s">
        <v>418</v>
      </c>
      <c r="G816" s="155">
        <v>5939.58</v>
      </c>
    </row>
    <row r="817" spans="1:7" hidden="1" x14ac:dyDescent="0.2">
      <c r="A817" s="7" t="s">
        <v>16</v>
      </c>
      <c r="B817" s="7" t="s">
        <v>372</v>
      </c>
      <c r="C817" s="7" t="s">
        <v>373</v>
      </c>
      <c r="D817" s="154">
        <v>9053134000226</v>
      </c>
      <c r="E817" s="47" t="s">
        <v>464</v>
      </c>
      <c r="F817" s="47" t="s">
        <v>440</v>
      </c>
      <c r="G817" s="155">
        <v>130943.7</v>
      </c>
    </row>
    <row r="818" spans="1:7" hidden="1" x14ac:dyDescent="0.2">
      <c r="A818" s="7" t="s">
        <v>16</v>
      </c>
      <c r="B818" s="7" t="s">
        <v>372</v>
      </c>
      <c r="C818" s="7" t="s">
        <v>373</v>
      </c>
      <c r="D818" s="154">
        <v>9053134000226</v>
      </c>
      <c r="E818" s="47" t="s">
        <v>464</v>
      </c>
      <c r="F818" s="47" t="s">
        <v>418</v>
      </c>
      <c r="G818" s="155">
        <v>247541.74</v>
      </c>
    </row>
    <row r="819" spans="1:7" hidden="1" x14ac:dyDescent="0.2">
      <c r="A819" s="7" t="s">
        <v>16</v>
      </c>
      <c r="B819" s="7" t="s">
        <v>372</v>
      </c>
      <c r="C819" s="7" t="s">
        <v>373</v>
      </c>
      <c r="D819" s="154">
        <v>9577422000280</v>
      </c>
      <c r="E819" s="47" t="s">
        <v>1514</v>
      </c>
      <c r="F819" s="47" t="s">
        <v>440</v>
      </c>
      <c r="G819" s="155">
        <v>30450</v>
      </c>
    </row>
    <row r="820" spans="1:7" hidden="1" x14ac:dyDescent="0.2">
      <c r="A820" s="7" t="s">
        <v>16</v>
      </c>
      <c r="B820" s="7" t="s">
        <v>372</v>
      </c>
      <c r="C820" s="7" t="s">
        <v>373</v>
      </c>
      <c r="D820" s="154">
        <v>9579964000291</v>
      </c>
      <c r="E820" s="47" t="s">
        <v>498</v>
      </c>
      <c r="F820" s="47" t="s">
        <v>440</v>
      </c>
      <c r="G820" s="155">
        <v>175221.99</v>
      </c>
    </row>
    <row r="821" spans="1:7" hidden="1" x14ac:dyDescent="0.2">
      <c r="A821" s="7" t="s">
        <v>16</v>
      </c>
      <c r="B821" s="7" t="s">
        <v>372</v>
      </c>
      <c r="C821" s="7" t="s">
        <v>373</v>
      </c>
      <c r="D821" s="154">
        <v>9591608000293</v>
      </c>
      <c r="E821" s="47" t="s">
        <v>1523</v>
      </c>
      <c r="F821" s="47" t="s">
        <v>440</v>
      </c>
      <c r="G821" s="155">
        <v>152250</v>
      </c>
    </row>
    <row r="822" spans="1:7" hidden="1" x14ac:dyDescent="0.2">
      <c r="A822" s="7" t="s">
        <v>16</v>
      </c>
      <c r="B822" s="7" t="s">
        <v>372</v>
      </c>
      <c r="C822" s="7" t="s">
        <v>373</v>
      </c>
      <c r="D822" s="154">
        <v>9660958000345</v>
      </c>
      <c r="E822" s="47" t="s">
        <v>1512</v>
      </c>
      <c r="F822" s="47" t="s">
        <v>440</v>
      </c>
      <c r="G822" s="155">
        <v>60727.27</v>
      </c>
    </row>
    <row r="823" spans="1:7" hidden="1" x14ac:dyDescent="0.2">
      <c r="A823" s="7" t="s">
        <v>16</v>
      </c>
      <c r="B823" s="7" t="s">
        <v>372</v>
      </c>
      <c r="C823" s="7" t="s">
        <v>373</v>
      </c>
      <c r="D823" s="154">
        <v>9660958000345</v>
      </c>
      <c r="E823" s="47" t="s">
        <v>1512</v>
      </c>
      <c r="F823" s="47" t="s">
        <v>418</v>
      </c>
      <c r="G823" s="155">
        <v>115482.04</v>
      </c>
    </row>
    <row r="824" spans="1:7" hidden="1" x14ac:dyDescent="0.2">
      <c r="A824" s="7" t="s">
        <v>16</v>
      </c>
      <c r="B824" s="7" t="s">
        <v>372</v>
      </c>
      <c r="C824" s="7" t="s">
        <v>373</v>
      </c>
      <c r="D824" s="154">
        <v>10586940000168</v>
      </c>
      <c r="E824" s="47" t="s">
        <v>1269</v>
      </c>
      <c r="F824" s="47" t="s">
        <v>417</v>
      </c>
      <c r="G824" s="155">
        <v>49201.42</v>
      </c>
    </row>
    <row r="825" spans="1:7" hidden="1" x14ac:dyDescent="0.2">
      <c r="A825" s="7" t="s">
        <v>16</v>
      </c>
      <c r="B825" s="7" t="s">
        <v>372</v>
      </c>
      <c r="C825" s="7" t="s">
        <v>373</v>
      </c>
      <c r="D825" s="154">
        <v>10586940000168</v>
      </c>
      <c r="E825" s="47" t="s">
        <v>1269</v>
      </c>
      <c r="F825" s="47" t="s">
        <v>440</v>
      </c>
      <c r="G825" s="155">
        <v>106602.29</v>
      </c>
    </row>
    <row r="826" spans="1:7" hidden="1" x14ac:dyDescent="0.2">
      <c r="A826" s="7" t="s">
        <v>16</v>
      </c>
      <c r="B826" s="7" t="s">
        <v>372</v>
      </c>
      <c r="C826" s="7" t="s">
        <v>373</v>
      </c>
      <c r="D826" s="154">
        <v>10586940000168</v>
      </c>
      <c r="E826" s="47" t="s">
        <v>1269</v>
      </c>
      <c r="F826" s="47" t="s">
        <v>418</v>
      </c>
      <c r="G826" s="155">
        <v>7481.68</v>
      </c>
    </row>
    <row r="827" spans="1:7" hidden="1" x14ac:dyDescent="0.2">
      <c r="A827" s="7" t="s">
        <v>16</v>
      </c>
      <c r="B827" s="7" t="s">
        <v>372</v>
      </c>
      <c r="C827" s="7" t="s">
        <v>373</v>
      </c>
      <c r="D827" s="154">
        <v>11051186000124</v>
      </c>
      <c r="E827" s="47" t="s">
        <v>460</v>
      </c>
      <c r="F827" s="47" t="s">
        <v>440</v>
      </c>
      <c r="G827" s="155">
        <v>41173.370000000003</v>
      </c>
    </row>
    <row r="828" spans="1:7" hidden="1" x14ac:dyDescent="0.2">
      <c r="A828" s="7" t="s">
        <v>16</v>
      </c>
      <c r="B828" s="7" t="s">
        <v>372</v>
      </c>
      <c r="C828" s="7" t="s">
        <v>373</v>
      </c>
      <c r="D828" s="154">
        <v>12420164000904</v>
      </c>
      <c r="E828" s="47" t="s">
        <v>470</v>
      </c>
      <c r="F828" s="47" t="s">
        <v>417</v>
      </c>
      <c r="G828" s="155">
        <v>505961.85</v>
      </c>
    </row>
    <row r="829" spans="1:7" hidden="1" x14ac:dyDescent="0.2">
      <c r="A829" s="7" t="s">
        <v>16</v>
      </c>
      <c r="B829" s="7" t="s">
        <v>372</v>
      </c>
      <c r="C829" s="7" t="s">
        <v>373</v>
      </c>
      <c r="D829" s="154">
        <v>12420164000904</v>
      </c>
      <c r="E829" s="47" t="s">
        <v>470</v>
      </c>
      <c r="F829" s="47" t="s">
        <v>440</v>
      </c>
      <c r="G829" s="155">
        <v>2720661.68</v>
      </c>
    </row>
    <row r="830" spans="1:7" hidden="1" x14ac:dyDescent="0.2">
      <c r="A830" s="7" t="s">
        <v>16</v>
      </c>
      <c r="B830" s="7" t="s">
        <v>372</v>
      </c>
      <c r="C830" s="7" t="s">
        <v>373</v>
      </c>
      <c r="D830" s="154">
        <v>12420164000904</v>
      </c>
      <c r="E830" s="47" t="s">
        <v>470</v>
      </c>
      <c r="F830" s="47" t="s">
        <v>418</v>
      </c>
      <c r="G830" s="155">
        <v>40418.51</v>
      </c>
    </row>
    <row r="831" spans="1:7" hidden="1" x14ac:dyDescent="0.2">
      <c r="A831" s="7" t="s">
        <v>16</v>
      </c>
      <c r="B831" s="7" t="s">
        <v>372</v>
      </c>
      <c r="C831" s="7" t="s">
        <v>373</v>
      </c>
      <c r="D831" s="154">
        <v>12474705000120</v>
      </c>
      <c r="E831" s="47" t="s">
        <v>471</v>
      </c>
      <c r="F831" s="47" t="s">
        <v>440</v>
      </c>
      <c r="G831" s="155">
        <v>19980</v>
      </c>
    </row>
    <row r="832" spans="1:7" hidden="1" x14ac:dyDescent="0.2">
      <c r="A832" s="7" t="s">
        <v>16</v>
      </c>
      <c r="B832" s="7" t="s">
        <v>372</v>
      </c>
      <c r="C832" s="7" t="s">
        <v>373</v>
      </c>
      <c r="D832" s="154">
        <v>15126437001549</v>
      </c>
      <c r="E832" s="47" t="s">
        <v>1524</v>
      </c>
      <c r="F832" s="47" t="s">
        <v>440</v>
      </c>
      <c r="G832" s="155">
        <v>212330.79</v>
      </c>
    </row>
    <row r="833" spans="1:7" hidden="1" x14ac:dyDescent="0.2">
      <c r="A833" s="7" t="s">
        <v>16</v>
      </c>
      <c r="B833" s="7" t="s">
        <v>372</v>
      </c>
      <c r="C833" s="7" t="s">
        <v>373</v>
      </c>
      <c r="D833" s="154">
        <v>15126437001972</v>
      </c>
      <c r="E833" s="47" t="s">
        <v>474</v>
      </c>
      <c r="F833" s="47" t="s">
        <v>440</v>
      </c>
      <c r="G833" s="155">
        <v>8036</v>
      </c>
    </row>
    <row r="834" spans="1:7" hidden="1" x14ac:dyDescent="0.2">
      <c r="A834" s="7" t="s">
        <v>16</v>
      </c>
      <c r="B834" s="7" t="s">
        <v>372</v>
      </c>
      <c r="C834" s="7" t="s">
        <v>373</v>
      </c>
      <c r="D834" s="154">
        <v>15126437002510</v>
      </c>
      <c r="E834" s="47" t="s">
        <v>1525</v>
      </c>
      <c r="F834" s="47" t="s">
        <v>440</v>
      </c>
      <c r="G834" s="155">
        <v>39286.400000000001</v>
      </c>
    </row>
    <row r="835" spans="1:7" hidden="1" x14ac:dyDescent="0.2">
      <c r="A835" s="7" t="s">
        <v>16</v>
      </c>
      <c r="B835" s="7" t="s">
        <v>372</v>
      </c>
      <c r="C835" s="7" t="s">
        <v>373</v>
      </c>
      <c r="D835" s="154">
        <v>15126437003240</v>
      </c>
      <c r="E835" s="47" t="s">
        <v>1285</v>
      </c>
      <c r="F835" s="47" t="s">
        <v>440</v>
      </c>
      <c r="G835" s="155">
        <v>24553.5</v>
      </c>
    </row>
    <row r="836" spans="1:7" hidden="1" x14ac:dyDescent="0.2">
      <c r="A836" s="7" t="s">
        <v>16</v>
      </c>
      <c r="B836" s="7" t="s">
        <v>372</v>
      </c>
      <c r="C836" s="7" t="s">
        <v>373</v>
      </c>
      <c r="D836" s="154">
        <v>15126437003592</v>
      </c>
      <c r="E836" s="47" t="s">
        <v>1526</v>
      </c>
      <c r="F836" s="47" t="s">
        <v>417</v>
      </c>
      <c r="G836" s="155">
        <v>33920</v>
      </c>
    </row>
    <row r="837" spans="1:7" hidden="1" x14ac:dyDescent="0.2">
      <c r="A837" s="7" t="s">
        <v>16</v>
      </c>
      <c r="B837" s="7" t="s">
        <v>372</v>
      </c>
      <c r="C837" s="7" t="s">
        <v>373</v>
      </c>
      <c r="D837" s="154">
        <v>15145035000196</v>
      </c>
      <c r="E837" s="47" t="s">
        <v>475</v>
      </c>
      <c r="F837" s="47" t="s">
        <v>417</v>
      </c>
      <c r="G837" s="155">
        <v>10660.31</v>
      </c>
    </row>
    <row r="838" spans="1:7" hidden="1" x14ac:dyDescent="0.2">
      <c r="A838" s="7" t="s">
        <v>16</v>
      </c>
      <c r="B838" s="7" t="s">
        <v>372</v>
      </c>
      <c r="C838" s="7" t="s">
        <v>373</v>
      </c>
      <c r="D838" s="154">
        <v>15145035000196</v>
      </c>
      <c r="E838" s="47" t="s">
        <v>475</v>
      </c>
      <c r="F838" s="47" t="s">
        <v>440</v>
      </c>
      <c r="G838" s="155">
        <v>151779.21</v>
      </c>
    </row>
    <row r="839" spans="1:7" hidden="1" x14ac:dyDescent="0.2">
      <c r="A839" s="7" t="s">
        <v>16</v>
      </c>
      <c r="B839" s="7" t="s">
        <v>372</v>
      </c>
      <c r="C839" s="7" t="s">
        <v>373</v>
      </c>
      <c r="D839" s="154">
        <v>15145035000196</v>
      </c>
      <c r="E839" s="47" t="s">
        <v>475</v>
      </c>
      <c r="F839" s="47" t="s">
        <v>418</v>
      </c>
      <c r="G839" s="155">
        <v>44890.12</v>
      </c>
    </row>
    <row r="840" spans="1:7" hidden="1" x14ac:dyDescent="0.2">
      <c r="A840" s="7" t="s">
        <v>16</v>
      </c>
      <c r="B840" s="7" t="s">
        <v>372</v>
      </c>
      <c r="C840" s="7" t="s">
        <v>373</v>
      </c>
      <c r="D840" s="154">
        <v>15180714000287</v>
      </c>
      <c r="E840" s="47" t="s">
        <v>1286</v>
      </c>
      <c r="F840" s="47" t="s">
        <v>440</v>
      </c>
      <c r="G840" s="155">
        <v>234617.2</v>
      </c>
    </row>
    <row r="841" spans="1:7" hidden="1" x14ac:dyDescent="0.2">
      <c r="A841" s="7" t="s">
        <v>16</v>
      </c>
      <c r="B841" s="7" t="s">
        <v>372</v>
      </c>
      <c r="C841" s="7" t="s">
        <v>373</v>
      </c>
      <c r="D841" s="154">
        <v>16695025000197</v>
      </c>
      <c r="E841" s="47" t="s">
        <v>1349</v>
      </c>
      <c r="F841" s="47" t="s">
        <v>440</v>
      </c>
      <c r="G841" s="155">
        <v>49750</v>
      </c>
    </row>
    <row r="842" spans="1:7" hidden="1" x14ac:dyDescent="0.2">
      <c r="A842" s="7" t="s">
        <v>16</v>
      </c>
      <c r="B842" s="7" t="s">
        <v>372</v>
      </c>
      <c r="C842" s="7" t="s">
        <v>373</v>
      </c>
      <c r="D842" s="154">
        <v>17700763000300</v>
      </c>
      <c r="E842" s="47" t="s">
        <v>477</v>
      </c>
      <c r="F842" s="47" t="s">
        <v>417</v>
      </c>
      <c r="G842" s="155">
        <v>96751.65</v>
      </c>
    </row>
    <row r="843" spans="1:7" hidden="1" x14ac:dyDescent="0.2">
      <c r="A843" s="7" t="s">
        <v>16</v>
      </c>
      <c r="B843" s="7" t="s">
        <v>372</v>
      </c>
      <c r="C843" s="7" t="s">
        <v>373</v>
      </c>
      <c r="D843" s="154">
        <v>17700763000300</v>
      </c>
      <c r="E843" s="47" t="s">
        <v>477</v>
      </c>
      <c r="F843" s="47" t="s">
        <v>440</v>
      </c>
      <c r="G843" s="155">
        <v>587270.66</v>
      </c>
    </row>
    <row r="844" spans="1:7" hidden="1" x14ac:dyDescent="0.2">
      <c r="A844" s="7" t="s">
        <v>16</v>
      </c>
      <c r="B844" s="7" t="s">
        <v>372</v>
      </c>
      <c r="C844" s="7" t="s">
        <v>373</v>
      </c>
      <c r="D844" s="154">
        <v>17700763000300</v>
      </c>
      <c r="E844" s="47" t="s">
        <v>477</v>
      </c>
      <c r="F844" s="47" t="s">
        <v>418</v>
      </c>
      <c r="G844" s="155">
        <v>72176.28</v>
      </c>
    </row>
    <row r="845" spans="1:7" hidden="1" x14ac:dyDescent="0.2">
      <c r="A845" s="7" t="s">
        <v>16</v>
      </c>
      <c r="B845" s="7" t="s">
        <v>372</v>
      </c>
      <c r="C845" s="7" t="s">
        <v>373</v>
      </c>
      <c r="D845" s="154">
        <v>18269125000187</v>
      </c>
      <c r="E845" s="47" t="s">
        <v>478</v>
      </c>
      <c r="F845" s="47" t="s">
        <v>440</v>
      </c>
      <c r="G845" s="155">
        <v>196093.07</v>
      </c>
    </row>
    <row r="846" spans="1:7" hidden="1" x14ac:dyDescent="0.2">
      <c r="A846" s="7" t="s">
        <v>16</v>
      </c>
      <c r="B846" s="7" t="s">
        <v>372</v>
      </c>
      <c r="C846" s="7" t="s">
        <v>373</v>
      </c>
      <c r="D846" s="154">
        <v>18269125000187</v>
      </c>
      <c r="E846" s="47" t="s">
        <v>478</v>
      </c>
      <c r="F846" s="47" t="s">
        <v>418</v>
      </c>
      <c r="G846" s="155">
        <v>299259.84000000003</v>
      </c>
    </row>
    <row r="847" spans="1:7" hidden="1" x14ac:dyDescent="0.2">
      <c r="A847" s="7" t="s">
        <v>16</v>
      </c>
      <c r="B847" s="7" t="s">
        <v>372</v>
      </c>
      <c r="C847" s="7" t="s">
        <v>373</v>
      </c>
      <c r="D847" s="154">
        <v>19843929002901</v>
      </c>
      <c r="E847" s="47" t="s">
        <v>1518</v>
      </c>
      <c r="F847" s="47" t="s">
        <v>417</v>
      </c>
      <c r="G847" s="155">
        <v>2125.44</v>
      </c>
    </row>
    <row r="848" spans="1:7" hidden="1" x14ac:dyDescent="0.2">
      <c r="A848" s="7" t="s">
        <v>16</v>
      </c>
      <c r="B848" s="7" t="s">
        <v>372</v>
      </c>
      <c r="C848" s="7" t="s">
        <v>373</v>
      </c>
      <c r="D848" s="154">
        <v>20001049000176</v>
      </c>
      <c r="E848" s="47" t="s">
        <v>1305</v>
      </c>
      <c r="F848" s="47" t="s">
        <v>417</v>
      </c>
      <c r="G848" s="155">
        <v>2132.06</v>
      </c>
    </row>
    <row r="849" spans="1:7" hidden="1" x14ac:dyDescent="0.2">
      <c r="A849" s="7" t="s">
        <v>16</v>
      </c>
      <c r="B849" s="7" t="s">
        <v>372</v>
      </c>
      <c r="C849" s="7" t="s">
        <v>373</v>
      </c>
      <c r="D849" s="154">
        <v>20001049000176</v>
      </c>
      <c r="E849" s="47" t="s">
        <v>1305</v>
      </c>
      <c r="F849" s="47" t="s">
        <v>440</v>
      </c>
      <c r="G849" s="155">
        <v>41540.65</v>
      </c>
    </row>
    <row r="850" spans="1:7" hidden="1" x14ac:dyDescent="0.2">
      <c r="A850" s="7" t="s">
        <v>16</v>
      </c>
      <c r="B850" s="7" t="s">
        <v>372</v>
      </c>
      <c r="C850" s="7" t="s">
        <v>373</v>
      </c>
      <c r="D850" s="154">
        <v>20001049000176</v>
      </c>
      <c r="E850" s="47" t="s">
        <v>1305</v>
      </c>
      <c r="F850" s="47" t="s">
        <v>418</v>
      </c>
      <c r="G850" s="155">
        <v>16459.7</v>
      </c>
    </row>
    <row r="851" spans="1:7" hidden="1" x14ac:dyDescent="0.2">
      <c r="A851" s="7" t="s">
        <v>16</v>
      </c>
      <c r="B851" s="7" t="s">
        <v>372</v>
      </c>
      <c r="C851" s="7" t="s">
        <v>373</v>
      </c>
      <c r="D851" s="154">
        <v>21895020000148</v>
      </c>
      <c r="E851" s="47" t="s">
        <v>460</v>
      </c>
      <c r="F851" s="47" t="s">
        <v>440</v>
      </c>
      <c r="G851" s="155">
        <v>45853.63</v>
      </c>
    </row>
    <row r="852" spans="1:7" hidden="1" x14ac:dyDescent="0.2">
      <c r="A852" s="7" t="s">
        <v>16</v>
      </c>
      <c r="B852" s="7" t="s">
        <v>372</v>
      </c>
      <c r="C852" s="7" t="s">
        <v>373</v>
      </c>
      <c r="D852" s="154">
        <v>22355622000175</v>
      </c>
      <c r="E852" s="47" t="s">
        <v>1332</v>
      </c>
      <c r="F852" s="47" t="s">
        <v>440</v>
      </c>
      <c r="G852" s="155">
        <v>38828.589999999997</v>
      </c>
    </row>
    <row r="853" spans="1:7" hidden="1" x14ac:dyDescent="0.2">
      <c r="A853" s="7" t="s">
        <v>16</v>
      </c>
      <c r="B853" s="7" t="s">
        <v>372</v>
      </c>
      <c r="C853" s="7" t="s">
        <v>373</v>
      </c>
      <c r="D853" s="154">
        <v>24082016000159</v>
      </c>
      <c r="E853" s="47" t="s">
        <v>1261</v>
      </c>
      <c r="F853" s="47" t="s">
        <v>440</v>
      </c>
      <c r="G853" s="155">
        <v>26612.1</v>
      </c>
    </row>
    <row r="854" spans="1:7" hidden="1" x14ac:dyDescent="0.2">
      <c r="A854" s="7" t="s">
        <v>16</v>
      </c>
      <c r="B854" s="7" t="s">
        <v>372</v>
      </c>
      <c r="C854" s="7" t="s">
        <v>373</v>
      </c>
      <c r="D854" s="154">
        <v>25211499000107</v>
      </c>
      <c r="E854" s="47" t="s">
        <v>468</v>
      </c>
      <c r="F854" s="47" t="s">
        <v>440</v>
      </c>
      <c r="G854" s="155">
        <v>259104.01</v>
      </c>
    </row>
    <row r="855" spans="1:7" hidden="1" x14ac:dyDescent="0.2">
      <c r="A855" s="7" t="s">
        <v>16</v>
      </c>
      <c r="B855" s="7" t="s">
        <v>372</v>
      </c>
      <c r="C855" s="7" t="s">
        <v>373</v>
      </c>
      <c r="D855" s="154">
        <v>25211499000107</v>
      </c>
      <c r="E855" s="47" t="s">
        <v>468</v>
      </c>
      <c r="F855" s="47" t="s">
        <v>418</v>
      </c>
      <c r="G855" s="155">
        <v>50699.43</v>
      </c>
    </row>
    <row r="856" spans="1:7" hidden="1" x14ac:dyDescent="0.2">
      <c r="A856" s="7" t="s">
        <v>16</v>
      </c>
      <c r="B856" s="7" t="s">
        <v>372</v>
      </c>
      <c r="C856" s="7" t="s">
        <v>373</v>
      </c>
      <c r="D856" s="154">
        <v>25211499000379</v>
      </c>
      <c r="E856" s="47" t="s">
        <v>1279</v>
      </c>
      <c r="F856" s="47" t="s">
        <v>440</v>
      </c>
      <c r="G856" s="155">
        <v>6735.9</v>
      </c>
    </row>
    <row r="857" spans="1:7" hidden="1" x14ac:dyDescent="0.2">
      <c r="A857" s="7" t="s">
        <v>16</v>
      </c>
      <c r="B857" s="7" t="s">
        <v>372</v>
      </c>
      <c r="C857" s="7" t="s">
        <v>373</v>
      </c>
      <c r="D857" s="154">
        <v>25648387000207</v>
      </c>
      <c r="E857" s="47" t="s">
        <v>1241</v>
      </c>
      <c r="F857" s="47" t="s">
        <v>440</v>
      </c>
      <c r="G857" s="155">
        <v>39547.199999999997</v>
      </c>
    </row>
    <row r="858" spans="1:7" hidden="1" x14ac:dyDescent="0.2">
      <c r="A858" s="7" t="s">
        <v>16</v>
      </c>
      <c r="B858" s="7" t="s">
        <v>372</v>
      </c>
      <c r="C858" s="7" t="s">
        <v>373</v>
      </c>
      <c r="D858" s="154">
        <v>27080605000609</v>
      </c>
      <c r="E858" s="47" t="s">
        <v>1527</v>
      </c>
      <c r="F858" s="47" t="s">
        <v>440</v>
      </c>
      <c r="G858" s="155">
        <v>18223.400000000001</v>
      </c>
    </row>
    <row r="859" spans="1:7" hidden="1" x14ac:dyDescent="0.2">
      <c r="A859" s="7" t="s">
        <v>16</v>
      </c>
      <c r="B859" s="7" t="s">
        <v>372</v>
      </c>
      <c r="C859" s="7" t="s">
        <v>373</v>
      </c>
      <c r="D859" s="154">
        <v>27080605002059</v>
      </c>
      <c r="E859" s="47" t="s">
        <v>1528</v>
      </c>
      <c r="F859" s="47" t="s">
        <v>440</v>
      </c>
      <c r="G859" s="155">
        <v>9111.7000000000007</v>
      </c>
    </row>
    <row r="860" spans="1:7" hidden="1" x14ac:dyDescent="0.2">
      <c r="A860" s="7" t="s">
        <v>16</v>
      </c>
      <c r="B860" s="7" t="s">
        <v>372</v>
      </c>
      <c r="C860" s="7" t="s">
        <v>373</v>
      </c>
      <c r="D860" s="154">
        <v>31378288000166</v>
      </c>
      <c r="E860" s="47" t="s">
        <v>463</v>
      </c>
      <c r="F860" s="47" t="s">
        <v>440</v>
      </c>
      <c r="G860" s="155">
        <v>319805.39</v>
      </c>
    </row>
    <row r="861" spans="1:7" hidden="1" x14ac:dyDescent="0.2">
      <c r="A861" s="7" t="s">
        <v>16</v>
      </c>
      <c r="B861" s="7" t="s">
        <v>372</v>
      </c>
      <c r="C861" s="7" t="s">
        <v>373</v>
      </c>
      <c r="D861" s="154">
        <v>31378288000166</v>
      </c>
      <c r="E861" s="47" t="s">
        <v>463</v>
      </c>
      <c r="F861" s="47" t="s">
        <v>418</v>
      </c>
      <c r="G861" s="155">
        <v>360877.08</v>
      </c>
    </row>
    <row r="862" spans="1:7" hidden="1" x14ac:dyDescent="0.2">
      <c r="A862" s="7" t="s">
        <v>16</v>
      </c>
      <c r="B862" s="7" t="s">
        <v>372</v>
      </c>
      <c r="C862" s="7" t="s">
        <v>373</v>
      </c>
      <c r="D862" s="154">
        <v>33540014000157</v>
      </c>
      <c r="E862" s="47" t="s">
        <v>1529</v>
      </c>
      <c r="F862" s="47" t="s">
        <v>417</v>
      </c>
      <c r="G862" s="155">
        <v>88257.600000000006</v>
      </c>
    </row>
    <row r="863" spans="1:7" hidden="1" x14ac:dyDescent="0.2">
      <c r="A863" s="7" t="s">
        <v>16</v>
      </c>
      <c r="B863" s="7" t="s">
        <v>372</v>
      </c>
      <c r="C863" s="7" t="s">
        <v>373</v>
      </c>
      <c r="D863" s="154">
        <v>33663683005347</v>
      </c>
      <c r="E863" s="47" t="s">
        <v>483</v>
      </c>
      <c r="F863" s="47" t="s">
        <v>440</v>
      </c>
      <c r="G863" s="155">
        <v>243993.60000000001</v>
      </c>
    </row>
    <row r="864" spans="1:7" hidden="1" x14ac:dyDescent="0.2">
      <c r="A864" s="7" t="s">
        <v>16</v>
      </c>
      <c r="B864" s="7" t="s">
        <v>372</v>
      </c>
      <c r="C864" s="7" t="s">
        <v>373</v>
      </c>
      <c r="D864" s="154">
        <v>37396017000624</v>
      </c>
      <c r="E864" s="47" t="s">
        <v>468</v>
      </c>
      <c r="F864" s="47" t="s">
        <v>440</v>
      </c>
      <c r="G864" s="155">
        <v>599206.79</v>
      </c>
    </row>
    <row r="865" spans="1:7" hidden="1" x14ac:dyDescent="0.2">
      <c r="A865" s="7" t="s">
        <v>16</v>
      </c>
      <c r="B865" s="7" t="s">
        <v>372</v>
      </c>
      <c r="C865" s="7" t="s">
        <v>373</v>
      </c>
      <c r="D865" s="154">
        <v>37396017000624</v>
      </c>
      <c r="E865" s="47" t="s">
        <v>468</v>
      </c>
      <c r="F865" s="47" t="s">
        <v>418</v>
      </c>
      <c r="G865" s="155">
        <v>40665.17</v>
      </c>
    </row>
    <row r="866" spans="1:7" hidden="1" x14ac:dyDescent="0.2">
      <c r="A866" s="7" t="s">
        <v>16</v>
      </c>
      <c r="B866" s="7" t="s">
        <v>372</v>
      </c>
      <c r="C866" s="7" t="s">
        <v>373</v>
      </c>
      <c r="D866" s="154">
        <v>45780103000150</v>
      </c>
      <c r="E866" s="47" t="s">
        <v>1242</v>
      </c>
      <c r="F866" s="47" t="s">
        <v>440</v>
      </c>
      <c r="G866" s="155">
        <v>98216</v>
      </c>
    </row>
    <row r="867" spans="1:7" hidden="1" x14ac:dyDescent="0.2">
      <c r="A867" s="7" t="s">
        <v>16</v>
      </c>
      <c r="B867" s="7" t="s">
        <v>372</v>
      </c>
      <c r="C867" s="7" t="s">
        <v>373</v>
      </c>
      <c r="D867" s="154">
        <v>46374500008845</v>
      </c>
      <c r="E867" s="47" t="s">
        <v>1272</v>
      </c>
      <c r="F867" s="47" t="s">
        <v>440</v>
      </c>
      <c r="G867" s="155">
        <v>65280</v>
      </c>
    </row>
    <row r="868" spans="1:7" hidden="1" x14ac:dyDescent="0.2">
      <c r="A868" s="7" t="s">
        <v>16</v>
      </c>
      <c r="B868" s="7" t="s">
        <v>372</v>
      </c>
      <c r="C868" s="7" t="s">
        <v>373</v>
      </c>
      <c r="D868" s="154">
        <v>46374500008845</v>
      </c>
      <c r="E868" s="47" t="s">
        <v>1272</v>
      </c>
      <c r="F868" s="47" t="s">
        <v>418</v>
      </c>
      <c r="G868" s="155">
        <v>33746</v>
      </c>
    </row>
    <row r="869" spans="1:7" hidden="1" x14ac:dyDescent="0.2">
      <c r="A869" s="7" t="s">
        <v>16</v>
      </c>
      <c r="B869" s="7" t="s">
        <v>372</v>
      </c>
      <c r="C869" s="7" t="s">
        <v>373</v>
      </c>
      <c r="D869" s="154">
        <v>46374500011200</v>
      </c>
      <c r="E869" s="47" t="s">
        <v>1245</v>
      </c>
      <c r="F869" s="47" t="s">
        <v>418</v>
      </c>
      <c r="G869" s="155">
        <v>3374.6</v>
      </c>
    </row>
    <row r="870" spans="1:7" hidden="1" x14ac:dyDescent="0.2">
      <c r="A870" s="7" t="s">
        <v>16</v>
      </c>
      <c r="B870" s="7" t="s">
        <v>372</v>
      </c>
      <c r="C870" s="7" t="s">
        <v>373</v>
      </c>
      <c r="D870" s="154">
        <v>46374500011390</v>
      </c>
      <c r="E870" s="47" t="s">
        <v>1246</v>
      </c>
      <c r="F870" s="47" t="s">
        <v>418</v>
      </c>
      <c r="G870" s="155">
        <v>2530.9499999999998</v>
      </c>
    </row>
    <row r="871" spans="1:7" hidden="1" x14ac:dyDescent="0.2">
      <c r="A871" s="7" t="s">
        <v>16</v>
      </c>
      <c r="B871" s="7" t="s">
        <v>372</v>
      </c>
      <c r="C871" s="7" t="s">
        <v>373</v>
      </c>
      <c r="D871" s="154">
        <v>46374500011803</v>
      </c>
      <c r="E871" s="47" t="s">
        <v>1530</v>
      </c>
      <c r="F871" s="47" t="s">
        <v>440</v>
      </c>
      <c r="G871" s="155">
        <v>69279</v>
      </c>
    </row>
    <row r="872" spans="1:7" hidden="1" x14ac:dyDescent="0.2">
      <c r="A872" s="7" t="s">
        <v>16</v>
      </c>
      <c r="B872" s="7" t="s">
        <v>372</v>
      </c>
      <c r="C872" s="7" t="s">
        <v>373</v>
      </c>
      <c r="D872" s="154">
        <v>46374500026231</v>
      </c>
      <c r="E872" s="47" t="s">
        <v>1265</v>
      </c>
      <c r="F872" s="47" t="s">
        <v>440</v>
      </c>
      <c r="G872" s="155">
        <v>36519.839999999997</v>
      </c>
    </row>
    <row r="873" spans="1:7" hidden="1" x14ac:dyDescent="0.2">
      <c r="A873" s="7" t="s">
        <v>16</v>
      </c>
      <c r="B873" s="7" t="s">
        <v>372</v>
      </c>
      <c r="C873" s="7" t="s">
        <v>373</v>
      </c>
      <c r="D873" s="154">
        <v>47018676000176</v>
      </c>
      <c r="E873" s="47" t="s">
        <v>1531</v>
      </c>
      <c r="F873" s="47" t="s">
        <v>440</v>
      </c>
      <c r="G873" s="155">
        <v>46110.8</v>
      </c>
    </row>
    <row r="874" spans="1:7" hidden="1" x14ac:dyDescent="0.2">
      <c r="A874" s="7" t="s">
        <v>16</v>
      </c>
      <c r="B874" s="7" t="s">
        <v>372</v>
      </c>
      <c r="C874" s="7" t="s">
        <v>373</v>
      </c>
      <c r="D874" s="154">
        <v>48468284000171</v>
      </c>
      <c r="E874" s="47" t="s">
        <v>489</v>
      </c>
      <c r="F874" s="47" t="s">
        <v>440</v>
      </c>
      <c r="G874" s="155">
        <v>30740.7</v>
      </c>
    </row>
    <row r="875" spans="1:7" hidden="1" x14ac:dyDescent="0.2">
      <c r="A875" s="7" t="s">
        <v>16</v>
      </c>
      <c r="B875" s="7" t="s">
        <v>372</v>
      </c>
      <c r="C875" s="7" t="s">
        <v>373</v>
      </c>
      <c r="D875" s="154">
        <v>56577059000100</v>
      </c>
      <c r="E875" s="47" t="s">
        <v>1276</v>
      </c>
      <c r="F875" s="47" t="s">
        <v>417</v>
      </c>
      <c r="G875" s="155">
        <v>33062.400000000001</v>
      </c>
    </row>
    <row r="876" spans="1:7" hidden="1" x14ac:dyDescent="0.2">
      <c r="A876" s="7" t="s">
        <v>16</v>
      </c>
      <c r="B876" s="7" t="s">
        <v>372</v>
      </c>
      <c r="C876" s="7" t="s">
        <v>373</v>
      </c>
      <c r="D876" s="154">
        <v>60003761000129</v>
      </c>
      <c r="E876" s="47" t="s">
        <v>1251</v>
      </c>
      <c r="F876" s="47" t="s">
        <v>417</v>
      </c>
      <c r="G876" s="155">
        <v>39360</v>
      </c>
    </row>
    <row r="877" spans="1:7" hidden="1" x14ac:dyDescent="0.2">
      <c r="A877" s="7" t="s">
        <v>16</v>
      </c>
      <c r="B877" s="7" t="s">
        <v>372</v>
      </c>
      <c r="C877" s="7" t="s">
        <v>373</v>
      </c>
      <c r="D877" s="154">
        <v>60003761000129</v>
      </c>
      <c r="E877" s="47" t="s">
        <v>1251</v>
      </c>
      <c r="F877" s="47" t="s">
        <v>440</v>
      </c>
      <c r="G877" s="155">
        <v>16116.83</v>
      </c>
    </row>
    <row r="878" spans="1:7" hidden="1" x14ac:dyDescent="0.2">
      <c r="A878" s="7" t="s">
        <v>16</v>
      </c>
      <c r="B878" s="7" t="s">
        <v>372</v>
      </c>
      <c r="C878" s="7" t="s">
        <v>373</v>
      </c>
      <c r="D878" s="154">
        <v>60448040000122</v>
      </c>
      <c r="E878" s="47" t="s">
        <v>1252</v>
      </c>
      <c r="F878" s="47" t="s">
        <v>417</v>
      </c>
      <c r="G878" s="155">
        <v>774224</v>
      </c>
    </row>
    <row r="879" spans="1:7" hidden="1" x14ac:dyDescent="0.2">
      <c r="A879" s="7" t="s">
        <v>16</v>
      </c>
      <c r="B879" s="7" t="s">
        <v>372</v>
      </c>
      <c r="C879" s="7" t="s">
        <v>373</v>
      </c>
      <c r="D879" s="154">
        <v>60448040000122</v>
      </c>
      <c r="E879" s="47" t="s">
        <v>1252</v>
      </c>
      <c r="F879" s="47" t="s">
        <v>440</v>
      </c>
      <c r="G879" s="155">
        <v>368560.02</v>
      </c>
    </row>
    <row r="880" spans="1:7" hidden="1" x14ac:dyDescent="0.2">
      <c r="A880" s="7" t="s">
        <v>16</v>
      </c>
      <c r="B880" s="7" t="s">
        <v>372</v>
      </c>
      <c r="C880" s="7" t="s">
        <v>373</v>
      </c>
      <c r="D880" s="154">
        <v>60765823000130</v>
      </c>
      <c r="E880" s="47" t="s">
        <v>1266</v>
      </c>
      <c r="F880" s="47" t="s">
        <v>440</v>
      </c>
      <c r="G880" s="155">
        <v>485276</v>
      </c>
    </row>
    <row r="881" spans="1:7" hidden="1" x14ac:dyDescent="0.2">
      <c r="A881" s="7" t="s">
        <v>16</v>
      </c>
      <c r="B881" s="7" t="s">
        <v>372</v>
      </c>
      <c r="C881" s="7" t="s">
        <v>373</v>
      </c>
      <c r="D881" s="154">
        <v>60765823000130</v>
      </c>
      <c r="E881" s="47" t="s">
        <v>1266</v>
      </c>
      <c r="F881" s="47" t="s">
        <v>418</v>
      </c>
      <c r="G881" s="155">
        <v>5248</v>
      </c>
    </row>
    <row r="882" spans="1:7" hidden="1" x14ac:dyDescent="0.2">
      <c r="A882" s="7" t="s">
        <v>16</v>
      </c>
      <c r="B882" s="7" t="s">
        <v>372</v>
      </c>
      <c r="C882" s="7" t="s">
        <v>373</v>
      </c>
      <c r="D882" s="154">
        <v>61590410000124</v>
      </c>
      <c r="E882" s="47" t="s">
        <v>1254</v>
      </c>
      <c r="F882" s="47" t="s">
        <v>440</v>
      </c>
      <c r="G882" s="155">
        <v>327992.74</v>
      </c>
    </row>
    <row r="883" spans="1:7" hidden="1" x14ac:dyDescent="0.2">
      <c r="A883" s="7" t="s">
        <v>16</v>
      </c>
      <c r="B883" s="7" t="s">
        <v>372</v>
      </c>
      <c r="C883" s="7" t="s">
        <v>373</v>
      </c>
      <c r="D883" s="154">
        <v>61599908000158</v>
      </c>
      <c r="E883" s="47" t="s">
        <v>1256</v>
      </c>
      <c r="F883" s="47" t="s">
        <v>440</v>
      </c>
      <c r="G883" s="155">
        <v>12628</v>
      </c>
    </row>
    <row r="884" spans="1:7" hidden="1" x14ac:dyDescent="0.2">
      <c r="A884" s="7" t="s">
        <v>16</v>
      </c>
      <c r="B884" s="7" t="s">
        <v>372</v>
      </c>
      <c r="C884" s="7" t="s">
        <v>373</v>
      </c>
      <c r="D884" s="154">
        <v>61599908000158</v>
      </c>
      <c r="E884" s="47" t="s">
        <v>1256</v>
      </c>
      <c r="F884" s="47" t="s">
        <v>418</v>
      </c>
      <c r="G884" s="155">
        <v>2702.72</v>
      </c>
    </row>
    <row r="885" spans="1:7" hidden="1" x14ac:dyDescent="0.2">
      <c r="A885" s="7" t="s">
        <v>16</v>
      </c>
      <c r="B885" s="7" t="s">
        <v>372</v>
      </c>
      <c r="C885" s="7" t="s">
        <v>373</v>
      </c>
      <c r="D885" s="154">
        <v>74031865000151</v>
      </c>
      <c r="E885" s="47" t="s">
        <v>507</v>
      </c>
      <c r="F885" s="47" t="s">
        <v>440</v>
      </c>
      <c r="G885" s="155">
        <v>113661.19</v>
      </c>
    </row>
    <row r="886" spans="1:7" hidden="1" x14ac:dyDescent="0.2">
      <c r="A886" s="7" t="s">
        <v>16</v>
      </c>
      <c r="B886" s="7" t="s">
        <v>372</v>
      </c>
      <c r="C886" s="7" t="s">
        <v>373</v>
      </c>
      <c r="D886" s="154">
        <v>80673411000187</v>
      </c>
      <c r="E886" s="47" t="s">
        <v>1294</v>
      </c>
      <c r="F886" s="47" t="s">
        <v>440</v>
      </c>
      <c r="G886" s="155">
        <v>13067.26</v>
      </c>
    </row>
    <row r="887" spans="1:7" hidden="1" x14ac:dyDescent="0.2">
      <c r="A887" s="7" t="s">
        <v>16</v>
      </c>
      <c r="B887" s="7" t="s">
        <v>372</v>
      </c>
      <c r="C887" s="7" t="s">
        <v>373</v>
      </c>
      <c r="D887" s="154">
        <v>81887838000736</v>
      </c>
      <c r="E887" s="47" t="s">
        <v>491</v>
      </c>
      <c r="F887" s="47" t="s">
        <v>440</v>
      </c>
      <c r="G887" s="155">
        <v>1164355.6399999999</v>
      </c>
    </row>
    <row r="888" spans="1:7" hidden="1" x14ac:dyDescent="0.2">
      <c r="A888" s="7" t="s">
        <v>16</v>
      </c>
      <c r="B888" s="7" t="s">
        <v>372</v>
      </c>
      <c r="C888" s="7" t="s">
        <v>373</v>
      </c>
      <c r="D888" s="154">
        <v>87020517000120</v>
      </c>
      <c r="E888" s="47" t="s">
        <v>493</v>
      </c>
      <c r="F888" s="47" t="s">
        <v>417</v>
      </c>
      <c r="G888" s="155">
        <v>30996</v>
      </c>
    </row>
    <row r="889" spans="1:7" hidden="1" x14ac:dyDescent="0.2">
      <c r="A889" s="7" t="s">
        <v>16</v>
      </c>
      <c r="B889" s="7" t="s">
        <v>372</v>
      </c>
      <c r="C889" s="7" t="s">
        <v>373</v>
      </c>
      <c r="D889" s="154">
        <v>87020517000120</v>
      </c>
      <c r="E889" s="47" t="s">
        <v>493</v>
      </c>
      <c r="F889" s="47" t="s">
        <v>440</v>
      </c>
      <c r="G889" s="155">
        <v>25164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56B7-C43E-46E2-BE07-AB37E0C086F9}">
  <sheetPr codeName="Plan42">
    <tabColor theme="7" tint="0.79998168889431442"/>
  </sheetPr>
  <dimension ref="A1:S709"/>
  <sheetViews>
    <sheetView showGridLines="0" zoomScale="90" zoomScaleNormal="90" workbookViewId="0">
      <pane ySplit="3" topLeftCell="A4" activePane="bottomLeft" state="frozen"/>
      <selection activeCell="E29" sqref="E29"/>
      <selection pane="bottomLeft" activeCell="E29" sqref="E29"/>
    </sheetView>
  </sheetViews>
  <sheetFormatPr defaultRowHeight="15" x14ac:dyDescent="0.25"/>
  <cols>
    <col min="1" max="1" width="17.28515625" style="6" customWidth="1"/>
    <col min="2" max="2" width="15.140625" style="6" customWidth="1"/>
    <col min="3" max="3" width="12.85546875" style="6" customWidth="1"/>
    <col min="4" max="4" width="4.85546875" customWidth="1"/>
    <col min="5" max="5" width="13.85546875" style="2" customWidth="1"/>
    <col min="6" max="6" width="15.28515625" style="2" customWidth="1"/>
    <col min="7" max="7" width="13.85546875" customWidth="1"/>
    <col min="8" max="16384" width="9.140625" style="3"/>
  </cols>
  <sheetData>
    <row r="1" spans="1:19" customFormat="1" ht="18.75" x14ac:dyDescent="0.25">
      <c r="A1" s="48" t="s">
        <v>308</v>
      </c>
      <c r="B1" s="17"/>
      <c r="C1" s="18"/>
      <c r="E1" s="2"/>
      <c r="F1" s="2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customFormat="1" ht="18.75" x14ac:dyDescent="0.3">
      <c r="A2" s="35" t="s">
        <v>249</v>
      </c>
      <c r="E2" s="2"/>
      <c r="F2" s="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customFormat="1" ht="25.5" x14ac:dyDescent="0.25">
      <c r="A3" s="42" t="s">
        <v>246</v>
      </c>
      <c r="B3" s="42" t="s">
        <v>247</v>
      </c>
      <c r="C3" s="42" t="s">
        <v>248</v>
      </c>
      <c r="E3" s="95" t="s">
        <v>251</v>
      </c>
      <c r="F3" s="96">
        <v>1</v>
      </c>
      <c r="G3" s="97" t="s">
        <v>252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customFormat="1" x14ac:dyDescent="0.25">
      <c r="A4" s="39">
        <v>0.79500000000000004</v>
      </c>
      <c r="B4" s="40">
        <v>1442.3139237751836</v>
      </c>
      <c r="C4" s="41">
        <v>0</v>
      </c>
      <c r="E4" s="43">
        <f>A4</f>
        <v>0.79500000000000004</v>
      </c>
      <c r="F4" s="43">
        <v>1</v>
      </c>
      <c r="G4" s="43">
        <f>A709</f>
        <v>1.5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customFormat="1" x14ac:dyDescent="0.25">
      <c r="A5" s="39">
        <v>0.79600000000000004</v>
      </c>
      <c r="B5" s="40">
        <v>1442.3139237751836</v>
      </c>
      <c r="C5" s="41">
        <v>0</v>
      </c>
      <c r="E5" s="44">
        <f>B4</f>
        <v>1442.3139237751836</v>
      </c>
      <c r="F5" s="44">
        <f>B209</f>
        <v>3605.7848094379619</v>
      </c>
      <c r="G5" s="44">
        <f>B709</f>
        <v>8149.0736693298113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customFormat="1" x14ac:dyDescent="0.25">
      <c r="A6" s="39">
        <v>0.79700000000000004</v>
      </c>
      <c r="B6" s="40">
        <v>1442.3139237751836</v>
      </c>
      <c r="C6" s="41">
        <v>0</v>
      </c>
      <c r="E6" s="2"/>
      <c r="F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customFormat="1" x14ac:dyDescent="0.25">
      <c r="A7" s="39">
        <v>0.79800000000000004</v>
      </c>
      <c r="B7" s="40">
        <v>1442.3139237751836</v>
      </c>
      <c r="C7" s="41">
        <v>0</v>
      </c>
      <c r="E7" s="2"/>
      <c r="F7" s="2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customFormat="1" x14ac:dyDescent="0.25">
      <c r="A8" s="39">
        <v>0.79900000000000004</v>
      </c>
      <c r="B8" s="40">
        <v>1442.3139237751836</v>
      </c>
      <c r="C8" s="41">
        <v>0</v>
      </c>
      <c r="E8" s="2"/>
      <c r="F8" s="2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customFormat="1" x14ac:dyDescent="0.25">
      <c r="A9" s="19">
        <v>0.8</v>
      </c>
      <c r="B9" s="20">
        <v>1442.3139237751836</v>
      </c>
      <c r="C9" s="21">
        <v>0</v>
      </c>
      <c r="E9" s="2"/>
      <c r="F9" s="2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customFormat="1" x14ac:dyDescent="0.25">
      <c r="A10" s="22">
        <v>0.80100000000000005</v>
      </c>
      <c r="B10" s="23">
        <v>1444.1168161799028</v>
      </c>
      <c r="C10" s="24">
        <v>1.2500000000001954E-3</v>
      </c>
      <c r="E10" s="2"/>
      <c r="F10" s="2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customFormat="1" x14ac:dyDescent="0.25">
      <c r="A11" s="22">
        <v>0.80200000000000005</v>
      </c>
      <c r="B11" s="23">
        <v>1445.9197085846215</v>
      </c>
      <c r="C11" s="24">
        <v>1.2484394506864227E-3</v>
      </c>
      <c r="E11" s="2"/>
      <c r="F11" s="2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customFormat="1" x14ac:dyDescent="0.25">
      <c r="A12" s="22">
        <v>0.80300000000000005</v>
      </c>
      <c r="B12" s="23">
        <v>1447.7226009893404</v>
      </c>
      <c r="C12" s="24">
        <v>1.2468827930174342E-3</v>
      </c>
      <c r="E12" s="2"/>
      <c r="F12" s="2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customFormat="1" x14ac:dyDescent="0.25">
      <c r="A13" s="22">
        <v>0.80400000000000005</v>
      </c>
      <c r="B13" s="23">
        <v>1449.5254933940594</v>
      </c>
      <c r="C13" s="24">
        <v>1.2453300124533051E-3</v>
      </c>
      <c r="E13" s="2"/>
      <c r="F13" s="2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customFormat="1" x14ac:dyDescent="0.25">
      <c r="A14" s="22">
        <v>0.80500000000000005</v>
      </c>
      <c r="B14" s="23">
        <v>1451.3283857987783</v>
      </c>
      <c r="C14" s="24">
        <v>1.2437810945273853E-3</v>
      </c>
      <c r="E14" s="2"/>
      <c r="F14" s="2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customFormat="1" x14ac:dyDescent="0.25">
      <c r="A15" s="22">
        <v>0.80600000000000005</v>
      </c>
      <c r="B15" s="23">
        <v>1453.1312782034972</v>
      </c>
      <c r="C15" s="24">
        <v>1.242236024844745E-3</v>
      </c>
      <c r="E15" s="2"/>
      <c r="F15" s="2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customFormat="1" x14ac:dyDescent="0.25">
      <c r="A16" s="22">
        <v>0.80700000000000005</v>
      </c>
      <c r="B16" s="23">
        <v>1454.9341706082164</v>
      </c>
      <c r="C16" s="24">
        <v>1.2406947890819531E-3</v>
      </c>
      <c r="E16" s="2"/>
      <c r="F16" s="2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customFormat="1" x14ac:dyDescent="0.25">
      <c r="A17" s="22">
        <v>0.80800000000000005</v>
      </c>
      <c r="B17" s="23">
        <v>1456.7370630129353</v>
      </c>
      <c r="C17" s="24">
        <v>1.2391573729864103E-3</v>
      </c>
      <c r="E17" s="2"/>
      <c r="F17" s="2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customFormat="1" x14ac:dyDescent="0.25">
      <c r="A18" s="22">
        <v>0.80900000000000005</v>
      </c>
      <c r="B18" s="23">
        <v>1458.5399554176543</v>
      </c>
      <c r="C18" s="24">
        <v>1.2376237623761277E-3</v>
      </c>
      <c r="E18" s="2"/>
      <c r="F18" s="2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customFormat="1" x14ac:dyDescent="0.25">
      <c r="A19" s="22">
        <v>0.81</v>
      </c>
      <c r="B19" s="23">
        <v>1460.3428478223734</v>
      </c>
      <c r="C19" s="24">
        <v>1.2360939431397266E-3</v>
      </c>
      <c r="E19" s="2"/>
      <c r="F19" s="2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customFormat="1" x14ac:dyDescent="0.25">
      <c r="A20" s="22">
        <v>0.81100000000000005</v>
      </c>
      <c r="B20" s="23">
        <v>1462.1457402270921</v>
      </c>
      <c r="C20" s="24">
        <v>1.2345679012344402E-3</v>
      </c>
      <c r="E20" s="2"/>
      <c r="F20" s="2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customFormat="1" x14ac:dyDescent="0.25">
      <c r="A21" s="22">
        <v>0.81200000000000006</v>
      </c>
      <c r="B21" s="23">
        <v>1463.9486326318113</v>
      </c>
      <c r="C21" s="24">
        <v>1.2330456226881115E-3</v>
      </c>
      <c r="E21" s="2"/>
      <c r="F21" s="2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customFormat="1" x14ac:dyDescent="0.25">
      <c r="A22" s="22">
        <v>0.81299999999999994</v>
      </c>
      <c r="B22" s="23">
        <v>1465.75152503653</v>
      </c>
      <c r="C22" s="24">
        <v>1.2315270935958633E-3</v>
      </c>
      <c r="E22" s="2"/>
      <c r="F22" s="2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customFormat="1" x14ac:dyDescent="0.25">
      <c r="A23" s="22">
        <v>0.81399999999999995</v>
      </c>
      <c r="B23" s="23">
        <v>1467.5544174412489</v>
      </c>
      <c r="C23" s="24">
        <v>1.2300123001229846E-3</v>
      </c>
      <c r="E23" s="2"/>
      <c r="F23" s="2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customFormat="1" x14ac:dyDescent="0.25">
      <c r="A24" s="22">
        <v>0.81499999999999995</v>
      </c>
      <c r="B24" s="23">
        <v>1469.3573098459678</v>
      </c>
      <c r="C24" s="24">
        <v>1.2285012285011554E-3</v>
      </c>
      <c r="E24" s="2"/>
      <c r="F24" s="2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customFormat="1" x14ac:dyDescent="0.25">
      <c r="A25" s="22">
        <v>0.81599999999999995</v>
      </c>
      <c r="B25" s="23">
        <v>1471.1602022506872</v>
      </c>
      <c r="C25" s="24">
        <v>1.2269938650308898E-3</v>
      </c>
      <c r="E25" s="2"/>
      <c r="F25" s="2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customFormat="1" x14ac:dyDescent="0.25">
      <c r="A26" s="22">
        <v>0.81699999999999995</v>
      </c>
      <c r="B26" s="23">
        <v>1472.9630946554062</v>
      </c>
      <c r="C26" s="24">
        <v>1.225490196078427E-3</v>
      </c>
      <c r="E26" s="2"/>
      <c r="F26" s="2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customFormat="1" x14ac:dyDescent="0.25">
      <c r="A27" s="22">
        <v>0.81799999999999995</v>
      </c>
      <c r="B27" s="23">
        <v>1474.7659870601249</v>
      </c>
      <c r="C27" s="24">
        <v>1.2239902080781739E-3</v>
      </c>
      <c r="E27" s="2"/>
      <c r="F27" s="2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customFormat="1" x14ac:dyDescent="0.25">
      <c r="A28" s="22">
        <v>0.81899999999999995</v>
      </c>
      <c r="B28" s="23">
        <v>1476.5688794648438</v>
      </c>
      <c r="C28" s="24">
        <v>1.2224938875304847E-3</v>
      </c>
      <c r="E28" s="2"/>
      <c r="F28" s="2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customFormat="1" x14ac:dyDescent="0.25">
      <c r="A29" s="22">
        <v>0.82</v>
      </c>
      <c r="B29" s="23">
        <v>1478.3717718695632</v>
      </c>
      <c r="C29" s="24">
        <v>1.2210012210014387E-3</v>
      </c>
      <c r="E29" s="2"/>
      <c r="F29" s="2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customFormat="1" x14ac:dyDescent="0.25">
      <c r="A30" s="22">
        <v>0.82099999999999995</v>
      </c>
      <c r="B30" s="23">
        <v>1480.1746642742821</v>
      </c>
      <c r="C30" s="24">
        <v>1.2195121951219523E-3</v>
      </c>
      <c r="E30" s="2"/>
      <c r="F30" s="2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customFormat="1" x14ac:dyDescent="0.25">
      <c r="A31" s="22">
        <v>0.82199999999999995</v>
      </c>
      <c r="B31" s="23">
        <v>1481.9775566790011</v>
      </c>
      <c r="C31" s="24">
        <v>1.2180267965895553E-3</v>
      </c>
      <c r="E31" s="2"/>
      <c r="F31" s="2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customFormat="1" x14ac:dyDescent="0.25">
      <c r="A32" s="22">
        <v>0.82299999999999995</v>
      </c>
      <c r="B32" s="23">
        <v>1483.7804490837202</v>
      </c>
      <c r="C32" s="24">
        <v>1.2165450121655041E-3</v>
      </c>
      <c r="E32" s="2"/>
      <c r="F32" s="2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customFormat="1" x14ac:dyDescent="0.25">
      <c r="A33" s="22">
        <v>0.82399999999999995</v>
      </c>
      <c r="B33" s="23">
        <v>1485.5833414884389</v>
      </c>
      <c r="C33" s="24">
        <v>1.2150668286754485E-3</v>
      </c>
      <c r="E33" s="2"/>
      <c r="F33" s="2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customFormat="1" x14ac:dyDescent="0.25">
      <c r="A34" s="22">
        <v>0.82499999999999996</v>
      </c>
      <c r="B34" s="23">
        <v>1487.3862338931581</v>
      </c>
      <c r="C34" s="24">
        <v>1.2135922330098747E-3</v>
      </c>
      <c r="E34" s="2"/>
      <c r="F34" s="2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customFormat="1" x14ac:dyDescent="0.25">
      <c r="A35" s="22">
        <v>0.82599999999999996</v>
      </c>
      <c r="B35" s="23">
        <v>1489.189126297877</v>
      </c>
      <c r="C35" s="24">
        <v>1.2121212121212199E-3</v>
      </c>
      <c r="E35" s="2"/>
      <c r="F35" s="2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customFormat="1" x14ac:dyDescent="0.25">
      <c r="A36" s="22">
        <v>0.82699999999999996</v>
      </c>
      <c r="B36" s="23">
        <v>1490.9920187025959</v>
      </c>
      <c r="C36" s="24">
        <v>1.210653753026536E-3</v>
      </c>
      <c r="E36" s="2"/>
      <c r="F36" s="2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customFormat="1" x14ac:dyDescent="0.25">
      <c r="A37" s="22">
        <v>0.82799999999999996</v>
      </c>
      <c r="B37" s="23">
        <v>1492.7949111073149</v>
      </c>
      <c r="C37" s="24">
        <v>1.2091898428052694E-3</v>
      </c>
      <c r="E37" s="2"/>
      <c r="F37" s="2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customFormat="1" x14ac:dyDescent="0.25">
      <c r="A38" s="22">
        <v>0.82899999999999996</v>
      </c>
      <c r="B38" s="23">
        <v>1494.5978035120343</v>
      </c>
      <c r="C38" s="24">
        <v>1.2077294685992612E-3</v>
      </c>
      <c r="E38" s="2"/>
      <c r="F38" s="2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customFormat="1" x14ac:dyDescent="0.25">
      <c r="A39" s="22">
        <v>0.83</v>
      </c>
      <c r="B39" s="23">
        <v>1496.4006959167534</v>
      </c>
      <c r="C39" s="24">
        <v>1.2062726176116367E-3</v>
      </c>
      <c r="E39" s="2"/>
      <c r="F39" s="2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customFormat="1" x14ac:dyDescent="0.25">
      <c r="A40" s="22">
        <v>0.83099999999999996</v>
      </c>
      <c r="B40" s="23">
        <v>1498.2035883214724</v>
      </c>
      <c r="C40" s="24">
        <v>1.2048192771083599E-3</v>
      </c>
      <c r="E40" s="2"/>
      <c r="F40" s="2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customFormat="1" x14ac:dyDescent="0.25">
      <c r="A41" s="22">
        <v>0.83199999999999996</v>
      </c>
      <c r="B41" s="23">
        <v>1500.0064807261915</v>
      </c>
      <c r="C41" s="24">
        <v>1.2033694344164569E-3</v>
      </c>
      <c r="E41" s="2"/>
      <c r="F41" s="2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customFormat="1" x14ac:dyDescent="0.25">
      <c r="A42" s="22">
        <v>0.83299999999999996</v>
      </c>
      <c r="B42" s="23">
        <v>1501.8093731309102</v>
      </c>
      <c r="C42" s="24">
        <v>1.2019230769229061E-3</v>
      </c>
      <c r="E42" s="2"/>
      <c r="F42" s="2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customFormat="1" x14ac:dyDescent="0.25">
      <c r="A43" s="22">
        <v>0.83399999999999996</v>
      </c>
      <c r="B43" s="23">
        <v>1503.6122655356291</v>
      </c>
      <c r="C43" s="24">
        <v>1.2004801920768582E-3</v>
      </c>
      <c r="E43" s="2"/>
      <c r="F43" s="2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customFormat="1" x14ac:dyDescent="0.25">
      <c r="A44" s="22">
        <v>0.83499999999999996</v>
      </c>
      <c r="B44" s="23">
        <v>1505.4151579403481</v>
      </c>
      <c r="C44" s="24">
        <v>1.1990407673860837E-3</v>
      </c>
      <c r="E44" s="2"/>
      <c r="F44" s="2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customFormat="1" x14ac:dyDescent="0.25">
      <c r="A45" s="22">
        <v>0.83599999999999997</v>
      </c>
      <c r="B45" s="23">
        <v>1507.218050345067</v>
      </c>
      <c r="C45" s="24">
        <v>1.1976047904191933E-3</v>
      </c>
      <c r="E45" s="2"/>
      <c r="F45" s="2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customFormat="1" x14ac:dyDescent="0.25">
      <c r="A46" s="22">
        <v>0.83699999999999997</v>
      </c>
      <c r="B46" s="23">
        <v>1509.0209427497857</v>
      </c>
      <c r="C46" s="24">
        <v>1.1961722488036397E-3</v>
      </c>
      <c r="E46" s="2"/>
      <c r="F46" s="2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customFormat="1" x14ac:dyDescent="0.25">
      <c r="A47" s="22">
        <v>0.83799999999999997</v>
      </c>
      <c r="B47" s="23">
        <v>1510.8238351545049</v>
      </c>
      <c r="C47" s="24">
        <v>1.1947431302270495E-3</v>
      </c>
      <c r="E47" s="2"/>
      <c r="F47" s="2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customFormat="1" x14ac:dyDescent="0.25">
      <c r="A48" s="22">
        <v>0.83899999999999997</v>
      </c>
      <c r="B48" s="23">
        <v>1512.6267275592238</v>
      </c>
      <c r="C48" s="24">
        <v>1.1933174224343368E-3</v>
      </c>
      <c r="E48" s="2"/>
      <c r="F48" s="2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customFormat="1" x14ac:dyDescent="0.25">
      <c r="A49" s="22">
        <v>0.84</v>
      </c>
      <c r="B49" s="23">
        <v>1514.4296199639425</v>
      </c>
      <c r="C49" s="24">
        <v>1.1918951132299238E-3</v>
      </c>
      <c r="E49" s="2"/>
      <c r="F49" s="2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customFormat="1" x14ac:dyDescent="0.25">
      <c r="A50" s="22">
        <v>0.84099999999999997</v>
      </c>
      <c r="B50" s="23">
        <v>1516.2325123686619</v>
      </c>
      <c r="C50" s="24">
        <v>1.1904761904764083E-3</v>
      </c>
      <c r="E50" s="2"/>
      <c r="F50" s="2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customFormat="1" x14ac:dyDescent="0.25">
      <c r="A51" s="22">
        <v>0.84199999999999997</v>
      </c>
      <c r="B51" s="23">
        <v>1518.0354047733808</v>
      </c>
      <c r="C51" s="24">
        <v>1.1890606420927874E-3</v>
      </c>
      <c r="E51" s="2"/>
      <c r="F51" s="2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customFormat="1" x14ac:dyDescent="0.25">
      <c r="A52" s="22">
        <v>0.84299999999999997</v>
      </c>
      <c r="B52" s="23">
        <v>1519.8382971780995</v>
      </c>
      <c r="C52" s="24">
        <v>1.1876484560569001E-3</v>
      </c>
      <c r="E52" s="2"/>
      <c r="F52" s="2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customFormat="1" x14ac:dyDescent="0.25">
      <c r="A53" s="22">
        <v>0.84399999999999997</v>
      </c>
      <c r="B53" s="23">
        <v>1521.6411895828182</v>
      </c>
      <c r="C53" s="24">
        <v>1.1862396204032066E-3</v>
      </c>
      <c r="E53" s="2"/>
      <c r="F53" s="2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customFormat="1" x14ac:dyDescent="0.25">
      <c r="A54" s="22">
        <v>0.84499999999999997</v>
      </c>
      <c r="B54" s="23">
        <v>1523.4440819875372</v>
      </c>
      <c r="C54" s="24">
        <v>1.1848341232227888E-3</v>
      </c>
      <c r="E54" s="2"/>
      <c r="F54" s="2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customFormat="1" x14ac:dyDescent="0.25">
      <c r="A55" s="22">
        <v>0.84599999999999997</v>
      </c>
      <c r="B55" s="23">
        <v>1525.2469743922557</v>
      </c>
      <c r="C55" s="24">
        <v>1.1834319526624615E-3</v>
      </c>
      <c r="E55" s="2"/>
      <c r="F55" s="2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customFormat="1" x14ac:dyDescent="0.25">
      <c r="A56" s="22">
        <v>0.84699999999999998</v>
      </c>
      <c r="B56" s="23">
        <v>1527.0498667969748</v>
      </c>
      <c r="C56" s="24">
        <v>1.1820330969267712E-3</v>
      </c>
      <c r="E56" s="2"/>
      <c r="F56" s="2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customFormat="1" x14ac:dyDescent="0.25">
      <c r="A57" s="22">
        <v>0.84799999999999998</v>
      </c>
      <c r="B57" s="23">
        <v>1528.8527592016935</v>
      </c>
      <c r="C57" s="24">
        <v>1.1806375442737771E-3</v>
      </c>
      <c r="E57" s="2"/>
      <c r="F57" s="2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customFormat="1" x14ac:dyDescent="0.25">
      <c r="A58" s="22">
        <v>0.84899999999999998</v>
      </c>
      <c r="B58" s="23">
        <v>1530.6556516064124</v>
      </c>
      <c r="C58" s="24">
        <v>1.179245283018826E-3</v>
      </c>
      <c r="E58" s="2"/>
      <c r="F58" s="2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customFormat="1" x14ac:dyDescent="0.25">
      <c r="A59" s="22">
        <v>0.85</v>
      </c>
      <c r="B59" s="23">
        <v>1532.4585440111314</v>
      </c>
      <c r="C59" s="24">
        <v>1.1778563015312216E-3</v>
      </c>
      <c r="E59" s="2"/>
      <c r="F59" s="2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customFormat="1" x14ac:dyDescent="0.25">
      <c r="A60" s="22">
        <v>0.85099999999999998</v>
      </c>
      <c r="B60" s="23">
        <v>1534.2614364158503</v>
      </c>
      <c r="C60" s="24">
        <v>1.1764705882353343E-3</v>
      </c>
      <c r="E60" s="2"/>
      <c r="F60" s="2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customFormat="1" x14ac:dyDescent="0.25">
      <c r="A61" s="22">
        <v>0.85199999999999998</v>
      </c>
      <c r="B61" s="23">
        <v>1536.064328820569</v>
      </c>
      <c r="C61" s="24">
        <v>1.1750881316097139E-3</v>
      </c>
      <c r="E61" s="2"/>
      <c r="F61" s="2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customFormat="1" x14ac:dyDescent="0.25">
      <c r="A62" s="22">
        <v>0.85299999999999998</v>
      </c>
      <c r="B62" s="23">
        <v>1537.8672212252882</v>
      </c>
      <c r="C62" s="24">
        <v>1.1737089201879769E-3</v>
      </c>
      <c r="E62" s="2"/>
      <c r="F62" s="2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customFormat="1" x14ac:dyDescent="0.25">
      <c r="A63" s="22">
        <v>0.85399999999999998</v>
      </c>
      <c r="B63" s="23">
        <v>1539.6701136300076</v>
      </c>
      <c r="C63" s="24">
        <v>1.1723329425559204E-3</v>
      </c>
      <c r="E63" s="2"/>
      <c r="F63" s="2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customFormat="1" x14ac:dyDescent="0.25">
      <c r="A64" s="22">
        <v>0.85499999999999998</v>
      </c>
      <c r="B64" s="23">
        <v>1541.4730060347263</v>
      </c>
      <c r="C64" s="24">
        <v>1.1709601873535203E-3</v>
      </c>
      <c r="E64" s="2"/>
      <c r="F64" s="2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customFormat="1" x14ac:dyDescent="0.25">
      <c r="A65" s="22">
        <v>0.85599999999999998</v>
      </c>
      <c r="B65" s="23">
        <v>1543.2758984394454</v>
      </c>
      <c r="C65" s="24">
        <v>1.1695906432749315E-3</v>
      </c>
      <c r="E65" s="2"/>
      <c r="F65" s="2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customFormat="1" x14ac:dyDescent="0.25">
      <c r="A66" s="22">
        <v>0.85699999999999998</v>
      </c>
      <c r="B66" s="23">
        <v>1545.0787908441644</v>
      </c>
      <c r="C66" s="24">
        <v>1.1682242990653791E-3</v>
      </c>
      <c r="E66" s="2"/>
      <c r="F66" s="2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customFormat="1" x14ac:dyDescent="0.25">
      <c r="A67" s="22">
        <v>0.85799999999999998</v>
      </c>
      <c r="B67" s="23">
        <v>1546.8816832488835</v>
      </c>
      <c r="C67" s="24">
        <v>1.166861143524045E-3</v>
      </c>
      <c r="E67" s="2"/>
      <c r="F67" s="2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customFormat="1" x14ac:dyDescent="0.25">
      <c r="A68" s="22">
        <v>0.85899999999999999</v>
      </c>
      <c r="B68" s="23">
        <v>1548.6845756536022</v>
      </c>
      <c r="C68" s="24">
        <v>1.1655011655009595E-3</v>
      </c>
      <c r="E68" s="2"/>
      <c r="F68" s="2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customFormat="1" x14ac:dyDescent="0.25">
      <c r="A69" s="22">
        <v>0.86</v>
      </c>
      <c r="B69" s="23">
        <v>1550.4874680583216</v>
      </c>
      <c r="C69" s="24">
        <v>1.1641443539001095E-3</v>
      </c>
      <c r="E69" s="2"/>
      <c r="F69" s="2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customFormat="1" x14ac:dyDescent="0.25">
      <c r="A70" s="22">
        <v>0.86099999999999999</v>
      </c>
      <c r="B70" s="23">
        <v>1552.2903604630405</v>
      </c>
      <c r="C70" s="24">
        <v>1.1627906976743319E-3</v>
      </c>
      <c r="E70" s="2"/>
      <c r="F70" s="2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customFormat="1" x14ac:dyDescent="0.25">
      <c r="A71" s="22">
        <v>0.86199999999999999</v>
      </c>
      <c r="B71" s="23">
        <v>1554.0932528677595</v>
      </c>
      <c r="C71" s="24">
        <v>1.1614401858304202E-3</v>
      </c>
      <c r="E71" s="2"/>
      <c r="F71" s="2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customFormat="1" x14ac:dyDescent="0.25">
      <c r="A72" s="22">
        <v>0.86299999999999999</v>
      </c>
      <c r="B72" s="23">
        <v>1555.8961452724782</v>
      </c>
      <c r="C72" s="24">
        <v>1.1600928074244621E-3</v>
      </c>
      <c r="E72" s="2"/>
      <c r="F72" s="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customFormat="1" x14ac:dyDescent="0.25">
      <c r="A73" s="22">
        <v>0.86399999999999999</v>
      </c>
      <c r="B73" s="23">
        <v>1557.6990376771976</v>
      </c>
      <c r="C73" s="24">
        <v>1.1587485515645035E-3</v>
      </c>
      <c r="E73" s="2"/>
      <c r="F73" s="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customFormat="1" x14ac:dyDescent="0.25">
      <c r="A74" s="22">
        <v>0.86499999999999999</v>
      </c>
      <c r="B74" s="23">
        <v>1559.5019300819165</v>
      </c>
      <c r="C74" s="24">
        <v>1.1574074074074403E-3</v>
      </c>
      <c r="E74" s="2"/>
      <c r="F74" s="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customFormat="1" x14ac:dyDescent="0.25">
      <c r="A75" s="22">
        <v>0.86599999999999999</v>
      </c>
      <c r="B75" s="23">
        <v>1561.3048224866357</v>
      </c>
      <c r="C75" s="24">
        <v>1.1560693641619046E-3</v>
      </c>
      <c r="E75" s="2"/>
      <c r="F75" s="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customFormat="1" x14ac:dyDescent="0.25">
      <c r="A76" s="22">
        <v>0.86699999999999999</v>
      </c>
      <c r="B76" s="23">
        <v>1563.1077148913548</v>
      </c>
      <c r="C76" s="24">
        <v>1.1547344110856006E-3</v>
      </c>
      <c r="E76" s="2"/>
      <c r="F76" s="2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customFormat="1" x14ac:dyDescent="0.25">
      <c r="A77" s="22">
        <v>0.86799999999999999</v>
      </c>
      <c r="B77" s="23">
        <v>1564.9106072960733</v>
      </c>
      <c r="C77" s="24">
        <v>1.1534025374853041E-3</v>
      </c>
      <c r="E77" s="2"/>
      <c r="F77" s="2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customFormat="1" x14ac:dyDescent="0.25">
      <c r="A78" s="22">
        <v>0.86899999999999999</v>
      </c>
      <c r="B78" s="23">
        <v>1566.7134997007927</v>
      </c>
      <c r="C78" s="24">
        <v>1.1520737327190833E-3</v>
      </c>
      <c r="E78" s="2"/>
      <c r="F78" s="2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customFormat="1" x14ac:dyDescent="0.25">
      <c r="A79" s="22">
        <v>0.87</v>
      </c>
      <c r="B79" s="23">
        <v>1568.5163921055116</v>
      </c>
      <c r="C79" s="24">
        <v>1.1507479861909697E-3</v>
      </c>
      <c r="E79" s="2"/>
      <c r="F79" s="2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customFormat="1" x14ac:dyDescent="0.25">
      <c r="A80" s="22">
        <v>0.871</v>
      </c>
      <c r="B80" s="23">
        <v>1570.3192845102305</v>
      </c>
      <c r="C80" s="24">
        <v>1.1494252873562871E-3</v>
      </c>
      <c r="E80" s="2"/>
      <c r="F80" s="2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customFormat="1" x14ac:dyDescent="0.25">
      <c r="A81" s="22">
        <v>0.872</v>
      </c>
      <c r="B81" s="23">
        <v>1572.1221769149497</v>
      </c>
      <c r="C81" s="24">
        <v>1.1481056257176547E-3</v>
      </c>
      <c r="E81" s="2"/>
      <c r="F81" s="2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customFormat="1" x14ac:dyDescent="0.25">
      <c r="A82" s="22">
        <v>0.873</v>
      </c>
      <c r="B82" s="23">
        <v>1573.9250693196691</v>
      </c>
      <c r="C82" s="24">
        <v>1.1467889908258755E-3</v>
      </c>
      <c r="E82" s="2"/>
      <c r="F82" s="2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customFormat="1" x14ac:dyDescent="0.25">
      <c r="A83" s="22">
        <v>0.874</v>
      </c>
      <c r="B83" s="23">
        <v>1575.727961724388</v>
      </c>
      <c r="C83" s="24">
        <v>1.1454753722794919E-3</v>
      </c>
      <c r="E83" s="2"/>
      <c r="F83" s="2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customFormat="1" x14ac:dyDescent="0.25">
      <c r="A84" s="22">
        <v>0.875</v>
      </c>
      <c r="B84" s="23">
        <v>1577.5308541291072</v>
      </c>
      <c r="C84" s="24">
        <v>1.1441647597254523E-3</v>
      </c>
      <c r="E84" s="2"/>
      <c r="F84" s="2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customFormat="1" x14ac:dyDescent="0.25">
      <c r="A85" s="22">
        <v>0.876</v>
      </c>
      <c r="B85" s="23">
        <v>1579.3337465338261</v>
      </c>
      <c r="C85" s="24">
        <v>1.1428571428571122E-3</v>
      </c>
      <c r="E85" s="2"/>
      <c r="F85" s="2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customFormat="1" x14ac:dyDescent="0.25">
      <c r="A86" s="22">
        <v>0.877</v>
      </c>
      <c r="B86" s="23">
        <v>1581.136638938545</v>
      </c>
      <c r="C86" s="24">
        <v>1.1415525114155667E-3</v>
      </c>
      <c r="E86" s="2"/>
      <c r="F86" s="2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customFormat="1" x14ac:dyDescent="0.25">
      <c r="A87" s="22">
        <v>0.878</v>
      </c>
      <c r="B87" s="23">
        <v>1582.939531343264</v>
      </c>
      <c r="C87" s="24">
        <v>1.1402508551880963E-3</v>
      </c>
      <c r="E87" s="2"/>
      <c r="F87" s="2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customFormat="1" x14ac:dyDescent="0.25">
      <c r="A88" s="22">
        <v>0.879</v>
      </c>
      <c r="B88" s="23">
        <v>1584.7424237479829</v>
      </c>
      <c r="C88" s="24">
        <v>1.138952164009055E-3</v>
      </c>
      <c r="E88" s="2"/>
      <c r="F88" s="2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customFormat="1" x14ac:dyDescent="0.25">
      <c r="A89" s="22">
        <v>0.88</v>
      </c>
      <c r="B89" s="23">
        <v>1586.5453161527018</v>
      </c>
      <c r="C89" s="24">
        <v>1.1376564277587597E-3</v>
      </c>
      <c r="E89" s="2"/>
      <c r="F89" s="2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customFormat="1" x14ac:dyDescent="0.25">
      <c r="A90" s="22">
        <v>0.88100000000000001</v>
      </c>
      <c r="B90" s="23">
        <v>1588.3482085574205</v>
      </c>
      <c r="C90" s="24">
        <v>1.136363636363491E-3</v>
      </c>
      <c r="E90" s="2"/>
      <c r="F90" s="2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customFormat="1" x14ac:dyDescent="0.25">
      <c r="A91" s="22">
        <v>0.88200000000000001</v>
      </c>
      <c r="B91" s="23">
        <v>1590.1511009621395</v>
      </c>
      <c r="C91" s="24">
        <v>1.1350737797957144E-3</v>
      </c>
      <c r="E91" s="2"/>
      <c r="F91" s="2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customFormat="1" x14ac:dyDescent="0.25">
      <c r="A92" s="22">
        <v>0.88300000000000001</v>
      </c>
      <c r="B92" s="23">
        <v>1591.9539933668584</v>
      </c>
      <c r="C92" s="24">
        <v>1.1337868480725266E-3</v>
      </c>
      <c r="E92" s="2"/>
      <c r="F92" s="2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customFormat="1" x14ac:dyDescent="0.25">
      <c r="A93" s="22">
        <v>0.88400000000000001</v>
      </c>
      <c r="B93" s="23">
        <v>1593.7568857715773</v>
      </c>
      <c r="C93" s="24">
        <v>1.1325028312569874E-3</v>
      </c>
      <c r="E93" s="2"/>
      <c r="F93" s="2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customFormat="1" x14ac:dyDescent="0.25">
      <c r="A94" s="22">
        <v>0.88500000000000001</v>
      </c>
      <c r="B94" s="23">
        <v>1595.5597781762963</v>
      </c>
      <c r="C94" s="24">
        <v>1.1312217194570096E-3</v>
      </c>
      <c r="E94" s="2"/>
      <c r="F94" s="2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customFormat="1" x14ac:dyDescent="0.25">
      <c r="A95" s="22">
        <v>0.88600000000000001</v>
      </c>
      <c r="B95" s="23">
        <v>1597.3626705810154</v>
      </c>
      <c r="C95" s="24">
        <v>1.129943502824915E-3</v>
      </c>
      <c r="E95" s="2"/>
      <c r="F95" s="2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customFormat="1" x14ac:dyDescent="0.25">
      <c r="A96" s="22">
        <v>0.88700000000000001</v>
      </c>
      <c r="B96" s="23">
        <v>1599.1655629857341</v>
      </c>
      <c r="C96" s="24">
        <v>1.1286681715574343E-3</v>
      </c>
      <c r="E96" s="2"/>
      <c r="F96" s="2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customFormat="1" x14ac:dyDescent="0.25">
      <c r="A97" s="22">
        <v>0.88800000000000001</v>
      </c>
      <c r="B97" s="23">
        <v>1600.9684553904533</v>
      </c>
      <c r="C97" s="24">
        <v>1.1273957158963732E-3</v>
      </c>
      <c r="E97" s="2"/>
      <c r="F97" s="2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customFormat="1" x14ac:dyDescent="0.25">
      <c r="A98" s="22">
        <v>0.88900000000000001</v>
      </c>
      <c r="B98" s="23">
        <v>1602.7713477951725</v>
      </c>
      <c r="C98" s="24">
        <v>1.1261261261261701E-3</v>
      </c>
      <c r="E98" s="2"/>
      <c r="F98" s="2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customFormat="1" x14ac:dyDescent="0.25">
      <c r="A99" s="22">
        <v>0.89</v>
      </c>
      <c r="B99" s="23">
        <v>1604.5742401998909</v>
      </c>
      <c r="C99" s="24">
        <v>1.1248593925756722E-3</v>
      </c>
      <c r="E99" s="2"/>
      <c r="F99" s="2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customFormat="1" x14ac:dyDescent="0.25">
      <c r="A100" s="22">
        <v>0.89100000000000001</v>
      </c>
      <c r="B100" s="23">
        <v>1606.3771326046101</v>
      </c>
      <c r="C100" s="24">
        <v>1.1235955056181357E-3</v>
      </c>
      <c r="E100" s="2"/>
      <c r="F100" s="2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customFormat="1" x14ac:dyDescent="0.25">
      <c r="A101" s="22">
        <v>0.89200000000000002</v>
      </c>
      <c r="B101" s="23">
        <v>1608.1800250093288</v>
      </c>
      <c r="C101" s="24">
        <v>1.1223344556676729E-3</v>
      </c>
      <c r="E101" s="2"/>
      <c r="F101" s="2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customFormat="1" x14ac:dyDescent="0.25">
      <c r="A102" s="22">
        <v>0.89300000000000002</v>
      </c>
      <c r="B102" s="23">
        <v>1609.982917414048</v>
      </c>
      <c r="C102" s="24">
        <v>1.1210762331839152E-3</v>
      </c>
      <c r="E102" s="2"/>
      <c r="F102" s="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customFormat="1" x14ac:dyDescent="0.25">
      <c r="A103" s="22">
        <v>0.89400000000000002</v>
      </c>
      <c r="B103" s="23">
        <v>1611.7858098187669</v>
      </c>
      <c r="C103" s="24">
        <v>1.1198208286673506E-3</v>
      </c>
      <c r="E103" s="2"/>
      <c r="F103" s="2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customFormat="1" x14ac:dyDescent="0.25">
      <c r="A104" s="22">
        <v>0.89500000000000002</v>
      </c>
      <c r="B104" s="23">
        <v>1613.5887022234858</v>
      </c>
      <c r="C104" s="24">
        <v>1.1185682326622093E-3</v>
      </c>
      <c r="E104" s="2"/>
      <c r="F104" s="2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customFormat="1" x14ac:dyDescent="0.25">
      <c r="A105" s="22">
        <v>0.89600000000000002</v>
      </c>
      <c r="B105" s="23">
        <v>1615.391594628205</v>
      </c>
      <c r="C105" s="24">
        <v>1.1173184357542443E-3</v>
      </c>
      <c r="E105" s="2"/>
      <c r="F105" s="2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customFormat="1" x14ac:dyDescent="0.25">
      <c r="A106" s="22">
        <v>0.89700000000000002</v>
      </c>
      <c r="B106" s="23">
        <v>1617.1944870329239</v>
      </c>
      <c r="C106" s="24">
        <v>1.1160714285713969E-3</v>
      </c>
      <c r="E106" s="2"/>
      <c r="F106" s="2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customFormat="1" x14ac:dyDescent="0.25">
      <c r="A107" s="22">
        <v>0.89800000000000002</v>
      </c>
      <c r="B107" s="23">
        <v>1618.9973794376431</v>
      </c>
      <c r="C107" s="24">
        <v>1.1148272017837968E-3</v>
      </c>
      <c r="E107" s="2"/>
      <c r="F107" s="2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customFormat="1" x14ac:dyDescent="0.25">
      <c r="A108" s="22">
        <v>0.89900000000000002</v>
      </c>
      <c r="B108" s="23">
        <v>1620.8002718423625</v>
      </c>
      <c r="C108" s="24">
        <v>1.1135857461026522E-3</v>
      </c>
      <c r="E108" s="2"/>
      <c r="F108" s="2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customFormat="1" x14ac:dyDescent="0.25">
      <c r="A109" s="19">
        <v>0.9</v>
      </c>
      <c r="B109" s="20">
        <v>2433.9047463706215</v>
      </c>
      <c r="C109" s="21">
        <v>0.50166852057842015</v>
      </c>
      <c r="E109" s="2"/>
      <c r="F109" s="2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customFormat="1" x14ac:dyDescent="0.25">
      <c r="A110" s="22">
        <v>0.90100000000000002</v>
      </c>
      <c r="B110" s="23">
        <v>2436.6090849777006</v>
      </c>
      <c r="C110" s="24">
        <v>1.1111111111112848E-3</v>
      </c>
      <c r="E110" s="2"/>
      <c r="F110" s="2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customFormat="1" x14ac:dyDescent="0.25">
      <c r="A111" s="22">
        <v>0.90200000000000002</v>
      </c>
      <c r="B111" s="23">
        <v>2439.3134235847792</v>
      </c>
      <c r="C111" s="24">
        <v>1.1098779134295356E-3</v>
      </c>
      <c r="E111" s="2"/>
      <c r="F111" s="2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customFormat="1" x14ac:dyDescent="0.25">
      <c r="A112" s="22">
        <v>0.90300000000000002</v>
      </c>
      <c r="B112" s="23">
        <v>2442.0177621918583</v>
      </c>
      <c r="C112" s="24">
        <v>1.1086474501111887E-3</v>
      </c>
      <c r="E112" s="2"/>
      <c r="F112" s="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customFormat="1" x14ac:dyDescent="0.25">
      <c r="A113" s="22">
        <v>0.90400000000000003</v>
      </c>
      <c r="B113" s="23">
        <v>2444.7221007989365</v>
      </c>
      <c r="C113" s="24">
        <v>1.1074197120708451E-3</v>
      </c>
      <c r="E113" s="2"/>
      <c r="F113" s="2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customFormat="1" x14ac:dyDescent="0.25">
      <c r="A114" s="22">
        <v>0.90500000000000003</v>
      </c>
      <c r="B114" s="23">
        <v>2447.4264394060147</v>
      </c>
      <c r="C114" s="24">
        <v>1.1061946902652942E-3</v>
      </c>
      <c r="E114" s="2"/>
      <c r="F114" s="2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customFormat="1" x14ac:dyDescent="0.25">
      <c r="A115" s="22">
        <v>0.90600000000000003</v>
      </c>
      <c r="B115" s="23">
        <v>2450.1307780130928</v>
      </c>
      <c r="C115" s="24">
        <v>1.1049723756904051E-3</v>
      </c>
      <c r="E115" s="2"/>
      <c r="F115" s="2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customFormat="1" x14ac:dyDescent="0.25">
      <c r="A116" s="22">
        <v>0.90700000000000003</v>
      </c>
      <c r="B116" s="23">
        <v>2452.835116620171</v>
      </c>
      <c r="C116" s="24">
        <v>1.1037527593817931E-3</v>
      </c>
      <c r="E116" s="2"/>
      <c r="F116" s="2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customFormat="1" x14ac:dyDescent="0.25">
      <c r="A117" s="22">
        <v>0.90800000000000003</v>
      </c>
      <c r="B117" s="23">
        <v>2455.5394552272496</v>
      </c>
      <c r="C117" s="24">
        <v>1.1025358324145973E-3</v>
      </c>
      <c r="E117" s="2"/>
      <c r="F117" s="2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customFormat="1" x14ac:dyDescent="0.25">
      <c r="A118" s="22">
        <v>0.90900000000000003</v>
      </c>
      <c r="B118" s="23">
        <v>2458.2437938343278</v>
      </c>
      <c r="C118" s="24">
        <v>1.1013215859030367E-3</v>
      </c>
      <c r="E118" s="2"/>
      <c r="F118" s="2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customFormat="1" x14ac:dyDescent="0.25">
      <c r="A119" s="22">
        <v>0.91</v>
      </c>
      <c r="B119" s="23">
        <v>2460.9481324414064</v>
      </c>
      <c r="C119" s="24">
        <v>1.1001100110010764E-3</v>
      </c>
      <c r="E119" s="2"/>
      <c r="F119" s="2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customFormat="1" x14ac:dyDescent="0.25">
      <c r="A120" s="22">
        <v>0.91100000000000003</v>
      </c>
      <c r="B120" s="23">
        <v>2463.652471048485</v>
      </c>
      <c r="C120" s="24">
        <v>1.098901098901095E-3</v>
      </c>
      <c r="E120" s="2"/>
      <c r="F120" s="2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customFormat="1" x14ac:dyDescent="0.25">
      <c r="A121" s="22">
        <v>0.91200000000000003</v>
      </c>
      <c r="B121" s="23">
        <v>2466.3568096555637</v>
      </c>
      <c r="C121" s="24">
        <v>1.097694840834329E-3</v>
      </c>
      <c r="E121" s="2"/>
      <c r="F121" s="2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customFormat="1" x14ac:dyDescent="0.25">
      <c r="A122" s="22">
        <v>0.91300000000000003</v>
      </c>
      <c r="B122" s="23">
        <v>2469.0611482626423</v>
      </c>
      <c r="C122" s="24">
        <v>1.0964912280702066E-3</v>
      </c>
      <c r="E122" s="2"/>
      <c r="F122" s="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customFormat="1" x14ac:dyDescent="0.25">
      <c r="A123" s="22">
        <v>0.91400000000000003</v>
      </c>
      <c r="B123" s="23">
        <v>2471.7654868697205</v>
      </c>
      <c r="C123" s="24">
        <v>1.0952902519165697E-3</v>
      </c>
      <c r="E123" s="2"/>
      <c r="F123" s="2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customFormat="1" x14ac:dyDescent="0.25">
      <c r="A124" s="22">
        <v>0.91500000000000004</v>
      </c>
      <c r="B124" s="23">
        <v>2474.4698254767991</v>
      </c>
      <c r="C124" s="24">
        <v>1.094091903719896E-3</v>
      </c>
      <c r="E124" s="2"/>
      <c r="F124" s="2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customFormat="1" x14ac:dyDescent="0.25">
      <c r="A125" s="22">
        <v>0.91600000000000004</v>
      </c>
      <c r="B125" s="23">
        <v>2477.1741640838777</v>
      </c>
      <c r="C125" s="24">
        <v>1.0928961748635224E-3</v>
      </c>
      <c r="E125" s="2"/>
      <c r="F125" s="2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customFormat="1" x14ac:dyDescent="0.25">
      <c r="A126" s="22">
        <v>0.91700000000000004</v>
      </c>
      <c r="B126" s="23">
        <v>2479.8785026909563</v>
      </c>
      <c r="C126" s="24">
        <v>1.0917030567685337E-3</v>
      </c>
      <c r="E126" s="2"/>
      <c r="F126" s="2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customFormat="1" x14ac:dyDescent="0.25">
      <c r="A127" s="22">
        <v>0.91800000000000004</v>
      </c>
      <c r="B127" s="23">
        <v>2482.582841298035</v>
      </c>
      <c r="C127" s="24">
        <v>1.0905125408942062E-3</v>
      </c>
      <c r="E127" s="2"/>
      <c r="F127" s="2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customFormat="1" x14ac:dyDescent="0.25">
      <c r="A128" s="22">
        <v>0.91900000000000004</v>
      </c>
      <c r="B128" s="23">
        <v>2485.2871799051131</v>
      </c>
      <c r="C128" s="24">
        <v>1.0893246187362315E-3</v>
      </c>
      <c r="E128" s="2"/>
      <c r="F128" s="2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customFormat="1" x14ac:dyDescent="0.25">
      <c r="A129" s="22">
        <v>0.92</v>
      </c>
      <c r="B129" s="23">
        <v>2487.9915185121918</v>
      </c>
      <c r="C129" s="24">
        <v>1.0881392818280489E-3</v>
      </c>
      <c r="E129" s="2"/>
      <c r="F129" s="2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customFormat="1" x14ac:dyDescent="0.25">
      <c r="A130" s="22">
        <v>0.92100000000000004</v>
      </c>
      <c r="B130" s="23">
        <v>2490.6958571192708</v>
      </c>
      <c r="C130" s="24">
        <v>1.0869565217392907E-3</v>
      </c>
      <c r="E130" s="2"/>
      <c r="F130" s="2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customFormat="1" x14ac:dyDescent="0.25">
      <c r="A131" s="22">
        <v>0.92200000000000004</v>
      </c>
      <c r="B131" s="23">
        <v>2493.4001957263495</v>
      </c>
      <c r="C131" s="24">
        <v>1.0857763300760048E-3</v>
      </c>
      <c r="E131" s="2"/>
      <c r="F131" s="2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customFormat="1" x14ac:dyDescent="0.25">
      <c r="A132" s="22">
        <v>0.92300000000000004</v>
      </c>
      <c r="B132" s="23">
        <v>2496.1045343334281</v>
      </c>
      <c r="C132" s="24">
        <v>1.0845986984815426E-3</v>
      </c>
      <c r="E132" s="2"/>
      <c r="F132" s="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customFormat="1" x14ac:dyDescent="0.25">
      <c r="A133" s="22">
        <v>0.92400000000000004</v>
      </c>
      <c r="B133" s="23">
        <v>2498.8088729405067</v>
      </c>
      <c r="C133" s="24">
        <v>1.0834236186350044E-3</v>
      </c>
      <c r="E133" s="2"/>
      <c r="F133" s="2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customFormat="1" x14ac:dyDescent="0.25">
      <c r="A134" s="22">
        <v>0.92500000000000004</v>
      </c>
      <c r="B134" s="23">
        <v>2501.5132115475858</v>
      </c>
      <c r="C134" s="24">
        <v>1.0822510822512399E-3</v>
      </c>
      <c r="E134" s="2"/>
      <c r="F134" s="2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customFormat="1" x14ac:dyDescent="0.25">
      <c r="A135" s="22">
        <v>0.92600000000000005</v>
      </c>
      <c r="B135" s="23">
        <v>2504.2175501546644</v>
      </c>
      <c r="C135" s="24">
        <v>1.08108108108107E-3</v>
      </c>
      <c r="E135" s="2"/>
      <c r="F135" s="2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customFormat="1" x14ac:dyDescent="0.25">
      <c r="A136" s="22">
        <v>0.92700000000000005</v>
      </c>
      <c r="B136" s="23">
        <v>2506.921888761743</v>
      </c>
      <c r="C136" s="24">
        <v>1.0799136069115089E-3</v>
      </c>
      <c r="E136" s="2"/>
      <c r="F136" s="2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customFormat="1" x14ac:dyDescent="0.25">
      <c r="A137" s="22">
        <v>0.92800000000000005</v>
      </c>
      <c r="B137" s="23">
        <v>2509.6262273688217</v>
      </c>
      <c r="C137" s="24">
        <v>1.0787486515642097E-3</v>
      </c>
      <c r="E137" s="2"/>
      <c r="F137" s="2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customFormat="1" x14ac:dyDescent="0.25">
      <c r="A138" s="22">
        <v>0.92900000000000005</v>
      </c>
      <c r="B138" s="23">
        <v>2512.3305659759003</v>
      </c>
      <c r="C138" s="24">
        <v>1.0775862068965747E-3</v>
      </c>
      <c r="E138" s="2"/>
      <c r="F138" s="2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customFormat="1" x14ac:dyDescent="0.25">
      <c r="A139" s="22">
        <v>0.93</v>
      </c>
      <c r="B139" s="23">
        <v>2515.034904582978</v>
      </c>
      <c r="C139" s="24">
        <v>1.0764262648006451E-3</v>
      </c>
      <c r="E139" s="2"/>
      <c r="F139" s="2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customFormat="1" x14ac:dyDescent="0.25">
      <c r="A140" s="22">
        <v>0.93100000000000005</v>
      </c>
      <c r="B140" s="23">
        <v>2517.7392431900566</v>
      </c>
      <c r="C140" s="24">
        <v>1.0752688172044333E-3</v>
      </c>
      <c r="E140" s="2"/>
      <c r="F140" s="2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customFormat="1" x14ac:dyDescent="0.25">
      <c r="A141" s="22">
        <v>0.93200000000000005</v>
      </c>
      <c r="B141" s="23">
        <v>2520.4435817971348</v>
      </c>
      <c r="C141" s="24">
        <v>1.0741138560685926E-3</v>
      </c>
      <c r="E141" s="2"/>
      <c r="F141" s="2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customFormat="1" x14ac:dyDescent="0.25">
      <c r="A142" s="22">
        <v>0.93300000000000005</v>
      </c>
      <c r="B142" s="23">
        <v>2523.1479204042134</v>
      </c>
      <c r="C142" s="24">
        <v>1.0729613733906351E-3</v>
      </c>
      <c r="E142" s="2"/>
      <c r="F142" s="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customFormat="1" x14ac:dyDescent="0.25">
      <c r="A143" s="22">
        <v>0.93400000000000005</v>
      </c>
      <c r="B143" s="23">
        <v>2525.8522590112921</v>
      </c>
      <c r="C143" s="24">
        <v>1.071811361200492E-3</v>
      </c>
      <c r="E143" s="2"/>
      <c r="F143" s="2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customFormat="1" x14ac:dyDescent="0.25">
      <c r="A144" s="22">
        <v>0.93500000000000005</v>
      </c>
      <c r="B144" s="23">
        <v>2528.5565976183698</v>
      </c>
      <c r="C144" s="24">
        <v>1.0706638115629552E-3</v>
      </c>
      <c r="E144" s="2"/>
      <c r="F144" s="2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customFormat="1" x14ac:dyDescent="0.25">
      <c r="A145" s="22">
        <v>0.93600000000000005</v>
      </c>
      <c r="B145" s="23">
        <v>2531.2609362254484</v>
      </c>
      <c r="C145" s="24">
        <v>1.0695187165776776E-3</v>
      </c>
      <c r="E145" s="2"/>
      <c r="F145" s="2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customFormat="1" x14ac:dyDescent="0.25">
      <c r="A146" s="22">
        <v>0.93700000000000006</v>
      </c>
      <c r="B146" s="23">
        <v>2533.965274832527</v>
      </c>
      <c r="C146" s="24">
        <v>1.0683760683760646E-3</v>
      </c>
      <c r="E146" s="2"/>
      <c r="F146" s="2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customFormat="1" x14ac:dyDescent="0.25">
      <c r="A147" s="22">
        <v>0.93799999999999994</v>
      </c>
      <c r="B147" s="23">
        <v>2536.6696134396052</v>
      </c>
      <c r="C147" s="24">
        <v>1.0672358591248265E-3</v>
      </c>
      <c r="E147" s="2"/>
      <c r="F147" s="2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customFormat="1" x14ac:dyDescent="0.25">
      <c r="A148" s="22">
        <v>0.93899999999999995</v>
      </c>
      <c r="B148" s="23">
        <v>2539.3739520466838</v>
      </c>
      <c r="C148" s="24">
        <v>1.0660980810235365E-3</v>
      </c>
      <c r="E148" s="2"/>
      <c r="F148" s="2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customFormat="1" x14ac:dyDescent="0.25">
      <c r="A149" s="22">
        <v>0.94</v>
      </c>
      <c r="B149" s="23">
        <v>2542.0782906537625</v>
      </c>
      <c r="C149" s="24">
        <v>1.0649627263046302E-3</v>
      </c>
      <c r="E149" s="2"/>
      <c r="F149" s="2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customFormat="1" x14ac:dyDescent="0.25">
      <c r="A150" s="22">
        <v>0.94099999999999995</v>
      </c>
      <c r="B150" s="23">
        <v>2544.7826292608406</v>
      </c>
      <c r="C150" s="24">
        <v>1.0638297872338498E-3</v>
      </c>
      <c r="E150" s="2"/>
      <c r="F150" s="2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customFormat="1" x14ac:dyDescent="0.25">
      <c r="A151" s="22">
        <v>0.94199999999999995</v>
      </c>
      <c r="B151" s="23">
        <v>2547.4869678679197</v>
      </c>
      <c r="C151" s="24">
        <v>1.0626992561106885E-3</v>
      </c>
      <c r="E151" s="2"/>
      <c r="F151" s="2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customFormat="1" x14ac:dyDescent="0.25">
      <c r="A152" s="22">
        <v>0.94299999999999995</v>
      </c>
      <c r="B152" s="23">
        <v>2550.1913064749983</v>
      </c>
      <c r="C152" s="24">
        <v>1.0615711252655036E-3</v>
      </c>
      <c r="E152" s="2"/>
      <c r="F152" s="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customFormat="1" x14ac:dyDescent="0.25">
      <c r="A153" s="22">
        <v>0.94399999999999995</v>
      </c>
      <c r="B153" s="23">
        <v>2552.8956450820765</v>
      </c>
      <c r="C153" s="24">
        <v>1.0604453870624031E-3</v>
      </c>
      <c r="E153" s="2"/>
      <c r="F153" s="2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customFormat="1" x14ac:dyDescent="0.25">
      <c r="A154" s="22">
        <v>0.94499999999999995</v>
      </c>
      <c r="B154" s="23">
        <v>2555.5999836891547</v>
      </c>
      <c r="C154" s="24">
        <v>1.0593220338981357E-3</v>
      </c>
      <c r="E154" s="2"/>
      <c r="F154" s="2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customFormat="1" x14ac:dyDescent="0.25">
      <c r="A155" s="22">
        <v>0.94599999999999995</v>
      </c>
      <c r="B155" s="23">
        <v>2558.3043222962333</v>
      </c>
      <c r="C155" s="24">
        <v>1.0582010582012025E-3</v>
      </c>
      <c r="E155" s="2"/>
      <c r="F155" s="2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customFormat="1" x14ac:dyDescent="0.25">
      <c r="A156" s="22">
        <v>0.94699999999999995</v>
      </c>
      <c r="B156" s="23">
        <v>2561.0086609033119</v>
      </c>
      <c r="C156" s="24">
        <v>1.0570824524314126E-3</v>
      </c>
      <c r="E156" s="2"/>
      <c r="F156" s="2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customFormat="1" x14ac:dyDescent="0.25">
      <c r="A157" s="22">
        <v>0.94799999999999995</v>
      </c>
      <c r="B157" s="23">
        <v>2563.7129995103905</v>
      </c>
      <c r="C157" s="24">
        <v>1.0559662090814381E-3</v>
      </c>
      <c r="E157" s="2"/>
      <c r="F157" s="2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customFormat="1" x14ac:dyDescent="0.25">
      <c r="A158" s="22">
        <v>0.94899999999999995</v>
      </c>
      <c r="B158" s="23">
        <v>2566.4173381174696</v>
      </c>
      <c r="C158" s="24">
        <v>1.0548523206752591E-3</v>
      </c>
      <c r="E158" s="2"/>
      <c r="F158" s="2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customFormat="1" x14ac:dyDescent="0.25">
      <c r="A159" s="22">
        <v>0.95</v>
      </c>
      <c r="B159" s="23">
        <v>2569.1216767245483</v>
      </c>
      <c r="C159" s="24">
        <v>1.0537407797681642E-3</v>
      </c>
      <c r="E159" s="2"/>
      <c r="F159" s="2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customFormat="1" x14ac:dyDescent="0.25">
      <c r="A160" s="22">
        <v>0.95099999999999996</v>
      </c>
      <c r="B160" s="23">
        <v>2571.8260153316264</v>
      </c>
      <c r="C160" s="24">
        <v>1.0526315789471941E-3</v>
      </c>
      <c r="E160" s="2"/>
      <c r="F160" s="2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customFormat="1" x14ac:dyDescent="0.25">
      <c r="A161" s="22">
        <v>0.95199999999999996</v>
      </c>
      <c r="B161" s="23">
        <v>2574.530353938705</v>
      </c>
      <c r="C161" s="24">
        <v>1.051524710830698E-3</v>
      </c>
      <c r="E161" s="2"/>
      <c r="F161" s="2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customFormat="1" x14ac:dyDescent="0.25">
      <c r="A162" s="22">
        <v>0.95299999999999996</v>
      </c>
      <c r="B162" s="23">
        <v>2577.2346925457837</v>
      </c>
      <c r="C162" s="24">
        <v>1.0504201680672232E-3</v>
      </c>
      <c r="E162" s="2"/>
      <c r="F162" s="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spans="1:19" customFormat="1" x14ac:dyDescent="0.25">
      <c r="A163" s="22">
        <v>0.95399999999999996</v>
      </c>
      <c r="B163" s="23">
        <v>2579.9390311528623</v>
      </c>
      <c r="C163" s="24">
        <v>1.0493179433368471E-3</v>
      </c>
      <c r="E163" s="2"/>
      <c r="F163" s="2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spans="1:19" customFormat="1" x14ac:dyDescent="0.25">
      <c r="A164" s="22">
        <v>0.95499999999999996</v>
      </c>
      <c r="B164" s="23">
        <v>2582.6433697599405</v>
      </c>
      <c r="C164" s="24">
        <v>1.0482180293500676E-3</v>
      </c>
      <c r="E164" s="2"/>
      <c r="F164" s="2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spans="1:19" customFormat="1" x14ac:dyDescent="0.25">
      <c r="A165" s="22">
        <v>0.95599999999999996</v>
      </c>
      <c r="B165" s="23">
        <v>2585.3477083670191</v>
      </c>
      <c r="C165" s="24">
        <v>1.0471204188482464E-3</v>
      </c>
      <c r="E165" s="2"/>
      <c r="F165" s="2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spans="1:19" customFormat="1" x14ac:dyDescent="0.25">
      <c r="A166" s="22">
        <v>0.95699999999999996</v>
      </c>
      <c r="B166" s="23">
        <v>2588.0520469740977</v>
      </c>
      <c r="C166" s="24">
        <v>1.0460251046024993E-3</v>
      </c>
      <c r="E166" s="2"/>
      <c r="F166" s="2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spans="1:19" customFormat="1" x14ac:dyDescent="0.25">
      <c r="A167" s="22">
        <v>0.95799999999999996</v>
      </c>
      <c r="B167" s="23">
        <v>2590.7563855811759</v>
      </c>
      <c r="C167" s="24">
        <v>1.0449320794148065E-3</v>
      </c>
      <c r="E167" s="2"/>
      <c r="F167" s="2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spans="1:19" customFormat="1" x14ac:dyDescent="0.25">
      <c r="A168" s="22">
        <v>0.95899999999999996</v>
      </c>
      <c r="B168" s="23">
        <v>2593.4607241882545</v>
      </c>
      <c r="C168" s="24">
        <v>1.0438413361169019E-3</v>
      </c>
      <c r="E168" s="2"/>
      <c r="F168" s="2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spans="1:19" customFormat="1" x14ac:dyDescent="0.25">
      <c r="A169" s="22">
        <v>0.96</v>
      </c>
      <c r="B169" s="23">
        <v>2596.1650627953331</v>
      </c>
      <c r="C169" s="24">
        <v>1.0427528675704956E-3</v>
      </c>
      <c r="E169" s="2"/>
      <c r="F169" s="2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spans="1:19" customFormat="1" x14ac:dyDescent="0.25">
      <c r="A170" s="22">
        <v>0.96099999999999997</v>
      </c>
      <c r="B170" s="23">
        <v>2598.8694014024122</v>
      </c>
      <c r="C170" s="24">
        <v>1.0416666666668295E-3</v>
      </c>
      <c r="E170" s="2"/>
      <c r="F170" s="2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spans="1:19" customFormat="1" x14ac:dyDescent="0.25">
      <c r="A171" s="22">
        <v>0.96199999999999997</v>
      </c>
      <c r="B171" s="23">
        <v>2601.5737400094899</v>
      </c>
      <c r="C171" s="24">
        <v>1.0405827263264555E-3</v>
      </c>
      <c r="E171" s="2"/>
      <c r="F171" s="2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spans="1:19" customFormat="1" x14ac:dyDescent="0.25">
      <c r="A172" s="22">
        <v>0.96299999999999997</v>
      </c>
      <c r="B172" s="23">
        <v>2604.2780786165686</v>
      </c>
      <c r="C172" s="24">
        <v>1.0395010395010118E-3</v>
      </c>
      <c r="E172" s="2"/>
      <c r="F172" s="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spans="1:19" customFormat="1" x14ac:dyDescent="0.25">
      <c r="A173" s="22">
        <v>0.96399999999999997</v>
      </c>
      <c r="B173" s="23">
        <v>2606.9824172236467</v>
      </c>
      <c r="C173" s="24">
        <v>1.0384215991692258E-3</v>
      </c>
      <c r="E173" s="2"/>
      <c r="F173" s="2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spans="1:19" customFormat="1" x14ac:dyDescent="0.25">
      <c r="A174" s="22">
        <v>0.96499999999999997</v>
      </c>
      <c r="B174" s="23">
        <v>2609.6867558307254</v>
      </c>
      <c r="C174" s="24">
        <v>1.0373443983402453E-3</v>
      </c>
      <c r="E174" s="2"/>
      <c r="F174" s="2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spans="1:19" customFormat="1" x14ac:dyDescent="0.25">
      <c r="A175" s="22">
        <v>0.96599999999999997</v>
      </c>
      <c r="B175" s="23">
        <v>2612.391094437804</v>
      </c>
      <c r="C175" s="24">
        <v>1.0362694300518616E-3</v>
      </c>
      <c r="E175" s="2"/>
      <c r="F175" s="2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spans="1:19" customFormat="1" x14ac:dyDescent="0.25">
      <c r="A176" s="22">
        <v>0.96699999999999997</v>
      </c>
      <c r="B176" s="23">
        <v>2615.0954330448822</v>
      </c>
      <c r="C176" s="24">
        <v>1.0351966873705098E-3</v>
      </c>
      <c r="E176" s="2"/>
      <c r="F176" s="2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spans="1:19" customFormat="1" x14ac:dyDescent="0.25">
      <c r="A177" s="22">
        <v>0.96799999999999997</v>
      </c>
      <c r="B177" s="23">
        <v>2617.7997716519608</v>
      </c>
      <c r="C177" s="24">
        <v>1.0341261633919352E-3</v>
      </c>
      <c r="E177" s="2"/>
      <c r="F177" s="2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spans="1:19" customFormat="1" x14ac:dyDescent="0.25">
      <c r="A178" s="22">
        <v>0.96899999999999997</v>
      </c>
      <c r="B178" s="23">
        <v>2620.504110259039</v>
      </c>
      <c r="C178" s="24">
        <v>1.0330578512396382E-3</v>
      </c>
      <c r="E178" s="2"/>
      <c r="F178" s="2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customFormat="1" x14ac:dyDescent="0.25">
      <c r="A179" s="22">
        <v>0.97</v>
      </c>
      <c r="B179" s="23">
        <v>2623.2084488661171</v>
      </c>
      <c r="C179" s="24">
        <v>1.0319917440659854E-3</v>
      </c>
      <c r="E179" s="2"/>
      <c r="F179" s="2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customFormat="1" x14ac:dyDescent="0.25">
      <c r="A180" s="22">
        <v>0.97099999999999997</v>
      </c>
      <c r="B180" s="23">
        <v>2625.9127874731957</v>
      </c>
      <c r="C180" s="24">
        <v>1.0309278350515427E-3</v>
      </c>
      <c r="E180" s="2"/>
      <c r="F180" s="2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customFormat="1" x14ac:dyDescent="0.25">
      <c r="A181" s="22">
        <v>0.97199999999999998</v>
      </c>
      <c r="B181" s="23">
        <v>2628.6171260802744</v>
      </c>
      <c r="C181" s="24">
        <v>1.029866117404854E-3</v>
      </c>
      <c r="E181" s="2"/>
      <c r="F181" s="2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customFormat="1" x14ac:dyDescent="0.25">
      <c r="A182" s="22">
        <v>0.97299999999999998</v>
      </c>
      <c r="B182" s="23">
        <v>2631.3214646873525</v>
      </c>
      <c r="C182" s="24">
        <v>1.0288065843619965E-3</v>
      </c>
      <c r="E182" s="2"/>
      <c r="F182" s="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customFormat="1" x14ac:dyDescent="0.25">
      <c r="A183" s="22">
        <v>0.97399999999999998</v>
      </c>
      <c r="B183" s="23">
        <v>2634.0258032944312</v>
      </c>
      <c r="C183" s="24">
        <v>1.0277492291881352E-3</v>
      </c>
      <c r="E183" s="2"/>
      <c r="F183" s="2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customFormat="1" x14ac:dyDescent="0.25">
      <c r="A184" s="22">
        <v>0.97499999999999998</v>
      </c>
      <c r="B184" s="23">
        <v>2636.7301419015098</v>
      </c>
      <c r="C184" s="24">
        <v>1.0266940451746365E-3</v>
      </c>
      <c r="E184" s="2"/>
      <c r="F184" s="2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customFormat="1" x14ac:dyDescent="0.25">
      <c r="A185" s="22">
        <v>0.97599999999999998</v>
      </c>
      <c r="B185" s="23">
        <v>2639.434480508588</v>
      </c>
      <c r="C185" s="24">
        <v>1.0256410256408444E-3</v>
      </c>
      <c r="E185" s="2"/>
      <c r="F185" s="2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customFormat="1" x14ac:dyDescent="0.25">
      <c r="A186" s="22">
        <v>0.97699999999999998</v>
      </c>
      <c r="B186" s="23">
        <v>2642.1388191156666</v>
      </c>
      <c r="C186" s="24">
        <v>1.0245901639345245E-3</v>
      </c>
      <c r="E186" s="2"/>
      <c r="F186" s="2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customFormat="1" x14ac:dyDescent="0.25">
      <c r="A187" s="22">
        <v>0.97799999999999998</v>
      </c>
      <c r="B187" s="23">
        <v>2644.8431577227452</v>
      </c>
      <c r="C187" s="24">
        <v>1.0235414534289777E-3</v>
      </c>
      <c r="E187" s="2"/>
      <c r="F187" s="2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customFormat="1" x14ac:dyDescent="0.25">
      <c r="A188" s="22">
        <v>0.97899999999999998</v>
      </c>
      <c r="B188" s="23">
        <v>2647.5474963298234</v>
      </c>
      <c r="C188" s="24">
        <v>1.0224948875254825E-3</v>
      </c>
      <c r="E188" s="2"/>
      <c r="F188" s="2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customFormat="1" x14ac:dyDescent="0.25">
      <c r="A189" s="22">
        <v>0.98</v>
      </c>
      <c r="B189" s="23">
        <v>2650.251834936902</v>
      </c>
      <c r="C189" s="24">
        <v>1.0214504596528506E-3</v>
      </c>
      <c r="E189" s="2"/>
      <c r="F189" s="2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customFormat="1" x14ac:dyDescent="0.25">
      <c r="A190" s="22">
        <v>0.98099999999999998</v>
      </c>
      <c r="B190" s="23">
        <v>2652.9561735439806</v>
      </c>
      <c r="C190" s="24">
        <v>1.0204081632654294E-3</v>
      </c>
      <c r="E190" s="2"/>
      <c r="F190" s="2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customFormat="1" x14ac:dyDescent="0.25">
      <c r="A191" s="22">
        <v>0.98199999999999998</v>
      </c>
      <c r="B191" s="23">
        <v>2655.6605121510588</v>
      </c>
      <c r="C191" s="24">
        <v>1.0193679918448773E-3</v>
      </c>
      <c r="E191" s="2"/>
      <c r="F191" s="2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customFormat="1" x14ac:dyDescent="0.25">
      <c r="A192" s="22">
        <v>0.98299999999999998</v>
      </c>
      <c r="B192" s="23">
        <v>2658.364850758137</v>
      </c>
      <c r="C192" s="24">
        <v>1.0183299389001643E-3</v>
      </c>
      <c r="E192" s="2"/>
      <c r="F192" s="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customFormat="1" x14ac:dyDescent="0.25">
      <c r="A193" s="22">
        <v>0.98399999999999999</v>
      </c>
      <c r="B193" s="23">
        <v>2661.0691893652152</v>
      </c>
      <c r="C193" s="24">
        <v>1.0172939979653517E-3</v>
      </c>
      <c r="E193" s="2"/>
      <c r="F193" s="2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customFormat="1" x14ac:dyDescent="0.25">
      <c r="A194" s="22">
        <v>0.98499999999999999</v>
      </c>
      <c r="B194" s="23">
        <v>2663.7735279722933</v>
      </c>
      <c r="C194" s="24">
        <v>1.0162601626015899E-3</v>
      </c>
      <c r="E194" s="2"/>
      <c r="F194" s="2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customFormat="1" x14ac:dyDescent="0.25">
      <c r="A195" s="22">
        <v>0.98599999999999999</v>
      </c>
      <c r="B195" s="23">
        <v>2666.4778665793719</v>
      </c>
      <c r="C195" s="24">
        <v>1.0152284263960087E-3</v>
      </c>
      <c r="E195" s="2"/>
      <c r="F195" s="2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customFormat="1" x14ac:dyDescent="0.25">
      <c r="A196" s="22">
        <v>0.98699999999999999</v>
      </c>
      <c r="B196" s="23">
        <v>2669.1822051864506</v>
      </c>
      <c r="C196" s="24">
        <v>1.0141987829614951E-3</v>
      </c>
      <c r="E196" s="2"/>
      <c r="F196" s="2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customFormat="1" x14ac:dyDescent="0.25">
      <c r="A197" s="22">
        <v>0.98799999999999999</v>
      </c>
      <c r="B197" s="23">
        <v>2671.8865437935287</v>
      </c>
      <c r="C197" s="24">
        <v>1.0131712259371373E-3</v>
      </c>
      <c r="E197" s="2"/>
      <c r="F197" s="2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customFormat="1" x14ac:dyDescent="0.25">
      <c r="A198" s="22">
        <v>0.98899999999999999</v>
      </c>
      <c r="B198" s="23">
        <v>2674.5908824006078</v>
      </c>
      <c r="C198" s="24">
        <v>1.0121457489880026E-3</v>
      </c>
      <c r="E198" s="2"/>
      <c r="F198" s="2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customFormat="1" x14ac:dyDescent="0.25">
      <c r="A199" s="22">
        <v>0.99</v>
      </c>
      <c r="B199" s="23">
        <v>2677.295221007686</v>
      </c>
      <c r="C199" s="24">
        <v>1.0111223458038054E-3</v>
      </c>
      <c r="E199" s="2"/>
      <c r="F199" s="2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customFormat="1" x14ac:dyDescent="0.25">
      <c r="A200" s="22">
        <v>0.99099999999999999</v>
      </c>
      <c r="B200" s="23">
        <v>2679.9995596147646</v>
      </c>
      <c r="C200" s="24">
        <v>1.0101010101011276E-3</v>
      </c>
      <c r="E200" s="2"/>
      <c r="F200" s="2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customFormat="1" x14ac:dyDescent="0.25">
      <c r="A201" s="22">
        <v>0.99199999999999999</v>
      </c>
      <c r="B201" s="23">
        <v>2682.7038982218437</v>
      </c>
      <c r="C201" s="24">
        <v>1.0090817356207538E-3</v>
      </c>
      <c r="E201" s="2"/>
      <c r="F201" s="2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customFormat="1" x14ac:dyDescent="0.25">
      <c r="A202" s="22">
        <v>0.99299999999999999</v>
      </c>
      <c r="B202" s="23">
        <v>2685.4082368289219</v>
      </c>
      <c r="C202" s="24">
        <v>1.0080645161290036E-3</v>
      </c>
      <c r="E202" s="2"/>
      <c r="F202" s="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customFormat="1" x14ac:dyDescent="0.25">
      <c r="A203" s="22">
        <v>0.99399999999999999</v>
      </c>
      <c r="B203" s="23">
        <v>2688.112575436</v>
      </c>
      <c r="C203" s="24">
        <v>1.0070493454177321E-3</v>
      </c>
      <c r="E203" s="2"/>
      <c r="F203" s="2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customFormat="1" x14ac:dyDescent="0.25">
      <c r="A204" s="22">
        <v>0.995</v>
      </c>
      <c r="B204" s="23">
        <v>2690.8169140430787</v>
      </c>
      <c r="C204" s="24">
        <v>1.006036217303885E-3</v>
      </c>
      <c r="E204" s="2"/>
      <c r="F204" s="2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customFormat="1" x14ac:dyDescent="0.25">
      <c r="A205" s="22">
        <v>0.996</v>
      </c>
      <c r="B205" s="23">
        <v>2693.5212526501573</v>
      </c>
      <c r="C205" s="24">
        <v>1.0050251256281673E-3</v>
      </c>
      <c r="E205" s="2"/>
      <c r="F205" s="2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customFormat="1" x14ac:dyDescent="0.25">
      <c r="A206" s="22">
        <v>0.997</v>
      </c>
      <c r="B206" s="23">
        <v>2696.225591257235</v>
      </c>
      <c r="C206" s="24">
        <v>1.0040160642568186E-3</v>
      </c>
      <c r="E206" s="2"/>
      <c r="F206" s="2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customFormat="1" x14ac:dyDescent="0.25">
      <c r="A207" s="22">
        <v>0.998</v>
      </c>
      <c r="B207" s="23">
        <v>2698.9299298643141</v>
      </c>
      <c r="C207" s="24">
        <v>1.0030090270813918E-3</v>
      </c>
      <c r="E207" s="2"/>
      <c r="F207" s="2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customFormat="1" x14ac:dyDescent="0.25">
      <c r="A208" s="22">
        <v>0.999</v>
      </c>
      <c r="B208" s="23">
        <v>2701.6342684713927</v>
      </c>
      <c r="C208" s="24">
        <v>1.0020040080160886E-3</v>
      </c>
      <c r="E208" s="2"/>
      <c r="F208" s="2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customFormat="1" x14ac:dyDescent="0.25">
      <c r="A209" s="25">
        <v>1</v>
      </c>
      <c r="B209" s="26">
        <v>3605.7848094379619</v>
      </c>
      <c r="C209" s="27">
        <v>0.33466800133466812</v>
      </c>
      <c r="E209" s="2"/>
      <c r="F209" s="2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customFormat="1" x14ac:dyDescent="0.25">
      <c r="A210" s="28">
        <v>1.0009999999999999</v>
      </c>
      <c r="B210" s="29">
        <v>3609.0300157664556</v>
      </c>
      <c r="C210" s="30">
        <v>9.9999999999966782E-4</v>
      </c>
      <c r="E210" s="2"/>
      <c r="F210" s="2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customFormat="1" x14ac:dyDescent="0.25">
      <c r="A211" s="28">
        <v>1.002</v>
      </c>
      <c r="B211" s="29">
        <v>3612.275222094951</v>
      </c>
      <c r="C211" s="30">
        <v>9.9900099900129824E-4</v>
      </c>
      <c r="E211" s="2"/>
      <c r="F211" s="2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customFormat="1" x14ac:dyDescent="0.25">
      <c r="A212" s="28">
        <v>1.0029999999999999</v>
      </c>
      <c r="B212" s="29">
        <v>3615.5204284234446</v>
      </c>
      <c r="C212" s="30">
        <v>9.9800399201588341E-4</v>
      </c>
      <c r="E212" s="2"/>
      <c r="F212" s="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customFormat="1" x14ac:dyDescent="0.25">
      <c r="A213" s="28">
        <v>1.004</v>
      </c>
      <c r="B213" s="29">
        <v>3618.7656347519387</v>
      </c>
      <c r="C213" s="30">
        <v>9.9700897308063752E-4</v>
      </c>
      <c r="E213" s="2"/>
      <c r="F213" s="2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customFormat="1" x14ac:dyDescent="0.25">
      <c r="A214" s="28">
        <v>1.0049999999999999</v>
      </c>
      <c r="B214" s="29">
        <v>3622.0108410804323</v>
      </c>
      <c r="C214" s="30">
        <v>9.960159362549792E-4</v>
      </c>
      <c r="E214" s="2"/>
      <c r="F214" s="2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customFormat="1" x14ac:dyDescent="0.25">
      <c r="A215" s="28">
        <v>1.006</v>
      </c>
      <c r="B215" s="29">
        <v>3625.2560474089278</v>
      </c>
      <c r="C215" s="30">
        <v>9.9502487562208586E-4</v>
      </c>
      <c r="E215" s="2"/>
      <c r="F215" s="2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customFormat="1" x14ac:dyDescent="0.25">
      <c r="A216" s="28">
        <v>1.0069999999999999</v>
      </c>
      <c r="B216" s="29">
        <v>3628.5012537374218</v>
      </c>
      <c r="C216" s="30">
        <v>9.9403578528822756E-4</v>
      </c>
      <c r="E216" s="2"/>
      <c r="F216" s="2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customFormat="1" x14ac:dyDescent="0.25">
      <c r="A217" s="28">
        <v>1.008</v>
      </c>
      <c r="B217" s="29">
        <v>3631.7464600659159</v>
      </c>
      <c r="C217" s="30">
        <v>9.930486593843213E-4</v>
      </c>
      <c r="E217" s="2"/>
      <c r="F217" s="2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customFormat="1" x14ac:dyDescent="0.25">
      <c r="A218" s="28">
        <v>1.0089999999999999</v>
      </c>
      <c r="B218" s="29">
        <v>3634.9916663944105</v>
      </c>
      <c r="C218" s="30">
        <v>9.9206349206371058E-4</v>
      </c>
      <c r="E218" s="2"/>
      <c r="F218" s="2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customFormat="1" x14ac:dyDescent="0.25">
      <c r="A219" s="28">
        <v>1.01</v>
      </c>
      <c r="B219" s="29">
        <v>3638.2368727229045</v>
      </c>
      <c r="C219" s="30">
        <v>9.9108027750238747E-4</v>
      </c>
      <c r="E219" s="2"/>
      <c r="F219" s="2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customFormat="1" x14ac:dyDescent="0.25">
      <c r="A220" s="28">
        <v>1.0109999999999999</v>
      </c>
      <c r="B220" s="29">
        <v>3641.4820790513972</v>
      </c>
      <c r="C220" s="30">
        <v>9.9009900990076893E-4</v>
      </c>
      <c r="E220" s="2"/>
      <c r="F220" s="2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customFormat="1" x14ac:dyDescent="0.25">
      <c r="A221" s="28">
        <v>1.012</v>
      </c>
      <c r="B221" s="29">
        <v>3644.7272853798927</v>
      </c>
      <c r="C221" s="30">
        <v>9.8911968348192048E-4</v>
      </c>
      <c r="E221" s="2"/>
      <c r="F221" s="2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customFormat="1" x14ac:dyDescent="0.25">
      <c r="A222" s="28">
        <v>1.0129999999999999</v>
      </c>
      <c r="B222" s="29">
        <v>3647.9724917083863</v>
      </c>
      <c r="C222" s="30">
        <v>9.8814229249000185E-4</v>
      </c>
      <c r="E222" s="2"/>
      <c r="F222" s="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customFormat="1" x14ac:dyDescent="0.25">
      <c r="A223" s="28">
        <v>1.014</v>
      </c>
      <c r="B223" s="29">
        <v>3651.2176980368804</v>
      </c>
      <c r="C223" s="30">
        <v>9.8716683119448589E-4</v>
      </c>
      <c r="E223" s="2"/>
      <c r="F223" s="2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customFormat="1" x14ac:dyDescent="0.25">
      <c r="A224" s="28">
        <v>1.0149999999999999</v>
      </c>
      <c r="B224" s="29">
        <v>3654.4629043653736</v>
      </c>
      <c r="C224" s="30">
        <v>9.8619329388549559E-4</v>
      </c>
      <c r="E224" s="2"/>
      <c r="F224" s="2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customFormat="1" x14ac:dyDescent="0.25">
      <c r="A225" s="28">
        <v>1.016</v>
      </c>
      <c r="B225" s="29">
        <v>3657.7081106938695</v>
      </c>
      <c r="C225" s="30">
        <v>9.8522167487713475E-4</v>
      </c>
      <c r="E225" s="2"/>
      <c r="F225" s="2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customFormat="1" x14ac:dyDescent="0.25">
      <c r="A226" s="28">
        <v>1.0169999999999999</v>
      </c>
      <c r="B226" s="29">
        <v>3660.9533170223626</v>
      </c>
      <c r="C226" s="30">
        <v>9.8425196850371321E-4</v>
      </c>
      <c r="E226" s="2"/>
      <c r="F226" s="2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customFormat="1" x14ac:dyDescent="0.25">
      <c r="A227" s="28">
        <v>1.018</v>
      </c>
      <c r="B227" s="29">
        <v>3664.1985233508576</v>
      </c>
      <c r="C227" s="30">
        <v>9.8328416912507599E-4</v>
      </c>
      <c r="E227" s="2"/>
      <c r="F227" s="2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customFormat="1" x14ac:dyDescent="0.25">
      <c r="A228" s="28">
        <v>1.0189999999999999</v>
      </c>
      <c r="B228" s="29">
        <v>3667.4437296793508</v>
      </c>
      <c r="C228" s="30">
        <v>9.8231827111971981E-4</v>
      </c>
      <c r="E228" s="2"/>
      <c r="F228" s="2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customFormat="1" x14ac:dyDescent="0.25">
      <c r="A229" s="28">
        <v>1.02</v>
      </c>
      <c r="B229" s="29">
        <v>3670.6889360078453</v>
      </c>
      <c r="C229" s="30">
        <v>9.8135426889101041E-4</v>
      </c>
      <c r="E229" s="2"/>
      <c r="F229" s="2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customFormat="1" x14ac:dyDescent="0.25">
      <c r="A230" s="28">
        <v>1.0209999999999999</v>
      </c>
      <c r="B230" s="29">
        <v>3673.9341423363389</v>
      </c>
      <c r="C230" s="30">
        <v>9.8039215686274161E-4</v>
      </c>
      <c r="E230" s="2"/>
      <c r="F230" s="2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customFormat="1" x14ac:dyDescent="0.25">
      <c r="A231" s="28">
        <v>1.022</v>
      </c>
      <c r="B231" s="29">
        <v>3677.1793486648335</v>
      </c>
      <c r="C231" s="30">
        <v>9.7943192948091173E-4</v>
      </c>
      <c r="E231" s="2"/>
      <c r="F231" s="2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customFormat="1" x14ac:dyDescent="0.25">
      <c r="A232" s="28">
        <v>1.0229999999999999</v>
      </c>
      <c r="B232" s="29">
        <v>3680.4245549933262</v>
      </c>
      <c r="C232" s="30">
        <v>9.7847358121305739E-4</v>
      </c>
      <c r="E232" s="2"/>
      <c r="F232" s="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customFormat="1" x14ac:dyDescent="0.25">
      <c r="A233" s="28">
        <v>1.024</v>
      </c>
      <c r="B233" s="29">
        <v>3683.6697613218216</v>
      </c>
      <c r="C233" s="30">
        <v>9.7751710654958579E-4</v>
      </c>
      <c r="E233" s="2"/>
      <c r="F233" s="2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customFormat="1" x14ac:dyDescent="0.25">
      <c r="A234" s="28">
        <v>1.0249999999999999</v>
      </c>
      <c r="B234" s="29">
        <v>3686.9149676503143</v>
      </c>
      <c r="C234" s="30">
        <v>9.7656249999977796E-4</v>
      </c>
      <c r="E234" s="2"/>
      <c r="F234" s="2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customFormat="1" x14ac:dyDescent="0.25">
      <c r="A235" s="28">
        <v>1.026</v>
      </c>
      <c r="B235" s="29">
        <v>3690.1601739788089</v>
      </c>
      <c r="C235" s="30">
        <v>9.7560975609756184E-4</v>
      </c>
      <c r="E235" s="2"/>
      <c r="F235" s="2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customFormat="1" x14ac:dyDescent="0.25">
      <c r="A236" s="28">
        <v>1.0269999999999999</v>
      </c>
      <c r="B236" s="29">
        <v>3693.4053803073025</v>
      </c>
      <c r="C236" s="30">
        <v>9.746588693957392E-4</v>
      </c>
      <c r="E236" s="2"/>
      <c r="F236" s="2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customFormat="1" x14ac:dyDescent="0.25">
      <c r="A237" s="28">
        <v>1.028</v>
      </c>
      <c r="B237" s="29">
        <v>3696.6505866357979</v>
      </c>
      <c r="C237" s="30">
        <v>9.7370983446953829E-4</v>
      </c>
      <c r="E237" s="2"/>
      <c r="F237" s="2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customFormat="1" x14ac:dyDescent="0.25">
      <c r="A238" s="28">
        <v>1.0289999999999999</v>
      </c>
      <c r="B238" s="29">
        <v>3699.8957929642906</v>
      </c>
      <c r="C238" s="30">
        <v>9.7276264591417139E-4</v>
      </c>
      <c r="E238" s="2"/>
      <c r="F238" s="2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customFormat="1" x14ac:dyDescent="0.25">
      <c r="A239" s="28">
        <v>1.03</v>
      </c>
      <c r="B239" s="29">
        <v>3703.1409992927852</v>
      </c>
      <c r="C239" s="30">
        <v>9.7181729834794339E-4</v>
      </c>
      <c r="E239" s="2"/>
      <c r="F239" s="2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customFormat="1" x14ac:dyDescent="0.25">
      <c r="A240" s="28">
        <v>1.0309999999999999</v>
      </c>
      <c r="B240" s="29">
        <v>3706.3862056212797</v>
      </c>
      <c r="C240" s="30">
        <v>9.7087378640781097E-4</v>
      </c>
      <c r="E240" s="2"/>
      <c r="F240" s="2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customFormat="1" x14ac:dyDescent="0.25">
      <c r="A241" s="28">
        <v>1.032</v>
      </c>
      <c r="B241" s="29">
        <v>3709.6314119497742</v>
      </c>
      <c r="C241" s="30">
        <v>9.6993210475271319E-4</v>
      </c>
      <c r="E241" s="2"/>
      <c r="F241" s="2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customFormat="1" x14ac:dyDescent="0.25">
      <c r="A242" s="28">
        <v>1.0329999999999999</v>
      </c>
      <c r="B242" s="29">
        <v>3712.8766182782679</v>
      </c>
      <c r="C242" s="30">
        <v>9.6899224806201723E-4</v>
      </c>
      <c r="E242" s="2"/>
      <c r="F242" s="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customFormat="1" x14ac:dyDescent="0.25">
      <c r="A243" s="28">
        <v>1.034</v>
      </c>
      <c r="B243" s="29">
        <v>3716.1218246067624</v>
      </c>
      <c r="C243" s="30">
        <v>9.6805421103574041E-4</v>
      </c>
      <c r="E243" s="2"/>
      <c r="F243" s="2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customFormat="1" x14ac:dyDescent="0.25">
      <c r="A244" s="28">
        <v>1.0349999999999999</v>
      </c>
      <c r="B244" s="29">
        <v>3719.367030935256</v>
      </c>
      <c r="C244" s="30">
        <v>9.6711798839455021E-4</v>
      </c>
      <c r="E244" s="2"/>
      <c r="F244" s="2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customFormat="1" x14ac:dyDescent="0.25">
      <c r="A245" s="28">
        <v>1.036</v>
      </c>
      <c r="B245" s="29">
        <v>3722.612237263751</v>
      </c>
      <c r="C245" s="30">
        <v>9.6618357487932016E-4</v>
      </c>
      <c r="E245" s="2"/>
      <c r="F245" s="2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customFormat="1" x14ac:dyDescent="0.25">
      <c r="A246" s="28">
        <v>1.0369999999999999</v>
      </c>
      <c r="B246" s="29">
        <v>3725.8574435922446</v>
      </c>
      <c r="C246" s="30">
        <v>9.6525096525090781E-4</v>
      </c>
      <c r="E246" s="2"/>
      <c r="F246" s="2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customFormat="1" x14ac:dyDescent="0.25">
      <c r="A247" s="28">
        <v>1.038</v>
      </c>
      <c r="B247" s="29">
        <v>3729.1026499207396</v>
      </c>
      <c r="C247" s="30">
        <v>9.6432015429148699E-4</v>
      </c>
      <c r="E247" s="2"/>
      <c r="F247" s="2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customFormat="1" x14ac:dyDescent="0.25">
      <c r="A248" s="28">
        <v>1.0389999999999999</v>
      </c>
      <c r="B248" s="29">
        <v>3732.3478562492337</v>
      </c>
      <c r="C248" s="30">
        <v>9.6339113680121713E-4</v>
      </c>
      <c r="E248" s="2"/>
      <c r="F248" s="2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customFormat="1" x14ac:dyDescent="0.25">
      <c r="A249" s="28">
        <v>1.04</v>
      </c>
      <c r="B249" s="29">
        <v>3735.5930625777282</v>
      </c>
      <c r="C249" s="30">
        <v>9.6246390760379441E-4</v>
      </c>
      <c r="E249" s="2"/>
      <c r="F249" s="2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customFormat="1" x14ac:dyDescent="0.25">
      <c r="A250" s="28">
        <v>1.0409999999999999</v>
      </c>
      <c r="B250" s="29">
        <v>3738.8382689062209</v>
      </c>
      <c r="C250" s="30">
        <v>9.6153846153823608E-4</v>
      </c>
      <c r="E250" s="2"/>
      <c r="F250" s="2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customFormat="1" x14ac:dyDescent="0.25">
      <c r="A251" s="28">
        <v>1.042</v>
      </c>
      <c r="B251" s="29">
        <v>3742.0834752347164</v>
      </c>
      <c r="C251" s="30">
        <v>9.6061479346798428E-4</v>
      </c>
      <c r="E251" s="2"/>
      <c r="F251" s="2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customFormat="1" x14ac:dyDescent="0.25">
      <c r="A252" s="28">
        <v>1.0429999999999999</v>
      </c>
      <c r="B252" s="29">
        <v>3745.3286815632105</v>
      </c>
      <c r="C252" s="30">
        <v>9.596928982724684E-4</v>
      </c>
      <c r="E252" s="2"/>
      <c r="F252" s="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customFormat="1" x14ac:dyDescent="0.25">
      <c r="A253" s="28">
        <v>1.044</v>
      </c>
      <c r="B253" s="29">
        <v>3748.5738878917045</v>
      </c>
      <c r="C253" s="30">
        <v>9.5877277085332224E-4</v>
      </c>
      <c r="E253" s="2"/>
      <c r="F253" s="2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customFormat="1" x14ac:dyDescent="0.25">
      <c r="A254" s="28">
        <v>1.0449999999999999</v>
      </c>
      <c r="B254" s="29">
        <v>3751.8190942201986</v>
      </c>
      <c r="C254" s="30">
        <v>9.5785440613016526E-4</v>
      </c>
      <c r="E254" s="2"/>
      <c r="F254" s="2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customFormat="1" x14ac:dyDescent="0.25">
      <c r="A255" s="28">
        <v>1.046</v>
      </c>
      <c r="B255" s="29">
        <v>3755.0643005486932</v>
      </c>
      <c r="C255" s="30">
        <v>9.5693779904326703E-4</v>
      </c>
      <c r="E255" s="2"/>
      <c r="F255" s="2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customFormat="1" x14ac:dyDescent="0.25">
      <c r="A256" s="28">
        <v>1.0469999999999999</v>
      </c>
      <c r="B256" s="29">
        <v>3758.3095068771868</v>
      </c>
      <c r="C256" s="30">
        <v>9.5602294455043868E-4</v>
      </c>
      <c r="E256" s="2"/>
      <c r="F256" s="2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customFormat="1" x14ac:dyDescent="0.25">
      <c r="A257" s="28">
        <v>1.048</v>
      </c>
      <c r="B257" s="29">
        <v>3761.5547132056809</v>
      </c>
      <c r="C257" s="30">
        <v>9.5510983763147372E-4</v>
      </c>
      <c r="E257" s="2"/>
      <c r="F257" s="2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customFormat="1" x14ac:dyDescent="0.25">
      <c r="A258" s="28">
        <v>1.0489999999999999</v>
      </c>
      <c r="B258" s="29">
        <v>3764.7999195341749</v>
      </c>
      <c r="C258" s="30">
        <v>9.5419847328237495E-4</v>
      </c>
      <c r="E258" s="2"/>
      <c r="F258" s="2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customFormat="1" x14ac:dyDescent="0.25">
      <c r="A259" s="28">
        <v>1.05</v>
      </c>
      <c r="B259" s="29">
        <v>3768.0451258626699</v>
      </c>
      <c r="C259" s="30">
        <v>9.5328884652068346E-4</v>
      </c>
      <c r="E259" s="2"/>
      <c r="F259" s="2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customFormat="1" x14ac:dyDescent="0.25">
      <c r="A260" s="28">
        <v>1.0509999999999999</v>
      </c>
      <c r="B260" s="29">
        <v>3771.2903321911645</v>
      </c>
      <c r="C260" s="30">
        <v>9.5238095238103782E-4</v>
      </c>
      <c r="E260" s="2"/>
      <c r="F260" s="2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customFormat="1" x14ac:dyDescent="0.25">
      <c r="A261" s="28">
        <v>1.052</v>
      </c>
      <c r="B261" s="29">
        <v>3774.5355385196581</v>
      </c>
      <c r="C261" s="30">
        <v>9.5147478591806056E-4</v>
      </c>
      <c r="E261" s="2"/>
      <c r="F261" s="2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customFormat="1" x14ac:dyDescent="0.25">
      <c r="A262" s="28">
        <v>1.0529999999999999</v>
      </c>
      <c r="B262" s="29">
        <v>3777.7807448481526</v>
      </c>
      <c r="C262" s="30">
        <v>9.5057034220524805E-4</v>
      </c>
      <c r="E262" s="2"/>
      <c r="F262" s="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customFormat="1" x14ac:dyDescent="0.25">
      <c r="A263" s="28">
        <v>1.054</v>
      </c>
      <c r="B263" s="29">
        <v>3781.0259511766462</v>
      </c>
      <c r="C263" s="30">
        <v>9.496676163343043E-4</v>
      </c>
      <c r="E263" s="2"/>
      <c r="F263" s="2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customFormat="1" x14ac:dyDescent="0.25">
      <c r="A264" s="28">
        <v>1.0549999999999999</v>
      </c>
      <c r="B264" s="29">
        <v>3784.2711575051403</v>
      </c>
      <c r="C264" s="30">
        <v>9.4876660341536301E-4</v>
      </c>
      <c r="E264" s="2"/>
      <c r="F264" s="2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customFormat="1" x14ac:dyDescent="0.25">
      <c r="A265" s="28">
        <v>1.056</v>
      </c>
      <c r="B265" s="29">
        <v>3787.5163638336335</v>
      </c>
      <c r="C265" s="30">
        <v>9.4786729857809782E-4</v>
      </c>
      <c r="E265" s="2"/>
      <c r="F265" s="2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customFormat="1" x14ac:dyDescent="0.25">
      <c r="A266" s="28">
        <v>1.0569999999999999</v>
      </c>
      <c r="B266" s="29">
        <v>3790.7615701621276</v>
      </c>
      <c r="C266" s="30">
        <v>9.4696969696972388E-4</v>
      </c>
      <c r="E266" s="2"/>
      <c r="F266" s="2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customFormat="1" x14ac:dyDescent="0.25">
      <c r="A267" s="28">
        <v>1.0580000000000001</v>
      </c>
      <c r="B267" s="29">
        <v>3794.0067764906216</v>
      </c>
      <c r="C267" s="30">
        <v>9.4607379375588607E-4</v>
      </c>
      <c r="E267" s="2"/>
      <c r="F267" s="2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customFormat="1" x14ac:dyDescent="0.25">
      <c r="A268" s="28">
        <v>1.0589999999999999</v>
      </c>
      <c r="B268" s="29">
        <v>3797.2519828191157</v>
      </c>
      <c r="C268" s="30">
        <v>9.4517958412088099E-4</v>
      </c>
      <c r="E268" s="2"/>
      <c r="F268" s="2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customFormat="1" x14ac:dyDescent="0.25">
      <c r="A269" s="28">
        <v>1.06</v>
      </c>
      <c r="B269" s="29">
        <v>3800.4971891476102</v>
      </c>
      <c r="C269" s="30">
        <v>9.4428706326743495E-4</v>
      </c>
      <c r="E269" s="2"/>
      <c r="F269" s="2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customFormat="1" x14ac:dyDescent="0.25">
      <c r="A270" s="28">
        <v>1.0609999999999999</v>
      </c>
      <c r="B270" s="29">
        <v>3803.7423954761039</v>
      </c>
      <c r="C270" s="30">
        <v>9.433962264149276E-4</v>
      </c>
      <c r="E270" s="2"/>
      <c r="F270" s="2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customFormat="1" x14ac:dyDescent="0.25">
      <c r="A271" s="28">
        <v>1.0620000000000001</v>
      </c>
      <c r="B271" s="29">
        <v>3806.9876018045984</v>
      </c>
      <c r="C271" s="30">
        <v>9.425070688031667E-4</v>
      </c>
      <c r="E271" s="2"/>
      <c r="F271" s="2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customFormat="1" x14ac:dyDescent="0.25">
      <c r="A272" s="28">
        <v>1.0629999999999999</v>
      </c>
      <c r="B272" s="29">
        <v>3810.232808133092</v>
      </c>
      <c r="C272" s="30">
        <v>9.416195856872811E-4</v>
      </c>
      <c r="E272" s="2"/>
      <c r="F272" s="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customFormat="1" x14ac:dyDescent="0.25">
      <c r="A273" s="28">
        <v>1.0640000000000001</v>
      </c>
      <c r="B273" s="29">
        <v>3813.478014461587</v>
      </c>
      <c r="C273" s="30">
        <v>9.4073377234260569E-4</v>
      </c>
      <c r="E273" s="2"/>
      <c r="F273" s="2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customFormat="1" x14ac:dyDescent="0.25">
      <c r="A274" s="28">
        <v>1.0649999999999999</v>
      </c>
      <c r="B274" s="29">
        <v>3816.7232207900811</v>
      </c>
      <c r="C274" s="30">
        <v>9.3984962406001848E-4</v>
      </c>
      <c r="E274" s="2"/>
      <c r="F274" s="2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spans="1:19" customFormat="1" x14ac:dyDescent="0.25">
      <c r="A275" s="28">
        <v>1.0660000000000001</v>
      </c>
      <c r="B275" s="29">
        <v>3819.9684271185752</v>
      </c>
      <c r="C275" s="30">
        <v>9.3896713615038152E-4</v>
      </c>
      <c r="E275" s="2"/>
      <c r="F275" s="2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spans="1:19" customFormat="1" x14ac:dyDescent="0.25">
      <c r="A276" s="28">
        <v>1.0669999999999999</v>
      </c>
      <c r="B276" s="29">
        <v>3823.2136334470683</v>
      </c>
      <c r="C276" s="30">
        <v>9.3808630393965586E-4</v>
      </c>
      <c r="E276" s="2"/>
      <c r="F276" s="2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spans="1:19" customFormat="1" x14ac:dyDescent="0.25">
      <c r="A277" s="28">
        <v>1.0680000000000001</v>
      </c>
      <c r="B277" s="29">
        <v>3826.4588397755633</v>
      </c>
      <c r="C277" s="30">
        <v>9.3720712277445273E-4</v>
      </c>
      <c r="E277" s="2"/>
      <c r="F277" s="2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spans="1:19" customFormat="1" x14ac:dyDescent="0.25">
      <c r="A278" s="28">
        <v>1.069</v>
      </c>
      <c r="B278" s="29">
        <v>3829.7040461040579</v>
      </c>
      <c r="C278" s="30">
        <v>9.3632958801492805E-4</v>
      </c>
      <c r="E278" s="2"/>
      <c r="F278" s="2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spans="1:19" customFormat="1" x14ac:dyDescent="0.25">
      <c r="A279" s="28">
        <v>1.07</v>
      </c>
      <c r="B279" s="29">
        <v>3832.9492524325515</v>
      </c>
      <c r="C279" s="30">
        <v>9.3545369504210996E-4</v>
      </c>
      <c r="E279" s="2"/>
      <c r="F279" s="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spans="1:19" customFormat="1" x14ac:dyDescent="0.25">
      <c r="A280" s="28">
        <v>1.071</v>
      </c>
      <c r="B280" s="29">
        <v>3836.1944587610456</v>
      </c>
      <c r="C280" s="30">
        <v>9.3457943925212561E-4</v>
      </c>
      <c r="E280" s="2"/>
      <c r="F280" s="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spans="1:19" customFormat="1" x14ac:dyDescent="0.25">
      <c r="A281" s="28">
        <v>1.0720000000000001</v>
      </c>
      <c r="B281" s="29">
        <v>3839.4396650895392</v>
      </c>
      <c r="C281" s="30">
        <v>9.3370681605975392E-4</v>
      </c>
      <c r="E281" s="2"/>
      <c r="F281" s="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spans="1:19" customFormat="1" x14ac:dyDescent="0.25">
      <c r="A282" s="28">
        <v>1.073</v>
      </c>
      <c r="B282" s="29">
        <v>3842.6848714180337</v>
      </c>
      <c r="C282" s="30">
        <v>9.3283582089553896E-4</v>
      </c>
      <c r="E282" s="2"/>
      <c r="F282" s="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spans="1:19" customFormat="1" x14ac:dyDescent="0.25">
      <c r="A283" s="28">
        <v>1.0740000000000001</v>
      </c>
      <c r="B283" s="29">
        <v>3845.9300777465273</v>
      </c>
      <c r="C283" s="30">
        <v>9.3196644920778837E-4</v>
      </c>
      <c r="E283" s="2"/>
      <c r="F283" s="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spans="1:19" customFormat="1" x14ac:dyDescent="0.25">
      <c r="A284" s="28">
        <v>1.075</v>
      </c>
      <c r="B284" s="29">
        <v>3849.1752840750223</v>
      </c>
      <c r="C284" s="30">
        <v>9.3109869646190724E-4</v>
      </c>
      <c r="E284" s="2"/>
      <c r="F284" s="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spans="1:19" customFormat="1" x14ac:dyDescent="0.25">
      <c r="A285" s="28">
        <v>1.0760000000000001</v>
      </c>
      <c r="B285" s="29">
        <v>3852.4204904035164</v>
      </c>
      <c r="C285" s="30">
        <v>9.3023255813973194E-4</v>
      </c>
      <c r="E285" s="2"/>
      <c r="F285" s="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spans="1:19" customFormat="1" x14ac:dyDescent="0.25">
      <c r="A286" s="28">
        <v>1.077</v>
      </c>
      <c r="B286" s="29">
        <v>3855.6656967320105</v>
      </c>
      <c r="C286" s="30">
        <v>9.2936802973953014E-4</v>
      </c>
      <c r="E286" s="2"/>
      <c r="F286" s="2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spans="1:19" customFormat="1" x14ac:dyDescent="0.25">
      <c r="A287" s="28">
        <v>1.0780000000000001</v>
      </c>
      <c r="B287" s="29">
        <v>3858.9109030605041</v>
      </c>
      <c r="C287" s="30">
        <v>9.2850510677822129E-4</v>
      </c>
      <c r="E287" s="2"/>
      <c r="F287" s="2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spans="1:19" customFormat="1" x14ac:dyDescent="0.25">
      <c r="A288" s="28">
        <v>1.079</v>
      </c>
      <c r="B288" s="29">
        <v>3862.1561093889991</v>
      </c>
      <c r="C288" s="30">
        <v>9.2764378478671361E-4</v>
      </c>
      <c r="E288" s="2"/>
      <c r="F288" s="2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spans="1:19" customFormat="1" x14ac:dyDescent="0.25">
      <c r="A289" s="28">
        <v>1.08</v>
      </c>
      <c r="B289" s="29">
        <v>3865.4013157174936</v>
      </c>
      <c r="C289" s="30">
        <v>9.2678405931434504E-4</v>
      </c>
      <c r="E289" s="2"/>
      <c r="F289" s="2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spans="1:19" customFormat="1" x14ac:dyDescent="0.25">
      <c r="A290" s="28">
        <v>1.081</v>
      </c>
      <c r="B290" s="29">
        <v>3868.6465220459877</v>
      </c>
      <c r="C290" s="30">
        <v>9.2592592592577461E-4</v>
      </c>
      <c r="E290" s="2"/>
      <c r="F290" s="2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spans="1:19" customFormat="1" x14ac:dyDescent="0.25">
      <c r="A291" s="28">
        <v>1.0820000000000001</v>
      </c>
      <c r="B291" s="29">
        <v>3871.8917283744818</v>
      </c>
      <c r="C291" s="30">
        <v>9.2506938020364693E-4</v>
      </c>
      <c r="E291" s="2"/>
      <c r="F291" s="2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spans="1:19" customFormat="1" x14ac:dyDescent="0.25">
      <c r="A292" s="28">
        <v>1.083</v>
      </c>
      <c r="B292" s="29">
        <v>3875.1369347029759</v>
      </c>
      <c r="C292" s="30">
        <v>9.242144177448175E-4</v>
      </c>
      <c r="E292" s="2"/>
      <c r="F292" s="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spans="1:19" customFormat="1" x14ac:dyDescent="0.25">
      <c r="A293" s="28">
        <v>1.0840000000000001</v>
      </c>
      <c r="B293" s="29">
        <v>3878.3821410314713</v>
      </c>
      <c r="C293" s="30">
        <v>9.2336103416457149E-4</v>
      </c>
      <c r="E293" s="2"/>
      <c r="F293" s="2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spans="1:19" customFormat="1" x14ac:dyDescent="0.25">
      <c r="A294" s="28">
        <v>1.085</v>
      </c>
      <c r="B294" s="29">
        <v>3881.6273473599649</v>
      </c>
      <c r="C294" s="30">
        <v>9.2250922509218292E-4</v>
      </c>
      <c r="E294" s="2"/>
      <c r="F294" s="2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spans="1:19" customFormat="1" x14ac:dyDescent="0.25">
      <c r="A295" s="28">
        <v>1.0860000000000001</v>
      </c>
      <c r="B295" s="29">
        <v>3884.8725536884599</v>
      </c>
      <c r="C295" s="30">
        <v>9.2165898617535547E-4</v>
      </c>
      <c r="E295" s="2"/>
      <c r="F295" s="2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spans="1:19" customFormat="1" x14ac:dyDescent="0.25">
      <c r="A296" s="28">
        <v>1.087</v>
      </c>
      <c r="B296" s="29">
        <v>3888.1177600169531</v>
      </c>
      <c r="C296" s="30">
        <v>9.2081031307533756E-4</v>
      </c>
      <c r="E296" s="2"/>
      <c r="F296" s="2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spans="1:19" customFormat="1" x14ac:dyDescent="0.25">
      <c r="A297" s="28">
        <v>1.0880000000000001</v>
      </c>
      <c r="B297" s="29">
        <v>3891.362966345449</v>
      </c>
      <c r="C297" s="30">
        <v>9.1996320147225141E-4</v>
      </c>
      <c r="E297" s="2"/>
      <c r="F297" s="2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spans="1:19" customFormat="1" x14ac:dyDescent="0.25">
      <c r="A298" s="28">
        <v>1.089</v>
      </c>
      <c r="B298" s="29">
        <v>3894.6081726739421</v>
      </c>
      <c r="C298" s="30">
        <v>9.1911764705865373E-4</v>
      </c>
      <c r="E298" s="2"/>
      <c r="F298" s="2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spans="1:19" customFormat="1" x14ac:dyDescent="0.25">
      <c r="A299" s="28">
        <v>1.0900000000000001</v>
      </c>
      <c r="B299" s="29">
        <v>3897.8533790024376</v>
      </c>
      <c r="C299" s="30">
        <v>9.1827364554664115E-4</v>
      </c>
      <c r="E299" s="2"/>
      <c r="F299" s="2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spans="1:19" customFormat="1" x14ac:dyDescent="0.25">
      <c r="A300" s="28">
        <v>1.091</v>
      </c>
      <c r="B300" s="29">
        <v>3901.0985853309312</v>
      </c>
      <c r="C300" s="30">
        <v>9.1743119266052275E-4</v>
      </c>
      <c r="E300" s="2"/>
      <c r="F300" s="2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spans="1:19" customFormat="1" x14ac:dyDescent="0.25">
      <c r="A301" s="28">
        <v>1.0920000000000001</v>
      </c>
      <c r="B301" s="29">
        <v>3904.3437916594271</v>
      </c>
      <c r="C301" s="30">
        <v>9.1659028414325938E-4</v>
      </c>
      <c r="E301" s="2"/>
      <c r="F301" s="2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spans="1:19" customFormat="1" x14ac:dyDescent="0.25">
      <c r="A302" s="28">
        <v>1.093</v>
      </c>
      <c r="B302" s="29">
        <v>3907.5889979879198</v>
      </c>
      <c r="C302" s="30">
        <v>9.1575091575069045E-4</v>
      </c>
      <c r="E302" s="2"/>
      <c r="F302" s="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spans="1:19" customFormat="1" x14ac:dyDescent="0.25">
      <c r="A303" s="28">
        <v>1.0940000000000001</v>
      </c>
      <c r="B303" s="29">
        <v>3910.8342043164143</v>
      </c>
      <c r="C303" s="30">
        <v>9.1491308325708509E-4</v>
      </c>
      <c r="E303" s="2"/>
      <c r="F303" s="2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spans="1:19" customFormat="1" x14ac:dyDescent="0.25">
      <c r="A304" s="28">
        <v>1.095</v>
      </c>
      <c r="B304" s="29">
        <v>3914.0794106449089</v>
      </c>
      <c r="C304" s="30">
        <v>9.1407678244981305E-4</v>
      </c>
      <c r="E304" s="2"/>
      <c r="F304" s="2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spans="1:19" customFormat="1" x14ac:dyDescent="0.25">
      <c r="A305" s="28">
        <v>1.0960000000000001</v>
      </c>
      <c r="B305" s="29">
        <v>3917.3246169734025</v>
      </c>
      <c r="C305" s="30">
        <v>9.132420091322313E-4</v>
      </c>
      <c r="E305" s="2"/>
      <c r="F305" s="2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spans="1:19" customFormat="1" x14ac:dyDescent="0.25">
      <c r="A306" s="28">
        <v>1.097</v>
      </c>
      <c r="B306" s="29">
        <v>3920.569823301897</v>
      </c>
      <c r="C306" s="30">
        <v>9.1240875912412811E-4</v>
      </c>
      <c r="E306" s="2"/>
      <c r="F306" s="2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customFormat="1" x14ac:dyDescent="0.25">
      <c r="A307" s="28">
        <v>1.0980000000000001</v>
      </c>
      <c r="B307" s="29">
        <v>3923.815029630392</v>
      </c>
      <c r="C307" s="30">
        <v>9.1157702825905851E-4</v>
      </c>
      <c r="E307" s="2"/>
      <c r="F307" s="2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customFormat="1" x14ac:dyDescent="0.25">
      <c r="A308" s="28">
        <v>1.099</v>
      </c>
      <c r="B308" s="29">
        <v>3927.0602359588856</v>
      </c>
      <c r="C308" s="30">
        <v>9.1074681238612065E-4</v>
      </c>
      <c r="E308" s="2"/>
      <c r="F308" s="2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customFormat="1" x14ac:dyDescent="0.25">
      <c r="A309" s="31">
        <v>1.1000000000000001</v>
      </c>
      <c r="B309" s="32">
        <v>5001.2235306904549</v>
      </c>
      <c r="C309" s="31">
        <v>0.30118289353958172</v>
      </c>
      <c r="E309" s="2"/>
      <c r="F309" s="2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customFormat="1" x14ac:dyDescent="0.25">
      <c r="A310" s="33">
        <v>1.101</v>
      </c>
      <c r="B310" s="34">
        <v>5005.4422989174982</v>
      </c>
      <c r="C310" s="33">
        <v>9.0909090909074841E-4</v>
      </c>
      <c r="E310" s="2"/>
      <c r="F310" s="2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customFormat="1" x14ac:dyDescent="0.25">
      <c r="A311" s="33">
        <v>1.1020000000000001</v>
      </c>
      <c r="B311" s="34">
        <v>5009.6610671445414</v>
      </c>
      <c r="C311" s="33">
        <v>9.0826521344267164E-4</v>
      </c>
      <c r="E311" s="2"/>
      <c r="F311" s="2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customFormat="1" x14ac:dyDescent="0.25">
      <c r="A312" s="33">
        <v>1.103</v>
      </c>
      <c r="B312" s="34">
        <v>5013.8798353715829</v>
      </c>
      <c r="C312" s="33">
        <v>9.0744101633388752E-4</v>
      </c>
      <c r="E312" s="2"/>
      <c r="F312" s="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customFormat="1" x14ac:dyDescent="0.25">
      <c r="A313" s="33">
        <v>1.1040000000000001</v>
      </c>
      <c r="B313" s="34">
        <v>5018.0986035986261</v>
      </c>
      <c r="C313" s="33">
        <v>9.0661831368987755E-4</v>
      </c>
      <c r="E313" s="2"/>
      <c r="F313" s="2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customFormat="1" x14ac:dyDescent="0.25">
      <c r="A314" s="33">
        <v>1.105</v>
      </c>
      <c r="B314" s="34">
        <v>5022.3173718256694</v>
      </c>
      <c r="C314" s="33">
        <v>9.0579710144944592E-4</v>
      </c>
      <c r="E314" s="2"/>
      <c r="F314" s="2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customFormat="1" x14ac:dyDescent="0.25">
      <c r="A315" s="33">
        <v>1.1060000000000001</v>
      </c>
      <c r="B315" s="34">
        <v>5026.5361400527117</v>
      </c>
      <c r="C315" s="33">
        <v>9.0497737556560764E-4</v>
      </c>
      <c r="E315" s="2"/>
      <c r="F315" s="2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customFormat="1" x14ac:dyDescent="0.25">
      <c r="A316" s="33">
        <v>1.107</v>
      </c>
      <c r="B316" s="34">
        <v>5030.7549082797568</v>
      </c>
      <c r="C316" s="33">
        <v>9.0415913200758702E-4</v>
      </c>
      <c r="E316" s="2"/>
      <c r="F316" s="2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customFormat="1" x14ac:dyDescent="0.25">
      <c r="A317" s="33">
        <v>1.1080000000000001</v>
      </c>
      <c r="B317" s="34">
        <v>5034.9736765067983</v>
      </c>
      <c r="C317" s="33">
        <v>9.0334236675682078E-4</v>
      </c>
      <c r="E317" s="2"/>
      <c r="F317" s="2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customFormat="1" x14ac:dyDescent="0.25">
      <c r="A318" s="33">
        <v>1.109</v>
      </c>
      <c r="B318" s="34">
        <v>5039.1924447338388</v>
      </c>
      <c r="C318" s="33">
        <v>9.0252707581206515E-4</v>
      </c>
      <c r="E318" s="2"/>
      <c r="F318" s="2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customFormat="1" x14ac:dyDescent="0.25">
      <c r="A319" s="33">
        <v>1.1100000000000001</v>
      </c>
      <c r="B319" s="34">
        <v>5043.4112129608811</v>
      </c>
      <c r="C319" s="33">
        <v>9.0171325518495493E-4</v>
      </c>
      <c r="E319" s="2"/>
      <c r="F319" s="2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customFormat="1" x14ac:dyDescent="0.25">
      <c r="A320" s="33">
        <v>1.111</v>
      </c>
      <c r="B320" s="34">
        <v>5047.6299811879253</v>
      </c>
      <c r="C320" s="33">
        <v>9.009009009008917E-4</v>
      </c>
      <c r="E320" s="2"/>
      <c r="F320" s="2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customFormat="1" x14ac:dyDescent="0.25">
      <c r="A321" s="33">
        <v>1.1120000000000001</v>
      </c>
      <c r="B321" s="34">
        <v>5051.8487494149686</v>
      </c>
      <c r="C321" s="33">
        <v>9.0009000900126424E-4</v>
      </c>
      <c r="E321" s="2"/>
      <c r="F321" s="2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customFormat="1" x14ac:dyDescent="0.25">
      <c r="A322" s="33">
        <v>1.113</v>
      </c>
      <c r="B322" s="34">
        <v>5056.0675176420091</v>
      </c>
      <c r="C322" s="33">
        <v>8.9928057553922969E-4</v>
      </c>
      <c r="E322" s="2"/>
      <c r="F322" s="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customFormat="1" x14ac:dyDescent="0.25">
      <c r="A323" s="33">
        <v>1.1140000000000001</v>
      </c>
      <c r="B323" s="34">
        <v>5060.2862858690514</v>
      </c>
      <c r="C323" s="33">
        <v>8.9847259658593082E-4</v>
      </c>
      <c r="E323" s="2"/>
      <c r="F323" s="2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customFormat="1" x14ac:dyDescent="0.25">
      <c r="A324" s="33">
        <v>1.115</v>
      </c>
      <c r="B324" s="34">
        <v>5064.5050540960956</v>
      </c>
      <c r="C324" s="33">
        <v>8.9766606822272443E-4</v>
      </c>
      <c r="E324" s="2"/>
      <c r="F324" s="2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customFormat="1" x14ac:dyDescent="0.25">
      <c r="A325" s="33">
        <v>1.1160000000000001</v>
      </c>
      <c r="B325" s="34">
        <v>5068.7238223231379</v>
      </c>
      <c r="C325" s="33">
        <v>8.9686098654717661E-4</v>
      </c>
      <c r="E325" s="2"/>
      <c r="F325" s="2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customFormat="1" x14ac:dyDescent="0.25">
      <c r="A326" s="33">
        <v>1.117</v>
      </c>
      <c r="B326" s="34">
        <v>5072.9425905501785</v>
      </c>
      <c r="C326" s="33">
        <v>8.9605734766995404E-4</v>
      </c>
      <c r="E326" s="2"/>
      <c r="F326" s="2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customFormat="1" x14ac:dyDescent="0.25">
      <c r="A327" s="33">
        <v>1.1180000000000001</v>
      </c>
      <c r="B327" s="34">
        <v>5077.1613587772235</v>
      </c>
      <c r="C327" s="33">
        <v>8.9525514771726655E-4</v>
      </c>
      <c r="E327" s="2"/>
      <c r="F327" s="2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customFormat="1" x14ac:dyDescent="0.25">
      <c r="A328" s="33">
        <v>1.119</v>
      </c>
      <c r="B328" s="34">
        <v>5081.3801270042659</v>
      </c>
      <c r="C328" s="33">
        <v>8.9445438282664824E-4</v>
      </c>
      <c r="E328" s="2"/>
      <c r="F328" s="2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customFormat="1" x14ac:dyDescent="0.25">
      <c r="A329" s="33">
        <v>1.1200000000000001</v>
      </c>
      <c r="B329" s="34">
        <v>5085.5988952313073</v>
      </c>
      <c r="C329" s="33">
        <v>8.9365504915095428E-4</v>
      </c>
      <c r="E329" s="2"/>
      <c r="F329" s="2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customFormat="1" x14ac:dyDescent="0.25">
      <c r="A330" s="33">
        <v>1.121</v>
      </c>
      <c r="B330" s="34">
        <v>5089.8176634583488</v>
      </c>
      <c r="C330" s="33">
        <v>8.9285714285702866E-4</v>
      </c>
      <c r="E330" s="2"/>
      <c r="F330" s="2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customFormat="1" x14ac:dyDescent="0.25">
      <c r="A331" s="33">
        <v>1.1220000000000001</v>
      </c>
      <c r="B331" s="34">
        <v>5094.0364316853938</v>
      </c>
      <c r="C331" s="33">
        <v>8.9206066012503804E-4</v>
      </c>
      <c r="E331" s="2"/>
      <c r="F331" s="2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customFormat="1" x14ac:dyDescent="0.25">
      <c r="A332" s="33">
        <v>1.123</v>
      </c>
      <c r="B332" s="34">
        <v>5098.2551999124344</v>
      </c>
      <c r="C332" s="33">
        <v>8.9126559714758358E-4</v>
      </c>
      <c r="E332" s="2"/>
      <c r="F332" s="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customFormat="1" x14ac:dyDescent="0.25">
      <c r="A333" s="33">
        <v>1.1240000000000001</v>
      </c>
      <c r="B333" s="34">
        <v>5102.4739681394767</v>
      </c>
      <c r="C333" s="33">
        <v>8.9047195013369773E-4</v>
      </c>
      <c r="E333" s="2"/>
      <c r="F333" s="2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customFormat="1" x14ac:dyDescent="0.25">
      <c r="A334" s="33">
        <v>1.125</v>
      </c>
      <c r="B334" s="34">
        <v>5106.69273636652</v>
      </c>
      <c r="C334" s="33">
        <v>8.8967971530240497E-4</v>
      </c>
      <c r="E334" s="2"/>
      <c r="F334" s="2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customFormat="1" x14ac:dyDescent="0.25">
      <c r="A335" s="33">
        <v>1.1259999999999999</v>
      </c>
      <c r="B335" s="34">
        <v>5110.9115045935614</v>
      </c>
      <c r="C335" s="33">
        <v>8.8888888888871698E-4</v>
      </c>
      <c r="E335" s="2"/>
      <c r="F335" s="2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customFormat="1" x14ac:dyDescent="0.25">
      <c r="A336" s="33">
        <v>1.127</v>
      </c>
      <c r="B336" s="34">
        <v>5115.1302728206038</v>
      </c>
      <c r="C336" s="33">
        <v>8.8809946714052401E-4</v>
      </c>
      <c r="E336" s="2"/>
      <c r="F336" s="2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customFormat="1" x14ac:dyDescent="0.25">
      <c r="A337" s="33">
        <v>1.1279999999999999</v>
      </c>
      <c r="B337" s="34">
        <v>5119.3490410476452</v>
      </c>
      <c r="C337" s="33">
        <v>8.8731144631748471E-4</v>
      </c>
      <c r="E337" s="2"/>
      <c r="F337" s="2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customFormat="1" x14ac:dyDescent="0.25">
      <c r="A338" s="33">
        <v>1.129</v>
      </c>
      <c r="B338" s="34">
        <v>5123.5678092746894</v>
      </c>
      <c r="C338" s="33">
        <v>8.8652482269502286E-4</v>
      </c>
      <c r="E338" s="2"/>
      <c r="F338" s="2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customFormat="1" x14ac:dyDescent="0.25">
      <c r="A339" s="33">
        <v>1.1299999999999999</v>
      </c>
      <c r="B339" s="34">
        <v>5127.7865775017299</v>
      </c>
      <c r="C339" s="33">
        <v>8.8573959255944246E-4</v>
      </c>
      <c r="E339" s="2"/>
      <c r="F339" s="2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customFormat="1" x14ac:dyDescent="0.25">
      <c r="A340" s="33">
        <v>1.131</v>
      </c>
      <c r="B340" s="34">
        <v>5132.0053457287731</v>
      </c>
      <c r="C340" s="33">
        <v>8.849557522125906E-4</v>
      </c>
      <c r="E340" s="2"/>
      <c r="F340" s="2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customFormat="1" x14ac:dyDescent="0.25">
      <c r="A341" s="33">
        <v>1.1319999999999999</v>
      </c>
      <c r="B341" s="34">
        <v>5136.2241139558164</v>
      </c>
      <c r="C341" s="33">
        <v>8.8417329796630639E-4</v>
      </c>
      <c r="E341" s="2"/>
      <c r="F341" s="2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customFormat="1" x14ac:dyDescent="0.25">
      <c r="A342" s="33">
        <v>1.133</v>
      </c>
      <c r="B342" s="34">
        <v>5140.4428821828587</v>
      </c>
      <c r="C342" s="33">
        <v>8.8339222614841617E-4</v>
      </c>
      <c r="E342" s="2"/>
      <c r="F342" s="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customFormat="1" x14ac:dyDescent="0.25">
      <c r="A343" s="33">
        <v>1.1339999999999999</v>
      </c>
      <c r="B343" s="34">
        <v>5144.6616504099002</v>
      </c>
      <c r="C343" s="33">
        <v>8.8261253309784848E-4</v>
      </c>
      <c r="E343" s="2"/>
      <c r="F343" s="2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customFormat="1" x14ac:dyDescent="0.25">
      <c r="A344" s="33">
        <v>1.135</v>
      </c>
      <c r="B344" s="34">
        <v>5148.8804186369425</v>
      </c>
      <c r="C344" s="33">
        <v>8.8183421516774274E-4</v>
      </c>
      <c r="E344" s="2"/>
      <c r="F344" s="2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customFormat="1" x14ac:dyDescent="0.25">
      <c r="A345" s="33">
        <v>1.1359999999999999</v>
      </c>
      <c r="B345" s="34">
        <v>5153.0991868639858</v>
      </c>
      <c r="C345" s="33">
        <v>8.8105726872211854E-4</v>
      </c>
      <c r="E345" s="2"/>
      <c r="F345" s="2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customFormat="1" x14ac:dyDescent="0.25">
      <c r="A346" s="33">
        <v>1.137</v>
      </c>
      <c r="B346" s="34">
        <v>5157.3179550910272</v>
      </c>
      <c r="C346" s="33">
        <v>8.8028169014098268E-4</v>
      </c>
      <c r="E346" s="2"/>
      <c r="F346" s="2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customFormat="1" x14ac:dyDescent="0.25">
      <c r="A347" s="33">
        <v>1.1379999999999999</v>
      </c>
      <c r="B347" s="34">
        <v>5161.5367233180696</v>
      </c>
      <c r="C347" s="33">
        <v>8.7950747581366784E-4</v>
      </c>
      <c r="E347" s="2"/>
      <c r="F347" s="2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customFormat="1" x14ac:dyDescent="0.25">
      <c r="A348" s="33">
        <v>1.139</v>
      </c>
      <c r="B348" s="34">
        <v>5165.7554915451137</v>
      </c>
      <c r="C348" s="33">
        <v>8.7873462214416165E-4</v>
      </c>
      <c r="E348" s="2"/>
      <c r="F348" s="2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customFormat="1" x14ac:dyDescent="0.25">
      <c r="A349" s="33">
        <v>1.1399999999999999</v>
      </c>
      <c r="B349" s="34">
        <v>5169.9742597721552</v>
      </c>
      <c r="C349" s="33">
        <v>8.7796312554866418E-4</v>
      </c>
      <c r="E349" s="2"/>
      <c r="F349" s="2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customFormat="1" x14ac:dyDescent="0.25">
      <c r="A350" s="33">
        <v>1.141</v>
      </c>
      <c r="B350" s="34">
        <v>5174.1930279991975</v>
      </c>
      <c r="C350" s="33">
        <v>8.771929824562541E-4</v>
      </c>
      <c r="E350" s="2"/>
      <c r="F350" s="2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customFormat="1" x14ac:dyDescent="0.25">
      <c r="A351" s="33">
        <v>1.1419999999999999</v>
      </c>
      <c r="B351" s="34">
        <v>5178.4117962262399</v>
      </c>
      <c r="C351" s="33">
        <v>8.7642418930777843E-4</v>
      </c>
      <c r="E351" s="2"/>
      <c r="F351" s="2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customFormat="1" x14ac:dyDescent="0.25">
      <c r="A352" s="33">
        <v>1.143</v>
      </c>
      <c r="B352" s="34">
        <v>5182.630564453284</v>
      </c>
      <c r="C352" s="33">
        <v>8.756567425569628E-4</v>
      </c>
      <c r="E352" s="2"/>
      <c r="F352" s="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customFormat="1" x14ac:dyDescent="0.25">
      <c r="A353" s="33">
        <v>1.1439999999999999</v>
      </c>
      <c r="B353" s="34">
        <v>5186.8493326803246</v>
      </c>
      <c r="C353" s="33">
        <v>8.748906386699673E-4</v>
      </c>
      <c r="E353" s="2"/>
      <c r="F353" s="2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customFormat="1" x14ac:dyDescent="0.25">
      <c r="A354" s="33">
        <v>1.145</v>
      </c>
      <c r="B354" s="34">
        <v>5191.0681009073678</v>
      </c>
      <c r="C354" s="33">
        <v>8.7412587412605269E-4</v>
      </c>
      <c r="E354" s="2"/>
      <c r="F354" s="2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customFormat="1" x14ac:dyDescent="0.25">
      <c r="A355" s="33">
        <v>1.1459999999999999</v>
      </c>
      <c r="B355" s="34">
        <v>5195.286869134412</v>
      </c>
      <c r="C355" s="33">
        <v>8.7336244541491581E-4</v>
      </c>
      <c r="E355" s="2"/>
      <c r="F355" s="2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customFormat="1" x14ac:dyDescent="0.25">
      <c r="A356" s="33">
        <v>1.147</v>
      </c>
      <c r="B356" s="34">
        <v>5199.5056373614543</v>
      </c>
      <c r="C356" s="33">
        <v>8.7260034904024231E-4</v>
      </c>
      <c r="E356" s="2"/>
      <c r="F356" s="2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customFormat="1" x14ac:dyDescent="0.25">
      <c r="A357" s="33">
        <v>1.1479999999999999</v>
      </c>
      <c r="B357" s="34">
        <v>5203.7244055884958</v>
      </c>
      <c r="C357" s="33">
        <v>8.7183958151682006E-4</v>
      </c>
      <c r="E357" s="2"/>
      <c r="F357" s="2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customFormat="1" x14ac:dyDescent="0.25">
      <c r="A358" s="33">
        <v>1.149</v>
      </c>
      <c r="B358" s="34">
        <v>5207.9431738155372</v>
      </c>
      <c r="C358" s="33">
        <v>8.7108013937275963E-4</v>
      </c>
      <c r="E358" s="2"/>
      <c r="F358" s="2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customFormat="1" x14ac:dyDescent="0.25">
      <c r="A359" s="33">
        <v>1.1499999999999999</v>
      </c>
      <c r="B359" s="34">
        <v>5212.1619420425804</v>
      </c>
      <c r="C359" s="33">
        <v>8.7032201914705176E-4</v>
      </c>
      <c r="E359" s="2"/>
      <c r="F359" s="2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customFormat="1" x14ac:dyDescent="0.25">
      <c r="A360" s="33">
        <v>1.151</v>
      </c>
      <c r="B360" s="34">
        <v>5216.3807102696219</v>
      </c>
      <c r="C360" s="33">
        <v>8.6956521739134374E-4</v>
      </c>
      <c r="E360" s="2"/>
      <c r="F360" s="2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customFormat="1" x14ac:dyDescent="0.25">
      <c r="A361" s="33">
        <v>1.1519999999999999</v>
      </c>
      <c r="B361" s="34">
        <v>5220.5994784966633</v>
      </c>
      <c r="C361" s="33">
        <v>8.6880973066882916E-4</v>
      </c>
      <c r="E361" s="2"/>
      <c r="F361" s="2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customFormat="1" x14ac:dyDescent="0.25">
      <c r="A362" s="33">
        <v>1.153</v>
      </c>
      <c r="B362" s="34">
        <v>5224.8182467237048</v>
      </c>
      <c r="C362" s="33">
        <v>8.6805555555535818E-4</v>
      </c>
      <c r="E362" s="2"/>
      <c r="F362" s="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customFormat="1" x14ac:dyDescent="0.25">
      <c r="A363" s="33">
        <v>1.1539999999999999</v>
      </c>
      <c r="B363" s="34">
        <v>5229.0370149507489</v>
      </c>
      <c r="C363" s="33">
        <v>8.6730268863854931E-4</v>
      </c>
      <c r="E363" s="2"/>
      <c r="F363" s="2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customFormat="1" x14ac:dyDescent="0.25">
      <c r="A364" s="33">
        <v>1.155</v>
      </c>
      <c r="B364" s="34">
        <v>5233.2557831777913</v>
      </c>
      <c r="C364" s="33">
        <v>8.6655112651645716E-4</v>
      </c>
      <c r="E364" s="2"/>
      <c r="F364" s="2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customFormat="1" x14ac:dyDescent="0.25">
      <c r="A365" s="33">
        <v>1.1559999999999999</v>
      </c>
      <c r="B365" s="34">
        <v>5237.4745514048327</v>
      </c>
      <c r="C365" s="33">
        <v>8.6580086580068105E-4</v>
      </c>
      <c r="E365" s="2"/>
      <c r="F365" s="2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customFormat="1" x14ac:dyDescent="0.25">
      <c r="A366" s="33">
        <v>1.157</v>
      </c>
      <c r="B366" s="34">
        <v>5241.693319631876</v>
      </c>
      <c r="C366" s="33">
        <v>8.6505190311414459E-4</v>
      </c>
      <c r="E366" s="2"/>
      <c r="F366" s="2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customFormat="1" x14ac:dyDescent="0.25">
      <c r="A367" s="33">
        <v>1.1579999999999999</v>
      </c>
      <c r="B367" s="34">
        <v>5245.9120878589183</v>
      </c>
      <c r="C367" s="33">
        <v>8.6430423509087362E-4</v>
      </c>
      <c r="E367" s="2"/>
      <c r="F367" s="2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customFormat="1" x14ac:dyDescent="0.25">
      <c r="A368" s="33">
        <v>1.159</v>
      </c>
      <c r="B368" s="34">
        <v>5250.1308560859597</v>
      </c>
      <c r="C368" s="33">
        <v>8.6355785837644028E-4</v>
      </c>
      <c r="E368" s="2"/>
      <c r="F368" s="2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customFormat="1" x14ac:dyDescent="0.25">
      <c r="A369" s="33">
        <v>1.1599999999999999</v>
      </c>
      <c r="B369" s="34">
        <v>5254.3496243130021</v>
      </c>
      <c r="C369" s="33">
        <v>8.6281276962907327E-4</v>
      </c>
      <c r="E369" s="2"/>
      <c r="F369" s="2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customFormat="1" x14ac:dyDescent="0.25">
      <c r="A370" s="33">
        <v>1.161</v>
      </c>
      <c r="B370" s="34">
        <v>5258.5683925400454</v>
      </c>
      <c r="C370" s="33">
        <v>8.6206896551721535E-4</v>
      </c>
      <c r="E370" s="2"/>
      <c r="F370" s="2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customFormat="1" x14ac:dyDescent="0.25">
      <c r="A371" s="33">
        <v>1.1619999999999999</v>
      </c>
      <c r="B371" s="34">
        <v>5262.7871607670868</v>
      </c>
      <c r="C371" s="33">
        <v>8.6132644272174375E-4</v>
      </c>
      <c r="E371" s="2"/>
      <c r="F371" s="2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customFormat="1" x14ac:dyDescent="0.25">
      <c r="A372" s="33">
        <v>1.163</v>
      </c>
      <c r="B372" s="34">
        <v>5267.0059289941282</v>
      </c>
      <c r="C372" s="33">
        <v>8.6058519793463795E-4</v>
      </c>
      <c r="E372" s="2"/>
      <c r="F372" s="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customFormat="1" x14ac:dyDescent="0.25">
      <c r="A373" s="33">
        <v>1.1639999999999999</v>
      </c>
      <c r="B373" s="34">
        <v>5271.2246972211706</v>
      </c>
      <c r="C373" s="33">
        <v>8.5984522785897965E-4</v>
      </c>
      <c r="E373" s="2"/>
      <c r="F373" s="2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customFormat="1" x14ac:dyDescent="0.25">
      <c r="A374" s="33">
        <v>1.165</v>
      </c>
      <c r="B374" s="34">
        <v>5275.4434654482147</v>
      </c>
      <c r="C374" s="33">
        <v>8.5910652920961894E-4</v>
      </c>
      <c r="E374" s="2"/>
      <c r="F374" s="2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customFormat="1" x14ac:dyDescent="0.25">
      <c r="A375" s="33">
        <v>1.1659999999999999</v>
      </c>
      <c r="B375" s="34">
        <v>5279.6622336752562</v>
      </c>
      <c r="C375" s="33">
        <v>8.5836909871228606E-4</v>
      </c>
      <c r="E375" s="2"/>
      <c r="F375" s="2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customFormat="1" x14ac:dyDescent="0.25">
      <c r="A376" s="33">
        <v>1.167</v>
      </c>
      <c r="B376" s="34">
        <v>5283.8810019022985</v>
      </c>
      <c r="C376" s="33">
        <v>8.5763293310470168E-4</v>
      </c>
      <c r="E376" s="2"/>
      <c r="F376" s="2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customFormat="1" x14ac:dyDescent="0.25">
      <c r="A377" s="33">
        <v>1.1679999999999999</v>
      </c>
      <c r="B377" s="34">
        <v>5288.0997701293427</v>
      </c>
      <c r="C377" s="33">
        <v>8.5689802913457847E-4</v>
      </c>
      <c r="E377" s="2"/>
      <c r="F377" s="2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customFormat="1" x14ac:dyDescent="0.25">
      <c r="A378" s="33">
        <v>1.169</v>
      </c>
      <c r="B378" s="34">
        <v>5292.318538356385</v>
      </c>
      <c r="C378" s="33">
        <v>8.5616438356184155E-4</v>
      </c>
      <c r="E378" s="2"/>
      <c r="F378" s="2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customFormat="1" x14ac:dyDescent="0.25">
      <c r="A379" s="33">
        <v>1.17</v>
      </c>
      <c r="B379" s="34">
        <v>5296.5373065834256</v>
      </c>
      <c r="C379" s="33">
        <v>8.5543199315618601E-4</v>
      </c>
      <c r="E379" s="2"/>
      <c r="F379" s="2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customFormat="1" x14ac:dyDescent="0.25">
      <c r="A380" s="33">
        <v>1.171</v>
      </c>
      <c r="B380" s="34">
        <v>5300.756074810467</v>
      </c>
      <c r="C380" s="33">
        <v>8.5470085470085166E-4</v>
      </c>
      <c r="E380" s="2"/>
      <c r="F380" s="2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customFormat="1" x14ac:dyDescent="0.25">
      <c r="A381" s="33">
        <v>1.1719999999999999</v>
      </c>
      <c r="B381" s="34">
        <v>5304.9748430375103</v>
      </c>
      <c r="C381" s="33">
        <v>8.5397096498707192E-4</v>
      </c>
      <c r="E381" s="2"/>
      <c r="F381" s="2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customFormat="1" x14ac:dyDescent="0.25">
      <c r="A382" s="33">
        <v>1.173</v>
      </c>
      <c r="B382" s="34">
        <v>5309.1936112645517</v>
      </c>
      <c r="C382" s="33">
        <v>8.5324232081895879E-4</v>
      </c>
      <c r="E382" s="2"/>
      <c r="F382" s="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customFormat="1" x14ac:dyDescent="0.25">
      <c r="A383" s="33">
        <v>1.1739999999999999</v>
      </c>
      <c r="B383" s="34">
        <v>5313.4123794915949</v>
      </c>
      <c r="C383" s="33">
        <v>8.525149190112824E-4</v>
      </c>
      <c r="E383" s="2"/>
      <c r="F383" s="2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customFormat="1" x14ac:dyDescent="0.25">
      <c r="A384" s="33">
        <v>1.175</v>
      </c>
      <c r="B384" s="34">
        <v>5317.63114771864</v>
      </c>
      <c r="C384" s="33">
        <v>8.5178875638858287E-4</v>
      </c>
      <c r="E384" s="2"/>
      <c r="F384" s="2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customFormat="1" x14ac:dyDescent="0.25">
      <c r="A385" s="33">
        <v>1.1759999999999999</v>
      </c>
      <c r="B385" s="34">
        <v>5321.8499159456806</v>
      </c>
      <c r="C385" s="33">
        <v>8.5106382978694661E-4</v>
      </c>
      <c r="E385" s="2"/>
      <c r="F385" s="2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customFormat="1" x14ac:dyDescent="0.25">
      <c r="A386" s="33">
        <v>1.177</v>
      </c>
      <c r="B386" s="34">
        <v>5326.0686841727229</v>
      </c>
      <c r="C386" s="33">
        <v>8.5034013605445047E-4</v>
      </c>
      <c r="E386" s="2"/>
      <c r="F386" s="2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customFormat="1" x14ac:dyDescent="0.25">
      <c r="A387" s="33">
        <v>1.1779999999999999</v>
      </c>
      <c r="B387" s="34">
        <v>5330.2874523997643</v>
      </c>
      <c r="C387" s="33">
        <v>8.4961767204760896E-4</v>
      </c>
      <c r="E387" s="2"/>
      <c r="F387" s="2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customFormat="1" x14ac:dyDescent="0.25">
      <c r="A388" s="33">
        <v>1.179</v>
      </c>
      <c r="B388" s="34">
        <v>5334.5062206268094</v>
      </c>
      <c r="C388" s="33">
        <v>8.4889643463514908E-4</v>
      </c>
      <c r="E388" s="2"/>
      <c r="F388" s="2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customFormat="1" x14ac:dyDescent="0.25">
      <c r="A389" s="33">
        <v>1.18</v>
      </c>
      <c r="B389" s="34">
        <v>5338.724988853849</v>
      </c>
      <c r="C389" s="33">
        <v>8.4817642069512367E-4</v>
      </c>
      <c r="E389" s="2"/>
      <c r="F389" s="2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customFormat="1" x14ac:dyDescent="0.25">
      <c r="A390" s="33">
        <v>1.181</v>
      </c>
      <c r="B390" s="34">
        <v>5342.9437570808923</v>
      </c>
      <c r="C390" s="33">
        <v>8.4745762711890826E-4</v>
      </c>
      <c r="E390" s="2"/>
      <c r="F390" s="2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customFormat="1" x14ac:dyDescent="0.25">
      <c r="A391" s="33">
        <v>1.1819999999999999</v>
      </c>
      <c r="B391" s="34">
        <v>5347.1625253079364</v>
      </c>
      <c r="C391" s="33">
        <v>8.4674005080453973E-4</v>
      </c>
      <c r="E391" s="2"/>
      <c r="F391" s="2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customFormat="1" x14ac:dyDescent="0.25">
      <c r="A392" s="33">
        <v>1.1830000000000001</v>
      </c>
      <c r="B392" s="34">
        <v>5351.3812935349779</v>
      </c>
      <c r="C392" s="33">
        <v>8.4602368866315558E-4</v>
      </c>
      <c r="E392" s="2"/>
      <c r="F392" s="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customFormat="1" x14ac:dyDescent="0.25">
      <c r="A393" s="33">
        <v>1.1839999999999999</v>
      </c>
      <c r="B393" s="34">
        <v>5355.6000617620193</v>
      </c>
      <c r="C393" s="33">
        <v>8.4530853761610736E-4</v>
      </c>
      <c r="E393" s="2"/>
      <c r="F393" s="2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customFormat="1" x14ac:dyDescent="0.25">
      <c r="A394" s="33">
        <v>1.1850000000000001</v>
      </c>
      <c r="B394" s="34">
        <v>5359.8188299890608</v>
      </c>
      <c r="C394" s="33">
        <v>8.4459459459451658E-4</v>
      </c>
      <c r="E394" s="2"/>
      <c r="F394" s="2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customFormat="1" x14ac:dyDescent="0.25">
      <c r="A395" s="33">
        <v>1.1859999999999999</v>
      </c>
      <c r="B395" s="34">
        <v>5364.0375982161049</v>
      </c>
      <c r="C395" s="33">
        <v>8.438818565401629E-4</v>
      </c>
      <c r="E395" s="2"/>
      <c r="F395" s="2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customFormat="1" x14ac:dyDescent="0.25">
      <c r="A396" s="33">
        <v>1.1870000000000001</v>
      </c>
      <c r="B396" s="34">
        <v>5368.2563664431464</v>
      </c>
      <c r="C396" s="33">
        <v>8.4317032040481799E-4</v>
      </c>
      <c r="E396" s="2"/>
      <c r="F396" s="2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customFormat="1" x14ac:dyDescent="0.25">
      <c r="A397" s="33">
        <v>1.1879999999999999</v>
      </c>
      <c r="B397" s="34">
        <v>5372.4751346701887</v>
      </c>
      <c r="C397" s="33">
        <v>8.4245998315091164E-4</v>
      </c>
      <c r="E397" s="2"/>
      <c r="F397" s="2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customFormat="1" x14ac:dyDescent="0.25">
      <c r="A398" s="33">
        <v>1.1890000000000001</v>
      </c>
      <c r="B398" s="34">
        <v>5376.6939028972329</v>
      </c>
      <c r="C398" s="33">
        <v>8.4175084175086567E-4</v>
      </c>
      <c r="E398" s="2"/>
      <c r="F398" s="2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customFormat="1" x14ac:dyDescent="0.25">
      <c r="A399" s="33">
        <v>1.19</v>
      </c>
      <c r="B399" s="34">
        <v>5380.9126711242752</v>
      </c>
      <c r="C399" s="33">
        <v>8.41042893187538E-4</v>
      </c>
      <c r="E399" s="2"/>
      <c r="F399" s="2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customFormat="1" x14ac:dyDescent="0.25">
      <c r="A400" s="33">
        <v>1.1910000000000001</v>
      </c>
      <c r="B400" s="34">
        <v>5385.1314393513176</v>
      </c>
      <c r="C400" s="33">
        <v>8.4033613445377853E-4</v>
      </c>
      <c r="E400" s="2"/>
      <c r="F400" s="2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customFormat="1" x14ac:dyDescent="0.25">
      <c r="A401" s="33">
        <v>1.1919999999999999</v>
      </c>
      <c r="B401" s="34">
        <v>5389.350207578359</v>
      </c>
      <c r="C401" s="33">
        <v>8.3963056255242918E-4</v>
      </c>
      <c r="E401" s="2"/>
      <c r="F401" s="2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customFormat="1" x14ac:dyDescent="0.25">
      <c r="A402" s="33">
        <v>1.1930000000000001</v>
      </c>
      <c r="B402" s="34">
        <v>5393.5689758054023</v>
      </c>
      <c r="C402" s="33">
        <v>8.3892617449676798E-4</v>
      </c>
      <c r="E402" s="2"/>
      <c r="F402" s="2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customFormat="1" x14ac:dyDescent="0.25">
      <c r="A403" s="33">
        <v>1.194</v>
      </c>
      <c r="B403" s="34">
        <v>5397.7877440324437</v>
      </c>
      <c r="C403" s="33">
        <v>8.3822296730917678E-4</v>
      </c>
      <c r="E403" s="2"/>
      <c r="F403" s="2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customFormat="1" x14ac:dyDescent="0.25">
      <c r="A404" s="33">
        <v>1.1950000000000001</v>
      </c>
      <c r="B404" s="34">
        <v>5402.006512259486</v>
      </c>
      <c r="C404" s="33">
        <v>8.3752093802358374E-4</v>
      </c>
      <c r="E404" s="2"/>
      <c r="F404" s="2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customFormat="1" x14ac:dyDescent="0.25">
      <c r="A405" s="33">
        <v>1.196</v>
      </c>
      <c r="B405" s="34">
        <v>5406.2252804865302</v>
      </c>
      <c r="C405" s="33">
        <v>8.3682008368213268E-4</v>
      </c>
      <c r="E405" s="2"/>
      <c r="F405" s="2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customFormat="1" x14ac:dyDescent="0.25">
      <c r="A406" s="33">
        <v>1.1970000000000001</v>
      </c>
      <c r="B406" s="34">
        <v>5410.4440487135726</v>
      </c>
      <c r="C406" s="33">
        <v>8.361204013378476E-4</v>
      </c>
      <c r="E406" s="2"/>
      <c r="F406" s="2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customFormat="1" x14ac:dyDescent="0.25">
      <c r="A407" s="33">
        <v>1.198</v>
      </c>
      <c r="B407" s="34">
        <v>5414.662816940614</v>
      </c>
      <c r="C407" s="33">
        <v>8.3542188805330042E-4</v>
      </c>
      <c r="E407" s="2"/>
      <c r="F407" s="2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customFormat="1" x14ac:dyDescent="0.25">
      <c r="A408" s="33">
        <v>1.1990000000000001</v>
      </c>
      <c r="B408" s="34">
        <v>5418.8815851676563</v>
      </c>
      <c r="C408" s="33">
        <v>8.3472454090149917E-4</v>
      </c>
      <c r="E408" s="2"/>
      <c r="F408" s="2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customFormat="1" x14ac:dyDescent="0.25">
      <c r="A409" s="31">
        <v>1.2</v>
      </c>
      <c r="B409" s="32">
        <v>6474.5472038268108</v>
      </c>
      <c r="C409" s="31">
        <v>0.2086995573234105</v>
      </c>
      <c r="E409" s="2"/>
      <c r="F409" s="2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customFormat="1" x14ac:dyDescent="0.25">
      <c r="A410" s="33">
        <v>1.2010000000000001</v>
      </c>
      <c r="B410" s="34">
        <v>6479.6421777625483</v>
      </c>
      <c r="C410" s="33">
        <v>8.3333333333368564E-4</v>
      </c>
      <c r="E410" s="2"/>
      <c r="F410" s="2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customFormat="1" x14ac:dyDescent="0.25">
      <c r="A411" s="33">
        <v>1.202</v>
      </c>
      <c r="B411" s="34">
        <v>6484.7371516982839</v>
      </c>
      <c r="C411" s="33">
        <v>8.3263946711054082E-4</v>
      </c>
      <c r="E411" s="2"/>
      <c r="F411" s="2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customFormat="1" x14ac:dyDescent="0.25">
      <c r="A412" s="33">
        <v>1.2030000000000001</v>
      </c>
      <c r="B412" s="34">
        <v>6489.8321256340214</v>
      </c>
      <c r="C412" s="33">
        <v>8.3194675540787522E-4</v>
      </c>
      <c r="E412" s="2"/>
      <c r="F412" s="2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customFormat="1" x14ac:dyDescent="0.25">
      <c r="A413" s="33">
        <v>1.204</v>
      </c>
      <c r="B413" s="34">
        <v>6494.9270995697543</v>
      </c>
      <c r="C413" s="33">
        <v>8.3125519534466008E-4</v>
      </c>
      <c r="E413" s="2"/>
      <c r="F413" s="2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customFormat="1" x14ac:dyDescent="0.25">
      <c r="A414" s="33">
        <v>1.2050000000000001</v>
      </c>
      <c r="B414" s="34">
        <v>6500.0220735054918</v>
      </c>
      <c r="C414" s="33">
        <v>8.3056478405341139E-4</v>
      </c>
      <c r="E414" s="2"/>
      <c r="F414" s="2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customFormat="1" x14ac:dyDescent="0.25">
      <c r="A415" s="33">
        <v>1.206</v>
      </c>
      <c r="B415" s="34">
        <v>6505.1170474412256</v>
      </c>
      <c r="C415" s="33">
        <v>8.2987551867197418E-4</v>
      </c>
      <c r="E415" s="2"/>
      <c r="F415" s="2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customFormat="1" x14ac:dyDescent="0.25">
      <c r="A416" s="33">
        <v>1.2070000000000001</v>
      </c>
      <c r="B416" s="34">
        <v>6510.2120213769613</v>
      </c>
      <c r="C416" s="33">
        <v>8.2918739635151617E-4</v>
      </c>
      <c r="E416" s="2"/>
      <c r="F416" s="2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customFormat="1" x14ac:dyDescent="0.25">
      <c r="A417" s="33">
        <v>1.208</v>
      </c>
      <c r="B417" s="34">
        <v>6515.3069953126978</v>
      </c>
      <c r="C417" s="33">
        <v>8.2850041425031051E-4</v>
      </c>
      <c r="E417" s="2"/>
      <c r="F417" s="2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customFormat="1" x14ac:dyDescent="0.25">
      <c r="A418" s="33">
        <v>1.2090000000000001</v>
      </c>
      <c r="B418" s="34">
        <v>6520.4019692484344</v>
      </c>
      <c r="C418" s="33">
        <v>8.2781456953640031E-4</v>
      </c>
      <c r="E418" s="2"/>
      <c r="F418" s="2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customFormat="1" x14ac:dyDescent="0.25">
      <c r="A419" s="33">
        <v>1.21</v>
      </c>
      <c r="B419" s="34">
        <v>6525.4969431841691</v>
      </c>
      <c r="C419" s="33">
        <v>8.2712985938782069E-4</v>
      </c>
      <c r="E419" s="2"/>
      <c r="F419" s="2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customFormat="1" x14ac:dyDescent="0.25">
      <c r="A420" s="33">
        <v>1.2110000000000001</v>
      </c>
      <c r="B420" s="34">
        <v>6530.5919171199066</v>
      </c>
      <c r="C420" s="33">
        <v>8.2644628099193262E-4</v>
      </c>
      <c r="E420" s="2"/>
      <c r="F420" s="2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customFormat="1" x14ac:dyDescent="0.25">
      <c r="A421" s="33">
        <v>1.212</v>
      </c>
      <c r="B421" s="34">
        <v>6535.6868910556404</v>
      </c>
      <c r="C421" s="33">
        <v>8.2576383154386868E-4</v>
      </c>
      <c r="E421" s="2"/>
      <c r="F421" s="2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customFormat="1" x14ac:dyDescent="0.25">
      <c r="A422" s="33">
        <v>1.2130000000000001</v>
      </c>
      <c r="B422" s="34">
        <v>6540.781864991377</v>
      </c>
      <c r="C422" s="33">
        <v>8.2508250825097385E-4</v>
      </c>
      <c r="E422" s="2"/>
      <c r="F422" s="2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customFormat="1" x14ac:dyDescent="0.25">
      <c r="A423" s="33">
        <v>1.214</v>
      </c>
      <c r="B423" s="34">
        <v>6545.8768389271127</v>
      </c>
      <c r="C423" s="33">
        <v>8.244023083263663E-4</v>
      </c>
      <c r="E423" s="2"/>
      <c r="F423" s="2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customFormat="1" x14ac:dyDescent="0.25">
      <c r="A424" s="33">
        <v>1.2150000000000001</v>
      </c>
      <c r="B424" s="34">
        <v>6550.9718128628492</v>
      </c>
      <c r="C424" s="33">
        <v>8.237232289951546E-4</v>
      </c>
      <c r="E424" s="2"/>
      <c r="F424" s="2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customFormat="1" x14ac:dyDescent="0.25">
      <c r="A425" s="33">
        <v>1.216</v>
      </c>
      <c r="B425" s="34">
        <v>6556.0667867985858</v>
      </c>
      <c r="C425" s="33">
        <v>8.230452674897748E-4</v>
      </c>
      <c r="E425" s="2"/>
      <c r="F425" s="2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customFormat="1" x14ac:dyDescent="0.25">
      <c r="A426" s="33">
        <v>1.2170000000000001</v>
      </c>
      <c r="B426" s="34">
        <v>6561.1617607343233</v>
      </c>
      <c r="C426" s="33">
        <v>8.22368421052877E-4</v>
      </c>
      <c r="E426" s="2"/>
      <c r="F426" s="2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customFormat="1" x14ac:dyDescent="0.25">
      <c r="A427" s="33">
        <v>1.218</v>
      </c>
      <c r="B427" s="34">
        <v>6566.2567346700589</v>
      </c>
      <c r="C427" s="33">
        <v>8.2169268693510489E-4</v>
      </c>
      <c r="E427" s="2"/>
      <c r="F427" s="2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customFormat="1" x14ac:dyDescent="0.25">
      <c r="A428" s="33">
        <v>1.2190000000000001</v>
      </c>
      <c r="B428" s="34">
        <v>6571.3517086057946</v>
      </c>
      <c r="C428" s="33">
        <v>8.2101806239731623E-4</v>
      </c>
      <c r="E428" s="2"/>
      <c r="F428" s="2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customFormat="1" x14ac:dyDescent="0.25">
      <c r="A429" s="33">
        <v>1.22</v>
      </c>
      <c r="B429" s="34">
        <v>6576.4466825415293</v>
      </c>
      <c r="C429" s="33">
        <v>8.2034454470858442E-4</v>
      </c>
      <c r="E429" s="2"/>
      <c r="F429" s="2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customFormat="1" x14ac:dyDescent="0.25">
      <c r="A430" s="33">
        <v>1.2210000000000001</v>
      </c>
      <c r="B430" s="34">
        <v>6581.5416564772659</v>
      </c>
      <c r="C430" s="33">
        <v>8.1967213114753079E-4</v>
      </c>
      <c r="E430" s="2"/>
      <c r="F430" s="2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customFormat="1" x14ac:dyDescent="0.25">
      <c r="A431" s="33">
        <v>1.222</v>
      </c>
      <c r="B431" s="34">
        <v>6586.6366304130024</v>
      </c>
      <c r="C431" s="33">
        <v>8.1900081900099231E-4</v>
      </c>
      <c r="E431" s="2"/>
      <c r="F431" s="2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customFormat="1" x14ac:dyDescent="0.25">
      <c r="A432" s="33">
        <v>1.2230000000000001</v>
      </c>
      <c r="B432" s="34">
        <v>6591.7316043487381</v>
      </c>
      <c r="C432" s="33">
        <v>8.1833060556468773E-4</v>
      </c>
      <c r="E432" s="2"/>
      <c r="F432" s="2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customFormat="1" x14ac:dyDescent="0.25">
      <c r="A433" s="33">
        <v>1.224</v>
      </c>
      <c r="B433" s="34">
        <v>6596.8265782844728</v>
      </c>
      <c r="C433" s="33">
        <v>8.1766148814388373E-4</v>
      </c>
      <c r="E433" s="2"/>
      <c r="F433" s="2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customFormat="1" x14ac:dyDescent="0.25">
      <c r="A434" s="33">
        <v>1.2250000000000001</v>
      </c>
      <c r="B434" s="34">
        <v>6601.9215522202112</v>
      </c>
      <c r="C434" s="33">
        <v>8.1699346405250672E-4</v>
      </c>
      <c r="E434" s="2"/>
      <c r="F434" s="2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customFormat="1" x14ac:dyDescent="0.25">
      <c r="A435" s="33">
        <v>1.226</v>
      </c>
      <c r="B435" s="34">
        <v>6607.0165261559459</v>
      </c>
      <c r="C435" s="33">
        <v>8.1632653061203264E-4</v>
      </c>
      <c r="E435" s="2"/>
      <c r="F435" s="2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customFormat="1" x14ac:dyDescent="0.25">
      <c r="A436" s="33">
        <v>1.2270000000000001</v>
      </c>
      <c r="B436" s="34">
        <v>6612.1115000916825</v>
      </c>
      <c r="C436" s="33">
        <v>8.1566068515503964E-4</v>
      </c>
      <c r="E436" s="2"/>
      <c r="F436" s="2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customFormat="1" x14ac:dyDescent="0.25">
      <c r="A437" s="33">
        <v>1.228</v>
      </c>
      <c r="B437" s="34">
        <v>6617.2064740274163</v>
      </c>
      <c r="C437" s="33">
        <v>8.1499592502032314E-4</v>
      </c>
      <c r="E437" s="2"/>
      <c r="F437" s="2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customFormat="1" x14ac:dyDescent="0.25">
      <c r="A438" s="33">
        <v>1.2290000000000001</v>
      </c>
      <c r="B438" s="34">
        <v>6622.3014479631547</v>
      </c>
      <c r="C438" s="33">
        <v>8.1433224755711464E-4</v>
      </c>
      <c r="E438" s="2"/>
      <c r="F438" s="2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customFormat="1" x14ac:dyDescent="0.25">
      <c r="A439" s="33">
        <v>1.23</v>
      </c>
      <c r="B439" s="34">
        <v>6627.3964218988895</v>
      </c>
      <c r="C439" s="33">
        <v>8.1366965012197312E-4</v>
      </c>
      <c r="E439" s="2"/>
      <c r="F439" s="2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customFormat="1" x14ac:dyDescent="0.25">
      <c r="A440" s="33">
        <v>1.2310000000000001</v>
      </c>
      <c r="B440" s="34">
        <v>6632.4913958346278</v>
      </c>
      <c r="C440" s="33">
        <v>8.1300813008144956E-4</v>
      </c>
      <c r="E440" s="2"/>
      <c r="F440" s="2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customFormat="1" x14ac:dyDescent="0.25">
      <c r="A441" s="33">
        <v>1.232</v>
      </c>
      <c r="B441" s="34">
        <v>6637.5863697703617</v>
      </c>
      <c r="C441" s="33">
        <v>8.1234768480897834E-4</v>
      </c>
      <c r="E441" s="2"/>
      <c r="F441" s="2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customFormat="1" x14ac:dyDescent="0.25">
      <c r="A442" s="33">
        <v>1.2330000000000001</v>
      </c>
      <c r="B442" s="34">
        <v>6642.6813437060955</v>
      </c>
      <c r="C442" s="33">
        <v>8.1168831168820788E-4</v>
      </c>
      <c r="E442" s="2"/>
      <c r="F442" s="2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customFormat="1" x14ac:dyDescent="0.25">
      <c r="A443" s="33">
        <v>1.234</v>
      </c>
      <c r="B443" s="34">
        <v>6647.7763176418321</v>
      </c>
      <c r="C443" s="33">
        <v>8.110300081103361E-4</v>
      </c>
      <c r="E443" s="2"/>
      <c r="F443" s="2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customFormat="1" x14ac:dyDescent="0.25">
      <c r="A444" s="33">
        <v>1.2350000000000001</v>
      </c>
      <c r="B444" s="34">
        <v>6652.8712915775668</v>
      </c>
      <c r="C444" s="33">
        <v>8.103727714747766E-4</v>
      </c>
      <c r="E444" s="2"/>
      <c r="F444" s="2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customFormat="1" x14ac:dyDescent="0.25">
      <c r="A445" s="33">
        <v>1.236</v>
      </c>
      <c r="B445" s="34">
        <v>6657.9662655133016</v>
      </c>
      <c r="C445" s="33">
        <v>8.0971659919004679E-4</v>
      </c>
      <c r="E445" s="2"/>
      <c r="F445" s="2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customFormat="1" x14ac:dyDescent="0.25">
      <c r="A446" s="33">
        <v>1.2370000000000001</v>
      </c>
      <c r="B446" s="34">
        <v>6663.0612394490381</v>
      </c>
      <c r="C446" s="33">
        <v>8.0906148867332384E-4</v>
      </c>
      <c r="E446" s="2"/>
      <c r="F446" s="2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customFormat="1" x14ac:dyDescent="0.25">
      <c r="A447" s="33">
        <v>1.238</v>
      </c>
      <c r="B447" s="34">
        <v>6668.1562133847747</v>
      </c>
      <c r="C447" s="33">
        <v>8.0840743734844622E-4</v>
      </c>
      <c r="E447" s="2"/>
      <c r="F447" s="2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customFormat="1" x14ac:dyDescent="0.25">
      <c r="A448" s="33">
        <v>1.2390000000000001</v>
      </c>
      <c r="B448" s="34">
        <v>6673.2511873205103</v>
      </c>
      <c r="C448" s="33">
        <v>8.077544426494665E-4</v>
      </c>
      <c r="E448" s="2"/>
      <c r="F448" s="2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customFormat="1" x14ac:dyDescent="0.25">
      <c r="A449" s="33">
        <v>1.24</v>
      </c>
      <c r="B449" s="34">
        <v>6678.3461612562442</v>
      </c>
      <c r="C449" s="33">
        <v>8.0710250201754263E-4</v>
      </c>
      <c r="E449" s="2"/>
      <c r="F449" s="2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customFormat="1" x14ac:dyDescent="0.25">
      <c r="A450" s="33">
        <v>1.2410000000000001</v>
      </c>
      <c r="B450" s="34">
        <v>6683.4411351919807</v>
      </c>
      <c r="C450" s="33">
        <v>8.0645161290338052E-4</v>
      </c>
      <c r="E450" s="2"/>
      <c r="F450" s="2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customFormat="1" x14ac:dyDescent="0.25">
      <c r="A451" s="33">
        <v>1.242</v>
      </c>
      <c r="B451" s="34">
        <v>6688.5361091277146</v>
      </c>
      <c r="C451" s="33">
        <v>8.0580177276368126E-4</v>
      </c>
      <c r="E451" s="2"/>
      <c r="F451" s="2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customFormat="1" x14ac:dyDescent="0.25">
      <c r="A452" s="33">
        <v>1.2430000000000001</v>
      </c>
      <c r="B452" s="34">
        <v>6693.6310830634511</v>
      </c>
      <c r="C452" s="33">
        <v>8.0515297906602612E-4</v>
      </c>
      <c r="E452" s="2"/>
      <c r="F452" s="2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customFormat="1" x14ac:dyDescent="0.25">
      <c r="A453" s="33">
        <v>1.244</v>
      </c>
      <c r="B453" s="34">
        <v>6698.7260569991877</v>
      </c>
      <c r="C453" s="33">
        <v>8.0450522928421364E-4</v>
      </c>
      <c r="E453" s="2"/>
      <c r="F453" s="2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customFormat="1" x14ac:dyDescent="0.25">
      <c r="A454" s="33">
        <v>1.2450000000000001</v>
      </c>
      <c r="B454" s="34">
        <v>6703.8210309349242</v>
      </c>
      <c r="C454" s="33">
        <v>8.03858520900258E-4</v>
      </c>
      <c r="E454" s="2"/>
      <c r="F454" s="2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customFormat="1" x14ac:dyDescent="0.25">
      <c r="A455" s="33">
        <v>1.246</v>
      </c>
      <c r="B455" s="34">
        <v>6708.9160048706608</v>
      </c>
      <c r="C455" s="33">
        <v>8.032128514057213E-4</v>
      </c>
      <c r="E455" s="2"/>
      <c r="F455" s="2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customFormat="1" x14ac:dyDescent="0.25">
      <c r="A456" s="33">
        <v>1.2470000000000001</v>
      </c>
      <c r="B456" s="34">
        <v>6714.0109788063974</v>
      </c>
      <c r="C456" s="33">
        <v>8.0256821829860492E-4</v>
      </c>
      <c r="E456" s="2"/>
      <c r="F456" s="2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customFormat="1" x14ac:dyDescent="0.25">
      <c r="A457" s="33">
        <v>1.248</v>
      </c>
      <c r="B457" s="34">
        <v>6719.1059527421303</v>
      </c>
      <c r="C457" s="33">
        <v>8.0192461908557E-4</v>
      </c>
      <c r="E457" s="2"/>
      <c r="F457" s="2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customFormat="1" x14ac:dyDescent="0.25">
      <c r="A458" s="33">
        <v>1.2490000000000001</v>
      </c>
      <c r="B458" s="34">
        <v>6724.2009266778668</v>
      </c>
      <c r="C458" s="33">
        <v>8.0128205128215946E-4</v>
      </c>
      <c r="E458" s="2"/>
      <c r="F458" s="2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customFormat="1" x14ac:dyDescent="0.25">
      <c r="A459" s="33">
        <v>1.25</v>
      </c>
      <c r="B459" s="34">
        <v>6729.2959006136007</v>
      </c>
      <c r="C459" s="33">
        <v>8.0064051240968936E-4</v>
      </c>
      <c r="E459" s="2"/>
      <c r="F459" s="2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customFormat="1" x14ac:dyDescent="0.25">
      <c r="A460" s="33">
        <v>1.2509999999999999</v>
      </c>
      <c r="B460" s="34">
        <v>6734.3908745493363</v>
      </c>
      <c r="C460" s="33">
        <v>7.9999999999991189E-4</v>
      </c>
      <c r="E460" s="2"/>
      <c r="F460" s="2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customFormat="1" x14ac:dyDescent="0.25">
      <c r="A461" s="33">
        <v>1.252</v>
      </c>
      <c r="B461" s="34">
        <v>6739.4858484850738</v>
      </c>
      <c r="C461" s="33">
        <v>7.9936051159101851E-4</v>
      </c>
      <c r="E461" s="2"/>
      <c r="F461" s="2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customFormat="1" x14ac:dyDescent="0.25">
      <c r="A462" s="33">
        <v>1.2529999999999999</v>
      </c>
      <c r="B462" s="34">
        <v>6744.5808224208085</v>
      </c>
      <c r="C462" s="33">
        <v>7.987220447283061E-4</v>
      </c>
      <c r="E462" s="2"/>
      <c r="F462" s="2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customFormat="1" x14ac:dyDescent="0.25">
      <c r="A463" s="33">
        <v>1.254</v>
      </c>
      <c r="B463" s="34">
        <v>6749.675796356546</v>
      </c>
      <c r="C463" s="33">
        <v>7.9808459696750766E-4</v>
      </c>
      <c r="E463" s="2"/>
      <c r="F463" s="2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customFormat="1" x14ac:dyDescent="0.25">
      <c r="A464" s="33">
        <v>1.2549999999999999</v>
      </c>
      <c r="B464" s="34">
        <v>6754.7707702922808</v>
      </c>
      <c r="C464" s="33">
        <v>7.9744816586901912E-4</v>
      </c>
      <c r="E464" s="2"/>
      <c r="F464" s="2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customFormat="1" x14ac:dyDescent="0.25">
      <c r="A465" s="33">
        <v>1.256</v>
      </c>
      <c r="B465" s="34">
        <v>6759.8657442280173</v>
      </c>
      <c r="C465" s="33">
        <v>7.9681274900411658E-4</v>
      </c>
      <c r="E465" s="2"/>
      <c r="F465" s="2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customFormat="1" x14ac:dyDescent="0.25">
      <c r="A466" s="33">
        <v>1.2569999999999999</v>
      </c>
      <c r="B466" s="34">
        <v>6764.9607181637521</v>
      </c>
      <c r="C466" s="33">
        <v>7.961783439487391E-4</v>
      </c>
      <c r="E466" s="2"/>
      <c r="F466" s="2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customFormat="1" x14ac:dyDescent="0.25">
      <c r="A467" s="33">
        <v>1.258</v>
      </c>
      <c r="B467" s="34">
        <v>6770.0556920994886</v>
      </c>
      <c r="C467" s="33">
        <v>7.955449482897059E-4</v>
      </c>
      <c r="E467" s="2"/>
      <c r="F467" s="2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customFormat="1" x14ac:dyDescent="0.25">
      <c r="A468" s="33">
        <v>1.2589999999999999</v>
      </c>
      <c r="B468" s="34">
        <v>6775.1506660352234</v>
      </c>
      <c r="C468" s="33">
        <v>7.9491255961827711E-4</v>
      </c>
      <c r="E468" s="2"/>
      <c r="F468" s="2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customFormat="1" x14ac:dyDescent="0.25">
      <c r="A469" s="33">
        <v>1.26</v>
      </c>
      <c r="B469" s="34">
        <v>6780.2456399709608</v>
      </c>
      <c r="C469" s="33">
        <v>7.9428117553637101E-4</v>
      </c>
      <c r="E469" s="2"/>
      <c r="F469" s="2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customFormat="1" x14ac:dyDescent="0.25">
      <c r="A470" s="33">
        <v>1.2609999999999999</v>
      </c>
      <c r="B470" s="34">
        <v>6785.3406139066965</v>
      </c>
      <c r="C470" s="33">
        <v>7.9365079365079083E-4</v>
      </c>
      <c r="E470" s="2"/>
      <c r="F470" s="2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customFormat="1" x14ac:dyDescent="0.25">
      <c r="A471" s="33">
        <v>1.262</v>
      </c>
      <c r="B471" s="34">
        <v>6790.4355878424321</v>
      </c>
      <c r="C471" s="33">
        <v>7.9302141157810979E-4</v>
      </c>
      <c r="E471" s="2"/>
      <c r="F471" s="2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customFormat="1" x14ac:dyDescent="0.25">
      <c r="A472" s="33">
        <v>1.2629999999999999</v>
      </c>
      <c r="B472" s="34">
        <v>6795.5305617781687</v>
      </c>
      <c r="C472" s="33">
        <v>7.9239302694134039E-4</v>
      </c>
      <c r="E472" s="2"/>
      <c r="F472" s="2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customFormat="1" x14ac:dyDescent="0.25">
      <c r="A473" s="33">
        <v>1.264</v>
      </c>
      <c r="B473" s="34">
        <v>6800.6255357139044</v>
      </c>
      <c r="C473" s="33">
        <v>7.9176563737126671E-4</v>
      </c>
      <c r="E473" s="2"/>
      <c r="F473" s="2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customFormat="1" x14ac:dyDescent="0.25">
      <c r="A474" s="33">
        <v>1.2649999999999999</v>
      </c>
      <c r="B474" s="34">
        <v>6805.7205096496391</v>
      </c>
      <c r="C474" s="33">
        <v>7.9113924050622231E-4</v>
      </c>
      <c r="E474" s="2"/>
      <c r="F474" s="2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customFormat="1" x14ac:dyDescent="0.25">
      <c r="A475" s="33">
        <v>1.266</v>
      </c>
      <c r="B475" s="34">
        <v>6810.8154835853757</v>
      </c>
      <c r="C475" s="33">
        <v>7.9051383399231234E-4</v>
      </c>
      <c r="E475" s="2"/>
      <c r="F475" s="2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customFormat="1" x14ac:dyDescent="0.25">
      <c r="A476" s="33">
        <v>1.2669999999999999</v>
      </c>
      <c r="B476" s="34">
        <v>6815.9104575211113</v>
      </c>
      <c r="C476" s="33">
        <v>7.8988941548163716E-4</v>
      </c>
      <c r="E476" s="2"/>
      <c r="F476" s="2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customFormat="1" x14ac:dyDescent="0.25">
      <c r="A477" s="33">
        <v>1.268</v>
      </c>
      <c r="B477" s="34">
        <v>6821.0054314568461</v>
      </c>
      <c r="C477" s="33">
        <v>7.8926598263628911E-4</v>
      </c>
      <c r="E477" s="2"/>
      <c r="F477" s="2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customFormat="1" x14ac:dyDescent="0.25">
      <c r="A478" s="33">
        <v>1.2689999999999999</v>
      </c>
      <c r="B478" s="34">
        <v>6826.1004053925817</v>
      </c>
      <c r="C478" s="33">
        <v>7.8864353312280144E-4</v>
      </c>
      <c r="E478" s="2"/>
      <c r="F478" s="2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customFormat="1" x14ac:dyDescent="0.25">
      <c r="A479" s="33">
        <v>1.27</v>
      </c>
      <c r="B479" s="34">
        <v>6831.1953793283183</v>
      </c>
      <c r="C479" s="33">
        <v>7.8802206461792146E-4</v>
      </c>
      <c r="E479" s="2"/>
      <c r="F479" s="2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customFormat="1" x14ac:dyDescent="0.25">
      <c r="A480" s="33">
        <v>1.2709999999999999</v>
      </c>
      <c r="B480" s="34">
        <v>6836.2903532640521</v>
      </c>
      <c r="C480" s="33">
        <v>7.8740157480305939E-4</v>
      </c>
      <c r="E480" s="2"/>
      <c r="F480" s="2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customFormat="1" x14ac:dyDescent="0.25">
      <c r="A481" s="33">
        <v>1.272</v>
      </c>
      <c r="B481" s="34">
        <v>6841.3853271997887</v>
      </c>
      <c r="C481" s="33">
        <v>7.8678206136895135E-4</v>
      </c>
      <c r="E481" s="2"/>
      <c r="F481" s="2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customFormat="1" x14ac:dyDescent="0.25">
      <c r="A482" s="33">
        <v>1.2729999999999999</v>
      </c>
      <c r="B482" s="34">
        <v>6846.4803011355243</v>
      </c>
      <c r="C482" s="33">
        <v>7.8616352201255069E-4</v>
      </c>
      <c r="E482" s="2"/>
      <c r="F482" s="2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customFormat="1" x14ac:dyDescent="0.25">
      <c r="A483" s="33">
        <v>1.274</v>
      </c>
      <c r="B483" s="34">
        <v>6851.5752750712618</v>
      </c>
      <c r="C483" s="33">
        <v>7.8554595443858233E-4</v>
      </c>
      <c r="E483" s="2"/>
      <c r="F483" s="2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customFormat="1" x14ac:dyDescent="0.25">
      <c r="A484" s="33">
        <v>1.2749999999999999</v>
      </c>
      <c r="B484" s="34">
        <v>6856.6702490069965</v>
      </c>
      <c r="C484" s="33">
        <v>7.8492935635776639E-4</v>
      </c>
      <c r="E484" s="2"/>
      <c r="F484" s="2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customFormat="1" x14ac:dyDescent="0.25">
      <c r="A485" s="33">
        <v>1.276</v>
      </c>
      <c r="B485" s="34">
        <v>6861.765222942734</v>
      </c>
      <c r="C485" s="33">
        <v>7.8431372549037093E-4</v>
      </c>
      <c r="E485" s="2"/>
      <c r="F485" s="2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customFormat="1" x14ac:dyDescent="0.25">
      <c r="A486" s="33">
        <v>1.2769999999999999</v>
      </c>
      <c r="B486" s="34">
        <v>6866.8601968784697</v>
      </c>
      <c r="C486" s="33">
        <v>7.8369905956110486E-4</v>
      </c>
      <c r="E486" s="2"/>
      <c r="F486" s="2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customFormat="1" x14ac:dyDescent="0.25">
      <c r="A487" s="33">
        <v>1.278</v>
      </c>
      <c r="B487" s="34">
        <v>6871.9551708142062</v>
      </c>
      <c r="C487" s="33">
        <v>7.83085356304003E-4</v>
      </c>
      <c r="E487" s="2"/>
      <c r="F487" s="2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customFormat="1" x14ac:dyDescent="0.25">
      <c r="A488" s="33">
        <v>1.2789999999999999</v>
      </c>
      <c r="B488" s="34">
        <v>6877.050144749941</v>
      </c>
      <c r="C488" s="33">
        <v>7.8247261345820718E-4</v>
      </c>
      <c r="E488" s="2"/>
      <c r="F488" s="2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customFormat="1" x14ac:dyDescent="0.25">
      <c r="A489" s="33">
        <v>1.28</v>
      </c>
      <c r="B489" s="34">
        <v>6882.1451186856775</v>
      </c>
      <c r="C489" s="33">
        <v>7.8186082877262919E-4</v>
      </c>
      <c r="E489" s="2"/>
      <c r="F489" s="2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customFormat="1" x14ac:dyDescent="0.25">
      <c r="A490" s="33">
        <v>1.2809999999999999</v>
      </c>
      <c r="B490" s="34">
        <v>6887.2400926214132</v>
      </c>
      <c r="C490" s="33">
        <v>7.8124999999995559E-4</v>
      </c>
      <c r="E490" s="2"/>
      <c r="F490" s="2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customFormat="1" x14ac:dyDescent="0.25">
      <c r="A491" s="33">
        <v>1.282</v>
      </c>
      <c r="B491" s="34">
        <v>6892.3350665571506</v>
      </c>
      <c r="C491" s="33">
        <v>7.806401249026429E-4</v>
      </c>
      <c r="E491" s="2"/>
      <c r="F491" s="2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customFormat="1" x14ac:dyDescent="0.25">
      <c r="A492" s="33">
        <v>1.2829999999999999</v>
      </c>
      <c r="B492" s="34">
        <v>6897.4300404928863</v>
      </c>
      <c r="C492" s="33">
        <v>7.800312012480326E-4</v>
      </c>
      <c r="E492" s="2"/>
      <c r="F492" s="2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customFormat="1" x14ac:dyDescent="0.25">
      <c r="A493" s="33">
        <v>1.284</v>
      </c>
      <c r="B493" s="34">
        <v>6902.5250144286238</v>
      </c>
      <c r="C493" s="33">
        <v>7.7942322681234799E-4</v>
      </c>
      <c r="E493" s="2"/>
      <c r="F493" s="2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customFormat="1" x14ac:dyDescent="0.25">
      <c r="A494" s="33">
        <v>1.2849999999999999</v>
      </c>
      <c r="B494" s="34">
        <v>6907.6199883643594</v>
      </c>
      <c r="C494" s="33">
        <v>7.7881619937691937E-4</v>
      </c>
      <c r="E494" s="2"/>
      <c r="F494" s="2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customFormat="1" x14ac:dyDescent="0.25">
      <c r="A495" s="33">
        <v>1.286</v>
      </c>
      <c r="B495" s="34">
        <v>6912.7149623000969</v>
      </c>
      <c r="C495" s="33">
        <v>7.7821011673173679E-4</v>
      </c>
      <c r="E495" s="2"/>
      <c r="F495" s="2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customFormat="1" x14ac:dyDescent="0.25">
      <c r="A496" s="33">
        <v>1.2869999999999999</v>
      </c>
      <c r="B496" s="34">
        <v>6917.8099362358316</v>
      </c>
      <c r="C496" s="33">
        <v>7.7760497667167527E-4</v>
      </c>
      <c r="E496" s="2"/>
      <c r="F496" s="2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customFormat="1" x14ac:dyDescent="0.25">
      <c r="A497" s="33">
        <v>1.288</v>
      </c>
      <c r="B497" s="34">
        <v>6922.9049101715682</v>
      </c>
      <c r="C497" s="33">
        <v>7.7700077700093573E-4</v>
      </c>
      <c r="E497" s="2"/>
      <c r="F497" s="2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customFormat="1" x14ac:dyDescent="0.25">
      <c r="A498" s="33">
        <v>1.2889999999999999</v>
      </c>
      <c r="B498" s="34">
        <v>6927.9998841073029</v>
      </c>
      <c r="C498" s="33">
        <v>7.7639751552771585E-4</v>
      </c>
      <c r="E498" s="2"/>
      <c r="F498" s="2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customFormat="1" x14ac:dyDescent="0.25">
      <c r="A499" s="33">
        <v>1.29</v>
      </c>
      <c r="B499" s="34">
        <v>6933.0948580430395</v>
      </c>
      <c r="C499" s="33">
        <v>7.7579519006998332E-4</v>
      </c>
      <c r="E499" s="2"/>
      <c r="F499" s="2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customFormat="1" x14ac:dyDescent="0.25">
      <c r="A500" s="33">
        <v>1.2909999999999999</v>
      </c>
      <c r="B500" s="34">
        <v>6938.1898319787733</v>
      </c>
      <c r="C500" s="33">
        <v>7.7519379844948055E-4</v>
      </c>
      <c r="E500" s="2"/>
      <c r="F500" s="2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customFormat="1" x14ac:dyDescent="0.25">
      <c r="A501" s="33">
        <v>1.292</v>
      </c>
      <c r="B501" s="34">
        <v>6943.2848059145117</v>
      </c>
      <c r="C501" s="33">
        <v>7.745933384974979E-4</v>
      </c>
      <c r="E501" s="2"/>
      <c r="F501" s="2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customFormat="1" x14ac:dyDescent="0.25">
      <c r="A502" s="33">
        <v>1.2929999999999999</v>
      </c>
      <c r="B502" s="34">
        <v>6948.3797798502437</v>
      </c>
      <c r="C502" s="33">
        <v>7.739938080493225E-4</v>
      </c>
      <c r="E502" s="2"/>
      <c r="F502" s="2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customFormat="1" x14ac:dyDescent="0.25">
      <c r="A503" s="33">
        <v>1.294</v>
      </c>
      <c r="B503" s="34">
        <v>6953.4747537859821</v>
      </c>
      <c r="C503" s="33">
        <v>7.7339520494978942E-4</v>
      </c>
      <c r="E503" s="2"/>
      <c r="F503" s="2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customFormat="1" x14ac:dyDescent="0.25">
      <c r="A504" s="33">
        <v>1.2949999999999999</v>
      </c>
      <c r="B504" s="34">
        <v>6958.5697277217159</v>
      </c>
      <c r="C504" s="33">
        <v>7.7279752704773053E-4</v>
      </c>
      <c r="E504" s="2"/>
      <c r="F504" s="2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customFormat="1" x14ac:dyDescent="0.25">
      <c r="A505" s="33">
        <v>1.296</v>
      </c>
      <c r="B505" s="34">
        <v>6963.6647016574552</v>
      </c>
      <c r="C505" s="33">
        <v>7.7220077220108152E-4</v>
      </c>
      <c r="E505" s="2"/>
      <c r="F505" s="2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customFormat="1" x14ac:dyDescent="0.25">
      <c r="A506" s="33">
        <v>1.2969999999999999</v>
      </c>
      <c r="B506" s="34">
        <v>6968.75967559319</v>
      </c>
      <c r="C506" s="33">
        <v>7.7160493827155285E-4</v>
      </c>
      <c r="E506" s="2"/>
      <c r="F506" s="2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customFormat="1" x14ac:dyDescent="0.25">
      <c r="A507" s="33">
        <v>1.298</v>
      </c>
      <c r="B507" s="34">
        <v>6973.8546495289283</v>
      </c>
      <c r="C507" s="33">
        <v>7.710100231304029E-4</v>
      </c>
      <c r="E507" s="2"/>
      <c r="F507" s="2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customFormat="1" x14ac:dyDescent="0.25">
      <c r="A508" s="33">
        <v>1.2989999999999999</v>
      </c>
      <c r="B508" s="34">
        <v>6978.9496234646622</v>
      </c>
      <c r="C508" s="33">
        <v>7.7041602465333092E-4</v>
      </c>
      <c r="E508" s="2"/>
      <c r="F508" s="2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customFormat="1" x14ac:dyDescent="0.25">
      <c r="A509" s="31">
        <v>1.3</v>
      </c>
      <c r="B509" s="32">
        <v>7026.2322796708231</v>
      </c>
      <c r="C509" s="31">
        <v>7.1441530231486361E-3</v>
      </c>
      <c r="E509" s="2"/>
      <c r="F509" s="2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customFormat="1" x14ac:dyDescent="0.25">
      <c r="A510" s="33">
        <v>1.3009999999999999</v>
      </c>
      <c r="B510" s="34">
        <v>7031.3597056698445</v>
      </c>
      <c r="C510" s="33">
        <v>7.6923076923085532E-4</v>
      </c>
      <c r="E510" s="2"/>
      <c r="F510" s="2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customFormat="1" x14ac:dyDescent="0.25">
      <c r="A511" s="33">
        <v>1.302</v>
      </c>
      <c r="B511" s="34">
        <v>7036.487131668865</v>
      </c>
      <c r="C511" s="33">
        <v>7.6863950807082304E-4</v>
      </c>
      <c r="E511" s="2"/>
      <c r="F511" s="2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customFormat="1" x14ac:dyDescent="0.25">
      <c r="A512" s="33">
        <v>1.3029999999999999</v>
      </c>
      <c r="B512" s="34">
        <v>7041.6145576678864</v>
      </c>
      <c r="C512" s="33">
        <v>7.680491551458335E-4</v>
      </c>
      <c r="E512" s="2"/>
      <c r="F512" s="2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customFormat="1" x14ac:dyDescent="0.25">
      <c r="A513" s="33">
        <v>1.304</v>
      </c>
      <c r="B513" s="34">
        <v>7046.7419836669051</v>
      </c>
      <c r="C513" s="33">
        <v>7.6745970836511468E-4</v>
      </c>
      <c r="E513" s="2"/>
      <c r="F513" s="2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customFormat="1" x14ac:dyDescent="0.25">
      <c r="A514" s="33">
        <v>1.3049999999999999</v>
      </c>
      <c r="B514" s="34">
        <v>7051.8694096659274</v>
      </c>
      <c r="C514" s="33">
        <v>7.6687116564433389E-4</v>
      </c>
      <c r="E514" s="2"/>
      <c r="F514" s="2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customFormat="1" x14ac:dyDescent="0.25">
      <c r="A515" s="33">
        <v>1.306</v>
      </c>
      <c r="B515" s="34">
        <v>7056.996835664947</v>
      </c>
      <c r="C515" s="33">
        <v>7.6628352490404339E-4</v>
      </c>
      <c r="E515" s="2"/>
      <c r="F515" s="2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customFormat="1" x14ac:dyDescent="0.25">
      <c r="A516" s="33">
        <v>1.3069999999999999</v>
      </c>
      <c r="B516" s="34">
        <v>7062.1242616639674</v>
      </c>
      <c r="C516" s="33">
        <v>7.6569678407345521E-4</v>
      </c>
      <c r="E516" s="2"/>
      <c r="F516" s="2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customFormat="1" x14ac:dyDescent="0.25">
      <c r="A517" s="33">
        <v>1.3080000000000001</v>
      </c>
      <c r="B517" s="34">
        <v>7067.2516876629898</v>
      </c>
      <c r="C517" s="33">
        <v>7.6511094108666633E-4</v>
      </c>
      <c r="E517" s="2"/>
      <c r="F517" s="2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customFormat="1" x14ac:dyDescent="0.25">
      <c r="A518" s="33">
        <v>1.3089999999999999</v>
      </c>
      <c r="B518" s="34">
        <v>7072.3791136620102</v>
      </c>
      <c r="C518" s="33">
        <v>7.6452599388376896E-4</v>
      </c>
      <c r="E518" s="2"/>
      <c r="F518" s="2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customFormat="1" x14ac:dyDescent="0.25">
      <c r="A519" s="33">
        <v>1.31</v>
      </c>
      <c r="B519" s="34">
        <v>7077.5065396610316</v>
      </c>
      <c r="C519" s="33">
        <v>7.6394194041262686E-4</v>
      </c>
      <c r="E519" s="2"/>
      <c r="F519" s="2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customFormat="1" x14ac:dyDescent="0.25">
      <c r="A520" s="33">
        <v>1.3109999999999999</v>
      </c>
      <c r="B520" s="34">
        <v>7082.6339656600521</v>
      </c>
      <c r="C520" s="33">
        <v>7.6335877862576673E-4</v>
      </c>
      <c r="E520" s="2"/>
      <c r="F520" s="2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customFormat="1" x14ac:dyDescent="0.25">
      <c r="A521" s="33">
        <v>1.3120000000000001</v>
      </c>
      <c r="B521" s="34">
        <v>7087.7613916590735</v>
      </c>
      <c r="C521" s="33">
        <v>7.6277650648393092E-4</v>
      </c>
      <c r="E521" s="2"/>
      <c r="F521" s="2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customFormat="1" x14ac:dyDescent="0.25">
      <c r="A522" s="33">
        <v>1.3129999999999999</v>
      </c>
      <c r="B522" s="34">
        <v>7092.8888176580949</v>
      </c>
      <c r="C522" s="33">
        <v>7.6219512195119243E-4</v>
      </c>
      <c r="E522" s="2"/>
      <c r="F522" s="2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customFormat="1" x14ac:dyDescent="0.25">
      <c r="A523" s="33">
        <v>1.3140000000000001</v>
      </c>
      <c r="B523" s="34">
        <v>7098.0162436571163</v>
      </c>
      <c r="C523" s="33">
        <v>7.6161462300095017E-4</v>
      </c>
      <c r="E523" s="2"/>
      <c r="F523" s="2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customFormat="1" x14ac:dyDescent="0.25">
      <c r="A524" s="33">
        <v>1.3149999999999999</v>
      </c>
      <c r="B524" s="34">
        <v>7103.1436696561377</v>
      </c>
      <c r="C524" s="33">
        <v>7.6103500761037779E-4</v>
      </c>
      <c r="E524" s="2"/>
      <c r="F524" s="2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customFormat="1" x14ac:dyDescent="0.25">
      <c r="A525" s="33">
        <v>1.3160000000000001</v>
      </c>
      <c r="B525" s="34">
        <v>7108.2710956551582</v>
      </c>
      <c r="C525" s="33">
        <v>7.6045627376419844E-4</v>
      </c>
      <c r="E525" s="2"/>
      <c r="F525" s="2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customFormat="1" x14ac:dyDescent="0.25">
      <c r="A526" s="33">
        <v>1.3169999999999999</v>
      </c>
      <c r="B526" s="34">
        <v>7113.3985216541787</v>
      </c>
      <c r="C526" s="33">
        <v>7.5987841945290846E-4</v>
      </c>
      <c r="E526" s="2"/>
      <c r="F526" s="2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customFormat="1" x14ac:dyDescent="0.25">
      <c r="A527" s="33">
        <v>1.3180000000000001</v>
      </c>
      <c r="B527" s="34">
        <v>7118.525947653201</v>
      </c>
      <c r="C527" s="33">
        <v>7.5930144267277733E-4</v>
      </c>
      <c r="E527" s="2"/>
      <c r="F527" s="2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customFormat="1" x14ac:dyDescent="0.25">
      <c r="A528" s="33">
        <v>1.319</v>
      </c>
      <c r="B528" s="34">
        <v>7123.6533736522197</v>
      </c>
      <c r="C528" s="33">
        <v>7.5872534142629178E-4</v>
      </c>
      <c r="E528" s="2"/>
      <c r="F528" s="2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customFormat="1" x14ac:dyDescent="0.25">
      <c r="A529" s="33">
        <v>1.32</v>
      </c>
      <c r="B529" s="34">
        <v>7128.780799651242</v>
      </c>
      <c r="C529" s="33">
        <v>7.5815011372259988E-4</v>
      </c>
      <c r="E529" s="2"/>
      <c r="F529" s="2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customFormat="1" x14ac:dyDescent="0.25">
      <c r="A530" s="33">
        <v>1.321</v>
      </c>
      <c r="B530" s="34">
        <v>7133.9082256502616</v>
      </c>
      <c r="C530" s="33">
        <v>7.575757575757347E-4</v>
      </c>
      <c r="E530" s="2"/>
      <c r="F530" s="2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customFormat="1" x14ac:dyDescent="0.25">
      <c r="A531" s="33">
        <v>1.3220000000000001</v>
      </c>
      <c r="B531" s="34">
        <v>7139.035651649283</v>
      </c>
      <c r="C531" s="33">
        <v>7.570022710068347E-4</v>
      </c>
      <c r="E531" s="2"/>
      <c r="F531" s="2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customFormat="1" x14ac:dyDescent="0.25">
      <c r="A532" s="33">
        <v>1.323</v>
      </c>
      <c r="B532" s="34">
        <v>7144.1630776483062</v>
      </c>
      <c r="C532" s="33">
        <v>7.564296520425895E-4</v>
      </c>
      <c r="E532" s="2"/>
      <c r="F532" s="2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customFormat="1" x14ac:dyDescent="0.25">
      <c r="A533" s="33">
        <v>1.3240000000000001</v>
      </c>
      <c r="B533" s="34">
        <v>7149.2905036473267</v>
      </c>
      <c r="C533" s="33">
        <v>7.5585789871523978E-4</v>
      </c>
      <c r="E533" s="2"/>
      <c r="F533" s="2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customFormat="1" x14ac:dyDescent="0.25">
      <c r="A534" s="33">
        <v>1.325</v>
      </c>
      <c r="B534" s="34">
        <v>7154.4179296463471</v>
      </c>
      <c r="C534" s="33">
        <v>7.5528700906324353E-4</v>
      </c>
      <c r="E534" s="2"/>
      <c r="F534" s="2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customFormat="1" x14ac:dyDescent="0.25">
      <c r="A535" s="33">
        <v>1.3260000000000001</v>
      </c>
      <c r="B535" s="34">
        <v>7159.5453556453676</v>
      </c>
      <c r="C535" s="33">
        <v>7.5471698113216412E-4</v>
      </c>
      <c r="E535" s="2"/>
      <c r="F535" s="2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customFormat="1" x14ac:dyDescent="0.25">
      <c r="A536" s="33">
        <v>1.327</v>
      </c>
      <c r="B536" s="34">
        <v>7164.6727816443881</v>
      </c>
      <c r="C536" s="33">
        <v>7.5414781297111766E-4</v>
      </c>
      <c r="E536" s="2"/>
      <c r="F536" s="2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customFormat="1" x14ac:dyDescent="0.25">
      <c r="A537" s="33">
        <v>1.3280000000000001</v>
      </c>
      <c r="B537" s="34">
        <v>7169.8002076434077</v>
      </c>
      <c r="C537" s="33">
        <v>7.5357950263743589E-4</v>
      </c>
      <c r="E537" s="2"/>
      <c r="F537" s="2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customFormat="1" x14ac:dyDescent="0.25">
      <c r="A538" s="33">
        <v>1.329</v>
      </c>
      <c r="B538" s="34">
        <v>7174.9276336424309</v>
      </c>
      <c r="C538" s="33">
        <v>7.5301204819311351E-4</v>
      </c>
      <c r="E538" s="2"/>
      <c r="F538" s="2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customFormat="1" x14ac:dyDescent="0.25">
      <c r="A539" s="33">
        <v>1.33</v>
      </c>
      <c r="B539" s="34">
        <v>7180.0550596414514</v>
      </c>
      <c r="C539" s="33">
        <v>7.5244544770480815E-4</v>
      </c>
      <c r="E539" s="2"/>
      <c r="F539" s="2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customFormat="1" x14ac:dyDescent="0.25">
      <c r="A540" s="33">
        <v>1.331</v>
      </c>
      <c r="B540" s="34">
        <v>7185.182485640471</v>
      </c>
      <c r="C540" s="33">
        <v>7.518796992480592E-4</v>
      </c>
      <c r="E540" s="2"/>
      <c r="F540" s="2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customFormat="1" x14ac:dyDescent="0.25">
      <c r="A541" s="33">
        <v>1.3320000000000001</v>
      </c>
      <c r="B541" s="34">
        <v>7190.3099116394933</v>
      </c>
      <c r="C541" s="33">
        <v>7.5131480090173675E-4</v>
      </c>
      <c r="E541" s="2"/>
      <c r="F541" s="2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customFormat="1" x14ac:dyDescent="0.25">
      <c r="A542" s="33">
        <v>1.333</v>
      </c>
      <c r="B542" s="34">
        <v>7195.4373376385129</v>
      </c>
      <c r="C542" s="33">
        <v>7.5075075075070608E-4</v>
      </c>
      <c r="E542" s="2"/>
      <c r="F542" s="2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customFormat="1" x14ac:dyDescent="0.25">
      <c r="A543" s="33">
        <v>1.3340000000000001</v>
      </c>
      <c r="B543" s="34">
        <v>7200.5647636375352</v>
      </c>
      <c r="C543" s="33">
        <v>7.5018754688693789E-4</v>
      </c>
      <c r="E543" s="2"/>
      <c r="F543" s="2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customFormat="1" x14ac:dyDescent="0.25">
      <c r="A544" s="33">
        <v>1.335</v>
      </c>
      <c r="B544" s="34">
        <v>7205.6921896365575</v>
      </c>
      <c r="C544" s="33">
        <v>7.4962518740639972E-4</v>
      </c>
      <c r="E544" s="2"/>
      <c r="F544" s="2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customFormat="1" x14ac:dyDescent="0.25">
      <c r="A545" s="33">
        <v>1.3360000000000001</v>
      </c>
      <c r="B545" s="34">
        <v>7210.8196156355771</v>
      </c>
      <c r="C545" s="33">
        <v>7.4906367041194244E-4</v>
      </c>
      <c r="E545" s="2"/>
      <c r="F545" s="2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customFormat="1" x14ac:dyDescent="0.25">
      <c r="A546" s="33">
        <v>1.337</v>
      </c>
      <c r="B546" s="34">
        <v>7215.9470416345976</v>
      </c>
      <c r="C546" s="33">
        <v>7.4850299401196807E-4</v>
      </c>
      <c r="E546" s="2"/>
      <c r="F546" s="2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customFormat="1" x14ac:dyDescent="0.25">
      <c r="A547" s="33">
        <v>1.3380000000000001</v>
      </c>
      <c r="B547" s="34">
        <v>7221.074467633619</v>
      </c>
      <c r="C547" s="33">
        <v>7.4794315632020769E-4</v>
      </c>
      <c r="E547" s="2"/>
      <c r="F547" s="2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customFormat="1" x14ac:dyDescent="0.25">
      <c r="A548" s="33">
        <v>1.339</v>
      </c>
      <c r="B548" s="34">
        <v>7226.2018936326403</v>
      </c>
      <c r="C548" s="33">
        <v>7.473841554559435E-4</v>
      </c>
      <c r="E548" s="2"/>
      <c r="F548" s="2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customFormat="1" x14ac:dyDescent="0.25">
      <c r="A549" s="33">
        <v>1.34</v>
      </c>
      <c r="B549" s="34">
        <v>7231.3293196316617</v>
      </c>
      <c r="C549" s="33">
        <v>7.4682598954467494E-4</v>
      </c>
      <c r="E549" s="2"/>
      <c r="F549" s="2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customFormat="1" x14ac:dyDescent="0.25">
      <c r="A550" s="33">
        <v>1.341</v>
      </c>
      <c r="B550" s="34">
        <v>7236.4567456306804</v>
      </c>
      <c r="C550" s="33">
        <v>7.462686567161203E-4</v>
      </c>
      <c r="E550" s="2"/>
      <c r="F550" s="2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customFormat="1" x14ac:dyDescent="0.25">
      <c r="A551" s="33">
        <v>1.3420000000000001</v>
      </c>
      <c r="B551" s="34">
        <v>7241.5841716297027</v>
      </c>
      <c r="C551" s="33">
        <v>7.4571215510821354E-4</v>
      </c>
      <c r="E551" s="2"/>
      <c r="F551" s="2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customFormat="1" x14ac:dyDescent="0.25">
      <c r="A552" s="33">
        <v>1.343</v>
      </c>
      <c r="B552" s="34">
        <v>7246.7115976287223</v>
      </c>
      <c r="C552" s="33">
        <v>7.4515648286133107E-4</v>
      </c>
      <c r="E552" s="2"/>
      <c r="F552" s="2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customFormat="1" x14ac:dyDescent="0.25">
      <c r="A553" s="33">
        <v>1.3440000000000001</v>
      </c>
      <c r="B553" s="34">
        <v>7251.8390236277437</v>
      </c>
      <c r="C553" s="33">
        <v>7.446016381236209E-4</v>
      </c>
      <c r="E553" s="2"/>
      <c r="F553" s="2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customFormat="1" x14ac:dyDescent="0.25">
      <c r="A554" s="33">
        <v>1.345</v>
      </c>
      <c r="B554" s="34">
        <v>7256.9664496267624</v>
      </c>
      <c r="C554" s="33">
        <v>7.4404761904744987E-4</v>
      </c>
      <c r="E554" s="2"/>
      <c r="F554" s="2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customFormat="1" x14ac:dyDescent="0.25">
      <c r="A555" s="33">
        <v>1.3460000000000001</v>
      </c>
      <c r="B555" s="34">
        <v>7262.0938756257856</v>
      </c>
      <c r="C555" s="33">
        <v>7.434944237920682E-4</v>
      </c>
      <c r="E555" s="2"/>
      <c r="F555" s="2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customFormat="1" x14ac:dyDescent="0.25">
      <c r="A556" s="33">
        <v>1.347</v>
      </c>
      <c r="B556" s="34">
        <v>7267.2213016248043</v>
      </c>
      <c r="C556" s="33">
        <v>7.4294205051983475E-4</v>
      </c>
      <c r="E556" s="2"/>
      <c r="F556" s="2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customFormat="1" x14ac:dyDescent="0.25">
      <c r="A557" s="33">
        <v>1.3480000000000001</v>
      </c>
      <c r="B557" s="34">
        <v>7272.3487276238275</v>
      </c>
      <c r="C557" s="33">
        <v>7.423904974017681E-4</v>
      </c>
      <c r="E557" s="2"/>
      <c r="F557" s="2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customFormat="1" x14ac:dyDescent="0.25">
      <c r="A558" s="33">
        <v>1.349</v>
      </c>
      <c r="B558" s="34">
        <v>7277.4761536228489</v>
      </c>
      <c r="C558" s="33">
        <v>7.4183976261132933E-4</v>
      </c>
      <c r="E558" s="2"/>
      <c r="F558" s="2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customFormat="1" x14ac:dyDescent="0.25">
      <c r="A559" s="33">
        <v>1.35</v>
      </c>
      <c r="B559" s="34">
        <v>7282.6035796218684</v>
      </c>
      <c r="C559" s="33">
        <v>7.4128984432908496E-4</v>
      </c>
      <c r="E559" s="2"/>
      <c r="F559" s="2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customFormat="1" x14ac:dyDescent="0.25">
      <c r="A560" s="33">
        <v>1.351</v>
      </c>
      <c r="B560" s="34">
        <v>7287.7310056208898</v>
      </c>
      <c r="C560" s="33">
        <v>7.407407407407085E-4</v>
      </c>
      <c r="E560" s="2"/>
      <c r="F560" s="2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customFormat="1" x14ac:dyDescent="0.25">
      <c r="A561" s="33">
        <v>1.3520000000000001</v>
      </c>
      <c r="B561" s="34">
        <v>7292.8584316199103</v>
      </c>
      <c r="C561" s="33">
        <v>7.4019245003720258E-4</v>
      </c>
      <c r="E561" s="2"/>
      <c r="F561" s="2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customFormat="1" x14ac:dyDescent="0.25">
      <c r="A562" s="33">
        <v>1.353</v>
      </c>
      <c r="B562" s="34">
        <v>7297.9858576189308</v>
      </c>
      <c r="C562" s="33">
        <v>7.3964497041401067E-4</v>
      </c>
      <c r="E562" s="2"/>
      <c r="F562" s="2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customFormat="1" x14ac:dyDescent="0.25">
      <c r="A563" s="33">
        <v>1.3540000000000001</v>
      </c>
      <c r="B563" s="34">
        <v>7303.1132836179513</v>
      </c>
      <c r="C563" s="33">
        <v>7.3909830007368171E-4</v>
      </c>
      <c r="E563" s="2"/>
      <c r="F563" s="2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customFormat="1" x14ac:dyDescent="0.25">
      <c r="A564" s="33">
        <v>1.355</v>
      </c>
      <c r="B564" s="34">
        <v>7308.2407096169709</v>
      </c>
      <c r="C564" s="33">
        <v>7.3855243722298347E-4</v>
      </c>
      <c r="E564" s="2"/>
      <c r="F564" s="2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customFormat="1" x14ac:dyDescent="0.25">
      <c r="A565" s="33">
        <v>1.3560000000000001</v>
      </c>
      <c r="B565" s="34">
        <v>7313.3681356159941</v>
      </c>
      <c r="C565" s="33">
        <v>7.3800738007401279E-4</v>
      </c>
      <c r="E565" s="2"/>
      <c r="F565" s="2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customFormat="1" x14ac:dyDescent="0.25">
      <c r="A566" s="33">
        <v>1.357</v>
      </c>
      <c r="B566" s="34">
        <v>7318.4955616150119</v>
      </c>
      <c r="C566" s="33">
        <v>7.3746312684330739E-4</v>
      </c>
      <c r="E566" s="2"/>
      <c r="F566" s="2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customFormat="1" x14ac:dyDescent="0.25">
      <c r="A567" s="33">
        <v>1.3580000000000001</v>
      </c>
      <c r="B567" s="34">
        <v>7323.6229876140333</v>
      </c>
      <c r="C567" s="33">
        <v>7.3691967575539863E-4</v>
      </c>
      <c r="E567" s="2"/>
      <c r="F567" s="2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customFormat="1" x14ac:dyDescent="0.25">
      <c r="A568" s="33">
        <v>1.359</v>
      </c>
      <c r="B568" s="34">
        <v>7328.7504136130528</v>
      </c>
      <c r="C568" s="33">
        <v>7.3637702503681624E-4</v>
      </c>
      <c r="E568" s="2"/>
      <c r="F568" s="2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customFormat="1" x14ac:dyDescent="0.25">
      <c r="A569" s="33">
        <v>1.36</v>
      </c>
      <c r="B569" s="34">
        <v>7333.8778396120761</v>
      </c>
      <c r="C569" s="33">
        <v>7.3583517292141742E-4</v>
      </c>
      <c r="E569" s="2"/>
      <c r="F569" s="2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customFormat="1" x14ac:dyDescent="0.25">
      <c r="A570" s="33">
        <v>1.361</v>
      </c>
      <c r="B570" s="34">
        <v>7339.0052656110947</v>
      </c>
      <c r="C570" s="33">
        <v>7.3529411764683417E-4</v>
      </c>
      <c r="E570" s="2"/>
      <c r="F570" s="2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customFormat="1" x14ac:dyDescent="0.25">
      <c r="A571" s="33">
        <v>1.3620000000000001</v>
      </c>
      <c r="B571" s="34">
        <v>7344.1326916101161</v>
      </c>
      <c r="C571" s="33">
        <v>7.3475385745780386E-4</v>
      </c>
      <c r="E571" s="2"/>
      <c r="F571" s="2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customFormat="1" x14ac:dyDescent="0.25">
      <c r="A572" s="33">
        <v>1.363</v>
      </c>
      <c r="B572" s="34">
        <v>7349.2601176091357</v>
      </c>
      <c r="C572" s="33">
        <v>7.3421439060172844E-4</v>
      </c>
      <c r="E572" s="2"/>
      <c r="F572" s="2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customFormat="1" x14ac:dyDescent="0.25">
      <c r="A573" s="33">
        <v>1.3640000000000001</v>
      </c>
      <c r="B573" s="34">
        <v>7354.387543608158</v>
      </c>
      <c r="C573" s="33">
        <v>7.3367571533422549E-4</v>
      </c>
      <c r="E573" s="2"/>
      <c r="F573" s="2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customFormat="1" x14ac:dyDescent="0.25">
      <c r="A574" s="33">
        <v>1.365</v>
      </c>
      <c r="B574" s="34">
        <v>7359.5149696071785</v>
      </c>
      <c r="C574" s="33">
        <v>7.3313782991180076E-4</v>
      </c>
      <c r="E574" s="2"/>
      <c r="F574" s="2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customFormat="1" x14ac:dyDescent="0.25">
      <c r="A575" s="33">
        <v>1.3660000000000001</v>
      </c>
      <c r="B575" s="34">
        <v>7364.6423956061981</v>
      </c>
      <c r="C575" s="33">
        <v>7.3260073260073E-4</v>
      </c>
      <c r="E575" s="2"/>
      <c r="F575" s="2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customFormat="1" x14ac:dyDescent="0.25">
      <c r="A576" s="33">
        <v>1.367</v>
      </c>
      <c r="B576" s="34">
        <v>7369.7698216052195</v>
      </c>
      <c r="C576" s="33">
        <v>7.3206442166906527E-4</v>
      </c>
      <c r="E576" s="2"/>
      <c r="F576" s="2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customFormat="1" x14ac:dyDescent="0.25">
      <c r="A577" s="33">
        <v>1.3680000000000001</v>
      </c>
      <c r="B577" s="34">
        <v>7374.8972476042391</v>
      </c>
      <c r="C577" s="33">
        <v>7.3152889539129795E-4</v>
      </c>
      <c r="E577" s="2"/>
      <c r="F577" s="2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customFormat="1" x14ac:dyDescent="0.25">
      <c r="A578" s="33">
        <v>1.369</v>
      </c>
      <c r="B578" s="34">
        <v>7380.0246736032595</v>
      </c>
      <c r="C578" s="33">
        <v>7.3099415204658236E-4</v>
      </c>
      <c r="E578" s="2"/>
      <c r="F578" s="2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customFormat="1" x14ac:dyDescent="0.25">
      <c r="A579" s="33">
        <v>1.37</v>
      </c>
      <c r="B579" s="34">
        <v>7385.1520996022819</v>
      </c>
      <c r="C579" s="33">
        <v>7.3046018991984596E-4</v>
      </c>
      <c r="E579" s="2"/>
      <c r="F579" s="2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customFormat="1" x14ac:dyDescent="0.25">
      <c r="A580" s="33">
        <v>1.371</v>
      </c>
      <c r="B580" s="34">
        <v>7390.2795256013005</v>
      </c>
      <c r="C580" s="33">
        <v>7.2992700729912485E-4</v>
      </c>
      <c r="E580" s="2"/>
      <c r="F580" s="2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customFormat="1" x14ac:dyDescent="0.25">
      <c r="A581" s="33">
        <v>1.3720000000000001</v>
      </c>
      <c r="B581" s="34">
        <v>7395.4069516003228</v>
      </c>
      <c r="C581" s="33">
        <v>7.2939460248000465E-4</v>
      </c>
      <c r="E581" s="2"/>
      <c r="F581" s="2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customFormat="1" x14ac:dyDescent="0.25">
      <c r="A582" s="33">
        <v>1.373</v>
      </c>
      <c r="B582" s="34">
        <v>7400.5343775993424</v>
      </c>
      <c r="C582" s="33">
        <v>7.2886297376095754E-4</v>
      </c>
      <c r="E582" s="2"/>
      <c r="F582" s="2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customFormat="1" x14ac:dyDescent="0.25">
      <c r="A583" s="33">
        <v>1.3740000000000001</v>
      </c>
      <c r="B583" s="34">
        <v>7405.6618035983656</v>
      </c>
      <c r="C583" s="33">
        <v>7.2833211944667298E-4</v>
      </c>
      <c r="E583" s="2"/>
      <c r="F583" s="2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customFormat="1" x14ac:dyDescent="0.25">
      <c r="A584" s="33">
        <v>1.375</v>
      </c>
      <c r="B584" s="34">
        <v>7410.7892295973852</v>
      </c>
      <c r="C584" s="33">
        <v>7.2780203784561515E-4</v>
      </c>
      <c r="E584" s="2"/>
      <c r="F584" s="2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customFormat="1" x14ac:dyDescent="0.25">
      <c r="A585" s="33">
        <v>1.3759999999999999</v>
      </c>
      <c r="B585" s="34">
        <v>7415.9166555964057</v>
      </c>
      <c r="C585" s="33">
        <v>7.2727272727268755E-4</v>
      </c>
      <c r="E585" s="2"/>
      <c r="F585" s="2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customFormat="1" x14ac:dyDescent="0.25">
      <c r="A586" s="33">
        <v>1.377</v>
      </c>
      <c r="B586" s="34">
        <v>7421.0440815954271</v>
      </c>
      <c r="C586" s="33">
        <v>7.2674418604656843E-4</v>
      </c>
      <c r="E586" s="2"/>
      <c r="F586" s="2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customFormat="1" x14ac:dyDescent="0.25">
      <c r="A587" s="33">
        <v>1.3779999999999999</v>
      </c>
      <c r="B587" s="34">
        <v>7426.1715075944476</v>
      </c>
      <c r="C587" s="33">
        <v>7.2621641249082103E-4</v>
      </c>
      <c r="E587" s="2"/>
      <c r="F587" s="2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customFormat="1" x14ac:dyDescent="0.25">
      <c r="A588" s="33">
        <v>1.379</v>
      </c>
      <c r="B588" s="34">
        <v>7431.298933593469</v>
      </c>
      <c r="C588" s="33">
        <v>7.2568940493478173E-4</v>
      </c>
      <c r="E588" s="2"/>
      <c r="F588" s="2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customFormat="1" x14ac:dyDescent="0.25">
      <c r="A589" s="33">
        <v>1.38</v>
      </c>
      <c r="B589" s="34">
        <v>7436.4263595924886</v>
      </c>
      <c r="C589" s="33">
        <v>7.2516316171133965E-4</v>
      </c>
      <c r="E589" s="2"/>
      <c r="F589" s="2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customFormat="1" x14ac:dyDescent="0.25">
      <c r="A590" s="33">
        <v>1.381</v>
      </c>
      <c r="B590" s="34">
        <v>7441.5537855915081</v>
      </c>
      <c r="C590" s="33">
        <v>7.2463768115915705E-4</v>
      </c>
      <c r="E590" s="2"/>
      <c r="F590" s="2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customFormat="1" x14ac:dyDescent="0.25">
      <c r="A591" s="33">
        <v>1.3819999999999999</v>
      </c>
      <c r="B591" s="34">
        <v>7446.6812115905295</v>
      </c>
      <c r="C591" s="33">
        <v>7.2411296162222527E-4</v>
      </c>
      <c r="E591" s="2"/>
      <c r="F591" s="2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customFormat="1" x14ac:dyDescent="0.25">
      <c r="A592" s="33">
        <v>1.383</v>
      </c>
      <c r="B592" s="34">
        <v>7451.8086375895509</v>
      </c>
      <c r="C592" s="33">
        <v>7.2358900144720018E-4</v>
      </c>
      <c r="E592" s="2"/>
      <c r="F592" s="2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customFormat="1" x14ac:dyDescent="0.25">
      <c r="A593" s="33">
        <v>1.3839999999999999</v>
      </c>
      <c r="B593" s="34">
        <v>7456.9360635885696</v>
      </c>
      <c r="C593" s="33">
        <v>7.2306579898739898E-4</v>
      </c>
      <c r="E593" s="2"/>
      <c r="F593" s="2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customFormat="1" x14ac:dyDescent="0.25">
      <c r="A594" s="33">
        <v>1.385</v>
      </c>
      <c r="B594" s="34">
        <v>7462.063489587591</v>
      </c>
      <c r="C594" s="33">
        <v>7.2254335260124591E-4</v>
      </c>
      <c r="E594" s="2"/>
      <c r="F594" s="2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customFormat="1" x14ac:dyDescent="0.25">
      <c r="A595" s="33">
        <v>1.3859999999999999</v>
      </c>
      <c r="B595" s="34">
        <v>7467.1909155866115</v>
      </c>
      <c r="C595" s="33">
        <v>7.2202166064960771E-4</v>
      </c>
      <c r="E595" s="2"/>
      <c r="F595" s="2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customFormat="1" x14ac:dyDescent="0.25">
      <c r="A596" s="33">
        <v>1.387</v>
      </c>
      <c r="B596" s="34">
        <v>7472.3183415856329</v>
      </c>
      <c r="C596" s="33">
        <v>7.2150072150090061E-4</v>
      </c>
      <c r="E596" s="2"/>
      <c r="F596" s="2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customFormat="1" x14ac:dyDescent="0.25">
      <c r="A597" s="33">
        <v>1.3879999999999999</v>
      </c>
      <c r="B597" s="34">
        <v>7477.4457675846534</v>
      </c>
      <c r="C597" s="33">
        <v>7.2098053352553926E-4</v>
      </c>
      <c r="E597" s="2"/>
      <c r="F597" s="2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customFormat="1" x14ac:dyDescent="0.25">
      <c r="A598" s="33">
        <v>1.389</v>
      </c>
      <c r="B598" s="34">
        <v>7482.5731935836748</v>
      </c>
      <c r="C598" s="33">
        <v>7.2046109510104372E-4</v>
      </c>
      <c r="E598" s="2"/>
      <c r="F598" s="2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customFormat="1" x14ac:dyDescent="0.25">
      <c r="A599" s="33">
        <v>1.39</v>
      </c>
      <c r="B599" s="34">
        <v>7487.7006195826943</v>
      </c>
      <c r="C599" s="33">
        <v>7.1994240460737657E-4</v>
      </c>
      <c r="E599" s="2"/>
      <c r="F599" s="2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customFormat="1" x14ac:dyDescent="0.25">
      <c r="A600" s="33">
        <v>1.391</v>
      </c>
      <c r="B600" s="34">
        <v>7492.8280455817167</v>
      </c>
      <c r="C600" s="33">
        <v>7.1942446043182784E-4</v>
      </c>
      <c r="E600" s="2"/>
      <c r="F600" s="2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customFormat="1" x14ac:dyDescent="0.25">
      <c r="A601" s="33">
        <v>1.3919999999999999</v>
      </c>
      <c r="B601" s="34">
        <v>7497.9554715807362</v>
      </c>
      <c r="C601" s="33">
        <v>7.1890726096324187E-4</v>
      </c>
      <c r="E601" s="2"/>
      <c r="F601" s="2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customFormat="1" x14ac:dyDescent="0.25">
      <c r="A602" s="33">
        <v>1.393</v>
      </c>
      <c r="B602" s="34">
        <v>7503.0828975797585</v>
      </c>
      <c r="C602" s="33">
        <v>7.1839080459779048E-4</v>
      </c>
      <c r="E602" s="2"/>
      <c r="F602" s="2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customFormat="1" x14ac:dyDescent="0.25">
      <c r="A603" s="33">
        <v>1.3939999999999999</v>
      </c>
      <c r="B603" s="34">
        <v>7508.210323578779</v>
      </c>
      <c r="C603" s="33">
        <v>7.1787508973453207E-4</v>
      </c>
      <c r="E603" s="2"/>
      <c r="F603" s="2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customFormat="1" x14ac:dyDescent="0.25">
      <c r="A604" s="33">
        <v>1.395</v>
      </c>
      <c r="B604" s="34">
        <v>7513.3377495778013</v>
      </c>
      <c r="C604" s="33">
        <v>7.1736011477763206E-4</v>
      </c>
      <c r="E604" s="2"/>
      <c r="F604" s="2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customFormat="1" x14ac:dyDescent="0.25">
      <c r="A605" s="33">
        <v>1.3959999999999999</v>
      </c>
      <c r="B605" s="34">
        <v>7518.4651755768227</v>
      </c>
      <c r="C605" s="33">
        <v>7.1684587813614087E-4</v>
      </c>
      <c r="E605" s="2"/>
      <c r="F605" s="2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customFormat="1" x14ac:dyDescent="0.25">
      <c r="A606" s="33">
        <v>1.397</v>
      </c>
      <c r="B606" s="34">
        <v>7523.5926015758423</v>
      </c>
      <c r="C606" s="33">
        <v>7.1633237822354978E-4</v>
      </c>
      <c r="E606" s="2"/>
      <c r="F606" s="2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customFormat="1" x14ac:dyDescent="0.25">
      <c r="A607" s="33">
        <v>1.3979999999999999</v>
      </c>
      <c r="B607" s="34">
        <v>7528.7200275748628</v>
      </c>
      <c r="C607" s="33">
        <v>7.158196134573469E-4</v>
      </c>
      <c r="E607" s="2"/>
      <c r="F607" s="2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customFormat="1" x14ac:dyDescent="0.25">
      <c r="A608" s="33">
        <v>1.399</v>
      </c>
      <c r="B608" s="34">
        <v>7533.8474535738842</v>
      </c>
      <c r="C608" s="33">
        <v>7.1530758226057145E-4</v>
      </c>
      <c r="E608" s="2"/>
      <c r="F608" s="2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customFormat="1" x14ac:dyDescent="0.25">
      <c r="A609" s="31">
        <v>1.4</v>
      </c>
      <c r="B609" s="32">
        <v>7584.4077681718218</v>
      </c>
      <c r="C609" s="31">
        <v>7.0484342342176376E-3</v>
      </c>
      <c r="E609" s="2"/>
      <c r="F609" s="2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customFormat="1" x14ac:dyDescent="0.25">
      <c r="A610" s="33">
        <v>1.401</v>
      </c>
      <c r="B610" s="34">
        <v>7589.5676462341298</v>
      </c>
      <c r="C610" s="33">
        <v>7.1428571428588938E-4</v>
      </c>
      <c r="E610" s="2"/>
      <c r="F610" s="2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customFormat="1" x14ac:dyDescent="0.25">
      <c r="A611" s="33">
        <v>1.4019999999999999</v>
      </c>
      <c r="B611" s="34">
        <v>7594.7275242964351</v>
      </c>
      <c r="C611" s="33">
        <v>7.1377587437537748E-4</v>
      </c>
      <c r="E611" s="2"/>
      <c r="F611" s="2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customFormat="1" x14ac:dyDescent="0.25">
      <c r="A612" s="33">
        <v>1.403</v>
      </c>
      <c r="B612" s="34">
        <v>7599.8874023587414</v>
      </c>
      <c r="C612" s="33">
        <v>7.1326676176908244E-4</v>
      </c>
      <c r="E612" s="2"/>
      <c r="F612" s="2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customFormat="1" x14ac:dyDescent="0.25">
      <c r="A613" s="33">
        <v>1.4039999999999999</v>
      </c>
      <c r="B613" s="34">
        <v>7605.0472804210449</v>
      </c>
      <c r="C613" s="33">
        <v>7.127583749106936E-4</v>
      </c>
      <c r="E613" s="2"/>
      <c r="F613" s="2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customFormat="1" x14ac:dyDescent="0.25">
      <c r="A614" s="33">
        <v>1.405</v>
      </c>
      <c r="B614" s="34">
        <v>7610.2071584833502</v>
      </c>
      <c r="C614" s="33">
        <v>7.1225071225056169E-4</v>
      </c>
      <c r="E614" s="2"/>
      <c r="F614" s="2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customFormat="1" x14ac:dyDescent="0.25">
      <c r="A615" s="33">
        <v>1.4059999999999999</v>
      </c>
      <c r="B615" s="34">
        <v>7615.3670365456583</v>
      </c>
      <c r="C615" s="33">
        <v>7.1174377224214602E-4</v>
      </c>
      <c r="E615" s="2"/>
      <c r="F615" s="2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customFormat="1" x14ac:dyDescent="0.25">
      <c r="A616" s="33">
        <v>1.407</v>
      </c>
      <c r="B616" s="34">
        <v>7620.5269146079645</v>
      </c>
      <c r="C616" s="33">
        <v>7.1123755334290273E-4</v>
      </c>
      <c r="E616" s="2"/>
      <c r="F616" s="2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customFormat="1" x14ac:dyDescent="0.25">
      <c r="A617" s="33">
        <v>1.4079999999999999</v>
      </c>
      <c r="B617" s="34">
        <v>7625.6867926702698</v>
      </c>
      <c r="C617" s="33">
        <v>7.1073205401561701E-4</v>
      </c>
      <c r="E617" s="2"/>
      <c r="F617" s="2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customFormat="1" x14ac:dyDescent="0.25">
      <c r="A618" s="33">
        <v>1.409</v>
      </c>
      <c r="B618" s="34">
        <v>7630.8466707325751</v>
      </c>
      <c r="C618" s="33">
        <v>7.1022727272729291E-4</v>
      </c>
      <c r="E618" s="2"/>
      <c r="F618" s="2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customFormat="1" x14ac:dyDescent="0.25">
      <c r="A619" s="33">
        <v>1.41</v>
      </c>
      <c r="B619" s="34">
        <v>7636.0065487948796</v>
      </c>
      <c r="C619" s="33">
        <v>7.0972320794870924E-4</v>
      </c>
      <c r="E619" s="2"/>
      <c r="F619" s="2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customFormat="1" x14ac:dyDescent="0.25">
      <c r="A620" s="33">
        <v>1.411</v>
      </c>
      <c r="B620" s="34">
        <v>7641.1664268571858</v>
      </c>
      <c r="C620" s="33">
        <v>7.0921985815619593E-4</v>
      </c>
      <c r="E620" s="2"/>
      <c r="F620" s="2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customFormat="1" x14ac:dyDescent="0.25">
      <c r="A621" s="33">
        <v>1.4119999999999999</v>
      </c>
      <c r="B621" s="34">
        <v>7646.3263049194911</v>
      </c>
      <c r="C621" s="33">
        <v>7.0871722182830332E-4</v>
      </c>
      <c r="E621" s="2"/>
      <c r="F621" s="2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customFormat="1" x14ac:dyDescent="0.25">
      <c r="A622" s="33">
        <v>1.413</v>
      </c>
      <c r="B622" s="34">
        <v>7651.4861829817964</v>
      </c>
      <c r="C622" s="33">
        <v>7.0821529745046519E-4</v>
      </c>
      <c r="E622" s="2"/>
      <c r="F622" s="2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customFormat="1" x14ac:dyDescent="0.25">
      <c r="A623" s="33">
        <v>1.4139999999999999</v>
      </c>
      <c r="B623" s="34">
        <v>7656.6460610441018</v>
      </c>
      <c r="C623" s="33">
        <v>7.0771408351011367E-4</v>
      </c>
      <c r="E623" s="2"/>
      <c r="F623" s="2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customFormat="1" x14ac:dyDescent="0.25">
      <c r="A624" s="33">
        <v>1.415</v>
      </c>
      <c r="B624" s="34">
        <v>7661.8059391064089</v>
      </c>
      <c r="C624" s="33">
        <v>7.0721357850089817E-4</v>
      </c>
      <c r="E624" s="2"/>
      <c r="F624" s="2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customFormat="1" x14ac:dyDescent="0.25">
      <c r="A625" s="33">
        <v>1.4159999999999999</v>
      </c>
      <c r="B625" s="34">
        <v>7666.9658171687142</v>
      </c>
      <c r="C625" s="33">
        <v>7.0671378091868853E-4</v>
      </c>
      <c r="E625" s="2"/>
      <c r="F625" s="2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customFormat="1" x14ac:dyDescent="0.25">
      <c r="A626" s="33">
        <v>1.417</v>
      </c>
      <c r="B626" s="34">
        <v>7672.1256952310205</v>
      </c>
      <c r="C626" s="33">
        <v>7.0621468926557185E-4</v>
      </c>
      <c r="E626" s="2"/>
      <c r="F626" s="2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customFormat="1" x14ac:dyDescent="0.25">
      <c r="A627" s="33">
        <v>1.4179999999999999</v>
      </c>
      <c r="B627" s="34">
        <v>7677.2855732933258</v>
      </c>
      <c r="C627" s="33">
        <v>7.057163020465218E-4</v>
      </c>
      <c r="E627" s="2"/>
      <c r="F627" s="2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customFormat="1" x14ac:dyDescent="0.25">
      <c r="A628" s="33">
        <v>1.419</v>
      </c>
      <c r="B628" s="34">
        <v>7682.4454513556302</v>
      </c>
      <c r="C628" s="33">
        <v>7.0521861777139705E-4</v>
      </c>
      <c r="E628" s="2"/>
      <c r="F628" s="2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customFormat="1" x14ac:dyDescent="0.25">
      <c r="A629" s="33">
        <v>1.42</v>
      </c>
      <c r="B629" s="34">
        <v>7687.6053294179346</v>
      </c>
      <c r="C629" s="33">
        <v>7.0472163495405304E-4</v>
      </c>
      <c r="E629" s="2"/>
      <c r="F629" s="2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customFormat="1" x14ac:dyDescent="0.25">
      <c r="A630" s="33">
        <v>1.421</v>
      </c>
      <c r="B630" s="34">
        <v>7692.7652074802436</v>
      </c>
      <c r="C630" s="33">
        <v>7.0422535211300819E-4</v>
      </c>
      <c r="E630" s="2"/>
      <c r="F630" s="2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customFormat="1" x14ac:dyDescent="0.25">
      <c r="A631" s="33">
        <v>1.4219999999999999</v>
      </c>
      <c r="B631" s="34">
        <v>7697.9250855425498</v>
      </c>
      <c r="C631" s="33">
        <v>7.0372976776922336E-4</v>
      </c>
      <c r="E631" s="2"/>
      <c r="F631" s="2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customFormat="1" x14ac:dyDescent="0.25">
      <c r="A632" s="33">
        <v>1.423</v>
      </c>
      <c r="B632" s="34">
        <v>7703.0849636048551</v>
      </c>
      <c r="C632" s="33">
        <v>7.0323488045009874E-4</v>
      </c>
      <c r="E632" s="2"/>
      <c r="F632" s="2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customFormat="1" x14ac:dyDescent="0.25">
      <c r="A633" s="33">
        <v>1.4239999999999999</v>
      </c>
      <c r="B633" s="34">
        <v>7708.2448416671596</v>
      </c>
      <c r="C633" s="33">
        <v>7.0274068868569906E-4</v>
      </c>
      <c r="E633" s="2"/>
      <c r="F633" s="2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customFormat="1" x14ac:dyDescent="0.25">
      <c r="A634" s="33">
        <v>1.425</v>
      </c>
      <c r="B634" s="34">
        <v>7713.4047197294658</v>
      </c>
      <c r="C634" s="33">
        <v>7.0224719101141808E-4</v>
      </c>
      <c r="E634" s="2"/>
      <c r="F634" s="2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customFormat="1" x14ac:dyDescent="0.25">
      <c r="A635" s="33">
        <v>1.4259999999999999</v>
      </c>
      <c r="B635" s="34">
        <v>7718.5645977917702</v>
      </c>
      <c r="C635" s="33">
        <v>7.0175438596487005E-4</v>
      </c>
      <c r="E635" s="2"/>
      <c r="F635" s="2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customFormat="1" x14ac:dyDescent="0.25">
      <c r="A636" s="33">
        <v>1.427</v>
      </c>
      <c r="B636" s="34">
        <v>7723.7244758540783</v>
      </c>
      <c r="C636" s="33">
        <v>7.0126227208988645E-4</v>
      </c>
      <c r="E636" s="2"/>
      <c r="F636" s="2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customFormat="1" x14ac:dyDescent="0.25">
      <c r="A637" s="33">
        <v>1.4279999999999999</v>
      </c>
      <c r="B637" s="34">
        <v>7728.8843539163818</v>
      </c>
      <c r="C637" s="33">
        <v>7.007708479325192E-4</v>
      </c>
      <c r="E637" s="2"/>
      <c r="F637" s="2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customFormat="1" x14ac:dyDescent="0.25">
      <c r="A638" s="33">
        <v>1.429</v>
      </c>
      <c r="B638" s="34">
        <v>7734.044231978688</v>
      </c>
      <c r="C638" s="33">
        <v>7.0028011204481544E-4</v>
      </c>
      <c r="E638" s="2"/>
      <c r="F638" s="2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customFormat="1" x14ac:dyDescent="0.25">
      <c r="A639" s="33">
        <v>1.43</v>
      </c>
      <c r="B639" s="34">
        <v>7739.2041100409951</v>
      </c>
      <c r="C639" s="33">
        <v>6.9979006298126478E-4</v>
      </c>
      <c r="E639" s="2"/>
      <c r="F639" s="2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customFormat="1" x14ac:dyDescent="0.25">
      <c r="A640" s="33">
        <v>1.431</v>
      </c>
      <c r="B640" s="34">
        <v>7744.3639881032996</v>
      </c>
      <c r="C640" s="33">
        <v>6.993006993005757E-4</v>
      </c>
      <c r="E640" s="2"/>
      <c r="F640" s="2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customFormat="1" x14ac:dyDescent="0.25">
      <c r="A641" s="33">
        <v>1.4319999999999999</v>
      </c>
      <c r="B641" s="34">
        <v>7749.5238661656031</v>
      </c>
      <c r="C641" s="33">
        <v>6.9881201956656369E-4</v>
      </c>
      <c r="E641" s="2"/>
      <c r="F641" s="2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customFormat="1" x14ac:dyDescent="0.25">
      <c r="A642" s="33">
        <v>1.4330000000000001</v>
      </c>
      <c r="B642" s="34">
        <v>7754.6837442279084</v>
      </c>
      <c r="C642" s="33">
        <v>6.9832402234637492E-4</v>
      </c>
      <c r="E642" s="2"/>
      <c r="F642" s="2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customFormat="1" x14ac:dyDescent="0.25">
      <c r="A643" s="33">
        <v>1.4339999999999999</v>
      </c>
      <c r="B643" s="34">
        <v>7759.8436222902164</v>
      </c>
      <c r="C643" s="33">
        <v>6.9783670621070826E-4</v>
      </c>
      <c r="E643" s="2"/>
      <c r="F643" s="2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customFormat="1" x14ac:dyDescent="0.25">
      <c r="A644" s="33">
        <v>1.4350000000000001</v>
      </c>
      <c r="B644" s="34">
        <v>7765.0035003525227</v>
      </c>
      <c r="C644" s="33">
        <v>6.9735006973514757E-4</v>
      </c>
      <c r="E644" s="2"/>
      <c r="F644" s="2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customFormat="1" x14ac:dyDescent="0.25">
      <c r="A645" s="33">
        <v>1.4359999999999999</v>
      </c>
      <c r="B645" s="34">
        <v>7770.1633784148271</v>
      </c>
      <c r="C645" s="33">
        <v>6.968641114981633E-4</v>
      </c>
      <c r="E645" s="2"/>
      <c r="F645" s="2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customFormat="1" x14ac:dyDescent="0.25">
      <c r="A646" s="33">
        <v>1.4370000000000001</v>
      </c>
      <c r="B646" s="34">
        <v>7775.3232564771324</v>
      </c>
      <c r="C646" s="33">
        <v>6.9637883008355494E-4</v>
      </c>
      <c r="E646" s="2"/>
      <c r="F646" s="2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customFormat="1" x14ac:dyDescent="0.25">
      <c r="A647" s="33">
        <v>1.4379999999999999</v>
      </c>
      <c r="B647" s="34">
        <v>7780.4831345394396</v>
      </c>
      <c r="C647" s="33">
        <v>6.9589422407800861E-4</v>
      </c>
      <c r="E647" s="2"/>
      <c r="F647" s="2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customFormat="1" x14ac:dyDescent="0.25">
      <c r="A648" s="33">
        <v>1.4390000000000001</v>
      </c>
      <c r="B648" s="34">
        <v>7785.6430126017431</v>
      </c>
      <c r="C648" s="33">
        <v>6.9541029207220717E-4</v>
      </c>
      <c r="E648" s="2"/>
      <c r="F648" s="2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customFormat="1" x14ac:dyDescent="0.25">
      <c r="A649" s="33">
        <v>1.44</v>
      </c>
      <c r="B649" s="34">
        <v>7790.8028906640493</v>
      </c>
      <c r="C649" s="33">
        <v>6.9492703266149647E-4</v>
      </c>
      <c r="E649" s="2"/>
      <c r="F649" s="2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customFormat="1" x14ac:dyDescent="0.25">
      <c r="A650" s="33">
        <v>1.4410000000000001</v>
      </c>
      <c r="B650" s="34">
        <v>7795.9627687263546</v>
      </c>
      <c r="C650" s="33">
        <v>6.94444444444553E-4</v>
      </c>
      <c r="E650" s="2"/>
      <c r="F650" s="2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customFormat="1" x14ac:dyDescent="0.25">
      <c r="A651" s="33">
        <v>1.4419999999999999</v>
      </c>
      <c r="B651" s="34">
        <v>7801.1226467886609</v>
      </c>
      <c r="C651" s="33">
        <v>6.9396252602360597E-4</v>
      </c>
      <c r="E651" s="2"/>
      <c r="F651" s="2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customFormat="1" x14ac:dyDescent="0.25">
      <c r="A652" s="33">
        <v>1.4430000000000001</v>
      </c>
      <c r="B652" s="34">
        <v>7806.2825248509662</v>
      </c>
      <c r="C652" s="33">
        <v>6.9348127600554754E-4</v>
      </c>
      <c r="E652" s="2"/>
      <c r="F652" s="2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customFormat="1" x14ac:dyDescent="0.25">
      <c r="A653" s="33">
        <v>1.444</v>
      </c>
      <c r="B653" s="34">
        <v>7811.4424029132697</v>
      </c>
      <c r="C653" s="33">
        <v>6.9300069300060052E-4</v>
      </c>
      <c r="E653" s="2"/>
      <c r="F653" s="2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customFormat="1" x14ac:dyDescent="0.25">
      <c r="A654" s="33">
        <v>1.4450000000000001</v>
      </c>
      <c r="B654" s="34">
        <v>7816.6022809755787</v>
      </c>
      <c r="C654" s="33">
        <v>6.9252077562342862E-4</v>
      </c>
      <c r="E654" s="2"/>
      <c r="F654" s="2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customFormat="1" x14ac:dyDescent="0.25">
      <c r="A655" s="33">
        <v>1.446</v>
      </c>
      <c r="B655" s="34">
        <v>7821.762159037884</v>
      </c>
      <c r="C655" s="33">
        <v>6.9204152249136008E-4</v>
      </c>
      <c r="E655" s="2"/>
      <c r="F655" s="2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customFormat="1" x14ac:dyDescent="0.25">
      <c r="A656" s="33">
        <v>1.4470000000000001</v>
      </c>
      <c r="B656" s="34">
        <v>7826.9220371001902</v>
      </c>
      <c r="C656" s="33">
        <v>6.9156293222683018E-4</v>
      </c>
      <c r="E656" s="2"/>
      <c r="F656" s="2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customFormat="1" x14ac:dyDescent="0.25">
      <c r="A657" s="33">
        <v>1.448</v>
      </c>
      <c r="B657" s="34">
        <v>7832.0819151624955</v>
      </c>
      <c r="C657" s="33">
        <v>6.9108500345538282E-4</v>
      </c>
      <c r="E657" s="2"/>
      <c r="F657" s="2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customFormat="1" x14ac:dyDescent="0.25">
      <c r="A658" s="33">
        <v>1.4490000000000001</v>
      </c>
      <c r="B658" s="34">
        <v>7837.2417932248018</v>
      </c>
      <c r="C658" s="33">
        <v>6.9060773480655868E-4</v>
      </c>
      <c r="E658" s="2"/>
      <c r="F658" s="2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customFormat="1" x14ac:dyDescent="0.25">
      <c r="A659" s="33">
        <v>1.45</v>
      </c>
      <c r="B659" s="34">
        <v>7842.4016712871098</v>
      </c>
      <c r="C659" s="33">
        <v>6.9013112491389528E-4</v>
      </c>
      <c r="E659" s="2"/>
      <c r="F659" s="2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customFormat="1" x14ac:dyDescent="0.25">
      <c r="A660" s="33">
        <v>1.4510000000000001</v>
      </c>
      <c r="B660" s="34">
        <v>7847.5615493494151</v>
      </c>
      <c r="C660" s="33">
        <v>6.8965517241381669E-4</v>
      </c>
      <c r="E660" s="2"/>
      <c r="F660" s="2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customFormat="1" x14ac:dyDescent="0.25">
      <c r="A661" s="33">
        <v>1.452</v>
      </c>
      <c r="B661" s="34">
        <v>7852.7214274117196</v>
      </c>
      <c r="C661" s="33">
        <v>6.8917987594740993E-4</v>
      </c>
      <c r="E661" s="2"/>
      <c r="F661" s="2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customFormat="1" x14ac:dyDescent="0.25">
      <c r="A662" s="33">
        <v>1.4530000000000001</v>
      </c>
      <c r="B662" s="34">
        <v>7857.8813054740258</v>
      </c>
      <c r="C662" s="33">
        <v>6.8870523415998086E-4</v>
      </c>
      <c r="E662" s="2"/>
      <c r="F662" s="2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customFormat="1" x14ac:dyDescent="0.25">
      <c r="A663" s="33">
        <v>1.454</v>
      </c>
      <c r="B663" s="34">
        <v>7863.0411835363338</v>
      </c>
      <c r="C663" s="33">
        <v>6.8823124569861172E-4</v>
      </c>
      <c r="E663" s="2"/>
      <c r="F663" s="2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customFormat="1" x14ac:dyDescent="0.25">
      <c r="A664" s="33">
        <v>1.4550000000000001</v>
      </c>
      <c r="B664" s="34">
        <v>7868.2010615986392</v>
      </c>
      <c r="C664" s="33">
        <v>6.8775790921593583E-4</v>
      </c>
      <c r="E664" s="2"/>
      <c r="F664" s="2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customFormat="1" x14ac:dyDescent="0.25">
      <c r="A665" s="33">
        <v>1.456</v>
      </c>
      <c r="B665" s="34">
        <v>7873.3609396609445</v>
      </c>
      <c r="C665" s="33">
        <v>6.8728522336769515E-4</v>
      </c>
      <c r="E665" s="2"/>
      <c r="F665" s="2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customFormat="1" x14ac:dyDescent="0.25">
      <c r="A666" s="33">
        <v>1.4570000000000001</v>
      </c>
      <c r="B666" s="34">
        <v>7878.5208177232489</v>
      </c>
      <c r="C666" s="33">
        <v>6.8681318681296233E-4</v>
      </c>
      <c r="E666" s="2"/>
      <c r="F666" s="2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customFormat="1" x14ac:dyDescent="0.25">
      <c r="A667" s="33">
        <v>1.458</v>
      </c>
      <c r="B667" s="34">
        <v>7883.6806957855542</v>
      </c>
      <c r="C667" s="33">
        <v>6.8634179821547292E-4</v>
      </c>
      <c r="E667" s="2"/>
      <c r="F667" s="2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customFormat="1" x14ac:dyDescent="0.25">
      <c r="A668" s="33">
        <v>1.4590000000000001</v>
      </c>
      <c r="B668" s="34">
        <v>7888.8405738478605</v>
      </c>
      <c r="C668" s="33">
        <v>6.8587105624140499E-4</v>
      </c>
      <c r="E668" s="2"/>
      <c r="F668" s="2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customFormat="1" x14ac:dyDescent="0.25">
      <c r="A669" s="33">
        <v>1.46</v>
      </c>
      <c r="B669" s="34">
        <v>7894.0004519101667</v>
      </c>
      <c r="C669" s="33">
        <v>6.8540095956137748E-4</v>
      </c>
      <c r="E669" s="2"/>
      <c r="F669" s="2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customFormat="1" x14ac:dyDescent="0.25">
      <c r="A670" s="33">
        <v>1.4610000000000001</v>
      </c>
      <c r="B670" s="34">
        <v>7899.160329972472</v>
      </c>
      <c r="C670" s="33">
        <v>6.8493150684934001E-4</v>
      </c>
      <c r="E670" s="2"/>
      <c r="F670" s="2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customFormat="1" x14ac:dyDescent="0.25">
      <c r="A671" s="33">
        <v>1.462</v>
      </c>
      <c r="B671" s="34">
        <v>7904.3202080347764</v>
      </c>
      <c r="C671" s="33">
        <v>6.8446269678279492E-4</v>
      </c>
      <c r="E671" s="2"/>
      <c r="F671" s="2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customFormat="1" x14ac:dyDescent="0.25">
      <c r="A672" s="33">
        <v>1.4630000000000001</v>
      </c>
      <c r="B672" s="34">
        <v>7909.4800860970836</v>
      </c>
      <c r="C672" s="33">
        <v>6.8399452804390748E-4</v>
      </c>
      <c r="E672" s="2"/>
      <c r="F672" s="2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customFormat="1" x14ac:dyDescent="0.25">
      <c r="A673" s="33">
        <v>1.464</v>
      </c>
      <c r="B673" s="34">
        <v>7914.6399641593898</v>
      </c>
      <c r="C673" s="33">
        <v>6.8352699931639727E-4</v>
      </c>
      <c r="E673" s="2"/>
      <c r="F673" s="2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customFormat="1" x14ac:dyDescent="0.25">
      <c r="A674" s="33">
        <v>1.4650000000000001</v>
      </c>
      <c r="B674" s="34">
        <v>7919.7998422216979</v>
      </c>
      <c r="C674" s="33">
        <v>6.8306010928975702E-4</v>
      </c>
      <c r="E674" s="2"/>
      <c r="F674" s="2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customFormat="1" x14ac:dyDescent="0.25">
      <c r="A675" s="33">
        <v>1.466</v>
      </c>
      <c r="B675" s="34">
        <v>7924.9597202840032</v>
      </c>
      <c r="C675" s="33">
        <v>6.8259385665525585E-4</v>
      </c>
      <c r="E675" s="2"/>
      <c r="F675" s="2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customFormat="1" x14ac:dyDescent="0.25">
      <c r="A676" s="33">
        <v>1.4670000000000001</v>
      </c>
      <c r="B676" s="34">
        <v>7930.1195983463103</v>
      </c>
      <c r="C676" s="33">
        <v>6.8212824010926987E-4</v>
      </c>
      <c r="E676" s="2"/>
      <c r="F676" s="2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customFormat="1" x14ac:dyDescent="0.25">
      <c r="A677" s="33">
        <v>1.468</v>
      </c>
      <c r="B677" s="34">
        <v>7935.2794764086157</v>
      </c>
      <c r="C677" s="33">
        <v>6.8166325835017361E-4</v>
      </c>
      <c r="E677" s="2"/>
      <c r="F677" s="2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customFormat="1" x14ac:dyDescent="0.25">
      <c r="A678" s="33">
        <v>1.4690000000000001</v>
      </c>
      <c r="B678" s="34">
        <v>7940.4393544709219</v>
      </c>
      <c r="C678" s="33">
        <v>6.8119891008167066E-4</v>
      </c>
      <c r="E678" s="2"/>
      <c r="F678" s="2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customFormat="1" x14ac:dyDescent="0.25">
      <c r="A679" s="33">
        <v>1.47</v>
      </c>
      <c r="B679" s="34">
        <v>7945.5992325332281</v>
      </c>
      <c r="C679" s="33">
        <v>6.8073519400968507E-4</v>
      </c>
      <c r="E679" s="2"/>
      <c r="F679" s="2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customFormat="1" x14ac:dyDescent="0.25">
      <c r="A680" s="33">
        <v>1.4710000000000001</v>
      </c>
      <c r="B680" s="34">
        <v>7950.7591105955344</v>
      </c>
      <c r="C680" s="33">
        <v>6.8027210884347156E-4</v>
      </c>
      <c r="E680" s="2"/>
      <c r="F680" s="2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customFormat="1" x14ac:dyDescent="0.25">
      <c r="A681" s="33">
        <v>1.472</v>
      </c>
      <c r="B681" s="34">
        <v>7955.9189886578379</v>
      </c>
      <c r="C681" s="33">
        <v>6.7980965329694776E-4</v>
      </c>
      <c r="E681" s="2"/>
      <c r="F681" s="2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customFormat="1" x14ac:dyDescent="0.25">
      <c r="A682" s="33">
        <v>1.4730000000000001</v>
      </c>
      <c r="B682" s="34">
        <v>7961.0788667201459</v>
      </c>
      <c r="C682" s="33">
        <v>6.7934782608713995E-4</v>
      </c>
      <c r="E682" s="2"/>
      <c r="F682" s="2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customFormat="1" x14ac:dyDescent="0.25">
      <c r="A683" s="33">
        <v>1.474</v>
      </c>
      <c r="B683" s="34">
        <v>7966.2387447824522</v>
      </c>
      <c r="C683" s="33">
        <v>6.788866259335169E-4</v>
      </c>
      <c r="E683" s="2"/>
      <c r="F683" s="2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customFormat="1" x14ac:dyDescent="0.25">
      <c r="A684" s="33">
        <v>1.4750000000000001</v>
      </c>
      <c r="B684" s="34">
        <v>7971.3986228447575</v>
      </c>
      <c r="C684" s="33">
        <v>6.7842605156043234E-4</v>
      </c>
      <c r="E684" s="2"/>
      <c r="F684" s="2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customFormat="1" x14ac:dyDescent="0.25">
      <c r="A685" s="33">
        <v>1.476</v>
      </c>
      <c r="B685" s="34">
        <v>7976.5585009070637</v>
      </c>
      <c r="C685" s="33">
        <v>6.7796610169490457E-4</v>
      </c>
      <c r="E685" s="2"/>
      <c r="F685" s="2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customFormat="1" x14ac:dyDescent="0.25">
      <c r="A686" s="33">
        <v>1.4770000000000001</v>
      </c>
      <c r="B686" s="34">
        <v>7981.718378969369</v>
      </c>
      <c r="C686" s="33">
        <v>6.7750677506772661E-4</v>
      </c>
      <c r="E686" s="2"/>
      <c r="F686" s="2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customFormat="1" x14ac:dyDescent="0.25">
      <c r="A687" s="33">
        <v>1.478</v>
      </c>
      <c r="B687" s="34">
        <v>7986.8782570316753</v>
      </c>
      <c r="C687" s="33">
        <v>6.7704807041302217E-4</v>
      </c>
      <c r="E687" s="2"/>
      <c r="F687" s="2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customFormat="1" x14ac:dyDescent="0.25">
      <c r="A688" s="33">
        <v>1.4790000000000001</v>
      </c>
      <c r="B688" s="34">
        <v>7992.0381350939806</v>
      </c>
      <c r="C688" s="33">
        <v>6.765899864680236E-4</v>
      </c>
      <c r="E688" s="2"/>
      <c r="F688" s="2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customFormat="1" x14ac:dyDescent="0.25">
      <c r="A689" s="33">
        <v>1.48</v>
      </c>
      <c r="B689" s="34">
        <v>7997.1980131562868</v>
      </c>
      <c r="C689" s="33">
        <v>6.7613252197462614E-4</v>
      </c>
      <c r="E689" s="2"/>
      <c r="F689" s="2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customFormat="1" x14ac:dyDescent="0.25">
      <c r="A690" s="33">
        <v>1.4810000000000001</v>
      </c>
      <c r="B690" s="34">
        <v>8002.3578912185931</v>
      </c>
      <c r="C690" s="33">
        <v>6.7567567567561326E-4</v>
      </c>
      <c r="E690" s="2"/>
      <c r="F690" s="2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customFormat="1" x14ac:dyDescent="0.25">
      <c r="A691" s="33">
        <v>1.482</v>
      </c>
      <c r="B691" s="34">
        <v>8007.5177692808966</v>
      </c>
      <c r="C691" s="33">
        <v>6.7521944631976361E-4</v>
      </c>
      <c r="E691" s="2"/>
      <c r="F691" s="2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customFormat="1" x14ac:dyDescent="0.25">
      <c r="A692" s="33">
        <v>1.4830000000000001</v>
      </c>
      <c r="B692" s="34">
        <v>8012.6776473432046</v>
      </c>
      <c r="C692" s="33">
        <v>6.747638326587424E-4</v>
      </c>
      <c r="E692" s="2"/>
      <c r="F692" s="2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customFormat="1" x14ac:dyDescent="0.25">
      <c r="A693" s="33">
        <v>1.484</v>
      </c>
      <c r="B693" s="34">
        <v>8017.83752540551</v>
      </c>
      <c r="C693" s="33">
        <v>6.7430883344554715E-4</v>
      </c>
      <c r="E693" s="2"/>
      <c r="F693" s="2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customFormat="1" x14ac:dyDescent="0.25">
      <c r="A694" s="33">
        <v>1.4850000000000001</v>
      </c>
      <c r="B694" s="34">
        <v>8022.9974034678162</v>
      </c>
      <c r="C694" s="33">
        <v>6.7385444743961465E-4</v>
      </c>
      <c r="E694" s="2"/>
      <c r="F694" s="2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customFormat="1" x14ac:dyDescent="0.25">
      <c r="A695" s="33">
        <v>1.486</v>
      </c>
      <c r="B695" s="34">
        <v>8028.1572815301224</v>
      </c>
      <c r="C695" s="33">
        <v>6.7340067340060372E-4</v>
      </c>
      <c r="E695" s="2"/>
      <c r="F695" s="2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customFormat="1" x14ac:dyDescent="0.25">
      <c r="A696" s="33">
        <v>1.4870000000000001</v>
      </c>
      <c r="B696" s="34">
        <v>8033.3171595924305</v>
      </c>
      <c r="C696" s="33">
        <v>6.7294751009439047E-4</v>
      </c>
      <c r="E696" s="2"/>
      <c r="F696" s="2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customFormat="1" x14ac:dyDescent="0.25">
      <c r="A697" s="33">
        <v>1.488</v>
      </c>
      <c r="B697" s="34">
        <v>8038.4770376547331</v>
      </c>
      <c r="C697" s="33">
        <v>6.724949562875171E-4</v>
      </c>
      <c r="E697" s="2"/>
      <c r="F697" s="2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customFormat="1" x14ac:dyDescent="0.25">
      <c r="A698" s="33">
        <v>1.4890000000000001</v>
      </c>
      <c r="B698" s="34">
        <v>8043.6369157170402</v>
      </c>
      <c r="C698" s="33">
        <v>6.7204301075296513E-4</v>
      </c>
      <c r="E698" s="2"/>
      <c r="F698" s="2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customFormat="1" x14ac:dyDescent="0.25">
      <c r="A699" s="33">
        <v>1.49</v>
      </c>
      <c r="B699" s="34">
        <v>8048.7967937793446</v>
      </c>
      <c r="C699" s="33">
        <v>6.7159167226304994E-4</v>
      </c>
      <c r="E699" s="2"/>
      <c r="F699" s="2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customFormat="1" x14ac:dyDescent="0.25">
      <c r="A700" s="33">
        <v>1.4910000000000001</v>
      </c>
      <c r="B700" s="34">
        <v>8053.9566718416499</v>
      </c>
      <c r="C700" s="33">
        <v>6.7114093959741439E-4</v>
      </c>
      <c r="E700" s="2"/>
      <c r="F700" s="2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customFormat="1" x14ac:dyDescent="0.25">
      <c r="A701" s="33">
        <v>1.492</v>
      </c>
      <c r="B701" s="34">
        <v>8059.1165499039544</v>
      </c>
      <c r="C701" s="33">
        <v>6.7069081153570131E-4</v>
      </c>
      <c r="E701" s="2"/>
      <c r="F701" s="2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customFormat="1" x14ac:dyDescent="0.25">
      <c r="A702" s="33">
        <v>1.4930000000000001</v>
      </c>
      <c r="B702" s="34">
        <v>8064.2764279662597</v>
      </c>
      <c r="C702" s="33">
        <v>6.7024128686332674E-4</v>
      </c>
      <c r="E702" s="2"/>
      <c r="F702" s="2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customFormat="1" x14ac:dyDescent="0.25">
      <c r="A703" s="33">
        <v>1.494</v>
      </c>
      <c r="B703" s="34">
        <v>8069.4363060285659</v>
      </c>
      <c r="C703" s="33">
        <v>6.6979236436703893E-4</v>
      </c>
      <c r="E703" s="2"/>
      <c r="F703" s="2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customFormat="1" x14ac:dyDescent="0.25">
      <c r="A704" s="33">
        <v>1.4950000000000001</v>
      </c>
      <c r="B704" s="34">
        <v>8074.596184090874</v>
      </c>
      <c r="C704" s="33">
        <v>6.6934404283824911E-4</v>
      </c>
      <c r="E704" s="2"/>
      <c r="F704" s="2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customFormat="1" x14ac:dyDescent="0.25">
      <c r="A705" s="33">
        <v>1.496</v>
      </c>
      <c r="B705" s="34">
        <v>8079.7560621531775</v>
      </c>
      <c r="C705" s="33">
        <v>6.6889632107014485E-4</v>
      </c>
      <c r="E705" s="2"/>
      <c r="F705" s="2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customFormat="1" x14ac:dyDescent="0.25">
      <c r="A706" s="33">
        <v>1.4970000000000001</v>
      </c>
      <c r="B706" s="34">
        <v>8084.9159402154819</v>
      </c>
      <c r="C706" s="33">
        <v>6.6844919786079871E-4</v>
      </c>
      <c r="E706" s="2"/>
      <c r="F706" s="2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customFormat="1" x14ac:dyDescent="0.25">
      <c r="A707" s="33">
        <v>1.498</v>
      </c>
      <c r="B707" s="34">
        <v>8090.0758182777863</v>
      </c>
      <c r="C707" s="33">
        <v>6.6800267201050367E-4</v>
      </c>
      <c r="E707" s="2"/>
      <c r="F707" s="2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customFormat="1" x14ac:dyDescent="0.25">
      <c r="A708" s="33">
        <v>1.4990000000000001</v>
      </c>
      <c r="B708" s="34">
        <v>8095.2356963400944</v>
      </c>
      <c r="C708" s="33">
        <v>6.6755674232332751E-4</v>
      </c>
      <c r="E708" s="2"/>
      <c r="F708" s="2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customFormat="1" x14ac:dyDescent="0.25">
      <c r="A709" s="31">
        <v>1.5</v>
      </c>
      <c r="B709" s="32">
        <v>8149.0736693298113</v>
      </c>
      <c r="C709" s="31">
        <v>6.9606152529357868E-3</v>
      </c>
      <c r="E709" s="2"/>
      <c r="F709" s="2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2434-746C-4FA6-8F45-357BDBFFB54B}">
  <sheetPr codeName="Plan43">
    <tabColor theme="7" tint="0.79998168889431442"/>
  </sheetPr>
  <dimension ref="A1:S709"/>
  <sheetViews>
    <sheetView showGridLines="0" zoomScale="90" zoomScaleNormal="90" workbookViewId="0">
      <pane ySplit="3" topLeftCell="A4" activePane="bottomLeft" state="frozen"/>
      <selection activeCell="E29" sqref="E29"/>
      <selection pane="bottomLeft" activeCell="E29" sqref="E29"/>
    </sheetView>
  </sheetViews>
  <sheetFormatPr defaultRowHeight="15" x14ac:dyDescent="0.25"/>
  <cols>
    <col min="1" max="1" width="17.28515625" style="6" customWidth="1"/>
    <col min="2" max="2" width="19.140625" style="6" customWidth="1"/>
    <col min="3" max="3" width="12.85546875" style="6" customWidth="1"/>
    <col min="4" max="4" width="10.7109375" bestFit="1" customWidth="1"/>
    <col min="5" max="6" width="13.85546875" customWidth="1"/>
    <col min="7" max="7" width="13.85546875" style="3" bestFit="1" customWidth="1"/>
    <col min="8" max="16384" width="9.140625" style="3"/>
  </cols>
  <sheetData>
    <row r="1" spans="1:19" customFormat="1" ht="18.75" x14ac:dyDescent="0.25">
      <c r="A1" s="48" t="s">
        <v>308</v>
      </c>
      <c r="B1" s="17"/>
      <c r="C1" s="18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1:19" customFormat="1" ht="18.75" x14ac:dyDescent="0.3">
      <c r="A2" s="35" t="s">
        <v>250</v>
      </c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customFormat="1" ht="25.5" x14ac:dyDescent="0.25">
      <c r="A3" s="37" t="s">
        <v>246</v>
      </c>
      <c r="B3" s="38" t="s">
        <v>247</v>
      </c>
      <c r="C3" s="38" t="s">
        <v>248</v>
      </c>
      <c r="E3" s="95" t="s">
        <v>251</v>
      </c>
      <c r="F3" s="96">
        <v>1</v>
      </c>
      <c r="G3" s="97" t="s">
        <v>252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9" customFormat="1" ht="15" customHeight="1" x14ac:dyDescent="0.25">
      <c r="A4" s="39">
        <v>0.79500000000000004</v>
      </c>
      <c r="B4" s="40">
        <v>2163.4708856627753</v>
      </c>
      <c r="C4" s="41">
        <v>0</v>
      </c>
      <c r="E4" s="43">
        <f>A4</f>
        <v>0.79500000000000004</v>
      </c>
      <c r="F4" s="43">
        <f>A209</f>
        <v>1</v>
      </c>
      <c r="G4" s="43">
        <f>A709</f>
        <v>1.5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9" customFormat="1" ht="15" customHeight="1" x14ac:dyDescent="0.25">
      <c r="A5" s="39">
        <v>0.79600000000000004</v>
      </c>
      <c r="B5" s="40">
        <v>2163.4708856627753</v>
      </c>
      <c r="C5" s="41">
        <v>0</v>
      </c>
      <c r="E5" s="44">
        <f>B4</f>
        <v>2163.4708856627753</v>
      </c>
      <c r="F5" s="44">
        <f>B209</f>
        <v>5408.6772141569454</v>
      </c>
      <c r="G5" s="44">
        <f>B709</f>
        <v>12223.610503994732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9" customFormat="1" ht="15" customHeight="1" x14ac:dyDescent="0.25">
      <c r="A6" s="39">
        <v>0.79700000000000004</v>
      </c>
      <c r="B6" s="40">
        <v>2163.4708856627753</v>
      </c>
      <c r="C6" s="41">
        <v>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 customFormat="1" ht="15" customHeight="1" x14ac:dyDescent="0.25">
      <c r="A7" s="39">
        <v>0.79800000000000004</v>
      </c>
      <c r="B7" s="40">
        <v>2163.4708856627753</v>
      </c>
      <c r="C7" s="41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9" customFormat="1" x14ac:dyDescent="0.25">
      <c r="A8" s="39">
        <v>0.79900000000000004</v>
      </c>
      <c r="B8" s="40">
        <v>2163.4708856627753</v>
      </c>
      <c r="C8" s="41"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9" customFormat="1" x14ac:dyDescent="0.25">
      <c r="A9" s="19">
        <v>0.8</v>
      </c>
      <c r="B9" s="20">
        <v>2163.4708856627753</v>
      </c>
      <c r="C9" s="21"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9" customFormat="1" x14ac:dyDescent="0.25">
      <c r="A10" s="22">
        <v>0.80100000000000005</v>
      </c>
      <c r="B10" s="23">
        <v>2166.1752242698544</v>
      </c>
      <c r="C10" s="24">
        <v>1.2500000000001954E-3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9" customFormat="1" x14ac:dyDescent="0.25">
      <c r="A11" s="22">
        <v>0.80200000000000005</v>
      </c>
      <c r="B11" s="23">
        <v>2168.8795628769326</v>
      </c>
      <c r="C11" s="24">
        <v>1.2484394506864227E-3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9" customFormat="1" x14ac:dyDescent="0.25">
      <c r="A12" s="22">
        <v>0.80300000000000005</v>
      </c>
      <c r="B12" s="23">
        <v>2171.5839014840112</v>
      </c>
      <c r="C12" s="24">
        <v>1.2468827930174342E-3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9" customFormat="1" x14ac:dyDescent="0.25">
      <c r="A13" s="22">
        <v>0.80400000000000005</v>
      </c>
      <c r="B13" s="23">
        <v>2174.2882400910898</v>
      </c>
      <c r="C13" s="24">
        <v>1.2453300124533051E-3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9" customFormat="1" x14ac:dyDescent="0.25">
      <c r="A14" s="22">
        <v>0.80500000000000005</v>
      </c>
      <c r="B14" s="23">
        <v>2176.992578698168</v>
      </c>
      <c r="C14" s="24">
        <v>1.2437810945271632E-3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9" customFormat="1" x14ac:dyDescent="0.25">
      <c r="A15" s="22">
        <v>0.80600000000000005</v>
      </c>
      <c r="B15" s="23">
        <v>2179.6969173052466</v>
      </c>
      <c r="C15" s="24">
        <v>1.242236024844745E-3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9" customFormat="1" x14ac:dyDescent="0.25">
      <c r="A16" s="22">
        <v>0.80700000000000005</v>
      </c>
      <c r="B16" s="23">
        <v>2182.4012559123253</v>
      </c>
      <c r="C16" s="24">
        <v>1.2406947890819531E-3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customFormat="1" x14ac:dyDescent="0.25">
      <c r="A17" s="22">
        <v>0.80800000000000005</v>
      </c>
      <c r="B17" s="23">
        <v>2185.1055945194039</v>
      </c>
      <c r="C17" s="24">
        <v>1.2391573729864103E-3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customFormat="1" x14ac:dyDescent="0.25">
      <c r="A18" s="22">
        <v>0.80900000000000005</v>
      </c>
      <c r="B18" s="23">
        <v>2187.8099331264821</v>
      </c>
      <c r="C18" s="24">
        <v>1.2376237623761277E-3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customFormat="1" x14ac:dyDescent="0.25">
      <c r="A19" s="22">
        <v>0.81</v>
      </c>
      <c r="B19" s="23">
        <v>2190.5142717335607</v>
      </c>
      <c r="C19" s="24">
        <v>1.2360939431397266E-3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customFormat="1" x14ac:dyDescent="0.25">
      <c r="A20" s="22">
        <v>0.81100000000000005</v>
      </c>
      <c r="B20" s="23">
        <v>2193.2186103406389</v>
      </c>
      <c r="C20" s="24">
        <v>1.2345679012344402E-3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customFormat="1" x14ac:dyDescent="0.25">
      <c r="A21" s="22">
        <v>0.81200000000000006</v>
      </c>
      <c r="B21" s="23">
        <v>2195.9229489477175</v>
      </c>
      <c r="C21" s="24">
        <v>1.2330456226881115E-3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customFormat="1" x14ac:dyDescent="0.25">
      <c r="A22" s="22">
        <v>0.81299999999999994</v>
      </c>
      <c r="B22" s="23">
        <v>2198.6272875547957</v>
      </c>
      <c r="C22" s="24">
        <v>1.2315270935958633E-3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customFormat="1" x14ac:dyDescent="0.25">
      <c r="A23" s="22">
        <v>0.81399999999999995</v>
      </c>
      <c r="B23" s="23">
        <v>2201.3316261618738</v>
      </c>
      <c r="C23" s="24">
        <v>1.2300123001227625E-3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customFormat="1" x14ac:dyDescent="0.25">
      <c r="A24" s="22">
        <v>0.81499999999999995</v>
      </c>
      <c r="B24" s="23">
        <v>2204.0359647689525</v>
      </c>
      <c r="C24" s="24">
        <v>1.2285012285013774E-3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customFormat="1" x14ac:dyDescent="0.25">
      <c r="A25" s="22">
        <v>0.81599999999999995</v>
      </c>
      <c r="B25" s="23">
        <v>2206.7403033760311</v>
      </c>
      <c r="C25" s="24">
        <v>1.2269938650306678E-3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customFormat="1" x14ac:dyDescent="0.25">
      <c r="A26" s="22">
        <v>0.81699999999999995</v>
      </c>
      <c r="B26" s="23">
        <v>2209.4446419831097</v>
      </c>
      <c r="C26" s="24">
        <v>1.225490196078427E-3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customFormat="1" x14ac:dyDescent="0.25">
      <c r="A27" s="22">
        <v>0.81799999999999995</v>
      </c>
      <c r="B27" s="23">
        <v>2212.1489805901874</v>
      </c>
      <c r="C27" s="24">
        <v>1.2239902080779519E-3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customFormat="1" x14ac:dyDescent="0.25">
      <c r="A28" s="22">
        <v>0.81899999999999995</v>
      </c>
      <c r="B28" s="23">
        <v>2214.853319197266</v>
      </c>
      <c r="C28" s="24">
        <v>1.2224938875307068E-3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customFormat="1" x14ac:dyDescent="0.25">
      <c r="A29" s="22">
        <v>0.82</v>
      </c>
      <c r="B29" s="23">
        <v>2217.5576578043447</v>
      </c>
      <c r="C29" s="24">
        <v>1.2210012210012167E-3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customFormat="1" x14ac:dyDescent="0.25">
      <c r="A30" s="22">
        <v>0.82099999999999995</v>
      </c>
      <c r="B30" s="23">
        <v>2220.2619964114233</v>
      </c>
      <c r="C30" s="24">
        <v>1.2195121951219523E-3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customFormat="1" x14ac:dyDescent="0.25">
      <c r="A31" s="22">
        <v>0.82199999999999995</v>
      </c>
      <c r="B31" s="23">
        <v>2222.9663350185015</v>
      </c>
      <c r="C31" s="24">
        <v>1.2180267965893332E-3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customFormat="1" x14ac:dyDescent="0.25">
      <c r="A32" s="22">
        <v>0.82299999999999995</v>
      </c>
      <c r="B32" s="23">
        <v>2225.6706736255805</v>
      </c>
      <c r="C32" s="24">
        <v>1.2165450121657262E-3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customFormat="1" x14ac:dyDescent="0.25">
      <c r="A33" s="22">
        <v>0.82399999999999995</v>
      </c>
      <c r="B33" s="23">
        <v>2228.3750122326583</v>
      </c>
      <c r="C33" s="24">
        <v>1.2150668286752264E-3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customFormat="1" x14ac:dyDescent="0.25">
      <c r="A34" s="22">
        <v>0.82499999999999996</v>
      </c>
      <c r="B34" s="23">
        <v>2231.0793508397369</v>
      </c>
      <c r="C34" s="24">
        <v>1.2135922330098747E-3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customFormat="1" x14ac:dyDescent="0.25">
      <c r="A35" s="22">
        <v>0.82599999999999996</v>
      </c>
      <c r="B35" s="23">
        <v>2233.7836894468155</v>
      </c>
      <c r="C35" s="24">
        <v>1.2121212121212199E-3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customFormat="1" x14ac:dyDescent="0.25">
      <c r="A36" s="22">
        <v>0.82699999999999996</v>
      </c>
      <c r="B36" s="23">
        <v>2236.4880280538941</v>
      </c>
      <c r="C36" s="24">
        <v>1.210653753026758E-3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customFormat="1" x14ac:dyDescent="0.25">
      <c r="A37" s="22">
        <v>0.82799999999999996</v>
      </c>
      <c r="B37" s="23">
        <v>2239.1923666609723</v>
      </c>
      <c r="C37" s="24">
        <v>1.2091898428052694E-3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customFormat="1" x14ac:dyDescent="0.25">
      <c r="A38" s="22">
        <v>0.82899999999999996</v>
      </c>
      <c r="B38" s="23">
        <v>2241.8967052680509</v>
      </c>
      <c r="C38" s="24">
        <v>1.2077294685990392E-3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customFormat="1" x14ac:dyDescent="0.25">
      <c r="A39" s="22">
        <v>0.83</v>
      </c>
      <c r="B39" s="23">
        <v>2244.6010438751296</v>
      </c>
      <c r="C39" s="24">
        <v>1.2062726176116367E-3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customFormat="1" x14ac:dyDescent="0.25">
      <c r="A40" s="22">
        <v>0.83099999999999996</v>
      </c>
      <c r="B40" s="23">
        <v>2247.3053824822077</v>
      </c>
      <c r="C40" s="24">
        <v>1.2048192771083599E-3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customFormat="1" x14ac:dyDescent="0.25">
      <c r="A41" s="22">
        <v>0.83199999999999996</v>
      </c>
      <c r="B41" s="23">
        <v>2250.0097210892864</v>
      </c>
      <c r="C41" s="24">
        <v>1.2033694344164569E-3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customFormat="1" x14ac:dyDescent="0.25">
      <c r="A42" s="22">
        <v>0.83299999999999996</v>
      </c>
      <c r="B42" s="23">
        <v>2252.7140596963641</v>
      </c>
      <c r="C42" s="24">
        <v>1.2019230769226841E-3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customFormat="1" x14ac:dyDescent="0.25">
      <c r="A43" s="22">
        <v>0.83399999999999996</v>
      </c>
      <c r="B43" s="23">
        <v>2255.4183983034432</v>
      </c>
      <c r="C43" s="24">
        <v>1.2004801920770802E-3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customFormat="1" x14ac:dyDescent="0.25">
      <c r="A44" s="22">
        <v>0.83499999999999996</v>
      </c>
      <c r="B44" s="23">
        <v>2258.1227369105213</v>
      </c>
      <c r="C44" s="24">
        <v>1.1990407673858616E-3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customFormat="1" x14ac:dyDescent="0.25">
      <c r="A45" s="22">
        <v>0.83599999999999997</v>
      </c>
      <c r="B45" s="23">
        <v>2260.8270755176</v>
      </c>
      <c r="C45" s="24">
        <v>1.1976047904191933E-3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customFormat="1" x14ac:dyDescent="0.25">
      <c r="A46" s="22">
        <v>0.83699999999999997</v>
      </c>
      <c r="B46" s="23">
        <v>2263.5314141246781</v>
      </c>
      <c r="C46" s="24">
        <v>1.1961722488036397E-3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customFormat="1" x14ac:dyDescent="0.25">
      <c r="A47" s="22">
        <v>0.83799999999999997</v>
      </c>
      <c r="B47" s="23">
        <v>2266.2357527317572</v>
      </c>
      <c r="C47" s="24">
        <v>1.1947431302272715E-3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customFormat="1" x14ac:dyDescent="0.25">
      <c r="A48" s="22">
        <v>0.83899999999999997</v>
      </c>
      <c r="B48" s="23">
        <v>2268.9400913388358</v>
      </c>
      <c r="C48" s="24">
        <v>1.1933174224343368E-3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customFormat="1" x14ac:dyDescent="0.25">
      <c r="A49" s="22">
        <v>0.84</v>
      </c>
      <c r="B49" s="23">
        <v>2271.644429945914</v>
      </c>
      <c r="C49" s="24">
        <v>1.1918951132299238E-3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customFormat="1" x14ac:dyDescent="0.25">
      <c r="A50" s="22">
        <v>0.84099999999999997</v>
      </c>
      <c r="B50" s="23">
        <v>2274.3487685529931</v>
      </c>
      <c r="C50" s="24">
        <v>1.1904761904764083E-3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customFormat="1" x14ac:dyDescent="0.25">
      <c r="A51" s="22">
        <v>0.84199999999999997</v>
      </c>
      <c r="B51" s="23">
        <v>2277.0531071600712</v>
      </c>
      <c r="C51" s="24">
        <v>1.1890606420925653E-3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customFormat="1" x14ac:dyDescent="0.25">
      <c r="A52" s="22">
        <v>0.84299999999999997</v>
      </c>
      <c r="B52" s="23">
        <v>2279.7574457671494</v>
      </c>
      <c r="C52" s="24">
        <v>1.1876484560569001E-3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customFormat="1" x14ac:dyDescent="0.25">
      <c r="A53" s="22">
        <v>0.84399999999999997</v>
      </c>
      <c r="B53" s="23">
        <v>2282.4617843742276</v>
      </c>
      <c r="C53" s="24">
        <v>1.1862396204032066E-3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customFormat="1" x14ac:dyDescent="0.25">
      <c r="A54" s="22">
        <v>0.84499999999999997</v>
      </c>
      <c r="B54" s="23">
        <v>2285.1661229813067</v>
      </c>
      <c r="C54" s="24">
        <v>1.1848341232230108E-3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customFormat="1" x14ac:dyDescent="0.25">
      <c r="A55" s="22">
        <v>0.84599999999999997</v>
      </c>
      <c r="B55" s="23">
        <v>2287.8704615883848</v>
      </c>
      <c r="C55" s="24">
        <v>1.1834319526626835E-3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customFormat="1" x14ac:dyDescent="0.25">
      <c r="A56" s="22">
        <v>0.84699999999999998</v>
      </c>
      <c r="B56" s="23">
        <v>2290.5748001954635</v>
      </c>
      <c r="C56" s="24">
        <v>1.1820330969267712E-3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customFormat="1" x14ac:dyDescent="0.25">
      <c r="A57" s="22">
        <v>0.84799999999999998</v>
      </c>
      <c r="B57" s="23">
        <v>2293.2791388025416</v>
      </c>
      <c r="C57" s="24">
        <v>1.1806375442737771E-3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customFormat="1" x14ac:dyDescent="0.25">
      <c r="A58" s="22">
        <v>0.84899999999999998</v>
      </c>
      <c r="B58" s="23">
        <v>2295.9834774096207</v>
      </c>
      <c r="C58" s="24">
        <v>1.1792452830190481E-3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customFormat="1" x14ac:dyDescent="0.25">
      <c r="A59" s="22">
        <v>0.85</v>
      </c>
      <c r="B59" s="23">
        <v>2298.6878160166989</v>
      </c>
      <c r="C59" s="24">
        <v>1.1778563015309995E-3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customFormat="1" x14ac:dyDescent="0.25">
      <c r="A60" s="22">
        <v>0.85099999999999998</v>
      </c>
      <c r="B60" s="23">
        <v>2301.3921546237775</v>
      </c>
      <c r="C60" s="24">
        <v>1.1764705882353343E-3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customFormat="1" x14ac:dyDescent="0.25">
      <c r="A61" s="22">
        <v>0.85199999999999998</v>
      </c>
      <c r="B61" s="23">
        <v>2304.0964932308557</v>
      </c>
      <c r="C61" s="24">
        <v>1.1750881316097139E-3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customFormat="1" x14ac:dyDescent="0.25">
      <c r="A62" s="22">
        <v>0.85299999999999998</v>
      </c>
      <c r="B62" s="23">
        <v>2306.8008318379348</v>
      </c>
      <c r="C62" s="24">
        <v>1.1737089201879769E-3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customFormat="1" x14ac:dyDescent="0.25">
      <c r="A63" s="22">
        <v>0.85399999999999998</v>
      </c>
      <c r="B63" s="23">
        <v>2309.5051704450134</v>
      </c>
      <c r="C63" s="24">
        <v>1.1723329425556983E-3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customFormat="1" x14ac:dyDescent="0.25">
      <c r="A64" s="22">
        <v>0.85499999999999998</v>
      </c>
      <c r="B64" s="23">
        <v>2312.2095090520911</v>
      </c>
      <c r="C64" s="24">
        <v>1.1709601873532982E-3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customFormat="1" x14ac:dyDescent="0.25">
      <c r="A65" s="22">
        <v>0.85599999999999998</v>
      </c>
      <c r="B65" s="23">
        <v>2314.9138476591697</v>
      </c>
      <c r="C65" s="24">
        <v>1.1695906432749315E-3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customFormat="1" x14ac:dyDescent="0.25">
      <c r="A66" s="22">
        <v>0.85699999999999998</v>
      </c>
      <c r="B66" s="23">
        <v>2317.6181862662488</v>
      </c>
      <c r="C66" s="24">
        <v>1.1682242990656011E-3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customFormat="1" x14ac:dyDescent="0.25">
      <c r="A67" s="22">
        <v>0.85799999999999998</v>
      </c>
      <c r="B67" s="23">
        <v>2320.3225248733274</v>
      </c>
      <c r="C67" s="24">
        <v>1.166861143524045E-3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customFormat="1" x14ac:dyDescent="0.25">
      <c r="A68" s="22">
        <v>0.85899999999999999</v>
      </c>
      <c r="B68" s="23">
        <v>2323.0268634804047</v>
      </c>
      <c r="C68" s="24">
        <v>1.1655011655007375E-3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customFormat="1" x14ac:dyDescent="0.25">
      <c r="A69" s="22">
        <v>0.86</v>
      </c>
      <c r="B69" s="23">
        <v>2325.7312020874838</v>
      </c>
      <c r="C69" s="24">
        <v>1.1641443539001095E-3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customFormat="1" x14ac:dyDescent="0.25">
      <c r="A70" s="22">
        <v>0.86099999999999999</v>
      </c>
      <c r="B70" s="23">
        <v>2328.435540694562</v>
      </c>
      <c r="C70" s="24">
        <v>1.1627906976743319E-3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customFormat="1" x14ac:dyDescent="0.25">
      <c r="A71" s="22">
        <v>0.86199999999999999</v>
      </c>
      <c r="B71" s="23">
        <v>2331.1398793016406</v>
      </c>
      <c r="C71" s="24">
        <v>1.1614401858304202E-3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customFormat="1" x14ac:dyDescent="0.25">
      <c r="A72" s="22">
        <v>0.86299999999999999</v>
      </c>
      <c r="B72" s="23">
        <v>2333.8442179087187</v>
      </c>
      <c r="C72" s="24">
        <v>1.1600928074244621E-3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customFormat="1" x14ac:dyDescent="0.25">
      <c r="A73" s="22">
        <v>0.86399999999999999</v>
      </c>
      <c r="B73" s="23">
        <v>2336.5485565157978</v>
      </c>
      <c r="C73" s="24">
        <v>1.1587485515645035E-3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customFormat="1" x14ac:dyDescent="0.25">
      <c r="A74" s="22">
        <v>0.86499999999999999</v>
      </c>
      <c r="B74" s="23">
        <v>2339.252895122876</v>
      </c>
      <c r="C74" s="24">
        <v>1.1574074074072183E-3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customFormat="1" x14ac:dyDescent="0.25">
      <c r="A75" s="22">
        <v>0.86599999999999999</v>
      </c>
      <c r="B75" s="23">
        <v>2341.9572337299542</v>
      </c>
      <c r="C75" s="24">
        <v>1.1560693641616826E-3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customFormat="1" x14ac:dyDescent="0.25">
      <c r="A76" s="22">
        <v>0.86699999999999999</v>
      </c>
      <c r="B76" s="23">
        <v>2344.6615723370337</v>
      </c>
      <c r="C76" s="24">
        <v>1.1547344110858226E-3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customFormat="1" x14ac:dyDescent="0.25">
      <c r="A77" s="22">
        <v>0.86799999999999999</v>
      </c>
      <c r="B77" s="23">
        <v>2347.3659109441114</v>
      </c>
      <c r="C77" s="24">
        <v>1.1534025374853041E-3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customFormat="1" x14ac:dyDescent="0.25">
      <c r="A78" s="22">
        <v>0.86899999999999999</v>
      </c>
      <c r="B78" s="23">
        <v>2350.0702495511905</v>
      </c>
      <c r="C78" s="24">
        <v>1.1520737327190833E-3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customFormat="1" x14ac:dyDescent="0.25">
      <c r="A79" s="22">
        <v>0.87</v>
      </c>
      <c r="B79" s="23">
        <v>2352.7745881582687</v>
      </c>
      <c r="C79" s="24">
        <v>1.1507479861909697E-3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customFormat="1" x14ac:dyDescent="0.25">
      <c r="A80" s="22">
        <v>0.871</v>
      </c>
      <c r="B80" s="23">
        <v>2355.4789267653478</v>
      </c>
      <c r="C80" s="24">
        <v>1.1494252873565092E-3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customFormat="1" x14ac:dyDescent="0.25">
      <c r="A81" s="22">
        <v>0.872</v>
      </c>
      <c r="B81" s="23">
        <v>2358.1832653724264</v>
      </c>
      <c r="C81" s="24">
        <v>1.1481056257176547E-3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customFormat="1" x14ac:dyDescent="0.25">
      <c r="A82" s="22">
        <v>0.873</v>
      </c>
      <c r="B82" s="23">
        <v>2360.8876039795055</v>
      </c>
      <c r="C82" s="24">
        <v>1.1467889908258755E-3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customFormat="1" x14ac:dyDescent="0.25">
      <c r="A83" s="22">
        <v>0.874</v>
      </c>
      <c r="B83" s="23">
        <v>2363.5919425865832</v>
      </c>
      <c r="C83" s="24">
        <v>1.1454753722792699E-3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customFormat="1" x14ac:dyDescent="0.25">
      <c r="A84" s="22">
        <v>0.875</v>
      </c>
      <c r="B84" s="23">
        <v>2366.2962811936618</v>
      </c>
      <c r="C84" s="24">
        <v>1.1441647597254523E-3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customFormat="1" x14ac:dyDescent="0.25">
      <c r="A85" s="22">
        <v>0.876</v>
      </c>
      <c r="B85" s="23">
        <v>2369.0006198007404</v>
      </c>
      <c r="C85" s="24">
        <v>1.1428571428571122E-3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customFormat="1" x14ac:dyDescent="0.25">
      <c r="A86" s="22">
        <v>0.877</v>
      </c>
      <c r="B86" s="23">
        <v>2371.704958407819</v>
      </c>
      <c r="C86" s="24">
        <v>1.1415525114155667E-3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customFormat="1" x14ac:dyDescent="0.25">
      <c r="A87" s="22">
        <v>0.878</v>
      </c>
      <c r="B87" s="23">
        <v>2374.4092970148981</v>
      </c>
      <c r="C87" s="24">
        <v>1.1402508551883184E-3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customFormat="1" x14ac:dyDescent="0.25">
      <c r="A88" s="22">
        <v>0.879</v>
      </c>
      <c r="B88" s="23">
        <v>2377.1136356219772</v>
      </c>
      <c r="C88" s="24">
        <v>1.138952164009277E-3</v>
      </c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customFormat="1" x14ac:dyDescent="0.25">
      <c r="A89" s="22">
        <v>0.88</v>
      </c>
      <c r="B89" s="23">
        <v>2379.8179742290554</v>
      </c>
      <c r="C89" s="24">
        <v>1.1376564277587597E-3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customFormat="1" x14ac:dyDescent="0.25">
      <c r="A90" s="22">
        <v>0.88100000000000001</v>
      </c>
      <c r="B90" s="23">
        <v>2382.5223128361336</v>
      </c>
      <c r="C90" s="24">
        <v>1.136363636363491E-3</v>
      </c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customFormat="1" x14ac:dyDescent="0.25">
      <c r="A91" s="22">
        <v>0.88200000000000001</v>
      </c>
      <c r="B91" s="23">
        <v>2385.2266514432122</v>
      </c>
      <c r="C91" s="24">
        <v>1.1350737797957144E-3</v>
      </c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customFormat="1" x14ac:dyDescent="0.25">
      <c r="A92" s="22">
        <v>0.88300000000000001</v>
      </c>
      <c r="B92" s="23">
        <v>2387.9309900502913</v>
      </c>
      <c r="C92" s="24">
        <v>1.1337868480727487E-3</v>
      </c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customFormat="1" x14ac:dyDescent="0.25">
      <c r="A93" s="22">
        <v>0.88400000000000001</v>
      </c>
      <c r="B93" s="23">
        <v>2390.6353286573694</v>
      </c>
      <c r="C93" s="24">
        <v>1.1325028312569874E-3</v>
      </c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customFormat="1" x14ac:dyDescent="0.25">
      <c r="A94" s="22">
        <v>0.88500000000000001</v>
      </c>
      <c r="B94" s="23">
        <v>2393.3396672644471</v>
      </c>
      <c r="C94" s="24">
        <v>1.1312217194567875E-3</v>
      </c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customFormat="1" x14ac:dyDescent="0.25">
      <c r="A95" s="22">
        <v>0.88600000000000001</v>
      </c>
      <c r="B95" s="23">
        <v>2396.0440058715262</v>
      </c>
      <c r="C95" s="24">
        <v>1.129943502825137E-3</v>
      </c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customFormat="1" x14ac:dyDescent="0.25">
      <c r="A96" s="22">
        <v>0.88700000000000001</v>
      </c>
      <c r="B96" s="23">
        <v>2398.7483444786044</v>
      </c>
      <c r="C96" s="24">
        <v>1.1286681715574343E-3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customFormat="1" x14ac:dyDescent="0.25">
      <c r="A97" s="22">
        <v>0.88800000000000001</v>
      </c>
      <c r="B97" s="23">
        <v>2401.452683085683</v>
      </c>
      <c r="C97" s="24">
        <v>1.1273957158963732E-3</v>
      </c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customFormat="1" x14ac:dyDescent="0.25">
      <c r="A98" s="22">
        <v>0.88900000000000001</v>
      </c>
      <c r="B98" s="23">
        <v>2404.1570216927616</v>
      </c>
      <c r="C98" s="24">
        <v>1.1261261261261701E-3</v>
      </c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customFormat="1" x14ac:dyDescent="0.25">
      <c r="A99" s="22">
        <v>0.89</v>
      </c>
      <c r="B99" s="23">
        <v>2406.8613602998398</v>
      </c>
      <c r="C99" s="24">
        <v>1.1248593925758943E-3</v>
      </c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customFormat="1" x14ac:dyDescent="0.25">
      <c r="A100" s="22">
        <v>0.89100000000000001</v>
      </c>
      <c r="B100" s="23">
        <v>2409.5656989069184</v>
      </c>
      <c r="C100" s="24">
        <v>1.1235955056181357E-3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customFormat="1" x14ac:dyDescent="0.25">
      <c r="A101" s="22">
        <v>0.89200000000000002</v>
      </c>
      <c r="B101" s="23">
        <v>2412.2700375139966</v>
      </c>
      <c r="C101" s="24">
        <v>1.1223344556676729E-3</v>
      </c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customFormat="1" x14ac:dyDescent="0.25">
      <c r="A102" s="22">
        <v>0.89300000000000002</v>
      </c>
      <c r="B102" s="23">
        <v>2414.9743761210752</v>
      </c>
      <c r="C102" s="24">
        <v>1.1210762331839152E-3</v>
      </c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customFormat="1" x14ac:dyDescent="0.25">
      <c r="A103" s="22">
        <v>0.89400000000000002</v>
      </c>
      <c r="B103" s="23">
        <v>2417.6787147281534</v>
      </c>
      <c r="C103" s="24">
        <v>1.1198208286673506E-3</v>
      </c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customFormat="1" x14ac:dyDescent="0.25">
      <c r="A104" s="22">
        <v>0.89500000000000002</v>
      </c>
      <c r="B104" s="23">
        <v>2420.383053335232</v>
      </c>
      <c r="C104" s="24">
        <v>1.1185682326622093E-3</v>
      </c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customFormat="1" x14ac:dyDescent="0.25">
      <c r="A105" s="22">
        <v>0.89600000000000002</v>
      </c>
      <c r="B105" s="23">
        <v>2423.0873919423102</v>
      </c>
      <c r="C105" s="24">
        <v>1.1173184357540222E-3</v>
      </c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customFormat="1" x14ac:dyDescent="0.25">
      <c r="A106" s="22">
        <v>0.89700000000000002</v>
      </c>
      <c r="B106" s="23">
        <v>2425.7917305493884</v>
      </c>
      <c r="C106" s="24">
        <v>1.1160714285713969E-3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customFormat="1" x14ac:dyDescent="0.25">
      <c r="A107" s="22">
        <v>0.89800000000000002</v>
      </c>
      <c r="B107" s="23">
        <v>2428.496069156467</v>
      </c>
      <c r="C107" s="24">
        <v>1.1148272017837968E-3</v>
      </c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customFormat="1" x14ac:dyDescent="0.25">
      <c r="A108" s="22">
        <v>0.89900000000000002</v>
      </c>
      <c r="B108" s="23">
        <v>2431.2004077635456</v>
      </c>
      <c r="C108" s="24">
        <v>1.1135857461024301E-3</v>
      </c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customFormat="1" x14ac:dyDescent="0.25">
      <c r="A109" s="19">
        <v>0.9</v>
      </c>
      <c r="B109" s="20">
        <v>3650.8571195559348</v>
      </c>
      <c r="C109" s="21">
        <v>0.50166852057841993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customFormat="1" x14ac:dyDescent="0.25">
      <c r="A110" s="22">
        <v>0.90100000000000002</v>
      </c>
      <c r="B110" s="23">
        <v>3654.913627466553</v>
      </c>
      <c r="C110" s="24">
        <v>1.1111111111112848E-3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customFormat="1" x14ac:dyDescent="0.25">
      <c r="A111" s="22">
        <v>0.90200000000000002</v>
      </c>
      <c r="B111" s="23">
        <v>3658.9701353771707</v>
      </c>
      <c r="C111" s="24">
        <v>1.1098779134295356E-3</v>
      </c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customFormat="1" x14ac:dyDescent="0.25">
      <c r="A112" s="22">
        <v>0.90300000000000002</v>
      </c>
      <c r="B112" s="23">
        <v>3663.0266432877888</v>
      </c>
      <c r="C112" s="24">
        <v>1.1086474501109667E-3</v>
      </c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customFormat="1" x14ac:dyDescent="0.25">
      <c r="A113" s="22">
        <v>0.90400000000000003</v>
      </c>
      <c r="B113" s="23">
        <v>3667.0831511984074</v>
      </c>
      <c r="C113" s="24">
        <v>1.1074197120710672E-3</v>
      </c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customFormat="1" x14ac:dyDescent="0.25">
      <c r="A114" s="22">
        <v>0.90500000000000003</v>
      </c>
      <c r="B114" s="23">
        <v>3671.1396591090243</v>
      </c>
      <c r="C114" s="24">
        <v>1.1061946902652942E-3</v>
      </c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customFormat="1" x14ac:dyDescent="0.25">
      <c r="A115" s="22">
        <v>0.90600000000000003</v>
      </c>
      <c r="B115" s="23">
        <v>3675.1961670196411</v>
      </c>
      <c r="C115" s="24">
        <v>1.1049723756904051E-3</v>
      </c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customFormat="1" x14ac:dyDescent="0.25">
      <c r="A116" s="22">
        <v>0.90700000000000003</v>
      </c>
      <c r="B116" s="23">
        <v>3679.2526749302583</v>
      </c>
      <c r="C116" s="24">
        <v>1.1037527593817931E-3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customFormat="1" x14ac:dyDescent="0.25">
      <c r="A117" s="22">
        <v>0.90800000000000003</v>
      </c>
      <c r="B117" s="23">
        <v>3683.309182840876</v>
      </c>
      <c r="C117" s="24">
        <v>1.1025358324145973E-3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customFormat="1" x14ac:dyDescent="0.25">
      <c r="A118" s="22">
        <v>0.90900000000000003</v>
      </c>
      <c r="B118" s="23">
        <v>3687.3656907514928</v>
      </c>
      <c r="C118" s="24">
        <v>1.1013215859028147E-3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customFormat="1" x14ac:dyDescent="0.25">
      <c r="A119" s="22">
        <v>0.91</v>
      </c>
      <c r="B119" s="23">
        <v>3691.4221986621114</v>
      </c>
      <c r="C119" s="24">
        <v>1.1001100110012985E-3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customFormat="1" x14ac:dyDescent="0.25">
      <c r="A120" s="22">
        <v>0.91100000000000003</v>
      </c>
      <c r="B120" s="23">
        <v>3695.4787065727292</v>
      </c>
      <c r="C120" s="24">
        <v>1.098901098901095E-3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customFormat="1" x14ac:dyDescent="0.25">
      <c r="A121" s="22">
        <v>0.91200000000000003</v>
      </c>
      <c r="B121" s="23">
        <v>3699.5352144833478</v>
      </c>
      <c r="C121" s="24">
        <v>1.097694840834551E-3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customFormat="1" x14ac:dyDescent="0.25">
      <c r="A122" s="22">
        <v>0.91300000000000003</v>
      </c>
      <c r="B122" s="23">
        <v>3703.5917223939655</v>
      </c>
      <c r="C122" s="24">
        <v>1.0964912280702066E-3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customFormat="1" x14ac:dyDescent="0.25">
      <c r="A123" s="22">
        <v>0.91400000000000003</v>
      </c>
      <c r="B123" s="23">
        <v>3707.6482303045832</v>
      </c>
      <c r="C123" s="24">
        <v>1.0952902519167917E-3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customFormat="1" x14ac:dyDescent="0.25">
      <c r="A124" s="22">
        <v>0.91500000000000004</v>
      </c>
      <c r="B124" s="23">
        <v>3711.7047382152009</v>
      </c>
      <c r="C124" s="24">
        <v>1.094091903719896E-3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customFormat="1" x14ac:dyDescent="0.25">
      <c r="A125" s="22">
        <v>0.91600000000000004</v>
      </c>
      <c r="B125" s="23">
        <v>3715.7612461258191</v>
      </c>
      <c r="C125" s="24">
        <v>1.0928961748635224E-3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customFormat="1" x14ac:dyDescent="0.25">
      <c r="A126" s="22">
        <v>0.91700000000000004</v>
      </c>
      <c r="B126" s="23">
        <v>3719.8177540364368</v>
      </c>
      <c r="C126" s="24">
        <v>1.0917030567685337E-3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customFormat="1" x14ac:dyDescent="0.25">
      <c r="A127" s="22">
        <v>0.91800000000000004</v>
      </c>
      <c r="B127" s="23">
        <v>3723.8742619470536</v>
      </c>
      <c r="C127" s="24">
        <v>1.0905125408939842E-3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customFormat="1" x14ac:dyDescent="0.25">
      <c r="A128" s="22">
        <v>0.91900000000000004</v>
      </c>
      <c r="B128" s="23">
        <v>3727.9307698576708</v>
      </c>
      <c r="C128" s="24">
        <v>1.0893246187362315E-3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customFormat="1" x14ac:dyDescent="0.25">
      <c r="A129" s="22">
        <v>0.92</v>
      </c>
      <c r="B129" s="23">
        <v>3731.9872777682895</v>
      </c>
      <c r="C129" s="24">
        <v>1.0881392818282709E-3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customFormat="1" x14ac:dyDescent="0.25">
      <c r="A130" s="22">
        <v>0.92100000000000004</v>
      </c>
      <c r="B130" s="23">
        <v>3736.0437856789067</v>
      </c>
      <c r="C130" s="24">
        <v>1.0869565217390686E-3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customFormat="1" x14ac:dyDescent="0.25">
      <c r="A131" s="22">
        <v>0.92200000000000004</v>
      </c>
      <c r="B131" s="23">
        <v>3740.1002935895253</v>
      </c>
      <c r="C131" s="24">
        <v>1.0857763300762269E-3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customFormat="1" x14ac:dyDescent="0.25">
      <c r="A132" s="22">
        <v>0.92300000000000004</v>
      </c>
      <c r="B132" s="23">
        <v>3744.1568015001421</v>
      </c>
      <c r="C132" s="24">
        <v>1.0845986984813205E-3</v>
      </c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customFormat="1" x14ac:dyDescent="0.25">
      <c r="A133" s="22">
        <v>0.92400000000000004</v>
      </c>
      <c r="B133" s="23">
        <v>3748.2133094107603</v>
      </c>
      <c r="C133" s="24">
        <v>1.0834236186350044E-3</v>
      </c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customFormat="1" x14ac:dyDescent="0.25">
      <c r="A134" s="22">
        <v>0.92500000000000004</v>
      </c>
      <c r="B134" s="23">
        <v>3752.2698173213785</v>
      </c>
      <c r="C134" s="24">
        <v>1.0822510822512399E-3</v>
      </c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customFormat="1" x14ac:dyDescent="0.25">
      <c r="A135" s="22">
        <v>0.92600000000000005</v>
      </c>
      <c r="B135" s="23">
        <v>3756.3263252319953</v>
      </c>
      <c r="C135" s="24">
        <v>1.081081081080848E-3</v>
      </c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customFormat="1" x14ac:dyDescent="0.25">
      <c r="A136" s="22">
        <v>0.92700000000000005</v>
      </c>
      <c r="B136" s="23">
        <v>3760.3828331426139</v>
      </c>
      <c r="C136" s="24">
        <v>1.079913606911731E-3</v>
      </c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customFormat="1" x14ac:dyDescent="0.25">
      <c r="A137" s="22">
        <v>0.92800000000000005</v>
      </c>
      <c r="B137" s="23">
        <v>3764.4393410532316</v>
      </c>
      <c r="C137" s="24">
        <v>1.0787486515642097E-3</v>
      </c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customFormat="1" x14ac:dyDescent="0.25">
      <c r="A138" s="22">
        <v>0.92900000000000005</v>
      </c>
      <c r="B138" s="23">
        <v>3768.4958489638502</v>
      </c>
      <c r="C138" s="24">
        <v>1.0775862068967967E-3</v>
      </c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customFormat="1" x14ac:dyDescent="0.25">
      <c r="A139" s="22">
        <v>0.93</v>
      </c>
      <c r="B139" s="23">
        <v>3772.552356874467</v>
      </c>
      <c r="C139" s="24">
        <v>1.0764262648006451E-3</v>
      </c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customFormat="1" x14ac:dyDescent="0.25">
      <c r="A140" s="22">
        <v>0.93100000000000005</v>
      </c>
      <c r="B140" s="23">
        <v>3776.6088647850843</v>
      </c>
      <c r="C140" s="24">
        <v>1.0752688172042113E-3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customFormat="1" x14ac:dyDescent="0.25">
      <c r="A141" s="22">
        <v>0.93200000000000005</v>
      </c>
      <c r="B141" s="23">
        <v>3780.6653726957015</v>
      </c>
      <c r="C141" s="24">
        <v>1.0741138560685926E-3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customFormat="1" x14ac:dyDescent="0.25">
      <c r="A142" s="22">
        <v>0.93300000000000005</v>
      </c>
      <c r="B142" s="23">
        <v>3784.7218806063197</v>
      </c>
      <c r="C142" s="24">
        <v>1.0729613733906351E-3</v>
      </c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customFormat="1" x14ac:dyDescent="0.25">
      <c r="A143" s="22">
        <v>0.93400000000000005</v>
      </c>
      <c r="B143" s="23">
        <v>3788.7783885169379</v>
      </c>
      <c r="C143" s="24">
        <v>1.071811361200492E-3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customFormat="1" x14ac:dyDescent="0.25">
      <c r="A144" s="22">
        <v>0.93500000000000005</v>
      </c>
      <c r="B144" s="23">
        <v>3792.8348964275556</v>
      </c>
      <c r="C144" s="24">
        <v>1.0706638115631772E-3</v>
      </c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customFormat="1" x14ac:dyDescent="0.25">
      <c r="A145" s="22">
        <v>0.93600000000000005</v>
      </c>
      <c r="B145" s="23">
        <v>3796.8914043381728</v>
      </c>
      <c r="C145" s="24">
        <v>1.0695187165774556E-3</v>
      </c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customFormat="1" x14ac:dyDescent="0.25">
      <c r="A146" s="22">
        <v>0.93700000000000006</v>
      </c>
      <c r="B146" s="23">
        <v>3800.9479122487915</v>
      </c>
      <c r="C146" s="24">
        <v>1.0683760683762866E-3</v>
      </c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customFormat="1" x14ac:dyDescent="0.25">
      <c r="A147" s="22">
        <v>0.93799999999999994</v>
      </c>
      <c r="B147" s="23">
        <v>3805.0044201594083</v>
      </c>
      <c r="C147" s="24">
        <v>1.0672358591246045E-3</v>
      </c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customFormat="1" x14ac:dyDescent="0.25">
      <c r="A148" s="22">
        <v>0.93899999999999995</v>
      </c>
      <c r="B148" s="23">
        <v>3809.0609280700264</v>
      </c>
      <c r="C148" s="24">
        <v>1.0660980810235365E-3</v>
      </c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customFormat="1" x14ac:dyDescent="0.25">
      <c r="A149" s="22">
        <v>0.94</v>
      </c>
      <c r="B149" s="23">
        <v>3813.1174359806441</v>
      </c>
      <c r="C149" s="24">
        <v>1.0649627263046302E-3</v>
      </c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customFormat="1" x14ac:dyDescent="0.25">
      <c r="A150" s="22">
        <v>0.94099999999999995</v>
      </c>
      <c r="B150" s="23">
        <v>3817.1739438912609</v>
      </c>
      <c r="C150" s="24">
        <v>1.0638297872338498E-3</v>
      </c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customFormat="1" x14ac:dyDescent="0.25">
      <c r="A151" s="22">
        <v>0.94199999999999995</v>
      </c>
      <c r="B151" s="23">
        <v>3821.2304518018791</v>
      </c>
      <c r="C151" s="24">
        <v>1.0626992561106885E-3</v>
      </c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customFormat="1" x14ac:dyDescent="0.25">
      <c r="A152" s="22">
        <v>0.94299999999999995</v>
      </c>
      <c r="B152" s="23">
        <v>3825.2869597124973</v>
      </c>
      <c r="C152" s="24">
        <v>1.0615711252655036E-3</v>
      </c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customFormat="1" x14ac:dyDescent="0.25">
      <c r="A153" s="22">
        <v>0.94399999999999995</v>
      </c>
      <c r="B153" s="23">
        <v>3829.3434676231145</v>
      </c>
      <c r="C153" s="24">
        <v>1.0604453870624031E-3</v>
      </c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customFormat="1" x14ac:dyDescent="0.25">
      <c r="A154" s="22">
        <v>0.94499999999999995</v>
      </c>
      <c r="B154" s="23">
        <v>3833.3999755337322</v>
      </c>
      <c r="C154" s="24">
        <v>1.0593220338983578E-3</v>
      </c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customFormat="1" x14ac:dyDescent="0.25">
      <c r="A155" s="22">
        <v>0.94599999999999995</v>
      </c>
      <c r="B155" s="23">
        <v>3837.4564834443504</v>
      </c>
      <c r="C155" s="24">
        <v>1.0582010582012025E-3</v>
      </c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customFormat="1" x14ac:dyDescent="0.25">
      <c r="A156" s="22">
        <v>0.94699999999999995</v>
      </c>
      <c r="B156" s="23">
        <v>3841.5129913549686</v>
      </c>
      <c r="C156" s="24">
        <v>1.0570824524314126E-3</v>
      </c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customFormat="1" x14ac:dyDescent="0.25">
      <c r="A157" s="22">
        <v>0.94799999999999995</v>
      </c>
      <c r="B157" s="23">
        <v>3845.5694992655867</v>
      </c>
      <c r="C157" s="24">
        <v>1.0559662090814381E-3</v>
      </c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customFormat="1" x14ac:dyDescent="0.25">
      <c r="A158" s="22">
        <v>0.94899999999999995</v>
      </c>
      <c r="B158" s="23">
        <v>3849.6260071762049</v>
      </c>
      <c r="C158" s="24">
        <v>1.0548523206752591E-3</v>
      </c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customFormat="1" x14ac:dyDescent="0.25">
      <c r="A159" s="22">
        <v>0.95</v>
      </c>
      <c r="B159" s="23">
        <v>3853.6825150868226</v>
      </c>
      <c r="C159" s="24">
        <v>1.0537407797681642E-3</v>
      </c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customFormat="1" x14ac:dyDescent="0.25">
      <c r="A160" s="22">
        <v>0.95099999999999996</v>
      </c>
      <c r="B160" s="23">
        <v>3857.7390229974399</v>
      </c>
      <c r="C160" s="24">
        <v>1.0526315789471941E-3</v>
      </c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customFormat="1" x14ac:dyDescent="0.25">
      <c r="A161" s="22">
        <v>0.95199999999999996</v>
      </c>
      <c r="B161" s="23">
        <v>3861.7955309080576</v>
      </c>
      <c r="C161" s="24">
        <v>1.051524710830698E-3</v>
      </c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customFormat="1" x14ac:dyDescent="0.25">
      <c r="A162" s="22">
        <v>0.95299999999999996</v>
      </c>
      <c r="B162" s="23">
        <v>3865.8520388186753</v>
      </c>
      <c r="C162" s="24">
        <v>1.0504201680672232E-3</v>
      </c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spans="1:19" customFormat="1" x14ac:dyDescent="0.25">
      <c r="A163" s="22">
        <v>0.95399999999999996</v>
      </c>
      <c r="B163" s="23">
        <v>3869.908546729293</v>
      </c>
      <c r="C163" s="24">
        <v>1.0493179433368471E-3</v>
      </c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spans="1:19" customFormat="1" x14ac:dyDescent="0.25">
      <c r="A164" s="22">
        <v>0.95499999999999996</v>
      </c>
      <c r="B164" s="23">
        <v>3873.9650546399116</v>
      </c>
      <c r="C164" s="24">
        <v>1.0482180293502896E-3</v>
      </c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spans="1:19" customFormat="1" x14ac:dyDescent="0.25">
      <c r="A165" s="22">
        <v>0.95599999999999996</v>
      </c>
      <c r="B165" s="23">
        <v>3878.0215625505289</v>
      </c>
      <c r="C165" s="24">
        <v>1.0471204188480243E-3</v>
      </c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spans="1:19" customFormat="1" x14ac:dyDescent="0.25">
      <c r="A166" s="22">
        <v>0.95699999999999996</v>
      </c>
      <c r="B166" s="23">
        <v>3882.0780704611466</v>
      </c>
      <c r="C166" s="24">
        <v>1.0460251046024993E-3</v>
      </c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spans="1:19" customFormat="1" x14ac:dyDescent="0.25">
      <c r="A167" s="22">
        <v>0.95799999999999996</v>
      </c>
      <c r="B167" s="23">
        <v>3886.1345783717643</v>
      </c>
      <c r="C167" s="24">
        <v>1.0449320794148065E-3</v>
      </c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spans="1:19" customFormat="1" x14ac:dyDescent="0.25">
      <c r="A168" s="22">
        <v>0.95899999999999996</v>
      </c>
      <c r="B168" s="23">
        <v>3890.1910862823811</v>
      </c>
      <c r="C168" s="24">
        <v>1.0438413361166798E-3</v>
      </c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spans="1:19" customFormat="1" x14ac:dyDescent="0.25">
      <c r="A169" s="22">
        <v>0.96</v>
      </c>
      <c r="B169" s="23">
        <v>3894.2475941929993</v>
      </c>
      <c r="C169" s="24">
        <v>1.0427528675704956E-3</v>
      </c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spans="1:19" customFormat="1" x14ac:dyDescent="0.25">
      <c r="A170" s="22">
        <v>0.96099999999999997</v>
      </c>
      <c r="B170" s="23">
        <v>3898.3041021036165</v>
      </c>
      <c r="C170" s="24">
        <v>1.0416666666666075E-3</v>
      </c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spans="1:19" customFormat="1" x14ac:dyDescent="0.25">
      <c r="A171" s="22">
        <v>0.96199999999999997</v>
      </c>
      <c r="B171" s="23">
        <v>3902.3606100142333</v>
      </c>
      <c r="C171" s="24">
        <v>1.0405827263264555E-3</v>
      </c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spans="1:19" customFormat="1" x14ac:dyDescent="0.25">
      <c r="A172" s="22">
        <v>0.96299999999999997</v>
      </c>
      <c r="B172" s="23">
        <v>3906.4171179248519</v>
      </c>
      <c r="C172" s="24">
        <v>1.0395010395012338E-3</v>
      </c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spans="1:19" customFormat="1" x14ac:dyDescent="0.25">
      <c r="A173" s="22">
        <v>0.96399999999999997</v>
      </c>
      <c r="B173" s="23">
        <v>3910.4736258354696</v>
      </c>
      <c r="C173" s="24">
        <v>1.0384215991692258E-3</v>
      </c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spans="1:19" customFormat="1" x14ac:dyDescent="0.25">
      <c r="A174" s="22">
        <v>0.96499999999999997</v>
      </c>
      <c r="B174" s="23">
        <v>3914.5301337460883</v>
      </c>
      <c r="C174" s="24">
        <v>1.0373443983404673E-3</v>
      </c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spans="1:19" customFormat="1" x14ac:dyDescent="0.25">
      <c r="A175" s="22">
        <v>0.96599999999999997</v>
      </c>
      <c r="B175" s="23">
        <v>3918.586641656706</v>
      </c>
      <c r="C175" s="24">
        <v>1.0362694300518616E-3</v>
      </c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spans="1:19" customFormat="1" x14ac:dyDescent="0.25">
      <c r="A176" s="22">
        <v>0.96699999999999997</v>
      </c>
      <c r="B176" s="23">
        <v>3922.6431495673232</v>
      </c>
      <c r="C176" s="24">
        <v>1.0351966873705098E-3</v>
      </c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spans="1:19" customFormat="1" x14ac:dyDescent="0.25">
      <c r="A177" s="22">
        <v>0.96799999999999997</v>
      </c>
      <c r="B177" s="23">
        <v>3926.6996574779409</v>
      </c>
      <c r="C177" s="24">
        <v>1.0341261633919352E-3</v>
      </c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spans="1:19" customFormat="1" x14ac:dyDescent="0.25">
      <c r="A178" s="22">
        <v>0.96899999999999997</v>
      </c>
      <c r="B178" s="23">
        <v>3930.7561653885587</v>
      </c>
      <c r="C178" s="24">
        <v>1.0330578512396382E-3</v>
      </c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customFormat="1" x14ac:dyDescent="0.25">
      <c r="A179" s="22">
        <v>0.97</v>
      </c>
      <c r="B179" s="23">
        <v>3934.8126732991759</v>
      </c>
      <c r="C179" s="24">
        <v>1.0319917440659854E-3</v>
      </c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customFormat="1" x14ac:dyDescent="0.25">
      <c r="A180" s="22">
        <v>0.97099999999999997</v>
      </c>
      <c r="B180" s="23">
        <v>3938.8691812097927</v>
      </c>
      <c r="C180" s="24">
        <v>1.0309278350513207E-3</v>
      </c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customFormat="1" x14ac:dyDescent="0.25">
      <c r="A181" s="22">
        <v>0.97199999999999998</v>
      </c>
      <c r="B181" s="23">
        <v>3942.9256891204109</v>
      </c>
      <c r="C181" s="24">
        <v>1.029866117404854E-3</v>
      </c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customFormat="1" x14ac:dyDescent="0.25">
      <c r="A182" s="22">
        <v>0.97299999999999998</v>
      </c>
      <c r="B182" s="23">
        <v>3946.9821970310281</v>
      </c>
      <c r="C182" s="24">
        <v>1.0288065843619965E-3</v>
      </c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customFormat="1" x14ac:dyDescent="0.25">
      <c r="A183" s="22">
        <v>0.97399999999999998</v>
      </c>
      <c r="B183" s="23">
        <v>3951.0387049416458</v>
      </c>
      <c r="C183" s="24">
        <v>1.0277492291881352E-3</v>
      </c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customFormat="1" x14ac:dyDescent="0.25">
      <c r="A184" s="22">
        <v>0.97499999999999998</v>
      </c>
      <c r="B184" s="23">
        <v>3955.095212852264</v>
      </c>
      <c r="C184" s="24">
        <v>1.0266940451746365E-3</v>
      </c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customFormat="1" x14ac:dyDescent="0.25">
      <c r="A185" s="22">
        <v>0.97599999999999998</v>
      </c>
      <c r="B185" s="23">
        <v>3959.1517207628808</v>
      </c>
      <c r="C185" s="24">
        <v>1.0256410256408444E-3</v>
      </c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customFormat="1" x14ac:dyDescent="0.25">
      <c r="A186" s="22">
        <v>0.97699999999999998</v>
      </c>
      <c r="B186" s="23">
        <v>3963.208228673499</v>
      </c>
      <c r="C186" s="24">
        <v>1.0245901639345245E-3</v>
      </c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customFormat="1" x14ac:dyDescent="0.25">
      <c r="A187" s="22">
        <v>0.97799999999999998</v>
      </c>
      <c r="B187" s="23">
        <v>3967.2647365841171</v>
      </c>
      <c r="C187" s="24">
        <v>1.0235414534289777E-3</v>
      </c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customFormat="1" x14ac:dyDescent="0.25">
      <c r="A188" s="22">
        <v>0.97899999999999998</v>
      </c>
      <c r="B188" s="23">
        <v>3971.3212444947344</v>
      </c>
      <c r="C188" s="24">
        <v>1.0224948875254825E-3</v>
      </c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customFormat="1" x14ac:dyDescent="0.25">
      <c r="A189" s="22">
        <v>0.98</v>
      </c>
      <c r="B189" s="23">
        <v>3975.3777524053535</v>
      </c>
      <c r="C189" s="24">
        <v>1.0214504596530727E-3</v>
      </c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customFormat="1" x14ac:dyDescent="0.25">
      <c r="A190" s="22">
        <v>0.98099999999999998</v>
      </c>
      <c r="B190" s="23">
        <v>3979.4342603159716</v>
      </c>
      <c r="C190" s="24">
        <v>1.0204081632654294E-3</v>
      </c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customFormat="1" x14ac:dyDescent="0.25">
      <c r="A191" s="22">
        <v>0.98199999999999998</v>
      </c>
      <c r="B191" s="23">
        <v>3983.4907682265894</v>
      </c>
      <c r="C191" s="24">
        <v>1.0193679918450993E-3</v>
      </c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customFormat="1" x14ac:dyDescent="0.25">
      <c r="A192" s="22">
        <v>0.98299999999999998</v>
      </c>
      <c r="B192" s="23">
        <v>3987.5472761372071</v>
      </c>
      <c r="C192" s="24">
        <v>1.0183299389001643E-3</v>
      </c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customFormat="1" x14ac:dyDescent="0.25">
      <c r="A193" s="22">
        <v>0.98399999999999999</v>
      </c>
      <c r="B193" s="23">
        <v>3991.6037840478243</v>
      </c>
      <c r="C193" s="24">
        <v>1.0172939979653517E-3</v>
      </c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customFormat="1" x14ac:dyDescent="0.25">
      <c r="A194" s="22">
        <v>0.98499999999999999</v>
      </c>
      <c r="B194" s="23">
        <v>3995.660291958442</v>
      </c>
      <c r="C194" s="24">
        <v>1.0162601626015899E-3</v>
      </c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customFormat="1" x14ac:dyDescent="0.25">
      <c r="A195" s="22">
        <v>0.98599999999999999</v>
      </c>
      <c r="B195" s="23">
        <v>3999.7167998690593</v>
      </c>
      <c r="C195" s="24">
        <v>1.0152284263957867E-3</v>
      </c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customFormat="1" x14ac:dyDescent="0.25">
      <c r="A196" s="22">
        <v>0.98699999999999999</v>
      </c>
      <c r="B196" s="23">
        <v>4003.7733077796779</v>
      </c>
      <c r="C196" s="24">
        <v>1.0141987829617172E-3</v>
      </c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customFormat="1" x14ac:dyDescent="0.25">
      <c r="A197" s="22">
        <v>0.98799999999999999</v>
      </c>
      <c r="B197" s="23">
        <v>4007.8298156902947</v>
      </c>
      <c r="C197" s="24">
        <v>1.0131712259369152E-3</v>
      </c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customFormat="1" x14ac:dyDescent="0.25">
      <c r="A198" s="22">
        <v>0.98899999999999999</v>
      </c>
      <c r="B198" s="23">
        <v>4011.8863236009129</v>
      </c>
      <c r="C198" s="24">
        <v>1.0121457489880026E-3</v>
      </c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customFormat="1" x14ac:dyDescent="0.25">
      <c r="A199" s="22">
        <v>0.99</v>
      </c>
      <c r="B199" s="23">
        <v>4015.9428315115306</v>
      </c>
      <c r="C199" s="24">
        <v>1.0111223458038054E-3</v>
      </c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customFormat="1" x14ac:dyDescent="0.25">
      <c r="A200" s="22">
        <v>0.99099999999999999</v>
      </c>
      <c r="B200" s="23">
        <v>4019.9993394221488</v>
      </c>
      <c r="C200" s="24">
        <v>1.0101010101011276E-3</v>
      </c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customFormat="1" x14ac:dyDescent="0.25">
      <c r="A201" s="22">
        <v>0.99199999999999999</v>
      </c>
      <c r="B201" s="23">
        <v>4024.0558473327669</v>
      </c>
      <c r="C201" s="24">
        <v>1.0090817356207538E-3</v>
      </c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customFormat="1" x14ac:dyDescent="0.25">
      <c r="A202" s="22">
        <v>0.99299999999999999</v>
      </c>
      <c r="B202" s="23">
        <v>4028.1123552433837</v>
      </c>
      <c r="C202" s="24">
        <v>1.0080645161287816E-3</v>
      </c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customFormat="1" x14ac:dyDescent="0.25">
      <c r="A203" s="22">
        <v>0.99399999999999999</v>
      </c>
      <c r="B203" s="23">
        <v>4032.1688631540005</v>
      </c>
      <c r="C203" s="24">
        <v>1.0070493454177321E-3</v>
      </c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customFormat="1" x14ac:dyDescent="0.25">
      <c r="A204" s="22">
        <v>0.995</v>
      </c>
      <c r="B204" s="23">
        <v>4036.2253710646196</v>
      </c>
      <c r="C204" s="24">
        <v>1.0060362173041071E-3</v>
      </c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customFormat="1" x14ac:dyDescent="0.25">
      <c r="A205" s="22">
        <v>0.996</v>
      </c>
      <c r="B205" s="23">
        <v>4040.2818789752373</v>
      </c>
      <c r="C205" s="24">
        <v>1.0050251256281673E-3</v>
      </c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customFormat="1" x14ac:dyDescent="0.25">
      <c r="A206" s="22">
        <v>0.997</v>
      </c>
      <c r="B206" s="23">
        <v>4044.338386885855</v>
      </c>
      <c r="C206" s="24">
        <v>1.0040160642570406E-3</v>
      </c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customFormat="1" x14ac:dyDescent="0.25">
      <c r="A207" s="22">
        <v>0.998</v>
      </c>
      <c r="B207" s="23">
        <v>4048.3948947964732</v>
      </c>
      <c r="C207" s="24">
        <v>1.0030090270813918E-3</v>
      </c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customFormat="1" x14ac:dyDescent="0.25">
      <c r="A208" s="22">
        <v>0.999</v>
      </c>
      <c r="B208" s="23">
        <v>4052.4514027070909</v>
      </c>
      <c r="C208" s="24">
        <v>1.0020040080160886E-3</v>
      </c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customFormat="1" x14ac:dyDescent="0.25">
      <c r="A209" s="25">
        <v>1</v>
      </c>
      <c r="B209" s="26">
        <v>5408.6772141569454</v>
      </c>
      <c r="C209" s="27">
        <v>0.33466800133466812</v>
      </c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customFormat="1" x14ac:dyDescent="0.25">
      <c r="A210" s="28">
        <v>1.0009999999999999</v>
      </c>
      <c r="B210" s="29">
        <v>5413.5450236496854</v>
      </c>
      <c r="C210" s="30">
        <v>9.9999999999966782E-4</v>
      </c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customFormat="1" x14ac:dyDescent="0.25">
      <c r="A211" s="28">
        <v>1.002</v>
      </c>
      <c r="B211" s="29">
        <v>5418.4128331424272</v>
      </c>
      <c r="C211" s="30">
        <v>9.9900099900129824E-4</v>
      </c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customFormat="1" x14ac:dyDescent="0.25">
      <c r="A212" s="28">
        <v>1.0029999999999999</v>
      </c>
      <c r="B212" s="29">
        <v>5423.2806426351681</v>
      </c>
      <c r="C212" s="30">
        <v>9.9800399201588341E-4</v>
      </c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customFormat="1" x14ac:dyDescent="0.25">
      <c r="A213" s="28">
        <v>1.004</v>
      </c>
      <c r="B213" s="29">
        <v>5428.148452127909</v>
      </c>
      <c r="C213" s="30">
        <v>9.9700897308085956E-4</v>
      </c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customFormat="1" x14ac:dyDescent="0.25">
      <c r="A214" s="28">
        <v>1.0049999999999999</v>
      </c>
      <c r="B214" s="29">
        <v>5433.0162616206508</v>
      </c>
      <c r="C214" s="30">
        <v>9.960159362549792E-4</v>
      </c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customFormat="1" x14ac:dyDescent="0.25">
      <c r="A215" s="28">
        <v>1.006</v>
      </c>
      <c r="B215" s="29">
        <v>5437.8840711133926</v>
      </c>
      <c r="C215" s="30">
        <v>9.9502487562208586E-4</v>
      </c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customFormat="1" x14ac:dyDescent="0.25">
      <c r="A216" s="28">
        <v>1.0069999999999999</v>
      </c>
      <c r="B216" s="29">
        <v>5442.7518806061335</v>
      </c>
      <c r="C216" s="30">
        <v>9.9403578528800551E-4</v>
      </c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customFormat="1" x14ac:dyDescent="0.25">
      <c r="A217" s="28">
        <v>1.008</v>
      </c>
      <c r="B217" s="29">
        <v>5447.6196900988743</v>
      </c>
      <c r="C217" s="30">
        <v>9.930486593843213E-4</v>
      </c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customFormat="1" x14ac:dyDescent="0.25">
      <c r="A218" s="28">
        <v>1.0089999999999999</v>
      </c>
      <c r="B218" s="29">
        <v>5452.4874995916161</v>
      </c>
      <c r="C218" s="30">
        <v>9.9206349206348854E-4</v>
      </c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customFormat="1" x14ac:dyDescent="0.25">
      <c r="A219" s="28">
        <v>1.01</v>
      </c>
      <c r="B219" s="29">
        <v>5457.3553090843579</v>
      </c>
      <c r="C219" s="30">
        <v>9.9108027750260952E-4</v>
      </c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customFormat="1" x14ac:dyDescent="0.25">
      <c r="A220" s="28">
        <v>1.0109999999999999</v>
      </c>
      <c r="B220" s="29">
        <v>5462.2231185770979</v>
      </c>
      <c r="C220" s="30">
        <v>9.9009900990076893E-4</v>
      </c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customFormat="1" x14ac:dyDescent="0.25">
      <c r="A221" s="28">
        <v>1.012</v>
      </c>
      <c r="B221" s="29">
        <v>5467.0909280698397</v>
      </c>
      <c r="C221" s="30">
        <v>9.8911968348169843E-4</v>
      </c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customFormat="1" x14ac:dyDescent="0.25">
      <c r="A222" s="28">
        <v>1.0129999999999999</v>
      </c>
      <c r="B222" s="29">
        <v>5471.9587375625815</v>
      </c>
      <c r="C222" s="30">
        <v>9.8814229249022389E-4</v>
      </c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customFormat="1" x14ac:dyDescent="0.25">
      <c r="A223" s="28">
        <v>1.014</v>
      </c>
      <c r="B223" s="29">
        <v>5476.8265470553224</v>
      </c>
      <c r="C223" s="30">
        <v>9.8716683119448589E-4</v>
      </c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customFormat="1" x14ac:dyDescent="0.25">
      <c r="A224" s="28">
        <v>1.0149999999999999</v>
      </c>
      <c r="B224" s="29">
        <v>5481.6943565480633</v>
      </c>
      <c r="C224" s="30">
        <v>9.8619329388549559E-4</v>
      </c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customFormat="1" x14ac:dyDescent="0.25">
      <c r="A225" s="28">
        <v>1.016</v>
      </c>
      <c r="B225" s="29">
        <v>5486.562166040806</v>
      </c>
      <c r="C225" s="30">
        <v>9.8522167487713475E-4</v>
      </c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customFormat="1" x14ac:dyDescent="0.25">
      <c r="A226" s="28">
        <v>1.0169999999999999</v>
      </c>
      <c r="B226" s="29">
        <v>5491.4299755335451</v>
      </c>
      <c r="C226" s="30">
        <v>9.8425196850371321E-4</v>
      </c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customFormat="1" x14ac:dyDescent="0.25">
      <c r="A227" s="28">
        <v>1.018</v>
      </c>
      <c r="B227" s="29">
        <v>5496.2977850262887</v>
      </c>
      <c r="C227" s="30">
        <v>9.8328416912507599E-4</v>
      </c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customFormat="1" x14ac:dyDescent="0.25">
      <c r="A228" s="28">
        <v>1.0189999999999999</v>
      </c>
      <c r="B228" s="29">
        <v>5501.1655945190278</v>
      </c>
      <c r="C228" s="30">
        <v>9.8231827111971981E-4</v>
      </c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customFormat="1" x14ac:dyDescent="0.25">
      <c r="A229" s="28">
        <v>1.02</v>
      </c>
      <c r="B229" s="29">
        <v>5506.0334040117687</v>
      </c>
      <c r="C229" s="30">
        <v>9.8135426889101041E-4</v>
      </c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customFormat="1" x14ac:dyDescent="0.25">
      <c r="A230" s="28">
        <v>1.0209999999999999</v>
      </c>
      <c r="B230" s="29">
        <v>5510.9012135045105</v>
      </c>
      <c r="C230" s="30">
        <v>9.8039215686274161E-4</v>
      </c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customFormat="1" x14ac:dyDescent="0.25">
      <c r="A231" s="28">
        <v>1.022</v>
      </c>
      <c r="B231" s="29">
        <v>5515.7690229972523</v>
      </c>
      <c r="C231" s="30">
        <v>9.7943192948091173E-4</v>
      </c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customFormat="1" x14ac:dyDescent="0.25">
      <c r="A232" s="28">
        <v>1.0229999999999999</v>
      </c>
      <c r="B232" s="29">
        <v>5520.6368324899922</v>
      </c>
      <c r="C232" s="30">
        <v>9.7847358121305739E-4</v>
      </c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customFormat="1" x14ac:dyDescent="0.25">
      <c r="A233" s="28">
        <v>1.024</v>
      </c>
      <c r="B233" s="29">
        <v>5525.504641982734</v>
      </c>
      <c r="C233" s="30">
        <v>9.7751710654958579E-4</v>
      </c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customFormat="1" x14ac:dyDescent="0.25">
      <c r="A234" s="28">
        <v>1.0249999999999999</v>
      </c>
      <c r="B234" s="29">
        <v>5530.3724514754758</v>
      </c>
      <c r="C234" s="30">
        <v>9.765625E-4</v>
      </c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customFormat="1" x14ac:dyDescent="0.25">
      <c r="A235" s="28">
        <v>1.026</v>
      </c>
      <c r="B235" s="29">
        <v>5535.2402609682176</v>
      </c>
      <c r="C235" s="30">
        <v>9.7560975609756184E-4</v>
      </c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customFormat="1" x14ac:dyDescent="0.25">
      <c r="A236" s="28">
        <v>1.0269999999999999</v>
      </c>
      <c r="B236" s="29">
        <v>5540.1080704609576</v>
      </c>
      <c r="C236" s="30">
        <v>9.7465886939551716E-4</v>
      </c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customFormat="1" x14ac:dyDescent="0.25">
      <c r="A237" s="28">
        <v>1.028</v>
      </c>
      <c r="B237" s="29">
        <v>5544.9758799536994</v>
      </c>
      <c r="C237" s="30">
        <v>9.7370983446953829E-4</v>
      </c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customFormat="1" x14ac:dyDescent="0.25">
      <c r="A238" s="28">
        <v>1.0289999999999999</v>
      </c>
      <c r="B238" s="29">
        <v>5549.8436894464412</v>
      </c>
      <c r="C238" s="30">
        <v>9.7276264591439343E-4</v>
      </c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customFormat="1" x14ac:dyDescent="0.25">
      <c r="A239" s="28">
        <v>1.03</v>
      </c>
      <c r="B239" s="29">
        <v>5554.711498939183</v>
      </c>
      <c r="C239" s="30">
        <v>9.7181729834794339E-4</v>
      </c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customFormat="1" x14ac:dyDescent="0.25">
      <c r="A240" s="28">
        <v>1.0309999999999999</v>
      </c>
      <c r="B240" s="29">
        <v>5559.579308431923</v>
      </c>
      <c r="C240" s="30">
        <v>9.7087378640758892E-4</v>
      </c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customFormat="1" x14ac:dyDescent="0.25">
      <c r="A241" s="28">
        <v>1.032</v>
      </c>
      <c r="B241" s="29">
        <v>5564.4471179246648</v>
      </c>
      <c r="C241" s="30">
        <v>9.6993210475271319E-4</v>
      </c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customFormat="1" x14ac:dyDescent="0.25">
      <c r="A242" s="28">
        <v>1.0329999999999999</v>
      </c>
      <c r="B242" s="29">
        <v>5569.3149274174066</v>
      </c>
      <c r="C242" s="30">
        <v>9.6899224806201723E-4</v>
      </c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customFormat="1" x14ac:dyDescent="0.25">
      <c r="A243" s="28">
        <v>1.034</v>
      </c>
      <c r="B243" s="29">
        <v>5574.1827369101484</v>
      </c>
      <c r="C243" s="30">
        <v>9.6805421103596245E-4</v>
      </c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customFormat="1" x14ac:dyDescent="0.25">
      <c r="A244" s="28">
        <v>1.0349999999999999</v>
      </c>
      <c r="B244" s="29">
        <v>5579.0505464028902</v>
      </c>
      <c r="C244" s="30">
        <v>9.6711798839455021E-4</v>
      </c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customFormat="1" x14ac:dyDescent="0.25">
      <c r="A245" s="28">
        <v>1.036</v>
      </c>
      <c r="B245" s="29">
        <v>5583.9183558956329</v>
      </c>
      <c r="C245" s="30">
        <v>9.6618357487954221E-4</v>
      </c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customFormat="1" x14ac:dyDescent="0.25">
      <c r="A246" s="28">
        <v>1.0369999999999999</v>
      </c>
      <c r="B246" s="29">
        <v>5588.786165388372</v>
      </c>
      <c r="C246" s="30">
        <v>9.6525096525068577E-4</v>
      </c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customFormat="1" x14ac:dyDescent="0.25">
      <c r="A247" s="28">
        <v>1.038</v>
      </c>
      <c r="B247" s="29">
        <v>5593.6539748811156</v>
      </c>
      <c r="C247" s="30">
        <v>9.6432015429148699E-4</v>
      </c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customFormat="1" x14ac:dyDescent="0.25">
      <c r="A248" s="28">
        <v>1.0389999999999999</v>
      </c>
      <c r="B248" s="29">
        <v>5598.5217843738556</v>
      </c>
      <c r="C248" s="30">
        <v>9.6339113680121713E-4</v>
      </c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customFormat="1" x14ac:dyDescent="0.25">
      <c r="A249" s="28">
        <v>1.04</v>
      </c>
      <c r="B249" s="29">
        <v>5603.3895938665974</v>
      </c>
      <c r="C249" s="30">
        <v>9.6246390760379441E-4</v>
      </c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customFormat="1" x14ac:dyDescent="0.25">
      <c r="A250" s="28">
        <v>1.0409999999999999</v>
      </c>
      <c r="B250" s="29">
        <v>5608.2574033593392</v>
      </c>
      <c r="C250" s="30">
        <v>9.6153846153845812E-4</v>
      </c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customFormat="1" x14ac:dyDescent="0.25">
      <c r="A251" s="28">
        <v>1.042</v>
      </c>
      <c r="B251" s="29">
        <v>5613.1252128520809</v>
      </c>
      <c r="C251" s="30">
        <v>9.6061479346798428E-4</v>
      </c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customFormat="1" x14ac:dyDescent="0.25">
      <c r="A252" s="28">
        <v>1.0429999999999999</v>
      </c>
      <c r="B252" s="29">
        <v>5617.9930223448227</v>
      </c>
      <c r="C252" s="30">
        <v>9.596928982724684E-4</v>
      </c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customFormat="1" x14ac:dyDescent="0.25">
      <c r="A253" s="28">
        <v>1.044</v>
      </c>
      <c r="B253" s="29">
        <v>5622.8608318375645</v>
      </c>
      <c r="C253" s="30">
        <v>9.5877277085332224E-4</v>
      </c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customFormat="1" x14ac:dyDescent="0.25">
      <c r="A254" s="28">
        <v>1.0449999999999999</v>
      </c>
      <c r="B254" s="29">
        <v>5627.7286413303045</v>
      </c>
      <c r="C254" s="30">
        <v>9.5785440613016526E-4</v>
      </c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customFormat="1" x14ac:dyDescent="0.25">
      <c r="A255" s="28">
        <v>1.046</v>
      </c>
      <c r="B255" s="29">
        <v>5632.5964508230463</v>
      </c>
      <c r="C255" s="30">
        <v>9.5693779904304499E-4</v>
      </c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customFormat="1" x14ac:dyDescent="0.25">
      <c r="A256" s="28">
        <v>1.0469999999999999</v>
      </c>
      <c r="B256" s="29">
        <v>5637.4642603157881</v>
      </c>
      <c r="C256" s="30">
        <v>9.5602294455066072E-4</v>
      </c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customFormat="1" x14ac:dyDescent="0.25">
      <c r="A257" s="28">
        <v>1.048</v>
      </c>
      <c r="B257" s="29">
        <v>5642.3320698085299</v>
      </c>
      <c r="C257" s="30">
        <v>9.5510983763147372E-4</v>
      </c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customFormat="1" x14ac:dyDescent="0.25">
      <c r="A258" s="28">
        <v>1.0489999999999999</v>
      </c>
      <c r="B258" s="29">
        <v>5647.1998793012708</v>
      </c>
      <c r="C258" s="30">
        <v>9.5419847328237495E-4</v>
      </c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customFormat="1" x14ac:dyDescent="0.25">
      <c r="A259" s="28">
        <v>1.05</v>
      </c>
      <c r="B259" s="29">
        <v>5652.0676887940117</v>
      </c>
      <c r="C259" s="30">
        <v>9.5328884652046142E-4</v>
      </c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customFormat="1" x14ac:dyDescent="0.25">
      <c r="A260" s="28">
        <v>1.0509999999999999</v>
      </c>
      <c r="B260" s="29">
        <v>5656.9354982867535</v>
      </c>
      <c r="C260" s="30">
        <v>9.5238095238103782E-4</v>
      </c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customFormat="1" x14ac:dyDescent="0.25">
      <c r="A261" s="28">
        <v>1.052</v>
      </c>
      <c r="B261" s="29">
        <v>5661.8033077794944</v>
      </c>
      <c r="C261" s="30">
        <v>9.5147478591806056E-4</v>
      </c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customFormat="1" x14ac:dyDescent="0.25">
      <c r="A262" s="28">
        <v>1.0529999999999999</v>
      </c>
      <c r="B262" s="29">
        <v>5666.6711172722344</v>
      </c>
      <c r="C262" s="30">
        <v>9.5057034220524805E-4</v>
      </c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customFormat="1" x14ac:dyDescent="0.25">
      <c r="A263" s="28">
        <v>1.054</v>
      </c>
      <c r="B263" s="29">
        <v>5671.5389267649771</v>
      </c>
      <c r="C263" s="30">
        <v>9.4966761633452634E-4</v>
      </c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customFormat="1" x14ac:dyDescent="0.25">
      <c r="A264" s="28">
        <v>1.0549999999999999</v>
      </c>
      <c r="B264" s="29">
        <v>5676.4067362577161</v>
      </c>
      <c r="C264" s="30">
        <v>9.4876660341536301E-4</v>
      </c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customFormat="1" x14ac:dyDescent="0.25">
      <c r="A265" s="28">
        <v>1.056</v>
      </c>
      <c r="B265" s="29">
        <v>5681.274545750457</v>
      </c>
      <c r="C265" s="30">
        <v>9.4786729857809782E-4</v>
      </c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customFormat="1" x14ac:dyDescent="0.25">
      <c r="A266" s="28">
        <v>1.0569999999999999</v>
      </c>
      <c r="B266" s="29">
        <v>5686.1423552431988</v>
      </c>
      <c r="C266" s="30">
        <v>9.4696969696972388E-4</v>
      </c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customFormat="1" x14ac:dyDescent="0.25">
      <c r="A267" s="28">
        <v>1.0580000000000001</v>
      </c>
      <c r="B267" s="29">
        <v>5691.0101647359397</v>
      </c>
      <c r="C267" s="30">
        <v>9.4607379375588607E-4</v>
      </c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customFormat="1" x14ac:dyDescent="0.25">
      <c r="A268" s="28">
        <v>1.0589999999999999</v>
      </c>
      <c r="B268" s="29">
        <v>5695.8779742286806</v>
      </c>
      <c r="C268" s="30">
        <v>9.4517958412088099E-4</v>
      </c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customFormat="1" x14ac:dyDescent="0.25">
      <c r="A269" s="28">
        <v>1.06</v>
      </c>
      <c r="B269" s="29">
        <v>5700.7457837214224</v>
      </c>
      <c r="C269" s="30">
        <v>9.442870632672129E-4</v>
      </c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customFormat="1" x14ac:dyDescent="0.25">
      <c r="A270" s="28">
        <v>1.0609999999999999</v>
      </c>
      <c r="B270" s="29">
        <v>5705.6135932141624</v>
      </c>
      <c r="C270" s="30">
        <v>9.433962264149276E-4</v>
      </c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customFormat="1" x14ac:dyDescent="0.25">
      <c r="A271" s="28">
        <v>1.0620000000000001</v>
      </c>
      <c r="B271" s="29">
        <v>5710.481402706906</v>
      </c>
      <c r="C271" s="30">
        <v>9.4250706880338875E-4</v>
      </c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customFormat="1" x14ac:dyDescent="0.25">
      <c r="A272" s="28">
        <v>1.0629999999999999</v>
      </c>
      <c r="B272" s="29">
        <v>5715.349212199646</v>
      </c>
      <c r="C272" s="30">
        <v>9.4161958568705906E-4</v>
      </c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customFormat="1" x14ac:dyDescent="0.25">
      <c r="A273" s="28">
        <v>1.0640000000000001</v>
      </c>
      <c r="B273" s="29">
        <v>5720.217021692386</v>
      </c>
      <c r="C273" s="30">
        <v>9.4073377234238365E-4</v>
      </c>
      <c r="E273" s="147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customFormat="1" x14ac:dyDescent="0.25">
      <c r="A274" s="28">
        <v>1.0649999999999999</v>
      </c>
      <c r="B274" s="29">
        <v>5725.0848311851278</v>
      </c>
      <c r="C274" s="30">
        <v>9.3984962406001848E-4</v>
      </c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spans="1:19" customFormat="1" x14ac:dyDescent="0.25">
      <c r="A275" s="28">
        <v>1.0660000000000001</v>
      </c>
      <c r="B275" s="29">
        <v>5729.9526406778696</v>
      </c>
      <c r="C275" s="30">
        <v>9.3896713615038152E-4</v>
      </c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spans="1:19" customFormat="1" x14ac:dyDescent="0.25">
      <c r="A276" s="28">
        <v>1.0669999999999999</v>
      </c>
      <c r="B276" s="29">
        <v>5734.8204501706095</v>
      </c>
      <c r="C276" s="30">
        <v>9.3808630393965586E-4</v>
      </c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spans="1:19" customFormat="1" x14ac:dyDescent="0.25">
      <c r="A277" s="28">
        <v>1.0680000000000001</v>
      </c>
      <c r="B277" s="29">
        <v>5739.6882596633532</v>
      </c>
      <c r="C277" s="30">
        <v>9.3720712277445273E-4</v>
      </c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spans="1:19" customFormat="1" x14ac:dyDescent="0.25">
      <c r="A278" s="28">
        <v>1.069</v>
      </c>
      <c r="B278" s="29">
        <v>5744.556069156095</v>
      </c>
      <c r="C278" s="30">
        <v>9.3632958801515009E-4</v>
      </c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spans="1:19" customFormat="1" x14ac:dyDescent="0.25">
      <c r="A279" s="28">
        <v>1.07</v>
      </c>
      <c r="B279" s="29">
        <v>5749.4238786488349</v>
      </c>
      <c r="C279" s="30">
        <v>9.3545369504188791E-4</v>
      </c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spans="1:19" customFormat="1" x14ac:dyDescent="0.25">
      <c r="A280" s="28">
        <v>1.071</v>
      </c>
      <c r="B280" s="29">
        <v>5754.2916881415767</v>
      </c>
      <c r="C280" s="30">
        <v>9.3457943925234765E-4</v>
      </c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spans="1:19" customFormat="1" x14ac:dyDescent="0.25">
      <c r="A281" s="28">
        <v>1.0720000000000001</v>
      </c>
      <c r="B281" s="29">
        <v>5759.1594976343176</v>
      </c>
      <c r="C281" s="30">
        <v>9.3370681605975392E-4</v>
      </c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spans="1:19" customFormat="1" x14ac:dyDescent="0.25">
      <c r="A282" s="28">
        <v>1.073</v>
      </c>
      <c r="B282" s="29">
        <v>5764.0273071270603</v>
      </c>
      <c r="C282" s="30">
        <v>9.3283582089553896E-4</v>
      </c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spans="1:19" customFormat="1" x14ac:dyDescent="0.25">
      <c r="A283" s="28">
        <v>1.0740000000000001</v>
      </c>
      <c r="B283" s="29">
        <v>5768.8951166197994</v>
      </c>
      <c r="C283" s="30">
        <v>9.3196644920778837E-4</v>
      </c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spans="1:19" customFormat="1" x14ac:dyDescent="0.25">
      <c r="A284" s="28">
        <v>1.075</v>
      </c>
      <c r="B284" s="29">
        <v>5773.7629261125421</v>
      </c>
      <c r="C284" s="30">
        <v>9.3109869646190724E-4</v>
      </c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spans="1:19" customFormat="1" x14ac:dyDescent="0.25">
      <c r="A285" s="28">
        <v>1.0760000000000001</v>
      </c>
      <c r="B285" s="29">
        <v>5778.630735605283</v>
      </c>
      <c r="C285" s="30">
        <v>9.3023255813950989E-4</v>
      </c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spans="1:19" customFormat="1" x14ac:dyDescent="0.25">
      <c r="A286" s="28">
        <v>1.077</v>
      </c>
      <c r="B286" s="29">
        <v>5783.4985450980257</v>
      </c>
      <c r="C286" s="30">
        <v>9.2936802973975219E-4</v>
      </c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spans="1:19" customFormat="1" x14ac:dyDescent="0.25">
      <c r="A287" s="28">
        <v>1.0780000000000001</v>
      </c>
      <c r="B287" s="29">
        <v>5788.3663545907666</v>
      </c>
      <c r="C287" s="30">
        <v>9.2850510677822129E-4</v>
      </c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spans="1:19" customFormat="1" x14ac:dyDescent="0.25">
      <c r="A288" s="28">
        <v>1.079</v>
      </c>
      <c r="B288" s="29">
        <v>5793.2341640835075</v>
      </c>
      <c r="C288" s="30">
        <v>9.2764378478649157E-4</v>
      </c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spans="1:19" customFormat="1" x14ac:dyDescent="0.25">
      <c r="A289" s="28">
        <v>1.08</v>
      </c>
      <c r="B289" s="29">
        <v>5798.1019735762502</v>
      </c>
      <c r="C289" s="30">
        <v>9.2678405931434504E-4</v>
      </c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spans="1:19" customFormat="1" x14ac:dyDescent="0.25">
      <c r="A290" s="28">
        <v>1.081</v>
      </c>
      <c r="B290" s="29">
        <v>5802.9697830689902</v>
      </c>
      <c r="C290" s="30">
        <v>9.2592592592577461E-4</v>
      </c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spans="1:19" customFormat="1" x14ac:dyDescent="0.25">
      <c r="A291" s="28">
        <v>1.0820000000000001</v>
      </c>
      <c r="B291" s="29">
        <v>5807.8375925617329</v>
      </c>
      <c r="C291" s="30">
        <v>9.2506938020364693E-4</v>
      </c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spans="1:19" customFormat="1" x14ac:dyDescent="0.25">
      <c r="A292" s="28">
        <v>1.083</v>
      </c>
      <c r="B292" s="29">
        <v>5812.7054020544729</v>
      </c>
      <c r="C292" s="30">
        <v>9.2421441774459545E-4</v>
      </c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spans="1:19" customFormat="1" x14ac:dyDescent="0.25">
      <c r="A293" s="28">
        <v>1.0840000000000001</v>
      </c>
      <c r="B293" s="29">
        <v>5817.5732115472147</v>
      </c>
      <c r="C293" s="30">
        <v>9.2336103416457149E-4</v>
      </c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spans="1:19" customFormat="1" x14ac:dyDescent="0.25">
      <c r="A294" s="28">
        <v>1.085</v>
      </c>
      <c r="B294" s="29">
        <v>5822.4410210399565</v>
      </c>
      <c r="C294" s="30">
        <v>9.2250922509218292E-4</v>
      </c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spans="1:19" customFormat="1" x14ac:dyDescent="0.25">
      <c r="A295" s="28">
        <v>1.0860000000000001</v>
      </c>
      <c r="B295" s="29">
        <v>5827.3088305326974</v>
      </c>
      <c r="C295" s="30">
        <v>9.2165898617513342E-4</v>
      </c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spans="1:19" customFormat="1" x14ac:dyDescent="0.25">
      <c r="A296" s="28">
        <v>1.087</v>
      </c>
      <c r="B296" s="29">
        <v>5832.1766400254382</v>
      </c>
      <c r="C296" s="30">
        <v>9.2081031307533756E-4</v>
      </c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spans="1:19" customFormat="1" x14ac:dyDescent="0.25">
      <c r="A297" s="28">
        <v>1.0880000000000001</v>
      </c>
      <c r="B297" s="29">
        <v>5837.0444495181819</v>
      </c>
      <c r="C297" s="30">
        <v>9.1996320147225141E-4</v>
      </c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spans="1:19" customFormat="1" x14ac:dyDescent="0.25">
      <c r="A298" s="28">
        <v>1.089</v>
      </c>
      <c r="B298" s="29">
        <v>5841.9122590109218</v>
      </c>
      <c r="C298" s="30">
        <v>9.1911764705865373E-4</v>
      </c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spans="1:19" customFormat="1" x14ac:dyDescent="0.25">
      <c r="A299" s="28">
        <v>1.0900000000000001</v>
      </c>
      <c r="B299" s="29">
        <v>5846.7800685036636</v>
      </c>
      <c r="C299" s="30">
        <v>9.182736455464191E-4</v>
      </c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spans="1:19" customFormat="1" x14ac:dyDescent="0.25">
      <c r="A300" s="28">
        <v>1.091</v>
      </c>
      <c r="B300" s="29">
        <v>5851.6478779964045</v>
      </c>
      <c r="C300" s="30">
        <v>9.1743119266052275E-4</v>
      </c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spans="1:19" customFormat="1" x14ac:dyDescent="0.25">
      <c r="A301" s="28">
        <v>1.0920000000000001</v>
      </c>
      <c r="B301" s="29">
        <v>5856.5156874891472</v>
      </c>
      <c r="C301" s="30">
        <v>9.1659028414325938E-4</v>
      </c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spans="1:19" customFormat="1" x14ac:dyDescent="0.25">
      <c r="A302" s="28">
        <v>1.093</v>
      </c>
      <c r="B302" s="29">
        <v>5861.3834969818881</v>
      </c>
      <c r="C302" s="30">
        <v>9.157509157509125E-4</v>
      </c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spans="1:19" customFormat="1" x14ac:dyDescent="0.25">
      <c r="A303" s="28">
        <v>1.0940000000000001</v>
      </c>
      <c r="B303" s="29">
        <v>5866.2513064746308</v>
      </c>
      <c r="C303" s="30">
        <v>9.1491308325708509E-4</v>
      </c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spans="1:19" customFormat="1" x14ac:dyDescent="0.25">
      <c r="A304" s="28">
        <v>1.095</v>
      </c>
      <c r="B304" s="29">
        <v>5871.1191159673726</v>
      </c>
      <c r="C304" s="30">
        <v>9.140767824500351E-4</v>
      </c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spans="1:19" customFormat="1" x14ac:dyDescent="0.25">
      <c r="A305" s="28">
        <v>1.0960000000000001</v>
      </c>
      <c r="B305" s="29">
        <v>5875.9869254601126</v>
      </c>
      <c r="C305" s="30">
        <v>9.132420091322313E-4</v>
      </c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spans="1:19" customFormat="1" x14ac:dyDescent="0.25">
      <c r="A306" s="28">
        <v>1.097</v>
      </c>
      <c r="B306" s="29">
        <v>5880.8547349528526</v>
      </c>
      <c r="C306" s="30">
        <v>9.1240875912390607E-4</v>
      </c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customFormat="1" x14ac:dyDescent="0.25">
      <c r="A307" s="28">
        <v>1.0980000000000001</v>
      </c>
      <c r="B307" s="29">
        <v>5885.7225444455944</v>
      </c>
      <c r="C307" s="30">
        <v>9.1157702825905851E-4</v>
      </c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customFormat="1" x14ac:dyDescent="0.25">
      <c r="A308" s="28">
        <v>1.099</v>
      </c>
      <c r="B308" s="29">
        <v>5890.5903539383362</v>
      </c>
      <c r="C308" s="30">
        <v>9.1074681238612065E-4</v>
      </c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customFormat="1" x14ac:dyDescent="0.25">
      <c r="A309" s="31">
        <v>1.1000000000000001</v>
      </c>
      <c r="B309" s="32">
        <v>7501.8352960356924</v>
      </c>
      <c r="C309" s="31">
        <v>0.3011828935395815</v>
      </c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customFormat="1" x14ac:dyDescent="0.25">
      <c r="A310" s="33">
        <v>1.101</v>
      </c>
      <c r="B310" s="34">
        <v>7508.1634483762555</v>
      </c>
      <c r="C310" s="33">
        <v>9.0909090909074841E-4</v>
      </c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customFormat="1" x14ac:dyDescent="0.25">
      <c r="A311" s="33">
        <v>1.1020000000000001</v>
      </c>
      <c r="B311" s="34">
        <v>7514.4916007168213</v>
      </c>
      <c r="C311" s="33">
        <v>9.0826521344267164E-4</v>
      </c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customFormat="1" x14ac:dyDescent="0.25">
      <c r="A312" s="33">
        <v>1.103</v>
      </c>
      <c r="B312" s="34">
        <v>7520.8197530573834</v>
      </c>
      <c r="C312" s="33">
        <v>9.0744101633388752E-4</v>
      </c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customFormat="1" x14ac:dyDescent="0.25">
      <c r="A313" s="33">
        <v>1.1040000000000001</v>
      </c>
      <c r="B313" s="34">
        <v>7527.1479053979474</v>
      </c>
      <c r="C313" s="33">
        <v>9.0661831368987755E-4</v>
      </c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customFormat="1" x14ac:dyDescent="0.25">
      <c r="A314" s="33">
        <v>1.105</v>
      </c>
      <c r="B314" s="34">
        <v>7533.4760577385105</v>
      </c>
      <c r="C314" s="33">
        <v>9.0579710144922387E-4</v>
      </c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customFormat="1" x14ac:dyDescent="0.25">
      <c r="A315" s="33">
        <v>1.1060000000000001</v>
      </c>
      <c r="B315" s="34">
        <v>7539.8042100790735</v>
      </c>
      <c r="C315" s="33">
        <v>9.0497737556560764E-4</v>
      </c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customFormat="1" x14ac:dyDescent="0.25">
      <c r="A316" s="33">
        <v>1.107</v>
      </c>
      <c r="B316" s="34">
        <v>7546.1323624196393</v>
      </c>
      <c r="C316" s="33">
        <v>9.0415913200758702E-4</v>
      </c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customFormat="1" x14ac:dyDescent="0.25">
      <c r="A317" s="33">
        <v>1.1080000000000001</v>
      </c>
      <c r="B317" s="34">
        <v>7552.4605147602015</v>
      </c>
      <c r="C317" s="33">
        <v>9.0334236675682078E-4</v>
      </c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customFormat="1" x14ac:dyDescent="0.25">
      <c r="A318" s="33">
        <v>1.109</v>
      </c>
      <c r="B318" s="34">
        <v>7558.7886671007627</v>
      </c>
      <c r="C318" s="33">
        <v>9.025270758118431E-4</v>
      </c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customFormat="1" x14ac:dyDescent="0.25">
      <c r="A319" s="33">
        <v>1.1100000000000001</v>
      </c>
      <c r="B319" s="34">
        <v>7565.1168194413276</v>
      </c>
      <c r="C319" s="33">
        <v>9.0171325518495493E-4</v>
      </c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customFormat="1" x14ac:dyDescent="0.25">
      <c r="A320" s="33">
        <v>1.111</v>
      </c>
      <c r="B320" s="34">
        <v>7571.4449717818916</v>
      </c>
      <c r="C320" s="33">
        <v>9.0090090090111374E-4</v>
      </c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customFormat="1" x14ac:dyDescent="0.25">
      <c r="A321" s="33">
        <v>1.1120000000000001</v>
      </c>
      <c r="B321" s="34">
        <v>7577.7731241224574</v>
      </c>
      <c r="C321" s="33">
        <v>9.0009000900104219E-4</v>
      </c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customFormat="1" x14ac:dyDescent="0.25">
      <c r="A322" s="33">
        <v>1.113</v>
      </c>
      <c r="B322" s="34">
        <v>7584.1012764630177</v>
      </c>
      <c r="C322" s="33">
        <v>8.9928057553922969E-4</v>
      </c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customFormat="1" x14ac:dyDescent="0.25">
      <c r="A323" s="33">
        <v>1.1140000000000001</v>
      </c>
      <c r="B323" s="34">
        <v>7590.4294288035817</v>
      </c>
      <c r="C323" s="33">
        <v>8.9847259658570877E-4</v>
      </c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customFormat="1" x14ac:dyDescent="0.25">
      <c r="A324" s="33">
        <v>1.115</v>
      </c>
      <c r="B324" s="34">
        <v>7596.7575811441448</v>
      </c>
      <c r="C324" s="33">
        <v>8.9766606822272443E-4</v>
      </c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customFormat="1" x14ac:dyDescent="0.25">
      <c r="A325" s="33">
        <v>1.1160000000000001</v>
      </c>
      <c r="B325" s="34">
        <v>7603.0857334847096</v>
      </c>
      <c r="C325" s="33">
        <v>8.9686098654717661E-4</v>
      </c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customFormat="1" x14ac:dyDescent="0.25">
      <c r="A326" s="33">
        <v>1.117</v>
      </c>
      <c r="B326" s="34">
        <v>7609.41388582527</v>
      </c>
      <c r="C326" s="33">
        <v>8.9605734766995404E-4</v>
      </c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customFormat="1" x14ac:dyDescent="0.25">
      <c r="A327" s="33">
        <v>1.1180000000000001</v>
      </c>
      <c r="B327" s="34">
        <v>7615.7420381658358</v>
      </c>
      <c r="C327" s="33">
        <v>8.9525514771726655E-4</v>
      </c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customFormat="1" x14ac:dyDescent="0.25">
      <c r="A328" s="33">
        <v>1.119</v>
      </c>
      <c r="B328" s="34">
        <v>7622.0701905063997</v>
      </c>
      <c r="C328" s="33">
        <v>8.944543828264262E-4</v>
      </c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customFormat="1" x14ac:dyDescent="0.25">
      <c r="A329" s="33">
        <v>1.1200000000000001</v>
      </c>
      <c r="B329" s="34">
        <v>7628.3983428469619</v>
      </c>
      <c r="C329" s="33">
        <v>8.9365504915095428E-4</v>
      </c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customFormat="1" x14ac:dyDescent="0.25">
      <c r="A330" s="33">
        <v>1.121</v>
      </c>
      <c r="B330" s="34">
        <v>7634.726495187525</v>
      </c>
      <c r="C330" s="33">
        <v>8.9285714285702866E-4</v>
      </c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customFormat="1" x14ac:dyDescent="0.25">
      <c r="A331" s="33">
        <v>1.1220000000000001</v>
      </c>
      <c r="B331" s="34">
        <v>7641.0546475280908</v>
      </c>
      <c r="C331" s="33">
        <v>8.9206066012526009E-4</v>
      </c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customFormat="1" x14ac:dyDescent="0.25">
      <c r="A332" s="33">
        <v>1.123</v>
      </c>
      <c r="B332" s="34">
        <v>7647.382799868652</v>
      </c>
      <c r="C332" s="33">
        <v>8.9126559714758358E-4</v>
      </c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customFormat="1" x14ac:dyDescent="0.25">
      <c r="A333" s="33">
        <v>1.1240000000000001</v>
      </c>
      <c r="B333" s="34">
        <v>7653.7109522092169</v>
      </c>
      <c r="C333" s="33">
        <v>8.9047195013369773E-4</v>
      </c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customFormat="1" x14ac:dyDescent="0.25">
      <c r="A334" s="33">
        <v>1.125</v>
      </c>
      <c r="B334" s="34">
        <v>7660.0391045497799</v>
      </c>
      <c r="C334" s="33">
        <v>8.8967971530240497E-4</v>
      </c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customFormat="1" x14ac:dyDescent="0.25">
      <c r="A335" s="33">
        <v>1.1259999999999999</v>
      </c>
      <c r="B335" s="34">
        <v>7666.3672568903421</v>
      </c>
      <c r="C335" s="33">
        <v>8.8888888888871698E-4</v>
      </c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customFormat="1" x14ac:dyDescent="0.25">
      <c r="A336" s="33">
        <v>1.127</v>
      </c>
      <c r="B336" s="34">
        <v>7672.695409230907</v>
      </c>
      <c r="C336" s="33">
        <v>8.8809946714052401E-4</v>
      </c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customFormat="1" x14ac:dyDescent="0.25">
      <c r="A337" s="33">
        <v>1.1279999999999999</v>
      </c>
      <c r="B337" s="34">
        <v>7679.0235615714701</v>
      </c>
      <c r="C337" s="33">
        <v>8.8731144631748471E-4</v>
      </c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customFormat="1" x14ac:dyDescent="0.25">
      <c r="A338" s="33">
        <v>1.129</v>
      </c>
      <c r="B338" s="34">
        <v>7685.3517139120349</v>
      </c>
      <c r="C338" s="33">
        <v>8.8652482269524491E-4</v>
      </c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customFormat="1" x14ac:dyDescent="0.25">
      <c r="A339" s="33">
        <v>1.1299999999999999</v>
      </c>
      <c r="B339" s="34">
        <v>7691.6798662525962</v>
      </c>
      <c r="C339" s="33">
        <v>8.8573959255944246E-4</v>
      </c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customFormat="1" x14ac:dyDescent="0.25">
      <c r="A340" s="33">
        <v>1.131</v>
      </c>
      <c r="B340" s="34">
        <v>7698.008018593162</v>
      </c>
      <c r="C340" s="33">
        <v>8.8495575221281264E-4</v>
      </c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customFormat="1" x14ac:dyDescent="0.25">
      <c r="A341" s="33">
        <v>1.1319999999999999</v>
      </c>
      <c r="B341" s="34">
        <v>7704.336170933726</v>
      </c>
      <c r="C341" s="33">
        <v>8.8417329796630639E-4</v>
      </c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customFormat="1" x14ac:dyDescent="0.25">
      <c r="A342" s="33">
        <v>1.133</v>
      </c>
      <c r="B342" s="34">
        <v>7710.6643232742899</v>
      </c>
      <c r="C342" s="33">
        <v>8.8339222614841617E-4</v>
      </c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customFormat="1" x14ac:dyDescent="0.25">
      <c r="A343" s="33">
        <v>1.1339999999999999</v>
      </c>
      <c r="B343" s="34">
        <v>7716.9924756148521</v>
      </c>
      <c r="C343" s="33">
        <v>8.8261253309784848E-4</v>
      </c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customFormat="1" x14ac:dyDescent="0.25">
      <c r="A344" s="33">
        <v>1.135</v>
      </c>
      <c r="B344" s="34">
        <v>7723.320627955417</v>
      </c>
      <c r="C344" s="33">
        <v>8.8183421516774274E-4</v>
      </c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customFormat="1" x14ac:dyDescent="0.25">
      <c r="A345" s="33">
        <v>1.1359999999999999</v>
      </c>
      <c r="B345" s="34">
        <v>7729.6487802959773</v>
      </c>
      <c r="C345" s="33">
        <v>8.8105726872211854E-4</v>
      </c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customFormat="1" x14ac:dyDescent="0.25">
      <c r="A346" s="33">
        <v>1.137</v>
      </c>
      <c r="B346" s="34">
        <v>7735.9769326365422</v>
      </c>
      <c r="C346" s="33">
        <v>8.8028169014098268E-4</v>
      </c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customFormat="1" x14ac:dyDescent="0.25">
      <c r="A347" s="33">
        <v>1.1379999999999999</v>
      </c>
      <c r="B347" s="34">
        <v>7742.305084977108</v>
      </c>
      <c r="C347" s="33">
        <v>8.7950747581366784E-4</v>
      </c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customFormat="1" x14ac:dyDescent="0.25">
      <c r="A348" s="33">
        <v>1.139</v>
      </c>
      <c r="B348" s="34">
        <v>7748.633237317672</v>
      </c>
      <c r="C348" s="33">
        <v>8.7873462214416165E-4</v>
      </c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customFormat="1" x14ac:dyDescent="0.25">
      <c r="A349" s="33">
        <v>1.1399999999999999</v>
      </c>
      <c r="B349" s="34">
        <v>7754.9613896582341</v>
      </c>
      <c r="C349" s="33">
        <v>8.7796312554866418E-4</v>
      </c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customFormat="1" x14ac:dyDescent="0.25">
      <c r="A350" s="33">
        <v>1.141</v>
      </c>
      <c r="B350" s="34">
        <v>7761.289541998799</v>
      </c>
      <c r="C350" s="33">
        <v>8.771929824562541E-4</v>
      </c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customFormat="1" x14ac:dyDescent="0.25">
      <c r="A351" s="33">
        <v>1.1419999999999999</v>
      </c>
      <c r="B351" s="34">
        <v>7767.6176943393639</v>
      </c>
      <c r="C351" s="33">
        <v>8.7642418930777843E-4</v>
      </c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customFormat="1" x14ac:dyDescent="0.25">
      <c r="A352" s="33">
        <v>1.143</v>
      </c>
      <c r="B352" s="34">
        <v>7773.9458466799279</v>
      </c>
      <c r="C352" s="33">
        <v>8.756567425569628E-4</v>
      </c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customFormat="1" x14ac:dyDescent="0.25">
      <c r="A353" s="33">
        <v>1.1439999999999999</v>
      </c>
      <c r="B353" s="34">
        <v>7780.2739990204882</v>
      </c>
      <c r="C353" s="33">
        <v>8.7489063866974526E-4</v>
      </c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customFormat="1" x14ac:dyDescent="0.25">
      <c r="A354" s="33">
        <v>1.145</v>
      </c>
      <c r="B354" s="34">
        <v>7786.602151361054</v>
      </c>
      <c r="C354" s="33">
        <v>8.7412587412605269E-4</v>
      </c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customFormat="1" x14ac:dyDescent="0.25">
      <c r="A355" s="33">
        <v>1.1459999999999999</v>
      </c>
      <c r="B355" s="34">
        <v>7792.930303701618</v>
      </c>
      <c r="C355" s="33">
        <v>8.7336244541491581E-4</v>
      </c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customFormat="1" x14ac:dyDescent="0.25">
      <c r="A356" s="33">
        <v>1.147</v>
      </c>
      <c r="B356" s="34">
        <v>7799.2584560421819</v>
      </c>
      <c r="C356" s="33">
        <v>8.7260034904024231E-4</v>
      </c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customFormat="1" x14ac:dyDescent="0.25">
      <c r="A357" s="33">
        <v>1.1479999999999999</v>
      </c>
      <c r="B357" s="34">
        <v>7805.5866083827441</v>
      </c>
      <c r="C357" s="33">
        <v>8.7183958151682006E-4</v>
      </c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customFormat="1" x14ac:dyDescent="0.25">
      <c r="A358" s="33">
        <v>1.149</v>
      </c>
      <c r="B358" s="34">
        <v>7811.9147607233072</v>
      </c>
      <c r="C358" s="33">
        <v>8.7108013937275963E-4</v>
      </c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customFormat="1" x14ac:dyDescent="0.25">
      <c r="A359" s="33">
        <v>1.1499999999999999</v>
      </c>
      <c r="B359" s="34">
        <v>7818.242913063872</v>
      </c>
      <c r="C359" s="33">
        <v>8.7032201914727381E-4</v>
      </c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customFormat="1" x14ac:dyDescent="0.25">
      <c r="A360" s="33">
        <v>1.151</v>
      </c>
      <c r="B360" s="34">
        <v>7824.571065404436</v>
      </c>
      <c r="C360" s="33">
        <v>8.6956521739134374E-4</v>
      </c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customFormat="1" x14ac:dyDescent="0.25">
      <c r="A361" s="33">
        <v>1.1519999999999999</v>
      </c>
      <c r="B361" s="34">
        <v>7830.8992177449982</v>
      </c>
      <c r="C361" s="33">
        <v>8.6880973066882916E-4</v>
      </c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customFormat="1" x14ac:dyDescent="0.25">
      <c r="A362" s="33">
        <v>1.153</v>
      </c>
      <c r="B362" s="34">
        <v>7837.2273700855612</v>
      </c>
      <c r="C362" s="33">
        <v>8.6805555555535818E-4</v>
      </c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customFormat="1" x14ac:dyDescent="0.25">
      <c r="A363" s="33">
        <v>1.1539999999999999</v>
      </c>
      <c r="B363" s="34">
        <v>7843.5555224261261</v>
      </c>
      <c r="C363" s="33">
        <v>8.6730268863854931E-4</v>
      </c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customFormat="1" x14ac:dyDescent="0.25">
      <c r="A364" s="33">
        <v>1.155</v>
      </c>
      <c r="B364" s="34">
        <v>7849.8836747666901</v>
      </c>
      <c r="C364" s="33">
        <v>8.665511265166792E-4</v>
      </c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customFormat="1" x14ac:dyDescent="0.25">
      <c r="A365" s="33">
        <v>1.1559999999999999</v>
      </c>
      <c r="B365" s="34">
        <v>7856.2118271072532</v>
      </c>
      <c r="C365" s="33">
        <v>8.6580086580068105E-4</v>
      </c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customFormat="1" x14ac:dyDescent="0.25">
      <c r="A366" s="33">
        <v>1.157</v>
      </c>
      <c r="B366" s="34">
        <v>7862.5399794478162</v>
      </c>
      <c r="C366" s="33">
        <v>8.6505190311414459E-4</v>
      </c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customFormat="1" x14ac:dyDescent="0.25">
      <c r="A367" s="33">
        <v>1.1579999999999999</v>
      </c>
      <c r="B367" s="34">
        <v>7868.8681317883811</v>
      </c>
      <c r="C367" s="33">
        <v>8.6430423509087362E-4</v>
      </c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customFormat="1" x14ac:dyDescent="0.25">
      <c r="A368" s="33">
        <v>1.159</v>
      </c>
      <c r="B368" s="34">
        <v>7875.1962841289442</v>
      </c>
      <c r="C368" s="33">
        <v>8.6355785837644028E-4</v>
      </c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customFormat="1" x14ac:dyDescent="0.25">
      <c r="A369" s="33">
        <v>1.1599999999999999</v>
      </c>
      <c r="B369" s="34">
        <v>7881.5244364695081</v>
      </c>
      <c r="C369" s="33">
        <v>8.6281276962907327E-4</v>
      </c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customFormat="1" x14ac:dyDescent="0.25">
      <c r="A370" s="33">
        <v>1.161</v>
      </c>
      <c r="B370" s="34">
        <v>7887.8525888100712</v>
      </c>
      <c r="C370" s="33">
        <v>8.6206896551721535E-4</v>
      </c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customFormat="1" x14ac:dyDescent="0.25">
      <c r="A371" s="33">
        <v>1.1619999999999999</v>
      </c>
      <c r="B371" s="34">
        <v>7894.1807411506352</v>
      </c>
      <c r="C371" s="33">
        <v>8.6132644272174375E-4</v>
      </c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customFormat="1" x14ac:dyDescent="0.25">
      <c r="A372" s="33">
        <v>1.163</v>
      </c>
      <c r="B372" s="34">
        <v>7900.5088934911992</v>
      </c>
      <c r="C372" s="33">
        <v>8.6058519793463795E-4</v>
      </c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customFormat="1" x14ac:dyDescent="0.25">
      <c r="A373" s="33">
        <v>1.1639999999999999</v>
      </c>
      <c r="B373" s="34">
        <v>7906.8370458317622</v>
      </c>
      <c r="C373" s="33">
        <v>8.5984522785897965E-4</v>
      </c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customFormat="1" x14ac:dyDescent="0.25">
      <c r="A374" s="33">
        <v>1.165</v>
      </c>
      <c r="B374" s="34">
        <v>7913.1651981723271</v>
      </c>
      <c r="C374" s="33">
        <v>8.5910652920984099E-4</v>
      </c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customFormat="1" x14ac:dyDescent="0.25">
      <c r="A375" s="33">
        <v>1.1659999999999999</v>
      </c>
      <c r="B375" s="34">
        <v>7919.4933505128902</v>
      </c>
      <c r="C375" s="33">
        <v>8.5836909871228606E-4</v>
      </c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customFormat="1" x14ac:dyDescent="0.25">
      <c r="A376" s="33">
        <v>1.167</v>
      </c>
      <c r="B376" s="34">
        <v>7925.821502853456</v>
      </c>
      <c r="C376" s="33">
        <v>8.5763293310470168E-4</v>
      </c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customFormat="1" x14ac:dyDescent="0.25">
      <c r="A377" s="33">
        <v>1.1679999999999999</v>
      </c>
      <c r="B377" s="34">
        <v>7932.1496551940181</v>
      </c>
      <c r="C377" s="33">
        <v>8.5689802913457847E-4</v>
      </c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customFormat="1" x14ac:dyDescent="0.25">
      <c r="A378" s="33">
        <v>1.169</v>
      </c>
      <c r="B378" s="34">
        <v>7938.4778075345857</v>
      </c>
      <c r="C378" s="33">
        <v>8.5616438356206359E-4</v>
      </c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customFormat="1" x14ac:dyDescent="0.25">
      <c r="A379" s="33">
        <v>1.17</v>
      </c>
      <c r="B379" s="34">
        <v>7944.805959875147</v>
      </c>
      <c r="C379" s="33">
        <v>8.5543199315618601E-4</v>
      </c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customFormat="1" x14ac:dyDescent="0.25">
      <c r="A380" s="33">
        <v>1.171</v>
      </c>
      <c r="B380" s="34">
        <v>7951.1341122157119</v>
      </c>
      <c r="C380" s="33">
        <v>8.5470085470107371E-4</v>
      </c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customFormat="1" x14ac:dyDescent="0.25">
      <c r="A381" s="33">
        <v>1.1719999999999999</v>
      </c>
      <c r="B381" s="34">
        <v>7957.4622645562749</v>
      </c>
      <c r="C381" s="33">
        <v>8.5397096498707192E-4</v>
      </c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customFormat="1" x14ac:dyDescent="0.25">
      <c r="A382" s="33">
        <v>1.173</v>
      </c>
      <c r="B382" s="34">
        <v>7963.790416896838</v>
      </c>
      <c r="C382" s="33">
        <v>8.5324232081895879E-4</v>
      </c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customFormat="1" x14ac:dyDescent="0.25">
      <c r="A383" s="33">
        <v>1.1739999999999999</v>
      </c>
      <c r="B383" s="34">
        <v>7970.1185692374029</v>
      </c>
      <c r="C383" s="33">
        <v>8.525149190112824E-4</v>
      </c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customFormat="1" x14ac:dyDescent="0.25">
      <c r="A384" s="33">
        <v>1.175</v>
      </c>
      <c r="B384" s="34">
        <v>7976.4467215779678</v>
      </c>
      <c r="C384" s="33">
        <v>8.5178875638858287E-4</v>
      </c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customFormat="1" x14ac:dyDescent="0.25">
      <c r="A385" s="33">
        <v>1.1759999999999999</v>
      </c>
      <c r="B385" s="34">
        <v>7982.7748739185299</v>
      </c>
      <c r="C385" s="33">
        <v>8.5106382978694661E-4</v>
      </c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customFormat="1" x14ac:dyDescent="0.25">
      <c r="A386" s="33">
        <v>1.177</v>
      </c>
      <c r="B386" s="34">
        <v>7989.103026259093</v>
      </c>
      <c r="C386" s="33">
        <v>8.5034013605445047E-4</v>
      </c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customFormat="1" x14ac:dyDescent="0.25">
      <c r="A387" s="33">
        <v>1.1779999999999999</v>
      </c>
      <c r="B387" s="34">
        <v>7995.4311785996561</v>
      </c>
      <c r="C387" s="33">
        <v>8.4961767204760896E-4</v>
      </c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customFormat="1" x14ac:dyDescent="0.25">
      <c r="A388" s="33">
        <v>1.179</v>
      </c>
      <c r="B388" s="34">
        <v>8001.7593309402191</v>
      </c>
      <c r="C388" s="33">
        <v>8.4889643463492703E-4</v>
      </c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customFormat="1" x14ac:dyDescent="0.25">
      <c r="A389" s="33">
        <v>1.18</v>
      </c>
      <c r="B389" s="34">
        <v>8008.0874832807822</v>
      </c>
      <c r="C389" s="33">
        <v>8.4817642069534571E-4</v>
      </c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customFormat="1" x14ac:dyDescent="0.25">
      <c r="A390" s="33">
        <v>1.181</v>
      </c>
      <c r="B390" s="34">
        <v>8014.4156356213462</v>
      </c>
      <c r="C390" s="33">
        <v>8.4745762711868622E-4</v>
      </c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customFormat="1" x14ac:dyDescent="0.25">
      <c r="A391" s="33">
        <v>1.1819999999999999</v>
      </c>
      <c r="B391" s="34">
        <v>8020.7437879619101</v>
      </c>
      <c r="C391" s="33">
        <v>8.4674005080453973E-4</v>
      </c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customFormat="1" x14ac:dyDescent="0.25">
      <c r="A392" s="33">
        <v>1.1830000000000001</v>
      </c>
      <c r="B392" s="34">
        <v>8027.0719403024741</v>
      </c>
      <c r="C392" s="33">
        <v>8.4602368866315558E-4</v>
      </c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customFormat="1" x14ac:dyDescent="0.25">
      <c r="A393" s="33">
        <v>1.1839999999999999</v>
      </c>
      <c r="B393" s="34">
        <v>8033.4000926430372</v>
      </c>
      <c r="C393" s="33">
        <v>8.4530853761610736E-4</v>
      </c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customFormat="1" x14ac:dyDescent="0.25">
      <c r="A394" s="33">
        <v>1.1850000000000001</v>
      </c>
      <c r="B394" s="34">
        <v>8039.7282449836002</v>
      </c>
      <c r="C394" s="33">
        <v>8.4459459459451658E-4</v>
      </c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customFormat="1" x14ac:dyDescent="0.25">
      <c r="A395" s="33">
        <v>1.1859999999999999</v>
      </c>
      <c r="B395" s="34">
        <v>8046.0563973241651</v>
      </c>
      <c r="C395" s="33">
        <v>8.438818565401629E-4</v>
      </c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customFormat="1" x14ac:dyDescent="0.25">
      <c r="A396" s="33">
        <v>1.1870000000000001</v>
      </c>
      <c r="B396" s="34">
        <v>8052.38454966473</v>
      </c>
      <c r="C396" s="33">
        <v>8.4317032040481799E-4</v>
      </c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customFormat="1" x14ac:dyDescent="0.25">
      <c r="A397" s="33">
        <v>1.1879999999999999</v>
      </c>
      <c r="B397" s="34">
        <v>8058.7127020052949</v>
      </c>
      <c r="C397" s="33">
        <v>8.4245998315091164E-4</v>
      </c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customFormat="1" x14ac:dyDescent="0.25">
      <c r="A398" s="33">
        <v>1.1890000000000001</v>
      </c>
      <c r="B398" s="34">
        <v>8065.040854345858</v>
      </c>
      <c r="C398" s="33">
        <v>8.4175084175086567E-4</v>
      </c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customFormat="1" x14ac:dyDescent="0.25">
      <c r="A399" s="33">
        <v>1.19</v>
      </c>
      <c r="B399" s="34">
        <v>8071.3690066864219</v>
      </c>
      <c r="C399" s="33">
        <v>8.41042893187538E-4</v>
      </c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customFormat="1" x14ac:dyDescent="0.25">
      <c r="A400" s="33">
        <v>1.1910000000000001</v>
      </c>
      <c r="B400" s="34">
        <v>8077.6971590269859</v>
      </c>
      <c r="C400" s="33">
        <v>8.4033613445400057E-4</v>
      </c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customFormat="1" x14ac:dyDescent="0.25">
      <c r="A401" s="33">
        <v>1.1919999999999999</v>
      </c>
      <c r="B401" s="34">
        <v>8084.0253113675499</v>
      </c>
      <c r="C401" s="33">
        <v>8.3963056255242918E-4</v>
      </c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customFormat="1" x14ac:dyDescent="0.25">
      <c r="A402" s="33">
        <v>1.1930000000000001</v>
      </c>
      <c r="B402" s="34">
        <v>8090.3534637081148</v>
      </c>
      <c r="C402" s="33">
        <v>8.3892617449676798E-4</v>
      </c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customFormat="1" x14ac:dyDescent="0.25">
      <c r="A403" s="33">
        <v>1.194</v>
      </c>
      <c r="B403" s="34">
        <v>8096.6816160486778</v>
      </c>
      <c r="C403" s="33">
        <v>8.3822296730917678E-4</v>
      </c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customFormat="1" x14ac:dyDescent="0.25">
      <c r="A404" s="33">
        <v>1.1950000000000001</v>
      </c>
      <c r="B404" s="34">
        <v>8103.0097683892409</v>
      </c>
      <c r="C404" s="33">
        <v>8.3752093802336169E-4</v>
      </c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customFormat="1" x14ac:dyDescent="0.25">
      <c r="A405" s="33">
        <v>1.196</v>
      </c>
      <c r="B405" s="34">
        <v>8109.3379207298058</v>
      </c>
      <c r="C405" s="33">
        <v>8.3682008368213268E-4</v>
      </c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customFormat="1" x14ac:dyDescent="0.25">
      <c r="A406" s="33">
        <v>1.1970000000000001</v>
      </c>
      <c r="B406" s="34">
        <v>8115.6660730703697</v>
      </c>
      <c r="C406" s="33">
        <v>8.361204013378476E-4</v>
      </c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customFormat="1" x14ac:dyDescent="0.25">
      <c r="A407" s="33">
        <v>1.198</v>
      </c>
      <c r="B407" s="34">
        <v>8121.9942254109292</v>
      </c>
      <c r="C407" s="33">
        <v>8.3542188805307838E-4</v>
      </c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customFormat="1" x14ac:dyDescent="0.25">
      <c r="A408" s="33">
        <v>1.1990000000000001</v>
      </c>
      <c r="B408" s="34">
        <v>8128.3223777514941</v>
      </c>
      <c r="C408" s="33">
        <v>8.3472454090172121E-4</v>
      </c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customFormat="1" x14ac:dyDescent="0.25">
      <c r="A409" s="31">
        <v>1.2</v>
      </c>
      <c r="B409" s="32">
        <v>9711.8208057402262</v>
      </c>
      <c r="C409" s="31">
        <v>0.2086995573234105</v>
      </c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customFormat="1" x14ac:dyDescent="0.25">
      <c r="A410" s="33">
        <v>1.2010000000000001</v>
      </c>
      <c r="B410" s="34">
        <v>9719.463266643832</v>
      </c>
      <c r="C410" s="33">
        <v>8.333333333334636E-4</v>
      </c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customFormat="1" x14ac:dyDescent="0.25">
      <c r="A411" s="33">
        <v>1.202</v>
      </c>
      <c r="B411" s="34">
        <v>9727.1057275474341</v>
      </c>
      <c r="C411" s="33">
        <v>8.3263946711054082E-4</v>
      </c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customFormat="1" x14ac:dyDescent="0.25">
      <c r="A412" s="33">
        <v>1.2030000000000001</v>
      </c>
      <c r="B412" s="34">
        <v>9734.7481884510398</v>
      </c>
      <c r="C412" s="33">
        <v>8.3194675540787522E-4</v>
      </c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customFormat="1" x14ac:dyDescent="0.25">
      <c r="A413" s="33">
        <v>1.204</v>
      </c>
      <c r="B413" s="34">
        <v>9742.3906493546419</v>
      </c>
      <c r="C413" s="33">
        <v>8.3125519534466008E-4</v>
      </c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customFormat="1" x14ac:dyDescent="0.25">
      <c r="A414" s="33">
        <v>1.2050000000000001</v>
      </c>
      <c r="B414" s="34">
        <v>9750.0331102582477</v>
      </c>
      <c r="C414" s="33">
        <v>8.3056478405341139E-4</v>
      </c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customFormat="1" x14ac:dyDescent="0.25">
      <c r="A415" s="33">
        <v>1.206</v>
      </c>
      <c r="B415" s="34">
        <v>9757.6755711618498</v>
      </c>
      <c r="C415" s="33">
        <v>8.2987551867197418E-4</v>
      </c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customFormat="1" x14ac:dyDescent="0.25">
      <c r="A416" s="33">
        <v>1.2070000000000001</v>
      </c>
      <c r="B416" s="34">
        <v>9765.3180320654537</v>
      </c>
      <c r="C416" s="33">
        <v>8.2918739635173822E-4</v>
      </c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customFormat="1" x14ac:dyDescent="0.25">
      <c r="A417" s="33">
        <v>1.208</v>
      </c>
      <c r="B417" s="34">
        <v>9772.9604929690613</v>
      </c>
      <c r="C417" s="33">
        <v>8.2850041425053256E-4</v>
      </c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customFormat="1" x14ac:dyDescent="0.25">
      <c r="A418" s="33">
        <v>1.2090000000000001</v>
      </c>
      <c r="B418" s="34">
        <v>9780.6029538726634</v>
      </c>
      <c r="C418" s="33">
        <v>8.2781456953640031E-4</v>
      </c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customFormat="1" x14ac:dyDescent="0.25">
      <c r="A419" s="33">
        <v>1.21</v>
      </c>
      <c r="B419" s="34">
        <v>9788.2454147762674</v>
      </c>
      <c r="C419" s="33">
        <v>8.2712985938804273E-4</v>
      </c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customFormat="1" x14ac:dyDescent="0.25">
      <c r="A420" s="33">
        <v>1.2110000000000001</v>
      </c>
      <c r="B420" s="34">
        <v>9795.8878756798731</v>
      </c>
      <c r="C420" s="33">
        <v>8.2644628099171058E-4</v>
      </c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customFormat="1" x14ac:dyDescent="0.25">
      <c r="A421" s="33">
        <v>1.212</v>
      </c>
      <c r="B421" s="34">
        <v>9803.5303365834734</v>
      </c>
      <c r="C421" s="33">
        <v>8.2576383154386868E-4</v>
      </c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customFormat="1" x14ac:dyDescent="0.25">
      <c r="A422" s="33">
        <v>1.2130000000000001</v>
      </c>
      <c r="B422" s="34">
        <v>9811.1727974870773</v>
      </c>
      <c r="C422" s="33">
        <v>8.2508250825097385E-4</v>
      </c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customFormat="1" x14ac:dyDescent="0.25">
      <c r="A423" s="33">
        <v>1.214</v>
      </c>
      <c r="B423" s="34">
        <v>9818.8152583906813</v>
      </c>
      <c r="C423" s="33">
        <v>8.244023083263663E-4</v>
      </c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customFormat="1" x14ac:dyDescent="0.25">
      <c r="A424" s="33">
        <v>1.2150000000000001</v>
      </c>
      <c r="B424" s="34">
        <v>9826.4577192942852</v>
      </c>
      <c r="C424" s="33">
        <v>8.237232289951546E-4</v>
      </c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customFormat="1" x14ac:dyDescent="0.25">
      <c r="A425" s="33">
        <v>1.216</v>
      </c>
      <c r="B425" s="34">
        <v>9834.1001801978909</v>
      </c>
      <c r="C425" s="33">
        <v>8.230452674897748E-4</v>
      </c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customFormat="1" x14ac:dyDescent="0.25">
      <c r="A426" s="33">
        <v>1.2170000000000001</v>
      </c>
      <c r="B426" s="34">
        <v>9841.7426411014931</v>
      </c>
      <c r="C426" s="33">
        <v>8.2236842105265495E-4</v>
      </c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customFormat="1" x14ac:dyDescent="0.25">
      <c r="A427" s="33">
        <v>1.218</v>
      </c>
      <c r="B427" s="34">
        <v>9849.385102005097</v>
      </c>
      <c r="C427" s="33">
        <v>8.2169268693510489E-4</v>
      </c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customFormat="1" x14ac:dyDescent="0.25">
      <c r="A428" s="33">
        <v>1.2190000000000001</v>
      </c>
      <c r="B428" s="34">
        <v>9857.0275629087009</v>
      </c>
      <c r="C428" s="33">
        <v>8.2101806239731623E-4</v>
      </c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customFormat="1" x14ac:dyDescent="0.25">
      <c r="A429" s="33">
        <v>1.22</v>
      </c>
      <c r="B429" s="34">
        <v>9864.6700238123012</v>
      </c>
      <c r="C429" s="33">
        <v>8.2034454470858442E-4</v>
      </c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customFormat="1" x14ac:dyDescent="0.25">
      <c r="A430" s="33">
        <v>1.2210000000000001</v>
      </c>
      <c r="B430" s="34">
        <v>9872.3124847159052</v>
      </c>
      <c r="C430" s="33">
        <v>8.1967213114753079E-4</v>
      </c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customFormat="1" x14ac:dyDescent="0.25">
      <c r="A431" s="33">
        <v>1.222</v>
      </c>
      <c r="B431" s="34">
        <v>9879.9549456195091</v>
      </c>
      <c r="C431" s="33">
        <v>8.1900081900077026E-4</v>
      </c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customFormat="1" x14ac:dyDescent="0.25">
      <c r="A432" s="33">
        <v>1.2230000000000001</v>
      </c>
      <c r="B432" s="34">
        <v>9887.597406523113</v>
      </c>
      <c r="C432" s="33">
        <v>8.1833060556468773E-4</v>
      </c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customFormat="1" x14ac:dyDescent="0.25">
      <c r="A433" s="33">
        <v>1.224</v>
      </c>
      <c r="B433" s="34">
        <v>9895.239867426717</v>
      </c>
      <c r="C433" s="33">
        <v>8.1766148814388373E-4</v>
      </c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customFormat="1" x14ac:dyDescent="0.25">
      <c r="A434" s="33">
        <v>1.2250000000000001</v>
      </c>
      <c r="B434" s="34">
        <v>9902.8823283303209</v>
      </c>
      <c r="C434" s="33">
        <v>8.1699346405228468E-4</v>
      </c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customFormat="1" x14ac:dyDescent="0.25">
      <c r="A435" s="33">
        <v>1.226</v>
      </c>
      <c r="B435" s="34">
        <v>9910.524789233923</v>
      </c>
      <c r="C435" s="33">
        <v>8.1632653061225469E-4</v>
      </c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customFormat="1" x14ac:dyDescent="0.25">
      <c r="A436" s="33">
        <v>1.2270000000000001</v>
      </c>
      <c r="B436" s="34">
        <v>9918.1672501375251</v>
      </c>
      <c r="C436" s="33">
        <v>8.156606851548176E-4</v>
      </c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customFormat="1" x14ac:dyDescent="0.25">
      <c r="A437" s="33">
        <v>1.228</v>
      </c>
      <c r="B437" s="34">
        <v>9925.809711041129</v>
      </c>
      <c r="C437" s="33">
        <v>8.1499592502032314E-4</v>
      </c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customFormat="1" x14ac:dyDescent="0.25">
      <c r="A438" s="33">
        <v>1.2290000000000001</v>
      </c>
      <c r="B438" s="34">
        <v>9933.4521719447348</v>
      </c>
      <c r="C438" s="33">
        <v>8.1433224755733669E-4</v>
      </c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customFormat="1" x14ac:dyDescent="0.25">
      <c r="A439" s="33">
        <v>1.23</v>
      </c>
      <c r="B439" s="34">
        <v>9941.0946328483369</v>
      </c>
      <c r="C439" s="33">
        <v>8.1366965012197312E-4</v>
      </c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customFormat="1" x14ac:dyDescent="0.25">
      <c r="A440" s="33">
        <v>1.2310000000000001</v>
      </c>
      <c r="B440" s="34">
        <v>9948.7370937519427</v>
      </c>
      <c r="C440" s="33">
        <v>8.1300813008144956E-4</v>
      </c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customFormat="1" x14ac:dyDescent="0.25">
      <c r="A441" s="33">
        <v>1.232</v>
      </c>
      <c r="B441" s="34">
        <v>9956.3795546555448</v>
      </c>
      <c r="C441" s="33">
        <v>8.1234768480897834E-4</v>
      </c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customFormat="1" x14ac:dyDescent="0.25">
      <c r="A442" s="33">
        <v>1.2330000000000001</v>
      </c>
      <c r="B442" s="34">
        <v>9964.0220155591505</v>
      </c>
      <c r="C442" s="33">
        <v>8.1168831168842992E-4</v>
      </c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customFormat="1" x14ac:dyDescent="0.25">
      <c r="A443" s="33">
        <v>1.234</v>
      </c>
      <c r="B443" s="34">
        <v>9971.6644764627563</v>
      </c>
      <c r="C443" s="33">
        <v>8.110300081103361E-4</v>
      </c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customFormat="1" x14ac:dyDescent="0.25">
      <c r="A444" s="33">
        <v>1.2350000000000001</v>
      </c>
      <c r="B444" s="34">
        <v>9979.3069373663566</v>
      </c>
      <c r="C444" s="33">
        <v>8.1037277147455455E-4</v>
      </c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customFormat="1" x14ac:dyDescent="0.25">
      <c r="A445" s="33">
        <v>1.236</v>
      </c>
      <c r="B445" s="34">
        <v>9986.9493982699587</v>
      </c>
      <c r="C445" s="33">
        <v>8.0971659919026884E-4</v>
      </c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customFormat="1" x14ac:dyDescent="0.25">
      <c r="A446" s="33">
        <v>1.2370000000000001</v>
      </c>
      <c r="B446" s="34">
        <v>9994.5918591735608</v>
      </c>
      <c r="C446" s="33">
        <v>8.0906148867310179E-4</v>
      </c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customFormat="1" x14ac:dyDescent="0.25">
      <c r="A447" s="33">
        <v>1.238</v>
      </c>
      <c r="B447" s="34">
        <v>10002.234320077165</v>
      </c>
      <c r="C447" s="33">
        <v>8.0840743734844622E-4</v>
      </c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customFormat="1" x14ac:dyDescent="0.25">
      <c r="A448" s="33">
        <v>1.2390000000000001</v>
      </c>
      <c r="B448" s="34">
        <v>10009.876780980769</v>
      </c>
      <c r="C448" s="33">
        <v>8.077544426494665E-4</v>
      </c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customFormat="1" x14ac:dyDescent="0.25">
      <c r="A449" s="33">
        <v>1.24</v>
      </c>
      <c r="B449" s="34">
        <v>10017.519241884373</v>
      </c>
      <c r="C449" s="33">
        <v>8.0710250201754263E-4</v>
      </c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customFormat="1" x14ac:dyDescent="0.25">
      <c r="A450" s="33">
        <v>1.2410000000000001</v>
      </c>
      <c r="B450" s="34">
        <v>10025.161702787977</v>
      </c>
      <c r="C450" s="33">
        <v>8.0645161290338052E-4</v>
      </c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customFormat="1" x14ac:dyDescent="0.25">
      <c r="A451" s="33">
        <v>1.242</v>
      </c>
      <c r="B451" s="34">
        <v>10032.804163691577</v>
      </c>
      <c r="C451" s="33">
        <v>8.0580177276368126E-4</v>
      </c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customFormat="1" x14ac:dyDescent="0.25">
      <c r="A452" s="33">
        <v>1.2430000000000001</v>
      </c>
      <c r="B452" s="34">
        <v>10040.446624595179</v>
      </c>
      <c r="C452" s="33">
        <v>8.0515297906580408E-4</v>
      </c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customFormat="1" x14ac:dyDescent="0.25">
      <c r="A453" s="33">
        <v>1.244</v>
      </c>
      <c r="B453" s="34">
        <v>10048.089085498785</v>
      </c>
      <c r="C453" s="33">
        <v>8.0450522928421364E-4</v>
      </c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customFormat="1" x14ac:dyDescent="0.25">
      <c r="A454" s="33">
        <v>1.2450000000000001</v>
      </c>
      <c r="B454" s="34">
        <v>10055.73154640239</v>
      </c>
      <c r="C454" s="33">
        <v>8.0385852090048004E-4</v>
      </c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customFormat="1" x14ac:dyDescent="0.25">
      <c r="A455" s="33">
        <v>1.246</v>
      </c>
      <c r="B455" s="34">
        <v>10063.374007305993</v>
      </c>
      <c r="C455" s="33">
        <v>8.0321285140549925E-4</v>
      </c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customFormat="1" x14ac:dyDescent="0.25">
      <c r="A456" s="33">
        <v>1.2470000000000001</v>
      </c>
      <c r="B456" s="34">
        <v>10071.016468209598</v>
      </c>
      <c r="C456" s="33">
        <v>8.0256821829860492E-4</v>
      </c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customFormat="1" x14ac:dyDescent="0.25">
      <c r="A457" s="33">
        <v>1.248</v>
      </c>
      <c r="B457" s="34">
        <v>10078.6589291132</v>
      </c>
      <c r="C457" s="33">
        <v>8.0192461908557E-4</v>
      </c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customFormat="1" x14ac:dyDescent="0.25">
      <c r="A458" s="33">
        <v>1.2490000000000001</v>
      </c>
      <c r="B458" s="34">
        <v>10086.301390016804</v>
      </c>
      <c r="C458" s="33">
        <v>8.0128205128215946E-4</v>
      </c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customFormat="1" x14ac:dyDescent="0.25">
      <c r="A459" s="33">
        <v>1.25</v>
      </c>
      <c r="B459" s="34">
        <v>10093.943850920406</v>
      </c>
      <c r="C459" s="33">
        <v>8.0064051240968936E-4</v>
      </c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customFormat="1" x14ac:dyDescent="0.25">
      <c r="A460" s="33">
        <v>1.2509999999999999</v>
      </c>
      <c r="B460" s="34">
        <v>10101.586311824009</v>
      </c>
      <c r="C460" s="33">
        <v>7.9999999999991189E-4</v>
      </c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customFormat="1" x14ac:dyDescent="0.25">
      <c r="A461" s="33">
        <v>1.252</v>
      </c>
      <c r="B461" s="34">
        <v>10109.228772727616</v>
      </c>
      <c r="C461" s="33">
        <v>7.9936051159101851E-4</v>
      </c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customFormat="1" x14ac:dyDescent="0.25">
      <c r="A462" s="33">
        <v>1.2529999999999999</v>
      </c>
      <c r="B462" s="34">
        <v>10116.87123363122</v>
      </c>
      <c r="C462" s="33">
        <v>7.987220447283061E-4</v>
      </c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customFormat="1" x14ac:dyDescent="0.25">
      <c r="A463" s="33">
        <v>1.254</v>
      </c>
      <c r="B463" s="34">
        <v>10124.513694534826</v>
      </c>
      <c r="C463" s="33">
        <v>7.9808459696750766E-4</v>
      </c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customFormat="1" x14ac:dyDescent="0.25">
      <c r="A464" s="33">
        <v>1.2549999999999999</v>
      </c>
      <c r="B464" s="34">
        <v>10132.156155438428</v>
      </c>
      <c r="C464" s="33">
        <v>7.9744816586901912E-4</v>
      </c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customFormat="1" x14ac:dyDescent="0.25">
      <c r="A465" s="33">
        <v>1.256</v>
      </c>
      <c r="B465" s="34">
        <v>10139.798616342032</v>
      </c>
      <c r="C465" s="33">
        <v>7.9681274900411658E-4</v>
      </c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customFormat="1" x14ac:dyDescent="0.25">
      <c r="A466" s="33">
        <v>1.2569999999999999</v>
      </c>
      <c r="B466" s="34">
        <v>10147.441077245636</v>
      </c>
      <c r="C466" s="33">
        <v>7.9617834394896114E-4</v>
      </c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customFormat="1" x14ac:dyDescent="0.25">
      <c r="A467" s="33">
        <v>1.258</v>
      </c>
      <c r="B467" s="34">
        <v>10155.08353814924</v>
      </c>
      <c r="C467" s="33">
        <v>7.955449482897059E-4</v>
      </c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customFormat="1" x14ac:dyDescent="0.25">
      <c r="A468" s="33">
        <v>1.2589999999999999</v>
      </c>
      <c r="B468" s="34">
        <v>10162.725999052842</v>
      </c>
      <c r="C468" s="33">
        <v>7.9491255961827711E-4</v>
      </c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customFormat="1" x14ac:dyDescent="0.25">
      <c r="A469" s="33">
        <v>1.26</v>
      </c>
      <c r="B469" s="34">
        <v>10170.368459956448</v>
      </c>
      <c r="C469" s="33">
        <v>7.9428117553637101E-4</v>
      </c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customFormat="1" x14ac:dyDescent="0.25">
      <c r="A470" s="33">
        <v>1.2609999999999999</v>
      </c>
      <c r="B470" s="34">
        <v>10178.01092086005</v>
      </c>
      <c r="C470" s="33">
        <v>7.9365079365056879E-4</v>
      </c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customFormat="1" x14ac:dyDescent="0.25">
      <c r="A471" s="33">
        <v>1.262</v>
      </c>
      <c r="B471" s="34">
        <v>10185.653381763655</v>
      </c>
      <c r="C471" s="33">
        <v>7.9302141157810979E-4</v>
      </c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customFormat="1" x14ac:dyDescent="0.25">
      <c r="A472" s="33">
        <v>1.2629999999999999</v>
      </c>
      <c r="B472" s="34">
        <v>10193.295842667256</v>
      </c>
      <c r="C472" s="33">
        <v>7.9239302694134039E-4</v>
      </c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customFormat="1" x14ac:dyDescent="0.25">
      <c r="A473" s="33">
        <v>1.264</v>
      </c>
      <c r="B473" s="34">
        <v>10200.93830357086</v>
      </c>
      <c r="C473" s="33">
        <v>7.9176563737126671E-4</v>
      </c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customFormat="1" x14ac:dyDescent="0.25">
      <c r="A474" s="33">
        <v>1.2649999999999999</v>
      </c>
      <c r="B474" s="34">
        <v>10208.580764474464</v>
      </c>
      <c r="C474" s="33">
        <v>7.9113924050644435E-4</v>
      </c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customFormat="1" x14ac:dyDescent="0.25">
      <c r="A475" s="33">
        <v>1.266</v>
      </c>
      <c r="B475" s="34">
        <v>10216.223225378071</v>
      </c>
      <c r="C475" s="33">
        <v>7.9051383399231234E-4</v>
      </c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customFormat="1" x14ac:dyDescent="0.25">
      <c r="A476" s="33">
        <v>1.2669999999999999</v>
      </c>
      <c r="B476" s="34">
        <v>10223.865686281672</v>
      </c>
      <c r="C476" s="33">
        <v>7.8988941548163716E-4</v>
      </c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customFormat="1" x14ac:dyDescent="0.25">
      <c r="A477" s="33">
        <v>1.268</v>
      </c>
      <c r="B477" s="34">
        <v>10231.508147185277</v>
      </c>
      <c r="C477" s="33">
        <v>7.8926598263628911E-4</v>
      </c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customFormat="1" x14ac:dyDescent="0.25">
      <c r="A478" s="33">
        <v>1.2689999999999999</v>
      </c>
      <c r="B478" s="34">
        <v>10239.150608088879</v>
      </c>
      <c r="C478" s="33">
        <v>7.8864353312280144E-4</v>
      </c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customFormat="1" x14ac:dyDescent="0.25">
      <c r="A479" s="33">
        <v>1.27</v>
      </c>
      <c r="B479" s="34">
        <v>10246.793068992487</v>
      </c>
      <c r="C479" s="33">
        <v>7.880220646181435E-4</v>
      </c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customFormat="1" x14ac:dyDescent="0.25">
      <c r="A480" s="33">
        <v>1.2709999999999999</v>
      </c>
      <c r="B480" s="34">
        <v>10254.435529896089</v>
      </c>
      <c r="C480" s="33">
        <v>7.8740157480305939E-4</v>
      </c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customFormat="1" x14ac:dyDescent="0.25">
      <c r="A481" s="33">
        <v>1.272</v>
      </c>
      <c r="B481" s="34">
        <v>10262.077990799691</v>
      </c>
      <c r="C481" s="33">
        <v>7.8678206136895135E-4</v>
      </c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customFormat="1" x14ac:dyDescent="0.25">
      <c r="A482" s="33">
        <v>1.2729999999999999</v>
      </c>
      <c r="B482" s="34">
        <v>10269.720451703295</v>
      </c>
      <c r="C482" s="33">
        <v>7.8616352201255069E-4</v>
      </c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customFormat="1" x14ac:dyDescent="0.25">
      <c r="A483" s="33">
        <v>1.274</v>
      </c>
      <c r="B483" s="34">
        <v>10277.362912606899</v>
      </c>
      <c r="C483" s="33">
        <v>7.8554595443836028E-4</v>
      </c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customFormat="1" x14ac:dyDescent="0.25">
      <c r="A484" s="33">
        <v>1.2749999999999999</v>
      </c>
      <c r="B484" s="34">
        <v>10285.005373510499</v>
      </c>
      <c r="C484" s="33">
        <v>7.8492935635776639E-4</v>
      </c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customFormat="1" x14ac:dyDescent="0.25">
      <c r="A485" s="33">
        <v>1.276</v>
      </c>
      <c r="B485" s="34">
        <v>10292.647834414107</v>
      </c>
      <c r="C485" s="33">
        <v>7.8431372549037093E-4</v>
      </c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customFormat="1" x14ac:dyDescent="0.25">
      <c r="A486" s="33">
        <v>1.2769999999999999</v>
      </c>
      <c r="B486" s="34">
        <v>10300.290295317707</v>
      </c>
      <c r="C486" s="33">
        <v>7.8369905956088282E-4</v>
      </c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customFormat="1" x14ac:dyDescent="0.25">
      <c r="A487" s="33">
        <v>1.278</v>
      </c>
      <c r="B487" s="34">
        <v>10307.932756221311</v>
      </c>
      <c r="C487" s="33">
        <v>7.83085356304003E-4</v>
      </c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customFormat="1" x14ac:dyDescent="0.25">
      <c r="A488" s="33">
        <v>1.2789999999999999</v>
      </c>
      <c r="B488" s="34">
        <v>10315.575217124911</v>
      </c>
      <c r="C488" s="33">
        <v>7.8247261345820718E-4</v>
      </c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customFormat="1" x14ac:dyDescent="0.25">
      <c r="A489" s="33">
        <v>1.28</v>
      </c>
      <c r="B489" s="34">
        <v>10323.217678028515</v>
      </c>
      <c r="C489" s="33">
        <v>7.8186082877262919E-4</v>
      </c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customFormat="1" x14ac:dyDescent="0.25">
      <c r="A490" s="33">
        <v>1.2809999999999999</v>
      </c>
      <c r="B490" s="34">
        <v>10330.860138932119</v>
      </c>
      <c r="C490" s="33">
        <v>7.8124999999995559E-4</v>
      </c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customFormat="1" x14ac:dyDescent="0.25">
      <c r="A491" s="33">
        <v>1.282</v>
      </c>
      <c r="B491" s="34">
        <v>10338.502599835727</v>
      </c>
      <c r="C491" s="33">
        <v>7.806401249026429E-4</v>
      </c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customFormat="1" x14ac:dyDescent="0.25">
      <c r="A492" s="33">
        <v>1.2829999999999999</v>
      </c>
      <c r="B492" s="34">
        <v>10346.145060739329</v>
      </c>
      <c r="C492" s="33">
        <v>7.800312012480326E-4</v>
      </c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customFormat="1" x14ac:dyDescent="0.25">
      <c r="A493" s="33">
        <v>1.284</v>
      </c>
      <c r="B493" s="34">
        <v>10353.787521642935</v>
      </c>
      <c r="C493" s="33">
        <v>7.7942322681234799E-4</v>
      </c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customFormat="1" x14ac:dyDescent="0.25">
      <c r="A494" s="33">
        <v>1.2849999999999999</v>
      </c>
      <c r="B494" s="34">
        <v>10361.429982546535</v>
      </c>
      <c r="C494" s="33">
        <v>7.7881619937669733E-4</v>
      </c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customFormat="1" x14ac:dyDescent="0.25">
      <c r="A495" s="33">
        <v>1.286</v>
      </c>
      <c r="B495" s="34">
        <v>10369.072443450143</v>
      </c>
      <c r="C495" s="33">
        <v>7.7821011673173679E-4</v>
      </c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customFormat="1" x14ac:dyDescent="0.25">
      <c r="A496" s="33">
        <v>1.2869999999999999</v>
      </c>
      <c r="B496" s="34">
        <v>10376.714904353743</v>
      </c>
      <c r="C496" s="33">
        <v>7.7760497667145323E-4</v>
      </c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customFormat="1" x14ac:dyDescent="0.25">
      <c r="A497" s="33">
        <v>1.288</v>
      </c>
      <c r="B497" s="34">
        <v>10384.357365257347</v>
      </c>
      <c r="C497" s="33">
        <v>7.7700077700093573E-4</v>
      </c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customFormat="1" x14ac:dyDescent="0.25">
      <c r="A498" s="33">
        <v>1.2889999999999999</v>
      </c>
      <c r="B498" s="34">
        <v>10391.999826160951</v>
      </c>
      <c r="C498" s="33">
        <v>7.763975155279379E-4</v>
      </c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customFormat="1" x14ac:dyDescent="0.25">
      <c r="A499" s="33">
        <v>1.29</v>
      </c>
      <c r="B499" s="34">
        <v>10399.642287064553</v>
      </c>
      <c r="C499" s="33">
        <v>7.7579519006976128E-4</v>
      </c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customFormat="1" x14ac:dyDescent="0.25">
      <c r="A500" s="33">
        <v>1.2909999999999999</v>
      </c>
      <c r="B500" s="34">
        <v>10407.284747968157</v>
      </c>
      <c r="C500" s="33">
        <v>7.7519379844948055E-4</v>
      </c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customFormat="1" x14ac:dyDescent="0.25">
      <c r="A501" s="33">
        <v>1.292</v>
      </c>
      <c r="B501" s="34">
        <v>10414.927208871763</v>
      </c>
      <c r="C501" s="33">
        <v>7.745933384974979E-4</v>
      </c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customFormat="1" x14ac:dyDescent="0.25">
      <c r="A502" s="33">
        <v>1.2929999999999999</v>
      </c>
      <c r="B502" s="34">
        <v>10422.569669775363</v>
      </c>
      <c r="C502" s="33">
        <v>7.739938080493225E-4</v>
      </c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customFormat="1" x14ac:dyDescent="0.25">
      <c r="A503" s="33">
        <v>1.294</v>
      </c>
      <c r="B503" s="34">
        <v>10430.21213067897</v>
      </c>
      <c r="C503" s="33">
        <v>7.7339520495001146E-4</v>
      </c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customFormat="1" x14ac:dyDescent="0.25">
      <c r="A504" s="33">
        <v>1.2949999999999999</v>
      </c>
      <c r="B504" s="34">
        <v>10437.854591582571</v>
      </c>
      <c r="C504" s="33">
        <v>7.7279752704750848E-4</v>
      </c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customFormat="1" x14ac:dyDescent="0.25">
      <c r="A505" s="33">
        <v>1.296</v>
      </c>
      <c r="B505" s="34">
        <v>10445.497052486178</v>
      </c>
      <c r="C505" s="33">
        <v>7.7220077220108152E-4</v>
      </c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customFormat="1" x14ac:dyDescent="0.25">
      <c r="A506" s="33">
        <v>1.2969999999999999</v>
      </c>
      <c r="B506" s="34">
        <v>10453.13951338978</v>
      </c>
      <c r="C506" s="33">
        <v>7.7160493827155285E-4</v>
      </c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customFormat="1" x14ac:dyDescent="0.25">
      <c r="A507" s="33">
        <v>1.298</v>
      </c>
      <c r="B507" s="34">
        <v>10460.781974293383</v>
      </c>
      <c r="C507" s="33">
        <v>7.7101002313018085E-4</v>
      </c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customFormat="1" x14ac:dyDescent="0.25">
      <c r="A508" s="33">
        <v>1.2989999999999999</v>
      </c>
      <c r="B508" s="34">
        <v>10468.424435196986</v>
      </c>
      <c r="C508" s="33">
        <v>7.7041602465333092E-4</v>
      </c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customFormat="1" x14ac:dyDescent="0.25">
      <c r="A509" s="31">
        <v>1.3</v>
      </c>
      <c r="B509" s="32">
        <v>10539.348419506226</v>
      </c>
      <c r="C509" s="31">
        <v>7.1441530231486361E-3</v>
      </c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customFormat="1" x14ac:dyDescent="0.25">
      <c r="A510" s="33">
        <v>1.3009999999999999</v>
      </c>
      <c r="B510" s="34">
        <v>10547.039558504759</v>
      </c>
      <c r="C510" s="33">
        <v>7.6923076923085532E-4</v>
      </c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customFormat="1" x14ac:dyDescent="0.25">
      <c r="A511" s="33">
        <v>1.302</v>
      </c>
      <c r="B511" s="34">
        <v>10554.730697503288</v>
      </c>
      <c r="C511" s="33">
        <v>7.68639508070601E-4</v>
      </c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customFormat="1" x14ac:dyDescent="0.25">
      <c r="A512" s="33">
        <v>1.3029999999999999</v>
      </c>
      <c r="B512" s="34">
        <v>10562.421836501821</v>
      </c>
      <c r="C512" s="33">
        <v>7.6804915514605554E-4</v>
      </c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customFormat="1" x14ac:dyDescent="0.25">
      <c r="A513" s="33">
        <v>1.304</v>
      </c>
      <c r="B513" s="34">
        <v>10570.112975500349</v>
      </c>
      <c r="C513" s="33">
        <v>7.6745970836511468E-4</v>
      </c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customFormat="1" x14ac:dyDescent="0.25">
      <c r="A514" s="33">
        <v>1.3049999999999999</v>
      </c>
      <c r="B514" s="34">
        <v>10577.804114498882</v>
      </c>
      <c r="C514" s="33">
        <v>7.6687116564433389E-4</v>
      </c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customFormat="1" x14ac:dyDescent="0.25">
      <c r="A515" s="33">
        <v>1.306</v>
      </c>
      <c r="B515" s="34">
        <v>10585.495253497415</v>
      </c>
      <c r="C515" s="33">
        <v>7.6628352490404339E-4</v>
      </c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customFormat="1" x14ac:dyDescent="0.25">
      <c r="A516" s="33">
        <v>1.3069999999999999</v>
      </c>
      <c r="B516" s="34">
        <v>10593.186392495943</v>
      </c>
      <c r="C516" s="33">
        <v>7.6569678407345521E-4</v>
      </c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customFormat="1" x14ac:dyDescent="0.25">
      <c r="A517" s="33">
        <v>1.3080000000000001</v>
      </c>
      <c r="B517" s="34">
        <v>10600.877531494476</v>
      </c>
      <c r="C517" s="33">
        <v>7.6511094108644429E-4</v>
      </c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customFormat="1" x14ac:dyDescent="0.25">
      <c r="A518" s="33">
        <v>1.3089999999999999</v>
      </c>
      <c r="B518" s="34">
        <v>10608.568670493005</v>
      </c>
      <c r="C518" s="33">
        <v>7.6452599388376896E-4</v>
      </c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customFormat="1" x14ac:dyDescent="0.25">
      <c r="A519" s="33">
        <v>1.31</v>
      </c>
      <c r="B519" s="34">
        <v>10616.259809491537</v>
      </c>
      <c r="C519" s="33">
        <v>7.6394194041262686E-4</v>
      </c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customFormat="1" x14ac:dyDescent="0.25">
      <c r="A520" s="33">
        <v>1.3109999999999999</v>
      </c>
      <c r="B520" s="34">
        <v>10623.950948490066</v>
      </c>
      <c r="C520" s="33">
        <v>7.6335877862576673E-4</v>
      </c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customFormat="1" x14ac:dyDescent="0.25">
      <c r="A521" s="33">
        <v>1.3120000000000001</v>
      </c>
      <c r="B521" s="34">
        <v>10631.642087488601</v>
      </c>
      <c r="C521" s="33">
        <v>7.6277650648393092E-4</v>
      </c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customFormat="1" x14ac:dyDescent="0.25">
      <c r="A522" s="33">
        <v>1.3129999999999999</v>
      </c>
      <c r="B522" s="34">
        <v>10639.333226487131</v>
      </c>
      <c r="C522" s="33">
        <v>7.6219512195119243E-4</v>
      </c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customFormat="1" x14ac:dyDescent="0.25">
      <c r="A523" s="33">
        <v>1.3140000000000001</v>
      </c>
      <c r="B523" s="34">
        <v>10647.024365485664</v>
      </c>
      <c r="C523" s="33">
        <v>7.6161462300095017E-4</v>
      </c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customFormat="1" x14ac:dyDescent="0.25">
      <c r="A524" s="33">
        <v>1.3149999999999999</v>
      </c>
      <c r="B524" s="34">
        <v>10654.715504484197</v>
      </c>
      <c r="C524" s="33">
        <v>7.6103500761037779E-4</v>
      </c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customFormat="1" x14ac:dyDescent="0.25">
      <c r="A525" s="33">
        <v>1.3160000000000001</v>
      </c>
      <c r="B525" s="34">
        <v>10662.406643482725</v>
      </c>
      <c r="C525" s="33">
        <v>7.6045627376419844E-4</v>
      </c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customFormat="1" x14ac:dyDescent="0.25">
      <c r="A526" s="33">
        <v>1.3169999999999999</v>
      </c>
      <c r="B526" s="34">
        <v>10670.097782481258</v>
      </c>
      <c r="C526" s="33">
        <v>7.5987841945290846E-4</v>
      </c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customFormat="1" x14ac:dyDescent="0.25">
      <c r="A527" s="33">
        <v>1.3180000000000001</v>
      </c>
      <c r="B527" s="34">
        <v>10677.788921479791</v>
      </c>
      <c r="C527" s="33">
        <v>7.5930144267277733E-4</v>
      </c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customFormat="1" x14ac:dyDescent="0.25">
      <c r="A528" s="33">
        <v>1.319</v>
      </c>
      <c r="B528" s="34">
        <v>10685.48006047832</v>
      </c>
      <c r="C528" s="33">
        <v>7.5872534142629178E-4</v>
      </c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customFormat="1" x14ac:dyDescent="0.25">
      <c r="A529" s="33">
        <v>1.32</v>
      </c>
      <c r="B529" s="34">
        <v>10693.17119947685</v>
      </c>
      <c r="C529" s="33">
        <v>7.5815011372237784E-4</v>
      </c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customFormat="1" x14ac:dyDescent="0.25">
      <c r="A530" s="33">
        <v>1.321</v>
      </c>
      <c r="B530" s="34">
        <v>10700.862338475381</v>
      </c>
      <c r="C530" s="33">
        <v>7.575757575757347E-4</v>
      </c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customFormat="1" x14ac:dyDescent="0.25">
      <c r="A531" s="33">
        <v>1.3220000000000001</v>
      </c>
      <c r="B531" s="34">
        <v>10708.553477473914</v>
      </c>
      <c r="C531" s="33">
        <v>7.570022710068347E-4</v>
      </c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customFormat="1" x14ac:dyDescent="0.25">
      <c r="A532" s="33">
        <v>1.323</v>
      </c>
      <c r="B532" s="34">
        <v>10716.244616472446</v>
      </c>
      <c r="C532" s="33">
        <v>7.564296520425895E-4</v>
      </c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customFormat="1" x14ac:dyDescent="0.25">
      <c r="A533" s="33">
        <v>1.3240000000000001</v>
      </c>
      <c r="B533" s="34">
        <v>10723.935755470975</v>
      </c>
      <c r="C533" s="33">
        <v>7.5585789871501774E-4</v>
      </c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customFormat="1" x14ac:dyDescent="0.25">
      <c r="A534" s="33">
        <v>1.325</v>
      </c>
      <c r="B534" s="34">
        <v>10731.626894469504</v>
      </c>
      <c r="C534" s="33">
        <v>7.5528700906324353E-4</v>
      </c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customFormat="1" x14ac:dyDescent="0.25">
      <c r="A535" s="33">
        <v>1.3260000000000001</v>
      </c>
      <c r="B535" s="34">
        <v>10739.318033468036</v>
      </c>
      <c r="C535" s="33">
        <v>7.5471698113216412E-4</v>
      </c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customFormat="1" x14ac:dyDescent="0.25">
      <c r="A536" s="33">
        <v>1.327</v>
      </c>
      <c r="B536" s="34">
        <v>10747.009172466569</v>
      </c>
      <c r="C536" s="33">
        <v>7.541478129713397E-4</v>
      </c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customFormat="1" x14ac:dyDescent="0.25">
      <c r="A537" s="33">
        <v>1.3280000000000001</v>
      </c>
      <c r="B537" s="34">
        <v>10754.700311465098</v>
      </c>
      <c r="C537" s="33">
        <v>7.5357950263721385E-4</v>
      </c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customFormat="1" x14ac:dyDescent="0.25">
      <c r="A538" s="33">
        <v>1.329</v>
      </c>
      <c r="B538" s="34">
        <v>10762.391450463632</v>
      </c>
      <c r="C538" s="33">
        <v>7.5301204819311351E-4</v>
      </c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customFormat="1" x14ac:dyDescent="0.25">
      <c r="A539" s="33">
        <v>1.33</v>
      </c>
      <c r="B539" s="34">
        <v>10770.082589462163</v>
      </c>
      <c r="C539" s="33">
        <v>7.5244544770503019E-4</v>
      </c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customFormat="1" x14ac:dyDescent="0.25">
      <c r="A540" s="33">
        <v>1.331</v>
      </c>
      <c r="B540" s="34">
        <v>10777.773728460694</v>
      </c>
      <c r="C540" s="33">
        <v>7.518796992480592E-4</v>
      </c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customFormat="1" x14ac:dyDescent="0.25">
      <c r="A541" s="33">
        <v>1.3320000000000001</v>
      </c>
      <c r="B541" s="34">
        <v>10785.464867459228</v>
      </c>
      <c r="C541" s="33">
        <v>7.5131480090173675E-4</v>
      </c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customFormat="1" x14ac:dyDescent="0.25">
      <c r="A542" s="33">
        <v>1.333</v>
      </c>
      <c r="B542" s="34">
        <v>10793.156006457759</v>
      </c>
      <c r="C542" s="33">
        <v>7.5075075075070608E-4</v>
      </c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customFormat="1" x14ac:dyDescent="0.25">
      <c r="A543" s="33">
        <v>1.3340000000000001</v>
      </c>
      <c r="B543" s="34">
        <v>10800.84714545629</v>
      </c>
      <c r="C543" s="33">
        <v>7.5018754688671585E-4</v>
      </c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customFormat="1" x14ac:dyDescent="0.25">
      <c r="A544" s="33">
        <v>1.335</v>
      </c>
      <c r="B544" s="34">
        <v>10808.538284454822</v>
      </c>
      <c r="C544" s="33">
        <v>7.4962518740639972E-4</v>
      </c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customFormat="1" x14ac:dyDescent="0.25">
      <c r="A545" s="33">
        <v>1.3360000000000001</v>
      </c>
      <c r="B545" s="34">
        <v>10816.229423453351</v>
      </c>
      <c r="C545" s="33">
        <v>7.4906367041194244E-4</v>
      </c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customFormat="1" x14ac:dyDescent="0.25">
      <c r="A546" s="33">
        <v>1.337</v>
      </c>
      <c r="B546" s="34">
        <v>10823.920562451884</v>
      </c>
      <c r="C546" s="33">
        <v>7.4850299401196807E-4</v>
      </c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customFormat="1" x14ac:dyDescent="0.25">
      <c r="A547" s="33">
        <v>1.3380000000000001</v>
      </c>
      <c r="B547" s="34">
        <v>10831.611701450413</v>
      </c>
      <c r="C547" s="33">
        <v>7.4794315631998565E-4</v>
      </c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customFormat="1" x14ac:dyDescent="0.25">
      <c r="A548" s="33">
        <v>1.339</v>
      </c>
      <c r="B548" s="34">
        <v>10839.302840448945</v>
      </c>
      <c r="C548" s="33">
        <v>7.473841554559435E-4</v>
      </c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customFormat="1" x14ac:dyDescent="0.25">
      <c r="A549" s="33">
        <v>1.34</v>
      </c>
      <c r="B549" s="34">
        <v>10846.993979447478</v>
      </c>
      <c r="C549" s="33">
        <v>7.4682598954467494E-4</v>
      </c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customFormat="1" x14ac:dyDescent="0.25">
      <c r="A550" s="33">
        <v>1.341</v>
      </c>
      <c r="B550" s="34">
        <v>10854.685118446007</v>
      </c>
      <c r="C550" s="33">
        <v>7.462686567161203E-4</v>
      </c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customFormat="1" x14ac:dyDescent="0.25">
      <c r="A551" s="33">
        <v>1.3420000000000001</v>
      </c>
      <c r="B551" s="34">
        <v>10862.376257444539</v>
      </c>
      <c r="C551" s="33">
        <v>7.4571215510821354E-4</v>
      </c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customFormat="1" x14ac:dyDescent="0.25">
      <c r="A552" s="33">
        <v>1.343</v>
      </c>
      <c r="B552" s="34">
        <v>10870.06739644307</v>
      </c>
      <c r="C552" s="33">
        <v>7.4515648286133107E-4</v>
      </c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customFormat="1" x14ac:dyDescent="0.25">
      <c r="A553" s="33">
        <v>1.3440000000000001</v>
      </c>
      <c r="B553" s="34">
        <v>10877.758535441601</v>
      </c>
      <c r="C553" s="33">
        <v>7.446016381236209E-4</v>
      </c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customFormat="1" x14ac:dyDescent="0.25">
      <c r="A554" s="33">
        <v>1.345</v>
      </c>
      <c r="B554" s="34">
        <v>10885.449674440131</v>
      </c>
      <c r="C554" s="33">
        <v>7.4404761904744987E-4</v>
      </c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customFormat="1" x14ac:dyDescent="0.25">
      <c r="A555" s="33">
        <v>1.3460000000000001</v>
      </c>
      <c r="B555" s="34">
        <v>10893.140813438666</v>
      </c>
      <c r="C555" s="33">
        <v>7.434944237920682E-4</v>
      </c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customFormat="1" x14ac:dyDescent="0.25">
      <c r="A556" s="33">
        <v>1.347</v>
      </c>
      <c r="B556" s="34">
        <v>10900.831952437195</v>
      </c>
      <c r="C556" s="33">
        <v>7.4294205051983475E-4</v>
      </c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customFormat="1" x14ac:dyDescent="0.25">
      <c r="A557" s="33">
        <v>1.3480000000000001</v>
      </c>
      <c r="B557" s="34">
        <v>10908.523091435723</v>
      </c>
      <c r="C557" s="33">
        <v>7.423904974017681E-4</v>
      </c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customFormat="1" x14ac:dyDescent="0.25">
      <c r="A558" s="33">
        <v>1.349</v>
      </c>
      <c r="B558" s="34">
        <v>10916.214230434254</v>
      </c>
      <c r="C558" s="33">
        <v>7.4183976261110729E-4</v>
      </c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customFormat="1" x14ac:dyDescent="0.25">
      <c r="A559" s="33">
        <v>1.35</v>
      </c>
      <c r="B559" s="34">
        <v>10923.905369432789</v>
      </c>
      <c r="C559" s="33">
        <v>7.41289844329307E-4</v>
      </c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customFormat="1" x14ac:dyDescent="0.25">
      <c r="A560" s="33">
        <v>1.351</v>
      </c>
      <c r="B560" s="34">
        <v>10931.596508431321</v>
      </c>
      <c r="C560" s="33">
        <v>7.4074074074093055E-4</v>
      </c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customFormat="1" x14ac:dyDescent="0.25">
      <c r="A561" s="33">
        <v>1.3520000000000001</v>
      </c>
      <c r="B561" s="34">
        <v>10939.287647429852</v>
      </c>
      <c r="C561" s="33">
        <v>7.4019245003698053E-4</v>
      </c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customFormat="1" x14ac:dyDescent="0.25">
      <c r="A562" s="33">
        <v>1.353</v>
      </c>
      <c r="B562" s="34">
        <v>10946.978786428381</v>
      </c>
      <c r="C562" s="33">
        <v>7.3964497041401067E-4</v>
      </c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customFormat="1" x14ac:dyDescent="0.25">
      <c r="A563" s="33">
        <v>1.3540000000000001</v>
      </c>
      <c r="B563" s="34">
        <v>10954.669925426913</v>
      </c>
      <c r="C563" s="33">
        <v>7.3909830007390376E-4</v>
      </c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customFormat="1" x14ac:dyDescent="0.25">
      <c r="A564" s="33">
        <v>1.355</v>
      </c>
      <c r="B564" s="34">
        <v>10962.361064425448</v>
      </c>
      <c r="C564" s="33">
        <v>7.3855243722320552E-4</v>
      </c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customFormat="1" x14ac:dyDescent="0.25">
      <c r="A565" s="33">
        <v>1.3560000000000001</v>
      </c>
      <c r="B565" s="34">
        <v>10970.052203423978</v>
      </c>
      <c r="C565" s="33">
        <v>7.3800738007379074E-4</v>
      </c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customFormat="1" x14ac:dyDescent="0.25">
      <c r="A566" s="33">
        <v>1.357</v>
      </c>
      <c r="B566" s="34">
        <v>10977.743342422506</v>
      </c>
      <c r="C566" s="33">
        <v>7.3746312684330739E-4</v>
      </c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customFormat="1" x14ac:dyDescent="0.25">
      <c r="A567" s="33">
        <v>1.3580000000000001</v>
      </c>
      <c r="B567" s="34">
        <v>10985.434481421038</v>
      </c>
      <c r="C567" s="33">
        <v>7.3691967575539863E-4</v>
      </c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customFormat="1" x14ac:dyDescent="0.25">
      <c r="A568" s="33">
        <v>1.359</v>
      </c>
      <c r="B568" s="34">
        <v>10993.125620419569</v>
      </c>
      <c r="C568" s="33">
        <v>7.3637702503681624E-4</v>
      </c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customFormat="1" x14ac:dyDescent="0.25">
      <c r="A569" s="33">
        <v>1.36</v>
      </c>
      <c r="B569" s="34">
        <v>11000.816759418103</v>
      </c>
      <c r="C569" s="33">
        <v>7.3583517292141742E-4</v>
      </c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customFormat="1" x14ac:dyDescent="0.25">
      <c r="A570" s="33">
        <v>1.361</v>
      </c>
      <c r="B570" s="34">
        <v>11008.507898416634</v>
      </c>
      <c r="C570" s="33">
        <v>7.3529411764705621E-4</v>
      </c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customFormat="1" x14ac:dyDescent="0.25">
      <c r="A571" s="33">
        <v>1.3620000000000001</v>
      </c>
      <c r="B571" s="34">
        <v>11016.199037415165</v>
      </c>
      <c r="C571" s="33">
        <v>7.3475385745780386E-4</v>
      </c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customFormat="1" x14ac:dyDescent="0.25">
      <c r="A572" s="33">
        <v>1.363</v>
      </c>
      <c r="B572" s="34">
        <v>11023.890176413694</v>
      </c>
      <c r="C572" s="33">
        <v>7.3421439060172844E-4</v>
      </c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customFormat="1" x14ac:dyDescent="0.25">
      <c r="A573" s="33">
        <v>1.3640000000000001</v>
      </c>
      <c r="B573" s="34">
        <v>11031.58131541223</v>
      </c>
      <c r="C573" s="33">
        <v>7.3367571533422549E-4</v>
      </c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customFormat="1" x14ac:dyDescent="0.25">
      <c r="A574" s="33">
        <v>1.365</v>
      </c>
      <c r="B574" s="34">
        <v>11039.272454410759</v>
      </c>
      <c r="C574" s="33">
        <v>7.3313782991180076E-4</v>
      </c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customFormat="1" x14ac:dyDescent="0.25">
      <c r="A575" s="33">
        <v>1.3660000000000001</v>
      </c>
      <c r="B575" s="34">
        <v>11046.963593409291</v>
      </c>
      <c r="C575" s="33">
        <v>7.3260073260073E-4</v>
      </c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customFormat="1" x14ac:dyDescent="0.25">
      <c r="A576" s="33">
        <v>1.367</v>
      </c>
      <c r="B576" s="34">
        <v>11054.654732407824</v>
      </c>
      <c r="C576" s="33">
        <v>7.3206442166928731E-4</v>
      </c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customFormat="1" x14ac:dyDescent="0.25">
      <c r="A577" s="33">
        <v>1.3680000000000001</v>
      </c>
      <c r="B577" s="34">
        <v>11062.345871406353</v>
      </c>
      <c r="C577" s="33">
        <v>7.3152889539129795E-4</v>
      </c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customFormat="1" x14ac:dyDescent="0.25">
      <c r="A578" s="33">
        <v>1.369</v>
      </c>
      <c r="B578" s="34">
        <v>11070.037010404885</v>
      </c>
      <c r="C578" s="33">
        <v>7.309941520468044E-4</v>
      </c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customFormat="1" x14ac:dyDescent="0.25">
      <c r="A579" s="33">
        <v>1.37</v>
      </c>
      <c r="B579" s="34">
        <v>11077.728149403418</v>
      </c>
      <c r="C579" s="33">
        <v>7.3046018991984596E-4</v>
      </c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customFormat="1" x14ac:dyDescent="0.25">
      <c r="A580" s="33">
        <v>1.371</v>
      </c>
      <c r="B580" s="34">
        <v>11085.41928840195</v>
      </c>
      <c r="C580" s="33">
        <v>7.2992700729912485E-4</v>
      </c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customFormat="1" x14ac:dyDescent="0.25">
      <c r="A581" s="33">
        <v>1.3720000000000001</v>
      </c>
      <c r="B581" s="34">
        <v>11093.110427400479</v>
      </c>
      <c r="C581" s="33">
        <v>7.2939460247978261E-4</v>
      </c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customFormat="1" x14ac:dyDescent="0.25">
      <c r="A582" s="33">
        <v>1.373</v>
      </c>
      <c r="B582" s="34">
        <v>11100.801566399012</v>
      </c>
      <c r="C582" s="33">
        <v>7.2886297376095754E-4</v>
      </c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customFormat="1" x14ac:dyDescent="0.25">
      <c r="A583" s="33">
        <v>1.3740000000000001</v>
      </c>
      <c r="B583" s="34">
        <v>11108.492705397544</v>
      </c>
      <c r="C583" s="33">
        <v>7.2833211944667298E-4</v>
      </c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customFormat="1" x14ac:dyDescent="0.25">
      <c r="A584" s="33">
        <v>1.375</v>
      </c>
      <c r="B584" s="34">
        <v>11116.183844396075</v>
      </c>
      <c r="C584" s="33">
        <v>7.2780203784561515E-4</v>
      </c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customFormat="1" x14ac:dyDescent="0.25">
      <c r="A585" s="33">
        <v>1.3759999999999999</v>
      </c>
      <c r="B585" s="34">
        <v>11123.874983394606</v>
      </c>
      <c r="C585" s="33">
        <v>7.2727272727268755E-4</v>
      </c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customFormat="1" x14ac:dyDescent="0.25">
      <c r="A586" s="33">
        <v>1.377</v>
      </c>
      <c r="B586" s="34">
        <v>11131.566122393135</v>
      </c>
      <c r="C586" s="33">
        <v>7.2674418604634639E-4</v>
      </c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customFormat="1" x14ac:dyDescent="0.25">
      <c r="A587" s="33">
        <v>1.3779999999999999</v>
      </c>
      <c r="B587" s="34">
        <v>11139.257261391667</v>
      </c>
      <c r="C587" s="33">
        <v>7.2621641249104307E-4</v>
      </c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customFormat="1" x14ac:dyDescent="0.25">
      <c r="A588" s="33">
        <v>1.379</v>
      </c>
      <c r="B588" s="34">
        <v>11146.948400390198</v>
      </c>
      <c r="C588" s="33">
        <v>7.2568940493478173E-4</v>
      </c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customFormat="1" x14ac:dyDescent="0.25">
      <c r="A589" s="33">
        <v>1.38</v>
      </c>
      <c r="B589" s="34">
        <v>11154.639539388729</v>
      </c>
      <c r="C589" s="33">
        <v>7.2516316171133965E-4</v>
      </c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customFormat="1" x14ac:dyDescent="0.25">
      <c r="A590" s="33">
        <v>1.381</v>
      </c>
      <c r="B590" s="34">
        <v>11162.330678387258</v>
      </c>
      <c r="C590" s="33">
        <v>7.2463768115915705E-4</v>
      </c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customFormat="1" x14ac:dyDescent="0.25">
      <c r="A591" s="33">
        <v>1.3819999999999999</v>
      </c>
      <c r="B591" s="34">
        <v>11170.02181738579</v>
      </c>
      <c r="C591" s="33">
        <v>7.2411296162222527E-4</v>
      </c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customFormat="1" x14ac:dyDescent="0.25">
      <c r="A592" s="33">
        <v>1.383</v>
      </c>
      <c r="B592" s="34">
        <v>11177.712956384323</v>
      </c>
      <c r="C592" s="33">
        <v>7.2358900144720018E-4</v>
      </c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customFormat="1" x14ac:dyDescent="0.25">
      <c r="A593" s="33">
        <v>1.3839999999999999</v>
      </c>
      <c r="B593" s="34">
        <v>11185.404095382852</v>
      </c>
      <c r="C593" s="33">
        <v>7.2306579898739898E-4</v>
      </c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customFormat="1" x14ac:dyDescent="0.25">
      <c r="A594" s="33">
        <v>1.385</v>
      </c>
      <c r="B594" s="34">
        <v>11193.095234381386</v>
      </c>
      <c r="C594" s="33">
        <v>7.2254335260146796E-4</v>
      </c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customFormat="1" x14ac:dyDescent="0.25">
      <c r="A595" s="33">
        <v>1.3859999999999999</v>
      </c>
      <c r="B595" s="34">
        <v>11200.78637337992</v>
      </c>
      <c r="C595" s="33">
        <v>7.2202166064982976E-4</v>
      </c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customFormat="1" x14ac:dyDescent="0.25">
      <c r="A596" s="33">
        <v>1.387</v>
      </c>
      <c r="B596" s="34">
        <v>11208.477512378453</v>
      </c>
      <c r="C596" s="33">
        <v>7.2150072150090061E-4</v>
      </c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customFormat="1" x14ac:dyDescent="0.25">
      <c r="A597" s="33">
        <v>1.3879999999999999</v>
      </c>
      <c r="B597" s="34">
        <v>11216.168651376982</v>
      </c>
      <c r="C597" s="33">
        <v>7.2098053352553926E-4</v>
      </c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customFormat="1" x14ac:dyDescent="0.25">
      <c r="A598" s="33">
        <v>1.389</v>
      </c>
      <c r="B598" s="34">
        <v>11223.859790375514</v>
      </c>
      <c r="C598" s="33">
        <v>7.2046109510104372E-4</v>
      </c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customFormat="1" x14ac:dyDescent="0.25">
      <c r="A599" s="33">
        <v>1.39</v>
      </c>
      <c r="B599" s="34">
        <v>11231.550929374047</v>
      </c>
      <c r="C599" s="33">
        <v>7.1994240460759862E-4</v>
      </c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customFormat="1" x14ac:dyDescent="0.25">
      <c r="A600" s="33">
        <v>1.391</v>
      </c>
      <c r="B600" s="34">
        <v>11239.24206837258</v>
      </c>
      <c r="C600" s="33">
        <v>7.1942446043182784E-4</v>
      </c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customFormat="1" x14ac:dyDescent="0.25">
      <c r="A601" s="33">
        <v>1.3919999999999999</v>
      </c>
      <c r="B601" s="34">
        <v>11246.933207371108</v>
      </c>
      <c r="C601" s="33">
        <v>7.1890726096301982E-4</v>
      </c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customFormat="1" x14ac:dyDescent="0.25">
      <c r="A602" s="33">
        <v>1.393</v>
      </c>
      <c r="B602" s="34">
        <v>11254.624346369639</v>
      </c>
      <c r="C602" s="33">
        <v>7.1839080459779048E-4</v>
      </c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customFormat="1" x14ac:dyDescent="0.25">
      <c r="A603" s="33">
        <v>1.3939999999999999</v>
      </c>
      <c r="B603" s="34">
        <v>11262.315485368172</v>
      </c>
      <c r="C603" s="33">
        <v>7.1787508973453207E-4</v>
      </c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customFormat="1" x14ac:dyDescent="0.25">
      <c r="A604" s="33">
        <v>1.395</v>
      </c>
      <c r="B604" s="34">
        <v>11270.006624366704</v>
      </c>
      <c r="C604" s="33">
        <v>7.1736011477763206E-4</v>
      </c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customFormat="1" x14ac:dyDescent="0.25">
      <c r="A605" s="33">
        <v>1.3959999999999999</v>
      </c>
      <c r="B605" s="34">
        <v>11277.697763365235</v>
      </c>
      <c r="C605" s="33">
        <v>7.1684587813614087E-4</v>
      </c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customFormat="1" x14ac:dyDescent="0.25">
      <c r="A606" s="33">
        <v>1.397</v>
      </c>
      <c r="B606" s="34">
        <v>11285.388902363764</v>
      </c>
      <c r="C606" s="33">
        <v>7.1633237822332774E-4</v>
      </c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customFormat="1" x14ac:dyDescent="0.25">
      <c r="A607" s="33">
        <v>1.3979999999999999</v>
      </c>
      <c r="B607" s="34">
        <v>11293.080041362296</v>
      </c>
      <c r="C607" s="33">
        <v>7.158196134573469E-4</v>
      </c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customFormat="1" x14ac:dyDescent="0.25">
      <c r="A608" s="33">
        <v>1.399</v>
      </c>
      <c r="B608" s="34">
        <v>11300.771180360829</v>
      </c>
      <c r="C608" s="33">
        <v>7.1530758226057145E-4</v>
      </c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customFormat="1" x14ac:dyDescent="0.25">
      <c r="A609" s="31">
        <v>1.4</v>
      </c>
      <c r="B609" s="32">
        <v>11376.611652257736</v>
      </c>
      <c r="C609" s="31">
        <v>7.0484342342176376E-3</v>
      </c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customFormat="1" x14ac:dyDescent="0.25">
      <c r="A610" s="33">
        <v>1.401</v>
      </c>
      <c r="B610" s="34">
        <v>11384.351469351193</v>
      </c>
      <c r="C610" s="33">
        <v>7.1428571428588938E-4</v>
      </c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customFormat="1" x14ac:dyDescent="0.25">
      <c r="A611" s="33">
        <v>1.4019999999999999</v>
      </c>
      <c r="B611" s="34">
        <v>11392.091286444651</v>
      </c>
      <c r="C611" s="33">
        <v>7.1377587437537748E-4</v>
      </c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customFormat="1" x14ac:dyDescent="0.25">
      <c r="A612" s="33">
        <v>1.403</v>
      </c>
      <c r="B612" s="34">
        <v>11399.831103538112</v>
      </c>
      <c r="C612" s="33">
        <v>7.1326676176908244E-4</v>
      </c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customFormat="1" x14ac:dyDescent="0.25">
      <c r="A613" s="33">
        <v>1.4039999999999999</v>
      </c>
      <c r="B613" s="34">
        <v>11407.570920631566</v>
      </c>
      <c r="C613" s="33">
        <v>7.127583749106936E-4</v>
      </c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customFormat="1" x14ac:dyDescent="0.25">
      <c r="A614" s="33">
        <v>1.405</v>
      </c>
      <c r="B614" s="34">
        <v>11415.310737725024</v>
      </c>
      <c r="C614" s="33">
        <v>7.1225071225056169E-4</v>
      </c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customFormat="1" x14ac:dyDescent="0.25">
      <c r="A615" s="33">
        <v>1.4059999999999999</v>
      </c>
      <c r="B615" s="34">
        <v>11423.050554818485</v>
      </c>
      <c r="C615" s="33">
        <v>7.1174377224214602E-4</v>
      </c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customFormat="1" x14ac:dyDescent="0.25">
      <c r="A616" s="33">
        <v>1.407</v>
      </c>
      <c r="B616" s="34">
        <v>11430.790371911942</v>
      </c>
      <c r="C616" s="33">
        <v>7.1123755334268068E-4</v>
      </c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customFormat="1" x14ac:dyDescent="0.25">
      <c r="A617" s="33">
        <v>1.4079999999999999</v>
      </c>
      <c r="B617" s="34">
        <v>11438.530189005398</v>
      </c>
      <c r="C617" s="33">
        <v>7.1073205401539497E-4</v>
      </c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customFormat="1" x14ac:dyDescent="0.25">
      <c r="A618" s="33">
        <v>1.409</v>
      </c>
      <c r="B618" s="34">
        <v>11446.270006098857</v>
      </c>
      <c r="C618" s="33">
        <v>7.1022727272729291E-4</v>
      </c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customFormat="1" x14ac:dyDescent="0.25">
      <c r="A619" s="33">
        <v>1.41</v>
      </c>
      <c r="B619" s="34">
        <v>11454.009823192315</v>
      </c>
      <c r="C619" s="33">
        <v>7.0972320794893129E-4</v>
      </c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customFormat="1" x14ac:dyDescent="0.25">
      <c r="A620" s="33">
        <v>1.411</v>
      </c>
      <c r="B620" s="34">
        <v>11461.749640285776</v>
      </c>
      <c r="C620" s="33">
        <v>7.0921985815619593E-4</v>
      </c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customFormat="1" x14ac:dyDescent="0.25">
      <c r="A621" s="33">
        <v>1.4119999999999999</v>
      </c>
      <c r="B621" s="34">
        <v>11469.489457379232</v>
      </c>
      <c r="C621" s="33">
        <v>7.0871722182830332E-4</v>
      </c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customFormat="1" x14ac:dyDescent="0.25">
      <c r="A622" s="33">
        <v>1.413</v>
      </c>
      <c r="B622" s="34">
        <v>11477.229274472691</v>
      </c>
      <c r="C622" s="33">
        <v>7.0821529745046519E-4</v>
      </c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customFormat="1" x14ac:dyDescent="0.25">
      <c r="A623" s="33">
        <v>1.4139999999999999</v>
      </c>
      <c r="B623" s="34">
        <v>11484.969091566149</v>
      </c>
      <c r="C623" s="33">
        <v>7.0771408351011367E-4</v>
      </c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customFormat="1" x14ac:dyDescent="0.25">
      <c r="A624" s="33">
        <v>1.415</v>
      </c>
      <c r="B624" s="34">
        <v>11492.708908659608</v>
      </c>
      <c r="C624" s="33">
        <v>7.0721357850089817E-4</v>
      </c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customFormat="1" x14ac:dyDescent="0.25">
      <c r="A625" s="33">
        <v>1.4159999999999999</v>
      </c>
      <c r="B625" s="34">
        <v>11500.448725753069</v>
      </c>
      <c r="C625" s="33">
        <v>7.0671378091868853E-4</v>
      </c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customFormat="1" x14ac:dyDescent="0.25">
      <c r="A626" s="33">
        <v>1.417</v>
      </c>
      <c r="B626" s="34">
        <v>11508.188542846527</v>
      </c>
      <c r="C626" s="33">
        <v>7.0621468926557185E-4</v>
      </c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customFormat="1" x14ac:dyDescent="0.25">
      <c r="A627" s="33">
        <v>1.4179999999999999</v>
      </c>
      <c r="B627" s="34">
        <v>11515.928359939986</v>
      </c>
      <c r="C627" s="33">
        <v>7.057163020465218E-4</v>
      </c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customFormat="1" x14ac:dyDescent="0.25">
      <c r="A628" s="33">
        <v>1.419</v>
      </c>
      <c r="B628" s="34">
        <v>11523.668177033447</v>
      </c>
      <c r="C628" s="33">
        <v>7.0521861777161909E-4</v>
      </c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customFormat="1" x14ac:dyDescent="0.25">
      <c r="A629" s="33">
        <v>1.42</v>
      </c>
      <c r="B629" s="34">
        <v>11531.407994126903</v>
      </c>
      <c r="C629" s="33">
        <v>7.0472163495405304E-4</v>
      </c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customFormat="1" x14ac:dyDescent="0.25">
      <c r="A630" s="33">
        <v>1.421</v>
      </c>
      <c r="B630" s="34">
        <v>11539.147811220366</v>
      </c>
      <c r="C630" s="33">
        <v>7.0422535211300819E-4</v>
      </c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customFormat="1" x14ac:dyDescent="0.25">
      <c r="A631" s="33">
        <v>1.4219999999999999</v>
      </c>
      <c r="B631" s="34">
        <v>11546.887628313823</v>
      </c>
      <c r="C631" s="33">
        <v>7.0372976776922336E-4</v>
      </c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customFormat="1" x14ac:dyDescent="0.25">
      <c r="A632" s="33">
        <v>1.423</v>
      </c>
      <c r="B632" s="34">
        <v>11554.627445407283</v>
      </c>
      <c r="C632" s="33">
        <v>7.0323488045009874E-4</v>
      </c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customFormat="1" x14ac:dyDescent="0.25">
      <c r="A633" s="33">
        <v>1.4239999999999999</v>
      </c>
      <c r="B633" s="34">
        <v>11562.36726250074</v>
      </c>
      <c r="C633" s="33">
        <v>7.0274068868569906E-4</v>
      </c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customFormat="1" x14ac:dyDescent="0.25">
      <c r="A634" s="33">
        <v>1.425</v>
      </c>
      <c r="B634" s="34">
        <v>11570.1070795942</v>
      </c>
      <c r="C634" s="33">
        <v>7.0224719101141808E-4</v>
      </c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customFormat="1" x14ac:dyDescent="0.25">
      <c r="A635" s="33">
        <v>1.4259999999999999</v>
      </c>
      <c r="B635" s="34">
        <v>11577.846896687659</v>
      </c>
      <c r="C635" s="33">
        <v>7.0175438596487005E-4</v>
      </c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customFormat="1" x14ac:dyDescent="0.25">
      <c r="A636" s="33">
        <v>1.427</v>
      </c>
      <c r="B636" s="34">
        <v>11585.58671378112</v>
      </c>
      <c r="C636" s="33">
        <v>7.0126227208988645E-4</v>
      </c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customFormat="1" x14ac:dyDescent="0.25">
      <c r="A637" s="33">
        <v>1.4279999999999999</v>
      </c>
      <c r="B637" s="34">
        <v>11593.326530874579</v>
      </c>
      <c r="C637" s="33">
        <v>7.0077084793274125E-4</v>
      </c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customFormat="1" x14ac:dyDescent="0.25">
      <c r="A638" s="33">
        <v>1.429</v>
      </c>
      <c r="B638" s="34">
        <v>11601.066347968037</v>
      </c>
      <c r="C638" s="33">
        <v>7.0028011204481544E-4</v>
      </c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customFormat="1" x14ac:dyDescent="0.25">
      <c r="A639" s="33">
        <v>1.43</v>
      </c>
      <c r="B639" s="34">
        <v>11608.806165061498</v>
      </c>
      <c r="C639" s="33">
        <v>6.9979006298126478E-4</v>
      </c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customFormat="1" x14ac:dyDescent="0.25">
      <c r="A640" s="33">
        <v>1.431</v>
      </c>
      <c r="B640" s="34">
        <v>11616.545982154956</v>
      </c>
      <c r="C640" s="33">
        <v>6.993006993005757E-4</v>
      </c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customFormat="1" x14ac:dyDescent="0.25">
      <c r="A641" s="33">
        <v>1.4319999999999999</v>
      </c>
      <c r="B641" s="34">
        <v>11624.285799248413</v>
      </c>
      <c r="C641" s="33">
        <v>6.9881201956656369E-4</v>
      </c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customFormat="1" x14ac:dyDescent="0.25">
      <c r="A642" s="33">
        <v>1.4330000000000001</v>
      </c>
      <c r="B642" s="34">
        <v>11632.025616341871</v>
      </c>
      <c r="C642" s="33">
        <v>6.9832402234637492E-4</v>
      </c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customFormat="1" x14ac:dyDescent="0.25">
      <c r="A643" s="33">
        <v>1.4339999999999999</v>
      </c>
      <c r="B643" s="34">
        <v>11639.76543343533</v>
      </c>
      <c r="C643" s="33">
        <v>6.9783670621070826E-4</v>
      </c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customFormat="1" x14ac:dyDescent="0.25">
      <c r="A644" s="33">
        <v>1.4350000000000001</v>
      </c>
      <c r="B644" s="34">
        <v>11647.505250528793</v>
      </c>
      <c r="C644" s="33">
        <v>6.9735006973536962E-4</v>
      </c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customFormat="1" x14ac:dyDescent="0.25">
      <c r="A645" s="33">
        <v>1.4359999999999999</v>
      </c>
      <c r="B645" s="34">
        <v>11655.245067622249</v>
      </c>
      <c r="C645" s="33">
        <v>6.968641114981633E-4</v>
      </c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customFormat="1" x14ac:dyDescent="0.25">
      <c r="A646" s="33">
        <v>1.4370000000000001</v>
      </c>
      <c r="B646" s="34">
        <v>11662.984884715708</v>
      </c>
      <c r="C646" s="33">
        <v>6.9637883008355494E-4</v>
      </c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customFormat="1" x14ac:dyDescent="0.25">
      <c r="A647" s="33">
        <v>1.4379999999999999</v>
      </c>
      <c r="B647" s="34">
        <v>11670.724701809166</v>
      </c>
      <c r="C647" s="33">
        <v>6.9589422407778656E-4</v>
      </c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customFormat="1" x14ac:dyDescent="0.25">
      <c r="A648" s="33">
        <v>1.4390000000000001</v>
      </c>
      <c r="B648" s="34">
        <v>11678.464518902627</v>
      </c>
      <c r="C648" s="33">
        <v>6.9541029207242921E-4</v>
      </c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customFormat="1" x14ac:dyDescent="0.25">
      <c r="A649" s="33">
        <v>1.44</v>
      </c>
      <c r="B649" s="34">
        <v>11686.204335996083</v>
      </c>
      <c r="C649" s="33">
        <v>6.9492703266149647E-4</v>
      </c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customFormat="1" x14ac:dyDescent="0.25">
      <c r="A650" s="33">
        <v>1.4410000000000001</v>
      </c>
      <c r="B650" s="34">
        <v>11693.944153089542</v>
      </c>
      <c r="C650" s="33">
        <v>6.94444444444553E-4</v>
      </c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customFormat="1" x14ac:dyDescent="0.25">
      <c r="A651" s="33">
        <v>1.4419999999999999</v>
      </c>
      <c r="B651" s="34">
        <v>11701.683970183003</v>
      </c>
      <c r="C651" s="33">
        <v>6.9396252602360597E-4</v>
      </c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customFormat="1" x14ac:dyDescent="0.25">
      <c r="A652" s="33">
        <v>1.4430000000000001</v>
      </c>
      <c r="B652" s="34">
        <v>11709.423787276461</v>
      </c>
      <c r="C652" s="33">
        <v>6.9348127600554754E-4</v>
      </c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customFormat="1" x14ac:dyDescent="0.25">
      <c r="A653" s="33">
        <v>1.444</v>
      </c>
      <c r="B653" s="34">
        <v>11717.163604369918</v>
      </c>
      <c r="C653" s="33">
        <v>6.9300069300060052E-4</v>
      </c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customFormat="1" x14ac:dyDescent="0.25">
      <c r="A654" s="33">
        <v>1.4450000000000001</v>
      </c>
      <c r="B654" s="34">
        <v>11724.903421463379</v>
      </c>
      <c r="C654" s="33">
        <v>6.9252077562342862E-4</v>
      </c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customFormat="1" x14ac:dyDescent="0.25">
      <c r="A655" s="33">
        <v>1.446</v>
      </c>
      <c r="B655" s="34">
        <v>11732.643238556837</v>
      </c>
      <c r="C655" s="33">
        <v>6.9204152249136008E-4</v>
      </c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customFormat="1" x14ac:dyDescent="0.25">
      <c r="A656" s="33">
        <v>1.4470000000000001</v>
      </c>
      <c r="B656" s="34">
        <v>11740.383055650296</v>
      </c>
      <c r="C656" s="33">
        <v>6.9156293222683018E-4</v>
      </c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customFormat="1" x14ac:dyDescent="0.25">
      <c r="A657" s="33">
        <v>1.448</v>
      </c>
      <c r="B657" s="34">
        <v>11748.122872743756</v>
      </c>
      <c r="C657" s="33">
        <v>6.9108500345538282E-4</v>
      </c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customFormat="1" x14ac:dyDescent="0.25">
      <c r="A658" s="33">
        <v>1.4490000000000001</v>
      </c>
      <c r="B658" s="34">
        <v>11755.862689837213</v>
      </c>
      <c r="C658" s="33">
        <v>6.9060773480655868E-4</v>
      </c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customFormat="1" x14ac:dyDescent="0.25">
      <c r="A659" s="33">
        <v>1.45</v>
      </c>
      <c r="B659" s="34">
        <v>11763.602506930671</v>
      </c>
      <c r="C659" s="33">
        <v>6.9013112491389528E-4</v>
      </c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customFormat="1" x14ac:dyDescent="0.25">
      <c r="A660" s="33">
        <v>1.4510000000000001</v>
      </c>
      <c r="B660" s="34">
        <v>11771.342324024132</v>
      </c>
      <c r="C660" s="33">
        <v>6.8965517241381669E-4</v>
      </c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customFormat="1" x14ac:dyDescent="0.25">
      <c r="A661" s="33">
        <v>1.452</v>
      </c>
      <c r="B661" s="34">
        <v>11779.082141117586</v>
      </c>
      <c r="C661" s="33">
        <v>6.8917987594740993E-4</v>
      </c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customFormat="1" x14ac:dyDescent="0.25">
      <c r="A662" s="33">
        <v>1.4530000000000001</v>
      </c>
      <c r="B662" s="34">
        <v>11786.821958211047</v>
      </c>
      <c r="C662" s="33">
        <v>6.8870523415998086E-4</v>
      </c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customFormat="1" x14ac:dyDescent="0.25">
      <c r="A663" s="33">
        <v>1.454</v>
      </c>
      <c r="B663" s="34">
        <v>11794.561775304506</v>
      </c>
      <c r="C663" s="33">
        <v>6.8823124569861172E-4</v>
      </c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customFormat="1" x14ac:dyDescent="0.25">
      <c r="A664" s="33">
        <v>1.4550000000000001</v>
      </c>
      <c r="B664" s="34">
        <v>11802.301592397966</v>
      </c>
      <c r="C664" s="33">
        <v>6.8775790921593583E-4</v>
      </c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customFormat="1" x14ac:dyDescent="0.25">
      <c r="A665" s="33">
        <v>1.456</v>
      </c>
      <c r="B665" s="34">
        <v>11810.041409491423</v>
      </c>
      <c r="C665" s="33">
        <v>6.8728522336769515E-4</v>
      </c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customFormat="1" x14ac:dyDescent="0.25">
      <c r="A666" s="33">
        <v>1.4570000000000001</v>
      </c>
      <c r="B666" s="34">
        <v>11817.781226584881</v>
      </c>
      <c r="C666" s="33">
        <v>6.8681318681318437E-4</v>
      </c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customFormat="1" x14ac:dyDescent="0.25">
      <c r="A667" s="33">
        <v>1.458</v>
      </c>
      <c r="B667" s="34">
        <v>11825.521043678342</v>
      </c>
      <c r="C667" s="33">
        <v>6.8634179821547292E-4</v>
      </c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customFormat="1" x14ac:dyDescent="0.25">
      <c r="A668" s="33">
        <v>1.4590000000000001</v>
      </c>
      <c r="B668" s="34">
        <v>11833.260860771799</v>
      </c>
      <c r="C668" s="33">
        <v>6.8587105624140499E-4</v>
      </c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customFormat="1" x14ac:dyDescent="0.25">
      <c r="A669" s="33">
        <v>1.46</v>
      </c>
      <c r="B669" s="34">
        <v>11841.000677865259</v>
      </c>
      <c r="C669" s="33">
        <v>6.8540095956137748E-4</v>
      </c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customFormat="1" x14ac:dyDescent="0.25">
      <c r="A670" s="33">
        <v>1.4610000000000001</v>
      </c>
      <c r="B670" s="34">
        <v>11848.740494958718</v>
      </c>
      <c r="C670" s="33">
        <v>6.8493150684934001E-4</v>
      </c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customFormat="1" x14ac:dyDescent="0.25">
      <c r="A671" s="33">
        <v>1.462</v>
      </c>
      <c r="B671" s="34">
        <v>11856.480312052176</v>
      </c>
      <c r="C671" s="33">
        <v>6.8446269678301697E-4</v>
      </c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customFormat="1" x14ac:dyDescent="0.25">
      <c r="A672" s="33">
        <v>1.4630000000000001</v>
      </c>
      <c r="B672" s="34">
        <v>11864.220129145637</v>
      </c>
      <c r="C672" s="33">
        <v>6.8399452804390748E-4</v>
      </c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customFormat="1" x14ac:dyDescent="0.25">
      <c r="A673" s="33">
        <v>1.464</v>
      </c>
      <c r="B673" s="34">
        <v>11871.959946239094</v>
      </c>
      <c r="C673" s="33">
        <v>6.8352699931639727E-4</v>
      </c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customFormat="1" x14ac:dyDescent="0.25">
      <c r="A674" s="33">
        <v>1.4650000000000001</v>
      </c>
      <c r="B674" s="34">
        <v>11879.699763332555</v>
      </c>
      <c r="C674" s="33">
        <v>6.8306010928975702E-4</v>
      </c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customFormat="1" x14ac:dyDescent="0.25">
      <c r="A675" s="33">
        <v>1.466</v>
      </c>
      <c r="B675" s="34">
        <v>11887.439580426013</v>
      </c>
      <c r="C675" s="33">
        <v>6.8259385665525585E-4</v>
      </c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customFormat="1" x14ac:dyDescent="0.25">
      <c r="A676" s="33">
        <v>1.4670000000000001</v>
      </c>
      <c r="B676" s="34">
        <v>11895.179397519474</v>
      </c>
      <c r="C676" s="33">
        <v>6.8212824010926987E-4</v>
      </c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customFormat="1" x14ac:dyDescent="0.25">
      <c r="A677" s="33">
        <v>1.468</v>
      </c>
      <c r="B677" s="34">
        <v>11902.919214612928</v>
      </c>
      <c r="C677" s="33">
        <v>6.8166325835017361E-4</v>
      </c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customFormat="1" x14ac:dyDescent="0.25">
      <c r="A678" s="33">
        <v>1.4690000000000001</v>
      </c>
      <c r="B678" s="34">
        <v>11910.659031706386</v>
      </c>
      <c r="C678" s="33">
        <v>6.8119891008167066E-4</v>
      </c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customFormat="1" x14ac:dyDescent="0.25">
      <c r="A679" s="33">
        <v>1.47</v>
      </c>
      <c r="B679" s="34">
        <v>11918.398848799847</v>
      </c>
      <c r="C679" s="33">
        <v>6.8073519400968507E-4</v>
      </c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customFormat="1" x14ac:dyDescent="0.25">
      <c r="A680" s="33">
        <v>1.4710000000000001</v>
      </c>
      <c r="B680" s="34">
        <v>11926.138665893308</v>
      </c>
      <c r="C680" s="33">
        <v>6.802721088436936E-4</v>
      </c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customFormat="1" x14ac:dyDescent="0.25">
      <c r="A681" s="33">
        <v>1.472</v>
      </c>
      <c r="B681" s="34">
        <v>11933.878482986765</v>
      </c>
      <c r="C681" s="33">
        <v>6.7980965329694776E-4</v>
      </c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customFormat="1" x14ac:dyDescent="0.25">
      <c r="A682" s="33">
        <v>1.4730000000000001</v>
      </c>
      <c r="B682" s="34">
        <v>11941.618300080223</v>
      </c>
      <c r="C682" s="33">
        <v>6.7934782608713995E-4</v>
      </c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customFormat="1" x14ac:dyDescent="0.25">
      <c r="A683" s="33">
        <v>1.474</v>
      </c>
      <c r="B683" s="34">
        <v>11949.358117173684</v>
      </c>
      <c r="C683" s="33">
        <v>6.788866259335169E-4</v>
      </c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customFormat="1" x14ac:dyDescent="0.25">
      <c r="A684" s="33">
        <v>1.4750000000000001</v>
      </c>
      <c r="B684" s="34">
        <v>11957.097934267142</v>
      </c>
      <c r="C684" s="33">
        <v>6.7842605156043234E-4</v>
      </c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customFormat="1" x14ac:dyDescent="0.25">
      <c r="A685" s="33">
        <v>1.476</v>
      </c>
      <c r="B685" s="34">
        <v>11964.837751360599</v>
      </c>
      <c r="C685" s="33">
        <v>6.7796610169468252E-4</v>
      </c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customFormat="1" x14ac:dyDescent="0.25">
      <c r="A686" s="33">
        <v>1.4770000000000001</v>
      </c>
      <c r="B686" s="34">
        <v>11972.577568454057</v>
      </c>
      <c r="C686" s="33">
        <v>6.7750677506772661E-4</v>
      </c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customFormat="1" x14ac:dyDescent="0.25">
      <c r="A687" s="33">
        <v>1.478</v>
      </c>
      <c r="B687" s="34">
        <v>11980.317385547516</v>
      </c>
      <c r="C687" s="33">
        <v>6.7704807041302217E-4</v>
      </c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customFormat="1" x14ac:dyDescent="0.25">
      <c r="A688" s="33">
        <v>1.4790000000000001</v>
      </c>
      <c r="B688" s="34">
        <v>11988.057202640975</v>
      </c>
      <c r="C688" s="33">
        <v>6.7658998646824564E-4</v>
      </c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customFormat="1" x14ac:dyDescent="0.25">
      <c r="A689" s="33">
        <v>1.48</v>
      </c>
      <c r="B689" s="34">
        <v>11995.797019734437</v>
      </c>
      <c r="C689" s="33">
        <v>6.7613252197462614E-4</v>
      </c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customFormat="1" x14ac:dyDescent="0.25">
      <c r="A690" s="33">
        <v>1.4810000000000001</v>
      </c>
      <c r="B690" s="34">
        <v>12003.536836827894</v>
      </c>
      <c r="C690" s="33">
        <v>6.7567567567561326E-4</v>
      </c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customFormat="1" x14ac:dyDescent="0.25">
      <c r="A691" s="33">
        <v>1.482</v>
      </c>
      <c r="B691" s="34">
        <v>12011.276653921348</v>
      </c>
      <c r="C691" s="33">
        <v>6.7521944631976361E-4</v>
      </c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customFormat="1" x14ac:dyDescent="0.25">
      <c r="A692" s="33">
        <v>1.4830000000000001</v>
      </c>
      <c r="B692" s="34">
        <v>12019.016471014809</v>
      </c>
      <c r="C692" s="33">
        <v>6.747638326587424E-4</v>
      </c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customFormat="1" x14ac:dyDescent="0.25">
      <c r="A693" s="33">
        <v>1.484</v>
      </c>
      <c r="B693" s="34">
        <v>12026.756288108267</v>
      </c>
      <c r="C693" s="33">
        <v>6.7430883344554715E-4</v>
      </c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customFormat="1" x14ac:dyDescent="0.25">
      <c r="A694" s="33">
        <v>1.4850000000000001</v>
      </c>
      <c r="B694" s="34">
        <v>12034.496105201728</v>
      </c>
      <c r="C694" s="33">
        <v>6.7385444743961465E-4</v>
      </c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customFormat="1" x14ac:dyDescent="0.25">
      <c r="A695" s="33">
        <v>1.486</v>
      </c>
      <c r="B695" s="34">
        <v>12042.235922295185</v>
      </c>
      <c r="C695" s="33">
        <v>6.7340067340038168E-4</v>
      </c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customFormat="1" x14ac:dyDescent="0.25">
      <c r="A696" s="33">
        <v>1.4870000000000001</v>
      </c>
      <c r="B696" s="34">
        <v>12049.975739388643</v>
      </c>
      <c r="C696" s="33">
        <v>6.7294751009439047E-4</v>
      </c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customFormat="1" x14ac:dyDescent="0.25">
      <c r="A697" s="33">
        <v>1.488</v>
      </c>
      <c r="B697" s="34">
        <v>12057.715556482104</v>
      </c>
      <c r="C697" s="33">
        <v>6.7249495628773914E-4</v>
      </c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customFormat="1" x14ac:dyDescent="0.25">
      <c r="A698" s="33">
        <v>1.4890000000000001</v>
      </c>
      <c r="B698" s="34">
        <v>12065.455373575565</v>
      </c>
      <c r="C698" s="33">
        <v>6.7204301075296513E-4</v>
      </c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customFormat="1" x14ac:dyDescent="0.25">
      <c r="A699" s="33">
        <v>1.49</v>
      </c>
      <c r="B699" s="34">
        <v>12073.195190669023</v>
      </c>
      <c r="C699" s="33">
        <v>6.7159167226327199E-4</v>
      </c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customFormat="1" x14ac:dyDescent="0.25">
      <c r="A700" s="33">
        <v>1.4910000000000001</v>
      </c>
      <c r="B700" s="34">
        <v>12080.935007762482</v>
      </c>
      <c r="C700" s="33">
        <v>6.7114093959741439E-4</v>
      </c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customFormat="1" x14ac:dyDescent="0.25">
      <c r="A701" s="33">
        <v>1.492</v>
      </c>
      <c r="B701" s="34">
        <v>12088.67482485594</v>
      </c>
      <c r="C701" s="33">
        <v>6.7069081153570131E-4</v>
      </c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customFormat="1" x14ac:dyDescent="0.25">
      <c r="A702" s="33">
        <v>1.4930000000000001</v>
      </c>
      <c r="B702" s="34">
        <v>12096.414641949399</v>
      </c>
      <c r="C702" s="33">
        <v>6.7024128686332674E-4</v>
      </c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customFormat="1" x14ac:dyDescent="0.25">
      <c r="A703" s="33">
        <v>1.494</v>
      </c>
      <c r="B703" s="34">
        <v>12104.154459042853</v>
      </c>
      <c r="C703" s="33">
        <v>6.6979236436681688E-4</v>
      </c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customFormat="1" x14ac:dyDescent="0.25">
      <c r="A704" s="33">
        <v>1.4950000000000001</v>
      </c>
      <c r="B704" s="34">
        <v>12111.89427613632</v>
      </c>
      <c r="C704" s="33">
        <v>6.6934404283847115E-4</v>
      </c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customFormat="1" x14ac:dyDescent="0.25">
      <c r="A705" s="33">
        <v>1.496</v>
      </c>
      <c r="B705" s="34">
        <v>12119.634093229777</v>
      </c>
      <c r="C705" s="33">
        <v>6.6889632107014485E-4</v>
      </c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customFormat="1" x14ac:dyDescent="0.25">
      <c r="A706" s="33">
        <v>1.4970000000000001</v>
      </c>
      <c r="B706" s="34">
        <v>12127.373910323235</v>
      </c>
      <c r="C706" s="33">
        <v>6.6844919786102075E-4</v>
      </c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customFormat="1" x14ac:dyDescent="0.25">
      <c r="A707" s="33">
        <v>1.498</v>
      </c>
      <c r="B707" s="34">
        <v>12135.113727416692</v>
      </c>
      <c r="C707" s="33">
        <v>6.6800267201072572E-4</v>
      </c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customFormat="1" x14ac:dyDescent="0.25">
      <c r="A708" s="33">
        <v>1.4990000000000001</v>
      </c>
      <c r="B708" s="34">
        <v>12142.853544510155</v>
      </c>
      <c r="C708" s="33">
        <v>6.6755674232332751E-4</v>
      </c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customFormat="1" x14ac:dyDescent="0.25">
      <c r="A709" s="31">
        <v>1.5</v>
      </c>
      <c r="B709" s="32">
        <v>12223.610503994732</v>
      </c>
      <c r="C709" s="31">
        <v>6.9606152529357868E-3</v>
      </c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501451DF3505243A228614F59E741BF" ma:contentTypeVersion="11" ma:contentTypeDescription="Crie um novo documento." ma:contentTypeScope="" ma:versionID="ba73b4e8c952753a43010271c3919fa8">
  <xsd:schema xmlns:xsd="http://www.w3.org/2001/XMLSchema" xmlns:xs="http://www.w3.org/2001/XMLSchema" xmlns:p="http://schemas.microsoft.com/office/2006/metadata/properties" xmlns:ns3="896fe6eb-5f29-4571-a8a6-59d7a5302ed0" xmlns:ns4="d9082921-9335-4357-a717-920ec1340a82" targetNamespace="http://schemas.microsoft.com/office/2006/metadata/properties" ma:root="true" ma:fieldsID="d82de12f92766380b502148ffc2e8230" ns3:_="" ns4:_="">
    <xsd:import namespace="896fe6eb-5f29-4571-a8a6-59d7a5302ed0"/>
    <xsd:import namespace="d9082921-9335-4357-a717-920ec1340a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6fe6eb-5f29-4571-a8a6-59d7a5302e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82921-9335-4357-a717-920ec1340a8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60F8248E-CB84-4080-A56A-7575235712DF}">
  <ds:schemaRefs/>
</ds:datastoreItem>
</file>

<file path=customXml/itemProps2.xml><?xml version="1.0" encoding="utf-8"?>
<ds:datastoreItem xmlns:ds="http://schemas.openxmlformats.org/officeDocument/2006/customXml" ds:itemID="{BE86B42C-D9E4-47B5-A49D-ABD8D471525F}">
  <ds:schemaRefs/>
</ds:datastoreItem>
</file>

<file path=customXml/itemProps3.xml><?xml version="1.0" encoding="utf-8"?>
<ds:datastoreItem xmlns:ds="http://schemas.openxmlformats.org/officeDocument/2006/customXml" ds:itemID="{350122EC-EB85-4716-8C59-CF8823D164FA}">
  <ds:schemaRefs>
    <ds:schemaRef ds:uri="http://schemas.openxmlformats.org/package/2006/metadata/core-properties"/>
    <ds:schemaRef ds:uri="d9082921-9335-4357-a717-920ec1340a82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896fe6eb-5f29-4571-a8a6-59d7a5302ed0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6030255-34B6-48D0-BCC8-87EC244CF929}">
  <ds:schemaRefs/>
</ds:datastoreItem>
</file>

<file path=customXml/itemProps5.xml><?xml version="1.0" encoding="utf-8"?>
<ds:datastoreItem xmlns:ds="http://schemas.openxmlformats.org/officeDocument/2006/customXml" ds:itemID="{BE40807D-1612-41DE-AD4C-C6158156CC6A}">
  <ds:schemaRefs/>
</ds:datastoreItem>
</file>

<file path=customXml/itemProps6.xml><?xml version="1.0" encoding="utf-8"?>
<ds:datastoreItem xmlns:ds="http://schemas.openxmlformats.org/officeDocument/2006/customXml" ds:itemID="{AC873E6F-5C3F-4AC0-8B72-623EBCF0C8DF}">
  <ds:schemaRefs/>
</ds:datastoreItem>
</file>

<file path=customXml/itemProps7.xml><?xml version="1.0" encoding="utf-8"?>
<ds:datastoreItem xmlns:ds="http://schemas.openxmlformats.org/officeDocument/2006/customXml" ds:itemID="{974DD2C4-F05C-4069-8876-54CEB23BA90B}">
  <ds:schemaRefs/>
</ds:datastoreItem>
</file>

<file path=customXml/itemProps8.xml><?xml version="1.0" encoding="utf-8"?>
<ds:datastoreItem xmlns:ds="http://schemas.openxmlformats.org/officeDocument/2006/customXml" ds:itemID="{8C4E8C29-6633-4730-93BC-E7AE984E3F0E}">
  <ds:schemaRefs/>
</ds:datastoreItem>
</file>

<file path=customXml/itemProps9.xml><?xml version="1.0" encoding="utf-8"?>
<ds:datastoreItem xmlns:ds="http://schemas.openxmlformats.org/officeDocument/2006/customXml" ds:itemID="{0F7C3584-72FA-41E7-8838-72DFF739480C}">
  <ds:schemaRefs/>
</ds:datastoreItem>
</file>

<file path=customXml/itemProps10.xml><?xml version="1.0" encoding="utf-8"?>
<ds:datastoreItem xmlns:ds="http://schemas.openxmlformats.org/officeDocument/2006/customXml" ds:itemID="{D4AAF80E-B874-4D63-896D-744C3D0C2919}">
  <ds:schemaRefs/>
</ds:datastoreItem>
</file>

<file path=customXml/itemProps11.xml><?xml version="1.0" encoding="utf-8"?>
<ds:datastoreItem xmlns:ds="http://schemas.openxmlformats.org/officeDocument/2006/customXml" ds:itemID="{293EB6DB-EFBA-49C5-B268-B60F50222DA0}">
  <ds:schemaRefs/>
</ds:datastoreItem>
</file>

<file path=customXml/itemProps12.xml><?xml version="1.0" encoding="utf-8"?>
<ds:datastoreItem xmlns:ds="http://schemas.openxmlformats.org/officeDocument/2006/customXml" ds:itemID="{002B65DD-3710-43A9-B33F-2EB9286CB2C3}">
  <ds:schemaRefs/>
</ds:datastoreItem>
</file>

<file path=customXml/itemProps13.xml><?xml version="1.0" encoding="utf-8"?>
<ds:datastoreItem xmlns:ds="http://schemas.openxmlformats.org/officeDocument/2006/customXml" ds:itemID="{66B45A57-EA75-4C94-9971-13CDD23276D7}">
  <ds:schemaRefs/>
</ds:datastoreItem>
</file>

<file path=customXml/itemProps14.xml><?xml version="1.0" encoding="utf-8"?>
<ds:datastoreItem xmlns:ds="http://schemas.openxmlformats.org/officeDocument/2006/customXml" ds:itemID="{DA4A8024-3F31-4FCB-BA8F-8A76CAC3F14A}">
  <ds:schemaRefs/>
</ds:datastoreItem>
</file>

<file path=customXml/itemProps15.xml><?xml version="1.0" encoding="utf-8"?>
<ds:datastoreItem xmlns:ds="http://schemas.openxmlformats.org/officeDocument/2006/customXml" ds:itemID="{C4A6DE87-3BF5-44D0-A457-DFD670337651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89D7D874-B91D-4333-BAF2-3E9B23CFB025}">
  <ds:schemaRefs/>
</ds:datastoreItem>
</file>

<file path=customXml/itemProps17.xml><?xml version="1.0" encoding="utf-8"?>
<ds:datastoreItem xmlns:ds="http://schemas.openxmlformats.org/officeDocument/2006/customXml" ds:itemID="{9F732ED5-B0ED-4BF7-B6EF-2CC446B8C3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6fe6eb-5f29-4571-a8a6-59d7a5302ed0"/>
    <ds:schemaRef ds:uri="d9082921-9335-4357-a717-920ec1340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CA1787A6-390A-43FB-B56F-FAC02FFDB15B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3E2100A2-FA31-4777-9053-C1FC72380029}">
  <ds:schemaRefs>
    <ds:schemaRef ds:uri="http://schemas.microsoft.com/PowerBIAddIn"/>
  </ds:schemaRefs>
</ds:datastoreItem>
</file>

<file path=customXml/itemProps20.xml><?xml version="1.0" encoding="utf-8"?>
<ds:datastoreItem xmlns:ds="http://schemas.openxmlformats.org/officeDocument/2006/customXml" ds:itemID="{B4CCE224-97EF-4620-B988-EB09B2AAC482}">
  <ds:schemaRefs/>
</ds:datastoreItem>
</file>

<file path=customXml/itemProps21.xml><?xml version="1.0" encoding="utf-8"?>
<ds:datastoreItem xmlns:ds="http://schemas.openxmlformats.org/officeDocument/2006/customXml" ds:itemID="{8F5947F3-C917-4050-B5F2-EA836A5F685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41</vt:i4>
      </vt:variant>
    </vt:vector>
  </HeadingPairs>
  <TitlesOfParts>
    <vt:vector size="67" baseType="lpstr">
      <vt:lpstr>Instruções</vt:lpstr>
      <vt:lpstr>Setorizacao REP</vt:lpstr>
      <vt:lpstr>Tabela Periodos</vt:lpstr>
      <vt:lpstr>Resumo</vt:lpstr>
      <vt:lpstr>Demonstrativo REP</vt:lpstr>
      <vt:lpstr>Demonstrativo GR</vt:lpstr>
      <vt:lpstr>Demostrativo Venda Detalhada</vt:lpstr>
      <vt:lpstr>IV Venda Tri</vt:lpstr>
      <vt:lpstr>IV Venda Mensal</vt:lpstr>
      <vt:lpstr>IV Demanda REP Mensal</vt:lpstr>
      <vt:lpstr>IV Demanda REP Tri</vt:lpstr>
      <vt:lpstr>IV Visitas REP</vt:lpstr>
      <vt:lpstr>Representantes</vt:lpstr>
      <vt:lpstr>Planilha1</vt:lpstr>
      <vt:lpstr>Demanda Setorizada REP</vt:lpstr>
      <vt:lpstr>IV Demanda GR Tri</vt:lpstr>
      <vt:lpstr>IV Demanda GR Mensal</vt:lpstr>
      <vt:lpstr>IV Visitas - GR</vt:lpstr>
      <vt:lpstr>Demanda Setorizada GR</vt:lpstr>
      <vt:lpstr>Setorizacao GR</vt:lpstr>
      <vt:lpstr>Mapa Distribuidor EQ</vt:lpstr>
      <vt:lpstr>Mapa Distribuidor UN</vt:lpstr>
      <vt:lpstr>Demanda Distribuidores</vt:lpstr>
      <vt:lpstr>Venda Detalhada</vt:lpstr>
      <vt:lpstr>Tabela Valores REP</vt:lpstr>
      <vt:lpstr>Tabela Valores GR</vt:lpstr>
      <vt:lpstr>Cob_100_GR</vt:lpstr>
      <vt:lpstr>Cob_100_REP</vt:lpstr>
      <vt:lpstr>Cob_Max_GR</vt:lpstr>
      <vt:lpstr>Cob_Max_REP</vt:lpstr>
      <vt:lpstr>Cob_Min_GR</vt:lpstr>
      <vt:lpstr>Cob_Min_REP</vt:lpstr>
      <vt:lpstr>Demonstrativo_Calcular_Recuperavel_Tri</vt:lpstr>
      <vt:lpstr>Demonstrativo_Mes</vt:lpstr>
      <vt:lpstr>Demonstrativo_Tri</vt:lpstr>
      <vt:lpstr>Demostrativo_Ano</vt:lpstr>
      <vt:lpstr>'Demonstrativo GR'!Filtro_Demostrativo_GR_ANO</vt:lpstr>
      <vt:lpstr>'Demonstrativo GR'!Filtro_Demostrativo_GR_GR</vt:lpstr>
      <vt:lpstr>'Demonstrativo GR'!Filtro_Demostrativo_GR_MES</vt:lpstr>
      <vt:lpstr>'Demonstrativo GR'!Filtro_Demostrativo_GR_TRI</vt:lpstr>
      <vt:lpstr>Filtro_Demostrativo_Rep_ANO</vt:lpstr>
      <vt:lpstr>Filtro_Demostrativo_Rep_MES</vt:lpstr>
      <vt:lpstr>Filtro_Demostrativo_Rep_REP</vt:lpstr>
      <vt:lpstr>Filtro_Demostrativo_Rep_TRI</vt:lpstr>
      <vt:lpstr>Filtro_IV_Ano</vt:lpstr>
      <vt:lpstr>Filtro_IV_Mes</vt:lpstr>
      <vt:lpstr>Filtro_IV_Tri</vt:lpstr>
      <vt:lpstr>Filtro_IV_Tri_Recuperavel</vt:lpstr>
      <vt:lpstr>Peso_Demanda_GR_BERINERT</vt:lpstr>
      <vt:lpstr>Peso_Demanda_GR_BERIPLEX</vt:lpstr>
      <vt:lpstr>Peso_Demanda_GR_HAEMO</vt:lpstr>
      <vt:lpstr>Peso_Demanda_GR_HIZENTRA</vt:lpstr>
      <vt:lpstr>Peso_Demanda_GR_PRIVIGEN</vt:lpstr>
      <vt:lpstr>Peso_Venda_ALBUREX</vt:lpstr>
      <vt:lpstr>Peso_Venda_OUTROS</vt:lpstr>
      <vt:lpstr>Peso_Venda_RHOPYLAC</vt:lpstr>
      <vt:lpstr>Peso_Venda_Total_GR</vt:lpstr>
      <vt:lpstr>Peso_Visitas_GR</vt:lpstr>
      <vt:lpstr>Peso_Visitas_REP</vt:lpstr>
      <vt:lpstr>Tabela_Valores_GR</vt:lpstr>
      <vt:lpstr>Tabela_Valores_REP</vt:lpstr>
      <vt:lpstr>Vlr_100_GR</vt:lpstr>
      <vt:lpstr>Vlr_100_REP</vt:lpstr>
      <vt:lpstr>Vlr_Max_GR</vt:lpstr>
      <vt:lpstr>Vlr_Max_REP</vt:lpstr>
      <vt:lpstr>Vlr_Min_GR</vt:lpstr>
      <vt:lpstr>Vlr_Min_REP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Waldomiro Barbosa</dc:creator>
  <cp:lastModifiedBy>Waldomiro Freitas Barbosa</cp:lastModifiedBy>
  <dcterms:created xsi:type="dcterms:W3CDTF">2019-10-15T18:51:12Z</dcterms:created>
  <dcterms:modified xsi:type="dcterms:W3CDTF">2020-02-06T01:18:13Z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0x0101000501451DF3505243A228614F59E741BF</vt:lpwstr>
  </property>
  <property fmtid="{D5CDD505-2E9C-101B-9397-08002B2CF9AE}" pid="3" name="WorkbookGuid">
    <vt:lpwstr>688dda9c-f5d4-46de-b4ee-21015aad8398</vt:lpwstr>
  </property>
</Properties>
</file>